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3.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carbontrust.sharepoint.com/sites/WGES2-Lot2CarbonReporting/Shared Documents/General/3. Data/2026/2026 data collection form/"/>
    </mc:Choice>
  </mc:AlternateContent>
  <xr:revisionPtr revIDLastSave="749" documentId="8_{646D6879-1471-432C-BB48-CBE89AD764C9}" xr6:coauthVersionLast="47" xr6:coauthVersionMax="47" xr10:uidLastSave="{D563791D-8718-41D0-83FE-21FAD647830D}"/>
  <bookViews>
    <workbookView xWindow="60" yWindow="-16320" windowWidth="29040" windowHeight="15720" tabRatio="827" firstSheet="3" activeTab="3" xr2:uid="{EA3C41E4-CC1E-476D-81D9-D2CD246854BD}"/>
  </bookViews>
  <sheets>
    <sheet name="Template" sheetId="32" state="hidden" r:id="rId1"/>
    <sheet name="Template_Collection" sheetId="33" state="hidden" r:id="rId2"/>
    <sheet name="About" sheetId="34" r:id="rId3"/>
    <sheet name="Version Log" sheetId="54" r:id="rId4"/>
    <sheet name="Organisation Info" sheetId="35" r:id="rId5"/>
    <sheet name="Sign Off" sheetId="36" r:id="rId6"/>
    <sheet name="Site Information orig" sheetId="28" state="hidden" r:id="rId7"/>
    <sheet name="Summary results" sheetId="18" state="hidden" r:id="rId8"/>
    <sheet name="Results" sheetId="57" r:id="rId9"/>
    <sheet name="Buildings - Site Info" sheetId="37" r:id="rId10"/>
    <sheet name="Buildings - Electricity" sheetId="38" r:id="rId11"/>
    <sheet name="Buildings - Fuels" sheetId="39" r:id="rId12"/>
    <sheet name="Buildings - Water" sheetId="40" r:id="rId13"/>
    <sheet name="Fugitive Gases" sheetId="41" r:id="rId14"/>
    <sheet name="Fleet &amp; Equipment" sheetId="42" r:id="rId15"/>
    <sheet name="Travel, Commuting, Homeworking" sheetId="43" r:id="rId16"/>
    <sheet name="Waste" sheetId="44" r:id="rId17"/>
    <sheet name="Supply Chain" sheetId="45" r:id="rId18"/>
    <sheet name="Supply chain (supplier forms)" sheetId="50" r:id="rId19"/>
    <sheet name="old renewb" sheetId="14" state="hidden" r:id="rId20"/>
    <sheet name="FLAG" sheetId="46" r:id="rId21"/>
    <sheet name="Renewables" sheetId="56" r:id="rId22"/>
    <sheet name="Totals" sheetId="25" r:id="rId23"/>
    <sheet name="Totals - Renewables" sheetId="58" r:id="rId24"/>
    <sheet name="Emission factors" sheetId="55" r:id="rId25"/>
    <sheet name="Ranges" sheetId="48" r:id="rId26"/>
    <sheet name="Benchmarking data" sheetId="21" r:id="rId27"/>
  </sheets>
  <externalReferences>
    <externalReference r:id="rId28"/>
  </externalReferences>
  <definedNames>
    <definedName name="_xlnm._FilterDatabase" localSheetId="24" hidden="1">'Emission factors'!$E$8:$AE$706</definedName>
    <definedName name="_ftnref1" localSheetId="26">'Benchmarking data'!$B$12</definedName>
    <definedName name="_Toc103010521" localSheetId="26">'Benchmarking data'!$C$43</definedName>
    <definedName name="cl_Level2Target">Ranges!$BC$11</definedName>
    <definedName name="cl_Level3Target">Ranges!$BE$11</definedName>
    <definedName name="cl_Level4Target">Ranges!$BG$11</definedName>
    <definedName name="cl_Level5Target">Ranges!$BI$11</definedName>
    <definedName name="cl_Level6Target">Ranges!$BK$11</definedName>
    <definedName name="cl_org_name_select">'Organisation Info'!$H$13</definedName>
    <definedName name="cl_org_type_select">'Organisation Info'!$H$12</definedName>
    <definedName name="cl_year_select">'Organisation Info'!$H$14</definedName>
    <definedName name="DROPDOWN">_xlfn.LAMBDA(_xlpm.lookup_range,_xlpm.lookup_value,_xlpm.target_range,OFFSET(_xlpm.target_range,MATCH(_xlpm.lookup_value,_xlpm.lookup_range,0)-1,,COUNTIF(_xlpm.lookup_range,_xlpm.lookup_value)))</definedName>
    <definedName name="rng_AltUnitsLong">OFFSET(Ranges!$AU$11,,,Ranges!$AU$10)</definedName>
    <definedName name="rng_bldg_ownership">Ranges!$U$11:$U$16</definedName>
    <definedName name="rng_building_cat">OFFSET(Ranges!$W$11,,,Ranges!$W$10)</definedName>
    <definedName name="rng_building_cat_long">OFFSET(Ranges!$X$11,,,Ranges!$X$10)</definedName>
    <definedName name="rng_building_type">Ranges!$Y$11</definedName>
    <definedName name="rng_data_completeness">Ranges!$G$11:$G$13</definedName>
    <definedName name="rng_data_ease">Ranges!$H$11:$H$13</definedName>
    <definedName name="rng_EF1">'Emission factors'!$Q$9:$Q$706</definedName>
    <definedName name="rng_EF2">'Emission factors'!$R$9:$R$706</definedName>
    <definedName name="rng_EF3">'Emission factors'!$S$9:$S$706</definedName>
    <definedName name="rng_EF3TD">'Emission factors'!$U$9:$U$706</definedName>
    <definedName name="rng_EF3WTT">'Emission factors'!$T$9:$T$706</definedName>
    <definedName name="rng_EF3WTTTD">'Emission factors'!$V$9:$V$706</definedName>
    <definedName name="rng_EFConcat">'Emission factors'!$L$9:$L$706</definedName>
    <definedName name="rng_EFConversion">'Emission factors'!$P$9:$P$706</definedName>
    <definedName name="rng_EFOOS">'Emission factors'!$W$9:$W$706</definedName>
    <definedName name="rng_electricity_contract">Ranges!$Z$11:$Z$13</definedName>
    <definedName name="rng_electricity_technology">Ranges!$AG$11:$AG$17</definedName>
    <definedName name="rng_electricity_type">Ranges!$AF$11:$AF$17</definedName>
    <definedName name="rng_heat_technology">Ranges!$AJ$11:$AJ$18</definedName>
    <definedName name="rng_heat_type">Ranges!$AI$11:$AI$18</definedName>
    <definedName name="rng_heating_type">Ranges!$R$11:$R$16</definedName>
    <definedName name="rng_Level1">Ranges!$BB$11:$BB$22</definedName>
    <definedName name="rng_Level1Long">OFFSET(Ranges!$AM$11,,,Ranges!$AM$10)</definedName>
    <definedName name="rng_Level1Unique">Ranges!$BA$11:$BA$17</definedName>
    <definedName name="rng_Level2">OFFSET(Ranges!$BD$11,,,Ranges!$BD$10)</definedName>
    <definedName name="rng_Level2Long">OFFSET(Ranges!$AN$11,,,Ranges!$AN$10)</definedName>
    <definedName name="rng_Level3">OFFSET(Ranges!$BF$11,,,Ranges!$BF$10)</definedName>
    <definedName name="rng_Level3Long">OFFSET(Ranges!$AO$11,,,Ranges!$AO$10)</definedName>
    <definedName name="rng_Level4">OFFSET(Ranges!$BH$11,,,Ranges!$BH$10)</definedName>
    <definedName name="rng_Level46">OFFSET(Ranges!$BJ$11,,,Ranges!$BJ$10)</definedName>
    <definedName name="rng_Level4Long">OFFSET(Ranges!$AP$11,,,Ranges!$AP$10)</definedName>
    <definedName name="rng_Level5Long">OFFSET(Ranges!$AQ$11,,,Ranges!$AQ$10)</definedName>
    <definedName name="rng_Level6Long">OFFSET(Ranges!$AR$11,,,Ranges!$AR$10)</definedName>
    <definedName name="rng_LevelsConcat">Ranges!$AS$11:$AS$856</definedName>
    <definedName name="rng_location">Ranges!$AE$11:$AE$12</definedName>
    <definedName name="rng_methodology">OFFSET(Ranges!$J$11,,,Ranges!$J$10)</definedName>
    <definedName name="rng_org_name">Ranges!$O$11</definedName>
    <definedName name="rng_org_type">OFFSET(Ranges!$M$11,,,Ranges!$M$10)</definedName>
    <definedName name="rng_org_type_long">OFFSET(Ranges!$N$11,,,Ranges!$N$10)</definedName>
    <definedName name="rng_region">OFFSET(Ranges!$P$11,,,Ranges!$P$10)</definedName>
    <definedName name="rng_renewables_ownership">Ranges!$AH$11:$AH$16</definedName>
    <definedName name="rng_RSD1">Ranges!$AV$11:$AV$856</definedName>
    <definedName name="rng_RSD2">Ranges!$AW$11:$AW$856</definedName>
    <definedName name="rng_RSD3">Ranges!$AX$11:$AX$856</definedName>
    <definedName name="rng_sitename">OFFSET(Ranges!$V$11,,,Ranges!$V$10)</definedName>
    <definedName name="rng_streetlighting">OFFSET(Ranges!#REF!,,,Ranges!#REF!)</definedName>
    <definedName name="rng_supply_chain_data_type">Ranges!$AC$11:$AC$13</definedName>
    <definedName name="rng_supply_chain_tier2_rsd">Ranges!$AB$11:$AB$13</definedName>
    <definedName name="rng_UnitsLong">Ranges!$AT$11:$AT$856</definedName>
    <definedName name="rng_year">Ranges!$I$11:$I$12</definedName>
    <definedName name="rng_yes_no">Ranges!$E$11:$E$12</definedName>
    <definedName name="rng_yes_no_na">Ranges!$F$11:$F$13</definedName>
    <definedName name="val_org_name">'[1]1. Organisational information'!$H$13</definedName>
    <definedName name="val_public_body">'[1]1. Organisational information'!$H$14</definedName>
    <definedName name="val_supplierSIC">'Supply chain (supplier forms)'!$H$13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11" i="48" l="1" a="1"/>
  <c r="BJ11" i="48" s="1"/>
  <c r="BH11" i="48" a="1"/>
  <c r="BH11" i="48" s="1"/>
  <c r="BF11" i="48" a="1"/>
  <c r="BF11" i="48" s="1"/>
  <c r="AO268" i="39"/>
  <c r="AO273" i="39"/>
  <c r="AO274" i="39"/>
  <c r="AO275" i="39"/>
  <c r="AO276" i="39"/>
  <c r="AO277" i="39"/>
  <c r="AO278" i="39"/>
  <c r="AO279" i="39"/>
  <c r="AO280" i="39"/>
  <c r="AO281" i="39"/>
  <c r="AO282" i="39"/>
  <c r="AO283" i="39"/>
  <c r="AO284" i="39"/>
  <c r="AO285" i="39"/>
  <c r="AO286" i="39"/>
  <c r="AO287" i="39"/>
  <c r="AO288" i="39"/>
  <c r="AO289" i="39"/>
  <c r="AO290" i="39"/>
  <c r="AO291" i="39"/>
  <c r="AO292" i="39"/>
  <c r="AO293" i="39"/>
  <c r="AO294" i="39"/>
  <c r="AO295" i="39"/>
  <c r="AO296" i="39"/>
  <c r="AO297" i="39"/>
  <c r="AO298" i="39"/>
  <c r="AO299" i="39"/>
  <c r="AO300" i="39"/>
  <c r="AO301" i="39"/>
  <c r="AO302" i="39"/>
  <c r="AO303" i="39"/>
  <c r="AO304" i="39"/>
  <c r="AO305" i="39"/>
  <c r="AO306" i="39"/>
  <c r="AO307" i="39"/>
  <c r="AO308" i="39"/>
  <c r="AO309" i="39"/>
  <c r="AO310" i="39"/>
  <c r="AO311" i="39"/>
  <c r="AO312" i="39"/>
  <c r="AO313" i="39"/>
  <c r="AO314" i="39"/>
  <c r="AO315" i="39"/>
  <c r="AO316" i="39"/>
  <c r="AO317" i="39"/>
  <c r="AO318" i="39"/>
  <c r="AO319" i="39"/>
  <c r="AO320" i="39"/>
  <c r="AO321" i="39"/>
  <c r="AO322" i="39"/>
  <c r="AO323" i="39"/>
  <c r="AO324" i="39"/>
  <c r="AO325" i="39"/>
  <c r="AO326" i="39"/>
  <c r="AO327" i="39"/>
  <c r="AO328" i="39"/>
  <c r="AO329" i="39"/>
  <c r="AO330" i="39"/>
  <c r="AO331" i="39"/>
  <c r="AO332" i="39"/>
  <c r="AO333" i="39"/>
  <c r="AO334" i="39"/>
  <c r="AO335" i="39"/>
  <c r="AO336" i="39"/>
  <c r="AO337" i="39"/>
  <c r="AO338" i="39"/>
  <c r="AO339" i="39"/>
  <c r="AO340" i="39"/>
  <c r="AO341" i="39"/>
  <c r="AO342" i="39"/>
  <c r="AO343" i="39"/>
  <c r="AO344" i="39"/>
  <c r="AO345" i="39"/>
  <c r="AO346" i="39"/>
  <c r="AO347" i="39"/>
  <c r="AO348" i="39"/>
  <c r="AO349" i="39"/>
  <c r="AO350" i="39"/>
  <c r="AO351" i="39"/>
  <c r="AO352" i="39"/>
  <c r="AO353" i="39"/>
  <c r="AO354" i="39"/>
  <c r="AO355" i="39"/>
  <c r="AO356" i="39"/>
  <c r="AO357" i="39"/>
  <c r="AO358" i="39"/>
  <c r="AO359" i="39"/>
  <c r="AO360" i="39"/>
  <c r="AO361" i="39"/>
  <c r="AO362" i="39"/>
  <c r="AO363" i="39"/>
  <c r="AO364" i="39"/>
  <c r="AO365" i="39"/>
  <c r="AO366" i="39"/>
  <c r="AO367" i="39"/>
  <c r="AO368" i="39"/>
  <c r="AO369" i="39"/>
  <c r="AO370" i="39"/>
  <c r="AO371" i="39"/>
  <c r="AO372" i="39"/>
  <c r="AO373" i="39"/>
  <c r="AO374" i="39"/>
  <c r="AO375" i="39"/>
  <c r="AO376" i="39"/>
  <c r="AO377" i="39"/>
  <c r="AO378" i="39"/>
  <c r="AO379" i="39"/>
  <c r="AO380" i="39"/>
  <c r="AO381" i="39"/>
  <c r="AO382" i="39"/>
  <c r="AO383" i="39"/>
  <c r="AO384" i="39"/>
  <c r="AO385" i="39"/>
  <c r="AO386" i="39"/>
  <c r="AO387" i="39"/>
  <c r="AO388" i="39"/>
  <c r="AO389" i="39"/>
  <c r="AO390" i="39"/>
  <c r="AO391" i="39"/>
  <c r="AO392" i="39"/>
  <c r="AO393" i="39"/>
  <c r="AO394" i="39"/>
  <c r="AO395" i="39"/>
  <c r="AO396" i="39"/>
  <c r="AO397" i="39"/>
  <c r="AO398" i="39"/>
  <c r="AO399" i="39"/>
  <c r="AO400" i="39"/>
  <c r="AO401" i="39"/>
  <c r="AO402" i="39"/>
  <c r="AO403" i="39"/>
  <c r="AO404" i="39"/>
  <c r="AO405" i="39"/>
  <c r="AO406" i="39"/>
  <c r="AO407" i="39"/>
  <c r="AO408" i="39"/>
  <c r="AO409" i="39"/>
  <c r="AO410" i="39"/>
  <c r="AO411" i="39"/>
  <c r="AO412" i="39"/>
  <c r="AO413" i="39"/>
  <c r="AO414" i="39"/>
  <c r="AO415" i="39"/>
  <c r="AO416" i="39"/>
  <c r="AO417" i="39"/>
  <c r="AO418" i="39"/>
  <c r="AO419" i="39"/>
  <c r="AO420" i="39"/>
  <c r="AO421" i="39"/>
  <c r="AO422" i="39"/>
  <c r="AO423" i="39"/>
  <c r="AO424" i="39"/>
  <c r="AO425" i="39"/>
  <c r="AO426" i="39"/>
  <c r="AO427" i="39"/>
  <c r="AO428" i="39"/>
  <c r="AO429" i="39"/>
  <c r="AO430" i="39"/>
  <c r="AO431" i="39"/>
  <c r="AO432" i="39"/>
  <c r="AO433" i="39"/>
  <c r="AO434" i="39"/>
  <c r="AO435" i="39"/>
  <c r="AO436" i="39"/>
  <c r="AO437" i="39"/>
  <c r="AO438" i="39"/>
  <c r="AO439" i="39"/>
  <c r="AO440" i="39"/>
  <c r="AO441" i="39"/>
  <c r="AO442" i="39"/>
  <c r="AO443" i="39"/>
  <c r="AO444" i="39"/>
  <c r="AO445" i="39"/>
  <c r="AO446" i="39"/>
  <c r="AO447" i="39"/>
  <c r="AO448" i="39"/>
  <c r="AO449" i="39"/>
  <c r="AO450" i="39"/>
  <c r="AO451" i="39"/>
  <c r="AO452" i="39"/>
  <c r="AO453" i="39"/>
  <c r="AO454" i="39"/>
  <c r="AO455" i="39"/>
  <c r="AO456" i="39"/>
  <c r="AO457" i="39"/>
  <c r="AO458" i="39"/>
  <c r="AO459" i="39"/>
  <c r="AO460" i="39"/>
  <c r="AO461" i="39"/>
  <c r="AO462" i="39"/>
  <c r="AO463" i="39"/>
  <c r="AO464" i="39"/>
  <c r="AO465" i="39"/>
  <c r="AO466" i="39"/>
  <c r="AO467" i="39"/>
  <c r="AO468" i="39"/>
  <c r="AO469" i="39"/>
  <c r="AO470" i="39"/>
  <c r="AO471" i="39"/>
  <c r="AO472" i="39"/>
  <c r="AO473" i="39"/>
  <c r="AO474" i="39"/>
  <c r="AO475" i="39"/>
  <c r="AO476" i="39"/>
  <c r="AO477" i="39"/>
  <c r="AO478" i="39"/>
  <c r="AO479" i="39"/>
  <c r="AO480" i="39"/>
  <c r="AO481" i="39"/>
  <c r="AO482" i="39"/>
  <c r="AO483" i="39"/>
  <c r="AO484" i="39"/>
  <c r="AO485" i="39"/>
  <c r="AO486" i="39"/>
  <c r="AO487" i="39"/>
  <c r="AO488" i="39"/>
  <c r="AO489" i="39"/>
  <c r="AO490" i="39"/>
  <c r="AO491" i="39"/>
  <c r="AO492" i="39"/>
  <c r="AO493" i="39"/>
  <c r="AO494" i="39"/>
  <c r="AO495" i="39"/>
  <c r="AO496" i="39"/>
  <c r="AO497" i="39"/>
  <c r="AO498" i="39"/>
  <c r="AO499" i="39"/>
  <c r="AO500" i="39"/>
  <c r="AO501" i="39"/>
  <c r="AO502" i="39"/>
  <c r="AO503" i="39"/>
  <c r="AO504" i="39"/>
  <c r="AO505" i="39"/>
  <c r="AO506" i="39"/>
  <c r="AO507" i="39"/>
  <c r="AO508" i="39"/>
  <c r="AO509" i="39"/>
  <c r="AO510" i="39"/>
  <c r="AO511" i="39"/>
  <c r="AO512" i="39"/>
  <c r="AO513" i="39"/>
  <c r="AO514" i="39"/>
  <c r="AN268" i="39"/>
  <c r="AN273" i="39"/>
  <c r="AN274" i="39"/>
  <c r="AN275" i="39"/>
  <c r="AN276" i="39"/>
  <c r="AN277" i="39"/>
  <c r="AN278" i="39"/>
  <c r="AN279" i="39"/>
  <c r="AN280" i="39"/>
  <c r="AN281" i="39"/>
  <c r="AN282" i="39"/>
  <c r="AN283" i="39"/>
  <c r="AN284" i="39"/>
  <c r="AN285" i="39"/>
  <c r="AN286" i="39"/>
  <c r="AN287" i="39"/>
  <c r="AN288" i="39"/>
  <c r="AN289" i="39"/>
  <c r="AN290" i="39"/>
  <c r="AN291" i="39"/>
  <c r="AN292" i="39"/>
  <c r="AN293" i="39"/>
  <c r="AN294" i="39"/>
  <c r="AN295" i="39"/>
  <c r="AN296" i="39"/>
  <c r="AN297" i="39"/>
  <c r="AN298" i="39"/>
  <c r="AN299" i="39"/>
  <c r="AN300" i="39"/>
  <c r="AN301" i="39"/>
  <c r="AN302" i="39"/>
  <c r="AN303" i="39"/>
  <c r="AN304" i="39"/>
  <c r="AN305" i="39"/>
  <c r="AN306" i="39"/>
  <c r="AN307" i="39"/>
  <c r="AN308" i="39"/>
  <c r="AN309" i="39"/>
  <c r="AN310" i="39"/>
  <c r="AN311" i="39"/>
  <c r="AN312" i="39"/>
  <c r="AN313" i="39"/>
  <c r="AN314" i="39"/>
  <c r="AN315" i="39"/>
  <c r="AN316" i="39"/>
  <c r="AN317" i="39"/>
  <c r="AN318" i="39"/>
  <c r="AN319" i="39"/>
  <c r="AN320" i="39"/>
  <c r="AN321" i="39"/>
  <c r="AN322" i="39"/>
  <c r="AN323" i="39"/>
  <c r="AN324" i="39"/>
  <c r="AN325" i="39"/>
  <c r="AN326" i="39"/>
  <c r="AN327" i="39"/>
  <c r="AN328" i="39"/>
  <c r="AN329" i="39"/>
  <c r="AN330" i="39"/>
  <c r="AN331" i="39"/>
  <c r="AN332" i="39"/>
  <c r="AN333" i="39"/>
  <c r="AN334" i="39"/>
  <c r="AN335" i="39"/>
  <c r="AN336" i="39"/>
  <c r="AN337" i="39"/>
  <c r="AN338" i="39"/>
  <c r="AN339" i="39"/>
  <c r="AN340" i="39"/>
  <c r="AN341" i="39"/>
  <c r="AN342" i="39"/>
  <c r="AN343" i="39"/>
  <c r="AN344" i="39"/>
  <c r="AN345" i="39"/>
  <c r="AN346" i="39"/>
  <c r="AN347" i="39"/>
  <c r="AN348" i="39"/>
  <c r="AN349" i="39"/>
  <c r="AN350" i="39"/>
  <c r="AN351" i="39"/>
  <c r="AN352" i="39"/>
  <c r="AN353" i="39"/>
  <c r="AN354" i="39"/>
  <c r="AN355" i="39"/>
  <c r="AN356" i="39"/>
  <c r="AN357" i="39"/>
  <c r="AN358" i="39"/>
  <c r="AN359" i="39"/>
  <c r="AN360" i="39"/>
  <c r="AN361" i="39"/>
  <c r="AN362" i="39"/>
  <c r="AN363" i="39"/>
  <c r="AN364" i="39"/>
  <c r="AN365" i="39"/>
  <c r="AN366" i="39"/>
  <c r="AN367" i="39"/>
  <c r="AN368" i="39"/>
  <c r="AN369" i="39"/>
  <c r="AN370" i="39"/>
  <c r="AN371" i="39"/>
  <c r="AN372" i="39"/>
  <c r="AN373" i="39"/>
  <c r="AN374" i="39"/>
  <c r="AN375" i="39"/>
  <c r="AN376" i="39"/>
  <c r="AN377" i="39"/>
  <c r="AN378" i="39"/>
  <c r="AN379" i="39"/>
  <c r="AN380" i="39"/>
  <c r="AN381" i="39"/>
  <c r="AN382" i="39"/>
  <c r="AN383" i="39"/>
  <c r="AN384" i="39"/>
  <c r="AN385" i="39"/>
  <c r="AN386" i="39"/>
  <c r="AN387" i="39"/>
  <c r="AN388" i="39"/>
  <c r="AN389" i="39"/>
  <c r="AN390" i="39"/>
  <c r="AN391" i="39"/>
  <c r="AN392" i="39"/>
  <c r="AN393" i="39"/>
  <c r="AN394" i="39"/>
  <c r="AN395" i="39"/>
  <c r="AN396" i="39"/>
  <c r="AN397" i="39"/>
  <c r="AN398" i="39"/>
  <c r="AN399" i="39"/>
  <c r="AN400" i="39"/>
  <c r="AN401" i="39"/>
  <c r="AN402" i="39"/>
  <c r="AN403" i="39"/>
  <c r="AN404" i="39"/>
  <c r="AN405" i="39"/>
  <c r="AN406" i="39"/>
  <c r="AN407" i="39"/>
  <c r="AN408" i="39"/>
  <c r="AN409" i="39"/>
  <c r="AN410" i="39"/>
  <c r="AN411" i="39"/>
  <c r="AN412" i="39"/>
  <c r="AN413" i="39"/>
  <c r="AN414" i="39"/>
  <c r="AN415" i="39"/>
  <c r="AN416" i="39"/>
  <c r="AN417" i="39"/>
  <c r="AN418" i="39"/>
  <c r="AN419" i="39"/>
  <c r="AN420" i="39"/>
  <c r="AN421" i="39"/>
  <c r="AN422" i="39"/>
  <c r="AN423" i="39"/>
  <c r="AN424" i="39"/>
  <c r="AN425" i="39"/>
  <c r="AN426" i="39"/>
  <c r="AN427" i="39"/>
  <c r="AN428" i="39"/>
  <c r="AN429" i="39"/>
  <c r="AN430" i="39"/>
  <c r="AN431" i="39"/>
  <c r="AN432" i="39"/>
  <c r="AN433" i="39"/>
  <c r="AN434" i="39"/>
  <c r="AN435" i="39"/>
  <c r="AN436" i="39"/>
  <c r="AN437" i="39"/>
  <c r="AN438" i="39"/>
  <c r="AN439" i="39"/>
  <c r="AN440" i="39"/>
  <c r="AN441" i="39"/>
  <c r="AN442" i="39"/>
  <c r="AN443" i="39"/>
  <c r="AN444" i="39"/>
  <c r="AN445" i="39"/>
  <c r="AN446" i="39"/>
  <c r="AN447" i="39"/>
  <c r="AN448" i="39"/>
  <c r="AN449" i="39"/>
  <c r="AN450" i="39"/>
  <c r="AN451" i="39"/>
  <c r="AN452" i="39"/>
  <c r="AN453" i="39"/>
  <c r="AN454" i="39"/>
  <c r="AN455" i="39"/>
  <c r="AN456" i="39"/>
  <c r="AN457" i="39"/>
  <c r="AN458" i="39"/>
  <c r="AN459" i="39"/>
  <c r="AN460" i="39"/>
  <c r="AN461" i="39"/>
  <c r="AN462" i="39"/>
  <c r="AN463" i="39"/>
  <c r="AN464" i="39"/>
  <c r="AN465" i="39"/>
  <c r="AN466" i="39"/>
  <c r="AN467" i="39"/>
  <c r="AN468" i="39"/>
  <c r="AN469" i="39"/>
  <c r="AN470" i="39"/>
  <c r="AN471" i="39"/>
  <c r="AN472" i="39"/>
  <c r="AN473" i="39"/>
  <c r="AN474" i="39"/>
  <c r="AN475" i="39"/>
  <c r="AN476" i="39"/>
  <c r="AN477" i="39"/>
  <c r="AN478" i="39"/>
  <c r="AN479" i="39"/>
  <c r="AN480" i="39"/>
  <c r="AN481" i="39"/>
  <c r="AN482" i="39"/>
  <c r="AN483" i="39"/>
  <c r="AN484" i="39"/>
  <c r="AN485" i="39"/>
  <c r="AN486" i="39"/>
  <c r="AN487" i="39"/>
  <c r="AN488" i="39"/>
  <c r="AN489" i="39"/>
  <c r="AN490" i="39"/>
  <c r="AN491" i="39"/>
  <c r="AN492" i="39"/>
  <c r="AN493" i="39"/>
  <c r="AN494" i="39"/>
  <c r="AN495" i="39"/>
  <c r="AN496" i="39"/>
  <c r="AN497" i="39"/>
  <c r="AN498" i="39"/>
  <c r="AN499" i="39"/>
  <c r="AN500" i="39"/>
  <c r="AN501" i="39"/>
  <c r="AN502" i="39"/>
  <c r="AN503" i="39"/>
  <c r="AN504" i="39"/>
  <c r="AN505" i="39"/>
  <c r="AN506" i="39"/>
  <c r="AN507" i="39"/>
  <c r="AN508" i="39"/>
  <c r="AN509" i="39"/>
  <c r="AN510" i="39"/>
  <c r="AN511" i="39"/>
  <c r="AN512" i="39"/>
  <c r="AN513" i="39"/>
  <c r="AN514" i="39"/>
  <c r="AM268" i="39"/>
  <c r="AM273" i="39"/>
  <c r="AM274" i="39"/>
  <c r="AM275" i="39"/>
  <c r="AM276" i="39"/>
  <c r="AM277" i="39"/>
  <c r="AM278" i="39"/>
  <c r="AM279" i="39"/>
  <c r="AM280" i="39"/>
  <c r="AM281" i="39"/>
  <c r="AM282" i="39"/>
  <c r="AM283" i="39"/>
  <c r="AM284" i="39"/>
  <c r="AM285" i="39"/>
  <c r="AM286" i="39"/>
  <c r="AM287" i="39"/>
  <c r="AM288" i="39"/>
  <c r="AM289" i="39"/>
  <c r="AM290" i="39"/>
  <c r="AM291" i="39"/>
  <c r="AM292" i="39"/>
  <c r="AM293" i="39"/>
  <c r="AM294" i="39"/>
  <c r="AM295" i="39"/>
  <c r="AM296" i="39"/>
  <c r="AM297" i="39"/>
  <c r="AM298" i="39"/>
  <c r="AM299" i="39"/>
  <c r="AM300" i="39"/>
  <c r="AM301" i="39"/>
  <c r="AM302" i="39"/>
  <c r="AM303" i="39"/>
  <c r="AM304" i="39"/>
  <c r="AM305" i="39"/>
  <c r="AM306" i="39"/>
  <c r="AM307" i="39"/>
  <c r="AM308" i="39"/>
  <c r="AM309" i="39"/>
  <c r="AM310" i="39"/>
  <c r="AM311" i="39"/>
  <c r="AM312" i="39"/>
  <c r="AM313" i="39"/>
  <c r="AM314" i="39"/>
  <c r="AM315" i="39"/>
  <c r="AM316" i="39"/>
  <c r="AM317" i="39"/>
  <c r="AM318" i="39"/>
  <c r="AM319" i="39"/>
  <c r="AM320" i="39"/>
  <c r="AM321" i="39"/>
  <c r="AM322" i="39"/>
  <c r="AM323" i="39"/>
  <c r="AM324" i="39"/>
  <c r="AM325" i="39"/>
  <c r="AM326" i="39"/>
  <c r="AM327" i="39"/>
  <c r="AM328" i="39"/>
  <c r="AM329" i="39"/>
  <c r="AM330" i="39"/>
  <c r="AM331" i="39"/>
  <c r="AM332" i="39"/>
  <c r="AM333" i="39"/>
  <c r="AM334" i="39"/>
  <c r="AM335" i="39"/>
  <c r="AM336" i="39"/>
  <c r="AM337" i="39"/>
  <c r="AM338" i="39"/>
  <c r="AM339" i="39"/>
  <c r="AM340" i="39"/>
  <c r="AM341" i="39"/>
  <c r="AM342" i="39"/>
  <c r="AM343" i="39"/>
  <c r="AM344" i="39"/>
  <c r="AM345" i="39"/>
  <c r="AM346" i="39"/>
  <c r="AM347" i="39"/>
  <c r="AM348" i="39"/>
  <c r="AM349" i="39"/>
  <c r="AM350" i="39"/>
  <c r="AM351" i="39"/>
  <c r="AM352" i="39"/>
  <c r="AM353" i="39"/>
  <c r="AM354" i="39"/>
  <c r="AM355" i="39"/>
  <c r="AM356" i="39"/>
  <c r="AM357" i="39"/>
  <c r="AM358" i="39"/>
  <c r="AM359" i="39"/>
  <c r="AM360" i="39"/>
  <c r="AM361" i="39"/>
  <c r="AM362" i="39"/>
  <c r="AM363" i="39"/>
  <c r="AM364" i="39"/>
  <c r="AM365" i="39"/>
  <c r="AM366" i="39"/>
  <c r="AM367" i="39"/>
  <c r="AM368" i="39"/>
  <c r="AM369" i="39"/>
  <c r="AM370" i="39"/>
  <c r="AM371" i="39"/>
  <c r="AM372" i="39"/>
  <c r="AM373" i="39"/>
  <c r="AM374" i="39"/>
  <c r="AM375" i="39"/>
  <c r="AM376" i="39"/>
  <c r="AM377" i="39"/>
  <c r="AM378" i="39"/>
  <c r="AM379" i="39"/>
  <c r="AM380" i="39"/>
  <c r="AM381" i="39"/>
  <c r="AM382" i="39"/>
  <c r="AM383" i="39"/>
  <c r="AM384" i="39"/>
  <c r="AM385" i="39"/>
  <c r="AM386" i="39"/>
  <c r="AM387" i="39"/>
  <c r="AM388" i="39"/>
  <c r="AM389" i="39"/>
  <c r="AM390" i="39"/>
  <c r="AM391" i="39"/>
  <c r="AM392" i="39"/>
  <c r="AM393" i="39"/>
  <c r="AM394" i="39"/>
  <c r="AM395" i="39"/>
  <c r="AM396" i="39"/>
  <c r="AM397" i="39"/>
  <c r="AM398" i="39"/>
  <c r="AM399" i="39"/>
  <c r="AM400" i="39"/>
  <c r="AM401" i="39"/>
  <c r="AM402" i="39"/>
  <c r="AM403" i="39"/>
  <c r="AM404" i="39"/>
  <c r="AM405" i="39"/>
  <c r="AM406" i="39"/>
  <c r="AM407" i="39"/>
  <c r="AM408" i="39"/>
  <c r="AM409" i="39"/>
  <c r="AM410" i="39"/>
  <c r="AM411" i="39"/>
  <c r="AM412" i="39"/>
  <c r="AM413" i="39"/>
  <c r="AM414" i="39"/>
  <c r="AM415" i="39"/>
  <c r="AM416" i="39"/>
  <c r="AM417" i="39"/>
  <c r="AM418" i="39"/>
  <c r="AM419" i="39"/>
  <c r="AM420" i="39"/>
  <c r="AM421" i="39"/>
  <c r="AM422" i="39"/>
  <c r="AM423" i="39"/>
  <c r="AM424" i="39"/>
  <c r="AM425" i="39"/>
  <c r="AM426" i="39"/>
  <c r="AM427" i="39"/>
  <c r="AM428" i="39"/>
  <c r="AM429" i="39"/>
  <c r="AM430" i="39"/>
  <c r="AM431" i="39"/>
  <c r="AM432" i="39"/>
  <c r="AM433" i="39"/>
  <c r="AM434" i="39"/>
  <c r="AM435" i="39"/>
  <c r="AM436" i="39"/>
  <c r="AM437" i="39"/>
  <c r="AM438" i="39"/>
  <c r="AM439" i="39"/>
  <c r="AM440" i="39"/>
  <c r="AM441" i="39"/>
  <c r="AM442" i="39"/>
  <c r="AM443" i="39"/>
  <c r="AM444" i="39"/>
  <c r="AM445" i="39"/>
  <c r="AM446" i="39"/>
  <c r="AM447" i="39"/>
  <c r="AM448" i="39"/>
  <c r="AM449" i="39"/>
  <c r="AM450" i="39"/>
  <c r="AM451" i="39"/>
  <c r="AM452" i="39"/>
  <c r="AM453" i="39"/>
  <c r="AM454" i="39"/>
  <c r="AM455" i="39"/>
  <c r="AM456" i="39"/>
  <c r="AM457" i="39"/>
  <c r="AM458" i="39"/>
  <c r="AM459" i="39"/>
  <c r="AM460" i="39"/>
  <c r="AM461" i="39"/>
  <c r="AM462" i="39"/>
  <c r="AM463" i="39"/>
  <c r="AM464" i="39"/>
  <c r="AM465" i="39"/>
  <c r="AM466" i="39"/>
  <c r="AM467" i="39"/>
  <c r="AM468" i="39"/>
  <c r="AM469" i="39"/>
  <c r="AM470" i="39"/>
  <c r="AM471" i="39"/>
  <c r="AM472" i="39"/>
  <c r="AM473" i="39"/>
  <c r="AM474" i="39"/>
  <c r="AM475" i="39"/>
  <c r="AM476" i="39"/>
  <c r="AM477" i="39"/>
  <c r="AM478" i="39"/>
  <c r="AM479" i="39"/>
  <c r="AM480" i="39"/>
  <c r="AM481" i="39"/>
  <c r="AM482" i="39"/>
  <c r="AM483" i="39"/>
  <c r="AM484" i="39"/>
  <c r="AM485" i="39"/>
  <c r="AM486" i="39"/>
  <c r="AM487" i="39"/>
  <c r="AM488" i="39"/>
  <c r="AM489" i="39"/>
  <c r="AM490" i="39"/>
  <c r="AM491" i="39"/>
  <c r="AM492" i="39"/>
  <c r="AM493" i="39"/>
  <c r="AM494" i="39"/>
  <c r="AM495" i="39"/>
  <c r="AM496" i="39"/>
  <c r="AM497" i="39"/>
  <c r="AM498" i="39"/>
  <c r="AM499" i="39"/>
  <c r="AM500" i="39"/>
  <c r="AM501" i="39"/>
  <c r="AM502" i="39"/>
  <c r="AM503" i="39"/>
  <c r="AM504" i="39"/>
  <c r="AM505" i="39"/>
  <c r="AM506" i="39"/>
  <c r="AM507" i="39"/>
  <c r="AM508" i="39"/>
  <c r="AM509" i="39"/>
  <c r="AM510" i="39"/>
  <c r="AM511" i="39"/>
  <c r="AM512" i="39"/>
  <c r="AM513" i="39"/>
  <c r="AM514" i="39"/>
  <c r="AK268" i="39"/>
  <c r="AK273" i="39"/>
  <c r="AK274" i="39"/>
  <c r="AK275" i="39"/>
  <c r="AK276" i="39"/>
  <c r="AK277" i="39"/>
  <c r="AK278" i="39"/>
  <c r="AK279" i="39"/>
  <c r="AK280" i="39"/>
  <c r="AK281" i="39"/>
  <c r="AK282" i="39"/>
  <c r="AK283" i="39"/>
  <c r="AK284" i="39"/>
  <c r="AK285" i="39"/>
  <c r="AK286" i="39"/>
  <c r="AK287" i="39"/>
  <c r="AK288" i="39"/>
  <c r="AK289" i="39"/>
  <c r="AK290" i="39"/>
  <c r="AK291" i="39"/>
  <c r="AK292" i="39"/>
  <c r="AK293" i="39"/>
  <c r="AK294" i="39"/>
  <c r="AK295" i="39"/>
  <c r="AK296" i="39"/>
  <c r="AK297" i="39"/>
  <c r="AK298" i="39"/>
  <c r="AK299" i="39"/>
  <c r="AK300" i="39"/>
  <c r="AK301" i="39"/>
  <c r="AK302" i="39"/>
  <c r="AK303" i="39"/>
  <c r="AK304" i="39"/>
  <c r="AK305" i="39"/>
  <c r="AK306" i="39"/>
  <c r="AK307" i="39"/>
  <c r="AK308" i="39"/>
  <c r="AK309" i="39"/>
  <c r="AK310" i="39"/>
  <c r="AK311" i="39"/>
  <c r="AK312" i="39"/>
  <c r="AK313" i="39"/>
  <c r="AK314" i="39"/>
  <c r="AK315" i="39"/>
  <c r="AK316" i="39"/>
  <c r="AK317" i="39"/>
  <c r="AK318" i="39"/>
  <c r="AK319" i="39"/>
  <c r="AK320" i="39"/>
  <c r="AK321" i="39"/>
  <c r="AK322" i="39"/>
  <c r="AK323" i="39"/>
  <c r="AK324" i="39"/>
  <c r="AK325" i="39"/>
  <c r="AK326" i="39"/>
  <c r="AK327" i="39"/>
  <c r="AK328" i="39"/>
  <c r="AK329" i="39"/>
  <c r="AK330" i="39"/>
  <c r="AK331" i="39"/>
  <c r="AK332" i="39"/>
  <c r="AK333" i="39"/>
  <c r="AK334" i="39"/>
  <c r="AK335" i="39"/>
  <c r="AK336" i="39"/>
  <c r="AK337" i="39"/>
  <c r="AK338" i="39"/>
  <c r="AK339" i="39"/>
  <c r="AK340" i="39"/>
  <c r="AK341" i="39"/>
  <c r="AK342" i="39"/>
  <c r="AK343" i="39"/>
  <c r="AK344" i="39"/>
  <c r="AK345" i="39"/>
  <c r="AK346" i="39"/>
  <c r="AK347" i="39"/>
  <c r="AK348" i="39"/>
  <c r="AK349" i="39"/>
  <c r="AK350" i="39"/>
  <c r="AK351" i="39"/>
  <c r="AK352" i="39"/>
  <c r="AK353" i="39"/>
  <c r="AK354" i="39"/>
  <c r="AK355" i="39"/>
  <c r="AK356" i="39"/>
  <c r="AK357" i="39"/>
  <c r="AK358" i="39"/>
  <c r="AK359" i="39"/>
  <c r="AK360" i="39"/>
  <c r="AK361" i="39"/>
  <c r="AK362" i="39"/>
  <c r="AK363" i="39"/>
  <c r="AK364" i="39"/>
  <c r="AK365" i="39"/>
  <c r="AK366" i="39"/>
  <c r="AK367" i="39"/>
  <c r="AK368" i="39"/>
  <c r="AK369" i="39"/>
  <c r="AK370" i="39"/>
  <c r="AK371" i="39"/>
  <c r="AK372" i="39"/>
  <c r="AK373" i="39"/>
  <c r="AK374" i="39"/>
  <c r="AK375" i="39"/>
  <c r="AK376" i="39"/>
  <c r="AK377" i="39"/>
  <c r="AK378" i="39"/>
  <c r="AK379" i="39"/>
  <c r="AK380" i="39"/>
  <c r="AK381" i="39"/>
  <c r="AK382" i="39"/>
  <c r="AK383" i="39"/>
  <c r="AK384" i="39"/>
  <c r="AK385" i="39"/>
  <c r="AK386" i="39"/>
  <c r="AK387" i="39"/>
  <c r="AK388" i="39"/>
  <c r="AK389" i="39"/>
  <c r="AK390" i="39"/>
  <c r="AK391" i="39"/>
  <c r="AK392" i="39"/>
  <c r="AK393" i="39"/>
  <c r="AK394" i="39"/>
  <c r="AK395" i="39"/>
  <c r="AK396" i="39"/>
  <c r="AK397" i="39"/>
  <c r="AK398" i="39"/>
  <c r="AK399" i="39"/>
  <c r="AK400" i="39"/>
  <c r="AK401" i="39"/>
  <c r="AK402" i="39"/>
  <c r="AK403" i="39"/>
  <c r="AK404" i="39"/>
  <c r="AK405" i="39"/>
  <c r="AK406" i="39"/>
  <c r="AK407" i="39"/>
  <c r="AK408" i="39"/>
  <c r="AK409" i="39"/>
  <c r="AK410" i="39"/>
  <c r="AK411" i="39"/>
  <c r="AK412" i="39"/>
  <c r="AK413" i="39"/>
  <c r="AK414" i="39"/>
  <c r="AK415" i="39"/>
  <c r="AK416" i="39"/>
  <c r="AK417" i="39"/>
  <c r="AK418" i="39"/>
  <c r="AK419" i="39"/>
  <c r="AK420" i="39"/>
  <c r="AK421" i="39"/>
  <c r="AK422" i="39"/>
  <c r="AK423" i="39"/>
  <c r="AK424" i="39"/>
  <c r="AK425" i="39"/>
  <c r="AK426" i="39"/>
  <c r="AK427" i="39"/>
  <c r="AK428" i="39"/>
  <c r="AK429" i="39"/>
  <c r="AK430" i="39"/>
  <c r="AK431" i="39"/>
  <c r="AK432" i="39"/>
  <c r="AK433" i="39"/>
  <c r="AK434" i="39"/>
  <c r="AK435" i="39"/>
  <c r="AK436" i="39"/>
  <c r="AK437" i="39"/>
  <c r="AK438" i="39"/>
  <c r="AK439" i="39"/>
  <c r="AK440" i="39"/>
  <c r="AK441" i="39"/>
  <c r="AK442" i="39"/>
  <c r="AK443" i="39"/>
  <c r="AK444" i="39"/>
  <c r="AK445" i="39"/>
  <c r="AK446" i="39"/>
  <c r="AK447" i="39"/>
  <c r="AK448" i="39"/>
  <c r="AK449" i="39"/>
  <c r="AK450" i="39"/>
  <c r="AK451" i="39"/>
  <c r="AK452" i="39"/>
  <c r="AK453" i="39"/>
  <c r="AK454" i="39"/>
  <c r="AK455" i="39"/>
  <c r="AK456" i="39"/>
  <c r="AK457" i="39"/>
  <c r="AK458" i="39"/>
  <c r="AK459" i="39"/>
  <c r="AK460" i="39"/>
  <c r="AK461" i="39"/>
  <c r="AK462" i="39"/>
  <c r="AK463" i="39"/>
  <c r="AK464" i="39"/>
  <c r="AK465" i="39"/>
  <c r="AK466" i="39"/>
  <c r="AK467" i="39"/>
  <c r="AK468" i="39"/>
  <c r="AK469" i="39"/>
  <c r="AK470" i="39"/>
  <c r="AK471" i="39"/>
  <c r="AK472" i="39"/>
  <c r="AK473" i="39"/>
  <c r="AK474" i="39"/>
  <c r="AK475" i="39"/>
  <c r="AK476" i="39"/>
  <c r="AK477" i="39"/>
  <c r="AK478" i="39"/>
  <c r="AK479" i="39"/>
  <c r="AK480" i="39"/>
  <c r="AK481" i="39"/>
  <c r="AK482" i="39"/>
  <c r="AK483" i="39"/>
  <c r="AK484" i="39"/>
  <c r="AK485" i="39"/>
  <c r="AK486" i="39"/>
  <c r="AK487" i="39"/>
  <c r="AK488" i="39"/>
  <c r="AK489" i="39"/>
  <c r="AK490" i="39"/>
  <c r="AK491" i="39"/>
  <c r="AK492" i="39"/>
  <c r="AK493" i="39"/>
  <c r="AK494" i="39"/>
  <c r="AK495" i="39"/>
  <c r="AK496" i="39"/>
  <c r="AK497" i="39"/>
  <c r="AK498" i="39"/>
  <c r="AK499" i="39"/>
  <c r="AK500" i="39"/>
  <c r="AK501" i="39"/>
  <c r="AK502" i="39"/>
  <c r="AK503" i="39"/>
  <c r="AK504" i="39"/>
  <c r="AK505" i="39"/>
  <c r="AK506" i="39"/>
  <c r="AK507" i="39"/>
  <c r="AK508" i="39"/>
  <c r="AK509" i="39"/>
  <c r="AK510" i="39"/>
  <c r="AK511" i="39"/>
  <c r="AK512" i="39"/>
  <c r="AK513" i="39"/>
  <c r="AK514" i="39"/>
  <c r="AJ268" i="39"/>
  <c r="AJ273" i="39"/>
  <c r="AJ274" i="39"/>
  <c r="AJ275" i="39"/>
  <c r="AJ276" i="39"/>
  <c r="AJ277" i="39"/>
  <c r="AJ278" i="39"/>
  <c r="AJ279" i="39"/>
  <c r="AJ280" i="39"/>
  <c r="AJ281" i="39"/>
  <c r="AJ282" i="39"/>
  <c r="AJ283" i="39"/>
  <c r="AJ284" i="39"/>
  <c r="AJ285" i="39"/>
  <c r="AJ286" i="39"/>
  <c r="AJ287" i="39"/>
  <c r="AJ288" i="39"/>
  <c r="AJ289" i="39"/>
  <c r="AJ290" i="39"/>
  <c r="AJ291" i="39"/>
  <c r="AJ292" i="39"/>
  <c r="AJ293" i="39"/>
  <c r="AJ294" i="39"/>
  <c r="AJ295" i="39"/>
  <c r="AJ296" i="39"/>
  <c r="AJ297" i="39"/>
  <c r="AJ298" i="39"/>
  <c r="AJ299" i="39"/>
  <c r="AJ300" i="39"/>
  <c r="AJ301" i="39"/>
  <c r="AJ302" i="39"/>
  <c r="AJ303" i="39"/>
  <c r="AJ304" i="39"/>
  <c r="AJ305" i="39"/>
  <c r="AJ306" i="39"/>
  <c r="AJ307" i="39"/>
  <c r="AJ308" i="39"/>
  <c r="AJ309" i="39"/>
  <c r="AJ310" i="39"/>
  <c r="AJ311" i="39"/>
  <c r="AJ312" i="39"/>
  <c r="AJ313" i="39"/>
  <c r="AJ314" i="39"/>
  <c r="AJ315" i="39"/>
  <c r="AJ316" i="39"/>
  <c r="AJ317" i="39"/>
  <c r="AJ318" i="39"/>
  <c r="AJ319" i="39"/>
  <c r="AJ320" i="39"/>
  <c r="AJ321" i="39"/>
  <c r="AJ322" i="39"/>
  <c r="AJ323" i="39"/>
  <c r="AJ324" i="39"/>
  <c r="AJ325" i="39"/>
  <c r="AJ326" i="39"/>
  <c r="AJ327" i="39"/>
  <c r="AJ328" i="39"/>
  <c r="AJ329" i="39"/>
  <c r="AJ330" i="39"/>
  <c r="AJ331" i="39"/>
  <c r="AJ332" i="39"/>
  <c r="AJ333" i="39"/>
  <c r="AJ334" i="39"/>
  <c r="AJ335" i="39"/>
  <c r="AJ336" i="39"/>
  <c r="AJ337" i="39"/>
  <c r="AJ338" i="39"/>
  <c r="AJ339" i="39"/>
  <c r="AJ340" i="39"/>
  <c r="AJ341" i="39"/>
  <c r="AJ342" i="39"/>
  <c r="AJ343" i="39"/>
  <c r="AJ344" i="39"/>
  <c r="AJ345" i="39"/>
  <c r="AJ346" i="39"/>
  <c r="AJ347" i="39"/>
  <c r="AJ348" i="39"/>
  <c r="AJ349" i="39"/>
  <c r="AJ350" i="39"/>
  <c r="AJ351" i="39"/>
  <c r="AJ352" i="39"/>
  <c r="AJ353" i="39"/>
  <c r="AJ354" i="39"/>
  <c r="AJ355" i="39"/>
  <c r="AJ356" i="39"/>
  <c r="AJ357" i="39"/>
  <c r="AJ358" i="39"/>
  <c r="AJ359" i="39"/>
  <c r="AJ360" i="39"/>
  <c r="AJ361" i="39"/>
  <c r="AJ362" i="39"/>
  <c r="AJ363" i="39"/>
  <c r="AJ364" i="39"/>
  <c r="AJ365" i="39"/>
  <c r="AJ366" i="39"/>
  <c r="AJ367" i="39"/>
  <c r="AJ368" i="39"/>
  <c r="AJ369" i="39"/>
  <c r="AJ370" i="39"/>
  <c r="AJ371" i="39"/>
  <c r="AJ372" i="39"/>
  <c r="AJ373" i="39"/>
  <c r="AJ374" i="39"/>
  <c r="AJ375" i="39"/>
  <c r="AJ376" i="39"/>
  <c r="AJ377" i="39"/>
  <c r="AJ378" i="39"/>
  <c r="AJ379" i="39"/>
  <c r="AJ380" i="39"/>
  <c r="AJ381" i="39"/>
  <c r="AJ382" i="39"/>
  <c r="AJ383" i="39"/>
  <c r="AJ384" i="39"/>
  <c r="AJ385" i="39"/>
  <c r="AJ386" i="39"/>
  <c r="AJ387" i="39"/>
  <c r="AJ388" i="39"/>
  <c r="AJ389" i="39"/>
  <c r="AJ390" i="39"/>
  <c r="AJ391" i="39"/>
  <c r="AJ392" i="39"/>
  <c r="AJ393" i="39"/>
  <c r="AJ394" i="39"/>
  <c r="AJ395" i="39"/>
  <c r="AJ396" i="39"/>
  <c r="AJ397" i="39"/>
  <c r="AJ398" i="39"/>
  <c r="AJ399" i="39"/>
  <c r="AJ400" i="39"/>
  <c r="AJ401" i="39"/>
  <c r="AJ402" i="39"/>
  <c r="AJ403" i="39"/>
  <c r="AJ404" i="39"/>
  <c r="AJ405" i="39"/>
  <c r="AJ406" i="39"/>
  <c r="AJ407" i="39"/>
  <c r="AJ408" i="39"/>
  <c r="AJ409" i="39"/>
  <c r="AJ410" i="39"/>
  <c r="AJ411" i="39"/>
  <c r="AJ412" i="39"/>
  <c r="AJ413" i="39"/>
  <c r="AJ414" i="39"/>
  <c r="AJ415" i="39"/>
  <c r="AJ416" i="39"/>
  <c r="AJ417" i="39"/>
  <c r="AJ418" i="39"/>
  <c r="AJ419" i="39"/>
  <c r="AJ420" i="39"/>
  <c r="AJ421" i="39"/>
  <c r="AJ422" i="39"/>
  <c r="AJ423" i="39"/>
  <c r="AJ424" i="39"/>
  <c r="AJ425" i="39"/>
  <c r="AJ426" i="39"/>
  <c r="AJ427" i="39"/>
  <c r="AJ428" i="39"/>
  <c r="AJ429" i="39"/>
  <c r="AJ430" i="39"/>
  <c r="AJ431" i="39"/>
  <c r="AJ432" i="39"/>
  <c r="AJ433" i="39"/>
  <c r="AJ434" i="39"/>
  <c r="AJ435" i="39"/>
  <c r="AJ436" i="39"/>
  <c r="AJ437" i="39"/>
  <c r="AJ438" i="39"/>
  <c r="AJ439" i="39"/>
  <c r="AJ440" i="39"/>
  <c r="AJ441" i="39"/>
  <c r="AJ442" i="39"/>
  <c r="AJ443" i="39"/>
  <c r="AJ444" i="39"/>
  <c r="AJ445" i="39"/>
  <c r="AJ446" i="39"/>
  <c r="AJ447" i="39"/>
  <c r="AJ448" i="39"/>
  <c r="AJ449" i="39"/>
  <c r="AJ450" i="39"/>
  <c r="AJ451" i="39"/>
  <c r="AJ452" i="39"/>
  <c r="AJ453" i="39"/>
  <c r="AJ454" i="39"/>
  <c r="AJ455" i="39"/>
  <c r="AJ456" i="39"/>
  <c r="AJ457" i="39"/>
  <c r="AJ458" i="39"/>
  <c r="AJ459" i="39"/>
  <c r="AJ460" i="39"/>
  <c r="AJ461" i="39"/>
  <c r="AJ462" i="39"/>
  <c r="AJ463" i="39"/>
  <c r="AJ464" i="39"/>
  <c r="AJ465" i="39"/>
  <c r="AJ466" i="39"/>
  <c r="AJ467" i="39"/>
  <c r="AJ468" i="39"/>
  <c r="AJ469" i="39"/>
  <c r="AJ470" i="39"/>
  <c r="AJ471" i="39"/>
  <c r="AJ472" i="39"/>
  <c r="AJ473" i="39"/>
  <c r="AJ474" i="39"/>
  <c r="AJ475" i="39"/>
  <c r="AJ476" i="39"/>
  <c r="AJ477" i="39"/>
  <c r="AJ478" i="39"/>
  <c r="AJ479" i="39"/>
  <c r="AJ480" i="39"/>
  <c r="AJ481" i="39"/>
  <c r="AJ482" i="39"/>
  <c r="AJ483" i="39"/>
  <c r="AJ484" i="39"/>
  <c r="AJ485" i="39"/>
  <c r="AJ486" i="39"/>
  <c r="AJ487" i="39"/>
  <c r="AJ488" i="39"/>
  <c r="AJ489" i="39"/>
  <c r="AJ490" i="39"/>
  <c r="AJ491" i="39"/>
  <c r="AJ492" i="39"/>
  <c r="AJ493" i="39"/>
  <c r="AJ494" i="39"/>
  <c r="AJ495" i="39"/>
  <c r="AJ496" i="39"/>
  <c r="AJ497" i="39"/>
  <c r="AJ498" i="39"/>
  <c r="AJ499" i="39"/>
  <c r="AJ500" i="39"/>
  <c r="AJ501" i="39"/>
  <c r="AJ502" i="39"/>
  <c r="AJ503" i="39"/>
  <c r="AJ504" i="39"/>
  <c r="AJ505" i="39"/>
  <c r="AJ506" i="39"/>
  <c r="AJ507" i="39"/>
  <c r="AJ508" i="39"/>
  <c r="AJ509" i="39"/>
  <c r="AJ510" i="39"/>
  <c r="AJ511" i="39"/>
  <c r="AJ512" i="39"/>
  <c r="AJ513" i="39"/>
  <c r="AJ514" i="39"/>
  <c r="AI268" i="39"/>
  <c r="AI273" i="39"/>
  <c r="AI274" i="39"/>
  <c r="AI275" i="39"/>
  <c r="AI276" i="39"/>
  <c r="AI277" i="39"/>
  <c r="AI278" i="39"/>
  <c r="AI279" i="39"/>
  <c r="AI280" i="39"/>
  <c r="AI281" i="39"/>
  <c r="AI282" i="39"/>
  <c r="AI283" i="39"/>
  <c r="AI284" i="39"/>
  <c r="AI285" i="39"/>
  <c r="AI286" i="39"/>
  <c r="AI287" i="39"/>
  <c r="AI288" i="39"/>
  <c r="AI289" i="39"/>
  <c r="AI290" i="39"/>
  <c r="AI291" i="39"/>
  <c r="AI292" i="39"/>
  <c r="AI293" i="39"/>
  <c r="AI294" i="39"/>
  <c r="AI295" i="39"/>
  <c r="AI296" i="39"/>
  <c r="AI297" i="39"/>
  <c r="AI298" i="39"/>
  <c r="AI299" i="39"/>
  <c r="AI300" i="39"/>
  <c r="AI301" i="39"/>
  <c r="AI302" i="39"/>
  <c r="AI303" i="39"/>
  <c r="AI304" i="39"/>
  <c r="AI305" i="39"/>
  <c r="AI306" i="39"/>
  <c r="AI307" i="39"/>
  <c r="AI308" i="39"/>
  <c r="AI309" i="39"/>
  <c r="AI310" i="39"/>
  <c r="AI311" i="39"/>
  <c r="AI312" i="39"/>
  <c r="AI313" i="39"/>
  <c r="AI314" i="39"/>
  <c r="AI315" i="39"/>
  <c r="AI316" i="39"/>
  <c r="AI317" i="39"/>
  <c r="AI318" i="39"/>
  <c r="AI319" i="39"/>
  <c r="AI320" i="39"/>
  <c r="AI321" i="39"/>
  <c r="AI322" i="39"/>
  <c r="AI323" i="39"/>
  <c r="AI324" i="39"/>
  <c r="AI325" i="39"/>
  <c r="AI326" i="39"/>
  <c r="AI327" i="39"/>
  <c r="AI328" i="39"/>
  <c r="AI329" i="39"/>
  <c r="AI330" i="39"/>
  <c r="AI331" i="39"/>
  <c r="AI332" i="39"/>
  <c r="AI333" i="39"/>
  <c r="AI334" i="39"/>
  <c r="AI335" i="39"/>
  <c r="AI336" i="39"/>
  <c r="AI337" i="39"/>
  <c r="AI338" i="39"/>
  <c r="AI339" i="39"/>
  <c r="AI340" i="39"/>
  <c r="AI341" i="39"/>
  <c r="AI342" i="39"/>
  <c r="AI343" i="39"/>
  <c r="AI344" i="39"/>
  <c r="AI345" i="39"/>
  <c r="AI346" i="39"/>
  <c r="AI347" i="39"/>
  <c r="AI348" i="39"/>
  <c r="AI349" i="39"/>
  <c r="AI350" i="39"/>
  <c r="AI351" i="39"/>
  <c r="AI352" i="39"/>
  <c r="AI353" i="39"/>
  <c r="AI354" i="39"/>
  <c r="AI355" i="39"/>
  <c r="AI356" i="39"/>
  <c r="AI357" i="39"/>
  <c r="AI358" i="39"/>
  <c r="AI359" i="39"/>
  <c r="AI360" i="39"/>
  <c r="AI361" i="39"/>
  <c r="AI362" i="39"/>
  <c r="AI363" i="39"/>
  <c r="AI364" i="39"/>
  <c r="AI365" i="39"/>
  <c r="AI366" i="39"/>
  <c r="AI367" i="39"/>
  <c r="AI368" i="39"/>
  <c r="AI369" i="39"/>
  <c r="AI370" i="39"/>
  <c r="AI371" i="39"/>
  <c r="AI372" i="39"/>
  <c r="AI373" i="39"/>
  <c r="AI374" i="39"/>
  <c r="AI375" i="39"/>
  <c r="AI376" i="39"/>
  <c r="AI377" i="39"/>
  <c r="AI378" i="39"/>
  <c r="AI379" i="39"/>
  <c r="AI380" i="39"/>
  <c r="AI381" i="39"/>
  <c r="AI382" i="39"/>
  <c r="AI383" i="39"/>
  <c r="AI384" i="39"/>
  <c r="AI385" i="39"/>
  <c r="AI386" i="39"/>
  <c r="AI387" i="39"/>
  <c r="AI388" i="39"/>
  <c r="AI389" i="39"/>
  <c r="AI390" i="39"/>
  <c r="AI391" i="39"/>
  <c r="AI392" i="39"/>
  <c r="AI393" i="39"/>
  <c r="AI394" i="39"/>
  <c r="AI395" i="39"/>
  <c r="AI396" i="39"/>
  <c r="AI397" i="39"/>
  <c r="AI398" i="39"/>
  <c r="AI399" i="39"/>
  <c r="AI400" i="39"/>
  <c r="AI401" i="39"/>
  <c r="AI402" i="39"/>
  <c r="AI403" i="39"/>
  <c r="AI404" i="39"/>
  <c r="AI405" i="39"/>
  <c r="AI406" i="39"/>
  <c r="AI407" i="39"/>
  <c r="AI408" i="39"/>
  <c r="AI409" i="39"/>
  <c r="AI410" i="39"/>
  <c r="AI411" i="39"/>
  <c r="AI412" i="39"/>
  <c r="AI413" i="39"/>
  <c r="AI414" i="39"/>
  <c r="AI415" i="39"/>
  <c r="AI416" i="39"/>
  <c r="AI417" i="39"/>
  <c r="AI418" i="39"/>
  <c r="AI419" i="39"/>
  <c r="AI420" i="39"/>
  <c r="AI421" i="39"/>
  <c r="AI422" i="39"/>
  <c r="AI423" i="39"/>
  <c r="AI424" i="39"/>
  <c r="AI425" i="39"/>
  <c r="AI426" i="39"/>
  <c r="AI427" i="39"/>
  <c r="AI428" i="39"/>
  <c r="AI429" i="39"/>
  <c r="AI430" i="39"/>
  <c r="AI431" i="39"/>
  <c r="AI432" i="39"/>
  <c r="AI433" i="39"/>
  <c r="AI434" i="39"/>
  <c r="AI435" i="39"/>
  <c r="AI436" i="39"/>
  <c r="AI437" i="39"/>
  <c r="AI438" i="39"/>
  <c r="AI439" i="39"/>
  <c r="AI440" i="39"/>
  <c r="AI441" i="39"/>
  <c r="AI442" i="39"/>
  <c r="AI443" i="39"/>
  <c r="AI444" i="39"/>
  <c r="AI445" i="39"/>
  <c r="AI446" i="39"/>
  <c r="AI447" i="39"/>
  <c r="AI448" i="39"/>
  <c r="AI449" i="39"/>
  <c r="AI450" i="39"/>
  <c r="AI451" i="39"/>
  <c r="AI452" i="39"/>
  <c r="AI453" i="39"/>
  <c r="AI454" i="39"/>
  <c r="AI455" i="39"/>
  <c r="AI456" i="39"/>
  <c r="AI457" i="39"/>
  <c r="AI458" i="39"/>
  <c r="AI459" i="39"/>
  <c r="AI460" i="39"/>
  <c r="AI461" i="39"/>
  <c r="AI462" i="39"/>
  <c r="AI463" i="39"/>
  <c r="AI464" i="39"/>
  <c r="AI465" i="39"/>
  <c r="AI466" i="39"/>
  <c r="AI467" i="39"/>
  <c r="AI468" i="39"/>
  <c r="AI469" i="39"/>
  <c r="AI470" i="39"/>
  <c r="AI471" i="39"/>
  <c r="AI472" i="39"/>
  <c r="AI473" i="39"/>
  <c r="AI474" i="39"/>
  <c r="AI475" i="39"/>
  <c r="AI476" i="39"/>
  <c r="AI477" i="39"/>
  <c r="AI478" i="39"/>
  <c r="AI479" i="39"/>
  <c r="AI480" i="39"/>
  <c r="AI481" i="39"/>
  <c r="AI482" i="39"/>
  <c r="AI483" i="39"/>
  <c r="AI484" i="39"/>
  <c r="AI485" i="39"/>
  <c r="AI486" i="39"/>
  <c r="AI487" i="39"/>
  <c r="AI488" i="39"/>
  <c r="AI489" i="39"/>
  <c r="AI490" i="39"/>
  <c r="AI491" i="39"/>
  <c r="AI492" i="39"/>
  <c r="AI493" i="39"/>
  <c r="AI494" i="39"/>
  <c r="AI495" i="39"/>
  <c r="AI496" i="39"/>
  <c r="AI497" i="39"/>
  <c r="AI498" i="39"/>
  <c r="AI499" i="39"/>
  <c r="AI500" i="39"/>
  <c r="AI501" i="39"/>
  <c r="AI502" i="39"/>
  <c r="AI503" i="39"/>
  <c r="AI504" i="39"/>
  <c r="AI505" i="39"/>
  <c r="AI506" i="39"/>
  <c r="AI507" i="39"/>
  <c r="AI508" i="39"/>
  <c r="AI509" i="39"/>
  <c r="AI510" i="39"/>
  <c r="AI511" i="39"/>
  <c r="AI512" i="39"/>
  <c r="AI513" i="39"/>
  <c r="AI514" i="39"/>
  <c r="AH268" i="39"/>
  <c r="AH273" i="39"/>
  <c r="AH274" i="39"/>
  <c r="AH275" i="39"/>
  <c r="AH276" i="39"/>
  <c r="AH277" i="39"/>
  <c r="AH278" i="39"/>
  <c r="AH279" i="39"/>
  <c r="AH280" i="39"/>
  <c r="AH281" i="39"/>
  <c r="AH282" i="39"/>
  <c r="AH283" i="39"/>
  <c r="AH284" i="39"/>
  <c r="AH285" i="39"/>
  <c r="AH286" i="39"/>
  <c r="AH287" i="39"/>
  <c r="AH288" i="39"/>
  <c r="AH289" i="39"/>
  <c r="AH290" i="39"/>
  <c r="AH291" i="39"/>
  <c r="AH292" i="39"/>
  <c r="AH293" i="39"/>
  <c r="AH294" i="39"/>
  <c r="AH295" i="39"/>
  <c r="AH296" i="39"/>
  <c r="AH297" i="39"/>
  <c r="AH298" i="39"/>
  <c r="AH299" i="39"/>
  <c r="AH300" i="39"/>
  <c r="AH301" i="39"/>
  <c r="AH302" i="39"/>
  <c r="AH303" i="39"/>
  <c r="AH304" i="39"/>
  <c r="AH305" i="39"/>
  <c r="AH306" i="39"/>
  <c r="AH307" i="39"/>
  <c r="AH308" i="39"/>
  <c r="AH309" i="39"/>
  <c r="AH310" i="39"/>
  <c r="AH311" i="39"/>
  <c r="AH312" i="39"/>
  <c r="AH313" i="39"/>
  <c r="AH314" i="39"/>
  <c r="AH315" i="39"/>
  <c r="AH316" i="39"/>
  <c r="AH317" i="39"/>
  <c r="AH318" i="39"/>
  <c r="AH319" i="39"/>
  <c r="AH320" i="39"/>
  <c r="AH321" i="39"/>
  <c r="AH322" i="39"/>
  <c r="AH323" i="39"/>
  <c r="AH324" i="39"/>
  <c r="AH325" i="39"/>
  <c r="AH326" i="39"/>
  <c r="AH327" i="39"/>
  <c r="AH328" i="39"/>
  <c r="AH329" i="39"/>
  <c r="AH330" i="39"/>
  <c r="AH331" i="39"/>
  <c r="AH332" i="39"/>
  <c r="AH333" i="39"/>
  <c r="AH334" i="39"/>
  <c r="AH335" i="39"/>
  <c r="AH336" i="39"/>
  <c r="AH337" i="39"/>
  <c r="AH338" i="39"/>
  <c r="AH339" i="39"/>
  <c r="AH340" i="39"/>
  <c r="AH341" i="39"/>
  <c r="AH342" i="39"/>
  <c r="AH343" i="39"/>
  <c r="AH344" i="39"/>
  <c r="AH345" i="39"/>
  <c r="AH346" i="39"/>
  <c r="AH347" i="39"/>
  <c r="AH348" i="39"/>
  <c r="AH349" i="39"/>
  <c r="AH350" i="39"/>
  <c r="AH351" i="39"/>
  <c r="AH352" i="39"/>
  <c r="AH353" i="39"/>
  <c r="AH354" i="39"/>
  <c r="AH355" i="39"/>
  <c r="AH356" i="39"/>
  <c r="AH357" i="39"/>
  <c r="AH358" i="39"/>
  <c r="AH359" i="39"/>
  <c r="AH360" i="39"/>
  <c r="AH361" i="39"/>
  <c r="AH362" i="39"/>
  <c r="AH363" i="39"/>
  <c r="AH364" i="39"/>
  <c r="AH365" i="39"/>
  <c r="AH366" i="39"/>
  <c r="AH367" i="39"/>
  <c r="AH368" i="39"/>
  <c r="AH369" i="39"/>
  <c r="AH370" i="39"/>
  <c r="AH371" i="39"/>
  <c r="AH372" i="39"/>
  <c r="AH373" i="39"/>
  <c r="AH374" i="39"/>
  <c r="AH375" i="39"/>
  <c r="AH376" i="39"/>
  <c r="AH377" i="39"/>
  <c r="AH378" i="39"/>
  <c r="AH379" i="39"/>
  <c r="AH380" i="39"/>
  <c r="AH381" i="39"/>
  <c r="AH382" i="39"/>
  <c r="AH383" i="39"/>
  <c r="AH384" i="39"/>
  <c r="AH385" i="39"/>
  <c r="AH386" i="39"/>
  <c r="AH387" i="39"/>
  <c r="AH388" i="39"/>
  <c r="AH389" i="39"/>
  <c r="AH390" i="39"/>
  <c r="AH391" i="39"/>
  <c r="AH392" i="39"/>
  <c r="AH393" i="39"/>
  <c r="AH394" i="39"/>
  <c r="AH395" i="39"/>
  <c r="AH396" i="39"/>
  <c r="AH397" i="39"/>
  <c r="AH398" i="39"/>
  <c r="AH399" i="39"/>
  <c r="AH400" i="39"/>
  <c r="AH401" i="39"/>
  <c r="AH402" i="39"/>
  <c r="AH403" i="39"/>
  <c r="AH404" i="39"/>
  <c r="AH405" i="39"/>
  <c r="AH406" i="39"/>
  <c r="AH407" i="39"/>
  <c r="AH408" i="39"/>
  <c r="AH409" i="39"/>
  <c r="AH410" i="39"/>
  <c r="AH411" i="39"/>
  <c r="AH412" i="39"/>
  <c r="AH413" i="39"/>
  <c r="AH414" i="39"/>
  <c r="AH415" i="39"/>
  <c r="AH416" i="39"/>
  <c r="AH417" i="39"/>
  <c r="AH418" i="39"/>
  <c r="AH419" i="39"/>
  <c r="AH420" i="39"/>
  <c r="AH421" i="39"/>
  <c r="AH422" i="39"/>
  <c r="AH423" i="39"/>
  <c r="AH424" i="39"/>
  <c r="AH425" i="39"/>
  <c r="AH426" i="39"/>
  <c r="AH427" i="39"/>
  <c r="AH428" i="39"/>
  <c r="AH429" i="39"/>
  <c r="AH430" i="39"/>
  <c r="AH431" i="39"/>
  <c r="AH432" i="39"/>
  <c r="AH433" i="39"/>
  <c r="AH434" i="39"/>
  <c r="AH435" i="39"/>
  <c r="AH436" i="39"/>
  <c r="AH437" i="39"/>
  <c r="AH438" i="39"/>
  <c r="AH439" i="39"/>
  <c r="AH440" i="39"/>
  <c r="AH441" i="39"/>
  <c r="AH442" i="39"/>
  <c r="AH443" i="39"/>
  <c r="AH444" i="39"/>
  <c r="AH445" i="39"/>
  <c r="AH446" i="39"/>
  <c r="AH447" i="39"/>
  <c r="AH448" i="39"/>
  <c r="AH449" i="39"/>
  <c r="AH450" i="39"/>
  <c r="AH451" i="39"/>
  <c r="AH452" i="39"/>
  <c r="AH453" i="39"/>
  <c r="AH454" i="39"/>
  <c r="AH455" i="39"/>
  <c r="AH456" i="39"/>
  <c r="AH457" i="39"/>
  <c r="AH458" i="39"/>
  <c r="AH459" i="39"/>
  <c r="AH460" i="39"/>
  <c r="AH461" i="39"/>
  <c r="AH462" i="39"/>
  <c r="AH463" i="39"/>
  <c r="AH464" i="39"/>
  <c r="AH465" i="39"/>
  <c r="AH466" i="39"/>
  <c r="AH467" i="39"/>
  <c r="AH468" i="39"/>
  <c r="AH469" i="39"/>
  <c r="AH470" i="39"/>
  <c r="AH471" i="39"/>
  <c r="AH472" i="39"/>
  <c r="AH473" i="39"/>
  <c r="AH474" i="39"/>
  <c r="AH475" i="39"/>
  <c r="AH476" i="39"/>
  <c r="AH477" i="39"/>
  <c r="AH478" i="39"/>
  <c r="AH479" i="39"/>
  <c r="AH480" i="39"/>
  <c r="AH481" i="39"/>
  <c r="AH482" i="39"/>
  <c r="AH483" i="39"/>
  <c r="AH484" i="39"/>
  <c r="AH485" i="39"/>
  <c r="AH486" i="39"/>
  <c r="AH487" i="39"/>
  <c r="AH488" i="39"/>
  <c r="AH489" i="39"/>
  <c r="AH490" i="39"/>
  <c r="AH491" i="39"/>
  <c r="AH492" i="39"/>
  <c r="AH493" i="39"/>
  <c r="AH494" i="39"/>
  <c r="AH495" i="39"/>
  <c r="AH496" i="39"/>
  <c r="AH497" i="39"/>
  <c r="AH498" i="39"/>
  <c r="AH499" i="39"/>
  <c r="AH500" i="39"/>
  <c r="AH501" i="39"/>
  <c r="AH502" i="39"/>
  <c r="AH503" i="39"/>
  <c r="AH504" i="39"/>
  <c r="AH505" i="39"/>
  <c r="AH506" i="39"/>
  <c r="AH507" i="39"/>
  <c r="AH508" i="39"/>
  <c r="AH509" i="39"/>
  <c r="AH510" i="39"/>
  <c r="AH511" i="39"/>
  <c r="AH512" i="39"/>
  <c r="AH513" i="39"/>
  <c r="AH514" i="39"/>
  <c r="AG268" i="39"/>
  <c r="AG273" i="39"/>
  <c r="AG274" i="39"/>
  <c r="AG275" i="39"/>
  <c r="AG276" i="39"/>
  <c r="AG277" i="39"/>
  <c r="AG278" i="39"/>
  <c r="AG279" i="39"/>
  <c r="AG280" i="39"/>
  <c r="AG281" i="39"/>
  <c r="AG282" i="39"/>
  <c r="AG283" i="39"/>
  <c r="AG284" i="39"/>
  <c r="AG285" i="39"/>
  <c r="AG286" i="39"/>
  <c r="AG287" i="39"/>
  <c r="AG288" i="39"/>
  <c r="AG289" i="39"/>
  <c r="AG290" i="39"/>
  <c r="AG291" i="39"/>
  <c r="AG292" i="39"/>
  <c r="AG293" i="39"/>
  <c r="AG294" i="39"/>
  <c r="AG295" i="39"/>
  <c r="AG296" i="39"/>
  <c r="AG297" i="39"/>
  <c r="AG298" i="39"/>
  <c r="AG299" i="39"/>
  <c r="AG300" i="39"/>
  <c r="AG301" i="39"/>
  <c r="AG302" i="39"/>
  <c r="AG303" i="39"/>
  <c r="AG304" i="39"/>
  <c r="AG305" i="39"/>
  <c r="AG306" i="39"/>
  <c r="AG307" i="39"/>
  <c r="AG308" i="39"/>
  <c r="AG309" i="39"/>
  <c r="AG310" i="39"/>
  <c r="AG311" i="39"/>
  <c r="AG312" i="39"/>
  <c r="AG313" i="39"/>
  <c r="AG314" i="39"/>
  <c r="AG315" i="39"/>
  <c r="AG316" i="39"/>
  <c r="AG317" i="39"/>
  <c r="AG318" i="39"/>
  <c r="AG319" i="39"/>
  <c r="AG320" i="39"/>
  <c r="AG321" i="39"/>
  <c r="AG322" i="39"/>
  <c r="AG323" i="39"/>
  <c r="AG324" i="39"/>
  <c r="AG325" i="39"/>
  <c r="AG326" i="39"/>
  <c r="AG327" i="39"/>
  <c r="AG328" i="39"/>
  <c r="AG329" i="39"/>
  <c r="AG330" i="39"/>
  <c r="AG331" i="39"/>
  <c r="AG332" i="39"/>
  <c r="AG333" i="39"/>
  <c r="AG334" i="39"/>
  <c r="AG335" i="39"/>
  <c r="AG336" i="39"/>
  <c r="AG337" i="39"/>
  <c r="AG338" i="39"/>
  <c r="AG339" i="39"/>
  <c r="AG340" i="39"/>
  <c r="AG341" i="39"/>
  <c r="AG342" i="39"/>
  <c r="AG343" i="39"/>
  <c r="AG344" i="39"/>
  <c r="AG345" i="39"/>
  <c r="AG346" i="39"/>
  <c r="AG347" i="39"/>
  <c r="AG348" i="39"/>
  <c r="AG349" i="39"/>
  <c r="AG350" i="39"/>
  <c r="AG351" i="39"/>
  <c r="AG352" i="39"/>
  <c r="AG353" i="39"/>
  <c r="AG354" i="39"/>
  <c r="AG355" i="39"/>
  <c r="AG356" i="39"/>
  <c r="AG357" i="39"/>
  <c r="AG358" i="39"/>
  <c r="AG359" i="39"/>
  <c r="AG360" i="39"/>
  <c r="AG361" i="39"/>
  <c r="AG362" i="39"/>
  <c r="AG363" i="39"/>
  <c r="AG364" i="39"/>
  <c r="AG365" i="39"/>
  <c r="AG366" i="39"/>
  <c r="AG367" i="39"/>
  <c r="AG368" i="39"/>
  <c r="AG369" i="39"/>
  <c r="AG370" i="39"/>
  <c r="AG371" i="39"/>
  <c r="AG372" i="39"/>
  <c r="AG373" i="39"/>
  <c r="AG374" i="39"/>
  <c r="AG375" i="39"/>
  <c r="AG376" i="39"/>
  <c r="AG377" i="39"/>
  <c r="AG378" i="39"/>
  <c r="AG379" i="39"/>
  <c r="AG380" i="39"/>
  <c r="AG381" i="39"/>
  <c r="AG382" i="39"/>
  <c r="AG383" i="39"/>
  <c r="AG384" i="39"/>
  <c r="AG385" i="39"/>
  <c r="AG386" i="39"/>
  <c r="AG387" i="39"/>
  <c r="AG388" i="39"/>
  <c r="AG389" i="39"/>
  <c r="AG390" i="39"/>
  <c r="AG391" i="39"/>
  <c r="AG392" i="39"/>
  <c r="AG393" i="39"/>
  <c r="AG394" i="39"/>
  <c r="AG395" i="39"/>
  <c r="AG396" i="39"/>
  <c r="AG397" i="39"/>
  <c r="AG398" i="39"/>
  <c r="AG399" i="39"/>
  <c r="AG400" i="39"/>
  <c r="AG401" i="39"/>
  <c r="AG402" i="39"/>
  <c r="AG403" i="39"/>
  <c r="AG404" i="39"/>
  <c r="AG405" i="39"/>
  <c r="AG406" i="39"/>
  <c r="AG407" i="39"/>
  <c r="AG408" i="39"/>
  <c r="AG409" i="39"/>
  <c r="AG410" i="39"/>
  <c r="AG411" i="39"/>
  <c r="AG412" i="39"/>
  <c r="AG413" i="39"/>
  <c r="AG414" i="39"/>
  <c r="AG415" i="39"/>
  <c r="AG416" i="39"/>
  <c r="AG417" i="39"/>
  <c r="AG418" i="39"/>
  <c r="AG419" i="39"/>
  <c r="AG420" i="39"/>
  <c r="AG421" i="39"/>
  <c r="AG422" i="39"/>
  <c r="AG423" i="39"/>
  <c r="AG424" i="39"/>
  <c r="AG425" i="39"/>
  <c r="AG426" i="39"/>
  <c r="AG427" i="39"/>
  <c r="AG428" i="39"/>
  <c r="AG429" i="39"/>
  <c r="AG430" i="39"/>
  <c r="AG431" i="39"/>
  <c r="AG432" i="39"/>
  <c r="AG433" i="39"/>
  <c r="AG434" i="39"/>
  <c r="AG435" i="39"/>
  <c r="AG436" i="39"/>
  <c r="AG437" i="39"/>
  <c r="AG438" i="39"/>
  <c r="AG439" i="39"/>
  <c r="AG440" i="39"/>
  <c r="AG441" i="39"/>
  <c r="AG442" i="39"/>
  <c r="AG443" i="39"/>
  <c r="AG444" i="39"/>
  <c r="AG445" i="39"/>
  <c r="AG446" i="39"/>
  <c r="AG447" i="39"/>
  <c r="AG448" i="39"/>
  <c r="AG449" i="39"/>
  <c r="AG450" i="39"/>
  <c r="AG451" i="39"/>
  <c r="AG452" i="39"/>
  <c r="AG453" i="39"/>
  <c r="AG454" i="39"/>
  <c r="AG455" i="39"/>
  <c r="AG456" i="39"/>
  <c r="AG457" i="39"/>
  <c r="AG458" i="39"/>
  <c r="AG459" i="39"/>
  <c r="AG460" i="39"/>
  <c r="AG461" i="39"/>
  <c r="AG462" i="39"/>
  <c r="AG463" i="39"/>
  <c r="AG464" i="39"/>
  <c r="AG465" i="39"/>
  <c r="AG466" i="39"/>
  <c r="AG467" i="39"/>
  <c r="AG468" i="39"/>
  <c r="AG469" i="39"/>
  <c r="AG470" i="39"/>
  <c r="AG471" i="39"/>
  <c r="AG472" i="39"/>
  <c r="AG473" i="39"/>
  <c r="AG474" i="39"/>
  <c r="AG475" i="39"/>
  <c r="AG476" i="39"/>
  <c r="AG477" i="39"/>
  <c r="AG478" i="39"/>
  <c r="AG479" i="39"/>
  <c r="AG480" i="39"/>
  <c r="AG481" i="39"/>
  <c r="AG482" i="39"/>
  <c r="AG483" i="39"/>
  <c r="AG484" i="39"/>
  <c r="AG485" i="39"/>
  <c r="AG486" i="39"/>
  <c r="AG487" i="39"/>
  <c r="AG488" i="39"/>
  <c r="AG489" i="39"/>
  <c r="AG490" i="39"/>
  <c r="AG491" i="39"/>
  <c r="AG492" i="39"/>
  <c r="AG493" i="39"/>
  <c r="AG494" i="39"/>
  <c r="AG495" i="39"/>
  <c r="AG496" i="39"/>
  <c r="AG497" i="39"/>
  <c r="AG498" i="39"/>
  <c r="AG499" i="39"/>
  <c r="AG500" i="39"/>
  <c r="AG501" i="39"/>
  <c r="AG502" i="39"/>
  <c r="AG503" i="39"/>
  <c r="AG504" i="39"/>
  <c r="AG505" i="39"/>
  <c r="AG506" i="39"/>
  <c r="AG507" i="39"/>
  <c r="AG508" i="39"/>
  <c r="AG509" i="39"/>
  <c r="AG510" i="39"/>
  <c r="AG511" i="39"/>
  <c r="AG512" i="39"/>
  <c r="AG513" i="39"/>
  <c r="AG514" i="39"/>
  <c r="AF268" i="39"/>
  <c r="AF273" i="39"/>
  <c r="AF274" i="39"/>
  <c r="AF275" i="39"/>
  <c r="AF276" i="39"/>
  <c r="AF277" i="39"/>
  <c r="AF278" i="39"/>
  <c r="AF279" i="39"/>
  <c r="AF280" i="39"/>
  <c r="AF281" i="39"/>
  <c r="AF282" i="39"/>
  <c r="AF283" i="39"/>
  <c r="AF284" i="39"/>
  <c r="AF285" i="39"/>
  <c r="AF286" i="39"/>
  <c r="AF287" i="39"/>
  <c r="AF288" i="39"/>
  <c r="AF289" i="39"/>
  <c r="AF290" i="39"/>
  <c r="AF291" i="39"/>
  <c r="AF292" i="39"/>
  <c r="AF293" i="39"/>
  <c r="AF294" i="39"/>
  <c r="AF295" i="39"/>
  <c r="AF296" i="39"/>
  <c r="AF297" i="39"/>
  <c r="AF298" i="39"/>
  <c r="AF299" i="39"/>
  <c r="AF300" i="39"/>
  <c r="AF301" i="39"/>
  <c r="AF302" i="39"/>
  <c r="AF303" i="39"/>
  <c r="AF304" i="39"/>
  <c r="AF305" i="39"/>
  <c r="AF306" i="39"/>
  <c r="AF307" i="39"/>
  <c r="AF308" i="39"/>
  <c r="AF309" i="39"/>
  <c r="AF310" i="39"/>
  <c r="AF311" i="39"/>
  <c r="AF312" i="39"/>
  <c r="AF313" i="39"/>
  <c r="AF314" i="39"/>
  <c r="AF315" i="39"/>
  <c r="AF316" i="39"/>
  <c r="AF317" i="39"/>
  <c r="AF318" i="39"/>
  <c r="AF319" i="39"/>
  <c r="AF320" i="39"/>
  <c r="AF321" i="39"/>
  <c r="AF322" i="39"/>
  <c r="AF323" i="39"/>
  <c r="AF324" i="39"/>
  <c r="AF325" i="39"/>
  <c r="AF326" i="39"/>
  <c r="AF327" i="39"/>
  <c r="AF328" i="39"/>
  <c r="AF329" i="39"/>
  <c r="AF330" i="39"/>
  <c r="AF331" i="39"/>
  <c r="AF332" i="39"/>
  <c r="AF333" i="39"/>
  <c r="AF334" i="39"/>
  <c r="AF335" i="39"/>
  <c r="AF336" i="39"/>
  <c r="AF337" i="39"/>
  <c r="AF338" i="39"/>
  <c r="AF339" i="39"/>
  <c r="AF340" i="39"/>
  <c r="AF341" i="39"/>
  <c r="AF342" i="39"/>
  <c r="AF343" i="39"/>
  <c r="AF344" i="39"/>
  <c r="AF345" i="39"/>
  <c r="AF346" i="39"/>
  <c r="AF347" i="39"/>
  <c r="AF348" i="39"/>
  <c r="AF349" i="39"/>
  <c r="AF350" i="39"/>
  <c r="AF351" i="39"/>
  <c r="AF352" i="39"/>
  <c r="AF353" i="39"/>
  <c r="AF354" i="39"/>
  <c r="AF355" i="39"/>
  <c r="AF356" i="39"/>
  <c r="AF357" i="39"/>
  <c r="AF358" i="39"/>
  <c r="AF359" i="39"/>
  <c r="AF360" i="39"/>
  <c r="AF361" i="39"/>
  <c r="AF362" i="39"/>
  <c r="AF363" i="39"/>
  <c r="AF364" i="39"/>
  <c r="AF365" i="39"/>
  <c r="AF366" i="39"/>
  <c r="AF367" i="39"/>
  <c r="AF368" i="39"/>
  <c r="AF369" i="39"/>
  <c r="AF370" i="39"/>
  <c r="AF371" i="39"/>
  <c r="AF372" i="39"/>
  <c r="AF373" i="39"/>
  <c r="AF374" i="39"/>
  <c r="AF375" i="39"/>
  <c r="AF376" i="39"/>
  <c r="AF377" i="39"/>
  <c r="AF378" i="39"/>
  <c r="AF379" i="39"/>
  <c r="AF380" i="39"/>
  <c r="AF381" i="39"/>
  <c r="AF382" i="39"/>
  <c r="AF383" i="39"/>
  <c r="AF384" i="39"/>
  <c r="AF385" i="39"/>
  <c r="AF386" i="39"/>
  <c r="AF387" i="39"/>
  <c r="AF388" i="39"/>
  <c r="AF389" i="39"/>
  <c r="AF390" i="39"/>
  <c r="AF391" i="39"/>
  <c r="AF392" i="39"/>
  <c r="AF393" i="39"/>
  <c r="AF394" i="39"/>
  <c r="AF395" i="39"/>
  <c r="AF396" i="39"/>
  <c r="AF397" i="39"/>
  <c r="AF398" i="39"/>
  <c r="AF399" i="39"/>
  <c r="AF400" i="39"/>
  <c r="AF401" i="39"/>
  <c r="AF402" i="39"/>
  <c r="AF403" i="39"/>
  <c r="AF404" i="39"/>
  <c r="AF405" i="39"/>
  <c r="AF406" i="39"/>
  <c r="AF407" i="39"/>
  <c r="AF408" i="39"/>
  <c r="AF409" i="39"/>
  <c r="AF410" i="39"/>
  <c r="AF411" i="39"/>
  <c r="AF412" i="39"/>
  <c r="AF413" i="39"/>
  <c r="AF414" i="39"/>
  <c r="AF415" i="39"/>
  <c r="AF416" i="39"/>
  <c r="AF417" i="39"/>
  <c r="AF418" i="39"/>
  <c r="AF419" i="39"/>
  <c r="AF420" i="39"/>
  <c r="AF421" i="39"/>
  <c r="AF422" i="39"/>
  <c r="AF423" i="39"/>
  <c r="AF424" i="39"/>
  <c r="AF425" i="39"/>
  <c r="AF426" i="39"/>
  <c r="AF427" i="39"/>
  <c r="AF428" i="39"/>
  <c r="AF429" i="39"/>
  <c r="AF430" i="39"/>
  <c r="AF431" i="39"/>
  <c r="AF432" i="39"/>
  <c r="AF433" i="39"/>
  <c r="AF434" i="39"/>
  <c r="AF435" i="39"/>
  <c r="AF436" i="39"/>
  <c r="AF437" i="39"/>
  <c r="AF438" i="39"/>
  <c r="AF439" i="39"/>
  <c r="AF440" i="39"/>
  <c r="AF441" i="39"/>
  <c r="AF442" i="39"/>
  <c r="AF443" i="39"/>
  <c r="AF444" i="39"/>
  <c r="AF445" i="39"/>
  <c r="AF446" i="39"/>
  <c r="AF447" i="39"/>
  <c r="AF448" i="39"/>
  <c r="AF449" i="39"/>
  <c r="AF450" i="39"/>
  <c r="AF451" i="39"/>
  <c r="AF452" i="39"/>
  <c r="AF453" i="39"/>
  <c r="AF454" i="39"/>
  <c r="AF455" i="39"/>
  <c r="AF456" i="39"/>
  <c r="AF457" i="39"/>
  <c r="AF458" i="39"/>
  <c r="AF459" i="39"/>
  <c r="AF460" i="39"/>
  <c r="AF461" i="39"/>
  <c r="AF462" i="39"/>
  <c r="AF463" i="39"/>
  <c r="AF464" i="39"/>
  <c r="AF465" i="39"/>
  <c r="AF466" i="39"/>
  <c r="AF467" i="39"/>
  <c r="AF468" i="39"/>
  <c r="AF469" i="39"/>
  <c r="AF470" i="39"/>
  <c r="AF471" i="39"/>
  <c r="AF472" i="39"/>
  <c r="AF473" i="39"/>
  <c r="AF474" i="39"/>
  <c r="AF475" i="39"/>
  <c r="AF476" i="39"/>
  <c r="AF477" i="39"/>
  <c r="AF478" i="39"/>
  <c r="AF479" i="39"/>
  <c r="AF480" i="39"/>
  <c r="AF481" i="39"/>
  <c r="AF482" i="39"/>
  <c r="AF483" i="39"/>
  <c r="AF484" i="39"/>
  <c r="AF485" i="39"/>
  <c r="AF486" i="39"/>
  <c r="AF487" i="39"/>
  <c r="AF488" i="39"/>
  <c r="AF489" i="39"/>
  <c r="AF490" i="39"/>
  <c r="AF491" i="39"/>
  <c r="AF492" i="39"/>
  <c r="AF493" i="39"/>
  <c r="AF494" i="39"/>
  <c r="AF495" i="39"/>
  <c r="AF496" i="39"/>
  <c r="AF497" i="39"/>
  <c r="AF498" i="39"/>
  <c r="AF499" i="39"/>
  <c r="AF500" i="39"/>
  <c r="AF501" i="39"/>
  <c r="AF502" i="39"/>
  <c r="AF503" i="39"/>
  <c r="AF504" i="39"/>
  <c r="AF505" i="39"/>
  <c r="AF506" i="39"/>
  <c r="AF507" i="39"/>
  <c r="AF508" i="39"/>
  <c r="AF509" i="39"/>
  <c r="AF510" i="39"/>
  <c r="AF511" i="39"/>
  <c r="AF512" i="39"/>
  <c r="AF513" i="39"/>
  <c r="AF514" i="39"/>
  <c r="AE268" i="39"/>
  <c r="AE273" i="39"/>
  <c r="AE274" i="39"/>
  <c r="AE275" i="39"/>
  <c r="AE276" i="39"/>
  <c r="AE277" i="39"/>
  <c r="AE278" i="39"/>
  <c r="AE279" i="39"/>
  <c r="AE280" i="39"/>
  <c r="AE281" i="39"/>
  <c r="AE282" i="39"/>
  <c r="AE283" i="39"/>
  <c r="AE284" i="39"/>
  <c r="AE285" i="39"/>
  <c r="AE286" i="39"/>
  <c r="AE287" i="39"/>
  <c r="AE288" i="39"/>
  <c r="AE289" i="39"/>
  <c r="AE290" i="39"/>
  <c r="AE291" i="39"/>
  <c r="AE292" i="39"/>
  <c r="AE293" i="39"/>
  <c r="AE294" i="39"/>
  <c r="AE295" i="39"/>
  <c r="AE296" i="39"/>
  <c r="AE297" i="39"/>
  <c r="AE298" i="39"/>
  <c r="AE299" i="39"/>
  <c r="AE300" i="39"/>
  <c r="AE301" i="39"/>
  <c r="AE302" i="39"/>
  <c r="AE303" i="39"/>
  <c r="AE304" i="39"/>
  <c r="AE305" i="39"/>
  <c r="AE306" i="39"/>
  <c r="AE307" i="39"/>
  <c r="AE308" i="39"/>
  <c r="AE309" i="39"/>
  <c r="AE310" i="39"/>
  <c r="AE311" i="39"/>
  <c r="AE312" i="39"/>
  <c r="AE313" i="39"/>
  <c r="AE314" i="39"/>
  <c r="AE315" i="39"/>
  <c r="AE316" i="39"/>
  <c r="AE317" i="39"/>
  <c r="AE318" i="39"/>
  <c r="AE319" i="39"/>
  <c r="AE320" i="39"/>
  <c r="AE321" i="39"/>
  <c r="AE322" i="39"/>
  <c r="AE323" i="39"/>
  <c r="AE324" i="39"/>
  <c r="AE325" i="39"/>
  <c r="AE326" i="39"/>
  <c r="AE327" i="39"/>
  <c r="AE328" i="39"/>
  <c r="AE329" i="39"/>
  <c r="AE330" i="39"/>
  <c r="AE331" i="39"/>
  <c r="AE332" i="39"/>
  <c r="AE333" i="39"/>
  <c r="AE334" i="39"/>
  <c r="AE335" i="39"/>
  <c r="AE336" i="39"/>
  <c r="AE337" i="39"/>
  <c r="AE338" i="39"/>
  <c r="AE339" i="39"/>
  <c r="AE340" i="39"/>
  <c r="AE341" i="39"/>
  <c r="AE342" i="39"/>
  <c r="AE343" i="39"/>
  <c r="AE344" i="39"/>
  <c r="AE345" i="39"/>
  <c r="AE346" i="39"/>
  <c r="AE347" i="39"/>
  <c r="AE348" i="39"/>
  <c r="AE349" i="39"/>
  <c r="AE350" i="39"/>
  <c r="AE351" i="39"/>
  <c r="AE352" i="39"/>
  <c r="AE353" i="39"/>
  <c r="AE354" i="39"/>
  <c r="AE355" i="39"/>
  <c r="AE356" i="39"/>
  <c r="AE357" i="39"/>
  <c r="AE358" i="39"/>
  <c r="AE359" i="39"/>
  <c r="AE360" i="39"/>
  <c r="AE361" i="39"/>
  <c r="AE362" i="39"/>
  <c r="AE363" i="39"/>
  <c r="AE364" i="39"/>
  <c r="AE365" i="39"/>
  <c r="AE366" i="39"/>
  <c r="AE367" i="39"/>
  <c r="AE368" i="39"/>
  <c r="AE369" i="39"/>
  <c r="AE370" i="39"/>
  <c r="AE371" i="39"/>
  <c r="AE372" i="39"/>
  <c r="AE373" i="39"/>
  <c r="AE374" i="39"/>
  <c r="AE375" i="39"/>
  <c r="AE376" i="39"/>
  <c r="AE377" i="39"/>
  <c r="AE378" i="39"/>
  <c r="AE379" i="39"/>
  <c r="AE380" i="39"/>
  <c r="AE381" i="39"/>
  <c r="AE382" i="39"/>
  <c r="AE383" i="39"/>
  <c r="AE384" i="39"/>
  <c r="AE385" i="39"/>
  <c r="AE386" i="39"/>
  <c r="AE387" i="39"/>
  <c r="AE388" i="39"/>
  <c r="AE389" i="39"/>
  <c r="AE390" i="39"/>
  <c r="AE391" i="39"/>
  <c r="AE392" i="39"/>
  <c r="AE393" i="39"/>
  <c r="AE394" i="39"/>
  <c r="AE395" i="39"/>
  <c r="AE396" i="39"/>
  <c r="AE397" i="39"/>
  <c r="AE398" i="39"/>
  <c r="AE399" i="39"/>
  <c r="AE400" i="39"/>
  <c r="AE401" i="39"/>
  <c r="AE402" i="39"/>
  <c r="AE403" i="39"/>
  <c r="AE404" i="39"/>
  <c r="AE405" i="39"/>
  <c r="AE406" i="39"/>
  <c r="AE407" i="39"/>
  <c r="AE408" i="39"/>
  <c r="AE409" i="39"/>
  <c r="AE410" i="39"/>
  <c r="AE411" i="39"/>
  <c r="AE412" i="39"/>
  <c r="AE413" i="39"/>
  <c r="AE414" i="39"/>
  <c r="AE415" i="39"/>
  <c r="AE416" i="39"/>
  <c r="AE417" i="39"/>
  <c r="AE418" i="39"/>
  <c r="AE419" i="39"/>
  <c r="AE420" i="39"/>
  <c r="AE421" i="39"/>
  <c r="AE422" i="39"/>
  <c r="AE423" i="39"/>
  <c r="AE424" i="39"/>
  <c r="AE425" i="39"/>
  <c r="AE426" i="39"/>
  <c r="AE427" i="39"/>
  <c r="AE428" i="39"/>
  <c r="AE429" i="39"/>
  <c r="AE430" i="39"/>
  <c r="AE431" i="39"/>
  <c r="AE432" i="39"/>
  <c r="AE433" i="39"/>
  <c r="AE434" i="39"/>
  <c r="AE435" i="39"/>
  <c r="AE436" i="39"/>
  <c r="AE437" i="39"/>
  <c r="AE438" i="39"/>
  <c r="AE439" i="39"/>
  <c r="AE440" i="39"/>
  <c r="AE441" i="39"/>
  <c r="AE442" i="39"/>
  <c r="AE443" i="39"/>
  <c r="AE444" i="39"/>
  <c r="AE445" i="39"/>
  <c r="AE446" i="39"/>
  <c r="AE447" i="39"/>
  <c r="AE448" i="39"/>
  <c r="AE449" i="39"/>
  <c r="AE450" i="39"/>
  <c r="AE451" i="39"/>
  <c r="AE452" i="39"/>
  <c r="AE453" i="39"/>
  <c r="AE454" i="39"/>
  <c r="AE455" i="39"/>
  <c r="AE456" i="39"/>
  <c r="AE457" i="39"/>
  <c r="AE458" i="39"/>
  <c r="AE459" i="39"/>
  <c r="AE460" i="39"/>
  <c r="AE461" i="39"/>
  <c r="AE462" i="39"/>
  <c r="AE463" i="39"/>
  <c r="AE464" i="39"/>
  <c r="AE465" i="39"/>
  <c r="AE466" i="39"/>
  <c r="AE467" i="39"/>
  <c r="AE468" i="39"/>
  <c r="AE469" i="39"/>
  <c r="AE470" i="39"/>
  <c r="AE471" i="39"/>
  <c r="AE472" i="39"/>
  <c r="AE473" i="39"/>
  <c r="AE474" i="39"/>
  <c r="AE475" i="39"/>
  <c r="AE476" i="39"/>
  <c r="AE477" i="39"/>
  <c r="AE478" i="39"/>
  <c r="AE479" i="39"/>
  <c r="AE480" i="39"/>
  <c r="AE481" i="39"/>
  <c r="AE482" i="39"/>
  <c r="AE483" i="39"/>
  <c r="AE484" i="39"/>
  <c r="AE485" i="39"/>
  <c r="AE486" i="39"/>
  <c r="AE487" i="39"/>
  <c r="AE488" i="39"/>
  <c r="AE489" i="39"/>
  <c r="AE490" i="39"/>
  <c r="AE491" i="39"/>
  <c r="AE492" i="39"/>
  <c r="AE493" i="39"/>
  <c r="AE494" i="39"/>
  <c r="AE495" i="39"/>
  <c r="AE496" i="39"/>
  <c r="AE497" i="39"/>
  <c r="AE498" i="39"/>
  <c r="AE499" i="39"/>
  <c r="AE500" i="39"/>
  <c r="AE501" i="39"/>
  <c r="AE502" i="39"/>
  <c r="AE503" i="39"/>
  <c r="AE504" i="39"/>
  <c r="AE505" i="39"/>
  <c r="AE506" i="39"/>
  <c r="AE507" i="39"/>
  <c r="AE508" i="39"/>
  <c r="AE509" i="39"/>
  <c r="AE510" i="39"/>
  <c r="AE511" i="39"/>
  <c r="AE512" i="39"/>
  <c r="AE513" i="39"/>
  <c r="AE514" i="39"/>
  <c r="AD268" i="39"/>
  <c r="AD273" i="39"/>
  <c r="AD274" i="39"/>
  <c r="AD275" i="39"/>
  <c r="AD276" i="39"/>
  <c r="AD277" i="39"/>
  <c r="AD278" i="39"/>
  <c r="AD279" i="39"/>
  <c r="AD280" i="39"/>
  <c r="AD281" i="39"/>
  <c r="AD282" i="39"/>
  <c r="AD283" i="39"/>
  <c r="AD284" i="39"/>
  <c r="AD285" i="39"/>
  <c r="AD286" i="39"/>
  <c r="AD287" i="39"/>
  <c r="AD288" i="39"/>
  <c r="AD289" i="39"/>
  <c r="AD290" i="39"/>
  <c r="AD291" i="39"/>
  <c r="AD292" i="39"/>
  <c r="AD293" i="39"/>
  <c r="AD294" i="39"/>
  <c r="AD295" i="39"/>
  <c r="AD296" i="39"/>
  <c r="AD297" i="39"/>
  <c r="AD298" i="39"/>
  <c r="AD299" i="39"/>
  <c r="AD300" i="39"/>
  <c r="AD301" i="39"/>
  <c r="AD302" i="39"/>
  <c r="AD303" i="39"/>
  <c r="AD304" i="39"/>
  <c r="AD305" i="39"/>
  <c r="AD306" i="39"/>
  <c r="AD307" i="39"/>
  <c r="AD308" i="39"/>
  <c r="AD309" i="39"/>
  <c r="AD310" i="39"/>
  <c r="AD311" i="39"/>
  <c r="AD312" i="39"/>
  <c r="AD313" i="39"/>
  <c r="AD314" i="39"/>
  <c r="AD315" i="39"/>
  <c r="AD316" i="39"/>
  <c r="AD317" i="39"/>
  <c r="AD318" i="39"/>
  <c r="AD319" i="39"/>
  <c r="AD320" i="39"/>
  <c r="AD321" i="39"/>
  <c r="AD322" i="39"/>
  <c r="AD323" i="39"/>
  <c r="AD324" i="39"/>
  <c r="AD325" i="39"/>
  <c r="AD326" i="39"/>
  <c r="AD327" i="39"/>
  <c r="AD328" i="39"/>
  <c r="AD329" i="39"/>
  <c r="AD330" i="39"/>
  <c r="AD331" i="39"/>
  <c r="AD332" i="39"/>
  <c r="AD333" i="39"/>
  <c r="AD334" i="39"/>
  <c r="AD335" i="39"/>
  <c r="AD336" i="39"/>
  <c r="AD337" i="39"/>
  <c r="AD338" i="39"/>
  <c r="AD339" i="39"/>
  <c r="AD340" i="39"/>
  <c r="AD341" i="39"/>
  <c r="AD342" i="39"/>
  <c r="AD343" i="39"/>
  <c r="AD344" i="39"/>
  <c r="AD345" i="39"/>
  <c r="AD346" i="39"/>
  <c r="AD347" i="39"/>
  <c r="AD348" i="39"/>
  <c r="AD349" i="39"/>
  <c r="AD350" i="39"/>
  <c r="AD351" i="39"/>
  <c r="AD352" i="39"/>
  <c r="AD353" i="39"/>
  <c r="AD354" i="39"/>
  <c r="AD355" i="39"/>
  <c r="AD356" i="39"/>
  <c r="AD357" i="39"/>
  <c r="AD358" i="39"/>
  <c r="AD359" i="39"/>
  <c r="AD360" i="39"/>
  <c r="AD361" i="39"/>
  <c r="AD362" i="39"/>
  <c r="AD363" i="39"/>
  <c r="AD364" i="39"/>
  <c r="AD365" i="39"/>
  <c r="AD366" i="39"/>
  <c r="AD367" i="39"/>
  <c r="AD368" i="39"/>
  <c r="AD369" i="39"/>
  <c r="AD370" i="39"/>
  <c r="AD371" i="39"/>
  <c r="AD372" i="39"/>
  <c r="AD373" i="39"/>
  <c r="AD374" i="39"/>
  <c r="AD375" i="39"/>
  <c r="AD376" i="39"/>
  <c r="AD377" i="39"/>
  <c r="AD378" i="39"/>
  <c r="AD379" i="39"/>
  <c r="AD380" i="39"/>
  <c r="AD381" i="39"/>
  <c r="AD382" i="39"/>
  <c r="AD383" i="39"/>
  <c r="AD384" i="39"/>
  <c r="AD385" i="39"/>
  <c r="AD386" i="39"/>
  <c r="AD387" i="39"/>
  <c r="AD388" i="39"/>
  <c r="AD389" i="39"/>
  <c r="AD390" i="39"/>
  <c r="AD391" i="39"/>
  <c r="AD392" i="39"/>
  <c r="AD393" i="39"/>
  <c r="AD394" i="39"/>
  <c r="AD395" i="39"/>
  <c r="AD396" i="39"/>
  <c r="AD397" i="39"/>
  <c r="AD398" i="39"/>
  <c r="AD399" i="39"/>
  <c r="AD400" i="39"/>
  <c r="AD401" i="39"/>
  <c r="AD402" i="39"/>
  <c r="AD403" i="39"/>
  <c r="AD404" i="39"/>
  <c r="AD405" i="39"/>
  <c r="AD406" i="39"/>
  <c r="AD407" i="39"/>
  <c r="AD408" i="39"/>
  <c r="AD409" i="39"/>
  <c r="AD410" i="39"/>
  <c r="AD411" i="39"/>
  <c r="AD412" i="39"/>
  <c r="AD413" i="39"/>
  <c r="AD414" i="39"/>
  <c r="AD415" i="39"/>
  <c r="AD416" i="39"/>
  <c r="AD417" i="39"/>
  <c r="AD418" i="39"/>
  <c r="AD419" i="39"/>
  <c r="AD420" i="39"/>
  <c r="AD421" i="39"/>
  <c r="AD422" i="39"/>
  <c r="AD423" i="39"/>
  <c r="AD424" i="39"/>
  <c r="AD425" i="39"/>
  <c r="AD426" i="39"/>
  <c r="AD427" i="39"/>
  <c r="AD428" i="39"/>
  <c r="AD429" i="39"/>
  <c r="AD430" i="39"/>
  <c r="AD431" i="39"/>
  <c r="AD432" i="39"/>
  <c r="AD433" i="39"/>
  <c r="AD434" i="39"/>
  <c r="AD435" i="39"/>
  <c r="AD436" i="39"/>
  <c r="AD437" i="39"/>
  <c r="AD438" i="39"/>
  <c r="AD439" i="39"/>
  <c r="AD440" i="39"/>
  <c r="AD441" i="39"/>
  <c r="AD442" i="39"/>
  <c r="AD443" i="39"/>
  <c r="AD444" i="39"/>
  <c r="AD445" i="39"/>
  <c r="AD446" i="39"/>
  <c r="AD447" i="39"/>
  <c r="AD448" i="39"/>
  <c r="AD449" i="39"/>
  <c r="AD450" i="39"/>
  <c r="AD451" i="39"/>
  <c r="AD452" i="39"/>
  <c r="AD453" i="39"/>
  <c r="AD454" i="39"/>
  <c r="AD455" i="39"/>
  <c r="AD456" i="39"/>
  <c r="AD457" i="39"/>
  <c r="AD458" i="39"/>
  <c r="AD459" i="39"/>
  <c r="AD460" i="39"/>
  <c r="AD461" i="39"/>
  <c r="AD462" i="39"/>
  <c r="AD463" i="39"/>
  <c r="AD464" i="39"/>
  <c r="AD465" i="39"/>
  <c r="AD466" i="39"/>
  <c r="AD467" i="39"/>
  <c r="AD468" i="39"/>
  <c r="AD469" i="39"/>
  <c r="AD470" i="39"/>
  <c r="AD471" i="39"/>
  <c r="AD472" i="39"/>
  <c r="AD473" i="39"/>
  <c r="AD474" i="39"/>
  <c r="AD475" i="39"/>
  <c r="AD476" i="39"/>
  <c r="AD477" i="39"/>
  <c r="AD478" i="39"/>
  <c r="AD479" i="39"/>
  <c r="AD480" i="39"/>
  <c r="AD481" i="39"/>
  <c r="AD482" i="39"/>
  <c r="AD483" i="39"/>
  <c r="AD484" i="39"/>
  <c r="AD485" i="39"/>
  <c r="AD486" i="39"/>
  <c r="AD487" i="39"/>
  <c r="AD488" i="39"/>
  <c r="AD489" i="39"/>
  <c r="AD490" i="39"/>
  <c r="AD491" i="39"/>
  <c r="AD492" i="39"/>
  <c r="AD493" i="39"/>
  <c r="AD494" i="39"/>
  <c r="AD495" i="39"/>
  <c r="AD496" i="39"/>
  <c r="AD497" i="39"/>
  <c r="AD498" i="39"/>
  <c r="AD499" i="39"/>
  <c r="AD500" i="39"/>
  <c r="AD501" i="39"/>
  <c r="AD502" i="39"/>
  <c r="AD503" i="39"/>
  <c r="AD504" i="39"/>
  <c r="AD505" i="39"/>
  <c r="AD506" i="39"/>
  <c r="AD507" i="39"/>
  <c r="AD508" i="39"/>
  <c r="AD509" i="39"/>
  <c r="AD510" i="39"/>
  <c r="AD511" i="39"/>
  <c r="AD512" i="39"/>
  <c r="AD513" i="39"/>
  <c r="AD514" i="39"/>
  <c r="AA268" i="39" a="1"/>
  <c r="AA268" i="39" s="1"/>
  <c r="AA273" i="39" a="1"/>
  <c r="AA273" i="39" s="1"/>
  <c r="AA274" i="39" a="1"/>
  <c r="AA274" i="39" s="1"/>
  <c r="AA275" i="39" a="1"/>
  <c r="AA275" i="39" s="1"/>
  <c r="AA276" i="39" a="1"/>
  <c r="AA276" i="39" s="1"/>
  <c r="AA277" i="39" a="1"/>
  <c r="AA277" i="39" s="1"/>
  <c r="AA278" i="39" a="1"/>
  <c r="AA278" i="39" s="1"/>
  <c r="AA279" i="39" a="1"/>
  <c r="AA279" i="39" s="1"/>
  <c r="AA280" i="39" a="1"/>
  <c r="AA280" i="39" s="1"/>
  <c r="AA281" i="39" a="1"/>
  <c r="AA281" i="39" s="1"/>
  <c r="AA282" i="39" a="1"/>
  <c r="AA282" i="39" s="1"/>
  <c r="AA283" i="39" a="1"/>
  <c r="AA283" i="39" s="1"/>
  <c r="AA284" i="39" a="1"/>
  <c r="AA284" i="39" s="1"/>
  <c r="AA285" i="39" a="1"/>
  <c r="AA285" i="39" s="1"/>
  <c r="AA286" i="39" a="1"/>
  <c r="AA286" i="39" s="1"/>
  <c r="AA287" i="39" a="1"/>
  <c r="AA287" i="39" s="1"/>
  <c r="AA288" i="39" a="1"/>
  <c r="AA288" i="39" s="1"/>
  <c r="AA289" i="39" a="1"/>
  <c r="AA289" i="39" s="1"/>
  <c r="AA290" i="39" a="1"/>
  <c r="AA290" i="39" s="1"/>
  <c r="AA291" i="39" a="1"/>
  <c r="AA291" i="39" s="1"/>
  <c r="AA292" i="39" a="1"/>
  <c r="AA292" i="39" s="1"/>
  <c r="AA293" i="39" a="1"/>
  <c r="AA293" i="39" s="1"/>
  <c r="AA294" i="39" a="1"/>
  <c r="AA294" i="39" s="1"/>
  <c r="AA295" i="39" a="1"/>
  <c r="AA295" i="39" s="1"/>
  <c r="AA296" i="39" a="1"/>
  <c r="AA296" i="39" s="1"/>
  <c r="AA297" i="39" a="1"/>
  <c r="AA297" i="39" s="1"/>
  <c r="AA298" i="39" a="1"/>
  <c r="AA298" i="39" s="1"/>
  <c r="AA299" i="39" a="1"/>
  <c r="AA299" i="39" s="1"/>
  <c r="AA300" i="39" a="1"/>
  <c r="AA300" i="39" s="1"/>
  <c r="AA301" i="39" a="1"/>
  <c r="AA301" i="39" s="1"/>
  <c r="AA302" i="39" a="1"/>
  <c r="AA302" i="39" s="1"/>
  <c r="AA303" i="39" a="1"/>
  <c r="AA303" i="39" s="1"/>
  <c r="AA304" i="39" a="1"/>
  <c r="AA304" i="39" s="1"/>
  <c r="AA305" i="39" a="1"/>
  <c r="AA305" i="39" s="1"/>
  <c r="AA306" i="39" a="1"/>
  <c r="AA306" i="39" s="1"/>
  <c r="AA307" i="39" a="1"/>
  <c r="AA307" i="39" s="1"/>
  <c r="AA308" i="39" a="1"/>
  <c r="AA308" i="39" s="1"/>
  <c r="AA309" i="39" a="1"/>
  <c r="AA309" i="39" s="1"/>
  <c r="AA310" i="39" a="1"/>
  <c r="AA310" i="39" s="1"/>
  <c r="AA311" i="39" a="1"/>
  <c r="AA311" i="39" s="1"/>
  <c r="AA312" i="39" a="1"/>
  <c r="AA312" i="39" s="1"/>
  <c r="AA313" i="39" a="1"/>
  <c r="AA313" i="39" s="1"/>
  <c r="AA314" i="39" a="1"/>
  <c r="AA314" i="39" s="1"/>
  <c r="AA315" i="39" a="1"/>
  <c r="AA315" i="39" s="1"/>
  <c r="AA316" i="39" a="1"/>
  <c r="AA316" i="39" s="1"/>
  <c r="AA317" i="39" a="1"/>
  <c r="AA317" i="39" s="1"/>
  <c r="AA318" i="39" a="1"/>
  <c r="AA318" i="39" s="1"/>
  <c r="AA319" i="39" a="1"/>
  <c r="AA319" i="39" s="1"/>
  <c r="AA320" i="39" a="1"/>
  <c r="AA320" i="39" s="1"/>
  <c r="AA321" i="39" a="1"/>
  <c r="AA321" i="39" s="1"/>
  <c r="AA322" i="39" a="1"/>
  <c r="AA322" i="39" s="1"/>
  <c r="AA323" i="39" a="1"/>
  <c r="AA323" i="39" s="1"/>
  <c r="AA324" i="39" a="1"/>
  <c r="AA324" i="39" s="1"/>
  <c r="AA325" i="39" a="1"/>
  <c r="AA325" i="39" s="1"/>
  <c r="AA326" i="39" a="1"/>
  <c r="AA326" i="39" s="1"/>
  <c r="AA327" i="39" a="1"/>
  <c r="AA327" i="39" s="1"/>
  <c r="AA328" i="39" a="1"/>
  <c r="AA328" i="39" s="1"/>
  <c r="AA329" i="39" a="1"/>
  <c r="AA329" i="39" s="1"/>
  <c r="AA330" i="39" a="1"/>
  <c r="AA330" i="39" s="1"/>
  <c r="AA331" i="39" a="1"/>
  <c r="AA331" i="39" s="1"/>
  <c r="AA332" i="39" a="1"/>
  <c r="AA332" i="39" s="1"/>
  <c r="AA333" i="39" a="1"/>
  <c r="AA333" i="39" s="1"/>
  <c r="AA334" i="39" a="1"/>
  <c r="AA334" i="39" s="1"/>
  <c r="AA335" i="39" a="1"/>
  <c r="AA335" i="39" s="1"/>
  <c r="AA336" i="39" a="1"/>
  <c r="AA336" i="39" s="1"/>
  <c r="AA337" i="39" a="1"/>
  <c r="AA337" i="39" s="1"/>
  <c r="AA338" i="39" a="1"/>
  <c r="AA338" i="39" s="1"/>
  <c r="AA339" i="39" a="1"/>
  <c r="AA339" i="39" s="1"/>
  <c r="AA340" i="39" a="1"/>
  <c r="AA340" i="39" s="1"/>
  <c r="AA341" i="39" a="1"/>
  <c r="AA341" i="39" s="1"/>
  <c r="AA342" i="39" a="1"/>
  <c r="AA342" i="39" s="1"/>
  <c r="AA343" i="39" a="1"/>
  <c r="AA343" i="39" s="1"/>
  <c r="AA344" i="39" a="1"/>
  <c r="AA344" i="39" s="1"/>
  <c r="AA345" i="39" a="1"/>
  <c r="AA345" i="39" s="1"/>
  <c r="AA346" i="39" a="1"/>
  <c r="AA346" i="39" s="1"/>
  <c r="AA347" i="39" a="1"/>
  <c r="AA347" i="39" s="1"/>
  <c r="AA348" i="39" a="1"/>
  <c r="AA348" i="39" s="1"/>
  <c r="AA349" i="39" a="1"/>
  <c r="AA349" i="39" s="1"/>
  <c r="AA350" i="39" a="1"/>
  <c r="AA350" i="39" s="1"/>
  <c r="AA351" i="39" a="1"/>
  <c r="AA351" i="39" s="1"/>
  <c r="AA352" i="39" a="1"/>
  <c r="AA352" i="39" s="1"/>
  <c r="AA353" i="39" a="1"/>
  <c r="AA353" i="39" s="1"/>
  <c r="AA354" i="39" a="1"/>
  <c r="AA354" i="39" s="1"/>
  <c r="AA355" i="39" a="1"/>
  <c r="AA355" i="39" s="1"/>
  <c r="AA356" i="39" a="1"/>
  <c r="AA356" i="39" s="1"/>
  <c r="AA357" i="39" a="1"/>
  <c r="AA357" i="39" s="1"/>
  <c r="AA358" i="39" a="1"/>
  <c r="AA358" i="39" s="1"/>
  <c r="AA359" i="39" a="1"/>
  <c r="AA359" i="39" s="1"/>
  <c r="AA360" i="39" a="1"/>
  <c r="AA360" i="39" s="1"/>
  <c r="AA361" i="39" a="1"/>
  <c r="AA361" i="39" s="1"/>
  <c r="AA362" i="39" a="1"/>
  <c r="AA362" i="39" s="1"/>
  <c r="AA363" i="39" a="1"/>
  <c r="AA363" i="39" s="1"/>
  <c r="AA364" i="39" a="1"/>
  <c r="AA364" i="39" s="1"/>
  <c r="AA365" i="39" a="1"/>
  <c r="AA365" i="39" s="1"/>
  <c r="AA366" i="39" a="1"/>
  <c r="AA366" i="39" s="1"/>
  <c r="AA367" i="39" a="1"/>
  <c r="AA367" i="39" s="1"/>
  <c r="AA368" i="39" a="1"/>
  <c r="AA368" i="39" s="1"/>
  <c r="AA369" i="39" a="1"/>
  <c r="AA369" i="39" s="1"/>
  <c r="AA370" i="39" a="1"/>
  <c r="AA370" i="39" s="1"/>
  <c r="AA371" i="39" a="1"/>
  <c r="AA371" i="39" s="1"/>
  <c r="AA372" i="39" a="1"/>
  <c r="AA372" i="39" s="1"/>
  <c r="AA373" i="39" a="1"/>
  <c r="AA373" i="39" s="1"/>
  <c r="AA374" i="39" a="1"/>
  <c r="AA374" i="39" s="1"/>
  <c r="AA375" i="39" a="1"/>
  <c r="AA375" i="39" s="1"/>
  <c r="AA376" i="39" a="1"/>
  <c r="AA376" i="39" s="1"/>
  <c r="AA377" i="39" a="1"/>
  <c r="AA377" i="39" s="1"/>
  <c r="AA378" i="39" a="1"/>
  <c r="AA378" i="39" s="1"/>
  <c r="AA379" i="39" a="1"/>
  <c r="AA379" i="39" s="1"/>
  <c r="AA380" i="39" a="1"/>
  <c r="AA380" i="39" s="1"/>
  <c r="AA381" i="39" a="1"/>
  <c r="AA381" i="39" s="1"/>
  <c r="AA382" i="39" a="1"/>
  <c r="AA382" i="39" s="1"/>
  <c r="AA383" i="39" a="1"/>
  <c r="AA383" i="39" s="1"/>
  <c r="AA384" i="39" a="1"/>
  <c r="AA384" i="39" s="1"/>
  <c r="AA385" i="39" a="1"/>
  <c r="AA385" i="39" s="1"/>
  <c r="AA386" i="39" a="1"/>
  <c r="AA386" i="39" s="1"/>
  <c r="AA387" i="39" a="1"/>
  <c r="AA387" i="39" s="1"/>
  <c r="AA388" i="39" a="1"/>
  <c r="AA388" i="39" s="1"/>
  <c r="AA389" i="39" a="1"/>
  <c r="AA389" i="39" s="1"/>
  <c r="AA390" i="39" a="1"/>
  <c r="AA390" i="39" s="1"/>
  <c r="AA391" i="39" a="1"/>
  <c r="AA391" i="39" s="1"/>
  <c r="AA392" i="39" a="1"/>
  <c r="AA392" i="39" s="1"/>
  <c r="AA393" i="39" a="1"/>
  <c r="AA393" i="39" s="1"/>
  <c r="AA394" i="39" a="1"/>
  <c r="AA394" i="39" s="1"/>
  <c r="AA395" i="39" a="1"/>
  <c r="AA395" i="39" s="1"/>
  <c r="AA396" i="39" a="1"/>
  <c r="AA396" i="39" s="1"/>
  <c r="AA397" i="39" a="1"/>
  <c r="AA397" i="39" s="1"/>
  <c r="AA398" i="39" a="1"/>
  <c r="AA398" i="39" s="1"/>
  <c r="AA399" i="39" a="1"/>
  <c r="AA399" i="39" s="1"/>
  <c r="AA400" i="39" a="1"/>
  <c r="AA400" i="39" s="1"/>
  <c r="AA401" i="39" a="1"/>
  <c r="AA401" i="39" s="1"/>
  <c r="AA402" i="39" a="1"/>
  <c r="AA402" i="39" s="1"/>
  <c r="AA403" i="39" a="1"/>
  <c r="AA403" i="39" s="1"/>
  <c r="AA404" i="39" a="1"/>
  <c r="AA404" i="39" s="1"/>
  <c r="AA405" i="39" a="1"/>
  <c r="AA405" i="39" s="1"/>
  <c r="AA406" i="39" a="1"/>
  <c r="AA406" i="39" s="1"/>
  <c r="AA407" i="39" a="1"/>
  <c r="AA407" i="39" s="1"/>
  <c r="AA408" i="39" a="1"/>
  <c r="AA408" i="39" s="1"/>
  <c r="AA409" i="39" a="1"/>
  <c r="AA409" i="39" s="1"/>
  <c r="AA410" i="39" a="1"/>
  <c r="AA410" i="39" s="1"/>
  <c r="AA411" i="39" a="1"/>
  <c r="AA411" i="39" s="1"/>
  <c r="AA412" i="39" a="1"/>
  <c r="AA412" i="39" s="1"/>
  <c r="AA413" i="39" a="1"/>
  <c r="AA413" i="39" s="1"/>
  <c r="AA414" i="39" a="1"/>
  <c r="AA414" i="39" s="1"/>
  <c r="AA415" i="39" a="1"/>
  <c r="AA415" i="39" s="1"/>
  <c r="AA416" i="39" a="1"/>
  <c r="AA416" i="39" s="1"/>
  <c r="AA417" i="39" a="1"/>
  <c r="AA417" i="39" s="1"/>
  <c r="AA418" i="39" a="1"/>
  <c r="AA418" i="39" s="1"/>
  <c r="AA419" i="39" a="1"/>
  <c r="AA419" i="39" s="1"/>
  <c r="AA420" i="39" a="1"/>
  <c r="AA420" i="39" s="1"/>
  <c r="AA421" i="39" a="1"/>
  <c r="AA421" i="39" s="1"/>
  <c r="AA422" i="39" a="1"/>
  <c r="AA422" i="39" s="1"/>
  <c r="AA423" i="39" a="1"/>
  <c r="AA423" i="39" s="1"/>
  <c r="AA424" i="39" a="1"/>
  <c r="AA424" i="39" s="1"/>
  <c r="AA425" i="39" a="1"/>
  <c r="AA425" i="39" s="1"/>
  <c r="AA426" i="39" a="1"/>
  <c r="AA426" i="39" s="1"/>
  <c r="AA427" i="39" a="1"/>
  <c r="AA427" i="39" s="1"/>
  <c r="AA428" i="39" a="1"/>
  <c r="AA428" i="39" s="1"/>
  <c r="AA429" i="39" a="1"/>
  <c r="AA429" i="39" s="1"/>
  <c r="AA430" i="39" a="1"/>
  <c r="AA430" i="39" s="1"/>
  <c r="AA431" i="39" a="1"/>
  <c r="AA431" i="39" s="1"/>
  <c r="AA432" i="39" a="1"/>
  <c r="AA432" i="39" s="1"/>
  <c r="AA433" i="39" a="1"/>
  <c r="AA433" i="39" s="1"/>
  <c r="AA434" i="39" a="1"/>
  <c r="AA434" i="39" s="1"/>
  <c r="AA435" i="39" a="1"/>
  <c r="AA435" i="39" s="1"/>
  <c r="AA436" i="39" a="1"/>
  <c r="AA436" i="39" s="1"/>
  <c r="AA437" i="39" a="1"/>
  <c r="AA437" i="39" s="1"/>
  <c r="AA438" i="39" a="1"/>
  <c r="AA438" i="39" s="1"/>
  <c r="AA439" i="39" a="1"/>
  <c r="AA439" i="39" s="1"/>
  <c r="AA440" i="39" a="1"/>
  <c r="AA440" i="39" s="1"/>
  <c r="AA441" i="39" a="1"/>
  <c r="AA441" i="39" s="1"/>
  <c r="AA442" i="39" a="1"/>
  <c r="AA442" i="39" s="1"/>
  <c r="AA443" i="39" a="1"/>
  <c r="AA443" i="39" s="1"/>
  <c r="AA444" i="39" a="1"/>
  <c r="AA444" i="39" s="1"/>
  <c r="AA445" i="39" a="1"/>
  <c r="AA445" i="39" s="1"/>
  <c r="AA446" i="39" a="1"/>
  <c r="AA446" i="39" s="1"/>
  <c r="AA447" i="39" a="1"/>
  <c r="AA447" i="39" s="1"/>
  <c r="AA448" i="39" a="1"/>
  <c r="AA448" i="39" s="1"/>
  <c r="AA449" i="39" a="1"/>
  <c r="AA449" i="39" s="1"/>
  <c r="AA450" i="39" a="1"/>
  <c r="AA450" i="39" s="1"/>
  <c r="AA451" i="39" a="1"/>
  <c r="AA451" i="39" s="1"/>
  <c r="AA452" i="39" a="1"/>
  <c r="AA452" i="39" s="1"/>
  <c r="AA453" i="39" a="1"/>
  <c r="AA453" i="39" s="1"/>
  <c r="AA454" i="39" a="1"/>
  <c r="AA454" i="39" s="1"/>
  <c r="AA455" i="39" a="1"/>
  <c r="AA455" i="39" s="1"/>
  <c r="AA456" i="39" a="1"/>
  <c r="AA456" i="39" s="1"/>
  <c r="AA457" i="39" a="1"/>
  <c r="AA457" i="39" s="1"/>
  <c r="AA458" i="39" a="1"/>
  <c r="AA458" i="39" s="1"/>
  <c r="AA459" i="39" a="1"/>
  <c r="AA459" i="39" s="1"/>
  <c r="AA460" i="39" a="1"/>
  <c r="AA460" i="39" s="1"/>
  <c r="AA461" i="39" a="1"/>
  <c r="AA461" i="39" s="1"/>
  <c r="AA462" i="39" a="1"/>
  <c r="AA462" i="39" s="1"/>
  <c r="AA463" i="39" a="1"/>
  <c r="AA463" i="39" s="1"/>
  <c r="AA464" i="39" a="1"/>
  <c r="AA464" i="39" s="1"/>
  <c r="AA465" i="39" a="1"/>
  <c r="AA465" i="39" s="1"/>
  <c r="AA466" i="39" a="1"/>
  <c r="AA466" i="39" s="1"/>
  <c r="AA467" i="39" a="1"/>
  <c r="AA467" i="39" s="1"/>
  <c r="AA468" i="39" a="1"/>
  <c r="AA468" i="39" s="1"/>
  <c r="AA469" i="39" a="1"/>
  <c r="AA469" i="39" s="1"/>
  <c r="AA470" i="39" a="1"/>
  <c r="AA470" i="39" s="1"/>
  <c r="AA471" i="39" a="1"/>
  <c r="AA471" i="39" s="1"/>
  <c r="AA472" i="39" a="1"/>
  <c r="AA472" i="39" s="1"/>
  <c r="AA473" i="39" a="1"/>
  <c r="AA473" i="39" s="1"/>
  <c r="AA474" i="39" a="1"/>
  <c r="AA474" i="39" s="1"/>
  <c r="AA475" i="39" a="1"/>
  <c r="AA475" i="39" s="1"/>
  <c r="AA476" i="39" a="1"/>
  <c r="AA476" i="39" s="1"/>
  <c r="AA477" i="39" a="1"/>
  <c r="AA477" i="39" s="1"/>
  <c r="AA478" i="39" a="1"/>
  <c r="AA478" i="39" s="1"/>
  <c r="AA479" i="39" a="1"/>
  <c r="AA479" i="39" s="1"/>
  <c r="AA480" i="39" a="1"/>
  <c r="AA480" i="39" s="1"/>
  <c r="AA481" i="39" a="1"/>
  <c r="AA481" i="39" s="1"/>
  <c r="AA482" i="39" a="1"/>
  <c r="AA482" i="39" s="1"/>
  <c r="AA483" i="39" a="1"/>
  <c r="AA483" i="39" s="1"/>
  <c r="AA484" i="39" a="1"/>
  <c r="AA484" i="39" s="1"/>
  <c r="AA485" i="39" a="1"/>
  <c r="AA485" i="39" s="1"/>
  <c r="AA486" i="39" a="1"/>
  <c r="AA486" i="39" s="1"/>
  <c r="AA487" i="39" a="1"/>
  <c r="AA487" i="39" s="1"/>
  <c r="AA488" i="39" a="1"/>
  <c r="AA488" i="39" s="1"/>
  <c r="AA489" i="39" a="1"/>
  <c r="AA489" i="39" s="1"/>
  <c r="AA490" i="39" a="1"/>
  <c r="AA490" i="39" s="1"/>
  <c r="AA491" i="39" a="1"/>
  <c r="AA491" i="39" s="1"/>
  <c r="AA492" i="39" a="1"/>
  <c r="AA492" i="39" s="1"/>
  <c r="AA493" i="39" a="1"/>
  <c r="AA493" i="39" s="1"/>
  <c r="AA494" i="39" a="1"/>
  <c r="AA494" i="39" s="1"/>
  <c r="AA495" i="39" a="1"/>
  <c r="AA495" i="39" s="1"/>
  <c r="AA496" i="39" a="1"/>
  <c r="AA496" i="39" s="1"/>
  <c r="AA497" i="39" a="1"/>
  <c r="AA497" i="39" s="1"/>
  <c r="AA498" i="39" a="1"/>
  <c r="AA498" i="39" s="1"/>
  <c r="AA499" i="39" a="1"/>
  <c r="AA499" i="39" s="1"/>
  <c r="AA500" i="39" a="1"/>
  <c r="AA500" i="39" s="1"/>
  <c r="AA501" i="39" a="1"/>
  <c r="AA501" i="39" s="1"/>
  <c r="AA502" i="39" a="1"/>
  <c r="AA502" i="39" s="1"/>
  <c r="AA503" i="39" a="1"/>
  <c r="AA503" i="39" s="1"/>
  <c r="AA504" i="39" a="1"/>
  <c r="AA504" i="39" s="1"/>
  <c r="AA505" i="39" a="1"/>
  <c r="AA505" i="39" s="1"/>
  <c r="AA506" i="39" a="1"/>
  <c r="AA506" i="39" s="1"/>
  <c r="AA507" i="39" a="1"/>
  <c r="AA507" i="39" s="1"/>
  <c r="AA508" i="39" a="1"/>
  <c r="AA508" i="39" s="1"/>
  <c r="AA509" i="39" a="1"/>
  <c r="AA509" i="39" s="1"/>
  <c r="AA510" i="39" a="1"/>
  <c r="AA510" i="39" s="1"/>
  <c r="AA511" i="39" a="1"/>
  <c r="AA511" i="39" s="1"/>
  <c r="AA512" i="39" a="1"/>
  <c r="AA512" i="39" s="1"/>
  <c r="AA513" i="39" a="1"/>
  <c r="AA513" i="39" s="1"/>
  <c r="AA514" i="39" a="1"/>
  <c r="AA514" i="39" s="1"/>
  <c r="Z15" i="39"/>
  <c r="Z16" i="39"/>
  <c r="Z17" i="39"/>
  <c r="Z18" i="39"/>
  <c r="Z19" i="39"/>
  <c r="Z20" i="39"/>
  <c r="Z21" i="39"/>
  <c r="Z22" i="39"/>
  <c r="Z23" i="39"/>
  <c r="Z24" i="39"/>
  <c r="Z25" i="39"/>
  <c r="Z26" i="39"/>
  <c r="Z27" i="39"/>
  <c r="Z28" i="39"/>
  <c r="Z29" i="39"/>
  <c r="Z30" i="39"/>
  <c r="Z31" i="39"/>
  <c r="Z32" i="39"/>
  <c r="Z33" i="39"/>
  <c r="Z34" i="39"/>
  <c r="Z35" i="39"/>
  <c r="Z36" i="39"/>
  <c r="Z37" i="39"/>
  <c r="Z38" i="39"/>
  <c r="Z39" i="39"/>
  <c r="Z40" i="39"/>
  <c r="Z41" i="39"/>
  <c r="Z42" i="39"/>
  <c r="Z43" i="39"/>
  <c r="Z44" i="39"/>
  <c r="Z45" i="39"/>
  <c r="Z46" i="39"/>
  <c r="Z47" i="39"/>
  <c r="Z48" i="39"/>
  <c r="Z49" i="39"/>
  <c r="Z50" i="39"/>
  <c r="Z51" i="39"/>
  <c r="Z52" i="39"/>
  <c r="Z53" i="39"/>
  <c r="Z54" i="39"/>
  <c r="Z55" i="39"/>
  <c r="Z56" i="39"/>
  <c r="Z57" i="39"/>
  <c r="Z58" i="39"/>
  <c r="Z59" i="39"/>
  <c r="Z60" i="39"/>
  <c r="Z61" i="39"/>
  <c r="Z62" i="39"/>
  <c r="Z63" i="39"/>
  <c r="Z64" i="39"/>
  <c r="Z65" i="39"/>
  <c r="Z66" i="39"/>
  <c r="Z67" i="39"/>
  <c r="Z68" i="39"/>
  <c r="Z69" i="39"/>
  <c r="Z70" i="39"/>
  <c r="Z71" i="39"/>
  <c r="Z72" i="39"/>
  <c r="Z73" i="39"/>
  <c r="Z74" i="39"/>
  <c r="Z75" i="39"/>
  <c r="Z76" i="39"/>
  <c r="Z77" i="39"/>
  <c r="Z78" i="39"/>
  <c r="Z79" i="39"/>
  <c r="Z80" i="39"/>
  <c r="Z81" i="39"/>
  <c r="Z82" i="39"/>
  <c r="Z83" i="39"/>
  <c r="Z84" i="39"/>
  <c r="Z85" i="39"/>
  <c r="Z86" i="39"/>
  <c r="Z87" i="39"/>
  <c r="Z88" i="39"/>
  <c r="Z89" i="39"/>
  <c r="Z90" i="39"/>
  <c r="Z91" i="39"/>
  <c r="Z92" i="39"/>
  <c r="Z93" i="39"/>
  <c r="Z94" i="39"/>
  <c r="Z95" i="39"/>
  <c r="Z96" i="39"/>
  <c r="Z97" i="39"/>
  <c r="Z98" i="39"/>
  <c r="Z99" i="39"/>
  <c r="Z100" i="39"/>
  <c r="Z101" i="39"/>
  <c r="Z102" i="39"/>
  <c r="Z103" i="39"/>
  <c r="Z104" i="39"/>
  <c r="Z105" i="39"/>
  <c r="Z106" i="39"/>
  <c r="Z107" i="39"/>
  <c r="Z108" i="39"/>
  <c r="Z109" i="39"/>
  <c r="Z110" i="39"/>
  <c r="Z111" i="39"/>
  <c r="Z112" i="39"/>
  <c r="Z113" i="39"/>
  <c r="Z114" i="39"/>
  <c r="Z115" i="39"/>
  <c r="Z116" i="39"/>
  <c r="Z117" i="39"/>
  <c r="Z118" i="39"/>
  <c r="Z119" i="39"/>
  <c r="Z120" i="39"/>
  <c r="Z121" i="39"/>
  <c r="Z122" i="39"/>
  <c r="Z123" i="39"/>
  <c r="Z124" i="39"/>
  <c r="Z125" i="39"/>
  <c r="Z126" i="39"/>
  <c r="Z127" i="39"/>
  <c r="Z128" i="39"/>
  <c r="Z129" i="39"/>
  <c r="Z130" i="39"/>
  <c r="Z131" i="39"/>
  <c r="Z132" i="39"/>
  <c r="Z133" i="39"/>
  <c r="Z134" i="39"/>
  <c r="Z135" i="39"/>
  <c r="Z136" i="39"/>
  <c r="Z137" i="39"/>
  <c r="Z138" i="39"/>
  <c r="Z139" i="39"/>
  <c r="Z140" i="39"/>
  <c r="Z141" i="39"/>
  <c r="Z142" i="39"/>
  <c r="Z143" i="39"/>
  <c r="Z144" i="39"/>
  <c r="Z145" i="39"/>
  <c r="Z146" i="39"/>
  <c r="Z147" i="39"/>
  <c r="Z148" i="39"/>
  <c r="Z149" i="39"/>
  <c r="Z150" i="39"/>
  <c r="Z151" i="39"/>
  <c r="Z152" i="39"/>
  <c r="Z153" i="39"/>
  <c r="Z154" i="39"/>
  <c r="Z155" i="39"/>
  <c r="Z156" i="39"/>
  <c r="Z157" i="39"/>
  <c r="Z158" i="39"/>
  <c r="Z159" i="39"/>
  <c r="Z160" i="39"/>
  <c r="Z161" i="39"/>
  <c r="Z162" i="39"/>
  <c r="Z163" i="39"/>
  <c r="Z164" i="39"/>
  <c r="Z165" i="39"/>
  <c r="Z166" i="39"/>
  <c r="Z167" i="39"/>
  <c r="Z168" i="39"/>
  <c r="Z169" i="39"/>
  <c r="Z170" i="39"/>
  <c r="Z171" i="39"/>
  <c r="Z172" i="39"/>
  <c r="Z173" i="39"/>
  <c r="Z174" i="39"/>
  <c r="Z175" i="39"/>
  <c r="Z176" i="39"/>
  <c r="Z177" i="39"/>
  <c r="Z178" i="39"/>
  <c r="Z179" i="39"/>
  <c r="Z180" i="39"/>
  <c r="Z181" i="39"/>
  <c r="Z182" i="39"/>
  <c r="Z183" i="39"/>
  <c r="Z184" i="39"/>
  <c r="Z185" i="39"/>
  <c r="Z186" i="39"/>
  <c r="Z187" i="39"/>
  <c r="Z188" i="39"/>
  <c r="Z189" i="39"/>
  <c r="Z190" i="39"/>
  <c r="Z191" i="39"/>
  <c r="Z192" i="39"/>
  <c r="Z193" i="39"/>
  <c r="Z194" i="39"/>
  <c r="Z195" i="39"/>
  <c r="Z196" i="39"/>
  <c r="Z197" i="39"/>
  <c r="Z198" i="39"/>
  <c r="Z199" i="39"/>
  <c r="Z200" i="39"/>
  <c r="Z201" i="39"/>
  <c r="Z202" i="39"/>
  <c r="Z203" i="39"/>
  <c r="Z204" i="39"/>
  <c r="Z205" i="39"/>
  <c r="Z206" i="39"/>
  <c r="Z207" i="39"/>
  <c r="Z208" i="39"/>
  <c r="Z209" i="39"/>
  <c r="Z210" i="39"/>
  <c r="Z211" i="39"/>
  <c r="Z212" i="39"/>
  <c r="Z213" i="39"/>
  <c r="Z214" i="39"/>
  <c r="Z215" i="39"/>
  <c r="Z216" i="39"/>
  <c r="Z217" i="39"/>
  <c r="Z218" i="39"/>
  <c r="Z219" i="39"/>
  <c r="Z220" i="39"/>
  <c r="Z221" i="39"/>
  <c r="Z222" i="39"/>
  <c r="Z223" i="39"/>
  <c r="Z224" i="39"/>
  <c r="Z225" i="39"/>
  <c r="Z226" i="39"/>
  <c r="Z227" i="39"/>
  <c r="Z228" i="39"/>
  <c r="Z229" i="39"/>
  <c r="Z230" i="39"/>
  <c r="Z231" i="39"/>
  <c r="Z232" i="39"/>
  <c r="Z233" i="39"/>
  <c r="Z234" i="39"/>
  <c r="Z235" i="39"/>
  <c r="Z236" i="39"/>
  <c r="Z237" i="39"/>
  <c r="Z238" i="39"/>
  <c r="Z239" i="39"/>
  <c r="Z240" i="39"/>
  <c r="Z241" i="39"/>
  <c r="Z242" i="39"/>
  <c r="Z243" i="39"/>
  <c r="Z244" i="39"/>
  <c r="Z245" i="39"/>
  <c r="Z246" i="39"/>
  <c r="Z247" i="39"/>
  <c r="Z248" i="39"/>
  <c r="Z249" i="39"/>
  <c r="Z250" i="39"/>
  <c r="Z251" i="39"/>
  <c r="Z252" i="39"/>
  <c r="Z253" i="39"/>
  <c r="Z254" i="39"/>
  <c r="Z255" i="39"/>
  <c r="Z256" i="39"/>
  <c r="Z257" i="39"/>
  <c r="Z258" i="39"/>
  <c r="Z259" i="39"/>
  <c r="Z260" i="39"/>
  <c r="Z261" i="39"/>
  <c r="Z262" i="39"/>
  <c r="Z263" i="39"/>
  <c r="Z264" i="39"/>
  <c r="Z265" i="39"/>
  <c r="Z266" i="39"/>
  <c r="Z267" i="39"/>
  <c r="Z268" i="39"/>
  <c r="Z269" i="39"/>
  <c r="Z270" i="39"/>
  <c r="Z271" i="39"/>
  <c r="Z272" i="39"/>
  <c r="Z273" i="39"/>
  <c r="Z274" i="39"/>
  <c r="Z275" i="39"/>
  <c r="Z276" i="39"/>
  <c r="Z277" i="39"/>
  <c r="Z278" i="39"/>
  <c r="Z279" i="39"/>
  <c r="Z280" i="39"/>
  <c r="Z281" i="39"/>
  <c r="Z282" i="39"/>
  <c r="Z283" i="39"/>
  <c r="Z284" i="39"/>
  <c r="Z285" i="39"/>
  <c r="Z286" i="39"/>
  <c r="Z287" i="39"/>
  <c r="Z288" i="39"/>
  <c r="Z289" i="39"/>
  <c r="Z290" i="39"/>
  <c r="Z291" i="39"/>
  <c r="Z292" i="39"/>
  <c r="Z293" i="39"/>
  <c r="Z294" i="39"/>
  <c r="Z295" i="39"/>
  <c r="Z296" i="39"/>
  <c r="Z297" i="39"/>
  <c r="Z298" i="39"/>
  <c r="Z299" i="39"/>
  <c r="Z300" i="39"/>
  <c r="Z301" i="39"/>
  <c r="Z302" i="39"/>
  <c r="Z303" i="39"/>
  <c r="Z304" i="39"/>
  <c r="Z305" i="39"/>
  <c r="Z306" i="39"/>
  <c r="Z307" i="39"/>
  <c r="Z308" i="39"/>
  <c r="Z309" i="39"/>
  <c r="Z310" i="39"/>
  <c r="Z311" i="39"/>
  <c r="Z312" i="39"/>
  <c r="Z313" i="39"/>
  <c r="Z314" i="39"/>
  <c r="Z315" i="39"/>
  <c r="Z316" i="39"/>
  <c r="Z317" i="39"/>
  <c r="Z318" i="39"/>
  <c r="Z319" i="39"/>
  <c r="Z320" i="39"/>
  <c r="Z321" i="39"/>
  <c r="Z322" i="39"/>
  <c r="Z323" i="39"/>
  <c r="Z324" i="39"/>
  <c r="Z325" i="39"/>
  <c r="Z326" i="39"/>
  <c r="Z327" i="39"/>
  <c r="Z328" i="39"/>
  <c r="Z329" i="39"/>
  <c r="Z330" i="39"/>
  <c r="Z331" i="39"/>
  <c r="Z332" i="39"/>
  <c r="Z333" i="39"/>
  <c r="Z334" i="39"/>
  <c r="Z335" i="39"/>
  <c r="Z336" i="39"/>
  <c r="Z337" i="39"/>
  <c r="Z338" i="39"/>
  <c r="Z339" i="39"/>
  <c r="Z340" i="39"/>
  <c r="Z341" i="39"/>
  <c r="Z342" i="39"/>
  <c r="Z343" i="39"/>
  <c r="Z344" i="39"/>
  <c r="Z345" i="39"/>
  <c r="Z346" i="39"/>
  <c r="Z347" i="39"/>
  <c r="Z348" i="39"/>
  <c r="Z349" i="39"/>
  <c r="Z350" i="39"/>
  <c r="Z351" i="39"/>
  <c r="Z352" i="39"/>
  <c r="Z353" i="39"/>
  <c r="Z354" i="39"/>
  <c r="Z355" i="39"/>
  <c r="Z356" i="39"/>
  <c r="Z357" i="39"/>
  <c r="Z358" i="39"/>
  <c r="Z359" i="39"/>
  <c r="Z360" i="39"/>
  <c r="Z361" i="39"/>
  <c r="Z362" i="39"/>
  <c r="Z363" i="39"/>
  <c r="Z364" i="39"/>
  <c r="Z365" i="39"/>
  <c r="Z366" i="39"/>
  <c r="Z367" i="39"/>
  <c r="Z368" i="39"/>
  <c r="Z369" i="39"/>
  <c r="Z370" i="39"/>
  <c r="Z371" i="39"/>
  <c r="Z372" i="39"/>
  <c r="Z373" i="39"/>
  <c r="Z374" i="39"/>
  <c r="Z375" i="39"/>
  <c r="Z376" i="39"/>
  <c r="Z377" i="39"/>
  <c r="Z378" i="39"/>
  <c r="Z379" i="39"/>
  <c r="Z380" i="39"/>
  <c r="Z381" i="39"/>
  <c r="Z382" i="39"/>
  <c r="Z383" i="39"/>
  <c r="Z384" i="39"/>
  <c r="Z385" i="39"/>
  <c r="Z386" i="39"/>
  <c r="Z387" i="39"/>
  <c r="Z388" i="39"/>
  <c r="Z389" i="39"/>
  <c r="Z390" i="39"/>
  <c r="Z391" i="39"/>
  <c r="Z392" i="39"/>
  <c r="Z393" i="39"/>
  <c r="Z394" i="39"/>
  <c r="Z395" i="39"/>
  <c r="Z396" i="39"/>
  <c r="Z397" i="39"/>
  <c r="Z398" i="39"/>
  <c r="Z399" i="39"/>
  <c r="Z400" i="39"/>
  <c r="Z401" i="39"/>
  <c r="Z402" i="39"/>
  <c r="Z403" i="39"/>
  <c r="Z404" i="39"/>
  <c r="Z405" i="39"/>
  <c r="Z406" i="39"/>
  <c r="Z407" i="39"/>
  <c r="Z408" i="39"/>
  <c r="Z409" i="39"/>
  <c r="Z410" i="39"/>
  <c r="Z411" i="39"/>
  <c r="Z412" i="39"/>
  <c r="Z413" i="39"/>
  <c r="Z414" i="39"/>
  <c r="Z415" i="39"/>
  <c r="Z416" i="39"/>
  <c r="Z417" i="39"/>
  <c r="Z418" i="39"/>
  <c r="Z419" i="39"/>
  <c r="Z420" i="39"/>
  <c r="Z421" i="39"/>
  <c r="Z422" i="39"/>
  <c r="Z423" i="39"/>
  <c r="Z424" i="39"/>
  <c r="Z425" i="39"/>
  <c r="Z426" i="39"/>
  <c r="Z427" i="39"/>
  <c r="Z428" i="39"/>
  <c r="Z429" i="39"/>
  <c r="Z430" i="39"/>
  <c r="Z431" i="39"/>
  <c r="Z432" i="39"/>
  <c r="Z433" i="39"/>
  <c r="Z434" i="39"/>
  <c r="Z435" i="39"/>
  <c r="Z436" i="39"/>
  <c r="Z437" i="39"/>
  <c r="Z438" i="39"/>
  <c r="Z439" i="39"/>
  <c r="Z440" i="39"/>
  <c r="Z441" i="39"/>
  <c r="Z442" i="39"/>
  <c r="Z443" i="39"/>
  <c r="Z444" i="39"/>
  <c r="Z445" i="39"/>
  <c r="Z446" i="39"/>
  <c r="Z447" i="39"/>
  <c r="Z448" i="39"/>
  <c r="Z449" i="39"/>
  <c r="Z450" i="39"/>
  <c r="Z451" i="39"/>
  <c r="Z452" i="39"/>
  <c r="Z453" i="39"/>
  <c r="Z454" i="39"/>
  <c r="Z455" i="39"/>
  <c r="Z456" i="39"/>
  <c r="Z457" i="39"/>
  <c r="Z458" i="39"/>
  <c r="Z459" i="39"/>
  <c r="Z460" i="39"/>
  <c r="Z461" i="39"/>
  <c r="Z462" i="39"/>
  <c r="Z463" i="39"/>
  <c r="Z464" i="39"/>
  <c r="Z465" i="39"/>
  <c r="Z466" i="39"/>
  <c r="Z467" i="39"/>
  <c r="Z468" i="39"/>
  <c r="Z469" i="39"/>
  <c r="Z470" i="39"/>
  <c r="Z471" i="39"/>
  <c r="Z472" i="39"/>
  <c r="Z473" i="39"/>
  <c r="Z474" i="39"/>
  <c r="Z475" i="39"/>
  <c r="Z476" i="39"/>
  <c r="Z477" i="39"/>
  <c r="Z478" i="39"/>
  <c r="Z479" i="39"/>
  <c r="Z480" i="39"/>
  <c r="Z481" i="39"/>
  <c r="Z482" i="39"/>
  <c r="Z483" i="39"/>
  <c r="Z484" i="39"/>
  <c r="Z485" i="39"/>
  <c r="Z486" i="39"/>
  <c r="Z487" i="39"/>
  <c r="Z488" i="39"/>
  <c r="Z489" i="39"/>
  <c r="Z490" i="39"/>
  <c r="Z491" i="39"/>
  <c r="Z492" i="39"/>
  <c r="Z493" i="39"/>
  <c r="Z494" i="39"/>
  <c r="Z495" i="39"/>
  <c r="Z496" i="39"/>
  <c r="Z497" i="39"/>
  <c r="Z498" i="39"/>
  <c r="Z499" i="39"/>
  <c r="Z500" i="39"/>
  <c r="Z501" i="39"/>
  <c r="Z502" i="39"/>
  <c r="Z503" i="39"/>
  <c r="Z504" i="39"/>
  <c r="Z505" i="39"/>
  <c r="Z506" i="39"/>
  <c r="Z507" i="39"/>
  <c r="Z508" i="39"/>
  <c r="Z509" i="39"/>
  <c r="Z510" i="39"/>
  <c r="Z511" i="39"/>
  <c r="Z512" i="39"/>
  <c r="Z513" i="39"/>
  <c r="Z514" i="39"/>
  <c r="Y15" i="39"/>
  <c r="Y16" i="39"/>
  <c r="Y17" i="39"/>
  <c r="Y18" i="39"/>
  <c r="Y19" i="39"/>
  <c r="Y20" i="39"/>
  <c r="Y21" i="39"/>
  <c r="Y22" i="39"/>
  <c r="Y23" i="39"/>
  <c r="Y24" i="39"/>
  <c r="Y25" i="39"/>
  <c r="Y26" i="39"/>
  <c r="Y27" i="39"/>
  <c r="Y28" i="39"/>
  <c r="Y29" i="39"/>
  <c r="Y30" i="39"/>
  <c r="Y31" i="39"/>
  <c r="Y32" i="39"/>
  <c r="Y33" i="39"/>
  <c r="Y34" i="39"/>
  <c r="Y35" i="39"/>
  <c r="Y36" i="39"/>
  <c r="Y37" i="39"/>
  <c r="Y38" i="39"/>
  <c r="Y39" i="39"/>
  <c r="Y40" i="39"/>
  <c r="Y41" i="39"/>
  <c r="Y42" i="39"/>
  <c r="Y43" i="39"/>
  <c r="Y44" i="39"/>
  <c r="Y45" i="39"/>
  <c r="Y46" i="39"/>
  <c r="Y47" i="39"/>
  <c r="Y48" i="39"/>
  <c r="Y49" i="39"/>
  <c r="Y50" i="39"/>
  <c r="Y51" i="39"/>
  <c r="Y52" i="39"/>
  <c r="Y53" i="39"/>
  <c r="Y54" i="39"/>
  <c r="Y55" i="39"/>
  <c r="Y56" i="39"/>
  <c r="Y57" i="39"/>
  <c r="Y58" i="39"/>
  <c r="Y59" i="39"/>
  <c r="Y60" i="39"/>
  <c r="Y61" i="39"/>
  <c r="Y62" i="39"/>
  <c r="Y63" i="39"/>
  <c r="Y64" i="39"/>
  <c r="Y65" i="39"/>
  <c r="Y66" i="39"/>
  <c r="Y67" i="39"/>
  <c r="Y68" i="39"/>
  <c r="Y69" i="39"/>
  <c r="Y70" i="39"/>
  <c r="Y71" i="39"/>
  <c r="Y72" i="39"/>
  <c r="Y73" i="39"/>
  <c r="Y74" i="39"/>
  <c r="Y75" i="39"/>
  <c r="Y76" i="39"/>
  <c r="Y77" i="39"/>
  <c r="Y78" i="39"/>
  <c r="Y79" i="39"/>
  <c r="Y80" i="39"/>
  <c r="Y81" i="39"/>
  <c r="Y82" i="39"/>
  <c r="Y83" i="39"/>
  <c r="Y84" i="39"/>
  <c r="Y85" i="39"/>
  <c r="Y86" i="39"/>
  <c r="Y87" i="39"/>
  <c r="Y88" i="39"/>
  <c r="Y89" i="39"/>
  <c r="Y90" i="39"/>
  <c r="Y91" i="39"/>
  <c r="Y92" i="39"/>
  <c r="Y93" i="39"/>
  <c r="Y94" i="39"/>
  <c r="Y95" i="39"/>
  <c r="Y96" i="39"/>
  <c r="Y97" i="39"/>
  <c r="Y98" i="39"/>
  <c r="Y99" i="39"/>
  <c r="Y100" i="39"/>
  <c r="Y101" i="39"/>
  <c r="Y102" i="39"/>
  <c r="Y103" i="39"/>
  <c r="Y104" i="39"/>
  <c r="Y105" i="39"/>
  <c r="Y106" i="39"/>
  <c r="Y107" i="39"/>
  <c r="Y108" i="39"/>
  <c r="Y109" i="39"/>
  <c r="Y110" i="39"/>
  <c r="Y111" i="39"/>
  <c r="Y112" i="39"/>
  <c r="Y113" i="39"/>
  <c r="Y114" i="39"/>
  <c r="Y115" i="39"/>
  <c r="Y116" i="39"/>
  <c r="Y117" i="39"/>
  <c r="Y118" i="39"/>
  <c r="Y119" i="39"/>
  <c r="Y120" i="39"/>
  <c r="Y121" i="39"/>
  <c r="Y122" i="39"/>
  <c r="Y123" i="39"/>
  <c r="Y124" i="39"/>
  <c r="Y125" i="39"/>
  <c r="Y126" i="39"/>
  <c r="Y127" i="39"/>
  <c r="Y128" i="39"/>
  <c r="Y129" i="39"/>
  <c r="Y130" i="39"/>
  <c r="Y131" i="39"/>
  <c r="Y132" i="39"/>
  <c r="Y133" i="39"/>
  <c r="Y134" i="39"/>
  <c r="Y135" i="39"/>
  <c r="Y136" i="39"/>
  <c r="Y137" i="39"/>
  <c r="Y138" i="39"/>
  <c r="Y139" i="39"/>
  <c r="Y140" i="39"/>
  <c r="Y141" i="39"/>
  <c r="Y142" i="39"/>
  <c r="Y143" i="39"/>
  <c r="Y144" i="39"/>
  <c r="Y145" i="39"/>
  <c r="Y146" i="39"/>
  <c r="Y147" i="39"/>
  <c r="Y148" i="39"/>
  <c r="Y149" i="39"/>
  <c r="Y150" i="39"/>
  <c r="Y151" i="39"/>
  <c r="Y152" i="39"/>
  <c r="Y153" i="39"/>
  <c r="Y154" i="39"/>
  <c r="Y155" i="39"/>
  <c r="Y156" i="39"/>
  <c r="Y157" i="39"/>
  <c r="Y158" i="39"/>
  <c r="Y159" i="39"/>
  <c r="Y160" i="39"/>
  <c r="Y161" i="39"/>
  <c r="Y162" i="39"/>
  <c r="Y163" i="39"/>
  <c r="Y164" i="39"/>
  <c r="Y165" i="39"/>
  <c r="Y166" i="39"/>
  <c r="Y167" i="39"/>
  <c r="Y168" i="39"/>
  <c r="Y169" i="39"/>
  <c r="Y170" i="39"/>
  <c r="Y171" i="39"/>
  <c r="Y172" i="39"/>
  <c r="Y173" i="39"/>
  <c r="Y174" i="39"/>
  <c r="Y175" i="39"/>
  <c r="Y176" i="39"/>
  <c r="Y177" i="39"/>
  <c r="Y178" i="39"/>
  <c r="Y179" i="39"/>
  <c r="Y180" i="39"/>
  <c r="Y181" i="39"/>
  <c r="Y182" i="39"/>
  <c r="Y183" i="39"/>
  <c r="Y184" i="39"/>
  <c r="Y185" i="39"/>
  <c r="Y186" i="39"/>
  <c r="Y187" i="39"/>
  <c r="Y188" i="39"/>
  <c r="Y189" i="39"/>
  <c r="Y190" i="39"/>
  <c r="Y191" i="39"/>
  <c r="Y192" i="39"/>
  <c r="Y193" i="39"/>
  <c r="Y194" i="39"/>
  <c r="Y195" i="39"/>
  <c r="Y196" i="39"/>
  <c r="Y197" i="39"/>
  <c r="Y198" i="39"/>
  <c r="Y199" i="39"/>
  <c r="Y200" i="39"/>
  <c r="Y201" i="39"/>
  <c r="Y202" i="39"/>
  <c r="Y203" i="39"/>
  <c r="Y204" i="39"/>
  <c r="Y205" i="39"/>
  <c r="Y206" i="39"/>
  <c r="Y207" i="39"/>
  <c r="Y208" i="39"/>
  <c r="Y209" i="39"/>
  <c r="Y210" i="39"/>
  <c r="Y211" i="39"/>
  <c r="Y212" i="39"/>
  <c r="Y213" i="39"/>
  <c r="Y214" i="39"/>
  <c r="Y215" i="39"/>
  <c r="Y216" i="39"/>
  <c r="Y217" i="39"/>
  <c r="Y218" i="39"/>
  <c r="Y219" i="39"/>
  <c r="Y220" i="39"/>
  <c r="Y221" i="39"/>
  <c r="Y222" i="39"/>
  <c r="Y223" i="39"/>
  <c r="Y224" i="39"/>
  <c r="Y225" i="39"/>
  <c r="Y226" i="39"/>
  <c r="Y227" i="39"/>
  <c r="Y228" i="39"/>
  <c r="Y229" i="39"/>
  <c r="Y230" i="39"/>
  <c r="Y231" i="39"/>
  <c r="Y232" i="39"/>
  <c r="Y233" i="39"/>
  <c r="Y234" i="39"/>
  <c r="Y235" i="39"/>
  <c r="Y236" i="39"/>
  <c r="Y237" i="39"/>
  <c r="Y238" i="39"/>
  <c r="Y239" i="39"/>
  <c r="Y240" i="39"/>
  <c r="Y241" i="39"/>
  <c r="Y242" i="39"/>
  <c r="Y243" i="39"/>
  <c r="Y244" i="39"/>
  <c r="Y245" i="39"/>
  <c r="Y246" i="39"/>
  <c r="Y247" i="39"/>
  <c r="Y248" i="39"/>
  <c r="Y249" i="39"/>
  <c r="Y250" i="39"/>
  <c r="Y251" i="39"/>
  <c r="Y252" i="39"/>
  <c r="Y253" i="39"/>
  <c r="Y254" i="39"/>
  <c r="Y255" i="39"/>
  <c r="Y256" i="39"/>
  <c r="Y257" i="39"/>
  <c r="Y258" i="39"/>
  <c r="Y259" i="39"/>
  <c r="Y260" i="39"/>
  <c r="Y261" i="39"/>
  <c r="Y262" i="39"/>
  <c r="Y263" i="39"/>
  <c r="Y264" i="39"/>
  <c r="Y265" i="39"/>
  <c r="Y266" i="39"/>
  <c r="Y267" i="39"/>
  <c r="Y268" i="39"/>
  <c r="Y269" i="39"/>
  <c r="Y270" i="39"/>
  <c r="Y271" i="39"/>
  <c r="Y272" i="39"/>
  <c r="Y273" i="39"/>
  <c r="Y274" i="39"/>
  <c r="Y275" i="39"/>
  <c r="Y276" i="39"/>
  <c r="Y277" i="39"/>
  <c r="Y278" i="39"/>
  <c r="Y279" i="39"/>
  <c r="Y280" i="39"/>
  <c r="Y281" i="39"/>
  <c r="Y282" i="39"/>
  <c r="Y283" i="39"/>
  <c r="Y284" i="39"/>
  <c r="Y285" i="39"/>
  <c r="Y286" i="39"/>
  <c r="Y287" i="39"/>
  <c r="Y288" i="39"/>
  <c r="Y289" i="39"/>
  <c r="Y290" i="39"/>
  <c r="Y291" i="39"/>
  <c r="Y292" i="39"/>
  <c r="Y293" i="39"/>
  <c r="Y294" i="39"/>
  <c r="Y295" i="39"/>
  <c r="Y296" i="39"/>
  <c r="Y297" i="39"/>
  <c r="Y298" i="39"/>
  <c r="Y299" i="39"/>
  <c r="Y300" i="39"/>
  <c r="Y301" i="39"/>
  <c r="Y302" i="39"/>
  <c r="Y303" i="39"/>
  <c r="Y304" i="39"/>
  <c r="Y305" i="39"/>
  <c r="Y306" i="39"/>
  <c r="Y307" i="39"/>
  <c r="Y308" i="39"/>
  <c r="Y309" i="39"/>
  <c r="Y310" i="39"/>
  <c r="Y311" i="39"/>
  <c r="Y312" i="39"/>
  <c r="Y313" i="39"/>
  <c r="Y314" i="39"/>
  <c r="Y315" i="39"/>
  <c r="Y316" i="39"/>
  <c r="Y317" i="39"/>
  <c r="Y318" i="39"/>
  <c r="Y319" i="39"/>
  <c r="Y320" i="39"/>
  <c r="Y321" i="39"/>
  <c r="Y322" i="39"/>
  <c r="Y323" i="39"/>
  <c r="Y324" i="39"/>
  <c r="Y325" i="39"/>
  <c r="Y326" i="39"/>
  <c r="Y327" i="39"/>
  <c r="Y328" i="39"/>
  <c r="Y329" i="39"/>
  <c r="Y330" i="39"/>
  <c r="Y331" i="39"/>
  <c r="Y332" i="39"/>
  <c r="Y333" i="39"/>
  <c r="Y334" i="39"/>
  <c r="Y335" i="39"/>
  <c r="Y336" i="39"/>
  <c r="Y337" i="39"/>
  <c r="Y338" i="39"/>
  <c r="Y339" i="39"/>
  <c r="Y340" i="39"/>
  <c r="Y341" i="39"/>
  <c r="Y342" i="39"/>
  <c r="Y343" i="39"/>
  <c r="Y344" i="39"/>
  <c r="Y345" i="39"/>
  <c r="Y346" i="39"/>
  <c r="Y347" i="39"/>
  <c r="Y348" i="39"/>
  <c r="Y349" i="39"/>
  <c r="Y350" i="39"/>
  <c r="Y351" i="39"/>
  <c r="Y352" i="39"/>
  <c r="Y353" i="39"/>
  <c r="Y354" i="39"/>
  <c r="Y355" i="39"/>
  <c r="Y356" i="39"/>
  <c r="Y357" i="39"/>
  <c r="Y358" i="39"/>
  <c r="Y359" i="39"/>
  <c r="Y360" i="39"/>
  <c r="Y361" i="39"/>
  <c r="Y362" i="39"/>
  <c r="Y363" i="39"/>
  <c r="Y364" i="39"/>
  <c r="Y365" i="39"/>
  <c r="Y366" i="39"/>
  <c r="Y367" i="39"/>
  <c r="Y368" i="39"/>
  <c r="Y369" i="39"/>
  <c r="Y370" i="39"/>
  <c r="Y371" i="39"/>
  <c r="Y372" i="39"/>
  <c r="Y373" i="39"/>
  <c r="Y374" i="39"/>
  <c r="Y375" i="39"/>
  <c r="Y376" i="39"/>
  <c r="Y377" i="39"/>
  <c r="Y378" i="39"/>
  <c r="Y379" i="39"/>
  <c r="Y380" i="39"/>
  <c r="Y381" i="39"/>
  <c r="Y382" i="39"/>
  <c r="Y383" i="39"/>
  <c r="Y384" i="39"/>
  <c r="Y385" i="39"/>
  <c r="Y386" i="39"/>
  <c r="Y387" i="39"/>
  <c r="Y388" i="39"/>
  <c r="Y389" i="39"/>
  <c r="Y390" i="39"/>
  <c r="Y391" i="39"/>
  <c r="Y392" i="39"/>
  <c r="Y393" i="39"/>
  <c r="Y394" i="39"/>
  <c r="Y395" i="39"/>
  <c r="Y396" i="39"/>
  <c r="Y397" i="39"/>
  <c r="Y398" i="39"/>
  <c r="Y399" i="39"/>
  <c r="Y400" i="39"/>
  <c r="Y401" i="39"/>
  <c r="Y402" i="39"/>
  <c r="Y403" i="39"/>
  <c r="Y404" i="39"/>
  <c r="Y405" i="39"/>
  <c r="Y406" i="39"/>
  <c r="Y407" i="39"/>
  <c r="Y408" i="39"/>
  <c r="Y409" i="39"/>
  <c r="Y410" i="39"/>
  <c r="Y411" i="39"/>
  <c r="Y412" i="39"/>
  <c r="Y413" i="39"/>
  <c r="Y414" i="39"/>
  <c r="Y415" i="39"/>
  <c r="Y416" i="39"/>
  <c r="Y417" i="39"/>
  <c r="Y418" i="39"/>
  <c r="Y419" i="39"/>
  <c r="Y420" i="39"/>
  <c r="Y421" i="39"/>
  <c r="Y422" i="39"/>
  <c r="Y423" i="39"/>
  <c r="Y424" i="39"/>
  <c r="Y425" i="39"/>
  <c r="Y426" i="39"/>
  <c r="Y427" i="39"/>
  <c r="Y428" i="39"/>
  <c r="Y429" i="39"/>
  <c r="Y430" i="39"/>
  <c r="Y431" i="39"/>
  <c r="Y432" i="39"/>
  <c r="Y433" i="39"/>
  <c r="Y434" i="39"/>
  <c r="Y435" i="39"/>
  <c r="Y436" i="39"/>
  <c r="Y437" i="39"/>
  <c r="Y438" i="39"/>
  <c r="Y439" i="39"/>
  <c r="Y440" i="39"/>
  <c r="Y441" i="39"/>
  <c r="Y442" i="39"/>
  <c r="Y443" i="39"/>
  <c r="Y444" i="39"/>
  <c r="Y445" i="39"/>
  <c r="Y446" i="39"/>
  <c r="Y447" i="39"/>
  <c r="Y448" i="39"/>
  <c r="Y449" i="39"/>
  <c r="Y450" i="39"/>
  <c r="Y451" i="39"/>
  <c r="Y452" i="39"/>
  <c r="Y453" i="39"/>
  <c r="Y454" i="39"/>
  <c r="Y455" i="39"/>
  <c r="Y456" i="39"/>
  <c r="Y457" i="39"/>
  <c r="Y458" i="39"/>
  <c r="Y459" i="39"/>
  <c r="Y460" i="39"/>
  <c r="Y461" i="39"/>
  <c r="Y462" i="39"/>
  <c r="Y463" i="39"/>
  <c r="Y464" i="39"/>
  <c r="Y465" i="39"/>
  <c r="Y466" i="39"/>
  <c r="Y467" i="39"/>
  <c r="Y468" i="39"/>
  <c r="Y469" i="39"/>
  <c r="Y470" i="39"/>
  <c r="Y471" i="39"/>
  <c r="Y472" i="39"/>
  <c r="Y473" i="39"/>
  <c r="Y474" i="39"/>
  <c r="Y475" i="39"/>
  <c r="Y476" i="39"/>
  <c r="Y477" i="39"/>
  <c r="Y478" i="39"/>
  <c r="Y479" i="39"/>
  <c r="Y480" i="39"/>
  <c r="Y481" i="39"/>
  <c r="Y482" i="39"/>
  <c r="Y483" i="39"/>
  <c r="Y484" i="39"/>
  <c r="Y485" i="39"/>
  <c r="Y486" i="39"/>
  <c r="Y487" i="39"/>
  <c r="Y488" i="39"/>
  <c r="Y489" i="39"/>
  <c r="Y490" i="39"/>
  <c r="Y491" i="39"/>
  <c r="Y492" i="39"/>
  <c r="Y493" i="39"/>
  <c r="Y494" i="39"/>
  <c r="Y495" i="39"/>
  <c r="Y496" i="39"/>
  <c r="Y497" i="39"/>
  <c r="Y498" i="39"/>
  <c r="Y499" i="39"/>
  <c r="Y500" i="39"/>
  <c r="Y501" i="39"/>
  <c r="Y502" i="39"/>
  <c r="Y503" i="39"/>
  <c r="Y504" i="39"/>
  <c r="Y505" i="39"/>
  <c r="Y506" i="39"/>
  <c r="Y507" i="39"/>
  <c r="Y508" i="39"/>
  <c r="Y509" i="39"/>
  <c r="Y510" i="39"/>
  <c r="Y511" i="39"/>
  <c r="Y512" i="39"/>
  <c r="Y513" i="39"/>
  <c r="Y514" i="39"/>
  <c r="X15" i="39"/>
  <c r="T15" i="39" s="1"/>
  <c r="X16" i="39"/>
  <c r="X17" i="39"/>
  <c r="X18" i="39"/>
  <c r="X19" i="39"/>
  <c r="T19" i="39" s="1"/>
  <c r="X20" i="39"/>
  <c r="T20" i="39" s="1"/>
  <c r="X21" i="39"/>
  <c r="T21" i="39" s="1"/>
  <c r="X22" i="39"/>
  <c r="T22" i="39" s="1"/>
  <c r="X23" i="39"/>
  <c r="T23" i="39" s="1"/>
  <c r="X24" i="39"/>
  <c r="T24" i="39" s="1"/>
  <c r="X25" i="39"/>
  <c r="X26" i="39"/>
  <c r="X27" i="39"/>
  <c r="T27" i="39" s="1"/>
  <c r="X28" i="39"/>
  <c r="T28" i="39" s="1"/>
  <c r="X29" i="39"/>
  <c r="T29" i="39" s="1"/>
  <c r="X30" i="39"/>
  <c r="T30" i="39" s="1"/>
  <c r="X31" i="39"/>
  <c r="X32" i="39"/>
  <c r="X33" i="39"/>
  <c r="X34" i="39"/>
  <c r="X35" i="39"/>
  <c r="T35" i="39" s="1"/>
  <c r="X36" i="39"/>
  <c r="T36" i="39" s="1"/>
  <c r="X37" i="39"/>
  <c r="T37" i="39" s="1"/>
  <c r="X38" i="39"/>
  <c r="X39" i="39"/>
  <c r="X40" i="39"/>
  <c r="X41" i="39"/>
  <c r="T41" i="39" s="1"/>
  <c r="X42" i="39"/>
  <c r="X43" i="39"/>
  <c r="T43" i="39" s="1"/>
  <c r="X44" i="39"/>
  <c r="T44" i="39" s="1"/>
  <c r="X45" i="39"/>
  <c r="T45" i="39" s="1"/>
  <c r="X46" i="39"/>
  <c r="T46" i="39" s="1"/>
  <c r="X47" i="39"/>
  <c r="X48" i="39"/>
  <c r="X49" i="39"/>
  <c r="X50" i="39"/>
  <c r="X51" i="39"/>
  <c r="T51" i="39" s="1"/>
  <c r="X52" i="39"/>
  <c r="T52" i="39" s="1"/>
  <c r="X53" i="39"/>
  <c r="T53" i="39" s="1"/>
  <c r="X54" i="39"/>
  <c r="T54" i="39" s="1"/>
  <c r="X55" i="39"/>
  <c r="T55" i="39" s="1"/>
  <c r="X56" i="39"/>
  <c r="T56" i="39" s="1"/>
  <c r="X57" i="39"/>
  <c r="T57" i="39" s="1"/>
  <c r="X58" i="39"/>
  <c r="X59" i="39"/>
  <c r="T59" i="39" s="1"/>
  <c r="X60" i="39"/>
  <c r="T60" i="39" s="1"/>
  <c r="X61" i="39"/>
  <c r="T61" i="39" s="1"/>
  <c r="X62" i="39"/>
  <c r="T62" i="39" s="1"/>
  <c r="X63" i="39"/>
  <c r="X64" i="39"/>
  <c r="X65" i="39"/>
  <c r="T65" i="39" s="1"/>
  <c r="X66" i="39"/>
  <c r="X67" i="39"/>
  <c r="T67" i="39" s="1"/>
  <c r="X68" i="39"/>
  <c r="T68" i="39" s="1"/>
  <c r="X69" i="39"/>
  <c r="T69" i="39" s="1"/>
  <c r="X70" i="39"/>
  <c r="T70" i="39" s="1"/>
  <c r="X71" i="39"/>
  <c r="X72" i="39"/>
  <c r="T72" i="39" s="1"/>
  <c r="X73" i="39"/>
  <c r="T73" i="39" s="1"/>
  <c r="X74" i="39"/>
  <c r="X75" i="39"/>
  <c r="T75" i="39" s="1"/>
  <c r="X76" i="39"/>
  <c r="T76" i="39" s="1"/>
  <c r="X77" i="39"/>
  <c r="T77" i="39" s="1"/>
  <c r="X78" i="39"/>
  <c r="T78" i="39" s="1"/>
  <c r="X79" i="39"/>
  <c r="X80" i="39"/>
  <c r="X81" i="39"/>
  <c r="X82" i="39"/>
  <c r="X83" i="39"/>
  <c r="T83" i="39" s="1"/>
  <c r="X84" i="39"/>
  <c r="T84" i="39" s="1"/>
  <c r="X85" i="39"/>
  <c r="T85" i="39" s="1"/>
  <c r="X86" i="39"/>
  <c r="T86" i="39" s="1"/>
  <c r="X87" i="39"/>
  <c r="X88" i="39"/>
  <c r="X89" i="39"/>
  <c r="T89" i="39" s="1"/>
  <c r="X90" i="39"/>
  <c r="X91" i="39"/>
  <c r="T91" i="39" s="1"/>
  <c r="X92" i="39"/>
  <c r="T92" i="39" s="1"/>
  <c r="X93" i="39"/>
  <c r="X94" i="39"/>
  <c r="X95" i="39"/>
  <c r="X96" i="39"/>
  <c r="X97" i="39"/>
  <c r="T97" i="39" s="1"/>
  <c r="X98" i="39"/>
  <c r="X99" i="39"/>
  <c r="T99" i="39" s="1"/>
  <c r="X100" i="39"/>
  <c r="T100" i="39" s="1"/>
  <c r="X101" i="39"/>
  <c r="X102" i="39"/>
  <c r="X103" i="39"/>
  <c r="X104" i="39"/>
  <c r="X105" i="39"/>
  <c r="X106" i="39"/>
  <c r="X107" i="39"/>
  <c r="T107" i="39" s="1"/>
  <c r="X108" i="39"/>
  <c r="T108" i="39" s="1"/>
  <c r="X109" i="39"/>
  <c r="X110" i="39"/>
  <c r="X111" i="39"/>
  <c r="X112" i="39"/>
  <c r="X113" i="39"/>
  <c r="X114" i="39"/>
  <c r="X115" i="39"/>
  <c r="T115" i="39" s="1"/>
  <c r="X116" i="39"/>
  <c r="T116" i="39" s="1"/>
  <c r="X117" i="39"/>
  <c r="X118" i="39"/>
  <c r="X119" i="39"/>
  <c r="X120" i="39"/>
  <c r="T120" i="39" s="1"/>
  <c r="X121" i="39"/>
  <c r="X122" i="39"/>
  <c r="X123" i="39"/>
  <c r="T123" i="39" s="1"/>
  <c r="X124" i="39"/>
  <c r="T124" i="39" s="1"/>
  <c r="X125" i="39"/>
  <c r="X126" i="39"/>
  <c r="X127" i="39"/>
  <c r="X128" i="39"/>
  <c r="X129" i="39"/>
  <c r="X130" i="39"/>
  <c r="X131" i="39"/>
  <c r="T131" i="39" s="1"/>
  <c r="X132" i="39"/>
  <c r="T132" i="39" s="1"/>
  <c r="X133" i="39"/>
  <c r="X134" i="39"/>
  <c r="X135" i="39"/>
  <c r="X136" i="39"/>
  <c r="X137" i="39"/>
  <c r="X138" i="39"/>
  <c r="X139" i="39"/>
  <c r="T139" i="39" s="1"/>
  <c r="X140" i="39"/>
  <c r="T140" i="39" s="1"/>
  <c r="X141" i="39"/>
  <c r="X142" i="39"/>
  <c r="X143" i="39"/>
  <c r="X144" i="39"/>
  <c r="X145" i="39"/>
  <c r="X146" i="39"/>
  <c r="X147" i="39"/>
  <c r="T147" i="39" s="1"/>
  <c r="X148" i="39"/>
  <c r="T148" i="39" s="1"/>
  <c r="X149" i="39"/>
  <c r="X150" i="39"/>
  <c r="X151" i="39"/>
  <c r="X152" i="39"/>
  <c r="T152" i="39" s="1"/>
  <c r="X153" i="39"/>
  <c r="T153" i="39" s="1"/>
  <c r="X154" i="39"/>
  <c r="X155" i="39"/>
  <c r="T155" i="39" s="1"/>
  <c r="X156" i="39"/>
  <c r="T156" i="39" s="1"/>
  <c r="X157" i="39"/>
  <c r="X158" i="39"/>
  <c r="X159" i="39"/>
  <c r="X160" i="39"/>
  <c r="X161" i="39"/>
  <c r="X162" i="39"/>
  <c r="X163" i="39"/>
  <c r="T163" i="39" s="1"/>
  <c r="X164" i="39"/>
  <c r="T164" i="39" s="1"/>
  <c r="X165" i="39"/>
  <c r="X166" i="39"/>
  <c r="X167" i="39"/>
  <c r="X168" i="39"/>
  <c r="X169" i="39"/>
  <c r="X170" i="39"/>
  <c r="X171" i="39"/>
  <c r="T171" i="39" s="1"/>
  <c r="X172" i="39"/>
  <c r="T172" i="39" s="1"/>
  <c r="X173" i="39"/>
  <c r="X174" i="39"/>
  <c r="X175" i="39"/>
  <c r="X176" i="39"/>
  <c r="X177" i="39"/>
  <c r="X178" i="39"/>
  <c r="X179" i="39"/>
  <c r="T179" i="39" s="1"/>
  <c r="X180" i="39"/>
  <c r="T180" i="39" s="1"/>
  <c r="X181" i="39"/>
  <c r="X182" i="39"/>
  <c r="X183" i="39"/>
  <c r="X184" i="39"/>
  <c r="T184" i="39" s="1"/>
  <c r="X185" i="39"/>
  <c r="X186" i="39"/>
  <c r="X187" i="39"/>
  <c r="T187" i="39" s="1"/>
  <c r="X188" i="39"/>
  <c r="T188" i="39" s="1"/>
  <c r="X189" i="39"/>
  <c r="X190" i="39"/>
  <c r="X191" i="39"/>
  <c r="X192" i="39"/>
  <c r="X193" i="39"/>
  <c r="X194" i="39"/>
  <c r="X195" i="39"/>
  <c r="T195" i="39" s="1"/>
  <c r="X196" i="39"/>
  <c r="T196" i="39" s="1"/>
  <c r="X197" i="39"/>
  <c r="X198" i="39"/>
  <c r="X199" i="39"/>
  <c r="X200" i="39"/>
  <c r="X201" i="39"/>
  <c r="X202" i="39"/>
  <c r="X203" i="39"/>
  <c r="T203" i="39" s="1"/>
  <c r="X204" i="39"/>
  <c r="T204" i="39" s="1"/>
  <c r="X205" i="39"/>
  <c r="X206" i="39"/>
  <c r="X207" i="39"/>
  <c r="X208" i="39"/>
  <c r="X209" i="39"/>
  <c r="X210" i="39"/>
  <c r="X211" i="39"/>
  <c r="T211" i="39" s="1"/>
  <c r="X212" i="39"/>
  <c r="T212" i="39" s="1"/>
  <c r="X213" i="39"/>
  <c r="X214" i="39"/>
  <c r="X215" i="39"/>
  <c r="X216" i="39"/>
  <c r="T216" i="39" s="1"/>
  <c r="X217" i="39"/>
  <c r="X218" i="39"/>
  <c r="X219" i="39"/>
  <c r="T219" i="39" s="1"/>
  <c r="X220" i="39"/>
  <c r="T220" i="39" s="1"/>
  <c r="X221" i="39"/>
  <c r="X222" i="39"/>
  <c r="X223" i="39"/>
  <c r="X224" i="39"/>
  <c r="X225" i="39"/>
  <c r="X226" i="39"/>
  <c r="X227" i="39"/>
  <c r="T227" i="39" s="1"/>
  <c r="X228" i="39"/>
  <c r="T228" i="39" s="1"/>
  <c r="X229" i="39"/>
  <c r="X230" i="39"/>
  <c r="X231" i="39"/>
  <c r="X232" i="39"/>
  <c r="X233" i="39"/>
  <c r="X234" i="39"/>
  <c r="X235" i="39"/>
  <c r="T235" i="39" s="1"/>
  <c r="X236" i="39"/>
  <c r="T236" i="39" s="1"/>
  <c r="X237" i="39"/>
  <c r="X238" i="39"/>
  <c r="X239" i="39"/>
  <c r="X240" i="39"/>
  <c r="X241" i="39"/>
  <c r="T241" i="39" s="1"/>
  <c r="X242" i="39"/>
  <c r="X243" i="39"/>
  <c r="T243" i="39" s="1"/>
  <c r="X244" i="39"/>
  <c r="T244" i="39" s="1"/>
  <c r="X245" i="39"/>
  <c r="X246" i="39"/>
  <c r="X247" i="39"/>
  <c r="X248" i="39"/>
  <c r="T248" i="39" s="1"/>
  <c r="X249" i="39"/>
  <c r="X250" i="39"/>
  <c r="X251" i="39"/>
  <c r="T251" i="39" s="1"/>
  <c r="X252" i="39"/>
  <c r="T252" i="39" s="1"/>
  <c r="X253" i="39"/>
  <c r="X254" i="39"/>
  <c r="X255" i="39"/>
  <c r="X256" i="39"/>
  <c r="X257" i="39"/>
  <c r="X258" i="39"/>
  <c r="X259" i="39"/>
  <c r="T259" i="39" s="1"/>
  <c r="X260" i="39"/>
  <c r="T260" i="39" s="1"/>
  <c r="X261" i="39"/>
  <c r="X262" i="39"/>
  <c r="X263" i="39"/>
  <c r="X264" i="39"/>
  <c r="X265" i="39"/>
  <c r="X266" i="39"/>
  <c r="X267" i="39"/>
  <c r="T267" i="39" s="1"/>
  <c r="X268" i="39"/>
  <c r="X269" i="39"/>
  <c r="X270" i="39"/>
  <c r="X271" i="39"/>
  <c r="X272" i="39"/>
  <c r="X273" i="39"/>
  <c r="X274" i="39"/>
  <c r="X275" i="39"/>
  <c r="X276" i="39"/>
  <c r="X277" i="39"/>
  <c r="X278" i="39"/>
  <c r="X279" i="39"/>
  <c r="X280" i="39"/>
  <c r="X281" i="39"/>
  <c r="X282" i="39"/>
  <c r="X283" i="39"/>
  <c r="X284" i="39"/>
  <c r="X285" i="39"/>
  <c r="X286" i="39"/>
  <c r="X287" i="39"/>
  <c r="X288" i="39"/>
  <c r="X289" i="39"/>
  <c r="X290" i="39"/>
  <c r="X291" i="39"/>
  <c r="X292" i="39"/>
  <c r="X293" i="39"/>
  <c r="X294" i="39"/>
  <c r="X295" i="39"/>
  <c r="X296" i="39"/>
  <c r="X297" i="39"/>
  <c r="X298" i="39"/>
  <c r="X299" i="39"/>
  <c r="X300" i="39"/>
  <c r="X301" i="39"/>
  <c r="X302" i="39"/>
  <c r="X303" i="39"/>
  <c r="X304" i="39"/>
  <c r="X305" i="39"/>
  <c r="X306" i="39"/>
  <c r="X307" i="39"/>
  <c r="X308" i="39"/>
  <c r="X309" i="39"/>
  <c r="X310" i="39"/>
  <c r="X311" i="39"/>
  <c r="X312" i="39"/>
  <c r="X313" i="39"/>
  <c r="X314" i="39"/>
  <c r="X315" i="39"/>
  <c r="X316" i="39"/>
  <c r="X317" i="39"/>
  <c r="X318" i="39"/>
  <c r="X319" i="39"/>
  <c r="X320" i="39"/>
  <c r="X321" i="39"/>
  <c r="X322" i="39"/>
  <c r="X323" i="39"/>
  <c r="X324" i="39"/>
  <c r="X325" i="39"/>
  <c r="X326" i="39"/>
  <c r="X327" i="39"/>
  <c r="X328" i="39"/>
  <c r="X329" i="39"/>
  <c r="X330" i="39"/>
  <c r="X331" i="39"/>
  <c r="X332" i="39"/>
  <c r="X333" i="39"/>
  <c r="X334" i="39"/>
  <c r="X335" i="39"/>
  <c r="X336" i="39"/>
  <c r="X337" i="39"/>
  <c r="X338" i="39"/>
  <c r="X339" i="39"/>
  <c r="X340" i="39"/>
  <c r="X341" i="39"/>
  <c r="X342" i="39"/>
  <c r="X343" i="39"/>
  <c r="X344" i="39"/>
  <c r="X345" i="39"/>
  <c r="X346" i="39"/>
  <c r="X347" i="39"/>
  <c r="X348" i="39"/>
  <c r="X349" i="39"/>
  <c r="X350" i="39"/>
  <c r="X351" i="39"/>
  <c r="X352" i="39"/>
  <c r="X353" i="39"/>
  <c r="X354" i="39"/>
  <c r="X355" i="39"/>
  <c r="X356" i="39"/>
  <c r="X357" i="39"/>
  <c r="X358" i="39"/>
  <c r="X359" i="39"/>
  <c r="X360" i="39"/>
  <c r="X361" i="39"/>
  <c r="X362" i="39"/>
  <c r="X363" i="39"/>
  <c r="X364" i="39"/>
  <c r="X365" i="39"/>
  <c r="X366" i="39"/>
  <c r="X367" i="39"/>
  <c r="X368" i="39"/>
  <c r="X369" i="39"/>
  <c r="X370" i="39"/>
  <c r="X371" i="39"/>
  <c r="X372" i="39"/>
  <c r="X373" i="39"/>
  <c r="X374" i="39"/>
  <c r="X375" i="39"/>
  <c r="X376" i="39"/>
  <c r="X377" i="39"/>
  <c r="X378" i="39"/>
  <c r="X379" i="39"/>
  <c r="X380" i="39"/>
  <c r="X381" i="39"/>
  <c r="X382" i="39"/>
  <c r="X383" i="39"/>
  <c r="X384" i="39"/>
  <c r="X385" i="39"/>
  <c r="X386" i="39"/>
  <c r="X387" i="39"/>
  <c r="X388" i="39"/>
  <c r="X389" i="39"/>
  <c r="X390" i="39"/>
  <c r="X391" i="39"/>
  <c r="X392" i="39"/>
  <c r="X393" i="39"/>
  <c r="X394" i="39"/>
  <c r="X395" i="39"/>
  <c r="X396" i="39"/>
  <c r="X397" i="39"/>
  <c r="X398" i="39"/>
  <c r="X399" i="39"/>
  <c r="X400" i="39"/>
  <c r="X401" i="39"/>
  <c r="X402" i="39"/>
  <c r="X403" i="39"/>
  <c r="X404" i="39"/>
  <c r="X405" i="39"/>
  <c r="X406" i="39"/>
  <c r="X407" i="39"/>
  <c r="X408" i="39"/>
  <c r="X409" i="39"/>
  <c r="X410" i="39"/>
  <c r="X411" i="39"/>
  <c r="X412" i="39"/>
  <c r="X413" i="39"/>
  <c r="X414" i="39"/>
  <c r="X415" i="39"/>
  <c r="X416" i="39"/>
  <c r="X417" i="39"/>
  <c r="X418" i="39"/>
  <c r="X419" i="39"/>
  <c r="X420" i="39"/>
  <c r="X421" i="39"/>
  <c r="X422" i="39"/>
  <c r="X423" i="39"/>
  <c r="X424" i="39"/>
  <c r="X425" i="39"/>
  <c r="X426" i="39"/>
  <c r="X427" i="39"/>
  <c r="X428" i="39"/>
  <c r="X429" i="39"/>
  <c r="X430" i="39"/>
  <c r="X431" i="39"/>
  <c r="X432" i="39"/>
  <c r="X433" i="39"/>
  <c r="X434" i="39"/>
  <c r="X435" i="39"/>
  <c r="X436" i="39"/>
  <c r="X437" i="39"/>
  <c r="X438" i="39"/>
  <c r="X439" i="39"/>
  <c r="X440" i="39"/>
  <c r="X441" i="39"/>
  <c r="X442" i="39"/>
  <c r="X443" i="39"/>
  <c r="X444" i="39"/>
  <c r="X445" i="39"/>
  <c r="X446" i="39"/>
  <c r="X447" i="39"/>
  <c r="X448" i="39"/>
  <c r="X449" i="39"/>
  <c r="X450" i="39"/>
  <c r="X451" i="39"/>
  <c r="X452" i="39"/>
  <c r="X453" i="39"/>
  <c r="X454" i="39"/>
  <c r="X455" i="39"/>
  <c r="X456" i="39"/>
  <c r="X457" i="39"/>
  <c r="X458" i="39"/>
  <c r="X459" i="39"/>
  <c r="X460" i="39"/>
  <c r="X461" i="39"/>
  <c r="X462" i="39"/>
  <c r="X463" i="39"/>
  <c r="X464" i="39"/>
  <c r="X465" i="39"/>
  <c r="X466" i="39"/>
  <c r="X467" i="39"/>
  <c r="X468" i="39"/>
  <c r="X469" i="39"/>
  <c r="X470" i="39"/>
  <c r="X471" i="39"/>
  <c r="X472" i="39"/>
  <c r="X473" i="39"/>
  <c r="X474" i="39"/>
  <c r="X475" i="39"/>
  <c r="X476" i="39"/>
  <c r="X477" i="39"/>
  <c r="X478" i="39"/>
  <c r="X479" i="39"/>
  <c r="X480" i="39"/>
  <c r="X481" i="39"/>
  <c r="X482" i="39"/>
  <c r="X483" i="39"/>
  <c r="X484" i="39"/>
  <c r="X485" i="39"/>
  <c r="X486" i="39"/>
  <c r="X487" i="39"/>
  <c r="X488" i="39"/>
  <c r="X489" i="39"/>
  <c r="X490" i="39"/>
  <c r="X491" i="39"/>
  <c r="X492" i="39"/>
  <c r="X493" i="39"/>
  <c r="X494" i="39"/>
  <c r="X495" i="39"/>
  <c r="X496" i="39"/>
  <c r="X497" i="39"/>
  <c r="X498" i="39"/>
  <c r="X499" i="39"/>
  <c r="X500" i="39"/>
  <c r="X501" i="39"/>
  <c r="X502" i="39"/>
  <c r="X503" i="39"/>
  <c r="X504" i="39"/>
  <c r="X505" i="39"/>
  <c r="X506" i="39"/>
  <c r="X507" i="39"/>
  <c r="X508" i="39"/>
  <c r="X509" i="39"/>
  <c r="X510" i="39"/>
  <c r="X511" i="39"/>
  <c r="X512" i="39"/>
  <c r="X513" i="39"/>
  <c r="X514" i="39"/>
  <c r="W16" i="39" a="1"/>
  <c r="W16" i="39" s="1"/>
  <c r="W18" i="39" a="1"/>
  <c r="W18" i="39" s="1"/>
  <c r="W21" i="39" a="1"/>
  <c r="W21" i="39" s="1"/>
  <c r="W22" i="39" a="1"/>
  <c r="W22" i="39" s="1"/>
  <c r="W24" i="39" a="1"/>
  <c r="W24" i="39" s="1"/>
  <c r="W26" i="39" a="1"/>
  <c r="W26" i="39" s="1"/>
  <c r="W27" i="39" a="1"/>
  <c r="W27" i="39" s="1"/>
  <c r="W34" i="39" a="1"/>
  <c r="W34" i="39" s="1"/>
  <c r="W35" i="39" a="1"/>
  <c r="W35" i="39" s="1"/>
  <c r="AA35" i="39" s="1" a="1"/>
  <c r="AA35" i="39" s="1"/>
  <c r="W36" i="39" a="1"/>
  <c r="W36" i="39" s="1"/>
  <c r="AA36" i="39" s="1" a="1"/>
  <c r="AA36" i="39" s="1"/>
  <c r="W40" i="39" a="1"/>
  <c r="W40" i="39" s="1"/>
  <c r="W41" i="39" a="1"/>
  <c r="W41" i="39" s="1"/>
  <c r="W42" i="39" a="1"/>
  <c r="W42" i="39" s="1"/>
  <c r="W43" i="39" a="1"/>
  <c r="W43" i="39" s="1"/>
  <c r="W49" i="39" a="1"/>
  <c r="W49" i="39" s="1"/>
  <c r="W50" i="39" a="1"/>
  <c r="W50" i="39" s="1"/>
  <c r="W51" i="39" a="1"/>
  <c r="W51" i="39" s="1"/>
  <c r="AE51" i="39" s="1"/>
  <c r="W52" i="39" a="1"/>
  <c r="W52" i="39" s="1"/>
  <c r="AA52" i="39" s="1" a="1"/>
  <c r="AA52" i="39" s="1"/>
  <c r="W53" i="39" a="1"/>
  <c r="W53" i="39" s="1"/>
  <c r="W58" i="39" a="1"/>
  <c r="W58" i="39" s="1"/>
  <c r="W59" i="39" a="1"/>
  <c r="W59" i="39" s="1"/>
  <c r="W64" i="39" a="1"/>
  <c r="W64" i="39" s="1"/>
  <c r="W66" i="39" a="1"/>
  <c r="W66" i="39" s="1"/>
  <c r="W67" i="39" a="1"/>
  <c r="W67" i="39" s="1"/>
  <c r="W72" i="39" a="1"/>
  <c r="W72" i="39" s="1"/>
  <c r="W73" i="39" a="1"/>
  <c r="W73" i="39" s="1"/>
  <c r="W77" i="39" a="1"/>
  <c r="W77" i="39" s="1"/>
  <c r="AA77" i="39" s="1" a="1"/>
  <c r="AA77" i="39" s="1"/>
  <c r="W80" i="39" a="1"/>
  <c r="W80" i="39" s="1"/>
  <c r="W82" i="39" a="1"/>
  <c r="W82" i="39" s="1"/>
  <c r="W88" i="39" a="1"/>
  <c r="W88" i="39" s="1"/>
  <c r="W89" i="39" a="1"/>
  <c r="W89" i="39" s="1"/>
  <c r="W90" i="39" a="1"/>
  <c r="W90" i="39" s="1"/>
  <c r="W92" i="39" a="1"/>
  <c r="W92" i="39" s="1"/>
  <c r="W97" i="39" a="1"/>
  <c r="W97" i="39" s="1"/>
  <c r="W98" i="39" a="1"/>
  <c r="W98" i="39" s="1"/>
  <c r="W99" i="39" a="1"/>
  <c r="W99" i="39" s="1"/>
  <c r="W105" i="39" a="1"/>
  <c r="W105" i="39" s="1"/>
  <c r="W106" i="39" a="1"/>
  <c r="W106" i="39" s="1"/>
  <c r="W107" i="39" a="1"/>
  <c r="W107" i="39" s="1"/>
  <c r="W109" i="39" a="1"/>
  <c r="W109" i="39" s="1"/>
  <c r="W113" i="39" a="1"/>
  <c r="W113" i="39" s="1"/>
  <c r="W114" i="39" a="1"/>
  <c r="W114" i="39" s="1"/>
  <c r="W115" i="39" a="1"/>
  <c r="W115" i="39" s="1"/>
  <c r="W122" i="39" a="1"/>
  <c r="W122" i="39" s="1"/>
  <c r="W123" i="39" a="1"/>
  <c r="W123" i="39" s="1"/>
  <c r="W124" i="39" a="1"/>
  <c r="W124" i="39" s="1"/>
  <c r="W127" i="39" a="1"/>
  <c r="W127" i="39" s="1"/>
  <c r="W130" i="39" a="1"/>
  <c r="W130" i="39" s="1"/>
  <c r="W131" i="39" a="1"/>
  <c r="W131" i="39" s="1"/>
  <c r="AA131" i="39" s="1" a="1"/>
  <c r="AA131" i="39" s="1"/>
  <c r="W135" i="39" a="1"/>
  <c r="W135" i="39" s="1"/>
  <c r="W136" i="39" a="1"/>
  <c r="W136" i="39" s="1"/>
  <c r="W138" i="39" a="1"/>
  <c r="W138" i="39" s="1"/>
  <c r="W139" i="39" a="1"/>
  <c r="W139" i="39" s="1"/>
  <c r="W140" i="39" a="1"/>
  <c r="W140" i="39" s="1"/>
  <c r="W141" i="39" a="1"/>
  <c r="W141" i="39" s="1"/>
  <c r="W143" i="39" a="1"/>
  <c r="W143" i="39" s="1"/>
  <c r="W151" i="39" a="1"/>
  <c r="W151" i="39" s="1"/>
  <c r="W152" i="39" a="1"/>
  <c r="W152" i="39" s="1"/>
  <c r="W153" i="39" a="1"/>
  <c r="W153" i="39" s="1"/>
  <c r="W154" i="39" a="1"/>
  <c r="W154" i="39" s="1"/>
  <c r="W159" i="39" a="1"/>
  <c r="W159" i="39" s="1"/>
  <c r="W161" i="39" a="1"/>
  <c r="W161" i="39" s="1"/>
  <c r="W162" i="39" a="1"/>
  <c r="W162" i="39" s="1"/>
  <c r="W167" i="39" a="1"/>
  <c r="W167" i="39" s="1"/>
  <c r="W168" i="39" a="1"/>
  <c r="W168" i="39" s="1"/>
  <c r="W170" i="39" a="1"/>
  <c r="W170" i="39" s="1"/>
  <c r="W175" i="39" a="1"/>
  <c r="W175" i="39" s="1"/>
  <c r="W176" i="39" a="1"/>
  <c r="W176" i="39" s="1"/>
  <c r="W178" i="39" a="1"/>
  <c r="W178" i="39" s="1"/>
  <c r="W179" i="39" a="1"/>
  <c r="W179" i="39" s="1"/>
  <c r="W183" i="39" a="1"/>
  <c r="W183" i="39" s="1"/>
  <c r="W185" i="39" a="1"/>
  <c r="W185" i="39" s="1"/>
  <c r="W186" i="39" a="1"/>
  <c r="W186" i="39" s="1"/>
  <c r="W187" i="39" a="1"/>
  <c r="W187" i="39" s="1"/>
  <c r="W191" i="39" a="1"/>
  <c r="W191" i="39" s="1"/>
  <c r="W192" i="39" a="1"/>
  <c r="W192" i="39" s="1"/>
  <c r="W194" i="39" a="1"/>
  <c r="W194" i="39" s="1"/>
  <c r="W195" i="39" a="1"/>
  <c r="W195" i="39" s="1"/>
  <c r="W197" i="39" a="1"/>
  <c r="W197" i="39" s="1"/>
  <c r="W199" i="39" a="1"/>
  <c r="W199" i="39" s="1"/>
  <c r="W201" i="39" a="1"/>
  <c r="W201" i="39" s="1"/>
  <c r="W202" i="39" a="1"/>
  <c r="W202" i="39" s="1"/>
  <c r="W203" i="39" a="1"/>
  <c r="W203" i="39" s="1"/>
  <c r="W207" i="39" a="1"/>
  <c r="W207" i="39" s="1"/>
  <c r="W210" i="39" a="1"/>
  <c r="W210" i="39" s="1"/>
  <c r="W211" i="39" a="1"/>
  <c r="W211" i="39" s="1"/>
  <c r="W215" i="39" a="1"/>
  <c r="W215" i="39" s="1"/>
  <c r="W218" i="39" a="1"/>
  <c r="W218" i="39" s="1"/>
  <c r="W219" i="39" a="1"/>
  <c r="W219" i="39" s="1"/>
  <c r="W223" i="39" a="1"/>
  <c r="W223" i="39" s="1"/>
  <c r="W224" i="39" a="1"/>
  <c r="W224" i="39" s="1"/>
  <c r="W225" i="39" a="1"/>
  <c r="W225" i="39" s="1"/>
  <c r="W231" i="39" a="1"/>
  <c r="W231" i="39" s="1"/>
  <c r="W233" i="39" a="1"/>
  <c r="W233" i="39" s="1"/>
  <c r="W234" i="39" a="1"/>
  <c r="W234" i="39" s="1"/>
  <c r="W239" i="39" a="1"/>
  <c r="W239" i="39" s="1"/>
  <c r="W241" i="39" a="1"/>
  <c r="W241" i="39" s="1"/>
  <c r="W242" i="39" a="1"/>
  <c r="W242" i="39" s="1"/>
  <c r="W243" i="39" a="1"/>
  <c r="W243" i="39" s="1"/>
  <c r="W247" i="39" a="1"/>
  <c r="W247" i="39" s="1"/>
  <c r="W248" i="39" a="1"/>
  <c r="W248" i="39" s="1"/>
  <c r="W249" i="39" a="1"/>
  <c r="W249" i="39" s="1"/>
  <c r="W250" i="39" a="1"/>
  <c r="W250" i="39" s="1"/>
  <c r="W251" i="39" a="1"/>
  <c r="W251" i="39" s="1"/>
  <c r="W253" i="39" a="1"/>
  <c r="W253" i="39" s="1"/>
  <c r="W255" i="39" a="1"/>
  <c r="W255" i="39" s="1"/>
  <c r="W256" i="39" a="1"/>
  <c r="W256" i="39" s="1"/>
  <c r="W258" i="39" a="1"/>
  <c r="W258" i="39" s="1"/>
  <c r="W259" i="39" a="1"/>
  <c r="W259" i="39" s="1"/>
  <c r="W263" i="39" a="1"/>
  <c r="W263" i="39" s="1"/>
  <c r="W265" i="39" a="1"/>
  <c r="W265" i="39" s="1"/>
  <c r="W266" i="39" a="1"/>
  <c r="W266" i="39" s="1"/>
  <c r="W267" i="39" a="1"/>
  <c r="W267" i="39" s="1"/>
  <c r="W268" i="39" a="1"/>
  <c r="W268" i="39" s="1"/>
  <c r="W271" i="39" a="1"/>
  <c r="W271" i="39" s="1"/>
  <c r="W273" i="39" a="1"/>
  <c r="W273" i="39" s="1"/>
  <c r="W274" i="39" a="1"/>
  <c r="W274" i="39" s="1"/>
  <c r="W275" i="39" a="1"/>
  <c r="W275" i="39" s="1"/>
  <c r="W276" i="39" a="1"/>
  <c r="W276" i="39" s="1"/>
  <c r="W277" i="39" a="1"/>
  <c r="W277" i="39" s="1"/>
  <c r="W278" i="39" a="1"/>
  <c r="W278" i="39" s="1"/>
  <c r="W279" i="39" a="1"/>
  <c r="W279" i="39" s="1"/>
  <c r="W280" i="39" a="1"/>
  <c r="W280" i="39" s="1"/>
  <c r="W281" i="39" a="1"/>
  <c r="W281" i="39" s="1"/>
  <c r="W282" i="39" a="1"/>
  <c r="W282" i="39" s="1"/>
  <c r="W283" i="39" a="1"/>
  <c r="W283" i="39" s="1"/>
  <c r="W284" i="39" a="1"/>
  <c r="W284" i="39" s="1"/>
  <c r="W285" i="39" a="1"/>
  <c r="W285" i="39" s="1"/>
  <c r="W286" i="39" a="1"/>
  <c r="W286" i="39" s="1"/>
  <c r="W287" i="39" a="1"/>
  <c r="W287" i="39" s="1"/>
  <c r="W288" i="39" a="1"/>
  <c r="W288" i="39" s="1"/>
  <c r="W289" i="39" a="1"/>
  <c r="W289" i="39" s="1"/>
  <c r="W290" i="39" a="1"/>
  <c r="W290" i="39" s="1"/>
  <c r="W291" i="39" a="1"/>
  <c r="W291" i="39" s="1"/>
  <c r="W292" i="39" a="1"/>
  <c r="W292" i="39" s="1"/>
  <c r="W293" i="39" a="1"/>
  <c r="W293" i="39" s="1"/>
  <c r="W294" i="39" a="1"/>
  <c r="W294" i="39" s="1"/>
  <c r="W295" i="39" a="1"/>
  <c r="W295" i="39" s="1"/>
  <c r="W296" i="39" a="1"/>
  <c r="W296" i="39" s="1"/>
  <c r="W297" i="39" a="1"/>
  <c r="W297" i="39" s="1"/>
  <c r="W298" i="39" a="1"/>
  <c r="W298" i="39" s="1"/>
  <c r="W299" i="39" a="1"/>
  <c r="W299" i="39" s="1"/>
  <c r="W300" i="39" a="1"/>
  <c r="W300" i="39" s="1"/>
  <c r="W301" i="39" a="1"/>
  <c r="W301" i="39" s="1"/>
  <c r="W302" i="39" a="1"/>
  <c r="W302" i="39" s="1"/>
  <c r="W303" i="39" a="1"/>
  <c r="W303" i="39" s="1"/>
  <c r="W304" i="39" a="1"/>
  <c r="W304" i="39" s="1"/>
  <c r="W305" i="39" a="1"/>
  <c r="W305" i="39" s="1"/>
  <c r="W306" i="39" a="1"/>
  <c r="W306" i="39" s="1"/>
  <c r="W307" i="39" a="1"/>
  <c r="W307" i="39" s="1"/>
  <c r="W308" i="39" a="1"/>
  <c r="W308" i="39" s="1"/>
  <c r="W309" i="39" a="1"/>
  <c r="W309" i="39" s="1"/>
  <c r="W310" i="39" a="1"/>
  <c r="W310" i="39" s="1"/>
  <c r="W311" i="39" a="1"/>
  <c r="W311" i="39" s="1"/>
  <c r="W312" i="39" a="1"/>
  <c r="W312" i="39" s="1"/>
  <c r="W313" i="39" a="1"/>
  <c r="W313" i="39" s="1"/>
  <c r="W314" i="39" a="1"/>
  <c r="W314" i="39" s="1"/>
  <c r="W315" i="39" a="1"/>
  <c r="W315" i="39" s="1"/>
  <c r="W316" i="39" a="1"/>
  <c r="W316" i="39" s="1"/>
  <c r="W317" i="39" a="1"/>
  <c r="W317" i="39" s="1"/>
  <c r="W318" i="39" a="1"/>
  <c r="W318" i="39" s="1"/>
  <c r="W319" i="39" a="1"/>
  <c r="W319" i="39" s="1"/>
  <c r="W320" i="39" a="1"/>
  <c r="W320" i="39" s="1"/>
  <c r="W321" i="39" a="1"/>
  <c r="W321" i="39" s="1"/>
  <c r="W322" i="39" a="1"/>
  <c r="W322" i="39" s="1"/>
  <c r="W323" i="39" a="1"/>
  <c r="W323" i="39" s="1"/>
  <c r="W324" i="39" a="1"/>
  <c r="W324" i="39" s="1"/>
  <c r="W325" i="39" a="1"/>
  <c r="W325" i="39" s="1"/>
  <c r="W326" i="39" a="1"/>
  <c r="W326" i="39" s="1"/>
  <c r="W327" i="39" a="1"/>
  <c r="W327" i="39" s="1"/>
  <c r="W328" i="39" a="1"/>
  <c r="W328" i="39" s="1"/>
  <c r="W329" i="39" a="1"/>
  <c r="W329" i="39" s="1"/>
  <c r="W330" i="39" a="1"/>
  <c r="W330" i="39" s="1"/>
  <c r="W331" i="39" a="1"/>
  <c r="W331" i="39" s="1"/>
  <c r="W332" i="39" a="1"/>
  <c r="W332" i="39" s="1"/>
  <c r="W333" i="39" a="1"/>
  <c r="W333" i="39" s="1"/>
  <c r="W334" i="39" a="1"/>
  <c r="W334" i="39" s="1"/>
  <c r="W335" i="39" a="1"/>
  <c r="W335" i="39" s="1"/>
  <c r="W336" i="39" a="1"/>
  <c r="W336" i="39" s="1"/>
  <c r="W337" i="39" a="1"/>
  <c r="W337" i="39" s="1"/>
  <c r="W338" i="39" a="1"/>
  <c r="W338" i="39" s="1"/>
  <c r="W339" i="39" a="1"/>
  <c r="W339" i="39" s="1"/>
  <c r="W340" i="39" a="1"/>
  <c r="W340" i="39" s="1"/>
  <c r="W341" i="39" a="1"/>
  <c r="W341" i="39" s="1"/>
  <c r="W342" i="39" a="1"/>
  <c r="W342" i="39" s="1"/>
  <c r="W343" i="39" a="1"/>
  <c r="W343" i="39" s="1"/>
  <c r="W344" i="39" a="1"/>
  <c r="W344" i="39" s="1"/>
  <c r="W345" i="39" a="1"/>
  <c r="W345" i="39" s="1"/>
  <c r="W346" i="39" a="1"/>
  <c r="W346" i="39" s="1"/>
  <c r="W347" i="39" a="1"/>
  <c r="W347" i="39" s="1"/>
  <c r="W348" i="39" a="1"/>
  <c r="W348" i="39" s="1"/>
  <c r="W349" i="39" a="1"/>
  <c r="W349" i="39" s="1"/>
  <c r="W350" i="39" a="1"/>
  <c r="W350" i="39" s="1"/>
  <c r="W351" i="39" a="1"/>
  <c r="W351" i="39" s="1"/>
  <c r="W352" i="39" a="1"/>
  <c r="W352" i="39" s="1"/>
  <c r="W353" i="39" a="1"/>
  <c r="W353" i="39" s="1"/>
  <c r="W354" i="39" a="1"/>
  <c r="W354" i="39" s="1"/>
  <c r="W355" i="39" a="1"/>
  <c r="W355" i="39" s="1"/>
  <c r="W356" i="39" a="1"/>
  <c r="W356" i="39" s="1"/>
  <c r="W357" i="39" a="1"/>
  <c r="W357" i="39" s="1"/>
  <c r="W358" i="39" a="1"/>
  <c r="W358" i="39" s="1"/>
  <c r="W359" i="39" a="1"/>
  <c r="W359" i="39" s="1"/>
  <c r="W360" i="39" a="1"/>
  <c r="W360" i="39" s="1"/>
  <c r="W361" i="39" a="1"/>
  <c r="W361" i="39" s="1"/>
  <c r="W362" i="39" a="1"/>
  <c r="W362" i="39" s="1"/>
  <c r="W363" i="39" a="1"/>
  <c r="W363" i="39" s="1"/>
  <c r="W364" i="39" a="1"/>
  <c r="W364" i="39" s="1"/>
  <c r="W365" i="39" a="1"/>
  <c r="W365" i="39" s="1"/>
  <c r="W366" i="39" a="1"/>
  <c r="W366" i="39" s="1"/>
  <c r="W367" i="39" a="1"/>
  <c r="W367" i="39" s="1"/>
  <c r="W368" i="39" a="1"/>
  <c r="W368" i="39" s="1"/>
  <c r="W369" i="39" a="1"/>
  <c r="W369" i="39" s="1"/>
  <c r="W370" i="39" a="1"/>
  <c r="W370" i="39" s="1"/>
  <c r="W371" i="39" a="1"/>
  <c r="W371" i="39" s="1"/>
  <c r="W372" i="39" a="1"/>
  <c r="W372" i="39" s="1"/>
  <c r="W373" i="39" a="1"/>
  <c r="W373" i="39" s="1"/>
  <c r="W374" i="39" a="1"/>
  <c r="W374" i="39" s="1"/>
  <c r="W375" i="39" a="1"/>
  <c r="W375" i="39" s="1"/>
  <c r="W376" i="39" a="1"/>
  <c r="W376" i="39" s="1"/>
  <c r="W377" i="39" a="1"/>
  <c r="W377" i="39" s="1"/>
  <c r="W378" i="39" a="1"/>
  <c r="W378" i="39" s="1"/>
  <c r="W379" i="39" a="1"/>
  <c r="W379" i="39" s="1"/>
  <c r="W380" i="39" a="1"/>
  <c r="W380" i="39" s="1"/>
  <c r="W381" i="39" a="1"/>
  <c r="W381" i="39" s="1"/>
  <c r="W382" i="39" a="1"/>
  <c r="W382" i="39" s="1"/>
  <c r="W383" i="39" a="1"/>
  <c r="W383" i="39" s="1"/>
  <c r="W384" i="39" a="1"/>
  <c r="W384" i="39" s="1"/>
  <c r="W385" i="39" a="1"/>
  <c r="W385" i="39" s="1"/>
  <c r="W386" i="39" a="1"/>
  <c r="W386" i="39" s="1"/>
  <c r="W387" i="39" a="1"/>
  <c r="W387" i="39" s="1"/>
  <c r="W388" i="39" a="1"/>
  <c r="W388" i="39" s="1"/>
  <c r="W389" i="39" a="1"/>
  <c r="W389" i="39" s="1"/>
  <c r="W390" i="39" a="1"/>
  <c r="W390" i="39" s="1"/>
  <c r="W391" i="39" a="1"/>
  <c r="W391" i="39" s="1"/>
  <c r="W392" i="39" a="1"/>
  <c r="W392" i="39" s="1"/>
  <c r="W393" i="39" a="1"/>
  <c r="W393" i="39" s="1"/>
  <c r="W394" i="39" a="1"/>
  <c r="W394" i="39" s="1"/>
  <c r="W395" i="39" a="1"/>
  <c r="W395" i="39" s="1"/>
  <c r="W396" i="39" a="1"/>
  <c r="W396" i="39" s="1"/>
  <c r="W397" i="39" a="1"/>
  <c r="W397" i="39" s="1"/>
  <c r="W398" i="39" a="1"/>
  <c r="W398" i="39" s="1"/>
  <c r="W399" i="39" a="1"/>
  <c r="W399" i="39" s="1"/>
  <c r="W400" i="39" a="1"/>
  <c r="W400" i="39" s="1"/>
  <c r="W401" i="39" a="1"/>
  <c r="W401" i="39" s="1"/>
  <c r="W402" i="39" a="1"/>
  <c r="W402" i="39" s="1"/>
  <c r="W403" i="39" a="1"/>
  <c r="W403" i="39" s="1"/>
  <c r="W404" i="39" a="1"/>
  <c r="W404" i="39" s="1"/>
  <c r="W405" i="39" a="1"/>
  <c r="W405" i="39" s="1"/>
  <c r="W406" i="39" a="1"/>
  <c r="W406" i="39" s="1"/>
  <c r="W407" i="39" a="1"/>
  <c r="W407" i="39" s="1"/>
  <c r="W408" i="39" a="1"/>
  <c r="W408" i="39" s="1"/>
  <c r="W409" i="39" a="1"/>
  <c r="W409" i="39" s="1"/>
  <c r="W410" i="39" a="1"/>
  <c r="W410" i="39" s="1"/>
  <c r="W411" i="39" a="1"/>
  <c r="W411" i="39" s="1"/>
  <c r="W412" i="39" a="1"/>
  <c r="W412" i="39" s="1"/>
  <c r="W413" i="39" a="1"/>
  <c r="W413" i="39" s="1"/>
  <c r="W414" i="39" a="1"/>
  <c r="W414" i="39" s="1"/>
  <c r="W415" i="39" a="1"/>
  <c r="W415" i="39" s="1"/>
  <c r="W416" i="39" a="1"/>
  <c r="W416" i="39" s="1"/>
  <c r="W417" i="39" a="1"/>
  <c r="W417" i="39" s="1"/>
  <c r="W418" i="39" a="1"/>
  <c r="W418" i="39" s="1"/>
  <c r="W419" i="39" a="1"/>
  <c r="W419" i="39" s="1"/>
  <c r="W420" i="39" a="1"/>
  <c r="W420" i="39" s="1"/>
  <c r="W421" i="39" a="1"/>
  <c r="W421" i="39" s="1"/>
  <c r="W422" i="39" a="1"/>
  <c r="W422" i="39" s="1"/>
  <c r="W423" i="39" a="1"/>
  <c r="W423" i="39" s="1"/>
  <c r="W424" i="39" a="1"/>
  <c r="W424" i="39" s="1"/>
  <c r="W425" i="39" a="1"/>
  <c r="W425" i="39" s="1"/>
  <c r="W426" i="39" a="1"/>
  <c r="W426" i="39" s="1"/>
  <c r="W427" i="39" a="1"/>
  <c r="W427" i="39" s="1"/>
  <c r="W428" i="39" a="1"/>
  <c r="W428" i="39" s="1"/>
  <c r="W429" i="39" a="1"/>
  <c r="W429" i="39" s="1"/>
  <c r="W430" i="39" a="1"/>
  <c r="W430" i="39" s="1"/>
  <c r="W431" i="39" a="1"/>
  <c r="W431" i="39" s="1"/>
  <c r="W432" i="39" a="1"/>
  <c r="W432" i="39" s="1"/>
  <c r="W433" i="39" a="1"/>
  <c r="W433" i="39" s="1"/>
  <c r="W434" i="39" a="1"/>
  <c r="W434" i="39" s="1"/>
  <c r="W435" i="39" a="1"/>
  <c r="W435" i="39" s="1"/>
  <c r="W436" i="39" a="1"/>
  <c r="W436" i="39" s="1"/>
  <c r="W437" i="39" a="1"/>
  <c r="W437" i="39" s="1"/>
  <c r="W438" i="39" a="1"/>
  <c r="W438" i="39" s="1"/>
  <c r="W439" i="39" a="1"/>
  <c r="W439" i="39" s="1"/>
  <c r="W440" i="39" a="1"/>
  <c r="W440" i="39" s="1"/>
  <c r="W441" i="39" a="1"/>
  <c r="W441" i="39" s="1"/>
  <c r="W442" i="39" a="1"/>
  <c r="W442" i="39" s="1"/>
  <c r="W443" i="39" a="1"/>
  <c r="W443" i="39" s="1"/>
  <c r="W444" i="39" a="1"/>
  <c r="W444" i="39" s="1"/>
  <c r="W445" i="39" a="1"/>
  <c r="W445" i="39" s="1"/>
  <c r="W446" i="39" a="1"/>
  <c r="W446" i="39" s="1"/>
  <c r="W447" i="39" a="1"/>
  <c r="W447" i="39" s="1"/>
  <c r="W448" i="39" a="1"/>
  <c r="W448" i="39" s="1"/>
  <c r="W449" i="39" a="1"/>
  <c r="W449" i="39" s="1"/>
  <c r="W450" i="39" a="1"/>
  <c r="W450" i="39" s="1"/>
  <c r="W451" i="39" a="1"/>
  <c r="W451" i="39" s="1"/>
  <c r="W452" i="39" a="1"/>
  <c r="W452" i="39" s="1"/>
  <c r="W453" i="39" a="1"/>
  <c r="W453" i="39" s="1"/>
  <c r="W454" i="39" a="1"/>
  <c r="W454" i="39" s="1"/>
  <c r="W455" i="39" a="1"/>
  <c r="W455" i="39" s="1"/>
  <c r="W456" i="39" a="1"/>
  <c r="W456" i="39" s="1"/>
  <c r="W457" i="39" a="1"/>
  <c r="W457" i="39" s="1"/>
  <c r="W458" i="39" a="1"/>
  <c r="W458" i="39" s="1"/>
  <c r="W459" i="39" a="1"/>
  <c r="W459" i="39" s="1"/>
  <c r="W460" i="39" a="1"/>
  <c r="W460" i="39" s="1"/>
  <c r="W461" i="39" a="1"/>
  <c r="W461" i="39" s="1"/>
  <c r="W462" i="39" a="1"/>
  <c r="W462" i="39" s="1"/>
  <c r="W463" i="39" a="1"/>
  <c r="W463" i="39" s="1"/>
  <c r="W464" i="39" a="1"/>
  <c r="W464" i="39" s="1"/>
  <c r="W465" i="39" a="1"/>
  <c r="W465" i="39" s="1"/>
  <c r="W466" i="39" a="1"/>
  <c r="W466" i="39" s="1"/>
  <c r="W467" i="39" a="1"/>
  <c r="W467" i="39" s="1"/>
  <c r="W468" i="39" a="1"/>
  <c r="W468" i="39" s="1"/>
  <c r="W469" i="39" a="1"/>
  <c r="W469" i="39" s="1"/>
  <c r="W470" i="39" a="1"/>
  <c r="W470" i="39" s="1"/>
  <c r="W471" i="39" a="1"/>
  <c r="W471" i="39" s="1"/>
  <c r="W472" i="39" a="1"/>
  <c r="W472" i="39" s="1"/>
  <c r="W473" i="39" a="1"/>
  <c r="W473" i="39" s="1"/>
  <c r="W474" i="39" a="1"/>
  <c r="W474" i="39" s="1"/>
  <c r="W475" i="39" a="1"/>
  <c r="W475" i="39" s="1"/>
  <c r="W476" i="39" a="1"/>
  <c r="W476" i="39" s="1"/>
  <c r="W477" i="39" a="1"/>
  <c r="W477" i="39" s="1"/>
  <c r="W478" i="39" a="1"/>
  <c r="W478" i="39" s="1"/>
  <c r="W479" i="39" a="1"/>
  <c r="W479" i="39"/>
  <c r="W480" i="39" a="1"/>
  <c r="W480" i="39" s="1"/>
  <c r="W481" i="39" a="1"/>
  <c r="W481" i="39" s="1"/>
  <c r="W482" i="39" a="1"/>
  <c r="W482" i="39" s="1"/>
  <c r="W483" i="39" a="1"/>
  <c r="W483" i="39" s="1"/>
  <c r="W484" i="39" a="1"/>
  <c r="W484" i="39" s="1"/>
  <c r="W485" i="39" a="1"/>
  <c r="W485" i="39" s="1"/>
  <c r="W486" i="39" a="1"/>
  <c r="W486" i="39" s="1"/>
  <c r="W487" i="39" a="1"/>
  <c r="W487" i="39" s="1"/>
  <c r="W488" i="39" a="1"/>
  <c r="W488" i="39" s="1"/>
  <c r="W489" i="39" a="1"/>
  <c r="W489" i="39" s="1"/>
  <c r="W490" i="39" a="1"/>
  <c r="W490" i="39" s="1"/>
  <c r="W491" i="39" a="1"/>
  <c r="W491" i="39" s="1"/>
  <c r="W492" i="39" a="1"/>
  <c r="W492" i="39" s="1"/>
  <c r="W493" i="39" a="1"/>
  <c r="W493" i="39" s="1"/>
  <c r="W494" i="39" a="1"/>
  <c r="W494" i="39" s="1"/>
  <c r="W495" i="39" a="1"/>
  <c r="W495" i="39" s="1"/>
  <c r="W496" i="39" a="1"/>
  <c r="W496" i="39" s="1"/>
  <c r="W497" i="39" a="1"/>
  <c r="W497" i="39" s="1"/>
  <c r="W498" i="39" a="1"/>
  <c r="W498" i="39" s="1"/>
  <c r="W499" i="39" a="1"/>
  <c r="W499" i="39" s="1"/>
  <c r="W500" i="39" a="1"/>
  <c r="W500" i="39" s="1"/>
  <c r="W501" i="39" a="1"/>
  <c r="W501" i="39" s="1"/>
  <c r="W502" i="39" a="1"/>
  <c r="W502" i="39" s="1"/>
  <c r="W503" i="39" a="1"/>
  <c r="W503" i="39" s="1"/>
  <c r="W504" i="39" a="1"/>
  <c r="W504" i="39" s="1"/>
  <c r="W505" i="39" a="1"/>
  <c r="W505" i="39" s="1"/>
  <c r="W506" i="39" a="1"/>
  <c r="W506" i="39" s="1"/>
  <c r="W507" i="39" a="1"/>
  <c r="W507" i="39" s="1"/>
  <c r="W508" i="39" a="1"/>
  <c r="W508" i="39" s="1"/>
  <c r="W509" i="39" a="1"/>
  <c r="W509" i="39" s="1"/>
  <c r="W510" i="39" a="1"/>
  <c r="W510" i="39" s="1"/>
  <c r="W511" i="39" a="1"/>
  <c r="W511" i="39" s="1"/>
  <c r="W512" i="39" a="1"/>
  <c r="W512" i="39" s="1"/>
  <c r="W513" i="39" a="1"/>
  <c r="W513" i="39" s="1"/>
  <c r="W514" i="39" a="1"/>
  <c r="W514" i="39" s="1"/>
  <c r="V15" i="39"/>
  <c r="W15" i="39" s="1" a="1"/>
  <c r="W15" i="39" s="1"/>
  <c r="V16" i="39"/>
  <c r="V17" i="39"/>
  <c r="W17" i="39" s="1" a="1"/>
  <c r="W17" i="39" s="1"/>
  <c r="V18" i="39"/>
  <c r="V19" i="39"/>
  <c r="W19" i="39" s="1" a="1"/>
  <c r="W19" i="39" s="1"/>
  <c r="V20" i="39"/>
  <c r="W20" i="39" s="1" a="1"/>
  <c r="W20" i="39" s="1"/>
  <c r="V21" i="39"/>
  <c r="V22" i="39"/>
  <c r="V23" i="39"/>
  <c r="W23" i="39" s="1" a="1"/>
  <c r="W23" i="39" s="1"/>
  <c r="V24" i="39"/>
  <c r="V25" i="39"/>
  <c r="W25" i="39" s="1" a="1"/>
  <c r="W25" i="39" s="1"/>
  <c r="V26" i="39"/>
  <c r="V27" i="39"/>
  <c r="V28" i="39"/>
  <c r="W28" i="39" s="1" a="1"/>
  <c r="W28" i="39" s="1"/>
  <c r="V29" i="39"/>
  <c r="W29" i="39" s="1" a="1"/>
  <c r="W29" i="39" s="1"/>
  <c r="V30" i="39"/>
  <c r="V31" i="39"/>
  <c r="W31" i="39" s="1" a="1"/>
  <c r="W31" i="39" s="1"/>
  <c r="V32" i="39"/>
  <c r="W32" i="39" s="1" a="1"/>
  <c r="W32" i="39" s="1"/>
  <c r="V33" i="39"/>
  <c r="W33" i="39" s="1" a="1"/>
  <c r="W33" i="39" s="1"/>
  <c r="V34" i="39"/>
  <c r="V35" i="39"/>
  <c r="V36" i="39"/>
  <c r="V37" i="39"/>
  <c r="W37" i="39" s="1" a="1"/>
  <c r="W37" i="39" s="1"/>
  <c r="V38" i="39"/>
  <c r="V39" i="39"/>
  <c r="W39" i="39" s="1" a="1"/>
  <c r="W39" i="39" s="1"/>
  <c r="V40" i="39"/>
  <c r="V41" i="39"/>
  <c r="V42" i="39"/>
  <c r="V43" i="39"/>
  <c r="V44" i="39"/>
  <c r="W44" i="39" s="1" a="1"/>
  <c r="W44" i="39" s="1"/>
  <c r="V45" i="39"/>
  <c r="W45" i="39" s="1" a="1"/>
  <c r="W45" i="39" s="1"/>
  <c r="V46" i="39"/>
  <c r="W46" i="39" s="1" a="1"/>
  <c r="W46" i="39" s="1"/>
  <c r="V47" i="39"/>
  <c r="W47" i="39" s="1" a="1"/>
  <c r="W47" i="39" s="1"/>
  <c r="V48" i="39"/>
  <c r="W48" i="39" s="1" a="1"/>
  <c r="W48" i="39" s="1"/>
  <c r="V49" i="39"/>
  <c r="V50" i="39"/>
  <c r="V51" i="39"/>
  <c r="V52" i="39"/>
  <c r="V53" i="39"/>
  <c r="V54" i="39"/>
  <c r="W54" i="39" s="1" a="1"/>
  <c r="W54" i="39" s="1"/>
  <c r="V55" i="39"/>
  <c r="W55" i="39" s="1" a="1"/>
  <c r="W55" i="39" s="1"/>
  <c r="V56" i="39"/>
  <c r="W56" i="39" s="1" a="1"/>
  <c r="W56" i="39" s="1"/>
  <c r="V57" i="39"/>
  <c r="W57" i="39" s="1" a="1"/>
  <c r="W57" i="39" s="1"/>
  <c r="V58" i="39"/>
  <c r="V59" i="39"/>
  <c r="V60" i="39"/>
  <c r="W60" i="39" s="1" a="1"/>
  <c r="W60" i="39" s="1"/>
  <c r="V61" i="39"/>
  <c r="W61" i="39" s="1" a="1"/>
  <c r="W61" i="39" s="1"/>
  <c r="V62" i="39"/>
  <c r="W62" i="39" s="1" a="1"/>
  <c r="W62" i="39" s="1"/>
  <c r="V63" i="39"/>
  <c r="W63" i="39" s="1" a="1"/>
  <c r="W63" i="39" s="1"/>
  <c r="V64" i="39"/>
  <c r="V65" i="39"/>
  <c r="W65" i="39" s="1" a="1"/>
  <c r="W65" i="39" s="1"/>
  <c r="V66" i="39"/>
  <c r="V67" i="39"/>
  <c r="V68" i="39"/>
  <c r="W68" i="39" s="1" a="1"/>
  <c r="W68" i="39" s="1"/>
  <c r="V69" i="39"/>
  <c r="W69" i="39" s="1" a="1"/>
  <c r="W69" i="39" s="1"/>
  <c r="V70" i="39"/>
  <c r="W70" i="39" s="1" a="1"/>
  <c r="W70" i="39" s="1"/>
  <c r="V71" i="39"/>
  <c r="W71" i="39" s="1" a="1"/>
  <c r="W71" i="39" s="1"/>
  <c r="V72" i="39"/>
  <c r="V73" i="39"/>
  <c r="V74" i="39"/>
  <c r="W74" i="39" s="1" a="1"/>
  <c r="W74" i="39" s="1"/>
  <c r="V75" i="39"/>
  <c r="W75" i="39" s="1" a="1"/>
  <c r="W75" i="39" s="1"/>
  <c r="V76" i="39"/>
  <c r="W76" i="39" s="1" a="1"/>
  <c r="W76" i="39" s="1"/>
  <c r="V77" i="39"/>
  <c r="V78" i="39"/>
  <c r="W78" i="39" s="1" a="1"/>
  <c r="W78" i="39" s="1"/>
  <c r="V79" i="39"/>
  <c r="W79" i="39" s="1" a="1"/>
  <c r="W79" i="39" s="1"/>
  <c r="V80" i="39"/>
  <c r="V81" i="39"/>
  <c r="W81" i="39" s="1" a="1"/>
  <c r="W81" i="39" s="1"/>
  <c r="V82" i="39"/>
  <c r="V83" i="39"/>
  <c r="W83" i="39" s="1" a="1"/>
  <c r="W83" i="39" s="1"/>
  <c r="V84" i="39"/>
  <c r="W84" i="39" s="1" a="1"/>
  <c r="W84" i="39" s="1"/>
  <c r="V85" i="39"/>
  <c r="W85" i="39" s="1" a="1"/>
  <c r="W85" i="39" s="1"/>
  <c r="V86" i="39"/>
  <c r="W86" i="39" s="1" a="1"/>
  <c r="W86" i="39" s="1"/>
  <c r="V87" i="39"/>
  <c r="W87" i="39" s="1" a="1"/>
  <c r="W87" i="39" s="1"/>
  <c r="V88" i="39"/>
  <c r="V89" i="39"/>
  <c r="V90" i="39"/>
  <c r="V91" i="39"/>
  <c r="W91" i="39" s="1" a="1"/>
  <c r="W91" i="39" s="1"/>
  <c r="V92" i="39"/>
  <c r="V93" i="39"/>
  <c r="W93" i="39" s="1" a="1"/>
  <c r="W93" i="39" s="1"/>
  <c r="V94" i="39"/>
  <c r="W94" i="39" s="1" a="1"/>
  <c r="W94" i="39" s="1"/>
  <c r="V95" i="39"/>
  <c r="W95" i="39" s="1" a="1"/>
  <c r="W95" i="39" s="1"/>
  <c r="V96" i="39"/>
  <c r="W96" i="39" s="1" a="1"/>
  <c r="W96" i="39" s="1"/>
  <c r="V97" i="39"/>
  <c r="V98" i="39"/>
  <c r="V99" i="39"/>
  <c r="V100" i="39"/>
  <c r="W100" i="39" s="1" a="1"/>
  <c r="W100" i="39" s="1"/>
  <c r="V101" i="39"/>
  <c r="V102" i="39"/>
  <c r="V103" i="39"/>
  <c r="W103" i="39" s="1" a="1"/>
  <c r="W103" i="39" s="1"/>
  <c r="V104" i="39"/>
  <c r="W104" i="39" s="1" a="1"/>
  <c r="W104" i="39" s="1"/>
  <c r="V105" i="39"/>
  <c r="V106" i="39"/>
  <c r="V107" i="39"/>
  <c r="V108" i="39"/>
  <c r="W108" i="39" s="1" a="1"/>
  <c r="W108" i="39" s="1"/>
  <c r="V109" i="39"/>
  <c r="V110" i="39"/>
  <c r="V111" i="39"/>
  <c r="W111" i="39" s="1" a="1"/>
  <c r="W111" i="39" s="1"/>
  <c r="V112" i="39"/>
  <c r="W112" i="39" s="1" a="1"/>
  <c r="W112" i="39" s="1"/>
  <c r="V113" i="39"/>
  <c r="V114" i="39"/>
  <c r="V115" i="39"/>
  <c r="V116" i="39"/>
  <c r="W116" i="39" s="1" a="1"/>
  <c r="W116" i="39" s="1"/>
  <c r="V117" i="39"/>
  <c r="W117" i="39" s="1" a="1"/>
  <c r="W117" i="39" s="1"/>
  <c r="V118" i="39"/>
  <c r="W118" i="39" s="1" a="1"/>
  <c r="W118" i="39" s="1"/>
  <c r="V119" i="39"/>
  <c r="W119" i="39" s="1" a="1"/>
  <c r="W119" i="39" s="1"/>
  <c r="V120" i="39"/>
  <c r="W120" i="39" s="1" a="1"/>
  <c r="W120" i="39" s="1"/>
  <c r="V121" i="39"/>
  <c r="W121" i="39" s="1" a="1"/>
  <c r="W121" i="39" s="1"/>
  <c r="V122" i="39"/>
  <c r="V123" i="39"/>
  <c r="V124" i="39"/>
  <c r="V125" i="39"/>
  <c r="W125" i="39" s="1" a="1"/>
  <c r="W125" i="39" s="1"/>
  <c r="V126" i="39"/>
  <c r="W126" i="39" s="1" a="1"/>
  <c r="W126" i="39" s="1"/>
  <c r="V127" i="39"/>
  <c r="V128" i="39"/>
  <c r="W128" i="39" s="1" a="1"/>
  <c r="W128" i="39" s="1"/>
  <c r="V129" i="39"/>
  <c r="W129" i="39" s="1" a="1"/>
  <c r="W129" i="39" s="1"/>
  <c r="V130" i="39"/>
  <c r="V131" i="39"/>
  <c r="V132" i="39"/>
  <c r="W132" i="39" s="1" a="1"/>
  <c r="W132" i="39" s="1"/>
  <c r="V133" i="39"/>
  <c r="W133" i="39" s="1" a="1"/>
  <c r="W133" i="39" s="1"/>
  <c r="V134" i="39"/>
  <c r="W134" i="39" s="1" a="1"/>
  <c r="W134" i="39" s="1"/>
  <c r="V135" i="39"/>
  <c r="V136" i="39"/>
  <c r="V137" i="39"/>
  <c r="W137" i="39" s="1" a="1"/>
  <c r="W137" i="39" s="1"/>
  <c r="V138" i="39"/>
  <c r="V139" i="39"/>
  <c r="V140" i="39"/>
  <c r="V141" i="39"/>
  <c r="V142" i="39"/>
  <c r="V143" i="39"/>
  <c r="V144" i="39"/>
  <c r="W144" i="39" s="1" a="1"/>
  <c r="W144" i="39" s="1"/>
  <c r="V145" i="39"/>
  <c r="W145" i="39" s="1" a="1"/>
  <c r="W145" i="39" s="1"/>
  <c r="V146" i="39"/>
  <c r="W146" i="39" s="1" a="1"/>
  <c r="W146" i="39" s="1"/>
  <c r="V147" i="39"/>
  <c r="W147" i="39" s="1" a="1"/>
  <c r="W147" i="39" s="1"/>
  <c r="V148" i="39"/>
  <c r="W148" i="39" s="1" a="1"/>
  <c r="W148" i="39" s="1"/>
  <c r="V149" i="39"/>
  <c r="W149" i="39" s="1" a="1"/>
  <c r="W149" i="39" s="1"/>
  <c r="V150" i="39"/>
  <c r="W150" i="39" s="1" a="1"/>
  <c r="W150" i="39" s="1"/>
  <c r="V151" i="39"/>
  <c r="V152" i="39"/>
  <c r="V153" i="39"/>
  <c r="V154" i="39"/>
  <c r="V155" i="39"/>
  <c r="W155" i="39" s="1" a="1"/>
  <c r="W155" i="39" s="1"/>
  <c r="V156" i="39"/>
  <c r="W156" i="39" s="1" a="1"/>
  <c r="W156" i="39" s="1"/>
  <c r="V157" i="39"/>
  <c r="W157" i="39" s="1" a="1"/>
  <c r="W157" i="39" s="1"/>
  <c r="V158" i="39"/>
  <c r="V159" i="39"/>
  <c r="V160" i="39"/>
  <c r="W160" i="39" s="1" a="1"/>
  <c r="W160" i="39" s="1"/>
  <c r="V161" i="39"/>
  <c r="V162" i="39"/>
  <c r="V163" i="39"/>
  <c r="W163" i="39" s="1" a="1"/>
  <c r="W163" i="39" s="1"/>
  <c r="V164" i="39"/>
  <c r="W164" i="39" s="1" a="1"/>
  <c r="W164" i="39" s="1"/>
  <c r="V165" i="39"/>
  <c r="V166" i="39"/>
  <c r="W166" i="39" s="1" a="1"/>
  <c r="W166" i="39" s="1"/>
  <c r="V167" i="39"/>
  <c r="V168" i="39"/>
  <c r="V169" i="39"/>
  <c r="W169" i="39" s="1" a="1"/>
  <c r="W169" i="39" s="1"/>
  <c r="V170" i="39"/>
  <c r="V171" i="39"/>
  <c r="W171" i="39" s="1" a="1"/>
  <c r="W171" i="39" s="1"/>
  <c r="V172" i="39"/>
  <c r="W172" i="39" s="1" a="1"/>
  <c r="W172" i="39" s="1"/>
  <c r="V173" i="39"/>
  <c r="W173" i="39" s="1" a="1"/>
  <c r="W173" i="39" s="1"/>
  <c r="V174" i="39"/>
  <c r="V175" i="39"/>
  <c r="V176" i="39"/>
  <c r="V177" i="39"/>
  <c r="W177" i="39" s="1" a="1"/>
  <c r="W177" i="39" s="1"/>
  <c r="V178" i="39"/>
  <c r="V179" i="39"/>
  <c r="V180" i="39"/>
  <c r="W180" i="39" s="1" a="1"/>
  <c r="W180" i="39" s="1"/>
  <c r="V181" i="39"/>
  <c r="W181" i="39" s="1" a="1"/>
  <c r="W181" i="39" s="1"/>
  <c r="V182" i="39"/>
  <c r="W182" i="39" s="1" a="1"/>
  <c r="W182" i="39" s="1"/>
  <c r="V183" i="39"/>
  <c r="V184" i="39"/>
  <c r="W184" i="39" s="1" a="1"/>
  <c r="W184" i="39" s="1"/>
  <c r="V185" i="39"/>
  <c r="V186" i="39"/>
  <c r="V187" i="39"/>
  <c r="V188" i="39"/>
  <c r="W188" i="39" s="1" a="1"/>
  <c r="W188" i="39" s="1"/>
  <c r="V189" i="39"/>
  <c r="W189" i="39" s="1" a="1"/>
  <c r="W189" i="39" s="1"/>
  <c r="V190" i="39"/>
  <c r="W190" i="39" s="1" a="1"/>
  <c r="W190" i="39" s="1"/>
  <c r="V191" i="39"/>
  <c r="V192" i="39"/>
  <c r="V193" i="39"/>
  <c r="W193" i="39" s="1" a="1"/>
  <c r="W193" i="39" s="1"/>
  <c r="V194" i="39"/>
  <c r="V195" i="39"/>
  <c r="V196" i="39"/>
  <c r="W196" i="39" s="1" a="1"/>
  <c r="W196" i="39" s="1"/>
  <c r="V197" i="39"/>
  <c r="V198" i="39"/>
  <c r="W198" i="39" s="1" a="1"/>
  <c r="W198" i="39" s="1"/>
  <c r="V199" i="39"/>
  <c r="V200" i="39"/>
  <c r="W200" i="39" s="1" a="1"/>
  <c r="W200" i="39" s="1"/>
  <c r="V201" i="39"/>
  <c r="V202" i="39"/>
  <c r="V203" i="39"/>
  <c r="V204" i="39"/>
  <c r="W204" i="39" s="1" a="1"/>
  <c r="W204" i="39" s="1"/>
  <c r="V205" i="39"/>
  <c r="W205" i="39" s="1" a="1"/>
  <c r="W205" i="39" s="1"/>
  <c r="V206" i="39"/>
  <c r="V207" i="39"/>
  <c r="V208" i="39"/>
  <c r="W208" i="39" s="1" a="1"/>
  <c r="W208" i="39" s="1"/>
  <c r="V209" i="39"/>
  <c r="W209" i="39" s="1" a="1"/>
  <c r="W209" i="39" s="1"/>
  <c r="V210" i="39"/>
  <c r="V211" i="39"/>
  <c r="V212" i="39"/>
  <c r="W212" i="39" s="1" a="1"/>
  <c r="W212" i="39" s="1"/>
  <c r="V213" i="39"/>
  <c r="W213" i="39" s="1" a="1"/>
  <c r="W213" i="39" s="1"/>
  <c r="V214" i="39"/>
  <c r="W214" i="39" s="1" a="1"/>
  <c r="W214" i="39" s="1"/>
  <c r="V215" i="39"/>
  <c r="V216" i="39"/>
  <c r="W216" i="39" s="1" a="1"/>
  <c r="W216" i="39" s="1"/>
  <c r="V217" i="39"/>
  <c r="W217" i="39" s="1" a="1"/>
  <c r="W217" i="39" s="1"/>
  <c r="V218" i="39"/>
  <c r="V219" i="39"/>
  <c r="V220" i="39"/>
  <c r="W220" i="39" s="1" a="1"/>
  <c r="W220" i="39" s="1"/>
  <c r="V221" i="39"/>
  <c r="W221" i="39" s="1" a="1"/>
  <c r="W221" i="39" s="1"/>
  <c r="V222" i="39"/>
  <c r="W222" i="39" s="1" a="1"/>
  <c r="W222" i="39" s="1"/>
  <c r="V223" i="39"/>
  <c r="V224" i="39"/>
  <c r="V225" i="39"/>
  <c r="V226" i="39"/>
  <c r="W226" i="39" s="1" a="1"/>
  <c r="W226" i="39" s="1"/>
  <c r="V227" i="39"/>
  <c r="W227" i="39" s="1" a="1"/>
  <c r="W227" i="39" s="1"/>
  <c r="V228" i="39"/>
  <c r="W228" i="39" s="1" a="1"/>
  <c r="W228" i="39" s="1"/>
  <c r="V229" i="39"/>
  <c r="W229" i="39" s="1" a="1"/>
  <c r="W229" i="39" s="1"/>
  <c r="V230" i="39"/>
  <c r="W230" i="39" s="1" a="1"/>
  <c r="W230" i="39" s="1"/>
  <c r="V231" i="39"/>
  <c r="V232" i="39"/>
  <c r="W232" i="39" s="1" a="1"/>
  <c r="W232" i="39" s="1"/>
  <c r="V233" i="39"/>
  <c r="V234" i="39"/>
  <c r="V235" i="39"/>
  <c r="W235" i="39" s="1" a="1"/>
  <c r="W235" i="39" s="1"/>
  <c r="V236" i="39"/>
  <c r="W236" i="39" s="1" a="1"/>
  <c r="W236" i="39" s="1"/>
  <c r="V237" i="39"/>
  <c r="W237" i="39" s="1" a="1"/>
  <c r="W237" i="39" s="1"/>
  <c r="V238" i="39"/>
  <c r="V239" i="39"/>
  <c r="V240" i="39"/>
  <c r="W240" i="39" s="1" a="1"/>
  <c r="W240" i="39" s="1"/>
  <c r="V241" i="39"/>
  <c r="V242" i="39"/>
  <c r="V243" i="39"/>
  <c r="V244" i="39"/>
  <c r="W244" i="39" s="1" a="1"/>
  <c r="W244" i="39" s="1"/>
  <c r="V245" i="39"/>
  <c r="V246" i="39"/>
  <c r="W246" i="39" s="1" a="1"/>
  <c r="W246" i="39" s="1"/>
  <c r="V247" i="39"/>
  <c r="V248" i="39"/>
  <c r="V249" i="39"/>
  <c r="V250" i="39"/>
  <c r="V251" i="39"/>
  <c r="V252" i="39"/>
  <c r="W252" i="39" s="1" a="1"/>
  <c r="W252" i="39" s="1"/>
  <c r="V253" i="39"/>
  <c r="V254" i="39"/>
  <c r="V255" i="39"/>
  <c r="V256" i="39"/>
  <c r="V257" i="39"/>
  <c r="W257" i="39" s="1" a="1"/>
  <c r="W257" i="39" s="1"/>
  <c r="V258" i="39"/>
  <c r="V259" i="39"/>
  <c r="V260" i="39"/>
  <c r="W260" i="39" s="1" a="1"/>
  <c r="W260" i="39" s="1"/>
  <c r="V261" i="39"/>
  <c r="W261" i="39" s="1" a="1"/>
  <c r="W261" i="39" s="1"/>
  <c r="V262" i="39"/>
  <c r="W262" i="39" s="1" a="1"/>
  <c r="W262" i="39" s="1"/>
  <c r="V263" i="39"/>
  <c r="V264" i="39"/>
  <c r="W264" i="39" s="1" a="1"/>
  <c r="W264" i="39" s="1"/>
  <c r="V265" i="39"/>
  <c r="V266" i="39"/>
  <c r="V267" i="39"/>
  <c r="V268" i="39"/>
  <c r="V269" i="39"/>
  <c r="V270" i="39"/>
  <c r="W270" i="39" s="1" a="1"/>
  <c r="W270" i="39" s="1"/>
  <c r="V271" i="39"/>
  <c r="V272" i="39"/>
  <c r="W272" i="39" s="1" a="1"/>
  <c r="W272" i="39" s="1"/>
  <c r="V273" i="39"/>
  <c r="V274" i="39"/>
  <c r="V275" i="39"/>
  <c r="V276" i="39"/>
  <c r="V277" i="39"/>
  <c r="V278" i="39"/>
  <c r="V279" i="39"/>
  <c r="V280" i="39"/>
  <c r="V281" i="39"/>
  <c r="V282" i="39"/>
  <c r="V283" i="39"/>
  <c r="V284" i="39"/>
  <c r="V285" i="39"/>
  <c r="V286" i="39"/>
  <c r="V287" i="39"/>
  <c r="V288" i="39"/>
  <c r="V289" i="39"/>
  <c r="V290" i="39"/>
  <c r="V291" i="39"/>
  <c r="V292" i="39"/>
  <c r="V293" i="39"/>
  <c r="V294" i="39"/>
  <c r="V295" i="39"/>
  <c r="V296" i="39"/>
  <c r="V297" i="39"/>
  <c r="V298" i="39"/>
  <c r="V299" i="39"/>
  <c r="V300" i="39"/>
  <c r="V301" i="39"/>
  <c r="V302" i="39"/>
  <c r="V303" i="39"/>
  <c r="V304" i="39"/>
  <c r="V305" i="39"/>
  <c r="V306" i="39"/>
  <c r="V307" i="39"/>
  <c r="V308" i="39"/>
  <c r="V309" i="39"/>
  <c r="V310" i="39"/>
  <c r="V311" i="39"/>
  <c r="V312" i="39"/>
  <c r="V313" i="39"/>
  <c r="V314" i="39"/>
  <c r="V315" i="39"/>
  <c r="V316" i="39"/>
  <c r="V317" i="39"/>
  <c r="V318" i="39"/>
  <c r="V319" i="39"/>
  <c r="V320" i="39"/>
  <c r="V321" i="39"/>
  <c r="V322" i="39"/>
  <c r="V323" i="39"/>
  <c r="V324" i="39"/>
  <c r="V325" i="39"/>
  <c r="V326" i="39"/>
  <c r="V327" i="39"/>
  <c r="V328" i="39"/>
  <c r="V329" i="39"/>
  <c r="V330" i="39"/>
  <c r="V331" i="39"/>
  <c r="V332" i="39"/>
  <c r="V333" i="39"/>
  <c r="V334" i="39"/>
  <c r="V335" i="39"/>
  <c r="V336" i="39"/>
  <c r="V337" i="39"/>
  <c r="V338" i="39"/>
  <c r="V339" i="39"/>
  <c r="V340" i="39"/>
  <c r="V341" i="39"/>
  <c r="V342" i="39"/>
  <c r="V343" i="39"/>
  <c r="V344" i="39"/>
  <c r="V345" i="39"/>
  <c r="V346" i="39"/>
  <c r="V347" i="39"/>
  <c r="V348" i="39"/>
  <c r="V349" i="39"/>
  <c r="V350" i="39"/>
  <c r="V351" i="39"/>
  <c r="V352" i="39"/>
  <c r="V353" i="39"/>
  <c r="V354" i="39"/>
  <c r="V355" i="39"/>
  <c r="V356" i="39"/>
  <c r="V357" i="39"/>
  <c r="V358" i="39"/>
  <c r="V359" i="39"/>
  <c r="V360" i="39"/>
  <c r="V361" i="39"/>
  <c r="V362" i="39"/>
  <c r="V363" i="39"/>
  <c r="V364" i="39"/>
  <c r="V365" i="39"/>
  <c r="V366" i="39"/>
  <c r="V367" i="39"/>
  <c r="V368" i="39"/>
  <c r="V369" i="39"/>
  <c r="V370" i="39"/>
  <c r="V371" i="39"/>
  <c r="V372" i="39"/>
  <c r="V373" i="39"/>
  <c r="V374" i="39"/>
  <c r="V375" i="39"/>
  <c r="V376" i="39"/>
  <c r="V377" i="39"/>
  <c r="V378" i="39"/>
  <c r="V379" i="39"/>
  <c r="V380" i="39"/>
  <c r="V381" i="39"/>
  <c r="V382" i="39"/>
  <c r="V383" i="39"/>
  <c r="V384" i="39"/>
  <c r="V385" i="39"/>
  <c r="V386" i="39"/>
  <c r="V387" i="39"/>
  <c r="V388" i="39"/>
  <c r="V389" i="39"/>
  <c r="V390" i="39"/>
  <c r="V391" i="39"/>
  <c r="V392" i="39"/>
  <c r="V393" i="39"/>
  <c r="V394" i="39"/>
  <c r="V395" i="39"/>
  <c r="V396" i="39"/>
  <c r="V397" i="39"/>
  <c r="V398" i="39"/>
  <c r="V399" i="39"/>
  <c r="V400" i="39"/>
  <c r="V401" i="39"/>
  <c r="V402" i="39"/>
  <c r="V403" i="39"/>
  <c r="V404" i="39"/>
  <c r="V405" i="39"/>
  <c r="V406" i="39"/>
  <c r="V407" i="39"/>
  <c r="V408" i="39"/>
  <c r="V409" i="39"/>
  <c r="V410" i="39"/>
  <c r="V411" i="39"/>
  <c r="V412" i="39"/>
  <c r="V413" i="39"/>
  <c r="V414" i="39"/>
  <c r="V415" i="39"/>
  <c r="V416" i="39"/>
  <c r="V417" i="39"/>
  <c r="V418" i="39"/>
  <c r="V419" i="39"/>
  <c r="V420" i="39"/>
  <c r="V421" i="39"/>
  <c r="V422" i="39"/>
  <c r="V423" i="39"/>
  <c r="V424" i="39"/>
  <c r="V425" i="39"/>
  <c r="V426" i="39"/>
  <c r="V427" i="39"/>
  <c r="V428" i="39"/>
  <c r="V429" i="39"/>
  <c r="V430" i="39"/>
  <c r="V431" i="39"/>
  <c r="V432" i="39"/>
  <c r="V433" i="39"/>
  <c r="V434" i="39"/>
  <c r="V435" i="39"/>
  <c r="V436" i="39"/>
  <c r="V437" i="39"/>
  <c r="V438" i="39"/>
  <c r="V439" i="39"/>
  <c r="V440" i="39"/>
  <c r="V441" i="39"/>
  <c r="V442" i="39"/>
  <c r="V443" i="39"/>
  <c r="V444" i="39"/>
  <c r="V445" i="39"/>
  <c r="V446" i="39"/>
  <c r="V447" i="39"/>
  <c r="V448" i="39"/>
  <c r="V449" i="39"/>
  <c r="V450" i="39"/>
  <c r="V451" i="39"/>
  <c r="V452" i="39"/>
  <c r="V453" i="39"/>
  <c r="V454" i="39"/>
  <c r="V455" i="39"/>
  <c r="V456" i="39"/>
  <c r="V457" i="39"/>
  <c r="V458" i="39"/>
  <c r="V459" i="39"/>
  <c r="V460" i="39"/>
  <c r="V461" i="39"/>
  <c r="V462" i="39"/>
  <c r="V463" i="39"/>
  <c r="V464" i="39"/>
  <c r="V465" i="39"/>
  <c r="V466" i="39"/>
  <c r="V467" i="39"/>
  <c r="V468" i="39"/>
  <c r="V469" i="39"/>
  <c r="V470" i="39"/>
  <c r="V471" i="39"/>
  <c r="V472" i="39"/>
  <c r="V473" i="39"/>
  <c r="V474" i="39"/>
  <c r="V475" i="39"/>
  <c r="V476" i="39"/>
  <c r="V477" i="39"/>
  <c r="V478" i="39"/>
  <c r="V479" i="39"/>
  <c r="V480" i="39"/>
  <c r="V481" i="39"/>
  <c r="V482" i="39"/>
  <c r="V483" i="39"/>
  <c r="V484" i="39"/>
  <c r="V485" i="39"/>
  <c r="V486" i="39"/>
  <c r="V487" i="39"/>
  <c r="V488" i="39"/>
  <c r="V489" i="39"/>
  <c r="V490" i="39"/>
  <c r="V491" i="39"/>
  <c r="V492" i="39"/>
  <c r="V493" i="39"/>
  <c r="V494" i="39"/>
  <c r="V495" i="39"/>
  <c r="V496" i="39"/>
  <c r="V497" i="39"/>
  <c r="V498" i="39"/>
  <c r="V499" i="39"/>
  <c r="V500" i="39"/>
  <c r="V501" i="39"/>
  <c r="V502" i="39"/>
  <c r="V503" i="39"/>
  <c r="V504" i="39"/>
  <c r="V505" i="39"/>
  <c r="V506" i="39"/>
  <c r="V507" i="39"/>
  <c r="V508" i="39"/>
  <c r="V509" i="39"/>
  <c r="V510" i="39"/>
  <c r="V511" i="39"/>
  <c r="V512" i="39"/>
  <c r="V513" i="39"/>
  <c r="V5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U43" i="39"/>
  <c r="U44" i="39"/>
  <c r="U45" i="39"/>
  <c r="U46" i="39"/>
  <c r="U47" i="39"/>
  <c r="U48" i="39"/>
  <c r="U49" i="39"/>
  <c r="U50" i="39"/>
  <c r="U51" i="39"/>
  <c r="U52" i="39"/>
  <c r="U53" i="39"/>
  <c r="U54" i="39"/>
  <c r="U55" i="39"/>
  <c r="U56" i="39"/>
  <c r="U57" i="39"/>
  <c r="U58" i="39"/>
  <c r="U59" i="39"/>
  <c r="U60" i="39"/>
  <c r="U61" i="39"/>
  <c r="U62" i="39"/>
  <c r="U63" i="39"/>
  <c r="U64" i="39"/>
  <c r="U65" i="39"/>
  <c r="U66" i="39"/>
  <c r="U67" i="39"/>
  <c r="U68" i="39"/>
  <c r="U69" i="39"/>
  <c r="U70" i="39"/>
  <c r="U71" i="39"/>
  <c r="U72" i="39"/>
  <c r="U73" i="39"/>
  <c r="U74" i="39"/>
  <c r="U75" i="39"/>
  <c r="U76" i="39"/>
  <c r="U77" i="39"/>
  <c r="U78" i="39"/>
  <c r="U79" i="39"/>
  <c r="U80" i="39"/>
  <c r="U81" i="39"/>
  <c r="U82" i="39"/>
  <c r="U83" i="39"/>
  <c r="U84" i="39"/>
  <c r="U85" i="39"/>
  <c r="U86" i="39"/>
  <c r="U87" i="39"/>
  <c r="U88" i="39"/>
  <c r="U89" i="39"/>
  <c r="U90" i="39"/>
  <c r="U91" i="39"/>
  <c r="U92" i="39"/>
  <c r="U93" i="39"/>
  <c r="U94" i="39"/>
  <c r="U95" i="39"/>
  <c r="U96" i="39"/>
  <c r="U97" i="39"/>
  <c r="U98" i="39"/>
  <c r="U99" i="39"/>
  <c r="U100" i="39"/>
  <c r="U101" i="39"/>
  <c r="U102" i="39"/>
  <c r="U103" i="39"/>
  <c r="U104" i="39"/>
  <c r="U105"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U134" i="39"/>
  <c r="U135" i="39"/>
  <c r="U136" i="39"/>
  <c r="U137" i="39"/>
  <c r="U138" i="39"/>
  <c r="U139" i="39"/>
  <c r="U140" i="39"/>
  <c r="U141" i="39"/>
  <c r="U142" i="39"/>
  <c r="U143" i="39"/>
  <c r="U144" i="39"/>
  <c r="U145" i="39"/>
  <c r="U146" i="39"/>
  <c r="U147" i="39"/>
  <c r="U148" i="39"/>
  <c r="U149" i="39"/>
  <c r="U150" i="39"/>
  <c r="U151" i="39"/>
  <c r="U152" i="39"/>
  <c r="U153" i="39"/>
  <c r="U154" i="39"/>
  <c r="U155" i="39"/>
  <c r="U156" i="39"/>
  <c r="U157" i="39"/>
  <c r="U158" i="39"/>
  <c r="U159" i="39"/>
  <c r="U160" i="39"/>
  <c r="U161" i="39"/>
  <c r="U162" i="39"/>
  <c r="U163" i="39"/>
  <c r="U164" i="39"/>
  <c r="U165" i="39"/>
  <c r="U166" i="39"/>
  <c r="U167" i="39"/>
  <c r="U168" i="39"/>
  <c r="U169" i="39"/>
  <c r="U170" i="39"/>
  <c r="U171" i="39"/>
  <c r="U172" i="39"/>
  <c r="U173" i="39"/>
  <c r="U174" i="39"/>
  <c r="U175" i="39"/>
  <c r="U176" i="39"/>
  <c r="U177" i="39"/>
  <c r="U178" i="39"/>
  <c r="U179" i="39"/>
  <c r="U180" i="39"/>
  <c r="U181" i="39"/>
  <c r="U182" i="39"/>
  <c r="U183" i="39"/>
  <c r="U184" i="39"/>
  <c r="U185" i="39"/>
  <c r="U186" i="39"/>
  <c r="U187" i="39"/>
  <c r="U188" i="39"/>
  <c r="U189" i="39"/>
  <c r="U190" i="39"/>
  <c r="U191" i="39"/>
  <c r="U192" i="39"/>
  <c r="U193" i="39"/>
  <c r="U194" i="39"/>
  <c r="U195" i="39"/>
  <c r="U196" i="39"/>
  <c r="U197" i="39"/>
  <c r="U198" i="39"/>
  <c r="U199" i="39"/>
  <c r="U200" i="39"/>
  <c r="U201" i="39"/>
  <c r="U202" i="39"/>
  <c r="U203" i="39"/>
  <c r="U204" i="39"/>
  <c r="U205" i="39"/>
  <c r="U206" i="39"/>
  <c r="U207" i="39"/>
  <c r="U208" i="39"/>
  <c r="U209" i="39"/>
  <c r="U210" i="39"/>
  <c r="U211" i="39"/>
  <c r="U212" i="39"/>
  <c r="U213" i="39"/>
  <c r="U214" i="39"/>
  <c r="U215" i="39"/>
  <c r="U216" i="39"/>
  <c r="U217" i="39"/>
  <c r="U218" i="39"/>
  <c r="U219" i="39"/>
  <c r="U220" i="39"/>
  <c r="U221" i="39"/>
  <c r="U222" i="39"/>
  <c r="U223" i="39"/>
  <c r="U224" i="39"/>
  <c r="U225" i="39"/>
  <c r="U226" i="39"/>
  <c r="U227" i="39"/>
  <c r="U228" i="39"/>
  <c r="U229" i="39"/>
  <c r="U230" i="39"/>
  <c r="U231" i="39"/>
  <c r="U232" i="39"/>
  <c r="U233" i="39"/>
  <c r="U234" i="39"/>
  <c r="U235" i="39"/>
  <c r="U236" i="39"/>
  <c r="U237" i="39"/>
  <c r="U238" i="39"/>
  <c r="U239" i="39"/>
  <c r="U240" i="39"/>
  <c r="U241" i="39"/>
  <c r="U242" i="39"/>
  <c r="U243" i="39"/>
  <c r="U244" i="39"/>
  <c r="U245" i="39"/>
  <c r="U246" i="39"/>
  <c r="U247" i="39"/>
  <c r="U248" i="39"/>
  <c r="U249" i="39"/>
  <c r="U250" i="39"/>
  <c r="U251" i="39"/>
  <c r="U252" i="39"/>
  <c r="U253" i="39"/>
  <c r="U254" i="39"/>
  <c r="U255" i="39"/>
  <c r="U256" i="39"/>
  <c r="U257" i="39"/>
  <c r="U258" i="39"/>
  <c r="U259" i="39"/>
  <c r="U260" i="39"/>
  <c r="U261" i="39"/>
  <c r="U262" i="39"/>
  <c r="U263" i="39"/>
  <c r="U264" i="39"/>
  <c r="U265" i="39"/>
  <c r="U266" i="39"/>
  <c r="U267" i="39"/>
  <c r="U268" i="39"/>
  <c r="U269" i="39"/>
  <c r="U270" i="39"/>
  <c r="U271" i="39"/>
  <c r="U272" i="39"/>
  <c r="U273" i="39"/>
  <c r="U274" i="39"/>
  <c r="U275" i="39"/>
  <c r="U276" i="39"/>
  <c r="U277" i="39"/>
  <c r="U278" i="39"/>
  <c r="U279" i="39"/>
  <c r="U280" i="39"/>
  <c r="U281" i="39"/>
  <c r="U282" i="39"/>
  <c r="U283" i="39"/>
  <c r="U284" i="39"/>
  <c r="U285" i="39"/>
  <c r="U286" i="39"/>
  <c r="U287" i="39"/>
  <c r="U288" i="39"/>
  <c r="U289" i="39"/>
  <c r="U290" i="39"/>
  <c r="U291" i="39"/>
  <c r="U292" i="39"/>
  <c r="U293" i="39"/>
  <c r="U294" i="39"/>
  <c r="U295" i="39"/>
  <c r="U296" i="39"/>
  <c r="U297" i="39"/>
  <c r="U298" i="39"/>
  <c r="U299" i="39"/>
  <c r="U300" i="39"/>
  <c r="U301" i="39"/>
  <c r="U302" i="39"/>
  <c r="U303" i="39"/>
  <c r="U304" i="39"/>
  <c r="U305" i="39"/>
  <c r="U306" i="39"/>
  <c r="U307" i="39"/>
  <c r="U308" i="39"/>
  <c r="U309" i="39"/>
  <c r="U310" i="39"/>
  <c r="U311" i="39"/>
  <c r="U312" i="39"/>
  <c r="U313" i="39"/>
  <c r="U314" i="39"/>
  <c r="U315" i="39"/>
  <c r="U316" i="39"/>
  <c r="U317" i="39"/>
  <c r="U318" i="39"/>
  <c r="U319" i="39"/>
  <c r="U320" i="39"/>
  <c r="U321" i="39"/>
  <c r="U322" i="39"/>
  <c r="U323" i="39"/>
  <c r="U324" i="39"/>
  <c r="U325" i="39"/>
  <c r="U326" i="39"/>
  <c r="U327" i="39"/>
  <c r="U328" i="39"/>
  <c r="U329" i="39"/>
  <c r="U330" i="39"/>
  <c r="U331" i="39"/>
  <c r="U332" i="39"/>
  <c r="U333" i="39"/>
  <c r="U334" i="39"/>
  <c r="U335" i="39"/>
  <c r="U336" i="39"/>
  <c r="U337" i="39"/>
  <c r="U338" i="39"/>
  <c r="U339" i="39"/>
  <c r="U340" i="39"/>
  <c r="U341" i="39"/>
  <c r="U342" i="39"/>
  <c r="U343" i="39"/>
  <c r="U344" i="39"/>
  <c r="U345" i="39"/>
  <c r="U346" i="39"/>
  <c r="U347" i="39"/>
  <c r="U348" i="39"/>
  <c r="U349" i="39"/>
  <c r="U350" i="39"/>
  <c r="U351" i="39"/>
  <c r="U352" i="39"/>
  <c r="U353" i="39"/>
  <c r="U354" i="39"/>
  <c r="U355" i="39"/>
  <c r="U356" i="39"/>
  <c r="U357" i="39"/>
  <c r="U358" i="39"/>
  <c r="U359" i="39"/>
  <c r="U360" i="39"/>
  <c r="U361" i="39"/>
  <c r="U362" i="39"/>
  <c r="U363" i="39"/>
  <c r="U364" i="39"/>
  <c r="U365" i="39"/>
  <c r="U366" i="39"/>
  <c r="U367" i="39"/>
  <c r="U368" i="39"/>
  <c r="U369" i="39"/>
  <c r="U370" i="39"/>
  <c r="U371" i="39"/>
  <c r="U372" i="39"/>
  <c r="U373" i="39"/>
  <c r="U374" i="39"/>
  <c r="U375" i="39"/>
  <c r="U376" i="39"/>
  <c r="U377" i="39"/>
  <c r="U378" i="39"/>
  <c r="U379" i="39"/>
  <c r="U380" i="39"/>
  <c r="U381" i="39"/>
  <c r="U382" i="39"/>
  <c r="U383" i="39"/>
  <c r="U384" i="39"/>
  <c r="U385" i="39"/>
  <c r="U386" i="39"/>
  <c r="U387" i="39"/>
  <c r="U388" i="39"/>
  <c r="U389" i="39"/>
  <c r="U390" i="39"/>
  <c r="U391" i="39"/>
  <c r="U392" i="39"/>
  <c r="U393" i="39"/>
  <c r="U394" i="39"/>
  <c r="U395" i="39"/>
  <c r="U396" i="39"/>
  <c r="U397" i="39"/>
  <c r="U398" i="39"/>
  <c r="U399" i="39"/>
  <c r="U400" i="39"/>
  <c r="U401" i="39"/>
  <c r="U402" i="39"/>
  <c r="U403" i="39"/>
  <c r="U404" i="39"/>
  <c r="U405" i="39"/>
  <c r="U406" i="39"/>
  <c r="U407" i="39"/>
  <c r="U408" i="39"/>
  <c r="U409" i="39"/>
  <c r="U410" i="39"/>
  <c r="U411" i="39"/>
  <c r="U412" i="39"/>
  <c r="U413" i="39"/>
  <c r="U414" i="39"/>
  <c r="U415" i="39"/>
  <c r="U416" i="39"/>
  <c r="U417" i="39"/>
  <c r="U418" i="39"/>
  <c r="U419" i="39"/>
  <c r="U420" i="39"/>
  <c r="U421" i="39"/>
  <c r="U422" i="39"/>
  <c r="U423" i="39"/>
  <c r="U424" i="39"/>
  <c r="U425" i="39"/>
  <c r="U426" i="39"/>
  <c r="U427" i="39"/>
  <c r="U428" i="39"/>
  <c r="U429" i="39"/>
  <c r="U430" i="39"/>
  <c r="U431" i="39"/>
  <c r="U432" i="39"/>
  <c r="U433" i="39"/>
  <c r="U434" i="39"/>
  <c r="U435" i="39"/>
  <c r="U436" i="39"/>
  <c r="U437" i="39"/>
  <c r="U438" i="39"/>
  <c r="U439" i="39"/>
  <c r="U440" i="39"/>
  <c r="U441" i="39"/>
  <c r="U442" i="39"/>
  <c r="U443" i="39"/>
  <c r="U444" i="39"/>
  <c r="U445" i="39"/>
  <c r="U446" i="39"/>
  <c r="U447" i="39"/>
  <c r="U448" i="39"/>
  <c r="U449" i="39"/>
  <c r="U450" i="39"/>
  <c r="U451" i="39"/>
  <c r="U452" i="39"/>
  <c r="U453" i="39"/>
  <c r="U454" i="39"/>
  <c r="U455" i="39"/>
  <c r="U456" i="39"/>
  <c r="U457" i="39"/>
  <c r="U458" i="39"/>
  <c r="U459" i="39"/>
  <c r="U460" i="39"/>
  <c r="U461" i="39"/>
  <c r="U462" i="39"/>
  <c r="U463" i="39"/>
  <c r="U464" i="39"/>
  <c r="U465" i="39"/>
  <c r="U466" i="39"/>
  <c r="U467" i="39"/>
  <c r="U468" i="39"/>
  <c r="U469" i="39"/>
  <c r="U470" i="39"/>
  <c r="U471" i="39"/>
  <c r="U472" i="39"/>
  <c r="U473" i="39"/>
  <c r="U474" i="39"/>
  <c r="U475" i="39"/>
  <c r="U476" i="39"/>
  <c r="U477" i="39"/>
  <c r="U478" i="39"/>
  <c r="U479" i="39"/>
  <c r="U480" i="39"/>
  <c r="U481" i="39"/>
  <c r="U482" i="39"/>
  <c r="U483" i="39"/>
  <c r="U484" i="39"/>
  <c r="U485" i="39"/>
  <c r="U486" i="39"/>
  <c r="U487" i="39"/>
  <c r="U488" i="39"/>
  <c r="U489" i="39"/>
  <c r="U490" i="39"/>
  <c r="U491" i="39"/>
  <c r="U492" i="39"/>
  <c r="U493" i="39"/>
  <c r="U494" i="39"/>
  <c r="U495" i="39"/>
  <c r="U496" i="39"/>
  <c r="U497" i="39"/>
  <c r="U498" i="39"/>
  <c r="U499" i="39"/>
  <c r="U500" i="39"/>
  <c r="U501" i="39"/>
  <c r="U502" i="39"/>
  <c r="U503" i="39"/>
  <c r="U504" i="39"/>
  <c r="U505" i="39"/>
  <c r="U506" i="39"/>
  <c r="U507" i="39"/>
  <c r="U508" i="39"/>
  <c r="U509" i="39"/>
  <c r="U510" i="39"/>
  <c r="U511" i="39"/>
  <c r="U512" i="39"/>
  <c r="U513" i="39"/>
  <c r="U514" i="39"/>
  <c r="T16" i="39"/>
  <c r="T17" i="39"/>
  <c r="T18" i="39"/>
  <c r="T25" i="39"/>
  <c r="T26" i="39"/>
  <c r="T31" i="39"/>
  <c r="T32" i="39"/>
  <c r="T33" i="39"/>
  <c r="T34" i="39"/>
  <c r="T38" i="39"/>
  <c r="T39" i="39"/>
  <c r="T40" i="39"/>
  <c r="T42" i="39"/>
  <c r="T47" i="39"/>
  <c r="T48" i="39"/>
  <c r="T49" i="39"/>
  <c r="T50" i="39"/>
  <c r="T58" i="39"/>
  <c r="T63" i="39"/>
  <c r="T64" i="39"/>
  <c r="T66" i="39"/>
  <c r="T71" i="39"/>
  <c r="T74" i="39"/>
  <c r="T79" i="39"/>
  <c r="T80" i="39"/>
  <c r="T81" i="39"/>
  <c r="T82" i="39"/>
  <c r="T87" i="39"/>
  <c r="T88" i="39"/>
  <c r="T90" i="39"/>
  <c r="T93" i="39"/>
  <c r="T94" i="39"/>
  <c r="T95" i="39"/>
  <c r="T96" i="39"/>
  <c r="T98" i="39"/>
  <c r="T101" i="39"/>
  <c r="T102" i="39"/>
  <c r="T103" i="39"/>
  <c r="T104" i="39"/>
  <c r="T105" i="39"/>
  <c r="T106" i="39"/>
  <c r="T109" i="39"/>
  <c r="T110" i="39"/>
  <c r="T111" i="39"/>
  <c r="T112" i="39"/>
  <c r="T113" i="39"/>
  <c r="T114" i="39"/>
  <c r="T117" i="39"/>
  <c r="T118" i="39"/>
  <c r="T119" i="39"/>
  <c r="T121" i="39"/>
  <c r="T122" i="39"/>
  <c r="T125" i="39"/>
  <c r="T126" i="39"/>
  <c r="T127" i="39"/>
  <c r="T128" i="39"/>
  <c r="T129" i="39"/>
  <c r="T130" i="39"/>
  <c r="T133" i="39"/>
  <c r="T134" i="39"/>
  <c r="T135" i="39"/>
  <c r="T136" i="39"/>
  <c r="T137" i="39"/>
  <c r="T138" i="39"/>
  <c r="T141" i="39"/>
  <c r="T142" i="39"/>
  <c r="T143" i="39"/>
  <c r="T144" i="39"/>
  <c r="T145" i="39"/>
  <c r="T146" i="39"/>
  <c r="T149" i="39"/>
  <c r="T150" i="39"/>
  <c r="T151" i="39"/>
  <c r="T154" i="39"/>
  <c r="T157" i="39"/>
  <c r="T158" i="39"/>
  <c r="T159" i="39"/>
  <c r="T160" i="39"/>
  <c r="T161" i="39"/>
  <c r="T162" i="39"/>
  <c r="T165" i="39"/>
  <c r="T166" i="39"/>
  <c r="T167" i="39"/>
  <c r="T168" i="39"/>
  <c r="T169" i="39"/>
  <c r="T170" i="39"/>
  <c r="T173" i="39"/>
  <c r="T174" i="39"/>
  <c r="T175" i="39"/>
  <c r="T176" i="39"/>
  <c r="T177" i="39"/>
  <c r="T178" i="39"/>
  <c r="T181" i="39"/>
  <c r="T182" i="39"/>
  <c r="T183" i="39"/>
  <c r="T185" i="39"/>
  <c r="T186" i="39"/>
  <c r="T189" i="39"/>
  <c r="T190" i="39"/>
  <c r="T191" i="39"/>
  <c r="T192" i="39"/>
  <c r="T193" i="39"/>
  <c r="T194" i="39"/>
  <c r="T197" i="39"/>
  <c r="T198" i="39"/>
  <c r="T199" i="39"/>
  <c r="T200" i="39"/>
  <c r="T201" i="39"/>
  <c r="T202" i="39"/>
  <c r="T205" i="39"/>
  <c r="T206" i="39"/>
  <c r="T207" i="39"/>
  <c r="T208" i="39"/>
  <c r="T209" i="39"/>
  <c r="T210" i="39"/>
  <c r="T213" i="39"/>
  <c r="T214" i="39"/>
  <c r="T215" i="39"/>
  <c r="T217" i="39"/>
  <c r="T218" i="39"/>
  <c r="T221" i="39"/>
  <c r="T222" i="39"/>
  <c r="T223" i="39"/>
  <c r="T224" i="39"/>
  <c r="T225" i="39"/>
  <c r="T226" i="39"/>
  <c r="T229" i="39"/>
  <c r="T230" i="39"/>
  <c r="T231" i="39"/>
  <c r="T232" i="39"/>
  <c r="T233" i="39"/>
  <c r="T234" i="39"/>
  <c r="T237" i="39"/>
  <c r="T238" i="39"/>
  <c r="T239" i="39"/>
  <c r="T240" i="39"/>
  <c r="T242" i="39"/>
  <c r="T245" i="39"/>
  <c r="T246" i="39"/>
  <c r="T247" i="39"/>
  <c r="T249" i="39"/>
  <c r="T250" i="39"/>
  <c r="T253" i="39"/>
  <c r="T254" i="39"/>
  <c r="T255" i="39"/>
  <c r="T256" i="39"/>
  <c r="T257" i="39"/>
  <c r="T258" i="39"/>
  <c r="T261" i="39"/>
  <c r="T262" i="39"/>
  <c r="T263" i="39"/>
  <c r="T264" i="39"/>
  <c r="T265" i="39"/>
  <c r="T266" i="39"/>
  <c r="T268" i="39"/>
  <c r="T269" i="39"/>
  <c r="T270" i="39"/>
  <c r="T271" i="39"/>
  <c r="T272" i="39"/>
  <c r="T273" i="39"/>
  <c r="T274" i="39"/>
  <c r="T275" i="39"/>
  <c r="T276" i="39"/>
  <c r="T277" i="39"/>
  <c r="T278" i="39"/>
  <c r="T279" i="39"/>
  <c r="T280" i="39"/>
  <c r="T281" i="39"/>
  <c r="T282" i="39"/>
  <c r="T283" i="39"/>
  <c r="T284" i="39"/>
  <c r="T285" i="39"/>
  <c r="T286" i="39"/>
  <c r="T287" i="39"/>
  <c r="T288" i="39"/>
  <c r="T289" i="39"/>
  <c r="T290" i="39"/>
  <c r="T291" i="39"/>
  <c r="T292" i="39"/>
  <c r="T293" i="39"/>
  <c r="T294" i="39"/>
  <c r="T295" i="39"/>
  <c r="T296" i="39"/>
  <c r="T297" i="39"/>
  <c r="T298" i="39"/>
  <c r="T299" i="39"/>
  <c r="T300" i="39"/>
  <c r="T301" i="39"/>
  <c r="T302" i="39"/>
  <c r="T303" i="39"/>
  <c r="T304" i="39"/>
  <c r="T305" i="39"/>
  <c r="T306" i="39"/>
  <c r="T307" i="39"/>
  <c r="T308" i="39"/>
  <c r="T309" i="39"/>
  <c r="T310" i="39"/>
  <c r="T311" i="39"/>
  <c r="T312" i="39"/>
  <c r="T313" i="39"/>
  <c r="T314" i="39"/>
  <c r="T315" i="39"/>
  <c r="T316" i="39"/>
  <c r="T317" i="39"/>
  <c r="T318" i="39"/>
  <c r="T319" i="39"/>
  <c r="T320" i="39"/>
  <c r="T321" i="39"/>
  <c r="T322" i="39"/>
  <c r="T323" i="39"/>
  <c r="T324" i="39"/>
  <c r="T325" i="39"/>
  <c r="T326" i="39"/>
  <c r="T327" i="39"/>
  <c r="T328" i="39"/>
  <c r="T329" i="39"/>
  <c r="T330" i="39"/>
  <c r="T331" i="39"/>
  <c r="T332" i="39"/>
  <c r="T333" i="39"/>
  <c r="T334" i="39"/>
  <c r="T335" i="39"/>
  <c r="T336" i="39"/>
  <c r="T337" i="39"/>
  <c r="T338" i="39"/>
  <c r="T339" i="39"/>
  <c r="T340" i="39"/>
  <c r="T341" i="39"/>
  <c r="T342" i="39"/>
  <c r="T343" i="39"/>
  <c r="T344" i="39"/>
  <c r="T345" i="39"/>
  <c r="T346" i="39"/>
  <c r="T347" i="39"/>
  <c r="T348" i="39"/>
  <c r="T349" i="39"/>
  <c r="T350" i="39"/>
  <c r="T351" i="39"/>
  <c r="T352" i="39"/>
  <c r="T353" i="39"/>
  <c r="T354" i="39"/>
  <c r="T355" i="39"/>
  <c r="T356" i="39"/>
  <c r="T357" i="39"/>
  <c r="T358" i="39"/>
  <c r="T359" i="39"/>
  <c r="T360" i="39"/>
  <c r="T361" i="39"/>
  <c r="T362" i="39"/>
  <c r="T363" i="39"/>
  <c r="T364" i="39"/>
  <c r="T365" i="39"/>
  <c r="T366" i="39"/>
  <c r="T367" i="39"/>
  <c r="T368" i="39"/>
  <c r="T369" i="39"/>
  <c r="T370" i="39"/>
  <c r="T371" i="39"/>
  <c r="T372" i="39"/>
  <c r="T373" i="39"/>
  <c r="T374" i="39"/>
  <c r="T375" i="39"/>
  <c r="T376" i="39"/>
  <c r="T377" i="39"/>
  <c r="T378" i="39"/>
  <c r="T379" i="39"/>
  <c r="T380" i="39"/>
  <c r="T381" i="39"/>
  <c r="T382" i="39"/>
  <c r="T383" i="39"/>
  <c r="T384" i="39"/>
  <c r="T385" i="39"/>
  <c r="T386" i="39"/>
  <c r="T387" i="39"/>
  <c r="T388" i="39"/>
  <c r="T389" i="39"/>
  <c r="T390" i="39"/>
  <c r="T391" i="39"/>
  <c r="T392" i="39"/>
  <c r="T393" i="39"/>
  <c r="T394" i="39"/>
  <c r="T395" i="39"/>
  <c r="T396" i="39"/>
  <c r="T397" i="39"/>
  <c r="T398" i="39"/>
  <c r="T399" i="39"/>
  <c r="T400" i="39"/>
  <c r="T401" i="39"/>
  <c r="T402" i="39"/>
  <c r="T403" i="39"/>
  <c r="T404" i="39"/>
  <c r="T405" i="39"/>
  <c r="T406" i="39"/>
  <c r="T407" i="39"/>
  <c r="T408" i="39"/>
  <c r="T409" i="39"/>
  <c r="T410" i="39"/>
  <c r="T411" i="39"/>
  <c r="T412" i="39"/>
  <c r="T413" i="39"/>
  <c r="T414" i="39"/>
  <c r="T415" i="39"/>
  <c r="T416" i="39"/>
  <c r="T417" i="39"/>
  <c r="T418" i="39"/>
  <c r="T419" i="39"/>
  <c r="T420" i="39"/>
  <c r="T421" i="39"/>
  <c r="T422" i="39"/>
  <c r="T423" i="39"/>
  <c r="T424" i="39"/>
  <c r="T425" i="39"/>
  <c r="T426" i="39"/>
  <c r="T427" i="39"/>
  <c r="T428" i="39"/>
  <c r="T429" i="39"/>
  <c r="T430" i="39"/>
  <c r="T431" i="39"/>
  <c r="T432" i="39"/>
  <c r="T433" i="39"/>
  <c r="T434" i="39"/>
  <c r="T435" i="39"/>
  <c r="T436" i="39"/>
  <c r="T437" i="39"/>
  <c r="T438" i="39"/>
  <c r="T439" i="39"/>
  <c r="T440" i="39"/>
  <c r="T441" i="39"/>
  <c r="T442" i="39"/>
  <c r="T443" i="39"/>
  <c r="T444" i="39"/>
  <c r="T445" i="39"/>
  <c r="T446" i="39"/>
  <c r="T447" i="39"/>
  <c r="T448" i="39"/>
  <c r="T449" i="39"/>
  <c r="T450" i="39"/>
  <c r="T451" i="39"/>
  <c r="T452" i="39"/>
  <c r="T453" i="39"/>
  <c r="T454" i="39"/>
  <c r="T455" i="39"/>
  <c r="T456" i="39"/>
  <c r="T457" i="39"/>
  <c r="T458" i="39"/>
  <c r="T459" i="39"/>
  <c r="T460" i="39"/>
  <c r="T461" i="39"/>
  <c r="T462" i="39"/>
  <c r="T463" i="39"/>
  <c r="T464" i="39"/>
  <c r="T465" i="39"/>
  <c r="T466" i="39"/>
  <c r="T467" i="39"/>
  <c r="T468" i="39"/>
  <c r="T469" i="39"/>
  <c r="T470" i="39"/>
  <c r="T471" i="39"/>
  <c r="T472" i="39"/>
  <c r="T473" i="39"/>
  <c r="T474" i="39"/>
  <c r="T475" i="39"/>
  <c r="T476" i="39"/>
  <c r="T477" i="39"/>
  <c r="T478" i="39"/>
  <c r="T479" i="39"/>
  <c r="T480" i="39"/>
  <c r="T481" i="39"/>
  <c r="T482" i="39"/>
  <c r="T483" i="39"/>
  <c r="T484" i="39"/>
  <c r="T485" i="39"/>
  <c r="T486" i="39"/>
  <c r="T487" i="39"/>
  <c r="T488" i="39"/>
  <c r="T489" i="39"/>
  <c r="T490" i="39"/>
  <c r="T491" i="39"/>
  <c r="T492" i="39"/>
  <c r="T493" i="39"/>
  <c r="T494" i="39"/>
  <c r="T495" i="39"/>
  <c r="T496" i="39"/>
  <c r="T497" i="39"/>
  <c r="T498" i="39"/>
  <c r="T499" i="39"/>
  <c r="T500" i="39"/>
  <c r="T501" i="39"/>
  <c r="T502" i="39"/>
  <c r="T503" i="39"/>
  <c r="T504" i="39"/>
  <c r="T505" i="39"/>
  <c r="T506" i="39"/>
  <c r="T507" i="39"/>
  <c r="T508" i="39"/>
  <c r="T509" i="39"/>
  <c r="T510" i="39"/>
  <c r="T511" i="39"/>
  <c r="T512" i="39"/>
  <c r="T513" i="39"/>
  <c r="T514" i="39"/>
  <c r="AO300" i="38"/>
  <c r="AO301" i="38"/>
  <c r="AO302" i="38"/>
  <c r="AO303" i="38"/>
  <c r="AO304" i="38"/>
  <c r="AO305" i="38"/>
  <c r="AO306" i="38"/>
  <c r="AO307" i="38"/>
  <c r="AO308" i="38"/>
  <c r="AO309" i="38"/>
  <c r="AO310" i="38"/>
  <c r="AO311" i="38"/>
  <c r="AO312" i="38"/>
  <c r="AO313" i="38"/>
  <c r="AO314" i="38"/>
  <c r="AO315" i="38"/>
  <c r="AO316" i="38"/>
  <c r="AO317" i="38"/>
  <c r="AO318" i="38"/>
  <c r="AO319" i="38"/>
  <c r="AO320" i="38"/>
  <c r="AO321" i="38"/>
  <c r="AO322" i="38"/>
  <c r="AO323" i="38"/>
  <c r="AO324" i="38"/>
  <c r="AO325" i="38"/>
  <c r="AO326" i="38"/>
  <c r="AO327" i="38"/>
  <c r="AO328" i="38"/>
  <c r="AO329" i="38"/>
  <c r="AO330" i="38"/>
  <c r="AO331" i="38"/>
  <c r="AO332" i="38"/>
  <c r="AO333" i="38"/>
  <c r="AO334" i="38"/>
  <c r="AO335" i="38"/>
  <c r="AO336" i="38"/>
  <c r="AO337" i="38"/>
  <c r="AO338" i="38"/>
  <c r="AO339" i="38"/>
  <c r="AO340" i="38"/>
  <c r="AO341" i="38"/>
  <c r="AO342" i="38"/>
  <c r="AO343" i="38"/>
  <c r="AO344" i="38"/>
  <c r="AO345" i="38"/>
  <c r="AO346" i="38"/>
  <c r="AO347" i="38"/>
  <c r="AO348" i="38"/>
  <c r="AO349" i="38"/>
  <c r="AO350" i="38"/>
  <c r="AO351" i="38"/>
  <c r="AO352" i="38"/>
  <c r="AO353" i="38"/>
  <c r="AO354" i="38"/>
  <c r="AO355" i="38"/>
  <c r="AO356" i="38"/>
  <c r="AO357" i="38"/>
  <c r="AO358" i="38"/>
  <c r="AO359" i="38"/>
  <c r="AO360" i="38"/>
  <c r="AO361" i="38"/>
  <c r="AO362" i="38"/>
  <c r="AO363" i="38"/>
  <c r="AO364" i="38"/>
  <c r="AO365" i="38"/>
  <c r="AO366" i="38"/>
  <c r="AO367" i="38"/>
  <c r="AO368" i="38"/>
  <c r="AO369" i="38"/>
  <c r="AO370" i="38"/>
  <c r="AO371" i="38"/>
  <c r="AO372" i="38"/>
  <c r="AO373" i="38"/>
  <c r="AO374" i="38"/>
  <c r="AO375" i="38"/>
  <c r="AO376" i="38"/>
  <c r="AO377" i="38"/>
  <c r="AO378" i="38"/>
  <c r="AO379" i="38"/>
  <c r="AO380" i="38"/>
  <c r="AO381" i="38"/>
  <c r="AO382" i="38"/>
  <c r="AO383" i="38"/>
  <c r="AO384" i="38"/>
  <c r="AO385" i="38"/>
  <c r="AO386" i="38"/>
  <c r="AO387" i="38"/>
  <c r="AO388" i="38"/>
  <c r="AO389" i="38"/>
  <c r="AO390" i="38"/>
  <c r="AO391" i="38"/>
  <c r="AO392" i="38"/>
  <c r="AO393" i="38"/>
  <c r="AO394" i="38"/>
  <c r="AO395" i="38"/>
  <c r="AO396" i="38"/>
  <c r="AO397" i="38"/>
  <c r="AO398" i="38"/>
  <c r="AO399" i="38"/>
  <c r="AO400" i="38"/>
  <c r="AO401" i="38"/>
  <c r="AO402" i="38"/>
  <c r="AO403" i="38"/>
  <c r="AO404" i="38"/>
  <c r="AO405" i="38"/>
  <c r="AO406" i="38"/>
  <c r="AO407" i="38"/>
  <c r="AO408" i="38"/>
  <c r="AO409" i="38"/>
  <c r="AO410" i="38"/>
  <c r="AO411" i="38"/>
  <c r="AO412" i="38"/>
  <c r="AO413" i="38"/>
  <c r="AO414" i="38"/>
  <c r="AO415" i="38"/>
  <c r="AO416" i="38"/>
  <c r="AO417" i="38"/>
  <c r="AO418" i="38"/>
  <c r="AO419" i="38"/>
  <c r="AO420" i="38"/>
  <c r="AO421" i="38"/>
  <c r="AO422" i="38"/>
  <c r="AO423" i="38"/>
  <c r="AO424" i="38"/>
  <c r="AO425" i="38"/>
  <c r="AO426" i="38"/>
  <c r="AO427" i="38"/>
  <c r="AO428" i="38"/>
  <c r="AO429" i="38"/>
  <c r="AO430" i="38"/>
  <c r="AO431" i="38"/>
  <c r="AO432" i="38"/>
  <c r="AO433" i="38"/>
  <c r="AO434" i="38"/>
  <c r="AO435" i="38"/>
  <c r="AO436" i="38"/>
  <c r="AO437" i="38"/>
  <c r="AO438" i="38"/>
  <c r="AO439" i="38"/>
  <c r="AO440" i="38"/>
  <c r="AO441" i="38"/>
  <c r="AO442" i="38"/>
  <c r="AO443" i="38"/>
  <c r="AO444" i="38"/>
  <c r="AO445" i="38"/>
  <c r="AO446" i="38"/>
  <c r="AO447" i="38"/>
  <c r="AO448" i="38"/>
  <c r="AO449" i="38"/>
  <c r="AO450" i="38"/>
  <c r="AO451" i="38"/>
  <c r="AO452" i="38"/>
  <c r="AO453" i="38"/>
  <c r="AO454" i="38"/>
  <c r="AO455" i="38"/>
  <c r="AO456" i="38"/>
  <c r="AO457" i="38"/>
  <c r="AO458" i="38"/>
  <c r="AO459" i="38"/>
  <c r="AO460" i="38"/>
  <c r="AO461" i="38"/>
  <c r="AO462" i="38"/>
  <c r="AO463" i="38"/>
  <c r="AO464" i="38"/>
  <c r="AO465" i="38"/>
  <c r="AO466" i="38"/>
  <c r="AO467" i="38"/>
  <c r="AO468" i="38"/>
  <c r="AO469" i="38"/>
  <c r="AO470" i="38"/>
  <c r="AO471" i="38"/>
  <c r="AO472" i="38"/>
  <c r="AO473" i="38"/>
  <c r="AO474" i="38"/>
  <c r="AO475" i="38"/>
  <c r="AO476" i="38"/>
  <c r="AO477" i="38"/>
  <c r="AO478" i="38"/>
  <c r="AO479" i="38"/>
  <c r="AO480" i="38"/>
  <c r="AO481" i="38"/>
  <c r="AO482" i="38"/>
  <c r="AO483" i="38"/>
  <c r="AO484" i="38"/>
  <c r="AO485" i="38"/>
  <c r="AO486" i="38"/>
  <c r="AO487" i="38"/>
  <c r="AO488" i="38"/>
  <c r="AO489" i="38"/>
  <c r="AO490" i="38"/>
  <c r="AO491" i="38"/>
  <c r="AO492" i="38"/>
  <c r="AO493" i="38"/>
  <c r="AO494" i="38"/>
  <c r="AO495" i="38"/>
  <c r="AO496" i="38"/>
  <c r="AO497" i="38"/>
  <c r="AO498" i="38"/>
  <c r="AO499" i="38"/>
  <c r="AO500" i="38"/>
  <c r="AO501" i="38"/>
  <c r="AO502" i="38"/>
  <c r="AO503" i="38"/>
  <c r="AO504" i="38"/>
  <c r="AO505" i="38"/>
  <c r="AO506" i="38"/>
  <c r="AO507" i="38"/>
  <c r="AO508" i="38"/>
  <c r="AO509" i="38"/>
  <c r="AO510" i="38"/>
  <c r="AO511" i="38"/>
  <c r="AO512" i="38"/>
  <c r="AO513" i="38"/>
  <c r="AO514" i="38"/>
  <c r="AO515" i="38"/>
  <c r="AO516" i="38"/>
  <c r="AO517" i="38"/>
  <c r="AO518" i="38"/>
  <c r="AO519" i="38"/>
  <c r="AO520" i="38"/>
  <c r="AO521" i="38"/>
  <c r="AO522" i="38"/>
  <c r="AO523" i="38"/>
  <c r="AO524" i="38"/>
  <c r="AO525" i="38"/>
  <c r="AO526" i="38"/>
  <c r="AO527" i="38"/>
  <c r="AN300" i="38"/>
  <c r="AN301" i="38"/>
  <c r="AN302" i="38"/>
  <c r="AN303" i="38"/>
  <c r="AN304" i="38"/>
  <c r="AN305" i="38"/>
  <c r="AN306" i="38"/>
  <c r="AN307" i="38"/>
  <c r="AN308" i="38"/>
  <c r="AN309" i="38"/>
  <c r="AN310" i="38"/>
  <c r="AN311" i="38"/>
  <c r="AN312" i="38"/>
  <c r="AN313" i="38"/>
  <c r="AN314" i="38"/>
  <c r="AN315" i="38"/>
  <c r="AN316" i="38"/>
  <c r="AN317" i="38"/>
  <c r="AN318" i="38"/>
  <c r="AN319" i="38"/>
  <c r="AN320" i="38"/>
  <c r="AN321" i="38"/>
  <c r="AN322" i="38"/>
  <c r="AN323" i="38"/>
  <c r="AN324" i="38"/>
  <c r="AN325" i="38"/>
  <c r="AN326" i="38"/>
  <c r="AN327" i="38"/>
  <c r="AN328" i="38"/>
  <c r="AN329" i="38"/>
  <c r="AN330" i="38"/>
  <c r="AN331" i="38"/>
  <c r="AN332" i="38"/>
  <c r="AN333" i="38"/>
  <c r="AN334" i="38"/>
  <c r="AN335" i="38"/>
  <c r="AN336" i="38"/>
  <c r="AN337" i="38"/>
  <c r="AN338" i="38"/>
  <c r="AN339" i="38"/>
  <c r="AN340" i="38"/>
  <c r="AN341" i="38"/>
  <c r="AN342" i="38"/>
  <c r="AN343" i="38"/>
  <c r="AN344" i="38"/>
  <c r="AN345" i="38"/>
  <c r="AN346" i="38"/>
  <c r="AN347" i="38"/>
  <c r="AN348" i="38"/>
  <c r="AN349" i="38"/>
  <c r="AN350" i="38"/>
  <c r="AN351" i="38"/>
  <c r="AN352" i="38"/>
  <c r="AN353" i="38"/>
  <c r="AN354" i="38"/>
  <c r="AN355" i="38"/>
  <c r="AN356" i="38"/>
  <c r="AN357" i="38"/>
  <c r="AN358" i="38"/>
  <c r="AN359" i="38"/>
  <c r="AN360" i="38"/>
  <c r="AN361" i="38"/>
  <c r="AN362" i="38"/>
  <c r="AN363" i="38"/>
  <c r="AN364" i="38"/>
  <c r="AN365" i="38"/>
  <c r="AN366" i="38"/>
  <c r="AN367" i="38"/>
  <c r="AN368" i="38"/>
  <c r="AN369" i="38"/>
  <c r="AN370" i="38"/>
  <c r="AN371" i="38"/>
  <c r="AN372" i="38"/>
  <c r="AN373" i="38"/>
  <c r="AN374" i="38"/>
  <c r="AN375" i="38"/>
  <c r="AN376" i="38"/>
  <c r="AN377" i="38"/>
  <c r="AN378" i="38"/>
  <c r="AN379" i="38"/>
  <c r="AN380" i="38"/>
  <c r="AN381" i="38"/>
  <c r="AN382" i="38"/>
  <c r="AN383" i="38"/>
  <c r="AN384" i="38"/>
  <c r="AN385" i="38"/>
  <c r="AN386" i="38"/>
  <c r="AN387" i="38"/>
  <c r="AN388" i="38"/>
  <c r="AN389" i="38"/>
  <c r="AN390" i="38"/>
  <c r="AN391" i="38"/>
  <c r="AN392" i="38"/>
  <c r="AN393" i="38"/>
  <c r="AN394" i="38"/>
  <c r="AN395" i="38"/>
  <c r="AN396" i="38"/>
  <c r="AN397" i="38"/>
  <c r="AN398" i="38"/>
  <c r="AN399" i="38"/>
  <c r="AN400" i="38"/>
  <c r="AN401" i="38"/>
  <c r="AN402" i="38"/>
  <c r="AN403" i="38"/>
  <c r="AN404" i="38"/>
  <c r="AN405" i="38"/>
  <c r="AN406" i="38"/>
  <c r="AN407" i="38"/>
  <c r="AN408" i="38"/>
  <c r="AN409" i="38"/>
  <c r="AN410" i="38"/>
  <c r="AN411" i="38"/>
  <c r="AN412" i="38"/>
  <c r="AN413" i="38"/>
  <c r="AN414" i="38"/>
  <c r="AN415" i="38"/>
  <c r="AN416" i="38"/>
  <c r="AN417" i="38"/>
  <c r="AN418" i="38"/>
  <c r="AN419" i="38"/>
  <c r="AN420" i="38"/>
  <c r="AN421" i="38"/>
  <c r="AN422" i="38"/>
  <c r="AN423" i="38"/>
  <c r="AN424" i="38"/>
  <c r="AN425" i="38"/>
  <c r="AN426" i="38"/>
  <c r="AN427" i="38"/>
  <c r="AN428" i="38"/>
  <c r="AN429" i="38"/>
  <c r="AN430" i="38"/>
  <c r="AN431" i="38"/>
  <c r="AN432" i="38"/>
  <c r="AN433" i="38"/>
  <c r="AN434" i="38"/>
  <c r="AN435" i="38"/>
  <c r="AN436" i="38"/>
  <c r="AN437" i="38"/>
  <c r="AN438" i="38"/>
  <c r="AN439" i="38"/>
  <c r="AN440" i="38"/>
  <c r="AN441" i="38"/>
  <c r="AN442" i="38"/>
  <c r="AN443" i="38"/>
  <c r="AN444" i="38"/>
  <c r="AN445" i="38"/>
  <c r="AN446" i="38"/>
  <c r="AN447" i="38"/>
  <c r="AN448" i="38"/>
  <c r="AN449" i="38"/>
  <c r="AN450" i="38"/>
  <c r="AN451" i="38"/>
  <c r="AN452" i="38"/>
  <c r="AN453" i="38"/>
  <c r="AN454" i="38"/>
  <c r="AN455" i="38"/>
  <c r="AN456" i="38"/>
  <c r="AN457" i="38"/>
  <c r="AN458" i="38"/>
  <c r="AN459" i="38"/>
  <c r="AN460" i="38"/>
  <c r="AN461" i="38"/>
  <c r="AN462" i="38"/>
  <c r="AN463" i="38"/>
  <c r="AN464" i="38"/>
  <c r="AN465" i="38"/>
  <c r="AN466" i="38"/>
  <c r="AN467" i="38"/>
  <c r="AN468" i="38"/>
  <c r="AN469" i="38"/>
  <c r="AN470" i="38"/>
  <c r="AN471" i="38"/>
  <c r="AN472" i="38"/>
  <c r="AN473" i="38"/>
  <c r="AN474" i="38"/>
  <c r="AN475" i="38"/>
  <c r="AN476" i="38"/>
  <c r="AN477" i="38"/>
  <c r="AN478" i="38"/>
  <c r="AN479" i="38"/>
  <c r="AN480" i="38"/>
  <c r="AN481" i="38"/>
  <c r="AN482" i="38"/>
  <c r="AN483" i="38"/>
  <c r="AN484" i="38"/>
  <c r="AN485" i="38"/>
  <c r="AN486" i="38"/>
  <c r="AN487" i="38"/>
  <c r="AN488" i="38"/>
  <c r="AN489" i="38"/>
  <c r="AN490" i="38"/>
  <c r="AN491" i="38"/>
  <c r="AN492" i="38"/>
  <c r="AN493" i="38"/>
  <c r="AN494" i="38"/>
  <c r="AN495" i="38"/>
  <c r="AN496" i="38"/>
  <c r="AN497" i="38"/>
  <c r="AN498" i="38"/>
  <c r="AN499" i="38"/>
  <c r="AN500" i="38"/>
  <c r="AN501" i="38"/>
  <c r="AN502" i="38"/>
  <c r="AN503" i="38"/>
  <c r="AN504" i="38"/>
  <c r="AN505" i="38"/>
  <c r="AN506" i="38"/>
  <c r="AN507" i="38"/>
  <c r="AN508" i="38"/>
  <c r="AN509" i="38"/>
  <c r="AN510" i="38"/>
  <c r="AN511" i="38"/>
  <c r="AN512" i="38"/>
  <c r="AN513" i="38"/>
  <c r="AN514" i="38"/>
  <c r="AN515" i="38"/>
  <c r="AN516" i="38"/>
  <c r="AN517" i="38"/>
  <c r="AN518" i="38"/>
  <c r="AN519" i="38"/>
  <c r="AN520" i="38"/>
  <c r="AN521" i="38"/>
  <c r="AN522" i="38"/>
  <c r="AN523" i="38"/>
  <c r="AN524" i="38"/>
  <c r="AN525" i="38"/>
  <c r="AN526" i="38"/>
  <c r="AN527" i="38"/>
  <c r="AM300" i="38"/>
  <c r="AM301" i="38"/>
  <c r="AM302" i="38"/>
  <c r="AM303" i="38"/>
  <c r="AM304" i="38"/>
  <c r="AM305" i="38"/>
  <c r="AM306" i="38"/>
  <c r="AM307" i="38"/>
  <c r="AM308" i="38"/>
  <c r="AM309" i="38"/>
  <c r="AM310" i="38"/>
  <c r="AM311" i="38"/>
  <c r="AM312" i="38"/>
  <c r="AM313" i="38"/>
  <c r="AM314" i="38"/>
  <c r="AM315" i="38"/>
  <c r="AM316" i="38"/>
  <c r="AM317" i="38"/>
  <c r="AM318" i="38"/>
  <c r="AM319" i="38"/>
  <c r="AM320" i="38"/>
  <c r="AM321" i="38"/>
  <c r="AM322" i="38"/>
  <c r="AM323" i="38"/>
  <c r="AM324" i="38"/>
  <c r="AM325" i="38"/>
  <c r="AM326" i="38"/>
  <c r="AM327" i="38"/>
  <c r="AM328" i="38"/>
  <c r="AM329" i="38"/>
  <c r="AM330" i="38"/>
  <c r="AM331" i="38"/>
  <c r="AM332" i="38"/>
  <c r="AM333" i="38"/>
  <c r="AM334" i="38"/>
  <c r="AM335" i="38"/>
  <c r="AM336" i="38"/>
  <c r="AM337" i="38"/>
  <c r="AM338" i="38"/>
  <c r="AM339" i="38"/>
  <c r="AM340" i="38"/>
  <c r="AM341" i="38"/>
  <c r="AM342" i="38"/>
  <c r="AM343" i="38"/>
  <c r="AM344" i="38"/>
  <c r="AM345" i="38"/>
  <c r="AM346" i="38"/>
  <c r="AM347" i="38"/>
  <c r="AM348" i="38"/>
  <c r="AM349" i="38"/>
  <c r="AM350" i="38"/>
  <c r="AM351" i="38"/>
  <c r="AM352" i="38"/>
  <c r="AM353" i="38"/>
  <c r="AM354" i="38"/>
  <c r="AM355" i="38"/>
  <c r="AM356" i="38"/>
  <c r="AM357" i="38"/>
  <c r="AM358" i="38"/>
  <c r="AM359" i="38"/>
  <c r="AM360" i="38"/>
  <c r="AM361" i="38"/>
  <c r="AM362" i="38"/>
  <c r="AM363" i="38"/>
  <c r="AM364" i="38"/>
  <c r="AM365" i="38"/>
  <c r="AM366" i="38"/>
  <c r="AM367" i="38"/>
  <c r="AM368" i="38"/>
  <c r="AM369" i="38"/>
  <c r="AM370" i="38"/>
  <c r="AM371" i="38"/>
  <c r="AM372" i="38"/>
  <c r="AM373" i="38"/>
  <c r="AM374" i="38"/>
  <c r="AM375" i="38"/>
  <c r="AM376" i="38"/>
  <c r="AM377" i="38"/>
  <c r="AM378" i="38"/>
  <c r="AM379" i="38"/>
  <c r="AM380" i="38"/>
  <c r="AM381" i="38"/>
  <c r="AM382" i="38"/>
  <c r="AM383" i="38"/>
  <c r="AM384" i="38"/>
  <c r="AM385" i="38"/>
  <c r="AM386" i="38"/>
  <c r="AM387" i="38"/>
  <c r="AM388" i="38"/>
  <c r="AM389" i="38"/>
  <c r="AM390" i="38"/>
  <c r="AM391" i="38"/>
  <c r="AM392" i="38"/>
  <c r="AM393" i="38"/>
  <c r="AM394" i="38"/>
  <c r="AM395" i="38"/>
  <c r="AM396" i="38"/>
  <c r="AM397" i="38"/>
  <c r="AM398" i="38"/>
  <c r="AM399" i="38"/>
  <c r="AM400" i="38"/>
  <c r="AM401" i="38"/>
  <c r="AM402" i="38"/>
  <c r="AM403" i="38"/>
  <c r="AM404" i="38"/>
  <c r="AM405" i="38"/>
  <c r="AM406" i="38"/>
  <c r="AM407" i="38"/>
  <c r="AM408" i="38"/>
  <c r="AM409" i="38"/>
  <c r="AM410" i="38"/>
  <c r="AM411" i="38"/>
  <c r="AM412" i="38"/>
  <c r="AM413" i="38"/>
  <c r="AM414" i="38"/>
  <c r="AM415" i="38"/>
  <c r="AM416" i="38"/>
  <c r="AM417" i="38"/>
  <c r="AM418" i="38"/>
  <c r="AM419" i="38"/>
  <c r="AM420" i="38"/>
  <c r="AM421" i="38"/>
  <c r="AM422" i="38"/>
  <c r="AM423" i="38"/>
  <c r="AM424" i="38"/>
  <c r="AM425" i="38"/>
  <c r="AM426" i="38"/>
  <c r="AM427" i="38"/>
  <c r="AM428" i="38"/>
  <c r="AM429" i="38"/>
  <c r="AM430" i="38"/>
  <c r="AM431" i="38"/>
  <c r="AM432" i="38"/>
  <c r="AM433" i="38"/>
  <c r="AM434" i="38"/>
  <c r="AM435" i="38"/>
  <c r="AM436" i="38"/>
  <c r="AM437" i="38"/>
  <c r="AM438" i="38"/>
  <c r="AM439" i="38"/>
  <c r="AM440" i="38"/>
  <c r="AM441" i="38"/>
  <c r="AM442" i="38"/>
  <c r="AM443" i="38"/>
  <c r="AM444" i="38"/>
  <c r="AM445" i="38"/>
  <c r="AM446" i="38"/>
  <c r="AM447" i="38"/>
  <c r="AM448" i="38"/>
  <c r="AM449" i="38"/>
  <c r="AM450" i="38"/>
  <c r="AM451" i="38"/>
  <c r="AM452" i="38"/>
  <c r="AM453" i="38"/>
  <c r="AM454" i="38"/>
  <c r="AM455" i="38"/>
  <c r="AM456" i="38"/>
  <c r="AM457" i="38"/>
  <c r="AM458" i="38"/>
  <c r="AM459" i="38"/>
  <c r="AM460" i="38"/>
  <c r="AM461" i="38"/>
  <c r="AM462" i="38"/>
  <c r="AM463" i="38"/>
  <c r="AM464" i="38"/>
  <c r="AM465" i="38"/>
  <c r="AM466" i="38"/>
  <c r="AM467" i="38"/>
  <c r="AM468" i="38"/>
  <c r="AM469" i="38"/>
  <c r="AM470" i="38"/>
  <c r="AM471" i="38"/>
  <c r="AM472" i="38"/>
  <c r="AM473" i="38"/>
  <c r="AM474" i="38"/>
  <c r="AM475" i="38"/>
  <c r="AM476" i="38"/>
  <c r="AM477" i="38"/>
  <c r="AM478" i="38"/>
  <c r="AM479" i="38"/>
  <c r="AM480" i="38"/>
  <c r="AM481" i="38"/>
  <c r="AM482" i="38"/>
  <c r="AM483" i="38"/>
  <c r="AM484" i="38"/>
  <c r="AM485" i="38"/>
  <c r="AM486" i="38"/>
  <c r="AM487" i="38"/>
  <c r="AM488" i="38"/>
  <c r="AM489" i="38"/>
  <c r="AM490" i="38"/>
  <c r="AM491" i="38"/>
  <c r="AM492" i="38"/>
  <c r="AM493" i="38"/>
  <c r="AM494" i="38"/>
  <c r="AM495" i="38"/>
  <c r="AM496" i="38"/>
  <c r="AM497" i="38"/>
  <c r="AM498" i="38"/>
  <c r="AM499" i="38"/>
  <c r="AM500" i="38"/>
  <c r="AM501" i="38"/>
  <c r="AM502" i="38"/>
  <c r="AM503" i="38"/>
  <c r="AM504" i="38"/>
  <c r="AM505" i="38"/>
  <c r="AM506" i="38"/>
  <c r="AM507" i="38"/>
  <c r="AM508" i="38"/>
  <c r="AM509" i="38"/>
  <c r="AM510" i="38"/>
  <c r="AM511" i="38"/>
  <c r="AM512" i="38"/>
  <c r="AM513" i="38"/>
  <c r="AM514" i="38"/>
  <c r="AM515" i="38"/>
  <c r="AM516" i="38"/>
  <c r="AM517" i="38"/>
  <c r="AM518" i="38"/>
  <c r="AM519" i="38"/>
  <c r="AM520" i="38"/>
  <c r="AM521" i="38"/>
  <c r="AM522" i="38"/>
  <c r="AM523" i="38"/>
  <c r="AM524" i="38"/>
  <c r="AM525" i="38"/>
  <c r="AM526" i="38"/>
  <c r="AM527" i="38"/>
  <c r="AL300" i="38"/>
  <c r="AL301" i="38"/>
  <c r="AL302" i="38"/>
  <c r="AL303" i="38"/>
  <c r="AL304" i="38"/>
  <c r="AL305" i="38"/>
  <c r="AL306" i="38"/>
  <c r="AL307" i="38"/>
  <c r="AL308" i="38"/>
  <c r="AL309" i="38"/>
  <c r="AL310" i="38"/>
  <c r="AL311" i="38"/>
  <c r="AL312" i="38"/>
  <c r="AL313" i="38"/>
  <c r="AL314" i="38"/>
  <c r="AL315" i="38"/>
  <c r="AL316" i="38"/>
  <c r="AL317" i="38"/>
  <c r="AL318" i="38"/>
  <c r="AL319" i="38"/>
  <c r="AL320" i="38"/>
  <c r="AL321" i="38"/>
  <c r="AL322" i="38"/>
  <c r="AL323" i="38"/>
  <c r="AL324" i="38"/>
  <c r="AL325" i="38"/>
  <c r="AL326" i="38"/>
  <c r="AL327" i="38"/>
  <c r="AL328" i="38"/>
  <c r="AL329" i="38"/>
  <c r="AL330" i="38"/>
  <c r="AL331" i="38"/>
  <c r="AL332" i="38"/>
  <c r="AL333" i="38"/>
  <c r="AL334" i="38"/>
  <c r="AL335" i="38"/>
  <c r="AL336" i="38"/>
  <c r="AL337" i="38"/>
  <c r="AL338" i="38"/>
  <c r="AL339" i="38"/>
  <c r="AL340" i="38"/>
  <c r="AL341" i="38"/>
  <c r="AL342" i="38"/>
  <c r="AL343" i="38"/>
  <c r="AL344" i="38"/>
  <c r="AL345" i="38"/>
  <c r="AL346" i="38"/>
  <c r="AL347" i="38"/>
  <c r="AL348" i="38"/>
  <c r="AL349" i="38"/>
  <c r="AL350" i="38"/>
  <c r="AL351" i="38"/>
  <c r="AL352" i="38"/>
  <c r="AL353" i="38"/>
  <c r="AL354" i="38"/>
  <c r="AL355" i="38"/>
  <c r="AL356" i="38"/>
  <c r="AL357" i="38"/>
  <c r="AL358" i="38"/>
  <c r="AL359" i="38"/>
  <c r="AL360" i="38"/>
  <c r="AL361" i="38"/>
  <c r="AL362" i="38"/>
  <c r="AL363" i="38"/>
  <c r="AL364" i="38"/>
  <c r="AL365" i="38"/>
  <c r="AL366" i="38"/>
  <c r="AL367" i="38"/>
  <c r="AL368" i="38"/>
  <c r="AL369" i="38"/>
  <c r="AL370" i="38"/>
  <c r="AL371" i="38"/>
  <c r="AL372" i="38"/>
  <c r="AL373" i="38"/>
  <c r="AL374" i="38"/>
  <c r="AL375" i="38"/>
  <c r="AL376" i="38"/>
  <c r="AL377" i="38"/>
  <c r="AL378" i="38"/>
  <c r="AL379" i="38"/>
  <c r="AL380" i="38"/>
  <c r="AL381" i="38"/>
  <c r="AL382" i="38"/>
  <c r="AL383" i="38"/>
  <c r="AL384" i="38"/>
  <c r="AL385" i="38"/>
  <c r="AL386" i="38"/>
  <c r="AL387" i="38"/>
  <c r="AL388" i="38"/>
  <c r="AL389" i="38"/>
  <c r="AL390" i="38"/>
  <c r="AL391" i="38"/>
  <c r="AL392" i="38"/>
  <c r="AL393" i="38"/>
  <c r="AL394" i="38"/>
  <c r="AL395" i="38"/>
  <c r="AL396" i="38"/>
  <c r="AL397" i="38"/>
  <c r="AL398" i="38"/>
  <c r="AL399" i="38"/>
  <c r="AL400" i="38"/>
  <c r="AL401" i="38"/>
  <c r="AL402" i="38"/>
  <c r="AL403" i="38"/>
  <c r="AL404" i="38"/>
  <c r="AL405" i="38"/>
  <c r="AL406" i="38"/>
  <c r="AL407" i="38"/>
  <c r="AL408" i="38"/>
  <c r="AL409" i="38"/>
  <c r="AL410" i="38"/>
  <c r="AL411" i="38"/>
  <c r="AL412" i="38"/>
  <c r="AL413" i="38"/>
  <c r="AL414" i="38"/>
  <c r="AL415" i="38"/>
  <c r="AL416" i="38"/>
  <c r="AL417" i="38"/>
  <c r="AL418" i="38"/>
  <c r="AL419" i="38"/>
  <c r="AL420" i="38"/>
  <c r="AL421" i="38"/>
  <c r="AL422" i="38"/>
  <c r="AL423" i="38"/>
  <c r="AL424" i="38"/>
  <c r="AL425" i="38"/>
  <c r="AL426" i="38"/>
  <c r="AL427" i="38"/>
  <c r="AL428" i="38"/>
  <c r="AL429" i="38"/>
  <c r="AL430" i="38"/>
  <c r="AL431" i="38"/>
  <c r="AL432" i="38"/>
  <c r="AL433" i="38"/>
  <c r="AL434" i="38"/>
  <c r="AL435" i="38"/>
  <c r="AL436" i="38"/>
  <c r="AL437" i="38"/>
  <c r="AL438" i="38"/>
  <c r="AL439" i="38"/>
  <c r="AL440" i="38"/>
  <c r="AL441" i="38"/>
  <c r="AL442" i="38"/>
  <c r="AL443" i="38"/>
  <c r="AL444" i="38"/>
  <c r="AL445" i="38"/>
  <c r="AL446" i="38"/>
  <c r="AL447" i="38"/>
  <c r="AL448" i="38"/>
  <c r="AL449" i="38"/>
  <c r="AL450" i="38"/>
  <c r="AL451" i="38"/>
  <c r="AL452" i="38"/>
  <c r="AL453" i="38"/>
  <c r="AL454" i="38"/>
  <c r="AL455" i="38"/>
  <c r="AL456" i="38"/>
  <c r="AL457" i="38"/>
  <c r="AL458" i="38"/>
  <c r="AL459" i="38"/>
  <c r="AL460" i="38"/>
  <c r="AL461" i="38"/>
  <c r="AL462" i="38"/>
  <c r="AL463" i="38"/>
  <c r="AL464" i="38"/>
  <c r="AL465" i="38"/>
  <c r="AL466" i="38"/>
  <c r="AL467" i="38"/>
  <c r="AL468" i="38"/>
  <c r="AL469" i="38"/>
  <c r="AL470" i="38"/>
  <c r="AL471" i="38"/>
  <c r="AL472" i="38"/>
  <c r="AL473" i="38"/>
  <c r="AL474" i="38"/>
  <c r="AL475" i="38"/>
  <c r="AL476" i="38"/>
  <c r="AL477" i="38"/>
  <c r="AL478" i="38"/>
  <c r="AL479" i="38"/>
  <c r="AL480" i="38"/>
  <c r="AL481" i="38"/>
  <c r="AL482" i="38"/>
  <c r="AL483" i="38"/>
  <c r="AL484" i="38"/>
  <c r="AL485" i="38"/>
  <c r="AL486" i="38"/>
  <c r="AL487" i="38"/>
  <c r="AL488" i="38"/>
  <c r="AL489" i="38"/>
  <c r="AL490" i="38"/>
  <c r="AL491" i="38"/>
  <c r="AL492" i="38"/>
  <c r="AL493" i="38"/>
  <c r="AL494" i="38"/>
  <c r="AL495" i="38"/>
  <c r="AL496" i="38"/>
  <c r="AL497" i="38"/>
  <c r="AL498" i="38"/>
  <c r="AL499" i="38"/>
  <c r="AL500" i="38"/>
  <c r="AL501" i="38"/>
  <c r="AL502" i="38"/>
  <c r="AL503" i="38"/>
  <c r="AL504" i="38"/>
  <c r="AL505" i="38"/>
  <c r="AL506" i="38"/>
  <c r="AL507" i="38"/>
  <c r="AL508" i="38"/>
  <c r="AL509" i="38"/>
  <c r="AL510" i="38"/>
  <c r="AL511" i="38"/>
  <c r="AL512" i="38"/>
  <c r="AL513" i="38"/>
  <c r="AL514" i="38"/>
  <c r="AL515" i="38"/>
  <c r="AL516" i="38"/>
  <c r="AL517" i="38"/>
  <c r="AL518" i="38"/>
  <c r="AL519" i="38"/>
  <c r="AL520" i="38"/>
  <c r="AL521" i="38"/>
  <c r="AL522" i="38"/>
  <c r="AL523" i="38"/>
  <c r="AL524" i="38"/>
  <c r="AL525" i="38"/>
  <c r="AL526" i="38"/>
  <c r="AL527" i="38"/>
  <c r="AK300" i="38"/>
  <c r="AK301" i="38"/>
  <c r="AK302" i="38"/>
  <c r="AK303" i="38"/>
  <c r="AK304" i="38"/>
  <c r="AK305" i="38"/>
  <c r="AK306" i="38"/>
  <c r="AK307" i="38"/>
  <c r="AK308" i="38"/>
  <c r="AK309" i="38"/>
  <c r="AK310" i="38"/>
  <c r="AK311" i="38"/>
  <c r="AK312" i="38"/>
  <c r="AK313" i="38"/>
  <c r="AK314" i="38"/>
  <c r="AK315" i="38"/>
  <c r="AK316" i="38"/>
  <c r="AK317" i="38"/>
  <c r="AK318" i="38"/>
  <c r="AK319" i="38"/>
  <c r="AK320" i="38"/>
  <c r="AK321" i="38"/>
  <c r="AK322" i="38"/>
  <c r="AK323" i="38"/>
  <c r="AK324" i="38"/>
  <c r="AK325" i="38"/>
  <c r="AK326" i="38"/>
  <c r="AK327" i="38"/>
  <c r="AK328" i="38"/>
  <c r="AK329" i="38"/>
  <c r="AK330" i="38"/>
  <c r="AK331" i="38"/>
  <c r="AK332" i="38"/>
  <c r="AK333" i="38"/>
  <c r="AK334" i="38"/>
  <c r="AK335" i="38"/>
  <c r="AK336" i="38"/>
  <c r="AK337" i="38"/>
  <c r="AK338" i="38"/>
  <c r="AK339" i="38"/>
  <c r="AK340" i="38"/>
  <c r="AK341" i="38"/>
  <c r="AK342" i="38"/>
  <c r="AK343" i="38"/>
  <c r="AK344" i="38"/>
  <c r="AK345"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83" i="38"/>
  <c r="AK384" i="38"/>
  <c r="AK385" i="38"/>
  <c r="AK386" i="38"/>
  <c r="AK387" i="38"/>
  <c r="AK388" i="38"/>
  <c r="AK389" i="38"/>
  <c r="AK390" i="38"/>
  <c r="AK391" i="38"/>
  <c r="AK392" i="38"/>
  <c r="AK393" i="38"/>
  <c r="AK394" i="38"/>
  <c r="AK395" i="38"/>
  <c r="AK396" i="38"/>
  <c r="AK397" i="38"/>
  <c r="AK398"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459" i="38"/>
  <c r="AK460" i="38"/>
  <c r="AK461" i="38"/>
  <c r="AK462" i="38"/>
  <c r="AK463" i="38"/>
  <c r="AK464" i="38"/>
  <c r="AK465" i="38"/>
  <c r="AK466" i="38"/>
  <c r="AK467" i="38"/>
  <c r="AK468" i="38"/>
  <c r="AK469" i="38"/>
  <c r="AK470" i="38"/>
  <c r="AK471" i="38"/>
  <c r="AK472" i="38"/>
  <c r="AK473" i="38"/>
  <c r="AK474" i="38"/>
  <c r="AK475" i="38"/>
  <c r="AK476" i="38"/>
  <c r="AK477" i="38"/>
  <c r="AK478" i="38"/>
  <c r="AK479" i="38"/>
  <c r="AK480" i="38"/>
  <c r="AK481" i="38"/>
  <c r="AK482" i="38"/>
  <c r="AK483" i="38"/>
  <c r="AK484" i="38"/>
  <c r="AK485" i="38"/>
  <c r="AK486" i="38"/>
  <c r="AK487" i="38"/>
  <c r="AK488" i="38"/>
  <c r="AK489" i="38"/>
  <c r="AK490" i="38"/>
  <c r="AK491" i="38"/>
  <c r="AK492" i="38"/>
  <c r="AK493" i="38"/>
  <c r="AK494" i="38"/>
  <c r="AK495" i="38"/>
  <c r="AK496" i="38"/>
  <c r="AK497" i="38"/>
  <c r="AK498" i="38"/>
  <c r="AK499" i="38"/>
  <c r="AK500" i="38"/>
  <c r="AK501" i="38"/>
  <c r="AK502" i="38"/>
  <c r="AK503" i="38"/>
  <c r="AK504" i="38"/>
  <c r="AK505" i="38"/>
  <c r="AK506" i="38"/>
  <c r="AK507" i="38"/>
  <c r="AK508" i="38"/>
  <c r="AK509" i="38"/>
  <c r="AK510" i="38"/>
  <c r="AK511" i="38"/>
  <c r="AK512" i="38"/>
  <c r="AK513" i="38"/>
  <c r="AK514" i="38"/>
  <c r="AK515" i="38"/>
  <c r="AK516" i="38"/>
  <c r="AK517" i="38"/>
  <c r="AK518" i="38"/>
  <c r="AK519" i="38"/>
  <c r="AK520" i="38"/>
  <c r="AK521" i="38"/>
  <c r="AK522" i="38"/>
  <c r="AK523" i="38"/>
  <c r="AK524" i="38"/>
  <c r="AK525" i="38"/>
  <c r="AK526" i="38"/>
  <c r="AK527" i="38"/>
  <c r="AJ300" i="38"/>
  <c r="AJ301" i="38"/>
  <c r="AJ302" i="38"/>
  <c r="AJ303" i="38"/>
  <c r="AJ304" i="38"/>
  <c r="AJ305" i="38"/>
  <c r="AJ306" i="38"/>
  <c r="AJ307" i="38"/>
  <c r="AJ308" i="38"/>
  <c r="AJ309" i="38"/>
  <c r="AJ310" i="38"/>
  <c r="AJ311" i="38"/>
  <c r="AJ312" i="38"/>
  <c r="AJ313" i="38"/>
  <c r="AJ314" i="38"/>
  <c r="AJ315" i="38"/>
  <c r="AJ316" i="38"/>
  <c r="AJ317" i="38"/>
  <c r="AJ318" i="38"/>
  <c r="AJ319" i="38"/>
  <c r="AJ320" i="38"/>
  <c r="AJ321" i="38"/>
  <c r="AJ322" i="38"/>
  <c r="AJ323" i="38"/>
  <c r="AJ324" i="38"/>
  <c r="AJ325" i="38"/>
  <c r="AJ326" i="38"/>
  <c r="AJ327" i="38"/>
  <c r="AJ328" i="38"/>
  <c r="AJ329" i="38"/>
  <c r="AJ330" i="38"/>
  <c r="AJ331" i="38"/>
  <c r="AJ332" i="38"/>
  <c r="AJ333" i="38"/>
  <c r="AJ334" i="38"/>
  <c r="AJ335" i="38"/>
  <c r="AJ336" i="38"/>
  <c r="AJ337" i="38"/>
  <c r="AJ338" i="38"/>
  <c r="AJ339" i="38"/>
  <c r="AJ340" i="38"/>
  <c r="AJ341" i="38"/>
  <c r="AJ342" i="38"/>
  <c r="AJ343" i="38"/>
  <c r="AJ344" i="38"/>
  <c r="AJ345" i="38"/>
  <c r="AJ346" i="38"/>
  <c r="AJ347" i="38"/>
  <c r="AJ348" i="38"/>
  <c r="AJ349" i="38"/>
  <c r="AJ350" i="38"/>
  <c r="AJ351" i="38"/>
  <c r="AJ352" i="38"/>
  <c r="AJ353" i="38"/>
  <c r="AJ354" i="38"/>
  <c r="AJ355" i="38"/>
  <c r="AJ356" i="38"/>
  <c r="AJ357" i="38"/>
  <c r="AJ358" i="38"/>
  <c r="AJ359" i="38"/>
  <c r="AJ360" i="38"/>
  <c r="AJ361" i="38"/>
  <c r="AJ362" i="38"/>
  <c r="AJ363" i="38"/>
  <c r="AJ364" i="38"/>
  <c r="AJ365" i="38"/>
  <c r="AJ366" i="38"/>
  <c r="AJ367" i="38"/>
  <c r="AJ368" i="38"/>
  <c r="AJ369" i="38"/>
  <c r="AJ370" i="38"/>
  <c r="AJ371" i="38"/>
  <c r="AJ372" i="38"/>
  <c r="AJ373" i="38"/>
  <c r="AJ374" i="38"/>
  <c r="AJ375" i="38"/>
  <c r="AJ376" i="38"/>
  <c r="AJ377" i="38"/>
  <c r="AJ378" i="38"/>
  <c r="AJ379" i="38"/>
  <c r="AJ380" i="38"/>
  <c r="AJ381" i="38"/>
  <c r="AJ382" i="38"/>
  <c r="AJ383" i="38"/>
  <c r="AJ384" i="38"/>
  <c r="AJ385" i="38"/>
  <c r="AJ386" i="38"/>
  <c r="AJ387" i="38"/>
  <c r="AJ388" i="38"/>
  <c r="AJ389" i="38"/>
  <c r="AJ390" i="38"/>
  <c r="AJ391" i="38"/>
  <c r="AJ392" i="38"/>
  <c r="AJ393" i="38"/>
  <c r="AJ394" i="38"/>
  <c r="AJ395" i="38"/>
  <c r="AJ396" i="38"/>
  <c r="AJ397" i="38"/>
  <c r="AJ398" i="38"/>
  <c r="AJ399" i="38"/>
  <c r="AJ400" i="38"/>
  <c r="AJ401" i="38"/>
  <c r="AJ402" i="38"/>
  <c r="AJ403" i="38"/>
  <c r="AJ404" i="38"/>
  <c r="AJ405" i="38"/>
  <c r="AJ406" i="38"/>
  <c r="AJ407" i="38"/>
  <c r="AJ408" i="38"/>
  <c r="AJ409" i="38"/>
  <c r="AJ410" i="38"/>
  <c r="AJ411" i="38"/>
  <c r="AJ412" i="38"/>
  <c r="AJ413" i="38"/>
  <c r="AJ414" i="38"/>
  <c r="AJ415" i="38"/>
  <c r="AJ416" i="38"/>
  <c r="AJ417" i="38"/>
  <c r="AJ418" i="38"/>
  <c r="AJ419" i="38"/>
  <c r="AJ420" i="38"/>
  <c r="AJ421" i="38"/>
  <c r="AJ422" i="38"/>
  <c r="AJ423" i="38"/>
  <c r="AJ424" i="38"/>
  <c r="AJ425" i="38"/>
  <c r="AJ426" i="38"/>
  <c r="AJ427" i="38"/>
  <c r="AJ428" i="38"/>
  <c r="AJ429" i="38"/>
  <c r="AJ430" i="38"/>
  <c r="AJ431" i="38"/>
  <c r="AJ432" i="38"/>
  <c r="AJ433" i="38"/>
  <c r="AJ434" i="38"/>
  <c r="AJ435" i="38"/>
  <c r="AJ436" i="38"/>
  <c r="AJ437" i="38"/>
  <c r="AJ438" i="38"/>
  <c r="AJ439" i="38"/>
  <c r="AJ440" i="38"/>
  <c r="AJ441" i="38"/>
  <c r="AJ442" i="38"/>
  <c r="AJ443" i="38"/>
  <c r="AJ444" i="38"/>
  <c r="AJ445" i="38"/>
  <c r="AJ446" i="38"/>
  <c r="AJ447" i="38"/>
  <c r="AJ448" i="38"/>
  <c r="AJ449" i="38"/>
  <c r="AJ450" i="38"/>
  <c r="AJ451" i="38"/>
  <c r="AJ452" i="38"/>
  <c r="AJ453" i="38"/>
  <c r="AJ454" i="38"/>
  <c r="AJ455" i="38"/>
  <c r="AJ456" i="38"/>
  <c r="AJ457" i="38"/>
  <c r="AJ458" i="38"/>
  <c r="AJ459" i="38"/>
  <c r="AJ460" i="38"/>
  <c r="AJ461" i="38"/>
  <c r="AJ462" i="38"/>
  <c r="AJ463" i="38"/>
  <c r="AJ464" i="38"/>
  <c r="AJ465" i="38"/>
  <c r="AJ466" i="38"/>
  <c r="AJ467" i="38"/>
  <c r="AJ468" i="38"/>
  <c r="AJ469" i="38"/>
  <c r="AJ470" i="38"/>
  <c r="AJ471" i="38"/>
  <c r="AJ472" i="38"/>
  <c r="AJ473" i="38"/>
  <c r="AJ474" i="38"/>
  <c r="AJ475" i="38"/>
  <c r="AJ476" i="38"/>
  <c r="AJ477" i="38"/>
  <c r="AJ478" i="38"/>
  <c r="AJ479" i="38"/>
  <c r="AJ480" i="38"/>
  <c r="AJ481" i="38"/>
  <c r="AJ482" i="38"/>
  <c r="AJ483" i="38"/>
  <c r="AJ484" i="38"/>
  <c r="AJ485" i="38"/>
  <c r="AJ486" i="38"/>
  <c r="AJ487" i="38"/>
  <c r="AJ488" i="38"/>
  <c r="AJ489" i="38"/>
  <c r="AJ490" i="38"/>
  <c r="AJ491" i="38"/>
  <c r="AJ492" i="38"/>
  <c r="AJ493" i="38"/>
  <c r="AJ494" i="38"/>
  <c r="AJ495" i="38"/>
  <c r="AJ496" i="38"/>
  <c r="AJ497" i="38"/>
  <c r="AJ498" i="38"/>
  <c r="AJ499" i="38"/>
  <c r="AJ500" i="38"/>
  <c r="AJ501" i="38"/>
  <c r="AJ502" i="38"/>
  <c r="AJ503" i="38"/>
  <c r="AJ504" i="38"/>
  <c r="AJ505" i="38"/>
  <c r="AJ506" i="38"/>
  <c r="AJ507" i="38"/>
  <c r="AJ508" i="38"/>
  <c r="AJ509" i="38"/>
  <c r="AJ510" i="38"/>
  <c r="AJ511" i="38"/>
  <c r="AJ512" i="38"/>
  <c r="AJ513" i="38"/>
  <c r="AJ514" i="38"/>
  <c r="AJ515" i="38"/>
  <c r="AJ516" i="38"/>
  <c r="AJ517" i="38"/>
  <c r="AJ518" i="38"/>
  <c r="AJ519" i="38"/>
  <c r="AJ520" i="38"/>
  <c r="AJ521" i="38"/>
  <c r="AJ522" i="38"/>
  <c r="AJ523" i="38"/>
  <c r="AJ524" i="38"/>
  <c r="AJ525" i="38"/>
  <c r="AJ526" i="38"/>
  <c r="AJ527" i="38"/>
  <c r="AI300" i="38"/>
  <c r="AI301" i="38"/>
  <c r="AI302" i="38"/>
  <c r="AI303" i="38"/>
  <c r="AI304" i="38"/>
  <c r="AI305" i="38"/>
  <c r="AI306" i="38"/>
  <c r="AI307" i="38"/>
  <c r="AI308" i="38"/>
  <c r="AI309" i="38"/>
  <c r="AI310" i="38"/>
  <c r="AI311" i="38"/>
  <c r="AI312" i="38"/>
  <c r="AI313" i="38"/>
  <c r="AI314" i="38"/>
  <c r="AI315" i="38"/>
  <c r="AI316" i="38"/>
  <c r="AI317" i="38"/>
  <c r="AI318" i="38"/>
  <c r="AI319" i="38"/>
  <c r="AI320" i="38"/>
  <c r="AI321" i="38"/>
  <c r="AI322" i="38"/>
  <c r="AI323" i="38"/>
  <c r="AI324" i="38"/>
  <c r="AI325" i="38"/>
  <c r="AI326" i="38"/>
  <c r="AI327" i="38"/>
  <c r="AI328" i="38"/>
  <c r="AI329" i="38"/>
  <c r="AI330" i="38"/>
  <c r="AI331" i="38"/>
  <c r="AI332" i="38"/>
  <c r="AI333" i="38"/>
  <c r="AI334" i="38"/>
  <c r="AI335" i="38"/>
  <c r="AI336" i="38"/>
  <c r="AI337" i="38"/>
  <c r="AI338" i="38"/>
  <c r="AI339" i="38"/>
  <c r="AI340" i="38"/>
  <c r="AI341" i="38"/>
  <c r="AI342" i="38"/>
  <c r="AI343" i="38"/>
  <c r="AI344" i="38"/>
  <c r="AI345" i="38"/>
  <c r="AI346" i="38"/>
  <c r="AI347" i="38"/>
  <c r="AI348" i="38"/>
  <c r="AI349" i="38"/>
  <c r="AI350" i="38"/>
  <c r="AI351" i="38"/>
  <c r="AI352" i="38"/>
  <c r="AI353" i="38"/>
  <c r="AI354" i="38"/>
  <c r="AI355" i="38"/>
  <c r="AI356" i="38"/>
  <c r="AI357" i="38"/>
  <c r="AI358" i="38"/>
  <c r="AI359" i="38"/>
  <c r="AI360" i="38"/>
  <c r="AI361" i="38"/>
  <c r="AI362" i="38"/>
  <c r="AI363" i="38"/>
  <c r="AI364" i="38"/>
  <c r="AI365" i="38"/>
  <c r="AI366" i="38"/>
  <c r="AI367" i="38"/>
  <c r="AI368" i="38"/>
  <c r="AI369" i="38"/>
  <c r="AI370" i="38"/>
  <c r="AI371" i="38"/>
  <c r="AI372" i="38"/>
  <c r="AI373" i="38"/>
  <c r="AI374" i="38"/>
  <c r="AI375" i="38"/>
  <c r="AI376" i="38"/>
  <c r="AI377" i="38"/>
  <c r="AI378" i="38"/>
  <c r="AI379" i="38"/>
  <c r="AI380" i="38"/>
  <c r="AI381" i="38"/>
  <c r="AI382" i="38"/>
  <c r="AI383" i="38"/>
  <c r="AI384" i="38"/>
  <c r="AI385" i="38"/>
  <c r="AI386" i="38"/>
  <c r="AI387" i="38"/>
  <c r="AI388" i="38"/>
  <c r="AI389" i="38"/>
  <c r="AI390" i="38"/>
  <c r="AI391" i="38"/>
  <c r="AI392" i="38"/>
  <c r="AI393" i="38"/>
  <c r="AI394" i="38"/>
  <c r="AI395" i="38"/>
  <c r="AI396" i="38"/>
  <c r="AI397" i="38"/>
  <c r="AI398" i="38"/>
  <c r="AI399" i="38"/>
  <c r="AI400" i="38"/>
  <c r="AI401" i="38"/>
  <c r="AI402" i="38"/>
  <c r="AI403" i="38"/>
  <c r="AI404" i="38"/>
  <c r="AI405" i="38"/>
  <c r="AI406" i="38"/>
  <c r="AI407" i="38"/>
  <c r="AI408" i="38"/>
  <c r="AI409" i="38"/>
  <c r="AI410" i="38"/>
  <c r="AI411" i="38"/>
  <c r="AI412" i="38"/>
  <c r="AI413" i="38"/>
  <c r="AI414" i="38"/>
  <c r="AI415" i="38"/>
  <c r="AI416" i="38"/>
  <c r="AI417" i="38"/>
  <c r="AI418" i="38"/>
  <c r="AI419" i="38"/>
  <c r="AI420" i="38"/>
  <c r="AI421" i="38"/>
  <c r="AI422" i="38"/>
  <c r="AI423" i="38"/>
  <c r="AI424" i="38"/>
  <c r="AI425" i="38"/>
  <c r="AI426" i="38"/>
  <c r="AI427" i="38"/>
  <c r="AI428" i="38"/>
  <c r="AI429" i="38"/>
  <c r="AI430" i="38"/>
  <c r="AI431" i="38"/>
  <c r="AI432" i="38"/>
  <c r="AI433" i="38"/>
  <c r="AI434" i="38"/>
  <c r="AI435" i="38"/>
  <c r="AI436" i="38"/>
  <c r="AI437" i="38"/>
  <c r="AI438" i="38"/>
  <c r="AI439" i="38"/>
  <c r="AI440" i="38"/>
  <c r="AI441" i="38"/>
  <c r="AI442" i="38"/>
  <c r="AI443" i="38"/>
  <c r="AI444" i="38"/>
  <c r="AI445" i="38"/>
  <c r="AI446" i="38"/>
  <c r="AI447" i="38"/>
  <c r="AI448" i="38"/>
  <c r="AI449" i="38"/>
  <c r="AI450" i="38"/>
  <c r="AI451" i="38"/>
  <c r="AI452" i="38"/>
  <c r="AI453" i="38"/>
  <c r="AI454" i="38"/>
  <c r="AI455" i="38"/>
  <c r="AI456" i="38"/>
  <c r="AI457" i="38"/>
  <c r="AI458" i="38"/>
  <c r="AI459" i="38"/>
  <c r="AI460" i="38"/>
  <c r="AI461" i="38"/>
  <c r="AI462" i="38"/>
  <c r="AI463" i="38"/>
  <c r="AI464" i="38"/>
  <c r="AI465" i="38"/>
  <c r="AI466" i="38"/>
  <c r="AI467" i="38"/>
  <c r="AI468" i="38"/>
  <c r="AI469" i="38"/>
  <c r="AI470" i="38"/>
  <c r="AI471" i="38"/>
  <c r="AI472" i="38"/>
  <c r="AI473" i="38"/>
  <c r="AI474" i="38"/>
  <c r="AI475" i="38"/>
  <c r="AI476" i="38"/>
  <c r="AI477" i="38"/>
  <c r="AI478" i="38"/>
  <c r="AI479" i="38"/>
  <c r="AI480" i="38"/>
  <c r="AI481" i="38"/>
  <c r="AI482" i="38"/>
  <c r="AI483" i="38"/>
  <c r="AI484" i="38"/>
  <c r="AI485" i="38"/>
  <c r="AI486" i="38"/>
  <c r="AI487" i="38"/>
  <c r="AI488" i="38"/>
  <c r="AI489" i="38"/>
  <c r="AI490" i="38"/>
  <c r="AI491" i="38"/>
  <c r="AI492" i="38"/>
  <c r="AI493" i="38"/>
  <c r="AI494" i="38"/>
  <c r="AI495" i="38"/>
  <c r="AI496" i="38"/>
  <c r="AI497" i="38"/>
  <c r="AI498" i="38"/>
  <c r="AI499" i="38"/>
  <c r="AI500" i="38"/>
  <c r="AI501" i="38"/>
  <c r="AI502" i="38"/>
  <c r="AI503" i="38"/>
  <c r="AI504" i="38"/>
  <c r="AI505" i="38"/>
  <c r="AI506" i="38"/>
  <c r="AI507" i="38"/>
  <c r="AI508" i="38"/>
  <c r="AI509" i="38"/>
  <c r="AI510" i="38"/>
  <c r="AI511" i="38"/>
  <c r="AI512" i="38"/>
  <c r="AI513" i="38"/>
  <c r="AI514" i="38"/>
  <c r="AI515" i="38"/>
  <c r="AI516" i="38"/>
  <c r="AI517" i="38"/>
  <c r="AI518" i="38"/>
  <c r="AI519" i="38"/>
  <c r="AI520" i="38"/>
  <c r="AI521" i="38"/>
  <c r="AI522" i="38"/>
  <c r="AI523" i="38"/>
  <c r="AI524" i="38"/>
  <c r="AI525" i="38"/>
  <c r="AI526" i="38"/>
  <c r="AI527"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G300" i="38"/>
  <c r="AG301" i="38"/>
  <c r="AG302" i="38"/>
  <c r="AG303" i="38"/>
  <c r="AG304" i="38"/>
  <c r="AG305" i="38"/>
  <c r="AG306" i="38"/>
  <c r="AG307" i="38"/>
  <c r="AG308" i="38"/>
  <c r="AG309" i="38"/>
  <c r="AG310" i="38"/>
  <c r="AG311" i="38"/>
  <c r="AG312" i="38"/>
  <c r="AG313" i="38"/>
  <c r="AG314" i="38"/>
  <c r="AG315" i="38"/>
  <c r="AG316" i="38"/>
  <c r="AG317" i="38"/>
  <c r="AG318" i="38"/>
  <c r="AG319" i="38"/>
  <c r="AG320" i="38"/>
  <c r="AG321" i="38"/>
  <c r="AG322" i="38"/>
  <c r="AG323" i="38"/>
  <c r="AG324" i="38"/>
  <c r="AG325" i="38"/>
  <c r="AG326" i="38"/>
  <c r="AG327" i="38"/>
  <c r="AG328" i="38"/>
  <c r="AG329" i="38"/>
  <c r="AG330" i="38"/>
  <c r="AG331" i="38"/>
  <c r="AG332" i="38"/>
  <c r="AG333" i="38"/>
  <c r="AG334" i="38"/>
  <c r="AG335" i="38"/>
  <c r="AG336" i="38"/>
  <c r="AG337" i="38"/>
  <c r="AG338" i="38"/>
  <c r="AG339" i="38"/>
  <c r="AG340" i="38"/>
  <c r="AG341" i="38"/>
  <c r="AG342" i="38"/>
  <c r="AG343" i="38"/>
  <c r="AG344" i="38"/>
  <c r="AG345"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83" i="38"/>
  <c r="AG384" i="38"/>
  <c r="AG385" i="38"/>
  <c r="AG386" i="38"/>
  <c r="AG387" i="38"/>
  <c r="AG388" i="38"/>
  <c r="AG389" i="38"/>
  <c r="AG390" i="38"/>
  <c r="AG391" i="38"/>
  <c r="AG392" i="38"/>
  <c r="AG393" i="38"/>
  <c r="AG394" i="38"/>
  <c r="AG395" i="38"/>
  <c r="AG396" i="38"/>
  <c r="AG397" i="38"/>
  <c r="AG398"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459" i="38"/>
  <c r="AG460" i="38"/>
  <c r="AG461" i="38"/>
  <c r="AG462" i="38"/>
  <c r="AG463" i="38"/>
  <c r="AG464" i="38"/>
  <c r="AG465" i="38"/>
  <c r="AG466" i="38"/>
  <c r="AG467" i="38"/>
  <c r="AG468" i="38"/>
  <c r="AG469" i="38"/>
  <c r="AG470" i="38"/>
  <c r="AG471" i="38"/>
  <c r="AG472" i="38"/>
  <c r="AG473" i="38"/>
  <c r="AG474" i="38"/>
  <c r="AG475" i="38"/>
  <c r="AG476" i="38"/>
  <c r="AG477" i="38"/>
  <c r="AG478" i="38"/>
  <c r="AG479" i="38"/>
  <c r="AG480" i="38"/>
  <c r="AG481" i="38"/>
  <c r="AG482" i="38"/>
  <c r="AG483" i="38"/>
  <c r="AG484" i="38"/>
  <c r="AG485" i="38"/>
  <c r="AG486" i="38"/>
  <c r="AG487" i="38"/>
  <c r="AG488" i="38"/>
  <c r="AG489" i="38"/>
  <c r="AG490" i="38"/>
  <c r="AG491" i="38"/>
  <c r="AG492" i="38"/>
  <c r="AG493" i="38"/>
  <c r="AG494" i="38"/>
  <c r="AG495" i="38"/>
  <c r="AG496" i="38"/>
  <c r="AG497" i="38"/>
  <c r="AG498" i="38"/>
  <c r="AG499" i="38"/>
  <c r="AG500" i="38"/>
  <c r="AG501" i="38"/>
  <c r="AG502" i="38"/>
  <c r="AG503" i="38"/>
  <c r="AG504" i="38"/>
  <c r="AG505" i="38"/>
  <c r="AG506" i="38"/>
  <c r="AG507" i="38"/>
  <c r="AG508" i="38"/>
  <c r="AG509" i="38"/>
  <c r="AG510" i="38"/>
  <c r="AG511" i="38"/>
  <c r="AG512" i="38"/>
  <c r="AG513" i="38"/>
  <c r="AG514" i="38"/>
  <c r="AG515" i="38"/>
  <c r="AG516" i="38"/>
  <c r="AG517" i="38"/>
  <c r="AG518" i="38"/>
  <c r="AG519" i="38"/>
  <c r="AG520" i="38"/>
  <c r="AG521" i="38"/>
  <c r="AG522" i="38"/>
  <c r="AG523" i="38"/>
  <c r="AG524" i="38"/>
  <c r="AG525" i="38"/>
  <c r="AG526" i="38"/>
  <c r="AG527"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O16" i="38"/>
  <c r="AO17" i="38"/>
  <c r="AO18" i="38"/>
  <c r="AO19" i="38"/>
  <c r="AO20" i="38"/>
  <c r="AO21" i="38"/>
  <c r="AO22" i="38"/>
  <c r="AN16" i="38"/>
  <c r="AN17" i="38"/>
  <c r="AN18" i="38"/>
  <c r="AN19" i="38"/>
  <c r="AN20" i="38"/>
  <c r="AN21" i="38"/>
  <c r="AN22" i="38"/>
  <c r="AM16" i="38"/>
  <c r="AM17" i="38"/>
  <c r="AM18" i="38"/>
  <c r="AM19" i="38"/>
  <c r="AM20" i="38"/>
  <c r="AM21" i="38"/>
  <c r="AM22" i="38"/>
  <c r="AK16" i="38"/>
  <c r="AK17" i="38"/>
  <c r="AK18" i="38"/>
  <c r="AK19" i="38"/>
  <c r="AK20" i="38"/>
  <c r="AK21" i="38"/>
  <c r="AK22" i="38"/>
  <c r="AJ16" i="38"/>
  <c r="AJ17" i="38"/>
  <c r="AJ18" i="38"/>
  <c r="AJ19" i="38"/>
  <c r="AJ20" i="38"/>
  <c r="AJ21" i="38"/>
  <c r="AJ22" i="38"/>
  <c r="AI16" i="38"/>
  <c r="AI17" i="38"/>
  <c r="AI18" i="38"/>
  <c r="AI19" i="38"/>
  <c r="AI20" i="38"/>
  <c r="AI21" i="38"/>
  <c r="AI22" i="38"/>
  <c r="AH16" i="38"/>
  <c r="AH17" i="38"/>
  <c r="AH18" i="38"/>
  <c r="AH19" i="38"/>
  <c r="AH20" i="38"/>
  <c r="AH21" i="38"/>
  <c r="AH22" i="38"/>
  <c r="AG16" i="38"/>
  <c r="AG17" i="38"/>
  <c r="AG18" i="38"/>
  <c r="AG19" i="38"/>
  <c r="AG20" i="38"/>
  <c r="AG21" i="38"/>
  <c r="AG22" i="38"/>
  <c r="AF16" i="38"/>
  <c r="AF17" i="38"/>
  <c r="AF18" i="38"/>
  <c r="AF19" i="38"/>
  <c r="AF20" i="38"/>
  <c r="AF21" i="38"/>
  <c r="AF22" i="38"/>
  <c r="AA300" i="38" a="1"/>
  <c r="AA300" i="38" s="1"/>
  <c r="AA301" i="38" a="1"/>
  <c r="AA301" i="38" s="1"/>
  <c r="AA302" i="38" a="1"/>
  <c r="AA302" i="38" s="1"/>
  <c r="AA303" i="38" a="1"/>
  <c r="AA303" i="38" s="1"/>
  <c r="AA304" i="38" a="1"/>
  <c r="AA304" i="38" s="1"/>
  <c r="AA305" i="38" a="1"/>
  <c r="AA305" i="38" s="1"/>
  <c r="AA306" i="38" a="1"/>
  <c r="AA306" i="38" s="1"/>
  <c r="AA307" i="38" a="1"/>
  <c r="AA307" i="38" s="1"/>
  <c r="AA308" i="38" a="1"/>
  <c r="AA308" i="38" s="1"/>
  <c r="AA309" i="38" a="1"/>
  <c r="AA309" i="38" s="1"/>
  <c r="AA310" i="38" a="1"/>
  <c r="AA310" i="38" s="1"/>
  <c r="AA311" i="38" a="1"/>
  <c r="AA311" i="38" s="1"/>
  <c r="AA312" i="38" a="1"/>
  <c r="AA312" i="38" s="1"/>
  <c r="AA313" i="38" a="1"/>
  <c r="AA313" i="38" s="1"/>
  <c r="AA314" i="38" a="1"/>
  <c r="AA314" i="38" s="1"/>
  <c r="AA315" i="38" a="1"/>
  <c r="AA315" i="38" s="1"/>
  <c r="AA316" i="38" a="1"/>
  <c r="AA316" i="38" s="1"/>
  <c r="AA317" i="38" a="1"/>
  <c r="AA317" i="38" s="1"/>
  <c r="AA318" i="38" a="1"/>
  <c r="AA318" i="38" s="1"/>
  <c r="AA319" i="38" a="1"/>
  <c r="AA319" i="38" s="1"/>
  <c r="AA320" i="38" a="1"/>
  <c r="AA320" i="38" s="1"/>
  <c r="AA321" i="38" a="1"/>
  <c r="AA321" i="38" s="1"/>
  <c r="AA322" i="38" a="1"/>
  <c r="AA322" i="38" s="1"/>
  <c r="AA323" i="38" a="1"/>
  <c r="AA323" i="38" s="1"/>
  <c r="AA324" i="38" a="1"/>
  <c r="AA324" i="38" s="1"/>
  <c r="AA325" i="38" a="1"/>
  <c r="AA325" i="38" s="1"/>
  <c r="AA326" i="38" a="1"/>
  <c r="AA326" i="38" s="1"/>
  <c r="AA327" i="38" a="1"/>
  <c r="AA327" i="38" s="1"/>
  <c r="AA328" i="38" a="1"/>
  <c r="AA328" i="38" s="1"/>
  <c r="AA329" i="38" a="1"/>
  <c r="AA329" i="38" s="1"/>
  <c r="AA330" i="38" a="1"/>
  <c r="AA330" i="38" s="1"/>
  <c r="AA331" i="38" a="1"/>
  <c r="AA331" i="38" s="1"/>
  <c r="AA332" i="38" a="1"/>
  <c r="AA332" i="38" s="1"/>
  <c r="AA333" i="38" a="1"/>
  <c r="AA333" i="38" s="1"/>
  <c r="AA334" i="38" a="1"/>
  <c r="AA334" i="38" s="1"/>
  <c r="AA335" i="38" a="1"/>
  <c r="AA335" i="38" s="1"/>
  <c r="AA336" i="38" a="1"/>
  <c r="AA336" i="38" s="1"/>
  <c r="AA337" i="38" a="1"/>
  <c r="AA337" i="38" s="1"/>
  <c r="AA338" i="38" a="1"/>
  <c r="AA338" i="38" s="1"/>
  <c r="AA339" i="38" a="1"/>
  <c r="AA339" i="38" s="1"/>
  <c r="AA340" i="38" a="1"/>
  <c r="AA340" i="38" s="1"/>
  <c r="AA341" i="38" a="1"/>
  <c r="AA341" i="38" s="1"/>
  <c r="AA342" i="38" a="1"/>
  <c r="AA342" i="38" s="1"/>
  <c r="AA343" i="38" a="1"/>
  <c r="AA343" i="38" s="1"/>
  <c r="AA344" i="38" a="1"/>
  <c r="AA344" i="38" s="1"/>
  <c r="AA345" i="38" a="1"/>
  <c r="AA345" i="38" s="1"/>
  <c r="AA346" i="38" a="1"/>
  <c r="AA346" i="38" s="1"/>
  <c r="AA347" i="38" a="1"/>
  <c r="AA347" i="38" s="1"/>
  <c r="AA348" i="38" a="1"/>
  <c r="AA348" i="38" s="1"/>
  <c r="AA349" i="38" a="1"/>
  <c r="AA349" i="38" s="1"/>
  <c r="AA350" i="38" a="1"/>
  <c r="AA350" i="38" s="1"/>
  <c r="AA351" i="38" a="1"/>
  <c r="AA351" i="38" s="1"/>
  <c r="AA352" i="38" a="1"/>
  <c r="AA352" i="38" s="1"/>
  <c r="AA353" i="38" a="1"/>
  <c r="AA353" i="38" s="1"/>
  <c r="AA354" i="38" a="1"/>
  <c r="AA354" i="38" s="1"/>
  <c r="AA355" i="38" a="1"/>
  <c r="AA355" i="38" s="1"/>
  <c r="AA356" i="38" a="1"/>
  <c r="AA356" i="38" s="1"/>
  <c r="AA357" i="38" a="1"/>
  <c r="AA357" i="38" s="1"/>
  <c r="AA358" i="38" a="1"/>
  <c r="AA358" i="38" s="1"/>
  <c r="AA359" i="38" a="1"/>
  <c r="AA359" i="38" s="1"/>
  <c r="AA360" i="38" a="1"/>
  <c r="AA360" i="38" s="1"/>
  <c r="AA361" i="38" a="1"/>
  <c r="AA361" i="38" s="1"/>
  <c r="AA362" i="38" a="1"/>
  <c r="AA362" i="38" s="1"/>
  <c r="AA363" i="38" a="1"/>
  <c r="AA363" i="38" s="1"/>
  <c r="AA364" i="38" a="1"/>
  <c r="AA364" i="38" s="1"/>
  <c r="AA365" i="38" a="1"/>
  <c r="AA365" i="38" s="1"/>
  <c r="AA366" i="38" a="1"/>
  <c r="AA366" i="38" s="1"/>
  <c r="AA367" i="38" a="1"/>
  <c r="AA367" i="38" s="1"/>
  <c r="AA368" i="38" a="1"/>
  <c r="AA368" i="38" s="1"/>
  <c r="AA369" i="38" a="1"/>
  <c r="AA369" i="38" s="1"/>
  <c r="AA370" i="38" a="1"/>
  <c r="AA370" i="38" s="1"/>
  <c r="AA371" i="38" a="1"/>
  <c r="AA371" i="38" s="1"/>
  <c r="AA372" i="38" a="1"/>
  <c r="AA372" i="38" s="1"/>
  <c r="AA373" i="38" a="1"/>
  <c r="AA373" i="38" s="1"/>
  <c r="AA374" i="38" a="1"/>
  <c r="AA374" i="38" s="1"/>
  <c r="AA375" i="38" a="1"/>
  <c r="AA375" i="38" s="1"/>
  <c r="AA376" i="38" a="1"/>
  <c r="AA376" i="38" s="1"/>
  <c r="AA377" i="38" a="1"/>
  <c r="AA377" i="38" s="1"/>
  <c r="AA378" i="38" a="1"/>
  <c r="AA378" i="38" s="1"/>
  <c r="AA379" i="38" a="1"/>
  <c r="AA379" i="38" s="1"/>
  <c r="AA380" i="38" a="1"/>
  <c r="AA380" i="38" s="1"/>
  <c r="AA381" i="38" a="1"/>
  <c r="AA381" i="38" s="1"/>
  <c r="AA382" i="38" a="1"/>
  <c r="AA382" i="38" s="1"/>
  <c r="AA383" i="38" a="1"/>
  <c r="AA383" i="38" s="1"/>
  <c r="AA384" i="38" a="1"/>
  <c r="AA384" i="38" s="1"/>
  <c r="AA385" i="38" a="1"/>
  <c r="AA385" i="38" s="1"/>
  <c r="AA386" i="38" a="1"/>
  <c r="AA386" i="38" s="1"/>
  <c r="AA387" i="38" a="1"/>
  <c r="AA387" i="38" s="1"/>
  <c r="AA388" i="38" a="1"/>
  <c r="AA388" i="38" s="1"/>
  <c r="AA389" i="38" a="1"/>
  <c r="AA389" i="38" s="1"/>
  <c r="AA390" i="38" a="1"/>
  <c r="AA390" i="38" s="1"/>
  <c r="AA391" i="38" a="1"/>
  <c r="AA391" i="38" s="1"/>
  <c r="AA392" i="38" a="1"/>
  <c r="AA392" i="38" s="1"/>
  <c r="AA393" i="38" a="1"/>
  <c r="AA393" i="38" s="1"/>
  <c r="AA394" i="38" a="1"/>
  <c r="AA394" i="38" s="1"/>
  <c r="AA395" i="38" a="1"/>
  <c r="AA395" i="38" s="1"/>
  <c r="AA396" i="38" a="1"/>
  <c r="AA396" i="38" s="1"/>
  <c r="AA397" i="38" a="1"/>
  <c r="AA397" i="38" s="1"/>
  <c r="AA398" i="38" a="1"/>
  <c r="AA398" i="38" s="1"/>
  <c r="AA399" i="38" a="1"/>
  <c r="AA399" i="38" s="1"/>
  <c r="AA400" i="38" a="1"/>
  <c r="AA400" i="38" s="1"/>
  <c r="AA401" i="38" a="1"/>
  <c r="AA401" i="38" s="1"/>
  <c r="AA402" i="38" a="1"/>
  <c r="AA402" i="38" s="1"/>
  <c r="AA403" i="38" a="1"/>
  <c r="AA403" i="38" s="1"/>
  <c r="AA404" i="38" a="1"/>
  <c r="AA404" i="38" s="1"/>
  <c r="AA405" i="38" a="1"/>
  <c r="AA405" i="38" s="1"/>
  <c r="AA406" i="38" a="1"/>
  <c r="AA406" i="38" s="1"/>
  <c r="AA407" i="38" a="1"/>
  <c r="AA407" i="38" s="1"/>
  <c r="AA408" i="38" a="1"/>
  <c r="AA408" i="38" s="1"/>
  <c r="AA409" i="38" a="1"/>
  <c r="AA409" i="38" s="1"/>
  <c r="AA410" i="38" a="1"/>
  <c r="AA410" i="38" s="1"/>
  <c r="AA411" i="38" a="1"/>
  <c r="AA411" i="38" s="1"/>
  <c r="AA412" i="38" a="1"/>
  <c r="AA412" i="38" s="1"/>
  <c r="AA413" i="38" a="1"/>
  <c r="AA413" i="38" s="1"/>
  <c r="AA414" i="38" a="1"/>
  <c r="AA414" i="38" s="1"/>
  <c r="AA415" i="38" a="1"/>
  <c r="AA415" i="38" s="1"/>
  <c r="AA416" i="38" a="1"/>
  <c r="AA416" i="38" s="1"/>
  <c r="AA417" i="38" a="1"/>
  <c r="AA417" i="38" s="1"/>
  <c r="AA418" i="38" a="1"/>
  <c r="AA418" i="38" s="1"/>
  <c r="AA419" i="38" a="1"/>
  <c r="AA419" i="38" s="1"/>
  <c r="AA420" i="38" a="1"/>
  <c r="AA420" i="38" s="1"/>
  <c r="AA421" i="38" a="1"/>
  <c r="AA421" i="38" s="1"/>
  <c r="AA422" i="38" a="1"/>
  <c r="AA422" i="38" s="1"/>
  <c r="AA423" i="38" a="1"/>
  <c r="AA423" i="38" s="1"/>
  <c r="AA424" i="38" a="1"/>
  <c r="AA424" i="38" s="1"/>
  <c r="AA425" i="38" a="1"/>
  <c r="AA425" i="38" s="1"/>
  <c r="AA426" i="38" a="1"/>
  <c r="AA426" i="38" s="1"/>
  <c r="AA427" i="38" a="1"/>
  <c r="AA427" i="38" s="1"/>
  <c r="AA428" i="38" a="1"/>
  <c r="AA428" i="38" s="1"/>
  <c r="AA429" i="38" a="1"/>
  <c r="AA429" i="38" s="1"/>
  <c r="AA430" i="38" a="1"/>
  <c r="AA430" i="38" s="1"/>
  <c r="AA431" i="38" a="1"/>
  <c r="AA431" i="38" s="1"/>
  <c r="AA432" i="38" a="1"/>
  <c r="AA432" i="38" s="1"/>
  <c r="AA433" i="38" a="1"/>
  <c r="AA433" i="38" s="1"/>
  <c r="AA434" i="38" a="1"/>
  <c r="AA434" i="38" s="1"/>
  <c r="AA435" i="38" a="1"/>
  <c r="AA435" i="38" s="1"/>
  <c r="AA436" i="38" a="1"/>
  <c r="AA436" i="38" s="1"/>
  <c r="AA437" i="38" a="1"/>
  <c r="AA437" i="38" s="1"/>
  <c r="AA438" i="38" a="1"/>
  <c r="AA438" i="38" s="1"/>
  <c r="AA439" i="38" a="1"/>
  <c r="AA439" i="38" s="1"/>
  <c r="AA440" i="38" a="1"/>
  <c r="AA440" i="38" s="1"/>
  <c r="AA441" i="38" a="1"/>
  <c r="AA441" i="38" s="1"/>
  <c r="AA442" i="38" a="1"/>
  <c r="AA442" i="38" s="1"/>
  <c r="AA443" i="38" a="1"/>
  <c r="AA443" i="38" s="1"/>
  <c r="AA444" i="38" a="1"/>
  <c r="AA444" i="38" s="1"/>
  <c r="AA445" i="38" a="1"/>
  <c r="AA445" i="38" s="1"/>
  <c r="AA446" i="38" a="1"/>
  <c r="AA446" i="38" s="1"/>
  <c r="AA447" i="38" a="1"/>
  <c r="AA447" i="38" s="1"/>
  <c r="AA448" i="38" a="1"/>
  <c r="AA448" i="38" s="1"/>
  <c r="AA449" i="38" a="1"/>
  <c r="AA449" i="38" s="1"/>
  <c r="AA450" i="38" a="1"/>
  <c r="AA450" i="38" s="1"/>
  <c r="AA451" i="38" a="1"/>
  <c r="AA451" i="38" s="1"/>
  <c r="AA452" i="38" a="1"/>
  <c r="AA452" i="38" s="1"/>
  <c r="AA453" i="38" a="1"/>
  <c r="AA453" i="38" s="1"/>
  <c r="AA454" i="38" a="1"/>
  <c r="AA454" i="38" s="1"/>
  <c r="AA455" i="38" a="1"/>
  <c r="AA455" i="38" s="1"/>
  <c r="AA456" i="38" a="1"/>
  <c r="AA456" i="38" s="1"/>
  <c r="AA457" i="38" a="1"/>
  <c r="AA457" i="38" s="1"/>
  <c r="AA458" i="38" a="1"/>
  <c r="AA458" i="38" s="1"/>
  <c r="AA459" i="38" a="1"/>
  <c r="AA459" i="38" s="1"/>
  <c r="AA460" i="38" a="1"/>
  <c r="AA460" i="38" s="1"/>
  <c r="AA461" i="38" a="1"/>
  <c r="AA461" i="38" s="1"/>
  <c r="AA462" i="38" a="1"/>
  <c r="AA462" i="38" s="1"/>
  <c r="AA463" i="38" a="1"/>
  <c r="AA463" i="38" s="1"/>
  <c r="AA464" i="38" a="1"/>
  <c r="AA464" i="38" s="1"/>
  <c r="AA465" i="38" a="1"/>
  <c r="AA465" i="38" s="1"/>
  <c r="AA466" i="38" a="1"/>
  <c r="AA466" i="38" s="1"/>
  <c r="AA467" i="38" a="1"/>
  <c r="AA467" i="38" s="1"/>
  <c r="AA468" i="38" a="1"/>
  <c r="AA468" i="38" s="1"/>
  <c r="AA469" i="38" a="1"/>
  <c r="AA469" i="38" s="1"/>
  <c r="AA470" i="38" a="1"/>
  <c r="AA470" i="38" s="1"/>
  <c r="AA471" i="38" a="1"/>
  <c r="AA471" i="38" s="1"/>
  <c r="AA472" i="38" a="1"/>
  <c r="AA472" i="38" s="1"/>
  <c r="AA473" i="38" a="1"/>
  <c r="AA473" i="38" s="1"/>
  <c r="AA474" i="38" a="1"/>
  <c r="AA474" i="38" s="1"/>
  <c r="AA475" i="38" a="1"/>
  <c r="AA475" i="38" s="1"/>
  <c r="AA476" i="38" a="1"/>
  <c r="AA476" i="38" s="1"/>
  <c r="AA477" i="38" a="1"/>
  <c r="AA477" i="38" s="1"/>
  <c r="AA478" i="38" a="1"/>
  <c r="AA478" i="38" s="1"/>
  <c r="AA479" i="38" a="1"/>
  <c r="AA479" i="38" s="1"/>
  <c r="AA480" i="38" a="1"/>
  <c r="AA480" i="38" s="1"/>
  <c r="AA481" i="38" a="1"/>
  <c r="AA481" i="38" s="1"/>
  <c r="AA482" i="38" a="1"/>
  <c r="AA482" i="38" s="1"/>
  <c r="AA483" i="38" a="1"/>
  <c r="AA483" i="38" s="1"/>
  <c r="AA484" i="38" a="1"/>
  <c r="AA484" i="38" s="1"/>
  <c r="AA485" i="38" a="1"/>
  <c r="AA485" i="38" s="1"/>
  <c r="AA486" i="38" a="1"/>
  <c r="AA486" i="38" s="1"/>
  <c r="AA487" i="38" a="1"/>
  <c r="AA487" i="38" s="1"/>
  <c r="AA488" i="38" a="1"/>
  <c r="AA488" i="38" s="1"/>
  <c r="AA489" i="38" a="1"/>
  <c r="AA489" i="38" s="1"/>
  <c r="AA490" i="38" a="1"/>
  <c r="AA490" i="38" s="1"/>
  <c r="AA491" i="38" a="1"/>
  <c r="AA491" i="38" s="1"/>
  <c r="AA492" i="38" a="1"/>
  <c r="AA492" i="38" s="1"/>
  <c r="AA493" i="38" a="1"/>
  <c r="AA493" i="38" s="1"/>
  <c r="AA494" i="38" a="1"/>
  <c r="AA494" i="38" s="1"/>
  <c r="AA495" i="38" a="1"/>
  <c r="AA495" i="38" s="1"/>
  <c r="AA496" i="38" a="1"/>
  <c r="AA496" i="38" s="1"/>
  <c r="AA497" i="38" a="1"/>
  <c r="AA497" i="38" s="1"/>
  <c r="AA498" i="38" a="1"/>
  <c r="AA498" i="38" s="1"/>
  <c r="AA499" i="38" a="1"/>
  <c r="AA499" i="38" s="1"/>
  <c r="AA500" i="38" a="1"/>
  <c r="AA500" i="38" s="1"/>
  <c r="AA501" i="38" a="1"/>
  <c r="AA501" i="38" s="1"/>
  <c r="AA502" i="38" a="1"/>
  <c r="AA502" i="38" s="1"/>
  <c r="AA503" i="38" a="1"/>
  <c r="AA503" i="38" s="1"/>
  <c r="AA504" i="38" a="1"/>
  <c r="AA504" i="38" s="1"/>
  <c r="AA505" i="38" a="1"/>
  <c r="AA505" i="38" s="1"/>
  <c r="AA506" i="38" a="1"/>
  <c r="AA506" i="38" s="1"/>
  <c r="AA507" i="38" a="1"/>
  <c r="AA507" i="38" s="1"/>
  <c r="AA508" i="38" a="1"/>
  <c r="AA508" i="38" s="1"/>
  <c r="AA509" i="38" a="1"/>
  <c r="AA509" i="38" s="1"/>
  <c r="AA510" i="38" a="1"/>
  <c r="AA510" i="38" s="1"/>
  <c r="AA511" i="38" a="1"/>
  <c r="AA511" i="38" s="1"/>
  <c r="AA512" i="38" a="1"/>
  <c r="AA512" i="38" s="1"/>
  <c r="AA513" i="38" a="1"/>
  <c r="AA513" i="38" s="1"/>
  <c r="AA514" i="38" a="1"/>
  <c r="AA514" i="38" s="1"/>
  <c r="AA515" i="38" a="1"/>
  <c r="AA515" i="38" s="1"/>
  <c r="AA516" i="38" a="1"/>
  <c r="AA516" i="38" s="1"/>
  <c r="AA517" i="38" a="1"/>
  <c r="AA517" i="38" s="1"/>
  <c r="AA518" i="38" a="1"/>
  <c r="AA518" i="38" s="1"/>
  <c r="AA519" i="38" a="1"/>
  <c r="AA519" i="38" s="1"/>
  <c r="AA520" i="38" a="1"/>
  <c r="AA520" i="38" s="1"/>
  <c r="AA521" i="38" a="1"/>
  <c r="AA521" i="38" s="1"/>
  <c r="AA522" i="38" a="1"/>
  <c r="AA522" i="38" s="1"/>
  <c r="AA523" i="38" a="1"/>
  <c r="AA523" i="38" s="1"/>
  <c r="AA524" i="38" a="1"/>
  <c r="AA524" i="38" s="1"/>
  <c r="AA525" i="38" a="1"/>
  <c r="AA525" i="38" s="1"/>
  <c r="AA526" i="38" a="1"/>
  <c r="AA526" i="38" s="1"/>
  <c r="AA527" i="38" a="1"/>
  <c r="AA527" i="38" s="1"/>
  <c r="AA16" i="38" a="1"/>
  <c r="AA16" i="38" s="1"/>
  <c r="AA17" i="38" a="1"/>
  <c r="AA17" i="38" s="1"/>
  <c r="AA18" i="38" a="1"/>
  <c r="AA18" i="38" s="1"/>
  <c r="AA19" i="38" a="1"/>
  <c r="AA19" i="38" s="1"/>
  <c r="AA20" i="38" a="1"/>
  <c r="AA20" i="38" s="1"/>
  <c r="AA21" i="38" a="1"/>
  <c r="AA21" i="38" s="1"/>
  <c r="AA22" i="38" a="1"/>
  <c r="AA22" i="38" s="1"/>
  <c r="W13" i="38" a="1"/>
  <c r="W13" i="38" s="1"/>
  <c r="W14" i="38" a="1"/>
  <c r="W14" i="38" s="1"/>
  <c r="W15" i="38" a="1"/>
  <c r="W15" i="38" s="1"/>
  <c r="W16" i="38" a="1"/>
  <c r="W16" i="38" s="1"/>
  <c r="W17" i="38" a="1"/>
  <c r="W17" i="38"/>
  <c r="W18" i="38" a="1"/>
  <c r="W18" i="38" s="1"/>
  <c r="W19" i="38" a="1"/>
  <c r="W19" i="38" s="1"/>
  <c r="W20" i="38" a="1"/>
  <c r="W20" i="38" s="1"/>
  <c r="W21" i="38" a="1"/>
  <c r="W21" i="38" s="1"/>
  <c r="W22" i="38" a="1"/>
  <c r="W22" i="38" s="1"/>
  <c r="V13" i="38" a="1"/>
  <c r="V13" i="38" s="1"/>
  <c r="V14" i="38" a="1"/>
  <c r="V14" i="38" s="1"/>
  <c r="V15" i="38" a="1"/>
  <c r="V15" i="38" s="1"/>
  <c r="V16" i="38" a="1"/>
  <c r="V16" i="38" s="1"/>
  <c r="V17" i="38" a="1"/>
  <c r="V17" i="38" s="1"/>
  <c r="V18" i="38" a="1"/>
  <c r="V18" i="38" s="1"/>
  <c r="V19" i="38" a="1"/>
  <c r="V19" i="38"/>
  <c r="V20" i="38" a="1"/>
  <c r="V20" i="38"/>
  <c r="V21" i="38" a="1"/>
  <c r="V21" i="38" s="1"/>
  <c r="V22" i="38" a="1"/>
  <c r="V22" i="38" s="1"/>
  <c r="U14" i="38" a="1"/>
  <c r="U14" i="38" s="1"/>
  <c r="U15" i="38" a="1"/>
  <c r="U15" i="38" s="1"/>
  <c r="U16" i="38" a="1"/>
  <c r="U16" i="38" s="1"/>
  <c r="U17" i="38" a="1"/>
  <c r="U17" i="38" s="1"/>
  <c r="U18" i="38" a="1"/>
  <c r="U18" i="38" s="1"/>
  <c r="U19" i="38" a="1"/>
  <c r="U19" i="38"/>
  <c r="U20" i="38" a="1"/>
  <c r="U20" i="38" s="1"/>
  <c r="U21" i="38" a="1"/>
  <c r="U21" i="38"/>
  <c r="U22" i="38" a="1"/>
  <c r="U22" i="38" s="1"/>
  <c r="AE152" i="39" l="1"/>
  <c r="AA235" i="39" a="1"/>
  <c r="AA235" i="39" s="1"/>
  <c r="AA224" i="39" a="1"/>
  <c r="AA224" i="39" s="1"/>
  <c r="AE203" i="39"/>
  <c r="AA223" i="39" a="1"/>
  <c r="AA223" i="39" s="1"/>
  <c r="AA216" i="39" a="1"/>
  <c r="AA216" i="39" s="1"/>
  <c r="AA240" i="39" a="1"/>
  <c r="AA240" i="39" s="1"/>
  <c r="AE104" i="39"/>
  <c r="AA185" i="39" a="1"/>
  <c r="AA185" i="39" s="1"/>
  <c r="AA255" i="39" a="1"/>
  <c r="AA255" i="39" s="1"/>
  <c r="AE167" i="39"/>
  <c r="AE143" i="39"/>
  <c r="AA186" i="39" a="1"/>
  <c r="AA186" i="39" s="1"/>
  <c r="AA151" i="39" a="1"/>
  <c r="AA151" i="39" s="1"/>
  <c r="AE251" i="39"/>
  <c r="AE252" i="39"/>
  <c r="AE132" i="39"/>
  <c r="AA108" i="39" a="1"/>
  <c r="AA108" i="39" s="1"/>
  <c r="AA258" i="39" a="1"/>
  <c r="AA258" i="39" s="1"/>
  <c r="AE183" i="39"/>
  <c r="AE184" i="39"/>
  <c r="AA203" i="39" a="1"/>
  <c r="AA203" i="39" s="1"/>
  <c r="AE256" i="39"/>
  <c r="AA55" i="39" a="1"/>
  <c r="AA55" i="39" s="1"/>
  <c r="AA145" i="39" a="1"/>
  <c r="AA145" i="39" s="1"/>
  <c r="AA168" i="39" a="1"/>
  <c r="AA168" i="39" s="1"/>
  <c r="AA39" i="39" a="1"/>
  <c r="AA39" i="39" s="1"/>
  <c r="AE230" i="39"/>
  <c r="AA62" i="39" a="1"/>
  <c r="AA62" i="39" s="1"/>
  <c r="AA54" i="39" a="1"/>
  <c r="AA54" i="39" s="1"/>
  <c r="AA46" i="39" a="1"/>
  <c r="AA46" i="39" s="1"/>
  <c r="AA263" i="39" a="1"/>
  <c r="AA263" i="39" s="1"/>
  <c r="AE179" i="39"/>
  <c r="AA143" i="39" a="1"/>
  <c r="AA143" i="39" s="1"/>
  <c r="AA144" i="39" a="1"/>
  <c r="AA144" i="39" s="1"/>
  <c r="AA112" i="39" a="1"/>
  <c r="AA112" i="39" s="1"/>
  <c r="AA96" i="39" a="1"/>
  <c r="AA96" i="39" s="1"/>
  <c r="AA199" i="39" a="1"/>
  <c r="AA199" i="39" s="1"/>
  <c r="AA167" i="39" a="1"/>
  <c r="AA167" i="39" s="1"/>
  <c r="AE111" i="39"/>
  <c r="AE47" i="39"/>
  <c r="AE229" i="39"/>
  <c r="AE133" i="39"/>
  <c r="AA85" i="39" a="1"/>
  <c r="AA85" i="39" s="1"/>
  <c r="AA69" i="39" a="1"/>
  <c r="AA69" i="39" s="1"/>
  <c r="AA61" i="39" a="1"/>
  <c r="AA61" i="39" s="1"/>
  <c r="AA45" i="39" a="1"/>
  <c r="AA45" i="39" s="1"/>
  <c r="AA29" i="39" a="1"/>
  <c r="AA29" i="39" s="1"/>
  <c r="AA231" i="39" a="1"/>
  <c r="AA231" i="39" s="1"/>
  <c r="AE220" i="39"/>
  <c r="AA260" i="39" a="1"/>
  <c r="AA260" i="39" s="1"/>
  <c r="AA244" i="39" a="1"/>
  <c r="AA244" i="39" s="1"/>
  <c r="AA204" i="39" a="1"/>
  <c r="AA204" i="39" s="1"/>
  <c r="AA212" i="39" a="1"/>
  <c r="AA212" i="39" s="1"/>
  <c r="AE148" i="39"/>
  <c r="AA132" i="39" a="1"/>
  <c r="AA132" i="39" s="1"/>
  <c r="AA243" i="39" a="1"/>
  <c r="AA243" i="39" s="1"/>
  <c r="AA227" i="39" a="1"/>
  <c r="AA227" i="39" s="1"/>
  <c r="AA195" i="39" a="1"/>
  <c r="AA195" i="39" s="1"/>
  <c r="AA187" i="39" a="1"/>
  <c r="AA187" i="39" s="1"/>
  <c r="AA179" i="39" a="1"/>
  <c r="AA179" i="39" s="1"/>
  <c r="AA171" i="39" a="1"/>
  <c r="AA171" i="39" s="1"/>
  <c r="AA139" i="39" a="1"/>
  <c r="AA139" i="39" s="1"/>
  <c r="AA123" i="39" a="1"/>
  <c r="AA123" i="39" s="1"/>
  <c r="AA99" i="39" a="1"/>
  <c r="AA99" i="39" s="1"/>
  <c r="AE224" i="39"/>
  <c r="AA157" i="39" a="1"/>
  <c r="AA157" i="39" s="1"/>
  <c r="AA264" i="39" a="1"/>
  <c r="AA264" i="39" s="1"/>
  <c r="AA208" i="39" a="1"/>
  <c r="AA208" i="39" s="1"/>
  <c r="AE160" i="39"/>
  <c r="AE120" i="39"/>
  <c r="AE131" i="39"/>
  <c r="AA267" i="39" a="1"/>
  <c r="AA267" i="39" s="1"/>
  <c r="AA251" i="39" a="1"/>
  <c r="AA251" i="39" s="1"/>
  <c r="AE168" i="39"/>
  <c r="AE261" i="39"/>
  <c r="AE237" i="39"/>
  <c r="AE181" i="39"/>
  <c r="AE169" i="39"/>
  <c r="AA159" i="39" a="1"/>
  <c r="AA159" i="39" s="1"/>
  <c r="AE124" i="39"/>
  <c r="AA124" i="39" a="1"/>
  <c r="AA124" i="39" s="1"/>
  <c r="AE116" i="39"/>
  <c r="AA116" i="39" a="1"/>
  <c r="AA116" i="39" s="1"/>
  <c r="AE151" i="39"/>
  <c r="AE141" i="39"/>
  <c r="AA141" i="39" a="1"/>
  <c r="AA141" i="39" s="1"/>
  <c r="AE129" i="39"/>
  <c r="AE118" i="39"/>
  <c r="AA95" i="39" a="1"/>
  <c r="AA95" i="39" s="1"/>
  <c r="AE95" i="39"/>
  <c r="AE119" i="39"/>
  <c r="AA181" i="39" a="1"/>
  <c r="AA181" i="39" s="1"/>
  <c r="AE240" i="39"/>
  <c r="AE197" i="39"/>
  <c r="AA197" i="39" a="1"/>
  <c r="AA197" i="39" s="1"/>
  <c r="AE185" i="39"/>
  <c r="AE150" i="39"/>
  <c r="AE128" i="39"/>
  <c r="AE117" i="39"/>
  <c r="AA117" i="39" a="1"/>
  <c r="AA117" i="39" s="1"/>
  <c r="AE105" i="39"/>
  <c r="AA105" i="39" a="1"/>
  <c r="AA105" i="39" s="1"/>
  <c r="AE94" i="39"/>
  <c r="AA266" i="39" a="1"/>
  <c r="AA266" i="39" s="1"/>
  <c r="AA250" i="39" a="1"/>
  <c r="AA250" i="39" s="1"/>
  <c r="AA234" i="39" a="1"/>
  <c r="AA234" i="39" s="1"/>
  <c r="AA226" i="39" a="1"/>
  <c r="AA226" i="39" s="1"/>
  <c r="AA218" i="39" a="1"/>
  <c r="AA218" i="39" s="1"/>
  <c r="AA210" i="39" a="1"/>
  <c r="AA210" i="39" s="1"/>
  <c r="AA202" i="39" a="1"/>
  <c r="AA202" i="39" s="1"/>
  <c r="AA194" i="39" a="1"/>
  <c r="AA194" i="39" s="1"/>
  <c r="AA178" i="39" a="1"/>
  <c r="AA178" i="39" s="1"/>
  <c r="AA170" i="39" a="1"/>
  <c r="AA170" i="39" s="1"/>
  <c r="AA162" i="39" a="1"/>
  <c r="AA162" i="39" s="1"/>
  <c r="AA154" i="39" a="1"/>
  <c r="AA154" i="39" s="1"/>
  <c r="AA146" i="39" a="1"/>
  <c r="AA146" i="39" s="1"/>
  <c r="AA138" i="39" a="1"/>
  <c r="AA138" i="39" s="1"/>
  <c r="AA122" i="39" a="1"/>
  <c r="AA122" i="39" s="1"/>
  <c r="AA114" i="39" a="1"/>
  <c r="AA114" i="39" s="1"/>
  <c r="AA106" i="39" a="1"/>
  <c r="AA106" i="39" s="1"/>
  <c r="AA98" i="39" a="1"/>
  <c r="AA98" i="39" s="1"/>
  <c r="W254" i="39" a="1"/>
  <c r="W254" i="39" s="1"/>
  <c r="W238" i="39" a="1"/>
  <c r="W238" i="39" s="1"/>
  <c r="AE238" i="39" s="1"/>
  <c r="W206" i="39" a="1"/>
  <c r="W206" i="39" s="1"/>
  <c r="AA206" i="39" s="1" a="1"/>
  <c r="AA206" i="39" s="1"/>
  <c r="W158" i="39" a="1"/>
  <c r="W158" i="39" s="1"/>
  <c r="AA158" i="39" s="1" a="1"/>
  <c r="AA158" i="39" s="1"/>
  <c r="W142" i="39" a="1"/>
  <c r="W142" i="39" s="1"/>
  <c r="AA142" i="39" s="1" a="1"/>
  <c r="AA142" i="39" s="1"/>
  <c r="W110" i="39" a="1"/>
  <c r="W110" i="39" s="1"/>
  <c r="AA110" i="39" s="1" a="1"/>
  <c r="AA110" i="39" s="1"/>
  <c r="W102" i="39" a="1"/>
  <c r="W102" i="39" s="1"/>
  <c r="W38" i="39" a="1"/>
  <c r="W38" i="39" s="1"/>
  <c r="AE38" i="39" s="1"/>
  <c r="W30" i="39" a="1"/>
  <c r="W30" i="39" s="1"/>
  <c r="AE30" i="39" s="1"/>
  <c r="AE241" i="39"/>
  <c r="AE153" i="39"/>
  <c r="AE97" i="39"/>
  <c r="AA249" i="39" a="1"/>
  <c r="AA249" i="39" s="1"/>
  <c r="AA209" i="39" a="1"/>
  <c r="AA209" i="39" s="1"/>
  <c r="AA153" i="39" a="1"/>
  <c r="AA153" i="39" s="1"/>
  <c r="AA97" i="39" a="1"/>
  <c r="AA97" i="39" s="1"/>
  <c r="AA221" i="39" a="1"/>
  <c r="AA221" i="39" s="1"/>
  <c r="AA169" i="39" a="1"/>
  <c r="AA169" i="39" s="1"/>
  <c r="AA130" i="39" a="1"/>
  <c r="AA130" i="39" s="1"/>
  <c r="AE213" i="39"/>
  <c r="AE249" i="39"/>
  <c r="AE225" i="39"/>
  <c r="AE214" i="39"/>
  <c r="AE192" i="39"/>
  <c r="AA196" i="39" a="1"/>
  <c r="AA196" i="39" s="1"/>
  <c r="AE196" i="39"/>
  <c r="AA180" i="39" a="1"/>
  <c r="AA180" i="39" s="1"/>
  <c r="AA172" i="39" a="1"/>
  <c r="AA172" i="39" s="1"/>
  <c r="AE180" i="39"/>
  <c r="AE263" i="39"/>
  <c r="AE239" i="39"/>
  <c r="AE217" i="39"/>
  <c r="AE173" i="39"/>
  <c r="AE161" i="39"/>
  <c r="AA149" i="39" a="1"/>
  <c r="AA149" i="39" s="1"/>
  <c r="AE149" i="39"/>
  <c r="AE137" i="39"/>
  <c r="AE127" i="39"/>
  <c r="AA127" i="39" a="1"/>
  <c r="AA127" i="39" s="1"/>
  <c r="AA93" i="39" a="1"/>
  <c r="AA93" i="39" s="1"/>
  <c r="AE93" i="39"/>
  <c r="AE177" i="39"/>
  <c r="W269" i="39" a="1"/>
  <c r="W269" i="39" s="1"/>
  <c r="AA269" i="39" s="1" a="1"/>
  <c r="AA269" i="39" s="1"/>
  <c r="W245" i="39" a="1"/>
  <c r="W245" i="39" s="1"/>
  <c r="W165" i="39" a="1"/>
  <c r="W165" i="39" s="1"/>
  <c r="AE165" i="39" s="1"/>
  <c r="W101" i="39" a="1"/>
  <c r="W101" i="39" s="1"/>
  <c r="W174" i="39" a="1"/>
  <c r="W174" i="39" s="1"/>
  <c r="AA174" i="39" s="1" a="1"/>
  <c r="AA174" i="39" s="1"/>
  <c r="AA242" i="39" a="1"/>
  <c r="AA242" i="39" s="1"/>
  <c r="AA125" i="39" a="1"/>
  <c r="AA125" i="39" s="1"/>
  <c r="AE211" i="39"/>
  <c r="AE159" i="39"/>
  <c r="AE247" i="39"/>
  <c r="AE96" i="39"/>
  <c r="AA252" i="39" a="1"/>
  <c r="AA252" i="39" s="1"/>
  <c r="AE270" i="39"/>
  <c r="AE272" i="39"/>
  <c r="AA253" i="39" a="1"/>
  <c r="AA253" i="39" s="1"/>
  <c r="AE271" i="39"/>
  <c r="AA271" i="39" a="1"/>
  <c r="AA271" i="39" s="1"/>
  <c r="AE262" i="39"/>
  <c r="AE215" i="39"/>
  <c r="AA215" i="39" a="1"/>
  <c r="AA215" i="39" s="1"/>
  <c r="AE205" i="39"/>
  <c r="AA205" i="39" a="1"/>
  <c r="AA205" i="39" s="1"/>
  <c r="AE193" i="39"/>
  <c r="AE182" i="39"/>
  <c r="AA160" i="39" a="1"/>
  <c r="AA160" i="39" s="1"/>
  <c r="AE136" i="39"/>
  <c r="AA136" i="39" a="1"/>
  <c r="AA136" i="39" s="1"/>
  <c r="AE126" i="39"/>
  <c r="AE113" i="39"/>
  <c r="AE103" i="39"/>
  <c r="AA103" i="39" a="1"/>
  <c r="AA103" i="39" s="1"/>
  <c r="AA60" i="39" a="1"/>
  <c r="AA60" i="39" s="1"/>
  <c r="AA247" i="39" a="1"/>
  <c r="AA247" i="39" s="1"/>
  <c r="AA239" i="39" a="1"/>
  <c r="AA239" i="39" s="1"/>
  <c r="AA183" i="39" a="1"/>
  <c r="AA183" i="39" s="1"/>
  <c r="AA175" i="39" a="1"/>
  <c r="AA175" i="39" s="1"/>
  <c r="AA119" i="39" a="1"/>
  <c r="AA119" i="39" s="1"/>
  <c r="AA111" i="39" a="1"/>
  <c r="AA111" i="39" s="1"/>
  <c r="AA241" i="39" a="1"/>
  <c r="AA241" i="39" s="1"/>
  <c r="AA207" i="39" a="1"/>
  <c r="AA207" i="39" s="1"/>
  <c r="AA113" i="39" a="1"/>
  <c r="AA113" i="39" s="1"/>
  <c r="AE253" i="39"/>
  <c r="AE207" i="39"/>
  <c r="AE246" i="39"/>
  <c r="AE201" i="39"/>
  <c r="AE125" i="39"/>
  <c r="AA20" i="39" a="1"/>
  <c r="AA20" i="39" s="1"/>
  <c r="AE219" i="39"/>
  <c r="AE171" i="39"/>
  <c r="AE123" i="39"/>
  <c r="AE267" i="39"/>
  <c r="AE222" i="39"/>
  <c r="AE147" i="39"/>
  <c r="AA148" i="39" a="1"/>
  <c r="AA148" i="39" s="1"/>
  <c r="AE135" i="39"/>
  <c r="AA135" i="39" a="1"/>
  <c r="AA135" i="39" s="1"/>
  <c r="AA68" i="39" a="1"/>
  <c r="AA68" i="39" s="1"/>
  <c r="AE259" i="39"/>
  <c r="AE235" i="39"/>
  <c r="AE187" i="39"/>
  <c r="AE163" i="39"/>
  <c r="AE139" i="39"/>
  <c r="AE107" i="39"/>
  <c r="AE99" i="39"/>
  <c r="AA259" i="39" a="1"/>
  <c r="AA259" i="39" s="1"/>
  <c r="AA219" i="39" a="1"/>
  <c r="AA219" i="39" s="1"/>
  <c r="AA211" i="39" a="1"/>
  <c r="AA211" i="39" s="1"/>
  <c r="AA163" i="39" a="1"/>
  <c r="AA163" i="39" s="1"/>
  <c r="AA155" i="39" a="1"/>
  <c r="AA155" i="39" s="1"/>
  <c r="AA147" i="39" a="1"/>
  <c r="AA147" i="39" s="1"/>
  <c r="AA115" i="39" a="1"/>
  <c r="AA115" i="39" s="1"/>
  <c r="AA107" i="39" a="1"/>
  <c r="AA107" i="39" s="1"/>
  <c r="AE243" i="39"/>
  <c r="AE233" i="39"/>
  <c r="AE200" i="39"/>
  <c r="AE157" i="39"/>
  <c r="AA27" i="39" a="1"/>
  <c r="AA27" i="39" s="1"/>
  <c r="AE232" i="39"/>
  <c r="AE209" i="39"/>
  <c r="AA189" i="39" a="1"/>
  <c r="AA189" i="39" s="1"/>
  <c r="AE189" i="39"/>
  <c r="AA133" i="39" a="1"/>
  <c r="AA133" i="39" s="1"/>
  <c r="AE57" i="39"/>
  <c r="AA265" i="39" a="1"/>
  <c r="AA265" i="39" s="1"/>
  <c r="AA233" i="39" a="1"/>
  <c r="AA233" i="39" s="1"/>
  <c r="AA225" i="39" a="1"/>
  <c r="AA225" i="39" s="1"/>
  <c r="AA201" i="39" a="1"/>
  <c r="AA201" i="39" s="1"/>
  <c r="AA193" i="39" a="1"/>
  <c r="AA193" i="39" s="1"/>
  <c r="AA177" i="39" a="1"/>
  <c r="AA177" i="39" s="1"/>
  <c r="AA161" i="39" a="1"/>
  <c r="AA161" i="39" s="1"/>
  <c r="AA137" i="39" a="1"/>
  <c r="AA137" i="39" s="1"/>
  <c r="AA129" i="39" a="1"/>
  <c r="AA129" i="39" s="1"/>
  <c r="AA121" i="39" a="1"/>
  <c r="AA121" i="39" s="1"/>
  <c r="AA57" i="39" a="1"/>
  <c r="AA57" i="39" s="1"/>
  <c r="AE265" i="39"/>
  <c r="AE195" i="39"/>
  <c r="AE191" i="39"/>
  <c r="AA191" i="39" a="1"/>
  <c r="AA191" i="39" s="1"/>
  <c r="AE145" i="39"/>
  <c r="AA44" i="39" a="1"/>
  <c r="AA44" i="39" s="1"/>
  <c r="AE227" i="39"/>
  <c r="AE155" i="39"/>
  <c r="AE115" i="39"/>
  <c r="AE223" i="39"/>
  <c r="AE190" i="39"/>
  <c r="AE144" i="39"/>
  <c r="AE255" i="39"/>
  <c r="AE199" i="39"/>
  <c r="AE176" i="39"/>
  <c r="AE121" i="39"/>
  <c r="AA257" i="39" a="1"/>
  <c r="AA257" i="39" s="1"/>
  <c r="AA217" i="39" a="1"/>
  <c r="AA217" i="39" s="1"/>
  <c r="AE264" i="39"/>
  <c r="AE231" i="39"/>
  <c r="AE221" i="39"/>
  <c r="AE208" i="39"/>
  <c r="AE198" i="39"/>
  <c r="AE175" i="39"/>
  <c r="AE109" i="39"/>
  <c r="AE248" i="39"/>
  <c r="AE216" i="39"/>
  <c r="AA272" i="39" a="1"/>
  <c r="AA272" i="39" s="1"/>
  <c r="AA256" i="39" a="1"/>
  <c r="AA256" i="39" s="1"/>
  <c r="AA248" i="39" a="1"/>
  <c r="AA248" i="39" s="1"/>
  <c r="AA232" i="39" a="1"/>
  <c r="AA232" i="39" s="1"/>
  <c r="AA200" i="39" a="1"/>
  <c r="AA200" i="39" s="1"/>
  <c r="AA192" i="39" a="1"/>
  <c r="AA192" i="39" s="1"/>
  <c r="AA184" i="39" a="1"/>
  <c r="AA184" i="39" s="1"/>
  <c r="AA176" i="39" a="1"/>
  <c r="AA176" i="39" s="1"/>
  <c r="AA152" i="39" a="1"/>
  <c r="AA152" i="39" s="1"/>
  <c r="AA128" i="39" a="1"/>
  <c r="AA128" i="39" s="1"/>
  <c r="AA120" i="39" a="1"/>
  <c r="AA120" i="39" s="1"/>
  <c r="AA104" i="39" a="1"/>
  <c r="AA104" i="39" s="1"/>
  <c r="AE257" i="39"/>
  <c r="AE166" i="39"/>
  <c r="AE134" i="39"/>
  <c r="AE112" i="39"/>
  <c r="AA59" i="39" a="1"/>
  <c r="AA59" i="39" s="1"/>
  <c r="AA261" i="39" a="1"/>
  <c r="AA261" i="39" s="1"/>
  <c r="AA213" i="39" a="1"/>
  <c r="AA213" i="39" s="1"/>
  <c r="AA31" i="39" a="1"/>
  <c r="AA31" i="39" s="1"/>
  <c r="AA23" i="39" a="1"/>
  <c r="AA23" i="39" s="1"/>
  <c r="AE260" i="39"/>
  <c r="AE236" i="39"/>
  <c r="AE228" i="39"/>
  <c r="AE212" i="39"/>
  <c r="AE188" i="39"/>
  <c r="AE172" i="39"/>
  <c r="AE164" i="39"/>
  <c r="AE140" i="39"/>
  <c r="AE108" i="39"/>
  <c r="AE100" i="39"/>
  <c r="AE92" i="39"/>
  <c r="AA236" i="39" a="1"/>
  <c r="AA236" i="39" s="1"/>
  <c r="AA228" i="39" a="1"/>
  <c r="AA228" i="39" s="1"/>
  <c r="AA220" i="39" a="1"/>
  <c r="AA220" i="39" s="1"/>
  <c r="AA188" i="39" a="1"/>
  <c r="AA188" i="39" s="1"/>
  <c r="AA164" i="39" a="1"/>
  <c r="AA164" i="39" s="1"/>
  <c r="AA156" i="39" a="1"/>
  <c r="AA156" i="39" s="1"/>
  <c r="AA140" i="39" a="1"/>
  <c r="AA140" i="39" s="1"/>
  <c r="AA100" i="39" a="1"/>
  <c r="AA100" i="39" s="1"/>
  <c r="AA92" i="39" a="1"/>
  <c r="AA92" i="39" s="1"/>
  <c r="AE244" i="39"/>
  <c r="AE204" i="39"/>
  <c r="AE156" i="39"/>
  <c r="AA83" i="39" a="1"/>
  <c r="AA83" i="39" s="1"/>
  <c r="AA75" i="39" a="1"/>
  <c r="AA75" i="39" s="1"/>
  <c r="AA19" i="39" a="1"/>
  <c r="AA19" i="39" s="1"/>
  <c r="AA67" i="39" a="1"/>
  <c r="AA67" i="39" s="1"/>
  <c r="AA43" i="39" a="1"/>
  <c r="AA43" i="39" s="1"/>
  <c r="AA237" i="39" a="1"/>
  <c r="AA237" i="39" s="1"/>
  <c r="AA229" i="39" a="1"/>
  <c r="AA229" i="39" s="1"/>
  <c r="AA173" i="39" a="1"/>
  <c r="AA173" i="39" s="1"/>
  <c r="AA109" i="39" a="1"/>
  <c r="AA109" i="39" s="1"/>
  <c r="AA270" i="39" a="1"/>
  <c r="AA270" i="39" s="1"/>
  <c r="AA262" i="39" a="1"/>
  <c r="AA262" i="39" s="1"/>
  <c r="AA246" i="39" a="1"/>
  <c r="AA246" i="39" s="1"/>
  <c r="AA230" i="39" a="1"/>
  <c r="AA230" i="39" s="1"/>
  <c r="AA222" i="39" a="1"/>
  <c r="AA222" i="39" s="1"/>
  <c r="AA214" i="39" a="1"/>
  <c r="AA214" i="39" s="1"/>
  <c r="AA198" i="39" a="1"/>
  <c r="AA198" i="39" s="1"/>
  <c r="AA190" i="39" a="1"/>
  <c r="AA190" i="39" s="1"/>
  <c r="AA182" i="39" a="1"/>
  <c r="AA182" i="39" s="1"/>
  <c r="AA166" i="39" a="1"/>
  <c r="AA166" i="39" s="1"/>
  <c r="AA150" i="39" a="1"/>
  <c r="AA150" i="39" s="1"/>
  <c r="AA134" i="39" a="1"/>
  <c r="AA134" i="39" s="1"/>
  <c r="AA126" i="39" a="1"/>
  <c r="AA126" i="39" s="1"/>
  <c r="AA118" i="39" a="1"/>
  <c r="AA118" i="39" s="1"/>
  <c r="AA94" i="39" a="1"/>
  <c r="AA94" i="39" s="1"/>
  <c r="AE266" i="39"/>
  <c r="AE258" i="39"/>
  <c r="AE250" i="39"/>
  <c r="AE242" i="39"/>
  <c r="AE234" i="39"/>
  <c r="AE226" i="39"/>
  <c r="AE218" i="39"/>
  <c r="AE210" i="39"/>
  <c r="AE202" i="39"/>
  <c r="AE194" i="39"/>
  <c r="AE186" i="39"/>
  <c r="AE178" i="39"/>
  <c r="AE170" i="39"/>
  <c r="AE162" i="39"/>
  <c r="AE154" i="39"/>
  <c r="AE146" i="39"/>
  <c r="AE138" i="39"/>
  <c r="AE130" i="39"/>
  <c r="AE122" i="39"/>
  <c r="AE114" i="39"/>
  <c r="AE106" i="39"/>
  <c r="AE98" i="39"/>
  <c r="AA82" i="39" a="1"/>
  <c r="AA82" i="39" s="1"/>
  <c r="AA74" i="39" a="1"/>
  <c r="AA74" i="39" s="1"/>
  <c r="AA66" i="39" a="1"/>
  <c r="AA66" i="39" s="1"/>
  <c r="AA58" i="39" a="1"/>
  <c r="AA58" i="39" s="1"/>
  <c r="AA89" i="39" a="1"/>
  <c r="AA89" i="39" s="1"/>
  <c r="AA81" i="39" a="1"/>
  <c r="AA81" i="39" s="1"/>
  <c r="AA73" i="39" a="1"/>
  <c r="AA73" i="39" s="1"/>
  <c r="AA50" i="39" a="1"/>
  <c r="AA50" i="39" s="1"/>
  <c r="AA34" i="39" a="1"/>
  <c r="AA34" i="39" s="1"/>
  <c r="AE26" i="39"/>
  <c r="AA18" i="39" a="1"/>
  <c r="AA18" i="39" s="1"/>
  <c r="AA88" i="39" a="1"/>
  <c r="AA88" i="39" s="1"/>
  <c r="AA80" i="39" a="1"/>
  <c r="AA80" i="39" s="1"/>
  <c r="AA72" i="39" a="1"/>
  <c r="AA72" i="39" s="1"/>
  <c r="AA49" i="39" a="1"/>
  <c r="AA49" i="39" s="1"/>
  <c r="AA33" i="39" a="1"/>
  <c r="AA33" i="39" s="1"/>
  <c r="AA25" i="39" a="1"/>
  <c r="AA25" i="39" s="1"/>
  <c r="AA17" i="39" a="1"/>
  <c r="AA17" i="39" s="1"/>
  <c r="AA15" i="39" a="1"/>
  <c r="AA15" i="39" s="1"/>
  <c r="AA87" i="39" a="1"/>
  <c r="AA87" i="39" s="1"/>
  <c r="AA79" i="39" a="1"/>
  <c r="AA79" i="39" s="1"/>
  <c r="AA71" i="39" a="1"/>
  <c r="AA71" i="39" s="1"/>
  <c r="AE63" i="39"/>
  <c r="AA56" i="39" a="1"/>
  <c r="AA56" i="39" s="1"/>
  <c r="AA40" i="39" a="1"/>
  <c r="AA40" i="39" s="1"/>
  <c r="AE91" i="39"/>
  <c r="AA91" i="39" a="1"/>
  <c r="AA91" i="39" s="1"/>
  <c r="AA48" i="39" a="1"/>
  <c r="AA48" i="39" s="1"/>
  <c r="AA42" i="39" a="1"/>
  <c r="AA42" i="39" s="1"/>
  <c r="AE52" i="39"/>
  <c r="AA21" i="39" a="1"/>
  <c r="AA21" i="39" s="1"/>
  <c r="AE46" i="39"/>
  <c r="AE18" i="39"/>
  <c r="AA32" i="39" a="1"/>
  <c r="AA32" i="39" s="1"/>
  <c r="AA86" i="39" a="1"/>
  <c r="AA86" i="39" s="1"/>
  <c r="AE86" i="39"/>
  <c r="AE29" i="39"/>
  <c r="AE20" i="39"/>
  <c r="AE85" i="39"/>
  <c r="AE19" i="39"/>
  <c r="AA24" i="39" a="1"/>
  <c r="AA24" i="39" s="1"/>
  <c r="AA78" i="39" a="1"/>
  <c r="AA78" i="39" s="1"/>
  <c r="AE78" i="39"/>
  <c r="AA37" i="39" a="1"/>
  <c r="AA37" i="39" s="1"/>
  <c r="AE37" i="39"/>
  <c r="AA84" i="39" a="1"/>
  <c r="AA84" i="39" s="1"/>
  <c r="AE84" i="39"/>
  <c r="AA90" i="39" a="1"/>
  <c r="AA90" i="39" s="1"/>
  <c r="AE77" i="39"/>
  <c r="AE62" i="39"/>
  <c r="AE61" i="39"/>
  <c r="AE59" i="39"/>
  <c r="AE58" i="39"/>
  <c r="AA26" i="39" a="1"/>
  <c r="AA26" i="39" s="1"/>
  <c r="AE82" i="39"/>
  <c r="AE34" i="39"/>
  <c r="AA47" i="39" a="1"/>
  <c r="AA47" i="39" s="1"/>
  <c r="AE60" i="39"/>
  <c r="AE36" i="39"/>
  <c r="AE83" i="39"/>
  <c r="AE35" i="39"/>
  <c r="AE54" i="39"/>
  <c r="AA65" i="39" a="1"/>
  <c r="AA65" i="39" s="1"/>
  <c r="AE65" i="39"/>
  <c r="AA70" i="39" a="1"/>
  <c r="AA70" i="39" s="1"/>
  <c r="AE70" i="39"/>
  <c r="AA41" i="39" a="1"/>
  <c r="AA41" i="39" s="1"/>
  <c r="AE41" i="39"/>
  <c r="AA22" i="39" a="1"/>
  <c r="AA22" i="39" s="1"/>
  <c r="AE22" i="39"/>
  <c r="AA64" i="39" a="1"/>
  <c r="AA64" i="39" s="1"/>
  <c r="AE64" i="39"/>
  <c r="AA76" i="39" a="1"/>
  <c r="AA76" i="39" s="1"/>
  <c r="AE76" i="39"/>
  <c r="AA16" i="39" a="1"/>
  <c r="AA16" i="39" s="1"/>
  <c r="AE16" i="39"/>
  <c r="AA53" i="39" a="1"/>
  <c r="AA53" i="39" s="1"/>
  <c r="AE53" i="39"/>
  <c r="AA28" i="39" a="1"/>
  <c r="AA28" i="39" s="1"/>
  <c r="AE28" i="39"/>
  <c r="AE69" i="39"/>
  <c r="AE45" i="39"/>
  <c r="AE21" i="39"/>
  <c r="AE68" i="39"/>
  <c r="AE66" i="39"/>
  <c r="AA63" i="39" a="1"/>
  <c r="AA63" i="39" s="1"/>
  <c r="AE89" i="39"/>
  <c r="AE81" i="39"/>
  <c r="AE73" i="39"/>
  <c r="AE49" i="39"/>
  <c r="AE33" i="39"/>
  <c r="AE25" i="39"/>
  <c r="AE17" i="39"/>
  <c r="AE75" i="39"/>
  <c r="AE67" i="39"/>
  <c r="AE90" i="39"/>
  <c r="AE50" i="39"/>
  <c r="AE42" i="39"/>
  <c r="AE88" i="39"/>
  <c r="AE80" i="39"/>
  <c r="AE72" i="39"/>
  <c r="AE56" i="39"/>
  <c r="AE48" i="39"/>
  <c r="AE40" i="39"/>
  <c r="AE32" i="39"/>
  <c r="AE24" i="39"/>
  <c r="AA51" i="39" a="1"/>
  <c r="AA51" i="39" s="1"/>
  <c r="AE44" i="39"/>
  <c r="AE43" i="39"/>
  <c r="AE27" i="39"/>
  <c r="AE74" i="39"/>
  <c r="AE87" i="39"/>
  <c r="AE79" i="39"/>
  <c r="AE71" i="39"/>
  <c r="AE55" i="39"/>
  <c r="AE39" i="39"/>
  <c r="AE31" i="39"/>
  <c r="AE23" i="39"/>
  <c r="AE15" i="39"/>
  <c r="AE110" i="39" l="1"/>
  <c r="AE142" i="39"/>
  <c r="AA238" i="39" a="1"/>
  <c r="AA238" i="39" s="1"/>
  <c r="AE206" i="39"/>
  <c r="AE158" i="39"/>
  <c r="AE269" i="39"/>
  <c r="AA165" i="39" a="1"/>
  <c r="AA165" i="39" s="1"/>
  <c r="AA245" i="39" a="1"/>
  <c r="AA245" i="39" s="1"/>
  <c r="AE102" i="39"/>
  <c r="AE245" i="39"/>
  <c r="AA102" i="39" a="1"/>
  <c r="AA102" i="39" s="1"/>
  <c r="AA30" i="39" a="1"/>
  <c r="AA30" i="39" s="1"/>
  <c r="AE254" i="39"/>
  <c r="AA254" i="39" a="1"/>
  <c r="AA254" i="39" s="1"/>
  <c r="AA38" i="39" a="1"/>
  <c r="AA38" i="39" s="1"/>
  <c r="AE174" i="39"/>
  <c r="AE101" i="39"/>
  <c r="AA101" i="39" a="1"/>
  <c r="AA101" i="39" s="1"/>
  <c r="AS323" i="48" l="1"/>
  <c r="AS324" i="48"/>
  <c r="AS313" i="48"/>
  <c r="AS314" i="48"/>
  <c r="L324" i="55"/>
  <c r="L314" i="55"/>
  <c r="L323" i="55"/>
  <c r="L313" i="55"/>
  <c r="AS174" i="48" l="1"/>
  <c r="L172" i="55"/>
  <c r="S445" i="55"/>
  <c r="G57" i="36"/>
  <c r="G56" i="36"/>
  <c r="X130" i="45"/>
  <c r="X131" i="45"/>
  <c r="X132" i="45"/>
  <c r="X133" i="45"/>
  <c r="X134" i="45"/>
  <c r="X135" i="45"/>
  <c r="X136" i="45"/>
  <c r="X137" i="45"/>
  <c r="X138" i="45"/>
  <c r="X139" i="45"/>
  <c r="X140" i="45"/>
  <c r="X141" i="45"/>
  <c r="X142" i="45"/>
  <c r="X143" i="45"/>
  <c r="X144" i="45"/>
  <c r="X145" i="45"/>
  <c r="X146" i="45"/>
  <c r="X147" i="45"/>
  <c r="X148" i="45"/>
  <c r="X149" i="45"/>
  <c r="X150" i="45"/>
  <c r="X151" i="45"/>
  <c r="X152" i="45"/>
  <c r="X153" i="45"/>
  <c r="X154" i="45"/>
  <c r="X155" i="45"/>
  <c r="X156" i="45"/>
  <c r="X157" i="45"/>
  <c r="X158" i="45"/>
  <c r="X159" i="45"/>
  <c r="X160" i="45"/>
  <c r="X161" i="45"/>
  <c r="X162" i="45"/>
  <c r="X163" i="45"/>
  <c r="X164" i="45"/>
  <c r="X165" i="45"/>
  <c r="X166" i="45"/>
  <c r="X167" i="45"/>
  <c r="X168" i="45"/>
  <c r="X169" i="45"/>
  <c r="X170" i="45"/>
  <c r="X171" i="45"/>
  <c r="X172" i="45"/>
  <c r="X173" i="45"/>
  <c r="X174" i="45"/>
  <c r="X175" i="45"/>
  <c r="X176" i="45"/>
  <c r="X177" i="45"/>
  <c r="X178" i="45"/>
  <c r="X179" i="45"/>
  <c r="X180" i="45"/>
  <c r="X181" i="45"/>
  <c r="X182" i="45"/>
  <c r="X183" i="45"/>
  <c r="X184" i="45"/>
  <c r="X185" i="45"/>
  <c r="X186" i="45"/>
  <c r="X187" i="45"/>
  <c r="X188" i="45"/>
  <c r="X189" i="45"/>
  <c r="X190" i="45"/>
  <c r="X191" i="45"/>
  <c r="X192" i="45"/>
  <c r="X193" i="45"/>
  <c r="X194" i="45"/>
  <c r="X195" i="45"/>
  <c r="X196" i="45"/>
  <c r="X197" i="45"/>
  <c r="X198" i="45"/>
  <c r="X199" i="45"/>
  <c r="X200" i="45"/>
  <c r="X201" i="45"/>
  <c r="X202" i="45"/>
  <c r="X203" i="45"/>
  <c r="X204" i="45"/>
  <c r="X205" i="45"/>
  <c r="X206" i="45"/>
  <c r="X207" i="45"/>
  <c r="X208" i="45"/>
  <c r="X209" i="45"/>
  <c r="X210" i="45"/>
  <c r="X211" i="45"/>
  <c r="X212" i="45"/>
  <c r="X213" i="45"/>
  <c r="X214" i="45"/>
  <c r="X215" i="45"/>
  <c r="X216" i="45"/>
  <c r="X217" i="45"/>
  <c r="X218" i="45"/>
  <c r="X219" i="45"/>
  <c r="X220" i="45"/>
  <c r="X221" i="45"/>
  <c r="X222" i="45"/>
  <c r="X223" i="45"/>
  <c r="X224" i="45"/>
  <c r="X225" i="45"/>
  <c r="X226" i="45"/>
  <c r="X227" i="45"/>
  <c r="X228" i="45"/>
  <c r="X229" i="45"/>
  <c r="X230" i="45"/>
  <c r="X231" i="45"/>
  <c r="X232" i="45"/>
  <c r="X233" i="45"/>
  <c r="X234" i="45"/>
  <c r="X235" i="45"/>
  <c r="X236" i="45"/>
  <c r="X237" i="45"/>
  <c r="X238" i="45"/>
  <c r="X239" i="45"/>
  <c r="X240" i="45"/>
  <c r="X241" i="45"/>
  <c r="X242" i="45"/>
  <c r="X243" i="45"/>
  <c r="X244" i="45"/>
  <c r="X245" i="45"/>
  <c r="X246" i="45"/>
  <c r="X247" i="45"/>
  <c r="X248" i="45"/>
  <c r="X129" i="45"/>
  <c r="V121" i="56"/>
  <c r="H55" i="36"/>
  <c r="V122" i="56"/>
  <c r="V123" i="56"/>
  <c r="V124" i="56"/>
  <c r="V125" i="56"/>
  <c r="V126" i="56"/>
  <c r="V127" i="56"/>
  <c r="V128" i="56"/>
  <c r="V129" i="56"/>
  <c r="V130" i="56"/>
  <c r="V131" i="56"/>
  <c r="V132" i="56"/>
  <c r="V133" i="56"/>
  <c r="V134" i="56"/>
  <c r="V135" i="56"/>
  <c r="V136" i="56"/>
  <c r="V137" i="56"/>
  <c r="V138" i="56"/>
  <c r="V139" i="56"/>
  <c r="V140" i="56"/>
  <c r="V141" i="56"/>
  <c r="V142" i="56"/>
  <c r="V143" i="56"/>
  <c r="V144" i="56"/>
  <c r="V145" i="56"/>
  <c r="V146" i="56"/>
  <c r="V147" i="56"/>
  <c r="V148" i="56"/>
  <c r="V149" i="56"/>
  <c r="V150" i="56"/>
  <c r="V151" i="56"/>
  <c r="V152" i="56"/>
  <c r="V153" i="56"/>
  <c r="V154" i="56"/>
  <c r="V155" i="56"/>
  <c r="V156" i="56"/>
  <c r="V157" i="56"/>
  <c r="V158" i="56"/>
  <c r="V159" i="56"/>
  <c r="V160" i="56"/>
  <c r="V161" i="56"/>
  <c r="V162" i="56"/>
  <c r="V163" i="56"/>
  <c r="V164" i="56"/>
  <c r="V165" i="56"/>
  <c r="V166" i="56"/>
  <c r="V167" i="56"/>
  <c r="V168" i="56"/>
  <c r="V169" i="56"/>
  <c r="V170" i="56"/>
  <c r="V171" i="56"/>
  <c r="V172" i="56"/>
  <c r="V173" i="56"/>
  <c r="V174" i="56"/>
  <c r="V175" i="56"/>
  <c r="V176" i="56"/>
  <c r="V177" i="56"/>
  <c r="V178" i="56"/>
  <c r="V179" i="56"/>
  <c r="V180" i="56"/>
  <c r="V181" i="56"/>
  <c r="V182" i="56"/>
  <c r="V183" i="56"/>
  <c r="V184" i="56"/>
  <c r="V185" i="56"/>
  <c r="V186" i="56"/>
  <c r="V187" i="56"/>
  <c r="V188" i="56"/>
  <c r="V189" i="56"/>
  <c r="V190" i="56"/>
  <c r="V191" i="56"/>
  <c r="V192" i="56"/>
  <c r="V193" i="56"/>
  <c r="V194" i="56"/>
  <c r="V195" i="56"/>
  <c r="V196" i="56"/>
  <c r="V197" i="56"/>
  <c r="V198" i="56"/>
  <c r="V199" i="56"/>
  <c r="V200" i="56"/>
  <c r="V201" i="56"/>
  <c r="V202" i="56"/>
  <c r="V203" i="56"/>
  <c r="V204" i="56"/>
  <c r="V205" i="56"/>
  <c r="V206" i="56"/>
  <c r="V207" i="56"/>
  <c r="V208" i="56"/>
  <c r="V209" i="56"/>
  <c r="V210" i="56"/>
  <c r="V211" i="56"/>
  <c r="V212" i="56"/>
  <c r="V213" i="56"/>
  <c r="V214" i="56"/>
  <c r="V215" i="56"/>
  <c r="V216" i="56"/>
  <c r="V217" i="56"/>
  <c r="V218" i="56"/>
  <c r="V219" i="56"/>
  <c r="V220" i="56"/>
  <c r="V221" i="56"/>
  <c r="V16" i="56"/>
  <c r="V17" i="56"/>
  <c r="V18" i="56"/>
  <c r="V19" i="56"/>
  <c r="V20" i="56"/>
  <c r="V21" i="56"/>
  <c r="V22" i="56"/>
  <c r="V23" i="56"/>
  <c r="V24" i="56"/>
  <c r="V25" i="56"/>
  <c r="V26" i="56"/>
  <c r="V27" i="56"/>
  <c r="V28" i="56"/>
  <c r="V29" i="56"/>
  <c r="V30" i="56"/>
  <c r="V31" i="56"/>
  <c r="V32" i="56"/>
  <c r="V33" i="56"/>
  <c r="V34" i="56"/>
  <c r="V35" i="56"/>
  <c r="V36" i="56"/>
  <c r="V37" i="56"/>
  <c r="V38" i="56"/>
  <c r="V39" i="56"/>
  <c r="V40" i="56"/>
  <c r="V41" i="56"/>
  <c r="V42" i="56"/>
  <c r="V43" i="56"/>
  <c r="V44" i="56"/>
  <c r="V45" i="56"/>
  <c r="V46" i="56"/>
  <c r="V47" i="56"/>
  <c r="V48" i="56"/>
  <c r="V49" i="56"/>
  <c r="V50" i="56"/>
  <c r="V51" i="56"/>
  <c r="V52" i="56"/>
  <c r="V53" i="56"/>
  <c r="V54" i="56"/>
  <c r="V55" i="56"/>
  <c r="V56" i="56"/>
  <c r="V57" i="56"/>
  <c r="V58" i="56"/>
  <c r="V59" i="56"/>
  <c r="V60" i="56"/>
  <c r="V61" i="56"/>
  <c r="V62" i="56"/>
  <c r="V63" i="56"/>
  <c r="V64" i="56"/>
  <c r="V65" i="56"/>
  <c r="V66" i="56"/>
  <c r="V67" i="56"/>
  <c r="V68" i="56"/>
  <c r="V69" i="56"/>
  <c r="V70" i="56"/>
  <c r="V71" i="56"/>
  <c r="V72" i="56"/>
  <c r="V73" i="56"/>
  <c r="V74" i="56"/>
  <c r="V75" i="56"/>
  <c r="V76" i="56"/>
  <c r="V77" i="56"/>
  <c r="V78" i="56"/>
  <c r="V79" i="56"/>
  <c r="V80" i="56"/>
  <c r="V81" i="56"/>
  <c r="V82" i="56"/>
  <c r="V83" i="56"/>
  <c r="V84" i="56"/>
  <c r="V85" i="56"/>
  <c r="V86" i="56"/>
  <c r="V87" i="56"/>
  <c r="V88" i="56"/>
  <c r="V89" i="56"/>
  <c r="V90" i="56"/>
  <c r="V91" i="56"/>
  <c r="V92" i="56"/>
  <c r="V93" i="56"/>
  <c r="V94" i="56"/>
  <c r="V95" i="56"/>
  <c r="V96" i="56"/>
  <c r="V97" i="56"/>
  <c r="V98" i="56"/>
  <c r="V99" i="56"/>
  <c r="V100" i="56"/>
  <c r="V101" i="56"/>
  <c r="V102" i="56"/>
  <c r="V103" i="56"/>
  <c r="V104" i="56"/>
  <c r="V105" i="56"/>
  <c r="V106" i="56"/>
  <c r="V107" i="56"/>
  <c r="V108" i="56"/>
  <c r="V109" i="56"/>
  <c r="V110" i="56"/>
  <c r="V111" i="56"/>
  <c r="V112" i="56"/>
  <c r="V113" i="56"/>
  <c r="V114" i="56"/>
  <c r="V115" i="56"/>
  <c r="V15" i="56"/>
  <c r="M121" i="56"/>
  <c r="M122" i="56"/>
  <c r="M123" i="56"/>
  <c r="M124" i="56"/>
  <c r="M125" i="56"/>
  <c r="M126" i="56"/>
  <c r="M127" i="56"/>
  <c r="M128" i="56"/>
  <c r="M129" i="56"/>
  <c r="M130" i="56"/>
  <c r="M131" i="56"/>
  <c r="M132" i="56"/>
  <c r="M133" i="56"/>
  <c r="M134" i="56"/>
  <c r="M135" i="56"/>
  <c r="M136" i="56"/>
  <c r="M137" i="56"/>
  <c r="M138" i="56"/>
  <c r="M139" i="56"/>
  <c r="M140" i="56"/>
  <c r="M141" i="56"/>
  <c r="M142" i="56"/>
  <c r="M143" i="56"/>
  <c r="M144" i="56"/>
  <c r="M145" i="56"/>
  <c r="M146" i="56"/>
  <c r="M147" i="56"/>
  <c r="M148" i="56"/>
  <c r="M149" i="56"/>
  <c r="M150" i="56"/>
  <c r="M151" i="56"/>
  <c r="M152" i="56"/>
  <c r="M153" i="56"/>
  <c r="M154" i="56"/>
  <c r="M155" i="56"/>
  <c r="M156" i="56"/>
  <c r="M157" i="56"/>
  <c r="M158" i="56"/>
  <c r="M159" i="56"/>
  <c r="M160" i="56"/>
  <c r="M161" i="56"/>
  <c r="M162" i="56"/>
  <c r="M163" i="56"/>
  <c r="M164" i="56"/>
  <c r="M165" i="56"/>
  <c r="M166" i="56"/>
  <c r="M167" i="56"/>
  <c r="M168" i="56"/>
  <c r="M169" i="56"/>
  <c r="M170" i="56"/>
  <c r="M171" i="56"/>
  <c r="M172" i="56"/>
  <c r="M173" i="56"/>
  <c r="M174" i="56"/>
  <c r="M175" i="56"/>
  <c r="M176" i="56"/>
  <c r="M177" i="56"/>
  <c r="M178" i="56"/>
  <c r="M179" i="56"/>
  <c r="M180" i="56"/>
  <c r="M181" i="56"/>
  <c r="M182" i="56"/>
  <c r="M183" i="56"/>
  <c r="M184" i="56"/>
  <c r="M185" i="56"/>
  <c r="M186" i="56"/>
  <c r="M187" i="56"/>
  <c r="M188" i="56"/>
  <c r="M189" i="56"/>
  <c r="M190" i="56"/>
  <c r="M191" i="56"/>
  <c r="M192" i="56"/>
  <c r="M193" i="56"/>
  <c r="M194" i="56"/>
  <c r="M195" i="56"/>
  <c r="M196" i="56"/>
  <c r="M197" i="56"/>
  <c r="M198" i="56"/>
  <c r="M199" i="56"/>
  <c r="M200" i="56"/>
  <c r="M201" i="56"/>
  <c r="M202" i="56"/>
  <c r="M203" i="56"/>
  <c r="M204" i="56"/>
  <c r="M205" i="56"/>
  <c r="M206" i="56"/>
  <c r="M207" i="56"/>
  <c r="M208" i="56"/>
  <c r="M209" i="56"/>
  <c r="M210" i="56"/>
  <c r="M211" i="56"/>
  <c r="M212" i="56"/>
  <c r="M213" i="56"/>
  <c r="M214" i="56"/>
  <c r="M215" i="56"/>
  <c r="M216" i="56"/>
  <c r="M217" i="56"/>
  <c r="M218" i="56"/>
  <c r="M219" i="56"/>
  <c r="M220" i="56"/>
  <c r="M221" i="56"/>
  <c r="N15" i="56"/>
  <c r="I56" i="36" s="1" a="1"/>
  <c r="I56" i="36" s="1"/>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111" i="56"/>
  <c r="N112" i="56"/>
  <c r="N113" i="56"/>
  <c r="N114" i="56"/>
  <c r="N115" i="56"/>
  <c r="P208" i="55"/>
  <c r="P207" i="55"/>
  <c r="P206" i="55"/>
  <c r="P204" i="55"/>
  <c r="P203" i="55"/>
  <c r="P202" i="55"/>
  <c r="P200" i="55"/>
  <c r="P199" i="55"/>
  <c r="P198" i="55"/>
  <c r="P195" i="55"/>
  <c r="P194" i="55"/>
  <c r="P190" i="55"/>
  <c r="P188" i="55"/>
  <c r="P185" i="55"/>
  <c r="P183" i="55"/>
  <c r="P180" i="55"/>
  <c r="P178" i="55"/>
  <c r="P175" i="55"/>
  <c r="P173" i="55"/>
  <c r="AS12" i="48" l="1"/>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S100" i="48"/>
  <c r="AS101" i="48"/>
  <c r="AS102" i="48"/>
  <c r="AS103" i="48"/>
  <c r="AS104" i="48"/>
  <c r="AS105" i="48"/>
  <c r="AS106" i="48"/>
  <c r="AS107" i="48"/>
  <c r="AS108" i="48"/>
  <c r="AS109" i="48"/>
  <c r="AS110" i="48"/>
  <c r="AS111" i="48"/>
  <c r="AS112" i="48"/>
  <c r="AS113" i="48"/>
  <c r="AS114" i="48"/>
  <c r="AS115" i="48"/>
  <c r="AS116" i="48"/>
  <c r="AS117" i="48"/>
  <c r="AS118" i="48"/>
  <c r="AS119" i="48"/>
  <c r="AS120" i="48"/>
  <c r="AS121" i="48"/>
  <c r="AS122" i="48"/>
  <c r="AS123" i="48"/>
  <c r="AS124" i="48"/>
  <c r="AS125" i="48"/>
  <c r="AS126" i="48"/>
  <c r="AS127" i="48"/>
  <c r="AS128" i="48"/>
  <c r="AS129" i="48"/>
  <c r="AS130" i="48"/>
  <c r="AS131" i="48"/>
  <c r="AS132" i="48"/>
  <c r="AS133" i="48"/>
  <c r="AS134" i="48"/>
  <c r="AS135" i="48"/>
  <c r="AS136" i="48"/>
  <c r="AS137" i="48"/>
  <c r="AS138" i="48"/>
  <c r="AS139" i="48"/>
  <c r="AS140" i="48"/>
  <c r="AS141" i="48"/>
  <c r="AS142" i="48"/>
  <c r="AS143" i="48"/>
  <c r="AS144" i="48"/>
  <c r="AS145" i="48"/>
  <c r="AS146" i="48"/>
  <c r="AS147" i="48"/>
  <c r="AS148" i="48"/>
  <c r="AS149" i="48"/>
  <c r="AS150" i="48"/>
  <c r="AS151" i="48"/>
  <c r="AS152" i="48"/>
  <c r="AS153" i="48"/>
  <c r="AS154" i="48"/>
  <c r="AS155" i="48"/>
  <c r="AS156" i="48"/>
  <c r="AS157" i="48"/>
  <c r="AS158" i="48"/>
  <c r="AS159" i="48"/>
  <c r="AS160" i="48"/>
  <c r="AS161" i="48"/>
  <c r="AS162" i="48"/>
  <c r="AS163" i="48"/>
  <c r="AS164" i="48"/>
  <c r="AS165" i="48"/>
  <c r="AS166" i="48"/>
  <c r="AS167" i="48"/>
  <c r="AS168" i="48"/>
  <c r="AS169" i="48"/>
  <c r="AS170" i="48"/>
  <c r="AS171" i="48"/>
  <c r="AS172" i="48"/>
  <c r="AS173" i="48"/>
  <c r="AS175" i="48"/>
  <c r="AS176" i="48"/>
  <c r="AS177" i="48"/>
  <c r="AS178" i="48"/>
  <c r="AS179" i="48"/>
  <c r="AS180" i="48"/>
  <c r="AS181" i="48"/>
  <c r="AS182" i="48"/>
  <c r="AS183" i="48"/>
  <c r="AS184" i="48"/>
  <c r="AS185" i="48"/>
  <c r="AS186" i="48"/>
  <c r="AS187" i="48"/>
  <c r="AS188" i="48"/>
  <c r="AS189" i="48"/>
  <c r="AS190" i="48"/>
  <c r="AS191" i="48"/>
  <c r="AS192" i="48"/>
  <c r="AS193" i="48"/>
  <c r="AS194" i="48"/>
  <c r="AS195" i="48"/>
  <c r="AS196" i="48"/>
  <c r="AS197" i="48"/>
  <c r="AS198" i="48"/>
  <c r="AS199" i="48"/>
  <c r="AS200" i="48"/>
  <c r="AS201" i="48"/>
  <c r="AS202" i="48"/>
  <c r="AS203" i="48"/>
  <c r="AS204" i="48"/>
  <c r="AS205" i="48"/>
  <c r="AS206" i="48"/>
  <c r="AS207" i="48"/>
  <c r="AS208" i="48"/>
  <c r="AS209" i="48"/>
  <c r="AS210" i="48"/>
  <c r="AS211" i="48"/>
  <c r="AS212" i="48"/>
  <c r="AS213" i="48"/>
  <c r="AS214" i="48"/>
  <c r="AS215" i="48"/>
  <c r="AS216" i="48"/>
  <c r="AS217" i="48"/>
  <c r="AS218" i="48"/>
  <c r="AS219" i="48"/>
  <c r="AS220" i="48"/>
  <c r="AS221" i="48"/>
  <c r="AS222" i="48"/>
  <c r="AS223" i="48"/>
  <c r="AS224" i="48"/>
  <c r="AS225" i="48"/>
  <c r="AS226" i="48"/>
  <c r="AS227" i="48"/>
  <c r="AS228" i="48"/>
  <c r="AS229" i="48"/>
  <c r="AS230" i="48"/>
  <c r="AS231" i="48"/>
  <c r="AS232" i="48"/>
  <c r="AS233" i="48"/>
  <c r="AS234" i="48"/>
  <c r="AS235" i="48"/>
  <c r="AS236" i="48"/>
  <c r="AS237" i="48"/>
  <c r="AS238" i="48"/>
  <c r="AS239" i="48"/>
  <c r="AS240" i="48"/>
  <c r="AS241" i="48"/>
  <c r="AS242" i="48"/>
  <c r="AS243" i="48"/>
  <c r="AS244" i="48"/>
  <c r="AS245" i="48"/>
  <c r="AS246" i="48"/>
  <c r="AS247" i="48"/>
  <c r="AS248" i="48"/>
  <c r="AS249" i="48"/>
  <c r="AS250" i="48"/>
  <c r="AS251" i="48"/>
  <c r="AS252" i="48"/>
  <c r="AS253" i="48"/>
  <c r="AS254" i="48"/>
  <c r="AS255" i="48"/>
  <c r="AS256" i="48"/>
  <c r="AS257" i="48"/>
  <c r="AS258" i="48"/>
  <c r="AS259" i="48"/>
  <c r="AS260" i="48"/>
  <c r="AS261" i="48"/>
  <c r="AS262" i="48"/>
  <c r="AS263" i="48"/>
  <c r="AS264" i="48"/>
  <c r="AS265" i="48"/>
  <c r="AS266" i="48"/>
  <c r="AS267" i="48"/>
  <c r="AS268" i="48"/>
  <c r="AS269" i="48"/>
  <c r="AS270" i="48"/>
  <c r="AS271" i="48"/>
  <c r="AS272" i="48"/>
  <c r="AS273" i="48"/>
  <c r="AS274" i="48"/>
  <c r="AS275" i="48"/>
  <c r="AS276" i="48"/>
  <c r="AS277" i="48"/>
  <c r="AS278" i="48"/>
  <c r="AS279" i="48"/>
  <c r="AS280" i="48"/>
  <c r="AS281" i="48"/>
  <c r="AS282" i="48"/>
  <c r="AS283" i="48"/>
  <c r="AS284" i="48"/>
  <c r="AS285" i="48"/>
  <c r="AS286" i="48"/>
  <c r="AS287" i="48"/>
  <c r="AS288" i="48"/>
  <c r="AS289" i="48"/>
  <c r="AS290" i="48"/>
  <c r="AS291" i="48"/>
  <c r="AS292" i="48"/>
  <c r="AS293" i="48"/>
  <c r="AS294" i="48"/>
  <c r="AS295" i="48"/>
  <c r="AS296" i="48"/>
  <c r="AS297" i="48"/>
  <c r="AS298" i="48"/>
  <c r="AS299" i="48"/>
  <c r="AS300" i="48"/>
  <c r="AS301" i="48"/>
  <c r="AS302" i="48"/>
  <c r="AS303" i="48"/>
  <c r="AS304" i="48"/>
  <c r="AS305" i="48"/>
  <c r="AS306" i="48"/>
  <c r="AS307" i="48"/>
  <c r="AS308" i="48"/>
  <c r="AS309" i="48"/>
  <c r="AS310" i="48"/>
  <c r="AS311" i="48"/>
  <c r="AS312" i="48"/>
  <c r="AS315" i="48"/>
  <c r="AS316" i="48"/>
  <c r="AS317" i="48"/>
  <c r="AS318" i="48"/>
  <c r="AS319" i="48"/>
  <c r="AS320" i="48"/>
  <c r="AS321" i="48"/>
  <c r="AS322" i="48"/>
  <c r="AS325" i="48"/>
  <c r="AS326" i="48"/>
  <c r="AS327" i="48"/>
  <c r="AS328" i="48"/>
  <c r="AS329" i="48"/>
  <c r="AS330" i="48"/>
  <c r="AS331" i="48"/>
  <c r="AS332" i="48"/>
  <c r="AS333" i="48"/>
  <c r="AS334" i="48"/>
  <c r="AS335" i="48"/>
  <c r="AS336" i="48"/>
  <c r="AS337" i="48"/>
  <c r="AS338" i="48"/>
  <c r="AS339" i="48"/>
  <c r="AS340" i="48"/>
  <c r="AS341" i="48"/>
  <c r="AS342" i="48"/>
  <c r="AS343" i="48"/>
  <c r="AS344" i="48"/>
  <c r="AS345" i="48"/>
  <c r="AS346" i="48"/>
  <c r="AS347" i="48"/>
  <c r="AS348" i="48"/>
  <c r="AS349" i="48"/>
  <c r="AS350" i="48"/>
  <c r="AS351" i="48"/>
  <c r="AS352" i="48"/>
  <c r="AS353" i="48"/>
  <c r="AS354" i="48"/>
  <c r="AS355" i="48"/>
  <c r="AS356" i="48"/>
  <c r="AS357" i="48"/>
  <c r="AS358" i="48"/>
  <c r="AS359" i="48"/>
  <c r="AS360" i="48"/>
  <c r="AS361" i="48"/>
  <c r="AS362" i="48"/>
  <c r="AS363" i="48"/>
  <c r="AS364" i="48"/>
  <c r="AS365" i="48"/>
  <c r="AS366" i="48"/>
  <c r="AS367" i="48"/>
  <c r="AS368" i="48"/>
  <c r="AS369" i="48"/>
  <c r="AS370" i="48"/>
  <c r="AS371" i="48"/>
  <c r="AS372" i="48"/>
  <c r="AS373" i="48"/>
  <c r="AS374" i="48"/>
  <c r="AS375" i="48"/>
  <c r="AS376" i="48"/>
  <c r="AS377" i="48"/>
  <c r="AS378" i="48"/>
  <c r="AS379" i="48"/>
  <c r="AS380" i="48"/>
  <c r="AS381" i="48"/>
  <c r="AS382" i="48"/>
  <c r="AS383" i="48"/>
  <c r="AS384" i="48"/>
  <c r="AS385" i="48"/>
  <c r="AS386" i="48"/>
  <c r="AS387" i="48"/>
  <c r="AS388" i="48"/>
  <c r="AS389" i="48"/>
  <c r="AS390" i="48"/>
  <c r="AS391" i="48"/>
  <c r="AS392" i="48"/>
  <c r="AS393" i="48"/>
  <c r="AS394" i="48"/>
  <c r="AS395" i="48"/>
  <c r="AS396" i="48"/>
  <c r="AS397" i="48"/>
  <c r="AS398" i="48"/>
  <c r="AS399" i="48"/>
  <c r="AS400" i="48"/>
  <c r="AS401" i="48"/>
  <c r="AS402" i="48"/>
  <c r="AS403" i="48"/>
  <c r="AS404" i="48"/>
  <c r="AS405" i="48"/>
  <c r="AS406" i="48"/>
  <c r="AS407" i="48"/>
  <c r="AS408" i="48"/>
  <c r="AS409" i="48"/>
  <c r="AS410" i="48"/>
  <c r="AS411" i="48"/>
  <c r="AS412" i="48"/>
  <c r="AS413" i="48"/>
  <c r="AS414" i="48"/>
  <c r="AS415" i="48"/>
  <c r="AS416" i="48"/>
  <c r="AS417" i="48"/>
  <c r="AS418" i="48"/>
  <c r="AS419" i="48"/>
  <c r="AS420" i="48"/>
  <c r="AS421" i="48"/>
  <c r="AS422" i="48"/>
  <c r="AS423" i="48"/>
  <c r="AS424" i="48"/>
  <c r="AS425" i="48"/>
  <c r="AS426" i="48"/>
  <c r="AS427" i="48"/>
  <c r="AS428" i="48"/>
  <c r="AS429" i="48"/>
  <c r="AS430" i="48"/>
  <c r="AS431" i="48"/>
  <c r="AS432" i="48"/>
  <c r="AS433" i="48"/>
  <c r="AS434" i="48"/>
  <c r="AS435" i="48"/>
  <c r="AS436" i="48"/>
  <c r="AS437" i="48"/>
  <c r="AS438" i="48"/>
  <c r="AS439" i="48"/>
  <c r="AS440" i="48"/>
  <c r="AS441" i="48"/>
  <c r="AS442" i="48"/>
  <c r="AS443" i="48"/>
  <c r="AS444" i="48"/>
  <c r="AS445" i="48"/>
  <c r="AS446" i="48"/>
  <c r="AS447" i="48"/>
  <c r="AS448" i="48"/>
  <c r="AS449" i="48"/>
  <c r="AS450" i="48"/>
  <c r="AS451" i="48"/>
  <c r="AS452" i="48"/>
  <c r="AS453" i="48"/>
  <c r="AS454" i="48"/>
  <c r="AS455" i="48"/>
  <c r="AS456" i="48"/>
  <c r="AS457" i="48"/>
  <c r="AS458" i="48"/>
  <c r="AS459" i="48"/>
  <c r="AS460" i="48"/>
  <c r="AS461" i="48"/>
  <c r="AS462" i="48"/>
  <c r="AS463" i="48"/>
  <c r="AS464" i="48"/>
  <c r="AS465" i="48"/>
  <c r="AS466" i="48"/>
  <c r="AS467" i="48"/>
  <c r="AS468" i="48"/>
  <c r="AS469" i="48"/>
  <c r="AS470" i="48"/>
  <c r="AS471" i="48"/>
  <c r="AS472" i="48"/>
  <c r="AS473" i="48"/>
  <c r="AS474" i="48"/>
  <c r="AS475" i="48"/>
  <c r="AS476" i="48"/>
  <c r="AS477" i="48"/>
  <c r="AS478" i="48"/>
  <c r="AS479" i="48"/>
  <c r="AS480" i="48"/>
  <c r="AS481" i="48"/>
  <c r="AS482" i="48"/>
  <c r="AS483" i="48"/>
  <c r="AS484" i="48"/>
  <c r="AS485" i="48"/>
  <c r="AS486" i="48"/>
  <c r="AS487" i="48"/>
  <c r="AS488" i="48"/>
  <c r="AS489" i="48"/>
  <c r="AS490" i="48"/>
  <c r="AS491" i="48"/>
  <c r="AS492" i="48"/>
  <c r="AS493" i="48"/>
  <c r="AS494" i="48"/>
  <c r="AS495" i="48"/>
  <c r="AS496" i="48"/>
  <c r="AS497" i="48"/>
  <c r="AS498" i="48"/>
  <c r="AS499" i="48"/>
  <c r="AS500" i="48"/>
  <c r="AS501" i="48"/>
  <c r="AS502" i="48"/>
  <c r="AS503" i="48"/>
  <c r="AS504" i="48"/>
  <c r="AS505" i="48"/>
  <c r="AS506" i="48"/>
  <c r="AS507" i="48"/>
  <c r="AS508" i="48"/>
  <c r="AS509" i="48"/>
  <c r="AS510" i="48"/>
  <c r="AS511" i="48"/>
  <c r="AS512" i="48"/>
  <c r="AS513" i="48"/>
  <c r="AS514" i="48"/>
  <c r="AS515" i="48"/>
  <c r="AS516" i="48"/>
  <c r="AS517" i="48"/>
  <c r="AS518" i="48"/>
  <c r="AS519" i="48"/>
  <c r="AS520" i="48"/>
  <c r="AS521" i="48"/>
  <c r="AS522" i="48"/>
  <c r="AS523" i="48"/>
  <c r="AS524" i="48"/>
  <c r="AS525" i="48"/>
  <c r="AS526" i="48"/>
  <c r="AS527" i="48"/>
  <c r="AS528" i="48"/>
  <c r="AS529" i="48"/>
  <c r="AS530" i="48"/>
  <c r="AS531" i="48"/>
  <c r="AS532" i="48"/>
  <c r="AS533" i="48"/>
  <c r="AS534" i="48"/>
  <c r="AS535" i="48"/>
  <c r="AS536" i="48"/>
  <c r="AS537" i="48"/>
  <c r="AS538" i="48"/>
  <c r="AS539" i="48"/>
  <c r="AS540" i="48"/>
  <c r="AS541" i="48"/>
  <c r="AS542" i="48"/>
  <c r="AS543" i="48"/>
  <c r="AS544" i="48"/>
  <c r="AS545" i="48"/>
  <c r="AS546" i="48"/>
  <c r="AS547" i="48"/>
  <c r="AS548" i="48"/>
  <c r="AS549" i="48"/>
  <c r="AS550" i="48"/>
  <c r="AS551" i="48"/>
  <c r="AS552" i="48"/>
  <c r="AS553" i="48"/>
  <c r="AS554" i="48"/>
  <c r="AS555" i="48"/>
  <c r="AS556" i="48"/>
  <c r="AS557" i="48"/>
  <c r="AS558" i="48"/>
  <c r="AS559" i="48"/>
  <c r="AS560" i="48"/>
  <c r="AS561" i="48"/>
  <c r="AS562" i="48"/>
  <c r="AS563" i="48"/>
  <c r="AS564" i="48"/>
  <c r="AS565" i="48"/>
  <c r="AS566" i="48"/>
  <c r="AS567" i="48"/>
  <c r="AS568" i="48"/>
  <c r="AS569" i="48"/>
  <c r="AS570" i="48"/>
  <c r="AS571" i="48"/>
  <c r="AS572" i="48"/>
  <c r="AS573" i="48"/>
  <c r="AS574" i="48"/>
  <c r="AS575" i="48"/>
  <c r="AS576" i="48"/>
  <c r="AS577" i="48"/>
  <c r="AS578" i="48"/>
  <c r="AS579" i="48"/>
  <c r="AS580" i="48"/>
  <c r="AS581" i="48"/>
  <c r="AS582" i="48"/>
  <c r="AS583" i="48"/>
  <c r="AS584" i="48"/>
  <c r="AS585" i="48"/>
  <c r="AS586" i="48"/>
  <c r="AS587" i="48"/>
  <c r="AS588" i="48"/>
  <c r="AS589" i="48"/>
  <c r="AS590" i="48"/>
  <c r="AS591" i="48"/>
  <c r="AS592" i="48"/>
  <c r="AS593" i="48"/>
  <c r="AS594" i="48"/>
  <c r="AS595" i="48"/>
  <c r="AS596" i="48"/>
  <c r="AS597" i="48"/>
  <c r="AS598" i="48"/>
  <c r="AS599" i="48"/>
  <c r="AS600" i="48"/>
  <c r="AS601" i="48"/>
  <c r="AS602" i="48"/>
  <c r="AS603" i="48"/>
  <c r="AS604" i="48"/>
  <c r="AS605" i="48"/>
  <c r="AS606" i="48"/>
  <c r="AS607" i="48"/>
  <c r="AS608" i="48"/>
  <c r="AS609" i="48"/>
  <c r="AS610" i="48"/>
  <c r="AS611" i="48"/>
  <c r="AS612" i="48"/>
  <c r="AS613" i="48"/>
  <c r="AS614" i="48"/>
  <c r="AS615" i="48"/>
  <c r="AS616" i="48"/>
  <c r="AS617" i="48"/>
  <c r="AS618" i="48"/>
  <c r="AS619" i="48"/>
  <c r="AS620" i="48"/>
  <c r="AS621" i="48"/>
  <c r="AS622" i="48"/>
  <c r="AS623" i="48"/>
  <c r="AS624" i="48"/>
  <c r="AS625" i="48"/>
  <c r="AS626" i="48"/>
  <c r="AS627" i="48"/>
  <c r="AS628" i="48"/>
  <c r="AS629" i="48"/>
  <c r="AS630" i="48"/>
  <c r="AS631" i="48"/>
  <c r="AS632" i="48"/>
  <c r="AS633" i="48"/>
  <c r="AS634" i="48"/>
  <c r="AS635" i="48"/>
  <c r="AS636" i="48"/>
  <c r="AS637" i="48"/>
  <c r="AS638" i="48"/>
  <c r="AS639" i="48"/>
  <c r="AS640" i="48"/>
  <c r="AS641" i="48"/>
  <c r="AS642" i="48"/>
  <c r="AS643" i="48"/>
  <c r="AS644" i="48"/>
  <c r="AS645" i="48"/>
  <c r="AS646" i="48"/>
  <c r="AS647" i="48"/>
  <c r="AS648" i="48"/>
  <c r="AS649" i="48"/>
  <c r="AS650" i="48"/>
  <c r="AS651" i="48"/>
  <c r="AS652" i="48"/>
  <c r="AS653" i="48"/>
  <c r="AS654" i="48"/>
  <c r="AS655" i="48"/>
  <c r="AS656" i="48"/>
  <c r="AS657" i="48"/>
  <c r="AS658" i="48"/>
  <c r="AS659" i="48"/>
  <c r="AS660" i="48"/>
  <c r="AS661" i="48"/>
  <c r="AS662" i="48"/>
  <c r="AS663" i="48"/>
  <c r="AS664" i="48"/>
  <c r="AS665" i="48"/>
  <c r="AS666" i="48"/>
  <c r="AS667" i="48"/>
  <c r="AS668" i="48"/>
  <c r="AS669" i="48"/>
  <c r="AS670" i="48"/>
  <c r="AS671" i="48"/>
  <c r="AS672" i="48"/>
  <c r="AS673" i="48"/>
  <c r="AS674" i="48"/>
  <c r="AS675" i="48"/>
  <c r="AS676" i="48"/>
  <c r="AS677" i="48"/>
  <c r="AS678" i="48"/>
  <c r="AS679" i="48"/>
  <c r="AS680" i="48"/>
  <c r="AS681" i="48"/>
  <c r="AS682" i="48"/>
  <c r="AS683" i="48"/>
  <c r="AS684" i="48"/>
  <c r="AS685" i="48"/>
  <c r="AS686" i="48"/>
  <c r="AS687" i="48"/>
  <c r="AS688" i="48"/>
  <c r="AS689" i="48"/>
  <c r="AS690" i="48"/>
  <c r="AS691" i="48"/>
  <c r="AS692" i="48"/>
  <c r="AS693" i="48"/>
  <c r="AS694" i="48"/>
  <c r="AS695" i="48"/>
  <c r="AS696" i="48"/>
  <c r="AS697" i="48"/>
  <c r="AS698" i="48"/>
  <c r="AS699" i="48"/>
  <c r="AS700" i="48"/>
  <c r="AS701" i="48"/>
  <c r="AS702" i="48"/>
  <c r="AS703" i="48"/>
  <c r="AS704" i="48"/>
  <c r="AS705" i="48"/>
  <c r="AS706" i="48"/>
  <c r="AS707" i="48"/>
  <c r="AS708" i="48"/>
  <c r="AS709" i="48"/>
  <c r="AS710" i="48"/>
  <c r="AS711" i="48"/>
  <c r="AS712" i="48"/>
  <c r="AS713" i="48"/>
  <c r="AS714" i="48"/>
  <c r="AS715" i="48"/>
  <c r="AS716" i="48"/>
  <c r="AS717" i="48"/>
  <c r="AS718" i="48"/>
  <c r="AS719" i="48"/>
  <c r="AS720" i="48"/>
  <c r="AS721" i="48"/>
  <c r="AS722" i="48"/>
  <c r="AS723" i="48"/>
  <c r="AS724" i="48"/>
  <c r="AS725" i="48"/>
  <c r="AS726" i="48"/>
  <c r="AS727" i="48"/>
  <c r="AS728" i="48"/>
  <c r="AS729" i="48"/>
  <c r="AS730" i="48"/>
  <c r="AS731" i="48"/>
  <c r="AS732" i="48"/>
  <c r="AS733" i="48"/>
  <c r="AS734" i="48"/>
  <c r="AS735" i="48"/>
  <c r="AS736" i="48"/>
  <c r="AS737" i="48"/>
  <c r="AS738" i="48"/>
  <c r="AS739" i="48"/>
  <c r="AS740" i="48"/>
  <c r="AS741" i="48"/>
  <c r="AS742" i="48"/>
  <c r="AS743" i="48"/>
  <c r="AS744" i="48"/>
  <c r="AS745" i="48"/>
  <c r="AS746" i="48"/>
  <c r="AS747" i="48"/>
  <c r="AS748" i="48"/>
  <c r="AS749" i="48"/>
  <c r="AS750" i="48"/>
  <c r="AS751" i="48"/>
  <c r="AS752" i="48"/>
  <c r="AS753" i="48"/>
  <c r="AS754" i="48"/>
  <c r="AS755" i="48"/>
  <c r="AS756" i="48"/>
  <c r="AS757" i="48"/>
  <c r="AS758" i="48"/>
  <c r="AS759" i="48"/>
  <c r="AS760" i="48"/>
  <c r="AS761" i="48"/>
  <c r="AS762" i="48"/>
  <c r="AS763" i="48"/>
  <c r="AS764" i="48"/>
  <c r="AS765" i="48"/>
  <c r="AS766" i="48"/>
  <c r="AS767" i="48"/>
  <c r="AS768" i="48"/>
  <c r="AS769" i="48"/>
  <c r="AS770" i="48"/>
  <c r="AS771" i="48"/>
  <c r="AS772" i="48"/>
  <c r="AS773" i="48"/>
  <c r="AS774" i="48"/>
  <c r="AS775" i="48"/>
  <c r="AS776" i="48"/>
  <c r="AS777" i="48"/>
  <c r="AS778" i="48"/>
  <c r="AS779" i="48"/>
  <c r="AS780" i="48"/>
  <c r="AS781" i="48"/>
  <c r="AS782" i="48"/>
  <c r="AS783" i="48"/>
  <c r="AS784" i="48"/>
  <c r="AS785" i="48"/>
  <c r="AS786" i="48"/>
  <c r="AS787" i="48"/>
  <c r="AS788" i="48"/>
  <c r="AS789" i="48"/>
  <c r="AS790" i="48"/>
  <c r="AS791" i="48"/>
  <c r="AS792" i="48"/>
  <c r="AS793" i="48"/>
  <c r="AS794" i="48"/>
  <c r="AS795" i="48"/>
  <c r="AS796" i="48"/>
  <c r="AS797" i="48"/>
  <c r="AS798" i="48"/>
  <c r="AS799" i="48"/>
  <c r="AS800" i="48"/>
  <c r="AS801" i="48"/>
  <c r="AS802" i="48"/>
  <c r="AS803" i="48"/>
  <c r="AS804" i="48"/>
  <c r="AS805" i="48"/>
  <c r="AS806" i="48"/>
  <c r="AS807" i="48"/>
  <c r="AS808" i="48"/>
  <c r="AS809" i="48"/>
  <c r="AS810" i="48"/>
  <c r="AS811" i="48"/>
  <c r="AS812" i="48"/>
  <c r="AS813" i="48"/>
  <c r="AS814" i="48"/>
  <c r="AS815" i="48"/>
  <c r="AS816" i="48"/>
  <c r="AS817" i="48"/>
  <c r="AS818" i="48"/>
  <c r="AS819" i="48"/>
  <c r="AS820" i="48"/>
  <c r="AS821" i="48"/>
  <c r="AS822" i="48"/>
  <c r="AS823" i="48"/>
  <c r="AS824" i="48"/>
  <c r="AS825" i="48"/>
  <c r="AS826" i="48"/>
  <c r="AS827" i="48"/>
  <c r="AS828" i="48"/>
  <c r="AS829" i="48"/>
  <c r="AS830" i="48"/>
  <c r="AS831" i="48"/>
  <c r="AS832" i="48"/>
  <c r="AS833" i="48"/>
  <c r="AS834" i="48"/>
  <c r="AS835" i="48"/>
  <c r="AS836" i="48"/>
  <c r="AS837" i="48"/>
  <c r="AS838" i="48"/>
  <c r="AS839" i="48"/>
  <c r="AS840" i="48"/>
  <c r="AS841" i="48"/>
  <c r="AS842" i="48"/>
  <c r="AS843" i="48"/>
  <c r="AS844" i="48"/>
  <c r="AS845" i="48"/>
  <c r="AS846" i="48"/>
  <c r="AS847" i="48"/>
  <c r="AS848" i="48"/>
  <c r="AS849" i="48"/>
  <c r="AS850" i="48"/>
  <c r="AS851" i="48"/>
  <c r="AS852" i="48"/>
  <c r="AS853" i="48"/>
  <c r="AS854" i="48"/>
  <c r="AS855" i="48"/>
  <c r="AS856" i="48"/>
  <c r="AG121" i="56"/>
  <c r="AG122" i="56"/>
  <c r="AG123" i="56"/>
  <c r="AG124" i="56"/>
  <c r="AG125" i="56"/>
  <c r="AG126" i="56"/>
  <c r="AG127" i="56"/>
  <c r="AG128" i="56"/>
  <c r="AG129" i="56"/>
  <c r="AG130" i="56"/>
  <c r="AG131" i="56"/>
  <c r="AG132" i="56"/>
  <c r="AG133" i="56"/>
  <c r="AG134" i="56"/>
  <c r="AG135" i="56"/>
  <c r="AG136" i="56"/>
  <c r="AG137" i="56"/>
  <c r="AG138" i="56"/>
  <c r="AG139" i="56"/>
  <c r="AG140" i="56"/>
  <c r="AG141" i="56"/>
  <c r="AG142" i="56"/>
  <c r="AG143" i="56"/>
  <c r="AG144" i="56"/>
  <c r="AG145" i="56"/>
  <c r="AG146" i="56"/>
  <c r="AG147" i="56"/>
  <c r="AG148" i="56"/>
  <c r="AG149" i="56"/>
  <c r="AG150" i="56"/>
  <c r="AG151" i="56"/>
  <c r="AG152" i="56"/>
  <c r="AG153" i="56"/>
  <c r="AG154" i="56"/>
  <c r="AG155" i="56"/>
  <c r="AG156" i="56"/>
  <c r="AG157" i="56"/>
  <c r="AG158" i="56"/>
  <c r="AG159" i="56"/>
  <c r="AG160" i="56"/>
  <c r="AG161" i="56"/>
  <c r="AG162" i="56"/>
  <c r="AG163" i="56"/>
  <c r="AG164" i="56"/>
  <c r="AG165" i="56"/>
  <c r="AG166" i="56"/>
  <c r="AG167" i="56"/>
  <c r="AG168" i="56"/>
  <c r="AG169" i="56"/>
  <c r="AG170" i="56"/>
  <c r="AG171" i="56"/>
  <c r="AG172" i="56"/>
  <c r="AG173" i="56"/>
  <c r="AG174" i="56"/>
  <c r="AG175" i="56"/>
  <c r="AG176" i="56"/>
  <c r="AG177" i="56"/>
  <c r="AG178" i="56"/>
  <c r="AG179" i="56"/>
  <c r="AG180" i="56"/>
  <c r="AG181" i="56"/>
  <c r="AG182" i="56"/>
  <c r="AG183" i="56"/>
  <c r="AG184" i="56"/>
  <c r="AG185" i="56"/>
  <c r="AG186" i="56"/>
  <c r="AG187" i="56"/>
  <c r="AG188" i="56"/>
  <c r="AG189" i="56"/>
  <c r="AG190" i="56"/>
  <c r="AG191" i="56"/>
  <c r="AG192" i="56"/>
  <c r="AG193" i="56"/>
  <c r="AG194" i="56"/>
  <c r="AG195" i="56"/>
  <c r="AG196" i="56"/>
  <c r="AG197" i="56"/>
  <c r="AG198" i="56"/>
  <c r="AG199" i="56"/>
  <c r="AG200" i="56"/>
  <c r="AG201" i="56"/>
  <c r="AG202" i="56"/>
  <c r="AG203" i="56"/>
  <c r="AG204" i="56"/>
  <c r="AG205" i="56"/>
  <c r="AG206" i="56"/>
  <c r="AG207" i="56"/>
  <c r="AG208" i="56"/>
  <c r="AG209" i="56"/>
  <c r="AG210" i="56"/>
  <c r="AG211" i="56"/>
  <c r="AG212" i="56"/>
  <c r="AG213" i="56"/>
  <c r="AG214" i="56"/>
  <c r="AG215" i="56"/>
  <c r="AG216" i="56"/>
  <c r="AG217" i="56"/>
  <c r="AG218" i="56"/>
  <c r="AG219" i="56"/>
  <c r="AG220" i="56"/>
  <c r="AG221"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G66" i="56"/>
  <c r="AG67" i="56"/>
  <c r="AG68" i="56"/>
  <c r="AG69" i="56"/>
  <c r="AG70" i="56"/>
  <c r="AG71" i="56"/>
  <c r="AG72" i="56"/>
  <c r="AG73" i="56"/>
  <c r="AG74" i="56"/>
  <c r="AG75" i="56"/>
  <c r="AG76" i="56"/>
  <c r="AG77" i="56"/>
  <c r="AG78" i="56"/>
  <c r="AG79" i="56"/>
  <c r="AG80" i="56"/>
  <c r="AG81" i="56"/>
  <c r="AG82" i="56"/>
  <c r="AG83" i="56"/>
  <c r="AG84" i="56"/>
  <c r="AG85" i="56"/>
  <c r="AG86" i="56"/>
  <c r="AG87" i="56"/>
  <c r="AG88" i="56"/>
  <c r="AG89" i="56"/>
  <c r="AG90" i="56"/>
  <c r="AG91" i="56"/>
  <c r="AG92" i="56"/>
  <c r="AG93" i="56"/>
  <c r="AG94" i="56"/>
  <c r="AG95" i="56"/>
  <c r="AG96" i="56"/>
  <c r="AG97" i="56"/>
  <c r="AG98" i="56"/>
  <c r="AG99" i="56"/>
  <c r="AG100" i="56"/>
  <c r="AG101" i="56"/>
  <c r="AG102" i="56"/>
  <c r="AG103" i="56"/>
  <c r="AG104" i="56"/>
  <c r="AG105" i="56"/>
  <c r="AG106" i="56"/>
  <c r="AG107" i="56"/>
  <c r="AG108" i="56"/>
  <c r="AG109" i="56"/>
  <c r="AG110" i="56"/>
  <c r="AG111" i="56"/>
  <c r="AG112" i="56"/>
  <c r="AG113" i="56"/>
  <c r="AG114" i="56"/>
  <c r="AG115" i="56"/>
  <c r="Z23" i="56"/>
  <c r="Z31" i="56"/>
  <c r="Z38" i="56"/>
  <c r="Z39" i="56"/>
  <c r="Z46" i="56"/>
  <c r="Z63" i="56"/>
  <c r="Z78" i="56"/>
  <c r="Z79" i="56"/>
  <c r="Z86" i="56"/>
  <c r="Z87" i="56"/>
  <c r="Z103" i="56"/>
  <c r="Z110" i="56"/>
  <c r="Z221" i="56"/>
  <c r="Z220" i="56"/>
  <c r="Z218" i="56"/>
  <c r="Z217" i="56"/>
  <c r="Z216" i="56"/>
  <c r="Z215" i="56"/>
  <c r="Z213" i="56"/>
  <c r="Z212" i="56"/>
  <c r="Z211" i="56"/>
  <c r="Z210" i="56"/>
  <c r="Z209" i="56"/>
  <c r="Z208" i="56"/>
  <c r="Z207" i="56"/>
  <c r="Z204" i="56"/>
  <c r="Z203" i="56"/>
  <c r="Z202" i="56"/>
  <c r="Z201" i="56"/>
  <c r="Z200" i="56"/>
  <c r="Z199" i="56"/>
  <c r="Z198" i="56"/>
  <c r="Z197" i="56"/>
  <c r="Z195" i="56"/>
  <c r="Z193" i="56"/>
  <c r="Z192" i="56"/>
  <c r="Z186" i="56"/>
  <c r="Z185" i="56"/>
  <c r="Z184" i="56"/>
  <c r="Z183" i="56"/>
  <c r="Z182" i="56"/>
  <c r="Z181" i="56"/>
  <c r="Z178" i="56"/>
  <c r="Z177" i="56"/>
  <c r="Z176" i="56"/>
  <c r="Z175" i="56"/>
  <c r="Z174" i="56"/>
  <c r="Z173" i="56"/>
  <c r="Z170" i="56"/>
  <c r="Z169" i="56"/>
  <c r="Z168" i="56"/>
  <c r="Z167" i="56"/>
  <c r="Z166" i="56"/>
  <c r="Z165" i="56"/>
  <c r="Z163" i="56"/>
  <c r="Z162" i="56"/>
  <c r="Z161" i="56"/>
  <c r="Z160" i="56"/>
  <c r="Z159" i="56"/>
  <c r="Z157" i="56"/>
  <c r="Z155" i="56"/>
  <c r="Z154" i="56"/>
  <c r="Z153" i="56"/>
  <c r="Z152" i="56"/>
  <c r="Z151" i="56"/>
  <c r="Z150" i="56"/>
  <c r="Z149" i="56"/>
  <c r="Z147" i="56"/>
  <c r="Z146" i="56"/>
  <c r="Z145" i="56"/>
  <c r="Z144" i="56"/>
  <c r="Z141" i="56"/>
  <c r="Z140" i="56"/>
  <c r="Z139" i="56"/>
  <c r="Z138" i="56"/>
  <c r="Z137" i="56"/>
  <c r="Z136" i="56"/>
  <c r="Z135" i="56"/>
  <c r="Z134" i="56"/>
  <c r="Z133" i="56"/>
  <c r="Z131" i="56"/>
  <c r="Z130" i="56"/>
  <c r="Z129" i="56"/>
  <c r="Z128" i="56"/>
  <c r="Z127" i="56"/>
  <c r="Z125" i="56"/>
  <c r="Z123" i="56"/>
  <c r="Z122" i="56"/>
  <c r="Z142" i="56"/>
  <c r="Z143" i="56"/>
  <c r="Z172" i="56"/>
  <c r="Z179" i="56"/>
  <c r="Z191" i="56"/>
  <c r="Z205" i="56"/>
  <c r="Z206" i="56"/>
  <c r="Z214" i="56"/>
  <c r="Z124" i="56"/>
  <c r="Z126" i="56"/>
  <c r="Z132" i="56"/>
  <c r="Z148" i="56"/>
  <c r="Z156" i="56"/>
  <c r="Z158" i="56"/>
  <c r="Z164" i="56"/>
  <c r="Z180" i="56"/>
  <c r="Z188" i="56"/>
  <c r="Z189" i="56"/>
  <c r="Z190" i="56"/>
  <c r="Z196" i="56"/>
  <c r="Z121" i="56"/>
  <c r="Z171" i="56"/>
  <c r="Z187" i="56"/>
  <c r="Z194" i="56"/>
  <c r="Z219" i="56"/>
  <c r="Z115" i="56"/>
  <c r="Z113" i="56"/>
  <c r="Z112" i="56"/>
  <c r="Z111" i="56"/>
  <c r="Z109" i="56"/>
  <c r="Z108" i="56"/>
  <c r="Z107" i="56"/>
  <c r="Z106" i="56"/>
  <c r="Z105" i="56"/>
  <c r="Z104" i="56"/>
  <c r="Z102" i="56"/>
  <c r="Z101" i="56"/>
  <c r="Z100" i="56"/>
  <c r="Z99" i="56"/>
  <c r="Z98" i="56"/>
  <c r="Z97" i="56"/>
  <c r="Z96" i="56"/>
  <c r="Z95" i="56"/>
  <c r="Z94" i="56"/>
  <c r="Z93" i="56"/>
  <c r="Z92" i="56"/>
  <c r="Z91" i="56"/>
  <c r="Z90" i="56"/>
  <c r="Z89" i="56"/>
  <c r="Z88" i="56"/>
  <c r="Z85" i="56"/>
  <c r="Z84" i="56"/>
  <c r="Z83" i="56"/>
  <c r="Z82" i="56"/>
  <c r="Z81" i="56"/>
  <c r="Z80" i="56"/>
  <c r="Z77" i="56"/>
  <c r="Z76" i="56"/>
  <c r="Z75" i="56"/>
  <c r="Z74" i="56"/>
  <c r="Z73" i="56"/>
  <c r="Z72" i="56"/>
  <c r="Z71" i="56"/>
  <c r="Z70" i="56"/>
  <c r="Z69" i="56"/>
  <c r="Z68" i="56"/>
  <c r="Z67" i="56"/>
  <c r="Z66" i="56"/>
  <c r="Z65" i="56"/>
  <c r="Z64" i="56"/>
  <c r="Z62" i="56"/>
  <c r="Z61" i="56"/>
  <c r="Z60" i="56"/>
  <c r="Z59" i="56"/>
  <c r="Z58" i="56"/>
  <c r="Z57" i="56"/>
  <c r="Z56" i="56"/>
  <c r="Z55" i="56"/>
  <c r="Z54" i="56"/>
  <c r="Z53" i="56"/>
  <c r="Z52" i="56"/>
  <c r="Z51" i="56"/>
  <c r="Z50" i="56"/>
  <c r="Z49" i="56"/>
  <c r="Z48" i="56"/>
  <c r="Z47" i="56"/>
  <c r="Z45" i="56"/>
  <c r="Z44" i="56"/>
  <c r="Z43" i="56"/>
  <c r="Z42" i="56"/>
  <c r="Z41" i="56"/>
  <c r="Z40" i="56"/>
  <c r="Z37" i="56"/>
  <c r="Z36" i="56"/>
  <c r="Z35" i="56"/>
  <c r="Z34" i="56"/>
  <c r="Z33" i="56"/>
  <c r="Z32" i="56"/>
  <c r="Z30" i="56"/>
  <c r="Z29" i="56"/>
  <c r="Z28" i="56"/>
  <c r="Z27" i="56"/>
  <c r="Z26" i="56"/>
  <c r="Z25" i="56"/>
  <c r="Z24" i="56"/>
  <c r="Z22" i="56"/>
  <c r="Z21" i="56"/>
  <c r="Z20" i="56"/>
  <c r="Z19" i="56"/>
  <c r="Z18" i="56"/>
  <c r="Z17" i="56"/>
  <c r="Z16" i="56"/>
  <c r="Z114" i="56"/>
  <c r="AA240" i="45" l="1" a="1"/>
  <c r="AA240" i="45" s="1"/>
  <c r="AA235" i="45" a="1"/>
  <c r="AA235" i="45" s="1"/>
  <c r="AA219" i="45" a="1"/>
  <c r="AA219" i="45" s="1"/>
  <c r="AA203" i="45" a="1"/>
  <c r="AA203" i="45" s="1"/>
  <c r="AA186" i="45" a="1"/>
  <c r="AA186" i="45" s="1"/>
  <c r="AA181" i="45" a="1"/>
  <c r="AA181" i="45" s="1"/>
  <c r="AA175" i="45" a="1"/>
  <c r="AA175" i="45" s="1"/>
  <c r="AA159" i="45" a="1"/>
  <c r="AA159" i="45" s="1"/>
  <c r="AA143" i="45" a="1"/>
  <c r="AA143" i="45" s="1"/>
  <c r="AA61" i="43" a="1"/>
  <c r="AA61" i="43" s="1"/>
  <c r="AA53" i="43" a="1"/>
  <c r="AA53" i="43" s="1"/>
  <c r="AA45" i="43" a="1"/>
  <c r="AA45" i="43" s="1"/>
  <c r="AA82" i="44" a="1"/>
  <c r="AA82" i="44" s="1"/>
  <c r="AA74" i="44" a="1"/>
  <c r="AA74" i="44" s="1"/>
  <c r="AA66" i="44" a="1"/>
  <c r="AA66" i="44" s="1"/>
  <c r="AA59" i="42" a="1"/>
  <c r="AA59" i="42" s="1"/>
  <c r="AA30" i="42" a="1"/>
  <c r="AA30" i="42" s="1"/>
  <c r="AA22" i="42" a="1"/>
  <c r="AA22" i="42" s="1"/>
  <c r="AA33" i="44" a="1"/>
  <c r="AA33" i="44" s="1"/>
  <c r="AA25" i="44" a="1"/>
  <c r="AA25" i="44" s="1"/>
  <c r="AA17" i="44" a="1"/>
  <c r="AA17" i="44" s="1"/>
  <c r="AA20" i="42" a="1"/>
  <c r="AA20" i="42" s="1"/>
  <c r="AA247" i="45" a="1"/>
  <c r="AA247" i="45" s="1"/>
  <c r="AA228" i="45" a="1"/>
  <c r="AA228" i="45" s="1"/>
  <c r="AA212" i="45" a="1"/>
  <c r="AA212" i="45" s="1"/>
  <c r="AA196" i="45" a="1"/>
  <c r="AA196" i="45" s="1"/>
  <c r="AA173" i="45" a="1"/>
  <c r="AA173" i="45" s="1"/>
  <c r="AA157" i="45" a="1"/>
  <c r="AA157" i="45" s="1"/>
  <c r="AA141" i="45" a="1"/>
  <c r="AA141" i="45" s="1"/>
  <c r="AA58" i="43" a="1"/>
  <c r="AA58" i="43" s="1"/>
  <c r="AA71" i="44" a="1"/>
  <c r="AA71" i="44" s="1"/>
  <c r="AA56" i="42" a="1"/>
  <c r="AA56" i="42" s="1"/>
  <c r="AA27" i="42" a="1"/>
  <c r="AA27" i="42" s="1"/>
  <c r="AA22" i="44" a="1"/>
  <c r="AA22" i="44" s="1"/>
  <c r="AA211" i="45" a="1"/>
  <c r="AA211" i="45" s="1"/>
  <c r="AA184" i="45" a="1"/>
  <c r="AA184" i="45" s="1"/>
  <c r="AA57" i="43" a="1"/>
  <c r="AA57" i="43" s="1"/>
  <c r="AA78" i="44" a="1"/>
  <c r="AA78" i="44" s="1"/>
  <c r="AA34" i="42" a="1"/>
  <c r="AA34" i="42" s="1"/>
  <c r="AA26" i="42" a="1"/>
  <c r="AA26" i="42" s="1"/>
  <c r="AA21" i="44" a="1"/>
  <c r="AA21" i="44" s="1"/>
  <c r="AA244" i="45" a="1"/>
  <c r="AA244" i="45" s="1"/>
  <c r="AA239" i="45" a="1"/>
  <c r="AA239" i="45" s="1"/>
  <c r="AA234" i="45" a="1"/>
  <c r="AA234" i="45" s="1"/>
  <c r="AA229" i="45" a="1"/>
  <c r="AA229" i="45" s="1"/>
  <c r="AA224" i="45" a="1"/>
  <c r="AA224" i="45" s="1"/>
  <c r="AA218" i="45" a="1"/>
  <c r="AA218" i="45" s="1"/>
  <c r="AA213" i="45" a="1"/>
  <c r="AA213" i="45" s="1"/>
  <c r="AA208" i="45" a="1"/>
  <c r="AA208" i="45" s="1"/>
  <c r="AA202" i="45" a="1"/>
  <c r="AA202" i="45" s="1"/>
  <c r="AA197" i="45" a="1"/>
  <c r="AA197" i="45" s="1"/>
  <c r="AA192" i="45" a="1"/>
  <c r="AA192" i="45" s="1"/>
  <c r="AA174" i="45" a="1"/>
  <c r="AA174" i="45" s="1"/>
  <c r="AA169" i="45" a="1"/>
  <c r="AA169" i="45" s="1"/>
  <c r="AA164" i="45" a="1"/>
  <c r="AA164" i="45" s="1"/>
  <c r="AA158" i="45" a="1"/>
  <c r="AA158" i="45" s="1"/>
  <c r="AA153" i="45" a="1"/>
  <c r="AA153" i="45" s="1"/>
  <c r="AA148" i="45" a="1"/>
  <c r="AA148" i="45" s="1"/>
  <c r="AA142" i="45" a="1"/>
  <c r="AA142" i="45" s="1"/>
  <c r="AA137" i="45" a="1"/>
  <c r="AA137" i="45" s="1"/>
  <c r="AA132" i="45" a="1"/>
  <c r="AA132" i="45" s="1"/>
  <c r="AA60" i="43" a="1"/>
  <c r="AA60" i="43" s="1"/>
  <c r="AA52" i="43" a="1"/>
  <c r="AA52" i="43" s="1"/>
  <c r="AA81" i="44" a="1"/>
  <c r="AA81" i="44" s="1"/>
  <c r="AA73" i="44" a="1"/>
  <c r="AA73" i="44" s="1"/>
  <c r="AA58" i="42" a="1"/>
  <c r="AA58" i="42" s="1"/>
  <c r="AA29" i="42" a="1"/>
  <c r="AA29" i="42" s="1"/>
  <c r="AA21" i="42" a="1"/>
  <c r="AA21" i="42" s="1"/>
  <c r="AA32" i="44" a="1"/>
  <c r="AA32" i="44" s="1"/>
  <c r="AA24" i="44" a="1"/>
  <c r="AA24" i="44" s="1"/>
  <c r="AA51" i="43" a="1"/>
  <c r="AA51" i="43" s="1"/>
  <c r="AA72" i="44" a="1"/>
  <c r="AA72" i="44" s="1"/>
  <c r="AA23" i="44" a="1"/>
  <c r="AA23" i="44" s="1"/>
  <c r="AA233" i="45" a="1"/>
  <c r="AA233" i="45" s="1"/>
  <c r="AA217" i="45" a="1"/>
  <c r="AA217" i="45" s="1"/>
  <c r="AA201" i="45" a="1"/>
  <c r="AA201" i="45" s="1"/>
  <c r="AA179" i="45" a="1"/>
  <c r="AA179" i="45" s="1"/>
  <c r="AA162" i="45" a="1"/>
  <c r="AA162" i="45" s="1"/>
  <c r="AA146" i="45" a="1"/>
  <c r="AA146" i="45" s="1"/>
  <c r="AA130" i="45" a="1"/>
  <c r="AA130" i="45" s="1"/>
  <c r="AA30" i="44" a="1"/>
  <c r="AA30" i="44" s="1"/>
  <c r="AA227" i="45" a="1"/>
  <c r="AA227" i="45" s="1"/>
  <c r="AA189" i="45" a="1"/>
  <c r="AA189" i="45" s="1"/>
  <c r="AA167" i="45" a="1"/>
  <c r="AA167" i="45" s="1"/>
  <c r="AA135" i="45" a="1"/>
  <c r="AA135" i="45" s="1"/>
  <c r="AA36" i="43" a="1"/>
  <c r="AA36" i="43" s="1"/>
  <c r="AA86" i="44" a="1"/>
  <c r="AA86" i="44" s="1"/>
  <c r="AA55" i="42" a="1"/>
  <c r="AA55" i="42" s="1"/>
  <c r="AA18" i="42" a="1"/>
  <c r="AA18" i="42" s="1"/>
  <c r="AA248" i="45" a="1"/>
  <c r="AA248" i="45" s="1"/>
  <c r="AA243" i="45" a="1"/>
  <c r="AA243" i="45" s="1"/>
  <c r="AA223" i="45" a="1"/>
  <c r="AA223" i="45" s="1"/>
  <c r="AA207" i="45" a="1"/>
  <c r="AA207" i="45" s="1"/>
  <c r="AA191" i="45" a="1"/>
  <c r="AA191" i="45" s="1"/>
  <c r="AA185" i="45" a="1"/>
  <c r="AA185" i="45" s="1"/>
  <c r="AA180" i="45" a="1"/>
  <c r="AA180" i="45" s="1"/>
  <c r="AA163" i="45" a="1"/>
  <c r="AA163" i="45" s="1"/>
  <c r="AA147" i="45" a="1"/>
  <c r="AA147" i="45" s="1"/>
  <c r="AA131" i="45" a="1"/>
  <c r="AA131" i="45" s="1"/>
  <c r="AA59" i="43" a="1"/>
  <c r="AA59" i="43" s="1"/>
  <c r="AA80" i="44" a="1"/>
  <c r="AA80" i="44" s="1"/>
  <c r="AA57" i="42" a="1"/>
  <c r="AA57" i="42" s="1"/>
  <c r="AA28" i="42" a="1"/>
  <c r="AA28" i="42" s="1"/>
  <c r="AA31" i="44" a="1"/>
  <c r="AA31" i="44" s="1"/>
  <c r="AA238" i="45" a="1"/>
  <c r="AA238" i="45" s="1"/>
  <c r="AA222" i="45" a="1"/>
  <c r="AA222" i="45" s="1"/>
  <c r="AA206" i="45" a="1"/>
  <c r="AA206" i="45" s="1"/>
  <c r="AA190" i="45" a="1"/>
  <c r="AA190" i="45" s="1"/>
  <c r="AA168" i="45" a="1"/>
  <c r="AA168" i="45" s="1"/>
  <c r="AA152" i="45" a="1"/>
  <c r="AA152" i="45" s="1"/>
  <c r="AA136" i="45" a="1"/>
  <c r="AA136" i="45" s="1"/>
  <c r="AA50" i="43" a="1"/>
  <c r="AA50" i="43" s="1"/>
  <c r="AA79" i="44" a="1"/>
  <c r="AA79" i="44" s="1"/>
  <c r="AA35" i="42" a="1"/>
  <c r="AA35" i="42" s="1"/>
  <c r="AA19" i="42" a="1"/>
  <c r="AA19" i="42" s="1"/>
  <c r="AA242" i="45" a="1"/>
  <c r="AA242" i="45" s="1"/>
  <c r="AA195" i="45" a="1"/>
  <c r="AA195" i="45" s="1"/>
  <c r="AA178" i="45" a="1"/>
  <c r="AA178" i="45" s="1"/>
  <c r="AA151" i="45" a="1"/>
  <c r="AA151" i="45" s="1"/>
  <c r="AA49" i="43" a="1"/>
  <c r="AA49" i="43" s="1"/>
  <c r="AA70" i="44" a="1"/>
  <c r="AA70" i="44" s="1"/>
  <c r="AA29" i="44" a="1"/>
  <c r="AA29" i="44" s="1"/>
  <c r="AA245" i="45" a="1"/>
  <c r="AA245" i="45" s="1"/>
  <c r="AA231" i="45" a="1"/>
  <c r="AA231" i="45" s="1"/>
  <c r="AA216" i="45" a="1"/>
  <c r="AA216" i="45" s="1"/>
  <c r="AA204" i="45" a="1"/>
  <c r="AA204" i="45" s="1"/>
  <c r="AA188" i="45" a="1"/>
  <c r="AA188" i="45" s="1"/>
  <c r="AA172" i="45" a="1"/>
  <c r="AA172" i="45" s="1"/>
  <c r="AA160" i="45" a="1"/>
  <c r="AA160" i="45" s="1"/>
  <c r="AA46" i="43" a="1"/>
  <c r="AA46" i="43" s="1"/>
  <c r="AA69" i="44" a="1"/>
  <c r="AA69" i="44" s="1"/>
  <c r="AA23" i="42" a="1"/>
  <c r="AA23" i="42" s="1"/>
  <c r="AA19" i="44" a="1"/>
  <c r="AA19" i="44" s="1"/>
  <c r="AA241" i="45" a="1"/>
  <c r="AA241" i="45" s="1"/>
  <c r="AA214" i="45" a="1"/>
  <c r="AA214" i="45" s="1"/>
  <c r="AA183" i="45" a="1"/>
  <c r="AA183" i="45" s="1"/>
  <c r="AA155" i="45" a="1"/>
  <c r="AA155" i="45" s="1"/>
  <c r="AA62" i="43" a="1"/>
  <c r="AA62" i="43" s="1"/>
  <c r="AA67" i="44" a="1"/>
  <c r="AA67" i="44" s="1"/>
  <c r="AA198" i="45" a="1"/>
  <c r="AA198" i="45" s="1"/>
  <c r="AA166" i="45" a="1"/>
  <c r="AA166" i="45" s="1"/>
  <c r="AA139" i="45" a="1"/>
  <c r="AA139" i="45" s="1"/>
  <c r="AA84" i="44" a="1"/>
  <c r="AA84" i="44" s="1"/>
  <c r="AA60" i="42" a="1"/>
  <c r="AA60" i="42" s="1"/>
  <c r="AA237" i="45" a="1"/>
  <c r="AA237" i="45" s="1"/>
  <c r="AA194" i="45" a="1"/>
  <c r="AA194" i="45" s="1"/>
  <c r="AA138" i="45" a="1"/>
  <c r="AA138" i="45" s="1"/>
  <c r="AA32" i="42" a="1"/>
  <c r="AA32" i="42" s="1"/>
  <c r="AA28" i="44" a="1"/>
  <c r="AA28" i="44" s="1"/>
  <c r="AA209" i="45" a="1"/>
  <c r="AA209" i="45" s="1"/>
  <c r="AA165" i="45" a="1"/>
  <c r="AA165" i="45" s="1"/>
  <c r="AA54" i="43" a="1"/>
  <c r="AA54" i="43" s="1"/>
  <c r="AA77" i="44" a="1"/>
  <c r="AA77" i="44" s="1"/>
  <c r="AA246" i="45" a="1"/>
  <c r="AA246" i="45" s="1"/>
  <c r="AA236" i="45" a="1"/>
  <c r="AA236" i="45" s="1"/>
  <c r="AA205" i="45" a="1"/>
  <c r="AA205" i="45" s="1"/>
  <c r="AA161" i="45" a="1"/>
  <c r="AA161" i="45" s="1"/>
  <c r="AA48" i="43" a="1"/>
  <c r="AA48" i="43" s="1"/>
  <c r="AA76" i="44" a="1"/>
  <c r="AA76" i="44" s="1"/>
  <c r="AA52" i="42" a="1"/>
  <c r="AA52" i="42" s="1"/>
  <c r="AA232" i="45" a="1"/>
  <c r="AA232" i="45" s="1"/>
  <c r="AA176" i="45" a="1"/>
  <c r="AA176" i="45" s="1"/>
  <c r="AA133" i="45" a="1"/>
  <c r="AA133" i="45" s="1"/>
  <c r="AA75" i="44" a="1"/>
  <c r="AA75" i="44" s="1"/>
  <c r="AA24" i="42" a="1"/>
  <c r="AA24" i="42" s="1"/>
  <c r="AA20" i="44" a="1"/>
  <c r="AA20" i="44" s="1"/>
  <c r="AA230" i="45" a="1"/>
  <c r="AA230" i="45" s="1"/>
  <c r="AA215" i="45" a="1"/>
  <c r="AA215" i="45" s="1"/>
  <c r="AA200" i="45" a="1"/>
  <c r="AA200" i="45" s="1"/>
  <c r="AA187" i="45" a="1"/>
  <c r="AA187" i="45" s="1"/>
  <c r="AA171" i="45" a="1"/>
  <c r="AA171" i="45" s="1"/>
  <c r="AA156" i="45" a="1"/>
  <c r="AA156" i="45" s="1"/>
  <c r="AA144" i="45" a="1"/>
  <c r="AA144" i="45" s="1"/>
  <c r="AA35" i="43" a="1"/>
  <c r="AA35" i="43" s="1"/>
  <c r="AA68" i="44" a="1"/>
  <c r="AA68" i="44" s="1"/>
  <c r="AA18" i="44" a="1"/>
  <c r="AA18" i="44" s="1"/>
  <c r="AA226" i="45" a="1"/>
  <c r="AA226" i="45" s="1"/>
  <c r="AA199" i="45" a="1"/>
  <c r="AA199" i="45" s="1"/>
  <c r="AA170" i="45" a="1"/>
  <c r="AA170" i="45" s="1"/>
  <c r="AA140" i="45" a="1"/>
  <c r="AA140" i="45" s="1"/>
  <c r="AA85" i="44" a="1"/>
  <c r="AA85" i="44" s="1"/>
  <c r="AA61" i="42" a="1"/>
  <c r="AA61" i="42" s="1"/>
  <c r="AA210" i="45" a="1"/>
  <c r="AA210" i="45" s="1"/>
  <c r="AA182" i="45" a="1"/>
  <c r="AA182" i="45" s="1"/>
  <c r="AA154" i="45" a="1"/>
  <c r="AA154" i="45" s="1"/>
  <c r="AA56" i="43" a="1"/>
  <c r="AA56" i="43" s="1"/>
  <c r="AA33" i="42" a="1"/>
  <c r="AA33" i="42" s="1"/>
  <c r="AA34" i="44" a="1"/>
  <c r="AA34" i="44" s="1"/>
  <c r="AA225" i="45" a="1"/>
  <c r="AA225" i="45" s="1"/>
  <c r="AA150" i="45" a="1"/>
  <c r="AA150" i="45" s="1"/>
  <c r="AA55" i="43" a="1"/>
  <c r="AA55" i="43" s="1"/>
  <c r="AA83" i="44" a="1"/>
  <c r="AA83" i="44" s="1"/>
  <c r="AA54" i="42" a="1"/>
  <c r="AA54" i="42" s="1"/>
  <c r="AA221" i="45" a="1"/>
  <c r="AA221" i="45" s="1"/>
  <c r="AA177" i="45" a="1"/>
  <c r="AA177" i="45" s="1"/>
  <c r="AA134" i="45" a="1"/>
  <c r="AA134" i="45" s="1"/>
  <c r="AA31" i="42" a="1"/>
  <c r="AA31" i="42" s="1"/>
  <c r="AA27" i="44" a="1"/>
  <c r="AA27" i="44" s="1"/>
  <c r="AA193" i="45" a="1"/>
  <c r="AA193" i="45" s="1"/>
  <c r="AA149" i="45" a="1"/>
  <c r="AA149" i="45" s="1"/>
  <c r="AA25" i="42" a="1"/>
  <c r="AA25" i="42" s="1"/>
  <c r="AA26" i="44" a="1"/>
  <c r="AA26" i="44" s="1"/>
  <c r="AA220" i="45" a="1"/>
  <c r="AA220" i="45" s="1"/>
  <c r="AA145" i="45" a="1"/>
  <c r="AA145" i="45" s="1"/>
  <c r="AA47" i="43" a="1"/>
  <c r="AA47" i="43" s="1"/>
  <c r="V14" i="56"/>
  <c r="H56" i="36" s="1"/>
  <c r="Z15" i="56"/>
  <c r="V120" i="56"/>
  <c r="H57" i="36" s="1"/>
  <c r="L631" i="55" l="1"/>
  <c r="L630" i="55"/>
  <c r="L629" i="55"/>
  <c r="R15" i="44"/>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201" i="45"/>
  <c r="M202" i="45"/>
  <c r="M203" i="45"/>
  <c r="M204" i="45"/>
  <c r="M205" i="45"/>
  <c r="M206" i="45"/>
  <c r="M207" i="45"/>
  <c r="M208" i="45"/>
  <c r="M209" i="45"/>
  <c r="M210" i="45"/>
  <c r="M211" i="45"/>
  <c r="M212" i="45"/>
  <c r="M213" i="45"/>
  <c r="M214" i="45"/>
  <c r="M215" i="45"/>
  <c r="M216" i="45"/>
  <c r="M217" i="45"/>
  <c r="M218" i="45"/>
  <c r="M219" i="45"/>
  <c r="M220" i="45"/>
  <c r="M221" i="45"/>
  <c r="M222" i="45"/>
  <c r="M223" i="45"/>
  <c r="M224" i="45"/>
  <c r="M225" i="45"/>
  <c r="M226" i="45"/>
  <c r="M227" i="45"/>
  <c r="M228" i="45"/>
  <c r="M229" i="45"/>
  <c r="M230" i="45"/>
  <c r="M231" i="45"/>
  <c r="M232" i="45"/>
  <c r="M233" i="45"/>
  <c r="M234" i="45"/>
  <c r="M235" i="45"/>
  <c r="M236" i="45"/>
  <c r="M237" i="45"/>
  <c r="M238" i="45"/>
  <c r="M239" i="45"/>
  <c r="M240" i="45"/>
  <c r="M241" i="45"/>
  <c r="M242" i="45"/>
  <c r="M243" i="45"/>
  <c r="M244" i="45"/>
  <c r="M245" i="45"/>
  <c r="M246" i="45"/>
  <c r="M247" i="45"/>
  <c r="M248" i="45"/>
  <c r="M129" i="45"/>
  <c r="E129" i="45"/>
  <c r="AB35" i="38"/>
  <c r="M15" i="45" l="1"/>
  <c r="M16" i="45"/>
  <c r="M17" i="45"/>
  <c r="M18" i="45"/>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4" i="45"/>
  <c r="O43" i="43"/>
  <c r="O44" i="43"/>
  <c r="O45" i="43"/>
  <c r="O46" i="43"/>
  <c r="O47" i="43"/>
  <c r="O48" i="43"/>
  <c r="O49" i="43"/>
  <c r="O50" i="43"/>
  <c r="O51" i="43"/>
  <c r="O52" i="43"/>
  <c r="O53" i="43"/>
  <c r="O54" i="43"/>
  <c r="O55" i="43"/>
  <c r="O56" i="43"/>
  <c r="O57" i="43"/>
  <c r="O58" i="43"/>
  <c r="O59" i="43"/>
  <c r="O60" i="43"/>
  <c r="O61" i="43"/>
  <c r="O62" i="43"/>
  <c r="O42" i="43"/>
  <c r="O18" i="43"/>
  <c r="O19" i="43"/>
  <c r="O20" i="43"/>
  <c r="O21" i="43"/>
  <c r="O22" i="43"/>
  <c r="O23" i="43"/>
  <c r="O24" i="43"/>
  <c r="O25" i="43"/>
  <c r="O26" i="43"/>
  <c r="O27" i="43"/>
  <c r="O28" i="43"/>
  <c r="O29" i="43"/>
  <c r="O30" i="43"/>
  <c r="O31" i="43"/>
  <c r="O32" i="43"/>
  <c r="O33" i="43"/>
  <c r="O34" i="43"/>
  <c r="O35" i="43"/>
  <c r="O36" i="43"/>
  <c r="O17" i="42"/>
  <c r="O18" i="42"/>
  <c r="O19" i="42"/>
  <c r="O20" i="42"/>
  <c r="O21" i="42"/>
  <c r="O22" i="42"/>
  <c r="O23" i="42"/>
  <c r="O24" i="42"/>
  <c r="O25" i="42"/>
  <c r="O26" i="42"/>
  <c r="O27" i="42"/>
  <c r="O28" i="42"/>
  <c r="O29" i="42"/>
  <c r="O30" i="42"/>
  <c r="O31" i="42"/>
  <c r="O32" i="42"/>
  <c r="O33" i="42"/>
  <c r="O34" i="42"/>
  <c r="O35" i="42"/>
  <c r="O16" i="42"/>
  <c r="N14" i="38"/>
  <c r="N15" i="38"/>
  <c r="N16" i="38"/>
  <c r="N17" i="38"/>
  <c r="N18" i="38"/>
  <c r="N19" i="38"/>
  <c r="N20" i="38"/>
  <c r="N21" i="38"/>
  <c r="N22" i="38"/>
  <c r="N13" i="38"/>
  <c r="S17" i="42"/>
  <c r="S18" i="42"/>
  <c r="S19" i="42"/>
  <c r="S20" i="42"/>
  <c r="S21" i="42"/>
  <c r="S22" i="42"/>
  <c r="S23" i="42"/>
  <c r="S24" i="42"/>
  <c r="S25" i="42"/>
  <c r="S26" i="42"/>
  <c r="S27" i="42"/>
  <c r="S28" i="42"/>
  <c r="S29" i="42"/>
  <c r="S30" i="42"/>
  <c r="S31" i="42"/>
  <c r="S32" i="42"/>
  <c r="S33" i="42"/>
  <c r="S34" i="42"/>
  <c r="S35" i="42"/>
  <c r="S16" i="42"/>
  <c r="BD11" i="48" a="1"/>
  <c r="BD11" i="48" s="1"/>
  <c r="BB11" i="48" a="1"/>
  <c r="BB11" i="48" s="1"/>
  <c r="P196" i="55"/>
  <c r="BA11" i="48" l="1" a="1"/>
  <c r="BA11" i="48" s="1"/>
  <c r="W40" i="44"/>
  <c r="AA40" i="44" s="1" a="1"/>
  <c r="AA40" i="44" s="1"/>
  <c r="W41" i="44"/>
  <c r="AA41" i="44" s="1" a="1"/>
  <c r="AA41" i="44" s="1"/>
  <c r="W42" i="44"/>
  <c r="AA42" i="44" s="1" a="1"/>
  <c r="AA42" i="44" s="1"/>
  <c r="W43" i="44"/>
  <c r="AA43" i="44" s="1" a="1"/>
  <c r="AA43" i="44" s="1"/>
  <c r="W44" i="44"/>
  <c r="AA44" i="44" s="1" a="1"/>
  <c r="AA44" i="44" s="1"/>
  <c r="W45" i="44"/>
  <c r="AA45" i="44" s="1" a="1"/>
  <c r="AA45" i="44" s="1"/>
  <c r="W46" i="44"/>
  <c r="AA46" i="44" s="1" a="1"/>
  <c r="AA46" i="44" s="1"/>
  <c r="W47" i="44"/>
  <c r="AA47" i="44" s="1" a="1"/>
  <c r="AA47" i="44" s="1"/>
  <c r="W48" i="44"/>
  <c r="AA48" i="44" s="1" a="1"/>
  <c r="AA48" i="44" s="1"/>
  <c r="W49" i="44"/>
  <c r="AA49" i="44" s="1" a="1"/>
  <c r="AA49" i="44" s="1"/>
  <c r="W50" i="44"/>
  <c r="AA50" i="44" s="1" a="1"/>
  <c r="AA50" i="44" s="1"/>
  <c r="W51" i="44"/>
  <c r="AA51" i="44" s="1" a="1"/>
  <c r="AA51" i="44" s="1"/>
  <c r="W52" i="44"/>
  <c r="AA52" i="44" s="1" a="1"/>
  <c r="AA52" i="44" s="1"/>
  <c r="W53" i="44"/>
  <c r="AA53" i="44" s="1" a="1"/>
  <c r="AA53" i="44" s="1"/>
  <c r="W54" i="44"/>
  <c r="AA54" i="44" s="1" a="1"/>
  <c r="AA54" i="44" s="1"/>
  <c r="W55" i="44"/>
  <c r="AA55" i="44" s="1" a="1"/>
  <c r="AA55" i="44" s="1"/>
  <c r="W56" i="44"/>
  <c r="AA56" i="44" s="1" a="1"/>
  <c r="AA56" i="44" s="1"/>
  <c r="W57" i="44"/>
  <c r="AA57" i="44" s="1" a="1"/>
  <c r="AA57" i="44" s="1"/>
  <c r="W58" i="44"/>
  <c r="AA58" i="44" s="1" a="1"/>
  <c r="AA58" i="44" s="1"/>
  <c r="W59" i="44"/>
  <c r="AA59" i="44" s="1" a="1"/>
  <c r="AA59" i="44" s="1"/>
  <c r="W60" i="44"/>
  <c r="AA60" i="44" s="1" a="1"/>
  <c r="AA60" i="44" s="1"/>
  <c r="L617" i="55"/>
  <c r="L616" i="55"/>
  <c r="L615" i="55"/>
  <c r="L614" i="55"/>
  <c r="L613" i="55"/>
  <c r="L612" i="55"/>
  <c r="L611" i="55"/>
  <c r="L610" i="55"/>
  <c r="L609" i="55"/>
  <c r="L608" i="55"/>
  <c r="L607" i="55"/>
  <c r="L606" i="55"/>
  <c r="L605" i="55"/>
  <c r="L604" i="55"/>
  <c r="L603" i="55"/>
  <c r="L602" i="55"/>
  <c r="L601" i="55"/>
  <c r="L600" i="55"/>
  <c r="L599" i="55"/>
  <c r="L598" i="55"/>
  <c r="L597" i="55"/>
  <c r="L596" i="55"/>
  <c r="L595" i="55"/>
  <c r="L594" i="55"/>
  <c r="Q15" i="45"/>
  <c r="Q16" i="45"/>
  <c r="Q17" i="45"/>
  <c r="Q18" i="45"/>
  <c r="Q19" i="45"/>
  <c r="Q20" i="45"/>
  <c r="Q21" i="45"/>
  <c r="Q22" i="45"/>
  <c r="Q23" i="45"/>
  <c r="Q24" i="45"/>
  <c r="Q25" i="45"/>
  <c r="Q26" i="45"/>
  <c r="Q27" i="45"/>
  <c r="Q28" i="45"/>
  <c r="Q29" i="45"/>
  <c r="Q30" i="45"/>
  <c r="Q31" i="45"/>
  <c r="Q32" i="45"/>
  <c r="Q33" i="45"/>
  <c r="Q34" i="45"/>
  <c r="Q35" i="45"/>
  <c r="Q36" i="45"/>
  <c r="Q37" i="45"/>
  <c r="Q38" i="45"/>
  <c r="Q39" i="45"/>
  <c r="Q40" i="45"/>
  <c r="Q41" i="45"/>
  <c r="Q42" i="45"/>
  <c r="Q43" i="45"/>
  <c r="Q44" i="45"/>
  <c r="Q45" i="45"/>
  <c r="Q46" i="45"/>
  <c r="Q47" i="45"/>
  <c r="Q48" i="45"/>
  <c r="Q49" i="45"/>
  <c r="Q50" i="45"/>
  <c r="Q51" i="45"/>
  <c r="Q52" i="45"/>
  <c r="Q54" i="45"/>
  <c r="Q55" i="45"/>
  <c r="Q56" i="45"/>
  <c r="Q57" i="45"/>
  <c r="Q58" i="45"/>
  <c r="Q59" i="45"/>
  <c r="Q60" i="45"/>
  <c r="Q61" i="45"/>
  <c r="Q62" i="45"/>
  <c r="Q63" i="45"/>
  <c r="Q64" i="45"/>
  <c r="Q65" i="45"/>
  <c r="Q66" i="45"/>
  <c r="Q67" i="45"/>
  <c r="Q68" i="45"/>
  <c r="Q69" i="45"/>
  <c r="Q70" i="45"/>
  <c r="Q71" i="45"/>
  <c r="Q72" i="45"/>
  <c r="Q73" i="45"/>
  <c r="Q74" i="45"/>
  <c r="Q75" i="45"/>
  <c r="Q76" i="45"/>
  <c r="Q77" i="45"/>
  <c r="Q78" i="45"/>
  <c r="Q79" i="45"/>
  <c r="Q80" i="45"/>
  <c r="Q81" i="45"/>
  <c r="Q82" i="45"/>
  <c r="Q83" i="45"/>
  <c r="Q84" i="45"/>
  <c r="Q85" i="45"/>
  <c r="Q86" i="45"/>
  <c r="Q87" i="45"/>
  <c r="Q88" i="45"/>
  <c r="Q89" i="45"/>
  <c r="Q90" i="45"/>
  <c r="Q91" i="45"/>
  <c r="Q92" i="45"/>
  <c r="Q93" i="45"/>
  <c r="Q94" i="45"/>
  <c r="Q95" i="45"/>
  <c r="Q96" i="45"/>
  <c r="Q97" i="45"/>
  <c r="Q98" i="45"/>
  <c r="Q99" i="45"/>
  <c r="Q100" i="45"/>
  <c r="Q101" i="45"/>
  <c r="Q102" i="45"/>
  <c r="Q103" i="45"/>
  <c r="Q104" i="45"/>
  <c r="Q105" i="45"/>
  <c r="Q106" i="45"/>
  <c r="Q107" i="45"/>
  <c r="Q108" i="45"/>
  <c r="Q109" i="45"/>
  <c r="Q110" i="45"/>
  <c r="Q111" i="45"/>
  <c r="Q112" i="45"/>
  <c r="Q113" i="45"/>
  <c r="Q114" i="45"/>
  <c r="Q115" i="45"/>
  <c r="Q116" i="45"/>
  <c r="Q117" i="45"/>
  <c r="Q118" i="45"/>
  <c r="Q119" i="45"/>
  <c r="Q120" i="45"/>
  <c r="Q121" i="45"/>
  <c r="Q122" i="45"/>
  <c r="Q123" i="45"/>
  <c r="AH129" i="45"/>
  <c r="AH130" i="45"/>
  <c r="AH131" i="45"/>
  <c r="AH132" i="45"/>
  <c r="AH133" i="45"/>
  <c r="AH134" i="45"/>
  <c r="AH135" i="45"/>
  <c r="AH136" i="45"/>
  <c r="AH137" i="45"/>
  <c r="AH138" i="45"/>
  <c r="AH139" i="45"/>
  <c r="AH140" i="45"/>
  <c r="AH141" i="45"/>
  <c r="AH142" i="45"/>
  <c r="AH143" i="45"/>
  <c r="AH144" i="45"/>
  <c r="AH145" i="45"/>
  <c r="AH146" i="45"/>
  <c r="AH147" i="45"/>
  <c r="AH148" i="45"/>
  <c r="AH149" i="45"/>
  <c r="AH150" i="45"/>
  <c r="AH151" i="45"/>
  <c r="AH152" i="45"/>
  <c r="AH153" i="45"/>
  <c r="AH154" i="45"/>
  <c r="AH155" i="45"/>
  <c r="AH156" i="45"/>
  <c r="AH157" i="45"/>
  <c r="AH158" i="45"/>
  <c r="AH159" i="45"/>
  <c r="AH160" i="45"/>
  <c r="AH161" i="45"/>
  <c r="AH162" i="45"/>
  <c r="AH163" i="45"/>
  <c r="AH164" i="45"/>
  <c r="AH165" i="45"/>
  <c r="AH166" i="45"/>
  <c r="AH167" i="45"/>
  <c r="AH168" i="45"/>
  <c r="AH169" i="45"/>
  <c r="AH170" i="45"/>
  <c r="AH171" i="45"/>
  <c r="AH172" i="45"/>
  <c r="AH173" i="45"/>
  <c r="AH174" i="45"/>
  <c r="AH175" i="45"/>
  <c r="AH176" i="45"/>
  <c r="AH177" i="45"/>
  <c r="AH178" i="45"/>
  <c r="AH179" i="45"/>
  <c r="AH180" i="45"/>
  <c r="AH181" i="45"/>
  <c r="AH182" i="45"/>
  <c r="AH183" i="45"/>
  <c r="AH184" i="45"/>
  <c r="AH185" i="45"/>
  <c r="AH186" i="45"/>
  <c r="AH187" i="45"/>
  <c r="AH188" i="45"/>
  <c r="AH189" i="45"/>
  <c r="AH190" i="45"/>
  <c r="AH191" i="45"/>
  <c r="AH192" i="45"/>
  <c r="AH193" i="45"/>
  <c r="AH194" i="45"/>
  <c r="AH195" i="45"/>
  <c r="AH196" i="45"/>
  <c r="AH197" i="45"/>
  <c r="AH198" i="45"/>
  <c r="AH199" i="45"/>
  <c r="AH200" i="45"/>
  <c r="AH201" i="45"/>
  <c r="AH202" i="45"/>
  <c r="AH203" i="45"/>
  <c r="AH204" i="45"/>
  <c r="AH205" i="45"/>
  <c r="AH206" i="45"/>
  <c r="AH207" i="45"/>
  <c r="AH208" i="45"/>
  <c r="AH209" i="45"/>
  <c r="AH210" i="45"/>
  <c r="AH211" i="45"/>
  <c r="AH212" i="45"/>
  <c r="AH213" i="45"/>
  <c r="AH214" i="45"/>
  <c r="AH215" i="45"/>
  <c r="AH216" i="45"/>
  <c r="AH217" i="45"/>
  <c r="AH218" i="45"/>
  <c r="AH219" i="45"/>
  <c r="AH220" i="45"/>
  <c r="AH221" i="45"/>
  <c r="AH222" i="45"/>
  <c r="AH223" i="45"/>
  <c r="AH224" i="45"/>
  <c r="AH225" i="45"/>
  <c r="AH226" i="45"/>
  <c r="AH227" i="45"/>
  <c r="AH228" i="45"/>
  <c r="AH229" i="45"/>
  <c r="AH230" i="45"/>
  <c r="AH231" i="45"/>
  <c r="AH232" i="45"/>
  <c r="AH233" i="45"/>
  <c r="AH234" i="45"/>
  <c r="AH235" i="45"/>
  <c r="AH236" i="45"/>
  <c r="AH237" i="45"/>
  <c r="AH238" i="45"/>
  <c r="AH239" i="45"/>
  <c r="AH240" i="45"/>
  <c r="AH241" i="45"/>
  <c r="AH242" i="45"/>
  <c r="AH243" i="45"/>
  <c r="AH244" i="45"/>
  <c r="AH245" i="45"/>
  <c r="AH246" i="45"/>
  <c r="AH247" i="45"/>
  <c r="AH248" i="45"/>
  <c r="M43" i="46" l="1"/>
  <c r="M67" i="44"/>
  <c r="M68" i="44"/>
  <c r="M69" i="44"/>
  <c r="M70" i="44"/>
  <c r="M71" i="44"/>
  <c r="M72" i="44"/>
  <c r="M73" i="44"/>
  <c r="M74" i="44"/>
  <c r="M75" i="44"/>
  <c r="M76" i="44"/>
  <c r="M77" i="44"/>
  <c r="M78" i="44"/>
  <c r="M79" i="44"/>
  <c r="M80" i="44"/>
  <c r="M81" i="44"/>
  <c r="M82" i="44"/>
  <c r="M83" i="44"/>
  <c r="M84" i="44"/>
  <c r="M85" i="44"/>
  <c r="M86" i="44"/>
  <c r="M41" i="44"/>
  <c r="M42" i="44"/>
  <c r="M43" i="44"/>
  <c r="M44" i="44"/>
  <c r="M45" i="44"/>
  <c r="M46" i="44"/>
  <c r="M47" i="44"/>
  <c r="M48" i="44"/>
  <c r="M49" i="44"/>
  <c r="M50" i="44"/>
  <c r="M51" i="44"/>
  <c r="M52" i="44"/>
  <c r="M53" i="44"/>
  <c r="M54" i="44"/>
  <c r="M55" i="44"/>
  <c r="M56" i="44"/>
  <c r="M57" i="44"/>
  <c r="M58" i="44"/>
  <c r="M59" i="44"/>
  <c r="M60" i="44"/>
  <c r="M16" i="44"/>
  <c r="M17" i="44"/>
  <c r="M18" i="44"/>
  <c r="M19" i="44"/>
  <c r="M20" i="44"/>
  <c r="M21" i="44"/>
  <c r="M22" i="44"/>
  <c r="M23" i="44"/>
  <c r="M24" i="44"/>
  <c r="M25" i="44"/>
  <c r="M26" i="44"/>
  <c r="M27" i="44"/>
  <c r="M28" i="44"/>
  <c r="M29" i="44"/>
  <c r="M30" i="44"/>
  <c r="M31" i="44"/>
  <c r="M32" i="44"/>
  <c r="M33" i="44"/>
  <c r="M34" i="44"/>
  <c r="O17" i="43"/>
  <c r="O42" i="42"/>
  <c r="O43" i="42"/>
  <c r="O44" i="42"/>
  <c r="O45" i="42"/>
  <c r="O46" i="42"/>
  <c r="O47" i="42"/>
  <c r="O48" i="42"/>
  <c r="O49" i="42"/>
  <c r="O50" i="42"/>
  <c r="O51" i="42"/>
  <c r="O52" i="42"/>
  <c r="O53" i="42"/>
  <c r="O54" i="42"/>
  <c r="O55" i="42"/>
  <c r="O56" i="42"/>
  <c r="O57" i="42"/>
  <c r="O58" i="42"/>
  <c r="O59" i="42"/>
  <c r="O60" i="42"/>
  <c r="O61" i="42"/>
  <c r="M42" i="41"/>
  <c r="M43" i="41"/>
  <c r="M44" i="41"/>
  <c r="M45" i="41"/>
  <c r="M46" i="41"/>
  <c r="M47" i="41"/>
  <c r="M48" i="41"/>
  <c r="M49" i="41"/>
  <c r="M50" i="41"/>
  <c r="M51" i="41"/>
  <c r="M52" i="41"/>
  <c r="M53" i="41"/>
  <c r="M54" i="41"/>
  <c r="M55" i="41"/>
  <c r="M56" i="41"/>
  <c r="M57" i="41"/>
  <c r="M58" i="41"/>
  <c r="M59" i="41"/>
  <c r="M60" i="41"/>
  <c r="M61" i="41"/>
  <c r="M17" i="41"/>
  <c r="M18" i="41"/>
  <c r="M19" i="41"/>
  <c r="M20" i="41"/>
  <c r="M21" i="41"/>
  <c r="M22" i="41"/>
  <c r="M23" i="41"/>
  <c r="M24" i="41"/>
  <c r="M25" i="41"/>
  <c r="M26" i="41"/>
  <c r="M27" i="41"/>
  <c r="M28" i="41"/>
  <c r="M29" i="41"/>
  <c r="M30" i="41"/>
  <c r="M31" i="41"/>
  <c r="M32" i="41"/>
  <c r="M33" i="41"/>
  <c r="M34" i="41"/>
  <c r="M35" i="41"/>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O16" i="39"/>
  <c r="O17" i="39"/>
  <c r="O18" i="39"/>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O59" i="39"/>
  <c r="O60" i="39"/>
  <c r="O61" i="39"/>
  <c r="O62" i="39"/>
  <c r="O63" i="39"/>
  <c r="O64" i="39"/>
  <c r="O65" i="39"/>
  <c r="O66" i="39"/>
  <c r="O67" i="39"/>
  <c r="O68" i="39"/>
  <c r="O69" i="39"/>
  <c r="O70" i="39"/>
  <c r="O71" i="39"/>
  <c r="O72" i="39"/>
  <c r="O73" i="39"/>
  <c r="O74" i="39"/>
  <c r="O75" i="39"/>
  <c r="O76" i="39"/>
  <c r="O77" i="39"/>
  <c r="O78" i="39"/>
  <c r="O79" i="39"/>
  <c r="O80" i="39"/>
  <c r="O81" i="39"/>
  <c r="O82" i="39"/>
  <c r="O83" i="39"/>
  <c r="O84" i="39"/>
  <c r="O85" i="39"/>
  <c r="O86" i="39"/>
  <c r="O87" i="39"/>
  <c r="O88" i="39"/>
  <c r="O89" i="39"/>
  <c r="O90" i="39"/>
  <c r="O91" i="39"/>
  <c r="O92" i="39"/>
  <c r="O93" i="39"/>
  <c r="O94" i="39"/>
  <c r="O95" i="39"/>
  <c r="O96" i="39"/>
  <c r="O97" i="39"/>
  <c r="O98" i="39"/>
  <c r="O99" i="39"/>
  <c r="O100" i="39"/>
  <c r="O101" i="39"/>
  <c r="O102" i="39"/>
  <c r="O103" i="39"/>
  <c r="O104" i="39"/>
  <c r="O105" i="39"/>
  <c r="O106" i="39"/>
  <c r="O107" i="39"/>
  <c r="O108" i="39"/>
  <c r="O109" i="39"/>
  <c r="O110"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O134" i="39"/>
  <c r="O135" i="39"/>
  <c r="O136" i="39"/>
  <c r="O137" i="39"/>
  <c r="O138" i="39"/>
  <c r="O139" i="39"/>
  <c r="O140" i="39"/>
  <c r="O141" i="39"/>
  <c r="O142" i="39"/>
  <c r="O143" i="39"/>
  <c r="O144" i="39"/>
  <c r="O145" i="39"/>
  <c r="O146" i="39"/>
  <c r="O147" i="39"/>
  <c r="O148" i="39"/>
  <c r="O149" i="39"/>
  <c r="O150" i="39"/>
  <c r="O151" i="39"/>
  <c r="O152" i="39"/>
  <c r="O153" i="39"/>
  <c r="O154" i="39"/>
  <c r="O155" i="39"/>
  <c r="O156" i="39"/>
  <c r="O157" i="39"/>
  <c r="O158" i="39"/>
  <c r="O159" i="39"/>
  <c r="O160" i="39"/>
  <c r="O161" i="39"/>
  <c r="O162" i="39"/>
  <c r="O163" i="39"/>
  <c r="O164" i="39"/>
  <c r="O165" i="39"/>
  <c r="O166" i="39"/>
  <c r="O167" i="39"/>
  <c r="O168" i="39"/>
  <c r="O169" i="39"/>
  <c r="O170" i="39"/>
  <c r="O171" i="39"/>
  <c r="O172" i="39"/>
  <c r="O173" i="39"/>
  <c r="O174" i="39"/>
  <c r="O175" i="39"/>
  <c r="O176" i="39"/>
  <c r="O177" i="39"/>
  <c r="O178" i="39"/>
  <c r="O179" i="39"/>
  <c r="O180" i="39"/>
  <c r="O181" i="39"/>
  <c r="O182" i="39"/>
  <c r="O183" i="39"/>
  <c r="O184" i="39"/>
  <c r="O185" i="39"/>
  <c r="O186" i="39"/>
  <c r="O187" i="39"/>
  <c r="O188" i="39"/>
  <c r="O189" i="39"/>
  <c r="O190" i="39"/>
  <c r="O191" i="39"/>
  <c r="O192" i="39"/>
  <c r="O193" i="39"/>
  <c r="O194" i="39"/>
  <c r="O195" i="39"/>
  <c r="O196" i="39"/>
  <c r="O197" i="39"/>
  <c r="O198" i="39"/>
  <c r="O199" i="39"/>
  <c r="O200" i="39"/>
  <c r="O201" i="39"/>
  <c r="O202" i="39"/>
  <c r="O203" i="39"/>
  <c r="O204" i="39"/>
  <c r="O205" i="39"/>
  <c r="O206" i="39"/>
  <c r="O207" i="39"/>
  <c r="O208" i="39"/>
  <c r="O209" i="39"/>
  <c r="O210" i="39"/>
  <c r="O211" i="39"/>
  <c r="O212" i="39"/>
  <c r="O213" i="39"/>
  <c r="O214" i="39"/>
  <c r="O215" i="39"/>
  <c r="O216" i="39"/>
  <c r="O217" i="39"/>
  <c r="O218" i="39"/>
  <c r="O219" i="39"/>
  <c r="O220" i="39"/>
  <c r="O221" i="39"/>
  <c r="O222" i="39"/>
  <c r="O223" i="39"/>
  <c r="O224" i="39"/>
  <c r="O225" i="39"/>
  <c r="O226" i="39"/>
  <c r="O227" i="39"/>
  <c r="O228" i="39"/>
  <c r="O229" i="39"/>
  <c r="O230" i="39"/>
  <c r="O231" i="39"/>
  <c r="O232" i="39"/>
  <c r="O233" i="39"/>
  <c r="O234" i="39"/>
  <c r="O235" i="39"/>
  <c r="O236" i="39"/>
  <c r="O237" i="39"/>
  <c r="O238" i="39"/>
  <c r="O239" i="39"/>
  <c r="O240" i="39"/>
  <c r="O241" i="39"/>
  <c r="O242" i="39"/>
  <c r="O243" i="39"/>
  <c r="O244" i="39"/>
  <c r="O245" i="39"/>
  <c r="O246" i="39"/>
  <c r="O247" i="39"/>
  <c r="O248" i="39"/>
  <c r="O249" i="39"/>
  <c r="O250" i="39"/>
  <c r="O251" i="39"/>
  <c r="O252" i="39"/>
  <c r="O253" i="39"/>
  <c r="O254" i="39"/>
  <c r="O255" i="39"/>
  <c r="O256" i="39"/>
  <c r="O257" i="39"/>
  <c r="O258" i="39"/>
  <c r="O259" i="39"/>
  <c r="O260" i="39"/>
  <c r="O261" i="39"/>
  <c r="O262" i="39"/>
  <c r="O263" i="39"/>
  <c r="O264" i="39"/>
  <c r="O265" i="39"/>
  <c r="O266" i="39"/>
  <c r="O267" i="39"/>
  <c r="O268" i="39"/>
  <c r="O269" i="39"/>
  <c r="O270" i="39"/>
  <c r="O271" i="39"/>
  <c r="O272" i="39"/>
  <c r="O273" i="39"/>
  <c r="O274" i="39"/>
  <c r="O275" i="39"/>
  <c r="O276" i="39"/>
  <c r="O277" i="39"/>
  <c r="O278" i="39"/>
  <c r="O279" i="39"/>
  <c r="O280" i="39"/>
  <c r="O281" i="39"/>
  <c r="O282" i="39"/>
  <c r="O283" i="39"/>
  <c r="O284" i="39"/>
  <c r="O285" i="39"/>
  <c r="O286" i="39"/>
  <c r="O287" i="39"/>
  <c r="O288" i="39"/>
  <c r="O289" i="39"/>
  <c r="O290" i="39"/>
  <c r="O291" i="39"/>
  <c r="O292" i="39"/>
  <c r="O293" i="39"/>
  <c r="O294" i="39"/>
  <c r="O295" i="39"/>
  <c r="O296" i="39"/>
  <c r="O297" i="39"/>
  <c r="O298" i="39"/>
  <c r="O299" i="39"/>
  <c r="O300" i="39"/>
  <c r="O301" i="39"/>
  <c r="O302" i="39"/>
  <c r="O303" i="39"/>
  <c r="O304" i="39"/>
  <c r="O305" i="39"/>
  <c r="O306" i="39"/>
  <c r="O307" i="39"/>
  <c r="O308" i="39"/>
  <c r="O309" i="39"/>
  <c r="O310" i="39"/>
  <c r="O311" i="39"/>
  <c r="O312" i="39"/>
  <c r="O313" i="39"/>
  <c r="O314" i="39"/>
  <c r="O315" i="39"/>
  <c r="O316" i="39"/>
  <c r="O317" i="39"/>
  <c r="O318" i="39"/>
  <c r="O319" i="39"/>
  <c r="O320" i="39"/>
  <c r="O321" i="39"/>
  <c r="O322" i="39"/>
  <c r="O323" i="39"/>
  <c r="O324" i="39"/>
  <c r="O325" i="39"/>
  <c r="O326" i="39"/>
  <c r="O327" i="39"/>
  <c r="O328" i="39"/>
  <c r="O329" i="39"/>
  <c r="O330" i="39"/>
  <c r="O331" i="39"/>
  <c r="O332" i="39"/>
  <c r="O333" i="39"/>
  <c r="O334" i="39"/>
  <c r="O335" i="39"/>
  <c r="O336" i="39"/>
  <c r="O337" i="39"/>
  <c r="O338" i="39"/>
  <c r="O339" i="39"/>
  <c r="O340" i="39"/>
  <c r="O341" i="39"/>
  <c r="O342" i="39"/>
  <c r="O343" i="39"/>
  <c r="O344" i="39"/>
  <c r="O345" i="39"/>
  <c r="O346" i="39"/>
  <c r="O347" i="39"/>
  <c r="O348" i="39"/>
  <c r="O349" i="39"/>
  <c r="O350" i="39"/>
  <c r="O351" i="39"/>
  <c r="O352" i="39"/>
  <c r="O353" i="39"/>
  <c r="O354" i="39"/>
  <c r="O355" i="39"/>
  <c r="O356" i="39"/>
  <c r="O357" i="39"/>
  <c r="O358" i="39"/>
  <c r="O359" i="39"/>
  <c r="O360" i="39"/>
  <c r="O361" i="39"/>
  <c r="O362" i="39"/>
  <c r="O363" i="39"/>
  <c r="O364" i="39"/>
  <c r="O365" i="39"/>
  <c r="O366" i="39"/>
  <c r="O367" i="39"/>
  <c r="O368" i="39"/>
  <c r="O369" i="39"/>
  <c r="O370" i="39"/>
  <c r="O371" i="39"/>
  <c r="O372" i="39"/>
  <c r="O373" i="39"/>
  <c r="O374" i="39"/>
  <c r="O375" i="39"/>
  <c r="O376" i="39"/>
  <c r="O377" i="39"/>
  <c r="O378" i="39"/>
  <c r="O379" i="39"/>
  <c r="O380" i="39"/>
  <c r="O381" i="39"/>
  <c r="O382" i="39"/>
  <c r="O383" i="39"/>
  <c r="O384" i="39"/>
  <c r="O385" i="39"/>
  <c r="O386" i="39"/>
  <c r="O387" i="39"/>
  <c r="O388" i="39"/>
  <c r="O389" i="39"/>
  <c r="O390" i="39"/>
  <c r="O391" i="39"/>
  <c r="O392" i="39"/>
  <c r="O393" i="39"/>
  <c r="O394" i="39"/>
  <c r="O395" i="39"/>
  <c r="O396" i="39"/>
  <c r="O397" i="39"/>
  <c r="O398" i="39"/>
  <c r="O399" i="39"/>
  <c r="O400" i="39"/>
  <c r="O401" i="39"/>
  <c r="O402" i="39"/>
  <c r="O403" i="39"/>
  <c r="O404" i="39"/>
  <c r="O405" i="39"/>
  <c r="O406" i="39"/>
  <c r="O407" i="39"/>
  <c r="O408" i="39"/>
  <c r="O409" i="39"/>
  <c r="O410" i="39"/>
  <c r="O411" i="39"/>
  <c r="O412" i="39"/>
  <c r="O413" i="39"/>
  <c r="O414" i="39"/>
  <c r="O415" i="39"/>
  <c r="O416" i="39"/>
  <c r="O417" i="39"/>
  <c r="O418" i="39"/>
  <c r="O419" i="39"/>
  <c r="O420" i="39"/>
  <c r="O421" i="39"/>
  <c r="O422" i="39"/>
  <c r="O423" i="39"/>
  <c r="O424" i="39"/>
  <c r="O425" i="39"/>
  <c r="O426" i="39"/>
  <c r="O427" i="39"/>
  <c r="O428" i="39"/>
  <c r="O429" i="39"/>
  <c r="O430" i="39"/>
  <c r="O431" i="39"/>
  <c r="O432" i="39"/>
  <c r="O433" i="39"/>
  <c r="O434" i="39"/>
  <c r="O435" i="39"/>
  <c r="O436" i="39"/>
  <c r="O437" i="39"/>
  <c r="O438" i="39"/>
  <c r="O439" i="39"/>
  <c r="O440" i="39"/>
  <c r="O441" i="39"/>
  <c r="O442" i="39"/>
  <c r="O443" i="39"/>
  <c r="O444" i="39"/>
  <c r="O445" i="39"/>
  <c r="O446" i="39"/>
  <c r="O447" i="39"/>
  <c r="O448" i="39"/>
  <c r="O449" i="39"/>
  <c r="O450" i="39"/>
  <c r="O451" i="39"/>
  <c r="O452" i="39"/>
  <c r="O453" i="39"/>
  <c r="O454" i="39"/>
  <c r="O455" i="39"/>
  <c r="O456" i="39"/>
  <c r="O457" i="39"/>
  <c r="O458" i="39"/>
  <c r="O459" i="39"/>
  <c r="O460" i="39"/>
  <c r="O461" i="39"/>
  <c r="O462" i="39"/>
  <c r="O463" i="39"/>
  <c r="O464" i="39"/>
  <c r="O465" i="39"/>
  <c r="O466" i="39"/>
  <c r="O467" i="39"/>
  <c r="O468" i="39"/>
  <c r="O469" i="39"/>
  <c r="O470" i="39"/>
  <c r="O471" i="39"/>
  <c r="O472" i="39"/>
  <c r="O473" i="39"/>
  <c r="O474" i="39"/>
  <c r="O475" i="39"/>
  <c r="O476" i="39"/>
  <c r="O477" i="39"/>
  <c r="O478" i="39"/>
  <c r="O479" i="39"/>
  <c r="O480" i="39"/>
  <c r="O481" i="39"/>
  <c r="O482" i="39"/>
  <c r="O483" i="39"/>
  <c r="O484" i="39"/>
  <c r="O485" i="39"/>
  <c r="O486" i="39"/>
  <c r="O487" i="39"/>
  <c r="O488" i="39"/>
  <c r="O489" i="39"/>
  <c r="O490" i="39"/>
  <c r="O491" i="39"/>
  <c r="O492" i="39"/>
  <c r="O493" i="39"/>
  <c r="O494" i="39"/>
  <c r="O495" i="39"/>
  <c r="O496" i="39"/>
  <c r="O497" i="39"/>
  <c r="O498" i="39"/>
  <c r="O499" i="39"/>
  <c r="O500" i="39"/>
  <c r="O501" i="39"/>
  <c r="O502" i="39"/>
  <c r="O503" i="39"/>
  <c r="O504" i="39"/>
  <c r="O505" i="39"/>
  <c r="O506" i="39"/>
  <c r="O507" i="39"/>
  <c r="O508" i="39"/>
  <c r="O509" i="39"/>
  <c r="O510" i="39"/>
  <c r="O511" i="39"/>
  <c r="O512" i="39"/>
  <c r="O513" i="39"/>
  <c r="O514" i="39"/>
  <c r="O16" i="43" l="1"/>
  <c r="N29" i="38" l="1"/>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302" i="37"/>
  <c r="M303" i="37"/>
  <c r="M304" i="37"/>
  <c r="M305" i="37"/>
  <c r="M306" i="37"/>
  <c r="M307" i="37"/>
  <c r="M308" i="37"/>
  <c r="M309" i="37"/>
  <c r="M310" i="37"/>
  <c r="M311" i="37"/>
  <c r="M312" i="37"/>
  <c r="M313" i="37"/>
  <c r="M314" i="37"/>
  <c r="M315" i="37"/>
  <c r="M316" i="37"/>
  <c r="M317" i="37"/>
  <c r="M318" i="37"/>
  <c r="M319" i="37"/>
  <c r="M320" i="37"/>
  <c r="M321" i="37"/>
  <c r="M322" i="37"/>
  <c r="M323" i="37"/>
  <c r="M324" i="37"/>
  <c r="M325" i="37"/>
  <c r="M326" i="37"/>
  <c r="M327" i="37"/>
  <c r="M328" i="37"/>
  <c r="M329" i="37"/>
  <c r="M330" i="37"/>
  <c r="M331" i="37"/>
  <c r="M332" i="37"/>
  <c r="M333" i="37"/>
  <c r="M334" i="37"/>
  <c r="M335" i="37"/>
  <c r="M336" i="37"/>
  <c r="M337" i="37"/>
  <c r="M338" i="37"/>
  <c r="M339" i="37"/>
  <c r="M340" i="37"/>
  <c r="M341" i="37"/>
  <c r="M342" i="37"/>
  <c r="M343" i="37"/>
  <c r="M344" i="37"/>
  <c r="M345" i="37"/>
  <c r="M346" i="37"/>
  <c r="M347" i="37"/>
  <c r="M348" i="37"/>
  <c r="M349" i="37"/>
  <c r="M350" i="37"/>
  <c r="M351" i="37"/>
  <c r="M352" i="37"/>
  <c r="M353" i="37"/>
  <c r="M354" i="37"/>
  <c r="M355" i="37"/>
  <c r="M356" i="37"/>
  <c r="M357" i="37"/>
  <c r="M358" i="37"/>
  <c r="M359" i="37"/>
  <c r="M360" i="37"/>
  <c r="M361" i="37"/>
  <c r="M362" i="37"/>
  <c r="M363" i="37"/>
  <c r="M364" i="37"/>
  <c r="M365" i="37"/>
  <c r="M366" i="37"/>
  <c r="M367" i="37"/>
  <c r="M368" i="37"/>
  <c r="M369" i="37"/>
  <c r="M370" i="37"/>
  <c r="M371" i="37"/>
  <c r="M372" i="37"/>
  <c r="M373" i="37"/>
  <c r="M374" i="37"/>
  <c r="M375" i="37"/>
  <c r="M376" i="37"/>
  <c r="M377" i="37"/>
  <c r="M378" i="37"/>
  <c r="M379" i="37"/>
  <c r="M380" i="37"/>
  <c r="M381" i="37"/>
  <c r="M382" i="37"/>
  <c r="M383" i="37"/>
  <c r="M384" i="37"/>
  <c r="M385" i="37"/>
  <c r="M386" i="37"/>
  <c r="M387" i="37"/>
  <c r="M388" i="37"/>
  <c r="M389" i="37"/>
  <c r="M390" i="37"/>
  <c r="M391" i="37"/>
  <c r="M392" i="37"/>
  <c r="M393" i="37"/>
  <c r="M394" i="37"/>
  <c r="M395" i="37"/>
  <c r="M396" i="37"/>
  <c r="M397" i="37"/>
  <c r="M398" i="37"/>
  <c r="M399" i="37"/>
  <c r="M400" i="37"/>
  <c r="M401" i="37"/>
  <c r="M402" i="37"/>
  <c r="M403" i="37"/>
  <c r="M404" i="37"/>
  <c r="M405" i="37"/>
  <c r="M406" i="37"/>
  <c r="M407" i="37"/>
  <c r="M408" i="37"/>
  <c r="M409" i="37"/>
  <c r="M410" i="37"/>
  <c r="M411" i="37"/>
  <c r="M412" i="37"/>
  <c r="M413" i="37"/>
  <c r="M414" i="37"/>
  <c r="M415" i="37"/>
  <c r="M416" i="37"/>
  <c r="M417" i="37"/>
  <c r="M418" i="37"/>
  <c r="M419" i="37"/>
  <c r="M420" i="37"/>
  <c r="M421" i="37"/>
  <c r="M422" i="37"/>
  <c r="M423" i="37"/>
  <c r="M424" i="37"/>
  <c r="M425" i="37"/>
  <c r="M426" i="37"/>
  <c r="M427" i="37"/>
  <c r="M428" i="37"/>
  <c r="M429" i="37"/>
  <c r="M430" i="37"/>
  <c r="M431" i="37"/>
  <c r="M432" i="37"/>
  <c r="M433" i="37"/>
  <c r="M434" i="37"/>
  <c r="M435" i="37"/>
  <c r="M436" i="37"/>
  <c r="M437" i="37"/>
  <c r="M438" i="37"/>
  <c r="M439" i="37"/>
  <c r="M440" i="37"/>
  <c r="M441" i="37"/>
  <c r="M442" i="37"/>
  <c r="M443" i="37"/>
  <c r="M444" i="37"/>
  <c r="M445" i="37"/>
  <c r="M446" i="37"/>
  <c r="M447" i="37"/>
  <c r="M448" i="37"/>
  <c r="M449" i="37"/>
  <c r="M450" i="37"/>
  <c r="M451" i="37"/>
  <c r="M452" i="37"/>
  <c r="M453" i="37"/>
  <c r="M454" i="37"/>
  <c r="M455" i="37"/>
  <c r="M456" i="37"/>
  <c r="M457" i="37"/>
  <c r="M458" i="37"/>
  <c r="M459" i="37"/>
  <c r="M460" i="37"/>
  <c r="M461" i="37"/>
  <c r="M462" i="37"/>
  <c r="M463" i="37"/>
  <c r="M464" i="37"/>
  <c r="M465" i="37"/>
  <c r="M466" i="37"/>
  <c r="M467" i="37"/>
  <c r="M468" i="37"/>
  <c r="M469" i="37"/>
  <c r="M470" i="37"/>
  <c r="M471" i="37"/>
  <c r="M472" i="37"/>
  <c r="M473" i="37"/>
  <c r="M474" i="37"/>
  <c r="M475" i="37"/>
  <c r="M476" i="37"/>
  <c r="M477" i="37"/>
  <c r="M478" i="37"/>
  <c r="M479" i="37"/>
  <c r="M480" i="37"/>
  <c r="M481" i="37"/>
  <c r="M482" i="37"/>
  <c r="M483" i="37"/>
  <c r="M484" i="37"/>
  <c r="M485" i="37"/>
  <c r="M486" i="37"/>
  <c r="M487" i="37"/>
  <c r="M488" i="37"/>
  <c r="M489" i="37"/>
  <c r="M490" i="37"/>
  <c r="M491" i="37"/>
  <c r="M492" i="37"/>
  <c r="M493" i="37"/>
  <c r="M494" i="37"/>
  <c r="M495" i="37"/>
  <c r="M496" i="37"/>
  <c r="M497" i="37"/>
  <c r="M498" i="37"/>
  <c r="M499" i="37"/>
  <c r="M500" i="37"/>
  <c r="M501" i="37"/>
  <c r="M502" i="37"/>
  <c r="M503" i="37"/>
  <c r="M504" i="37"/>
  <c r="M505" i="37"/>
  <c r="M506" i="37"/>
  <c r="M507" i="37"/>
  <c r="M508" i="37"/>
  <c r="M509" i="37"/>
  <c r="M510" i="37"/>
  <c r="M511" i="37"/>
  <c r="M512" i="37"/>
  <c r="R15" i="50"/>
  <c r="R16" i="50"/>
  <c r="R17" i="50"/>
  <c r="R18" i="50"/>
  <c r="R19" i="50"/>
  <c r="R20" i="50"/>
  <c r="R21" i="50"/>
  <c r="R22" i="50"/>
  <c r="R23" i="50"/>
  <c r="R24" i="50"/>
  <c r="R25" i="50"/>
  <c r="R26" i="50"/>
  <c r="R27" i="50"/>
  <c r="R28" i="50"/>
  <c r="R29" i="50"/>
  <c r="R30" i="50"/>
  <c r="R31" i="50"/>
  <c r="R32" i="50"/>
  <c r="R33" i="50"/>
  <c r="R34" i="50"/>
  <c r="R35" i="50"/>
  <c r="R36" i="50"/>
  <c r="R37" i="50"/>
  <c r="R38" i="50"/>
  <c r="R39" i="50"/>
  <c r="R40" i="50"/>
  <c r="R41" i="50"/>
  <c r="R42" i="50"/>
  <c r="R43" i="50"/>
  <c r="R44" i="50"/>
  <c r="R45" i="50"/>
  <c r="R46" i="50"/>
  <c r="R47" i="50"/>
  <c r="R48" i="50"/>
  <c r="R49" i="50"/>
  <c r="R50" i="50"/>
  <c r="R51" i="50"/>
  <c r="R52" i="50"/>
  <c r="R53" i="50"/>
  <c r="R54" i="50"/>
  <c r="R55" i="50"/>
  <c r="R56" i="50"/>
  <c r="R57" i="50"/>
  <c r="R58" i="50"/>
  <c r="R59" i="50"/>
  <c r="R60" i="50"/>
  <c r="R61" i="50"/>
  <c r="R62" i="50"/>
  <c r="R63" i="50"/>
  <c r="R64" i="50"/>
  <c r="R65" i="50"/>
  <c r="R66" i="50"/>
  <c r="R67" i="50"/>
  <c r="R68" i="50"/>
  <c r="R69" i="50"/>
  <c r="R70" i="50"/>
  <c r="R71" i="50"/>
  <c r="R72" i="50"/>
  <c r="R73" i="50"/>
  <c r="R74" i="50"/>
  <c r="R75" i="50"/>
  <c r="R76" i="50"/>
  <c r="R77" i="50"/>
  <c r="R78" i="50"/>
  <c r="R79" i="50"/>
  <c r="R80" i="50"/>
  <c r="R81" i="50"/>
  <c r="R82" i="50"/>
  <c r="R83" i="50"/>
  <c r="R84" i="50"/>
  <c r="R85" i="50"/>
  <c r="R86" i="50"/>
  <c r="R87" i="50"/>
  <c r="R88" i="50"/>
  <c r="R89" i="50"/>
  <c r="R90" i="50"/>
  <c r="R91" i="50"/>
  <c r="R92" i="50"/>
  <c r="R93" i="50"/>
  <c r="R94" i="50"/>
  <c r="R14" i="50"/>
  <c r="G52" i="36" a="1"/>
  <c r="G52" i="36" s="1"/>
  <c r="M89" i="46"/>
  <c r="M88" i="46"/>
  <c r="M87" i="46"/>
  <c r="M86" i="46"/>
  <c r="M85" i="46"/>
  <c r="M84" i="46"/>
  <c r="M83" i="46"/>
  <c r="M82" i="46"/>
  <c r="M81" i="46"/>
  <c r="M80" i="46"/>
  <c r="M79" i="46"/>
  <c r="M78" i="46"/>
  <c r="M77" i="46"/>
  <c r="M76" i="46"/>
  <c r="M75" i="46"/>
  <c r="M74" i="46"/>
  <c r="M73" i="46"/>
  <c r="M72" i="46"/>
  <c r="M71" i="46"/>
  <c r="M70" i="46"/>
  <c r="M69" i="46"/>
  <c r="M15" i="44"/>
  <c r="O41" i="42"/>
  <c r="O40" i="42" s="1"/>
  <c r="M41" i="41"/>
  <c r="M16" i="41"/>
  <c r="N15" i="40"/>
  <c r="N28" i="38"/>
  <c r="R13" i="50" l="1"/>
  <c r="H52" i="36" s="1"/>
  <c r="AL14" i="50" l="1"/>
  <c r="AL15" i="50"/>
  <c r="AL16" i="50"/>
  <c r="AL17" i="50"/>
  <c r="AL18" i="50"/>
  <c r="AL19" i="50"/>
  <c r="AL20" i="50"/>
  <c r="AL21" i="50"/>
  <c r="AL22" i="50"/>
  <c r="AL23" i="50"/>
  <c r="AL24" i="50"/>
  <c r="AL25" i="50"/>
  <c r="AL26" i="50"/>
  <c r="AL27" i="50"/>
  <c r="AL28" i="50"/>
  <c r="AL29" i="50"/>
  <c r="AL30" i="50"/>
  <c r="AL31" i="50"/>
  <c r="AL32" i="50"/>
  <c r="AL33" i="50"/>
  <c r="AL34" i="50"/>
  <c r="AL35" i="50"/>
  <c r="AL36" i="50"/>
  <c r="AL37" i="50"/>
  <c r="AL38" i="50"/>
  <c r="AL39" i="50"/>
  <c r="AL40" i="50"/>
  <c r="AL41" i="50"/>
  <c r="AL42" i="50"/>
  <c r="AL43" i="50"/>
  <c r="AL44" i="50"/>
  <c r="AL45" i="50"/>
  <c r="AL46" i="50"/>
  <c r="AL47" i="50"/>
  <c r="AL48" i="50"/>
  <c r="AL49" i="50"/>
  <c r="AL50" i="50"/>
  <c r="AL51" i="50"/>
  <c r="AL52" i="50"/>
  <c r="AL53" i="50"/>
  <c r="AL54" i="50"/>
  <c r="AL55" i="50"/>
  <c r="AL56" i="50"/>
  <c r="AL57" i="50"/>
  <c r="AL58" i="50"/>
  <c r="AL59" i="50"/>
  <c r="AL60" i="50"/>
  <c r="AL61" i="50"/>
  <c r="AL62" i="50"/>
  <c r="AL63" i="50"/>
  <c r="AL64" i="50"/>
  <c r="AL65" i="50"/>
  <c r="AL66" i="50"/>
  <c r="AL67" i="50"/>
  <c r="AL68" i="50"/>
  <c r="AL69" i="50"/>
  <c r="AL70" i="50"/>
  <c r="AL71" i="50"/>
  <c r="AL72" i="50"/>
  <c r="AL73" i="50"/>
  <c r="AL74" i="50"/>
  <c r="AL75" i="50"/>
  <c r="AL76" i="50"/>
  <c r="AL77" i="50"/>
  <c r="AL78" i="50"/>
  <c r="AL79" i="50"/>
  <c r="AL80" i="50"/>
  <c r="AL81" i="50"/>
  <c r="AL82" i="50"/>
  <c r="AL83" i="50"/>
  <c r="AL84" i="50"/>
  <c r="AL85" i="50"/>
  <c r="AL86" i="50"/>
  <c r="AL87" i="50"/>
  <c r="AL88" i="50"/>
  <c r="AL89" i="50"/>
  <c r="AL90" i="50"/>
  <c r="AL91" i="50"/>
  <c r="AL92" i="50"/>
  <c r="AL93" i="50"/>
  <c r="AL94" i="50"/>
  <c r="AC94" i="50" l="1"/>
  <c r="AC93" i="50"/>
  <c r="AC92" i="50"/>
  <c r="AC91" i="50"/>
  <c r="AC90" i="50"/>
  <c r="AC89" i="50"/>
  <c r="AC88" i="50"/>
  <c r="AC87" i="50"/>
  <c r="AC86" i="50"/>
  <c r="AC85" i="50"/>
  <c r="AC84" i="50"/>
  <c r="AC83" i="50"/>
  <c r="AC82" i="50"/>
  <c r="AC81" i="50"/>
  <c r="AC80" i="50"/>
  <c r="AC79" i="50"/>
  <c r="AC78" i="50"/>
  <c r="AC77" i="50"/>
  <c r="AC76" i="50"/>
  <c r="AC75" i="50"/>
  <c r="AC74" i="50"/>
  <c r="AC73" i="50"/>
  <c r="AC72" i="50"/>
  <c r="AC71" i="50"/>
  <c r="AC70" i="50"/>
  <c r="AC69" i="50"/>
  <c r="AC68" i="50"/>
  <c r="AC67" i="50"/>
  <c r="AC66" i="50"/>
  <c r="AC65" i="50"/>
  <c r="AC64" i="50"/>
  <c r="AC63" i="50"/>
  <c r="AC62" i="50"/>
  <c r="AC61" i="50"/>
  <c r="AC60" i="50"/>
  <c r="AC59" i="50"/>
  <c r="AC58" i="50"/>
  <c r="AC57" i="50"/>
  <c r="AC56" i="50"/>
  <c r="AC55" i="50"/>
  <c r="AC54" i="50"/>
  <c r="AC53" i="50"/>
  <c r="AC52" i="50"/>
  <c r="AC51" i="50"/>
  <c r="AC50" i="50"/>
  <c r="AC49" i="50"/>
  <c r="AC48" i="50"/>
  <c r="AC47" i="50"/>
  <c r="AC46" i="50"/>
  <c r="AC45" i="50"/>
  <c r="AC44" i="50"/>
  <c r="AC43" i="50"/>
  <c r="AC42" i="50"/>
  <c r="AC41" i="50"/>
  <c r="AC40" i="50"/>
  <c r="AC39" i="50"/>
  <c r="AC38" i="50"/>
  <c r="AC37" i="50"/>
  <c r="AC36" i="50"/>
  <c r="AC35" i="50"/>
  <c r="AC34" i="50"/>
  <c r="AC33" i="50"/>
  <c r="AC32" i="50"/>
  <c r="AC31" i="50"/>
  <c r="AC30" i="50"/>
  <c r="AC29" i="50"/>
  <c r="AC28" i="50"/>
  <c r="AC27" i="50"/>
  <c r="AC26" i="50"/>
  <c r="AC25" i="50"/>
  <c r="AC24" i="50"/>
  <c r="AC23" i="50"/>
  <c r="AC22" i="50"/>
  <c r="AC21" i="50"/>
  <c r="AC20" i="50"/>
  <c r="AC19" i="50"/>
  <c r="AC18" i="50"/>
  <c r="AC17" i="50"/>
  <c r="AC16" i="50"/>
  <c r="AC15" i="50"/>
  <c r="AC14" i="50"/>
  <c r="AF14" i="50" l="1"/>
  <c r="AF15" i="50"/>
  <c r="AF16" i="50"/>
  <c r="AF17" i="50"/>
  <c r="AF18" i="50"/>
  <c r="AF19" i="50"/>
  <c r="AF20" i="50"/>
  <c r="AF21" i="50"/>
  <c r="AF22" i="50"/>
  <c r="AF23" i="50"/>
  <c r="AF24" i="50"/>
  <c r="AF25" i="50"/>
  <c r="AF26" i="50"/>
  <c r="AF27" i="50"/>
  <c r="AF28" i="50"/>
  <c r="AF29" i="50"/>
  <c r="AF30" i="50"/>
  <c r="AF31" i="50"/>
  <c r="AF32" i="50"/>
  <c r="AF33" i="50"/>
  <c r="AF34" i="50"/>
  <c r="AF35" i="50"/>
  <c r="AF36" i="50"/>
  <c r="AF37" i="50"/>
  <c r="AF38" i="50"/>
  <c r="AF39" i="50"/>
  <c r="AF40" i="50"/>
  <c r="AF41" i="50"/>
  <c r="AF42" i="50"/>
  <c r="AF43" i="50"/>
  <c r="AF44" i="50"/>
  <c r="AF45" i="50"/>
  <c r="AF46" i="50"/>
  <c r="AF47" i="50"/>
  <c r="AF48" i="50"/>
  <c r="AF49" i="50"/>
  <c r="AF50" i="50"/>
  <c r="AF51" i="50"/>
  <c r="AF52" i="50"/>
  <c r="AF53" i="50"/>
  <c r="AF54" i="50"/>
  <c r="AF55" i="50"/>
  <c r="AF56" i="50"/>
  <c r="AF57" i="50"/>
  <c r="AF58" i="50"/>
  <c r="AF59" i="50"/>
  <c r="AF60" i="50"/>
  <c r="AF61" i="50"/>
  <c r="AF62" i="50"/>
  <c r="AF63" i="50"/>
  <c r="AF64" i="50"/>
  <c r="AF65" i="50"/>
  <c r="AF66" i="50"/>
  <c r="AF67" i="50"/>
  <c r="AF68" i="50"/>
  <c r="AF69" i="50"/>
  <c r="AF70" i="50"/>
  <c r="AF71" i="50"/>
  <c r="AF72" i="50"/>
  <c r="AF73" i="50"/>
  <c r="AF74" i="50"/>
  <c r="AF75" i="50"/>
  <c r="AF76" i="50"/>
  <c r="AF77" i="50"/>
  <c r="AF78" i="50"/>
  <c r="AF79" i="50"/>
  <c r="AF80" i="50"/>
  <c r="AF81" i="50"/>
  <c r="AF82" i="50"/>
  <c r="AF83" i="50"/>
  <c r="AF84" i="50"/>
  <c r="AF85" i="50"/>
  <c r="AF86" i="50"/>
  <c r="AF87" i="50"/>
  <c r="AF88" i="50"/>
  <c r="AF89" i="50"/>
  <c r="AF90" i="50"/>
  <c r="AF91" i="50"/>
  <c r="AF92" i="50"/>
  <c r="AF93" i="50"/>
  <c r="AF94" i="50"/>
  <c r="AS121" i="56" l="1"/>
  <c r="AS122" i="56"/>
  <c r="AS123" i="56"/>
  <c r="AS124" i="56"/>
  <c r="AS125" i="56"/>
  <c r="AS126" i="56"/>
  <c r="AS127" i="56"/>
  <c r="AS128" i="56"/>
  <c r="AS129" i="56"/>
  <c r="AS130" i="56"/>
  <c r="AS131" i="56"/>
  <c r="AS132" i="56"/>
  <c r="AS133" i="56"/>
  <c r="AS134" i="56"/>
  <c r="AS135" i="56"/>
  <c r="AS136" i="56"/>
  <c r="AS137" i="56"/>
  <c r="AS138" i="56"/>
  <c r="AS139" i="56"/>
  <c r="AS140" i="56"/>
  <c r="AS141" i="56"/>
  <c r="AS142" i="56"/>
  <c r="AS143" i="56"/>
  <c r="AS144" i="56"/>
  <c r="AS145" i="56"/>
  <c r="AS146" i="56"/>
  <c r="AS147" i="56"/>
  <c r="AS148" i="56"/>
  <c r="AS149" i="56"/>
  <c r="AS150" i="56"/>
  <c r="AS151" i="56"/>
  <c r="AS152" i="56"/>
  <c r="AS153" i="56"/>
  <c r="AS154" i="56"/>
  <c r="AS155" i="56"/>
  <c r="AS156" i="56"/>
  <c r="AS157" i="56"/>
  <c r="AS158" i="56"/>
  <c r="AS159" i="56"/>
  <c r="AS160" i="56"/>
  <c r="AS161" i="56"/>
  <c r="AS162" i="56"/>
  <c r="AS163" i="56"/>
  <c r="AS164" i="56"/>
  <c r="AS165" i="56"/>
  <c r="AS166" i="56"/>
  <c r="AS167" i="56"/>
  <c r="AS168" i="56"/>
  <c r="AS169" i="56"/>
  <c r="AS170" i="56"/>
  <c r="AS171" i="56"/>
  <c r="AS172" i="56"/>
  <c r="AS173" i="56"/>
  <c r="AS174" i="56"/>
  <c r="AS175" i="56"/>
  <c r="AS176" i="56"/>
  <c r="AS177" i="56"/>
  <c r="AS178" i="56"/>
  <c r="AS179" i="56"/>
  <c r="AS180" i="56"/>
  <c r="AS181" i="56"/>
  <c r="AS182" i="56"/>
  <c r="AS183" i="56"/>
  <c r="AS184" i="56"/>
  <c r="AS185" i="56"/>
  <c r="AS186" i="56"/>
  <c r="AS187" i="56"/>
  <c r="AS188" i="56"/>
  <c r="AS189" i="56"/>
  <c r="AS190" i="56"/>
  <c r="AS191" i="56"/>
  <c r="AS192" i="56"/>
  <c r="AS193" i="56"/>
  <c r="AS194" i="56"/>
  <c r="AS195" i="56"/>
  <c r="AS196" i="56"/>
  <c r="AS197" i="56"/>
  <c r="AS198" i="56"/>
  <c r="AS199" i="56"/>
  <c r="AS200" i="56"/>
  <c r="AS201" i="56"/>
  <c r="AS202" i="56"/>
  <c r="AS203" i="56"/>
  <c r="AS204" i="56"/>
  <c r="AS205" i="56"/>
  <c r="AS206" i="56"/>
  <c r="AS207" i="56"/>
  <c r="AS208" i="56"/>
  <c r="AS209" i="56"/>
  <c r="AS210" i="56"/>
  <c r="AS211" i="56"/>
  <c r="AS212" i="56"/>
  <c r="AS213" i="56"/>
  <c r="AS214" i="56"/>
  <c r="AS215" i="56"/>
  <c r="AS216" i="56"/>
  <c r="AS217" i="56"/>
  <c r="AS218" i="56"/>
  <c r="AS219" i="56"/>
  <c r="AS220" i="56"/>
  <c r="AS221" i="56"/>
  <c r="AS15" i="56"/>
  <c r="AS16" i="56"/>
  <c r="AS17" i="56"/>
  <c r="AS18" i="56"/>
  <c r="AS19" i="56"/>
  <c r="AS20" i="56"/>
  <c r="AS21" i="56"/>
  <c r="AS22" i="56"/>
  <c r="AS23" i="56"/>
  <c r="AS24" i="56"/>
  <c r="AS25" i="56"/>
  <c r="AS26" i="56"/>
  <c r="AS27" i="56"/>
  <c r="AS28" i="56"/>
  <c r="AS29" i="56"/>
  <c r="AS30" i="56"/>
  <c r="AS31" i="56"/>
  <c r="AS32" i="56"/>
  <c r="AS33" i="56"/>
  <c r="AS34" i="56"/>
  <c r="AS35" i="56"/>
  <c r="AS36" i="56"/>
  <c r="AS37" i="56"/>
  <c r="AS38" i="56"/>
  <c r="AS39" i="56"/>
  <c r="AS40" i="56"/>
  <c r="AS41" i="56"/>
  <c r="AS42" i="56"/>
  <c r="AS43" i="56"/>
  <c r="AS44" i="56"/>
  <c r="AS45" i="56"/>
  <c r="AS46" i="56"/>
  <c r="AS47" i="56"/>
  <c r="AS48" i="56"/>
  <c r="AS49" i="56"/>
  <c r="AS50" i="56"/>
  <c r="AS51" i="56"/>
  <c r="AS52" i="56"/>
  <c r="AS53" i="56"/>
  <c r="AS54" i="56"/>
  <c r="AS55" i="56"/>
  <c r="AS56" i="56"/>
  <c r="AS57" i="56"/>
  <c r="AS58" i="56"/>
  <c r="AS59" i="56"/>
  <c r="AS60" i="56"/>
  <c r="AS61" i="56"/>
  <c r="AS62" i="56"/>
  <c r="AS63" i="56"/>
  <c r="AS64" i="56"/>
  <c r="AS65" i="56"/>
  <c r="AS66" i="56"/>
  <c r="AS67" i="56"/>
  <c r="AS68" i="56"/>
  <c r="AS69" i="56"/>
  <c r="AS70" i="56"/>
  <c r="AS71" i="56"/>
  <c r="AS72" i="56"/>
  <c r="AS73" i="56"/>
  <c r="AS74" i="56"/>
  <c r="AS75" i="56"/>
  <c r="AS76" i="56"/>
  <c r="AS77" i="56"/>
  <c r="AS78" i="56"/>
  <c r="AS79" i="56"/>
  <c r="AS80" i="56"/>
  <c r="AS81" i="56"/>
  <c r="AS82" i="56"/>
  <c r="AS83" i="56"/>
  <c r="AS84" i="56"/>
  <c r="AS85" i="56"/>
  <c r="AS86" i="56"/>
  <c r="AS87" i="56"/>
  <c r="AS88" i="56"/>
  <c r="AS89" i="56"/>
  <c r="AS90" i="56"/>
  <c r="AS91" i="56"/>
  <c r="AS92" i="56"/>
  <c r="AS93" i="56"/>
  <c r="AS94" i="56"/>
  <c r="AS95" i="56"/>
  <c r="AS96" i="56"/>
  <c r="AS97" i="56"/>
  <c r="AS98" i="56"/>
  <c r="AS99" i="56"/>
  <c r="AS100" i="56"/>
  <c r="AS101" i="56"/>
  <c r="AS102" i="56"/>
  <c r="AS103" i="56"/>
  <c r="AS104" i="56"/>
  <c r="AS105" i="56"/>
  <c r="AS106" i="56"/>
  <c r="AS107" i="56"/>
  <c r="AS108" i="56"/>
  <c r="AS109" i="56"/>
  <c r="AS110" i="56"/>
  <c r="AS111" i="56"/>
  <c r="AS112" i="56"/>
  <c r="AS113" i="56"/>
  <c r="AS114" i="56"/>
  <c r="AS115" i="56"/>
  <c r="AU121" i="56"/>
  <c r="AU122" i="56"/>
  <c r="AU123" i="56"/>
  <c r="AU124" i="56"/>
  <c r="AU125" i="56"/>
  <c r="AU126" i="56"/>
  <c r="AU127" i="56"/>
  <c r="AU128" i="56"/>
  <c r="AU129" i="56"/>
  <c r="AU130" i="56"/>
  <c r="AU131" i="56"/>
  <c r="AU132" i="56"/>
  <c r="AU133" i="56"/>
  <c r="AU134" i="56"/>
  <c r="AU135" i="56"/>
  <c r="AU136" i="56"/>
  <c r="AU137" i="56"/>
  <c r="AU138" i="56"/>
  <c r="AU139" i="56"/>
  <c r="AU140" i="56"/>
  <c r="AU141" i="56"/>
  <c r="AU142" i="56"/>
  <c r="AU143" i="56"/>
  <c r="AU144" i="56"/>
  <c r="AU145" i="56"/>
  <c r="AU146" i="56"/>
  <c r="AU147" i="56"/>
  <c r="AU148" i="56"/>
  <c r="AU149" i="56"/>
  <c r="AU150" i="56"/>
  <c r="AU151" i="56"/>
  <c r="AU152" i="56"/>
  <c r="AU153" i="56"/>
  <c r="AU154" i="56"/>
  <c r="AU155" i="56"/>
  <c r="AU156" i="56"/>
  <c r="AU157" i="56"/>
  <c r="AU158" i="56"/>
  <c r="AU159" i="56"/>
  <c r="AU160" i="56"/>
  <c r="AU161" i="56"/>
  <c r="AU162" i="56"/>
  <c r="AU163" i="56"/>
  <c r="AU164" i="56"/>
  <c r="AU165" i="56"/>
  <c r="AU166" i="56"/>
  <c r="AU167" i="56"/>
  <c r="AU168" i="56"/>
  <c r="AU169" i="56"/>
  <c r="AU170" i="56"/>
  <c r="AU171" i="56"/>
  <c r="AU172" i="56"/>
  <c r="AU173" i="56"/>
  <c r="AU174" i="56"/>
  <c r="AU175" i="56"/>
  <c r="AU176" i="56"/>
  <c r="AU177" i="56"/>
  <c r="AU178" i="56"/>
  <c r="AU179" i="56"/>
  <c r="AU180" i="56"/>
  <c r="AU181" i="56"/>
  <c r="AU182" i="56"/>
  <c r="AU183" i="56"/>
  <c r="AU184" i="56"/>
  <c r="AU185" i="56"/>
  <c r="AU186" i="56"/>
  <c r="AU187" i="56"/>
  <c r="AU188" i="56"/>
  <c r="AU189" i="56"/>
  <c r="AU190" i="56"/>
  <c r="AU191" i="56"/>
  <c r="AU192" i="56"/>
  <c r="AU193" i="56"/>
  <c r="AU194" i="56"/>
  <c r="AU195" i="56"/>
  <c r="AU196" i="56"/>
  <c r="AU197" i="56"/>
  <c r="AU198" i="56"/>
  <c r="AU199" i="56"/>
  <c r="AU200" i="56"/>
  <c r="AU201" i="56"/>
  <c r="AU202" i="56"/>
  <c r="AU203" i="56"/>
  <c r="AU204" i="56"/>
  <c r="AU205" i="56"/>
  <c r="AU206" i="56"/>
  <c r="AU207" i="56"/>
  <c r="AU208" i="56"/>
  <c r="AU209" i="56"/>
  <c r="AU210" i="56"/>
  <c r="AU211" i="56"/>
  <c r="AU212" i="56"/>
  <c r="AU213" i="56"/>
  <c r="AU214" i="56"/>
  <c r="AU215" i="56"/>
  <c r="AU216" i="56"/>
  <c r="AU217" i="56"/>
  <c r="AU218" i="56"/>
  <c r="AU219" i="56"/>
  <c r="AU220" i="56"/>
  <c r="AU221" i="56"/>
  <c r="AT121" i="56"/>
  <c r="AT122" i="56"/>
  <c r="AT123" i="56"/>
  <c r="AT124" i="56"/>
  <c r="AT125" i="56"/>
  <c r="AT126" i="56"/>
  <c r="AT127" i="56"/>
  <c r="AT128" i="56"/>
  <c r="AT129" i="56"/>
  <c r="AT130" i="56"/>
  <c r="AT131" i="56"/>
  <c r="AT132" i="56"/>
  <c r="AT133" i="56"/>
  <c r="AT134" i="56"/>
  <c r="AT135" i="56"/>
  <c r="AT136" i="56"/>
  <c r="AT137" i="56"/>
  <c r="AT138" i="56"/>
  <c r="AT139" i="56"/>
  <c r="AT140" i="56"/>
  <c r="AT141" i="56"/>
  <c r="AT142" i="56"/>
  <c r="AT143" i="56"/>
  <c r="AT144" i="56"/>
  <c r="AT145" i="56"/>
  <c r="AT146" i="56"/>
  <c r="AT147" i="56"/>
  <c r="AT148" i="56"/>
  <c r="AT149" i="56"/>
  <c r="AT150" i="56"/>
  <c r="AT151" i="56"/>
  <c r="AT152" i="56"/>
  <c r="AT153" i="56"/>
  <c r="AT154" i="56"/>
  <c r="AT155" i="56"/>
  <c r="AT156" i="56"/>
  <c r="AT157" i="56"/>
  <c r="AT158" i="56"/>
  <c r="AT159" i="56"/>
  <c r="AT160" i="56"/>
  <c r="AT161" i="56"/>
  <c r="AT162" i="56"/>
  <c r="AT163" i="56"/>
  <c r="AT164" i="56"/>
  <c r="AT165" i="56"/>
  <c r="AT166" i="56"/>
  <c r="AT167" i="56"/>
  <c r="AT168" i="56"/>
  <c r="AT169" i="56"/>
  <c r="AT170" i="56"/>
  <c r="AT171" i="56"/>
  <c r="AT172" i="56"/>
  <c r="AT173" i="56"/>
  <c r="AT174" i="56"/>
  <c r="AT175" i="56"/>
  <c r="AT176" i="56"/>
  <c r="AT177" i="56"/>
  <c r="AT178" i="56"/>
  <c r="AT179" i="56"/>
  <c r="AT180" i="56"/>
  <c r="AT181" i="56"/>
  <c r="AT182" i="56"/>
  <c r="AT183" i="56"/>
  <c r="AT184" i="56"/>
  <c r="AT185" i="56"/>
  <c r="AT186" i="56"/>
  <c r="AT187" i="56"/>
  <c r="AT188" i="56"/>
  <c r="AT189" i="56"/>
  <c r="AT190" i="56"/>
  <c r="AT191" i="56"/>
  <c r="AT192" i="56"/>
  <c r="AT193" i="56"/>
  <c r="AT194" i="56"/>
  <c r="AT195" i="56"/>
  <c r="AT196" i="56"/>
  <c r="AT197" i="56"/>
  <c r="AT198" i="56"/>
  <c r="AT199" i="56"/>
  <c r="AT200" i="56"/>
  <c r="AT201" i="56"/>
  <c r="AT202" i="56"/>
  <c r="AT203" i="56"/>
  <c r="AT204" i="56"/>
  <c r="AT205" i="56"/>
  <c r="AT206" i="56"/>
  <c r="AT207" i="56"/>
  <c r="AT208" i="56"/>
  <c r="AT209" i="56"/>
  <c r="AT210" i="56"/>
  <c r="AT211" i="56"/>
  <c r="AT212" i="56"/>
  <c r="AT213" i="56"/>
  <c r="AT214" i="56"/>
  <c r="AT215" i="56"/>
  <c r="AT216" i="56"/>
  <c r="AT217" i="56"/>
  <c r="AT218" i="56"/>
  <c r="AT219" i="56"/>
  <c r="AT220" i="56"/>
  <c r="AT221" i="56"/>
  <c r="AR121" i="56"/>
  <c r="AR122" i="56"/>
  <c r="AR123" i="56"/>
  <c r="AR124" i="56"/>
  <c r="AR125" i="56"/>
  <c r="AR126" i="56"/>
  <c r="AR127" i="56"/>
  <c r="AR128" i="56"/>
  <c r="AR129" i="56"/>
  <c r="AR130" i="56"/>
  <c r="AR131" i="56"/>
  <c r="AR132" i="56"/>
  <c r="AR133" i="56"/>
  <c r="AR134" i="56"/>
  <c r="AR135" i="56"/>
  <c r="AR136" i="56"/>
  <c r="AR137" i="56"/>
  <c r="AR138" i="56"/>
  <c r="AR139" i="56"/>
  <c r="AR140" i="56"/>
  <c r="AR141" i="56"/>
  <c r="AR142" i="56"/>
  <c r="AR143" i="56"/>
  <c r="AR144" i="56"/>
  <c r="AR145" i="56"/>
  <c r="AR146" i="56"/>
  <c r="AR147" i="56"/>
  <c r="AR148" i="56"/>
  <c r="AR149" i="56"/>
  <c r="AR150" i="56"/>
  <c r="AR151" i="56"/>
  <c r="AR152" i="56"/>
  <c r="AR153" i="56"/>
  <c r="AR154" i="56"/>
  <c r="AR155" i="56"/>
  <c r="AR156" i="56"/>
  <c r="AR157" i="56"/>
  <c r="AR158" i="56"/>
  <c r="AR159" i="56"/>
  <c r="AR160" i="56"/>
  <c r="AR161" i="56"/>
  <c r="AR162" i="56"/>
  <c r="AR163" i="56"/>
  <c r="AR164" i="56"/>
  <c r="AR165" i="56"/>
  <c r="AR166" i="56"/>
  <c r="AR167" i="56"/>
  <c r="AR168" i="56"/>
  <c r="AR169" i="56"/>
  <c r="AR170" i="56"/>
  <c r="AR171" i="56"/>
  <c r="AR172" i="56"/>
  <c r="AR173" i="56"/>
  <c r="AR174" i="56"/>
  <c r="AR175" i="56"/>
  <c r="AR176" i="56"/>
  <c r="AR177" i="56"/>
  <c r="AR178" i="56"/>
  <c r="AR179" i="56"/>
  <c r="AR180" i="56"/>
  <c r="AR181" i="56"/>
  <c r="AR182" i="56"/>
  <c r="AR183" i="56"/>
  <c r="AR184" i="56"/>
  <c r="AR185" i="56"/>
  <c r="AR186" i="56"/>
  <c r="AR187" i="56"/>
  <c r="AR188" i="56"/>
  <c r="AR189" i="56"/>
  <c r="AR190" i="56"/>
  <c r="AR191" i="56"/>
  <c r="AR192" i="56"/>
  <c r="AR193" i="56"/>
  <c r="AR194" i="56"/>
  <c r="AR195" i="56"/>
  <c r="AR196" i="56"/>
  <c r="AR197" i="56"/>
  <c r="AR198" i="56"/>
  <c r="AR199" i="56"/>
  <c r="AR200" i="56"/>
  <c r="AR201" i="56"/>
  <c r="AR202" i="56"/>
  <c r="AR203" i="56"/>
  <c r="AR204" i="56"/>
  <c r="AR205" i="56"/>
  <c r="AR206" i="56"/>
  <c r="AR207" i="56"/>
  <c r="AR208" i="56"/>
  <c r="AR209" i="56"/>
  <c r="AR210" i="56"/>
  <c r="AR211" i="56"/>
  <c r="AR212" i="56"/>
  <c r="AR213" i="56"/>
  <c r="AR214" i="56"/>
  <c r="AR215" i="56"/>
  <c r="AR216" i="56"/>
  <c r="AR217" i="56"/>
  <c r="AR218" i="56"/>
  <c r="AR219" i="56"/>
  <c r="AR220" i="56"/>
  <c r="AR221" i="56"/>
  <c r="AQ121" i="56"/>
  <c r="AQ122" i="56"/>
  <c r="AQ123" i="56"/>
  <c r="AQ124" i="56"/>
  <c r="AQ125" i="56"/>
  <c r="AQ126" i="56"/>
  <c r="AQ127" i="56"/>
  <c r="AQ128" i="56"/>
  <c r="AQ129" i="56"/>
  <c r="AQ130" i="56"/>
  <c r="AQ131" i="56"/>
  <c r="AQ132" i="56"/>
  <c r="AQ133" i="56"/>
  <c r="AQ134" i="56"/>
  <c r="AQ135" i="56"/>
  <c r="AQ136" i="56"/>
  <c r="AQ137" i="56"/>
  <c r="AQ138" i="56"/>
  <c r="AQ139" i="56"/>
  <c r="AQ140" i="56"/>
  <c r="AQ141" i="56"/>
  <c r="AQ142" i="56"/>
  <c r="AQ143" i="56"/>
  <c r="AQ144" i="56"/>
  <c r="AQ145" i="56"/>
  <c r="AQ146" i="56"/>
  <c r="AQ147" i="56"/>
  <c r="AQ148" i="56"/>
  <c r="AQ149" i="56"/>
  <c r="AQ150" i="56"/>
  <c r="AQ151" i="56"/>
  <c r="AQ152" i="56"/>
  <c r="AQ153" i="56"/>
  <c r="AQ154" i="56"/>
  <c r="AQ155" i="56"/>
  <c r="AQ156" i="56"/>
  <c r="AQ157" i="56"/>
  <c r="AQ158" i="56"/>
  <c r="AQ159" i="56"/>
  <c r="AQ160" i="56"/>
  <c r="AQ161" i="56"/>
  <c r="AQ162" i="56"/>
  <c r="AQ163" i="56"/>
  <c r="AQ164" i="56"/>
  <c r="AQ165" i="56"/>
  <c r="AQ166" i="56"/>
  <c r="AQ167" i="56"/>
  <c r="AQ168" i="56"/>
  <c r="AQ169" i="56"/>
  <c r="AQ170" i="56"/>
  <c r="AQ171" i="56"/>
  <c r="AQ172" i="56"/>
  <c r="AQ173" i="56"/>
  <c r="AQ174" i="56"/>
  <c r="AQ175" i="56"/>
  <c r="AQ176" i="56"/>
  <c r="AQ177" i="56"/>
  <c r="AQ178" i="56"/>
  <c r="AQ179" i="56"/>
  <c r="AQ180" i="56"/>
  <c r="AQ181" i="56"/>
  <c r="AQ182" i="56"/>
  <c r="AQ183" i="56"/>
  <c r="AQ184" i="56"/>
  <c r="AQ185" i="56"/>
  <c r="AQ186" i="56"/>
  <c r="AQ187" i="56"/>
  <c r="AQ188" i="56"/>
  <c r="AQ189" i="56"/>
  <c r="AQ190" i="56"/>
  <c r="AQ191" i="56"/>
  <c r="AQ192" i="56"/>
  <c r="AQ193" i="56"/>
  <c r="AQ194" i="56"/>
  <c r="AQ195" i="56"/>
  <c r="AQ196" i="56"/>
  <c r="AQ197" i="56"/>
  <c r="AQ198" i="56"/>
  <c r="AQ199" i="56"/>
  <c r="AQ200" i="56"/>
  <c r="AQ201" i="56"/>
  <c r="AQ202" i="56"/>
  <c r="AQ203" i="56"/>
  <c r="AQ204" i="56"/>
  <c r="AQ205" i="56"/>
  <c r="AQ206" i="56"/>
  <c r="AQ207" i="56"/>
  <c r="AQ208" i="56"/>
  <c r="AQ209" i="56"/>
  <c r="AQ210" i="56"/>
  <c r="AQ211" i="56"/>
  <c r="AQ212" i="56"/>
  <c r="AQ213" i="56"/>
  <c r="AQ214" i="56"/>
  <c r="AQ215" i="56"/>
  <c r="AQ216" i="56"/>
  <c r="AQ217" i="56"/>
  <c r="AQ218" i="56"/>
  <c r="AQ219" i="56"/>
  <c r="AQ220" i="56"/>
  <c r="AQ221" i="56"/>
  <c r="AP121" i="56"/>
  <c r="AP122" i="56"/>
  <c r="AP123" i="56"/>
  <c r="AP124" i="56"/>
  <c r="AP125" i="56"/>
  <c r="AP126" i="56"/>
  <c r="AP127" i="56"/>
  <c r="AP128" i="56"/>
  <c r="AP129" i="56"/>
  <c r="AP130" i="56"/>
  <c r="AP131" i="56"/>
  <c r="AP132" i="56"/>
  <c r="AP133" i="56"/>
  <c r="AP134" i="56"/>
  <c r="AP135" i="56"/>
  <c r="AP136" i="56"/>
  <c r="AP137" i="56"/>
  <c r="AP138" i="56"/>
  <c r="AP139" i="56"/>
  <c r="AP140" i="56"/>
  <c r="AP141" i="56"/>
  <c r="AP142" i="56"/>
  <c r="AP143" i="56"/>
  <c r="AP144" i="56"/>
  <c r="AP145" i="56"/>
  <c r="AP146" i="56"/>
  <c r="AP147" i="56"/>
  <c r="AP148" i="56"/>
  <c r="AP149" i="56"/>
  <c r="AP150" i="56"/>
  <c r="AP151" i="56"/>
  <c r="AP152" i="56"/>
  <c r="AP153" i="56"/>
  <c r="AP154" i="56"/>
  <c r="AP155" i="56"/>
  <c r="AP156" i="56"/>
  <c r="AP157" i="56"/>
  <c r="AP158" i="56"/>
  <c r="AP159" i="56"/>
  <c r="AP160" i="56"/>
  <c r="AP161" i="56"/>
  <c r="AP162" i="56"/>
  <c r="AP163" i="56"/>
  <c r="AP164" i="56"/>
  <c r="AP165" i="56"/>
  <c r="AP166" i="56"/>
  <c r="AP167" i="56"/>
  <c r="AP168" i="56"/>
  <c r="AP169" i="56"/>
  <c r="AP170" i="56"/>
  <c r="AP171" i="56"/>
  <c r="AP172" i="56"/>
  <c r="AP173" i="56"/>
  <c r="AP174" i="56"/>
  <c r="AP175" i="56"/>
  <c r="AP176" i="56"/>
  <c r="AP177" i="56"/>
  <c r="AP178" i="56"/>
  <c r="AP179" i="56"/>
  <c r="AP180" i="56"/>
  <c r="AP181" i="56"/>
  <c r="AP182" i="56"/>
  <c r="AP183" i="56"/>
  <c r="AP184" i="56"/>
  <c r="AP185" i="56"/>
  <c r="AP186" i="56"/>
  <c r="AP187" i="56"/>
  <c r="AP188" i="56"/>
  <c r="AP189" i="56"/>
  <c r="AP190" i="56"/>
  <c r="AP191" i="56"/>
  <c r="AP192" i="56"/>
  <c r="AP193" i="56"/>
  <c r="AP194" i="56"/>
  <c r="AP195" i="56"/>
  <c r="AP196" i="56"/>
  <c r="AP197" i="56"/>
  <c r="AP198" i="56"/>
  <c r="AP199" i="56"/>
  <c r="AP200" i="56"/>
  <c r="AP201" i="56"/>
  <c r="AP202" i="56"/>
  <c r="AP203" i="56"/>
  <c r="AP204" i="56"/>
  <c r="AP205" i="56"/>
  <c r="AP206" i="56"/>
  <c r="AP207" i="56"/>
  <c r="AP208" i="56"/>
  <c r="AP209" i="56"/>
  <c r="AP210" i="56"/>
  <c r="AP211" i="56"/>
  <c r="AP212" i="56"/>
  <c r="AP213" i="56"/>
  <c r="AP214" i="56"/>
  <c r="AP215" i="56"/>
  <c r="AP216" i="56"/>
  <c r="AP217" i="56"/>
  <c r="AP218" i="56"/>
  <c r="AP219" i="56"/>
  <c r="AP220" i="56"/>
  <c r="AP221" i="56"/>
  <c r="AO121" i="56"/>
  <c r="AO122" i="56"/>
  <c r="AO123" i="56"/>
  <c r="AO124" i="56"/>
  <c r="AO125" i="56"/>
  <c r="AO126" i="56"/>
  <c r="AO127" i="56"/>
  <c r="AO128" i="56"/>
  <c r="AO129" i="56"/>
  <c r="AO130" i="56"/>
  <c r="AO131" i="56"/>
  <c r="AO132" i="56"/>
  <c r="AO133" i="56"/>
  <c r="AO134" i="56"/>
  <c r="AO135" i="56"/>
  <c r="AO136" i="56"/>
  <c r="AO137" i="56"/>
  <c r="AO138" i="56"/>
  <c r="AO139" i="56"/>
  <c r="AO140" i="56"/>
  <c r="AO141" i="56"/>
  <c r="AO142" i="56"/>
  <c r="AO143" i="56"/>
  <c r="AO144" i="56"/>
  <c r="AO145" i="56"/>
  <c r="AO146" i="56"/>
  <c r="AO147" i="56"/>
  <c r="AO148" i="56"/>
  <c r="AO149" i="56"/>
  <c r="AO150" i="56"/>
  <c r="AO151" i="56"/>
  <c r="AO152" i="56"/>
  <c r="AO153" i="56"/>
  <c r="AO154" i="56"/>
  <c r="AO155" i="56"/>
  <c r="AO156" i="56"/>
  <c r="AO157" i="56"/>
  <c r="AO158" i="56"/>
  <c r="AO159" i="56"/>
  <c r="AO160" i="56"/>
  <c r="AO161" i="56"/>
  <c r="AO162" i="56"/>
  <c r="AO163" i="56"/>
  <c r="AO164" i="56"/>
  <c r="AO165" i="56"/>
  <c r="AO166" i="56"/>
  <c r="AO167" i="56"/>
  <c r="AO168" i="56"/>
  <c r="AO169" i="56"/>
  <c r="AO170" i="56"/>
  <c r="AO171" i="56"/>
  <c r="AO172" i="56"/>
  <c r="AO173" i="56"/>
  <c r="AO174" i="56"/>
  <c r="AO175" i="56"/>
  <c r="AO176" i="56"/>
  <c r="AO177" i="56"/>
  <c r="AO178" i="56"/>
  <c r="AO179" i="56"/>
  <c r="AO180" i="56"/>
  <c r="AO181" i="56"/>
  <c r="AO182" i="56"/>
  <c r="AO183" i="56"/>
  <c r="AO184" i="56"/>
  <c r="AO185" i="56"/>
  <c r="AO186" i="56"/>
  <c r="AO187" i="56"/>
  <c r="AO188" i="56"/>
  <c r="AO189" i="56"/>
  <c r="AO190" i="56"/>
  <c r="AO191" i="56"/>
  <c r="AO192" i="56"/>
  <c r="AO193" i="56"/>
  <c r="AO194" i="56"/>
  <c r="AO195" i="56"/>
  <c r="AO196" i="56"/>
  <c r="AO197" i="56"/>
  <c r="AO198" i="56"/>
  <c r="AO199" i="56"/>
  <c r="AO200" i="56"/>
  <c r="AO201" i="56"/>
  <c r="AO202" i="56"/>
  <c r="AO203" i="56"/>
  <c r="AO204" i="56"/>
  <c r="AO205" i="56"/>
  <c r="AO206" i="56"/>
  <c r="AO207" i="56"/>
  <c r="AO208" i="56"/>
  <c r="AO209" i="56"/>
  <c r="AO210" i="56"/>
  <c r="AO211" i="56"/>
  <c r="AO212" i="56"/>
  <c r="AO213" i="56"/>
  <c r="AO214" i="56"/>
  <c r="AO215" i="56"/>
  <c r="AO216" i="56"/>
  <c r="AO217" i="56"/>
  <c r="AO218" i="56"/>
  <c r="AO219" i="56"/>
  <c r="AO220" i="56"/>
  <c r="AO221" i="56"/>
  <c r="AM121" i="56"/>
  <c r="AM122" i="56"/>
  <c r="AM123" i="56"/>
  <c r="AM124" i="56"/>
  <c r="AM125" i="56"/>
  <c r="AM126" i="56"/>
  <c r="AM127" i="56"/>
  <c r="AM128" i="56"/>
  <c r="AM129" i="56"/>
  <c r="AM130" i="56"/>
  <c r="AM131" i="56"/>
  <c r="AM132" i="56"/>
  <c r="AM133" i="56"/>
  <c r="AM134" i="56"/>
  <c r="AM135" i="56"/>
  <c r="AM136" i="56"/>
  <c r="AM137" i="56"/>
  <c r="AM138" i="56"/>
  <c r="AM139" i="56"/>
  <c r="AM140" i="56"/>
  <c r="AM141" i="56"/>
  <c r="AM142" i="56"/>
  <c r="AM143" i="56"/>
  <c r="AM144" i="56"/>
  <c r="AM145" i="56"/>
  <c r="AM146" i="56"/>
  <c r="AM147" i="56"/>
  <c r="AM148" i="56"/>
  <c r="AM149" i="56"/>
  <c r="AM150" i="56"/>
  <c r="AM151" i="56"/>
  <c r="AM152" i="56"/>
  <c r="AM153" i="56"/>
  <c r="AM154" i="56"/>
  <c r="AM155" i="56"/>
  <c r="AM156" i="56"/>
  <c r="AM157" i="56"/>
  <c r="AM158" i="56"/>
  <c r="AM159" i="56"/>
  <c r="AM160" i="56"/>
  <c r="AM161" i="56"/>
  <c r="AM162" i="56"/>
  <c r="AM163" i="56"/>
  <c r="AM164" i="56"/>
  <c r="AM165" i="56"/>
  <c r="AM166" i="56"/>
  <c r="AM167" i="56"/>
  <c r="AM168" i="56"/>
  <c r="AM169" i="56"/>
  <c r="AM170" i="56"/>
  <c r="AM171" i="56"/>
  <c r="AM172" i="56"/>
  <c r="AM173" i="56"/>
  <c r="AM174" i="56"/>
  <c r="AM175" i="56"/>
  <c r="AM176" i="56"/>
  <c r="AM177" i="56"/>
  <c r="AM178" i="56"/>
  <c r="AM179" i="56"/>
  <c r="AM180" i="56"/>
  <c r="AM181" i="56"/>
  <c r="AM182" i="56"/>
  <c r="AM183" i="56"/>
  <c r="AM184" i="56"/>
  <c r="AM185" i="56"/>
  <c r="AM186" i="56"/>
  <c r="AM187" i="56"/>
  <c r="AM188" i="56"/>
  <c r="AM189" i="56"/>
  <c r="AM190" i="56"/>
  <c r="AM191" i="56"/>
  <c r="AM192" i="56"/>
  <c r="AM193" i="56"/>
  <c r="AM194" i="56"/>
  <c r="AM195" i="56"/>
  <c r="AM196" i="56"/>
  <c r="AM197" i="56"/>
  <c r="AM198" i="56"/>
  <c r="AM199" i="56"/>
  <c r="AM200" i="56"/>
  <c r="AM201" i="56"/>
  <c r="AM202" i="56"/>
  <c r="AM203" i="56"/>
  <c r="AM204" i="56"/>
  <c r="AM205" i="56"/>
  <c r="AM206" i="56"/>
  <c r="AM207" i="56"/>
  <c r="AM208" i="56"/>
  <c r="AM209" i="56"/>
  <c r="AM210" i="56"/>
  <c r="AM211" i="56"/>
  <c r="AM212" i="56"/>
  <c r="AM213" i="56"/>
  <c r="AM214" i="56"/>
  <c r="AM215" i="56"/>
  <c r="AM216" i="56"/>
  <c r="AM217" i="56"/>
  <c r="AM218" i="56"/>
  <c r="AM219" i="56"/>
  <c r="AM220" i="56"/>
  <c r="AM221" i="56"/>
  <c r="AK121" i="56"/>
  <c r="AK122" i="56"/>
  <c r="AK123" i="56"/>
  <c r="AK124" i="56"/>
  <c r="AK125" i="56"/>
  <c r="AK126" i="56"/>
  <c r="AK127" i="56"/>
  <c r="AK128" i="56"/>
  <c r="AK129" i="56"/>
  <c r="AK130" i="56"/>
  <c r="AK131" i="56"/>
  <c r="AK132" i="56"/>
  <c r="AK133" i="56"/>
  <c r="AK134" i="56"/>
  <c r="AK135" i="56"/>
  <c r="AK136" i="56"/>
  <c r="AK137" i="56"/>
  <c r="AK138" i="56"/>
  <c r="AK139" i="56"/>
  <c r="AK140" i="56"/>
  <c r="AK141" i="56"/>
  <c r="AK142" i="56"/>
  <c r="AK143" i="56"/>
  <c r="AK144" i="56"/>
  <c r="AK145" i="56"/>
  <c r="AK146" i="56"/>
  <c r="AK147" i="56"/>
  <c r="AK148" i="56"/>
  <c r="AK149" i="56"/>
  <c r="AK150" i="56"/>
  <c r="AK151" i="56"/>
  <c r="AK152" i="56"/>
  <c r="AK153" i="56"/>
  <c r="AK154" i="56"/>
  <c r="AK155" i="56"/>
  <c r="AK156" i="56"/>
  <c r="AK157" i="56"/>
  <c r="AK158" i="56"/>
  <c r="AK159" i="56"/>
  <c r="AK160" i="56"/>
  <c r="AK161" i="56"/>
  <c r="AK162" i="56"/>
  <c r="AK163" i="56"/>
  <c r="AK164" i="56"/>
  <c r="AK165" i="56"/>
  <c r="AK166" i="56"/>
  <c r="AK167" i="56"/>
  <c r="AK168" i="56"/>
  <c r="AK169" i="56"/>
  <c r="AK170" i="56"/>
  <c r="AK171" i="56"/>
  <c r="AK172" i="56"/>
  <c r="AK173" i="56"/>
  <c r="AK174" i="56"/>
  <c r="AK175" i="56"/>
  <c r="AK176" i="56"/>
  <c r="AK177" i="56"/>
  <c r="AK178" i="56"/>
  <c r="AK179" i="56"/>
  <c r="AK180" i="56"/>
  <c r="AK181" i="56"/>
  <c r="AK182" i="56"/>
  <c r="AK183" i="56"/>
  <c r="AK184" i="56"/>
  <c r="AK185" i="56"/>
  <c r="AK186" i="56"/>
  <c r="AK187" i="56"/>
  <c r="AK188" i="56"/>
  <c r="AK189" i="56"/>
  <c r="AK190" i="56"/>
  <c r="AK191" i="56"/>
  <c r="AK192" i="56"/>
  <c r="AK193" i="56"/>
  <c r="AK194" i="56"/>
  <c r="AK195" i="56"/>
  <c r="AK196" i="56"/>
  <c r="AK197" i="56"/>
  <c r="AK198" i="56"/>
  <c r="AK199" i="56"/>
  <c r="AK200" i="56"/>
  <c r="AK201" i="56"/>
  <c r="AK202" i="56"/>
  <c r="AK203" i="56"/>
  <c r="AK204" i="56"/>
  <c r="AK205" i="56"/>
  <c r="AK206" i="56"/>
  <c r="AK207" i="56"/>
  <c r="AK208" i="56"/>
  <c r="AK209" i="56"/>
  <c r="AK210" i="56"/>
  <c r="AK211" i="56"/>
  <c r="AK212" i="56"/>
  <c r="AK213" i="56"/>
  <c r="AK214" i="56"/>
  <c r="AK215" i="56"/>
  <c r="AK216" i="56"/>
  <c r="AK217" i="56"/>
  <c r="AK218" i="56"/>
  <c r="AK219" i="56"/>
  <c r="AK220" i="56"/>
  <c r="AK221" i="56"/>
  <c r="AI121" i="56"/>
  <c r="AI122" i="56"/>
  <c r="AI123" i="56"/>
  <c r="AI124" i="56"/>
  <c r="AI125" i="56"/>
  <c r="AI126" i="56"/>
  <c r="AI127" i="56"/>
  <c r="AI128" i="56"/>
  <c r="AI129" i="56"/>
  <c r="AI130" i="56"/>
  <c r="AI131" i="56"/>
  <c r="AI132" i="56"/>
  <c r="AI133" i="56"/>
  <c r="AI134" i="56"/>
  <c r="AI135" i="56"/>
  <c r="AI136" i="56"/>
  <c r="AI137" i="56"/>
  <c r="AI138" i="56"/>
  <c r="AI139" i="56"/>
  <c r="AI140" i="56"/>
  <c r="AI141" i="56"/>
  <c r="AI142" i="56"/>
  <c r="AI143" i="56"/>
  <c r="AI144" i="56"/>
  <c r="AI145" i="56"/>
  <c r="AI146" i="56"/>
  <c r="AI147" i="56"/>
  <c r="AI148" i="56"/>
  <c r="AI149" i="56"/>
  <c r="AI150" i="56"/>
  <c r="AI151" i="56"/>
  <c r="AI152" i="56"/>
  <c r="AI153" i="56"/>
  <c r="AI154" i="56"/>
  <c r="AI155" i="56"/>
  <c r="AI156" i="56"/>
  <c r="AI157" i="56"/>
  <c r="AI158" i="56"/>
  <c r="AI159" i="56"/>
  <c r="AI160" i="56"/>
  <c r="AI161" i="56"/>
  <c r="AI162" i="56"/>
  <c r="AI163" i="56"/>
  <c r="AI164" i="56"/>
  <c r="AI165" i="56"/>
  <c r="AI166" i="56"/>
  <c r="AI167" i="56"/>
  <c r="AI168" i="56"/>
  <c r="AI169" i="56"/>
  <c r="AI170" i="56"/>
  <c r="AI171" i="56"/>
  <c r="AI172" i="56"/>
  <c r="AI173" i="56"/>
  <c r="AI174" i="56"/>
  <c r="AI175" i="56"/>
  <c r="AI176" i="56"/>
  <c r="AI177" i="56"/>
  <c r="AI178" i="56"/>
  <c r="AI179" i="56"/>
  <c r="AI180" i="56"/>
  <c r="AI181" i="56"/>
  <c r="AI182" i="56"/>
  <c r="AI183" i="56"/>
  <c r="AI184" i="56"/>
  <c r="AI185" i="56"/>
  <c r="AI186" i="56"/>
  <c r="AI187" i="56"/>
  <c r="AI188" i="56"/>
  <c r="AI189" i="56"/>
  <c r="AI190" i="56"/>
  <c r="AI191" i="56"/>
  <c r="AI192" i="56"/>
  <c r="AI193" i="56"/>
  <c r="AI194" i="56"/>
  <c r="AI195" i="56"/>
  <c r="AI196" i="56"/>
  <c r="AI197" i="56"/>
  <c r="AI198" i="56"/>
  <c r="AI199" i="56"/>
  <c r="AI200" i="56"/>
  <c r="AI201" i="56"/>
  <c r="AI202" i="56"/>
  <c r="AI203" i="56"/>
  <c r="AI204" i="56"/>
  <c r="AI205" i="56"/>
  <c r="AI206" i="56"/>
  <c r="AI207" i="56"/>
  <c r="AI208" i="56"/>
  <c r="AI209" i="56"/>
  <c r="AI210" i="56"/>
  <c r="AI211" i="56"/>
  <c r="AI212" i="56"/>
  <c r="AI213" i="56"/>
  <c r="AI214" i="56"/>
  <c r="AI215" i="56"/>
  <c r="AI216" i="56"/>
  <c r="AI217" i="56"/>
  <c r="AI218" i="56"/>
  <c r="AI219" i="56"/>
  <c r="AI220" i="56"/>
  <c r="AI221" i="56"/>
  <c r="AC121" i="56"/>
  <c r="AC122" i="56"/>
  <c r="AC123" i="56"/>
  <c r="AC124" i="56"/>
  <c r="AC125" i="56"/>
  <c r="AC126" i="56"/>
  <c r="AC127" i="56"/>
  <c r="AC128" i="56"/>
  <c r="AC129" i="56"/>
  <c r="AC130" i="56"/>
  <c r="AC131" i="56"/>
  <c r="AC132" i="56"/>
  <c r="AC133" i="56"/>
  <c r="AC134" i="56"/>
  <c r="AC135" i="56"/>
  <c r="AC136" i="56"/>
  <c r="AC137" i="56"/>
  <c r="AC138" i="56"/>
  <c r="AC139" i="56"/>
  <c r="AC140" i="56"/>
  <c r="AC141" i="56"/>
  <c r="AC142" i="56"/>
  <c r="AC143" i="56"/>
  <c r="AC144" i="56"/>
  <c r="AC145" i="56"/>
  <c r="AC146" i="56"/>
  <c r="AC147" i="56"/>
  <c r="AC148" i="56"/>
  <c r="AC149" i="56"/>
  <c r="AC150" i="56"/>
  <c r="AC151" i="56"/>
  <c r="AC152" i="56"/>
  <c r="AC153" i="56"/>
  <c r="AC154" i="56"/>
  <c r="AC155" i="56"/>
  <c r="AC156" i="56"/>
  <c r="AC157" i="56"/>
  <c r="AC158" i="56"/>
  <c r="AC159" i="56"/>
  <c r="AC160" i="56"/>
  <c r="AC161" i="56"/>
  <c r="AC162" i="56"/>
  <c r="AC163" i="56"/>
  <c r="AC164" i="56"/>
  <c r="AC165" i="56"/>
  <c r="AC166" i="56"/>
  <c r="AC167" i="56"/>
  <c r="AC168" i="56"/>
  <c r="AC169" i="56"/>
  <c r="AC170" i="56"/>
  <c r="AC171" i="56"/>
  <c r="AC172" i="56"/>
  <c r="AC173" i="56"/>
  <c r="AC174" i="56"/>
  <c r="AC175" i="56"/>
  <c r="AC176" i="56"/>
  <c r="AC177" i="56"/>
  <c r="AC178" i="56"/>
  <c r="AC179" i="56"/>
  <c r="AC180" i="56"/>
  <c r="AC181" i="56"/>
  <c r="AC182" i="56"/>
  <c r="AC183" i="56"/>
  <c r="AC184" i="56"/>
  <c r="AC185" i="56"/>
  <c r="AC186" i="56"/>
  <c r="AC187" i="56"/>
  <c r="AC188" i="56"/>
  <c r="AC189" i="56"/>
  <c r="AC190" i="56"/>
  <c r="AC191" i="56"/>
  <c r="AC192" i="56"/>
  <c r="AC193" i="56"/>
  <c r="AC194" i="56"/>
  <c r="AC195" i="56"/>
  <c r="AC196" i="56"/>
  <c r="AC197" i="56"/>
  <c r="AC198" i="56"/>
  <c r="AC199" i="56"/>
  <c r="AC200" i="56"/>
  <c r="AC201" i="56"/>
  <c r="AC202" i="56"/>
  <c r="AC203" i="56"/>
  <c r="AC204" i="56"/>
  <c r="AC205" i="56"/>
  <c r="AC206" i="56"/>
  <c r="AC207" i="56"/>
  <c r="AC208" i="56"/>
  <c r="AC209" i="56"/>
  <c r="AC210" i="56"/>
  <c r="AC211" i="56"/>
  <c r="AC212" i="56"/>
  <c r="AC213" i="56"/>
  <c r="AC214" i="56"/>
  <c r="AC215" i="56"/>
  <c r="AC216" i="56"/>
  <c r="AC217" i="56"/>
  <c r="AC218" i="56"/>
  <c r="AC219" i="56"/>
  <c r="AC220" i="56"/>
  <c r="AC221" i="56"/>
  <c r="AU15" i="56"/>
  <c r="AU16" i="56"/>
  <c r="AU17" i="56"/>
  <c r="AU18" i="56"/>
  <c r="AU19" i="56"/>
  <c r="AU20" i="56"/>
  <c r="AU21" i="56"/>
  <c r="AU22" i="56"/>
  <c r="AU23" i="56"/>
  <c r="AU24" i="56"/>
  <c r="AU25" i="56"/>
  <c r="AU26" i="56"/>
  <c r="AU27" i="56"/>
  <c r="AU28" i="56"/>
  <c r="AU29" i="56"/>
  <c r="AU30" i="56"/>
  <c r="AU31" i="56"/>
  <c r="AU32" i="56"/>
  <c r="AU33" i="56"/>
  <c r="AU34" i="56"/>
  <c r="AU35" i="56"/>
  <c r="AU36" i="56"/>
  <c r="AU37" i="56"/>
  <c r="AU38" i="56"/>
  <c r="AU39" i="56"/>
  <c r="AU40" i="56"/>
  <c r="AU41" i="56"/>
  <c r="AU42" i="56"/>
  <c r="AU43" i="56"/>
  <c r="AU44" i="56"/>
  <c r="AU45" i="56"/>
  <c r="AU46" i="56"/>
  <c r="AU47" i="56"/>
  <c r="AU48" i="56"/>
  <c r="AU49" i="56"/>
  <c r="AU50" i="56"/>
  <c r="AU51" i="56"/>
  <c r="AU52" i="56"/>
  <c r="AU53" i="56"/>
  <c r="AU54" i="56"/>
  <c r="AU55" i="56"/>
  <c r="AU56" i="56"/>
  <c r="AU57" i="56"/>
  <c r="AU58" i="56"/>
  <c r="AU59" i="56"/>
  <c r="AU60" i="56"/>
  <c r="AU61" i="56"/>
  <c r="AU62" i="56"/>
  <c r="AU63" i="56"/>
  <c r="AU64" i="56"/>
  <c r="AU65" i="56"/>
  <c r="AU66" i="56"/>
  <c r="AU67" i="56"/>
  <c r="AU68" i="56"/>
  <c r="AU69" i="56"/>
  <c r="AU70" i="56"/>
  <c r="AU71" i="56"/>
  <c r="AU72" i="56"/>
  <c r="AU73" i="56"/>
  <c r="AU74" i="56"/>
  <c r="AU75" i="56"/>
  <c r="AU76" i="56"/>
  <c r="AU77" i="56"/>
  <c r="AU78" i="56"/>
  <c r="AU79" i="56"/>
  <c r="AU80" i="56"/>
  <c r="AU81" i="56"/>
  <c r="AU82" i="56"/>
  <c r="AU83" i="56"/>
  <c r="AU84" i="56"/>
  <c r="AU85" i="56"/>
  <c r="AU86" i="56"/>
  <c r="AU87" i="56"/>
  <c r="AU88" i="56"/>
  <c r="AU89" i="56"/>
  <c r="AU90" i="56"/>
  <c r="AU91" i="56"/>
  <c r="AU92" i="56"/>
  <c r="AU93" i="56"/>
  <c r="AU94" i="56"/>
  <c r="AU95" i="56"/>
  <c r="AU96" i="56"/>
  <c r="AU97" i="56"/>
  <c r="AU98" i="56"/>
  <c r="AU99" i="56"/>
  <c r="AU100" i="56"/>
  <c r="AU101" i="56"/>
  <c r="AU102" i="56"/>
  <c r="AU103" i="56"/>
  <c r="AU104" i="56"/>
  <c r="AU105" i="56"/>
  <c r="AU106" i="56"/>
  <c r="AU107" i="56"/>
  <c r="AU108" i="56"/>
  <c r="AU109" i="56"/>
  <c r="AU110" i="56"/>
  <c r="AU111" i="56"/>
  <c r="AU112" i="56"/>
  <c r="AU113" i="56"/>
  <c r="AU114" i="56"/>
  <c r="AU115" i="56"/>
  <c r="AT15" i="56"/>
  <c r="AT16" i="56"/>
  <c r="AT17" i="56"/>
  <c r="AT18" i="56"/>
  <c r="AT19" i="56"/>
  <c r="AT20" i="56"/>
  <c r="AT21" i="56"/>
  <c r="AT22" i="56"/>
  <c r="AT23" i="56"/>
  <c r="AT24" i="56"/>
  <c r="AT25" i="56"/>
  <c r="AT26" i="56"/>
  <c r="AT27" i="56"/>
  <c r="AT28" i="56"/>
  <c r="AT29" i="56"/>
  <c r="AT30" i="56"/>
  <c r="AT31" i="56"/>
  <c r="AT32" i="56"/>
  <c r="AT33" i="56"/>
  <c r="AT34" i="56"/>
  <c r="AT35" i="56"/>
  <c r="AT36" i="56"/>
  <c r="AT37" i="56"/>
  <c r="AT38" i="56"/>
  <c r="AT39" i="56"/>
  <c r="AT40" i="56"/>
  <c r="AT41" i="56"/>
  <c r="AT42" i="56"/>
  <c r="AT43" i="56"/>
  <c r="AT44" i="56"/>
  <c r="AT45" i="56"/>
  <c r="AT46" i="56"/>
  <c r="AT47" i="56"/>
  <c r="AT48" i="56"/>
  <c r="AT49" i="56"/>
  <c r="AT50" i="56"/>
  <c r="AT51" i="56"/>
  <c r="AT52" i="56"/>
  <c r="AT53" i="56"/>
  <c r="AT54" i="56"/>
  <c r="AT55" i="56"/>
  <c r="AT56" i="56"/>
  <c r="AT57" i="56"/>
  <c r="AT58" i="56"/>
  <c r="AT59" i="56"/>
  <c r="AT60" i="56"/>
  <c r="AT61" i="56"/>
  <c r="AT62" i="56"/>
  <c r="AT63" i="56"/>
  <c r="AT64" i="56"/>
  <c r="AT65" i="56"/>
  <c r="AT66" i="56"/>
  <c r="AT67" i="56"/>
  <c r="AT68" i="56"/>
  <c r="AT69" i="56"/>
  <c r="AT70" i="56"/>
  <c r="AT71" i="56"/>
  <c r="AT72" i="56"/>
  <c r="AT73" i="56"/>
  <c r="AT74" i="56"/>
  <c r="AT75" i="56"/>
  <c r="AT76" i="56"/>
  <c r="AT77" i="56"/>
  <c r="AT78" i="56"/>
  <c r="AT79" i="56"/>
  <c r="AT80" i="56"/>
  <c r="AT81" i="56"/>
  <c r="AT82" i="56"/>
  <c r="AT83" i="56"/>
  <c r="AT84" i="56"/>
  <c r="AT85" i="56"/>
  <c r="AT86" i="56"/>
  <c r="AT87" i="56"/>
  <c r="AT88" i="56"/>
  <c r="AT89" i="56"/>
  <c r="AT90" i="56"/>
  <c r="AT91" i="56"/>
  <c r="AT92" i="56"/>
  <c r="AT93" i="56"/>
  <c r="AT94" i="56"/>
  <c r="AT95" i="56"/>
  <c r="AT96" i="56"/>
  <c r="AT97" i="56"/>
  <c r="AT98" i="56"/>
  <c r="AT99" i="56"/>
  <c r="AT100" i="56"/>
  <c r="AT101" i="56"/>
  <c r="AT102" i="56"/>
  <c r="AT103" i="56"/>
  <c r="AT104" i="56"/>
  <c r="AT105" i="56"/>
  <c r="AT106" i="56"/>
  <c r="AT107" i="56"/>
  <c r="AT108" i="56"/>
  <c r="AT109" i="56"/>
  <c r="AT110" i="56"/>
  <c r="AT111" i="56"/>
  <c r="AT112" i="56"/>
  <c r="AT113" i="56"/>
  <c r="AT114" i="56"/>
  <c r="AT115" i="56"/>
  <c r="AR15" i="56"/>
  <c r="AR16" i="56"/>
  <c r="AR17" i="56"/>
  <c r="AR18" i="56"/>
  <c r="AR19" i="56"/>
  <c r="AR20" i="56"/>
  <c r="AR21" i="56"/>
  <c r="AR22" i="56"/>
  <c r="AR23" i="56"/>
  <c r="AR24" i="56"/>
  <c r="AR25" i="56"/>
  <c r="AR26" i="56"/>
  <c r="AR27" i="56"/>
  <c r="AR28" i="56"/>
  <c r="AR29" i="56"/>
  <c r="AR30" i="56"/>
  <c r="AR31" i="56"/>
  <c r="AR32" i="56"/>
  <c r="AR33" i="56"/>
  <c r="AR34" i="56"/>
  <c r="AR35" i="56"/>
  <c r="AR36" i="56"/>
  <c r="AR37" i="56"/>
  <c r="AR38" i="56"/>
  <c r="AR39" i="56"/>
  <c r="AR40" i="56"/>
  <c r="AR41" i="56"/>
  <c r="AR42" i="56"/>
  <c r="AR43" i="56"/>
  <c r="AR44" i="56"/>
  <c r="AR45" i="56"/>
  <c r="AR46" i="56"/>
  <c r="AR47" i="56"/>
  <c r="AR48" i="56"/>
  <c r="AR49" i="56"/>
  <c r="AR50" i="56"/>
  <c r="AR51" i="56"/>
  <c r="AR52" i="56"/>
  <c r="AR53" i="56"/>
  <c r="AR54" i="56"/>
  <c r="AR55" i="56"/>
  <c r="AR56" i="56"/>
  <c r="AR57" i="56"/>
  <c r="AR58" i="56"/>
  <c r="AR59" i="56"/>
  <c r="AR60" i="56"/>
  <c r="AR61" i="56"/>
  <c r="AR62" i="56"/>
  <c r="AR63" i="56"/>
  <c r="AR64" i="56"/>
  <c r="AR65" i="56"/>
  <c r="AR66" i="56"/>
  <c r="AR67" i="56"/>
  <c r="AR68" i="56"/>
  <c r="AR69" i="56"/>
  <c r="AR70" i="56"/>
  <c r="AR71" i="56"/>
  <c r="AR72" i="56"/>
  <c r="AR73" i="56"/>
  <c r="AR74" i="56"/>
  <c r="AR75" i="56"/>
  <c r="AR76" i="56"/>
  <c r="AR77" i="56"/>
  <c r="AR78" i="56"/>
  <c r="AR79" i="56"/>
  <c r="AR80" i="56"/>
  <c r="AR81" i="56"/>
  <c r="AR82" i="56"/>
  <c r="AR83" i="56"/>
  <c r="AR84" i="56"/>
  <c r="AR85" i="56"/>
  <c r="AR86" i="56"/>
  <c r="AR87" i="56"/>
  <c r="AR88" i="56"/>
  <c r="AR89" i="56"/>
  <c r="AR90" i="56"/>
  <c r="AR91" i="56"/>
  <c r="AR92" i="56"/>
  <c r="AR93" i="56"/>
  <c r="AR94" i="56"/>
  <c r="AR95" i="56"/>
  <c r="AR96" i="56"/>
  <c r="AR97" i="56"/>
  <c r="AR98" i="56"/>
  <c r="AR99" i="56"/>
  <c r="AR100" i="56"/>
  <c r="AR101" i="56"/>
  <c r="AR102" i="56"/>
  <c r="AR103" i="56"/>
  <c r="AR104" i="56"/>
  <c r="AR105" i="56"/>
  <c r="AR106" i="56"/>
  <c r="AR107" i="56"/>
  <c r="AR108" i="56"/>
  <c r="AR109" i="56"/>
  <c r="AR110" i="56"/>
  <c r="AR111" i="56"/>
  <c r="AR112" i="56"/>
  <c r="AR113" i="56"/>
  <c r="AR114" i="56"/>
  <c r="AR115" i="56"/>
  <c r="AQ15" i="56"/>
  <c r="AQ16" i="56"/>
  <c r="AQ17" i="56"/>
  <c r="AQ18" i="56"/>
  <c r="AQ19" i="56"/>
  <c r="AQ20" i="56"/>
  <c r="AQ21" i="56"/>
  <c r="AQ22" i="56"/>
  <c r="AQ23" i="56"/>
  <c r="AQ24" i="56"/>
  <c r="AQ25" i="56"/>
  <c r="AQ26" i="56"/>
  <c r="AQ27" i="56"/>
  <c r="AQ28" i="56"/>
  <c r="AQ29" i="56"/>
  <c r="AQ30" i="56"/>
  <c r="AQ31" i="56"/>
  <c r="AQ32" i="56"/>
  <c r="AQ33" i="56"/>
  <c r="AQ34" i="56"/>
  <c r="AQ35" i="56"/>
  <c r="AQ36" i="56"/>
  <c r="AQ37" i="56"/>
  <c r="AQ38" i="56"/>
  <c r="AQ39" i="56"/>
  <c r="AQ40" i="56"/>
  <c r="AQ41" i="56"/>
  <c r="AQ42" i="56"/>
  <c r="AQ43" i="56"/>
  <c r="AQ44" i="56"/>
  <c r="AQ45" i="56"/>
  <c r="AQ46" i="56"/>
  <c r="AQ47" i="56"/>
  <c r="AQ48" i="56"/>
  <c r="AQ49" i="56"/>
  <c r="AQ50" i="56"/>
  <c r="AQ51" i="56"/>
  <c r="AQ52" i="56"/>
  <c r="AQ53" i="56"/>
  <c r="AQ54" i="56"/>
  <c r="AQ55" i="56"/>
  <c r="AQ56" i="56"/>
  <c r="AQ57" i="56"/>
  <c r="AQ58" i="56"/>
  <c r="AQ59" i="56"/>
  <c r="AQ60" i="56"/>
  <c r="AQ61" i="56"/>
  <c r="AQ62" i="56"/>
  <c r="AQ63" i="56"/>
  <c r="AQ64" i="56"/>
  <c r="AQ65" i="56"/>
  <c r="AQ66" i="56"/>
  <c r="AQ67" i="56"/>
  <c r="AQ68" i="56"/>
  <c r="AQ69" i="56"/>
  <c r="AQ70" i="56"/>
  <c r="AQ71" i="56"/>
  <c r="AQ72" i="56"/>
  <c r="AQ73" i="56"/>
  <c r="AQ74" i="56"/>
  <c r="AQ75" i="56"/>
  <c r="AQ76" i="56"/>
  <c r="AQ77" i="56"/>
  <c r="AQ78" i="56"/>
  <c r="AQ79" i="56"/>
  <c r="AQ80" i="56"/>
  <c r="AQ81" i="56"/>
  <c r="AQ82" i="56"/>
  <c r="AQ83" i="56"/>
  <c r="AQ84" i="56"/>
  <c r="AQ85" i="56"/>
  <c r="AQ86" i="56"/>
  <c r="AQ87" i="56"/>
  <c r="AQ88" i="56"/>
  <c r="AQ89" i="56"/>
  <c r="AQ90" i="56"/>
  <c r="AQ91" i="56"/>
  <c r="AQ92" i="56"/>
  <c r="AQ93" i="56"/>
  <c r="AQ94" i="56"/>
  <c r="AQ95" i="56"/>
  <c r="AQ96" i="56"/>
  <c r="AQ97" i="56"/>
  <c r="AQ98" i="56"/>
  <c r="AQ99" i="56"/>
  <c r="AQ100" i="56"/>
  <c r="AQ101" i="56"/>
  <c r="AQ102" i="56"/>
  <c r="AQ103" i="56"/>
  <c r="AQ104" i="56"/>
  <c r="AQ105" i="56"/>
  <c r="AQ106" i="56"/>
  <c r="AQ107" i="56"/>
  <c r="AQ108" i="56"/>
  <c r="AQ109" i="56"/>
  <c r="AQ110" i="56"/>
  <c r="AQ111" i="56"/>
  <c r="AQ112" i="56"/>
  <c r="AQ113" i="56"/>
  <c r="AQ114" i="56"/>
  <c r="AQ115" i="56"/>
  <c r="AP15" i="56"/>
  <c r="AP16" i="56"/>
  <c r="AP17" i="56"/>
  <c r="AP18" i="56"/>
  <c r="AP19" i="56"/>
  <c r="AP20" i="56"/>
  <c r="AP21" i="56"/>
  <c r="AP22" i="56"/>
  <c r="AP23" i="56"/>
  <c r="AP24" i="56"/>
  <c r="AP25" i="56"/>
  <c r="AP26" i="56"/>
  <c r="AP27" i="56"/>
  <c r="AP28" i="56"/>
  <c r="AP29" i="56"/>
  <c r="AP30" i="56"/>
  <c r="AP31" i="56"/>
  <c r="AP32" i="56"/>
  <c r="AP33" i="56"/>
  <c r="AP34" i="56"/>
  <c r="AP35" i="56"/>
  <c r="AP36" i="56"/>
  <c r="AP37" i="56"/>
  <c r="AP38" i="56"/>
  <c r="AP39" i="56"/>
  <c r="AP40" i="56"/>
  <c r="AP41" i="56"/>
  <c r="AP42" i="56"/>
  <c r="AP43" i="56"/>
  <c r="AP44" i="56"/>
  <c r="AP45" i="56"/>
  <c r="AP46" i="56"/>
  <c r="AP47" i="56"/>
  <c r="AP48" i="56"/>
  <c r="AP49" i="56"/>
  <c r="AP50" i="56"/>
  <c r="AP51" i="56"/>
  <c r="AP52" i="56"/>
  <c r="AP53" i="56"/>
  <c r="AP54" i="56"/>
  <c r="AP55" i="56"/>
  <c r="AP56" i="56"/>
  <c r="AP57" i="56"/>
  <c r="AP58" i="56"/>
  <c r="AP59" i="56"/>
  <c r="AP60" i="56"/>
  <c r="AP61" i="56"/>
  <c r="AP62" i="56"/>
  <c r="AP63" i="56"/>
  <c r="AP64" i="56"/>
  <c r="AP65" i="56"/>
  <c r="AP66" i="56"/>
  <c r="AP67" i="56"/>
  <c r="AP68" i="56"/>
  <c r="AP69" i="56"/>
  <c r="AP70" i="56"/>
  <c r="AP71" i="56"/>
  <c r="AP72" i="56"/>
  <c r="AP73" i="56"/>
  <c r="AP74" i="56"/>
  <c r="AP75" i="56"/>
  <c r="AP76" i="56"/>
  <c r="AP77" i="56"/>
  <c r="AP78" i="56"/>
  <c r="AP79" i="56"/>
  <c r="AP80" i="56"/>
  <c r="AP81" i="56"/>
  <c r="AP82" i="56"/>
  <c r="AP83" i="56"/>
  <c r="AP84" i="56"/>
  <c r="AP85" i="56"/>
  <c r="AP86" i="56"/>
  <c r="AP87" i="56"/>
  <c r="AP88" i="56"/>
  <c r="AP89" i="56"/>
  <c r="AP90" i="56"/>
  <c r="AP91" i="56"/>
  <c r="AP92" i="56"/>
  <c r="AP93" i="56"/>
  <c r="AP94" i="56"/>
  <c r="AP95" i="56"/>
  <c r="AP96" i="56"/>
  <c r="AP97" i="56"/>
  <c r="AP98" i="56"/>
  <c r="AP99" i="56"/>
  <c r="AP100" i="56"/>
  <c r="AP101" i="56"/>
  <c r="AP102" i="56"/>
  <c r="AP103" i="56"/>
  <c r="AP104" i="56"/>
  <c r="AP105" i="56"/>
  <c r="AP106" i="56"/>
  <c r="AP107" i="56"/>
  <c r="AP108" i="56"/>
  <c r="AP109" i="56"/>
  <c r="AP110" i="56"/>
  <c r="AP111" i="56"/>
  <c r="AP112" i="56"/>
  <c r="AP113" i="56"/>
  <c r="AP114" i="56"/>
  <c r="AP115" i="56"/>
  <c r="AO15" i="56"/>
  <c r="AO16" i="56"/>
  <c r="AO17" i="56"/>
  <c r="AO18" i="56"/>
  <c r="AO19" i="56"/>
  <c r="AO20" i="56"/>
  <c r="AO21" i="56"/>
  <c r="AO22" i="56"/>
  <c r="AO23" i="56"/>
  <c r="AO24" i="56"/>
  <c r="AO25" i="56"/>
  <c r="AO26" i="56"/>
  <c r="AO27" i="56"/>
  <c r="AO28" i="56"/>
  <c r="AO29" i="56"/>
  <c r="AO30" i="56"/>
  <c r="AO31" i="56"/>
  <c r="AO32" i="56"/>
  <c r="AO33" i="56"/>
  <c r="AO34" i="56"/>
  <c r="AO35" i="56"/>
  <c r="AO36" i="56"/>
  <c r="AO37" i="56"/>
  <c r="AO38" i="56"/>
  <c r="AO39" i="56"/>
  <c r="AO40" i="56"/>
  <c r="AO41" i="56"/>
  <c r="AO42" i="56"/>
  <c r="AO43" i="56"/>
  <c r="AO44" i="56"/>
  <c r="AO45" i="56"/>
  <c r="AO46" i="56"/>
  <c r="AO47" i="56"/>
  <c r="AO48" i="56"/>
  <c r="AO49" i="56"/>
  <c r="AO50" i="56"/>
  <c r="AO51" i="56"/>
  <c r="AO52" i="56"/>
  <c r="AO53" i="56"/>
  <c r="AO54" i="56"/>
  <c r="AO55" i="56"/>
  <c r="AO56" i="56"/>
  <c r="AO57" i="56"/>
  <c r="AO58" i="56"/>
  <c r="AO59" i="56"/>
  <c r="AO60" i="56"/>
  <c r="AO61" i="56"/>
  <c r="AO62" i="56"/>
  <c r="AO63" i="56"/>
  <c r="AO64" i="56"/>
  <c r="AO65" i="56"/>
  <c r="AO66" i="56"/>
  <c r="AO67" i="56"/>
  <c r="AO68" i="56"/>
  <c r="AO69" i="56"/>
  <c r="AO70" i="56"/>
  <c r="AO71" i="56"/>
  <c r="AO72" i="56"/>
  <c r="AO73" i="56"/>
  <c r="AO74" i="56"/>
  <c r="AO75" i="56"/>
  <c r="AO76" i="56"/>
  <c r="AO77" i="56"/>
  <c r="AO78" i="56"/>
  <c r="AO79" i="56"/>
  <c r="AO80" i="56"/>
  <c r="AO81" i="56"/>
  <c r="AO82" i="56"/>
  <c r="AO83" i="56"/>
  <c r="AO84" i="56"/>
  <c r="AO85" i="56"/>
  <c r="AO86" i="56"/>
  <c r="AO87" i="56"/>
  <c r="AO88" i="56"/>
  <c r="AO89" i="56"/>
  <c r="AO90" i="56"/>
  <c r="AO91" i="56"/>
  <c r="AO92" i="56"/>
  <c r="AO93" i="56"/>
  <c r="AO94" i="56"/>
  <c r="AO95" i="56"/>
  <c r="AO96" i="56"/>
  <c r="AO97" i="56"/>
  <c r="AO98" i="56"/>
  <c r="AO99" i="56"/>
  <c r="AO100" i="56"/>
  <c r="AO101" i="56"/>
  <c r="AO102" i="56"/>
  <c r="AO103" i="56"/>
  <c r="AO104" i="56"/>
  <c r="AO105" i="56"/>
  <c r="AO106" i="56"/>
  <c r="AO107" i="56"/>
  <c r="AO108" i="56"/>
  <c r="AO109" i="56"/>
  <c r="AO110" i="56"/>
  <c r="AO111" i="56"/>
  <c r="AO112" i="56"/>
  <c r="AO113" i="56"/>
  <c r="AO114" i="56"/>
  <c r="AO115" i="56"/>
  <c r="AN16" i="56"/>
  <c r="AN17" i="56"/>
  <c r="AN18" i="56"/>
  <c r="AN19" i="56"/>
  <c r="AN20" i="56"/>
  <c r="AN21" i="56"/>
  <c r="AN22" i="56"/>
  <c r="AN23" i="56"/>
  <c r="AN24" i="56"/>
  <c r="AN25" i="56"/>
  <c r="AN26" i="56"/>
  <c r="AN27" i="56"/>
  <c r="AN28" i="56"/>
  <c r="AN29" i="56"/>
  <c r="AN30" i="56"/>
  <c r="AN31" i="56"/>
  <c r="AN32" i="56"/>
  <c r="AN33" i="56"/>
  <c r="AN34" i="56"/>
  <c r="AN35" i="56"/>
  <c r="AN36" i="56"/>
  <c r="AN37" i="56"/>
  <c r="AN38" i="56"/>
  <c r="AN39" i="56"/>
  <c r="AN40" i="56"/>
  <c r="AN41" i="56"/>
  <c r="AN42" i="56"/>
  <c r="AN43" i="56"/>
  <c r="AN44" i="56"/>
  <c r="AN45" i="56"/>
  <c r="AN46" i="56"/>
  <c r="AN47" i="56"/>
  <c r="AN48" i="56"/>
  <c r="AN49" i="56"/>
  <c r="AN50" i="56"/>
  <c r="AN51" i="56"/>
  <c r="AN52" i="56"/>
  <c r="AN53" i="56"/>
  <c r="AN54" i="56"/>
  <c r="AN55" i="56"/>
  <c r="AN56" i="56"/>
  <c r="AN57" i="56"/>
  <c r="AN58" i="56"/>
  <c r="AN59" i="56"/>
  <c r="AN60" i="56"/>
  <c r="AN61" i="56"/>
  <c r="AN62" i="56"/>
  <c r="AN63" i="56"/>
  <c r="AN64" i="56"/>
  <c r="AN65" i="56"/>
  <c r="AN66" i="56"/>
  <c r="AN67" i="56"/>
  <c r="AN68" i="56"/>
  <c r="AN69" i="56"/>
  <c r="AN70" i="56"/>
  <c r="AN71" i="56"/>
  <c r="AN72" i="56"/>
  <c r="AN73" i="56"/>
  <c r="AN74" i="56"/>
  <c r="AN75" i="56"/>
  <c r="AN76" i="56"/>
  <c r="AN77" i="56"/>
  <c r="AN78" i="56"/>
  <c r="AN79" i="56"/>
  <c r="AN80" i="56"/>
  <c r="AN81" i="56"/>
  <c r="AN82" i="56"/>
  <c r="AN83" i="56"/>
  <c r="AN84" i="56"/>
  <c r="AN85" i="56"/>
  <c r="AN86" i="56"/>
  <c r="AN87" i="56"/>
  <c r="AN88" i="56"/>
  <c r="AN89" i="56"/>
  <c r="AN90" i="56"/>
  <c r="AN91" i="56"/>
  <c r="AN92" i="56"/>
  <c r="AN93" i="56"/>
  <c r="AN94" i="56"/>
  <c r="AN95" i="56"/>
  <c r="AN96" i="56"/>
  <c r="AN97" i="56"/>
  <c r="AN98" i="56"/>
  <c r="AN99" i="56"/>
  <c r="AN100" i="56"/>
  <c r="AN101" i="56"/>
  <c r="AN102" i="56"/>
  <c r="AN103" i="56"/>
  <c r="AN104" i="56"/>
  <c r="AN105" i="56"/>
  <c r="AN106" i="56"/>
  <c r="AN107" i="56"/>
  <c r="AN108" i="56"/>
  <c r="AN109" i="56"/>
  <c r="AN110" i="56"/>
  <c r="AN111" i="56"/>
  <c r="AN112" i="56"/>
  <c r="AN113" i="56"/>
  <c r="AN114" i="56"/>
  <c r="AN115" i="56"/>
  <c r="AM15" i="56"/>
  <c r="AM16" i="56"/>
  <c r="AM17" i="56"/>
  <c r="AM18" i="56"/>
  <c r="AM19" i="56"/>
  <c r="AM2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M66" i="56"/>
  <c r="AM67" i="56"/>
  <c r="AM68" i="56"/>
  <c r="AM69" i="56"/>
  <c r="AM70" i="56"/>
  <c r="AM71" i="56"/>
  <c r="AM72" i="56"/>
  <c r="AM73" i="56"/>
  <c r="AM74" i="56"/>
  <c r="AM75" i="56"/>
  <c r="AM76" i="56"/>
  <c r="AM77" i="56"/>
  <c r="AM78" i="56"/>
  <c r="AM79" i="56"/>
  <c r="AM80" i="56"/>
  <c r="AM81" i="56"/>
  <c r="AM82" i="56"/>
  <c r="AM83" i="56"/>
  <c r="AM84" i="56"/>
  <c r="AM85" i="56"/>
  <c r="AM86" i="56"/>
  <c r="AM87" i="56"/>
  <c r="AM88" i="56"/>
  <c r="AM89" i="56"/>
  <c r="AM90" i="56"/>
  <c r="AM91" i="56"/>
  <c r="AM92" i="56"/>
  <c r="AM93" i="56"/>
  <c r="AM94" i="56"/>
  <c r="AM95" i="56"/>
  <c r="AM96" i="56"/>
  <c r="AM97" i="56"/>
  <c r="AM98" i="56"/>
  <c r="AM99" i="56"/>
  <c r="AM100" i="56"/>
  <c r="AM101" i="56"/>
  <c r="AM102" i="56"/>
  <c r="AM103" i="56"/>
  <c r="AM104" i="56"/>
  <c r="AM105" i="56"/>
  <c r="AM106" i="56"/>
  <c r="AM107" i="56"/>
  <c r="AM108" i="56"/>
  <c r="AM109" i="56"/>
  <c r="AM110" i="56"/>
  <c r="AM111" i="56"/>
  <c r="AM112" i="56"/>
  <c r="AM113" i="56"/>
  <c r="AM114" i="56"/>
  <c r="AM115" i="56"/>
  <c r="AL15" i="56"/>
  <c r="AL16" i="56"/>
  <c r="AL17" i="56"/>
  <c r="AL18" i="56"/>
  <c r="AL19" i="56"/>
  <c r="AL20" i="56"/>
  <c r="AL21" i="56"/>
  <c r="AL22" i="56"/>
  <c r="AL23" i="56"/>
  <c r="AL24" i="56"/>
  <c r="AL25" i="56"/>
  <c r="AL26" i="56"/>
  <c r="AL27" i="56"/>
  <c r="AL28" i="56"/>
  <c r="AL29" i="56"/>
  <c r="AL30" i="56"/>
  <c r="AL31" i="56"/>
  <c r="AL32" i="56"/>
  <c r="AL33" i="56"/>
  <c r="AL34" i="56"/>
  <c r="AL35" i="56"/>
  <c r="AL36" i="56"/>
  <c r="AL37" i="56"/>
  <c r="AL38" i="56"/>
  <c r="AL39" i="56"/>
  <c r="AL40" i="56"/>
  <c r="AL41" i="56"/>
  <c r="AL42" i="56"/>
  <c r="AL43" i="56"/>
  <c r="AL44" i="56"/>
  <c r="AL45" i="56"/>
  <c r="AL46" i="56"/>
  <c r="AL47" i="56"/>
  <c r="AL48" i="56"/>
  <c r="AL49" i="56"/>
  <c r="AL50" i="56"/>
  <c r="AL51" i="56"/>
  <c r="AL52" i="56"/>
  <c r="AL53" i="56"/>
  <c r="AL54" i="56"/>
  <c r="AL55" i="56"/>
  <c r="AL56" i="56"/>
  <c r="AL57" i="56"/>
  <c r="AL58" i="56"/>
  <c r="AL59" i="56"/>
  <c r="AL60" i="56"/>
  <c r="AL61" i="56"/>
  <c r="AL62" i="56"/>
  <c r="AL63" i="56"/>
  <c r="AL64" i="56"/>
  <c r="AL65" i="56"/>
  <c r="AL66" i="56"/>
  <c r="AL67" i="56"/>
  <c r="AL68" i="56"/>
  <c r="AL69" i="56"/>
  <c r="AL70" i="56"/>
  <c r="AL71" i="56"/>
  <c r="AL72" i="56"/>
  <c r="AL73" i="56"/>
  <c r="AL74" i="56"/>
  <c r="AL75" i="56"/>
  <c r="AL76" i="56"/>
  <c r="AL77" i="56"/>
  <c r="AL78" i="56"/>
  <c r="AL79" i="56"/>
  <c r="AL80" i="56"/>
  <c r="AL81" i="56"/>
  <c r="AL82" i="56"/>
  <c r="AL83" i="56"/>
  <c r="AL84" i="56"/>
  <c r="AL85" i="56"/>
  <c r="AL86" i="56"/>
  <c r="AL87" i="56"/>
  <c r="AL88" i="56"/>
  <c r="AL89" i="56"/>
  <c r="AL90" i="56"/>
  <c r="AL91" i="56"/>
  <c r="AL92" i="56"/>
  <c r="AL93" i="56"/>
  <c r="AL94" i="56"/>
  <c r="AL95" i="56"/>
  <c r="AL96" i="56"/>
  <c r="AL97" i="56"/>
  <c r="AL98" i="56"/>
  <c r="AL99" i="56"/>
  <c r="AL100" i="56"/>
  <c r="AL101" i="56"/>
  <c r="AL102" i="56"/>
  <c r="AL103" i="56"/>
  <c r="AL104" i="56"/>
  <c r="AL105" i="56"/>
  <c r="AL106" i="56"/>
  <c r="AL107" i="56"/>
  <c r="AL108" i="56"/>
  <c r="AL109" i="56"/>
  <c r="AL110" i="56"/>
  <c r="AL111" i="56"/>
  <c r="AL112" i="56"/>
  <c r="AL113" i="56"/>
  <c r="AL114" i="56"/>
  <c r="AL115" i="56"/>
  <c r="AK15" i="56"/>
  <c r="AK16" i="56"/>
  <c r="AK17" i="56"/>
  <c r="AK18" i="56"/>
  <c r="AK19" i="56"/>
  <c r="AK20" i="56"/>
  <c r="AK21" i="56"/>
  <c r="AK22" i="56"/>
  <c r="AK23" i="56"/>
  <c r="AK24" i="56"/>
  <c r="AK25" i="56"/>
  <c r="AK26" i="56"/>
  <c r="AK27" i="56"/>
  <c r="AK28" i="56"/>
  <c r="AK29" i="56"/>
  <c r="AK30" i="56"/>
  <c r="AK31" i="56"/>
  <c r="AK32" i="56"/>
  <c r="AK33" i="56"/>
  <c r="AK34" i="56"/>
  <c r="AK35" i="56"/>
  <c r="AK36" i="56"/>
  <c r="AK37" i="56"/>
  <c r="AK38" i="56"/>
  <c r="AK39" i="56"/>
  <c r="AK40" i="56"/>
  <c r="AK41" i="56"/>
  <c r="AK42" i="56"/>
  <c r="AK43" i="56"/>
  <c r="AK44" i="56"/>
  <c r="AK45" i="56"/>
  <c r="AK46" i="56"/>
  <c r="AK47" i="56"/>
  <c r="AK48" i="56"/>
  <c r="AK49" i="56"/>
  <c r="AK50" i="56"/>
  <c r="AK51" i="56"/>
  <c r="AK52" i="56"/>
  <c r="AK53" i="56"/>
  <c r="AK54" i="56"/>
  <c r="AK55" i="56"/>
  <c r="AK56" i="56"/>
  <c r="AK57" i="56"/>
  <c r="AK58" i="56"/>
  <c r="AK59" i="56"/>
  <c r="AK60" i="56"/>
  <c r="AK61" i="56"/>
  <c r="AK62" i="56"/>
  <c r="AK63" i="56"/>
  <c r="AK64" i="56"/>
  <c r="AK65" i="56"/>
  <c r="AK66" i="56"/>
  <c r="AK67" i="56"/>
  <c r="AK68" i="56"/>
  <c r="AK69" i="56"/>
  <c r="AK70" i="56"/>
  <c r="AK71" i="56"/>
  <c r="AK72" i="56"/>
  <c r="AK73" i="56"/>
  <c r="AK74" i="56"/>
  <c r="AK75" i="56"/>
  <c r="AK76" i="56"/>
  <c r="AK77" i="56"/>
  <c r="AK78" i="56"/>
  <c r="AK79" i="56"/>
  <c r="AK80" i="56"/>
  <c r="AK81" i="56"/>
  <c r="AK82" i="56"/>
  <c r="AK83" i="56"/>
  <c r="AK84" i="56"/>
  <c r="AK85" i="56"/>
  <c r="AK86" i="56"/>
  <c r="AK87" i="56"/>
  <c r="AK88" i="56"/>
  <c r="AK89" i="56"/>
  <c r="AK90" i="56"/>
  <c r="AK91" i="56"/>
  <c r="AK92" i="56"/>
  <c r="AK93" i="56"/>
  <c r="AK94" i="56"/>
  <c r="AK95" i="56"/>
  <c r="AK96" i="56"/>
  <c r="AK97" i="56"/>
  <c r="AK98" i="56"/>
  <c r="AK99" i="56"/>
  <c r="AK100" i="56"/>
  <c r="AK101" i="56"/>
  <c r="AK102" i="56"/>
  <c r="AK103" i="56"/>
  <c r="AK104" i="56"/>
  <c r="AK105" i="56"/>
  <c r="AK106" i="56"/>
  <c r="AK107" i="56"/>
  <c r="AK108" i="56"/>
  <c r="AK109" i="56"/>
  <c r="AK110" i="56"/>
  <c r="AK111" i="56"/>
  <c r="AK112" i="56"/>
  <c r="AK113" i="56"/>
  <c r="AK114" i="56"/>
  <c r="AK115" i="56"/>
  <c r="AI15" i="56"/>
  <c r="AI16" i="56"/>
  <c r="AI17" i="56"/>
  <c r="AI18" i="56"/>
  <c r="AI19" i="56"/>
  <c r="AI20" i="56"/>
  <c r="AI21" i="56"/>
  <c r="AI22" i="56"/>
  <c r="AI23" i="56"/>
  <c r="AI24" i="56"/>
  <c r="AI25" i="56"/>
  <c r="AI26" i="56"/>
  <c r="AI27" i="56"/>
  <c r="AI28" i="56"/>
  <c r="AI29" i="56"/>
  <c r="AI30" i="56"/>
  <c r="AI31" i="56"/>
  <c r="AI32" i="56"/>
  <c r="AI33" i="56"/>
  <c r="AI34" i="56"/>
  <c r="AI35" i="56"/>
  <c r="AI36" i="56"/>
  <c r="AI37" i="56"/>
  <c r="AI38" i="56"/>
  <c r="AI39" i="56"/>
  <c r="AI40" i="56"/>
  <c r="AI41" i="56"/>
  <c r="AI42" i="56"/>
  <c r="AI43" i="56"/>
  <c r="AI44" i="56"/>
  <c r="AI45" i="56"/>
  <c r="AI46" i="56"/>
  <c r="AI47" i="56"/>
  <c r="AI48" i="56"/>
  <c r="AI49" i="56"/>
  <c r="AI50" i="56"/>
  <c r="AI51" i="56"/>
  <c r="AI52" i="56"/>
  <c r="AI53" i="56"/>
  <c r="AI54" i="56"/>
  <c r="AI55" i="56"/>
  <c r="AI56" i="56"/>
  <c r="AI57" i="56"/>
  <c r="AI58" i="56"/>
  <c r="AI59" i="56"/>
  <c r="AI60" i="56"/>
  <c r="AI61" i="56"/>
  <c r="AI62" i="56"/>
  <c r="AI63" i="56"/>
  <c r="AI64" i="56"/>
  <c r="AI65" i="56"/>
  <c r="AI66" i="56"/>
  <c r="AI67" i="56"/>
  <c r="AI68" i="56"/>
  <c r="AI69" i="56"/>
  <c r="AI70" i="56"/>
  <c r="AI71" i="56"/>
  <c r="AI72" i="56"/>
  <c r="AI73" i="56"/>
  <c r="AI74" i="56"/>
  <c r="AI75" i="56"/>
  <c r="AI76" i="56"/>
  <c r="AI77" i="56"/>
  <c r="AI78" i="56"/>
  <c r="AI79" i="56"/>
  <c r="AI80" i="56"/>
  <c r="AI81" i="56"/>
  <c r="AI82" i="56"/>
  <c r="AI83" i="56"/>
  <c r="AI84" i="56"/>
  <c r="AI85" i="56"/>
  <c r="AI86" i="56"/>
  <c r="AI87" i="56"/>
  <c r="AI88" i="56"/>
  <c r="AI89" i="56"/>
  <c r="AI90" i="56"/>
  <c r="AI91" i="56"/>
  <c r="AI92" i="56"/>
  <c r="AI93" i="56"/>
  <c r="AI94" i="56"/>
  <c r="AI95" i="56"/>
  <c r="AI96" i="56"/>
  <c r="AI97" i="56"/>
  <c r="AI98" i="56"/>
  <c r="AI99" i="56"/>
  <c r="AI100" i="56"/>
  <c r="AI101" i="56"/>
  <c r="AI102" i="56"/>
  <c r="AI103" i="56"/>
  <c r="AI104" i="56"/>
  <c r="AI105" i="56"/>
  <c r="AI106" i="56"/>
  <c r="AI107" i="56"/>
  <c r="AI108" i="56"/>
  <c r="AI109" i="56"/>
  <c r="AI110" i="56"/>
  <c r="AI111" i="56"/>
  <c r="AI112" i="56"/>
  <c r="AI113" i="56"/>
  <c r="AI114" i="56"/>
  <c r="AI115" i="56"/>
  <c r="AC15" i="56"/>
  <c r="AC16" i="56"/>
  <c r="AC17" i="56"/>
  <c r="AC18" i="56"/>
  <c r="AC19" i="56"/>
  <c r="AC20" i="56"/>
  <c r="AC21" i="56"/>
  <c r="AC22" i="56"/>
  <c r="AC23" i="56"/>
  <c r="AC24" i="56"/>
  <c r="AC25" i="56"/>
  <c r="AC26" i="56"/>
  <c r="AC27" i="56"/>
  <c r="AC28" i="56"/>
  <c r="AC29" i="56"/>
  <c r="AC30" i="56"/>
  <c r="AC31" i="56"/>
  <c r="AC32" i="56"/>
  <c r="AC33" i="56"/>
  <c r="AC34" i="56"/>
  <c r="AC35" i="56"/>
  <c r="AC36" i="56"/>
  <c r="AC37" i="56"/>
  <c r="AC38" i="56"/>
  <c r="AC39" i="56"/>
  <c r="AC40" i="56"/>
  <c r="AC41" i="56"/>
  <c r="AC42" i="56"/>
  <c r="AC43" i="56"/>
  <c r="AC44" i="56"/>
  <c r="AC45" i="56"/>
  <c r="AC46" i="56"/>
  <c r="AC47" i="56"/>
  <c r="AC48" i="56"/>
  <c r="AC49" i="56"/>
  <c r="AC50" i="56"/>
  <c r="AC51" i="56"/>
  <c r="AC52" i="56"/>
  <c r="AC53" i="56"/>
  <c r="AC54" i="56"/>
  <c r="AC55" i="56"/>
  <c r="AC56" i="56"/>
  <c r="AC57" i="56"/>
  <c r="AC58" i="56"/>
  <c r="AC59" i="56"/>
  <c r="AC60" i="56"/>
  <c r="AC61" i="56"/>
  <c r="AC62" i="56"/>
  <c r="AC63" i="56"/>
  <c r="AC64" i="56"/>
  <c r="AC65" i="56"/>
  <c r="AC66" i="56"/>
  <c r="AC67" i="56"/>
  <c r="AC68" i="56"/>
  <c r="AC69" i="56"/>
  <c r="AC70" i="56"/>
  <c r="AC71" i="56"/>
  <c r="AC72" i="56"/>
  <c r="AC73" i="56"/>
  <c r="AC74" i="56"/>
  <c r="AC75" i="56"/>
  <c r="AC76" i="56"/>
  <c r="AC77" i="56"/>
  <c r="AC78" i="56"/>
  <c r="AC79" i="56"/>
  <c r="AC80" i="56"/>
  <c r="AC81" i="56"/>
  <c r="AC82" i="56"/>
  <c r="AC83" i="56"/>
  <c r="AC84" i="56"/>
  <c r="AC85" i="56"/>
  <c r="AC86" i="56"/>
  <c r="AC87" i="56"/>
  <c r="AC88" i="56"/>
  <c r="AC89" i="56"/>
  <c r="AC90" i="56"/>
  <c r="AC91" i="56"/>
  <c r="AC92" i="56"/>
  <c r="AC93" i="56"/>
  <c r="AC94" i="56"/>
  <c r="AC95" i="56"/>
  <c r="AC96" i="56"/>
  <c r="AC97" i="56"/>
  <c r="AC98" i="56"/>
  <c r="AC99" i="56"/>
  <c r="AC100" i="56"/>
  <c r="AC101" i="56"/>
  <c r="AC102" i="56"/>
  <c r="AC103" i="56"/>
  <c r="AC104" i="56"/>
  <c r="AC105" i="56"/>
  <c r="AC106" i="56"/>
  <c r="AC107" i="56"/>
  <c r="AC108" i="56"/>
  <c r="AC109" i="56"/>
  <c r="AC110" i="56"/>
  <c r="AC111" i="56"/>
  <c r="AC112" i="56"/>
  <c r="AC113" i="56"/>
  <c r="AC114" i="56"/>
  <c r="AC115" i="56"/>
  <c r="AD14" i="50"/>
  <c r="AC14" i="45"/>
  <c r="T300" i="38" l="1"/>
  <c r="T301" i="38"/>
  <c r="T302" i="38"/>
  <c r="T303" i="38"/>
  <c r="T304" i="38"/>
  <c r="T305" i="38"/>
  <c r="T306" i="38"/>
  <c r="T307" i="38"/>
  <c r="T308" i="38"/>
  <c r="T309" i="38"/>
  <c r="T310" i="38"/>
  <c r="T311" i="38"/>
  <c r="T312" i="38"/>
  <c r="T313" i="38"/>
  <c r="T314" i="38"/>
  <c r="T315" i="38"/>
  <c r="T316" i="38"/>
  <c r="T317" i="38"/>
  <c r="T318" i="38"/>
  <c r="T319" i="38"/>
  <c r="T320" i="38"/>
  <c r="T321" i="38"/>
  <c r="T322" i="38"/>
  <c r="T323" i="38"/>
  <c r="T324" i="38"/>
  <c r="T325" i="38"/>
  <c r="T326" i="38"/>
  <c r="T327" i="38"/>
  <c r="T328" i="38"/>
  <c r="T329" i="38"/>
  <c r="T330" i="38"/>
  <c r="T331" i="38"/>
  <c r="T332" i="38"/>
  <c r="T333" i="38"/>
  <c r="T334" i="38"/>
  <c r="T335" i="38"/>
  <c r="T336" i="38"/>
  <c r="T337" i="38"/>
  <c r="T338" i="38"/>
  <c r="T339" i="38"/>
  <c r="T340" i="38"/>
  <c r="T341" i="38"/>
  <c r="T342" i="38"/>
  <c r="T343" i="38"/>
  <c r="T344" i="38"/>
  <c r="T345" i="38"/>
  <c r="T346" i="38"/>
  <c r="T347" i="38"/>
  <c r="T348" i="38"/>
  <c r="T349" i="38"/>
  <c r="T350" i="38"/>
  <c r="T351" i="38"/>
  <c r="T352" i="38"/>
  <c r="T353" i="38"/>
  <c r="T354" i="38"/>
  <c r="T355" i="38"/>
  <c r="T356" i="38"/>
  <c r="T357" i="38"/>
  <c r="T358" i="38"/>
  <c r="T359" i="38"/>
  <c r="T360" i="38"/>
  <c r="T361" i="38"/>
  <c r="T362" i="38"/>
  <c r="T363" i="38"/>
  <c r="T364" i="38"/>
  <c r="T365" i="38"/>
  <c r="T366" i="38"/>
  <c r="T367" i="38"/>
  <c r="T368" i="38"/>
  <c r="T369" i="38"/>
  <c r="T370" i="38"/>
  <c r="T371" i="38"/>
  <c r="T372" i="38"/>
  <c r="T373" i="38"/>
  <c r="T374" i="38"/>
  <c r="T375" i="38"/>
  <c r="T376" i="38"/>
  <c r="T377" i="38"/>
  <c r="T378" i="38"/>
  <c r="T379" i="38"/>
  <c r="T380" i="38"/>
  <c r="T381" i="38"/>
  <c r="T382" i="38"/>
  <c r="T383" i="38"/>
  <c r="T384" i="38"/>
  <c r="T385" i="38"/>
  <c r="T386" i="38"/>
  <c r="T387" i="38"/>
  <c r="T388" i="38"/>
  <c r="T389" i="38"/>
  <c r="T390" i="38"/>
  <c r="T391" i="38"/>
  <c r="T392" i="38"/>
  <c r="T393" i="38"/>
  <c r="T394" i="38"/>
  <c r="T395" i="38"/>
  <c r="T396" i="38"/>
  <c r="T397" i="38"/>
  <c r="T398" i="38"/>
  <c r="T399" i="38"/>
  <c r="T400" i="38"/>
  <c r="T401" i="38"/>
  <c r="T402" i="38"/>
  <c r="T403" i="38"/>
  <c r="T404" i="38"/>
  <c r="T405" i="38"/>
  <c r="T406" i="38"/>
  <c r="T407" i="38"/>
  <c r="T408" i="38"/>
  <c r="T409" i="38"/>
  <c r="T410" i="38"/>
  <c r="T411" i="38"/>
  <c r="T412" i="38"/>
  <c r="T413" i="38"/>
  <c r="T414" i="38"/>
  <c r="T415" i="38"/>
  <c r="T416" i="38"/>
  <c r="T417" i="38"/>
  <c r="T418" i="38"/>
  <c r="T419" i="38"/>
  <c r="T420" i="38"/>
  <c r="T421" i="38"/>
  <c r="T422" i="38"/>
  <c r="T423" i="38"/>
  <c r="T424" i="38"/>
  <c r="T425" i="38"/>
  <c r="T426" i="38"/>
  <c r="T427" i="38"/>
  <c r="T428" i="38"/>
  <c r="T429" i="38"/>
  <c r="T430" i="38"/>
  <c r="T431" i="38"/>
  <c r="T432" i="38"/>
  <c r="T433" i="38"/>
  <c r="T434" i="38"/>
  <c r="T435" i="38"/>
  <c r="T436" i="38"/>
  <c r="T437" i="38"/>
  <c r="T438" i="38"/>
  <c r="T439" i="38"/>
  <c r="T440" i="38"/>
  <c r="T441" i="38"/>
  <c r="T442" i="38"/>
  <c r="T443" i="38"/>
  <c r="T444" i="38"/>
  <c r="T445" i="38"/>
  <c r="T446" i="38"/>
  <c r="T447" i="38"/>
  <c r="T448" i="38"/>
  <c r="T449" i="38"/>
  <c r="T450" i="38"/>
  <c r="T451" i="38"/>
  <c r="T452" i="38"/>
  <c r="T453" i="38"/>
  <c r="T454" i="38"/>
  <c r="T455" i="38"/>
  <c r="T456" i="38"/>
  <c r="T457" i="38"/>
  <c r="T458" i="38"/>
  <c r="T459" i="38"/>
  <c r="T460" i="38"/>
  <c r="T461" i="38"/>
  <c r="T462" i="38"/>
  <c r="T463" i="38"/>
  <c r="T464" i="38"/>
  <c r="T465" i="38"/>
  <c r="T466" i="38"/>
  <c r="T467" i="38"/>
  <c r="T468" i="38"/>
  <c r="T469" i="38"/>
  <c r="T470" i="38"/>
  <c r="T471" i="38"/>
  <c r="T472" i="38"/>
  <c r="T473" i="38"/>
  <c r="T474" i="38"/>
  <c r="T475" i="38"/>
  <c r="T476" i="38"/>
  <c r="T477" i="38"/>
  <c r="T478" i="38"/>
  <c r="T479" i="38"/>
  <c r="T480" i="38"/>
  <c r="T481" i="38"/>
  <c r="T482" i="38"/>
  <c r="T483" i="38"/>
  <c r="T484" i="38"/>
  <c r="T485" i="38"/>
  <c r="T486" i="38"/>
  <c r="T487" i="38"/>
  <c r="T488" i="38"/>
  <c r="T489" i="38"/>
  <c r="T490" i="38"/>
  <c r="T491" i="38"/>
  <c r="T492" i="38"/>
  <c r="T493" i="38"/>
  <c r="T494" i="38"/>
  <c r="T495" i="38"/>
  <c r="T496" i="38"/>
  <c r="T497" i="38"/>
  <c r="T498" i="38"/>
  <c r="T499" i="38"/>
  <c r="T500" i="38"/>
  <c r="T501" i="38"/>
  <c r="T502" i="38"/>
  <c r="T503" i="38"/>
  <c r="T504" i="38"/>
  <c r="T505" i="38"/>
  <c r="T506" i="38"/>
  <c r="T507" i="38"/>
  <c r="T508" i="38"/>
  <c r="T509" i="38"/>
  <c r="T510" i="38"/>
  <c r="T511" i="38"/>
  <c r="T512" i="38"/>
  <c r="T513" i="38"/>
  <c r="T514" i="38"/>
  <c r="T515" i="38"/>
  <c r="T516" i="38"/>
  <c r="T517" i="38"/>
  <c r="T518" i="38"/>
  <c r="T519" i="38"/>
  <c r="T520" i="38"/>
  <c r="T521" i="38"/>
  <c r="T522" i="38"/>
  <c r="T523" i="38"/>
  <c r="T524" i="38"/>
  <c r="T525" i="38"/>
  <c r="T526" i="38"/>
  <c r="T527" i="38"/>
  <c r="V97" i="45"/>
  <c r="AH18" i="50"/>
  <c r="AP18" i="50" s="1"/>
  <c r="AH24" i="50"/>
  <c r="AP24" i="50" s="1"/>
  <c r="AH28" i="50"/>
  <c r="AP28" i="50" s="1"/>
  <c r="AH42" i="50"/>
  <c r="AP42" i="50" s="1"/>
  <c r="AH50" i="50"/>
  <c r="AP50" i="50" s="1"/>
  <c r="AH51" i="50"/>
  <c r="AP51" i="50" s="1"/>
  <c r="AH52" i="50"/>
  <c r="AP52" i="50" s="1"/>
  <c r="AH67" i="50"/>
  <c r="AP67" i="50" s="1"/>
  <c r="AH68" i="50"/>
  <c r="AP68" i="50" s="1"/>
  <c r="AH82" i="50"/>
  <c r="AP82" i="50" s="1"/>
  <c r="AH91" i="50"/>
  <c r="AP91" i="50" s="1"/>
  <c r="AH92" i="50"/>
  <c r="AP92" i="50" s="1"/>
  <c r="AH15" i="50"/>
  <c r="AP15" i="50" s="1"/>
  <c r="AH16" i="50"/>
  <c r="AP16" i="50" s="1"/>
  <c r="AH17" i="50"/>
  <c r="AP17" i="50" s="1"/>
  <c r="AH19" i="50"/>
  <c r="AP19" i="50" s="1"/>
  <c r="AH20" i="50"/>
  <c r="AP20" i="50" s="1"/>
  <c r="AH21" i="50"/>
  <c r="AP21" i="50" s="1"/>
  <c r="AH22" i="50"/>
  <c r="AP22" i="50" s="1"/>
  <c r="AH23" i="50"/>
  <c r="AP23" i="50" s="1"/>
  <c r="AH25" i="50"/>
  <c r="AP25" i="50" s="1"/>
  <c r="AH26" i="50"/>
  <c r="AP26" i="50" s="1"/>
  <c r="AH27" i="50"/>
  <c r="AP27" i="50" s="1"/>
  <c r="AH29" i="50"/>
  <c r="AP29" i="50" s="1"/>
  <c r="AH30" i="50"/>
  <c r="AP30" i="50" s="1"/>
  <c r="AH31" i="50"/>
  <c r="AP31" i="50" s="1"/>
  <c r="AH32" i="50"/>
  <c r="AP32" i="50" s="1"/>
  <c r="AH33" i="50"/>
  <c r="AP33" i="50" s="1"/>
  <c r="AH34" i="50"/>
  <c r="AP34" i="50" s="1"/>
  <c r="AH35" i="50"/>
  <c r="AP35" i="50" s="1"/>
  <c r="AH36" i="50"/>
  <c r="AP36" i="50" s="1"/>
  <c r="AH37" i="50"/>
  <c r="AP37" i="50" s="1"/>
  <c r="AH38" i="50"/>
  <c r="AP38" i="50" s="1"/>
  <c r="AH39" i="50"/>
  <c r="AP39" i="50" s="1"/>
  <c r="AH40" i="50"/>
  <c r="AP40" i="50" s="1"/>
  <c r="AH41" i="50"/>
  <c r="AP41" i="50" s="1"/>
  <c r="AH43" i="50"/>
  <c r="AP43" i="50" s="1"/>
  <c r="AH44" i="50"/>
  <c r="AP44" i="50" s="1"/>
  <c r="AH45" i="50"/>
  <c r="AP45" i="50" s="1"/>
  <c r="AH46" i="50"/>
  <c r="AP46" i="50" s="1"/>
  <c r="AH47" i="50"/>
  <c r="AP47" i="50" s="1"/>
  <c r="AH48" i="50"/>
  <c r="AP48" i="50" s="1"/>
  <c r="AH49" i="50"/>
  <c r="AP49" i="50" s="1"/>
  <c r="AH53" i="50"/>
  <c r="AP53" i="50" s="1"/>
  <c r="AH54" i="50"/>
  <c r="AP54" i="50" s="1"/>
  <c r="AH55" i="50"/>
  <c r="AP55" i="50" s="1"/>
  <c r="AH56" i="50"/>
  <c r="AP56" i="50" s="1"/>
  <c r="AH57" i="50"/>
  <c r="AP57" i="50" s="1"/>
  <c r="AH58" i="50"/>
  <c r="AP58" i="50" s="1"/>
  <c r="AH59" i="50"/>
  <c r="AP59" i="50" s="1"/>
  <c r="AH60" i="50"/>
  <c r="AP60" i="50" s="1"/>
  <c r="AH61" i="50"/>
  <c r="AP61" i="50" s="1"/>
  <c r="AH62" i="50"/>
  <c r="AP62" i="50" s="1"/>
  <c r="AH63" i="50"/>
  <c r="AP63" i="50" s="1"/>
  <c r="AH64" i="50"/>
  <c r="AP64" i="50" s="1"/>
  <c r="AH65" i="50"/>
  <c r="AP65" i="50" s="1"/>
  <c r="AH66" i="50"/>
  <c r="AP66" i="50" s="1"/>
  <c r="AH69" i="50"/>
  <c r="AP69" i="50" s="1"/>
  <c r="AH70" i="50"/>
  <c r="AP70" i="50" s="1"/>
  <c r="AH71" i="50"/>
  <c r="AP71" i="50" s="1"/>
  <c r="AH72" i="50"/>
  <c r="AP72" i="50" s="1"/>
  <c r="AH73" i="50"/>
  <c r="AP73" i="50" s="1"/>
  <c r="AH74" i="50"/>
  <c r="AP74" i="50" s="1"/>
  <c r="AH75" i="50"/>
  <c r="AP75" i="50" s="1"/>
  <c r="AH76" i="50"/>
  <c r="AP76" i="50" s="1"/>
  <c r="AH77" i="50"/>
  <c r="AP77" i="50" s="1"/>
  <c r="AH78" i="50"/>
  <c r="AP78" i="50" s="1"/>
  <c r="AH79" i="50"/>
  <c r="AP79" i="50" s="1"/>
  <c r="AH80" i="50"/>
  <c r="AP80" i="50" s="1"/>
  <c r="AH81" i="50"/>
  <c r="AP81" i="50" s="1"/>
  <c r="AH83" i="50"/>
  <c r="AP83" i="50" s="1"/>
  <c r="AH84" i="50"/>
  <c r="AP84" i="50" s="1"/>
  <c r="AH85" i="50"/>
  <c r="AP85" i="50" s="1"/>
  <c r="AH86" i="50"/>
  <c r="AP86" i="50" s="1"/>
  <c r="AH87" i="50"/>
  <c r="AP87" i="50" s="1"/>
  <c r="AH88" i="50"/>
  <c r="AP88" i="50" s="1"/>
  <c r="AH89" i="50"/>
  <c r="AP89" i="50" s="1"/>
  <c r="AH90" i="50"/>
  <c r="AP90" i="50" s="1"/>
  <c r="AH93" i="50"/>
  <c r="AP93" i="50" s="1"/>
  <c r="AH94" i="50"/>
  <c r="AP94" i="50" s="1"/>
  <c r="AH14" i="50"/>
  <c r="AP14" i="50" s="1"/>
  <c r="Y15" i="50"/>
  <c r="Z15" i="50"/>
  <c r="AB15" i="50"/>
  <c r="AD15" i="50"/>
  <c r="AT15" i="50"/>
  <c r="AU15" i="50"/>
  <c r="AV15" i="50"/>
  <c r="Y16" i="50"/>
  <c r="Z16" i="50"/>
  <c r="AB16" i="50"/>
  <c r="AD16" i="50"/>
  <c r="AT16" i="50"/>
  <c r="AU16" i="50"/>
  <c r="AV16" i="50"/>
  <c r="Y17" i="50"/>
  <c r="Z17" i="50"/>
  <c r="AB17" i="50"/>
  <c r="AD17" i="50"/>
  <c r="AT17" i="50"/>
  <c r="AU17" i="50"/>
  <c r="AV17" i="50"/>
  <c r="Y18" i="50"/>
  <c r="Z18" i="50"/>
  <c r="AB18" i="50"/>
  <c r="AD18" i="50"/>
  <c r="AT18" i="50"/>
  <c r="AU18" i="50"/>
  <c r="AV18" i="50"/>
  <c r="Y19" i="50"/>
  <c r="Z19" i="50"/>
  <c r="AB19" i="50"/>
  <c r="AD19" i="50"/>
  <c r="AT19" i="50"/>
  <c r="AU19" i="50"/>
  <c r="AV19" i="50"/>
  <c r="Y20" i="50"/>
  <c r="Z20" i="50"/>
  <c r="AB20" i="50"/>
  <c r="AD20" i="50"/>
  <c r="AT20" i="50"/>
  <c r="AU20" i="50"/>
  <c r="AV20" i="50"/>
  <c r="Y21" i="50"/>
  <c r="Z21" i="50"/>
  <c r="AB21" i="50"/>
  <c r="AD21" i="50"/>
  <c r="AT21" i="50"/>
  <c r="AU21" i="50"/>
  <c r="AV21" i="50"/>
  <c r="Y22" i="50"/>
  <c r="Z22" i="50"/>
  <c r="AB22" i="50"/>
  <c r="AD22" i="50"/>
  <c r="AT22" i="50"/>
  <c r="AU22" i="50"/>
  <c r="AV22" i="50"/>
  <c r="Y23" i="50"/>
  <c r="Z23" i="50"/>
  <c r="AB23" i="50"/>
  <c r="AD23" i="50"/>
  <c r="AT23" i="50"/>
  <c r="AU23" i="50"/>
  <c r="AV23" i="50"/>
  <c r="Y24" i="50"/>
  <c r="Z24" i="50"/>
  <c r="AB24" i="50"/>
  <c r="AD24" i="50"/>
  <c r="AT24" i="50"/>
  <c r="AU24" i="50"/>
  <c r="AV24" i="50"/>
  <c r="Y25" i="50"/>
  <c r="Z25" i="50"/>
  <c r="AB25" i="50"/>
  <c r="AD25" i="50"/>
  <c r="AT25" i="50"/>
  <c r="AU25" i="50"/>
  <c r="AV25" i="50"/>
  <c r="U26" i="50"/>
  <c r="Y26" i="50"/>
  <c r="Z26" i="50"/>
  <c r="AB26" i="50"/>
  <c r="AD26" i="50"/>
  <c r="AT26" i="50"/>
  <c r="AU26" i="50"/>
  <c r="AV26" i="50"/>
  <c r="U27" i="50"/>
  <c r="Y27" i="50"/>
  <c r="Z27" i="50"/>
  <c r="AB27" i="50"/>
  <c r="AD27" i="50"/>
  <c r="AT27" i="50"/>
  <c r="AU27" i="50"/>
  <c r="AV27" i="50"/>
  <c r="Y28" i="50"/>
  <c r="Z28" i="50"/>
  <c r="AB28" i="50"/>
  <c r="AD28" i="50"/>
  <c r="AT28" i="50"/>
  <c r="AU28" i="50"/>
  <c r="AV28" i="50"/>
  <c r="Y29" i="50"/>
  <c r="Z29" i="50"/>
  <c r="AB29" i="50"/>
  <c r="AD29" i="50"/>
  <c r="AT29" i="50"/>
  <c r="AU29" i="50"/>
  <c r="AV29" i="50"/>
  <c r="Y30" i="50"/>
  <c r="Z30" i="50"/>
  <c r="AB30" i="50"/>
  <c r="AD30" i="50"/>
  <c r="AT30" i="50"/>
  <c r="AU30" i="50"/>
  <c r="AV30" i="50"/>
  <c r="Y31" i="50"/>
  <c r="Z31" i="50"/>
  <c r="AB31" i="50"/>
  <c r="AD31" i="50"/>
  <c r="AT31" i="50"/>
  <c r="AU31" i="50"/>
  <c r="AV31" i="50"/>
  <c r="Y32" i="50"/>
  <c r="Z32" i="50"/>
  <c r="AB32" i="50"/>
  <c r="AD32" i="50"/>
  <c r="AT32" i="50"/>
  <c r="AU32" i="50"/>
  <c r="AV32" i="50"/>
  <c r="Y33" i="50"/>
  <c r="Z33" i="50"/>
  <c r="AB33" i="50"/>
  <c r="AD33" i="50"/>
  <c r="AT33" i="50"/>
  <c r="AU33" i="50"/>
  <c r="AV33" i="50"/>
  <c r="Y34" i="50"/>
  <c r="Z34" i="50"/>
  <c r="AB34" i="50"/>
  <c r="AD34" i="50"/>
  <c r="AT34" i="50"/>
  <c r="AU34" i="50"/>
  <c r="AV34" i="50"/>
  <c r="Y35" i="50"/>
  <c r="Z35" i="50"/>
  <c r="AB35" i="50"/>
  <c r="AD35" i="50"/>
  <c r="AT35" i="50"/>
  <c r="AU35" i="50"/>
  <c r="AV35" i="50"/>
  <c r="Y36" i="50"/>
  <c r="Z36" i="50"/>
  <c r="AB36" i="50"/>
  <c r="AD36" i="50"/>
  <c r="AT36" i="50"/>
  <c r="AU36" i="50"/>
  <c r="AV36" i="50"/>
  <c r="Y37" i="50"/>
  <c r="Z37" i="50"/>
  <c r="AB37" i="50"/>
  <c r="AD37" i="50"/>
  <c r="AT37" i="50"/>
  <c r="AU37" i="50"/>
  <c r="AV37" i="50"/>
  <c r="Y38" i="50"/>
  <c r="Z38" i="50"/>
  <c r="AB38" i="50"/>
  <c r="AD38" i="50"/>
  <c r="AT38" i="50"/>
  <c r="AU38" i="50"/>
  <c r="AV38" i="50"/>
  <c r="Y39" i="50"/>
  <c r="Z39" i="50"/>
  <c r="AB39" i="50"/>
  <c r="AD39" i="50"/>
  <c r="AT39" i="50"/>
  <c r="AU39" i="50"/>
  <c r="AV39" i="50"/>
  <c r="Y40" i="50"/>
  <c r="Z40" i="50"/>
  <c r="AB40" i="50"/>
  <c r="AD40" i="50"/>
  <c r="AT40" i="50"/>
  <c r="AU40" i="50"/>
  <c r="AV40" i="50"/>
  <c r="Y41" i="50"/>
  <c r="Z41" i="50"/>
  <c r="AB41" i="50"/>
  <c r="AD41" i="50"/>
  <c r="AT41" i="50"/>
  <c r="AU41" i="50"/>
  <c r="AV41" i="50"/>
  <c r="Y42" i="50"/>
  <c r="Z42" i="50"/>
  <c r="AB42" i="50"/>
  <c r="AD42" i="50"/>
  <c r="AT42" i="50"/>
  <c r="AU42" i="50"/>
  <c r="AV42" i="50"/>
  <c r="Y43" i="50"/>
  <c r="Z43" i="50"/>
  <c r="AB43" i="50"/>
  <c r="AD43" i="50"/>
  <c r="AT43" i="50"/>
  <c r="AU43" i="50"/>
  <c r="AV43" i="50"/>
  <c r="Y44" i="50"/>
  <c r="Z44" i="50"/>
  <c r="AB44" i="50"/>
  <c r="AD44" i="50"/>
  <c r="AT44" i="50"/>
  <c r="AU44" i="50"/>
  <c r="AV44" i="50"/>
  <c r="Y45" i="50"/>
  <c r="Z45" i="50"/>
  <c r="AB45" i="50"/>
  <c r="AD45" i="50"/>
  <c r="AT45" i="50"/>
  <c r="AU45" i="50"/>
  <c r="AV45" i="50"/>
  <c r="Y46" i="50"/>
  <c r="Z46" i="50"/>
  <c r="AB46" i="50"/>
  <c r="AD46" i="50"/>
  <c r="AT46" i="50"/>
  <c r="AU46" i="50"/>
  <c r="AV46" i="50"/>
  <c r="Y47" i="50"/>
  <c r="Z47" i="50"/>
  <c r="AB47" i="50"/>
  <c r="AD47" i="50"/>
  <c r="AT47" i="50"/>
  <c r="AU47" i="50"/>
  <c r="AV47" i="50"/>
  <c r="Y48" i="50"/>
  <c r="Z48" i="50"/>
  <c r="AB48" i="50"/>
  <c r="AD48" i="50"/>
  <c r="AT48" i="50"/>
  <c r="AU48" i="50"/>
  <c r="AV48" i="50"/>
  <c r="Y49" i="50"/>
  <c r="Z49" i="50"/>
  <c r="AB49" i="50"/>
  <c r="AD49" i="50"/>
  <c r="AT49" i="50"/>
  <c r="AU49" i="50"/>
  <c r="AV49" i="50"/>
  <c r="U50" i="50"/>
  <c r="Y50" i="50"/>
  <c r="Z50" i="50"/>
  <c r="AB50" i="50"/>
  <c r="AD50" i="50"/>
  <c r="AT50" i="50"/>
  <c r="AU50" i="50"/>
  <c r="AV50" i="50"/>
  <c r="U51" i="50"/>
  <c r="Y51" i="50"/>
  <c r="Z51" i="50"/>
  <c r="AB51" i="50"/>
  <c r="AD51" i="50"/>
  <c r="AT51" i="50"/>
  <c r="AU51" i="50"/>
  <c r="AV51" i="50"/>
  <c r="Y52" i="50"/>
  <c r="Z52" i="50"/>
  <c r="AB52" i="50"/>
  <c r="AD52" i="50"/>
  <c r="AT52" i="50"/>
  <c r="AU52" i="50"/>
  <c r="AV52" i="50"/>
  <c r="Y53" i="50"/>
  <c r="Z53" i="50"/>
  <c r="AB53" i="50"/>
  <c r="AD53" i="50"/>
  <c r="AT53" i="50"/>
  <c r="AU53" i="50"/>
  <c r="AV53" i="50"/>
  <c r="Y54" i="50"/>
  <c r="Z54" i="50"/>
  <c r="AB54" i="50"/>
  <c r="AD54" i="50"/>
  <c r="AT54" i="50"/>
  <c r="AU54" i="50"/>
  <c r="AV54" i="50"/>
  <c r="Y55" i="50"/>
  <c r="Z55" i="50"/>
  <c r="AB55" i="50"/>
  <c r="AD55" i="50"/>
  <c r="AT55" i="50"/>
  <c r="AU55" i="50"/>
  <c r="AV55" i="50"/>
  <c r="Y56" i="50"/>
  <c r="Z56" i="50"/>
  <c r="AB56" i="50"/>
  <c r="AD56" i="50"/>
  <c r="AT56" i="50"/>
  <c r="AU56" i="50"/>
  <c r="AV56" i="50"/>
  <c r="Y57" i="50"/>
  <c r="Z57" i="50"/>
  <c r="AB57" i="50"/>
  <c r="AD57" i="50"/>
  <c r="AT57" i="50"/>
  <c r="AU57" i="50"/>
  <c r="AV57" i="50"/>
  <c r="Y58" i="50"/>
  <c r="Z58" i="50"/>
  <c r="AB58" i="50"/>
  <c r="AD58" i="50"/>
  <c r="AT58" i="50"/>
  <c r="AU58" i="50"/>
  <c r="AV58" i="50"/>
  <c r="Y59" i="50"/>
  <c r="Z59" i="50"/>
  <c r="AB59" i="50"/>
  <c r="AD59" i="50"/>
  <c r="AT59" i="50"/>
  <c r="AU59" i="50"/>
  <c r="AV59" i="50"/>
  <c r="Y60" i="50"/>
  <c r="Z60" i="50"/>
  <c r="AB60" i="50"/>
  <c r="AD60" i="50"/>
  <c r="AT60" i="50"/>
  <c r="AU60" i="50"/>
  <c r="AV60" i="50"/>
  <c r="Y61" i="50"/>
  <c r="Z61" i="50"/>
  <c r="AB61" i="50"/>
  <c r="AD61" i="50"/>
  <c r="AT61" i="50"/>
  <c r="AU61" i="50"/>
  <c r="AV61" i="50"/>
  <c r="Y62" i="50"/>
  <c r="Z62" i="50"/>
  <c r="AB62" i="50"/>
  <c r="AD62" i="50"/>
  <c r="AT62" i="50"/>
  <c r="AU62" i="50"/>
  <c r="AV62" i="50"/>
  <c r="Y63" i="50"/>
  <c r="Z63" i="50"/>
  <c r="AB63" i="50"/>
  <c r="AD63" i="50"/>
  <c r="AT63" i="50"/>
  <c r="AU63" i="50"/>
  <c r="AV63" i="50"/>
  <c r="Y64" i="50"/>
  <c r="Z64" i="50"/>
  <c r="AB64" i="50"/>
  <c r="AD64" i="50"/>
  <c r="AT64" i="50"/>
  <c r="AU64" i="50"/>
  <c r="AV64" i="50"/>
  <c r="Y65" i="50"/>
  <c r="Z65" i="50"/>
  <c r="AB65" i="50"/>
  <c r="AD65" i="50"/>
  <c r="AT65" i="50"/>
  <c r="AU65" i="50"/>
  <c r="AV65" i="50"/>
  <c r="U66" i="50"/>
  <c r="Y66" i="50"/>
  <c r="Z66" i="50"/>
  <c r="AB66" i="50"/>
  <c r="AD66" i="50"/>
  <c r="AT66" i="50"/>
  <c r="AU66" i="50"/>
  <c r="AV66" i="50"/>
  <c r="Y67" i="50"/>
  <c r="Z67" i="50"/>
  <c r="AB67" i="50"/>
  <c r="AD67" i="50"/>
  <c r="AT67" i="50"/>
  <c r="AU67" i="50"/>
  <c r="AV67" i="50"/>
  <c r="Y68" i="50"/>
  <c r="Z68" i="50"/>
  <c r="AB68" i="50"/>
  <c r="AD68" i="50"/>
  <c r="AT68" i="50"/>
  <c r="AU68" i="50"/>
  <c r="AV68" i="50"/>
  <c r="Y69" i="50"/>
  <c r="Z69" i="50"/>
  <c r="AB69" i="50"/>
  <c r="AD69" i="50"/>
  <c r="AT69" i="50"/>
  <c r="AU69" i="50"/>
  <c r="AV69" i="50"/>
  <c r="Y70" i="50"/>
  <c r="Z70" i="50"/>
  <c r="AB70" i="50"/>
  <c r="AD70" i="50"/>
  <c r="AT70" i="50"/>
  <c r="AU70" i="50"/>
  <c r="AV70" i="50"/>
  <c r="Y71" i="50"/>
  <c r="Z71" i="50"/>
  <c r="AB71" i="50"/>
  <c r="AD71" i="50"/>
  <c r="AT71" i="50"/>
  <c r="AU71" i="50"/>
  <c r="AV71" i="50"/>
  <c r="Y72" i="50"/>
  <c r="Z72" i="50"/>
  <c r="AB72" i="50"/>
  <c r="AD72" i="50"/>
  <c r="AT72" i="50"/>
  <c r="AU72" i="50"/>
  <c r="AV72" i="50"/>
  <c r="Y73" i="50"/>
  <c r="Z73" i="50"/>
  <c r="AB73" i="50"/>
  <c r="AD73" i="50"/>
  <c r="AT73" i="50"/>
  <c r="AU73" i="50"/>
  <c r="AV73" i="50"/>
  <c r="Y74" i="50"/>
  <c r="Z74" i="50"/>
  <c r="AB74" i="50"/>
  <c r="AD74" i="50"/>
  <c r="AT74" i="50"/>
  <c r="AU74" i="50"/>
  <c r="AV74" i="50"/>
  <c r="Y75" i="50"/>
  <c r="Z75" i="50"/>
  <c r="AB75" i="50"/>
  <c r="AD75" i="50"/>
  <c r="AT75" i="50"/>
  <c r="AU75" i="50"/>
  <c r="AV75" i="50"/>
  <c r="Y76" i="50"/>
  <c r="Z76" i="50"/>
  <c r="AB76" i="50"/>
  <c r="AD76" i="50"/>
  <c r="AT76" i="50"/>
  <c r="AU76" i="50"/>
  <c r="AV76" i="50"/>
  <c r="Y77" i="50"/>
  <c r="Z77" i="50"/>
  <c r="AB77" i="50"/>
  <c r="AD77" i="50"/>
  <c r="AT77" i="50"/>
  <c r="AU77" i="50"/>
  <c r="AV77" i="50"/>
  <c r="Y78" i="50"/>
  <c r="Z78" i="50"/>
  <c r="AB78" i="50"/>
  <c r="AD78" i="50"/>
  <c r="AT78" i="50"/>
  <c r="AU78" i="50"/>
  <c r="AV78" i="50"/>
  <c r="Y79" i="50"/>
  <c r="Z79" i="50"/>
  <c r="AB79" i="50"/>
  <c r="AD79" i="50"/>
  <c r="AT79" i="50"/>
  <c r="AU79" i="50"/>
  <c r="AV79" i="50"/>
  <c r="Y80" i="50"/>
  <c r="Z80" i="50"/>
  <c r="AB80" i="50"/>
  <c r="AD80" i="50"/>
  <c r="AT80" i="50"/>
  <c r="AU80" i="50"/>
  <c r="AV80" i="50"/>
  <c r="Y81" i="50"/>
  <c r="Z81" i="50"/>
  <c r="AB81" i="50"/>
  <c r="AD81" i="50"/>
  <c r="AT81" i="50"/>
  <c r="AU81" i="50"/>
  <c r="AV81" i="50"/>
  <c r="Y82" i="50"/>
  <c r="Z82" i="50"/>
  <c r="AB82" i="50"/>
  <c r="AD82" i="50"/>
  <c r="AT82" i="50"/>
  <c r="AU82" i="50"/>
  <c r="AV82" i="50"/>
  <c r="Y83" i="50"/>
  <c r="Z83" i="50"/>
  <c r="AB83" i="50"/>
  <c r="AD83" i="50"/>
  <c r="AT83" i="50"/>
  <c r="AU83" i="50"/>
  <c r="AV83" i="50"/>
  <c r="Y84" i="50"/>
  <c r="Z84" i="50"/>
  <c r="AB84" i="50"/>
  <c r="AD84" i="50"/>
  <c r="AT84" i="50"/>
  <c r="AU84" i="50"/>
  <c r="AV84" i="50"/>
  <c r="Y85" i="50"/>
  <c r="Z85" i="50"/>
  <c r="AB85" i="50"/>
  <c r="AD85" i="50"/>
  <c r="AT85" i="50"/>
  <c r="AU85" i="50"/>
  <c r="AV85" i="50"/>
  <c r="Y86" i="50"/>
  <c r="Z86" i="50"/>
  <c r="AB86" i="50"/>
  <c r="AD86" i="50"/>
  <c r="AT86" i="50"/>
  <c r="AU86" i="50"/>
  <c r="AV86" i="50"/>
  <c r="Y87" i="50"/>
  <c r="Z87" i="50"/>
  <c r="AB87" i="50"/>
  <c r="AD87" i="50"/>
  <c r="AT87" i="50"/>
  <c r="AU87" i="50"/>
  <c r="AV87" i="50"/>
  <c r="Y88" i="50"/>
  <c r="Z88" i="50"/>
  <c r="AB88" i="50"/>
  <c r="AD88" i="50"/>
  <c r="AT88" i="50"/>
  <c r="AU88" i="50"/>
  <c r="AV88" i="50"/>
  <c r="Y89" i="50"/>
  <c r="Z89" i="50"/>
  <c r="AB89" i="50"/>
  <c r="AD89" i="50"/>
  <c r="AT89" i="50"/>
  <c r="AU89" i="50"/>
  <c r="AV89" i="50"/>
  <c r="Y90" i="50"/>
  <c r="Z90" i="50"/>
  <c r="AB90" i="50"/>
  <c r="AD90" i="50"/>
  <c r="AT90" i="50"/>
  <c r="AU90" i="50"/>
  <c r="AV90" i="50"/>
  <c r="U91" i="50"/>
  <c r="Y91" i="50"/>
  <c r="Z91" i="50"/>
  <c r="AB91" i="50"/>
  <c r="AD91" i="50"/>
  <c r="AT91" i="50"/>
  <c r="AU91" i="50"/>
  <c r="AV91" i="50"/>
  <c r="Y92" i="50"/>
  <c r="Z92" i="50"/>
  <c r="AB92" i="50"/>
  <c r="AD92" i="50"/>
  <c r="AT92" i="50"/>
  <c r="AU92" i="50"/>
  <c r="AV92" i="50"/>
  <c r="Y93" i="50"/>
  <c r="Z93" i="50"/>
  <c r="AB93" i="50"/>
  <c r="AD93" i="50"/>
  <c r="AT93" i="50"/>
  <c r="AU93" i="50"/>
  <c r="AV93" i="50"/>
  <c r="Y94" i="50"/>
  <c r="Z94" i="50"/>
  <c r="AB94" i="50"/>
  <c r="AD94" i="50"/>
  <c r="AT94" i="50"/>
  <c r="AU94" i="50"/>
  <c r="AV94" i="50"/>
  <c r="AV14" i="50"/>
  <c r="AU14" i="50"/>
  <c r="AT14" i="50"/>
  <c r="AB14" i="50"/>
  <c r="Z14" i="50"/>
  <c r="Y14" i="50"/>
  <c r="U23" i="50"/>
  <c r="U24" i="50"/>
  <c r="U25" i="50"/>
  <c r="U28" i="50"/>
  <c r="U29" i="50"/>
  <c r="U30" i="50"/>
  <c r="U31" i="50"/>
  <c r="U32" i="50"/>
  <c r="U33" i="50"/>
  <c r="U34" i="50"/>
  <c r="U35" i="50"/>
  <c r="U36" i="50"/>
  <c r="U37" i="50"/>
  <c r="U38" i="50"/>
  <c r="U39" i="50"/>
  <c r="U40" i="50"/>
  <c r="U41" i="50"/>
  <c r="U42" i="50"/>
  <c r="U43" i="50"/>
  <c r="U44" i="50"/>
  <c r="U45" i="50"/>
  <c r="U46" i="50"/>
  <c r="U47" i="50"/>
  <c r="U48" i="50"/>
  <c r="U49" i="50"/>
  <c r="U52" i="50"/>
  <c r="U53" i="50"/>
  <c r="U54" i="50"/>
  <c r="U55" i="50"/>
  <c r="U56" i="50"/>
  <c r="U57" i="50"/>
  <c r="U58" i="50"/>
  <c r="U59" i="50"/>
  <c r="U60" i="50"/>
  <c r="U61" i="50"/>
  <c r="U62" i="50"/>
  <c r="U63" i="50"/>
  <c r="U64" i="50"/>
  <c r="U65" i="50"/>
  <c r="U67" i="50"/>
  <c r="U68" i="50"/>
  <c r="U69" i="50"/>
  <c r="U70" i="50"/>
  <c r="U71" i="50"/>
  <c r="U72" i="50"/>
  <c r="U73" i="50"/>
  <c r="U74" i="50"/>
  <c r="U75" i="50"/>
  <c r="U76" i="50"/>
  <c r="U77" i="50"/>
  <c r="U78" i="50"/>
  <c r="U79" i="50"/>
  <c r="U80" i="50"/>
  <c r="U81" i="50"/>
  <c r="U82" i="50"/>
  <c r="U83" i="50"/>
  <c r="U84" i="50"/>
  <c r="U85" i="50"/>
  <c r="U86" i="50"/>
  <c r="U87" i="50"/>
  <c r="U88" i="50"/>
  <c r="U89" i="50"/>
  <c r="U90" i="50"/>
  <c r="U92" i="50"/>
  <c r="U93" i="50"/>
  <c r="U94" i="50"/>
  <c r="U15" i="50"/>
  <c r="U16" i="50"/>
  <c r="U17" i="50"/>
  <c r="U18" i="50"/>
  <c r="U19" i="50"/>
  <c r="U20" i="50"/>
  <c r="U21" i="50"/>
  <c r="U22" i="50"/>
  <c r="U14" i="50"/>
  <c r="W322" i="55" l="1"/>
  <c r="T322" i="55"/>
  <c r="Q322" i="55"/>
  <c r="P322" i="55" s="1"/>
  <c r="W321" i="55"/>
  <c r="T321" i="55"/>
  <c r="Q321" i="55"/>
  <c r="W320" i="55"/>
  <c r="T320" i="55"/>
  <c r="Q320" i="55"/>
  <c r="W312" i="55"/>
  <c r="T312" i="55"/>
  <c r="Q312" i="55"/>
  <c r="P312" i="55" s="1"/>
  <c r="W311" i="55"/>
  <c r="T311" i="55"/>
  <c r="Q311" i="55"/>
  <c r="W310" i="55"/>
  <c r="T310" i="55"/>
  <c r="Q310" i="55"/>
  <c r="W300" i="55"/>
  <c r="T300" i="55"/>
  <c r="Q300" i="55"/>
  <c r="W299" i="55"/>
  <c r="T299" i="55"/>
  <c r="Q299" i="55"/>
  <c r="W298" i="55"/>
  <c r="T298" i="55"/>
  <c r="Q298" i="55"/>
  <c r="P298" i="55" s="1"/>
  <c r="W297" i="55"/>
  <c r="T297" i="55"/>
  <c r="Q297" i="55"/>
  <c r="W296" i="55"/>
  <c r="T296" i="55"/>
  <c r="Q296" i="55"/>
  <c r="W288" i="55"/>
  <c r="T288" i="55"/>
  <c r="Q288" i="55"/>
  <c r="P288" i="55" s="1"/>
  <c r="W286" i="55"/>
  <c r="W287" i="55"/>
  <c r="T287" i="55"/>
  <c r="Q287" i="55"/>
  <c r="T286" i="55"/>
  <c r="Q286" i="55"/>
  <c r="I43" i="36" l="1" a="1"/>
  <c r="I43" i="36" s="1"/>
  <c r="G46" i="36" a="1"/>
  <c r="G46" i="36" s="1"/>
  <c r="V69" i="46"/>
  <c r="V70" i="46"/>
  <c r="V71" i="46"/>
  <c r="V72" i="46"/>
  <c r="V73" i="46"/>
  <c r="V74" i="46"/>
  <c r="V75" i="46"/>
  <c r="V76" i="46"/>
  <c r="V77" i="46"/>
  <c r="V78" i="46"/>
  <c r="V79" i="46"/>
  <c r="V80" i="46"/>
  <c r="V81" i="46"/>
  <c r="V82" i="46"/>
  <c r="V83" i="46"/>
  <c r="V84" i="46"/>
  <c r="V85" i="46"/>
  <c r="V86" i="46"/>
  <c r="V87" i="46"/>
  <c r="V88" i="46"/>
  <c r="V89" i="46"/>
  <c r="U69" i="46"/>
  <c r="U70" i="46"/>
  <c r="U71" i="46"/>
  <c r="U72" i="46"/>
  <c r="U73" i="46"/>
  <c r="U74" i="46"/>
  <c r="U75" i="46"/>
  <c r="U76" i="46"/>
  <c r="U77" i="46"/>
  <c r="U78" i="46"/>
  <c r="U79" i="46"/>
  <c r="U80" i="46"/>
  <c r="U81" i="46"/>
  <c r="U82" i="46"/>
  <c r="U83" i="46"/>
  <c r="U84" i="46"/>
  <c r="U85" i="46"/>
  <c r="U86" i="46"/>
  <c r="U87" i="46"/>
  <c r="U88" i="46"/>
  <c r="U89" i="46"/>
  <c r="AO43" i="46"/>
  <c r="AO44" i="46"/>
  <c r="AO45" i="46"/>
  <c r="AO46" i="46"/>
  <c r="AO47" i="46"/>
  <c r="AO48" i="46"/>
  <c r="AO49" i="46"/>
  <c r="AO50" i="46"/>
  <c r="AO51" i="46"/>
  <c r="AO52" i="46"/>
  <c r="AO53" i="46"/>
  <c r="AO54" i="46"/>
  <c r="AO55" i="46"/>
  <c r="AO56" i="46"/>
  <c r="AO57" i="46"/>
  <c r="AO58" i="46"/>
  <c r="AO59" i="46"/>
  <c r="AO60" i="46"/>
  <c r="AO61" i="46"/>
  <c r="AO62" i="46"/>
  <c r="AO63" i="46"/>
  <c r="AD48" i="46"/>
  <c r="AD49" i="46"/>
  <c r="AD53" i="46"/>
  <c r="AB43" i="46"/>
  <c r="AD43" i="46" s="1"/>
  <c r="AB44" i="46"/>
  <c r="AD44" i="46" s="1"/>
  <c r="AB45" i="46"/>
  <c r="AD45" i="46" s="1"/>
  <c r="AB46" i="46"/>
  <c r="AD46" i="46" s="1"/>
  <c r="AB47" i="46"/>
  <c r="AD47" i="46" s="1"/>
  <c r="AB48" i="46"/>
  <c r="AB49" i="46"/>
  <c r="AB50" i="46"/>
  <c r="AD50" i="46" s="1"/>
  <c r="AB51" i="46"/>
  <c r="AD51" i="46" s="1"/>
  <c r="AB52" i="46"/>
  <c r="AD52" i="46" s="1"/>
  <c r="AB53" i="46"/>
  <c r="AB54" i="46"/>
  <c r="AD54" i="46" s="1"/>
  <c r="AB55" i="46"/>
  <c r="AD55" i="46" s="1"/>
  <c r="AB56" i="46"/>
  <c r="AD56" i="46" s="1"/>
  <c r="AB57" i="46"/>
  <c r="AD57" i="46" s="1"/>
  <c r="AB58" i="46"/>
  <c r="AD58" i="46" s="1"/>
  <c r="AB59" i="46"/>
  <c r="AD59" i="46" s="1"/>
  <c r="AB60" i="46"/>
  <c r="AD60" i="46" s="1"/>
  <c r="AB61" i="46"/>
  <c r="AD61" i="46" s="1"/>
  <c r="AB62" i="46"/>
  <c r="AD62" i="46" s="1"/>
  <c r="AB63" i="46"/>
  <c r="AD63" i="46" s="1"/>
  <c r="Z43" i="46"/>
  <c r="Z44" i="46"/>
  <c r="Z45" i="46"/>
  <c r="Z46" i="46"/>
  <c r="Z47" i="46"/>
  <c r="Z48" i="46"/>
  <c r="Z49" i="46"/>
  <c r="Z50" i="46"/>
  <c r="Z51" i="46"/>
  <c r="Z52" i="46"/>
  <c r="Z53" i="46"/>
  <c r="Z54" i="46"/>
  <c r="Z55" i="46"/>
  <c r="Z56" i="46"/>
  <c r="Z57" i="46"/>
  <c r="Z58" i="46"/>
  <c r="Z59" i="46"/>
  <c r="Z60" i="46"/>
  <c r="Z61" i="46"/>
  <c r="Z62" i="46"/>
  <c r="Z63" i="46"/>
  <c r="W43" i="46"/>
  <c r="W44" i="46"/>
  <c r="W45" i="46"/>
  <c r="W46" i="46"/>
  <c r="W47" i="46"/>
  <c r="W48" i="46"/>
  <c r="W49" i="46"/>
  <c r="W50" i="46"/>
  <c r="W51" i="46"/>
  <c r="W52" i="46"/>
  <c r="W53" i="46"/>
  <c r="W54" i="46"/>
  <c r="W55" i="46"/>
  <c r="W56" i="46"/>
  <c r="W57" i="46"/>
  <c r="W58" i="46"/>
  <c r="W59" i="46"/>
  <c r="W60" i="46"/>
  <c r="W61" i="46"/>
  <c r="W62" i="46"/>
  <c r="W63" i="46"/>
  <c r="T43" i="46"/>
  <c r="U43" i="46"/>
  <c r="U44" i="46"/>
  <c r="U45" i="46"/>
  <c r="U46" i="46"/>
  <c r="U47" i="46"/>
  <c r="U48" i="46"/>
  <c r="U49" i="46"/>
  <c r="U50" i="46"/>
  <c r="U51" i="46"/>
  <c r="U52" i="46"/>
  <c r="U53" i="46"/>
  <c r="U54" i="46"/>
  <c r="U55" i="46"/>
  <c r="U56" i="46"/>
  <c r="U57" i="46"/>
  <c r="U58" i="46"/>
  <c r="U59" i="46"/>
  <c r="U60" i="46"/>
  <c r="U61" i="46"/>
  <c r="U62" i="46"/>
  <c r="U63" i="46"/>
  <c r="E135" i="45"/>
  <c r="E136" i="45"/>
  <c r="E137" i="45"/>
  <c r="E138" i="45"/>
  <c r="E139" i="45"/>
  <c r="E140" i="45"/>
  <c r="E141" i="45"/>
  <c r="E142" i="45"/>
  <c r="E143" i="45"/>
  <c r="E144" i="45"/>
  <c r="E145" i="45"/>
  <c r="E146" i="45"/>
  <c r="E147" i="45"/>
  <c r="E148" i="45"/>
  <c r="E149" i="45"/>
  <c r="E150" i="45"/>
  <c r="E151" i="45"/>
  <c r="E152" i="45"/>
  <c r="E153" i="45"/>
  <c r="E154" i="45"/>
  <c r="E155" i="45"/>
  <c r="E156" i="45"/>
  <c r="E157" i="45"/>
  <c r="E158" i="45"/>
  <c r="E159" i="45"/>
  <c r="E160" i="45"/>
  <c r="E161" i="45"/>
  <c r="E162" i="45"/>
  <c r="E163" i="45"/>
  <c r="E164" i="45"/>
  <c r="E165" i="45"/>
  <c r="E166" i="45"/>
  <c r="E167" i="45"/>
  <c r="E168" i="45"/>
  <c r="E169" i="45"/>
  <c r="E170" i="45"/>
  <c r="E171" i="45"/>
  <c r="E172" i="45"/>
  <c r="E173" i="45"/>
  <c r="E174" i="45"/>
  <c r="E175" i="45"/>
  <c r="E176" i="45"/>
  <c r="E177" i="45"/>
  <c r="E178" i="45"/>
  <c r="E179" i="45"/>
  <c r="E180" i="45"/>
  <c r="E181" i="45"/>
  <c r="E182" i="45"/>
  <c r="E183" i="45"/>
  <c r="E184" i="45"/>
  <c r="E185" i="45"/>
  <c r="E186" i="45"/>
  <c r="E187" i="45"/>
  <c r="E188" i="45"/>
  <c r="E189" i="45"/>
  <c r="E190" i="45"/>
  <c r="E191" i="45"/>
  <c r="E192" i="45"/>
  <c r="E193" i="45"/>
  <c r="E194" i="45"/>
  <c r="E195" i="45"/>
  <c r="E196" i="45"/>
  <c r="E197" i="45"/>
  <c r="E198" i="45"/>
  <c r="E199" i="45"/>
  <c r="E200" i="45"/>
  <c r="E201" i="45"/>
  <c r="E202" i="45"/>
  <c r="E203" i="45"/>
  <c r="E204" i="45"/>
  <c r="E205" i="45"/>
  <c r="E206" i="45"/>
  <c r="E207" i="45"/>
  <c r="E208" i="45"/>
  <c r="E209" i="45"/>
  <c r="E210" i="45"/>
  <c r="E211" i="45"/>
  <c r="E212" i="45"/>
  <c r="E213" i="45"/>
  <c r="E214" i="45"/>
  <c r="E215" i="45"/>
  <c r="E216" i="45"/>
  <c r="E217" i="45"/>
  <c r="E218" i="45"/>
  <c r="E219" i="45"/>
  <c r="E220" i="45"/>
  <c r="E221" i="45"/>
  <c r="E222" i="45"/>
  <c r="E223" i="45"/>
  <c r="E224" i="45"/>
  <c r="E225" i="45"/>
  <c r="E226" i="45"/>
  <c r="E227" i="45"/>
  <c r="E228" i="45"/>
  <c r="E229" i="45"/>
  <c r="E230" i="45"/>
  <c r="E231" i="45"/>
  <c r="E232" i="45"/>
  <c r="E233" i="45"/>
  <c r="E234" i="45"/>
  <c r="E235" i="45"/>
  <c r="E236" i="45"/>
  <c r="E237" i="45"/>
  <c r="E238" i="45"/>
  <c r="E239" i="45"/>
  <c r="E240" i="45"/>
  <c r="E241" i="45"/>
  <c r="E242" i="45"/>
  <c r="E243" i="45"/>
  <c r="E244" i="45"/>
  <c r="E245" i="45"/>
  <c r="E246" i="45"/>
  <c r="E247" i="45"/>
  <c r="E248" i="45"/>
  <c r="E134" i="45"/>
  <c r="E130" i="45"/>
  <c r="E131" i="45"/>
  <c r="E132" i="45"/>
  <c r="E133" i="45"/>
  <c r="Q53" i="45"/>
  <c r="Q14" i="45"/>
  <c r="J68" i="43"/>
  <c r="J69" i="43"/>
  <c r="J70" i="43"/>
  <c r="J71" i="43"/>
  <c r="J72" i="43"/>
  <c r="J73" i="43"/>
  <c r="J74" i="43"/>
  <c r="J75" i="43"/>
  <c r="J76" i="43"/>
  <c r="J77" i="43"/>
  <c r="J78" i="43"/>
  <c r="J79" i="43"/>
  <c r="J80" i="43"/>
  <c r="J81" i="43"/>
  <c r="J82" i="43"/>
  <c r="J83" i="43"/>
  <c r="J84" i="43"/>
  <c r="J85" i="43"/>
  <c r="J86" i="43"/>
  <c r="J87" i="43"/>
  <c r="J88" i="43"/>
  <c r="I55" i="36" a="1"/>
  <c r="I55" i="36" s="1"/>
  <c r="I54" i="36" a="1"/>
  <c r="I54" i="36" s="1"/>
  <c r="I53" i="36" a="1"/>
  <c r="I53" i="36" s="1"/>
  <c r="I50" i="36" a="1"/>
  <c r="I50" i="36" s="1"/>
  <c r="I49" i="36" a="1"/>
  <c r="I49" i="36" s="1"/>
  <c r="I48" i="36" a="1"/>
  <c r="I48" i="36" s="1"/>
  <c r="I47" i="36" a="1"/>
  <c r="I47" i="36" s="1"/>
  <c r="I45" i="36" a="1"/>
  <c r="I45" i="36" s="1"/>
  <c r="I44" i="36" a="1"/>
  <c r="I44" i="36" s="1"/>
  <c r="I42" i="36" a="1"/>
  <c r="I42" i="36" s="1"/>
  <c r="I41" i="36" a="1"/>
  <c r="I41" i="36" s="1"/>
  <c r="I40" i="36" a="1"/>
  <c r="I40" i="36" s="1"/>
  <c r="I39" i="36" a="1"/>
  <c r="I39" i="36" s="1"/>
  <c r="I38" i="36" a="1"/>
  <c r="I38" i="36" s="1"/>
  <c r="I37" i="36" a="1"/>
  <c r="I37" i="36" s="1"/>
  <c r="I36" i="36" a="1"/>
  <c r="I36" i="36" s="1"/>
  <c r="G55" i="36" a="1"/>
  <c r="G55" i="36" s="1"/>
  <c r="G54" i="36" a="1"/>
  <c r="G54" i="36" s="1"/>
  <c r="G53" i="36" a="1"/>
  <c r="G53" i="36" s="1"/>
  <c r="G51" i="36" a="1"/>
  <c r="G51" i="36" s="1"/>
  <c r="G50" i="36" a="1"/>
  <c r="G50" i="36" s="1"/>
  <c r="G49" i="36" a="1"/>
  <c r="G49" i="36" s="1"/>
  <c r="G48" i="36" a="1"/>
  <c r="G48" i="36" s="1"/>
  <c r="G47" i="36" a="1"/>
  <c r="G47" i="36" s="1"/>
  <c r="G45" i="36" a="1"/>
  <c r="G45" i="36" s="1"/>
  <c r="G44" i="36" a="1"/>
  <c r="G44" i="36" s="1"/>
  <c r="G43" i="36" a="1"/>
  <c r="G43" i="36" s="1"/>
  <c r="G42" i="36" a="1"/>
  <c r="G42" i="36" s="1"/>
  <c r="G41" i="36" a="1"/>
  <c r="G41" i="36" s="1"/>
  <c r="G40" i="36" a="1"/>
  <c r="G40" i="36" s="1"/>
  <c r="G39" i="36" a="1"/>
  <c r="G39" i="36" s="1"/>
  <c r="G38" i="36" a="1"/>
  <c r="G38" i="36" s="1"/>
  <c r="G37" i="36" a="1"/>
  <c r="G37" i="36" s="1"/>
  <c r="G36" i="36" a="1"/>
  <c r="G36" i="36" s="1"/>
  <c r="I35" i="36" a="1"/>
  <c r="I35" i="36" s="1"/>
  <c r="G35" i="36" a="1"/>
  <c r="G35" i="36" s="1"/>
  <c r="I52" i="36" a="1"/>
  <c r="I52" i="36"/>
  <c r="I34" i="36" a="1"/>
  <c r="I34" i="36" s="1"/>
  <c r="H34" i="36" a="1"/>
  <c r="H34" i="36"/>
  <c r="G34" i="36" a="1"/>
  <c r="G34" i="36"/>
  <c r="I33" i="36" a="1"/>
  <c r="I33" i="36" s="1"/>
  <c r="H33" i="36" a="1"/>
  <c r="H33" i="36" s="1"/>
  <c r="G33" i="36" a="1"/>
  <c r="G33" i="36" s="1"/>
  <c r="I32" i="36" a="1"/>
  <c r="I32" i="36" s="1"/>
  <c r="H32" i="36" a="1"/>
  <c r="H32" i="36" s="1"/>
  <c r="G32" i="36" a="1"/>
  <c r="G32" i="36" s="1"/>
  <c r="F2" i="57"/>
  <c r="F1" i="57"/>
  <c r="M13" i="45" l="1"/>
  <c r="H50" i="36" s="1"/>
  <c r="M68" i="46"/>
  <c r="I46" i="36" a="1"/>
  <c r="I46" i="36" s="1"/>
  <c r="Q14" i="38"/>
  <c r="Q15" i="38"/>
  <c r="Q16" i="38"/>
  <c r="Q17" i="38"/>
  <c r="Q21" i="38"/>
  <c r="Q22" i="38"/>
  <c r="Q13" i="38"/>
  <c r="Q69" i="46"/>
  <c r="Q70" i="46"/>
  <c r="Q71" i="46"/>
  <c r="Q72" i="46"/>
  <c r="Q73" i="46"/>
  <c r="Q74" i="46"/>
  <c r="Q75" i="46"/>
  <c r="Q76" i="46"/>
  <c r="Q77" i="46"/>
  <c r="Q78" i="46"/>
  <c r="Q79" i="46"/>
  <c r="Q80" i="46"/>
  <c r="Q81" i="46"/>
  <c r="Q82" i="46"/>
  <c r="Q83" i="46"/>
  <c r="Q84" i="46"/>
  <c r="Q85" i="46"/>
  <c r="Q86" i="46"/>
  <c r="Q87" i="46"/>
  <c r="Q88" i="46"/>
  <c r="Q89" i="46"/>
  <c r="Q163" i="45"/>
  <c r="Q169" i="45"/>
  <c r="Q170" i="45"/>
  <c r="Q186" i="45"/>
  <c r="Q187" i="45"/>
  <c r="Q193" i="45"/>
  <c r="Q203" i="45"/>
  <c r="Q210" i="45"/>
  <c r="Q211" i="45"/>
  <c r="Q227" i="45"/>
  <c r="Q233" i="45"/>
  <c r="Q234" i="45"/>
  <c r="Q31" i="44"/>
  <c r="Q32" i="44"/>
  <c r="Q33" i="44"/>
  <c r="Q42" i="43"/>
  <c r="Q43" i="43"/>
  <c r="Q44" i="43"/>
  <c r="Q45" i="43"/>
  <c r="Q46" i="43"/>
  <c r="Q47" i="43"/>
  <c r="Q48" i="43"/>
  <c r="Q49" i="43"/>
  <c r="Q50" i="43"/>
  <c r="Q51" i="43"/>
  <c r="Q52" i="43"/>
  <c r="Q53" i="43"/>
  <c r="Q54" i="43"/>
  <c r="Q55" i="43"/>
  <c r="Q56" i="43"/>
  <c r="Q57" i="43"/>
  <c r="Q58" i="43"/>
  <c r="Q59" i="43"/>
  <c r="Q60" i="43"/>
  <c r="Q61" i="43"/>
  <c r="Q62" i="43"/>
  <c r="Q43" i="42"/>
  <c r="Q44" i="42"/>
  <c r="Q45" i="42"/>
  <c r="Q46" i="42"/>
  <c r="Q47" i="42"/>
  <c r="Q48" i="42"/>
  <c r="Q49" i="42"/>
  <c r="Q50" i="42"/>
  <c r="Q51" i="42"/>
  <c r="Q52" i="42"/>
  <c r="Q53" i="42"/>
  <c r="Q54" i="42"/>
  <c r="Q55" i="42"/>
  <c r="Q56" i="42"/>
  <c r="Q57" i="42"/>
  <c r="Q58" i="42"/>
  <c r="Q59" i="42"/>
  <c r="Q60" i="42"/>
  <c r="Q61" i="42"/>
  <c r="Q16" i="42"/>
  <c r="Q19" i="42"/>
  <c r="Q20" i="42"/>
  <c r="Q21" i="42"/>
  <c r="Q22" i="42"/>
  <c r="Q23" i="42"/>
  <c r="Q24" i="42"/>
  <c r="Q25" i="42"/>
  <c r="Q26" i="42"/>
  <c r="Q27" i="42"/>
  <c r="Q28" i="42"/>
  <c r="Q29" i="42"/>
  <c r="Q30" i="42"/>
  <c r="Q31" i="42"/>
  <c r="Q32" i="42"/>
  <c r="Q33" i="42"/>
  <c r="Q34" i="42"/>
  <c r="Q35" i="42"/>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Q501" i="38"/>
  <c r="Q502" i="38"/>
  <c r="Q503" i="38"/>
  <c r="Q504" i="38"/>
  <c r="Q505" i="38"/>
  <c r="Q506" i="38"/>
  <c r="Q507" i="38"/>
  <c r="Q508" i="38"/>
  <c r="Q509" i="38"/>
  <c r="Q510" i="38"/>
  <c r="Q511" i="38"/>
  <c r="Q512" i="38"/>
  <c r="Q513" i="38"/>
  <c r="Q514" i="38"/>
  <c r="Q515" i="38"/>
  <c r="Q516" i="38"/>
  <c r="Q517" i="38"/>
  <c r="Q518" i="38"/>
  <c r="Q519" i="38"/>
  <c r="Q520" i="38"/>
  <c r="Q521" i="38"/>
  <c r="Q522" i="38"/>
  <c r="Q523" i="38"/>
  <c r="Q524" i="38"/>
  <c r="Q525" i="38"/>
  <c r="Q526" i="38"/>
  <c r="Q527" i="38"/>
  <c r="Q18" i="38"/>
  <c r="Q19" i="38"/>
  <c r="Q20" i="38"/>
  <c r="AR43" i="46"/>
  <c r="AR44" i="46"/>
  <c r="AR45" i="46"/>
  <c r="AR46" i="46"/>
  <c r="AR47" i="46"/>
  <c r="AR48" i="46"/>
  <c r="AR49" i="46"/>
  <c r="AR50" i="46"/>
  <c r="AR51" i="46"/>
  <c r="AR52" i="46"/>
  <c r="AR53" i="46"/>
  <c r="AR54" i="46"/>
  <c r="AR55" i="46"/>
  <c r="AR56" i="46"/>
  <c r="AR57" i="46"/>
  <c r="AR58" i="46"/>
  <c r="AR59" i="46"/>
  <c r="AR60" i="46"/>
  <c r="AR61" i="46"/>
  <c r="AR62" i="46"/>
  <c r="AR63" i="46"/>
  <c r="AP43" i="46"/>
  <c r="AP44" i="46"/>
  <c r="AP45" i="46"/>
  <c r="AP46" i="46"/>
  <c r="AP47" i="46"/>
  <c r="AP48" i="46"/>
  <c r="AP49" i="46"/>
  <c r="AP50" i="46"/>
  <c r="AP51" i="46"/>
  <c r="AP52" i="46"/>
  <c r="AP53" i="46"/>
  <c r="AP54" i="46"/>
  <c r="AP55" i="46"/>
  <c r="AP56" i="46"/>
  <c r="AP57" i="46"/>
  <c r="AP58" i="46"/>
  <c r="AP59" i="46"/>
  <c r="AP60" i="46"/>
  <c r="AP61" i="46"/>
  <c r="AP62" i="46"/>
  <c r="AP63" i="46"/>
  <c r="AE28" i="38"/>
  <c r="AE29" i="38"/>
  <c r="AE30" i="38"/>
  <c r="AE31" i="38"/>
  <c r="AE32" i="38"/>
  <c r="AE33" i="38"/>
  <c r="AE34" i="38"/>
  <c r="AE35" i="38"/>
  <c r="AE36" i="38"/>
  <c r="AE37" i="38"/>
  <c r="AE38" i="38"/>
  <c r="AE39" i="38"/>
  <c r="AE40" i="38"/>
  <c r="AE41" i="38"/>
  <c r="AE42" i="38"/>
  <c r="AE43" i="38"/>
  <c r="AE44" i="38"/>
  <c r="AE45" i="38"/>
  <c r="AE46" i="38"/>
  <c r="AE47" i="38"/>
  <c r="AE48" i="38"/>
  <c r="AE49" i="38"/>
  <c r="AE50" i="38"/>
  <c r="AE51" i="38"/>
  <c r="AE52" i="38"/>
  <c r="AE53" i="38"/>
  <c r="AE54" i="38"/>
  <c r="AE55" i="38"/>
  <c r="AE56" i="38"/>
  <c r="AE57" i="38"/>
  <c r="AE58" i="38"/>
  <c r="AE59" i="38"/>
  <c r="AE60" i="38"/>
  <c r="AE61" i="38"/>
  <c r="AE62" i="38"/>
  <c r="AE63" i="38"/>
  <c r="AE64" i="38"/>
  <c r="AE65" i="38"/>
  <c r="AE66" i="38"/>
  <c r="AE67" i="38"/>
  <c r="AE68" i="38"/>
  <c r="AE69" i="38"/>
  <c r="AE70" i="38"/>
  <c r="AE71" i="38"/>
  <c r="AE72" i="38"/>
  <c r="AE73" i="38"/>
  <c r="AE74" i="38"/>
  <c r="AE75" i="38"/>
  <c r="AE76" i="38"/>
  <c r="AE77" i="38"/>
  <c r="AE78" i="38"/>
  <c r="AE79" i="38"/>
  <c r="AE80" i="38"/>
  <c r="AE81" i="38"/>
  <c r="AE82" i="38"/>
  <c r="AE83" i="38"/>
  <c r="AE84" i="38"/>
  <c r="AE85" i="38"/>
  <c r="AE86" i="38"/>
  <c r="AE87" i="38"/>
  <c r="AE88" i="38"/>
  <c r="AE89" i="38"/>
  <c r="AE90" i="38"/>
  <c r="AE91" i="38"/>
  <c r="AE92" i="38"/>
  <c r="AE93" i="38"/>
  <c r="AE94" i="38"/>
  <c r="AE95" i="38"/>
  <c r="AE96" i="38"/>
  <c r="AE97" i="38"/>
  <c r="AE98" i="38"/>
  <c r="AE99" i="38"/>
  <c r="AE100" i="38"/>
  <c r="AE101" i="38"/>
  <c r="AE102" i="38"/>
  <c r="AE103" i="38"/>
  <c r="AE104" i="38"/>
  <c r="AE105" i="38"/>
  <c r="AE106" i="38"/>
  <c r="AE107" i="38"/>
  <c r="AE108" i="38"/>
  <c r="AE109" i="38"/>
  <c r="AE110" i="38"/>
  <c r="AE111" i="38"/>
  <c r="AE112" i="38"/>
  <c r="AE113" i="38"/>
  <c r="AE114" i="38"/>
  <c r="AE115" i="38"/>
  <c r="AE116" i="38"/>
  <c r="AE117" i="38"/>
  <c r="AE118" i="38"/>
  <c r="AE119" i="38"/>
  <c r="AE120" i="38"/>
  <c r="AE121" i="38"/>
  <c r="AE122" i="38"/>
  <c r="AE123" i="38"/>
  <c r="AE124" i="38"/>
  <c r="AE125" i="38"/>
  <c r="AE126" i="38"/>
  <c r="AE127" i="38"/>
  <c r="AE128" i="38"/>
  <c r="AE129" i="38"/>
  <c r="AE130" i="38"/>
  <c r="AE131" i="38"/>
  <c r="AE132" i="38"/>
  <c r="AE133" i="38"/>
  <c r="AE134" i="38"/>
  <c r="AE135" i="38"/>
  <c r="AE136" i="38"/>
  <c r="AE137" i="38"/>
  <c r="AE138" i="38"/>
  <c r="AE139" i="38"/>
  <c r="AE140" i="38"/>
  <c r="AE141" i="38"/>
  <c r="AE142" i="38"/>
  <c r="AE143" i="38"/>
  <c r="AE144" i="38"/>
  <c r="AE145" i="38"/>
  <c r="AE146" i="38"/>
  <c r="AE147" i="38"/>
  <c r="AE148" i="38"/>
  <c r="AE149" i="38"/>
  <c r="AE150" i="38"/>
  <c r="AE151" i="38"/>
  <c r="AE152" i="38"/>
  <c r="AE153" i="38"/>
  <c r="AE154" i="38"/>
  <c r="AE155" i="38"/>
  <c r="AE156" i="38"/>
  <c r="AE157" i="38"/>
  <c r="AE158" i="38"/>
  <c r="AE159" i="38"/>
  <c r="AE160" i="38"/>
  <c r="AE161" i="38"/>
  <c r="AE162" i="38"/>
  <c r="AE163" i="38"/>
  <c r="AE164" i="38"/>
  <c r="AE165" i="38"/>
  <c r="AE166" i="38"/>
  <c r="AE167" i="38"/>
  <c r="AE168" i="38"/>
  <c r="AE169" i="38"/>
  <c r="AE170" i="38"/>
  <c r="AE171" i="38"/>
  <c r="AE172" i="38"/>
  <c r="AE173" i="38"/>
  <c r="AE174" i="38"/>
  <c r="AE175" i="38"/>
  <c r="AE176" i="38"/>
  <c r="AE177" i="38"/>
  <c r="AE178" i="38"/>
  <c r="AE179" i="38"/>
  <c r="AE180" i="38"/>
  <c r="AE181" i="38"/>
  <c r="AE182" i="38"/>
  <c r="AE183" i="38"/>
  <c r="AE184" i="38"/>
  <c r="AE185" i="38"/>
  <c r="AE186" i="38"/>
  <c r="AE187" i="38"/>
  <c r="AE188" i="38"/>
  <c r="AE189" i="38"/>
  <c r="AE190" i="38"/>
  <c r="AE191" i="38"/>
  <c r="AE192" i="38"/>
  <c r="AE193" i="38"/>
  <c r="AE194" i="38"/>
  <c r="AE195" i="38"/>
  <c r="AE196" i="38"/>
  <c r="AE197" i="38"/>
  <c r="AE198" i="38"/>
  <c r="AE199" i="38"/>
  <c r="AE200" i="38"/>
  <c r="AE201" i="38"/>
  <c r="AE202" i="38"/>
  <c r="AE203" i="38"/>
  <c r="AE204" i="38"/>
  <c r="AE205" i="38"/>
  <c r="AE206" i="38"/>
  <c r="AE207" i="38"/>
  <c r="AE208" i="38"/>
  <c r="AE209" i="38"/>
  <c r="AE210" i="38"/>
  <c r="AE211" i="38"/>
  <c r="AE212" i="38"/>
  <c r="AE213" i="38"/>
  <c r="AE214" i="38"/>
  <c r="AE215" i="38"/>
  <c r="AE216" i="38"/>
  <c r="AE217" i="38"/>
  <c r="AE218" i="38"/>
  <c r="AE219" i="38"/>
  <c r="AE220" i="38"/>
  <c r="AE221" i="38"/>
  <c r="AE222" i="38"/>
  <c r="AE223" i="38"/>
  <c r="AE224" i="38"/>
  <c r="AE225" i="38"/>
  <c r="AE226" i="38"/>
  <c r="AE227" i="38"/>
  <c r="AE228" i="38"/>
  <c r="AE229" i="38"/>
  <c r="AE230" i="38"/>
  <c r="AE231" i="38"/>
  <c r="AE232" i="38"/>
  <c r="AE233" i="38"/>
  <c r="AE234" i="38"/>
  <c r="AE235" i="38"/>
  <c r="AE236" i="38"/>
  <c r="AE237" i="38"/>
  <c r="AE238" i="38"/>
  <c r="AE239" i="38"/>
  <c r="AE240" i="38"/>
  <c r="AE241" i="38"/>
  <c r="AE242" i="38"/>
  <c r="AE243" i="38"/>
  <c r="AE244" i="38"/>
  <c r="AE245" i="38"/>
  <c r="AE246" i="38"/>
  <c r="AE247" i="38"/>
  <c r="AE248" i="38"/>
  <c r="AE249" i="38"/>
  <c r="AE250" i="38"/>
  <c r="AE251" i="38"/>
  <c r="AE252" i="38"/>
  <c r="AE253" i="38"/>
  <c r="AE254" i="38"/>
  <c r="AE255" i="38"/>
  <c r="AE256" i="38"/>
  <c r="AE257" i="38"/>
  <c r="AE258" i="38"/>
  <c r="AE259" i="38"/>
  <c r="AE260" i="38"/>
  <c r="AE261" i="38"/>
  <c r="AE262" i="38"/>
  <c r="AE263" i="38"/>
  <c r="AE264" i="38"/>
  <c r="AE265" i="38"/>
  <c r="AE266" i="38"/>
  <c r="AE267" i="38"/>
  <c r="AE268" i="38"/>
  <c r="AE269" i="38"/>
  <c r="AE270" i="38"/>
  <c r="AE271" i="38"/>
  <c r="AE272" i="38"/>
  <c r="AE273" i="38"/>
  <c r="AE274" i="38"/>
  <c r="AE275" i="38"/>
  <c r="AE276" i="38"/>
  <c r="AE277" i="38"/>
  <c r="AE278" i="38"/>
  <c r="AE279" i="38"/>
  <c r="AE280" i="38"/>
  <c r="AE281" i="38"/>
  <c r="AE282" i="38"/>
  <c r="AE283" i="38"/>
  <c r="AE284" i="38"/>
  <c r="AE285" i="38"/>
  <c r="AE286" i="38"/>
  <c r="AE287" i="38"/>
  <c r="AE288" i="38"/>
  <c r="AE289" i="38"/>
  <c r="AE290" i="38"/>
  <c r="AE291" i="38"/>
  <c r="AE292" i="38"/>
  <c r="AE293" i="38"/>
  <c r="AE294" i="38"/>
  <c r="AE295" i="38"/>
  <c r="AE296" i="38"/>
  <c r="AE297" i="38"/>
  <c r="AE298" i="38"/>
  <c r="AE299" i="38"/>
  <c r="AE300" i="38"/>
  <c r="AE301" i="38"/>
  <c r="AE302" i="38"/>
  <c r="AE303" i="38"/>
  <c r="AE304" i="38"/>
  <c r="AE305" i="38"/>
  <c r="AE306" i="38"/>
  <c r="AE307" i="38"/>
  <c r="AE308" i="38"/>
  <c r="AE309" i="38"/>
  <c r="AE310" i="38"/>
  <c r="AE311" i="38"/>
  <c r="AE312" i="38"/>
  <c r="AE313" i="38"/>
  <c r="AE314" i="38"/>
  <c r="AE315" i="38"/>
  <c r="AE316" i="38"/>
  <c r="AE317" i="38"/>
  <c r="AE318" i="38"/>
  <c r="AE319" i="38"/>
  <c r="AE320" i="38"/>
  <c r="AE321" i="38"/>
  <c r="AE322" i="38"/>
  <c r="AE323" i="38"/>
  <c r="AE324" i="38"/>
  <c r="AE325" i="38"/>
  <c r="AE326" i="38"/>
  <c r="AE327" i="38"/>
  <c r="AE328" i="38"/>
  <c r="AE329" i="38"/>
  <c r="AE330" i="38"/>
  <c r="AE331" i="38"/>
  <c r="AE332" i="38"/>
  <c r="AE333" i="38"/>
  <c r="AE334" i="38"/>
  <c r="AE335" i="38"/>
  <c r="AE336" i="38"/>
  <c r="AE337" i="38"/>
  <c r="AE338" i="38"/>
  <c r="AE339" i="38"/>
  <c r="AE340" i="38"/>
  <c r="AE341" i="38"/>
  <c r="AE342" i="38"/>
  <c r="AE343" i="38"/>
  <c r="AE344" i="38"/>
  <c r="AE345" i="38"/>
  <c r="AE346" i="38"/>
  <c r="AE347" i="38"/>
  <c r="AE348" i="38"/>
  <c r="AE349" i="38"/>
  <c r="AE350" i="38"/>
  <c r="AE351" i="38"/>
  <c r="AE352" i="38"/>
  <c r="AE353" i="38"/>
  <c r="AE354" i="38"/>
  <c r="AE355" i="38"/>
  <c r="AE356" i="38"/>
  <c r="AE357" i="38"/>
  <c r="AE358" i="38"/>
  <c r="AE359" i="38"/>
  <c r="AE360" i="38"/>
  <c r="AE361" i="38"/>
  <c r="AE362" i="38"/>
  <c r="AE363" i="38"/>
  <c r="AE364" i="38"/>
  <c r="AE365" i="38"/>
  <c r="AE366" i="38"/>
  <c r="AE367" i="38"/>
  <c r="AE368" i="38"/>
  <c r="AE369" i="38"/>
  <c r="AE370" i="38"/>
  <c r="AE371" i="38"/>
  <c r="AE372" i="38"/>
  <c r="AE373" i="38"/>
  <c r="AE374" i="38"/>
  <c r="AE375" i="38"/>
  <c r="AE376" i="38"/>
  <c r="AE377" i="38"/>
  <c r="AE378" i="38"/>
  <c r="AE379" i="38"/>
  <c r="AE380" i="38"/>
  <c r="AE381" i="38"/>
  <c r="AE382" i="38"/>
  <c r="AE383" i="38"/>
  <c r="AE384" i="38"/>
  <c r="AE385" i="38"/>
  <c r="AE386" i="38"/>
  <c r="AE387" i="38"/>
  <c r="AE388" i="38"/>
  <c r="AE389" i="38"/>
  <c r="AE390" i="38"/>
  <c r="AE391" i="38"/>
  <c r="AE392" i="38"/>
  <c r="AE393" i="38"/>
  <c r="AE394" i="38"/>
  <c r="AE395" i="38"/>
  <c r="AE396" i="38"/>
  <c r="AE397" i="38"/>
  <c r="AE398" i="38"/>
  <c r="AE399" i="38"/>
  <c r="AE400" i="38"/>
  <c r="AE401" i="38"/>
  <c r="AE402" i="38"/>
  <c r="AE403" i="38"/>
  <c r="AE404" i="38"/>
  <c r="AE405" i="38"/>
  <c r="AE406" i="38"/>
  <c r="AE407" i="38"/>
  <c r="AE408" i="38"/>
  <c r="AE409" i="38"/>
  <c r="AE410" i="38"/>
  <c r="AE411" i="38"/>
  <c r="AE412" i="38"/>
  <c r="AE413" i="38"/>
  <c r="AE414" i="38"/>
  <c r="AE415" i="38"/>
  <c r="AE416" i="38"/>
  <c r="AE417" i="38"/>
  <c r="AE418" i="38"/>
  <c r="AE419" i="38"/>
  <c r="AE420" i="38"/>
  <c r="AE421" i="38"/>
  <c r="AE422" i="38"/>
  <c r="AE423" i="38"/>
  <c r="AE424" i="38"/>
  <c r="AE425" i="38"/>
  <c r="AE426" i="38"/>
  <c r="AE427" i="38"/>
  <c r="AE428" i="38"/>
  <c r="AE429" i="38"/>
  <c r="AE430" i="38"/>
  <c r="AE431" i="38"/>
  <c r="AE432" i="38"/>
  <c r="AE433" i="38"/>
  <c r="AE434" i="38"/>
  <c r="AE435" i="38"/>
  <c r="AE436" i="38"/>
  <c r="AE437" i="38"/>
  <c r="AE438" i="38"/>
  <c r="AE439" i="38"/>
  <c r="AE440" i="38"/>
  <c r="AE441" i="38"/>
  <c r="AE442" i="38"/>
  <c r="AE443" i="38"/>
  <c r="AE444" i="38"/>
  <c r="AE445" i="38"/>
  <c r="AE446" i="38"/>
  <c r="AE447" i="38"/>
  <c r="AE448" i="38"/>
  <c r="AE449" i="38"/>
  <c r="AE450" i="38"/>
  <c r="AE451" i="38"/>
  <c r="AE452" i="38"/>
  <c r="AE453" i="38"/>
  <c r="AE454" i="38"/>
  <c r="AE455" i="38"/>
  <c r="AE456" i="38"/>
  <c r="AE457" i="38"/>
  <c r="AE458" i="38"/>
  <c r="AE459" i="38"/>
  <c r="AE460" i="38"/>
  <c r="AE461" i="38"/>
  <c r="AE462" i="38"/>
  <c r="AE463" i="38"/>
  <c r="AE464" i="38"/>
  <c r="AE465" i="38"/>
  <c r="AE466" i="38"/>
  <c r="AE467" i="38"/>
  <c r="AE468" i="38"/>
  <c r="AE469" i="38"/>
  <c r="AE470" i="38"/>
  <c r="AE471" i="38"/>
  <c r="AE472" i="38"/>
  <c r="AE473" i="38"/>
  <c r="AE474" i="38"/>
  <c r="AE475" i="38"/>
  <c r="AE476" i="38"/>
  <c r="AE477" i="38"/>
  <c r="AE478" i="38"/>
  <c r="AE479" i="38"/>
  <c r="AE480" i="38"/>
  <c r="AE481" i="38"/>
  <c r="AE482" i="38"/>
  <c r="AE483" i="38"/>
  <c r="AE484" i="38"/>
  <c r="AE485" i="38"/>
  <c r="AE486" i="38"/>
  <c r="AE487" i="38"/>
  <c r="AE488" i="38"/>
  <c r="AE489" i="38"/>
  <c r="AE490" i="38"/>
  <c r="AE491" i="38"/>
  <c r="AE492" i="38"/>
  <c r="AE493" i="38"/>
  <c r="AE494" i="38"/>
  <c r="AE495" i="38"/>
  <c r="AE496" i="38"/>
  <c r="AE497" i="38"/>
  <c r="AE498" i="38"/>
  <c r="AE499" i="38"/>
  <c r="AE500" i="38"/>
  <c r="AE501" i="38"/>
  <c r="AE502" i="38"/>
  <c r="AE503" i="38"/>
  <c r="AE504" i="38"/>
  <c r="AE505" i="38"/>
  <c r="AE506" i="38"/>
  <c r="AE507" i="38"/>
  <c r="AE508" i="38"/>
  <c r="AE509" i="38"/>
  <c r="AE510" i="38"/>
  <c r="AE511" i="38"/>
  <c r="AE512" i="38"/>
  <c r="AE513" i="38"/>
  <c r="AE514" i="38"/>
  <c r="AE515" i="38"/>
  <c r="AE516" i="38"/>
  <c r="AE517" i="38"/>
  <c r="AE518" i="38"/>
  <c r="AE519" i="38"/>
  <c r="AE520" i="38"/>
  <c r="AE521" i="38"/>
  <c r="AE522" i="38"/>
  <c r="AE523" i="38"/>
  <c r="AE524" i="38"/>
  <c r="AE525" i="38"/>
  <c r="AE526" i="38"/>
  <c r="AE527" i="38"/>
  <c r="AD28" i="38"/>
  <c r="AD29" i="38"/>
  <c r="AD30" i="38"/>
  <c r="AD31" i="38"/>
  <c r="AD32" i="38"/>
  <c r="AD33" i="38"/>
  <c r="AD34" i="38"/>
  <c r="AD35" i="38"/>
  <c r="AD36" i="38"/>
  <c r="AD37" i="38"/>
  <c r="AD38" i="38"/>
  <c r="AD39" i="38"/>
  <c r="AD40" i="38"/>
  <c r="AD41" i="38"/>
  <c r="AD42" i="38"/>
  <c r="AD43" i="38"/>
  <c r="AD44" i="38"/>
  <c r="AD45" i="38"/>
  <c r="AD46" i="38"/>
  <c r="AD47" i="38"/>
  <c r="AD48" i="38"/>
  <c r="AD49" i="38"/>
  <c r="AD50" i="38"/>
  <c r="AD51" i="38"/>
  <c r="AD52" i="38"/>
  <c r="AD53" i="38"/>
  <c r="AD54" i="38"/>
  <c r="AD55" i="38"/>
  <c r="AD56" i="38"/>
  <c r="AD57" i="38"/>
  <c r="AD58" i="38"/>
  <c r="AD59" i="38"/>
  <c r="AD60" i="38"/>
  <c r="AD61" i="38"/>
  <c r="AD62" i="38"/>
  <c r="AD63" i="38"/>
  <c r="AD64" i="38"/>
  <c r="AD65" i="38"/>
  <c r="AD66" i="38"/>
  <c r="AD67" i="38"/>
  <c r="AD68" i="38"/>
  <c r="AD69" i="38"/>
  <c r="AD70" i="38"/>
  <c r="AD71" i="38"/>
  <c r="AD72" i="38"/>
  <c r="AD73" i="38"/>
  <c r="AD74" i="38"/>
  <c r="AD75" i="38"/>
  <c r="AD76" i="38"/>
  <c r="AD77" i="38"/>
  <c r="AD78" i="38"/>
  <c r="AD79" i="38"/>
  <c r="AD80" i="38"/>
  <c r="AD81" i="38"/>
  <c r="AD82" i="38"/>
  <c r="AD83" i="38"/>
  <c r="AD84" i="38"/>
  <c r="AD85" i="38"/>
  <c r="AD86" i="38"/>
  <c r="AD87" i="38"/>
  <c r="AD88" i="38"/>
  <c r="AD89" i="38"/>
  <c r="AD90" i="38"/>
  <c r="AD91" i="38"/>
  <c r="AD92" i="38"/>
  <c r="AD93" i="38"/>
  <c r="AD94" i="38"/>
  <c r="AD95" i="38"/>
  <c r="AD96" i="38"/>
  <c r="AD97" i="38"/>
  <c r="AD98" i="38"/>
  <c r="AD99" i="38"/>
  <c r="AD100" i="38"/>
  <c r="AD101" i="38"/>
  <c r="AD102" i="38"/>
  <c r="AD103" i="38"/>
  <c r="AD104" i="38"/>
  <c r="AD105" i="38"/>
  <c r="AD106" i="38"/>
  <c r="AD107" i="38"/>
  <c r="AD108" i="38"/>
  <c r="AD109" i="38"/>
  <c r="AD110" i="38"/>
  <c r="AD111" i="38"/>
  <c r="AD112" i="38"/>
  <c r="AD113" i="38"/>
  <c r="AD114" i="38"/>
  <c r="AD115" i="38"/>
  <c r="AD116" i="38"/>
  <c r="AD117" i="38"/>
  <c r="AD118" i="38"/>
  <c r="AD119" i="38"/>
  <c r="AD120" i="38"/>
  <c r="AD121" i="38"/>
  <c r="AD122" i="38"/>
  <c r="AD123" i="38"/>
  <c r="AD124" i="38"/>
  <c r="AD125" i="38"/>
  <c r="AD126" i="38"/>
  <c r="AD127" i="38"/>
  <c r="AD128" i="38"/>
  <c r="AD129" i="38"/>
  <c r="AD130" i="38"/>
  <c r="AD131" i="38"/>
  <c r="AD132" i="38"/>
  <c r="AD133" i="38"/>
  <c r="AD134" i="38"/>
  <c r="AD135" i="38"/>
  <c r="AD136" i="38"/>
  <c r="AD137" i="38"/>
  <c r="AD138" i="38"/>
  <c r="AD139" i="38"/>
  <c r="AD140" i="38"/>
  <c r="AD141" i="38"/>
  <c r="AD142" i="38"/>
  <c r="AD143" i="38"/>
  <c r="AD144" i="38"/>
  <c r="AD145" i="38"/>
  <c r="AD146" i="38"/>
  <c r="AD147" i="38"/>
  <c r="AD148" i="38"/>
  <c r="AD149" i="38"/>
  <c r="AD150" i="38"/>
  <c r="AD151" i="38"/>
  <c r="AD152" i="38"/>
  <c r="AD153" i="38"/>
  <c r="AD154" i="38"/>
  <c r="AD155" i="38"/>
  <c r="AD156" i="38"/>
  <c r="AD157" i="38"/>
  <c r="AD158" i="38"/>
  <c r="AD159" i="38"/>
  <c r="AD160" i="38"/>
  <c r="AD161" i="38"/>
  <c r="AD162" i="38"/>
  <c r="AD163" i="38"/>
  <c r="AD164" i="38"/>
  <c r="AD165" i="38"/>
  <c r="AD166" i="38"/>
  <c r="AD167" i="38"/>
  <c r="AD168" i="38"/>
  <c r="AD169" i="38"/>
  <c r="AD170" i="38"/>
  <c r="AD171" i="38"/>
  <c r="AD172" i="38"/>
  <c r="AD173" i="38"/>
  <c r="AD174" i="38"/>
  <c r="AD175" i="38"/>
  <c r="AD176" i="38"/>
  <c r="AD177" i="38"/>
  <c r="AD178" i="38"/>
  <c r="AD179" i="38"/>
  <c r="AD180" i="38"/>
  <c r="AD181" i="38"/>
  <c r="AD182" i="38"/>
  <c r="AD183" i="38"/>
  <c r="AD184" i="38"/>
  <c r="AD185" i="38"/>
  <c r="AD186" i="38"/>
  <c r="AD187" i="38"/>
  <c r="AD188" i="38"/>
  <c r="AD189" i="38"/>
  <c r="AD190" i="38"/>
  <c r="AD191" i="38"/>
  <c r="AD192" i="38"/>
  <c r="AD193" i="38"/>
  <c r="AD194" i="38"/>
  <c r="AD195" i="38"/>
  <c r="AD196" i="38"/>
  <c r="AD197" i="38"/>
  <c r="AD198" i="38"/>
  <c r="AD199" i="38"/>
  <c r="AD200" i="38"/>
  <c r="AD201" i="38"/>
  <c r="AD202" i="38"/>
  <c r="AD203" i="38"/>
  <c r="AD204" i="38"/>
  <c r="AD205" i="38"/>
  <c r="AD206" i="38"/>
  <c r="AD207" i="38"/>
  <c r="AD208" i="38"/>
  <c r="AD209" i="38"/>
  <c r="AD210" i="38"/>
  <c r="AD211" i="38"/>
  <c r="AD212" i="38"/>
  <c r="AD213" i="38"/>
  <c r="AD214" i="38"/>
  <c r="AD215" i="38"/>
  <c r="AD216" i="38"/>
  <c r="AD217" i="38"/>
  <c r="AD218" i="38"/>
  <c r="AD219" i="38"/>
  <c r="AD220" i="38"/>
  <c r="AD221" i="38"/>
  <c r="AD222" i="38"/>
  <c r="AD223" i="38"/>
  <c r="AD224" i="38"/>
  <c r="AD225" i="38"/>
  <c r="AD226" i="38"/>
  <c r="AD227" i="38"/>
  <c r="AD228" i="38"/>
  <c r="AD229" i="38"/>
  <c r="AD230" i="38"/>
  <c r="AD231" i="38"/>
  <c r="AD232" i="38"/>
  <c r="AD233" i="38"/>
  <c r="AD234" i="38"/>
  <c r="AD235" i="38"/>
  <c r="AD236" i="38"/>
  <c r="AD237" i="38"/>
  <c r="AD238" i="38"/>
  <c r="AD239" i="38"/>
  <c r="AD240" i="38"/>
  <c r="AD241" i="38"/>
  <c r="AD242" i="38"/>
  <c r="AD243" i="38"/>
  <c r="AD244" i="38"/>
  <c r="AD245" i="38"/>
  <c r="AD246" i="38"/>
  <c r="AD247" i="38"/>
  <c r="AD248" i="38"/>
  <c r="AD249" i="38"/>
  <c r="AD250" i="38"/>
  <c r="AD251" i="38"/>
  <c r="AD252" i="38"/>
  <c r="AD253" i="38"/>
  <c r="AD254" i="38"/>
  <c r="AD255" i="38"/>
  <c r="AD256" i="38"/>
  <c r="AD257" i="38"/>
  <c r="AD258" i="38"/>
  <c r="AD259" i="38"/>
  <c r="AD260" i="38"/>
  <c r="AD261" i="38"/>
  <c r="AD262" i="38"/>
  <c r="AD263" i="38"/>
  <c r="AD264" i="38"/>
  <c r="AD265" i="38"/>
  <c r="AD266" i="38"/>
  <c r="AD267" i="38"/>
  <c r="AD268" i="38"/>
  <c r="AD269" i="38"/>
  <c r="AD270" i="38"/>
  <c r="AD271" i="38"/>
  <c r="AD272" i="38"/>
  <c r="AD273" i="38"/>
  <c r="AD274" i="38"/>
  <c r="AD275" i="38"/>
  <c r="AD276" i="38"/>
  <c r="AD277" i="38"/>
  <c r="AD278" i="38"/>
  <c r="AD279" i="38"/>
  <c r="AD280" i="38"/>
  <c r="AD281" i="38"/>
  <c r="AD282" i="38"/>
  <c r="AD283" i="38"/>
  <c r="AD284" i="38"/>
  <c r="AD285" i="38"/>
  <c r="AD286" i="38"/>
  <c r="AD287" i="38"/>
  <c r="AD288" i="38"/>
  <c r="AD289" i="38"/>
  <c r="AD290" i="38"/>
  <c r="AD291" i="38"/>
  <c r="AD292" i="38"/>
  <c r="AD293" i="38"/>
  <c r="AD294" i="38"/>
  <c r="AD295" i="38"/>
  <c r="AD296" i="38"/>
  <c r="AD297" i="38"/>
  <c r="AD298" i="38"/>
  <c r="AD299" i="38"/>
  <c r="AD300" i="38"/>
  <c r="AD301" i="38"/>
  <c r="AD302" i="38"/>
  <c r="AD303" i="38"/>
  <c r="AD304" i="38"/>
  <c r="AD305" i="38"/>
  <c r="AD306" i="38"/>
  <c r="AD307" i="38"/>
  <c r="AD308" i="38"/>
  <c r="AD309" i="38"/>
  <c r="AD310" i="38"/>
  <c r="AD311" i="38"/>
  <c r="AD312" i="38"/>
  <c r="AD313" i="38"/>
  <c r="AD314" i="38"/>
  <c r="AD315" i="38"/>
  <c r="AD316" i="38"/>
  <c r="AD317" i="38"/>
  <c r="AD318" i="38"/>
  <c r="AD319" i="38"/>
  <c r="AD320" i="38"/>
  <c r="AD321" i="38"/>
  <c r="AD322" i="38"/>
  <c r="AD323" i="38"/>
  <c r="AD324" i="38"/>
  <c r="AD325" i="38"/>
  <c r="AD326" i="38"/>
  <c r="AD327" i="38"/>
  <c r="AD328" i="38"/>
  <c r="AD329" i="38"/>
  <c r="AD330" i="38"/>
  <c r="AD331" i="38"/>
  <c r="AD332" i="38"/>
  <c r="AD333" i="38"/>
  <c r="AD334" i="38"/>
  <c r="AD335" i="38"/>
  <c r="AD336" i="38"/>
  <c r="AD337" i="38"/>
  <c r="AD338" i="38"/>
  <c r="AD339" i="38"/>
  <c r="AD340" i="38"/>
  <c r="AD341" i="38"/>
  <c r="AD342" i="38"/>
  <c r="AD343" i="38"/>
  <c r="AD344" i="38"/>
  <c r="AD345" i="38"/>
  <c r="AD346" i="38"/>
  <c r="AD347" i="38"/>
  <c r="AD348" i="38"/>
  <c r="AD349" i="38"/>
  <c r="AD350" i="38"/>
  <c r="AD351" i="38"/>
  <c r="AD352" i="38"/>
  <c r="AD353" i="38"/>
  <c r="AD354" i="38"/>
  <c r="AD355" i="38"/>
  <c r="AD356" i="38"/>
  <c r="AD357" i="38"/>
  <c r="AD358" i="38"/>
  <c r="AD359" i="38"/>
  <c r="AD360" i="38"/>
  <c r="AD361" i="38"/>
  <c r="AD362" i="38"/>
  <c r="AD363" i="38"/>
  <c r="AD364" i="38"/>
  <c r="AD365" i="38"/>
  <c r="AD366" i="38"/>
  <c r="AD367" i="38"/>
  <c r="AD368" i="38"/>
  <c r="AD369" i="38"/>
  <c r="AD370" i="38"/>
  <c r="AD371" i="38"/>
  <c r="AD372" i="38"/>
  <c r="AD373" i="38"/>
  <c r="AD374" i="38"/>
  <c r="AD375" i="38"/>
  <c r="AD376" i="38"/>
  <c r="AD377" i="38"/>
  <c r="AD378" i="38"/>
  <c r="AD379" i="38"/>
  <c r="AD380" i="38"/>
  <c r="AD381" i="38"/>
  <c r="AD382" i="38"/>
  <c r="AD383" i="38"/>
  <c r="AD384" i="38"/>
  <c r="AD385" i="38"/>
  <c r="AD386" i="38"/>
  <c r="AD387" i="38"/>
  <c r="AD388" i="38"/>
  <c r="AD389" i="38"/>
  <c r="AD390" i="38"/>
  <c r="AD391" i="38"/>
  <c r="AD392" i="38"/>
  <c r="AD393" i="38"/>
  <c r="AD394" i="38"/>
  <c r="AD395" i="38"/>
  <c r="AD396" i="38"/>
  <c r="AD397" i="38"/>
  <c r="AD398" i="38"/>
  <c r="AD399" i="38"/>
  <c r="AD400" i="38"/>
  <c r="AD401" i="38"/>
  <c r="AD402" i="38"/>
  <c r="AD403" i="38"/>
  <c r="AD404" i="38"/>
  <c r="AD405" i="38"/>
  <c r="AD406" i="38"/>
  <c r="AD407" i="38"/>
  <c r="AD408" i="38"/>
  <c r="AD409" i="38"/>
  <c r="AD410" i="38"/>
  <c r="AD411" i="38"/>
  <c r="AD412" i="38"/>
  <c r="AD413" i="38"/>
  <c r="AD414" i="38"/>
  <c r="AD415" i="38"/>
  <c r="AD416" i="38"/>
  <c r="AD417" i="38"/>
  <c r="AD418" i="38"/>
  <c r="AD419" i="38"/>
  <c r="AD420" i="38"/>
  <c r="AD421" i="38"/>
  <c r="AD422" i="38"/>
  <c r="AD423" i="38"/>
  <c r="AD424" i="38"/>
  <c r="AD425" i="38"/>
  <c r="AD426" i="38"/>
  <c r="AD427" i="38"/>
  <c r="AD428" i="38"/>
  <c r="AD429" i="38"/>
  <c r="AD430" i="38"/>
  <c r="AD431" i="38"/>
  <c r="AD432" i="38"/>
  <c r="AD433" i="38"/>
  <c r="AD434" i="38"/>
  <c r="AD435" i="38"/>
  <c r="AD436" i="38"/>
  <c r="AD437" i="38"/>
  <c r="AD438" i="38"/>
  <c r="AD439" i="38"/>
  <c r="AD440" i="38"/>
  <c r="AD441" i="38"/>
  <c r="AD442" i="38"/>
  <c r="AD443" i="38"/>
  <c r="AD444" i="38"/>
  <c r="AD445" i="38"/>
  <c r="AD446" i="38"/>
  <c r="AD447" i="38"/>
  <c r="AD448" i="38"/>
  <c r="AD449" i="38"/>
  <c r="AD450" i="38"/>
  <c r="AD451" i="38"/>
  <c r="AD452" i="38"/>
  <c r="AD453" i="38"/>
  <c r="AD454" i="38"/>
  <c r="AD455" i="38"/>
  <c r="AD456" i="38"/>
  <c r="AD457" i="38"/>
  <c r="AD458" i="38"/>
  <c r="AD459" i="38"/>
  <c r="AD460" i="38"/>
  <c r="AD461" i="38"/>
  <c r="AD462" i="38"/>
  <c r="AD463" i="38"/>
  <c r="AD464" i="38"/>
  <c r="AD465" i="38"/>
  <c r="AD466" i="38"/>
  <c r="AD467" i="38"/>
  <c r="AD468" i="38"/>
  <c r="AD469" i="38"/>
  <c r="AD470" i="38"/>
  <c r="AD471" i="38"/>
  <c r="AD472" i="38"/>
  <c r="AD473" i="38"/>
  <c r="AD474" i="38"/>
  <c r="AD475" i="38"/>
  <c r="AD476" i="38"/>
  <c r="AD477" i="38"/>
  <c r="AD478" i="38"/>
  <c r="AD479" i="38"/>
  <c r="AD480" i="38"/>
  <c r="AD481" i="38"/>
  <c r="AD482" i="38"/>
  <c r="AD483" i="38"/>
  <c r="AD484" i="38"/>
  <c r="AD485" i="38"/>
  <c r="AD486" i="38"/>
  <c r="AD487" i="38"/>
  <c r="AD488" i="38"/>
  <c r="AD489" i="38"/>
  <c r="AD490" i="38"/>
  <c r="AD491" i="38"/>
  <c r="AD492" i="38"/>
  <c r="AD493" i="38"/>
  <c r="AD494" i="38"/>
  <c r="AD495" i="38"/>
  <c r="AD496" i="38"/>
  <c r="AD497" i="38"/>
  <c r="AD498" i="38"/>
  <c r="AD499" i="38"/>
  <c r="AD500" i="38"/>
  <c r="AD501" i="38"/>
  <c r="AD502" i="38"/>
  <c r="AD503" i="38"/>
  <c r="AD504" i="38"/>
  <c r="AD505" i="38"/>
  <c r="AD506" i="38"/>
  <c r="AD507" i="38"/>
  <c r="AD508" i="38"/>
  <c r="AD509" i="38"/>
  <c r="AD510" i="38"/>
  <c r="AD511" i="38"/>
  <c r="AD512" i="38"/>
  <c r="AD513" i="38"/>
  <c r="AD514" i="38"/>
  <c r="AD515" i="38"/>
  <c r="AD516" i="38"/>
  <c r="AD517" i="38"/>
  <c r="AD518" i="38"/>
  <c r="AD519" i="38"/>
  <c r="AD520" i="38"/>
  <c r="AD521" i="38"/>
  <c r="AD522" i="38"/>
  <c r="AD523" i="38"/>
  <c r="AD524" i="38"/>
  <c r="AD525" i="38"/>
  <c r="AD526" i="38"/>
  <c r="AD527" i="38"/>
  <c r="AE13" i="38"/>
  <c r="AE14" i="38"/>
  <c r="AE15" i="38"/>
  <c r="AE16" i="38"/>
  <c r="AE17" i="38"/>
  <c r="AE18" i="38"/>
  <c r="AE19" i="38"/>
  <c r="AE20" i="38"/>
  <c r="AE21" i="38"/>
  <c r="AE22" i="38"/>
  <c r="AD13" i="38"/>
  <c r="AD14" i="38"/>
  <c r="AD15" i="38"/>
  <c r="AD16" i="38"/>
  <c r="AD17" i="38"/>
  <c r="AD18" i="38"/>
  <c r="AD19" i="38"/>
  <c r="AD20" i="38"/>
  <c r="AD21" i="38"/>
  <c r="AD22" i="38"/>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258" i="55"/>
  <c r="L259" i="55"/>
  <c r="L260" i="55"/>
  <c r="L261" i="55"/>
  <c r="L262" i="55"/>
  <c r="L263" i="55"/>
  <c r="L264" i="55"/>
  <c r="L265" i="55"/>
  <c r="L266" i="55"/>
  <c r="L267" i="55"/>
  <c r="L268" i="55"/>
  <c r="L269" i="55"/>
  <c r="L270" i="55"/>
  <c r="L271" i="55"/>
  <c r="L272" i="55"/>
  <c r="L273" i="55"/>
  <c r="L274" i="55"/>
  <c r="L275" i="55"/>
  <c r="L276" i="55"/>
  <c r="L277" i="55"/>
  <c r="L278" i="55"/>
  <c r="L279" i="55"/>
  <c r="L280" i="55"/>
  <c r="L281" i="55"/>
  <c r="L282" i="55"/>
  <c r="L283" i="55"/>
  <c r="L284" i="55"/>
  <c r="L285" i="55"/>
  <c r="L286" i="55"/>
  <c r="L287" i="55"/>
  <c r="L288" i="55"/>
  <c r="L289" i="55"/>
  <c r="L290" i="55"/>
  <c r="L291" i="55"/>
  <c r="L292" i="55"/>
  <c r="L293" i="55"/>
  <c r="L294" i="55"/>
  <c r="L295" i="55"/>
  <c r="L296" i="55"/>
  <c r="L297" i="55"/>
  <c r="L298" i="55"/>
  <c r="L299" i="55"/>
  <c r="L300" i="55"/>
  <c r="L301" i="55"/>
  <c r="L302" i="55"/>
  <c r="L303" i="55"/>
  <c r="L304" i="55"/>
  <c r="L305" i="55"/>
  <c r="L306" i="55"/>
  <c r="L307" i="55"/>
  <c r="L308" i="55"/>
  <c r="L309" i="55"/>
  <c r="L310" i="55"/>
  <c r="L311" i="55"/>
  <c r="L312" i="55"/>
  <c r="L315" i="55"/>
  <c r="L316" i="55"/>
  <c r="L317" i="55"/>
  <c r="L318" i="55"/>
  <c r="L319" i="55"/>
  <c r="L320" i="55"/>
  <c r="L321" i="55"/>
  <c r="L322" i="55"/>
  <c r="L325" i="55"/>
  <c r="L326" i="55"/>
  <c r="L327" i="55"/>
  <c r="L328" i="55"/>
  <c r="L329" i="55"/>
  <c r="L330" i="55"/>
  <c r="L331" i="55"/>
  <c r="L332" i="55"/>
  <c r="L333" i="55"/>
  <c r="L334" i="55"/>
  <c r="L335" i="55"/>
  <c r="L336" i="55"/>
  <c r="L337" i="55"/>
  <c r="L338" i="55"/>
  <c r="L339" i="55"/>
  <c r="L340" i="55"/>
  <c r="L341" i="55"/>
  <c r="L342" i="55"/>
  <c r="L343" i="55"/>
  <c r="L344" i="55"/>
  <c r="L345" i="55"/>
  <c r="L346" i="55"/>
  <c r="L347" i="55"/>
  <c r="L348" i="55"/>
  <c r="L349" i="55"/>
  <c r="L350" i="55"/>
  <c r="L351" i="55"/>
  <c r="L352" i="55"/>
  <c r="L353" i="55"/>
  <c r="L354" i="55"/>
  <c r="L355" i="55"/>
  <c r="L356" i="55"/>
  <c r="L357" i="55"/>
  <c r="L358" i="55"/>
  <c r="L359" i="55"/>
  <c r="L360" i="55"/>
  <c r="L361" i="55"/>
  <c r="L362" i="55"/>
  <c r="L363" i="55"/>
  <c r="L364" i="55"/>
  <c r="L365" i="55"/>
  <c r="L366" i="55"/>
  <c r="L367" i="55"/>
  <c r="L368" i="55"/>
  <c r="L369" i="55"/>
  <c r="L370" i="55"/>
  <c r="L371" i="55"/>
  <c r="L372" i="55"/>
  <c r="L373" i="55"/>
  <c r="L374" i="55"/>
  <c r="L375" i="55"/>
  <c r="L376" i="55"/>
  <c r="L377" i="55"/>
  <c r="L378" i="55"/>
  <c r="L379" i="55"/>
  <c r="L380" i="55"/>
  <c r="L381" i="55"/>
  <c r="L382" i="55"/>
  <c r="L383" i="55"/>
  <c r="L384" i="55"/>
  <c r="L385" i="55"/>
  <c r="L386" i="55"/>
  <c r="L387" i="55"/>
  <c r="L388" i="55"/>
  <c r="L389" i="55"/>
  <c r="L390" i="55"/>
  <c r="L391" i="55"/>
  <c r="L392" i="55"/>
  <c r="L393" i="55"/>
  <c r="L394" i="55"/>
  <c r="L395" i="55"/>
  <c r="L396" i="55"/>
  <c r="L397" i="55"/>
  <c r="L398" i="55"/>
  <c r="L399" i="55"/>
  <c r="L400" i="55"/>
  <c r="L401" i="55"/>
  <c r="L402" i="55"/>
  <c r="L403" i="55"/>
  <c r="L404" i="55"/>
  <c r="L405" i="55"/>
  <c r="L406" i="55"/>
  <c r="L407" i="55"/>
  <c r="L408" i="55"/>
  <c r="L409" i="55"/>
  <c r="L410" i="55"/>
  <c r="L411" i="55"/>
  <c r="L412" i="55"/>
  <c r="L413" i="55"/>
  <c r="L414" i="55"/>
  <c r="L415" i="55"/>
  <c r="L416" i="55"/>
  <c r="L417" i="55"/>
  <c r="L418" i="55"/>
  <c r="L419" i="55"/>
  <c r="L420" i="55"/>
  <c r="L421" i="55"/>
  <c r="L422" i="55"/>
  <c r="L423" i="55"/>
  <c r="L424" i="55"/>
  <c r="L425" i="55"/>
  <c r="L426" i="55"/>
  <c r="L427" i="55"/>
  <c r="L428" i="55"/>
  <c r="L429" i="55"/>
  <c r="L430" i="55"/>
  <c r="L431" i="55"/>
  <c r="L432" i="55"/>
  <c r="L433" i="55"/>
  <c r="L434" i="55"/>
  <c r="L435" i="55"/>
  <c r="L436" i="55"/>
  <c r="L437" i="55"/>
  <c r="L438" i="55"/>
  <c r="L439" i="55"/>
  <c r="L440" i="55"/>
  <c r="L441" i="55"/>
  <c r="L442" i="55"/>
  <c r="L443" i="55"/>
  <c r="L444" i="55"/>
  <c r="L445" i="55"/>
  <c r="L446" i="55"/>
  <c r="L447" i="55"/>
  <c r="L448" i="55"/>
  <c r="L449" i="55"/>
  <c r="L450" i="55"/>
  <c r="L451" i="55"/>
  <c r="L452" i="55"/>
  <c r="L453" i="55"/>
  <c r="L454" i="55"/>
  <c r="L455" i="55"/>
  <c r="L456" i="55"/>
  <c r="L457" i="55"/>
  <c r="L458" i="55"/>
  <c r="L459" i="55"/>
  <c r="L460" i="55"/>
  <c r="L461" i="55"/>
  <c r="L462" i="55"/>
  <c r="L463" i="55"/>
  <c r="L464" i="55"/>
  <c r="L465" i="55"/>
  <c r="L466" i="55"/>
  <c r="L467" i="55"/>
  <c r="L468" i="55"/>
  <c r="L469" i="55"/>
  <c r="L470" i="55"/>
  <c r="L471" i="55"/>
  <c r="L472" i="55"/>
  <c r="L473" i="55"/>
  <c r="L474" i="55"/>
  <c r="L475" i="55"/>
  <c r="L476" i="55"/>
  <c r="L477" i="55"/>
  <c r="L478" i="55"/>
  <c r="L479" i="55"/>
  <c r="L480" i="55"/>
  <c r="L481" i="55"/>
  <c r="L482" i="55"/>
  <c r="L483" i="55"/>
  <c r="L484" i="55"/>
  <c r="L485" i="55"/>
  <c r="L486" i="55"/>
  <c r="L487" i="55"/>
  <c r="L488" i="55"/>
  <c r="L489" i="55"/>
  <c r="L490" i="55"/>
  <c r="L491" i="55"/>
  <c r="L492" i="55"/>
  <c r="L493" i="55"/>
  <c r="L494" i="55"/>
  <c r="L495" i="55"/>
  <c r="L496" i="55"/>
  <c r="L497" i="55"/>
  <c r="L498" i="55"/>
  <c r="L499" i="55"/>
  <c r="L500" i="55"/>
  <c r="L501" i="55"/>
  <c r="L502" i="55"/>
  <c r="L503" i="55"/>
  <c r="L504" i="55"/>
  <c r="L505" i="55"/>
  <c r="L506" i="55"/>
  <c r="L507" i="55"/>
  <c r="L508" i="55"/>
  <c r="L509" i="55"/>
  <c r="L510" i="55"/>
  <c r="L511" i="55"/>
  <c r="L512" i="55"/>
  <c r="L513" i="55"/>
  <c r="L514" i="55"/>
  <c r="L515" i="55"/>
  <c r="L516" i="55"/>
  <c r="L517" i="55"/>
  <c r="L518" i="55"/>
  <c r="L519" i="55"/>
  <c r="L520" i="55"/>
  <c r="L521" i="55"/>
  <c r="L522" i="55"/>
  <c r="L523" i="55"/>
  <c r="L524" i="55"/>
  <c r="L525" i="55"/>
  <c r="L526" i="55"/>
  <c r="L527" i="55"/>
  <c r="L528" i="55"/>
  <c r="L529" i="55"/>
  <c r="L530" i="55"/>
  <c r="L531" i="55"/>
  <c r="L532" i="55"/>
  <c r="L533" i="55"/>
  <c r="L534" i="55"/>
  <c r="L535" i="55"/>
  <c r="L536" i="55"/>
  <c r="L537" i="55"/>
  <c r="L538" i="55"/>
  <c r="L539" i="55"/>
  <c r="L540" i="55"/>
  <c r="L541" i="55"/>
  <c r="L542" i="55"/>
  <c r="L543" i="55"/>
  <c r="L544" i="55"/>
  <c r="L545" i="55"/>
  <c r="L546" i="55"/>
  <c r="L547" i="55"/>
  <c r="L548" i="55"/>
  <c r="L549" i="55"/>
  <c r="L550" i="55"/>
  <c r="L551" i="55"/>
  <c r="L552" i="55"/>
  <c r="L553" i="55"/>
  <c r="L554" i="55"/>
  <c r="L555" i="55"/>
  <c r="L556" i="55"/>
  <c r="L557" i="55"/>
  <c r="L558" i="55"/>
  <c r="L559" i="55"/>
  <c r="L560" i="55"/>
  <c r="L561" i="55"/>
  <c r="L562" i="55"/>
  <c r="L563" i="55"/>
  <c r="L564" i="55"/>
  <c r="L565" i="55"/>
  <c r="L566" i="55"/>
  <c r="L567" i="55"/>
  <c r="L568" i="55"/>
  <c r="L569" i="55"/>
  <c r="L570" i="55"/>
  <c r="L571" i="55"/>
  <c r="L572" i="55"/>
  <c r="L573" i="55"/>
  <c r="L574" i="55"/>
  <c r="L575" i="55"/>
  <c r="L576" i="55"/>
  <c r="L577" i="55"/>
  <c r="L578" i="55"/>
  <c r="L579" i="55"/>
  <c r="L580" i="55"/>
  <c r="L581" i="55"/>
  <c r="L582" i="55"/>
  <c r="L583" i="55"/>
  <c r="L584" i="55"/>
  <c r="L585" i="55"/>
  <c r="L586" i="55"/>
  <c r="L587" i="55"/>
  <c r="L588" i="55"/>
  <c r="L589" i="55"/>
  <c r="L590" i="55"/>
  <c r="L591" i="55"/>
  <c r="L592" i="55"/>
  <c r="L593" i="55"/>
  <c r="L618" i="55"/>
  <c r="L619" i="55"/>
  <c r="L620" i="55"/>
  <c r="L621" i="55"/>
  <c r="L622" i="55"/>
  <c r="L623" i="55"/>
  <c r="L624" i="55"/>
  <c r="L625" i="55"/>
  <c r="L626" i="55"/>
  <c r="L627" i="55"/>
  <c r="L628" i="55"/>
  <c r="L632" i="55"/>
  <c r="L633" i="55"/>
  <c r="L634" i="55"/>
  <c r="L635" i="55"/>
  <c r="L636" i="55"/>
  <c r="L637" i="55"/>
  <c r="L638" i="55"/>
  <c r="L639" i="55"/>
  <c r="L640" i="55"/>
  <c r="L641" i="55"/>
  <c r="L642" i="55"/>
  <c r="L643" i="55"/>
  <c r="L644" i="55"/>
  <c r="L645" i="55"/>
  <c r="L646" i="55"/>
  <c r="L647" i="55"/>
  <c r="L648" i="55"/>
  <c r="L649" i="55"/>
  <c r="L650" i="55"/>
  <c r="L651" i="55"/>
  <c r="L652" i="55"/>
  <c r="L653" i="55"/>
  <c r="L654" i="55"/>
  <c r="L655" i="55"/>
  <c r="L656" i="55"/>
  <c r="L657" i="55"/>
  <c r="L658" i="55"/>
  <c r="L659" i="55"/>
  <c r="L660" i="55"/>
  <c r="L661" i="55"/>
  <c r="L662" i="55"/>
  <c r="L663" i="55"/>
  <c r="L664" i="55"/>
  <c r="L665" i="55"/>
  <c r="L666" i="55"/>
  <c r="L667" i="55"/>
  <c r="L668" i="55"/>
  <c r="L669" i="55"/>
  <c r="L670" i="55"/>
  <c r="L671" i="55"/>
  <c r="L672" i="55"/>
  <c r="L673" i="55"/>
  <c r="L674" i="55"/>
  <c r="L675" i="55"/>
  <c r="L676" i="55"/>
  <c r="L677" i="55"/>
  <c r="L678" i="55"/>
  <c r="L679" i="55"/>
  <c r="L680" i="55"/>
  <c r="L681" i="55"/>
  <c r="L682" i="55"/>
  <c r="L683" i="55"/>
  <c r="L684" i="55"/>
  <c r="L685" i="55"/>
  <c r="L686" i="55"/>
  <c r="L687" i="55"/>
  <c r="L688" i="55"/>
  <c r="L689" i="55"/>
  <c r="L690" i="55"/>
  <c r="L691" i="55"/>
  <c r="L692" i="55"/>
  <c r="L693" i="55"/>
  <c r="L694" i="55"/>
  <c r="L695" i="55"/>
  <c r="L696" i="55"/>
  <c r="L697" i="55"/>
  <c r="L698" i="55"/>
  <c r="L699" i="55"/>
  <c r="L700" i="55"/>
  <c r="L701" i="55"/>
  <c r="L702" i="55"/>
  <c r="L703" i="55"/>
  <c r="L704" i="55"/>
  <c r="L705" i="55"/>
  <c r="L706" i="55"/>
  <c r="L9" i="55"/>
  <c r="AC69" i="46"/>
  <c r="AC70" i="46"/>
  <c r="AC71" i="46"/>
  <c r="AC72" i="46"/>
  <c r="AC73" i="46"/>
  <c r="AC74" i="46"/>
  <c r="AC75" i="46"/>
  <c r="AC76" i="46"/>
  <c r="AC77" i="46"/>
  <c r="AC78" i="46"/>
  <c r="AC79" i="46"/>
  <c r="AC80" i="46"/>
  <c r="AC81" i="46"/>
  <c r="AC82" i="46"/>
  <c r="AC83" i="46"/>
  <c r="AC84" i="46"/>
  <c r="AC85" i="46"/>
  <c r="AC86" i="46"/>
  <c r="AC87" i="46"/>
  <c r="AC88" i="46"/>
  <c r="AC89" i="46"/>
  <c r="AB69" i="46"/>
  <c r="AB70" i="46"/>
  <c r="AB71" i="46"/>
  <c r="AB72" i="46"/>
  <c r="AB73" i="46"/>
  <c r="AB74" i="46"/>
  <c r="AB75" i="46"/>
  <c r="AB76" i="46"/>
  <c r="AB77" i="46"/>
  <c r="AB78" i="46"/>
  <c r="AB79" i="46"/>
  <c r="AB80" i="46"/>
  <c r="AB81" i="46"/>
  <c r="AB82" i="46"/>
  <c r="AB83" i="46"/>
  <c r="AB84" i="46"/>
  <c r="AB85" i="46"/>
  <c r="AB86" i="46"/>
  <c r="AB87" i="46"/>
  <c r="AB88" i="46"/>
  <c r="AB89" i="46"/>
  <c r="AR69" i="46"/>
  <c r="AR70" i="46"/>
  <c r="AR71" i="46"/>
  <c r="AR72" i="46"/>
  <c r="AR73" i="46"/>
  <c r="AR74" i="46"/>
  <c r="AR75" i="46"/>
  <c r="AR76" i="46"/>
  <c r="AR77" i="46"/>
  <c r="AR78" i="46"/>
  <c r="AR79" i="46"/>
  <c r="AR80" i="46"/>
  <c r="AR81" i="46"/>
  <c r="AR82" i="46"/>
  <c r="AR83" i="46"/>
  <c r="AR84" i="46"/>
  <c r="AR85" i="46"/>
  <c r="AR86" i="46"/>
  <c r="AR87" i="46"/>
  <c r="AR88" i="46"/>
  <c r="AR89" i="46"/>
  <c r="AQ69" i="46"/>
  <c r="AQ70" i="46"/>
  <c r="AQ71" i="46"/>
  <c r="AQ72" i="46"/>
  <c r="AQ73" i="46"/>
  <c r="AQ74" i="46"/>
  <c r="AQ75" i="46"/>
  <c r="AQ76" i="46"/>
  <c r="AQ77" i="46"/>
  <c r="AQ78" i="46"/>
  <c r="AQ79" i="46"/>
  <c r="AQ80" i="46"/>
  <c r="AQ81" i="46"/>
  <c r="AQ82" i="46"/>
  <c r="AQ83" i="46"/>
  <c r="AQ84" i="46"/>
  <c r="AQ85" i="46"/>
  <c r="AQ86" i="46"/>
  <c r="AQ87" i="46"/>
  <c r="AQ88" i="46"/>
  <c r="AQ89" i="46"/>
  <c r="AP69" i="46"/>
  <c r="AP70" i="46"/>
  <c r="AP71" i="46"/>
  <c r="AP72" i="46"/>
  <c r="AP73" i="46"/>
  <c r="AP74" i="46"/>
  <c r="AP75" i="46"/>
  <c r="AP76" i="46"/>
  <c r="AP77" i="46"/>
  <c r="AP78" i="46"/>
  <c r="AP79" i="46"/>
  <c r="AP80" i="46"/>
  <c r="AP81" i="46"/>
  <c r="AP82" i="46"/>
  <c r="AP83" i="46"/>
  <c r="AP84" i="46"/>
  <c r="AP85" i="46"/>
  <c r="AP86" i="46"/>
  <c r="AP87" i="46"/>
  <c r="AP88" i="46"/>
  <c r="AP89" i="46"/>
  <c r="AC18" i="46"/>
  <c r="AB18" i="46"/>
  <c r="AB19" i="46"/>
  <c r="AB20" i="46"/>
  <c r="AB21" i="46"/>
  <c r="AB22" i="46"/>
  <c r="AB23" i="46"/>
  <c r="AB24" i="46"/>
  <c r="AB25" i="46"/>
  <c r="AB26" i="46"/>
  <c r="AB27" i="46"/>
  <c r="AB28" i="46"/>
  <c r="AB29" i="46"/>
  <c r="AB30" i="46"/>
  <c r="AB31" i="46"/>
  <c r="AB32" i="46"/>
  <c r="AB33" i="46"/>
  <c r="AB34" i="46"/>
  <c r="AB35" i="46"/>
  <c r="AB36" i="46"/>
  <c r="AB37" i="46"/>
  <c r="V18" i="46"/>
  <c r="V19" i="46"/>
  <c r="V20" i="46"/>
  <c r="V21" i="46"/>
  <c r="V22" i="46"/>
  <c r="V23" i="46"/>
  <c r="V24" i="46"/>
  <c r="V25" i="46"/>
  <c r="V26" i="46"/>
  <c r="V27" i="46"/>
  <c r="V28" i="46"/>
  <c r="V29" i="46"/>
  <c r="V30" i="46"/>
  <c r="V31" i="46"/>
  <c r="V32" i="46"/>
  <c r="V33" i="46"/>
  <c r="V34" i="46"/>
  <c r="V35" i="46"/>
  <c r="V36" i="46"/>
  <c r="V37" i="46"/>
  <c r="U18" i="46"/>
  <c r="U19" i="46"/>
  <c r="U20" i="46"/>
  <c r="U21" i="46"/>
  <c r="U22" i="46"/>
  <c r="U23" i="46"/>
  <c r="U24" i="46"/>
  <c r="U25" i="46"/>
  <c r="U26" i="46"/>
  <c r="U27" i="46"/>
  <c r="U28" i="46"/>
  <c r="U29" i="46"/>
  <c r="U30" i="46"/>
  <c r="U31" i="46"/>
  <c r="U32" i="46"/>
  <c r="U33" i="46"/>
  <c r="U34" i="46"/>
  <c r="U35" i="46"/>
  <c r="U36" i="46"/>
  <c r="U37" i="46"/>
  <c r="T18" i="46"/>
  <c r="T19" i="46"/>
  <c r="T20" i="46"/>
  <c r="T21" i="46"/>
  <c r="T22" i="46"/>
  <c r="T23" i="46"/>
  <c r="T24" i="46"/>
  <c r="T25" i="46"/>
  <c r="T26" i="46"/>
  <c r="T27" i="46"/>
  <c r="T28" i="46"/>
  <c r="T29" i="46"/>
  <c r="T30" i="46"/>
  <c r="T31" i="46"/>
  <c r="T32" i="46"/>
  <c r="T33" i="46"/>
  <c r="T34" i="46"/>
  <c r="T35" i="46"/>
  <c r="T36" i="46"/>
  <c r="T37" i="46"/>
  <c r="AR18" i="46"/>
  <c r="AR19" i="46"/>
  <c r="AR20" i="46"/>
  <c r="AR21" i="46"/>
  <c r="AR22" i="46"/>
  <c r="AR23" i="46"/>
  <c r="AR24" i="46"/>
  <c r="AR25" i="46"/>
  <c r="AR26" i="46"/>
  <c r="AR27" i="46"/>
  <c r="AR28" i="46"/>
  <c r="AR29" i="46"/>
  <c r="AR30" i="46"/>
  <c r="AR31" i="46"/>
  <c r="AR32" i="46"/>
  <c r="AR33" i="46"/>
  <c r="AR34" i="46"/>
  <c r="AR35" i="46"/>
  <c r="AR36" i="46"/>
  <c r="AR37" i="46"/>
  <c r="AQ18" i="46"/>
  <c r="AQ19" i="46"/>
  <c r="AQ20" i="46"/>
  <c r="AQ21" i="46"/>
  <c r="AQ22" i="46"/>
  <c r="AQ23" i="46"/>
  <c r="AQ24" i="46"/>
  <c r="AQ25" i="46"/>
  <c r="AQ26" i="46"/>
  <c r="AQ27" i="46"/>
  <c r="AQ28" i="46"/>
  <c r="AQ29" i="46"/>
  <c r="AQ30" i="46"/>
  <c r="AQ31" i="46"/>
  <c r="AQ32" i="46"/>
  <c r="AQ33" i="46"/>
  <c r="AQ34" i="46"/>
  <c r="AQ35" i="46"/>
  <c r="AQ36" i="46"/>
  <c r="AQ37" i="46"/>
  <c r="AP18" i="46"/>
  <c r="AP19" i="46"/>
  <c r="AP20" i="46"/>
  <c r="AP21" i="46"/>
  <c r="AP22" i="46"/>
  <c r="AP23" i="46"/>
  <c r="AP24" i="46"/>
  <c r="AP25" i="46"/>
  <c r="AP26" i="46"/>
  <c r="AP27" i="46"/>
  <c r="AP28" i="46"/>
  <c r="AP29" i="46"/>
  <c r="AP30" i="46"/>
  <c r="AP31" i="46"/>
  <c r="AP32" i="46"/>
  <c r="AP33" i="46"/>
  <c r="AP34" i="46"/>
  <c r="AP35" i="46"/>
  <c r="AP36" i="46"/>
  <c r="AP37" i="46"/>
  <c r="AD129" i="45"/>
  <c r="AD130" i="45"/>
  <c r="AD131" i="45"/>
  <c r="AD132" i="45"/>
  <c r="AD133" i="45"/>
  <c r="AD134" i="45"/>
  <c r="AD135" i="45"/>
  <c r="AD136" i="45"/>
  <c r="AD137" i="45"/>
  <c r="AD138" i="45"/>
  <c r="AD139" i="45"/>
  <c r="AD140" i="45"/>
  <c r="AD141" i="45"/>
  <c r="AD142" i="45"/>
  <c r="AD143" i="45"/>
  <c r="AD144" i="45"/>
  <c r="AD145" i="45"/>
  <c r="AD146" i="45"/>
  <c r="AD147" i="45"/>
  <c r="AD148" i="45"/>
  <c r="AD149" i="45"/>
  <c r="AD150" i="45"/>
  <c r="AD151" i="45"/>
  <c r="AD152" i="45"/>
  <c r="AD153" i="45"/>
  <c r="AD154" i="45"/>
  <c r="AD155" i="45"/>
  <c r="AD156" i="45"/>
  <c r="AD157" i="45"/>
  <c r="AD158" i="45"/>
  <c r="AD159" i="45"/>
  <c r="AD160" i="45"/>
  <c r="AD161" i="45"/>
  <c r="AD162" i="45"/>
  <c r="AD163" i="45"/>
  <c r="AD164" i="45"/>
  <c r="AD165" i="45"/>
  <c r="AD166" i="45"/>
  <c r="AD167" i="45"/>
  <c r="AD168" i="45"/>
  <c r="AD169" i="45"/>
  <c r="AD170" i="45"/>
  <c r="AD171" i="45"/>
  <c r="AD172" i="45"/>
  <c r="AD173" i="45"/>
  <c r="AD174" i="45"/>
  <c r="AD175" i="45"/>
  <c r="AD176" i="45"/>
  <c r="AD177" i="45"/>
  <c r="AD178" i="45"/>
  <c r="AD179" i="45"/>
  <c r="AD180" i="45"/>
  <c r="AD181" i="45"/>
  <c r="AD182" i="45"/>
  <c r="AD183" i="45"/>
  <c r="AD184" i="45"/>
  <c r="AD185" i="45"/>
  <c r="AD186" i="45"/>
  <c r="AD187" i="45"/>
  <c r="AD188" i="45"/>
  <c r="AD189" i="45"/>
  <c r="AD190" i="45"/>
  <c r="AD191" i="45"/>
  <c r="AD192" i="45"/>
  <c r="AD193" i="45"/>
  <c r="AD194" i="45"/>
  <c r="AD195" i="45"/>
  <c r="AD196" i="45"/>
  <c r="AD197" i="45"/>
  <c r="AD198" i="45"/>
  <c r="AD199" i="45"/>
  <c r="AD200" i="45"/>
  <c r="AD201" i="45"/>
  <c r="AD202" i="45"/>
  <c r="AD203" i="45"/>
  <c r="AD204" i="45"/>
  <c r="AD205" i="45"/>
  <c r="AD206" i="45"/>
  <c r="AD207" i="45"/>
  <c r="AD208" i="45"/>
  <c r="AD209" i="45"/>
  <c r="AD210" i="45"/>
  <c r="AD211" i="45"/>
  <c r="AD212" i="45"/>
  <c r="AD213" i="45"/>
  <c r="AD214" i="45"/>
  <c r="AD215" i="45"/>
  <c r="AD216" i="45"/>
  <c r="AD217" i="45"/>
  <c r="AD218" i="45"/>
  <c r="AD219" i="45"/>
  <c r="AD220" i="45"/>
  <c r="AD221" i="45"/>
  <c r="AD222" i="45"/>
  <c r="AD223" i="45"/>
  <c r="AD224" i="45"/>
  <c r="AD225" i="45"/>
  <c r="AD226" i="45"/>
  <c r="AD227" i="45"/>
  <c r="AD228" i="45"/>
  <c r="AD229" i="45"/>
  <c r="AD230" i="45"/>
  <c r="AD231" i="45"/>
  <c r="AD232" i="45"/>
  <c r="AD233" i="45"/>
  <c r="AD234" i="45"/>
  <c r="AD235" i="45"/>
  <c r="AD236" i="45"/>
  <c r="AD237" i="45"/>
  <c r="AD238" i="45"/>
  <c r="AD239" i="45"/>
  <c r="AD240" i="45"/>
  <c r="AD241" i="45"/>
  <c r="AD242" i="45"/>
  <c r="AD243" i="45"/>
  <c r="AD244" i="45"/>
  <c r="AD245" i="45"/>
  <c r="AD246" i="45"/>
  <c r="AD247" i="45"/>
  <c r="AD248" i="45"/>
  <c r="V129" i="45"/>
  <c r="V130" i="45"/>
  <c r="V131" i="45"/>
  <c r="V132" i="45"/>
  <c r="V133" i="45"/>
  <c r="V134" i="45"/>
  <c r="V135" i="45"/>
  <c r="V136" i="45"/>
  <c r="V137" i="45"/>
  <c r="V138" i="45"/>
  <c r="V139" i="45"/>
  <c r="V140" i="45"/>
  <c r="V141" i="45"/>
  <c r="V142" i="45"/>
  <c r="V143" i="45"/>
  <c r="V144" i="45"/>
  <c r="V145" i="45"/>
  <c r="V146" i="45"/>
  <c r="V147" i="45"/>
  <c r="V148" i="45"/>
  <c r="V149" i="45"/>
  <c r="V150" i="45"/>
  <c r="V151" i="45"/>
  <c r="V152" i="45"/>
  <c r="V153" i="45"/>
  <c r="V154" i="45"/>
  <c r="V155" i="45"/>
  <c r="V156" i="45"/>
  <c r="V157" i="45"/>
  <c r="V158" i="45"/>
  <c r="V159" i="45"/>
  <c r="V160" i="45"/>
  <c r="V161" i="45"/>
  <c r="V162" i="45"/>
  <c r="V163" i="45"/>
  <c r="V164" i="45"/>
  <c r="V165" i="45"/>
  <c r="V166" i="45"/>
  <c r="V167" i="45"/>
  <c r="V168" i="45"/>
  <c r="V169" i="45"/>
  <c r="V170" i="45"/>
  <c r="V171" i="45"/>
  <c r="V172" i="45"/>
  <c r="V173" i="45"/>
  <c r="V174" i="45"/>
  <c r="V175" i="45"/>
  <c r="V176" i="45"/>
  <c r="V177" i="45"/>
  <c r="V178" i="45"/>
  <c r="V179" i="45"/>
  <c r="V180" i="45"/>
  <c r="V181" i="45"/>
  <c r="V182" i="45"/>
  <c r="V183" i="45"/>
  <c r="V184" i="45"/>
  <c r="V185" i="45"/>
  <c r="V186" i="45"/>
  <c r="V187" i="45"/>
  <c r="V188" i="45"/>
  <c r="V189" i="45"/>
  <c r="V190" i="45"/>
  <c r="V191" i="45"/>
  <c r="V192" i="45"/>
  <c r="V193" i="45"/>
  <c r="V194" i="45"/>
  <c r="V195" i="45"/>
  <c r="V196" i="45"/>
  <c r="V197" i="45"/>
  <c r="V198" i="45"/>
  <c r="V199" i="45"/>
  <c r="V200" i="45"/>
  <c r="V201" i="45"/>
  <c r="V202" i="45"/>
  <c r="V203" i="45"/>
  <c r="V204" i="45"/>
  <c r="V205" i="45"/>
  <c r="V206" i="45"/>
  <c r="V207" i="45"/>
  <c r="V208" i="45"/>
  <c r="V209" i="45"/>
  <c r="V210" i="45"/>
  <c r="V211" i="45"/>
  <c r="V212" i="45"/>
  <c r="V213" i="45"/>
  <c r="V214" i="45"/>
  <c r="V215" i="45"/>
  <c r="V216" i="45"/>
  <c r="V217" i="45"/>
  <c r="V218" i="45"/>
  <c r="V219" i="45"/>
  <c r="V220" i="45"/>
  <c r="V221" i="45"/>
  <c r="V222" i="45"/>
  <c r="V223" i="45"/>
  <c r="V224" i="45"/>
  <c r="V225" i="45"/>
  <c r="V226" i="45"/>
  <c r="V227" i="45"/>
  <c r="V228" i="45"/>
  <c r="V229" i="45"/>
  <c r="V230" i="45"/>
  <c r="V231" i="45"/>
  <c r="V232" i="45"/>
  <c r="V233" i="45"/>
  <c r="V234" i="45"/>
  <c r="V235" i="45"/>
  <c r="V236" i="45"/>
  <c r="V237" i="45"/>
  <c r="V238" i="45"/>
  <c r="V239" i="45"/>
  <c r="V240" i="45"/>
  <c r="V241" i="45"/>
  <c r="V242" i="45"/>
  <c r="V243" i="45"/>
  <c r="V244" i="45"/>
  <c r="V245" i="45"/>
  <c r="V246" i="45"/>
  <c r="V247" i="45"/>
  <c r="V248" i="45"/>
  <c r="U130" i="45"/>
  <c r="U131" i="45"/>
  <c r="U132" i="45"/>
  <c r="U133" i="45"/>
  <c r="U135" i="45"/>
  <c r="U136" i="45"/>
  <c r="U137" i="45"/>
  <c r="U138" i="45"/>
  <c r="U139" i="45"/>
  <c r="U140" i="45"/>
  <c r="U141" i="45"/>
  <c r="U142" i="45"/>
  <c r="U143" i="45"/>
  <c r="U144" i="45"/>
  <c r="U145" i="45"/>
  <c r="U146" i="45"/>
  <c r="U147" i="45"/>
  <c r="U148" i="45"/>
  <c r="U149" i="45"/>
  <c r="U150" i="45"/>
  <c r="U151" i="45"/>
  <c r="U152" i="45"/>
  <c r="U153" i="45"/>
  <c r="U154" i="45"/>
  <c r="U155" i="45"/>
  <c r="U156" i="45"/>
  <c r="U157" i="45"/>
  <c r="U158" i="45"/>
  <c r="U159" i="45"/>
  <c r="U160" i="45"/>
  <c r="U161" i="45"/>
  <c r="U162" i="45"/>
  <c r="U163" i="45"/>
  <c r="U164" i="45"/>
  <c r="U165" i="45"/>
  <c r="U166" i="45"/>
  <c r="U167" i="45"/>
  <c r="U168" i="45"/>
  <c r="U169" i="45"/>
  <c r="U170" i="45"/>
  <c r="U171" i="45"/>
  <c r="U172" i="45"/>
  <c r="U173" i="45"/>
  <c r="U174" i="45"/>
  <c r="U175" i="45"/>
  <c r="U176" i="45"/>
  <c r="U177" i="45"/>
  <c r="U178" i="45"/>
  <c r="U179" i="45"/>
  <c r="U180" i="45"/>
  <c r="U181" i="45"/>
  <c r="U182" i="45"/>
  <c r="U183" i="45"/>
  <c r="U184" i="45"/>
  <c r="U185" i="45"/>
  <c r="U186" i="45"/>
  <c r="U187" i="45"/>
  <c r="U188" i="45"/>
  <c r="U189" i="45"/>
  <c r="U190" i="45"/>
  <c r="U191" i="45"/>
  <c r="U192" i="45"/>
  <c r="U193" i="45"/>
  <c r="U194" i="45"/>
  <c r="U195" i="45"/>
  <c r="U196" i="45"/>
  <c r="U197" i="45"/>
  <c r="U198" i="45"/>
  <c r="U199" i="45"/>
  <c r="U200" i="45"/>
  <c r="U201" i="45"/>
  <c r="U202" i="45"/>
  <c r="U203" i="45"/>
  <c r="U204" i="45"/>
  <c r="U205" i="45"/>
  <c r="U206" i="45"/>
  <c r="U207" i="45"/>
  <c r="U208" i="45"/>
  <c r="U209" i="45"/>
  <c r="U210" i="45"/>
  <c r="U211" i="45"/>
  <c r="U212" i="45"/>
  <c r="U213" i="45"/>
  <c r="U214" i="45"/>
  <c r="U215" i="45"/>
  <c r="U216" i="45"/>
  <c r="U217" i="45"/>
  <c r="U218" i="45"/>
  <c r="U219" i="45"/>
  <c r="U220" i="45"/>
  <c r="U221" i="45"/>
  <c r="U222" i="45"/>
  <c r="U223" i="45"/>
  <c r="U224" i="45"/>
  <c r="U225" i="45"/>
  <c r="U226" i="45"/>
  <c r="U227" i="45"/>
  <c r="U228" i="45"/>
  <c r="U229" i="45"/>
  <c r="U230" i="45"/>
  <c r="U231" i="45"/>
  <c r="U232" i="45"/>
  <c r="U233" i="45"/>
  <c r="U234" i="45"/>
  <c r="U235" i="45"/>
  <c r="U236" i="45"/>
  <c r="U237" i="45"/>
  <c r="U238" i="45"/>
  <c r="U239" i="45"/>
  <c r="U240" i="45"/>
  <c r="U241" i="45"/>
  <c r="U242" i="45"/>
  <c r="U243" i="45"/>
  <c r="U244" i="45"/>
  <c r="U245" i="45"/>
  <c r="U246" i="45"/>
  <c r="U247" i="45"/>
  <c r="U248" i="45"/>
  <c r="X15" i="45"/>
  <c r="X16" i="45"/>
  <c r="X17" i="45"/>
  <c r="X18" i="45"/>
  <c r="X19" i="45"/>
  <c r="X20" i="45"/>
  <c r="X21" i="45"/>
  <c r="X22" i="45"/>
  <c r="X23" i="45"/>
  <c r="X24" i="45"/>
  <c r="X25" i="45"/>
  <c r="X26" i="45"/>
  <c r="X27" i="45"/>
  <c r="X28" i="45"/>
  <c r="X29" i="45"/>
  <c r="X30" i="45"/>
  <c r="X31" i="45"/>
  <c r="X32" i="45"/>
  <c r="X33" i="45"/>
  <c r="X34" i="45"/>
  <c r="X35" i="45"/>
  <c r="X36" i="45"/>
  <c r="X37" i="45"/>
  <c r="X38" i="45"/>
  <c r="X39" i="45"/>
  <c r="X40" i="45"/>
  <c r="X41" i="45"/>
  <c r="X42" i="45"/>
  <c r="X43" i="45"/>
  <c r="X44" i="45"/>
  <c r="X45" i="45"/>
  <c r="X46" i="45"/>
  <c r="X47" i="45"/>
  <c r="X48" i="45"/>
  <c r="X49" i="45"/>
  <c r="X50" i="45"/>
  <c r="X51" i="45"/>
  <c r="X52" i="45"/>
  <c r="X53" i="45"/>
  <c r="X54" i="45"/>
  <c r="X55" i="45"/>
  <c r="X56" i="45"/>
  <c r="X57" i="45"/>
  <c r="X58" i="45"/>
  <c r="X59" i="45"/>
  <c r="X60" i="45"/>
  <c r="X61" i="45"/>
  <c r="X62" i="45"/>
  <c r="X63" i="45"/>
  <c r="X64" i="45"/>
  <c r="X65" i="45"/>
  <c r="X66" i="45"/>
  <c r="X67" i="45"/>
  <c r="X68" i="45"/>
  <c r="X69" i="45"/>
  <c r="X70" i="45"/>
  <c r="X71" i="45"/>
  <c r="X72" i="45"/>
  <c r="X73" i="45"/>
  <c r="X74" i="45"/>
  <c r="X75" i="45"/>
  <c r="X76" i="45"/>
  <c r="X77" i="45"/>
  <c r="X78" i="45"/>
  <c r="X79" i="45"/>
  <c r="X80" i="45"/>
  <c r="X81" i="45"/>
  <c r="X82" i="45"/>
  <c r="X83" i="45"/>
  <c r="X84" i="45"/>
  <c r="X85" i="45"/>
  <c r="X86" i="45"/>
  <c r="X87" i="45"/>
  <c r="X88" i="45"/>
  <c r="X89" i="45"/>
  <c r="X90" i="45"/>
  <c r="X91" i="45"/>
  <c r="X92" i="45"/>
  <c r="X93" i="45"/>
  <c r="X94" i="45"/>
  <c r="X95" i="45"/>
  <c r="X96" i="45"/>
  <c r="X97" i="45"/>
  <c r="X98" i="45"/>
  <c r="X99" i="45"/>
  <c r="X100" i="45"/>
  <c r="X101" i="45"/>
  <c r="X102" i="45"/>
  <c r="X103" i="45"/>
  <c r="X104" i="45"/>
  <c r="X105" i="45"/>
  <c r="X106" i="45"/>
  <c r="X107" i="45"/>
  <c r="X108" i="45"/>
  <c r="X109" i="45"/>
  <c r="X110" i="45"/>
  <c r="X111" i="45"/>
  <c r="X112" i="45"/>
  <c r="X113" i="45"/>
  <c r="X114" i="45"/>
  <c r="X115" i="45"/>
  <c r="X116" i="45"/>
  <c r="X117" i="45"/>
  <c r="X118" i="45"/>
  <c r="X119" i="45"/>
  <c r="X120" i="45"/>
  <c r="X121" i="45"/>
  <c r="X122" i="45"/>
  <c r="X123" i="45"/>
  <c r="AB129" i="45"/>
  <c r="AB130" i="45"/>
  <c r="AB131" i="45"/>
  <c r="AB132" i="45"/>
  <c r="AB133" i="45"/>
  <c r="AB134" i="45"/>
  <c r="AB135" i="45"/>
  <c r="AB136" i="45"/>
  <c r="AB137" i="45"/>
  <c r="AB138" i="45"/>
  <c r="AB139" i="45"/>
  <c r="AB140" i="45"/>
  <c r="AB141" i="45"/>
  <c r="AB142" i="45"/>
  <c r="AB143" i="45"/>
  <c r="AB144" i="45"/>
  <c r="AB145" i="45"/>
  <c r="AB146" i="45"/>
  <c r="AB147" i="45"/>
  <c r="AB148" i="45"/>
  <c r="AB149" i="45"/>
  <c r="AB150" i="45"/>
  <c r="AB151" i="45"/>
  <c r="AB152" i="45"/>
  <c r="AB153" i="45"/>
  <c r="AB154" i="45"/>
  <c r="AB155" i="45"/>
  <c r="AB156" i="45"/>
  <c r="AB157" i="45"/>
  <c r="AB158" i="45"/>
  <c r="AB159" i="45"/>
  <c r="AB160" i="45"/>
  <c r="AB161" i="45"/>
  <c r="AB162" i="45"/>
  <c r="AB163" i="45"/>
  <c r="AB164" i="45"/>
  <c r="AB165" i="45"/>
  <c r="AB166" i="45"/>
  <c r="AB167" i="45"/>
  <c r="AB168" i="45"/>
  <c r="AB169" i="45"/>
  <c r="AB170" i="45"/>
  <c r="AB171" i="45"/>
  <c r="AB172" i="45"/>
  <c r="AB173" i="45"/>
  <c r="AB174" i="45"/>
  <c r="AB175" i="45"/>
  <c r="AB176" i="45"/>
  <c r="AB177" i="45"/>
  <c r="AB178" i="45"/>
  <c r="AB179" i="45"/>
  <c r="AB180" i="45"/>
  <c r="AB181" i="45"/>
  <c r="AB182" i="45"/>
  <c r="AB183" i="45"/>
  <c r="AB184" i="45"/>
  <c r="AB185" i="45"/>
  <c r="AB186" i="45"/>
  <c r="AB187" i="45"/>
  <c r="AB188" i="45"/>
  <c r="AB189" i="45"/>
  <c r="AB190" i="45"/>
  <c r="AB191" i="45"/>
  <c r="AB192" i="45"/>
  <c r="AB193" i="45"/>
  <c r="AB194" i="45"/>
  <c r="AB195" i="45"/>
  <c r="AB196" i="45"/>
  <c r="AB197" i="45"/>
  <c r="AB198" i="45"/>
  <c r="AB199" i="45"/>
  <c r="AB200" i="45"/>
  <c r="AB201" i="45"/>
  <c r="AB202" i="45"/>
  <c r="AB203" i="45"/>
  <c r="AB204" i="45"/>
  <c r="AB205" i="45"/>
  <c r="AB206" i="45"/>
  <c r="AB207" i="45"/>
  <c r="AB208" i="45"/>
  <c r="AB209" i="45"/>
  <c r="AB210" i="45"/>
  <c r="AB211" i="45"/>
  <c r="AB212" i="45"/>
  <c r="AB213" i="45"/>
  <c r="AB214" i="45"/>
  <c r="AB215" i="45"/>
  <c r="AB216" i="45"/>
  <c r="AB217" i="45"/>
  <c r="AB218" i="45"/>
  <c r="AB219" i="45"/>
  <c r="AB220" i="45"/>
  <c r="AB221" i="45"/>
  <c r="AB222" i="45"/>
  <c r="AB223" i="45"/>
  <c r="AB224" i="45"/>
  <c r="AB225" i="45"/>
  <c r="AB226" i="45"/>
  <c r="AB227" i="45"/>
  <c r="AB228" i="45"/>
  <c r="AB229" i="45"/>
  <c r="AB230" i="45"/>
  <c r="AB231" i="45"/>
  <c r="AB232" i="45"/>
  <c r="AB233" i="45"/>
  <c r="AB234" i="45"/>
  <c r="AB235" i="45"/>
  <c r="AB236" i="45"/>
  <c r="AB237" i="45"/>
  <c r="AB238" i="45"/>
  <c r="AB239" i="45"/>
  <c r="AB240" i="45"/>
  <c r="AB241" i="45"/>
  <c r="AB242" i="45"/>
  <c r="AB243" i="45"/>
  <c r="AB244" i="45"/>
  <c r="AB245" i="45"/>
  <c r="AB246" i="45"/>
  <c r="AB247" i="45"/>
  <c r="AB24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Q129" i="45"/>
  <c r="AQ130" i="45"/>
  <c r="AQ131" i="45"/>
  <c r="AQ132" i="45"/>
  <c r="AQ133" i="45"/>
  <c r="AQ134" i="45"/>
  <c r="AQ135" i="45"/>
  <c r="AQ136" i="45"/>
  <c r="AQ137" i="45"/>
  <c r="AQ138" i="45"/>
  <c r="AQ139" i="45"/>
  <c r="AQ140" i="45"/>
  <c r="AQ141" i="45"/>
  <c r="AQ142" i="45"/>
  <c r="AQ143" i="45"/>
  <c r="AQ144" i="45"/>
  <c r="AQ145" i="45"/>
  <c r="AQ146" i="45"/>
  <c r="AQ147" i="45"/>
  <c r="AQ148" i="45"/>
  <c r="AQ149" i="45"/>
  <c r="AQ150" i="45"/>
  <c r="AQ151" i="45"/>
  <c r="AQ152" i="45"/>
  <c r="AQ153" i="45"/>
  <c r="AQ154" i="45"/>
  <c r="AQ155" i="45"/>
  <c r="AQ156" i="45"/>
  <c r="AQ157" i="45"/>
  <c r="AQ158" i="45"/>
  <c r="AQ159" i="45"/>
  <c r="AQ160" i="45"/>
  <c r="AQ161" i="45"/>
  <c r="AQ162" i="45"/>
  <c r="AQ163" i="45"/>
  <c r="AQ164" i="45"/>
  <c r="AQ165" i="45"/>
  <c r="AQ166" i="45"/>
  <c r="AQ167" i="45"/>
  <c r="AQ168" i="45"/>
  <c r="AQ169" i="45"/>
  <c r="AQ170" i="45"/>
  <c r="AQ171" i="45"/>
  <c r="AQ172" i="45"/>
  <c r="AQ173" i="45"/>
  <c r="AQ174" i="45"/>
  <c r="AQ175" i="45"/>
  <c r="AQ176" i="45"/>
  <c r="AQ177" i="45"/>
  <c r="AQ178" i="45"/>
  <c r="AQ179" i="45"/>
  <c r="AQ180" i="45"/>
  <c r="AQ181" i="45"/>
  <c r="AQ182" i="45"/>
  <c r="AQ183" i="45"/>
  <c r="AQ184" i="45"/>
  <c r="AQ185" i="45"/>
  <c r="AQ186" i="45"/>
  <c r="AQ187" i="45"/>
  <c r="AQ188" i="45"/>
  <c r="AQ189" i="45"/>
  <c r="AQ190" i="45"/>
  <c r="AQ191" i="45"/>
  <c r="AQ192" i="45"/>
  <c r="AQ193" i="45"/>
  <c r="AQ194" i="45"/>
  <c r="AQ195" i="45"/>
  <c r="AQ196" i="45"/>
  <c r="AQ197" i="45"/>
  <c r="AQ198" i="45"/>
  <c r="AQ199" i="45"/>
  <c r="AQ200" i="45"/>
  <c r="AQ201" i="45"/>
  <c r="AQ202" i="45"/>
  <c r="AQ203" i="45"/>
  <c r="AQ204" i="45"/>
  <c r="AQ205" i="45"/>
  <c r="AQ206" i="45"/>
  <c r="AQ207" i="45"/>
  <c r="AQ208" i="45"/>
  <c r="AQ209" i="45"/>
  <c r="AQ210" i="45"/>
  <c r="AQ211" i="45"/>
  <c r="AQ212" i="45"/>
  <c r="AQ213" i="45"/>
  <c r="AQ214" i="45"/>
  <c r="AQ215" i="45"/>
  <c r="AQ216" i="45"/>
  <c r="AQ217" i="45"/>
  <c r="AQ218" i="45"/>
  <c r="AQ219" i="45"/>
  <c r="AQ220" i="45"/>
  <c r="AQ221" i="45"/>
  <c r="AQ222" i="45"/>
  <c r="AQ223" i="45"/>
  <c r="AQ224" i="45"/>
  <c r="AQ225" i="45"/>
  <c r="AQ226" i="45"/>
  <c r="AQ227" i="45"/>
  <c r="AQ228" i="45"/>
  <c r="AQ229" i="45"/>
  <c r="AQ230" i="45"/>
  <c r="AQ231" i="45"/>
  <c r="AQ232" i="45"/>
  <c r="AQ233" i="45"/>
  <c r="AQ234" i="45"/>
  <c r="AQ235" i="45"/>
  <c r="AQ236" i="45"/>
  <c r="AQ237" i="45"/>
  <c r="AQ238" i="45"/>
  <c r="AQ239" i="45"/>
  <c r="AQ240" i="45"/>
  <c r="AQ241" i="45"/>
  <c r="AQ242" i="45"/>
  <c r="AQ243" i="45"/>
  <c r="AQ244" i="45"/>
  <c r="AQ245" i="45"/>
  <c r="AQ246" i="45"/>
  <c r="AQ247" i="45"/>
  <c r="AQ248" i="45"/>
  <c r="AP129" i="45"/>
  <c r="AP130" i="45"/>
  <c r="AP131" i="45"/>
  <c r="AP132" i="45"/>
  <c r="AP133" i="45"/>
  <c r="AP134" i="45"/>
  <c r="AP135" i="45"/>
  <c r="AP136" i="45"/>
  <c r="AP137" i="45"/>
  <c r="AP138" i="45"/>
  <c r="AP139" i="45"/>
  <c r="AP140" i="45"/>
  <c r="AP141" i="45"/>
  <c r="AP142" i="45"/>
  <c r="AP143" i="45"/>
  <c r="AP144" i="45"/>
  <c r="AP145" i="45"/>
  <c r="AP146" i="45"/>
  <c r="AP147" i="45"/>
  <c r="AP148" i="45"/>
  <c r="AP149" i="45"/>
  <c r="AP150" i="45"/>
  <c r="AP151" i="45"/>
  <c r="AP152" i="45"/>
  <c r="AP153" i="45"/>
  <c r="AP154" i="45"/>
  <c r="AP155" i="45"/>
  <c r="AP156" i="45"/>
  <c r="AP157" i="45"/>
  <c r="AP158" i="45"/>
  <c r="AP159" i="45"/>
  <c r="AP160" i="45"/>
  <c r="AP161" i="45"/>
  <c r="AP162" i="45"/>
  <c r="AP163" i="45"/>
  <c r="AP164" i="45"/>
  <c r="AP165" i="45"/>
  <c r="AP166" i="45"/>
  <c r="AP167" i="45"/>
  <c r="AP168" i="45"/>
  <c r="AP169" i="45"/>
  <c r="AP170" i="45"/>
  <c r="AP171" i="45"/>
  <c r="AP172" i="45"/>
  <c r="AP173" i="45"/>
  <c r="AP174" i="45"/>
  <c r="AP175" i="45"/>
  <c r="AP176" i="45"/>
  <c r="AP177" i="45"/>
  <c r="AP178" i="45"/>
  <c r="AP179" i="45"/>
  <c r="AP180" i="45"/>
  <c r="AP181" i="45"/>
  <c r="AP182" i="45"/>
  <c r="AP183" i="45"/>
  <c r="AP184" i="45"/>
  <c r="AP185" i="45"/>
  <c r="AP186" i="45"/>
  <c r="AP187" i="45"/>
  <c r="AP188" i="45"/>
  <c r="AP189" i="45"/>
  <c r="AP190" i="45"/>
  <c r="AP191" i="45"/>
  <c r="AP192" i="45"/>
  <c r="AP193" i="45"/>
  <c r="AP194" i="45"/>
  <c r="AP195" i="45"/>
  <c r="AP196" i="45"/>
  <c r="AP197" i="45"/>
  <c r="AP198" i="45"/>
  <c r="AP199" i="45"/>
  <c r="AP200" i="45"/>
  <c r="AP201" i="45"/>
  <c r="AP202" i="45"/>
  <c r="AP203" i="45"/>
  <c r="AP204" i="45"/>
  <c r="AP205" i="45"/>
  <c r="AP206" i="45"/>
  <c r="AP207" i="45"/>
  <c r="AP208" i="45"/>
  <c r="AP209" i="45"/>
  <c r="AP210" i="45"/>
  <c r="AP211" i="45"/>
  <c r="AP212" i="45"/>
  <c r="AP213" i="45"/>
  <c r="AP214" i="45"/>
  <c r="AP215" i="45"/>
  <c r="AP216" i="45"/>
  <c r="AP217" i="45"/>
  <c r="AP218" i="45"/>
  <c r="AP219" i="45"/>
  <c r="AP220" i="45"/>
  <c r="AP221" i="45"/>
  <c r="AP222" i="45"/>
  <c r="AP223" i="45"/>
  <c r="AP224" i="45"/>
  <c r="AP225" i="45"/>
  <c r="AP226" i="45"/>
  <c r="AP227" i="45"/>
  <c r="AP228" i="45"/>
  <c r="AP229" i="45"/>
  <c r="AP230" i="45"/>
  <c r="AP231" i="45"/>
  <c r="AP232" i="45"/>
  <c r="AP233" i="45"/>
  <c r="AP234" i="45"/>
  <c r="AP235" i="45"/>
  <c r="AP236" i="45"/>
  <c r="AP237" i="45"/>
  <c r="AP238" i="45"/>
  <c r="AP239" i="45"/>
  <c r="AP240" i="45"/>
  <c r="AP241" i="45"/>
  <c r="AP242" i="45"/>
  <c r="AP243" i="45"/>
  <c r="AP244" i="45"/>
  <c r="AP245" i="45"/>
  <c r="AP246" i="45"/>
  <c r="AP247" i="45"/>
  <c r="AP248"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56" i="45"/>
  <c r="AQ57" i="45"/>
  <c r="AQ58" i="45"/>
  <c r="AQ59" i="45"/>
  <c r="AQ60" i="45"/>
  <c r="AQ61" i="45"/>
  <c r="AQ62" i="45"/>
  <c r="AQ63" i="45"/>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113" i="45"/>
  <c r="AQ114" i="45"/>
  <c r="AQ115" i="45"/>
  <c r="AQ116" i="45"/>
  <c r="AQ117" i="45"/>
  <c r="AQ118" i="45"/>
  <c r="AQ119" i="45"/>
  <c r="AQ120" i="45"/>
  <c r="AQ121" i="45"/>
  <c r="AQ122" i="45"/>
  <c r="AQ123" i="45"/>
  <c r="AP14" i="45"/>
  <c r="AP15" i="45"/>
  <c r="AP16" i="45"/>
  <c r="AP17" i="45"/>
  <c r="AP18" i="45"/>
  <c r="AP19" i="45"/>
  <c r="AP20" i="45"/>
  <c r="AP21" i="45"/>
  <c r="AP22" i="45"/>
  <c r="AP23" i="45"/>
  <c r="AP24" i="45"/>
  <c r="AP25" i="45"/>
  <c r="AP26" i="45"/>
  <c r="AP27" i="45"/>
  <c r="AP28" i="45"/>
  <c r="AP29" i="45"/>
  <c r="AP30" i="45"/>
  <c r="AP31" i="45"/>
  <c r="AP32" i="45"/>
  <c r="AP33" i="45"/>
  <c r="AP34" i="45"/>
  <c r="AP35" i="45"/>
  <c r="AP36" i="45"/>
  <c r="AP37" i="45"/>
  <c r="AP38" i="45"/>
  <c r="AP39" i="45"/>
  <c r="AP40" i="45"/>
  <c r="AP41" i="45"/>
  <c r="AP42" i="45"/>
  <c r="AP43" i="45"/>
  <c r="AP44" i="45"/>
  <c r="AP45" i="45"/>
  <c r="AP46" i="45"/>
  <c r="AP47" i="45"/>
  <c r="AP48" i="45"/>
  <c r="AP49" i="45"/>
  <c r="AP50" i="45"/>
  <c r="AP51" i="45"/>
  <c r="AP52" i="45"/>
  <c r="AP53" i="45"/>
  <c r="AP54" i="45"/>
  <c r="AP55" i="45"/>
  <c r="AP56" i="45"/>
  <c r="AP57" i="45"/>
  <c r="AP58" i="45"/>
  <c r="AP59" i="45"/>
  <c r="AP60" i="45"/>
  <c r="AP61" i="45"/>
  <c r="AP62" i="45"/>
  <c r="AP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114" i="45"/>
  <c r="AP115" i="45"/>
  <c r="AP116" i="45"/>
  <c r="AP117" i="45"/>
  <c r="AP118" i="45"/>
  <c r="AP119" i="45"/>
  <c r="AP120" i="45"/>
  <c r="AP121" i="45"/>
  <c r="AP122" i="45"/>
  <c r="AP123" i="45"/>
  <c r="AE14" i="45"/>
  <c r="AE15" i="45"/>
  <c r="AE16" i="45"/>
  <c r="AE17" i="45"/>
  <c r="AE18" i="45"/>
  <c r="AE19" i="45"/>
  <c r="AE20" i="45"/>
  <c r="AE21" i="45"/>
  <c r="AE22" i="45"/>
  <c r="AE23" i="45"/>
  <c r="AE24" i="45"/>
  <c r="AE25" i="45"/>
  <c r="AE26" i="45"/>
  <c r="AE27" i="45"/>
  <c r="AE28" i="45"/>
  <c r="AE29" i="45"/>
  <c r="AE30" i="45"/>
  <c r="AE31" i="45"/>
  <c r="AE32" i="45"/>
  <c r="AE33" i="45"/>
  <c r="AE34" i="45"/>
  <c r="AE35" i="45"/>
  <c r="AE36" i="45"/>
  <c r="AE37" i="45"/>
  <c r="AE38" i="45"/>
  <c r="AE39" i="45"/>
  <c r="AE40" i="45"/>
  <c r="AE41" i="45"/>
  <c r="AE42" i="45"/>
  <c r="AE43" i="45"/>
  <c r="AE44" i="45"/>
  <c r="AE45" i="45"/>
  <c r="AE46" i="45"/>
  <c r="AE47" i="45"/>
  <c r="AE48" i="45"/>
  <c r="AE49" i="45"/>
  <c r="AE50" i="45"/>
  <c r="AE51" i="45"/>
  <c r="AE52" i="45"/>
  <c r="AE53" i="45"/>
  <c r="AE54" i="45"/>
  <c r="AE55" i="45"/>
  <c r="AE56" i="45"/>
  <c r="AE57" i="45"/>
  <c r="AE58" i="45"/>
  <c r="AE59" i="45"/>
  <c r="AE60" i="45"/>
  <c r="AE61" i="45"/>
  <c r="AE62" i="45"/>
  <c r="AE63" i="45"/>
  <c r="AE64" i="45"/>
  <c r="AE65" i="45"/>
  <c r="AE66" i="45"/>
  <c r="AE67" i="45"/>
  <c r="AE68" i="45"/>
  <c r="AE69" i="45"/>
  <c r="AE70" i="45"/>
  <c r="AE71" i="45"/>
  <c r="AE72" i="45"/>
  <c r="AE73" i="45"/>
  <c r="AE74" i="45"/>
  <c r="AE75" i="45"/>
  <c r="AE76" i="45"/>
  <c r="AE77" i="45"/>
  <c r="AE78" i="45"/>
  <c r="AE79" i="45"/>
  <c r="AE80" i="45"/>
  <c r="AE81" i="45"/>
  <c r="AE82" i="45"/>
  <c r="AE83" i="45"/>
  <c r="AE84" i="45"/>
  <c r="AE85" i="45"/>
  <c r="AE86" i="45"/>
  <c r="AE87" i="45"/>
  <c r="AE88" i="45"/>
  <c r="AE89" i="45"/>
  <c r="AE90" i="45"/>
  <c r="AE91" i="45"/>
  <c r="AE92" i="45"/>
  <c r="AE93" i="45"/>
  <c r="AE94" i="45"/>
  <c r="AE95" i="45"/>
  <c r="AE96" i="45"/>
  <c r="AE97" i="45"/>
  <c r="AE98" i="45"/>
  <c r="AE99" i="45"/>
  <c r="AE100" i="45"/>
  <c r="AE101" i="45"/>
  <c r="AE102" i="45"/>
  <c r="AE103" i="45"/>
  <c r="AE104" i="45"/>
  <c r="AE105" i="45"/>
  <c r="AE106" i="45"/>
  <c r="AE107" i="45"/>
  <c r="AE108" i="45"/>
  <c r="AE109" i="45"/>
  <c r="AE110" i="45"/>
  <c r="AE111" i="45"/>
  <c r="AE112" i="45"/>
  <c r="AE113" i="45"/>
  <c r="AE114" i="45"/>
  <c r="AE115" i="45"/>
  <c r="AE116" i="45"/>
  <c r="AE117" i="45"/>
  <c r="AE118" i="45"/>
  <c r="AE119" i="45"/>
  <c r="AE120" i="45"/>
  <c r="AE121" i="45"/>
  <c r="AE122" i="45"/>
  <c r="AE123" i="45"/>
  <c r="AC15" i="45"/>
  <c r="AC16" i="45"/>
  <c r="AC17" i="45"/>
  <c r="AC18" i="45"/>
  <c r="AC19" i="45"/>
  <c r="AC20" i="45"/>
  <c r="AC21" i="45"/>
  <c r="AC22" i="45"/>
  <c r="AC23" i="45"/>
  <c r="AC24" i="45"/>
  <c r="AC25" i="45"/>
  <c r="AC26" i="45"/>
  <c r="AC27" i="45"/>
  <c r="AC28" i="45"/>
  <c r="AC29" i="45"/>
  <c r="AC30" i="45"/>
  <c r="AC31" i="45"/>
  <c r="AC32" i="45"/>
  <c r="AC33" i="45"/>
  <c r="AC34" i="45"/>
  <c r="AC35" i="45"/>
  <c r="AC36" i="45"/>
  <c r="AC37" i="45"/>
  <c r="AC38" i="45"/>
  <c r="AC39" i="45"/>
  <c r="AC40" i="45"/>
  <c r="AC41" i="45"/>
  <c r="AC42" i="45"/>
  <c r="AC43" i="45"/>
  <c r="AC44" i="45"/>
  <c r="AC45" i="45"/>
  <c r="AC46" i="45"/>
  <c r="AC47" i="45"/>
  <c r="AC48" i="45"/>
  <c r="AC49" i="45"/>
  <c r="AC50" i="45"/>
  <c r="AC51" i="45"/>
  <c r="AC52" i="45"/>
  <c r="AC53" i="45"/>
  <c r="AC54" i="45"/>
  <c r="AC55" i="45"/>
  <c r="AC56" i="45"/>
  <c r="AC57" i="45"/>
  <c r="AC58" i="45"/>
  <c r="AC59" i="45"/>
  <c r="AC60" i="45"/>
  <c r="AC61" i="45"/>
  <c r="AC62" i="45"/>
  <c r="AC63" i="45"/>
  <c r="AC64" i="45"/>
  <c r="AC65" i="45"/>
  <c r="AC66" i="45"/>
  <c r="AC67" i="45"/>
  <c r="AC68" i="45"/>
  <c r="AC69" i="45"/>
  <c r="AC70" i="45"/>
  <c r="AC71" i="45"/>
  <c r="AC72" i="45"/>
  <c r="AC73" i="45"/>
  <c r="AC74" i="45"/>
  <c r="AC75" i="45"/>
  <c r="AC76" i="45"/>
  <c r="AC77" i="45"/>
  <c r="AC78" i="45"/>
  <c r="AC79" i="45"/>
  <c r="AC80" i="45"/>
  <c r="AC81" i="45"/>
  <c r="AC82" i="45"/>
  <c r="AC83" i="45"/>
  <c r="AC84" i="45"/>
  <c r="AC85" i="45"/>
  <c r="AC86" i="45"/>
  <c r="AC87" i="45"/>
  <c r="AC88" i="45"/>
  <c r="AC89" i="45"/>
  <c r="AC90" i="45"/>
  <c r="AC91" i="45"/>
  <c r="AC92" i="45"/>
  <c r="AC93" i="45"/>
  <c r="AC94" i="45"/>
  <c r="AC95" i="45"/>
  <c r="AC96" i="45"/>
  <c r="AC97" i="45"/>
  <c r="AC98" i="45"/>
  <c r="AC99" i="45"/>
  <c r="AC100" i="45"/>
  <c r="AC101" i="45"/>
  <c r="AC102" i="45"/>
  <c r="AC103" i="45"/>
  <c r="AC104" i="45"/>
  <c r="AC105" i="45"/>
  <c r="AC106" i="45"/>
  <c r="AC107" i="45"/>
  <c r="AC108" i="45"/>
  <c r="AC109" i="45"/>
  <c r="AC110" i="45"/>
  <c r="AC111" i="45"/>
  <c r="AC112" i="45"/>
  <c r="AC113" i="45"/>
  <c r="AC114" i="45"/>
  <c r="AC115" i="45"/>
  <c r="AC116" i="45"/>
  <c r="AC117" i="45"/>
  <c r="AC118" i="45"/>
  <c r="AC119" i="45"/>
  <c r="AC120" i="45"/>
  <c r="AC121" i="45"/>
  <c r="AC122" i="45"/>
  <c r="AC123" i="45"/>
  <c r="AB14" i="45"/>
  <c r="AD14" i="45" s="1"/>
  <c r="AB15" i="45"/>
  <c r="AB16" i="45"/>
  <c r="AB17" i="45"/>
  <c r="AB18" i="45"/>
  <c r="AB19" i="45"/>
  <c r="AB20" i="45"/>
  <c r="AB21" i="45"/>
  <c r="AB22" i="45"/>
  <c r="AB23" i="45"/>
  <c r="AB24" i="45"/>
  <c r="AB25" i="45"/>
  <c r="AB26" i="45"/>
  <c r="AB27" i="45"/>
  <c r="AB28" i="45"/>
  <c r="AB29" i="45"/>
  <c r="AB30" i="45"/>
  <c r="AB31" i="45"/>
  <c r="AB32" i="45"/>
  <c r="AB33" i="45"/>
  <c r="AB34" i="45"/>
  <c r="AB35" i="45"/>
  <c r="AB36" i="45"/>
  <c r="AB37" i="45"/>
  <c r="AB38" i="45"/>
  <c r="AB39" i="45"/>
  <c r="AB40" i="45"/>
  <c r="AB41" i="45"/>
  <c r="AB42" i="45"/>
  <c r="AB43" i="45"/>
  <c r="AB44" i="45"/>
  <c r="AB45" i="45"/>
  <c r="AB46" i="45"/>
  <c r="AB47" i="45"/>
  <c r="AB48" i="45"/>
  <c r="AB49" i="45"/>
  <c r="AB50" i="45"/>
  <c r="AB51" i="45"/>
  <c r="AB52" i="45"/>
  <c r="AB53" i="45"/>
  <c r="AB54" i="45"/>
  <c r="AB55" i="45"/>
  <c r="AB56" i="45"/>
  <c r="AB57" i="45"/>
  <c r="AB58" i="45"/>
  <c r="AB59" i="45"/>
  <c r="AB60" i="45"/>
  <c r="AB61" i="45"/>
  <c r="AB62" i="45"/>
  <c r="AB63" i="45"/>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99" i="45"/>
  <c r="AB100" i="45"/>
  <c r="AB101" i="45"/>
  <c r="AB102" i="45"/>
  <c r="AB103" i="45"/>
  <c r="AB104" i="45"/>
  <c r="AB105" i="45"/>
  <c r="AB106" i="45"/>
  <c r="AB107" i="45"/>
  <c r="AB108" i="45"/>
  <c r="AB109" i="45"/>
  <c r="AB110" i="45"/>
  <c r="AB111" i="45"/>
  <c r="AB112" i="45"/>
  <c r="AB113" i="45"/>
  <c r="AB114" i="45"/>
  <c r="AB115" i="45"/>
  <c r="AB116" i="45"/>
  <c r="AB117" i="45"/>
  <c r="AB118" i="45"/>
  <c r="AB119" i="45"/>
  <c r="AB120" i="45"/>
  <c r="AB121" i="45"/>
  <c r="AB122" i="45"/>
  <c r="AB123" i="45"/>
  <c r="X14" i="45"/>
  <c r="Z66" i="44"/>
  <c r="Z67" i="44"/>
  <c r="Z68" i="44"/>
  <c r="Z69" i="44"/>
  <c r="Z70" i="44"/>
  <c r="Z71" i="44"/>
  <c r="Z72" i="44"/>
  <c r="Z73" i="44"/>
  <c r="Z74" i="44"/>
  <c r="Z75" i="44"/>
  <c r="Z76" i="44"/>
  <c r="Z77" i="44"/>
  <c r="Z78" i="44"/>
  <c r="Z79" i="44"/>
  <c r="Z80" i="44"/>
  <c r="Z81" i="44"/>
  <c r="Z82" i="44"/>
  <c r="Z83" i="44"/>
  <c r="Z84" i="44"/>
  <c r="Z85" i="44"/>
  <c r="Z86" i="44"/>
  <c r="AB66" i="44"/>
  <c r="AB67" i="44"/>
  <c r="AB68" i="44"/>
  <c r="AB69" i="44"/>
  <c r="AB70" i="44"/>
  <c r="AB71" i="44"/>
  <c r="AB72" i="44"/>
  <c r="AB73" i="44"/>
  <c r="AB74" i="44"/>
  <c r="AB75" i="44"/>
  <c r="AB76" i="44"/>
  <c r="AB77" i="44"/>
  <c r="AB78" i="44"/>
  <c r="AB79" i="44"/>
  <c r="AB80" i="44"/>
  <c r="AB81" i="44"/>
  <c r="AB82" i="44"/>
  <c r="AB83" i="44"/>
  <c r="AB84" i="44"/>
  <c r="AB85" i="44"/>
  <c r="AB86" i="44"/>
  <c r="AC66" i="44"/>
  <c r="AC67" i="44"/>
  <c r="AC68" i="44"/>
  <c r="AC69" i="44"/>
  <c r="AC70" i="44"/>
  <c r="AC71" i="44"/>
  <c r="AC72" i="44"/>
  <c r="AC73" i="44"/>
  <c r="AC74" i="44"/>
  <c r="AC75" i="44"/>
  <c r="AC76" i="44"/>
  <c r="AC77" i="44"/>
  <c r="AC78" i="44"/>
  <c r="AC79" i="44"/>
  <c r="AC80" i="44"/>
  <c r="AC81" i="44"/>
  <c r="AC82" i="44"/>
  <c r="AC83" i="44"/>
  <c r="AC84" i="44"/>
  <c r="AC85" i="44"/>
  <c r="AC86" i="44"/>
  <c r="AP66" i="44"/>
  <c r="AP67" i="44"/>
  <c r="AP68" i="44"/>
  <c r="AP69" i="44"/>
  <c r="AP70" i="44"/>
  <c r="AP71" i="44"/>
  <c r="AP72" i="44"/>
  <c r="AP73" i="44"/>
  <c r="AP74" i="44"/>
  <c r="AP75" i="44"/>
  <c r="AP76" i="44"/>
  <c r="AP77" i="44"/>
  <c r="AP78" i="44"/>
  <c r="AP79" i="44"/>
  <c r="AP80" i="44"/>
  <c r="AP81" i="44"/>
  <c r="AP82" i="44"/>
  <c r="AP83" i="44"/>
  <c r="AP84" i="44"/>
  <c r="AP85" i="44"/>
  <c r="AP86" i="44"/>
  <c r="AQ66" i="44"/>
  <c r="AQ67" i="44"/>
  <c r="AQ68" i="44"/>
  <c r="AQ69" i="44"/>
  <c r="AQ70" i="44"/>
  <c r="AQ71" i="44"/>
  <c r="AQ72" i="44"/>
  <c r="AQ73" i="44"/>
  <c r="AQ74" i="44"/>
  <c r="AQ75" i="44"/>
  <c r="AQ76" i="44"/>
  <c r="AQ77" i="44"/>
  <c r="AQ78" i="44"/>
  <c r="AQ79" i="44"/>
  <c r="AQ80" i="44"/>
  <c r="AQ81" i="44"/>
  <c r="AQ82" i="44"/>
  <c r="AQ83" i="44"/>
  <c r="AQ84" i="44"/>
  <c r="AQ85" i="44"/>
  <c r="AQ86" i="44"/>
  <c r="AR66" i="44"/>
  <c r="AR67" i="44"/>
  <c r="AR68" i="44"/>
  <c r="AR69" i="44"/>
  <c r="AR70" i="44"/>
  <c r="AR71" i="44"/>
  <c r="AR72" i="44"/>
  <c r="AR73" i="44"/>
  <c r="AR74" i="44"/>
  <c r="AR75" i="44"/>
  <c r="AR76" i="44"/>
  <c r="AR77" i="44"/>
  <c r="AR78" i="44"/>
  <c r="AR79" i="44"/>
  <c r="AR80" i="44"/>
  <c r="AR81" i="44"/>
  <c r="AR82" i="44"/>
  <c r="AR83" i="44"/>
  <c r="AR84" i="44"/>
  <c r="AR85" i="44"/>
  <c r="AR86" i="44"/>
  <c r="AR40" i="44"/>
  <c r="AR41" i="44"/>
  <c r="AR42" i="44"/>
  <c r="AR43" i="44"/>
  <c r="AR44" i="44"/>
  <c r="AR45" i="44"/>
  <c r="AR46" i="44"/>
  <c r="AR47" i="44"/>
  <c r="AR48" i="44"/>
  <c r="AR49" i="44"/>
  <c r="AR50" i="44"/>
  <c r="AR51" i="44"/>
  <c r="AR52" i="44"/>
  <c r="AR53" i="44"/>
  <c r="AR54" i="44"/>
  <c r="AR55" i="44"/>
  <c r="AR56" i="44"/>
  <c r="AR57" i="44"/>
  <c r="AR58" i="44"/>
  <c r="AR59" i="44"/>
  <c r="AR60" i="44"/>
  <c r="AQ40" i="44"/>
  <c r="AQ41" i="44"/>
  <c r="AQ42" i="44"/>
  <c r="AQ43" i="44"/>
  <c r="AQ44" i="44"/>
  <c r="AQ45" i="44"/>
  <c r="AQ46" i="44"/>
  <c r="AQ47" i="44"/>
  <c r="AQ48" i="44"/>
  <c r="AQ49" i="44"/>
  <c r="AQ50" i="44"/>
  <c r="AQ51" i="44"/>
  <c r="AQ52" i="44"/>
  <c r="AQ53" i="44"/>
  <c r="AQ54" i="44"/>
  <c r="AQ55" i="44"/>
  <c r="AQ56" i="44"/>
  <c r="AQ57" i="44"/>
  <c r="AQ58" i="44"/>
  <c r="AQ59" i="44"/>
  <c r="AQ60" i="44"/>
  <c r="AP40" i="44"/>
  <c r="AP41" i="44"/>
  <c r="AP42" i="44"/>
  <c r="AP43" i="44"/>
  <c r="AP44" i="44"/>
  <c r="AP45" i="44"/>
  <c r="AP46" i="44"/>
  <c r="AP47" i="44"/>
  <c r="AP48" i="44"/>
  <c r="AP49" i="44"/>
  <c r="AP50" i="44"/>
  <c r="AP51" i="44"/>
  <c r="AP52" i="44"/>
  <c r="AP53" i="44"/>
  <c r="AP54" i="44"/>
  <c r="AP55" i="44"/>
  <c r="AP56" i="44"/>
  <c r="AP57" i="44"/>
  <c r="AP58" i="44"/>
  <c r="AP59" i="44"/>
  <c r="AP60" i="44"/>
  <c r="AC40" i="44"/>
  <c r="AC41" i="44"/>
  <c r="AC42" i="44"/>
  <c r="AC43" i="44"/>
  <c r="AC44" i="44"/>
  <c r="AC45" i="44"/>
  <c r="AC46" i="44"/>
  <c r="AC47" i="44"/>
  <c r="AC48" i="44"/>
  <c r="AC49" i="44"/>
  <c r="AC50" i="44"/>
  <c r="AC51" i="44"/>
  <c r="AC52" i="44"/>
  <c r="AC53" i="44"/>
  <c r="AC54" i="44"/>
  <c r="AC55" i="44"/>
  <c r="AC56" i="44"/>
  <c r="AC57" i="44"/>
  <c r="AC58" i="44"/>
  <c r="AC59" i="44"/>
  <c r="AC60" i="44"/>
  <c r="AB40" i="44"/>
  <c r="AB41" i="44"/>
  <c r="AB42" i="44"/>
  <c r="AB43" i="44"/>
  <c r="AB44" i="44"/>
  <c r="AB45" i="44"/>
  <c r="AB46" i="44"/>
  <c r="AB47" i="44"/>
  <c r="AB48" i="44"/>
  <c r="AB49" i="44"/>
  <c r="AB50" i="44"/>
  <c r="AB51" i="44"/>
  <c r="AB52" i="44"/>
  <c r="AB53" i="44"/>
  <c r="AB54" i="44"/>
  <c r="AB55" i="44"/>
  <c r="AB56" i="44"/>
  <c r="AB57" i="44"/>
  <c r="AB58" i="44"/>
  <c r="AB59" i="44"/>
  <c r="AB60" i="44"/>
  <c r="Z40" i="44"/>
  <c r="Z41" i="44"/>
  <c r="Z42" i="44"/>
  <c r="Z43" i="44"/>
  <c r="Z44" i="44"/>
  <c r="Z45" i="44"/>
  <c r="Z46" i="44"/>
  <c r="Z47" i="44"/>
  <c r="Z48" i="44"/>
  <c r="Z49" i="44"/>
  <c r="Z50" i="44"/>
  <c r="Z51" i="44"/>
  <c r="Z52" i="44"/>
  <c r="Z53" i="44"/>
  <c r="Z54" i="44"/>
  <c r="Z55" i="44"/>
  <c r="Z56" i="44"/>
  <c r="Z57" i="44"/>
  <c r="Z58" i="44"/>
  <c r="Z59" i="44"/>
  <c r="Z60" i="44"/>
  <c r="AR15" i="44"/>
  <c r="AR16" i="44"/>
  <c r="AR17" i="44"/>
  <c r="AR18" i="44"/>
  <c r="AR19" i="44"/>
  <c r="AR20" i="44"/>
  <c r="AR21" i="44"/>
  <c r="AR22" i="44"/>
  <c r="AR23" i="44"/>
  <c r="AR24" i="44"/>
  <c r="AR25" i="44"/>
  <c r="AR26" i="44"/>
  <c r="AR27" i="44"/>
  <c r="AR28" i="44"/>
  <c r="AR29" i="44"/>
  <c r="AR30" i="44"/>
  <c r="AR31" i="44"/>
  <c r="AR32" i="44"/>
  <c r="AR33" i="44"/>
  <c r="AR34" i="44"/>
  <c r="AQ15" i="44"/>
  <c r="AQ16" i="44"/>
  <c r="AQ17" i="44"/>
  <c r="AQ18" i="44"/>
  <c r="AQ19" i="44"/>
  <c r="AQ20" i="44"/>
  <c r="AQ21" i="44"/>
  <c r="AQ22" i="44"/>
  <c r="AQ23" i="44"/>
  <c r="AQ24" i="44"/>
  <c r="AQ25" i="44"/>
  <c r="AQ26" i="44"/>
  <c r="AQ27" i="44"/>
  <c r="AQ28" i="44"/>
  <c r="AQ29" i="44"/>
  <c r="AQ30" i="44"/>
  <c r="AQ31" i="44"/>
  <c r="AQ32" i="44"/>
  <c r="AQ33" i="44"/>
  <c r="AQ34" i="44"/>
  <c r="AP15" i="44"/>
  <c r="AP16" i="44"/>
  <c r="AP17" i="44"/>
  <c r="AP18" i="44"/>
  <c r="AP19" i="44"/>
  <c r="AP20" i="44"/>
  <c r="AP21" i="44"/>
  <c r="AP22" i="44"/>
  <c r="AP23" i="44"/>
  <c r="AP24" i="44"/>
  <c r="AP25" i="44"/>
  <c r="AP26" i="44"/>
  <c r="AP27" i="44"/>
  <c r="AP28" i="44"/>
  <c r="AP29" i="44"/>
  <c r="AP30" i="44"/>
  <c r="AP31" i="44"/>
  <c r="AP32" i="44"/>
  <c r="AP33" i="44"/>
  <c r="AP34" i="44"/>
  <c r="AC15" i="44"/>
  <c r="AC16" i="44"/>
  <c r="AC17" i="44"/>
  <c r="AC18" i="44"/>
  <c r="AC19" i="44"/>
  <c r="AC20" i="44"/>
  <c r="AC21" i="44"/>
  <c r="AC22" i="44"/>
  <c r="AC23" i="44"/>
  <c r="AC24" i="44"/>
  <c r="AC25" i="44"/>
  <c r="AC26" i="44"/>
  <c r="AC27" i="44"/>
  <c r="AC28" i="44"/>
  <c r="AC29" i="44"/>
  <c r="AC30" i="44"/>
  <c r="AC31" i="44"/>
  <c r="AC32" i="44"/>
  <c r="AC33" i="44"/>
  <c r="AC34" i="44"/>
  <c r="AB15" i="44"/>
  <c r="AB16" i="44"/>
  <c r="AB17" i="44"/>
  <c r="AB18" i="44"/>
  <c r="AB19" i="44"/>
  <c r="AB20" i="44"/>
  <c r="AB21" i="44"/>
  <c r="AB22" i="44"/>
  <c r="AB23" i="44"/>
  <c r="AB24" i="44"/>
  <c r="AB25" i="44"/>
  <c r="AB26" i="44"/>
  <c r="AB27" i="44"/>
  <c r="AB28" i="44"/>
  <c r="AB29" i="44"/>
  <c r="AB30" i="44"/>
  <c r="AB31" i="44"/>
  <c r="AB32" i="44"/>
  <c r="AB33" i="44"/>
  <c r="AB34" i="44"/>
  <c r="Z15" i="44"/>
  <c r="Z16" i="44"/>
  <c r="Z17" i="44"/>
  <c r="Z18" i="44"/>
  <c r="Z19" i="44"/>
  <c r="Z20" i="44"/>
  <c r="Z21" i="44"/>
  <c r="Z22" i="44"/>
  <c r="Z23" i="44"/>
  <c r="Z24" i="44"/>
  <c r="Z25" i="44"/>
  <c r="Z26" i="44"/>
  <c r="Z27" i="44"/>
  <c r="Z28" i="44"/>
  <c r="Z29" i="44"/>
  <c r="Z30" i="44"/>
  <c r="Z31" i="44"/>
  <c r="Z32" i="44"/>
  <c r="Z33" i="44"/>
  <c r="Z34" i="44"/>
  <c r="AR68" i="43"/>
  <c r="AR69" i="43"/>
  <c r="AR70" i="43"/>
  <c r="AR71" i="43"/>
  <c r="AR72" i="43"/>
  <c r="AR73" i="43"/>
  <c r="AR74" i="43"/>
  <c r="AR75" i="43"/>
  <c r="AR76" i="43"/>
  <c r="AR77" i="43"/>
  <c r="AR78" i="43"/>
  <c r="AR79" i="43"/>
  <c r="AR80" i="43"/>
  <c r="AR81" i="43"/>
  <c r="AR82" i="43"/>
  <c r="AR83" i="43"/>
  <c r="AR84" i="43"/>
  <c r="AR85" i="43"/>
  <c r="AR86" i="43"/>
  <c r="AR87" i="43"/>
  <c r="AR88" i="43"/>
  <c r="AQ68" i="43"/>
  <c r="AQ69" i="43"/>
  <c r="AQ70" i="43"/>
  <c r="AQ71" i="43"/>
  <c r="AQ72" i="43"/>
  <c r="AQ73" i="43"/>
  <c r="AQ74" i="43"/>
  <c r="AQ75" i="43"/>
  <c r="AQ76" i="43"/>
  <c r="AQ77" i="43"/>
  <c r="AQ78" i="43"/>
  <c r="AQ79" i="43"/>
  <c r="AQ80" i="43"/>
  <c r="AQ81" i="43"/>
  <c r="AQ82" i="43"/>
  <c r="AQ83" i="43"/>
  <c r="AQ84" i="43"/>
  <c r="AQ85" i="43"/>
  <c r="AQ86" i="43"/>
  <c r="AQ87" i="43"/>
  <c r="AQ88" i="43"/>
  <c r="AP68" i="43"/>
  <c r="AP69" i="43"/>
  <c r="AP70" i="43"/>
  <c r="AP71" i="43"/>
  <c r="AP72" i="43"/>
  <c r="AP73" i="43"/>
  <c r="AP74" i="43"/>
  <c r="AP75" i="43"/>
  <c r="AP76" i="43"/>
  <c r="AP77" i="43"/>
  <c r="AP78" i="43"/>
  <c r="AP79" i="43"/>
  <c r="AP80" i="43"/>
  <c r="AP81" i="43"/>
  <c r="AP82" i="43"/>
  <c r="AP83" i="43"/>
  <c r="AP84" i="43"/>
  <c r="AP85" i="43"/>
  <c r="AP86" i="43"/>
  <c r="AP87" i="43"/>
  <c r="AP88" i="43"/>
  <c r="AC68" i="43"/>
  <c r="AC69" i="43"/>
  <c r="AC70" i="43"/>
  <c r="AC71" i="43"/>
  <c r="AC72" i="43"/>
  <c r="AC73" i="43"/>
  <c r="AC74" i="43"/>
  <c r="AC75" i="43"/>
  <c r="AC76" i="43"/>
  <c r="AC77" i="43"/>
  <c r="AC78" i="43"/>
  <c r="AC79" i="43"/>
  <c r="AC80" i="43"/>
  <c r="AC81" i="43"/>
  <c r="AC82" i="43"/>
  <c r="AC83" i="43"/>
  <c r="AC84" i="43"/>
  <c r="AC85" i="43"/>
  <c r="AC86" i="43"/>
  <c r="AC87" i="43"/>
  <c r="AC88" i="43"/>
  <c r="AB68" i="43"/>
  <c r="AB69" i="43"/>
  <c r="AB70" i="43"/>
  <c r="AB74" i="43"/>
  <c r="AB75" i="43"/>
  <c r="AB76" i="43"/>
  <c r="AB77" i="43"/>
  <c r="AB78" i="43"/>
  <c r="AB82" i="43"/>
  <c r="AB83" i="43"/>
  <c r="AB84" i="43"/>
  <c r="AB85" i="43"/>
  <c r="AB86" i="43"/>
  <c r="Z68" i="43"/>
  <c r="Z69" i="43"/>
  <c r="Z70" i="43"/>
  <c r="Z71" i="43"/>
  <c r="Z72" i="43"/>
  <c r="Z73" i="43"/>
  <c r="Z74" i="43"/>
  <c r="Z75" i="43"/>
  <c r="Z76" i="43"/>
  <c r="Z77" i="43"/>
  <c r="Z78" i="43"/>
  <c r="Z79" i="43"/>
  <c r="Z80" i="43"/>
  <c r="Z81" i="43"/>
  <c r="Z82" i="43"/>
  <c r="Z83" i="43"/>
  <c r="Z84" i="43"/>
  <c r="Z85" i="43"/>
  <c r="Z86" i="43"/>
  <c r="Z87" i="43"/>
  <c r="Z88" i="43"/>
  <c r="AR42" i="43"/>
  <c r="AR43" i="43"/>
  <c r="AR44" i="43"/>
  <c r="AR45" i="43"/>
  <c r="AR46" i="43"/>
  <c r="AR47" i="43"/>
  <c r="AR48" i="43"/>
  <c r="AR49" i="43"/>
  <c r="AR50" i="43"/>
  <c r="AR51" i="43"/>
  <c r="AR52" i="43"/>
  <c r="AR53" i="43"/>
  <c r="AR54" i="43"/>
  <c r="AR55" i="43"/>
  <c r="AR56" i="43"/>
  <c r="AR57" i="43"/>
  <c r="AR58" i="43"/>
  <c r="AR59" i="43"/>
  <c r="AR60" i="43"/>
  <c r="AR61" i="43"/>
  <c r="AR62" i="43"/>
  <c r="AQ42" i="43"/>
  <c r="AQ43" i="43"/>
  <c r="AQ44" i="43"/>
  <c r="AQ45" i="43"/>
  <c r="AQ46" i="43"/>
  <c r="AQ47" i="43"/>
  <c r="AQ48" i="43"/>
  <c r="AQ49" i="43"/>
  <c r="AQ50" i="43"/>
  <c r="AQ51" i="43"/>
  <c r="AQ52" i="43"/>
  <c r="AQ53" i="43"/>
  <c r="AQ54" i="43"/>
  <c r="AQ55" i="43"/>
  <c r="AQ56" i="43"/>
  <c r="AQ57" i="43"/>
  <c r="AQ58" i="43"/>
  <c r="AQ59" i="43"/>
  <c r="AQ60" i="43"/>
  <c r="AQ61" i="43"/>
  <c r="AQ62" i="43"/>
  <c r="AP42" i="43"/>
  <c r="AP43" i="43"/>
  <c r="AP44" i="43"/>
  <c r="AP45" i="43"/>
  <c r="AP46" i="43"/>
  <c r="AP47" i="43"/>
  <c r="AP48" i="43"/>
  <c r="AP49" i="43"/>
  <c r="AP50" i="43"/>
  <c r="AP51" i="43"/>
  <c r="AP52" i="43"/>
  <c r="AP53" i="43"/>
  <c r="AP54" i="43"/>
  <c r="AP55" i="43"/>
  <c r="AP56" i="43"/>
  <c r="AP57" i="43"/>
  <c r="AP58" i="43"/>
  <c r="AP59" i="43"/>
  <c r="AP60" i="43"/>
  <c r="AP61" i="43"/>
  <c r="AP62" i="43"/>
  <c r="AC42" i="43"/>
  <c r="AC43" i="43"/>
  <c r="AC44" i="43"/>
  <c r="AC45" i="43"/>
  <c r="AC46" i="43"/>
  <c r="AC47" i="43"/>
  <c r="AC48" i="43"/>
  <c r="AC49" i="43"/>
  <c r="AC50" i="43"/>
  <c r="AC51" i="43"/>
  <c r="AC52" i="43"/>
  <c r="AC53" i="43"/>
  <c r="AC54" i="43"/>
  <c r="AC55" i="43"/>
  <c r="AC56" i="43"/>
  <c r="AC57" i="43"/>
  <c r="AC58" i="43"/>
  <c r="AC59" i="43"/>
  <c r="AC60" i="43"/>
  <c r="AC61" i="43"/>
  <c r="AC62" i="43"/>
  <c r="AB42" i="43"/>
  <c r="AB43" i="43"/>
  <c r="AB44" i="43"/>
  <c r="AB45" i="43"/>
  <c r="AB46" i="43"/>
  <c r="AB47" i="43"/>
  <c r="AB48" i="43"/>
  <c r="AB49" i="43"/>
  <c r="AB50" i="43"/>
  <c r="AB51" i="43"/>
  <c r="AB52" i="43"/>
  <c r="AB53" i="43"/>
  <c r="AB54" i="43"/>
  <c r="AB55" i="43"/>
  <c r="AB56" i="43"/>
  <c r="AB57" i="43"/>
  <c r="AB58" i="43"/>
  <c r="AB59" i="43"/>
  <c r="AB60" i="43"/>
  <c r="AB61" i="43"/>
  <c r="AB62" i="43"/>
  <c r="Z42" i="43"/>
  <c r="Z43" i="43"/>
  <c r="Z44" i="43"/>
  <c r="AA44" i="43" s="1" a="1"/>
  <c r="AA44" i="43" s="1"/>
  <c r="Z45" i="43"/>
  <c r="Z46" i="43"/>
  <c r="Z47" i="43"/>
  <c r="Z48" i="43"/>
  <c r="Z49" i="43"/>
  <c r="Z50" i="43"/>
  <c r="Z51" i="43"/>
  <c r="Z52" i="43"/>
  <c r="Z53" i="43"/>
  <c r="Z54" i="43"/>
  <c r="Z55" i="43"/>
  <c r="Z56" i="43"/>
  <c r="Z57" i="43"/>
  <c r="Z58" i="43"/>
  <c r="Z59" i="43"/>
  <c r="Z60" i="43"/>
  <c r="Z61" i="43"/>
  <c r="Z62" i="43"/>
  <c r="AR17" i="43"/>
  <c r="AR18" i="43"/>
  <c r="AR19" i="43"/>
  <c r="AR20" i="43"/>
  <c r="AR21" i="43"/>
  <c r="AR22" i="43"/>
  <c r="AR23" i="43"/>
  <c r="AR24" i="43"/>
  <c r="AR25" i="43"/>
  <c r="AR26" i="43"/>
  <c r="AR27" i="43"/>
  <c r="AR28" i="43"/>
  <c r="AR29" i="43"/>
  <c r="AR30" i="43"/>
  <c r="AR31" i="43"/>
  <c r="AR32" i="43"/>
  <c r="AR33" i="43"/>
  <c r="AR34" i="43"/>
  <c r="AR35" i="43"/>
  <c r="AR36" i="43"/>
  <c r="AQ17" i="43"/>
  <c r="AQ18" i="43"/>
  <c r="AQ19" i="43"/>
  <c r="AQ20" i="43"/>
  <c r="AQ21" i="43"/>
  <c r="AQ22" i="43"/>
  <c r="AQ23" i="43"/>
  <c r="AQ24" i="43"/>
  <c r="AQ25" i="43"/>
  <c r="AQ26" i="43"/>
  <c r="AQ27" i="43"/>
  <c r="AQ28" i="43"/>
  <c r="AQ29" i="43"/>
  <c r="AQ30" i="43"/>
  <c r="AQ31" i="43"/>
  <c r="AQ32" i="43"/>
  <c r="AQ33" i="43"/>
  <c r="AQ34" i="43"/>
  <c r="AQ35" i="43"/>
  <c r="AQ36" i="43"/>
  <c r="AP17" i="43"/>
  <c r="AP18" i="43"/>
  <c r="AP19" i="43"/>
  <c r="AP20" i="43"/>
  <c r="AP21" i="43"/>
  <c r="AP22" i="43"/>
  <c r="AP23" i="43"/>
  <c r="AP24" i="43"/>
  <c r="AP25" i="43"/>
  <c r="AP26" i="43"/>
  <c r="AP27" i="43"/>
  <c r="AP28" i="43"/>
  <c r="AP29" i="43"/>
  <c r="AP30" i="43"/>
  <c r="AP31" i="43"/>
  <c r="AP32" i="43"/>
  <c r="AP33" i="43"/>
  <c r="AP34" i="43"/>
  <c r="AP35" i="43"/>
  <c r="AP36" i="43"/>
  <c r="AC17" i="43"/>
  <c r="AC18" i="43"/>
  <c r="AC19" i="43"/>
  <c r="AC20" i="43"/>
  <c r="AC21" i="43"/>
  <c r="AC22" i="43"/>
  <c r="AC23" i="43"/>
  <c r="AC24" i="43"/>
  <c r="AC25" i="43"/>
  <c r="AC26" i="43"/>
  <c r="AC27" i="43"/>
  <c r="AC28" i="43"/>
  <c r="AC29" i="43"/>
  <c r="AC30" i="43"/>
  <c r="AC31" i="43"/>
  <c r="AC32" i="43"/>
  <c r="AC33" i="43"/>
  <c r="AC34" i="43"/>
  <c r="AC35" i="43"/>
  <c r="AC36" i="43"/>
  <c r="AB17" i="43"/>
  <c r="AB18" i="43"/>
  <c r="AB19" i="43"/>
  <c r="AB20" i="43"/>
  <c r="AB21" i="43"/>
  <c r="AB22" i="43"/>
  <c r="AB23" i="43"/>
  <c r="AB24" i="43"/>
  <c r="AB25" i="43"/>
  <c r="AB26" i="43"/>
  <c r="AB27" i="43"/>
  <c r="AB28" i="43"/>
  <c r="AB29" i="43"/>
  <c r="AB30" i="43"/>
  <c r="AB31" i="43"/>
  <c r="AB32" i="43"/>
  <c r="AB33" i="43"/>
  <c r="AB34" i="43"/>
  <c r="AB35" i="43"/>
  <c r="AB36" i="43"/>
  <c r="Z17" i="43"/>
  <c r="Z18" i="43"/>
  <c r="Z19" i="43"/>
  <c r="Z20" i="43"/>
  <c r="Z21" i="43"/>
  <c r="Z22" i="43"/>
  <c r="Z23" i="43"/>
  <c r="Z24" i="43"/>
  <c r="Z25" i="43"/>
  <c r="Z26" i="43"/>
  <c r="Z27" i="43"/>
  <c r="Z28" i="43"/>
  <c r="Z29" i="43"/>
  <c r="Z30" i="43"/>
  <c r="Z31" i="43"/>
  <c r="Z32" i="43"/>
  <c r="Z33" i="43"/>
  <c r="Z34" i="43"/>
  <c r="Z35" i="43"/>
  <c r="Z36" i="43"/>
  <c r="AR41" i="42"/>
  <c r="AR42" i="42"/>
  <c r="AR43" i="42"/>
  <c r="AR44" i="42"/>
  <c r="AR45" i="42"/>
  <c r="AR46" i="42"/>
  <c r="AR47" i="42"/>
  <c r="AR48" i="42"/>
  <c r="AR49" i="42"/>
  <c r="AR50" i="42"/>
  <c r="AR51" i="42"/>
  <c r="AR52" i="42"/>
  <c r="AR53" i="42"/>
  <c r="AR54" i="42"/>
  <c r="AR55" i="42"/>
  <c r="AR56" i="42"/>
  <c r="AR57" i="42"/>
  <c r="AR58" i="42"/>
  <c r="AR59" i="42"/>
  <c r="AR60" i="42"/>
  <c r="AR61" i="42"/>
  <c r="AQ41" i="42"/>
  <c r="AQ42" i="42"/>
  <c r="AQ43" i="42"/>
  <c r="AQ44" i="42"/>
  <c r="AQ45" i="42"/>
  <c r="AQ46" i="42"/>
  <c r="AQ47" i="42"/>
  <c r="AQ48" i="42"/>
  <c r="AQ49" i="42"/>
  <c r="AQ50" i="42"/>
  <c r="AQ51" i="42"/>
  <c r="AQ52" i="42"/>
  <c r="AQ53" i="42"/>
  <c r="AQ54" i="42"/>
  <c r="AQ55" i="42"/>
  <c r="AQ56" i="42"/>
  <c r="AQ57" i="42"/>
  <c r="AQ58" i="42"/>
  <c r="AQ59" i="42"/>
  <c r="AQ60" i="42"/>
  <c r="AQ61" i="42"/>
  <c r="AP41" i="42"/>
  <c r="AP42" i="42"/>
  <c r="AP43" i="42"/>
  <c r="AP44" i="42"/>
  <c r="AP45" i="42"/>
  <c r="AP46" i="42"/>
  <c r="AP47" i="42"/>
  <c r="AP48" i="42"/>
  <c r="AP49" i="42"/>
  <c r="AP50" i="42"/>
  <c r="AP51" i="42"/>
  <c r="AP52" i="42"/>
  <c r="AP53" i="42"/>
  <c r="AP54" i="42"/>
  <c r="AP55" i="42"/>
  <c r="AP56" i="42"/>
  <c r="AP57" i="42"/>
  <c r="AP58" i="42"/>
  <c r="AP59" i="42"/>
  <c r="AP60" i="42"/>
  <c r="AP61" i="42"/>
  <c r="AC41" i="42"/>
  <c r="AC42" i="42"/>
  <c r="AC43" i="42"/>
  <c r="AC44" i="42"/>
  <c r="AC45" i="42"/>
  <c r="AC46" i="42"/>
  <c r="AC47" i="42"/>
  <c r="AC48" i="42"/>
  <c r="AC49" i="42"/>
  <c r="AC50" i="42"/>
  <c r="AC51" i="42"/>
  <c r="AC52" i="42"/>
  <c r="AC53" i="42"/>
  <c r="AC54" i="42"/>
  <c r="AC55" i="42"/>
  <c r="AC56" i="42"/>
  <c r="AC57" i="42"/>
  <c r="AC58" i="42"/>
  <c r="AC59" i="42"/>
  <c r="AC60" i="42"/>
  <c r="AC61" i="42"/>
  <c r="AB41" i="42"/>
  <c r="AB42" i="42"/>
  <c r="AB43" i="42"/>
  <c r="AB44" i="42"/>
  <c r="AB45" i="42"/>
  <c r="AB46" i="42"/>
  <c r="AB47" i="42"/>
  <c r="AB48" i="42"/>
  <c r="AB49" i="42"/>
  <c r="AB50" i="42"/>
  <c r="AB51" i="42"/>
  <c r="AB52" i="42"/>
  <c r="AB53" i="42"/>
  <c r="AB54" i="42"/>
  <c r="AB55" i="42"/>
  <c r="AB56" i="42"/>
  <c r="AB57" i="42"/>
  <c r="AB58" i="42"/>
  <c r="AB59" i="42"/>
  <c r="AB60" i="42"/>
  <c r="AB61" i="42"/>
  <c r="Z41" i="42"/>
  <c r="Z42" i="42"/>
  <c r="Z43" i="42"/>
  <c r="Z44" i="42"/>
  <c r="Z45" i="42"/>
  <c r="Z46" i="42"/>
  <c r="Z47" i="42"/>
  <c r="AA47" i="42" s="1" a="1"/>
  <c r="AA47" i="42" s="1"/>
  <c r="Z48" i="42"/>
  <c r="Z49" i="42"/>
  <c r="Z50" i="42"/>
  <c r="Z51" i="42"/>
  <c r="Z52" i="42"/>
  <c r="Z53" i="42"/>
  <c r="Z54" i="42"/>
  <c r="Z55" i="42"/>
  <c r="Z56" i="42"/>
  <c r="Z57" i="42"/>
  <c r="Z58" i="42"/>
  <c r="Z59" i="42"/>
  <c r="Z60" i="42"/>
  <c r="Z61" i="42"/>
  <c r="X41" i="42"/>
  <c r="X42" i="42"/>
  <c r="X43" i="42"/>
  <c r="X44" i="42"/>
  <c r="X45" i="42"/>
  <c r="X46" i="42"/>
  <c r="X47" i="42"/>
  <c r="X48" i="42"/>
  <c r="X49" i="42"/>
  <c r="X50" i="42"/>
  <c r="X51" i="42"/>
  <c r="X52" i="42"/>
  <c r="X53" i="42"/>
  <c r="X54" i="42"/>
  <c r="X55" i="42"/>
  <c r="X56" i="42"/>
  <c r="X57" i="42"/>
  <c r="X58" i="42"/>
  <c r="X59" i="42"/>
  <c r="X60" i="42"/>
  <c r="X61" i="42"/>
  <c r="AR16" i="42"/>
  <c r="AR17" i="42"/>
  <c r="AR18" i="42"/>
  <c r="AR19" i="42"/>
  <c r="AR20" i="42"/>
  <c r="AR21" i="42"/>
  <c r="AR22" i="42"/>
  <c r="AR23" i="42"/>
  <c r="AR24" i="42"/>
  <c r="AR25" i="42"/>
  <c r="AR26" i="42"/>
  <c r="AR27" i="42"/>
  <c r="AR28" i="42"/>
  <c r="AR29" i="42"/>
  <c r="AR30" i="42"/>
  <c r="AR31" i="42"/>
  <c r="AR32" i="42"/>
  <c r="AR33" i="42"/>
  <c r="AR34" i="42"/>
  <c r="AR35" i="42"/>
  <c r="AQ16" i="42"/>
  <c r="AQ17" i="42"/>
  <c r="AQ18" i="42"/>
  <c r="AQ19" i="42"/>
  <c r="AQ20" i="42"/>
  <c r="AQ21" i="42"/>
  <c r="AQ22" i="42"/>
  <c r="AQ23" i="42"/>
  <c r="AQ24" i="42"/>
  <c r="AQ25" i="42"/>
  <c r="AQ26" i="42"/>
  <c r="AQ27" i="42"/>
  <c r="AQ28" i="42"/>
  <c r="AQ29" i="42"/>
  <c r="AQ30" i="42"/>
  <c r="AQ31" i="42"/>
  <c r="AQ32" i="42"/>
  <c r="AQ33" i="42"/>
  <c r="AQ34" i="42"/>
  <c r="AQ35" i="42"/>
  <c r="AP16" i="42"/>
  <c r="AP17" i="42"/>
  <c r="AP18" i="42"/>
  <c r="AP19" i="42"/>
  <c r="AP20" i="42"/>
  <c r="AP21" i="42"/>
  <c r="AP22" i="42"/>
  <c r="AP23" i="42"/>
  <c r="AP24" i="42"/>
  <c r="AP25" i="42"/>
  <c r="AP26" i="42"/>
  <c r="AP27" i="42"/>
  <c r="AP28" i="42"/>
  <c r="AP29" i="42"/>
  <c r="AP30" i="42"/>
  <c r="AP31" i="42"/>
  <c r="AP32" i="42"/>
  <c r="AP33" i="42"/>
  <c r="AP34" i="42"/>
  <c r="AP35" i="42"/>
  <c r="AC16" i="42"/>
  <c r="AC17" i="42"/>
  <c r="AC18" i="42"/>
  <c r="AC19" i="42"/>
  <c r="AC20" i="42"/>
  <c r="AC21" i="42"/>
  <c r="AC22" i="42"/>
  <c r="AC23" i="42"/>
  <c r="AC24" i="42"/>
  <c r="AC25" i="42"/>
  <c r="AC26" i="42"/>
  <c r="AC27" i="42"/>
  <c r="AC28" i="42"/>
  <c r="AC29" i="42"/>
  <c r="AC30" i="42"/>
  <c r="AC31" i="42"/>
  <c r="AC32" i="42"/>
  <c r="AC33" i="42"/>
  <c r="AC34" i="42"/>
  <c r="AC35" i="42"/>
  <c r="AB16" i="42"/>
  <c r="AB17" i="42"/>
  <c r="AB18" i="42"/>
  <c r="AB19" i="42"/>
  <c r="AB20" i="42"/>
  <c r="AB21" i="42"/>
  <c r="AB22" i="42"/>
  <c r="AB23" i="42"/>
  <c r="AB24" i="42"/>
  <c r="AB25" i="42"/>
  <c r="AB26" i="42"/>
  <c r="AB27" i="42"/>
  <c r="AB28" i="42"/>
  <c r="AB29" i="42"/>
  <c r="AB30" i="42"/>
  <c r="AB31" i="42"/>
  <c r="AB32" i="42"/>
  <c r="AB33" i="42"/>
  <c r="AB34" i="42"/>
  <c r="AB35" i="42"/>
  <c r="Z16" i="42"/>
  <c r="Z17" i="42"/>
  <c r="Z18" i="42"/>
  <c r="Z19" i="42"/>
  <c r="Z20" i="42"/>
  <c r="Z21" i="42"/>
  <c r="Z22" i="42"/>
  <c r="Z23" i="42"/>
  <c r="Z24" i="42"/>
  <c r="Z25" i="42"/>
  <c r="Z26" i="42"/>
  <c r="Z27" i="42"/>
  <c r="Z28" i="42"/>
  <c r="Z29" i="42"/>
  <c r="Z30" i="42"/>
  <c r="Z31" i="42"/>
  <c r="Z32" i="42"/>
  <c r="Z33" i="42"/>
  <c r="Z34" i="42"/>
  <c r="Z35" i="42"/>
  <c r="X16" i="42"/>
  <c r="X17" i="42"/>
  <c r="X18" i="42"/>
  <c r="X19" i="42"/>
  <c r="X20" i="42"/>
  <c r="X21" i="42"/>
  <c r="X22" i="42"/>
  <c r="X23" i="42"/>
  <c r="X24" i="42"/>
  <c r="X25" i="42"/>
  <c r="X26" i="42"/>
  <c r="X27" i="42"/>
  <c r="X28" i="42"/>
  <c r="X29" i="42"/>
  <c r="X30" i="42"/>
  <c r="X31" i="42"/>
  <c r="X32" i="42"/>
  <c r="X33" i="42"/>
  <c r="X34" i="42"/>
  <c r="X35" i="42"/>
  <c r="AR41" i="41"/>
  <c r="AR42" i="41"/>
  <c r="AR43" i="41"/>
  <c r="AR44" i="41"/>
  <c r="AR45" i="41"/>
  <c r="AR46" i="41"/>
  <c r="AR47" i="41"/>
  <c r="AR48" i="41"/>
  <c r="AR49" i="41"/>
  <c r="AR50" i="41"/>
  <c r="AR51" i="41"/>
  <c r="AR52" i="41"/>
  <c r="AR53" i="41"/>
  <c r="AR54" i="41"/>
  <c r="AR55" i="41"/>
  <c r="AR56" i="41"/>
  <c r="AR57" i="41"/>
  <c r="AR58" i="41"/>
  <c r="AR59" i="41"/>
  <c r="AR60" i="41"/>
  <c r="AR61" i="41"/>
  <c r="AP41" i="41"/>
  <c r="AP42" i="41"/>
  <c r="AP43" i="41"/>
  <c r="AP44" i="41"/>
  <c r="AP45" i="41"/>
  <c r="AP46" i="41"/>
  <c r="AP47" i="41"/>
  <c r="AP48" i="41"/>
  <c r="AP49" i="41"/>
  <c r="AP50" i="41"/>
  <c r="AP51" i="41"/>
  <c r="AP52" i="41"/>
  <c r="AP53" i="41"/>
  <c r="AP54" i="41"/>
  <c r="AP55" i="41"/>
  <c r="AP56" i="41"/>
  <c r="AP57" i="41"/>
  <c r="AP58" i="41"/>
  <c r="AP59" i="41"/>
  <c r="AP60" i="41"/>
  <c r="AP61" i="41"/>
  <c r="AQ41" i="41"/>
  <c r="AQ42" i="41"/>
  <c r="AQ43" i="41"/>
  <c r="AQ44" i="41"/>
  <c r="AQ45" i="41"/>
  <c r="AQ46" i="41"/>
  <c r="AQ47" i="41"/>
  <c r="AQ48" i="41"/>
  <c r="AQ49" i="41"/>
  <c r="AQ50" i="41"/>
  <c r="AQ51" i="41"/>
  <c r="AQ52" i="41"/>
  <c r="AQ53" i="41"/>
  <c r="AQ54" i="41"/>
  <c r="AQ55" i="41"/>
  <c r="AQ56" i="41"/>
  <c r="AQ57" i="41"/>
  <c r="AQ58" i="41"/>
  <c r="AQ59" i="41"/>
  <c r="AQ60" i="41"/>
  <c r="AQ61" i="41"/>
  <c r="AE41" i="41"/>
  <c r="AE42" i="41"/>
  <c r="AE43" i="41"/>
  <c r="AE44" i="41"/>
  <c r="AE45" i="41"/>
  <c r="AE46" i="41"/>
  <c r="AE47" i="41"/>
  <c r="AE48" i="41"/>
  <c r="AE49" i="41"/>
  <c r="AE50" i="41"/>
  <c r="AE51" i="41"/>
  <c r="AE52" i="41"/>
  <c r="AE53" i="41"/>
  <c r="AE54" i="41"/>
  <c r="AE55" i="41"/>
  <c r="AE56" i="41"/>
  <c r="AE57" i="41"/>
  <c r="AE58" i="41"/>
  <c r="AE59" i="41"/>
  <c r="AE60" i="41"/>
  <c r="AE61" i="41"/>
  <c r="AC41" i="41"/>
  <c r="AC42" i="41"/>
  <c r="AC43" i="41"/>
  <c r="AC44" i="41"/>
  <c r="AC45" i="41"/>
  <c r="AC46" i="41"/>
  <c r="AC47" i="41"/>
  <c r="AC48" i="41"/>
  <c r="AC49" i="41"/>
  <c r="AC50" i="41"/>
  <c r="AC51" i="41"/>
  <c r="AC52" i="41"/>
  <c r="AC53" i="41"/>
  <c r="AC54" i="41"/>
  <c r="AC55" i="41"/>
  <c r="AC56" i="41"/>
  <c r="AC57" i="41"/>
  <c r="AC58" i="41"/>
  <c r="AC59" i="41"/>
  <c r="AC60" i="41"/>
  <c r="AC61" i="41"/>
  <c r="AB41" i="41"/>
  <c r="AD41" i="41" s="1"/>
  <c r="AB42" i="41"/>
  <c r="AD42" i="41" s="1"/>
  <c r="AB43" i="41"/>
  <c r="AD43" i="41" s="1"/>
  <c r="AB44" i="41"/>
  <c r="AD44" i="41" s="1"/>
  <c r="AB45" i="41"/>
  <c r="AD45" i="41" s="1"/>
  <c r="AB46" i="41"/>
  <c r="AD46" i="41" s="1"/>
  <c r="AB47" i="41"/>
  <c r="AD47" i="41" s="1"/>
  <c r="AB48" i="41"/>
  <c r="AD48" i="41" s="1"/>
  <c r="AB49" i="41"/>
  <c r="AD49" i="41" s="1"/>
  <c r="AB50" i="41"/>
  <c r="AD50" i="41" s="1"/>
  <c r="AB51" i="41"/>
  <c r="AD51" i="41" s="1"/>
  <c r="AB52" i="41"/>
  <c r="AD52" i="41" s="1"/>
  <c r="AB53" i="41"/>
  <c r="AD53" i="41" s="1"/>
  <c r="AB54" i="41"/>
  <c r="AD54" i="41" s="1"/>
  <c r="AB55" i="41"/>
  <c r="AD55" i="41" s="1"/>
  <c r="AB56" i="41"/>
  <c r="AD56" i="41" s="1"/>
  <c r="AB57" i="41"/>
  <c r="AD57" i="41" s="1"/>
  <c r="AB58" i="41"/>
  <c r="AD58" i="41" s="1"/>
  <c r="AB59" i="41"/>
  <c r="AD59" i="41" s="1"/>
  <c r="AB60" i="41"/>
  <c r="AD60" i="41" s="1"/>
  <c r="AB61" i="41"/>
  <c r="AD61" i="41" s="1"/>
  <c r="Z41" i="41"/>
  <c r="Z42" i="41"/>
  <c r="Z43" i="41"/>
  <c r="Z44" i="41"/>
  <c r="Z45" i="41"/>
  <c r="Z46" i="41"/>
  <c r="Z47" i="41"/>
  <c r="Z48" i="41"/>
  <c r="Z49" i="41"/>
  <c r="Z50" i="41"/>
  <c r="Z51" i="41"/>
  <c r="Z52" i="41"/>
  <c r="Z53" i="41"/>
  <c r="Z54" i="41"/>
  <c r="Z55" i="41"/>
  <c r="Z56" i="41"/>
  <c r="Z57" i="41"/>
  <c r="Z58" i="41"/>
  <c r="Z59" i="41"/>
  <c r="Z60" i="41"/>
  <c r="Z61" i="41"/>
  <c r="X41" i="41"/>
  <c r="X42" i="41"/>
  <c r="X43" i="41"/>
  <c r="X44" i="41"/>
  <c r="X45" i="41"/>
  <c r="X46" i="41"/>
  <c r="X47" i="41"/>
  <c r="X48" i="41"/>
  <c r="X49" i="41"/>
  <c r="X50" i="41"/>
  <c r="X51" i="41"/>
  <c r="X52" i="41"/>
  <c r="X53" i="41"/>
  <c r="X54" i="41"/>
  <c r="X55" i="41"/>
  <c r="X56" i="41"/>
  <c r="X57" i="41"/>
  <c r="X58" i="41"/>
  <c r="X59" i="41"/>
  <c r="X60" i="41"/>
  <c r="X61" i="41"/>
  <c r="AR16" i="41"/>
  <c r="AR17" i="41"/>
  <c r="AR18" i="41"/>
  <c r="AR19" i="41"/>
  <c r="AR20" i="41"/>
  <c r="AR21" i="41"/>
  <c r="AR22" i="41"/>
  <c r="AR23" i="41"/>
  <c r="AR24" i="41"/>
  <c r="AR25" i="41"/>
  <c r="AR26" i="41"/>
  <c r="AR27" i="41"/>
  <c r="AR28" i="41"/>
  <c r="AR29" i="41"/>
  <c r="AR30" i="41"/>
  <c r="AR31" i="41"/>
  <c r="AR32" i="41"/>
  <c r="AR33" i="41"/>
  <c r="AR34" i="41"/>
  <c r="AR35" i="41"/>
  <c r="AP16" i="41"/>
  <c r="AP17" i="41"/>
  <c r="AP18" i="41"/>
  <c r="AP19" i="41"/>
  <c r="AP20" i="41"/>
  <c r="AP21" i="41"/>
  <c r="AP22" i="41"/>
  <c r="AP23" i="41"/>
  <c r="AP24" i="41"/>
  <c r="AP25" i="41"/>
  <c r="AP26" i="41"/>
  <c r="AP27" i="41"/>
  <c r="AP28" i="41"/>
  <c r="AP29" i="41"/>
  <c r="AP30" i="41"/>
  <c r="AP31" i="41"/>
  <c r="AP32" i="41"/>
  <c r="AP33" i="41"/>
  <c r="AP34" i="41"/>
  <c r="AP35" i="41"/>
  <c r="AQ16" i="41"/>
  <c r="AQ17" i="41"/>
  <c r="AQ18" i="41"/>
  <c r="AQ19" i="41"/>
  <c r="AQ20" i="41"/>
  <c r="AQ21" i="41"/>
  <c r="AQ22" i="41"/>
  <c r="AQ23" i="41"/>
  <c r="AQ24" i="41"/>
  <c r="AQ25" i="41"/>
  <c r="AQ26" i="41"/>
  <c r="AQ27" i="41"/>
  <c r="AQ28" i="41"/>
  <c r="AQ29" i="41"/>
  <c r="AQ30" i="41"/>
  <c r="AQ31" i="41"/>
  <c r="AQ32" i="41"/>
  <c r="AQ33" i="41"/>
  <c r="AQ34" i="41"/>
  <c r="AQ35" i="41"/>
  <c r="AE16" i="41"/>
  <c r="AE17" i="41"/>
  <c r="AE18" i="41"/>
  <c r="AE19" i="41"/>
  <c r="AE20" i="41"/>
  <c r="AE21" i="41"/>
  <c r="AE22" i="41"/>
  <c r="AE23" i="41"/>
  <c r="AE24" i="41"/>
  <c r="AE25" i="41"/>
  <c r="AE26" i="41"/>
  <c r="AE27" i="41"/>
  <c r="AE28" i="41"/>
  <c r="AE29" i="41"/>
  <c r="AE30" i="41"/>
  <c r="AE31" i="41"/>
  <c r="AE32" i="41"/>
  <c r="AE33" i="41"/>
  <c r="AE34" i="41"/>
  <c r="AE35" i="41"/>
  <c r="AC16" i="41"/>
  <c r="AC17" i="41"/>
  <c r="AC18" i="41"/>
  <c r="AC19" i="41"/>
  <c r="AC20" i="41"/>
  <c r="AC21" i="41"/>
  <c r="AC22" i="41"/>
  <c r="AC23" i="41"/>
  <c r="AC24" i="41"/>
  <c r="AC25" i="41"/>
  <c r="AC26" i="41"/>
  <c r="AC27" i="41"/>
  <c r="AC28" i="41"/>
  <c r="AC29" i="41"/>
  <c r="AC30" i="41"/>
  <c r="AC31" i="41"/>
  <c r="AC32" i="41"/>
  <c r="AC33" i="41"/>
  <c r="AC34" i="41"/>
  <c r="AC35" i="41"/>
  <c r="AB16" i="41"/>
  <c r="AD16" i="41" s="1"/>
  <c r="AB17" i="41"/>
  <c r="AD17" i="41" s="1"/>
  <c r="AB18" i="41"/>
  <c r="AD18" i="41" s="1"/>
  <c r="AB19" i="41"/>
  <c r="AD19" i="41" s="1"/>
  <c r="AB20" i="41"/>
  <c r="AD20" i="41" s="1"/>
  <c r="AB21" i="41"/>
  <c r="AD21" i="41" s="1"/>
  <c r="AB22" i="41"/>
  <c r="AD22" i="41" s="1"/>
  <c r="AB23" i="41"/>
  <c r="AD23" i="41" s="1"/>
  <c r="AB24" i="41"/>
  <c r="AD24" i="41" s="1"/>
  <c r="AB25" i="41"/>
  <c r="AD25" i="41" s="1"/>
  <c r="AB26" i="41"/>
  <c r="AD26" i="41" s="1"/>
  <c r="AB27" i="41"/>
  <c r="AD27" i="41" s="1"/>
  <c r="AB28" i="41"/>
  <c r="AD28" i="41" s="1"/>
  <c r="AB29" i="41"/>
  <c r="AD29" i="41" s="1"/>
  <c r="AB30" i="41"/>
  <c r="AD30" i="41" s="1"/>
  <c r="AB31" i="41"/>
  <c r="AD31" i="41" s="1"/>
  <c r="AB32" i="41"/>
  <c r="AD32" i="41" s="1"/>
  <c r="AB33" i="41"/>
  <c r="AD33" i="41" s="1"/>
  <c r="AB34" i="41"/>
  <c r="AD34" i="41" s="1"/>
  <c r="AB35" i="41"/>
  <c r="AD35" i="41" s="1"/>
  <c r="Z16" i="41"/>
  <c r="Z17" i="41"/>
  <c r="Z18" i="41"/>
  <c r="Z19" i="41"/>
  <c r="Z20" i="41"/>
  <c r="Z21" i="41"/>
  <c r="Z22" i="41"/>
  <c r="Z23" i="41"/>
  <c r="Z24" i="41"/>
  <c r="Z25" i="41"/>
  <c r="Z26" i="41"/>
  <c r="Z27" i="41"/>
  <c r="Z28" i="41"/>
  <c r="Z29" i="41"/>
  <c r="Z30" i="41"/>
  <c r="Z31" i="41"/>
  <c r="Z32" i="41"/>
  <c r="Z33" i="41"/>
  <c r="Z34" i="41"/>
  <c r="Z35" i="41"/>
  <c r="X16" i="41"/>
  <c r="T16" i="41" s="1"/>
  <c r="AA16" i="41" s="1" a="1"/>
  <c r="AA16" i="41" s="1"/>
  <c r="X17" i="41"/>
  <c r="T17" i="41" s="1"/>
  <c r="AA17" i="41" s="1" a="1"/>
  <c r="AA17" i="41" s="1"/>
  <c r="X18" i="41"/>
  <c r="T18" i="41" s="1"/>
  <c r="AA18" i="41" s="1" a="1"/>
  <c r="AA18" i="41" s="1"/>
  <c r="X19" i="41"/>
  <c r="T19" i="41" s="1"/>
  <c r="AA19" i="41" s="1" a="1"/>
  <c r="AA19" i="41" s="1"/>
  <c r="X20" i="41"/>
  <c r="T20" i="41" s="1"/>
  <c r="AA20" i="41" s="1" a="1"/>
  <c r="AA20" i="41" s="1"/>
  <c r="X21" i="41"/>
  <c r="T21" i="41" s="1"/>
  <c r="AA21" i="41" s="1" a="1"/>
  <c r="AA21" i="41" s="1"/>
  <c r="X22" i="41"/>
  <c r="T22" i="41" s="1"/>
  <c r="AA22" i="41" s="1" a="1"/>
  <c r="AA22" i="41" s="1"/>
  <c r="X23" i="41"/>
  <c r="T23" i="41" s="1"/>
  <c r="AA23" i="41" s="1" a="1"/>
  <c r="AA23" i="41" s="1"/>
  <c r="X24" i="41"/>
  <c r="T24" i="41" s="1"/>
  <c r="AA24" i="41" s="1" a="1"/>
  <c r="AA24" i="41" s="1"/>
  <c r="X25" i="41"/>
  <c r="T25" i="41" s="1"/>
  <c r="AA25" i="41" s="1" a="1"/>
  <c r="AA25" i="41" s="1"/>
  <c r="X26" i="41"/>
  <c r="T26" i="41" s="1"/>
  <c r="AA26" i="41" s="1" a="1"/>
  <c r="AA26" i="41" s="1"/>
  <c r="X27" i="41"/>
  <c r="T27" i="41" s="1"/>
  <c r="AA27" i="41" s="1" a="1"/>
  <c r="AA27" i="41" s="1"/>
  <c r="X28" i="41"/>
  <c r="T28" i="41" s="1"/>
  <c r="X29" i="41"/>
  <c r="T29" i="41" s="1"/>
  <c r="AA29" i="41" s="1" a="1"/>
  <c r="AA29" i="41" s="1"/>
  <c r="X30" i="41"/>
  <c r="T30" i="41" s="1"/>
  <c r="AA30" i="41" s="1" a="1"/>
  <c r="AA30" i="41" s="1"/>
  <c r="X31" i="41"/>
  <c r="T31" i="41" s="1"/>
  <c r="AA31" i="41" s="1" a="1"/>
  <c r="AA31" i="41" s="1"/>
  <c r="X32" i="41"/>
  <c r="T32" i="41" s="1"/>
  <c r="AA32" i="41" s="1" a="1"/>
  <c r="AA32" i="41" s="1"/>
  <c r="X33" i="41"/>
  <c r="T33" i="41" s="1"/>
  <c r="AA33" i="41" s="1" a="1"/>
  <c r="AA33" i="41" s="1"/>
  <c r="X34" i="41"/>
  <c r="T34" i="41" s="1"/>
  <c r="AA34" i="41" s="1" a="1"/>
  <c r="AA34" i="41" s="1"/>
  <c r="X35" i="41"/>
  <c r="T35" i="41" s="1"/>
  <c r="AA35" i="41" s="1" a="1"/>
  <c r="AA35" i="41" s="1"/>
  <c r="T131" i="40"/>
  <c r="AB15" i="40"/>
  <c r="AB16" i="40"/>
  <c r="AB17" i="40"/>
  <c r="AB18" i="40"/>
  <c r="AB19" i="40"/>
  <c r="AB20" i="40"/>
  <c r="AB21" i="40"/>
  <c r="AB22" i="40"/>
  <c r="AB23" i="40"/>
  <c r="AB24" i="40"/>
  <c r="AB25" i="40"/>
  <c r="AB26" i="40"/>
  <c r="AB27" i="40"/>
  <c r="AB28" i="40"/>
  <c r="AB29" i="40"/>
  <c r="AB30" i="40"/>
  <c r="AB31" i="40"/>
  <c r="AB32" i="40"/>
  <c r="AB33" i="40"/>
  <c r="AB34" i="40"/>
  <c r="AB35" i="40"/>
  <c r="AB36" i="40"/>
  <c r="AB37" i="40"/>
  <c r="AB38" i="40"/>
  <c r="AB39" i="40"/>
  <c r="AB40" i="40"/>
  <c r="AB41" i="40"/>
  <c r="AB42" i="40"/>
  <c r="AB43" i="40"/>
  <c r="AB44" i="40"/>
  <c r="AB45" i="40"/>
  <c r="AB46" i="40"/>
  <c r="AB47" i="40"/>
  <c r="AB48" i="40"/>
  <c r="AB49" i="40"/>
  <c r="AB50" i="40"/>
  <c r="AB51" i="40"/>
  <c r="AB52" i="40"/>
  <c r="AB53" i="40"/>
  <c r="AB54" i="40"/>
  <c r="AB55" i="40"/>
  <c r="AB56" i="40"/>
  <c r="AB57" i="40"/>
  <c r="AB58" i="40"/>
  <c r="AB59" i="40"/>
  <c r="AB60" i="40"/>
  <c r="AB61" i="40"/>
  <c r="AB62" i="40"/>
  <c r="AB63" i="40"/>
  <c r="AB64" i="40"/>
  <c r="AB65" i="40"/>
  <c r="AB66" i="40"/>
  <c r="AB67" i="40"/>
  <c r="AB68" i="40"/>
  <c r="AB69" i="40"/>
  <c r="AB70" i="40"/>
  <c r="AB71" i="40"/>
  <c r="AB72" i="40"/>
  <c r="AB73" i="40"/>
  <c r="AB74" i="40"/>
  <c r="AB75" i="40"/>
  <c r="AB76" i="40"/>
  <c r="AB77" i="40"/>
  <c r="AB78" i="40"/>
  <c r="AB79" i="40"/>
  <c r="AB80" i="40"/>
  <c r="AB81" i="40"/>
  <c r="AB82" i="40"/>
  <c r="AB83" i="40"/>
  <c r="AB84" i="40"/>
  <c r="AB85" i="40"/>
  <c r="AB86" i="40"/>
  <c r="AB87" i="40"/>
  <c r="AB88" i="40"/>
  <c r="AB89" i="40"/>
  <c r="AB90" i="40"/>
  <c r="AB91" i="40"/>
  <c r="AB92" i="40"/>
  <c r="AB93" i="40"/>
  <c r="AB94" i="40"/>
  <c r="AB95" i="40"/>
  <c r="AB96" i="40"/>
  <c r="AB97" i="40"/>
  <c r="AB98" i="40"/>
  <c r="AB99" i="40"/>
  <c r="AB100" i="40"/>
  <c r="AB101" i="40"/>
  <c r="AB102" i="40"/>
  <c r="AB103" i="40"/>
  <c r="AB104" i="40"/>
  <c r="AB105" i="40"/>
  <c r="AB106" i="40"/>
  <c r="AB107" i="40"/>
  <c r="AB108" i="40"/>
  <c r="AB109" i="40"/>
  <c r="AB110" i="40"/>
  <c r="AB111" i="40"/>
  <c r="AB112" i="40"/>
  <c r="AB113" i="40"/>
  <c r="AB114" i="40"/>
  <c r="AB115" i="40"/>
  <c r="AB116" i="40"/>
  <c r="AB117" i="40"/>
  <c r="AB118" i="40"/>
  <c r="AB119" i="40"/>
  <c r="AB120" i="40"/>
  <c r="AB121" i="40"/>
  <c r="AB122" i="40"/>
  <c r="AB123" i="40"/>
  <c r="AB124" i="40"/>
  <c r="AB125" i="40"/>
  <c r="AB126" i="40"/>
  <c r="AB127" i="40"/>
  <c r="AB128" i="40"/>
  <c r="AB129" i="40"/>
  <c r="AB130" i="40"/>
  <c r="AB131" i="40"/>
  <c r="AB132" i="40"/>
  <c r="AB133" i="40"/>
  <c r="AB134" i="40"/>
  <c r="AB135" i="40"/>
  <c r="AB136" i="40"/>
  <c r="AB137" i="40"/>
  <c r="AB138" i="40"/>
  <c r="AB139" i="40"/>
  <c r="AB140" i="40"/>
  <c r="AB141" i="40"/>
  <c r="AB142" i="40"/>
  <c r="AB143" i="40"/>
  <c r="AB144" i="40"/>
  <c r="AB145" i="40"/>
  <c r="AB146" i="40"/>
  <c r="AB147" i="40"/>
  <c r="AB148" i="40"/>
  <c r="AB149" i="40"/>
  <c r="AB150" i="40"/>
  <c r="AB151" i="40"/>
  <c r="AB152" i="40"/>
  <c r="AB153" i="40"/>
  <c r="AB154" i="40"/>
  <c r="AB155" i="40"/>
  <c r="AB156" i="40"/>
  <c r="AB157" i="40"/>
  <c r="AB158" i="40"/>
  <c r="AB159" i="40"/>
  <c r="AB160" i="40"/>
  <c r="AB161" i="40"/>
  <c r="AB162" i="40"/>
  <c r="AB163" i="40"/>
  <c r="AB164" i="40"/>
  <c r="AB165" i="40"/>
  <c r="AB166" i="40"/>
  <c r="AB167" i="40"/>
  <c r="AB168" i="40"/>
  <c r="AB169" i="40"/>
  <c r="AB170" i="40"/>
  <c r="AB171" i="40"/>
  <c r="AB172" i="40"/>
  <c r="AB173" i="40"/>
  <c r="AB174" i="40"/>
  <c r="AB175" i="40"/>
  <c r="AB176" i="40"/>
  <c r="AB177" i="40"/>
  <c r="AB178" i="40"/>
  <c r="AB179" i="40"/>
  <c r="AB180" i="40"/>
  <c r="AB181" i="40"/>
  <c r="AB182" i="40"/>
  <c r="AB183" i="40"/>
  <c r="AB184" i="40"/>
  <c r="AB185" i="40"/>
  <c r="AB186" i="40"/>
  <c r="AB187" i="40"/>
  <c r="AB188" i="40"/>
  <c r="AB189" i="40"/>
  <c r="AB190" i="40"/>
  <c r="AB191" i="40"/>
  <c r="AB192" i="40"/>
  <c r="AB193" i="40"/>
  <c r="AB194" i="40"/>
  <c r="AB195" i="40"/>
  <c r="AB196" i="40"/>
  <c r="AB197" i="40"/>
  <c r="AB198" i="40"/>
  <c r="AB199" i="40"/>
  <c r="AB200" i="40"/>
  <c r="AB201" i="40"/>
  <c r="AB202" i="40"/>
  <c r="AB203" i="40"/>
  <c r="AB204" i="40"/>
  <c r="AB205" i="40"/>
  <c r="AB206" i="40"/>
  <c r="AB207" i="40"/>
  <c r="AB208" i="40"/>
  <c r="AB209" i="40"/>
  <c r="AB210" i="40"/>
  <c r="AB211" i="40"/>
  <c r="AB212" i="40"/>
  <c r="AB213" i="40"/>
  <c r="AB214" i="40"/>
  <c r="AB215" i="40"/>
  <c r="AB216" i="40"/>
  <c r="AB217" i="40"/>
  <c r="AB218" i="40"/>
  <c r="AB219" i="40"/>
  <c r="AB220" i="40"/>
  <c r="AB221" i="40"/>
  <c r="AB222" i="40"/>
  <c r="AB223" i="40"/>
  <c r="AB224" i="40"/>
  <c r="AB225" i="40"/>
  <c r="AB226" i="40"/>
  <c r="AB227" i="40"/>
  <c r="AB228" i="40"/>
  <c r="AB229" i="40"/>
  <c r="AB230" i="40"/>
  <c r="AB231" i="40"/>
  <c r="AB232" i="40"/>
  <c r="AB233" i="40"/>
  <c r="AB234" i="40"/>
  <c r="AB235" i="40"/>
  <c r="AB236" i="40"/>
  <c r="AB237" i="40"/>
  <c r="AB238" i="40"/>
  <c r="AB239" i="40"/>
  <c r="AB240" i="40"/>
  <c r="AB241" i="40"/>
  <c r="AB242" i="40"/>
  <c r="AB243" i="40"/>
  <c r="AB244" i="40"/>
  <c r="AB245" i="40"/>
  <c r="AB246" i="40"/>
  <c r="AB247" i="40"/>
  <c r="AB248" i="40"/>
  <c r="AB249" i="40"/>
  <c r="AB250" i="40"/>
  <c r="AB251" i="40"/>
  <c r="AB252" i="40"/>
  <c r="AB253" i="40"/>
  <c r="AB254" i="40"/>
  <c r="AB255" i="40"/>
  <c r="AB256" i="40"/>
  <c r="AB257" i="40"/>
  <c r="AB258" i="40"/>
  <c r="AB259" i="40"/>
  <c r="AB260" i="40"/>
  <c r="AB261" i="40"/>
  <c r="AB262" i="40"/>
  <c r="AB263" i="40"/>
  <c r="AB264" i="40"/>
  <c r="AB265" i="40"/>
  <c r="AB266" i="40"/>
  <c r="AB267" i="40"/>
  <c r="AB268" i="40"/>
  <c r="AB269" i="40"/>
  <c r="AB270" i="40"/>
  <c r="AB271" i="40"/>
  <c r="AB272" i="40"/>
  <c r="AB273" i="40"/>
  <c r="AB274" i="40"/>
  <c r="AB275" i="40"/>
  <c r="AB276" i="40"/>
  <c r="AB277" i="40"/>
  <c r="AB278" i="40"/>
  <c r="AB279" i="40"/>
  <c r="AB280" i="40"/>
  <c r="AB281" i="40"/>
  <c r="AB282" i="40"/>
  <c r="AB283" i="40"/>
  <c r="AB284" i="40"/>
  <c r="AB285" i="40"/>
  <c r="AB286" i="40"/>
  <c r="AB287" i="40"/>
  <c r="AB288" i="40"/>
  <c r="AB289" i="40"/>
  <c r="AB290" i="40"/>
  <c r="AB291" i="40"/>
  <c r="AB292" i="40"/>
  <c r="AB293" i="40"/>
  <c r="AB294" i="40"/>
  <c r="AB295" i="40"/>
  <c r="AB296" i="40"/>
  <c r="AB297" i="40"/>
  <c r="AB298" i="40"/>
  <c r="AB299" i="40"/>
  <c r="AB300" i="40"/>
  <c r="AB301" i="40"/>
  <c r="AB302" i="40"/>
  <c r="AB303" i="40"/>
  <c r="AB304" i="40"/>
  <c r="AB305" i="40"/>
  <c r="AB306" i="40"/>
  <c r="AB307" i="40"/>
  <c r="AB308" i="40"/>
  <c r="AB309" i="40"/>
  <c r="AB310" i="40"/>
  <c r="AB311" i="40"/>
  <c r="AB312" i="40"/>
  <c r="AB313" i="40"/>
  <c r="AB314" i="40"/>
  <c r="AB315" i="40"/>
  <c r="AB316" i="40"/>
  <c r="AB317" i="40"/>
  <c r="AB318" i="40"/>
  <c r="AB319" i="40"/>
  <c r="AB320" i="40"/>
  <c r="AB321" i="40"/>
  <c r="AB322" i="40"/>
  <c r="AB323" i="40"/>
  <c r="AB324" i="40"/>
  <c r="AB325" i="40"/>
  <c r="AB326" i="40"/>
  <c r="AB327" i="40"/>
  <c r="AB328" i="40"/>
  <c r="AB329" i="40"/>
  <c r="AB330" i="40"/>
  <c r="AB331" i="40"/>
  <c r="AB332" i="40"/>
  <c r="AB333" i="40"/>
  <c r="AB334" i="40"/>
  <c r="AB335" i="40"/>
  <c r="AB336" i="40"/>
  <c r="AB337" i="40"/>
  <c r="AB338" i="40"/>
  <c r="AB339" i="40"/>
  <c r="AB340" i="40"/>
  <c r="AB341" i="40"/>
  <c r="AB342" i="40"/>
  <c r="AB343" i="40"/>
  <c r="AB344" i="40"/>
  <c r="AB345" i="40"/>
  <c r="AB346" i="40"/>
  <c r="AB347" i="40"/>
  <c r="AB348" i="40"/>
  <c r="AB349" i="40"/>
  <c r="AB350" i="40"/>
  <c r="AB351" i="40"/>
  <c r="AB352" i="40"/>
  <c r="AB353" i="40"/>
  <c r="AB354" i="40"/>
  <c r="AB355" i="40"/>
  <c r="AB356" i="40"/>
  <c r="AB357" i="40"/>
  <c r="AB358" i="40"/>
  <c r="AB359" i="40"/>
  <c r="AB360" i="40"/>
  <c r="AB361" i="40"/>
  <c r="AB362" i="40"/>
  <c r="AB363" i="40"/>
  <c r="AB364" i="40"/>
  <c r="AB365" i="40"/>
  <c r="AB366" i="40"/>
  <c r="AB367" i="40"/>
  <c r="AB368" i="40"/>
  <c r="AB369" i="40"/>
  <c r="AB370" i="40"/>
  <c r="AB371" i="40"/>
  <c r="AB372" i="40"/>
  <c r="AB373" i="40"/>
  <c r="AB374" i="40"/>
  <c r="AB375" i="40"/>
  <c r="AB376" i="40"/>
  <c r="AB377" i="40"/>
  <c r="AB378" i="40"/>
  <c r="AB379" i="40"/>
  <c r="AB380" i="40"/>
  <c r="AB381" i="40"/>
  <c r="AB382" i="40"/>
  <c r="AB383" i="40"/>
  <c r="AB384" i="40"/>
  <c r="AB385" i="40"/>
  <c r="AB386" i="40"/>
  <c r="AB387" i="40"/>
  <c r="AB388" i="40"/>
  <c r="AB389" i="40"/>
  <c r="AB390" i="40"/>
  <c r="AB391" i="40"/>
  <c r="AB392" i="40"/>
  <c r="AB393" i="40"/>
  <c r="AB394" i="40"/>
  <c r="AB395" i="40"/>
  <c r="AB396" i="40"/>
  <c r="AB397" i="40"/>
  <c r="AB398" i="40"/>
  <c r="AB399" i="40"/>
  <c r="AB400" i="40"/>
  <c r="AB401" i="40"/>
  <c r="AB402" i="40"/>
  <c r="AB403" i="40"/>
  <c r="AB404" i="40"/>
  <c r="AB405" i="40"/>
  <c r="AB406" i="40"/>
  <c r="AB407" i="40"/>
  <c r="AB408" i="40"/>
  <c r="AB409" i="40"/>
  <c r="AB410" i="40"/>
  <c r="AB411" i="40"/>
  <c r="AB412" i="40"/>
  <c r="AB413" i="40"/>
  <c r="AB414" i="40"/>
  <c r="AB415" i="40"/>
  <c r="AB416" i="40"/>
  <c r="AB417" i="40"/>
  <c r="AB418" i="40"/>
  <c r="AB419" i="40"/>
  <c r="AB420" i="40"/>
  <c r="AB421" i="40"/>
  <c r="AB422" i="40"/>
  <c r="AB423" i="40"/>
  <c r="AB424" i="40"/>
  <c r="AB425" i="40"/>
  <c r="AB426" i="40"/>
  <c r="AB427" i="40"/>
  <c r="AB428" i="40"/>
  <c r="AB429" i="40"/>
  <c r="AB430" i="40"/>
  <c r="AB431" i="40"/>
  <c r="AB432" i="40"/>
  <c r="AB433" i="40"/>
  <c r="AB434" i="40"/>
  <c r="AB435" i="40"/>
  <c r="AB436" i="40"/>
  <c r="AB437" i="40"/>
  <c r="AB438" i="40"/>
  <c r="AB439" i="40"/>
  <c r="AB440" i="40"/>
  <c r="AB441" i="40"/>
  <c r="AB442" i="40"/>
  <c r="AB443" i="40"/>
  <c r="AB444" i="40"/>
  <c r="AB445" i="40"/>
  <c r="AB446" i="40"/>
  <c r="AB447" i="40"/>
  <c r="AB448" i="40"/>
  <c r="AB449" i="40"/>
  <c r="AB450" i="40"/>
  <c r="AB451" i="40"/>
  <c r="AB452" i="40"/>
  <c r="AB453" i="40"/>
  <c r="AB454" i="40"/>
  <c r="AB455" i="40"/>
  <c r="AB456" i="40"/>
  <c r="AB457" i="40"/>
  <c r="AB458" i="40"/>
  <c r="AB459" i="40"/>
  <c r="AB460" i="40"/>
  <c r="AB461" i="40"/>
  <c r="AB462" i="40"/>
  <c r="AB463" i="40"/>
  <c r="AB464" i="40"/>
  <c r="AB465" i="40"/>
  <c r="AB466" i="40"/>
  <c r="AB467" i="40"/>
  <c r="AB468" i="40"/>
  <c r="AB469" i="40"/>
  <c r="AB470" i="40"/>
  <c r="AB471" i="40"/>
  <c r="AB472" i="40"/>
  <c r="AB473" i="40"/>
  <c r="AB474" i="40"/>
  <c r="AB475" i="40"/>
  <c r="AB476" i="40"/>
  <c r="AB477" i="40"/>
  <c r="AB478" i="40"/>
  <c r="AB479" i="40"/>
  <c r="AB480" i="40"/>
  <c r="AB481" i="40"/>
  <c r="AB482" i="40"/>
  <c r="AB483" i="40"/>
  <c r="AB484" i="40"/>
  <c r="AB485" i="40"/>
  <c r="AB486" i="40"/>
  <c r="AB487" i="40"/>
  <c r="AB488" i="40"/>
  <c r="AB489" i="40"/>
  <c r="AB490" i="40"/>
  <c r="AB491" i="40"/>
  <c r="AB492" i="40"/>
  <c r="AB493" i="40"/>
  <c r="AB494" i="40"/>
  <c r="AB495" i="40"/>
  <c r="AB496" i="40"/>
  <c r="AB497" i="40"/>
  <c r="AB498" i="40"/>
  <c r="AB499" i="40"/>
  <c r="AB500" i="40"/>
  <c r="AB501" i="40"/>
  <c r="AB502" i="40"/>
  <c r="AB503" i="40"/>
  <c r="AB504" i="40"/>
  <c r="AB505" i="40"/>
  <c r="AB506" i="40"/>
  <c r="AB507" i="40"/>
  <c r="AB508" i="40"/>
  <c r="AB509" i="40"/>
  <c r="AB510" i="40"/>
  <c r="AB511" i="40"/>
  <c r="AB512" i="40"/>
  <c r="AB513" i="40"/>
  <c r="AB514" i="40"/>
  <c r="Z15" i="40"/>
  <c r="Z16" i="40"/>
  <c r="Z17" i="40"/>
  <c r="Z18" i="40"/>
  <c r="Z19" i="40"/>
  <c r="Z20" i="40"/>
  <c r="Z21" i="40"/>
  <c r="Z22" i="40"/>
  <c r="Z23" i="40"/>
  <c r="Z24" i="40"/>
  <c r="Z25" i="40"/>
  <c r="Z26" i="40"/>
  <c r="Z27" i="40"/>
  <c r="Z28" i="40"/>
  <c r="Z29" i="40"/>
  <c r="Z30" i="40"/>
  <c r="Z31" i="40"/>
  <c r="Z32" i="40"/>
  <c r="Z33" i="40"/>
  <c r="Z34" i="40"/>
  <c r="Z35" i="40"/>
  <c r="Z36" i="40"/>
  <c r="Z37" i="40"/>
  <c r="Z38" i="40"/>
  <c r="Z39" i="40"/>
  <c r="Z40" i="40"/>
  <c r="Z41" i="40"/>
  <c r="Z42" i="40"/>
  <c r="Z43" i="40"/>
  <c r="Z44" i="40"/>
  <c r="Z45" i="40"/>
  <c r="Z46" i="40"/>
  <c r="Z47" i="40"/>
  <c r="Z48" i="40"/>
  <c r="Z49" i="40"/>
  <c r="Z50" i="40"/>
  <c r="Z51" i="40"/>
  <c r="Z52" i="40"/>
  <c r="Z53" i="40"/>
  <c r="Z54" i="40"/>
  <c r="Z55" i="40"/>
  <c r="Z56" i="40"/>
  <c r="Z57" i="40"/>
  <c r="Z58" i="40"/>
  <c r="Z59" i="40"/>
  <c r="Z60" i="40"/>
  <c r="Z61" i="40"/>
  <c r="Z62" i="40"/>
  <c r="Z63" i="40"/>
  <c r="Z64" i="40"/>
  <c r="Z65" i="40"/>
  <c r="Z66" i="40"/>
  <c r="Z67" i="40"/>
  <c r="Z68" i="40"/>
  <c r="Z69" i="40"/>
  <c r="Z70" i="40"/>
  <c r="Z71" i="40"/>
  <c r="Z72" i="40"/>
  <c r="Z73" i="40"/>
  <c r="Z74" i="40"/>
  <c r="Z75" i="40"/>
  <c r="Z76" i="40"/>
  <c r="Z77" i="40"/>
  <c r="Z78" i="40"/>
  <c r="Z79" i="40"/>
  <c r="Z80" i="40"/>
  <c r="Z81" i="40"/>
  <c r="Z82" i="40"/>
  <c r="Z83" i="40"/>
  <c r="Z84" i="40"/>
  <c r="Z85" i="40"/>
  <c r="Z86" i="40"/>
  <c r="Z87" i="40"/>
  <c r="Z88" i="40"/>
  <c r="Z89" i="40"/>
  <c r="Z90" i="40"/>
  <c r="Z91" i="40"/>
  <c r="Z92" i="40"/>
  <c r="Z93" i="40"/>
  <c r="Z94" i="40"/>
  <c r="Z95" i="40"/>
  <c r="Z96" i="40"/>
  <c r="Z97" i="40"/>
  <c r="Z98" i="40"/>
  <c r="Z99" i="40"/>
  <c r="Z100" i="40"/>
  <c r="Z101" i="40"/>
  <c r="Z102" i="40"/>
  <c r="Z103" i="40"/>
  <c r="Z104" i="40"/>
  <c r="Z105" i="40"/>
  <c r="Z106" i="40"/>
  <c r="Z107" i="40"/>
  <c r="Z108" i="40"/>
  <c r="Z109" i="40"/>
  <c r="Z110" i="40"/>
  <c r="Z111" i="40"/>
  <c r="Z112" i="40"/>
  <c r="Z113" i="40"/>
  <c r="Z114" i="40"/>
  <c r="Z115" i="40"/>
  <c r="Z116" i="40"/>
  <c r="Z117" i="40"/>
  <c r="Z118" i="40"/>
  <c r="Z119" i="40"/>
  <c r="Z120" i="40"/>
  <c r="Z121" i="40"/>
  <c r="Z122" i="40"/>
  <c r="Z123" i="40"/>
  <c r="Z124" i="40"/>
  <c r="Z125" i="40"/>
  <c r="Z126" i="40"/>
  <c r="Z127" i="40"/>
  <c r="Z128" i="40"/>
  <c r="Z129" i="40"/>
  <c r="Z130" i="40"/>
  <c r="Z131" i="40"/>
  <c r="Z132" i="40"/>
  <c r="Z133" i="40"/>
  <c r="Z134" i="40"/>
  <c r="Z135" i="40"/>
  <c r="Z136" i="40"/>
  <c r="Z137" i="40"/>
  <c r="Z138" i="40"/>
  <c r="Z139" i="40"/>
  <c r="Z140" i="40"/>
  <c r="Z141" i="40"/>
  <c r="Z142" i="40"/>
  <c r="Z143" i="40"/>
  <c r="Z144" i="40"/>
  <c r="Z145" i="40"/>
  <c r="Z146" i="40"/>
  <c r="Z147" i="40"/>
  <c r="Z148" i="40"/>
  <c r="Z149" i="40"/>
  <c r="Z150" i="40"/>
  <c r="Z151" i="40"/>
  <c r="Z152" i="40"/>
  <c r="Z153" i="40"/>
  <c r="Z154" i="40"/>
  <c r="Z155" i="40"/>
  <c r="Z156" i="40"/>
  <c r="Z157" i="40"/>
  <c r="Z158" i="40"/>
  <c r="Z159" i="40"/>
  <c r="Z160" i="40"/>
  <c r="Z161" i="40"/>
  <c r="Z162" i="40"/>
  <c r="Z163" i="40"/>
  <c r="Z164" i="40"/>
  <c r="Z165" i="40"/>
  <c r="Z166" i="40"/>
  <c r="Z167" i="40"/>
  <c r="Z168" i="40"/>
  <c r="Z169" i="40"/>
  <c r="Z170" i="40"/>
  <c r="Z171" i="40"/>
  <c r="Z172" i="40"/>
  <c r="Z173" i="40"/>
  <c r="Z174" i="40"/>
  <c r="Z175" i="40"/>
  <c r="Z176" i="40"/>
  <c r="Z177" i="40"/>
  <c r="Z178" i="40"/>
  <c r="Z179" i="40"/>
  <c r="Z180" i="40"/>
  <c r="Z181" i="40"/>
  <c r="Z182" i="40"/>
  <c r="Z183" i="40"/>
  <c r="Z184" i="40"/>
  <c r="Z185" i="40"/>
  <c r="Z186" i="40"/>
  <c r="Z187" i="40"/>
  <c r="Z188" i="40"/>
  <c r="Z189" i="40"/>
  <c r="Z190" i="40"/>
  <c r="Z191" i="40"/>
  <c r="Z192" i="40"/>
  <c r="Z193" i="40"/>
  <c r="Z194" i="40"/>
  <c r="Z195" i="40"/>
  <c r="Z196" i="40"/>
  <c r="Z197" i="40"/>
  <c r="Z198" i="40"/>
  <c r="Z199" i="40"/>
  <c r="Z200" i="40"/>
  <c r="Z201" i="40"/>
  <c r="Z202" i="40"/>
  <c r="Z203" i="40"/>
  <c r="Z204" i="40"/>
  <c r="Z205" i="40"/>
  <c r="Z206" i="40"/>
  <c r="Z207" i="40"/>
  <c r="Z208" i="40"/>
  <c r="Z209" i="40"/>
  <c r="Z210" i="40"/>
  <c r="Z211" i="40"/>
  <c r="Z212" i="40"/>
  <c r="Z213" i="40"/>
  <c r="Z214" i="40"/>
  <c r="Z215" i="40"/>
  <c r="Z216" i="40"/>
  <c r="Z217" i="40"/>
  <c r="Z218" i="40"/>
  <c r="Z219" i="40"/>
  <c r="Z220" i="40"/>
  <c r="Z221" i="40"/>
  <c r="Z222" i="40"/>
  <c r="Z223" i="40"/>
  <c r="Z224" i="40"/>
  <c r="Z225" i="40"/>
  <c r="Z226" i="40"/>
  <c r="Z227" i="40"/>
  <c r="Z228" i="40"/>
  <c r="Z229" i="40"/>
  <c r="Z230" i="40"/>
  <c r="Z231" i="40"/>
  <c r="Z232" i="40"/>
  <c r="Z233" i="40"/>
  <c r="Z234" i="40"/>
  <c r="Z235" i="40"/>
  <c r="Z236" i="40"/>
  <c r="Z237" i="40"/>
  <c r="Z238" i="40"/>
  <c r="Z239" i="40"/>
  <c r="Z240" i="40"/>
  <c r="Z241" i="40"/>
  <c r="Z242" i="40"/>
  <c r="Z243" i="40"/>
  <c r="Z244" i="40"/>
  <c r="Z245" i="40"/>
  <c r="Z246" i="40"/>
  <c r="Z247" i="40"/>
  <c r="Z248" i="40"/>
  <c r="Z249" i="40"/>
  <c r="Z250" i="40"/>
  <c r="Z251" i="40"/>
  <c r="Z252" i="40"/>
  <c r="Z253" i="40"/>
  <c r="Z254" i="40"/>
  <c r="Z255" i="40"/>
  <c r="Z256" i="40"/>
  <c r="Z257" i="40"/>
  <c r="Z258" i="40"/>
  <c r="Z259" i="40"/>
  <c r="Z260" i="40"/>
  <c r="Z261" i="40"/>
  <c r="Z262" i="40"/>
  <c r="Z263" i="40"/>
  <c r="Z264" i="40"/>
  <c r="Z265" i="40"/>
  <c r="Z266" i="40"/>
  <c r="Z267" i="40"/>
  <c r="Z268" i="40"/>
  <c r="Z269" i="40"/>
  <c r="Z270" i="40"/>
  <c r="Z271" i="40"/>
  <c r="Z272" i="40"/>
  <c r="Z273" i="40"/>
  <c r="Z274" i="40"/>
  <c r="Z275" i="40"/>
  <c r="Z276" i="40"/>
  <c r="Z277" i="40"/>
  <c r="Z278" i="40"/>
  <c r="Z279" i="40"/>
  <c r="Z280" i="40"/>
  <c r="Z281" i="40"/>
  <c r="Z282" i="40"/>
  <c r="Z283" i="40"/>
  <c r="Z284" i="40"/>
  <c r="Z285" i="40"/>
  <c r="Z286" i="40"/>
  <c r="Z287" i="40"/>
  <c r="Z288" i="40"/>
  <c r="Z289" i="40"/>
  <c r="Z290" i="40"/>
  <c r="Z291" i="40"/>
  <c r="Z292" i="40"/>
  <c r="Z293" i="40"/>
  <c r="Z294" i="40"/>
  <c r="Z295" i="40"/>
  <c r="Z296" i="40"/>
  <c r="Z297" i="40"/>
  <c r="Z298" i="40"/>
  <c r="Z299" i="40"/>
  <c r="Z300" i="40"/>
  <c r="Z301" i="40"/>
  <c r="Z302" i="40"/>
  <c r="Z303" i="40"/>
  <c r="Z304" i="40"/>
  <c r="Z305" i="40"/>
  <c r="Z306" i="40"/>
  <c r="Z307" i="40"/>
  <c r="Z308" i="40"/>
  <c r="Z309" i="40"/>
  <c r="Z310" i="40"/>
  <c r="Z311" i="40"/>
  <c r="Z312" i="40"/>
  <c r="Z313" i="40"/>
  <c r="Z314" i="40"/>
  <c r="Z315" i="40"/>
  <c r="Z316" i="40"/>
  <c r="Z317" i="40"/>
  <c r="Z318" i="40"/>
  <c r="Z319" i="40"/>
  <c r="Z320" i="40"/>
  <c r="Z321" i="40"/>
  <c r="Z322" i="40"/>
  <c r="Z323" i="40"/>
  <c r="Z324" i="40"/>
  <c r="Z325" i="40"/>
  <c r="Z326" i="40"/>
  <c r="Z327" i="40"/>
  <c r="Z328" i="40"/>
  <c r="Z329" i="40"/>
  <c r="Z330" i="40"/>
  <c r="Z331" i="40"/>
  <c r="Z332" i="40"/>
  <c r="Z333" i="40"/>
  <c r="Z334" i="40"/>
  <c r="Z335" i="40"/>
  <c r="Z336" i="40"/>
  <c r="Z337" i="40"/>
  <c r="Z338" i="40"/>
  <c r="Z339" i="40"/>
  <c r="Z340" i="40"/>
  <c r="Z341" i="40"/>
  <c r="Z342" i="40"/>
  <c r="Z343" i="40"/>
  <c r="Z344" i="40"/>
  <c r="Z345" i="40"/>
  <c r="Z346" i="40"/>
  <c r="Z347" i="40"/>
  <c r="Z348" i="40"/>
  <c r="Z349" i="40"/>
  <c r="Z350" i="40"/>
  <c r="Z351" i="40"/>
  <c r="Z352" i="40"/>
  <c r="Z353" i="40"/>
  <c r="Z354" i="40"/>
  <c r="Z355" i="40"/>
  <c r="Z356" i="40"/>
  <c r="Z357" i="40"/>
  <c r="Z358" i="40"/>
  <c r="Z359" i="40"/>
  <c r="Z360" i="40"/>
  <c r="Z361" i="40"/>
  <c r="Z362" i="40"/>
  <c r="Z363" i="40"/>
  <c r="Z364" i="40"/>
  <c r="Z365" i="40"/>
  <c r="Z366" i="40"/>
  <c r="Z367" i="40"/>
  <c r="Z368" i="40"/>
  <c r="Z369" i="40"/>
  <c r="Z370" i="40"/>
  <c r="Z371" i="40"/>
  <c r="Z372" i="40"/>
  <c r="Z373" i="40"/>
  <c r="Z374" i="40"/>
  <c r="Z375" i="40"/>
  <c r="Z376" i="40"/>
  <c r="Z377" i="40"/>
  <c r="Z378" i="40"/>
  <c r="Z379" i="40"/>
  <c r="Z380" i="40"/>
  <c r="Z381" i="40"/>
  <c r="Z382" i="40"/>
  <c r="Z383" i="40"/>
  <c r="Z384" i="40"/>
  <c r="Z385" i="40"/>
  <c r="Z386" i="40"/>
  <c r="Z387" i="40"/>
  <c r="Z388" i="40"/>
  <c r="Z389" i="40"/>
  <c r="Z390" i="40"/>
  <c r="Z391" i="40"/>
  <c r="Z392" i="40"/>
  <c r="Z393" i="40"/>
  <c r="Z394" i="40"/>
  <c r="Z395" i="40"/>
  <c r="Z396" i="40"/>
  <c r="Z397" i="40"/>
  <c r="Z398" i="40"/>
  <c r="Z399" i="40"/>
  <c r="Z400" i="40"/>
  <c r="Z401" i="40"/>
  <c r="Z402" i="40"/>
  <c r="Z403" i="40"/>
  <c r="Z404" i="40"/>
  <c r="Z405" i="40"/>
  <c r="Z406" i="40"/>
  <c r="Z407" i="40"/>
  <c r="Z408" i="40"/>
  <c r="Z409" i="40"/>
  <c r="Z410" i="40"/>
  <c r="Z411" i="40"/>
  <c r="Z412" i="40"/>
  <c r="Z413" i="40"/>
  <c r="Z414" i="40"/>
  <c r="Z415" i="40"/>
  <c r="Z416" i="40"/>
  <c r="Z417" i="40"/>
  <c r="Z418" i="40"/>
  <c r="Z419" i="40"/>
  <c r="Z420" i="40"/>
  <c r="Z421" i="40"/>
  <c r="Z422" i="40"/>
  <c r="Z423" i="40"/>
  <c r="Z424" i="40"/>
  <c r="Z425" i="40"/>
  <c r="Z426" i="40"/>
  <c r="Z427" i="40"/>
  <c r="Z428" i="40"/>
  <c r="Z429" i="40"/>
  <c r="Z430" i="40"/>
  <c r="Z431" i="40"/>
  <c r="Z432" i="40"/>
  <c r="Z433" i="40"/>
  <c r="Z434" i="40"/>
  <c r="Z435" i="40"/>
  <c r="Z436" i="40"/>
  <c r="Z437" i="40"/>
  <c r="Z438" i="40"/>
  <c r="Z439" i="40"/>
  <c r="Z440" i="40"/>
  <c r="Z441" i="40"/>
  <c r="Z442" i="40"/>
  <c r="Z443" i="40"/>
  <c r="Z444" i="40"/>
  <c r="Z445" i="40"/>
  <c r="Z446" i="40"/>
  <c r="Z447" i="40"/>
  <c r="Z448" i="40"/>
  <c r="Z449" i="40"/>
  <c r="Z450" i="40"/>
  <c r="Z451" i="40"/>
  <c r="Z452" i="40"/>
  <c r="Z453" i="40"/>
  <c r="Z454" i="40"/>
  <c r="Z455" i="40"/>
  <c r="Z456" i="40"/>
  <c r="Z457" i="40"/>
  <c r="Z458" i="40"/>
  <c r="Z459" i="40"/>
  <c r="Z460" i="40"/>
  <c r="Z461" i="40"/>
  <c r="Z462" i="40"/>
  <c r="Z463" i="40"/>
  <c r="Z464" i="40"/>
  <c r="Z465" i="40"/>
  <c r="Z466" i="40"/>
  <c r="Z467" i="40"/>
  <c r="Z468" i="40"/>
  <c r="Z469" i="40"/>
  <c r="Z470" i="40"/>
  <c r="Z471" i="40"/>
  <c r="Z472" i="40"/>
  <c r="Z473" i="40"/>
  <c r="Z474" i="40"/>
  <c r="Z475" i="40"/>
  <c r="Z476" i="40"/>
  <c r="Z477" i="40"/>
  <c r="Z478" i="40"/>
  <c r="Z479" i="40"/>
  <c r="Z480" i="40"/>
  <c r="Z481" i="40"/>
  <c r="Z482" i="40"/>
  <c r="Z483" i="40"/>
  <c r="Z484" i="40"/>
  <c r="Z485" i="40"/>
  <c r="Z486" i="40"/>
  <c r="Z487" i="40"/>
  <c r="Z488" i="40"/>
  <c r="Z489" i="40"/>
  <c r="Z490" i="40"/>
  <c r="Z491" i="40"/>
  <c r="Z492" i="40"/>
  <c r="Z493" i="40"/>
  <c r="Z494" i="40"/>
  <c r="Z495" i="40"/>
  <c r="Z496" i="40"/>
  <c r="Z497" i="40"/>
  <c r="Z498" i="40"/>
  <c r="Z499" i="40"/>
  <c r="Z500" i="40"/>
  <c r="Z501" i="40"/>
  <c r="Z502" i="40"/>
  <c r="Z503" i="40"/>
  <c r="Z504" i="40"/>
  <c r="Z505" i="40"/>
  <c r="Z506" i="40"/>
  <c r="Z507" i="40"/>
  <c r="Z508" i="40"/>
  <c r="Z509" i="40"/>
  <c r="Z510" i="40"/>
  <c r="Z511" i="40"/>
  <c r="Z512" i="40"/>
  <c r="Z513" i="40"/>
  <c r="Z514" i="40"/>
  <c r="AC15" i="40"/>
  <c r="AC16" i="40"/>
  <c r="AC17" i="40"/>
  <c r="AC18" i="40"/>
  <c r="AC19" i="40"/>
  <c r="AC20" i="40"/>
  <c r="AC21" i="40"/>
  <c r="AC22" i="40"/>
  <c r="AC23" i="40"/>
  <c r="AC24" i="40"/>
  <c r="AC25" i="40"/>
  <c r="AC26" i="40"/>
  <c r="AC27" i="40"/>
  <c r="AC28" i="40"/>
  <c r="AC29" i="40"/>
  <c r="AC30" i="40"/>
  <c r="AC31" i="40"/>
  <c r="AC32" i="40"/>
  <c r="AC33" i="40"/>
  <c r="AC34" i="40"/>
  <c r="AC35" i="40"/>
  <c r="AC36" i="40"/>
  <c r="AC37" i="40"/>
  <c r="AC38" i="40"/>
  <c r="AC39" i="40"/>
  <c r="AC40" i="40"/>
  <c r="AC41" i="40"/>
  <c r="AC42" i="40"/>
  <c r="AC43" i="40"/>
  <c r="AC44" i="40"/>
  <c r="AC45" i="40"/>
  <c r="AC46" i="40"/>
  <c r="AC47" i="40"/>
  <c r="AC48" i="40"/>
  <c r="AC49" i="40"/>
  <c r="AC50" i="40"/>
  <c r="AC51" i="40"/>
  <c r="AC52" i="40"/>
  <c r="AC53" i="40"/>
  <c r="AC54" i="40"/>
  <c r="AC55" i="40"/>
  <c r="AC56" i="40"/>
  <c r="AC57" i="40"/>
  <c r="AC58" i="40"/>
  <c r="AC59" i="40"/>
  <c r="AC60" i="40"/>
  <c r="AC61" i="40"/>
  <c r="AC62" i="40"/>
  <c r="AC63" i="40"/>
  <c r="AC64" i="40"/>
  <c r="AC65" i="40"/>
  <c r="AC66" i="40"/>
  <c r="AC67" i="40"/>
  <c r="AC68" i="40"/>
  <c r="AC69" i="40"/>
  <c r="AC70" i="40"/>
  <c r="AC71" i="40"/>
  <c r="AC72" i="40"/>
  <c r="AC73" i="40"/>
  <c r="AC74" i="40"/>
  <c r="AC75" i="40"/>
  <c r="AC76" i="40"/>
  <c r="AC77" i="40"/>
  <c r="AC78" i="40"/>
  <c r="AC79" i="40"/>
  <c r="AC80" i="40"/>
  <c r="AC81" i="40"/>
  <c r="AC82" i="40"/>
  <c r="AC83" i="40"/>
  <c r="AC84" i="40"/>
  <c r="AC85" i="40"/>
  <c r="AC86" i="40"/>
  <c r="AC87" i="40"/>
  <c r="AC88" i="40"/>
  <c r="AC89" i="40"/>
  <c r="AC90" i="40"/>
  <c r="AC91" i="40"/>
  <c r="AC92" i="40"/>
  <c r="AC93" i="40"/>
  <c r="AC94" i="40"/>
  <c r="AC95" i="40"/>
  <c r="AC96" i="40"/>
  <c r="AC97" i="40"/>
  <c r="AC98" i="40"/>
  <c r="AC99" i="40"/>
  <c r="AC100" i="40"/>
  <c r="AC101" i="40"/>
  <c r="AC102" i="40"/>
  <c r="AC103" i="40"/>
  <c r="AC104" i="40"/>
  <c r="AC105" i="40"/>
  <c r="AC106" i="40"/>
  <c r="AC107" i="40"/>
  <c r="AC108" i="40"/>
  <c r="AC109" i="40"/>
  <c r="AC110" i="40"/>
  <c r="AC111" i="40"/>
  <c r="AC112" i="40"/>
  <c r="AC113" i="40"/>
  <c r="AC114" i="40"/>
  <c r="AC115" i="40"/>
  <c r="AC116" i="40"/>
  <c r="AC117" i="40"/>
  <c r="AC118" i="40"/>
  <c r="AC119" i="40"/>
  <c r="AC120" i="40"/>
  <c r="AC121" i="40"/>
  <c r="AC122" i="40"/>
  <c r="AC123" i="40"/>
  <c r="AC124" i="40"/>
  <c r="AC125" i="40"/>
  <c r="AC126" i="40"/>
  <c r="AC127" i="40"/>
  <c r="AC128" i="40"/>
  <c r="AC129" i="40"/>
  <c r="AC130" i="40"/>
  <c r="AC131" i="40"/>
  <c r="AC132" i="40"/>
  <c r="AC133" i="40"/>
  <c r="AC134" i="40"/>
  <c r="AC135" i="40"/>
  <c r="AC136" i="40"/>
  <c r="AC137" i="40"/>
  <c r="AC138" i="40"/>
  <c r="AC139" i="40"/>
  <c r="AC140" i="40"/>
  <c r="AC141" i="40"/>
  <c r="AC142" i="40"/>
  <c r="AC143" i="40"/>
  <c r="AC144" i="40"/>
  <c r="AC145" i="40"/>
  <c r="AC146" i="40"/>
  <c r="AC147" i="40"/>
  <c r="AC148" i="40"/>
  <c r="AC149" i="40"/>
  <c r="AC150" i="40"/>
  <c r="AC151" i="40"/>
  <c r="AC152" i="40"/>
  <c r="AC153" i="40"/>
  <c r="AC154" i="40"/>
  <c r="AC155" i="40"/>
  <c r="AC156" i="40"/>
  <c r="AC157" i="40"/>
  <c r="AC158" i="40"/>
  <c r="AC159" i="40"/>
  <c r="AC160" i="40"/>
  <c r="AC161" i="40"/>
  <c r="AC162" i="40"/>
  <c r="AC163" i="40"/>
  <c r="AC164" i="40"/>
  <c r="AC165" i="40"/>
  <c r="AC166" i="40"/>
  <c r="AC167" i="40"/>
  <c r="AC168" i="40"/>
  <c r="AC169" i="40"/>
  <c r="AC170" i="40"/>
  <c r="AC171" i="40"/>
  <c r="AC172" i="40"/>
  <c r="AC173" i="40"/>
  <c r="AC174" i="40"/>
  <c r="AC175" i="40"/>
  <c r="AC176" i="40"/>
  <c r="AC177" i="40"/>
  <c r="AC178" i="40"/>
  <c r="AC179" i="40"/>
  <c r="AC180" i="40"/>
  <c r="AC181" i="40"/>
  <c r="AC182" i="40"/>
  <c r="AC183" i="40"/>
  <c r="AC184" i="40"/>
  <c r="AC185" i="40"/>
  <c r="AC186" i="40"/>
  <c r="AC187" i="40"/>
  <c r="AC188" i="40"/>
  <c r="AC189" i="40"/>
  <c r="AC190" i="40"/>
  <c r="AC191" i="40"/>
  <c r="AC192" i="40"/>
  <c r="AC193" i="40"/>
  <c r="AC194" i="40"/>
  <c r="AC195" i="40"/>
  <c r="AC196" i="40"/>
  <c r="AC197" i="40"/>
  <c r="AC198" i="40"/>
  <c r="AC199" i="40"/>
  <c r="AC200" i="40"/>
  <c r="AC201" i="40"/>
  <c r="AC202" i="40"/>
  <c r="AC203" i="40"/>
  <c r="AC204" i="40"/>
  <c r="AC205" i="40"/>
  <c r="AC206" i="40"/>
  <c r="AC207" i="40"/>
  <c r="AC208" i="40"/>
  <c r="AC209" i="40"/>
  <c r="AC210" i="40"/>
  <c r="AC211" i="40"/>
  <c r="AC212" i="40"/>
  <c r="AC213" i="40"/>
  <c r="AC214" i="40"/>
  <c r="AC215" i="40"/>
  <c r="AC216" i="40"/>
  <c r="AC217" i="40"/>
  <c r="AC218" i="40"/>
  <c r="AC219" i="40"/>
  <c r="AC220" i="40"/>
  <c r="AC221" i="40"/>
  <c r="AC222" i="40"/>
  <c r="AC223" i="40"/>
  <c r="AC224" i="40"/>
  <c r="AC225" i="40"/>
  <c r="AC226" i="40"/>
  <c r="AC227" i="40"/>
  <c r="AC228" i="40"/>
  <c r="AC229" i="40"/>
  <c r="AC230" i="40"/>
  <c r="AC231" i="40"/>
  <c r="AC232" i="40"/>
  <c r="AC233" i="40"/>
  <c r="AC234" i="40"/>
  <c r="AC235" i="40"/>
  <c r="AC236" i="40"/>
  <c r="AC237" i="40"/>
  <c r="AC238" i="40"/>
  <c r="AC239" i="40"/>
  <c r="AC240" i="40"/>
  <c r="AC241" i="40"/>
  <c r="AC242" i="40"/>
  <c r="AC243" i="40"/>
  <c r="AC244" i="40"/>
  <c r="AC245" i="40"/>
  <c r="AC246" i="40"/>
  <c r="AC247" i="40"/>
  <c r="AC248" i="40"/>
  <c r="AC249" i="40"/>
  <c r="AC250" i="40"/>
  <c r="AC251" i="40"/>
  <c r="AC252" i="40"/>
  <c r="AC253" i="40"/>
  <c r="AC254" i="40"/>
  <c r="AC255" i="40"/>
  <c r="AC256" i="40"/>
  <c r="AC257" i="40"/>
  <c r="AC258" i="40"/>
  <c r="AC259" i="40"/>
  <c r="AC260" i="40"/>
  <c r="AC261" i="40"/>
  <c r="AC262" i="40"/>
  <c r="AC263" i="40"/>
  <c r="AC264" i="40"/>
  <c r="AC265" i="40"/>
  <c r="AC266" i="40"/>
  <c r="AC267" i="40"/>
  <c r="AC268" i="40"/>
  <c r="AC269" i="40"/>
  <c r="AC270" i="40"/>
  <c r="AC271" i="40"/>
  <c r="AC272" i="40"/>
  <c r="AC273" i="40"/>
  <c r="AC274" i="40"/>
  <c r="AC275" i="40"/>
  <c r="AC276" i="40"/>
  <c r="AC277" i="40"/>
  <c r="AC278" i="40"/>
  <c r="AC279" i="40"/>
  <c r="AC280" i="40"/>
  <c r="AC281" i="40"/>
  <c r="AC282" i="40"/>
  <c r="AC283" i="40"/>
  <c r="AC284" i="40"/>
  <c r="AC285" i="40"/>
  <c r="AC286" i="40"/>
  <c r="AC287" i="40"/>
  <c r="AC288" i="40"/>
  <c r="AC289" i="40"/>
  <c r="AC290" i="40"/>
  <c r="AC291" i="40"/>
  <c r="AC292" i="40"/>
  <c r="AC293" i="40"/>
  <c r="AC294" i="40"/>
  <c r="AC295" i="40"/>
  <c r="AC296" i="40"/>
  <c r="AC297" i="40"/>
  <c r="AC298" i="40"/>
  <c r="AC299" i="40"/>
  <c r="AC300" i="40"/>
  <c r="AC301" i="40"/>
  <c r="AC302" i="40"/>
  <c r="AC303" i="40"/>
  <c r="AC304" i="40"/>
  <c r="AC305" i="40"/>
  <c r="AC306" i="40"/>
  <c r="AC307" i="40"/>
  <c r="AC308" i="40"/>
  <c r="AC309" i="40"/>
  <c r="AC310" i="40"/>
  <c r="AC311" i="40"/>
  <c r="AC312" i="40"/>
  <c r="AC313" i="40"/>
  <c r="AC314" i="40"/>
  <c r="AC315" i="40"/>
  <c r="AC316" i="40"/>
  <c r="AC317" i="40"/>
  <c r="AC318" i="40"/>
  <c r="AC319" i="40"/>
  <c r="AC320" i="40"/>
  <c r="AC321" i="40"/>
  <c r="AC322" i="40"/>
  <c r="AC323" i="40"/>
  <c r="AC324" i="40"/>
  <c r="AC325" i="40"/>
  <c r="AC326" i="40"/>
  <c r="AC327" i="40"/>
  <c r="AC328" i="40"/>
  <c r="AC329" i="40"/>
  <c r="AC330" i="40"/>
  <c r="AC331" i="40"/>
  <c r="AC332" i="40"/>
  <c r="AC333" i="40"/>
  <c r="AC334" i="40"/>
  <c r="AC335" i="40"/>
  <c r="AC336" i="40"/>
  <c r="AC337" i="40"/>
  <c r="AC338" i="40"/>
  <c r="AC339" i="40"/>
  <c r="AC340" i="40"/>
  <c r="AC341" i="40"/>
  <c r="AC342" i="40"/>
  <c r="AC343" i="40"/>
  <c r="AC344" i="40"/>
  <c r="AC345" i="40"/>
  <c r="AC346" i="40"/>
  <c r="AC347" i="40"/>
  <c r="AC348" i="40"/>
  <c r="AC349" i="40"/>
  <c r="AC350" i="40"/>
  <c r="AC351" i="40"/>
  <c r="AC352" i="40"/>
  <c r="AC353" i="40"/>
  <c r="AC354" i="40"/>
  <c r="AC355" i="40"/>
  <c r="AC356" i="40"/>
  <c r="AC357" i="40"/>
  <c r="AC358" i="40"/>
  <c r="AC359" i="40"/>
  <c r="AC360" i="40"/>
  <c r="AC361" i="40"/>
  <c r="AC362" i="40"/>
  <c r="AC363" i="40"/>
  <c r="AC364" i="40"/>
  <c r="AC365" i="40"/>
  <c r="AC366" i="40"/>
  <c r="AC367" i="40"/>
  <c r="AC368" i="40"/>
  <c r="AC369" i="40"/>
  <c r="AC370" i="40"/>
  <c r="AC371" i="40"/>
  <c r="AC372" i="40"/>
  <c r="AC373" i="40"/>
  <c r="AC374" i="40"/>
  <c r="AC375" i="40"/>
  <c r="AC376" i="40"/>
  <c r="AC377" i="40"/>
  <c r="AC378" i="40"/>
  <c r="AC379" i="40"/>
  <c r="AC380" i="40"/>
  <c r="AC381" i="40"/>
  <c r="AC382" i="40"/>
  <c r="AC383" i="40"/>
  <c r="AC384" i="40"/>
  <c r="AC385" i="40"/>
  <c r="AC386" i="40"/>
  <c r="AC387" i="40"/>
  <c r="AC388" i="40"/>
  <c r="AC389" i="40"/>
  <c r="AC390" i="40"/>
  <c r="AC391" i="40"/>
  <c r="AC392" i="40"/>
  <c r="AC393" i="40"/>
  <c r="AC394" i="40"/>
  <c r="AC395" i="40"/>
  <c r="AC396" i="40"/>
  <c r="AC397" i="40"/>
  <c r="AC398" i="40"/>
  <c r="AC399" i="40"/>
  <c r="AC400" i="40"/>
  <c r="AC401" i="40"/>
  <c r="AC402" i="40"/>
  <c r="AC403" i="40"/>
  <c r="AC404" i="40"/>
  <c r="AC405" i="40"/>
  <c r="AC406" i="40"/>
  <c r="AC407" i="40"/>
  <c r="AC408" i="40"/>
  <c r="AC409" i="40"/>
  <c r="AC410" i="40"/>
  <c r="AC411" i="40"/>
  <c r="AC412" i="40"/>
  <c r="AC413" i="40"/>
  <c r="AC414" i="40"/>
  <c r="AC415" i="40"/>
  <c r="AC416" i="40"/>
  <c r="AC417" i="40"/>
  <c r="AC418" i="40"/>
  <c r="AC419" i="40"/>
  <c r="AC420" i="40"/>
  <c r="AC421" i="40"/>
  <c r="AC422" i="40"/>
  <c r="AC423" i="40"/>
  <c r="AC424" i="40"/>
  <c r="AC425" i="40"/>
  <c r="AC426" i="40"/>
  <c r="AC427" i="40"/>
  <c r="AC428" i="40"/>
  <c r="AC429" i="40"/>
  <c r="AC430" i="40"/>
  <c r="AC431" i="40"/>
  <c r="AC432" i="40"/>
  <c r="AC433" i="40"/>
  <c r="AC434" i="40"/>
  <c r="AC435" i="40"/>
  <c r="AC436" i="40"/>
  <c r="AC437" i="40"/>
  <c r="AC438" i="40"/>
  <c r="AC439" i="40"/>
  <c r="AC440" i="40"/>
  <c r="AC441" i="40"/>
  <c r="AC442" i="40"/>
  <c r="AC443" i="40"/>
  <c r="AC444" i="40"/>
  <c r="AC445" i="40"/>
  <c r="AC446" i="40"/>
  <c r="AC447" i="40"/>
  <c r="AC448" i="40"/>
  <c r="AC449" i="40"/>
  <c r="AC450" i="40"/>
  <c r="AC451" i="40"/>
  <c r="AC452" i="40"/>
  <c r="AC453" i="40"/>
  <c r="AC454" i="40"/>
  <c r="AC455" i="40"/>
  <c r="AC456" i="40"/>
  <c r="AC457" i="40"/>
  <c r="AC458" i="40"/>
  <c r="AC459" i="40"/>
  <c r="AC460" i="40"/>
  <c r="AC461" i="40"/>
  <c r="AC462" i="40"/>
  <c r="AC463" i="40"/>
  <c r="AC464" i="40"/>
  <c r="AC465" i="40"/>
  <c r="AC466" i="40"/>
  <c r="AC467" i="40"/>
  <c r="AC468" i="40"/>
  <c r="AC469" i="40"/>
  <c r="AC470" i="40"/>
  <c r="AC471" i="40"/>
  <c r="AC472" i="40"/>
  <c r="AC473" i="40"/>
  <c r="AC474" i="40"/>
  <c r="AC475" i="40"/>
  <c r="AC476" i="40"/>
  <c r="AC477" i="40"/>
  <c r="AC478" i="40"/>
  <c r="AC479" i="40"/>
  <c r="AC480" i="40"/>
  <c r="AC481" i="40"/>
  <c r="AC482" i="40"/>
  <c r="AC483" i="40"/>
  <c r="AC484" i="40"/>
  <c r="AC485" i="40"/>
  <c r="AC486" i="40"/>
  <c r="AC487" i="40"/>
  <c r="AC488" i="40"/>
  <c r="AC489" i="40"/>
  <c r="AC490" i="40"/>
  <c r="AC491" i="40"/>
  <c r="AC492" i="40"/>
  <c r="AC493" i="40"/>
  <c r="AC494" i="40"/>
  <c r="AC495" i="40"/>
  <c r="AC496" i="40"/>
  <c r="AC497" i="40"/>
  <c r="AC498" i="40"/>
  <c r="AC499" i="40"/>
  <c r="AC500" i="40"/>
  <c r="AC501" i="40"/>
  <c r="AC502" i="40"/>
  <c r="AC503" i="40"/>
  <c r="AC504" i="40"/>
  <c r="AC505" i="40"/>
  <c r="AC506" i="40"/>
  <c r="AC507" i="40"/>
  <c r="AC508" i="40"/>
  <c r="AC509" i="40"/>
  <c r="AC510" i="40"/>
  <c r="AC511" i="40"/>
  <c r="AC512" i="40"/>
  <c r="AC513" i="40"/>
  <c r="AC514" i="40"/>
  <c r="AR15" i="40"/>
  <c r="AR16" i="40"/>
  <c r="AR17" i="40"/>
  <c r="AR18" i="40"/>
  <c r="AR19" i="40"/>
  <c r="AR20" i="40"/>
  <c r="AR21" i="40"/>
  <c r="AR22" i="40"/>
  <c r="AR23" i="40"/>
  <c r="AR24" i="40"/>
  <c r="AR25" i="40"/>
  <c r="AR26" i="40"/>
  <c r="AR27" i="40"/>
  <c r="AR28" i="40"/>
  <c r="AR29" i="40"/>
  <c r="AR30" i="40"/>
  <c r="AR31" i="40"/>
  <c r="AR32" i="40"/>
  <c r="AR33" i="40"/>
  <c r="AR34" i="40"/>
  <c r="AR35" i="40"/>
  <c r="AR36" i="40"/>
  <c r="AR37" i="40"/>
  <c r="AR38" i="40"/>
  <c r="AR39" i="40"/>
  <c r="AR40" i="40"/>
  <c r="AR41" i="40"/>
  <c r="AR42" i="40"/>
  <c r="AR43" i="40"/>
  <c r="AR44" i="40"/>
  <c r="AR45" i="40"/>
  <c r="AR46" i="40"/>
  <c r="AR47" i="40"/>
  <c r="AR48" i="40"/>
  <c r="AR49" i="40"/>
  <c r="AR50" i="40"/>
  <c r="AR51" i="40"/>
  <c r="AR52" i="40"/>
  <c r="AR53" i="40"/>
  <c r="AR54" i="40"/>
  <c r="AR55" i="40"/>
  <c r="AR56" i="40"/>
  <c r="AR57" i="40"/>
  <c r="AR58" i="40"/>
  <c r="AR59" i="40"/>
  <c r="AR60" i="40"/>
  <c r="AR61" i="40"/>
  <c r="AR62" i="40"/>
  <c r="AR63" i="40"/>
  <c r="AR64" i="40"/>
  <c r="AR65" i="40"/>
  <c r="AR66" i="40"/>
  <c r="AR67" i="40"/>
  <c r="AR68" i="40"/>
  <c r="AR69" i="40"/>
  <c r="AR70" i="40"/>
  <c r="AR71" i="40"/>
  <c r="AR72" i="40"/>
  <c r="AR73" i="40"/>
  <c r="AR74" i="40"/>
  <c r="AR75" i="40"/>
  <c r="AR76" i="40"/>
  <c r="AR77" i="40"/>
  <c r="AR78" i="40"/>
  <c r="AR79" i="40"/>
  <c r="AR80" i="40"/>
  <c r="AR81" i="40"/>
  <c r="AR82" i="40"/>
  <c r="AR83" i="40"/>
  <c r="AR84" i="40"/>
  <c r="AR85" i="40"/>
  <c r="AR86" i="40"/>
  <c r="AR87" i="40"/>
  <c r="AR88" i="40"/>
  <c r="AR89" i="40"/>
  <c r="AR90" i="40"/>
  <c r="AR91" i="40"/>
  <c r="AR92" i="40"/>
  <c r="AR93" i="40"/>
  <c r="AR94" i="40"/>
  <c r="AR95" i="40"/>
  <c r="AR96" i="40"/>
  <c r="AR97" i="40"/>
  <c r="AR98" i="40"/>
  <c r="AR99" i="40"/>
  <c r="AR100" i="40"/>
  <c r="AR101" i="40"/>
  <c r="AR102" i="40"/>
  <c r="AR103" i="40"/>
  <c r="AR104" i="40"/>
  <c r="AR105" i="40"/>
  <c r="AR106" i="40"/>
  <c r="AR107" i="40"/>
  <c r="AR108" i="40"/>
  <c r="AR109" i="40"/>
  <c r="AR110" i="40"/>
  <c r="AR111" i="40"/>
  <c r="AR112" i="40"/>
  <c r="AR113" i="40"/>
  <c r="AR114" i="40"/>
  <c r="AR115" i="40"/>
  <c r="AR116" i="40"/>
  <c r="AR117" i="40"/>
  <c r="AR118" i="40"/>
  <c r="AR119" i="40"/>
  <c r="AR120" i="40"/>
  <c r="AR121" i="40"/>
  <c r="AR122" i="40"/>
  <c r="AR123" i="40"/>
  <c r="AR124" i="40"/>
  <c r="AR125" i="40"/>
  <c r="AR126" i="40"/>
  <c r="AR127" i="40"/>
  <c r="AR128" i="40"/>
  <c r="AR129" i="40"/>
  <c r="AR130" i="40"/>
  <c r="AR131" i="40"/>
  <c r="AR132" i="40"/>
  <c r="AR133" i="40"/>
  <c r="AR134" i="40"/>
  <c r="AR135" i="40"/>
  <c r="AR136" i="40"/>
  <c r="AR137" i="40"/>
  <c r="AR138" i="40"/>
  <c r="AR139" i="40"/>
  <c r="AR140" i="40"/>
  <c r="AR141" i="40"/>
  <c r="AR142" i="40"/>
  <c r="AR143" i="40"/>
  <c r="AR144" i="40"/>
  <c r="AR145" i="40"/>
  <c r="AR146" i="40"/>
  <c r="AR147" i="40"/>
  <c r="AR148" i="40"/>
  <c r="AR149" i="40"/>
  <c r="AR150" i="40"/>
  <c r="AR151" i="40"/>
  <c r="AR152" i="40"/>
  <c r="AR153" i="40"/>
  <c r="AR154" i="40"/>
  <c r="AR155" i="40"/>
  <c r="AR156" i="40"/>
  <c r="AR157" i="40"/>
  <c r="AR158" i="40"/>
  <c r="AR159" i="40"/>
  <c r="AR160" i="40"/>
  <c r="AR161" i="40"/>
  <c r="AR162" i="40"/>
  <c r="AR163" i="40"/>
  <c r="AR164" i="40"/>
  <c r="AR165" i="40"/>
  <c r="AR166" i="40"/>
  <c r="AR167" i="40"/>
  <c r="AR168" i="40"/>
  <c r="AR169" i="40"/>
  <c r="AR170" i="40"/>
  <c r="AR171" i="40"/>
  <c r="AR172" i="40"/>
  <c r="AR173" i="40"/>
  <c r="AR174" i="40"/>
  <c r="AR175" i="40"/>
  <c r="AR176" i="40"/>
  <c r="AR177" i="40"/>
  <c r="AR178" i="40"/>
  <c r="AR179" i="40"/>
  <c r="AR180" i="40"/>
  <c r="AR181" i="40"/>
  <c r="AR182" i="40"/>
  <c r="AR183" i="40"/>
  <c r="AR184" i="40"/>
  <c r="AR185" i="40"/>
  <c r="AR186" i="40"/>
  <c r="AR187" i="40"/>
  <c r="AR188" i="40"/>
  <c r="AR189" i="40"/>
  <c r="AR190" i="40"/>
  <c r="AR191" i="40"/>
  <c r="AR192" i="40"/>
  <c r="AR193" i="40"/>
  <c r="AR194" i="40"/>
  <c r="AR195" i="40"/>
  <c r="AR196" i="40"/>
  <c r="AR197" i="40"/>
  <c r="AR198" i="40"/>
  <c r="AR199" i="40"/>
  <c r="AR200" i="40"/>
  <c r="AR201" i="40"/>
  <c r="AR202" i="40"/>
  <c r="AR203" i="40"/>
  <c r="AR204" i="40"/>
  <c r="AR205" i="40"/>
  <c r="AR206" i="40"/>
  <c r="AR207" i="40"/>
  <c r="AR208" i="40"/>
  <c r="AR209" i="40"/>
  <c r="AR210" i="40"/>
  <c r="AR211" i="40"/>
  <c r="AR212" i="40"/>
  <c r="AR213" i="40"/>
  <c r="AR214" i="40"/>
  <c r="AR215" i="40"/>
  <c r="AR216" i="40"/>
  <c r="AR217" i="40"/>
  <c r="AR218" i="40"/>
  <c r="AR219" i="40"/>
  <c r="AR220" i="40"/>
  <c r="AR221" i="40"/>
  <c r="AR222" i="40"/>
  <c r="AR223" i="40"/>
  <c r="AR224" i="40"/>
  <c r="AR225" i="40"/>
  <c r="AR226" i="40"/>
  <c r="AR227" i="40"/>
  <c r="AR228" i="40"/>
  <c r="AR229" i="40"/>
  <c r="AR230" i="40"/>
  <c r="AR231" i="40"/>
  <c r="AR232" i="40"/>
  <c r="AR233" i="40"/>
  <c r="AR234" i="40"/>
  <c r="AR235" i="40"/>
  <c r="AR236" i="40"/>
  <c r="AR237" i="40"/>
  <c r="AR238" i="40"/>
  <c r="AR239" i="40"/>
  <c r="AR240" i="40"/>
  <c r="AR241" i="40"/>
  <c r="AR242" i="40"/>
  <c r="AR243" i="40"/>
  <c r="AR244" i="40"/>
  <c r="AR245" i="40"/>
  <c r="AR246" i="40"/>
  <c r="AR247" i="40"/>
  <c r="AR248" i="40"/>
  <c r="AR249" i="40"/>
  <c r="AR250" i="40"/>
  <c r="AR251" i="40"/>
  <c r="AR252" i="40"/>
  <c r="AR253" i="40"/>
  <c r="AR254" i="40"/>
  <c r="AR255" i="40"/>
  <c r="AR256" i="40"/>
  <c r="AR257" i="40"/>
  <c r="AR258" i="40"/>
  <c r="AR259" i="40"/>
  <c r="AR260" i="40"/>
  <c r="AR261" i="40"/>
  <c r="AR262" i="40"/>
  <c r="AR263" i="40"/>
  <c r="AR264" i="40"/>
  <c r="AR265" i="40"/>
  <c r="AR266" i="40"/>
  <c r="AR267" i="40"/>
  <c r="AR268" i="40"/>
  <c r="AR269" i="40"/>
  <c r="AR270" i="40"/>
  <c r="AR271" i="40"/>
  <c r="AR272" i="40"/>
  <c r="AR273" i="40"/>
  <c r="AR274" i="40"/>
  <c r="AR275" i="40"/>
  <c r="AR276" i="40"/>
  <c r="AR277" i="40"/>
  <c r="AR278" i="40"/>
  <c r="AR279" i="40"/>
  <c r="AR280" i="40"/>
  <c r="AR281" i="40"/>
  <c r="AR282" i="40"/>
  <c r="AR283" i="40"/>
  <c r="AR284" i="40"/>
  <c r="AR285" i="40"/>
  <c r="AR286" i="40"/>
  <c r="AR287" i="40"/>
  <c r="AR288" i="40"/>
  <c r="AR289" i="40"/>
  <c r="AR290" i="40"/>
  <c r="AR291" i="40"/>
  <c r="AR292" i="40"/>
  <c r="AR293" i="40"/>
  <c r="AR294" i="40"/>
  <c r="AR295" i="40"/>
  <c r="AR296" i="40"/>
  <c r="AR297" i="40"/>
  <c r="AR298" i="40"/>
  <c r="AR299" i="40"/>
  <c r="AR300" i="40"/>
  <c r="AR301" i="40"/>
  <c r="AR302" i="40"/>
  <c r="AR303" i="40"/>
  <c r="AR304" i="40"/>
  <c r="AR305" i="40"/>
  <c r="AR306" i="40"/>
  <c r="AR307" i="40"/>
  <c r="AR308" i="40"/>
  <c r="AR309" i="40"/>
  <c r="AR310" i="40"/>
  <c r="AR311" i="40"/>
  <c r="AR312" i="40"/>
  <c r="AR313" i="40"/>
  <c r="AR314" i="40"/>
  <c r="AR315" i="40"/>
  <c r="AR316" i="40"/>
  <c r="AR317" i="40"/>
  <c r="AR318" i="40"/>
  <c r="AR319" i="40"/>
  <c r="AR320" i="40"/>
  <c r="AR321" i="40"/>
  <c r="AR322" i="40"/>
  <c r="AR323" i="40"/>
  <c r="AR324" i="40"/>
  <c r="AR325" i="40"/>
  <c r="AR326" i="40"/>
  <c r="AR327" i="40"/>
  <c r="AR328" i="40"/>
  <c r="AR329" i="40"/>
  <c r="AR330" i="40"/>
  <c r="AR331" i="40"/>
  <c r="AR332" i="40"/>
  <c r="AR333" i="40"/>
  <c r="AR334" i="40"/>
  <c r="AR335" i="40"/>
  <c r="AR336" i="40"/>
  <c r="AR337" i="40"/>
  <c r="AR338" i="40"/>
  <c r="AR339" i="40"/>
  <c r="AR340" i="40"/>
  <c r="AR341" i="40"/>
  <c r="AR342" i="40"/>
  <c r="AR343" i="40"/>
  <c r="AR344" i="40"/>
  <c r="AR345" i="40"/>
  <c r="AR346" i="40"/>
  <c r="AR347" i="40"/>
  <c r="AR348" i="40"/>
  <c r="AR349" i="40"/>
  <c r="AR350" i="40"/>
  <c r="AR351" i="40"/>
  <c r="AR352" i="40"/>
  <c r="AR353" i="40"/>
  <c r="AR354" i="40"/>
  <c r="AR355" i="40"/>
  <c r="AR356" i="40"/>
  <c r="AR357" i="40"/>
  <c r="AR358" i="40"/>
  <c r="AR359" i="40"/>
  <c r="AR360" i="40"/>
  <c r="AR361" i="40"/>
  <c r="AR362" i="40"/>
  <c r="AR363" i="40"/>
  <c r="AR364" i="40"/>
  <c r="AR365" i="40"/>
  <c r="AR366" i="40"/>
  <c r="AR367" i="40"/>
  <c r="AR368" i="40"/>
  <c r="AR369" i="40"/>
  <c r="AR370" i="40"/>
  <c r="AR371" i="40"/>
  <c r="AR372" i="40"/>
  <c r="AR373" i="40"/>
  <c r="AR374" i="40"/>
  <c r="AR375" i="40"/>
  <c r="AR376" i="40"/>
  <c r="AR377" i="40"/>
  <c r="AR378" i="40"/>
  <c r="AR379" i="40"/>
  <c r="AR380" i="40"/>
  <c r="AR381" i="40"/>
  <c r="AR382" i="40"/>
  <c r="AR383" i="40"/>
  <c r="AR384" i="40"/>
  <c r="AR385" i="40"/>
  <c r="AR386" i="40"/>
  <c r="AR387" i="40"/>
  <c r="AR388" i="40"/>
  <c r="AR389" i="40"/>
  <c r="AR390" i="40"/>
  <c r="AR391" i="40"/>
  <c r="AR392" i="40"/>
  <c r="AR393" i="40"/>
  <c r="AR394" i="40"/>
  <c r="AR395" i="40"/>
  <c r="AR396" i="40"/>
  <c r="AR397" i="40"/>
  <c r="AR398" i="40"/>
  <c r="AR399" i="40"/>
  <c r="AR400" i="40"/>
  <c r="AR401" i="40"/>
  <c r="AR402" i="40"/>
  <c r="AR403" i="40"/>
  <c r="AR404" i="40"/>
  <c r="AR405" i="40"/>
  <c r="AR406" i="40"/>
  <c r="AR407" i="40"/>
  <c r="AR408" i="40"/>
  <c r="AR409" i="40"/>
  <c r="AR410" i="40"/>
  <c r="AR411" i="40"/>
  <c r="AR412" i="40"/>
  <c r="AR413" i="40"/>
  <c r="AR414" i="40"/>
  <c r="AR415" i="40"/>
  <c r="AR416" i="40"/>
  <c r="AR417" i="40"/>
  <c r="AR418" i="40"/>
  <c r="AR419" i="40"/>
  <c r="AR420" i="40"/>
  <c r="AR421" i="40"/>
  <c r="AR422" i="40"/>
  <c r="AR423" i="40"/>
  <c r="AR424" i="40"/>
  <c r="AR425" i="40"/>
  <c r="AR426" i="40"/>
  <c r="AR427" i="40"/>
  <c r="AR428" i="40"/>
  <c r="AR429" i="40"/>
  <c r="AR430" i="40"/>
  <c r="AR431" i="40"/>
  <c r="AR432" i="40"/>
  <c r="AR433" i="40"/>
  <c r="AR434" i="40"/>
  <c r="AR435" i="40"/>
  <c r="AR436" i="40"/>
  <c r="AR437" i="40"/>
  <c r="AR438" i="40"/>
  <c r="AR439" i="40"/>
  <c r="AR440" i="40"/>
  <c r="AR441" i="40"/>
  <c r="AR442" i="40"/>
  <c r="AR443" i="40"/>
  <c r="AR444" i="40"/>
  <c r="AR445" i="40"/>
  <c r="AR446" i="40"/>
  <c r="AR447" i="40"/>
  <c r="AR448" i="40"/>
  <c r="AR449" i="40"/>
  <c r="AR450" i="40"/>
  <c r="AR451" i="40"/>
  <c r="AR452" i="40"/>
  <c r="AR453" i="40"/>
  <c r="AR454" i="40"/>
  <c r="AR455" i="40"/>
  <c r="AR456" i="40"/>
  <c r="AR457" i="40"/>
  <c r="AR458" i="40"/>
  <c r="AR459" i="40"/>
  <c r="AR460" i="40"/>
  <c r="AR461" i="40"/>
  <c r="AR462" i="40"/>
  <c r="AR463" i="40"/>
  <c r="AR464" i="40"/>
  <c r="AR465" i="40"/>
  <c r="AR466" i="40"/>
  <c r="AR467" i="40"/>
  <c r="AR468" i="40"/>
  <c r="AR469" i="40"/>
  <c r="AR470" i="40"/>
  <c r="AR471" i="40"/>
  <c r="AR472" i="40"/>
  <c r="AR473" i="40"/>
  <c r="AR474" i="40"/>
  <c r="AR475" i="40"/>
  <c r="AR476" i="40"/>
  <c r="AR477" i="40"/>
  <c r="AR478" i="40"/>
  <c r="AR479" i="40"/>
  <c r="AR480" i="40"/>
  <c r="AR481" i="40"/>
  <c r="AR482" i="40"/>
  <c r="AR483" i="40"/>
  <c r="AR484" i="40"/>
  <c r="AR485" i="40"/>
  <c r="AR486" i="40"/>
  <c r="AR487" i="40"/>
  <c r="AR488" i="40"/>
  <c r="AR489" i="40"/>
  <c r="AR490" i="40"/>
  <c r="AR491" i="40"/>
  <c r="AR492" i="40"/>
  <c r="AR493" i="40"/>
  <c r="AR494" i="40"/>
  <c r="AR495" i="40"/>
  <c r="AR496" i="40"/>
  <c r="AR497" i="40"/>
  <c r="AR498" i="40"/>
  <c r="AR499" i="40"/>
  <c r="AR500" i="40"/>
  <c r="AR501" i="40"/>
  <c r="AR502" i="40"/>
  <c r="AR503" i="40"/>
  <c r="AR504" i="40"/>
  <c r="AR505" i="40"/>
  <c r="AR506" i="40"/>
  <c r="AR507" i="40"/>
  <c r="AR508" i="40"/>
  <c r="AR509" i="40"/>
  <c r="AR510" i="40"/>
  <c r="AR511" i="40"/>
  <c r="AR512" i="40"/>
  <c r="AR513" i="40"/>
  <c r="AR514" i="40"/>
  <c r="AQ15" i="40"/>
  <c r="AQ16" i="40"/>
  <c r="AQ17" i="40"/>
  <c r="AQ18" i="40"/>
  <c r="AQ19" i="40"/>
  <c r="AQ20" i="40"/>
  <c r="AQ21" i="40"/>
  <c r="AQ22" i="40"/>
  <c r="AQ23" i="40"/>
  <c r="AQ24" i="40"/>
  <c r="AQ25" i="40"/>
  <c r="AQ26" i="40"/>
  <c r="AQ27" i="40"/>
  <c r="AQ28" i="40"/>
  <c r="AQ29" i="40"/>
  <c r="AQ30" i="40"/>
  <c r="AQ31" i="40"/>
  <c r="AQ32" i="40"/>
  <c r="AQ33" i="40"/>
  <c r="AQ34" i="40"/>
  <c r="AQ35" i="40"/>
  <c r="AQ36" i="40"/>
  <c r="AQ37" i="40"/>
  <c r="AQ38" i="40"/>
  <c r="AQ39" i="40"/>
  <c r="AQ40" i="40"/>
  <c r="AQ41" i="40"/>
  <c r="AQ42" i="40"/>
  <c r="AQ43" i="40"/>
  <c r="AQ44" i="40"/>
  <c r="AQ45" i="40"/>
  <c r="AQ46" i="40"/>
  <c r="AQ47" i="40"/>
  <c r="AQ48" i="40"/>
  <c r="AQ49" i="40"/>
  <c r="AQ50" i="40"/>
  <c r="AQ51" i="40"/>
  <c r="AQ52" i="40"/>
  <c r="AQ53" i="40"/>
  <c r="AQ54" i="40"/>
  <c r="AQ55" i="40"/>
  <c r="AQ56" i="40"/>
  <c r="AQ57" i="40"/>
  <c r="AQ58" i="40"/>
  <c r="AQ59" i="40"/>
  <c r="AQ60" i="40"/>
  <c r="AQ61" i="40"/>
  <c r="AQ62" i="40"/>
  <c r="AQ63" i="40"/>
  <c r="AQ64" i="40"/>
  <c r="AQ65" i="40"/>
  <c r="AQ66" i="40"/>
  <c r="AQ67" i="40"/>
  <c r="AQ68" i="40"/>
  <c r="AQ69" i="40"/>
  <c r="AQ70" i="40"/>
  <c r="AQ71" i="40"/>
  <c r="AQ72" i="40"/>
  <c r="AQ73" i="40"/>
  <c r="AQ74" i="40"/>
  <c r="AQ75" i="40"/>
  <c r="AQ76" i="40"/>
  <c r="AQ77" i="40"/>
  <c r="AQ78" i="40"/>
  <c r="AQ79" i="40"/>
  <c r="AQ80" i="40"/>
  <c r="AQ81" i="40"/>
  <c r="AQ82" i="40"/>
  <c r="AQ83" i="40"/>
  <c r="AQ84" i="40"/>
  <c r="AQ85" i="40"/>
  <c r="AQ86" i="40"/>
  <c r="AQ87" i="40"/>
  <c r="AQ88" i="40"/>
  <c r="AQ89" i="40"/>
  <c r="AQ90" i="40"/>
  <c r="AQ91" i="40"/>
  <c r="AQ92" i="40"/>
  <c r="AQ93" i="40"/>
  <c r="AQ94" i="40"/>
  <c r="AQ95" i="40"/>
  <c r="AQ96" i="40"/>
  <c r="AQ97" i="40"/>
  <c r="AQ98" i="40"/>
  <c r="AQ99" i="40"/>
  <c r="AQ100" i="40"/>
  <c r="AQ101" i="40"/>
  <c r="AQ102" i="40"/>
  <c r="AQ103" i="40"/>
  <c r="AQ104" i="40"/>
  <c r="AQ105" i="40"/>
  <c r="AQ106" i="40"/>
  <c r="AQ107" i="40"/>
  <c r="AQ108" i="40"/>
  <c r="AQ109" i="40"/>
  <c r="AQ110" i="40"/>
  <c r="AQ111" i="40"/>
  <c r="AQ112" i="40"/>
  <c r="AQ113" i="40"/>
  <c r="AQ114" i="40"/>
  <c r="AQ115" i="40"/>
  <c r="AQ116" i="40"/>
  <c r="AQ117" i="40"/>
  <c r="AQ118" i="40"/>
  <c r="AQ119" i="40"/>
  <c r="AQ120" i="40"/>
  <c r="AQ121" i="40"/>
  <c r="AQ122" i="40"/>
  <c r="AQ123" i="40"/>
  <c r="AQ124" i="40"/>
  <c r="AQ125" i="40"/>
  <c r="AQ126" i="40"/>
  <c r="AQ127" i="40"/>
  <c r="AQ128" i="40"/>
  <c r="AQ129" i="40"/>
  <c r="AQ130" i="40"/>
  <c r="AQ131" i="40"/>
  <c r="AQ132" i="40"/>
  <c r="AQ133" i="40"/>
  <c r="AQ134" i="40"/>
  <c r="AQ135" i="40"/>
  <c r="AQ136" i="40"/>
  <c r="AQ137" i="40"/>
  <c r="AQ138" i="40"/>
  <c r="AQ139" i="40"/>
  <c r="AQ140" i="40"/>
  <c r="AQ141" i="40"/>
  <c r="AQ142" i="40"/>
  <c r="AQ143" i="40"/>
  <c r="AQ144" i="40"/>
  <c r="AQ145" i="40"/>
  <c r="AQ146" i="40"/>
  <c r="AQ147" i="40"/>
  <c r="AQ148" i="40"/>
  <c r="AQ149" i="40"/>
  <c r="AQ150" i="40"/>
  <c r="AQ151" i="40"/>
  <c r="AQ152" i="40"/>
  <c r="AQ153" i="40"/>
  <c r="AQ154" i="40"/>
  <c r="AQ155" i="40"/>
  <c r="AQ156" i="40"/>
  <c r="AQ157" i="40"/>
  <c r="AQ158" i="40"/>
  <c r="AQ159" i="40"/>
  <c r="AQ160" i="40"/>
  <c r="AQ161" i="40"/>
  <c r="AQ162" i="40"/>
  <c r="AQ163" i="40"/>
  <c r="AQ164" i="40"/>
  <c r="AQ165" i="40"/>
  <c r="AQ166" i="40"/>
  <c r="AQ167" i="40"/>
  <c r="AQ168" i="40"/>
  <c r="AQ169" i="40"/>
  <c r="AQ170" i="40"/>
  <c r="AQ171" i="40"/>
  <c r="AQ172" i="40"/>
  <c r="AQ173" i="40"/>
  <c r="AQ174" i="40"/>
  <c r="AQ175" i="40"/>
  <c r="AQ176" i="40"/>
  <c r="AQ177" i="40"/>
  <c r="AQ178" i="40"/>
  <c r="AQ179" i="40"/>
  <c r="AQ180" i="40"/>
  <c r="AQ181" i="40"/>
  <c r="AQ182" i="40"/>
  <c r="AQ183" i="40"/>
  <c r="AQ184" i="40"/>
  <c r="AQ185" i="40"/>
  <c r="AQ186" i="40"/>
  <c r="AQ187" i="40"/>
  <c r="AQ188" i="40"/>
  <c r="AQ189" i="40"/>
  <c r="AQ190" i="40"/>
  <c r="AQ191" i="40"/>
  <c r="AQ192" i="40"/>
  <c r="AQ193" i="40"/>
  <c r="AQ194" i="40"/>
  <c r="AQ195" i="40"/>
  <c r="AQ196" i="40"/>
  <c r="AQ197" i="40"/>
  <c r="AQ198" i="40"/>
  <c r="AQ199" i="40"/>
  <c r="AQ200" i="40"/>
  <c r="AQ201" i="40"/>
  <c r="AQ202" i="40"/>
  <c r="AQ203" i="40"/>
  <c r="AQ204" i="40"/>
  <c r="AQ205" i="40"/>
  <c r="AQ206" i="40"/>
  <c r="AQ207" i="40"/>
  <c r="AQ208" i="40"/>
  <c r="AQ209" i="40"/>
  <c r="AQ210" i="40"/>
  <c r="AQ211" i="40"/>
  <c r="AQ212" i="40"/>
  <c r="AQ213" i="40"/>
  <c r="AQ214" i="40"/>
  <c r="AQ215" i="40"/>
  <c r="AQ216" i="40"/>
  <c r="AQ217" i="40"/>
  <c r="AQ218" i="40"/>
  <c r="AQ219" i="40"/>
  <c r="AQ220" i="40"/>
  <c r="AQ221" i="40"/>
  <c r="AQ222" i="40"/>
  <c r="AQ223" i="40"/>
  <c r="AQ224" i="40"/>
  <c r="AQ225" i="40"/>
  <c r="AQ226" i="40"/>
  <c r="AQ227" i="40"/>
  <c r="AQ228" i="40"/>
  <c r="AQ229" i="40"/>
  <c r="AQ230" i="40"/>
  <c r="AQ231" i="40"/>
  <c r="AQ232" i="40"/>
  <c r="AQ233" i="40"/>
  <c r="AQ234" i="40"/>
  <c r="AQ235" i="40"/>
  <c r="AQ236" i="40"/>
  <c r="AQ237" i="40"/>
  <c r="AQ238" i="40"/>
  <c r="AQ239" i="40"/>
  <c r="AQ240" i="40"/>
  <c r="AQ241" i="40"/>
  <c r="AQ242" i="40"/>
  <c r="AQ243" i="40"/>
  <c r="AQ244" i="40"/>
  <c r="AQ245" i="40"/>
  <c r="AQ246" i="40"/>
  <c r="AQ247" i="40"/>
  <c r="AQ248" i="40"/>
  <c r="AQ249" i="40"/>
  <c r="AQ250" i="40"/>
  <c r="AQ251" i="40"/>
  <c r="AQ252" i="40"/>
  <c r="AQ253" i="40"/>
  <c r="AQ254" i="40"/>
  <c r="AQ255" i="40"/>
  <c r="AQ256" i="40"/>
  <c r="AQ257" i="40"/>
  <c r="AQ258" i="40"/>
  <c r="AQ259" i="40"/>
  <c r="AQ260" i="40"/>
  <c r="AQ261" i="40"/>
  <c r="AQ262" i="40"/>
  <c r="AQ263" i="40"/>
  <c r="AQ264" i="40"/>
  <c r="AQ265" i="40"/>
  <c r="AQ266" i="40"/>
  <c r="AQ267" i="40"/>
  <c r="AQ268" i="40"/>
  <c r="AQ269" i="40"/>
  <c r="AQ270" i="40"/>
  <c r="AQ271" i="40"/>
  <c r="AQ272" i="40"/>
  <c r="AQ273" i="40"/>
  <c r="AQ274" i="40"/>
  <c r="AQ275" i="40"/>
  <c r="AQ276" i="40"/>
  <c r="AQ277" i="40"/>
  <c r="AQ278" i="40"/>
  <c r="AQ279" i="40"/>
  <c r="AQ280" i="40"/>
  <c r="AQ281" i="40"/>
  <c r="AQ282" i="40"/>
  <c r="AQ283" i="40"/>
  <c r="AQ284" i="40"/>
  <c r="AQ285" i="40"/>
  <c r="AQ286" i="40"/>
  <c r="AQ287" i="40"/>
  <c r="AQ288" i="40"/>
  <c r="AQ289" i="40"/>
  <c r="AQ290" i="40"/>
  <c r="AQ291" i="40"/>
  <c r="AQ292" i="40"/>
  <c r="AQ293" i="40"/>
  <c r="AQ294" i="40"/>
  <c r="AQ295" i="40"/>
  <c r="AQ296" i="40"/>
  <c r="AQ297" i="40"/>
  <c r="AQ298" i="40"/>
  <c r="AQ299" i="40"/>
  <c r="AQ300" i="40"/>
  <c r="AQ301" i="40"/>
  <c r="AQ302" i="40"/>
  <c r="AQ303" i="40"/>
  <c r="AQ304" i="40"/>
  <c r="AQ305" i="40"/>
  <c r="AQ306" i="40"/>
  <c r="AQ307" i="40"/>
  <c r="AQ308" i="40"/>
  <c r="AQ309" i="40"/>
  <c r="AQ310" i="40"/>
  <c r="AQ311" i="40"/>
  <c r="AQ312" i="40"/>
  <c r="AQ313" i="40"/>
  <c r="AQ314" i="40"/>
  <c r="AQ315" i="40"/>
  <c r="AQ316" i="40"/>
  <c r="AQ317" i="40"/>
  <c r="AQ318" i="40"/>
  <c r="AQ319" i="40"/>
  <c r="AQ320" i="40"/>
  <c r="AQ321" i="40"/>
  <c r="AQ322" i="40"/>
  <c r="AQ323" i="40"/>
  <c r="AQ324" i="40"/>
  <c r="AQ325" i="40"/>
  <c r="AQ326" i="40"/>
  <c r="AQ327" i="40"/>
  <c r="AQ328" i="40"/>
  <c r="AQ329" i="40"/>
  <c r="AQ330" i="40"/>
  <c r="AQ331" i="40"/>
  <c r="AQ332" i="40"/>
  <c r="AQ333" i="40"/>
  <c r="AQ334" i="40"/>
  <c r="AQ335" i="40"/>
  <c r="AQ336" i="40"/>
  <c r="AQ337" i="40"/>
  <c r="AQ338" i="40"/>
  <c r="AQ339" i="40"/>
  <c r="AQ340" i="40"/>
  <c r="AQ341" i="40"/>
  <c r="AQ342" i="40"/>
  <c r="AQ343" i="40"/>
  <c r="AQ344" i="40"/>
  <c r="AQ345" i="40"/>
  <c r="AQ346" i="40"/>
  <c r="AQ347" i="40"/>
  <c r="AQ348" i="40"/>
  <c r="AQ349" i="40"/>
  <c r="AQ350" i="40"/>
  <c r="AQ351" i="40"/>
  <c r="AQ352" i="40"/>
  <c r="AQ353" i="40"/>
  <c r="AQ354" i="40"/>
  <c r="AQ355" i="40"/>
  <c r="AQ356" i="40"/>
  <c r="AQ357" i="40"/>
  <c r="AQ358" i="40"/>
  <c r="AQ359" i="40"/>
  <c r="AQ360" i="40"/>
  <c r="AQ361" i="40"/>
  <c r="AQ362" i="40"/>
  <c r="AQ363" i="40"/>
  <c r="AQ364" i="40"/>
  <c r="AQ365" i="40"/>
  <c r="AQ366" i="40"/>
  <c r="AQ367" i="40"/>
  <c r="AQ368" i="40"/>
  <c r="AQ369" i="40"/>
  <c r="AQ370" i="40"/>
  <c r="AQ371" i="40"/>
  <c r="AQ372" i="40"/>
  <c r="AQ373" i="40"/>
  <c r="AQ374" i="40"/>
  <c r="AQ375" i="40"/>
  <c r="AQ376" i="40"/>
  <c r="AQ377" i="40"/>
  <c r="AQ378" i="40"/>
  <c r="AQ379" i="40"/>
  <c r="AQ380" i="40"/>
  <c r="AQ381" i="40"/>
  <c r="AQ382" i="40"/>
  <c r="AQ383" i="40"/>
  <c r="AQ384" i="40"/>
  <c r="AQ385" i="40"/>
  <c r="AQ386" i="40"/>
  <c r="AQ387" i="40"/>
  <c r="AQ388" i="40"/>
  <c r="AQ389" i="40"/>
  <c r="AQ390" i="40"/>
  <c r="AQ391" i="40"/>
  <c r="AQ392" i="40"/>
  <c r="AQ393" i="40"/>
  <c r="AQ394" i="40"/>
  <c r="AQ395" i="40"/>
  <c r="AQ396" i="40"/>
  <c r="AQ397" i="40"/>
  <c r="AQ398" i="40"/>
  <c r="AQ399" i="40"/>
  <c r="AQ400" i="40"/>
  <c r="AQ401" i="40"/>
  <c r="AQ402" i="40"/>
  <c r="AQ403" i="40"/>
  <c r="AQ404" i="40"/>
  <c r="AQ405" i="40"/>
  <c r="AQ406" i="40"/>
  <c r="AQ407" i="40"/>
  <c r="AQ408" i="40"/>
  <c r="AQ409" i="40"/>
  <c r="AQ410" i="40"/>
  <c r="AQ411" i="40"/>
  <c r="AQ412" i="40"/>
  <c r="AQ413" i="40"/>
  <c r="AQ414" i="40"/>
  <c r="AQ415" i="40"/>
  <c r="AQ416" i="40"/>
  <c r="AQ417" i="40"/>
  <c r="AQ418" i="40"/>
  <c r="AQ419" i="40"/>
  <c r="AQ420" i="40"/>
  <c r="AQ421" i="40"/>
  <c r="AQ422" i="40"/>
  <c r="AQ423" i="40"/>
  <c r="AQ424" i="40"/>
  <c r="AQ425" i="40"/>
  <c r="AQ426" i="40"/>
  <c r="AQ427" i="40"/>
  <c r="AQ428" i="40"/>
  <c r="AQ429" i="40"/>
  <c r="AQ430" i="40"/>
  <c r="AQ431" i="40"/>
  <c r="AQ432" i="40"/>
  <c r="AQ433" i="40"/>
  <c r="AQ434" i="40"/>
  <c r="AQ435" i="40"/>
  <c r="AQ436" i="40"/>
  <c r="AQ437" i="40"/>
  <c r="AQ438" i="40"/>
  <c r="AQ439" i="40"/>
  <c r="AQ440" i="40"/>
  <c r="AQ441" i="40"/>
  <c r="AQ442" i="40"/>
  <c r="AQ443" i="40"/>
  <c r="AQ444" i="40"/>
  <c r="AQ445" i="40"/>
  <c r="AQ446" i="40"/>
  <c r="AQ447" i="40"/>
  <c r="AQ448" i="40"/>
  <c r="AQ449" i="40"/>
  <c r="AQ450" i="40"/>
  <c r="AQ451" i="40"/>
  <c r="AQ452" i="40"/>
  <c r="AQ453" i="40"/>
  <c r="AQ454" i="40"/>
  <c r="AQ455" i="40"/>
  <c r="AQ456" i="40"/>
  <c r="AQ457" i="40"/>
  <c r="AQ458" i="40"/>
  <c r="AQ459" i="40"/>
  <c r="AQ460" i="40"/>
  <c r="AQ461" i="40"/>
  <c r="AQ462" i="40"/>
  <c r="AQ463" i="40"/>
  <c r="AQ464" i="40"/>
  <c r="AQ465" i="40"/>
  <c r="AQ466" i="40"/>
  <c r="AQ467" i="40"/>
  <c r="AQ468" i="40"/>
  <c r="AQ469" i="40"/>
  <c r="AQ470" i="40"/>
  <c r="AQ471" i="40"/>
  <c r="AQ472" i="40"/>
  <c r="AQ473" i="40"/>
  <c r="AQ474" i="40"/>
  <c r="AQ475" i="40"/>
  <c r="AQ476" i="40"/>
  <c r="AQ477" i="40"/>
  <c r="AQ478" i="40"/>
  <c r="AQ479" i="40"/>
  <c r="AQ480" i="40"/>
  <c r="AQ481" i="40"/>
  <c r="AQ482" i="40"/>
  <c r="AQ483" i="40"/>
  <c r="AQ484" i="40"/>
  <c r="AQ485" i="40"/>
  <c r="AQ486" i="40"/>
  <c r="AQ487" i="40"/>
  <c r="AQ488" i="40"/>
  <c r="AQ489" i="40"/>
  <c r="AQ490" i="40"/>
  <c r="AQ491" i="40"/>
  <c r="AQ492" i="40"/>
  <c r="AQ493" i="40"/>
  <c r="AQ494" i="40"/>
  <c r="AQ495" i="40"/>
  <c r="AQ496" i="40"/>
  <c r="AQ497" i="40"/>
  <c r="AQ498" i="40"/>
  <c r="AQ499" i="40"/>
  <c r="AQ500" i="40"/>
  <c r="AQ501" i="40"/>
  <c r="AQ502" i="40"/>
  <c r="AQ503" i="40"/>
  <c r="AQ504" i="40"/>
  <c r="AQ505" i="40"/>
  <c r="AQ506" i="40"/>
  <c r="AQ507" i="40"/>
  <c r="AQ508" i="40"/>
  <c r="AQ509" i="40"/>
  <c r="AQ510" i="40"/>
  <c r="AQ511" i="40"/>
  <c r="AQ512" i="40"/>
  <c r="AQ513" i="40"/>
  <c r="AQ514" i="40"/>
  <c r="AP15" i="40"/>
  <c r="AP16" i="40"/>
  <c r="AP17" i="40"/>
  <c r="AP18" i="40"/>
  <c r="AP19" i="40"/>
  <c r="AP20" i="40"/>
  <c r="AP21" i="40"/>
  <c r="AP22" i="40"/>
  <c r="AP23" i="40"/>
  <c r="AP24" i="40"/>
  <c r="AP25" i="40"/>
  <c r="AP26" i="40"/>
  <c r="AP27" i="40"/>
  <c r="AP28" i="40"/>
  <c r="AP29" i="40"/>
  <c r="AP30" i="40"/>
  <c r="AP31" i="40"/>
  <c r="AP32" i="40"/>
  <c r="AP33" i="40"/>
  <c r="AP34" i="40"/>
  <c r="AP35" i="40"/>
  <c r="AP36" i="40"/>
  <c r="AP37" i="40"/>
  <c r="AP38" i="40"/>
  <c r="AP39" i="40"/>
  <c r="AP40" i="40"/>
  <c r="AP41" i="40"/>
  <c r="AP42" i="40"/>
  <c r="AP43" i="40"/>
  <c r="AP44" i="40"/>
  <c r="AP45" i="40"/>
  <c r="AP46" i="40"/>
  <c r="AP47" i="40"/>
  <c r="AP48" i="40"/>
  <c r="AP49" i="40"/>
  <c r="AP50" i="40"/>
  <c r="AP51" i="40"/>
  <c r="AP52" i="40"/>
  <c r="AP53" i="40"/>
  <c r="AP54" i="40"/>
  <c r="AP55" i="40"/>
  <c r="AP56" i="40"/>
  <c r="AP57" i="40"/>
  <c r="AP58" i="40"/>
  <c r="AP59" i="40"/>
  <c r="AP60" i="40"/>
  <c r="AP61" i="40"/>
  <c r="AP62" i="40"/>
  <c r="AP63" i="40"/>
  <c r="AP64" i="40"/>
  <c r="AP65" i="40"/>
  <c r="AP66" i="40"/>
  <c r="AP67" i="40"/>
  <c r="AP68" i="40"/>
  <c r="AP69" i="40"/>
  <c r="AP70" i="40"/>
  <c r="AP71" i="40"/>
  <c r="AP72" i="40"/>
  <c r="AP73" i="40"/>
  <c r="AP74" i="40"/>
  <c r="AP75" i="40"/>
  <c r="AP76" i="40"/>
  <c r="AP77" i="40"/>
  <c r="AP78" i="40"/>
  <c r="AP79" i="40"/>
  <c r="AP80" i="40"/>
  <c r="AP81" i="40"/>
  <c r="AP82" i="40"/>
  <c r="AP83" i="40"/>
  <c r="AP84" i="40"/>
  <c r="AP85" i="40"/>
  <c r="AP86" i="40"/>
  <c r="AP87" i="40"/>
  <c r="AP88" i="40"/>
  <c r="AP89" i="40"/>
  <c r="AP90" i="40"/>
  <c r="AP91" i="40"/>
  <c r="AP92" i="40"/>
  <c r="AP93" i="40"/>
  <c r="AP94" i="40"/>
  <c r="AP95" i="40"/>
  <c r="AP96" i="40"/>
  <c r="AP97" i="40"/>
  <c r="AP98" i="40"/>
  <c r="AP99" i="40"/>
  <c r="AP100" i="40"/>
  <c r="AP101" i="40"/>
  <c r="AP102" i="40"/>
  <c r="AP103" i="40"/>
  <c r="AP104" i="40"/>
  <c r="AP105" i="40"/>
  <c r="AP106" i="40"/>
  <c r="AP107" i="40"/>
  <c r="AP108" i="40"/>
  <c r="AP109" i="40"/>
  <c r="AP110" i="40"/>
  <c r="AP111" i="40"/>
  <c r="AP112" i="40"/>
  <c r="AP113" i="40"/>
  <c r="AP114" i="40"/>
  <c r="AP115" i="40"/>
  <c r="AP116" i="40"/>
  <c r="AP117" i="40"/>
  <c r="AP118" i="40"/>
  <c r="AP119" i="40"/>
  <c r="AP120" i="40"/>
  <c r="AP121" i="40"/>
  <c r="AP122" i="40"/>
  <c r="AP123" i="40"/>
  <c r="AP124" i="40"/>
  <c r="AP125" i="40"/>
  <c r="AP126" i="40"/>
  <c r="AP127" i="40"/>
  <c r="AP128" i="40"/>
  <c r="AP129" i="40"/>
  <c r="AP130" i="40"/>
  <c r="AP131" i="40"/>
  <c r="AP132" i="40"/>
  <c r="AP133" i="40"/>
  <c r="AP134" i="40"/>
  <c r="AP135" i="40"/>
  <c r="AP136" i="40"/>
  <c r="AP137" i="40"/>
  <c r="AP138" i="40"/>
  <c r="AP139" i="40"/>
  <c r="AP140" i="40"/>
  <c r="AP141" i="40"/>
  <c r="AP142" i="40"/>
  <c r="AP143" i="40"/>
  <c r="AP144" i="40"/>
  <c r="AP145" i="40"/>
  <c r="AP146" i="40"/>
  <c r="AP147" i="40"/>
  <c r="AP148" i="40"/>
  <c r="AP149" i="40"/>
  <c r="AP150" i="40"/>
  <c r="AP151" i="40"/>
  <c r="AP152" i="40"/>
  <c r="AP153" i="40"/>
  <c r="AP154" i="40"/>
  <c r="AP155" i="40"/>
  <c r="AP156" i="40"/>
  <c r="AP157" i="40"/>
  <c r="AP158" i="40"/>
  <c r="AP159" i="40"/>
  <c r="AP160" i="40"/>
  <c r="AP161" i="40"/>
  <c r="AP162" i="40"/>
  <c r="AP163" i="40"/>
  <c r="AP164" i="40"/>
  <c r="AP165" i="40"/>
  <c r="AP166" i="40"/>
  <c r="AP167" i="40"/>
  <c r="AP168" i="40"/>
  <c r="AP169" i="40"/>
  <c r="AP170" i="40"/>
  <c r="AP171" i="40"/>
  <c r="AP172" i="40"/>
  <c r="AP173" i="40"/>
  <c r="AP174" i="40"/>
  <c r="AP175" i="40"/>
  <c r="AP176" i="40"/>
  <c r="AP177" i="40"/>
  <c r="AP178" i="40"/>
  <c r="AP179" i="40"/>
  <c r="AP180" i="40"/>
  <c r="AP181" i="40"/>
  <c r="AP182" i="40"/>
  <c r="AP183" i="40"/>
  <c r="AP184" i="40"/>
  <c r="AP185" i="40"/>
  <c r="AP186" i="40"/>
  <c r="AP187" i="40"/>
  <c r="AP188" i="40"/>
  <c r="AP189" i="40"/>
  <c r="AP190" i="40"/>
  <c r="AP191" i="40"/>
  <c r="AP192" i="40"/>
  <c r="AP193" i="40"/>
  <c r="AP194" i="40"/>
  <c r="AP195" i="40"/>
  <c r="AP196" i="40"/>
  <c r="AP197" i="40"/>
  <c r="AP198" i="40"/>
  <c r="AP199" i="40"/>
  <c r="AP200" i="40"/>
  <c r="AP201" i="40"/>
  <c r="AP202" i="40"/>
  <c r="AP203" i="40"/>
  <c r="AP204" i="40"/>
  <c r="AP205" i="40"/>
  <c r="AP206" i="40"/>
  <c r="AP207" i="40"/>
  <c r="AP208" i="40"/>
  <c r="AP209" i="40"/>
  <c r="AP210" i="40"/>
  <c r="AP211" i="40"/>
  <c r="AP212" i="40"/>
  <c r="AP213" i="40"/>
  <c r="AP214" i="40"/>
  <c r="AP215" i="40"/>
  <c r="AP216" i="40"/>
  <c r="AP217" i="40"/>
  <c r="AP218" i="40"/>
  <c r="AP219" i="40"/>
  <c r="AP220" i="40"/>
  <c r="AP221" i="40"/>
  <c r="AP222" i="40"/>
  <c r="AP223" i="40"/>
  <c r="AP224" i="40"/>
  <c r="AP225" i="40"/>
  <c r="AP226" i="40"/>
  <c r="AP227" i="40"/>
  <c r="AP228" i="40"/>
  <c r="AP229" i="40"/>
  <c r="AP230" i="40"/>
  <c r="AP231" i="40"/>
  <c r="AP232" i="40"/>
  <c r="AP233" i="40"/>
  <c r="AP234" i="40"/>
  <c r="AP235" i="40"/>
  <c r="AP236" i="40"/>
  <c r="AP237" i="40"/>
  <c r="AP238" i="40"/>
  <c r="AP239" i="40"/>
  <c r="AP240" i="40"/>
  <c r="AP241" i="40"/>
  <c r="AP242" i="40"/>
  <c r="AP243" i="40"/>
  <c r="AP244" i="40"/>
  <c r="AP245" i="40"/>
  <c r="AP246" i="40"/>
  <c r="AP247" i="40"/>
  <c r="AP248" i="40"/>
  <c r="AP249" i="40"/>
  <c r="AP250" i="40"/>
  <c r="AP251" i="40"/>
  <c r="AP252" i="40"/>
  <c r="AP253" i="40"/>
  <c r="AP254" i="40"/>
  <c r="AP255" i="40"/>
  <c r="AP256" i="40"/>
  <c r="AP257" i="40"/>
  <c r="AP258" i="40"/>
  <c r="AP259" i="40"/>
  <c r="AP260" i="40"/>
  <c r="AP261" i="40"/>
  <c r="AP262" i="40"/>
  <c r="AP263" i="40"/>
  <c r="AP264" i="40"/>
  <c r="AP265" i="40"/>
  <c r="AP266" i="40"/>
  <c r="AP267" i="40"/>
  <c r="AP268" i="40"/>
  <c r="AP269" i="40"/>
  <c r="AP270" i="40"/>
  <c r="AP271" i="40"/>
  <c r="AP272" i="40"/>
  <c r="AP273" i="40"/>
  <c r="AP274" i="40"/>
  <c r="AP275" i="40"/>
  <c r="AP276" i="40"/>
  <c r="AP277" i="40"/>
  <c r="AP278" i="40"/>
  <c r="AP279" i="40"/>
  <c r="AP280" i="40"/>
  <c r="AP281" i="40"/>
  <c r="AP282" i="40"/>
  <c r="AP283" i="40"/>
  <c r="AP284" i="40"/>
  <c r="AP285" i="40"/>
  <c r="AP286" i="40"/>
  <c r="AP287" i="40"/>
  <c r="AP288" i="40"/>
  <c r="AP289" i="40"/>
  <c r="AP290" i="40"/>
  <c r="AP291" i="40"/>
  <c r="AP292" i="40"/>
  <c r="AP293" i="40"/>
  <c r="AP294" i="40"/>
  <c r="AP295" i="40"/>
  <c r="AP296" i="40"/>
  <c r="AP297" i="40"/>
  <c r="AP298" i="40"/>
  <c r="AP299" i="40"/>
  <c r="AP300" i="40"/>
  <c r="AP301" i="40"/>
  <c r="AP302" i="40"/>
  <c r="AP303" i="40"/>
  <c r="AP304" i="40"/>
  <c r="AP305" i="40"/>
  <c r="AP306" i="40"/>
  <c r="AP307" i="40"/>
  <c r="AP308" i="40"/>
  <c r="AP309" i="40"/>
  <c r="AP310" i="40"/>
  <c r="AP311" i="40"/>
  <c r="AP312" i="40"/>
  <c r="AP313" i="40"/>
  <c r="AP314" i="40"/>
  <c r="AP315" i="40"/>
  <c r="AP316" i="40"/>
  <c r="AP317" i="40"/>
  <c r="AP318" i="40"/>
  <c r="AP319" i="40"/>
  <c r="AP320" i="40"/>
  <c r="AP321" i="40"/>
  <c r="AP322" i="40"/>
  <c r="AP323" i="40"/>
  <c r="AP324" i="40"/>
  <c r="AP325" i="40"/>
  <c r="AP326" i="40"/>
  <c r="AP327" i="40"/>
  <c r="AP328" i="40"/>
  <c r="AP329" i="40"/>
  <c r="AP330" i="40"/>
  <c r="AP331" i="40"/>
  <c r="AP332" i="40"/>
  <c r="AP333" i="40"/>
  <c r="AP334" i="40"/>
  <c r="AP335" i="40"/>
  <c r="AP336" i="40"/>
  <c r="AP337" i="40"/>
  <c r="AP338" i="40"/>
  <c r="AP339" i="40"/>
  <c r="AP340" i="40"/>
  <c r="AP341" i="40"/>
  <c r="AP342" i="40"/>
  <c r="AP343" i="40"/>
  <c r="AP344" i="40"/>
  <c r="AP345" i="40"/>
  <c r="AP346" i="40"/>
  <c r="AP347" i="40"/>
  <c r="AP348" i="40"/>
  <c r="AP349" i="40"/>
  <c r="AP350" i="40"/>
  <c r="AP351" i="40"/>
  <c r="AP352" i="40"/>
  <c r="AP353" i="40"/>
  <c r="AP354" i="40"/>
  <c r="AP355" i="40"/>
  <c r="AP356" i="40"/>
  <c r="AP357" i="40"/>
  <c r="AP358" i="40"/>
  <c r="AP359" i="40"/>
  <c r="AP360" i="40"/>
  <c r="AP361" i="40"/>
  <c r="AP362" i="40"/>
  <c r="AP363" i="40"/>
  <c r="AP364" i="40"/>
  <c r="AP365" i="40"/>
  <c r="AP366" i="40"/>
  <c r="AP367" i="40"/>
  <c r="AP368" i="40"/>
  <c r="AP369" i="40"/>
  <c r="AP370" i="40"/>
  <c r="AP371" i="40"/>
  <c r="AP372" i="40"/>
  <c r="AP373" i="40"/>
  <c r="AP374" i="40"/>
  <c r="AP375" i="40"/>
  <c r="AP376" i="40"/>
  <c r="AP377" i="40"/>
  <c r="AP378" i="40"/>
  <c r="AP379" i="40"/>
  <c r="AP380" i="40"/>
  <c r="AP381" i="40"/>
  <c r="AP382" i="40"/>
  <c r="AP383" i="40"/>
  <c r="AP384" i="40"/>
  <c r="AP385" i="40"/>
  <c r="AP386" i="40"/>
  <c r="AP387" i="40"/>
  <c r="AP388" i="40"/>
  <c r="AP389" i="40"/>
  <c r="AP390" i="40"/>
  <c r="AP391" i="40"/>
  <c r="AP392" i="40"/>
  <c r="AP393" i="40"/>
  <c r="AP394" i="40"/>
  <c r="AP395" i="40"/>
  <c r="AP396" i="40"/>
  <c r="AP397" i="40"/>
  <c r="AP398" i="40"/>
  <c r="AP399" i="40"/>
  <c r="AP400" i="40"/>
  <c r="AP401" i="40"/>
  <c r="AP402" i="40"/>
  <c r="AP403" i="40"/>
  <c r="AP404" i="40"/>
  <c r="AP405" i="40"/>
  <c r="AP406" i="40"/>
  <c r="AP407" i="40"/>
  <c r="AP408" i="40"/>
  <c r="AP409" i="40"/>
  <c r="AP410" i="40"/>
  <c r="AP411" i="40"/>
  <c r="AP412" i="40"/>
  <c r="AP413" i="40"/>
  <c r="AP414" i="40"/>
  <c r="AP415" i="40"/>
  <c r="AP416" i="40"/>
  <c r="AP417" i="40"/>
  <c r="AP418" i="40"/>
  <c r="AP419" i="40"/>
  <c r="AP420" i="40"/>
  <c r="AP421" i="40"/>
  <c r="AP422" i="40"/>
  <c r="AP423" i="40"/>
  <c r="AP424" i="40"/>
  <c r="AP425" i="40"/>
  <c r="AP426" i="40"/>
  <c r="AP427" i="40"/>
  <c r="AP428" i="40"/>
  <c r="AP429" i="40"/>
  <c r="AP430" i="40"/>
  <c r="AP431" i="40"/>
  <c r="AP432" i="40"/>
  <c r="AP433" i="40"/>
  <c r="AP434" i="40"/>
  <c r="AP435" i="40"/>
  <c r="AP436" i="40"/>
  <c r="AP437" i="40"/>
  <c r="AP438" i="40"/>
  <c r="AP439" i="40"/>
  <c r="AP440" i="40"/>
  <c r="AP441" i="40"/>
  <c r="AP442" i="40"/>
  <c r="AP443" i="40"/>
  <c r="AP444" i="40"/>
  <c r="AP445" i="40"/>
  <c r="AP446" i="40"/>
  <c r="AP447" i="40"/>
  <c r="AP448" i="40"/>
  <c r="AP449" i="40"/>
  <c r="AP450" i="40"/>
  <c r="AP451" i="40"/>
  <c r="AP452" i="40"/>
  <c r="AP453" i="40"/>
  <c r="AP454" i="40"/>
  <c r="AP455" i="40"/>
  <c r="AP456" i="40"/>
  <c r="AP457" i="40"/>
  <c r="AP458" i="40"/>
  <c r="AP459" i="40"/>
  <c r="AP460" i="40"/>
  <c r="AP461" i="40"/>
  <c r="AP462" i="40"/>
  <c r="AP463" i="40"/>
  <c r="AP464" i="40"/>
  <c r="AP465" i="40"/>
  <c r="AP466" i="40"/>
  <c r="AP467" i="40"/>
  <c r="AP468" i="40"/>
  <c r="AP469" i="40"/>
  <c r="AP470" i="40"/>
  <c r="AP471" i="40"/>
  <c r="AP472" i="40"/>
  <c r="AP473" i="40"/>
  <c r="AP474" i="40"/>
  <c r="AP475" i="40"/>
  <c r="AP476" i="40"/>
  <c r="AP477" i="40"/>
  <c r="AP478" i="40"/>
  <c r="AP479" i="40"/>
  <c r="AP480" i="40"/>
  <c r="AP481" i="40"/>
  <c r="AP482" i="40"/>
  <c r="AP483" i="40"/>
  <c r="AP484" i="40"/>
  <c r="AP485" i="40"/>
  <c r="AP486" i="40"/>
  <c r="AP487" i="40"/>
  <c r="AP488" i="40"/>
  <c r="AP489" i="40"/>
  <c r="AP490" i="40"/>
  <c r="AP491" i="40"/>
  <c r="AP492" i="40"/>
  <c r="AP493" i="40"/>
  <c r="AP494" i="40"/>
  <c r="AP495" i="40"/>
  <c r="AP496" i="40"/>
  <c r="AP497" i="40"/>
  <c r="AP498" i="40"/>
  <c r="AP499" i="40"/>
  <c r="AP500" i="40"/>
  <c r="AP501" i="40"/>
  <c r="AP502" i="40"/>
  <c r="AP503" i="40"/>
  <c r="AP504" i="40"/>
  <c r="AP505" i="40"/>
  <c r="AP506" i="40"/>
  <c r="AP507" i="40"/>
  <c r="AP508" i="40"/>
  <c r="AP509" i="40"/>
  <c r="AP510" i="40"/>
  <c r="AP511" i="40"/>
  <c r="AP512" i="40"/>
  <c r="AP513" i="40"/>
  <c r="AP514" i="40"/>
  <c r="Y15" i="40"/>
  <c r="Y16" i="40"/>
  <c r="Y17" i="40"/>
  <c r="Y18" i="40"/>
  <c r="Y19" i="40"/>
  <c r="Y20" i="40"/>
  <c r="Y21" i="40"/>
  <c r="Y22" i="40"/>
  <c r="Y23" i="40"/>
  <c r="Y24" i="40"/>
  <c r="Y25" i="40"/>
  <c r="Y26" i="40"/>
  <c r="Y27" i="40"/>
  <c r="Y28" i="40"/>
  <c r="Y29" i="40"/>
  <c r="Y30" i="40"/>
  <c r="Y31" i="40"/>
  <c r="Y32" i="40"/>
  <c r="Y33" i="40"/>
  <c r="Y34" i="40"/>
  <c r="Y35" i="40"/>
  <c r="Y36" i="40"/>
  <c r="Y37" i="40"/>
  <c r="Y38" i="40"/>
  <c r="Y39" i="40"/>
  <c r="Y40" i="40"/>
  <c r="Y41" i="40"/>
  <c r="Y42" i="40"/>
  <c r="Y43" i="40"/>
  <c r="Y44" i="40"/>
  <c r="Y45" i="40"/>
  <c r="Y46" i="40"/>
  <c r="Y47" i="40"/>
  <c r="Y48" i="40"/>
  <c r="Y49" i="40"/>
  <c r="Y50" i="40"/>
  <c r="Y51" i="40"/>
  <c r="Y52" i="40"/>
  <c r="Y53" i="40"/>
  <c r="Y54" i="40"/>
  <c r="Y55" i="40"/>
  <c r="Y56" i="40"/>
  <c r="Y57" i="40"/>
  <c r="Y58" i="40"/>
  <c r="Y59" i="40"/>
  <c r="Y60" i="40"/>
  <c r="Y61" i="40"/>
  <c r="Y62" i="40"/>
  <c r="Y63" i="40"/>
  <c r="Y64" i="40"/>
  <c r="Y65" i="40"/>
  <c r="Y66" i="40"/>
  <c r="Y67" i="40"/>
  <c r="Y68" i="40"/>
  <c r="Y69" i="40"/>
  <c r="Y70" i="40"/>
  <c r="Y71" i="40"/>
  <c r="Y72" i="40"/>
  <c r="Y73" i="40"/>
  <c r="Y74" i="40"/>
  <c r="Y75" i="40"/>
  <c r="Y76" i="40"/>
  <c r="Y77" i="40"/>
  <c r="Y78" i="40"/>
  <c r="Y79" i="40"/>
  <c r="Y80" i="40"/>
  <c r="Y81" i="40"/>
  <c r="Y82" i="40"/>
  <c r="Y83" i="40"/>
  <c r="Y84" i="40"/>
  <c r="Y85" i="40"/>
  <c r="Y86" i="40"/>
  <c r="Y87" i="40"/>
  <c r="Y88" i="40"/>
  <c r="Y89" i="40"/>
  <c r="Y90" i="40"/>
  <c r="Y91" i="40"/>
  <c r="Y92" i="40"/>
  <c r="Y93" i="40"/>
  <c r="Y94" i="40"/>
  <c r="Y95" i="40"/>
  <c r="Y96" i="40"/>
  <c r="Y97" i="40"/>
  <c r="Y98" i="40"/>
  <c r="Y99" i="40"/>
  <c r="Y100" i="40"/>
  <c r="Y101" i="40"/>
  <c r="Y102" i="40"/>
  <c r="Y103" i="40"/>
  <c r="Y104" i="40"/>
  <c r="Y105" i="40"/>
  <c r="Y106" i="40"/>
  <c r="Y107" i="40"/>
  <c r="Y108" i="40"/>
  <c r="Y109" i="40"/>
  <c r="Y110" i="40"/>
  <c r="Y111" i="40"/>
  <c r="Y112" i="40"/>
  <c r="Y113" i="40"/>
  <c r="Y114" i="40"/>
  <c r="Y115" i="40"/>
  <c r="Y116" i="40"/>
  <c r="Y117" i="40"/>
  <c r="Y118" i="40"/>
  <c r="Y119" i="40"/>
  <c r="Y120" i="40"/>
  <c r="Y121" i="40"/>
  <c r="Y122" i="40"/>
  <c r="Y123" i="40"/>
  <c r="Y124" i="40"/>
  <c r="Y125" i="40"/>
  <c r="Y126" i="40"/>
  <c r="Y127" i="40"/>
  <c r="Y128" i="40"/>
  <c r="Y129" i="40"/>
  <c r="Y130" i="40"/>
  <c r="Y131" i="40"/>
  <c r="Y132" i="40"/>
  <c r="Y133" i="40"/>
  <c r="Y134" i="40"/>
  <c r="Y135" i="40"/>
  <c r="Y136" i="40"/>
  <c r="Y137" i="40"/>
  <c r="Y138" i="40"/>
  <c r="Y139" i="40"/>
  <c r="Y140" i="40"/>
  <c r="Y141" i="40"/>
  <c r="Y142" i="40"/>
  <c r="Y143" i="40"/>
  <c r="Y144" i="40"/>
  <c r="Y145" i="40"/>
  <c r="Y146" i="40"/>
  <c r="Y147" i="40"/>
  <c r="Y148" i="40"/>
  <c r="Y149" i="40"/>
  <c r="Y150" i="40"/>
  <c r="Y151" i="40"/>
  <c r="Y152" i="40"/>
  <c r="Y153" i="40"/>
  <c r="Y154" i="40"/>
  <c r="Y155" i="40"/>
  <c r="Y156" i="40"/>
  <c r="Y157" i="40"/>
  <c r="Y158" i="40"/>
  <c r="Y159" i="40"/>
  <c r="Y160" i="40"/>
  <c r="Y161" i="40"/>
  <c r="Y162" i="40"/>
  <c r="Y163" i="40"/>
  <c r="Y164" i="40"/>
  <c r="Y165" i="40"/>
  <c r="Y166" i="40"/>
  <c r="Y167" i="40"/>
  <c r="Y168" i="40"/>
  <c r="Y169" i="40"/>
  <c r="Y170" i="40"/>
  <c r="Y171" i="40"/>
  <c r="Y172" i="40"/>
  <c r="Y173" i="40"/>
  <c r="Y174" i="40"/>
  <c r="Y175" i="40"/>
  <c r="Y176" i="40"/>
  <c r="Y177" i="40"/>
  <c r="Y178" i="40"/>
  <c r="Y179" i="40"/>
  <c r="Y180" i="40"/>
  <c r="Y181" i="40"/>
  <c r="Y182" i="40"/>
  <c r="Y183" i="40"/>
  <c r="Y184" i="40"/>
  <c r="Y185" i="40"/>
  <c r="Y186" i="40"/>
  <c r="Y187" i="40"/>
  <c r="Y188" i="40"/>
  <c r="Y189" i="40"/>
  <c r="Y190" i="40"/>
  <c r="Y191" i="40"/>
  <c r="Y192" i="40"/>
  <c r="Y193" i="40"/>
  <c r="Y194" i="40"/>
  <c r="Y195" i="40"/>
  <c r="Y196" i="40"/>
  <c r="Y197" i="40"/>
  <c r="Y198" i="40"/>
  <c r="Y199" i="40"/>
  <c r="Y200" i="40"/>
  <c r="Y201" i="40"/>
  <c r="Y202" i="40"/>
  <c r="Y203" i="40"/>
  <c r="Y204" i="40"/>
  <c r="Y205" i="40"/>
  <c r="Y206" i="40"/>
  <c r="Y207" i="40"/>
  <c r="Y208" i="40"/>
  <c r="Y209" i="40"/>
  <c r="Y210" i="40"/>
  <c r="Y211" i="40"/>
  <c r="Y212" i="40"/>
  <c r="Y213" i="40"/>
  <c r="Y214" i="40"/>
  <c r="Y215" i="40"/>
  <c r="Y216" i="40"/>
  <c r="Y217" i="40"/>
  <c r="Y218" i="40"/>
  <c r="Y219" i="40"/>
  <c r="Y220" i="40"/>
  <c r="Y221" i="40"/>
  <c r="Y222" i="40"/>
  <c r="Y223" i="40"/>
  <c r="Y224" i="40"/>
  <c r="Y225" i="40"/>
  <c r="Y226" i="40"/>
  <c r="Y227" i="40"/>
  <c r="Y228" i="40"/>
  <c r="Y229" i="40"/>
  <c r="Y230" i="40"/>
  <c r="Y231" i="40"/>
  <c r="Y232" i="40"/>
  <c r="Y233" i="40"/>
  <c r="Y234" i="40"/>
  <c r="Y235" i="40"/>
  <c r="Y236" i="40"/>
  <c r="Y237" i="40"/>
  <c r="Y238" i="40"/>
  <c r="Y239" i="40"/>
  <c r="Y240" i="40"/>
  <c r="Y241" i="40"/>
  <c r="Y242" i="40"/>
  <c r="Y243" i="40"/>
  <c r="Y244" i="40"/>
  <c r="Y245" i="40"/>
  <c r="Y246" i="40"/>
  <c r="Y247" i="40"/>
  <c r="Y248" i="40"/>
  <c r="Y249" i="40"/>
  <c r="Y250" i="40"/>
  <c r="Y251" i="40"/>
  <c r="Y252" i="40"/>
  <c r="Y253" i="40"/>
  <c r="Y254" i="40"/>
  <c r="Y255" i="40"/>
  <c r="Y256" i="40"/>
  <c r="Y257" i="40"/>
  <c r="Y258" i="40"/>
  <c r="Y259" i="40"/>
  <c r="Y260" i="40"/>
  <c r="Y261" i="40"/>
  <c r="Y262" i="40"/>
  <c r="Y263" i="40"/>
  <c r="Y264" i="40"/>
  <c r="Y265" i="40"/>
  <c r="Y266" i="40"/>
  <c r="Y267" i="40"/>
  <c r="Y268" i="40"/>
  <c r="Y269" i="40"/>
  <c r="Y270" i="40"/>
  <c r="Y271" i="40"/>
  <c r="Y272" i="40"/>
  <c r="Y273" i="40"/>
  <c r="Y274" i="40"/>
  <c r="Y275" i="40"/>
  <c r="Y276" i="40"/>
  <c r="Y277" i="40"/>
  <c r="Y278" i="40"/>
  <c r="Y279" i="40"/>
  <c r="Y280" i="40"/>
  <c r="Y281" i="40"/>
  <c r="Y282" i="40"/>
  <c r="Y283" i="40"/>
  <c r="Y284" i="40"/>
  <c r="Y285" i="40"/>
  <c r="Y286" i="40"/>
  <c r="Y287" i="40"/>
  <c r="Y288" i="40"/>
  <c r="Y289" i="40"/>
  <c r="Y290" i="40"/>
  <c r="Y291" i="40"/>
  <c r="Y292" i="40"/>
  <c r="Y293" i="40"/>
  <c r="Y294" i="40"/>
  <c r="Y295" i="40"/>
  <c r="Y296" i="40"/>
  <c r="Y297" i="40"/>
  <c r="Y298" i="40"/>
  <c r="Y299" i="40"/>
  <c r="Y300" i="40"/>
  <c r="Y301" i="40"/>
  <c r="Y302" i="40"/>
  <c r="Y303" i="40"/>
  <c r="Y304" i="40"/>
  <c r="Y305" i="40"/>
  <c r="Y306" i="40"/>
  <c r="Y307" i="40"/>
  <c r="Y308" i="40"/>
  <c r="Y309" i="40"/>
  <c r="Y310" i="40"/>
  <c r="Y311" i="40"/>
  <c r="Y312" i="40"/>
  <c r="Y313" i="40"/>
  <c r="Y314" i="40"/>
  <c r="Y315" i="40"/>
  <c r="Y316" i="40"/>
  <c r="Y317" i="40"/>
  <c r="Y318" i="40"/>
  <c r="Y319" i="40"/>
  <c r="Y320" i="40"/>
  <c r="Y321" i="40"/>
  <c r="Y322" i="40"/>
  <c r="Y323" i="40"/>
  <c r="Y324" i="40"/>
  <c r="Y325" i="40"/>
  <c r="Y326" i="40"/>
  <c r="Y327" i="40"/>
  <c r="Y328" i="40"/>
  <c r="Y329" i="40"/>
  <c r="Y330" i="40"/>
  <c r="Y331" i="40"/>
  <c r="Y332" i="40"/>
  <c r="Y333" i="40"/>
  <c r="Y334" i="40"/>
  <c r="Y335" i="40"/>
  <c r="Y336" i="40"/>
  <c r="Y337" i="40"/>
  <c r="Y338" i="40"/>
  <c r="Y339" i="40"/>
  <c r="Y340" i="40"/>
  <c r="Y341" i="40"/>
  <c r="Y342" i="40"/>
  <c r="Y343" i="40"/>
  <c r="Y344" i="40"/>
  <c r="Y345" i="40"/>
  <c r="Y346" i="40"/>
  <c r="Y347" i="40"/>
  <c r="Y348" i="40"/>
  <c r="Y349" i="40"/>
  <c r="Y350" i="40"/>
  <c r="Y351" i="40"/>
  <c r="Y352" i="40"/>
  <c r="Y353" i="40"/>
  <c r="Y354" i="40"/>
  <c r="Y355" i="40"/>
  <c r="Y356" i="40"/>
  <c r="Y357" i="40"/>
  <c r="Y358" i="40"/>
  <c r="Y359" i="40"/>
  <c r="Y360" i="40"/>
  <c r="Y361" i="40"/>
  <c r="Y362" i="40"/>
  <c r="Y363" i="40"/>
  <c r="Y364" i="40"/>
  <c r="Y365" i="40"/>
  <c r="Y366" i="40"/>
  <c r="Y367" i="40"/>
  <c r="Y368" i="40"/>
  <c r="Y369" i="40"/>
  <c r="Y370" i="40"/>
  <c r="Y371" i="40"/>
  <c r="Y372" i="40"/>
  <c r="Y373" i="40"/>
  <c r="Y374" i="40"/>
  <c r="Y375" i="40"/>
  <c r="Y376" i="40"/>
  <c r="Y377" i="40"/>
  <c r="Y378" i="40"/>
  <c r="Y379" i="40"/>
  <c r="Y380" i="40"/>
  <c r="Y381" i="40"/>
  <c r="Y382" i="40"/>
  <c r="Y383" i="40"/>
  <c r="Y384" i="40"/>
  <c r="Y385" i="40"/>
  <c r="Y386" i="40"/>
  <c r="Y387" i="40"/>
  <c r="Y388" i="40"/>
  <c r="Y389" i="40"/>
  <c r="Y390" i="40"/>
  <c r="Y391" i="40"/>
  <c r="Y392" i="40"/>
  <c r="Y393" i="40"/>
  <c r="Y394" i="40"/>
  <c r="Y395" i="40"/>
  <c r="Y396" i="40"/>
  <c r="Y397" i="40"/>
  <c r="Y398" i="40"/>
  <c r="Y399" i="40"/>
  <c r="Y400" i="40"/>
  <c r="Y401" i="40"/>
  <c r="Y402" i="40"/>
  <c r="Y403" i="40"/>
  <c r="Y404" i="40"/>
  <c r="Y405" i="40"/>
  <c r="Y406" i="40"/>
  <c r="Y407" i="40"/>
  <c r="Y408" i="40"/>
  <c r="Y409" i="40"/>
  <c r="Y410" i="40"/>
  <c r="Y411" i="40"/>
  <c r="Y412" i="40"/>
  <c r="Y413" i="40"/>
  <c r="Y414" i="40"/>
  <c r="Y415" i="40"/>
  <c r="Y416" i="40"/>
  <c r="Y417" i="40"/>
  <c r="Y418" i="40"/>
  <c r="Y419" i="40"/>
  <c r="Y420" i="40"/>
  <c r="Y421" i="40"/>
  <c r="Y422" i="40"/>
  <c r="Y423" i="40"/>
  <c r="Y424" i="40"/>
  <c r="Y425" i="40"/>
  <c r="Y426" i="40"/>
  <c r="Y427" i="40"/>
  <c r="Y428" i="40"/>
  <c r="Y429" i="40"/>
  <c r="Y430" i="40"/>
  <c r="Y431" i="40"/>
  <c r="Y432" i="40"/>
  <c r="Y433" i="40"/>
  <c r="Y434" i="40"/>
  <c r="Y435" i="40"/>
  <c r="Y436" i="40"/>
  <c r="Y437" i="40"/>
  <c r="Y438" i="40"/>
  <c r="Y439" i="40"/>
  <c r="Y440" i="40"/>
  <c r="Y441" i="40"/>
  <c r="Y442" i="40"/>
  <c r="Y443" i="40"/>
  <c r="Y444" i="40"/>
  <c r="Y445" i="40"/>
  <c r="Y446" i="40"/>
  <c r="Y447" i="40"/>
  <c r="Y448" i="40"/>
  <c r="Y449" i="40"/>
  <c r="Y450" i="40"/>
  <c r="Y451" i="40"/>
  <c r="Y452" i="40"/>
  <c r="Y453" i="40"/>
  <c r="Y454" i="40"/>
  <c r="Y455" i="40"/>
  <c r="Y456" i="40"/>
  <c r="Y457" i="40"/>
  <c r="Y458" i="40"/>
  <c r="Y459" i="40"/>
  <c r="Y460" i="40"/>
  <c r="Y461" i="40"/>
  <c r="Y462" i="40"/>
  <c r="Y463" i="40"/>
  <c r="Y464" i="40"/>
  <c r="Y465" i="40"/>
  <c r="Y466" i="40"/>
  <c r="Y467" i="40"/>
  <c r="Y468" i="40"/>
  <c r="Y469" i="40"/>
  <c r="Y470" i="40"/>
  <c r="Y471" i="40"/>
  <c r="Y472" i="40"/>
  <c r="Y473" i="40"/>
  <c r="Y474" i="40"/>
  <c r="Y475" i="40"/>
  <c r="Y476" i="40"/>
  <c r="Y477" i="40"/>
  <c r="Y478" i="40"/>
  <c r="Y479" i="40"/>
  <c r="Y480" i="40"/>
  <c r="Y481" i="40"/>
  <c r="Y482" i="40"/>
  <c r="Y483" i="40"/>
  <c r="Y484" i="40"/>
  <c r="Y485" i="40"/>
  <c r="Y486" i="40"/>
  <c r="Y487" i="40"/>
  <c r="Y488" i="40"/>
  <c r="Y489" i="40"/>
  <c r="Y490" i="40"/>
  <c r="Y491" i="40"/>
  <c r="Y492" i="40"/>
  <c r="Y493" i="40"/>
  <c r="Y494" i="40"/>
  <c r="Y495" i="40"/>
  <c r="Y496" i="40"/>
  <c r="Y497" i="40"/>
  <c r="Y498" i="40"/>
  <c r="Y499" i="40"/>
  <c r="Y500" i="40"/>
  <c r="Y501" i="40"/>
  <c r="Y502" i="40"/>
  <c r="Y503" i="40"/>
  <c r="Y504" i="40"/>
  <c r="Y505" i="40"/>
  <c r="Y506" i="40"/>
  <c r="Y507" i="40"/>
  <c r="Y508" i="40"/>
  <c r="Y509" i="40"/>
  <c r="Y510" i="40"/>
  <c r="Y511" i="40"/>
  <c r="Y512" i="40"/>
  <c r="Y513" i="40"/>
  <c r="Y514" i="40"/>
  <c r="X15" i="40"/>
  <c r="T15" i="40" s="1"/>
  <c r="X16" i="40"/>
  <c r="T16" i="40" s="1"/>
  <c r="X17" i="40"/>
  <c r="T17" i="40" s="1"/>
  <c r="X18" i="40"/>
  <c r="T18" i="40" s="1"/>
  <c r="X19" i="40"/>
  <c r="T19" i="40" s="1"/>
  <c r="X20" i="40"/>
  <c r="T20" i="40" s="1"/>
  <c r="X21" i="40"/>
  <c r="T21" i="40" s="1"/>
  <c r="X22" i="40"/>
  <c r="T22" i="40" s="1"/>
  <c r="X23" i="40"/>
  <c r="T23" i="40" s="1"/>
  <c r="X24" i="40"/>
  <c r="T24" i="40" s="1"/>
  <c r="X25" i="40"/>
  <c r="T25" i="40" s="1"/>
  <c r="X26" i="40"/>
  <c r="T26" i="40" s="1"/>
  <c r="X27" i="40"/>
  <c r="T27" i="40" s="1"/>
  <c r="X28" i="40"/>
  <c r="T28" i="40" s="1"/>
  <c r="X29" i="40"/>
  <c r="T29" i="40" s="1"/>
  <c r="X30" i="40"/>
  <c r="T30" i="40" s="1"/>
  <c r="X31" i="40"/>
  <c r="T31" i="40" s="1"/>
  <c r="X32" i="40"/>
  <c r="T32" i="40" s="1"/>
  <c r="X33" i="40"/>
  <c r="T33" i="40" s="1"/>
  <c r="X34" i="40"/>
  <c r="T34" i="40" s="1"/>
  <c r="X35" i="40"/>
  <c r="T35" i="40" s="1"/>
  <c r="X36" i="40"/>
  <c r="T36" i="40" s="1"/>
  <c r="X37" i="40"/>
  <c r="T37" i="40" s="1"/>
  <c r="X38" i="40"/>
  <c r="T38" i="40" s="1"/>
  <c r="X39" i="40"/>
  <c r="T39" i="40" s="1"/>
  <c r="X40" i="40"/>
  <c r="T40" i="40" s="1"/>
  <c r="X41" i="40"/>
  <c r="T41" i="40" s="1"/>
  <c r="X42" i="40"/>
  <c r="T42" i="40" s="1"/>
  <c r="X43" i="40"/>
  <c r="T43" i="40" s="1"/>
  <c r="X44" i="40"/>
  <c r="T44" i="40" s="1"/>
  <c r="X45" i="40"/>
  <c r="T45" i="40" s="1"/>
  <c r="X46" i="40"/>
  <c r="T46" i="40" s="1"/>
  <c r="X47" i="40"/>
  <c r="T47" i="40" s="1"/>
  <c r="X48" i="40"/>
  <c r="T48" i="40" s="1"/>
  <c r="X49" i="40"/>
  <c r="T49" i="40" s="1"/>
  <c r="X50" i="40"/>
  <c r="T50" i="40" s="1"/>
  <c r="X51" i="40"/>
  <c r="T51" i="40" s="1"/>
  <c r="X52" i="40"/>
  <c r="T52" i="40" s="1"/>
  <c r="X53" i="40"/>
  <c r="T53" i="40" s="1"/>
  <c r="X54" i="40"/>
  <c r="T54" i="40" s="1"/>
  <c r="X55" i="40"/>
  <c r="T55" i="40" s="1"/>
  <c r="X56" i="40"/>
  <c r="T56" i="40" s="1"/>
  <c r="X57" i="40"/>
  <c r="T57" i="40" s="1"/>
  <c r="X58" i="40"/>
  <c r="T58" i="40" s="1"/>
  <c r="X59" i="40"/>
  <c r="T59" i="40" s="1"/>
  <c r="X60" i="40"/>
  <c r="T60" i="40" s="1"/>
  <c r="X61" i="40"/>
  <c r="T61" i="40" s="1"/>
  <c r="X62" i="40"/>
  <c r="T62" i="40" s="1"/>
  <c r="X63" i="40"/>
  <c r="T63" i="40" s="1"/>
  <c r="X64" i="40"/>
  <c r="T64" i="40" s="1"/>
  <c r="X65" i="40"/>
  <c r="T65" i="40" s="1"/>
  <c r="X66" i="40"/>
  <c r="T66" i="40" s="1"/>
  <c r="X67" i="40"/>
  <c r="T67" i="40" s="1"/>
  <c r="X68" i="40"/>
  <c r="T68" i="40" s="1"/>
  <c r="X69" i="40"/>
  <c r="T69" i="40" s="1"/>
  <c r="X70" i="40"/>
  <c r="T70" i="40" s="1"/>
  <c r="X71" i="40"/>
  <c r="T71" i="40" s="1"/>
  <c r="X72" i="40"/>
  <c r="T72" i="40" s="1"/>
  <c r="X73" i="40"/>
  <c r="T73" i="40" s="1"/>
  <c r="X74" i="40"/>
  <c r="T74" i="40" s="1"/>
  <c r="X75" i="40"/>
  <c r="T75" i="40" s="1"/>
  <c r="X76" i="40"/>
  <c r="T76" i="40" s="1"/>
  <c r="X77" i="40"/>
  <c r="T77" i="40" s="1"/>
  <c r="X78" i="40"/>
  <c r="T78" i="40" s="1"/>
  <c r="X79" i="40"/>
  <c r="T79" i="40" s="1"/>
  <c r="X80" i="40"/>
  <c r="T80" i="40" s="1"/>
  <c r="X81" i="40"/>
  <c r="T81" i="40" s="1"/>
  <c r="X82" i="40"/>
  <c r="T82" i="40" s="1"/>
  <c r="X83" i="40"/>
  <c r="T83" i="40" s="1"/>
  <c r="X84" i="40"/>
  <c r="T84" i="40" s="1"/>
  <c r="X85" i="40"/>
  <c r="T85" i="40" s="1"/>
  <c r="X86" i="40"/>
  <c r="T86" i="40" s="1"/>
  <c r="X87" i="40"/>
  <c r="T87" i="40" s="1"/>
  <c r="X88" i="40"/>
  <c r="T88" i="40" s="1"/>
  <c r="X89" i="40"/>
  <c r="T89" i="40" s="1"/>
  <c r="X90" i="40"/>
  <c r="T90" i="40" s="1"/>
  <c r="X91" i="40"/>
  <c r="T91" i="40" s="1"/>
  <c r="X92" i="40"/>
  <c r="T92" i="40" s="1"/>
  <c r="X93" i="40"/>
  <c r="T93" i="40" s="1"/>
  <c r="X94" i="40"/>
  <c r="T94" i="40" s="1"/>
  <c r="X95" i="40"/>
  <c r="T95" i="40" s="1"/>
  <c r="X96" i="40"/>
  <c r="T96" i="40" s="1"/>
  <c r="X97" i="40"/>
  <c r="T97" i="40" s="1"/>
  <c r="X98" i="40"/>
  <c r="T98" i="40" s="1"/>
  <c r="X99" i="40"/>
  <c r="T99" i="40" s="1"/>
  <c r="X100" i="40"/>
  <c r="T100" i="40" s="1"/>
  <c r="X101" i="40"/>
  <c r="T101" i="40" s="1"/>
  <c r="X102" i="40"/>
  <c r="T102" i="40" s="1"/>
  <c r="X103" i="40"/>
  <c r="T103" i="40" s="1"/>
  <c r="X104" i="40"/>
  <c r="T104" i="40" s="1"/>
  <c r="X105" i="40"/>
  <c r="T105" i="40" s="1"/>
  <c r="X106" i="40"/>
  <c r="T106" i="40" s="1"/>
  <c r="X107" i="40"/>
  <c r="T107" i="40" s="1"/>
  <c r="X108" i="40"/>
  <c r="T108" i="40" s="1"/>
  <c r="X109" i="40"/>
  <c r="T109" i="40" s="1"/>
  <c r="X110" i="40"/>
  <c r="T110" i="40" s="1"/>
  <c r="X111" i="40"/>
  <c r="T111" i="40" s="1"/>
  <c r="X112" i="40"/>
  <c r="T112" i="40" s="1"/>
  <c r="X113" i="40"/>
  <c r="T113" i="40" s="1"/>
  <c r="X114" i="40"/>
  <c r="T114" i="40" s="1"/>
  <c r="X115" i="40"/>
  <c r="T115" i="40" s="1"/>
  <c r="X116" i="40"/>
  <c r="T116" i="40" s="1"/>
  <c r="X117" i="40"/>
  <c r="T117" i="40" s="1"/>
  <c r="X118" i="40"/>
  <c r="T118" i="40" s="1"/>
  <c r="X119" i="40"/>
  <c r="T119" i="40" s="1"/>
  <c r="X120" i="40"/>
  <c r="T120" i="40" s="1"/>
  <c r="X121" i="40"/>
  <c r="T121" i="40" s="1"/>
  <c r="X122" i="40"/>
  <c r="T122" i="40" s="1"/>
  <c r="X123" i="40"/>
  <c r="T123" i="40" s="1"/>
  <c r="X124" i="40"/>
  <c r="T124" i="40" s="1"/>
  <c r="X125" i="40"/>
  <c r="T125" i="40" s="1"/>
  <c r="X126" i="40"/>
  <c r="T126" i="40" s="1"/>
  <c r="X127" i="40"/>
  <c r="T127" i="40" s="1"/>
  <c r="X128" i="40"/>
  <c r="T128" i="40" s="1"/>
  <c r="X129" i="40"/>
  <c r="T129" i="40" s="1"/>
  <c r="X130" i="40"/>
  <c r="T130" i="40" s="1"/>
  <c r="X131" i="40"/>
  <c r="X132" i="40"/>
  <c r="T132" i="40" s="1"/>
  <c r="X133" i="40"/>
  <c r="T133" i="40" s="1"/>
  <c r="X134" i="40"/>
  <c r="T134" i="40" s="1"/>
  <c r="X135" i="40"/>
  <c r="T135" i="40" s="1"/>
  <c r="X136" i="40"/>
  <c r="T136" i="40" s="1"/>
  <c r="X137" i="40"/>
  <c r="T137" i="40" s="1"/>
  <c r="X138" i="40"/>
  <c r="T138" i="40" s="1"/>
  <c r="X139" i="40"/>
  <c r="T139" i="40" s="1"/>
  <c r="X140" i="40"/>
  <c r="T140" i="40" s="1"/>
  <c r="X141" i="40"/>
  <c r="T141" i="40" s="1"/>
  <c r="X142" i="40"/>
  <c r="T142" i="40" s="1"/>
  <c r="X143" i="40"/>
  <c r="T143" i="40" s="1"/>
  <c r="X144" i="40"/>
  <c r="T144" i="40" s="1"/>
  <c r="X145" i="40"/>
  <c r="T145" i="40" s="1"/>
  <c r="X146" i="40"/>
  <c r="T146" i="40" s="1"/>
  <c r="X147" i="40"/>
  <c r="T147" i="40" s="1"/>
  <c r="X148" i="40"/>
  <c r="T148" i="40" s="1"/>
  <c r="X149" i="40"/>
  <c r="T149" i="40" s="1"/>
  <c r="X150" i="40"/>
  <c r="T150" i="40" s="1"/>
  <c r="X151" i="40"/>
  <c r="T151" i="40" s="1"/>
  <c r="X152" i="40"/>
  <c r="T152" i="40" s="1"/>
  <c r="X153" i="40"/>
  <c r="T153" i="40" s="1"/>
  <c r="X154" i="40"/>
  <c r="T154" i="40" s="1"/>
  <c r="X155" i="40"/>
  <c r="T155" i="40" s="1"/>
  <c r="X156" i="40"/>
  <c r="T156" i="40" s="1"/>
  <c r="X157" i="40"/>
  <c r="T157" i="40" s="1"/>
  <c r="X158" i="40"/>
  <c r="T158" i="40" s="1"/>
  <c r="X159" i="40"/>
  <c r="T159" i="40" s="1"/>
  <c r="X160" i="40"/>
  <c r="T160" i="40" s="1"/>
  <c r="X161" i="40"/>
  <c r="T161" i="40" s="1"/>
  <c r="X162" i="40"/>
  <c r="T162" i="40" s="1"/>
  <c r="X163" i="40"/>
  <c r="T163" i="40" s="1"/>
  <c r="X164" i="40"/>
  <c r="T164" i="40" s="1"/>
  <c r="X165" i="40"/>
  <c r="T165" i="40" s="1"/>
  <c r="X166" i="40"/>
  <c r="T166" i="40" s="1"/>
  <c r="X167" i="40"/>
  <c r="T167" i="40" s="1"/>
  <c r="X168" i="40"/>
  <c r="T168" i="40" s="1"/>
  <c r="X169" i="40"/>
  <c r="T169" i="40" s="1"/>
  <c r="X170" i="40"/>
  <c r="T170" i="40" s="1"/>
  <c r="X171" i="40"/>
  <c r="T171" i="40" s="1"/>
  <c r="X172" i="40"/>
  <c r="T172" i="40" s="1"/>
  <c r="X173" i="40"/>
  <c r="T173" i="40" s="1"/>
  <c r="X174" i="40"/>
  <c r="T174" i="40" s="1"/>
  <c r="X175" i="40"/>
  <c r="T175" i="40" s="1"/>
  <c r="X176" i="40"/>
  <c r="T176" i="40" s="1"/>
  <c r="X177" i="40"/>
  <c r="T177" i="40" s="1"/>
  <c r="X178" i="40"/>
  <c r="T178" i="40" s="1"/>
  <c r="X179" i="40"/>
  <c r="T179" i="40" s="1"/>
  <c r="X180" i="40"/>
  <c r="T180" i="40" s="1"/>
  <c r="X181" i="40"/>
  <c r="T181" i="40" s="1"/>
  <c r="X182" i="40"/>
  <c r="T182" i="40" s="1"/>
  <c r="X183" i="40"/>
  <c r="T183" i="40" s="1"/>
  <c r="X184" i="40"/>
  <c r="T184" i="40" s="1"/>
  <c r="X185" i="40"/>
  <c r="T185" i="40" s="1"/>
  <c r="X186" i="40"/>
  <c r="T186" i="40" s="1"/>
  <c r="X187" i="40"/>
  <c r="T187" i="40" s="1"/>
  <c r="X188" i="40"/>
  <c r="T188" i="40" s="1"/>
  <c r="X189" i="40"/>
  <c r="T189" i="40" s="1"/>
  <c r="X190" i="40"/>
  <c r="T190" i="40" s="1"/>
  <c r="X191" i="40"/>
  <c r="T191" i="40" s="1"/>
  <c r="X192" i="40"/>
  <c r="T192" i="40" s="1"/>
  <c r="X193" i="40"/>
  <c r="T193" i="40" s="1"/>
  <c r="X194" i="40"/>
  <c r="T194" i="40" s="1"/>
  <c r="X195" i="40"/>
  <c r="T195" i="40" s="1"/>
  <c r="X196" i="40"/>
  <c r="T196" i="40" s="1"/>
  <c r="X197" i="40"/>
  <c r="T197" i="40" s="1"/>
  <c r="X198" i="40"/>
  <c r="T198" i="40" s="1"/>
  <c r="X199" i="40"/>
  <c r="T199" i="40" s="1"/>
  <c r="X200" i="40"/>
  <c r="T200" i="40" s="1"/>
  <c r="X201" i="40"/>
  <c r="T201" i="40" s="1"/>
  <c r="X202" i="40"/>
  <c r="T202" i="40" s="1"/>
  <c r="X203" i="40"/>
  <c r="T203" i="40" s="1"/>
  <c r="X204" i="40"/>
  <c r="T204" i="40" s="1"/>
  <c r="X205" i="40"/>
  <c r="T205" i="40" s="1"/>
  <c r="X206" i="40"/>
  <c r="T206" i="40" s="1"/>
  <c r="X207" i="40"/>
  <c r="T207" i="40" s="1"/>
  <c r="X208" i="40"/>
  <c r="T208" i="40" s="1"/>
  <c r="X209" i="40"/>
  <c r="T209" i="40" s="1"/>
  <c r="X210" i="40"/>
  <c r="T210" i="40" s="1"/>
  <c r="X211" i="40"/>
  <c r="T211" i="40" s="1"/>
  <c r="X212" i="40"/>
  <c r="T212" i="40" s="1"/>
  <c r="X213" i="40"/>
  <c r="T213" i="40" s="1"/>
  <c r="X214" i="40"/>
  <c r="T214" i="40" s="1"/>
  <c r="X215" i="40"/>
  <c r="T215" i="40" s="1"/>
  <c r="X216" i="40"/>
  <c r="T216" i="40" s="1"/>
  <c r="X217" i="40"/>
  <c r="T217" i="40" s="1"/>
  <c r="X218" i="40"/>
  <c r="T218" i="40" s="1"/>
  <c r="X219" i="40"/>
  <c r="T219" i="40" s="1"/>
  <c r="X220" i="40"/>
  <c r="T220" i="40" s="1"/>
  <c r="X221" i="40"/>
  <c r="T221" i="40" s="1"/>
  <c r="X222" i="40"/>
  <c r="T222" i="40" s="1"/>
  <c r="X223" i="40"/>
  <c r="T223" i="40" s="1"/>
  <c r="X224" i="40"/>
  <c r="T224" i="40" s="1"/>
  <c r="X225" i="40"/>
  <c r="T225" i="40" s="1"/>
  <c r="X226" i="40"/>
  <c r="T226" i="40" s="1"/>
  <c r="X227" i="40"/>
  <c r="T227" i="40" s="1"/>
  <c r="X228" i="40"/>
  <c r="T228" i="40" s="1"/>
  <c r="X229" i="40"/>
  <c r="T229" i="40" s="1"/>
  <c r="X230" i="40"/>
  <c r="T230" i="40" s="1"/>
  <c r="X231" i="40"/>
  <c r="T231" i="40" s="1"/>
  <c r="AA231" i="40" s="1" a="1"/>
  <c r="AA231" i="40" s="1"/>
  <c r="X232" i="40"/>
  <c r="T232" i="40" s="1"/>
  <c r="X233" i="40"/>
  <c r="T233" i="40" s="1"/>
  <c r="X234" i="40"/>
  <c r="T234" i="40" s="1"/>
  <c r="X235" i="40"/>
  <c r="T235" i="40" s="1"/>
  <c r="X236" i="40"/>
  <c r="T236" i="40" s="1"/>
  <c r="X237" i="40"/>
  <c r="T237" i="40" s="1"/>
  <c r="X238" i="40"/>
  <c r="T238" i="40" s="1"/>
  <c r="X239" i="40"/>
  <c r="T239" i="40" s="1"/>
  <c r="X240" i="40"/>
  <c r="T240" i="40" s="1"/>
  <c r="X241" i="40"/>
  <c r="T241" i="40" s="1"/>
  <c r="X242" i="40"/>
  <c r="T242" i="40" s="1"/>
  <c r="X243" i="40"/>
  <c r="T243" i="40" s="1"/>
  <c r="X244" i="40"/>
  <c r="T244" i="40" s="1"/>
  <c r="X245" i="40"/>
  <c r="T245" i="40" s="1"/>
  <c r="X246" i="40"/>
  <c r="T246" i="40" s="1"/>
  <c r="X247" i="40"/>
  <c r="T247" i="40" s="1"/>
  <c r="X248" i="40"/>
  <c r="T248" i="40" s="1"/>
  <c r="X249" i="40"/>
  <c r="T249" i="40" s="1"/>
  <c r="X250" i="40"/>
  <c r="T250" i="40" s="1"/>
  <c r="X251" i="40"/>
  <c r="T251" i="40" s="1"/>
  <c r="X252" i="40"/>
  <c r="T252" i="40" s="1"/>
  <c r="X253" i="40"/>
  <c r="T253" i="40" s="1"/>
  <c r="AA253" i="40" s="1" a="1"/>
  <c r="AA253" i="40" s="1"/>
  <c r="X254" i="40"/>
  <c r="T254" i="40" s="1"/>
  <c r="X255" i="40"/>
  <c r="T255" i="40" s="1"/>
  <c r="X256" i="40"/>
  <c r="T256" i="40" s="1"/>
  <c r="X257" i="40"/>
  <c r="T257" i="40" s="1"/>
  <c r="X258" i="40"/>
  <c r="T258" i="40" s="1"/>
  <c r="X259" i="40"/>
  <c r="T259" i="40" s="1"/>
  <c r="X260" i="40"/>
  <c r="T260" i="40" s="1"/>
  <c r="X261" i="40"/>
  <c r="T261" i="40" s="1"/>
  <c r="X262" i="40"/>
  <c r="T262" i="40" s="1"/>
  <c r="X263" i="40"/>
  <c r="T263" i="40" s="1"/>
  <c r="X264" i="40"/>
  <c r="T264" i="40" s="1"/>
  <c r="X265" i="40"/>
  <c r="T265" i="40" s="1"/>
  <c r="X266" i="40"/>
  <c r="T266" i="40" s="1"/>
  <c r="X267" i="40"/>
  <c r="T267" i="40" s="1"/>
  <c r="X268" i="40"/>
  <c r="T268" i="40" s="1"/>
  <c r="X269" i="40"/>
  <c r="T269" i="40" s="1"/>
  <c r="X270" i="40"/>
  <c r="T270" i="40" s="1"/>
  <c r="X271" i="40"/>
  <c r="T271" i="40" s="1"/>
  <c r="X272" i="40"/>
  <c r="T272" i="40" s="1"/>
  <c r="X273" i="40"/>
  <c r="T273" i="40" s="1"/>
  <c r="X274" i="40"/>
  <c r="T274" i="40" s="1"/>
  <c r="X275" i="40"/>
  <c r="T275" i="40" s="1"/>
  <c r="X276" i="40"/>
  <c r="T276" i="40" s="1"/>
  <c r="X277" i="40"/>
  <c r="T277" i="40" s="1"/>
  <c r="X278" i="40"/>
  <c r="T278" i="40" s="1"/>
  <c r="X279" i="40"/>
  <c r="T279" i="40" s="1"/>
  <c r="X280" i="40"/>
  <c r="T280" i="40" s="1"/>
  <c r="X281" i="40"/>
  <c r="T281" i="40" s="1"/>
  <c r="X282" i="40"/>
  <c r="T282" i="40" s="1"/>
  <c r="X283" i="40"/>
  <c r="T283" i="40" s="1"/>
  <c r="X284" i="40"/>
  <c r="T284" i="40" s="1"/>
  <c r="X285" i="40"/>
  <c r="T285" i="40" s="1"/>
  <c r="X286" i="40"/>
  <c r="T286" i="40" s="1"/>
  <c r="X287" i="40"/>
  <c r="T287" i="40" s="1"/>
  <c r="X288" i="40"/>
  <c r="T288" i="40" s="1"/>
  <c r="X289" i="40"/>
  <c r="T289" i="40" s="1"/>
  <c r="X290" i="40"/>
  <c r="T290" i="40" s="1"/>
  <c r="X291" i="40"/>
  <c r="T291" i="40" s="1"/>
  <c r="X292" i="40"/>
  <c r="T292" i="40" s="1"/>
  <c r="X293" i="40"/>
  <c r="T293" i="40" s="1"/>
  <c r="X294" i="40"/>
  <c r="T294" i="40" s="1"/>
  <c r="X295" i="40"/>
  <c r="T295" i="40" s="1"/>
  <c r="X296" i="40"/>
  <c r="T296" i="40" s="1"/>
  <c r="X297" i="40"/>
  <c r="T297" i="40" s="1"/>
  <c r="X298" i="40"/>
  <c r="T298" i="40" s="1"/>
  <c r="X299" i="40"/>
  <c r="T299" i="40" s="1"/>
  <c r="X300" i="40"/>
  <c r="T300" i="40" s="1"/>
  <c r="X301" i="40"/>
  <c r="T301" i="40" s="1"/>
  <c r="X302" i="40"/>
  <c r="T302" i="40" s="1"/>
  <c r="X303" i="40"/>
  <c r="T303" i="40" s="1"/>
  <c r="X304" i="40"/>
  <c r="T304" i="40" s="1"/>
  <c r="X305" i="40"/>
  <c r="T305" i="40" s="1"/>
  <c r="X306" i="40"/>
  <c r="T306" i="40" s="1"/>
  <c r="X307" i="40"/>
  <c r="T307" i="40" s="1"/>
  <c r="X308" i="40"/>
  <c r="T308" i="40" s="1"/>
  <c r="X309" i="40"/>
  <c r="T309" i="40" s="1"/>
  <c r="X310" i="40"/>
  <c r="T310" i="40" s="1"/>
  <c r="X311" i="40"/>
  <c r="T311" i="40" s="1"/>
  <c r="X312" i="40"/>
  <c r="T312" i="40" s="1"/>
  <c r="X313" i="40"/>
  <c r="T313" i="40" s="1"/>
  <c r="X314" i="40"/>
  <c r="T314" i="40" s="1"/>
  <c r="X315" i="40"/>
  <c r="T315" i="40" s="1"/>
  <c r="X316" i="40"/>
  <c r="T316" i="40" s="1"/>
  <c r="X317" i="40"/>
  <c r="T317" i="40" s="1"/>
  <c r="X318" i="40"/>
  <c r="T318" i="40" s="1"/>
  <c r="X319" i="40"/>
  <c r="T319" i="40" s="1"/>
  <c r="X320" i="40"/>
  <c r="T320" i="40" s="1"/>
  <c r="X321" i="40"/>
  <c r="T321" i="40" s="1"/>
  <c r="X322" i="40"/>
  <c r="T322" i="40" s="1"/>
  <c r="X323" i="40"/>
  <c r="T323" i="40" s="1"/>
  <c r="AA323" i="40" s="1" a="1"/>
  <c r="AA323" i="40" s="1"/>
  <c r="X324" i="40"/>
  <c r="T324" i="40" s="1"/>
  <c r="X325" i="40"/>
  <c r="T325" i="40" s="1"/>
  <c r="X326" i="40"/>
  <c r="T326" i="40" s="1"/>
  <c r="X327" i="40"/>
  <c r="T327" i="40" s="1"/>
  <c r="X328" i="40"/>
  <c r="T328" i="40" s="1"/>
  <c r="X329" i="40"/>
  <c r="T329" i="40" s="1"/>
  <c r="X330" i="40"/>
  <c r="T330" i="40" s="1"/>
  <c r="X331" i="40"/>
  <c r="T331" i="40" s="1"/>
  <c r="X332" i="40"/>
  <c r="T332" i="40" s="1"/>
  <c r="AA332" i="40" s="1" a="1"/>
  <c r="AA332" i="40" s="1"/>
  <c r="X333" i="40"/>
  <c r="T333" i="40" s="1"/>
  <c r="AA333" i="40" s="1" a="1"/>
  <c r="AA333" i="40" s="1"/>
  <c r="X334" i="40"/>
  <c r="T334" i="40" s="1"/>
  <c r="AA334" i="40" s="1" a="1"/>
  <c r="AA334" i="40" s="1"/>
  <c r="X335" i="40"/>
  <c r="T335" i="40" s="1"/>
  <c r="AA335" i="40" s="1" a="1"/>
  <c r="AA335" i="40" s="1"/>
  <c r="X336" i="40"/>
  <c r="T336" i="40" s="1"/>
  <c r="AA336" i="40" s="1" a="1"/>
  <c r="AA336" i="40" s="1"/>
  <c r="X337" i="40"/>
  <c r="T337" i="40" s="1"/>
  <c r="AA337" i="40" s="1" a="1"/>
  <c r="AA337" i="40" s="1"/>
  <c r="X338" i="40"/>
  <c r="T338" i="40" s="1"/>
  <c r="AA338" i="40" s="1" a="1"/>
  <c r="AA338" i="40" s="1"/>
  <c r="X339" i="40"/>
  <c r="T339" i="40" s="1"/>
  <c r="AA339" i="40" s="1" a="1"/>
  <c r="AA339" i="40" s="1"/>
  <c r="X340" i="40"/>
  <c r="T340" i="40" s="1"/>
  <c r="AA340" i="40" s="1" a="1"/>
  <c r="AA340" i="40" s="1"/>
  <c r="X341" i="40"/>
  <c r="T341" i="40" s="1"/>
  <c r="AA341" i="40" s="1" a="1"/>
  <c r="AA341" i="40" s="1"/>
  <c r="X342" i="40"/>
  <c r="T342" i="40" s="1"/>
  <c r="AA342" i="40" s="1" a="1"/>
  <c r="AA342" i="40" s="1"/>
  <c r="X343" i="40"/>
  <c r="T343" i="40" s="1"/>
  <c r="AA343" i="40" s="1" a="1"/>
  <c r="AA343" i="40" s="1"/>
  <c r="X344" i="40"/>
  <c r="T344" i="40" s="1"/>
  <c r="AA344" i="40" s="1" a="1"/>
  <c r="AA344" i="40" s="1"/>
  <c r="X345" i="40"/>
  <c r="T345" i="40" s="1"/>
  <c r="AA345" i="40" s="1" a="1"/>
  <c r="AA345" i="40" s="1"/>
  <c r="X346" i="40"/>
  <c r="T346" i="40" s="1"/>
  <c r="AA346" i="40" s="1" a="1"/>
  <c r="AA346" i="40" s="1"/>
  <c r="X347" i="40"/>
  <c r="T347" i="40" s="1"/>
  <c r="AA347" i="40" s="1" a="1"/>
  <c r="AA347" i="40" s="1"/>
  <c r="X348" i="40"/>
  <c r="T348" i="40" s="1"/>
  <c r="AA348" i="40" s="1" a="1"/>
  <c r="AA348" i="40" s="1"/>
  <c r="X349" i="40"/>
  <c r="T349" i="40" s="1"/>
  <c r="AA349" i="40" s="1" a="1"/>
  <c r="AA349" i="40" s="1"/>
  <c r="X350" i="40"/>
  <c r="T350" i="40" s="1"/>
  <c r="AA350" i="40" s="1" a="1"/>
  <c r="AA350" i="40" s="1"/>
  <c r="X351" i="40"/>
  <c r="T351" i="40" s="1"/>
  <c r="AA351" i="40" s="1" a="1"/>
  <c r="AA351" i="40" s="1"/>
  <c r="X352" i="40"/>
  <c r="T352" i="40" s="1"/>
  <c r="AA352" i="40" s="1" a="1"/>
  <c r="AA352" i="40" s="1"/>
  <c r="X353" i="40"/>
  <c r="T353" i="40" s="1"/>
  <c r="AA353" i="40" s="1" a="1"/>
  <c r="AA353" i="40" s="1"/>
  <c r="X354" i="40"/>
  <c r="T354" i="40" s="1"/>
  <c r="AA354" i="40" s="1" a="1"/>
  <c r="AA354" i="40" s="1"/>
  <c r="X355" i="40"/>
  <c r="T355" i="40" s="1"/>
  <c r="AA355" i="40" s="1" a="1"/>
  <c r="AA355" i="40" s="1"/>
  <c r="X356" i="40"/>
  <c r="T356" i="40" s="1"/>
  <c r="AA356" i="40" s="1" a="1"/>
  <c r="AA356" i="40" s="1"/>
  <c r="X357" i="40"/>
  <c r="T357" i="40" s="1"/>
  <c r="AA357" i="40" s="1" a="1"/>
  <c r="AA357" i="40" s="1"/>
  <c r="X358" i="40"/>
  <c r="T358" i="40" s="1"/>
  <c r="AA358" i="40" s="1" a="1"/>
  <c r="AA358" i="40" s="1"/>
  <c r="X359" i="40"/>
  <c r="T359" i="40" s="1"/>
  <c r="AA359" i="40" s="1" a="1"/>
  <c r="AA359" i="40" s="1"/>
  <c r="X360" i="40"/>
  <c r="T360" i="40" s="1"/>
  <c r="AA360" i="40" s="1" a="1"/>
  <c r="AA360" i="40" s="1"/>
  <c r="X361" i="40"/>
  <c r="T361" i="40" s="1"/>
  <c r="AA361" i="40" s="1" a="1"/>
  <c r="AA361" i="40" s="1"/>
  <c r="X362" i="40"/>
  <c r="T362" i="40" s="1"/>
  <c r="AA362" i="40" s="1" a="1"/>
  <c r="AA362" i="40" s="1"/>
  <c r="X363" i="40"/>
  <c r="T363" i="40" s="1"/>
  <c r="AA363" i="40" s="1" a="1"/>
  <c r="AA363" i="40" s="1"/>
  <c r="X364" i="40"/>
  <c r="T364" i="40" s="1"/>
  <c r="AA364" i="40" s="1" a="1"/>
  <c r="AA364" i="40" s="1"/>
  <c r="X365" i="40"/>
  <c r="T365" i="40" s="1"/>
  <c r="AA365" i="40" s="1" a="1"/>
  <c r="AA365" i="40" s="1"/>
  <c r="X366" i="40"/>
  <c r="T366" i="40" s="1"/>
  <c r="AA366" i="40" s="1" a="1"/>
  <c r="AA366" i="40" s="1"/>
  <c r="X367" i="40"/>
  <c r="T367" i="40" s="1"/>
  <c r="AA367" i="40" s="1" a="1"/>
  <c r="AA367" i="40" s="1"/>
  <c r="X368" i="40"/>
  <c r="T368" i="40" s="1"/>
  <c r="AA368" i="40" s="1" a="1"/>
  <c r="AA368" i="40" s="1"/>
  <c r="X369" i="40"/>
  <c r="T369" i="40" s="1"/>
  <c r="AA369" i="40" s="1" a="1"/>
  <c r="AA369" i="40" s="1"/>
  <c r="X370" i="40"/>
  <c r="T370" i="40" s="1"/>
  <c r="AA370" i="40" s="1" a="1"/>
  <c r="AA370" i="40" s="1"/>
  <c r="X371" i="40"/>
  <c r="T371" i="40" s="1"/>
  <c r="AA371" i="40" s="1" a="1"/>
  <c r="AA371" i="40" s="1"/>
  <c r="X372" i="40"/>
  <c r="T372" i="40" s="1"/>
  <c r="AA372" i="40" s="1" a="1"/>
  <c r="AA372" i="40" s="1"/>
  <c r="X373" i="40"/>
  <c r="T373" i="40" s="1"/>
  <c r="AA373" i="40" s="1" a="1"/>
  <c r="AA373" i="40" s="1"/>
  <c r="X374" i="40"/>
  <c r="T374" i="40" s="1"/>
  <c r="AA374" i="40" s="1" a="1"/>
  <c r="AA374" i="40" s="1"/>
  <c r="X375" i="40"/>
  <c r="T375" i="40" s="1"/>
  <c r="AA375" i="40" s="1" a="1"/>
  <c r="AA375" i="40" s="1"/>
  <c r="X376" i="40"/>
  <c r="T376" i="40" s="1"/>
  <c r="AA376" i="40" s="1" a="1"/>
  <c r="AA376" i="40" s="1"/>
  <c r="X377" i="40"/>
  <c r="T377" i="40" s="1"/>
  <c r="AA377" i="40" s="1" a="1"/>
  <c r="AA377" i="40" s="1"/>
  <c r="X378" i="40"/>
  <c r="T378" i="40" s="1"/>
  <c r="AA378" i="40" s="1" a="1"/>
  <c r="AA378" i="40" s="1"/>
  <c r="X379" i="40"/>
  <c r="T379" i="40" s="1"/>
  <c r="AA379" i="40" s="1" a="1"/>
  <c r="AA379" i="40" s="1"/>
  <c r="X380" i="40"/>
  <c r="T380" i="40" s="1"/>
  <c r="AA380" i="40" s="1" a="1"/>
  <c r="AA380" i="40" s="1"/>
  <c r="X381" i="40"/>
  <c r="T381" i="40" s="1"/>
  <c r="AA381" i="40" s="1" a="1"/>
  <c r="AA381" i="40" s="1"/>
  <c r="X382" i="40"/>
  <c r="T382" i="40" s="1"/>
  <c r="AA382" i="40" s="1" a="1"/>
  <c r="AA382" i="40" s="1"/>
  <c r="X383" i="40"/>
  <c r="T383" i="40" s="1"/>
  <c r="AA383" i="40" s="1" a="1"/>
  <c r="AA383" i="40" s="1"/>
  <c r="X384" i="40"/>
  <c r="T384" i="40" s="1"/>
  <c r="AA384" i="40" s="1" a="1"/>
  <c r="AA384" i="40" s="1"/>
  <c r="X385" i="40"/>
  <c r="T385" i="40" s="1"/>
  <c r="AA385" i="40" s="1" a="1"/>
  <c r="AA385" i="40" s="1"/>
  <c r="X386" i="40"/>
  <c r="T386" i="40" s="1"/>
  <c r="AA386" i="40" s="1" a="1"/>
  <c r="AA386" i="40" s="1"/>
  <c r="X387" i="40"/>
  <c r="T387" i="40" s="1"/>
  <c r="AA387" i="40" s="1" a="1"/>
  <c r="AA387" i="40" s="1"/>
  <c r="X388" i="40"/>
  <c r="T388" i="40" s="1"/>
  <c r="AA388" i="40" s="1" a="1"/>
  <c r="AA388" i="40" s="1"/>
  <c r="X389" i="40"/>
  <c r="T389" i="40" s="1"/>
  <c r="AA389" i="40" s="1" a="1"/>
  <c r="AA389" i="40" s="1"/>
  <c r="X390" i="40"/>
  <c r="T390" i="40" s="1"/>
  <c r="AA390" i="40" s="1" a="1"/>
  <c r="AA390" i="40" s="1"/>
  <c r="X391" i="40"/>
  <c r="T391" i="40" s="1"/>
  <c r="AA391" i="40" s="1" a="1"/>
  <c r="AA391" i="40" s="1"/>
  <c r="X392" i="40"/>
  <c r="T392" i="40" s="1"/>
  <c r="AA392" i="40" s="1" a="1"/>
  <c r="AA392" i="40" s="1"/>
  <c r="X393" i="40"/>
  <c r="T393" i="40" s="1"/>
  <c r="AA393" i="40" s="1" a="1"/>
  <c r="AA393" i="40" s="1"/>
  <c r="X394" i="40"/>
  <c r="T394" i="40" s="1"/>
  <c r="AA394" i="40" s="1" a="1"/>
  <c r="AA394" i="40" s="1"/>
  <c r="X395" i="40"/>
  <c r="T395" i="40" s="1"/>
  <c r="AA395" i="40" s="1" a="1"/>
  <c r="AA395" i="40" s="1"/>
  <c r="X396" i="40"/>
  <c r="T396" i="40" s="1"/>
  <c r="AA396" i="40" s="1" a="1"/>
  <c r="AA396" i="40" s="1"/>
  <c r="X397" i="40"/>
  <c r="T397" i="40" s="1"/>
  <c r="AA397" i="40" s="1" a="1"/>
  <c r="AA397" i="40" s="1"/>
  <c r="X398" i="40"/>
  <c r="T398" i="40" s="1"/>
  <c r="AA398" i="40" s="1" a="1"/>
  <c r="AA398" i="40" s="1"/>
  <c r="X399" i="40"/>
  <c r="T399" i="40" s="1"/>
  <c r="AA399" i="40" s="1" a="1"/>
  <c r="AA399" i="40" s="1"/>
  <c r="X400" i="40"/>
  <c r="T400" i="40" s="1"/>
  <c r="AA400" i="40" s="1" a="1"/>
  <c r="AA400" i="40" s="1"/>
  <c r="X401" i="40"/>
  <c r="T401" i="40" s="1"/>
  <c r="AA401" i="40" s="1" a="1"/>
  <c r="AA401" i="40" s="1"/>
  <c r="X402" i="40"/>
  <c r="T402" i="40" s="1"/>
  <c r="AA402" i="40" s="1" a="1"/>
  <c r="AA402" i="40" s="1"/>
  <c r="X403" i="40"/>
  <c r="T403" i="40" s="1"/>
  <c r="AA403" i="40" s="1" a="1"/>
  <c r="AA403" i="40" s="1"/>
  <c r="X404" i="40"/>
  <c r="T404" i="40" s="1"/>
  <c r="AA404" i="40" s="1" a="1"/>
  <c r="AA404" i="40" s="1"/>
  <c r="X405" i="40"/>
  <c r="T405" i="40" s="1"/>
  <c r="AA405" i="40" s="1" a="1"/>
  <c r="AA405" i="40" s="1"/>
  <c r="X406" i="40"/>
  <c r="T406" i="40" s="1"/>
  <c r="AA406" i="40" s="1" a="1"/>
  <c r="AA406" i="40" s="1"/>
  <c r="X407" i="40"/>
  <c r="T407" i="40" s="1"/>
  <c r="AA407" i="40" s="1" a="1"/>
  <c r="AA407" i="40" s="1"/>
  <c r="X408" i="40"/>
  <c r="T408" i="40" s="1"/>
  <c r="AA408" i="40" s="1" a="1"/>
  <c r="AA408" i="40" s="1"/>
  <c r="X409" i="40"/>
  <c r="T409" i="40" s="1"/>
  <c r="AA409" i="40" s="1" a="1"/>
  <c r="AA409" i="40" s="1"/>
  <c r="X410" i="40"/>
  <c r="T410" i="40" s="1"/>
  <c r="AA410" i="40" s="1" a="1"/>
  <c r="AA410" i="40" s="1"/>
  <c r="X411" i="40"/>
  <c r="T411" i="40" s="1"/>
  <c r="AA411" i="40" s="1" a="1"/>
  <c r="AA411" i="40" s="1"/>
  <c r="X412" i="40"/>
  <c r="T412" i="40" s="1"/>
  <c r="AA412" i="40" s="1" a="1"/>
  <c r="AA412" i="40" s="1"/>
  <c r="X413" i="40"/>
  <c r="T413" i="40" s="1"/>
  <c r="AA413" i="40" s="1" a="1"/>
  <c r="AA413" i="40" s="1"/>
  <c r="X414" i="40"/>
  <c r="T414" i="40" s="1"/>
  <c r="AA414" i="40" s="1" a="1"/>
  <c r="AA414" i="40" s="1"/>
  <c r="X415" i="40"/>
  <c r="T415" i="40" s="1"/>
  <c r="AA415" i="40" s="1" a="1"/>
  <c r="AA415" i="40" s="1"/>
  <c r="X416" i="40"/>
  <c r="T416" i="40" s="1"/>
  <c r="AA416" i="40" s="1" a="1"/>
  <c r="AA416" i="40" s="1"/>
  <c r="X417" i="40"/>
  <c r="T417" i="40" s="1"/>
  <c r="AA417" i="40" s="1" a="1"/>
  <c r="AA417" i="40" s="1"/>
  <c r="X418" i="40"/>
  <c r="T418" i="40" s="1"/>
  <c r="AA418" i="40" s="1" a="1"/>
  <c r="AA418" i="40" s="1"/>
  <c r="X419" i="40"/>
  <c r="T419" i="40" s="1"/>
  <c r="AA419" i="40" s="1" a="1"/>
  <c r="AA419" i="40" s="1"/>
  <c r="X420" i="40"/>
  <c r="T420" i="40" s="1"/>
  <c r="AA420" i="40" s="1" a="1"/>
  <c r="AA420" i="40" s="1"/>
  <c r="X421" i="40"/>
  <c r="T421" i="40" s="1"/>
  <c r="AA421" i="40" s="1" a="1"/>
  <c r="AA421" i="40" s="1"/>
  <c r="X422" i="40"/>
  <c r="T422" i="40" s="1"/>
  <c r="AA422" i="40" s="1" a="1"/>
  <c r="AA422" i="40" s="1"/>
  <c r="X423" i="40"/>
  <c r="T423" i="40" s="1"/>
  <c r="AA423" i="40" s="1" a="1"/>
  <c r="AA423" i="40" s="1"/>
  <c r="X424" i="40"/>
  <c r="T424" i="40" s="1"/>
  <c r="AA424" i="40" s="1" a="1"/>
  <c r="AA424" i="40" s="1"/>
  <c r="X425" i="40"/>
  <c r="T425" i="40" s="1"/>
  <c r="AA425" i="40" s="1" a="1"/>
  <c r="AA425" i="40" s="1"/>
  <c r="X426" i="40"/>
  <c r="T426" i="40" s="1"/>
  <c r="AA426" i="40" s="1" a="1"/>
  <c r="AA426" i="40" s="1"/>
  <c r="X427" i="40"/>
  <c r="T427" i="40" s="1"/>
  <c r="AA427" i="40" s="1" a="1"/>
  <c r="AA427" i="40" s="1"/>
  <c r="X428" i="40"/>
  <c r="T428" i="40" s="1"/>
  <c r="AA428" i="40" s="1" a="1"/>
  <c r="AA428" i="40" s="1"/>
  <c r="X429" i="40"/>
  <c r="T429" i="40" s="1"/>
  <c r="AA429" i="40" s="1" a="1"/>
  <c r="AA429" i="40" s="1"/>
  <c r="X430" i="40"/>
  <c r="T430" i="40" s="1"/>
  <c r="AA430" i="40" s="1" a="1"/>
  <c r="AA430" i="40" s="1"/>
  <c r="X431" i="40"/>
  <c r="T431" i="40" s="1"/>
  <c r="AA431" i="40" s="1" a="1"/>
  <c r="AA431" i="40" s="1"/>
  <c r="X432" i="40"/>
  <c r="T432" i="40" s="1"/>
  <c r="AA432" i="40" s="1" a="1"/>
  <c r="AA432" i="40" s="1"/>
  <c r="X433" i="40"/>
  <c r="T433" i="40" s="1"/>
  <c r="AA433" i="40" s="1" a="1"/>
  <c r="AA433" i="40" s="1"/>
  <c r="X434" i="40"/>
  <c r="T434" i="40" s="1"/>
  <c r="AA434" i="40" s="1" a="1"/>
  <c r="AA434" i="40" s="1"/>
  <c r="X435" i="40"/>
  <c r="T435" i="40" s="1"/>
  <c r="AA435" i="40" s="1" a="1"/>
  <c r="AA435" i="40" s="1"/>
  <c r="X436" i="40"/>
  <c r="T436" i="40" s="1"/>
  <c r="AA436" i="40" s="1" a="1"/>
  <c r="AA436" i="40" s="1"/>
  <c r="X437" i="40"/>
  <c r="T437" i="40" s="1"/>
  <c r="AA437" i="40" s="1" a="1"/>
  <c r="AA437" i="40" s="1"/>
  <c r="X438" i="40"/>
  <c r="T438" i="40" s="1"/>
  <c r="AA438" i="40" s="1" a="1"/>
  <c r="AA438" i="40" s="1"/>
  <c r="X439" i="40"/>
  <c r="T439" i="40" s="1"/>
  <c r="AA439" i="40" s="1" a="1"/>
  <c r="AA439" i="40" s="1"/>
  <c r="X440" i="40"/>
  <c r="T440" i="40" s="1"/>
  <c r="AA440" i="40" s="1" a="1"/>
  <c r="AA440" i="40" s="1"/>
  <c r="X441" i="40"/>
  <c r="T441" i="40" s="1"/>
  <c r="AA441" i="40" s="1" a="1"/>
  <c r="AA441" i="40" s="1"/>
  <c r="X442" i="40"/>
  <c r="T442" i="40" s="1"/>
  <c r="AA442" i="40" s="1" a="1"/>
  <c r="AA442" i="40" s="1"/>
  <c r="X443" i="40"/>
  <c r="T443" i="40" s="1"/>
  <c r="AA443" i="40" s="1" a="1"/>
  <c r="AA443" i="40" s="1"/>
  <c r="X444" i="40"/>
  <c r="T444" i="40" s="1"/>
  <c r="AA444" i="40" s="1" a="1"/>
  <c r="AA444" i="40" s="1"/>
  <c r="X445" i="40"/>
  <c r="T445" i="40" s="1"/>
  <c r="AA445" i="40" s="1" a="1"/>
  <c r="AA445" i="40" s="1"/>
  <c r="X446" i="40"/>
  <c r="T446" i="40" s="1"/>
  <c r="AA446" i="40" s="1" a="1"/>
  <c r="AA446" i="40" s="1"/>
  <c r="X447" i="40"/>
  <c r="T447" i="40" s="1"/>
  <c r="AA447" i="40" s="1" a="1"/>
  <c r="AA447" i="40" s="1"/>
  <c r="X448" i="40"/>
  <c r="T448" i="40" s="1"/>
  <c r="AA448" i="40" s="1" a="1"/>
  <c r="AA448" i="40" s="1"/>
  <c r="X449" i="40"/>
  <c r="T449" i="40" s="1"/>
  <c r="AA449" i="40" s="1" a="1"/>
  <c r="AA449" i="40" s="1"/>
  <c r="X450" i="40"/>
  <c r="T450" i="40" s="1"/>
  <c r="AA450" i="40" s="1" a="1"/>
  <c r="AA450" i="40" s="1"/>
  <c r="X451" i="40"/>
  <c r="T451" i="40" s="1"/>
  <c r="AA451" i="40" s="1" a="1"/>
  <c r="AA451" i="40" s="1"/>
  <c r="X452" i="40"/>
  <c r="T452" i="40" s="1"/>
  <c r="AA452" i="40" s="1" a="1"/>
  <c r="AA452" i="40" s="1"/>
  <c r="X453" i="40"/>
  <c r="T453" i="40" s="1"/>
  <c r="AA453" i="40" s="1" a="1"/>
  <c r="AA453" i="40" s="1"/>
  <c r="X454" i="40"/>
  <c r="T454" i="40" s="1"/>
  <c r="AA454" i="40" s="1" a="1"/>
  <c r="AA454" i="40" s="1"/>
  <c r="X455" i="40"/>
  <c r="T455" i="40" s="1"/>
  <c r="AA455" i="40" s="1" a="1"/>
  <c r="AA455" i="40" s="1"/>
  <c r="X456" i="40"/>
  <c r="T456" i="40" s="1"/>
  <c r="AA456" i="40" s="1" a="1"/>
  <c r="AA456" i="40" s="1"/>
  <c r="X457" i="40"/>
  <c r="T457" i="40" s="1"/>
  <c r="AA457" i="40" s="1" a="1"/>
  <c r="AA457" i="40" s="1"/>
  <c r="X458" i="40"/>
  <c r="T458" i="40" s="1"/>
  <c r="AA458" i="40" s="1" a="1"/>
  <c r="AA458" i="40" s="1"/>
  <c r="X459" i="40"/>
  <c r="T459" i="40" s="1"/>
  <c r="AA459" i="40" s="1" a="1"/>
  <c r="AA459" i="40" s="1"/>
  <c r="X460" i="40"/>
  <c r="T460" i="40" s="1"/>
  <c r="AA460" i="40" s="1" a="1"/>
  <c r="AA460" i="40" s="1"/>
  <c r="X461" i="40"/>
  <c r="T461" i="40" s="1"/>
  <c r="AA461" i="40" s="1" a="1"/>
  <c r="AA461" i="40" s="1"/>
  <c r="X462" i="40"/>
  <c r="T462" i="40" s="1"/>
  <c r="AA462" i="40" s="1" a="1"/>
  <c r="AA462" i="40" s="1"/>
  <c r="X463" i="40"/>
  <c r="T463" i="40" s="1"/>
  <c r="AA463" i="40" s="1" a="1"/>
  <c r="AA463" i="40" s="1"/>
  <c r="X464" i="40"/>
  <c r="T464" i="40" s="1"/>
  <c r="AA464" i="40" s="1" a="1"/>
  <c r="AA464" i="40" s="1"/>
  <c r="X465" i="40"/>
  <c r="T465" i="40" s="1"/>
  <c r="AA465" i="40" s="1" a="1"/>
  <c r="AA465" i="40" s="1"/>
  <c r="X466" i="40"/>
  <c r="T466" i="40" s="1"/>
  <c r="AA466" i="40" s="1" a="1"/>
  <c r="AA466" i="40" s="1"/>
  <c r="X467" i="40"/>
  <c r="T467" i="40" s="1"/>
  <c r="AA467" i="40" s="1" a="1"/>
  <c r="AA467" i="40" s="1"/>
  <c r="X468" i="40"/>
  <c r="T468" i="40" s="1"/>
  <c r="AA468" i="40" s="1" a="1"/>
  <c r="AA468" i="40" s="1"/>
  <c r="X469" i="40"/>
  <c r="T469" i="40" s="1"/>
  <c r="AA469" i="40" s="1" a="1"/>
  <c r="AA469" i="40" s="1"/>
  <c r="X470" i="40"/>
  <c r="T470" i="40" s="1"/>
  <c r="AA470" i="40" s="1" a="1"/>
  <c r="AA470" i="40" s="1"/>
  <c r="X471" i="40"/>
  <c r="T471" i="40" s="1"/>
  <c r="AA471" i="40" s="1" a="1"/>
  <c r="AA471" i="40" s="1"/>
  <c r="X472" i="40"/>
  <c r="T472" i="40" s="1"/>
  <c r="AA472" i="40" s="1" a="1"/>
  <c r="AA472" i="40" s="1"/>
  <c r="X473" i="40"/>
  <c r="T473" i="40" s="1"/>
  <c r="AA473" i="40" s="1" a="1"/>
  <c r="AA473" i="40" s="1"/>
  <c r="X474" i="40"/>
  <c r="T474" i="40" s="1"/>
  <c r="AA474" i="40" s="1" a="1"/>
  <c r="AA474" i="40" s="1"/>
  <c r="X475" i="40"/>
  <c r="T475" i="40" s="1"/>
  <c r="AA475" i="40" s="1" a="1"/>
  <c r="AA475" i="40" s="1"/>
  <c r="X476" i="40"/>
  <c r="T476" i="40" s="1"/>
  <c r="AA476" i="40" s="1" a="1"/>
  <c r="AA476" i="40" s="1"/>
  <c r="X477" i="40"/>
  <c r="T477" i="40" s="1"/>
  <c r="AA477" i="40" s="1" a="1"/>
  <c r="AA477" i="40" s="1"/>
  <c r="X478" i="40"/>
  <c r="T478" i="40" s="1"/>
  <c r="AA478" i="40" s="1" a="1"/>
  <c r="AA478" i="40" s="1"/>
  <c r="X479" i="40"/>
  <c r="T479" i="40" s="1"/>
  <c r="AA479" i="40" s="1" a="1"/>
  <c r="AA479" i="40" s="1"/>
  <c r="X480" i="40"/>
  <c r="T480" i="40" s="1"/>
  <c r="AA480" i="40" s="1" a="1"/>
  <c r="AA480" i="40" s="1"/>
  <c r="X481" i="40"/>
  <c r="T481" i="40" s="1"/>
  <c r="AA481" i="40" s="1" a="1"/>
  <c r="AA481" i="40" s="1"/>
  <c r="X482" i="40"/>
  <c r="T482" i="40" s="1"/>
  <c r="AA482" i="40" s="1" a="1"/>
  <c r="AA482" i="40" s="1"/>
  <c r="X483" i="40"/>
  <c r="T483" i="40" s="1"/>
  <c r="AA483" i="40" s="1" a="1"/>
  <c r="AA483" i="40" s="1"/>
  <c r="X484" i="40"/>
  <c r="T484" i="40" s="1"/>
  <c r="AA484" i="40" s="1" a="1"/>
  <c r="AA484" i="40" s="1"/>
  <c r="X485" i="40"/>
  <c r="T485" i="40" s="1"/>
  <c r="AA485" i="40" s="1" a="1"/>
  <c r="AA485" i="40" s="1"/>
  <c r="X486" i="40"/>
  <c r="T486" i="40" s="1"/>
  <c r="AA486" i="40" s="1" a="1"/>
  <c r="AA486" i="40" s="1"/>
  <c r="X487" i="40"/>
  <c r="T487" i="40" s="1"/>
  <c r="AA487" i="40" s="1" a="1"/>
  <c r="AA487" i="40" s="1"/>
  <c r="X488" i="40"/>
  <c r="T488" i="40" s="1"/>
  <c r="AA488" i="40" s="1" a="1"/>
  <c r="AA488" i="40" s="1"/>
  <c r="X489" i="40"/>
  <c r="T489" i="40" s="1"/>
  <c r="AA489" i="40" s="1" a="1"/>
  <c r="AA489" i="40" s="1"/>
  <c r="X490" i="40"/>
  <c r="T490" i="40" s="1"/>
  <c r="AA490" i="40" s="1" a="1"/>
  <c r="AA490" i="40" s="1"/>
  <c r="X491" i="40"/>
  <c r="T491" i="40" s="1"/>
  <c r="AA491" i="40" s="1" a="1"/>
  <c r="AA491" i="40" s="1"/>
  <c r="X492" i="40"/>
  <c r="T492" i="40" s="1"/>
  <c r="AA492" i="40" s="1" a="1"/>
  <c r="AA492" i="40" s="1"/>
  <c r="X493" i="40"/>
  <c r="T493" i="40" s="1"/>
  <c r="AA493" i="40" s="1" a="1"/>
  <c r="AA493" i="40" s="1"/>
  <c r="X494" i="40"/>
  <c r="T494" i="40" s="1"/>
  <c r="AA494" i="40" s="1" a="1"/>
  <c r="AA494" i="40" s="1"/>
  <c r="X495" i="40"/>
  <c r="T495" i="40" s="1"/>
  <c r="AA495" i="40" s="1" a="1"/>
  <c r="AA495" i="40" s="1"/>
  <c r="X496" i="40"/>
  <c r="T496" i="40" s="1"/>
  <c r="AA496" i="40" s="1" a="1"/>
  <c r="AA496" i="40" s="1"/>
  <c r="X497" i="40"/>
  <c r="T497" i="40" s="1"/>
  <c r="AA497" i="40" s="1" a="1"/>
  <c r="AA497" i="40" s="1"/>
  <c r="X498" i="40"/>
  <c r="T498" i="40" s="1"/>
  <c r="AA498" i="40" s="1" a="1"/>
  <c r="AA498" i="40" s="1"/>
  <c r="X499" i="40"/>
  <c r="T499" i="40" s="1"/>
  <c r="AA499" i="40" s="1" a="1"/>
  <c r="AA499" i="40" s="1"/>
  <c r="X500" i="40"/>
  <c r="T500" i="40" s="1"/>
  <c r="AA500" i="40" s="1" a="1"/>
  <c r="AA500" i="40" s="1"/>
  <c r="X501" i="40"/>
  <c r="T501" i="40" s="1"/>
  <c r="AA501" i="40" s="1" a="1"/>
  <c r="AA501" i="40" s="1"/>
  <c r="X502" i="40"/>
  <c r="T502" i="40" s="1"/>
  <c r="AA502" i="40" s="1" a="1"/>
  <c r="AA502" i="40" s="1"/>
  <c r="X503" i="40"/>
  <c r="T503" i="40" s="1"/>
  <c r="AA503" i="40" s="1" a="1"/>
  <c r="AA503" i="40" s="1"/>
  <c r="X504" i="40"/>
  <c r="T504" i="40" s="1"/>
  <c r="AA504" i="40" s="1" a="1"/>
  <c r="AA504" i="40" s="1"/>
  <c r="X505" i="40"/>
  <c r="T505" i="40" s="1"/>
  <c r="AA505" i="40" s="1" a="1"/>
  <c r="AA505" i="40" s="1"/>
  <c r="X506" i="40"/>
  <c r="T506" i="40" s="1"/>
  <c r="AA506" i="40" s="1" a="1"/>
  <c r="AA506" i="40" s="1"/>
  <c r="X507" i="40"/>
  <c r="T507" i="40" s="1"/>
  <c r="AA507" i="40" s="1" a="1"/>
  <c r="AA507" i="40" s="1"/>
  <c r="X508" i="40"/>
  <c r="T508" i="40" s="1"/>
  <c r="AA508" i="40" s="1" a="1"/>
  <c r="AA508" i="40" s="1"/>
  <c r="X509" i="40"/>
  <c r="T509" i="40" s="1"/>
  <c r="AA509" i="40" s="1" a="1"/>
  <c r="AA509" i="40" s="1"/>
  <c r="X510" i="40"/>
  <c r="T510" i="40" s="1"/>
  <c r="AA510" i="40" s="1" a="1"/>
  <c r="AA510" i="40" s="1"/>
  <c r="X511" i="40"/>
  <c r="T511" i="40" s="1"/>
  <c r="AA511" i="40" s="1" a="1"/>
  <c r="AA511" i="40" s="1"/>
  <c r="X512" i="40"/>
  <c r="T512" i="40" s="1"/>
  <c r="AA512" i="40" s="1" a="1"/>
  <c r="AA512" i="40" s="1"/>
  <c r="X513" i="40"/>
  <c r="T513" i="40" s="1"/>
  <c r="AA513" i="40" s="1" a="1"/>
  <c r="AA513" i="40" s="1"/>
  <c r="X514" i="40"/>
  <c r="T514" i="40" s="1"/>
  <c r="AA514" i="40" s="1" a="1"/>
  <c r="AA514" i="40" s="1"/>
  <c r="AC15" i="39"/>
  <c r="AC16" i="39"/>
  <c r="AC17" i="39"/>
  <c r="AC18" i="39"/>
  <c r="AC19" i="39"/>
  <c r="AC20" i="39"/>
  <c r="AC21" i="39"/>
  <c r="AC22" i="39"/>
  <c r="AC23" i="39"/>
  <c r="AC24" i="39"/>
  <c r="AC25" i="39"/>
  <c r="AC26" i="39"/>
  <c r="AC27" i="39"/>
  <c r="AC28" i="39"/>
  <c r="AC29" i="39"/>
  <c r="AC30" i="39"/>
  <c r="AD30" i="39" s="1"/>
  <c r="AC31" i="39"/>
  <c r="AC32" i="39"/>
  <c r="AC33" i="39"/>
  <c r="AC34" i="39"/>
  <c r="AC35" i="39"/>
  <c r="AC36" i="39"/>
  <c r="AC37" i="39"/>
  <c r="AC38" i="39"/>
  <c r="AD38" i="39" s="1"/>
  <c r="AC39" i="39"/>
  <c r="AC40" i="39"/>
  <c r="AC41" i="39"/>
  <c r="AC42" i="39"/>
  <c r="AC43" i="39"/>
  <c r="AC44" i="39"/>
  <c r="AC45" i="39"/>
  <c r="AC46" i="39"/>
  <c r="AC47" i="39"/>
  <c r="AC48" i="39"/>
  <c r="AC49" i="39"/>
  <c r="AC50" i="39"/>
  <c r="AC51" i="39"/>
  <c r="AC52" i="39"/>
  <c r="AC53" i="39"/>
  <c r="AC54" i="39"/>
  <c r="AC55" i="39"/>
  <c r="AC56" i="39"/>
  <c r="AC57" i="39"/>
  <c r="AD57" i="39" s="1"/>
  <c r="AC58" i="39"/>
  <c r="AC59" i="39"/>
  <c r="AC60" i="39"/>
  <c r="AC61" i="39"/>
  <c r="AC62" i="39"/>
  <c r="AC63" i="39"/>
  <c r="AC64" i="39"/>
  <c r="AC65" i="39"/>
  <c r="AC66" i="39"/>
  <c r="AC67" i="39"/>
  <c r="AC68" i="39"/>
  <c r="AC69" i="39"/>
  <c r="AC70" i="39"/>
  <c r="AC71" i="39"/>
  <c r="AC72" i="39"/>
  <c r="AC73" i="39"/>
  <c r="AC74" i="39"/>
  <c r="AC75" i="39"/>
  <c r="AC76" i="39"/>
  <c r="AC77" i="39"/>
  <c r="AC78" i="39"/>
  <c r="AC79" i="39"/>
  <c r="AC80" i="39"/>
  <c r="AC81" i="39"/>
  <c r="AC82" i="39"/>
  <c r="AC83" i="39"/>
  <c r="AC84" i="39"/>
  <c r="AC85" i="39"/>
  <c r="AC86" i="39"/>
  <c r="AC87" i="39"/>
  <c r="AC88" i="39"/>
  <c r="AC89" i="39"/>
  <c r="AC90" i="39"/>
  <c r="AC91" i="39"/>
  <c r="AD91" i="39" s="1"/>
  <c r="AC92" i="39"/>
  <c r="AD92" i="39" s="1"/>
  <c r="AC93" i="39"/>
  <c r="AD93" i="39" s="1"/>
  <c r="AC94" i="39"/>
  <c r="AD94" i="39" s="1"/>
  <c r="AC95" i="39"/>
  <c r="AD95" i="39" s="1"/>
  <c r="AC96" i="39"/>
  <c r="AD96" i="39" s="1"/>
  <c r="AC97" i="39"/>
  <c r="AD97" i="39" s="1"/>
  <c r="AC98" i="39"/>
  <c r="AD98" i="39" s="1"/>
  <c r="AC99" i="39"/>
  <c r="AD99" i="39" s="1"/>
  <c r="AC100" i="39"/>
  <c r="AD100" i="39" s="1"/>
  <c r="AC101" i="39"/>
  <c r="AD101" i="39" s="1"/>
  <c r="AC102" i="39"/>
  <c r="AD102" i="39" s="1"/>
  <c r="AC103" i="39"/>
  <c r="AD103" i="39" s="1"/>
  <c r="AC104" i="39"/>
  <c r="AD104" i="39" s="1"/>
  <c r="AC105" i="39"/>
  <c r="AD105" i="39" s="1"/>
  <c r="AC106" i="39"/>
  <c r="AD106" i="39" s="1"/>
  <c r="AC107" i="39"/>
  <c r="AD107" i="39" s="1"/>
  <c r="AC108" i="39"/>
  <c r="AD108" i="39" s="1"/>
  <c r="AC109" i="39"/>
  <c r="AD109" i="39" s="1"/>
  <c r="AC110" i="39"/>
  <c r="AD110" i="39" s="1"/>
  <c r="AC111" i="39"/>
  <c r="AD111" i="39" s="1"/>
  <c r="AC112" i="39"/>
  <c r="AD112" i="39" s="1"/>
  <c r="AC113" i="39"/>
  <c r="AD113" i="39" s="1"/>
  <c r="AC114" i="39"/>
  <c r="AD114" i="39" s="1"/>
  <c r="AC115" i="39"/>
  <c r="AD115" i="39" s="1"/>
  <c r="AC116" i="39"/>
  <c r="AD116" i="39" s="1"/>
  <c r="AC117" i="39"/>
  <c r="AD117" i="39" s="1"/>
  <c r="AC118" i="39"/>
  <c r="AD118" i="39" s="1"/>
  <c r="AC119" i="39"/>
  <c r="AD119" i="39" s="1"/>
  <c r="AC120" i="39"/>
  <c r="AD120" i="39" s="1"/>
  <c r="AC121" i="39"/>
  <c r="AD121" i="39" s="1"/>
  <c r="AC122" i="39"/>
  <c r="AD122" i="39" s="1"/>
  <c r="AC123" i="39"/>
  <c r="AD123" i="39" s="1"/>
  <c r="AC124" i="39"/>
  <c r="AD124" i="39" s="1"/>
  <c r="AC125" i="39"/>
  <c r="AD125" i="39" s="1"/>
  <c r="AC126" i="39"/>
  <c r="AD126" i="39" s="1"/>
  <c r="AC127" i="39"/>
  <c r="AD127" i="39" s="1"/>
  <c r="AC128" i="39"/>
  <c r="AD128" i="39" s="1"/>
  <c r="AC129" i="39"/>
  <c r="AD129" i="39" s="1"/>
  <c r="AC130" i="39"/>
  <c r="AD130" i="39" s="1"/>
  <c r="AC131" i="39"/>
  <c r="AD131" i="39" s="1"/>
  <c r="AC132" i="39"/>
  <c r="AD132" i="39" s="1"/>
  <c r="AC133" i="39"/>
  <c r="AD133" i="39" s="1"/>
  <c r="AC134" i="39"/>
  <c r="AD134" i="39" s="1"/>
  <c r="AC135" i="39"/>
  <c r="AD135" i="39" s="1"/>
  <c r="AC136" i="39"/>
  <c r="AD136" i="39" s="1"/>
  <c r="AC137" i="39"/>
  <c r="AD137" i="39" s="1"/>
  <c r="AC138" i="39"/>
  <c r="AD138" i="39" s="1"/>
  <c r="AC139" i="39"/>
  <c r="AD139" i="39" s="1"/>
  <c r="AC140" i="39"/>
  <c r="AD140" i="39" s="1"/>
  <c r="AC141" i="39"/>
  <c r="AD141" i="39" s="1"/>
  <c r="AC142" i="39"/>
  <c r="AD142" i="39" s="1"/>
  <c r="AC143" i="39"/>
  <c r="AD143" i="39" s="1"/>
  <c r="AC144" i="39"/>
  <c r="AD144" i="39" s="1"/>
  <c r="AC145" i="39"/>
  <c r="AD145" i="39" s="1"/>
  <c r="AC146" i="39"/>
  <c r="AD146" i="39" s="1"/>
  <c r="AC147" i="39"/>
  <c r="AD147" i="39" s="1"/>
  <c r="AC148" i="39"/>
  <c r="AD148" i="39" s="1"/>
  <c r="AC149" i="39"/>
  <c r="AD149" i="39" s="1"/>
  <c r="AC150" i="39"/>
  <c r="AD150" i="39" s="1"/>
  <c r="AC151" i="39"/>
  <c r="AD151" i="39" s="1"/>
  <c r="AC152" i="39"/>
  <c r="AD152" i="39" s="1"/>
  <c r="AC153" i="39"/>
  <c r="AD153" i="39" s="1"/>
  <c r="AC154" i="39"/>
  <c r="AD154" i="39" s="1"/>
  <c r="AC155" i="39"/>
  <c r="AD155" i="39" s="1"/>
  <c r="AC156" i="39"/>
  <c r="AD156" i="39" s="1"/>
  <c r="AC157" i="39"/>
  <c r="AD157" i="39" s="1"/>
  <c r="AC158" i="39"/>
  <c r="AD158" i="39" s="1"/>
  <c r="AC159" i="39"/>
  <c r="AD159" i="39" s="1"/>
  <c r="AC160" i="39"/>
  <c r="AD160" i="39" s="1"/>
  <c r="AC161" i="39"/>
  <c r="AD161" i="39" s="1"/>
  <c r="AC162" i="39"/>
  <c r="AD162" i="39" s="1"/>
  <c r="AC163" i="39"/>
  <c r="AD163" i="39" s="1"/>
  <c r="AC164" i="39"/>
  <c r="AD164" i="39" s="1"/>
  <c r="AC165" i="39"/>
  <c r="AD165" i="39" s="1"/>
  <c r="AC166" i="39"/>
  <c r="AD166" i="39" s="1"/>
  <c r="AC167" i="39"/>
  <c r="AD167" i="39" s="1"/>
  <c r="AC168" i="39"/>
  <c r="AD168" i="39" s="1"/>
  <c r="AC169" i="39"/>
  <c r="AD169" i="39" s="1"/>
  <c r="AC170" i="39"/>
  <c r="AD170" i="39" s="1"/>
  <c r="AC171" i="39"/>
  <c r="AD171" i="39" s="1"/>
  <c r="AC172" i="39"/>
  <c r="AD172" i="39" s="1"/>
  <c r="AC173" i="39"/>
  <c r="AD173" i="39" s="1"/>
  <c r="AC174" i="39"/>
  <c r="AD174" i="39" s="1"/>
  <c r="AC175" i="39"/>
  <c r="AD175" i="39" s="1"/>
  <c r="AC176" i="39"/>
  <c r="AD176" i="39" s="1"/>
  <c r="AC177" i="39"/>
  <c r="AD177" i="39" s="1"/>
  <c r="AC178" i="39"/>
  <c r="AD178" i="39" s="1"/>
  <c r="AC179" i="39"/>
  <c r="AD179" i="39" s="1"/>
  <c r="AC180" i="39"/>
  <c r="AD180" i="39" s="1"/>
  <c r="AC181" i="39"/>
  <c r="AD181" i="39" s="1"/>
  <c r="AC182" i="39"/>
  <c r="AD182" i="39" s="1"/>
  <c r="AC183" i="39"/>
  <c r="AD183" i="39" s="1"/>
  <c r="AC184" i="39"/>
  <c r="AD184" i="39" s="1"/>
  <c r="AC185" i="39"/>
  <c r="AD185" i="39" s="1"/>
  <c r="AC186" i="39"/>
  <c r="AD186" i="39" s="1"/>
  <c r="AC187" i="39"/>
  <c r="AD187" i="39" s="1"/>
  <c r="AC188" i="39"/>
  <c r="AD188" i="39" s="1"/>
  <c r="AC189" i="39"/>
  <c r="AD189" i="39" s="1"/>
  <c r="AC190" i="39"/>
  <c r="AD190" i="39" s="1"/>
  <c r="AC191" i="39"/>
  <c r="AD191" i="39" s="1"/>
  <c r="AC192" i="39"/>
  <c r="AD192" i="39" s="1"/>
  <c r="AC193" i="39"/>
  <c r="AD193" i="39" s="1"/>
  <c r="AC194" i="39"/>
  <c r="AD194" i="39" s="1"/>
  <c r="AC195" i="39"/>
  <c r="AD195" i="39" s="1"/>
  <c r="AC196" i="39"/>
  <c r="AD196" i="39" s="1"/>
  <c r="AC197" i="39"/>
  <c r="AD197" i="39" s="1"/>
  <c r="AC198" i="39"/>
  <c r="AD198" i="39" s="1"/>
  <c r="AC199" i="39"/>
  <c r="AD199" i="39" s="1"/>
  <c r="AC200" i="39"/>
  <c r="AD200" i="39" s="1"/>
  <c r="AC201" i="39"/>
  <c r="AD201" i="39" s="1"/>
  <c r="AC202" i="39"/>
  <c r="AD202" i="39" s="1"/>
  <c r="AC203" i="39"/>
  <c r="AD203" i="39" s="1"/>
  <c r="AC204" i="39"/>
  <c r="AD204" i="39" s="1"/>
  <c r="AC205" i="39"/>
  <c r="AD205" i="39" s="1"/>
  <c r="AC206" i="39"/>
  <c r="AD206" i="39" s="1"/>
  <c r="AC207" i="39"/>
  <c r="AD207" i="39" s="1"/>
  <c r="AC208" i="39"/>
  <c r="AD208" i="39" s="1"/>
  <c r="AC209" i="39"/>
  <c r="AD209" i="39" s="1"/>
  <c r="AC210" i="39"/>
  <c r="AD210" i="39" s="1"/>
  <c r="AC211" i="39"/>
  <c r="AD211" i="39" s="1"/>
  <c r="AC212" i="39"/>
  <c r="AD212" i="39" s="1"/>
  <c r="AC213" i="39"/>
  <c r="AD213" i="39" s="1"/>
  <c r="AC214" i="39"/>
  <c r="AD214" i="39" s="1"/>
  <c r="AC215" i="39"/>
  <c r="AD215" i="39" s="1"/>
  <c r="AC216" i="39"/>
  <c r="AD216" i="39" s="1"/>
  <c r="AC217" i="39"/>
  <c r="AD217" i="39" s="1"/>
  <c r="AC218" i="39"/>
  <c r="AD218" i="39" s="1"/>
  <c r="AC219" i="39"/>
  <c r="AD219" i="39" s="1"/>
  <c r="AC220" i="39"/>
  <c r="AD220" i="39" s="1"/>
  <c r="AC221" i="39"/>
  <c r="AD221" i="39" s="1"/>
  <c r="AC222" i="39"/>
  <c r="AD222" i="39" s="1"/>
  <c r="AC223" i="39"/>
  <c r="AD223" i="39" s="1"/>
  <c r="AC224" i="39"/>
  <c r="AD224" i="39" s="1"/>
  <c r="AC225" i="39"/>
  <c r="AD225" i="39" s="1"/>
  <c r="AC226" i="39"/>
  <c r="AD226" i="39" s="1"/>
  <c r="AC227" i="39"/>
  <c r="AD227" i="39" s="1"/>
  <c r="AC228" i="39"/>
  <c r="AD228" i="39" s="1"/>
  <c r="AC229" i="39"/>
  <c r="AD229" i="39" s="1"/>
  <c r="AC230" i="39"/>
  <c r="AD230" i="39" s="1"/>
  <c r="AC231" i="39"/>
  <c r="AD231" i="39" s="1"/>
  <c r="AC232" i="39"/>
  <c r="AD232" i="39" s="1"/>
  <c r="AC233" i="39"/>
  <c r="AD233" i="39" s="1"/>
  <c r="AC234" i="39"/>
  <c r="AD234" i="39" s="1"/>
  <c r="AC235" i="39"/>
  <c r="AD235" i="39" s="1"/>
  <c r="AC236" i="39"/>
  <c r="AD236" i="39" s="1"/>
  <c r="AC237" i="39"/>
  <c r="AD237" i="39" s="1"/>
  <c r="AC238" i="39"/>
  <c r="AD238" i="39" s="1"/>
  <c r="AC239" i="39"/>
  <c r="AD239" i="39" s="1"/>
  <c r="AC240" i="39"/>
  <c r="AD240" i="39" s="1"/>
  <c r="AC241" i="39"/>
  <c r="AD241" i="39" s="1"/>
  <c r="AC242" i="39"/>
  <c r="AD242" i="39" s="1"/>
  <c r="AC243" i="39"/>
  <c r="AD243" i="39" s="1"/>
  <c r="AC244" i="39"/>
  <c r="AD244" i="39" s="1"/>
  <c r="AC245" i="39"/>
  <c r="AD245" i="39" s="1"/>
  <c r="AC246" i="39"/>
  <c r="AD246" i="39" s="1"/>
  <c r="AC247" i="39"/>
  <c r="AD247" i="39" s="1"/>
  <c r="AC248" i="39"/>
  <c r="AD248" i="39" s="1"/>
  <c r="AC249" i="39"/>
  <c r="AD249" i="39" s="1"/>
  <c r="AC250" i="39"/>
  <c r="AD250" i="39" s="1"/>
  <c r="AC251" i="39"/>
  <c r="AD251" i="39" s="1"/>
  <c r="AC252" i="39"/>
  <c r="AD252" i="39" s="1"/>
  <c r="AC253" i="39"/>
  <c r="AD253" i="39" s="1"/>
  <c r="AC254" i="39"/>
  <c r="AD254" i="39" s="1"/>
  <c r="AC255" i="39"/>
  <c r="AD255" i="39" s="1"/>
  <c r="AC256" i="39"/>
  <c r="AD256" i="39" s="1"/>
  <c r="AC257" i="39"/>
  <c r="AD257" i="39" s="1"/>
  <c r="AC258" i="39"/>
  <c r="AD258" i="39" s="1"/>
  <c r="AC259" i="39"/>
  <c r="AD259" i="39" s="1"/>
  <c r="AC260" i="39"/>
  <c r="AD260" i="39" s="1"/>
  <c r="AC261" i="39"/>
  <c r="AD261" i="39" s="1"/>
  <c r="AC262" i="39"/>
  <c r="AD262" i="39" s="1"/>
  <c r="AC263" i="39"/>
  <c r="AD263" i="39" s="1"/>
  <c r="AC264" i="39"/>
  <c r="AD264" i="39" s="1"/>
  <c r="AC265" i="39"/>
  <c r="AD265" i="39" s="1"/>
  <c r="AC266" i="39"/>
  <c r="AD266" i="39" s="1"/>
  <c r="AC267" i="39"/>
  <c r="AD267" i="39" s="1"/>
  <c r="AC268" i="39"/>
  <c r="AC269" i="39"/>
  <c r="AD269" i="39" s="1"/>
  <c r="AC270" i="39"/>
  <c r="AD270" i="39" s="1"/>
  <c r="AC271" i="39"/>
  <c r="AD271" i="39" s="1"/>
  <c r="AC272" i="39"/>
  <c r="AD272" i="39" s="1"/>
  <c r="AC273" i="39"/>
  <c r="AC274" i="39"/>
  <c r="AC275" i="39"/>
  <c r="AC276" i="39"/>
  <c r="AC277" i="39"/>
  <c r="AC278" i="39"/>
  <c r="AC279" i="39"/>
  <c r="AC280" i="39"/>
  <c r="AC281" i="39"/>
  <c r="AC282" i="39"/>
  <c r="AC283" i="39"/>
  <c r="AC284" i="39"/>
  <c r="AC285" i="39"/>
  <c r="AC286" i="39"/>
  <c r="AC287" i="39"/>
  <c r="AC288" i="39"/>
  <c r="AC289" i="39"/>
  <c r="AC290" i="39"/>
  <c r="AC291" i="39"/>
  <c r="AC292" i="39"/>
  <c r="AC293" i="39"/>
  <c r="AC294" i="39"/>
  <c r="AC295" i="39"/>
  <c r="AC296" i="39"/>
  <c r="AC297" i="39"/>
  <c r="AC298" i="39"/>
  <c r="AC299" i="39"/>
  <c r="AC300" i="39"/>
  <c r="AC301" i="39"/>
  <c r="AC302" i="39"/>
  <c r="AC303" i="39"/>
  <c r="AC304" i="39"/>
  <c r="AC305" i="39"/>
  <c r="AC306" i="39"/>
  <c r="AC307" i="39"/>
  <c r="AC308" i="39"/>
  <c r="AC309" i="39"/>
  <c r="AC310" i="39"/>
  <c r="AC311" i="39"/>
  <c r="AC312" i="39"/>
  <c r="AC313" i="39"/>
  <c r="AC314" i="39"/>
  <c r="AC315" i="39"/>
  <c r="AC316" i="39"/>
  <c r="AC317" i="39"/>
  <c r="AC318" i="39"/>
  <c r="AC319" i="39"/>
  <c r="AC320" i="39"/>
  <c r="AC321" i="39"/>
  <c r="AC322" i="39"/>
  <c r="AC323" i="39"/>
  <c r="AC324" i="39"/>
  <c r="AC325" i="39"/>
  <c r="AC326" i="39"/>
  <c r="AC327" i="39"/>
  <c r="AC328" i="39"/>
  <c r="AC329" i="39"/>
  <c r="AC330" i="39"/>
  <c r="AC331" i="39"/>
  <c r="AC332" i="39"/>
  <c r="AC333" i="39"/>
  <c r="AC334" i="39"/>
  <c r="AC335" i="39"/>
  <c r="AC336" i="39"/>
  <c r="AC337" i="39"/>
  <c r="AC338" i="39"/>
  <c r="AC339" i="39"/>
  <c r="AC340" i="39"/>
  <c r="AC341" i="39"/>
  <c r="AC342" i="39"/>
  <c r="AC343" i="39"/>
  <c r="AC344" i="39"/>
  <c r="AC345" i="39"/>
  <c r="AC346" i="39"/>
  <c r="AC347" i="39"/>
  <c r="AC348" i="39"/>
  <c r="AC349" i="39"/>
  <c r="AC350" i="39"/>
  <c r="AC351" i="39"/>
  <c r="AC352" i="39"/>
  <c r="AC353" i="39"/>
  <c r="AC354" i="39"/>
  <c r="AC355" i="39"/>
  <c r="AC356" i="39"/>
  <c r="AC357" i="39"/>
  <c r="AC358" i="39"/>
  <c r="AC359" i="39"/>
  <c r="AC360" i="39"/>
  <c r="AC361" i="39"/>
  <c r="AC362" i="39"/>
  <c r="AC363" i="39"/>
  <c r="AC364" i="39"/>
  <c r="AC365" i="39"/>
  <c r="AC366" i="39"/>
  <c r="AC367" i="39"/>
  <c r="AC368" i="39"/>
  <c r="AC369" i="39"/>
  <c r="AC370" i="39"/>
  <c r="AC371" i="39"/>
  <c r="AC372" i="39"/>
  <c r="AC373" i="39"/>
  <c r="AC374" i="39"/>
  <c r="AC375" i="39"/>
  <c r="AC376" i="39"/>
  <c r="AC377" i="39"/>
  <c r="AC378" i="39"/>
  <c r="AC379" i="39"/>
  <c r="AC380" i="39"/>
  <c r="AC381" i="39"/>
  <c r="AC382" i="39"/>
  <c r="AC383" i="39"/>
  <c r="AC384" i="39"/>
  <c r="AC385" i="39"/>
  <c r="AC386" i="39"/>
  <c r="AC387" i="39"/>
  <c r="AC388" i="39"/>
  <c r="AC389" i="39"/>
  <c r="AC390" i="39"/>
  <c r="AC391" i="39"/>
  <c r="AC392" i="39"/>
  <c r="AC393" i="39"/>
  <c r="AC394" i="39"/>
  <c r="AC395" i="39"/>
  <c r="AC396" i="39"/>
  <c r="AC397" i="39"/>
  <c r="AC398" i="39"/>
  <c r="AC399" i="39"/>
  <c r="AC400" i="39"/>
  <c r="AC401" i="39"/>
  <c r="AC402" i="39"/>
  <c r="AC403" i="39"/>
  <c r="AC404" i="39"/>
  <c r="AC405" i="39"/>
  <c r="AC406" i="39"/>
  <c r="AC407" i="39"/>
  <c r="AC408" i="39"/>
  <c r="AC409" i="39"/>
  <c r="AC410" i="39"/>
  <c r="AC411" i="39"/>
  <c r="AC412" i="39"/>
  <c r="AC413" i="39"/>
  <c r="AC414" i="39"/>
  <c r="AC415" i="39"/>
  <c r="AC416" i="39"/>
  <c r="AC417" i="39"/>
  <c r="AC418" i="39"/>
  <c r="AC419" i="39"/>
  <c r="AC420" i="39"/>
  <c r="AC421" i="39"/>
  <c r="AC422" i="39"/>
  <c r="AC423" i="39"/>
  <c r="AC424" i="39"/>
  <c r="AC425" i="39"/>
  <c r="AC426" i="39"/>
  <c r="AC427" i="39"/>
  <c r="AC428" i="39"/>
  <c r="AC429" i="39"/>
  <c r="AC430" i="39"/>
  <c r="AC431" i="39"/>
  <c r="AC432" i="39"/>
  <c r="AC433" i="39"/>
  <c r="AC434" i="39"/>
  <c r="AC435" i="39"/>
  <c r="AC436" i="39"/>
  <c r="AC437" i="39"/>
  <c r="AC438" i="39"/>
  <c r="AC439" i="39"/>
  <c r="AC440" i="39"/>
  <c r="AC441" i="39"/>
  <c r="AC442" i="39"/>
  <c r="AC443" i="39"/>
  <c r="AC444" i="39"/>
  <c r="AC445" i="39"/>
  <c r="AC446" i="39"/>
  <c r="AC447" i="39"/>
  <c r="AC448" i="39"/>
  <c r="AC449" i="39"/>
  <c r="AC450" i="39"/>
  <c r="AC451" i="39"/>
  <c r="AC452" i="39"/>
  <c r="AC453" i="39"/>
  <c r="AC454" i="39"/>
  <c r="AC455" i="39"/>
  <c r="AC456" i="39"/>
  <c r="AC457" i="39"/>
  <c r="AC458" i="39"/>
  <c r="AC459" i="39"/>
  <c r="AC460" i="39"/>
  <c r="AC461" i="39"/>
  <c r="AC462" i="39"/>
  <c r="AC463" i="39"/>
  <c r="AC464" i="39"/>
  <c r="AC465" i="39"/>
  <c r="AC466" i="39"/>
  <c r="AC467" i="39"/>
  <c r="AC468" i="39"/>
  <c r="AC469" i="39"/>
  <c r="AC470" i="39"/>
  <c r="AC471" i="39"/>
  <c r="AC472" i="39"/>
  <c r="AC473" i="39"/>
  <c r="AC474" i="39"/>
  <c r="AC475" i="39"/>
  <c r="AC476" i="39"/>
  <c r="AC477" i="39"/>
  <c r="AC478" i="39"/>
  <c r="AC479" i="39"/>
  <c r="AC480" i="39"/>
  <c r="AC481" i="39"/>
  <c r="AC482" i="39"/>
  <c r="AC483" i="39"/>
  <c r="AC484" i="39"/>
  <c r="AC485" i="39"/>
  <c r="AC486" i="39"/>
  <c r="AC487" i="39"/>
  <c r="AC488" i="39"/>
  <c r="AC489" i="39"/>
  <c r="AC490" i="39"/>
  <c r="AC491" i="39"/>
  <c r="AC492" i="39"/>
  <c r="AC493" i="39"/>
  <c r="AC494" i="39"/>
  <c r="AC495" i="39"/>
  <c r="AC496" i="39"/>
  <c r="AC497" i="39"/>
  <c r="AC498" i="39"/>
  <c r="AC499" i="39"/>
  <c r="AC500" i="39"/>
  <c r="AC501" i="39"/>
  <c r="AC502" i="39"/>
  <c r="AC503" i="39"/>
  <c r="AC504" i="39"/>
  <c r="AC505" i="39"/>
  <c r="AC506" i="39"/>
  <c r="AC507" i="39"/>
  <c r="AC508" i="39"/>
  <c r="AC509" i="39"/>
  <c r="AC510" i="39"/>
  <c r="AC511" i="39"/>
  <c r="AC512" i="39"/>
  <c r="AC513" i="39"/>
  <c r="AC5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AR65" i="39"/>
  <c r="AR66" i="39"/>
  <c r="AR67" i="39"/>
  <c r="AR68" i="39"/>
  <c r="AR69" i="39"/>
  <c r="AR70" i="39"/>
  <c r="AR71" i="39"/>
  <c r="AR72" i="39"/>
  <c r="AR73" i="39"/>
  <c r="AR74" i="39"/>
  <c r="AR75" i="39"/>
  <c r="AR76" i="39"/>
  <c r="AR77" i="39"/>
  <c r="AR78" i="39"/>
  <c r="AR79" i="39"/>
  <c r="AR80" i="39"/>
  <c r="AR81" i="39"/>
  <c r="AR82" i="39"/>
  <c r="AR83" i="39"/>
  <c r="AR84" i="39"/>
  <c r="AR85" i="39"/>
  <c r="AR86" i="39"/>
  <c r="AR87" i="39"/>
  <c r="AR88" i="39"/>
  <c r="AR89" i="39"/>
  <c r="AR90" i="39"/>
  <c r="AR91" i="39"/>
  <c r="AR92" i="39"/>
  <c r="AR93" i="39"/>
  <c r="AR94" i="39"/>
  <c r="AR95" i="39"/>
  <c r="AR96" i="39"/>
  <c r="AR97" i="39"/>
  <c r="AR98" i="39"/>
  <c r="AR99" i="39"/>
  <c r="AR100" i="39"/>
  <c r="AR101" i="39"/>
  <c r="AR102" i="39"/>
  <c r="AR103" i="39"/>
  <c r="AR104" i="39"/>
  <c r="AR105" i="39"/>
  <c r="AR106" i="39"/>
  <c r="AR107" i="39"/>
  <c r="AR108" i="39"/>
  <c r="AR109" i="39"/>
  <c r="AR110" i="39"/>
  <c r="AR111" i="39"/>
  <c r="AR112" i="39"/>
  <c r="AR113" i="39"/>
  <c r="AR114" i="39"/>
  <c r="AR115" i="39"/>
  <c r="AR116" i="39"/>
  <c r="AR117" i="39"/>
  <c r="AR118" i="39"/>
  <c r="AR119" i="39"/>
  <c r="AR120" i="39"/>
  <c r="AR121" i="39"/>
  <c r="AR122" i="39"/>
  <c r="AR123" i="39"/>
  <c r="AR124" i="39"/>
  <c r="AR125" i="39"/>
  <c r="AR126" i="39"/>
  <c r="AR127" i="39"/>
  <c r="AR128" i="39"/>
  <c r="AR129" i="39"/>
  <c r="AR130" i="39"/>
  <c r="AR131" i="39"/>
  <c r="AR132" i="39"/>
  <c r="AR133" i="39"/>
  <c r="AR134" i="39"/>
  <c r="AR135" i="39"/>
  <c r="AR136" i="39"/>
  <c r="AR137" i="39"/>
  <c r="AR138" i="39"/>
  <c r="AR139" i="39"/>
  <c r="AR140" i="39"/>
  <c r="AR141" i="39"/>
  <c r="AR142" i="39"/>
  <c r="AR143" i="39"/>
  <c r="AR144" i="39"/>
  <c r="AR145" i="39"/>
  <c r="AR146" i="39"/>
  <c r="AR147" i="39"/>
  <c r="AR148" i="39"/>
  <c r="AR149" i="39"/>
  <c r="AR150" i="39"/>
  <c r="AR151" i="39"/>
  <c r="AR152" i="39"/>
  <c r="AR153" i="39"/>
  <c r="AR154" i="39"/>
  <c r="AR155" i="39"/>
  <c r="AR156" i="39"/>
  <c r="AR157" i="39"/>
  <c r="AR158" i="39"/>
  <c r="AR159" i="39"/>
  <c r="AR160" i="39"/>
  <c r="AR161" i="39"/>
  <c r="AR162" i="39"/>
  <c r="AR163" i="39"/>
  <c r="AR164" i="39"/>
  <c r="AR165" i="39"/>
  <c r="AR166" i="39"/>
  <c r="AR167" i="39"/>
  <c r="AR168" i="39"/>
  <c r="AR169" i="39"/>
  <c r="AR170" i="39"/>
  <c r="AR171" i="39"/>
  <c r="AR172" i="39"/>
  <c r="AR173" i="39"/>
  <c r="AR174" i="39"/>
  <c r="AR175" i="39"/>
  <c r="AR176" i="39"/>
  <c r="AR177" i="39"/>
  <c r="AR178" i="39"/>
  <c r="AR179" i="39"/>
  <c r="AR180" i="39"/>
  <c r="AR181" i="39"/>
  <c r="AR182" i="39"/>
  <c r="AR183" i="39"/>
  <c r="AR184" i="39"/>
  <c r="AR185" i="39"/>
  <c r="AR186" i="39"/>
  <c r="AR187" i="39"/>
  <c r="AR188" i="39"/>
  <c r="AR189" i="39"/>
  <c r="AR190" i="39"/>
  <c r="AR191" i="39"/>
  <c r="AR192" i="39"/>
  <c r="AR193" i="39"/>
  <c r="AR194" i="39"/>
  <c r="AR195" i="39"/>
  <c r="AR196" i="39"/>
  <c r="AR197" i="39"/>
  <c r="AR198" i="39"/>
  <c r="AR199" i="39"/>
  <c r="AR200" i="39"/>
  <c r="AR201" i="39"/>
  <c r="AR202" i="39"/>
  <c r="AR203" i="39"/>
  <c r="AR204" i="39"/>
  <c r="AR205" i="39"/>
  <c r="AR206" i="39"/>
  <c r="AR207" i="39"/>
  <c r="AR208" i="39"/>
  <c r="AR209" i="39"/>
  <c r="AR210" i="39"/>
  <c r="AR211" i="39"/>
  <c r="AR212" i="39"/>
  <c r="AR213" i="39"/>
  <c r="AR214" i="39"/>
  <c r="AR215" i="39"/>
  <c r="AR216" i="39"/>
  <c r="AR217" i="39"/>
  <c r="AR218" i="39"/>
  <c r="AR219" i="39"/>
  <c r="AR220" i="39"/>
  <c r="AR221" i="39"/>
  <c r="AR222" i="39"/>
  <c r="AR223" i="39"/>
  <c r="AR224" i="39"/>
  <c r="AR225" i="39"/>
  <c r="AR226" i="39"/>
  <c r="AR227" i="39"/>
  <c r="AR228" i="39"/>
  <c r="AR229" i="39"/>
  <c r="AR230" i="39"/>
  <c r="AR231" i="39"/>
  <c r="AR232" i="39"/>
  <c r="AR233" i="39"/>
  <c r="AR234" i="39"/>
  <c r="AR235" i="39"/>
  <c r="AR236" i="39"/>
  <c r="AR237" i="39"/>
  <c r="AR238" i="39"/>
  <c r="AR239" i="39"/>
  <c r="AR240" i="39"/>
  <c r="AR241" i="39"/>
  <c r="AR242" i="39"/>
  <c r="AR243" i="39"/>
  <c r="AR244" i="39"/>
  <c r="AR245" i="39"/>
  <c r="AR246" i="39"/>
  <c r="AR247" i="39"/>
  <c r="AR248" i="39"/>
  <c r="AR249" i="39"/>
  <c r="AR250" i="39"/>
  <c r="AR251" i="39"/>
  <c r="AR252" i="39"/>
  <c r="AR253" i="39"/>
  <c r="AR254" i="39"/>
  <c r="AR255" i="39"/>
  <c r="AR256" i="39"/>
  <c r="AR257" i="39"/>
  <c r="AR258" i="39"/>
  <c r="AR259" i="39"/>
  <c r="AR260" i="39"/>
  <c r="AR261" i="39"/>
  <c r="AR262" i="39"/>
  <c r="AR263" i="39"/>
  <c r="AR264" i="39"/>
  <c r="AR265" i="39"/>
  <c r="AR266" i="39"/>
  <c r="AR267" i="39"/>
  <c r="AR268" i="39"/>
  <c r="AR269" i="39"/>
  <c r="AR270" i="39"/>
  <c r="AR271" i="39"/>
  <c r="AR272" i="39"/>
  <c r="AR273" i="39"/>
  <c r="AR274" i="39"/>
  <c r="AR275" i="39"/>
  <c r="AR276" i="39"/>
  <c r="AR277" i="39"/>
  <c r="AR278" i="39"/>
  <c r="AR279" i="39"/>
  <c r="AR280" i="39"/>
  <c r="AR281" i="39"/>
  <c r="AR282" i="39"/>
  <c r="AR283" i="39"/>
  <c r="AR284" i="39"/>
  <c r="AR285" i="39"/>
  <c r="AR286" i="39"/>
  <c r="AR287" i="39"/>
  <c r="AR288" i="39"/>
  <c r="AR289" i="39"/>
  <c r="AR290" i="39"/>
  <c r="AR291" i="39"/>
  <c r="AR292" i="39"/>
  <c r="AR293" i="39"/>
  <c r="AR294" i="39"/>
  <c r="AR295" i="39"/>
  <c r="AR296" i="39"/>
  <c r="AR297" i="39"/>
  <c r="AR298" i="39"/>
  <c r="AR299" i="39"/>
  <c r="AR300" i="39"/>
  <c r="AR301" i="39"/>
  <c r="AR302" i="39"/>
  <c r="AR303" i="39"/>
  <c r="AR304" i="39"/>
  <c r="AR305" i="39"/>
  <c r="AR306" i="39"/>
  <c r="AR307" i="39"/>
  <c r="AR308" i="39"/>
  <c r="AR309" i="39"/>
  <c r="AR310" i="39"/>
  <c r="AR311" i="39"/>
  <c r="AR312" i="39"/>
  <c r="AR313" i="39"/>
  <c r="AR314" i="39"/>
  <c r="AR315" i="39"/>
  <c r="AR316" i="39"/>
  <c r="AR317" i="39"/>
  <c r="AR318" i="39"/>
  <c r="AR319" i="39"/>
  <c r="AR320" i="39"/>
  <c r="AR321" i="39"/>
  <c r="AR322" i="39"/>
  <c r="AR323" i="39"/>
  <c r="AR324" i="39"/>
  <c r="AR325" i="39"/>
  <c r="AR326" i="39"/>
  <c r="AR327" i="39"/>
  <c r="AR328" i="39"/>
  <c r="AR329" i="39"/>
  <c r="AR330" i="39"/>
  <c r="AR331" i="39"/>
  <c r="AR332" i="39"/>
  <c r="AR333" i="39"/>
  <c r="AR334" i="39"/>
  <c r="AR335" i="39"/>
  <c r="AR336" i="39"/>
  <c r="AR337" i="39"/>
  <c r="AR338" i="39"/>
  <c r="AR339" i="39"/>
  <c r="AR340" i="39"/>
  <c r="AR341" i="39"/>
  <c r="AR342" i="39"/>
  <c r="AR343" i="39"/>
  <c r="AR344" i="39"/>
  <c r="AR345" i="39"/>
  <c r="AR346" i="39"/>
  <c r="AR347" i="39"/>
  <c r="AR348" i="39"/>
  <c r="AR349" i="39"/>
  <c r="AR350" i="39"/>
  <c r="AR351" i="39"/>
  <c r="AR352" i="39"/>
  <c r="AR353" i="39"/>
  <c r="AR354" i="39"/>
  <c r="AR355" i="39"/>
  <c r="AR356" i="39"/>
  <c r="AR357" i="39"/>
  <c r="AR358" i="39"/>
  <c r="AR359" i="39"/>
  <c r="AR360" i="39"/>
  <c r="AR361" i="39"/>
  <c r="AR362" i="39"/>
  <c r="AR363" i="39"/>
  <c r="AR364" i="39"/>
  <c r="AR365" i="39"/>
  <c r="AR366" i="39"/>
  <c r="AR367" i="39"/>
  <c r="AR368" i="39"/>
  <c r="AR369" i="39"/>
  <c r="AR370" i="39"/>
  <c r="AR371" i="39"/>
  <c r="AR372" i="39"/>
  <c r="AR373" i="39"/>
  <c r="AR374" i="39"/>
  <c r="AR375" i="39"/>
  <c r="AR376" i="39"/>
  <c r="AR377" i="39"/>
  <c r="AR378" i="39"/>
  <c r="AR379" i="39"/>
  <c r="AR380" i="39"/>
  <c r="AR381" i="39"/>
  <c r="AR382" i="39"/>
  <c r="AR383" i="39"/>
  <c r="AR384" i="39"/>
  <c r="AR385" i="39"/>
  <c r="AR386" i="39"/>
  <c r="AR387" i="39"/>
  <c r="AR388" i="39"/>
  <c r="AR389" i="39"/>
  <c r="AR390" i="39"/>
  <c r="AR391" i="39"/>
  <c r="AR392" i="39"/>
  <c r="AR393" i="39"/>
  <c r="AR394" i="39"/>
  <c r="AR395" i="39"/>
  <c r="AR396" i="39"/>
  <c r="AR397" i="39"/>
  <c r="AR398" i="39"/>
  <c r="AR399" i="39"/>
  <c r="AR400" i="39"/>
  <c r="AR401" i="39"/>
  <c r="AR402" i="39"/>
  <c r="AR403" i="39"/>
  <c r="AR404" i="39"/>
  <c r="AR405" i="39"/>
  <c r="AR406" i="39"/>
  <c r="AR407" i="39"/>
  <c r="AR408" i="39"/>
  <c r="AR409" i="39"/>
  <c r="AR410" i="39"/>
  <c r="AR411" i="39"/>
  <c r="AR412" i="39"/>
  <c r="AR413" i="39"/>
  <c r="AR414" i="39"/>
  <c r="AR415" i="39"/>
  <c r="AR416" i="39"/>
  <c r="AR417" i="39"/>
  <c r="AR418" i="39"/>
  <c r="AR419" i="39"/>
  <c r="AR420" i="39"/>
  <c r="AR421" i="39"/>
  <c r="AR422" i="39"/>
  <c r="AR423" i="39"/>
  <c r="AR424" i="39"/>
  <c r="AR425" i="39"/>
  <c r="AR426" i="39"/>
  <c r="AR427" i="39"/>
  <c r="AR428" i="39"/>
  <c r="AR429" i="39"/>
  <c r="AR430" i="39"/>
  <c r="AR431" i="39"/>
  <c r="AR432" i="39"/>
  <c r="AR433" i="39"/>
  <c r="AR434" i="39"/>
  <c r="AR435" i="39"/>
  <c r="AR436" i="39"/>
  <c r="AR437" i="39"/>
  <c r="AR438" i="39"/>
  <c r="AR439" i="39"/>
  <c r="AR440" i="39"/>
  <c r="AR441" i="39"/>
  <c r="AR442" i="39"/>
  <c r="AR443" i="39"/>
  <c r="AR444" i="39"/>
  <c r="AR445" i="39"/>
  <c r="AR446" i="39"/>
  <c r="AR447" i="39"/>
  <c r="AR448" i="39"/>
  <c r="AR449" i="39"/>
  <c r="AR450" i="39"/>
  <c r="AR451" i="39"/>
  <c r="AR452" i="39"/>
  <c r="AR453" i="39"/>
  <c r="AR454" i="39"/>
  <c r="AR455" i="39"/>
  <c r="AR456" i="39"/>
  <c r="AR457" i="39"/>
  <c r="AR458" i="39"/>
  <c r="AR459" i="39"/>
  <c r="AR460" i="39"/>
  <c r="AR461" i="39"/>
  <c r="AR462" i="39"/>
  <c r="AR463" i="39"/>
  <c r="AR464" i="39"/>
  <c r="AR465" i="39"/>
  <c r="AR466" i="39"/>
  <c r="AR467" i="39"/>
  <c r="AR468" i="39"/>
  <c r="AR469" i="39"/>
  <c r="AR470" i="39"/>
  <c r="AR471" i="39"/>
  <c r="AR472" i="39"/>
  <c r="AR473" i="39"/>
  <c r="AR474" i="39"/>
  <c r="AR475" i="39"/>
  <c r="AR476" i="39"/>
  <c r="AR477" i="39"/>
  <c r="AR478" i="39"/>
  <c r="AR479" i="39"/>
  <c r="AR480" i="39"/>
  <c r="AR481" i="39"/>
  <c r="AR482" i="39"/>
  <c r="AR483" i="39"/>
  <c r="AR484" i="39"/>
  <c r="AR485" i="39"/>
  <c r="AR486" i="39"/>
  <c r="AR487" i="39"/>
  <c r="AR488" i="39"/>
  <c r="AR489" i="39"/>
  <c r="AR490" i="39"/>
  <c r="AR491" i="39"/>
  <c r="AR492" i="39"/>
  <c r="AR493" i="39"/>
  <c r="AR494" i="39"/>
  <c r="AR495" i="39"/>
  <c r="AR496" i="39"/>
  <c r="AR497" i="39"/>
  <c r="AR498" i="39"/>
  <c r="AR499" i="39"/>
  <c r="AR500" i="39"/>
  <c r="AR501" i="39"/>
  <c r="AR502" i="39"/>
  <c r="AR503" i="39"/>
  <c r="AR504" i="39"/>
  <c r="AR505" i="39"/>
  <c r="AR506" i="39"/>
  <c r="AR507" i="39"/>
  <c r="AR508" i="39"/>
  <c r="AR509" i="39"/>
  <c r="AR510" i="39"/>
  <c r="AR511" i="39"/>
  <c r="AR512" i="39"/>
  <c r="AR513" i="39"/>
  <c r="AR514" i="39"/>
  <c r="AQ15" i="39"/>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AQ65" i="39"/>
  <c r="AQ66" i="39"/>
  <c r="AQ67" i="39"/>
  <c r="AQ68" i="39"/>
  <c r="AQ69" i="39"/>
  <c r="AQ70" i="39"/>
  <c r="AQ71" i="39"/>
  <c r="AQ72" i="39"/>
  <c r="AQ73" i="39"/>
  <c r="AQ74" i="39"/>
  <c r="AQ75" i="39"/>
  <c r="AQ76" i="39"/>
  <c r="AQ77" i="39"/>
  <c r="AQ78" i="39"/>
  <c r="AQ79" i="39"/>
  <c r="AQ80" i="39"/>
  <c r="AQ81" i="39"/>
  <c r="AQ82" i="39"/>
  <c r="AQ83" i="39"/>
  <c r="AQ84" i="39"/>
  <c r="AQ85" i="39"/>
  <c r="AQ86" i="39"/>
  <c r="AQ87" i="39"/>
  <c r="AQ88" i="39"/>
  <c r="AQ89" i="39"/>
  <c r="AQ90" i="39"/>
  <c r="AQ91" i="39"/>
  <c r="AQ92" i="39"/>
  <c r="AQ93" i="39"/>
  <c r="AQ94" i="39"/>
  <c r="AQ95" i="39"/>
  <c r="AQ96" i="39"/>
  <c r="AQ97" i="39"/>
  <c r="AQ98" i="39"/>
  <c r="AQ99" i="39"/>
  <c r="AQ100" i="39"/>
  <c r="AQ101" i="39"/>
  <c r="AQ102" i="39"/>
  <c r="AQ103" i="39"/>
  <c r="AQ104" i="39"/>
  <c r="AQ105" i="39"/>
  <c r="AQ106" i="39"/>
  <c r="AQ107" i="39"/>
  <c r="AQ108" i="39"/>
  <c r="AQ109" i="39"/>
  <c r="AQ110" i="39"/>
  <c r="AQ111" i="39"/>
  <c r="AQ112" i="39"/>
  <c r="AQ113" i="39"/>
  <c r="AQ114" i="39"/>
  <c r="AQ115" i="39"/>
  <c r="AQ116" i="39"/>
  <c r="AQ117" i="39"/>
  <c r="AQ118" i="39"/>
  <c r="AQ119" i="39"/>
  <c r="AQ120" i="39"/>
  <c r="AQ121" i="39"/>
  <c r="AQ122" i="39"/>
  <c r="AQ123" i="39"/>
  <c r="AQ124" i="39"/>
  <c r="AQ125" i="39"/>
  <c r="AQ126" i="39"/>
  <c r="AQ127" i="39"/>
  <c r="AQ128" i="39"/>
  <c r="AQ129" i="39"/>
  <c r="AQ130" i="39"/>
  <c r="AQ131" i="39"/>
  <c r="AQ132" i="39"/>
  <c r="AQ133" i="39"/>
  <c r="AQ134" i="39"/>
  <c r="AQ135" i="39"/>
  <c r="AQ136" i="39"/>
  <c r="AQ137" i="39"/>
  <c r="AQ138" i="39"/>
  <c r="AQ139" i="39"/>
  <c r="AQ140" i="39"/>
  <c r="AQ141" i="39"/>
  <c r="AQ142" i="39"/>
  <c r="AQ143" i="39"/>
  <c r="AQ144" i="39"/>
  <c r="AQ145" i="39"/>
  <c r="AQ146" i="39"/>
  <c r="AQ147" i="39"/>
  <c r="AQ148" i="39"/>
  <c r="AQ149" i="39"/>
  <c r="AQ150" i="39"/>
  <c r="AQ151" i="39"/>
  <c r="AQ152" i="39"/>
  <c r="AQ153" i="39"/>
  <c r="AQ154" i="39"/>
  <c r="AQ155" i="39"/>
  <c r="AQ156" i="39"/>
  <c r="AQ157" i="39"/>
  <c r="AQ158" i="39"/>
  <c r="AQ159" i="39"/>
  <c r="AQ160" i="39"/>
  <c r="AQ161" i="39"/>
  <c r="AQ162" i="39"/>
  <c r="AQ163" i="39"/>
  <c r="AQ164" i="39"/>
  <c r="AQ165" i="39"/>
  <c r="AQ166" i="39"/>
  <c r="AQ167" i="39"/>
  <c r="AQ168" i="39"/>
  <c r="AQ169" i="39"/>
  <c r="AQ170" i="39"/>
  <c r="AQ171" i="39"/>
  <c r="AQ172" i="39"/>
  <c r="AQ173" i="39"/>
  <c r="AQ174" i="39"/>
  <c r="AQ175" i="39"/>
  <c r="AQ176" i="39"/>
  <c r="AQ177" i="39"/>
  <c r="AQ178" i="39"/>
  <c r="AQ179" i="39"/>
  <c r="AQ180" i="39"/>
  <c r="AQ181" i="39"/>
  <c r="AQ182" i="39"/>
  <c r="AQ183" i="39"/>
  <c r="AQ184" i="39"/>
  <c r="AQ185" i="39"/>
  <c r="AQ186" i="39"/>
  <c r="AQ187" i="39"/>
  <c r="AQ188" i="39"/>
  <c r="AQ189" i="39"/>
  <c r="AQ190" i="39"/>
  <c r="AQ191" i="39"/>
  <c r="AQ192" i="39"/>
  <c r="AQ193" i="39"/>
  <c r="AQ194" i="39"/>
  <c r="AQ195" i="39"/>
  <c r="AQ196" i="39"/>
  <c r="AQ197" i="39"/>
  <c r="AQ198" i="39"/>
  <c r="AQ199" i="39"/>
  <c r="AQ200" i="39"/>
  <c r="AQ201" i="39"/>
  <c r="AQ202" i="39"/>
  <c r="AQ203" i="39"/>
  <c r="AQ204" i="39"/>
  <c r="AQ205" i="39"/>
  <c r="AQ206" i="39"/>
  <c r="AQ207" i="39"/>
  <c r="AQ208" i="39"/>
  <c r="AQ209" i="39"/>
  <c r="AQ210" i="39"/>
  <c r="AQ211" i="39"/>
  <c r="AQ212" i="39"/>
  <c r="AQ213" i="39"/>
  <c r="AQ214" i="39"/>
  <c r="AQ215" i="39"/>
  <c r="AQ216" i="39"/>
  <c r="AQ217" i="39"/>
  <c r="AQ218" i="39"/>
  <c r="AQ219" i="39"/>
  <c r="AQ220" i="39"/>
  <c r="AQ221" i="39"/>
  <c r="AQ222" i="39"/>
  <c r="AQ223" i="39"/>
  <c r="AQ224" i="39"/>
  <c r="AQ225" i="39"/>
  <c r="AQ226" i="39"/>
  <c r="AQ227" i="39"/>
  <c r="AQ228" i="39"/>
  <c r="AQ229" i="39"/>
  <c r="AQ230" i="39"/>
  <c r="AQ231" i="39"/>
  <c r="AQ232" i="39"/>
  <c r="AQ233" i="39"/>
  <c r="AQ234" i="39"/>
  <c r="AQ235" i="39"/>
  <c r="AQ236" i="39"/>
  <c r="AQ237" i="39"/>
  <c r="AQ238" i="39"/>
  <c r="AQ239" i="39"/>
  <c r="AQ240" i="39"/>
  <c r="AQ241" i="39"/>
  <c r="AQ242" i="39"/>
  <c r="AQ243" i="39"/>
  <c r="AQ244" i="39"/>
  <c r="AQ245" i="39"/>
  <c r="AQ246" i="39"/>
  <c r="AQ247" i="39"/>
  <c r="AQ248" i="39"/>
  <c r="AQ249" i="39"/>
  <c r="AQ250" i="39"/>
  <c r="AQ251" i="39"/>
  <c r="AQ252" i="39"/>
  <c r="AQ253" i="39"/>
  <c r="AQ254" i="39"/>
  <c r="AQ255" i="39"/>
  <c r="AQ256" i="39"/>
  <c r="AQ257" i="39"/>
  <c r="AQ258" i="39"/>
  <c r="AQ259" i="39"/>
  <c r="AQ260" i="39"/>
  <c r="AQ261" i="39"/>
  <c r="AQ262" i="39"/>
  <c r="AQ263" i="39"/>
  <c r="AQ264" i="39"/>
  <c r="AQ265" i="39"/>
  <c r="AQ266" i="39"/>
  <c r="AQ267" i="39"/>
  <c r="AQ268" i="39"/>
  <c r="AQ269" i="39"/>
  <c r="AQ270" i="39"/>
  <c r="AQ271" i="39"/>
  <c r="AQ272" i="39"/>
  <c r="AQ273" i="39"/>
  <c r="AQ274" i="39"/>
  <c r="AQ275" i="39"/>
  <c r="AQ276" i="39"/>
  <c r="AQ277" i="39"/>
  <c r="AQ278" i="39"/>
  <c r="AQ279" i="39"/>
  <c r="AQ280" i="39"/>
  <c r="AQ281" i="39"/>
  <c r="AQ282" i="39"/>
  <c r="AQ283" i="39"/>
  <c r="AQ284" i="39"/>
  <c r="AQ285" i="39"/>
  <c r="AQ286" i="39"/>
  <c r="AQ287" i="39"/>
  <c r="AQ288" i="39"/>
  <c r="AQ289" i="39"/>
  <c r="AQ290" i="39"/>
  <c r="AQ291" i="39"/>
  <c r="AQ292" i="39"/>
  <c r="AQ293" i="39"/>
  <c r="AQ294" i="39"/>
  <c r="AQ295" i="39"/>
  <c r="AQ296" i="39"/>
  <c r="AQ297" i="39"/>
  <c r="AQ298" i="39"/>
  <c r="AQ299" i="39"/>
  <c r="AQ300" i="39"/>
  <c r="AQ301" i="39"/>
  <c r="AQ302" i="39"/>
  <c r="AQ303" i="39"/>
  <c r="AQ304" i="39"/>
  <c r="AQ305" i="39"/>
  <c r="AQ306" i="39"/>
  <c r="AQ307" i="39"/>
  <c r="AQ308" i="39"/>
  <c r="AQ309" i="39"/>
  <c r="AQ310" i="39"/>
  <c r="AQ311" i="39"/>
  <c r="AQ312" i="39"/>
  <c r="AQ313" i="39"/>
  <c r="AQ314" i="39"/>
  <c r="AQ315" i="39"/>
  <c r="AQ316" i="39"/>
  <c r="AQ317" i="39"/>
  <c r="AQ318" i="39"/>
  <c r="AQ319" i="39"/>
  <c r="AQ320" i="39"/>
  <c r="AQ321" i="39"/>
  <c r="AQ322" i="39"/>
  <c r="AQ323" i="39"/>
  <c r="AQ324" i="39"/>
  <c r="AQ325" i="39"/>
  <c r="AQ326" i="39"/>
  <c r="AQ327" i="39"/>
  <c r="AQ328" i="39"/>
  <c r="AQ329" i="39"/>
  <c r="AQ330" i="39"/>
  <c r="AQ331" i="39"/>
  <c r="AQ332" i="39"/>
  <c r="AQ333" i="39"/>
  <c r="AQ334" i="39"/>
  <c r="AQ335" i="39"/>
  <c r="AQ336" i="39"/>
  <c r="AQ337" i="39"/>
  <c r="AQ338" i="39"/>
  <c r="AQ339" i="39"/>
  <c r="AQ340" i="39"/>
  <c r="AQ341" i="39"/>
  <c r="AQ342" i="39"/>
  <c r="AQ343" i="39"/>
  <c r="AQ344" i="39"/>
  <c r="AQ345" i="39"/>
  <c r="AQ346" i="39"/>
  <c r="AQ347" i="39"/>
  <c r="AQ348" i="39"/>
  <c r="AQ349" i="39"/>
  <c r="AQ350" i="39"/>
  <c r="AQ351" i="39"/>
  <c r="AQ352" i="39"/>
  <c r="AQ353" i="39"/>
  <c r="AQ354" i="39"/>
  <c r="AQ355" i="39"/>
  <c r="AQ356" i="39"/>
  <c r="AQ357" i="39"/>
  <c r="AQ358" i="39"/>
  <c r="AQ359" i="39"/>
  <c r="AQ360" i="39"/>
  <c r="AQ361" i="39"/>
  <c r="AQ362" i="39"/>
  <c r="AQ363" i="39"/>
  <c r="AQ364" i="39"/>
  <c r="AQ365" i="39"/>
  <c r="AQ366" i="39"/>
  <c r="AQ367" i="39"/>
  <c r="AQ368" i="39"/>
  <c r="AQ369" i="39"/>
  <c r="AQ370" i="39"/>
  <c r="AQ371" i="39"/>
  <c r="AQ372" i="39"/>
  <c r="AQ373" i="39"/>
  <c r="AQ374" i="39"/>
  <c r="AQ375" i="39"/>
  <c r="AQ376" i="39"/>
  <c r="AQ377" i="39"/>
  <c r="AQ378" i="39"/>
  <c r="AQ379" i="39"/>
  <c r="AQ380" i="39"/>
  <c r="AQ381" i="39"/>
  <c r="AQ382" i="39"/>
  <c r="AQ383" i="39"/>
  <c r="AQ384" i="39"/>
  <c r="AQ385" i="39"/>
  <c r="AQ386" i="39"/>
  <c r="AQ387" i="39"/>
  <c r="AQ388" i="39"/>
  <c r="AQ389" i="39"/>
  <c r="AQ390" i="39"/>
  <c r="AQ391" i="39"/>
  <c r="AQ392" i="39"/>
  <c r="AQ393" i="39"/>
  <c r="AQ394" i="39"/>
  <c r="AQ395" i="39"/>
  <c r="AQ396" i="39"/>
  <c r="AQ397" i="39"/>
  <c r="AQ398" i="39"/>
  <c r="AQ399" i="39"/>
  <c r="AQ400" i="39"/>
  <c r="AQ401" i="39"/>
  <c r="AQ402" i="39"/>
  <c r="AQ403" i="39"/>
  <c r="AQ404" i="39"/>
  <c r="AQ405" i="39"/>
  <c r="AQ406" i="39"/>
  <c r="AQ407" i="39"/>
  <c r="AQ408" i="39"/>
  <c r="AQ409" i="39"/>
  <c r="AQ410" i="39"/>
  <c r="AQ411" i="39"/>
  <c r="AQ412" i="39"/>
  <c r="AQ413" i="39"/>
  <c r="AQ414" i="39"/>
  <c r="AQ415" i="39"/>
  <c r="AQ416" i="39"/>
  <c r="AQ417" i="39"/>
  <c r="AQ418" i="39"/>
  <c r="AQ419" i="39"/>
  <c r="AQ420" i="39"/>
  <c r="AQ421" i="39"/>
  <c r="AQ422" i="39"/>
  <c r="AQ423" i="39"/>
  <c r="AQ424" i="39"/>
  <c r="AQ425" i="39"/>
  <c r="AQ426" i="39"/>
  <c r="AQ427" i="39"/>
  <c r="AQ428" i="39"/>
  <c r="AQ429" i="39"/>
  <c r="AQ430" i="39"/>
  <c r="AQ431" i="39"/>
  <c r="AQ432" i="39"/>
  <c r="AQ433" i="39"/>
  <c r="AQ434" i="39"/>
  <c r="AQ435" i="39"/>
  <c r="AQ436" i="39"/>
  <c r="AQ437" i="39"/>
  <c r="AQ438" i="39"/>
  <c r="AQ439" i="39"/>
  <c r="AQ440" i="39"/>
  <c r="AQ441" i="39"/>
  <c r="AQ442" i="39"/>
  <c r="AQ443" i="39"/>
  <c r="AQ444" i="39"/>
  <c r="AQ445" i="39"/>
  <c r="AQ446" i="39"/>
  <c r="AQ447" i="39"/>
  <c r="AQ448" i="39"/>
  <c r="AQ449" i="39"/>
  <c r="AQ450" i="39"/>
  <c r="AQ451" i="39"/>
  <c r="AQ452" i="39"/>
  <c r="AQ453" i="39"/>
  <c r="AQ454" i="39"/>
  <c r="AQ455" i="39"/>
  <c r="AQ456" i="39"/>
  <c r="AQ457" i="39"/>
  <c r="AQ458" i="39"/>
  <c r="AQ459" i="39"/>
  <c r="AQ460" i="39"/>
  <c r="AQ461" i="39"/>
  <c r="AQ462" i="39"/>
  <c r="AQ463" i="39"/>
  <c r="AQ464" i="39"/>
  <c r="AQ465" i="39"/>
  <c r="AQ466" i="39"/>
  <c r="AQ467" i="39"/>
  <c r="AQ468" i="39"/>
  <c r="AQ469" i="39"/>
  <c r="AQ470" i="39"/>
  <c r="AQ471" i="39"/>
  <c r="AQ472" i="39"/>
  <c r="AQ473" i="39"/>
  <c r="AQ474" i="39"/>
  <c r="AQ475" i="39"/>
  <c r="AQ476" i="39"/>
  <c r="AQ477" i="39"/>
  <c r="AQ478" i="39"/>
  <c r="AQ479" i="39"/>
  <c r="AQ480" i="39"/>
  <c r="AQ481" i="39"/>
  <c r="AQ482" i="39"/>
  <c r="AQ483" i="39"/>
  <c r="AQ484" i="39"/>
  <c r="AQ485" i="39"/>
  <c r="AQ486" i="39"/>
  <c r="AQ487" i="39"/>
  <c r="AQ488" i="39"/>
  <c r="AQ489" i="39"/>
  <c r="AQ490" i="39"/>
  <c r="AQ491" i="39"/>
  <c r="AQ492" i="39"/>
  <c r="AQ493" i="39"/>
  <c r="AQ494" i="39"/>
  <c r="AQ495" i="39"/>
  <c r="AQ496" i="39"/>
  <c r="AQ497" i="39"/>
  <c r="AQ498" i="39"/>
  <c r="AQ499" i="39"/>
  <c r="AQ500" i="39"/>
  <c r="AQ501" i="39"/>
  <c r="AQ502" i="39"/>
  <c r="AQ503" i="39"/>
  <c r="AQ504" i="39"/>
  <c r="AQ505" i="39"/>
  <c r="AQ506" i="39"/>
  <c r="AQ507" i="39"/>
  <c r="AQ508" i="39"/>
  <c r="AQ509" i="39"/>
  <c r="AQ510" i="39"/>
  <c r="AQ511" i="39"/>
  <c r="AQ512" i="39"/>
  <c r="AQ513" i="39"/>
  <c r="AQ514" i="39"/>
  <c r="AP15" i="39"/>
  <c r="AP16" i="39"/>
  <c r="AP17" i="39"/>
  <c r="AP18" i="39"/>
  <c r="AP19" i="39"/>
  <c r="AP20" i="39"/>
  <c r="AP21" i="39"/>
  <c r="AP22" i="39"/>
  <c r="AP23" i="39"/>
  <c r="AP24" i="39"/>
  <c r="AP25" i="39"/>
  <c r="AP26" i="39"/>
  <c r="AP27" i="39"/>
  <c r="AP28" i="39"/>
  <c r="AP29" i="39"/>
  <c r="AP30" i="39"/>
  <c r="AP31" i="39"/>
  <c r="AP32" i="39"/>
  <c r="AP33" i="39"/>
  <c r="AP34" i="39"/>
  <c r="AP35" i="39"/>
  <c r="AP36" i="39"/>
  <c r="AP37" i="39"/>
  <c r="AP38" i="39"/>
  <c r="AP39" i="39"/>
  <c r="AP40" i="39"/>
  <c r="AP41" i="39"/>
  <c r="AP42" i="39"/>
  <c r="AP43" i="39"/>
  <c r="AP44" i="39"/>
  <c r="AP45" i="39"/>
  <c r="AP46" i="39"/>
  <c r="AP47" i="39"/>
  <c r="AP48" i="39"/>
  <c r="AP49" i="39"/>
  <c r="AP50" i="39"/>
  <c r="AP51" i="39"/>
  <c r="AP52" i="39"/>
  <c r="AP53" i="39"/>
  <c r="AP54" i="39"/>
  <c r="AP55" i="39"/>
  <c r="AP56" i="39"/>
  <c r="AP57" i="39"/>
  <c r="AP58" i="39"/>
  <c r="AP59" i="39"/>
  <c r="AP60" i="39"/>
  <c r="AP61" i="39"/>
  <c r="AP62" i="39"/>
  <c r="AP63" i="39"/>
  <c r="AP64" i="39"/>
  <c r="AP65" i="39"/>
  <c r="AP66" i="39"/>
  <c r="AP67" i="39"/>
  <c r="AP68" i="39"/>
  <c r="AP69" i="39"/>
  <c r="AP70" i="39"/>
  <c r="AP71" i="39"/>
  <c r="AP72" i="39"/>
  <c r="AP73" i="39"/>
  <c r="AP74" i="39"/>
  <c r="AP75" i="39"/>
  <c r="AP76" i="39"/>
  <c r="AP77" i="39"/>
  <c r="AP78" i="39"/>
  <c r="AP79" i="39"/>
  <c r="AP80" i="39"/>
  <c r="AP81" i="39"/>
  <c r="AP82" i="39"/>
  <c r="AP83" i="39"/>
  <c r="AP84" i="39"/>
  <c r="AP85" i="39"/>
  <c r="AP86" i="39"/>
  <c r="AP87" i="39"/>
  <c r="AP88" i="39"/>
  <c r="AP89" i="39"/>
  <c r="AP90" i="39"/>
  <c r="AP91" i="39"/>
  <c r="AP92" i="39"/>
  <c r="AP93" i="39"/>
  <c r="AP94" i="39"/>
  <c r="AP95" i="39"/>
  <c r="AP96" i="39"/>
  <c r="AP97" i="39"/>
  <c r="AP98" i="39"/>
  <c r="AP99" i="39"/>
  <c r="AP100" i="39"/>
  <c r="AP101" i="39"/>
  <c r="AP102" i="39"/>
  <c r="AP103" i="39"/>
  <c r="AP104" i="39"/>
  <c r="AP105" i="39"/>
  <c r="AP106" i="39"/>
  <c r="AP107" i="39"/>
  <c r="AP108" i="39"/>
  <c r="AP109" i="39"/>
  <c r="AP110" i="39"/>
  <c r="AP111" i="39"/>
  <c r="AP112" i="39"/>
  <c r="AP113" i="39"/>
  <c r="AP114" i="39"/>
  <c r="AP115" i="39"/>
  <c r="AP116" i="39"/>
  <c r="AP117" i="39"/>
  <c r="AP118" i="39"/>
  <c r="AP119" i="39"/>
  <c r="AP120" i="39"/>
  <c r="AP121" i="39"/>
  <c r="AP122" i="39"/>
  <c r="AP123" i="39"/>
  <c r="AP124" i="39"/>
  <c r="AP125" i="39"/>
  <c r="AP126" i="39"/>
  <c r="AP127" i="39"/>
  <c r="AP128" i="39"/>
  <c r="AP129" i="39"/>
  <c r="AP130" i="39"/>
  <c r="AP131" i="39"/>
  <c r="AP132" i="39"/>
  <c r="AP133" i="39"/>
  <c r="AP134" i="39"/>
  <c r="AP135" i="39"/>
  <c r="AP136" i="39"/>
  <c r="AP137" i="39"/>
  <c r="AP138" i="39"/>
  <c r="AP139" i="39"/>
  <c r="AP140" i="39"/>
  <c r="AP141" i="39"/>
  <c r="AP142" i="39"/>
  <c r="AP143" i="39"/>
  <c r="AP144" i="39"/>
  <c r="AP145" i="39"/>
  <c r="AP146" i="39"/>
  <c r="AP147" i="39"/>
  <c r="AP148" i="39"/>
  <c r="AP149" i="39"/>
  <c r="AP150" i="39"/>
  <c r="AP151" i="39"/>
  <c r="AP152" i="39"/>
  <c r="AP153" i="39"/>
  <c r="AP154" i="39"/>
  <c r="AP155" i="39"/>
  <c r="AP156" i="39"/>
  <c r="AP157" i="39"/>
  <c r="AP158" i="39"/>
  <c r="AP159" i="39"/>
  <c r="AP160" i="39"/>
  <c r="AP161" i="39"/>
  <c r="AP162" i="39"/>
  <c r="AP163" i="39"/>
  <c r="AP164" i="39"/>
  <c r="AP165" i="39"/>
  <c r="AP166" i="39"/>
  <c r="AP167" i="39"/>
  <c r="AP168" i="39"/>
  <c r="AP169" i="39"/>
  <c r="AP170" i="39"/>
  <c r="AP171" i="39"/>
  <c r="AP172" i="39"/>
  <c r="AP173" i="39"/>
  <c r="AP174" i="39"/>
  <c r="AP175" i="39"/>
  <c r="AP176" i="39"/>
  <c r="AP177" i="39"/>
  <c r="AP178" i="39"/>
  <c r="AP179" i="39"/>
  <c r="AP180" i="39"/>
  <c r="AP181" i="39"/>
  <c r="AP182" i="39"/>
  <c r="AP183" i="39"/>
  <c r="AP184" i="39"/>
  <c r="AP185" i="39"/>
  <c r="AP186" i="39"/>
  <c r="AP187" i="39"/>
  <c r="AP188" i="39"/>
  <c r="AP189" i="39"/>
  <c r="AP190" i="39"/>
  <c r="AP191" i="39"/>
  <c r="AP192" i="39"/>
  <c r="AP193" i="39"/>
  <c r="AP194" i="39"/>
  <c r="AP195" i="39"/>
  <c r="AP196" i="39"/>
  <c r="AP197" i="39"/>
  <c r="AP198" i="39"/>
  <c r="AP199" i="39"/>
  <c r="AP200" i="39"/>
  <c r="AP201" i="39"/>
  <c r="AP202" i="39"/>
  <c r="AP203" i="39"/>
  <c r="AP204" i="39"/>
  <c r="AP205" i="39"/>
  <c r="AP206" i="39"/>
  <c r="AP207" i="39"/>
  <c r="AP208" i="39"/>
  <c r="AP209" i="39"/>
  <c r="AP210" i="39"/>
  <c r="AP211" i="39"/>
  <c r="AP212" i="39"/>
  <c r="AP213" i="39"/>
  <c r="AP214" i="39"/>
  <c r="AP215" i="39"/>
  <c r="AP216" i="39"/>
  <c r="AP217" i="39"/>
  <c r="AP218" i="39"/>
  <c r="AP219" i="39"/>
  <c r="AP220" i="39"/>
  <c r="AP221" i="39"/>
  <c r="AP222" i="39"/>
  <c r="AP223" i="39"/>
  <c r="AP224" i="39"/>
  <c r="AP225" i="39"/>
  <c r="AP226" i="39"/>
  <c r="AP227" i="39"/>
  <c r="AP228" i="39"/>
  <c r="AP229" i="39"/>
  <c r="AP230" i="39"/>
  <c r="AP231" i="39"/>
  <c r="AP232" i="39"/>
  <c r="AP233" i="39"/>
  <c r="AP234" i="39"/>
  <c r="AP235" i="39"/>
  <c r="AP236" i="39"/>
  <c r="AP237" i="39"/>
  <c r="AP238" i="39"/>
  <c r="AP239" i="39"/>
  <c r="AP240" i="39"/>
  <c r="AP241" i="39"/>
  <c r="AP242" i="39"/>
  <c r="AP243" i="39"/>
  <c r="AP244" i="39"/>
  <c r="AP245" i="39"/>
  <c r="AP246" i="39"/>
  <c r="AP247" i="39"/>
  <c r="AP248" i="39"/>
  <c r="AP249" i="39"/>
  <c r="AP250" i="39"/>
  <c r="AP251" i="39"/>
  <c r="AP252" i="39"/>
  <c r="AP253" i="39"/>
  <c r="AP254" i="39"/>
  <c r="AP255" i="39"/>
  <c r="AP256" i="39"/>
  <c r="AP257" i="39"/>
  <c r="AP258" i="39"/>
  <c r="AP259" i="39"/>
  <c r="AP260" i="39"/>
  <c r="AP261" i="39"/>
  <c r="AP262" i="39"/>
  <c r="AP263" i="39"/>
  <c r="AP264" i="39"/>
  <c r="AP265" i="39"/>
  <c r="AP266" i="39"/>
  <c r="AP267" i="39"/>
  <c r="AP268" i="39"/>
  <c r="AP269" i="39"/>
  <c r="AP270" i="39"/>
  <c r="AP271" i="39"/>
  <c r="AP272" i="39"/>
  <c r="AP273" i="39"/>
  <c r="AP274" i="39"/>
  <c r="AP275" i="39"/>
  <c r="AP276" i="39"/>
  <c r="AP277" i="39"/>
  <c r="AP278" i="39"/>
  <c r="AP279" i="39"/>
  <c r="AP280" i="39"/>
  <c r="AP281" i="39"/>
  <c r="AP282" i="39"/>
  <c r="AP283" i="39"/>
  <c r="AP284" i="39"/>
  <c r="AP285" i="39"/>
  <c r="AP286" i="39"/>
  <c r="AP287" i="39"/>
  <c r="AP288" i="39"/>
  <c r="AP289" i="39"/>
  <c r="AP290" i="39"/>
  <c r="AP291" i="39"/>
  <c r="AP292" i="39"/>
  <c r="AP293" i="39"/>
  <c r="AP294" i="39"/>
  <c r="AP295" i="39"/>
  <c r="AP296" i="39"/>
  <c r="AP297" i="39"/>
  <c r="AP298" i="39"/>
  <c r="AP299" i="39"/>
  <c r="AP300" i="39"/>
  <c r="AP301" i="39"/>
  <c r="AP302" i="39"/>
  <c r="AP303" i="39"/>
  <c r="AP304" i="39"/>
  <c r="AP305" i="39"/>
  <c r="AP306" i="39"/>
  <c r="AP307" i="39"/>
  <c r="AP308" i="39"/>
  <c r="AP309" i="39"/>
  <c r="AP310" i="39"/>
  <c r="AP311" i="39"/>
  <c r="AP312" i="39"/>
  <c r="AP313" i="39"/>
  <c r="AP314" i="39"/>
  <c r="AP315" i="39"/>
  <c r="AP316" i="39"/>
  <c r="AP317" i="39"/>
  <c r="AP318" i="39"/>
  <c r="AP319" i="39"/>
  <c r="AP320" i="39"/>
  <c r="AP321" i="39"/>
  <c r="AP322" i="39"/>
  <c r="AP323" i="39"/>
  <c r="AP324" i="39"/>
  <c r="AP325" i="39"/>
  <c r="AP326" i="39"/>
  <c r="AP327" i="39"/>
  <c r="AP328" i="39"/>
  <c r="AP329" i="39"/>
  <c r="AP330" i="39"/>
  <c r="AP331" i="39"/>
  <c r="AP332" i="39"/>
  <c r="AP333" i="39"/>
  <c r="AP334" i="39"/>
  <c r="AP335" i="39"/>
  <c r="AP336" i="39"/>
  <c r="AP337" i="39"/>
  <c r="AP338" i="39"/>
  <c r="AP339" i="39"/>
  <c r="AP340" i="39"/>
  <c r="AP341" i="39"/>
  <c r="AP342" i="39"/>
  <c r="AP343" i="39"/>
  <c r="AP344" i="39"/>
  <c r="AP345" i="39"/>
  <c r="AP346" i="39"/>
  <c r="AP347" i="39"/>
  <c r="AP348" i="39"/>
  <c r="AP349" i="39"/>
  <c r="AP350" i="39"/>
  <c r="AP351" i="39"/>
  <c r="AP352" i="39"/>
  <c r="AP353" i="39"/>
  <c r="AP354" i="39"/>
  <c r="AP355" i="39"/>
  <c r="AP356" i="39"/>
  <c r="AP357" i="39"/>
  <c r="AP358" i="39"/>
  <c r="AP359" i="39"/>
  <c r="AP360" i="39"/>
  <c r="AP361" i="39"/>
  <c r="AP362" i="39"/>
  <c r="AP363" i="39"/>
  <c r="AP364" i="39"/>
  <c r="AP365" i="39"/>
  <c r="AP366" i="39"/>
  <c r="AP367" i="39"/>
  <c r="AP368" i="39"/>
  <c r="AP369" i="39"/>
  <c r="AP370" i="39"/>
  <c r="AP371" i="39"/>
  <c r="AP372" i="39"/>
  <c r="AP373" i="39"/>
  <c r="AP374" i="39"/>
  <c r="AP375" i="39"/>
  <c r="AP376" i="39"/>
  <c r="AP377" i="39"/>
  <c r="AP378" i="39"/>
  <c r="AP379" i="39"/>
  <c r="AP380" i="39"/>
  <c r="AP381" i="39"/>
  <c r="AP382" i="39"/>
  <c r="AP383" i="39"/>
  <c r="AP384" i="39"/>
  <c r="AP385" i="39"/>
  <c r="AP386" i="39"/>
  <c r="AP387" i="39"/>
  <c r="AP388" i="39"/>
  <c r="AP389" i="39"/>
  <c r="AP390" i="39"/>
  <c r="AP391" i="39"/>
  <c r="AP392" i="39"/>
  <c r="AP393" i="39"/>
  <c r="AP394" i="39"/>
  <c r="AP395" i="39"/>
  <c r="AP396" i="39"/>
  <c r="AP397" i="39"/>
  <c r="AP398" i="39"/>
  <c r="AP399" i="39"/>
  <c r="AP400" i="39"/>
  <c r="AP401" i="39"/>
  <c r="AP402" i="39"/>
  <c r="AP403" i="39"/>
  <c r="AP404" i="39"/>
  <c r="AP405" i="39"/>
  <c r="AP406" i="39"/>
  <c r="AP407" i="39"/>
  <c r="AP408" i="39"/>
  <c r="AP409" i="39"/>
  <c r="AP410" i="39"/>
  <c r="AP411" i="39"/>
  <c r="AP412" i="39"/>
  <c r="AP413" i="39"/>
  <c r="AP414" i="39"/>
  <c r="AP415" i="39"/>
  <c r="AP416" i="39"/>
  <c r="AP417" i="39"/>
  <c r="AP418" i="39"/>
  <c r="AP419" i="39"/>
  <c r="AP420" i="39"/>
  <c r="AP421" i="39"/>
  <c r="AP422" i="39"/>
  <c r="AP423" i="39"/>
  <c r="AP424" i="39"/>
  <c r="AP425" i="39"/>
  <c r="AP426" i="39"/>
  <c r="AP427" i="39"/>
  <c r="AP428" i="39"/>
  <c r="AP429" i="39"/>
  <c r="AP430" i="39"/>
  <c r="AP431" i="39"/>
  <c r="AP432" i="39"/>
  <c r="AP433" i="39"/>
  <c r="AP434" i="39"/>
  <c r="AP435" i="39"/>
  <c r="AP436" i="39"/>
  <c r="AP437" i="39"/>
  <c r="AP438" i="39"/>
  <c r="AP439" i="39"/>
  <c r="AP440" i="39"/>
  <c r="AP441" i="39"/>
  <c r="AP442" i="39"/>
  <c r="AP443" i="39"/>
  <c r="AP444" i="39"/>
  <c r="AP445" i="39"/>
  <c r="AP446" i="39"/>
  <c r="AP447" i="39"/>
  <c r="AP448" i="39"/>
  <c r="AP449" i="39"/>
  <c r="AP450" i="39"/>
  <c r="AP451" i="39"/>
  <c r="AP452" i="39"/>
  <c r="AP453" i="39"/>
  <c r="AP454" i="39"/>
  <c r="AP455" i="39"/>
  <c r="AP456" i="39"/>
  <c r="AP457" i="39"/>
  <c r="AP458" i="39"/>
  <c r="AP459" i="39"/>
  <c r="AP460" i="39"/>
  <c r="AP461" i="39"/>
  <c r="AP462" i="39"/>
  <c r="AP463" i="39"/>
  <c r="AP464" i="39"/>
  <c r="AP465" i="39"/>
  <c r="AP466" i="39"/>
  <c r="AP467" i="39"/>
  <c r="AP468" i="39"/>
  <c r="AP469" i="39"/>
  <c r="AP470" i="39"/>
  <c r="AP471" i="39"/>
  <c r="AP472" i="39"/>
  <c r="AP473" i="39"/>
  <c r="AP474" i="39"/>
  <c r="AP475" i="39"/>
  <c r="AP476" i="39"/>
  <c r="AP477" i="39"/>
  <c r="AP478" i="39"/>
  <c r="AP479" i="39"/>
  <c r="AP480" i="39"/>
  <c r="AP481" i="39"/>
  <c r="AP482" i="39"/>
  <c r="AP483" i="39"/>
  <c r="AP484" i="39"/>
  <c r="AP485" i="39"/>
  <c r="AP486" i="39"/>
  <c r="AP487" i="39"/>
  <c r="AP488" i="39"/>
  <c r="AP489" i="39"/>
  <c r="AP490" i="39"/>
  <c r="AP491" i="39"/>
  <c r="AP492" i="39"/>
  <c r="AP493" i="39"/>
  <c r="AP494" i="39"/>
  <c r="AP495" i="39"/>
  <c r="AP496" i="39"/>
  <c r="AP497" i="39"/>
  <c r="AP498" i="39"/>
  <c r="AP499" i="39"/>
  <c r="AP500" i="39"/>
  <c r="AP501" i="39"/>
  <c r="AP502" i="39"/>
  <c r="AP503" i="39"/>
  <c r="AP504" i="39"/>
  <c r="AP505" i="39"/>
  <c r="AP506" i="39"/>
  <c r="AP507" i="39"/>
  <c r="AP508" i="39"/>
  <c r="AP509" i="39"/>
  <c r="AP510" i="39"/>
  <c r="AP511" i="39"/>
  <c r="AP512" i="39"/>
  <c r="AP513" i="39"/>
  <c r="AP514" i="39"/>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Y63" i="38"/>
  <c r="Y64"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5" i="38"/>
  <c r="Y116" i="38"/>
  <c r="Y117" i="38"/>
  <c r="Y118" i="38"/>
  <c r="Y119" i="38"/>
  <c r="Y120" i="38"/>
  <c r="Y121" i="38"/>
  <c r="Y122" i="38"/>
  <c r="Y123" i="38"/>
  <c r="Y124" i="38"/>
  <c r="Y125" i="38"/>
  <c r="Y126" i="38"/>
  <c r="Y127" i="38"/>
  <c r="Y128" i="38"/>
  <c r="Y129" i="38"/>
  <c r="Y130" i="38"/>
  <c r="Y131" i="38"/>
  <c r="Y132" i="38"/>
  <c r="Y133" i="38"/>
  <c r="Y134" i="38"/>
  <c r="Y135" i="38"/>
  <c r="Y136" i="38"/>
  <c r="Y137" i="38"/>
  <c r="Y138" i="38"/>
  <c r="Y139" i="38"/>
  <c r="Y140" i="38"/>
  <c r="Y141" i="38"/>
  <c r="Y142" i="38"/>
  <c r="Y143" i="38"/>
  <c r="Y144" i="38"/>
  <c r="Y145" i="38"/>
  <c r="Y146" i="38"/>
  <c r="Y147" i="38"/>
  <c r="Y148" i="38"/>
  <c r="Y149" i="38"/>
  <c r="Y150" i="38"/>
  <c r="Y151" i="38"/>
  <c r="Y152" i="38"/>
  <c r="Y153" i="38"/>
  <c r="Y154" i="38"/>
  <c r="Y155" i="38"/>
  <c r="Y156" i="38"/>
  <c r="Y157" i="38"/>
  <c r="Y158" i="38"/>
  <c r="Y159" i="38"/>
  <c r="Y160" i="38"/>
  <c r="Y161" i="38"/>
  <c r="Y162" i="38"/>
  <c r="Y163" i="38"/>
  <c r="Y164" i="38"/>
  <c r="Y165" i="38"/>
  <c r="Y166" i="38"/>
  <c r="Y167" i="38"/>
  <c r="Y168" i="38"/>
  <c r="Y169" i="38"/>
  <c r="Y170" i="38"/>
  <c r="Y171" i="38"/>
  <c r="Y172" i="38"/>
  <c r="Y173" i="38"/>
  <c r="Y174" i="38"/>
  <c r="Y175" i="38"/>
  <c r="Y176" i="38"/>
  <c r="Y177" i="38"/>
  <c r="Y178" i="38"/>
  <c r="Y179" i="38"/>
  <c r="Y180" i="38"/>
  <c r="Y181" i="38"/>
  <c r="Y182" i="38"/>
  <c r="Y183" i="38"/>
  <c r="Y184" i="38"/>
  <c r="Y185" i="38"/>
  <c r="Y186" i="38"/>
  <c r="Y187" i="38"/>
  <c r="Y188" i="38"/>
  <c r="Y189" i="38"/>
  <c r="Y190" i="38"/>
  <c r="Y191" i="38"/>
  <c r="Y192" i="38"/>
  <c r="Y193" i="38"/>
  <c r="Y194" i="38"/>
  <c r="Y195" i="38"/>
  <c r="Y196" i="38"/>
  <c r="Y197" i="38"/>
  <c r="Y198" i="38"/>
  <c r="Y199" i="38"/>
  <c r="Y200" i="38"/>
  <c r="Y201" i="38"/>
  <c r="Y202" i="38"/>
  <c r="Y203" i="38"/>
  <c r="Y204" i="38"/>
  <c r="Y205" i="38"/>
  <c r="Y206" i="38"/>
  <c r="Y207" i="38"/>
  <c r="Y208" i="38"/>
  <c r="Y209" i="38"/>
  <c r="Y210" i="38"/>
  <c r="Y211" i="38"/>
  <c r="Y212" i="38"/>
  <c r="Y213" i="38"/>
  <c r="Y214" i="38"/>
  <c r="Y215" i="38"/>
  <c r="Y216" i="38"/>
  <c r="Y217" i="38"/>
  <c r="Y218" i="38"/>
  <c r="Y219" i="38"/>
  <c r="Y220" i="38"/>
  <c r="Y221" i="38"/>
  <c r="Y222" i="38"/>
  <c r="Y223" i="38"/>
  <c r="Y224" i="38"/>
  <c r="Y225" i="38"/>
  <c r="Y226" i="38"/>
  <c r="Y227" i="38"/>
  <c r="Y228" i="38"/>
  <c r="Y229" i="38"/>
  <c r="Y230" i="38"/>
  <c r="Y231" i="38"/>
  <c r="Y232" i="38"/>
  <c r="Y233" i="38"/>
  <c r="Y234" i="38"/>
  <c r="Y235" i="38"/>
  <c r="Y236" i="38"/>
  <c r="Y237" i="38"/>
  <c r="Y238" i="38"/>
  <c r="Y239" i="38"/>
  <c r="Y240" i="38"/>
  <c r="Y241" i="38"/>
  <c r="Y242" i="38"/>
  <c r="Y243" i="38"/>
  <c r="Y244" i="38"/>
  <c r="Y245" i="38"/>
  <c r="Y246" i="38"/>
  <c r="Y247" i="38"/>
  <c r="Y248" i="38"/>
  <c r="Y249" i="38"/>
  <c r="Y250" i="38"/>
  <c r="Y251" i="38"/>
  <c r="Y252" i="38"/>
  <c r="Y253" i="38"/>
  <c r="Y254" i="38"/>
  <c r="Y255" i="38"/>
  <c r="Y256" i="38"/>
  <c r="Y257" i="38"/>
  <c r="Y258" i="38"/>
  <c r="Y259" i="38"/>
  <c r="Y260" i="38"/>
  <c r="Y261" i="38"/>
  <c r="Y262" i="38"/>
  <c r="Y263" i="38"/>
  <c r="Y264" i="38"/>
  <c r="Y265" i="38"/>
  <c r="Y266" i="38"/>
  <c r="Y267" i="38"/>
  <c r="Y268" i="38"/>
  <c r="Y269" i="38"/>
  <c r="Y270" i="38"/>
  <c r="Y271" i="38"/>
  <c r="Y272" i="38"/>
  <c r="Y273" i="38"/>
  <c r="Y274" i="38"/>
  <c r="Y275" i="38"/>
  <c r="Y276" i="38"/>
  <c r="Y277" i="38"/>
  <c r="Y278" i="38"/>
  <c r="Y279" i="38"/>
  <c r="Y280" i="38"/>
  <c r="Y281" i="38"/>
  <c r="Y282" i="38"/>
  <c r="Y283" i="38"/>
  <c r="Y284" i="38"/>
  <c r="Y285" i="38"/>
  <c r="Y286" i="38"/>
  <c r="Y287" i="38"/>
  <c r="Y288" i="38"/>
  <c r="Y289" i="38"/>
  <c r="Y290" i="38"/>
  <c r="Y291" i="38"/>
  <c r="Y292" i="38"/>
  <c r="Y293" i="38"/>
  <c r="Y294" i="38"/>
  <c r="Y295" i="38"/>
  <c r="Y296" i="38"/>
  <c r="Y297" i="38"/>
  <c r="Y298" i="38"/>
  <c r="Y299" i="38"/>
  <c r="Y300" i="38"/>
  <c r="Y301" i="38"/>
  <c r="Y302" i="38"/>
  <c r="Y303" i="38"/>
  <c r="Y304" i="38"/>
  <c r="Y305" i="38"/>
  <c r="Y306" i="38"/>
  <c r="Y307" i="38"/>
  <c r="Y308" i="38"/>
  <c r="Y309" i="38"/>
  <c r="Y310" i="38"/>
  <c r="Y311" i="38"/>
  <c r="Y312" i="38"/>
  <c r="Y313" i="38"/>
  <c r="Y314" i="38"/>
  <c r="Y315" i="38"/>
  <c r="Y316" i="38"/>
  <c r="Y317" i="38"/>
  <c r="Y318" i="38"/>
  <c r="Y319" i="38"/>
  <c r="Y320" i="38"/>
  <c r="Y321" i="38"/>
  <c r="Y322" i="38"/>
  <c r="Y323" i="38"/>
  <c r="Y324" i="38"/>
  <c r="Y325" i="38"/>
  <c r="Y326" i="38"/>
  <c r="Y327" i="38"/>
  <c r="Y328" i="38"/>
  <c r="Y329" i="38"/>
  <c r="Y330" i="38"/>
  <c r="Y331" i="38"/>
  <c r="Y332" i="38"/>
  <c r="Y333" i="38"/>
  <c r="Y334" i="38"/>
  <c r="Y335" i="38"/>
  <c r="Y336" i="38"/>
  <c r="Y337" i="38"/>
  <c r="Y338" i="38"/>
  <c r="Y339" i="38"/>
  <c r="Y340" i="38"/>
  <c r="Y341" i="38"/>
  <c r="Y342" i="38"/>
  <c r="Y343" i="38"/>
  <c r="Y344" i="38"/>
  <c r="Y345" i="38"/>
  <c r="Y346" i="38"/>
  <c r="Y347" i="38"/>
  <c r="Y348" i="38"/>
  <c r="Y349" i="38"/>
  <c r="Y350" i="38"/>
  <c r="Y351" i="38"/>
  <c r="Y352" i="38"/>
  <c r="Y353" i="38"/>
  <c r="Y354" i="38"/>
  <c r="Y355" i="38"/>
  <c r="Y356" i="38"/>
  <c r="Y357" i="38"/>
  <c r="Y358" i="38"/>
  <c r="Y359" i="38"/>
  <c r="Y360" i="38"/>
  <c r="Y361" i="38"/>
  <c r="Y362" i="38"/>
  <c r="Y363" i="38"/>
  <c r="Y364" i="38"/>
  <c r="Y365" i="38"/>
  <c r="Y366" i="38"/>
  <c r="Y367" i="38"/>
  <c r="Y368" i="38"/>
  <c r="Y369" i="38"/>
  <c r="Y370" i="38"/>
  <c r="Y371" i="38"/>
  <c r="Y372" i="38"/>
  <c r="Y373" i="38"/>
  <c r="Y374" i="38"/>
  <c r="Y375" i="38"/>
  <c r="Y376" i="38"/>
  <c r="Y377" i="38"/>
  <c r="Y378" i="38"/>
  <c r="Y379" i="38"/>
  <c r="Y380" i="38"/>
  <c r="Y381" i="38"/>
  <c r="Y382" i="38"/>
  <c r="Y383" i="38"/>
  <c r="Y384" i="38"/>
  <c r="Y385" i="38"/>
  <c r="Y386" i="38"/>
  <c r="Y387" i="38"/>
  <c r="Y388" i="38"/>
  <c r="Y389" i="38"/>
  <c r="Y390" i="38"/>
  <c r="Y391" i="38"/>
  <c r="Y392" i="38"/>
  <c r="Y393" i="38"/>
  <c r="Y394" i="38"/>
  <c r="Y395" i="38"/>
  <c r="Y396" i="38"/>
  <c r="Y397" i="38"/>
  <c r="Y398" i="38"/>
  <c r="Y399" i="38"/>
  <c r="Y400" i="38"/>
  <c r="Y401" i="38"/>
  <c r="Y402" i="38"/>
  <c r="Y403" i="38"/>
  <c r="Y404" i="38"/>
  <c r="Y405" i="38"/>
  <c r="Y406" i="38"/>
  <c r="Y407" i="38"/>
  <c r="Y408" i="38"/>
  <c r="Y409" i="38"/>
  <c r="Y410" i="38"/>
  <c r="Y411" i="38"/>
  <c r="Y412" i="38"/>
  <c r="Y413" i="38"/>
  <c r="Y414" i="38"/>
  <c r="Y415" i="38"/>
  <c r="Y416" i="38"/>
  <c r="Y417" i="38"/>
  <c r="Y418" i="38"/>
  <c r="Y419" i="38"/>
  <c r="Y420" i="38"/>
  <c r="Y421" i="38"/>
  <c r="Y422" i="38"/>
  <c r="Y423" i="38"/>
  <c r="Y424" i="38"/>
  <c r="Y425" i="38"/>
  <c r="Y426" i="38"/>
  <c r="Y427" i="38"/>
  <c r="Y428" i="38"/>
  <c r="Y429" i="38"/>
  <c r="Y430" i="38"/>
  <c r="Y431" i="38"/>
  <c r="Y432" i="38"/>
  <c r="Y433" i="38"/>
  <c r="Y434" i="38"/>
  <c r="Y435" i="38"/>
  <c r="Y436" i="38"/>
  <c r="Y437" i="38"/>
  <c r="Y438" i="38"/>
  <c r="Y439" i="38"/>
  <c r="Y440" i="38"/>
  <c r="Y441" i="38"/>
  <c r="Y442" i="38"/>
  <c r="Y443" i="38"/>
  <c r="Y444" i="38"/>
  <c r="Y445" i="38"/>
  <c r="Y446" i="38"/>
  <c r="Y447" i="38"/>
  <c r="Y448" i="38"/>
  <c r="Y449" i="38"/>
  <c r="Y450" i="38"/>
  <c r="Y451" i="38"/>
  <c r="Y452" i="38"/>
  <c r="Y453" i="38"/>
  <c r="Y454" i="38"/>
  <c r="Y455" i="38"/>
  <c r="Y456" i="38"/>
  <c r="Y457" i="38"/>
  <c r="Y458" i="38"/>
  <c r="Y459" i="38"/>
  <c r="Y460" i="38"/>
  <c r="Y461" i="38"/>
  <c r="Y462" i="38"/>
  <c r="Y463" i="38"/>
  <c r="Y464" i="38"/>
  <c r="Y465" i="38"/>
  <c r="Y466" i="38"/>
  <c r="Y467" i="38"/>
  <c r="Y468" i="38"/>
  <c r="Y469" i="38"/>
  <c r="Y470" i="38"/>
  <c r="Y471" i="38"/>
  <c r="Y472" i="38"/>
  <c r="Y473" i="38"/>
  <c r="Y474" i="38"/>
  <c r="Y475" i="38"/>
  <c r="Y476" i="38"/>
  <c r="Y477" i="38"/>
  <c r="Y478" i="38"/>
  <c r="Y479" i="38"/>
  <c r="Y480" i="38"/>
  <c r="Y481" i="38"/>
  <c r="Y482" i="38"/>
  <c r="Y483" i="38"/>
  <c r="Y484" i="38"/>
  <c r="Y485" i="38"/>
  <c r="Y486" i="38"/>
  <c r="Y487" i="38"/>
  <c r="Y488" i="38"/>
  <c r="Y489" i="38"/>
  <c r="Y490" i="38"/>
  <c r="Y491" i="38"/>
  <c r="Y492" i="38"/>
  <c r="Y493" i="38"/>
  <c r="Y494" i="38"/>
  <c r="Y495" i="38"/>
  <c r="Y496" i="38"/>
  <c r="Y497" i="38"/>
  <c r="Y498" i="38"/>
  <c r="Y499" i="38"/>
  <c r="Y500" i="38"/>
  <c r="Y501" i="38"/>
  <c r="Y502" i="38"/>
  <c r="Y503" i="38"/>
  <c r="Y504" i="38"/>
  <c r="Y505" i="38"/>
  <c r="Y506" i="38"/>
  <c r="Y507" i="38"/>
  <c r="Y508" i="38"/>
  <c r="Y509" i="38"/>
  <c r="Y510" i="38"/>
  <c r="Y511" i="38"/>
  <c r="Y512" i="38"/>
  <c r="Y513" i="38"/>
  <c r="Y514" i="38"/>
  <c r="Y515" i="38"/>
  <c r="Y516" i="38"/>
  <c r="Y517" i="38"/>
  <c r="Y518" i="38"/>
  <c r="Y519" i="38"/>
  <c r="Y520" i="38"/>
  <c r="Y521" i="38"/>
  <c r="Y522" i="38"/>
  <c r="Y523" i="38"/>
  <c r="Y524" i="38"/>
  <c r="Y525" i="38"/>
  <c r="Y526" i="38"/>
  <c r="Y527" i="38"/>
  <c r="X28" i="38"/>
  <c r="X29" i="38"/>
  <c r="T29" i="38" s="1"/>
  <c r="X30" i="38"/>
  <c r="T30" i="38" s="1"/>
  <c r="X31" i="38"/>
  <c r="T31" i="38" s="1"/>
  <c r="X32" i="38"/>
  <c r="T32" i="38" s="1"/>
  <c r="X33" i="38"/>
  <c r="T33" i="38" s="1"/>
  <c r="X34" i="38"/>
  <c r="T34" i="38" s="1"/>
  <c r="X35" i="38"/>
  <c r="T35" i="38" s="1"/>
  <c r="X36" i="38"/>
  <c r="T36" i="38" s="1"/>
  <c r="X37" i="38"/>
  <c r="T37" i="38" s="1"/>
  <c r="X38" i="38"/>
  <c r="T38" i="38" s="1"/>
  <c r="X39" i="38"/>
  <c r="T39" i="38" s="1"/>
  <c r="X40" i="38"/>
  <c r="T40" i="38" s="1"/>
  <c r="X41" i="38"/>
  <c r="T41" i="38" s="1"/>
  <c r="X42" i="38"/>
  <c r="T42" i="38" s="1"/>
  <c r="X43" i="38"/>
  <c r="T43" i="38" s="1"/>
  <c r="X44" i="38"/>
  <c r="T44" i="38" s="1"/>
  <c r="X45" i="38"/>
  <c r="T45" i="38" s="1"/>
  <c r="X46" i="38"/>
  <c r="T46" i="38" s="1"/>
  <c r="X47" i="38"/>
  <c r="T47" i="38" s="1"/>
  <c r="X48" i="38"/>
  <c r="T48" i="38" s="1"/>
  <c r="X49" i="38"/>
  <c r="T49" i="38" s="1"/>
  <c r="X50" i="38"/>
  <c r="T50" i="38" s="1"/>
  <c r="X51" i="38"/>
  <c r="T51" i="38" s="1"/>
  <c r="X52" i="38"/>
  <c r="T52" i="38" s="1"/>
  <c r="X53" i="38"/>
  <c r="T53" i="38" s="1"/>
  <c r="X54" i="38"/>
  <c r="T54" i="38" s="1"/>
  <c r="X55" i="38"/>
  <c r="T55" i="38" s="1"/>
  <c r="X56" i="38"/>
  <c r="T56" i="38" s="1"/>
  <c r="X57" i="38"/>
  <c r="T57" i="38" s="1"/>
  <c r="X58" i="38"/>
  <c r="T58" i="38" s="1"/>
  <c r="X59" i="38"/>
  <c r="T59" i="38" s="1"/>
  <c r="X60" i="38"/>
  <c r="T60" i="38" s="1"/>
  <c r="X61" i="38"/>
  <c r="T61" i="38" s="1"/>
  <c r="X62" i="38"/>
  <c r="T62" i="38" s="1"/>
  <c r="X63" i="38"/>
  <c r="T63" i="38" s="1"/>
  <c r="X64" i="38"/>
  <c r="T64" i="38" s="1"/>
  <c r="X65" i="38"/>
  <c r="T65" i="38" s="1"/>
  <c r="X66" i="38"/>
  <c r="T66" i="38" s="1"/>
  <c r="X67" i="38"/>
  <c r="T67" i="38" s="1"/>
  <c r="X68" i="38"/>
  <c r="T68" i="38" s="1"/>
  <c r="X69" i="38"/>
  <c r="T69" i="38" s="1"/>
  <c r="X70" i="38"/>
  <c r="T70" i="38" s="1"/>
  <c r="X71" i="38"/>
  <c r="T71" i="38" s="1"/>
  <c r="X72" i="38"/>
  <c r="T72" i="38" s="1"/>
  <c r="X73" i="38"/>
  <c r="T73" i="38" s="1"/>
  <c r="X74" i="38"/>
  <c r="T74" i="38" s="1"/>
  <c r="X75" i="38"/>
  <c r="T75" i="38" s="1"/>
  <c r="X76" i="38"/>
  <c r="T76" i="38" s="1"/>
  <c r="X77" i="38"/>
  <c r="T77" i="38" s="1"/>
  <c r="X78" i="38"/>
  <c r="T78" i="38" s="1"/>
  <c r="X79" i="38"/>
  <c r="T79" i="38" s="1"/>
  <c r="X80" i="38"/>
  <c r="T80" i="38" s="1"/>
  <c r="X81" i="38"/>
  <c r="T81" i="38" s="1"/>
  <c r="X82" i="38"/>
  <c r="T82" i="38" s="1"/>
  <c r="X83" i="38"/>
  <c r="T83" i="38" s="1"/>
  <c r="X84" i="38"/>
  <c r="T84" i="38" s="1"/>
  <c r="X85" i="38"/>
  <c r="T85" i="38" s="1"/>
  <c r="X86" i="38"/>
  <c r="T86" i="38" s="1"/>
  <c r="X87" i="38"/>
  <c r="T87" i="38" s="1"/>
  <c r="X88" i="38"/>
  <c r="T88" i="38" s="1"/>
  <c r="X89" i="38"/>
  <c r="T89" i="38" s="1"/>
  <c r="X90" i="38"/>
  <c r="T90" i="38" s="1"/>
  <c r="X91" i="38"/>
  <c r="T91" i="38" s="1"/>
  <c r="X92" i="38"/>
  <c r="T92" i="38" s="1"/>
  <c r="X93" i="38"/>
  <c r="T93" i="38" s="1"/>
  <c r="X94" i="38"/>
  <c r="T94" i="38" s="1"/>
  <c r="X95" i="38"/>
  <c r="T95" i="38" s="1"/>
  <c r="X96" i="38"/>
  <c r="T96" i="38" s="1"/>
  <c r="X97" i="38"/>
  <c r="T97" i="38" s="1"/>
  <c r="X98" i="38"/>
  <c r="T98" i="38" s="1"/>
  <c r="X99" i="38"/>
  <c r="T99" i="38" s="1"/>
  <c r="X100" i="38"/>
  <c r="T100" i="38" s="1"/>
  <c r="X101" i="38"/>
  <c r="T101" i="38" s="1"/>
  <c r="X102" i="38"/>
  <c r="T102" i="38" s="1"/>
  <c r="X103" i="38"/>
  <c r="T103" i="38" s="1"/>
  <c r="X104" i="38"/>
  <c r="T104" i="38" s="1"/>
  <c r="X105" i="38"/>
  <c r="T105" i="38" s="1"/>
  <c r="X106" i="38"/>
  <c r="T106" i="38" s="1"/>
  <c r="X107" i="38"/>
  <c r="T107" i="38" s="1"/>
  <c r="X108" i="38"/>
  <c r="T108" i="38" s="1"/>
  <c r="X109" i="38"/>
  <c r="T109" i="38" s="1"/>
  <c r="X110" i="38"/>
  <c r="T110" i="38" s="1"/>
  <c r="X111" i="38"/>
  <c r="T111" i="38" s="1"/>
  <c r="X112" i="38"/>
  <c r="T112" i="38" s="1"/>
  <c r="X113" i="38"/>
  <c r="T113" i="38" s="1"/>
  <c r="X114" i="38"/>
  <c r="T114" i="38" s="1"/>
  <c r="X115" i="38"/>
  <c r="T115" i="38" s="1"/>
  <c r="X116" i="38"/>
  <c r="T116" i="38" s="1"/>
  <c r="X117" i="38"/>
  <c r="T117" i="38" s="1"/>
  <c r="X118" i="38"/>
  <c r="T118" i="38" s="1"/>
  <c r="X119" i="38"/>
  <c r="T119" i="38" s="1"/>
  <c r="X120" i="38"/>
  <c r="T120" i="38" s="1"/>
  <c r="X121" i="38"/>
  <c r="T121" i="38" s="1"/>
  <c r="X122" i="38"/>
  <c r="T122" i="38" s="1"/>
  <c r="X123" i="38"/>
  <c r="T123" i="38" s="1"/>
  <c r="X124" i="38"/>
  <c r="T124" i="38" s="1"/>
  <c r="X125" i="38"/>
  <c r="T125" i="38" s="1"/>
  <c r="X126" i="38"/>
  <c r="T126" i="38" s="1"/>
  <c r="X127" i="38"/>
  <c r="T127" i="38" s="1"/>
  <c r="X128" i="38"/>
  <c r="T128" i="38" s="1"/>
  <c r="X129" i="38"/>
  <c r="T129" i="38" s="1"/>
  <c r="X130" i="38"/>
  <c r="T130" i="38" s="1"/>
  <c r="X131" i="38"/>
  <c r="T131" i="38" s="1"/>
  <c r="X132" i="38"/>
  <c r="T132" i="38" s="1"/>
  <c r="X133" i="38"/>
  <c r="T133" i="38" s="1"/>
  <c r="X134" i="38"/>
  <c r="T134" i="38" s="1"/>
  <c r="X135" i="38"/>
  <c r="T135" i="38" s="1"/>
  <c r="X136" i="38"/>
  <c r="T136" i="38" s="1"/>
  <c r="X137" i="38"/>
  <c r="T137" i="38" s="1"/>
  <c r="X138" i="38"/>
  <c r="T138" i="38" s="1"/>
  <c r="X139" i="38"/>
  <c r="T139" i="38" s="1"/>
  <c r="X140" i="38"/>
  <c r="T140" i="38" s="1"/>
  <c r="X141" i="38"/>
  <c r="T141" i="38" s="1"/>
  <c r="X142" i="38"/>
  <c r="T142" i="38" s="1"/>
  <c r="X143" i="38"/>
  <c r="T143" i="38" s="1"/>
  <c r="X144" i="38"/>
  <c r="T144" i="38" s="1"/>
  <c r="X145" i="38"/>
  <c r="T145" i="38" s="1"/>
  <c r="X146" i="38"/>
  <c r="T146" i="38" s="1"/>
  <c r="X147" i="38"/>
  <c r="T147" i="38" s="1"/>
  <c r="X148" i="38"/>
  <c r="T148" i="38" s="1"/>
  <c r="X149" i="38"/>
  <c r="T149" i="38" s="1"/>
  <c r="X150" i="38"/>
  <c r="T150" i="38" s="1"/>
  <c r="X151" i="38"/>
  <c r="T151" i="38" s="1"/>
  <c r="X152" i="38"/>
  <c r="T152" i="38" s="1"/>
  <c r="X153" i="38"/>
  <c r="T153" i="38" s="1"/>
  <c r="X154" i="38"/>
  <c r="T154" i="38" s="1"/>
  <c r="X155" i="38"/>
  <c r="T155" i="38" s="1"/>
  <c r="X156" i="38"/>
  <c r="T156" i="38" s="1"/>
  <c r="X157" i="38"/>
  <c r="T157" i="38" s="1"/>
  <c r="X158" i="38"/>
  <c r="T158" i="38" s="1"/>
  <c r="X159" i="38"/>
  <c r="T159" i="38" s="1"/>
  <c r="X160" i="38"/>
  <c r="T160" i="38" s="1"/>
  <c r="X161" i="38"/>
  <c r="T161" i="38" s="1"/>
  <c r="X162" i="38"/>
  <c r="T162" i="38" s="1"/>
  <c r="X163" i="38"/>
  <c r="T163" i="38" s="1"/>
  <c r="X164" i="38"/>
  <c r="T164" i="38" s="1"/>
  <c r="X165" i="38"/>
  <c r="T165" i="38" s="1"/>
  <c r="X166" i="38"/>
  <c r="T166" i="38" s="1"/>
  <c r="X167" i="38"/>
  <c r="T167" i="38" s="1"/>
  <c r="X168" i="38"/>
  <c r="T168" i="38" s="1"/>
  <c r="X169" i="38"/>
  <c r="T169" i="38" s="1"/>
  <c r="X170" i="38"/>
  <c r="T170" i="38" s="1"/>
  <c r="X171" i="38"/>
  <c r="T171" i="38" s="1"/>
  <c r="X172" i="38"/>
  <c r="T172" i="38" s="1"/>
  <c r="X173" i="38"/>
  <c r="T173" i="38" s="1"/>
  <c r="X174" i="38"/>
  <c r="T174" i="38" s="1"/>
  <c r="X175" i="38"/>
  <c r="T175" i="38" s="1"/>
  <c r="X176" i="38"/>
  <c r="T176" i="38" s="1"/>
  <c r="X177" i="38"/>
  <c r="T177" i="38" s="1"/>
  <c r="X178" i="38"/>
  <c r="T178" i="38" s="1"/>
  <c r="X179" i="38"/>
  <c r="T179" i="38" s="1"/>
  <c r="X180" i="38"/>
  <c r="T180" i="38" s="1"/>
  <c r="X181" i="38"/>
  <c r="T181" i="38" s="1"/>
  <c r="X182" i="38"/>
  <c r="T182" i="38" s="1"/>
  <c r="X183" i="38"/>
  <c r="T183" i="38" s="1"/>
  <c r="X184" i="38"/>
  <c r="T184" i="38" s="1"/>
  <c r="X185" i="38"/>
  <c r="T185" i="38" s="1"/>
  <c r="X186" i="38"/>
  <c r="T186" i="38" s="1"/>
  <c r="X187" i="38"/>
  <c r="T187" i="38" s="1"/>
  <c r="X188" i="38"/>
  <c r="T188" i="38" s="1"/>
  <c r="X189" i="38"/>
  <c r="T189" i="38" s="1"/>
  <c r="X190" i="38"/>
  <c r="T190" i="38" s="1"/>
  <c r="X191" i="38"/>
  <c r="T191" i="38" s="1"/>
  <c r="X192" i="38"/>
  <c r="T192" i="38" s="1"/>
  <c r="X193" i="38"/>
  <c r="T193" i="38" s="1"/>
  <c r="X194" i="38"/>
  <c r="T194" i="38" s="1"/>
  <c r="X195" i="38"/>
  <c r="T195" i="38" s="1"/>
  <c r="X196" i="38"/>
  <c r="T196" i="38" s="1"/>
  <c r="X197" i="38"/>
  <c r="T197" i="38" s="1"/>
  <c r="X198" i="38"/>
  <c r="T198" i="38" s="1"/>
  <c r="X199" i="38"/>
  <c r="T199" i="38" s="1"/>
  <c r="X200" i="38"/>
  <c r="T200" i="38" s="1"/>
  <c r="X201" i="38"/>
  <c r="T201" i="38" s="1"/>
  <c r="X202" i="38"/>
  <c r="T202" i="38" s="1"/>
  <c r="X203" i="38"/>
  <c r="T203" i="38" s="1"/>
  <c r="X204" i="38"/>
  <c r="T204" i="38" s="1"/>
  <c r="X205" i="38"/>
  <c r="T205" i="38" s="1"/>
  <c r="X206" i="38"/>
  <c r="T206" i="38" s="1"/>
  <c r="X207" i="38"/>
  <c r="T207" i="38" s="1"/>
  <c r="X208" i="38"/>
  <c r="T208" i="38" s="1"/>
  <c r="X209" i="38"/>
  <c r="T209" i="38" s="1"/>
  <c r="X210" i="38"/>
  <c r="T210" i="38" s="1"/>
  <c r="X211" i="38"/>
  <c r="T211" i="38" s="1"/>
  <c r="X212" i="38"/>
  <c r="T212" i="38" s="1"/>
  <c r="X213" i="38"/>
  <c r="T213" i="38" s="1"/>
  <c r="X214" i="38"/>
  <c r="T214" i="38" s="1"/>
  <c r="X215" i="38"/>
  <c r="T215" i="38" s="1"/>
  <c r="X216" i="38"/>
  <c r="T216" i="38" s="1"/>
  <c r="X217" i="38"/>
  <c r="T217" i="38" s="1"/>
  <c r="X218" i="38"/>
  <c r="T218" i="38" s="1"/>
  <c r="X219" i="38"/>
  <c r="T219" i="38" s="1"/>
  <c r="X220" i="38"/>
  <c r="T220" i="38" s="1"/>
  <c r="X221" i="38"/>
  <c r="T221" i="38" s="1"/>
  <c r="X222" i="38"/>
  <c r="T222" i="38" s="1"/>
  <c r="X223" i="38"/>
  <c r="T223" i="38" s="1"/>
  <c r="X224" i="38"/>
  <c r="T224" i="38" s="1"/>
  <c r="X225" i="38"/>
  <c r="T225" i="38" s="1"/>
  <c r="X226" i="38"/>
  <c r="T226" i="38" s="1"/>
  <c r="X227" i="38"/>
  <c r="T227" i="38" s="1"/>
  <c r="X228" i="38"/>
  <c r="T228" i="38" s="1"/>
  <c r="X229" i="38"/>
  <c r="T229" i="38" s="1"/>
  <c r="X230" i="38"/>
  <c r="T230" i="38" s="1"/>
  <c r="X231" i="38"/>
  <c r="T231" i="38" s="1"/>
  <c r="X232" i="38"/>
  <c r="T232" i="38" s="1"/>
  <c r="X233" i="38"/>
  <c r="T233" i="38" s="1"/>
  <c r="X234" i="38"/>
  <c r="T234" i="38" s="1"/>
  <c r="X235" i="38"/>
  <c r="T235" i="38" s="1"/>
  <c r="X236" i="38"/>
  <c r="T236" i="38" s="1"/>
  <c r="X237" i="38"/>
  <c r="T237" i="38" s="1"/>
  <c r="X238" i="38"/>
  <c r="T238" i="38" s="1"/>
  <c r="X239" i="38"/>
  <c r="T239" i="38" s="1"/>
  <c r="X240" i="38"/>
  <c r="T240" i="38" s="1"/>
  <c r="X241" i="38"/>
  <c r="T241" i="38" s="1"/>
  <c r="X242" i="38"/>
  <c r="T242" i="38" s="1"/>
  <c r="X243" i="38"/>
  <c r="T243" i="38" s="1"/>
  <c r="X244" i="38"/>
  <c r="T244" i="38" s="1"/>
  <c r="X245" i="38"/>
  <c r="T245" i="38" s="1"/>
  <c r="X246" i="38"/>
  <c r="T246" i="38" s="1"/>
  <c r="X247" i="38"/>
  <c r="T247" i="38" s="1"/>
  <c r="X248" i="38"/>
  <c r="T248" i="38" s="1"/>
  <c r="X249" i="38"/>
  <c r="T249" i="38" s="1"/>
  <c r="X250" i="38"/>
  <c r="T250" i="38" s="1"/>
  <c r="X251" i="38"/>
  <c r="T251" i="38" s="1"/>
  <c r="X252" i="38"/>
  <c r="T252" i="38" s="1"/>
  <c r="X253" i="38"/>
  <c r="T253" i="38" s="1"/>
  <c r="X254" i="38"/>
  <c r="T254" i="38" s="1"/>
  <c r="X255" i="38"/>
  <c r="T255" i="38" s="1"/>
  <c r="X256" i="38"/>
  <c r="T256" i="38" s="1"/>
  <c r="X257" i="38"/>
  <c r="T257" i="38" s="1"/>
  <c r="X258" i="38"/>
  <c r="T258" i="38" s="1"/>
  <c r="X259" i="38"/>
  <c r="T259" i="38" s="1"/>
  <c r="X260" i="38"/>
  <c r="T260" i="38" s="1"/>
  <c r="X261" i="38"/>
  <c r="T261" i="38" s="1"/>
  <c r="X262" i="38"/>
  <c r="T262" i="38" s="1"/>
  <c r="X263" i="38"/>
  <c r="T263" i="38" s="1"/>
  <c r="X264" i="38"/>
  <c r="T264" i="38" s="1"/>
  <c r="X265" i="38"/>
  <c r="T265" i="38" s="1"/>
  <c r="X266" i="38"/>
  <c r="T266" i="38" s="1"/>
  <c r="X267" i="38"/>
  <c r="T267" i="38" s="1"/>
  <c r="X268" i="38"/>
  <c r="T268" i="38" s="1"/>
  <c r="X269" i="38"/>
  <c r="T269" i="38" s="1"/>
  <c r="X270" i="38"/>
  <c r="T270" i="38" s="1"/>
  <c r="X271" i="38"/>
  <c r="T271" i="38" s="1"/>
  <c r="X272" i="38"/>
  <c r="T272" i="38" s="1"/>
  <c r="X273" i="38"/>
  <c r="T273" i="38" s="1"/>
  <c r="X274" i="38"/>
  <c r="T274" i="38" s="1"/>
  <c r="X275" i="38"/>
  <c r="T275" i="38" s="1"/>
  <c r="X276" i="38"/>
  <c r="T276" i="38" s="1"/>
  <c r="X277" i="38"/>
  <c r="T277" i="38" s="1"/>
  <c r="X278" i="38"/>
  <c r="T278" i="38" s="1"/>
  <c r="X279" i="38"/>
  <c r="T279" i="38" s="1"/>
  <c r="X280" i="38"/>
  <c r="T280" i="38" s="1"/>
  <c r="X281" i="38"/>
  <c r="T281" i="38" s="1"/>
  <c r="X282" i="38"/>
  <c r="T282" i="38" s="1"/>
  <c r="X283" i="38"/>
  <c r="T283" i="38" s="1"/>
  <c r="X284" i="38"/>
  <c r="T284" i="38" s="1"/>
  <c r="X285" i="38"/>
  <c r="T285" i="38" s="1"/>
  <c r="X286" i="38"/>
  <c r="T286" i="38" s="1"/>
  <c r="X287" i="38"/>
  <c r="T287" i="38" s="1"/>
  <c r="X288" i="38"/>
  <c r="T288" i="38" s="1"/>
  <c r="X289" i="38"/>
  <c r="T289" i="38" s="1"/>
  <c r="X290" i="38"/>
  <c r="T290" i="38" s="1"/>
  <c r="X291" i="38"/>
  <c r="T291" i="38" s="1"/>
  <c r="X292" i="38"/>
  <c r="T292" i="38" s="1"/>
  <c r="X293" i="38"/>
  <c r="T293" i="38" s="1"/>
  <c r="X294" i="38"/>
  <c r="T294" i="38" s="1"/>
  <c r="X295" i="38"/>
  <c r="T295" i="38" s="1"/>
  <c r="X296" i="38"/>
  <c r="T296" i="38" s="1"/>
  <c r="X297" i="38"/>
  <c r="T297" i="38" s="1"/>
  <c r="X298" i="38"/>
  <c r="T298" i="38" s="1"/>
  <c r="X299" i="38"/>
  <c r="T299" i="38" s="1"/>
  <c r="X300" i="38"/>
  <c r="X301" i="38"/>
  <c r="X302" i="38"/>
  <c r="X303" i="38"/>
  <c r="X304" i="38"/>
  <c r="X305" i="38"/>
  <c r="X306" i="38"/>
  <c r="X307" i="38"/>
  <c r="X308" i="38"/>
  <c r="X309" i="38"/>
  <c r="X310" i="38"/>
  <c r="X311" i="38"/>
  <c r="X312" i="38"/>
  <c r="X313" i="38"/>
  <c r="X314" i="38"/>
  <c r="X315" i="38"/>
  <c r="X316" i="38"/>
  <c r="X317" i="38"/>
  <c r="X318" i="38"/>
  <c r="X319" i="38"/>
  <c r="X320" i="38"/>
  <c r="X321" i="38"/>
  <c r="X322" i="38"/>
  <c r="X323" i="38"/>
  <c r="X324" i="38"/>
  <c r="X325" i="38"/>
  <c r="X326" i="38"/>
  <c r="X327" i="38"/>
  <c r="X328" i="38"/>
  <c r="X329" i="38"/>
  <c r="X330" i="38"/>
  <c r="X331" i="38"/>
  <c r="X332" i="38"/>
  <c r="X333" i="38"/>
  <c r="X334" i="38"/>
  <c r="X335" i="38"/>
  <c r="X336" i="38"/>
  <c r="X337" i="38"/>
  <c r="X338" i="38"/>
  <c r="X339" i="38"/>
  <c r="X340"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78" i="38"/>
  <c r="X379" i="38"/>
  <c r="X380" i="38"/>
  <c r="X381" i="38"/>
  <c r="X382" i="38"/>
  <c r="X383" i="38"/>
  <c r="X384" i="38"/>
  <c r="X385" i="38"/>
  <c r="X386" i="38"/>
  <c r="X387" i="38"/>
  <c r="X388" i="38"/>
  <c r="X389" i="38"/>
  <c r="X390"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420" i="38"/>
  <c r="X421" i="38"/>
  <c r="X422" i="38"/>
  <c r="X423" i="38"/>
  <c r="X424" i="38"/>
  <c r="X425" i="38"/>
  <c r="X426" i="38"/>
  <c r="X427" i="38"/>
  <c r="X428" i="38"/>
  <c r="X429" i="38"/>
  <c r="X430" i="38"/>
  <c r="X431" i="38"/>
  <c r="X432" i="38"/>
  <c r="X433" i="38"/>
  <c r="X434" i="38"/>
  <c r="X435" i="38"/>
  <c r="X436" i="38"/>
  <c r="X437" i="38"/>
  <c r="X438" i="38"/>
  <c r="X439" i="38"/>
  <c r="X440" i="38"/>
  <c r="X441" i="38"/>
  <c r="X442" i="38"/>
  <c r="X443" i="38"/>
  <c r="X444" i="38"/>
  <c r="X445" i="38"/>
  <c r="X446" i="38"/>
  <c r="X447" i="38"/>
  <c r="X448" i="38"/>
  <c r="X449" i="38"/>
  <c r="X450"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X500" i="38"/>
  <c r="X501" i="38"/>
  <c r="X502" i="38"/>
  <c r="X503" i="38"/>
  <c r="X504" i="38"/>
  <c r="X505" i="38"/>
  <c r="X506" i="38"/>
  <c r="X507" i="38"/>
  <c r="X508" i="38"/>
  <c r="X509" i="38"/>
  <c r="X510" i="38"/>
  <c r="X511" i="38"/>
  <c r="X512" i="38"/>
  <c r="X513" i="38"/>
  <c r="X514" i="38"/>
  <c r="X515" i="38"/>
  <c r="X516" i="38"/>
  <c r="X517" i="38"/>
  <c r="X518" i="38"/>
  <c r="X519" i="38"/>
  <c r="X520" i="38"/>
  <c r="X521" i="38"/>
  <c r="X522" i="38"/>
  <c r="X523" i="38"/>
  <c r="X524" i="38"/>
  <c r="X525" i="38"/>
  <c r="X526" i="38"/>
  <c r="X527" i="38"/>
  <c r="Y13" i="38"/>
  <c r="Y14" i="38"/>
  <c r="Y15" i="38"/>
  <c r="Y16" i="38"/>
  <c r="Y17" i="38"/>
  <c r="Y18" i="38"/>
  <c r="Y19" i="38"/>
  <c r="Y20" i="38"/>
  <c r="Y21" i="38"/>
  <c r="Y22" i="38"/>
  <c r="X13" i="38"/>
  <c r="X14" i="38"/>
  <c r="X15" i="38"/>
  <c r="X16" i="38"/>
  <c r="X17" i="38"/>
  <c r="X18" i="38"/>
  <c r="X19" i="38"/>
  <c r="X20" i="38"/>
  <c r="X21" i="38"/>
  <c r="X22" i="38"/>
  <c r="AR28" i="38"/>
  <c r="AR29" i="38"/>
  <c r="AR30" i="38"/>
  <c r="AR31" i="38"/>
  <c r="AR32" i="38"/>
  <c r="AR33" i="38"/>
  <c r="AR34" i="38"/>
  <c r="AR35" i="38"/>
  <c r="AR36" i="38"/>
  <c r="AR37" i="38"/>
  <c r="AR38" i="38"/>
  <c r="AR39" i="38"/>
  <c r="AR40" i="38"/>
  <c r="AR41" i="38"/>
  <c r="AR42" i="38"/>
  <c r="AR43" i="38"/>
  <c r="AR44" i="38"/>
  <c r="AR45" i="38"/>
  <c r="AR46" i="38"/>
  <c r="AR47" i="38"/>
  <c r="AR48" i="38"/>
  <c r="AR49" i="38"/>
  <c r="AR50" i="38"/>
  <c r="AR51" i="38"/>
  <c r="AR52" i="38"/>
  <c r="AR53" i="38"/>
  <c r="AR54" i="38"/>
  <c r="AR55" i="38"/>
  <c r="AR56" i="38"/>
  <c r="AR57" i="38"/>
  <c r="AR58" i="38"/>
  <c r="AR59" i="38"/>
  <c r="AR60" i="38"/>
  <c r="AR61" i="38"/>
  <c r="AR62" i="38"/>
  <c r="AR63" i="38"/>
  <c r="AR64" i="38"/>
  <c r="AR65" i="38"/>
  <c r="AR66" i="38"/>
  <c r="AR67" i="38"/>
  <c r="AR68" i="38"/>
  <c r="AR69" i="38"/>
  <c r="AR70" i="38"/>
  <c r="AR71" i="38"/>
  <c r="AR72" i="38"/>
  <c r="AR73" i="38"/>
  <c r="AR74" i="38"/>
  <c r="AR75" i="38"/>
  <c r="AR76" i="38"/>
  <c r="AR77" i="38"/>
  <c r="AR78" i="38"/>
  <c r="AR79" i="38"/>
  <c r="AR80" i="38"/>
  <c r="AR81" i="38"/>
  <c r="AR82" i="38"/>
  <c r="AR83" i="38"/>
  <c r="AR84" i="38"/>
  <c r="AR85" i="38"/>
  <c r="AR86" i="38"/>
  <c r="AR87" i="38"/>
  <c r="AR88" i="38"/>
  <c r="AR89" i="38"/>
  <c r="AR90" i="38"/>
  <c r="AR91" i="38"/>
  <c r="AR92" i="38"/>
  <c r="AR93" i="38"/>
  <c r="AR94" i="38"/>
  <c r="AR95" i="38"/>
  <c r="AR96" i="38"/>
  <c r="AR97" i="38"/>
  <c r="AR98" i="38"/>
  <c r="AR99" i="38"/>
  <c r="AR100" i="38"/>
  <c r="AR101" i="38"/>
  <c r="AR102" i="38"/>
  <c r="AR103" i="38"/>
  <c r="AR104" i="38"/>
  <c r="AR105" i="38"/>
  <c r="AR106" i="38"/>
  <c r="AR107" i="38"/>
  <c r="AR108" i="38"/>
  <c r="AR109" i="38"/>
  <c r="AR110" i="38"/>
  <c r="AR111" i="38"/>
  <c r="AR112" i="38"/>
  <c r="AR113" i="38"/>
  <c r="AR114" i="38"/>
  <c r="AR115" i="38"/>
  <c r="AR116" i="38"/>
  <c r="AR117" i="38"/>
  <c r="AR118" i="38"/>
  <c r="AR119" i="38"/>
  <c r="AR120" i="38"/>
  <c r="AR121" i="38"/>
  <c r="AR122" i="38"/>
  <c r="AR123" i="38"/>
  <c r="AR124" i="38"/>
  <c r="AR125" i="38"/>
  <c r="AR126" i="38"/>
  <c r="AR127" i="38"/>
  <c r="AR128" i="38"/>
  <c r="AR129" i="38"/>
  <c r="AR130" i="38"/>
  <c r="AR131" i="38"/>
  <c r="AR132" i="38"/>
  <c r="AR133" i="38"/>
  <c r="AR134" i="38"/>
  <c r="AR135" i="38"/>
  <c r="AR136" i="38"/>
  <c r="AR137" i="38"/>
  <c r="AR138" i="38"/>
  <c r="AR139" i="38"/>
  <c r="AR140" i="38"/>
  <c r="AR141" i="38"/>
  <c r="AR142" i="38"/>
  <c r="AR143" i="38"/>
  <c r="AR144" i="38"/>
  <c r="AR145" i="38"/>
  <c r="AR146" i="38"/>
  <c r="AR147" i="38"/>
  <c r="AR148" i="38"/>
  <c r="AR149" i="38"/>
  <c r="AR150" i="38"/>
  <c r="AR151" i="38"/>
  <c r="AR152" i="38"/>
  <c r="AR153" i="38"/>
  <c r="AR154" i="38"/>
  <c r="AR155" i="38"/>
  <c r="AR156" i="38"/>
  <c r="AR157" i="38"/>
  <c r="AR158" i="38"/>
  <c r="AR159" i="38"/>
  <c r="AR160" i="38"/>
  <c r="AR161" i="38"/>
  <c r="AR162" i="38"/>
  <c r="AR163" i="38"/>
  <c r="AR164" i="38"/>
  <c r="AR165" i="38"/>
  <c r="AR166" i="38"/>
  <c r="AR167" i="38"/>
  <c r="AR168" i="38"/>
  <c r="AR169" i="38"/>
  <c r="AR170" i="38"/>
  <c r="AR171" i="38"/>
  <c r="AR172" i="38"/>
  <c r="AR173" i="38"/>
  <c r="AR174" i="38"/>
  <c r="AR175" i="38"/>
  <c r="AR176" i="38"/>
  <c r="AR177" i="38"/>
  <c r="AR178" i="38"/>
  <c r="AR179" i="38"/>
  <c r="AR180" i="38"/>
  <c r="AR181" i="38"/>
  <c r="AR182" i="38"/>
  <c r="AR183" i="38"/>
  <c r="AR184" i="38"/>
  <c r="AR185" i="38"/>
  <c r="AR186" i="38"/>
  <c r="AR187" i="38"/>
  <c r="AR188" i="38"/>
  <c r="AR189" i="38"/>
  <c r="AR190" i="38"/>
  <c r="AR191" i="38"/>
  <c r="AR192" i="38"/>
  <c r="AR193" i="38"/>
  <c r="AR194" i="38"/>
  <c r="AR195" i="38"/>
  <c r="AR196" i="38"/>
  <c r="AR197" i="38"/>
  <c r="AR198" i="38"/>
  <c r="AR199" i="38"/>
  <c r="AR200" i="38"/>
  <c r="AR201" i="38"/>
  <c r="AR202" i="38"/>
  <c r="AR203" i="38"/>
  <c r="AR204" i="38"/>
  <c r="AR205" i="38"/>
  <c r="AR206" i="38"/>
  <c r="AR207" i="38"/>
  <c r="AR208" i="38"/>
  <c r="AR209" i="38"/>
  <c r="AR210" i="38"/>
  <c r="AR211" i="38"/>
  <c r="AR212" i="38"/>
  <c r="AR213" i="38"/>
  <c r="AR214" i="38"/>
  <c r="AR215" i="38"/>
  <c r="AR216" i="38"/>
  <c r="AR217" i="38"/>
  <c r="AR218" i="38"/>
  <c r="AR219" i="38"/>
  <c r="AR220" i="38"/>
  <c r="AR221" i="38"/>
  <c r="AR222" i="38"/>
  <c r="AR223" i="38"/>
  <c r="AR224" i="38"/>
  <c r="AR225" i="38"/>
  <c r="AR226" i="38"/>
  <c r="AR227" i="38"/>
  <c r="AR228" i="38"/>
  <c r="AR229" i="38"/>
  <c r="AR230" i="38"/>
  <c r="AR231" i="38"/>
  <c r="AR232" i="38"/>
  <c r="AR233" i="38"/>
  <c r="AR234" i="38"/>
  <c r="AR235" i="38"/>
  <c r="AR236" i="38"/>
  <c r="AR237" i="38"/>
  <c r="AR238" i="38"/>
  <c r="AR239" i="38"/>
  <c r="AR240" i="38"/>
  <c r="AR241" i="38"/>
  <c r="AR242" i="38"/>
  <c r="AR243" i="38"/>
  <c r="AR244" i="38"/>
  <c r="AR245" i="38"/>
  <c r="AR246" i="38"/>
  <c r="AR247" i="38"/>
  <c r="AR248" i="38"/>
  <c r="AR249" i="38"/>
  <c r="AR250" i="38"/>
  <c r="AR251" i="38"/>
  <c r="AR252" i="38"/>
  <c r="AR253" i="38"/>
  <c r="AR254" i="38"/>
  <c r="AR255" i="38"/>
  <c r="AR256" i="38"/>
  <c r="AR257" i="38"/>
  <c r="AR258" i="38"/>
  <c r="AR259" i="38"/>
  <c r="AR260" i="38"/>
  <c r="AR261" i="38"/>
  <c r="AR262" i="38"/>
  <c r="AR263" i="38"/>
  <c r="AR264" i="38"/>
  <c r="AR265" i="38"/>
  <c r="AR266" i="38"/>
  <c r="AR267" i="38"/>
  <c r="AR268" i="38"/>
  <c r="AR269" i="38"/>
  <c r="AR270" i="38"/>
  <c r="AR271" i="38"/>
  <c r="AR272" i="38"/>
  <c r="AR273" i="38"/>
  <c r="AR274" i="38"/>
  <c r="AR275" i="38"/>
  <c r="AR276" i="38"/>
  <c r="AR277" i="38"/>
  <c r="AR278" i="38"/>
  <c r="AR279" i="38"/>
  <c r="AR280" i="38"/>
  <c r="AR281" i="38"/>
  <c r="AR282" i="38"/>
  <c r="AR283" i="38"/>
  <c r="AR284" i="38"/>
  <c r="AR285" i="38"/>
  <c r="AR286" i="38"/>
  <c r="AR287" i="38"/>
  <c r="AR288" i="38"/>
  <c r="AR289" i="38"/>
  <c r="AR290" i="38"/>
  <c r="AR291" i="38"/>
  <c r="AR292" i="38"/>
  <c r="AR293" i="38"/>
  <c r="AR294" i="38"/>
  <c r="AR295" i="38"/>
  <c r="AR296" i="38"/>
  <c r="AR297" i="38"/>
  <c r="AR298" i="38"/>
  <c r="AR299" i="38"/>
  <c r="AR300" i="38"/>
  <c r="AR301" i="38"/>
  <c r="AR302" i="38"/>
  <c r="AR303" i="38"/>
  <c r="AR304" i="38"/>
  <c r="AR305" i="38"/>
  <c r="AR306" i="38"/>
  <c r="AR307" i="38"/>
  <c r="AR308" i="38"/>
  <c r="AR309" i="38"/>
  <c r="AR310" i="38"/>
  <c r="AR311" i="38"/>
  <c r="AR312" i="38"/>
  <c r="AR313" i="38"/>
  <c r="AR314" i="38"/>
  <c r="AR315" i="38"/>
  <c r="AR316" i="38"/>
  <c r="AR317" i="38"/>
  <c r="AR318" i="38"/>
  <c r="AR319" i="38"/>
  <c r="AR320" i="38"/>
  <c r="AR321" i="38"/>
  <c r="AR322" i="38"/>
  <c r="AR323" i="38"/>
  <c r="AR324" i="38"/>
  <c r="AR325" i="38"/>
  <c r="AR326" i="38"/>
  <c r="AR327" i="38"/>
  <c r="AR328" i="38"/>
  <c r="AR329" i="38"/>
  <c r="AR330" i="38"/>
  <c r="AR331" i="38"/>
  <c r="AR332" i="38"/>
  <c r="AR333" i="38"/>
  <c r="AR334" i="38"/>
  <c r="AR335" i="38"/>
  <c r="AR336" i="38"/>
  <c r="AR337" i="38"/>
  <c r="AR338" i="38"/>
  <c r="AR339" i="38"/>
  <c r="AR340" i="38"/>
  <c r="AR341" i="38"/>
  <c r="AR342" i="38"/>
  <c r="AR343" i="38"/>
  <c r="AR344" i="38"/>
  <c r="AR345" i="38"/>
  <c r="AR346" i="38"/>
  <c r="AR347" i="38"/>
  <c r="AR348" i="38"/>
  <c r="AR349" i="38"/>
  <c r="AR350" i="38"/>
  <c r="AR351" i="38"/>
  <c r="AR352" i="38"/>
  <c r="AR353" i="38"/>
  <c r="AR354" i="38"/>
  <c r="AR355" i="38"/>
  <c r="AR356" i="38"/>
  <c r="AR357" i="38"/>
  <c r="AR358" i="38"/>
  <c r="AR359" i="38"/>
  <c r="AR360" i="38"/>
  <c r="AR361" i="38"/>
  <c r="AR362" i="38"/>
  <c r="AR363" i="38"/>
  <c r="AR364" i="38"/>
  <c r="AR365" i="38"/>
  <c r="AR366" i="38"/>
  <c r="AR367" i="38"/>
  <c r="AR368" i="38"/>
  <c r="AR369" i="38"/>
  <c r="AR370" i="38"/>
  <c r="AR371" i="38"/>
  <c r="AR372" i="38"/>
  <c r="AR373" i="38"/>
  <c r="AR374" i="38"/>
  <c r="AR375" i="38"/>
  <c r="AR376" i="38"/>
  <c r="AR377" i="38"/>
  <c r="AR378" i="38"/>
  <c r="AR379" i="38"/>
  <c r="AR380" i="38"/>
  <c r="AR381" i="38"/>
  <c r="AR382" i="38"/>
  <c r="AR383" i="38"/>
  <c r="AR384" i="38"/>
  <c r="AR385" i="38"/>
  <c r="AR386" i="38"/>
  <c r="AR387" i="38"/>
  <c r="AR388" i="38"/>
  <c r="AR389" i="38"/>
  <c r="AR390" i="38"/>
  <c r="AR391" i="38"/>
  <c r="AR392" i="38"/>
  <c r="AR393" i="38"/>
  <c r="AR394" i="38"/>
  <c r="AR395" i="38"/>
  <c r="AR396" i="38"/>
  <c r="AR397" i="38"/>
  <c r="AR398" i="38"/>
  <c r="AR399" i="38"/>
  <c r="AR400" i="38"/>
  <c r="AR401" i="38"/>
  <c r="AR402" i="38"/>
  <c r="AR403" i="38"/>
  <c r="AR404" i="38"/>
  <c r="AR405" i="38"/>
  <c r="AR406" i="38"/>
  <c r="AR407" i="38"/>
  <c r="AR408" i="38"/>
  <c r="AR409" i="38"/>
  <c r="AR410" i="38"/>
  <c r="AR411" i="38"/>
  <c r="AR412" i="38"/>
  <c r="AR413" i="38"/>
  <c r="AR414" i="38"/>
  <c r="AR415" i="38"/>
  <c r="AR416" i="38"/>
  <c r="AR417" i="38"/>
  <c r="AR418" i="38"/>
  <c r="AR419" i="38"/>
  <c r="AR420" i="38"/>
  <c r="AR421" i="38"/>
  <c r="AR422" i="38"/>
  <c r="AR423" i="38"/>
  <c r="AR424" i="38"/>
  <c r="AR425" i="38"/>
  <c r="AR426" i="38"/>
  <c r="AR427" i="38"/>
  <c r="AR428" i="38"/>
  <c r="AR429" i="38"/>
  <c r="AR430" i="38"/>
  <c r="AR431" i="38"/>
  <c r="AR432" i="38"/>
  <c r="AR433" i="38"/>
  <c r="AR434" i="38"/>
  <c r="AR435" i="38"/>
  <c r="AR436" i="38"/>
  <c r="AR437" i="38"/>
  <c r="AR438" i="38"/>
  <c r="AR439" i="38"/>
  <c r="AR440" i="38"/>
  <c r="AR441" i="38"/>
  <c r="AR442" i="38"/>
  <c r="AR443" i="38"/>
  <c r="AR444" i="38"/>
  <c r="AR445" i="38"/>
  <c r="AR446" i="38"/>
  <c r="AR447" i="38"/>
  <c r="AR448" i="38"/>
  <c r="AR449" i="38"/>
  <c r="AR450" i="38"/>
  <c r="AR451" i="38"/>
  <c r="AR452" i="38"/>
  <c r="AR453" i="38"/>
  <c r="AR454" i="38"/>
  <c r="AR455" i="38"/>
  <c r="AR456" i="38"/>
  <c r="AR457" i="38"/>
  <c r="AR458" i="38"/>
  <c r="AR459" i="38"/>
  <c r="AR460" i="38"/>
  <c r="AR461" i="38"/>
  <c r="AR462" i="38"/>
  <c r="AR463" i="38"/>
  <c r="AR464" i="38"/>
  <c r="AR465" i="38"/>
  <c r="AR466" i="38"/>
  <c r="AR467" i="38"/>
  <c r="AR468" i="38"/>
  <c r="AR469" i="38"/>
  <c r="AR470" i="38"/>
  <c r="AR471" i="38"/>
  <c r="AR472" i="38"/>
  <c r="AR473" i="38"/>
  <c r="AR474" i="38"/>
  <c r="AR475" i="38"/>
  <c r="AR476" i="38"/>
  <c r="AR477" i="38"/>
  <c r="AR478" i="38"/>
  <c r="AR479" i="38"/>
  <c r="AR480" i="38"/>
  <c r="AR481" i="38"/>
  <c r="AR482" i="38"/>
  <c r="AR483" i="38"/>
  <c r="AR484" i="38"/>
  <c r="AR485" i="38"/>
  <c r="AR486" i="38"/>
  <c r="AR487" i="38"/>
  <c r="AR488" i="38"/>
  <c r="AR489" i="38"/>
  <c r="AR490" i="38"/>
  <c r="AR491" i="38"/>
  <c r="AR492" i="38"/>
  <c r="AR493" i="38"/>
  <c r="AR494" i="38"/>
  <c r="AR495" i="38"/>
  <c r="AR496" i="38"/>
  <c r="AR497" i="38"/>
  <c r="AR498" i="38"/>
  <c r="AR499" i="38"/>
  <c r="AR500" i="38"/>
  <c r="AR501" i="38"/>
  <c r="AR502" i="38"/>
  <c r="AR503" i="38"/>
  <c r="AR504" i="38"/>
  <c r="AR505" i="38"/>
  <c r="AR506" i="38"/>
  <c r="AR507" i="38"/>
  <c r="AR508" i="38"/>
  <c r="AR509" i="38"/>
  <c r="AR510" i="38"/>
  <c r="AR511" i="38"/>
  <c r="AR512" i="38"/>
  <c r="AR513" i="38"/>
  <c r="AR514" i="38"/>
  <c r="AR515" i="38"/>
  <c r="AR516" i="38"/>
  <c r="AR517" i="38"/>
  <c r="AR518" i="38"/>
  <c r="AR519" i="38"/>
  <c r="AR520" i="38"/>
  <c r="AR521" i="38"/>
  <c r="AR522" i="38"/>
  <c r="AR523" i="38"/>
  <c r="AR524" i="38"/>
  <c r="AR525" i="38"/>
  <c r="AR526" i="38"/>
  <c r="AR527" i="38"/>
  <c r="AQ28" i="38"/>
  <c r="AQ29" i="38"/>
  <c r="AQ30" i="38"/>
  <c r="AQ31" i="38"/>
  <c r="AQ32" i="38"/>
  <c r="AQ33" i="38"/>
  <c r="AQ34" i="38"/>
  <c r="AQ35" i="38"/>
  <c r="AQ36" i="38"/>
  <c r="AQ37" i="38"/>
  <c r="AQ38" i="38"/>
  <c r="AQ39" i="38"/>
  <c r="AQ40" i="38"/>
  <c r="AQ41" i="38"/>
  <c r="AQ42" i="38"/>
  <c r="AQ43" i="38"/>
  <c r="AQ44" i="38"/>
  <c r="AQ45" i="38"/>
  <c r="AQ46" i="38"/>
  <c r="AQ47" i="38"/>
  <c r="AQ48" i="38"/>
  <c r="AQ49" i="38"/>
  <c r="AQ50" i="38"/>
  <c r="AQ51" i="38"/>
  <c r="AQ52" i="38"/>
  <c r="AQ53" i="38"/>
  <c r="AQ54" i="38"/>
  <c r="AQ55" i="38"/>
  <c r="AQ56" i="38"/>
  <c r="AQ57" i="38"/>
  <c r="AQ58" i="38"/>
  <c r="AQ59" i="38"/>
  <c r="AQ60" i="38"/>
  <c r="AQ61" i="38"/>
  <c r="AQ62" i="38"/>
  <c r="AQ63" i="38"/>
  <c r="AQ64" i="38"/>
  <c r="AQ65" i="38"/>
  <c r="AQ66" i="38"/>
  <c r="AQ67" i="38"/>
  <c r="AQ68" i="38"/>
  <c r="AQ69" i="38"/>
  <c r="AQ70" i="38"/>
  <c r="AQ71" i="38"/>
  <c r="AQ72" i="38"/>
  <c r="AQ73" i="38"/>
  <c r="AQ74" i="38"/>
  <c r="AQ75" i="38"/>
  <c r="AQ76" i="38"/>
  <c r="AQ77" i="38"/>
  <c r="AQ78" i="38"/>
  <c r="AQ79" i="38"/>
  <c r="AQ80" i="38"/>
  <c r="AQ81" i="38"/>
  <c r="AQ82" i="38"/>
  <c r="AQ83" i="38"/>
  <c r="AQ84" i="38"/>
  <c r="AQ85" i="38"/>
  <c r="AQ86" i="38"/>
  <c r="AQ87" i="38"/>
  <c r="AQ88" i="38"/>
  <c r="AQ89" i="38"/>
  <c r="AQ90" i="38"/>
  <c r="AQ91" i="38"/>
  <c r="AQ92" i="38"/>
  <c r="AQ93" i="38"/>
  <c r="AQ94" i="38"/>
  <c r="AQ95" i="38"/>
  <c r="AQ96" i="38"/>
  <c r="AQ97" i="38"/>
  <c r="AQ98" i="38"/>
  <c r="AQ99" i="38"/>
  <c r="AQ100" i="38"/>
  <c r="AQ101" i="38"/>
  <c r="AQ102" i="38"/>
  <c r="AQ103" i="38"/>
  <c r="AQ104" i="38"/>
  <c r="AQ105" i="38"/>
  <c r="AQ106" i="38"/>
  <c r="AQ107" i="38"/>
  <c r="AQ108" i="38"/>
  <c r="AQ109" i="38"/>
  <c r="AQ110" i="38"/>
  <c r="AQ111" i="38"/>
  <c r="AQ112" i="38"/>
  <c r="AQ113" i="38"/>
  <c r="AQ114" i="38"/>
  <c r="AQ115" i="38"/>
  <c r="AQ116" i="38"/>
  <c r="AQ117" i="38"/>
  <c r="AQ118" i="38"/>
  <c r="AQ119" i="38"/>
  <c r="AQ120" i="38"/>
  <c r="AQ121" i="38"/>
  <c r="AQ122" i="38"/>
  <c r="AQ123" i="38"/>
  <c r="AQ124" i="38"/>
  <c r="AQ125" i="38"/>
  <c r="AQ126" i="38"/>
  <c r="AQ127" i="38"/>
  <c r="AQ128" i="38"/>
  <c r="AQ129" i="38"/>
  <c r="AQ130" i="38"/>
  <c r="AQ131" i="38"/>
  <c r="AQ132" i="38"/>
  <c r="AQ133" i="38"/>
  <c r="AQ134" i="38"/>
  <c r="AQ135" i="38"/>
  <c r="AQ136" i="38"/>
  <c r="AQ137" i="38"/>
  <c r="AQ138" i="38"/>
  <c r="AQ139" i="38"/>
  <c r="AQ140" i="38"/>
  <c r="AQ141" i="38"/>
  <c r="AQ142" i="38"/>
  <c r="AQ143" i="38"/>
  <c r="AQ144" i="38"/>
  <c r="AQ145" i="38"/>
  <c r="AQ146" i="38"/>
  <c r="AQ147" i="38"/>
  <c r="AQ148" i="38"/>
  <c r="AQ149" i="38"/>
  <c r="AQ150" i="38"/>
  <c r="AQ151" i="38"/>
  <c r="AQ152" i="38"/>
  <c r="AQ153" i="38"/>
  <c r="AQ154" i="38"/>
  <c r="AQ155" i="38"/>
  <c r="AQ156" i="38"/>
  <c r="AQ157" i="38"/>
  <c r="AQ158" i="38"/>
  <c r="AQ159" i="38"/>
  <c r="AQ160" i="38"/>
  <c r="AQ161" i="38"/>
  <c r="AQ162" i="38"/>
  <c r="AQ163" i="38"/>
  <c r="AQ164" i="38"/>
  <c r="AQ165" i="38"/>
  <c r="AQ166" i="38"/>
  <c r="AQ167" i="38"/>
  <c r="AQ168" i="38"/>
  <c r="AQ169" i="38"/>
  <c r="AQ170" i="38"/>
  <c r="AQ171" i="38"/>
  <c r="AQ172" i="38"/>
  <c r="AQ173" i="38"/>
  <c r="AQ174" i="38"/>
  <c r="AQ175" i="38"/>
  <c r="AQ176" i="38"/>
  <c r="AQ177" i="38"/>
  <c r="AQ178" i="38"/>
  <c r="AQ179" i="38"/>
  <c r="AQ180" i="38"/>
  <c r="AQ181" i="38"/>
  <c r="AQ182" i="38"/>
  <c r="AQ183" i="38"/>
  <c r="AQ184" i="38"/>
  <c r="AQ185" i="38"/>
  <c r="AQ186" i="38"/>
  <c r="AQ187" i="38"/>
  <c r="AQ188" i="38"/>
  <c r="AQ189" i="38"/>
  <c r="AQ190" i="38"/>
  <c r="AQ191" i="38"/>
  <c r="AQ192" i="38"/>
  <c r="AQ193" i="38"/>
  <c r="AQ194" i="38"/>
  <c r="AQ195" i="38"/>
  <c r="AQ196" i="38"/>
  <c r="AQ197" i="38"/>
  <c r="AQ198" i="38"/>
  <c r="AQ199" i="38"/>
  <c r="AQ200" i="38"/>
  <c r="AQ201" i="38"/>
  <c r="AQ202" i="38"/>
  <c r="AQ203" i="38"/>
  <c r="AQ204" i="38"/>
  <c r="AQ205" i="38"/>
  <c r="AQ206" i="38"/>
  <c r="AQ207" i="38"/>
  <c r="AQ208" i="38"/>
  <c r="AQ209" i="38"/>
  <c r="AQ210" i="38"/>
  <c r="AQ211" i="38"/>
  <c r="AQ212" i="38"/>
  <c r="AQ213" i="38"/>
  <c r="AQ214" i="38"/>
  <c r="AQ215" i="38"/>
  <c r="AQ216" i="38"/>
  <c r="AQ217" i="38"/>
  <c r="AQ218" i="38"/>
  <c r="AQ219" i="38"/>
  <c r="AQ220" i="38"/>
  <c r="AQ221" i="38"/>
  <c r="AQ222" i="38"/>
  <c r="AQ223" i="38"/>
  <c r="AQ224" i="38"/>
  <c r="AQ225" i="38"/>
  <c r="AQ226" i="38"/>
  <c r="AQ227" i="38"/>
  <c r="AQ228" i="38"/>
  <c r="AQ229" i="38"/>
  <c r="AQ230" i="38"/>
  <c r="AQ231" i="38"/>
  <c r="AQ232" i="38"/>
  <c r="AQ233" i="38"/>
  <c r="AQ234" i="38"/>
  <c r="AQ235" i="38"/>
  <c r="AQ236" i="38"/>
  <c r="AQ237" i="38"/>
  <c r="AQ238" i="38"/>
  <c r="AQ239" i="38"/>
  <c r="AQ240" i="38"/>
  <c r="AQ241" i="38"/>
  <c r="AQ242" i="38"/>
  <c r="AQ243" i="38"/>
  <c r="AQ244" i="38"/>
  <c r="AQ245" i="38"/>
  <c r="AQ246" i="38"/>
  <c r="AQ247" i="38"/>
  <c r="AQ248" i="38"/>
  <c r="AQ249" i="38"/>
  <c r="AQ250" i="38"/>
  <c r="AQ251" i="38"/>
  <c r="AQ252" i="38"/>
  <c r="AQ253" i="38"/>
  <c r="AQ254" i="38"/>
  <c r="AQ255" i="38"/>
  <c r="AQ256" i="38"/>
  <c r="AQ257" i="38"/>
  <c r="AQ258" i="38"/>
  <c r="AQ259" i="38"/>
  <c r="AQ260" i="38"/>
  <c r="AQ261" i="38"/>
  <c r="AQ262" i="38"/>
  <c r="AQ263" i="38"/>
  <c r="AQ264" i="38"/>
  <c r="AQ265" i="38"/>
  <c r="AQ266" i="38"/>
  <c r="AQ267" i="38"/>
  <c r="AQ268" i="38"/>
  <c r="AQ269" i="38"/>
  <c r="AQ270" i="38"/>
  <c r="AQ271" i="38"/>
  <c r="AQ272" i="38"/>
  <c r="AQ273" i="38"/>
  <c r="AQ274" i="38"/>
  <c r="AQ275" i="38"/>
  <c r="AQ276" i="38"/>
  <c r="AQ277" i="38"/>
  <c r="AQ278" i="38"/>
  <c r="AQ279" i="38"/>
  <c r="AQ280" i="38"/>
  <c r="AQ281" i="38"/>
  <c r="AQ282" i="38"/>
  <c r="AQ283" i="38"/>
  <c r="AQ284" i="38"/>
  <c r="AQ285" i="38"/>
  <c r="AQ286" i="38"/>
  <c r="AQ287" i="38"/>
  <c r="AQ288" i="38"/>
  <c r="AQ289" i="38"/>
  <c r="AQ290" i="38"/>
  <c r="AQ291" i="38"/>
  <c r="AQ292" i="38"/>
  <c r="AQ293" i="38"/>
  <c r="AQ294" i="38"/>
  <c r="AQ295" i="38"/>
  <c r="AQ296" i="38"/>
  <c r="AQ297" i="38"/>
  <c r="AQ298" i="38"/>
  <c r="AQ299" i="38"/>
  <c r="AQ300" i="38"/>
  <c r="AQ301" i="38"/>
  <c r="AQ302" i="38"/>
  <c r="AQ303" i="38"/>
  <c r="AQ304" i="38"/>
  <c r="AQ305" i="38"/>
  <c r="AQ306" i="38"/>
  <c r="AQ307" i="38"/>
  <c r="AQ308" i="38"/>
  <c r="AQ309" i="38"/>
  <c r="AQ310" i="38"/>
  <c r="AQ311" i="38"/>
  <c r="AQ312" i="38"/>
  <c r="AQ313" i="38"/>
  <c r="AQ314" i="38"/>
  <c r="AQ315" i="38"/>
  <c r="AQ316" i="38"/>
  <c r="AQ317" i="38"/>
  <c r="AQ318" i="38"/>
  <c r="AQ319" i="38"/>
  <c r="AQ320" i="38"/>
  <c r="AQ321" i="38"/>
  <c r="AQ322" i="38"/>
  <c r="AQ323" i="38"/>
  <c r="AQ324" i="38"/>
  <c r="AQ325" i="38"/>
  <c r="AQ326" i="38"/>
  <c r="AQ327" i="38"/>
  <c r="AQ328" i="38"/>
  <c r="AQ329" i="38"/>
  <c r="AQ330" i="38"/>
  <c r="AQ331" i="38"/>
  <c r="AQ332" i="38"/>
  <c r="AQ333" i="38"/>
  <c r="AQ334" i="38"/>
  <c r="AQ335" i="38"/>
  <c r="AQ336" i="38"/>
  <c r="AQ337" i="38"/>
  <c r="AQ338" i="38"/>
  <c r="AQ339" i="38"/>
  <c r="AQ340" i="38"/>
  <c r="AQ341" i="38"/>
  <c r="AQ342" i="38"/>
  <c r="AQ343" i="38"/>
  <c r="AQ344" i="38"/>
  <c r="AQ345" i="38"/>
  <c r="AQ346" i="38"/>
  <c r="AQ347" i="38"/>
  <c r="AQ348" i="38"/>
  <c r="AQ349" i="38"/>
  <c r="AQ350" i="38"/>
  <c r="AQ351" i="38"/>
  <c r="AQ352" i="38"/>
  <c r="AQ353" i="38"/>
  <c r="AQ354" i="38"/>
  <c r="AQ355" i="38"/>
  <c r="AQ356" i="38"/>
  <c r="AQ357" i="38"/>
  <c r="AQ358" i="38"/>
  <c r="AQ359" i="38"/>
  <c r="AQ360" i="38"/>
  <c r="AQ361" i="38"/>
  <c r="AQ362" i="38"/>
  <c r="AQ363" i="38"/>
  <c r="AQ364" i="38"/>
  <c r="AQ365" i="38"/>
  <c r="AQ366" i="38"/>
  <c r="AQ367" i="38"/>
  <c r="AQ368" i="38"/>
  <c r="AQ369" i="38"/>
  <c r="AQ370" i="38"/>
  <c r="AQ371" i="38"/>
  <c r="AQ372" i="38"/>
  <c r="AQ373" i="38"/>
  <c r="AQ374" i="38"/>
  <c r="AQ375" i="38"/>
  <c r="AQ376" i="38"/>
  <c r="AQ377" i="38"/>
  <c r="AQ378" i="38"/>
  <c r="AQ379" i="38"/>
  <c r="AQ380" i="38"/>
  <c r="AQ381" i="38"/>
  <c r="AQ382" i="38"/>
  <c r="AQ383" i="38"/>
  <c r="AQ384" i="38"/>
  <c r="AQ385" i="38"/>
  <c r="AQ386" i="38"/>
  <c r="AQ387" i="38"/>
  <c r="AQ388" i="38"/>
  <c r="AQ389" i="38"/>
  <c r="AQ390" i="38"/>
  <c r="AQ391" i="38"/>
  <c r="AQ392" i="38"/>
  <c r="AQ393" i="38"/>
  <c r="AQ394" i="38"/>
  <c r="AQ395" i="38"/>
  <c r="AQ396" i="38"/>
  <c r="AQ397" i="38"/>
  <c r="AQ398" i="38"/>
  <c r="AQ399" i="38"/>
  <c r="AQ400" i="38"/>
  <c r="AQ401" i="38"/>
  <c r="AQ402" i="38"/>
  <c r="AQ403" i="38"/>
  <c r="AQ404" i="38"/>
  <c r="AQ405" i="38"/>
  <c r="AQ406" i="38"/>
  <c r="AQ407" i="38"/>
  <c r="AQ408" i="38"/>
  <c r="AQ409" i="38"/>
  <c r="AQ410" i="38"/>
  <c r="AQ411" i="38"/>
  <c r="AQ412" i="38"/>
  <c r="AQ413" i="38"/>
  <c r="AQ414" i="38"/>
  <c r="AQ415" i="38"/>
  <c r="AQ416" i="38"/>
  <c r="AQ417" i="38"/>
  <c r="AQ418" i="38"/>
  <c r="AQ419" i="38"/>
  <c r="AQ420" i="38"/>
  <c r="AQ421" i="38"/>
  <c r="AQ422" i="38"/>
  <c r="AQ423" i="38"/>
  <c r="AQ424" i="38"/>
  <c r="AQ425" i="38"/>
  <c r="AQ426" i="38"/>
  <c r="AQ427" i="38"/>
  <c r="AQ428" i="38"/>
  <c r="AQ429" i="38"/>
  <c r="AQ430" i="38"/>
  <c r="AQ431" i="38"/>
  <c r="AQ432" i="38"/>
  <c r="AQ433" i="38"/>
  <c r="AQ434" i="38"/>
  <c r="AQ435" i="38"/>
  <c r="AQ436" i="38"/>
  <c r="AQ437" i="38"/>
  <c r="AQ438" i="38"/>
  <c r="AQ439" i="38"/>
  <c r="AQ440" i="38"/>
  <c r="AQ441" i="38"/>
  <c r="AQ442" i="38"/>
  <c r="AQ443" i="38"/>
  <c r="AQ444" i="38"/>
  <c r="AQ445" i="38"/>
  <c r="AQ446" i="38"/>
  <c r="AQ447" i="38"/>
  <c r="AQ448" i="38"/>
  <c r="AQ449" i="38"/>
  <c r="AQ450" i="38"/>
  <c r="AQ451" i="38"/>
  <c r="AQ452" i="38"/>
  <c r="AQ453" i="38"/>
  <c r="AQ454" i="38"/>
  <c r="AQ455" i="38"/>
  <c r="AQ456" i="38"/>
  <c r="AQ457" i="38"/>
  <c r="AQ458" i="38"/>
  <c r="AQ459" i="38"/>
  <c r="AQ460" i="38"/>
  <c r="AQ461" i="38"/>
  <c r="AQ462" i="38"/>
  <c r="AQ463" i="38"/>
  <c r="AQ464" i="38"/>
  <c r="AQ465" i="38"/>
  <c r="AQ466" i="38"/>
  <c r="AQ467" i="38"/>
  <c r="AQ468" i="38"/>
  <c r="AQ469" i="38"/>
  <c r="AQ470" i="38"/>
  <c r="AQ471" i="38"/>
  <c r="AQ472" i="38"/>
  <c r="AQ473" i="38"/>
  <c r="AQ474" i="38"/>
  <c r="AQ475" i="38"/>
  <c r="AQ476" i="38"/>
  <c r="AQ477" i="38"/>
  <c r="AQ478" i="38"/>
  <c r="AQ479" i="38"/>
  <c r="AQ480" i="38"/>
  <c r="AQ481" i="38"/>
  <c r="AQ482" i="38"/>
  <c r="AQ483" i="38"/>
  <c r="AQ484" i="38"/>
  <c r="AQ485" i="38"/>
  <c r="AQ486" i="38"/>
  <c r="AQ487" i="38"/>
  <c r="AQ488" i="38"/>
  <c r="AQ489" i="38"/>
  <c r="AQ490" i="38"/>
  <c r="AQ491" i="38"/>
  <c r="AQ492" i="38"/>
  <c r="AQ493" i="38"/>
  <c r="AQ494" i="38"/>
  <c r="AQ495" i="38"/>
  <c r="AQ496" i="38"/>
  <c r="AQ497" i="38"/>
  <c r="AQ498" i="38"/>
  <c r="AQ499" i="38"/>
  <c r="AQ500" i="38"/>
  <c r="AQ501" i="38"/>
  <c r="AQ502" i="38"/>
  <c r="AQ503" i="38"/>
  <c r="AQ504" i="38"/>
  <c r="AQ505" i="38"/>
  <c r="AQ506" i="38"/>
  <c r="AQ507" i="38"/>
  <c r="AQ508" i="38"/>
  <c r="AQ509" i="38"/>
  <c r="AQ510" i="38"/>
  <c r="AQ511" i="38"/>
  <c r="AQ512" i="38"/>
  <c r="AQ513" i="38"/>
  <c r="AQ514" i="38"/>
  <c r="AQ515" i="38"/>
  <c r="AQ516" i="38"/>
  <c r="AQ517" i="38"/>
  <c r="AQ518" i="38"/>
  <c r="AQ519" i="38"/>
  <c r="AQ520" i="38"/>
  <c r="AQ521" i="38"/>
  <c r="AQ522" i="38"/>
  <c r="AQ523" i="38"/>
  <c r="AQ524" i="38"/>
  <c r="AQ525" i="38"/>
  <c r="AQ526" i="38"/>
  <c r="AQ527" i="38"/>
  <c r="AP28" i="38"/>
  <c r="AP29" i="38"/>
  <c r="AP30" i="38"/>
  <c r="AP31" i="38"/>
  <c r="AP32" i="38"/>
  <c r="AP33" i="38"/>
  <c r="AP34" i="38"/>
  <c r="AP35" i="38"/>
  <c r="AP36" i="38"/>
  <c r="AP37" i="38"/>
  <c r="AP38" i="38"/>
  <c r="AP39" i="38"/>
  <c r="AP40" i="38"/>
  <c r="AP41" i="38"/>
  <c r="AP42" i="38"/>
  <c r="AP43" i="38"/>
  <c r="AP44" i="38"/>
  <c r="AP45" i="38"/>
  <c r="AP46" i="38"/>
  <c r="AP47" i="38"/>
  <c r="AP48" i="38"/>
  <c r="AP49" i="38"/>
  <c r="AP50" i="38"/>
  <c r="AP51" i="38"/>
  <c r="AP52" i="38"/>
  <c r="AP53" i="38"/>
  <c r="AP54" i="38"/>
  <c r="AP55" i="38"/>
  <c r="AP56" i="38"/>
  <c r="AP57" i="38"/>
  <c r="AP58" i="38"/>
  <c r="AP59" i="38"/>
  <c r="AP60" i="38"/>
  <c r="AP61" i="38"/>
  <c r="AP62" i="38"/>
  <c r="AP63" i="38"/>
  <c r="AP64" i="38"/>
  <c r="AP65" i="38"/>
  <c r="AP66" i="38"/>
  <c r="AP67" i="38"/>
  <c r="AP68" i="38"/>
  <c r="AP69" i="38"/>
  <c r="AP70" i="38"/>
  <c r="AP71" i="38"/>
  <c r="AP72" i="38"/>
  <c r="AP73" i="38"/>
  <c r="AP74" i="38"/>
  <c r="AP75" i="38"/>
  <c r="AP76" i="38"/>
  <c r="AP77" i="38"/>
  <c r="AP78" i="38"/>
  <c r="AP79" i="38"/>
  <c r="AP80" i="38"/>
  <c r="AP81" i="38"/>
  <c r="AP82" i="38"/>
  <c r="AP83" i="38"/>
  <c r="AP84" i="38"/>
  <c r="AP85" i="38"/>
  <c r="AP86" i="38"/>
  <c r="AP87" i="38"/>
  <c r="AP88" i="38"/>
  <c r="AP89" i="38"/>
  <c r="AP90" i="38"/>
  <c r="AP91" i="38"/>
  <c r="AP92" i="38"/>
  <c r="AP93" i="38"/>
  <c r="AP94" i="38"/>
  <c r="AP95" i="38"/>
  <c r="AP96" i="38"/>
  <c r="AP97" i="38"/>
  <c r="AP98" i="38"/>
  <c r="AP99" i="38"/>
  <c r="AP100" i="38"/>
  <c r="AP101" i="38"/>
  <c r="AP102" i="38"/>
  <c r="AP103" i="38"/>
  <c r="AP104" i="38"/>
  <c r="AP105" i="38"/>
  <c r="AP106" i="38"/>
  <c r="AP107" i="38"/>
  <c r="AP108" i="38"/>
  <c r="AP109" i="38"/>
  <c r="AP110" i="38"/>
  <c r="AP111" i="38"/>
  <c r="AP112" i="38"/>
  <c r="AP113" i="38"/>
  <c r="AP114" i="38"/>
  <c r="AP115" i="38"/>
  <c r="AP116" i="38"/>
  <c r="AP117" i="38"/>
  <c r="AP118" i="38"/>
  <c r="AP119" i="38"/>
  <c r="AP120" i="38"/>
  <c r="AP121" i="38"/>
  <c r="AP122" i="38"/>
  <c r="AP123" i="38"/>
  <c r="AP124" i="38"/>
  <c r="AP125" i="38"/>
  <c r="AP126" i="38"/>
  <c r="AP127" i="38"/>
  <c r="AP128" i="38"/>
  <c r="AP129" i="38"/>
  <c r="AP130" i="38"/>
  <c r="AP131" i="38"/>
  <c r="AP132" i="38"/>
  <c r="AP133" i="38"/>
  <c r="AP134" i="38"/>
  <c r="AP135" i="38"/>
  <c r="AP136" i="38"/>
  <c r="AP137" i="38"/>
  <c r="AP138" i="38"/>
  <c r="AP139" i="38"/>
  <c r="AP140" i="38"/>
  <c r="AP141" i="38"/>
  <c r="AP142" i="38"/>
  <c r="AP143" i="38"/>
  <c r="AP144" i="38"/>
  <c r="AP145" i="38"/>
  <c r="AP146" i="38"/>
  <c r="AP147" i="38"/>
  <c r="AP148" i="38"/>
  <c r="AP149" i="38"/>
  <c r="AP150" i="38"/>
  <c r="AP151" i="38"/>
  <c r="AP152" i="38"/>
  <c r="AP153" i="38"/>
  <c r="AP154" i="38"/>
  <c r="AP155" i="38"/>
  <c r="AP156" i="38"/>
  <c r="AP157" i="38"/>
  <c r="AP158" i="38"/>
  <c r="AP159" i="38"/>
  <c r="AP160" i="38"/>
  <c r="AP161" i="38"/>
  <c r="AP162" i="38"/>
  <c r="AP163" i="38"/>
  <c r="AP164" i="38"/>
  <c r="AP165" i="38"/>
  <c r="AP166" i="38"/>
  <c r="AP167" i="38"/>
  <c r="AP168" i="38"/>
  <c r="AP169" i="38"/>
  <c r="AP170" i="38"/>
  <c r="AP171" i="38"/>
  <c r="AP172" i="38"/>
  <c r="AP173" i="38"/>
  <c r="AP174" i="38"/>
  <c r="AP175" i="38"/>
  <c r="AP176" i="38"/>
  <c r="AP177" i="38"/>
  <c r="AP178" i="38"/>
  <c r="AP179" i="38"/>
  <c r="AP180" i="38"/>
  <c r="AP181" i="38"/>
  <c r="AP182" i="38"/>
  <c r="AP183" i="38"/>
  <c r="AP184" i="38"/>
  <c r="AP185" i="38"/>
  <c r="AP186" i="38"/>
  <c r="AP187" i="38"/>
  <c r="AP188" i="38"/>
  <c r="AP189" i="38"/>
  <c r="AP190" i="38"/>
  <c r="AP191" i="38"/>
  <c r="AP192" i="38"/>
  <c r="AP193" i="38"/>
  <c r="AP194" i="38"/>
  <c r="AP195" i="38"/>
  <c r="AP196" i="38"/>
  <c r="AP197" i="38"/>
  <c r="AP198" i="38"/>
  <c r="AP199" i="38"/>
  <c r="AP200" i="38"/>
  <c r="AP201" i="38"/>
  <c r="AP202" i="38"/>
  <c r="AP203" i="38"/>
  <c r="AP204" i="38"/>
  <c r="AP205" i="38"/>
  <c r="AP206" i="38"/>
  <c r="AP207" i="38"/>
  <c r="AP208" i="38"/>
  <c r="AP209" i="38"/>
  <c r="AP210" i="38"/>
  <c r="AP211" i="38"/>
  <c r="AP212" i="38"/>
  <c r="AP213" i="38"/>
  <c r="AP214" i="38"/>
  <c r="AP215" i="38"/>
  <c r="AP216" i="38"/>
  <c r="AP217" i="38"/>
  <c r="AP218" i="38"/>
  <c r="AP219" i="38"/>
  <c r="AP220" i="38"/>
  <c r="AP221" i="38"/>
  <c r="AP222" i="38"/>
  <c r="AP223" i="38"/>
  <c r="AP224" i="38"/>
  <c r="AP225" i="38"/>
  <c r="AP226" i="38"/>
  <c r="AP227" i="38"/>
  <c r="AP228" i="38"/>
  <c r="AP229" i="38"/>
  <c r="AP230" i="38"/>
  <c r="AP231" i="38"/>
  <c r="AP232" i="38"/>
  <c r="AP233" i="38"/>
  <c r="AP234" i="38"/>
  <c r="AP235" i="38"/>
  <c r="AP236" i="38"/>
  <c r="AP237" i="38"/>
  <c r="AP238" i="38"/>
  <c r="AP239" i="38"/>
  <c r="AP240" i="38"/>
  <c r="AP241" i="38"/>
  <c r="AP242" i="38"/>
  <c r="AP243" i="38"/>
  <c r="AP244" i="38"/>
  <c r="AP245" i="38"/>
  <c r="AP246" i="38"/>
  <c r="AP247" i="38"/>
  <c r="AP248" i="38"/>
  <c r="AP249" i="38"/>
  <c r="AP250" i="38"/>
  <c r="AP251" i="38"/>
  <c r="AP252" i="38"/>
  <c r="AP253" i="38"/>
  <c r="AP254" i="38"/>
  <c r="AP255" i="38"/>
  <c r="AP256" i="38"/>
  <c r="AP257" i="38"/>
  <c r="AP258" i="38"/>
  <c r="AP259" i="38"/>
  <c r="AP260" i="38"/>
  <c r="AP261" i="38"/>
  <c r="AP262" i="38"/>
  <c r="AP263" i="38"/>
  <c r="AP264" i="38"/>
  <c r="AP265" i="38"/>
  <c r="AP266" i="38"/>
  <c r="AP267" i="38"/>
  <c r="AP268" i="38"/>
  <c r="AP269" i="38"/>
  <c r="AP270" i="38"/>
  <c r="AP271" i="38"/>
  <c r="AP272" i="38"/>
  <c r="AP273" i="38"/>
  <c r="AP274" i="38"/>
  <c r="AP275" i="38"/>
  <c r="AP276" i="38"/>
  <c r="AP277" i="38"/>
  <c r="AP278" i="38"/>
  <c r="AP279" i="38"/>
  <c r="AP280" i="38"/>
  <c r="AP281" i="38"/>
  <c r="AP282" i="38"/>
  <c r="AP283" i="38"/>
  <c r="AP284" i="38"/>
  <c r="AP285" i="38"/>
  <c r="AP286" i="38"/>
  <c r="AP287" i="38"/>
  <c r="AP288" i="38"/>
  <c r="AP289" i="38"/>
  <c r="AP290" i="38"/>
  <c r="AP291" i="38"/>
  <c r="AP292" i="38"/>
  <c r="AP293" i="38"/>
  <c r="AP294" i="38"/>
  <c r="AP295" i="38"/>
  <c r="AP296" i="38"/>
  <c r="AP297" i="38"/>
  <c r="AP298" i="38"/>
  <c r="AP299" i="38"/>
  <c r="AP300" i="38"/>
  <c r="AP301" i="38"/>
  <c r="AP302" i="38"/>
  <c r="AP303" i="38"/>
  <c r="AP304" i="38"/>
  <c r="AP305" i="38"/>
  <c r="AP306" i="38"/>
  <c r="AP307" i="38"/>
  <c r="AP308" i="38"/>
  <c r="AP309" i="38"/>
  <c r="AP310" i="38"/>
  <c r="AP311" i="38"/>
  <c r="AP312" i="38"/>
  <c r="AP313" i="38"/>
  <c r="AP314" i="38"/>
  <c r="AP315" i="38"/>
  <c r="AP316" i="38"/>
  <c r="AP317" i="38"/>
  <c r="AP318" i="38"/>
  <c r="AP319" i="38"/>
  <c r="AP320" i="38"/>
  <c r="AP321" i="38"/>
  <c r="AP322" i="38"/>
  <c r="AP323" i="38"/>
  <c r="AP324" i="38"/>
  <c r="AP325" i="38"/>
  <c r="AP326" i="38"/>
  <c r="AP327" i="38"/>
  <c r="AP328" i="38"/>
  <c r="AP329" i="38"/>
  <c r="AP330" i="38"/>
  <c r="AP331" i="38"/>
  <c r="AP332" i="38"/>
  <c r="AP333" i="38"/>
  <c r="AP334" i="38"/>
  <c r="AP335" i="38"/>
  <c r="AP336" i="38"/>
  <c r="AP337" i="38"/>
  <c r="AP338" i="38"/>
  <c r="AP339" i="38"/>
  <c r="AP340" i="38"/>
  <c r="AP341" i="38"/>
  <c r="AP342" i="38"/>
  <c r="AP343" i="38"/>
  <c r="AP344" i="38"/>
  <c r="AP345" i="38"/>
  <c r="AP346" i="38"/>
  <c r="AP347" i="38"/>
  <c r="AP348" i="38"/>
  <c r="AP349" i="38"/>
  <c r="AP350" i="38"/>
  <c r="AP351" i="38"/>
  <c r="AP352" i="38"/>
  <c r="AP353" i="38"/>
  <c r="AP354" i="38"/>
  <c r="AP355" i="38"/>
  <c r="AP356" i="38"/>
  <c r="AP357" i="38"/>
  <c r="AP358" i="38"/>
  <c r="AP359" i="38"/>
  <c r="AP360" i="38"/>
  <c r="AP361" i="38"/>
  <c r="AP362" i="38"/>
  <c r="AP363" i="38"/>
  <c r="AP364" i="38"/>
  <c r="AP365" i="38"/>
  <c r="AP366" i="38"/>
  <c r="AP367" i="38"/>
  <c r="AP368" i="38"/>
  <c r="AP369" i="38"/>
  <c r="AP370" i="38"/>
  <c r="AP371" i="38"/>
  <c r="AP372" i="38"/>
  <c r="AP373" i="38"/>
  <c r="AP374" i="38"/>
  <c r="AP375" i="38"/>
  <c r="AP376" i="38"/>
  <c r="AP377" i="38"/>
  <c r="AP378" i="38"/>
  <c r="AP379" i="38"/>
  <c r="AP380" i="38"/>
  <c r="AP381" i="38"/>
  <c r="AP382" i="38"/>
  <c r="AP383" i="38"/>
  <c r="AP384" i="38"/>
  <c r="AP385" i="38"/>
  <c r="AP386" i="38"/>
  <c r="AP387" i="38"/>
  <c r="AP388" i="38"/>
  <c r="AP389" i="38"/>
  <c r="AP390" i="38"/>
  <c r="AP391" i="38"/>
  <c r="AP392" i="38"/>
  <c r="AP393" i="38"/>
  <c r="AP394" i="38"/>
  <c r="AP395" i="38"/>
  <c r="AP396" i="38"/>
  <c r="AP397" i="38"/>
  <c r="AP398" i="38"/>
  <c r="AP399" i="38"/>
  <c r="AP400" i="38"/>
  <c r="AP401" i="38"/>
  <c r="AP402" i="38"/>
  <c r="AP403" i="38"/>
  <c r="AP404" i="38"/>
  <c r="AP405" i="38"/>
  <c r="AP406" i="38"/>
  <c r="AP407" i="38"/>
  <c r="AP408" i="38"/>
  <c r="AP409" i="38"/>
  <c r="AP410" i="38"/>
  <c r="AP411" i="38"/>
  <c r="AP412" i="38"/>
  <c r="AP413" i="38"/>
  <c r="AP414" i="38"/>
  <c r="AP415" i="38"/>
  <c r="AP416" i="38"/>
  <c r="AP417" i="38"/>
  <c r="AP418" i="38"/>
  <c r="AP419" i="38"/>
  <c r="AP420" i="38"/>
  <c r="AP421" i="38"/>
  <c r="AP422" i="38"/>
  <c r="AP423" i="38"/>
  <c r="AP424" i="38"/>
  <c r="AP425" i="38"/>
  <c r="AP426" i="38"/>
  <c r="AP427" i="38"/>
  <c r="AP428" i="38"/>
  <c r="AP429" i="38"/>
  <c r="AP430" i="38"/>
  <c r="AP431" i="38"/>
  <c r="AP432" i="38"/>
  <c r="AP433" i="38"/>
  <c r="AP434" i="38"/>
  <c r="AP435" i="38"/>
  <c r="AP436" i="38"/>
  <c r="AP437" i="38"/>
  <c r="AP438" i="38"/>
  <c r="AP439" i="38"/>
  <c r="AP440" i="38"/>
  <c r="AP441" i="38"/>
  <c r="AP442" i="38"/>
  <c r="AP443" i="38"/>
  <c r="AP444" i="38"/>
  <c r="AP445" i="38"/>
  <c r="AP446" i="38"/>
  <c r="AP447" i="38"/>
  <c r="AP448" i="38"/>
  <c r="AP449" i="38"/>
  <c r="AP450" i="38"/>
  <c r="AP451" i="38"/>
  <c r="AP452" i="38"/>
  <c r="AP453" i="38"/>
  <c r="AP454" i="38"/>
  <c r="AP455" i="38"/>
  <c r="AP456" i="38"/>
  <c r="AP457" i="38"/>
  <c r="AP458" i="38"/>
  <c r="AP459" i="38"/>
  <c r="AP460" i="38"/>
  <c r="AP461" i="38"/>
  <c r="AP462" i="38"/>
  <c r="AP463" i="38"/>
  <c r="AP464" i="38"/>
  <c r="AP465" i="38"/>
  <c r="AP466" i="38"/>
  <c r="AP467" i="38"/>
  <c r="AP468" i="38"/>
  <c r="AP469" i="38"/>
  <c r="AP470" i="38"/>
  <c r="AP471" i="38"/>
  <c r="AP472" i="38"/>
  <c r="AP473" i="38"/>
  <c r="AP474" i="38"/>
  <c r="AP475" i="38"/>
  <c r="AP476" i="38"/>
  <c r="AP477" i="38"/>
  <c r="AP478" i="38"/>
  <c r="AP479" i="38"/>
  <c r="AP480" i="38"/>
  <c r="AP481" i="38"/>
  <c r="AP482" i="38"/>
  <c r="AP483" i="38"/>
  <c r="AP484" i="38"/>
  <c r="AP485" i="38"/>
  <c r="AP486" i="38"/>
  <c r="AP487" i="38"/>
  <c r="AP488" i="38"/>
  <c r="AP489" i="38"/>
  <c r="AP490" i="38"/>
  <c r="AP491" i="38"/>
  <c r="AP492" i="38"/>
  <c r="AP493" i="38"/>
  <c r="AP494" i="38"/>
  <c r="AP495" i="38"/>
  <c r="AP496" i="38"/>
  <c r="AP497" i="38"/>
  <c r="AP498" i="38"/>
  <c r="AP499" i="38"/>
  <c r="AP500" i="38"/>
  <c r="AP501" i="38"/>
  <c r="AP502" i="38"/>
  <c r="AP503" i="38"/>
  <c r="AP504" i="38"/>
  <c r="AP505" i="38"/>
  <c r="AP506" i="38"/>
  <c r="AP507" i="38"/>
  <c r="AP508" i="38"/>
  <c r="AP509" i="38"/>
  <c r="AP510" i="38"/>
  <c r="AP511" i="38"/>
  <c r="AP512" i="38"/>
  <c r="AP513" i="38"/>
  <c r="AP514" i="38"/>
  <c r="AP515" i="38"/>
  <c r="AP516" i="38"/>
  <c r="AP517" i="38"/>
  <c r="AP518" i="38"/>
  <c r="AP519" i="38"/>
  <c r="AP520" i="38"/>
  <c r="AP521" i="38"/>
  <c r="AP522" i="38"/>
  <c r="AP523" i="38"/>
  <c r="AP524" i="38"/>
  <c r="AP525" i="38"/>
  <c r="AP526" i="38"/>
  <c r="AP527" i="38"/>
  <c r="AR13" i="38"/>
  <c r="AR14" i="38"/>
  <c r="AR15" i="38"/>
  <c r="AR16" i="38"/>
  <c r="AR17" i="38"/>
  <c r="AR18" i="38"/>
  <c r="AR19" i="38"/>
  <c r="AR20" i="38"/>
  <c r="AR21" i="38"/>
  <c r="AR22" i="38"/>
  <c r="AQ13" i="38"/>
  <c r="AQ14" i="38"/>
  <c r="AQ15" i="38"/>
  <c r="AQ16" i="38"/>
  <c r="AQ17" i="38"/>
  <c r="AQ18" i="38"/>
  <c r="AQ19" i="38"/>
  <c r="AQ20" i="38"/>
  <c r="AQ21" i="38"/>
  <c r="AQ22" i="38"/>
  <c r="AP13" i="38"/>
  <c r="AP14" i="38"/>
  <c r="AP15" i="38"/>
  <c r="AP16" i="38"/>
  <c r="AP17" i="38"/>
  <c r="AP18" i="38"/>
  <c r="AP19" i="38"/>
  <c r="AP20" i="38"/>
  <c r="AP21" i="38"/>
  <c r="AP22" i="38"/>
  <c r="AC28" i="38"/>
  <c r="AC29" i="38"/>
  <c r="AC30" i="38"/>
  <c r="AC31" i="38"/>
  <c r="AC32" i="38"/>
  <c r="AC33" i="38"/>
  <c r="AC34" i="38"/>
  <c r="AC35" i="38"/>
  <c r="AC36" i="38"/>
  <c r="AC37" i="38"/>
  <c r="AC38" i="38"/>
  <c r="AC39" i="38"/>
  <c r="AC40" i="38"/>
  <c r="AC41" i="38"/>
  <c r="AC42" i="38"/>
  <c r="AC43" i="38"/>
  <c r="AC44" i="38"/>
  <c r="AC45" i="38"/>
  <c r="AC46" i="38"/>
  <c r="AC47" i="38"/>
  <c r="AC48" i="38"/>
  <c r="AC49" i="38"/>
  <c r="AC50" i="38"/>
  <c r="AC51" i="38"/>
  <c r="AC52" i="38"/>
  <c r="AC53" i="38"/>
  <c r="AC54" i="38"/>
  <c r="AC55" i="38"/>
  <c r="AC56" i="38"/>
  <c r="AC57" i="38"/>
  <c r="AC58" i="38"/>
  <c r="AC59" i="38"/>
  <c r="AC60" i="38"/>
  <c r="AC61" i="38"/>
  <c r="AC62" i="38"/>
  <c r="AC63" i="38"/>
  <c r="AC64" i="38"/>
  <c r="AC65" i="38"/>
  <c r="AC66" i="38"/>
  <c r="AC67" i="38"/>
  <c r="AC68" i="38"/>
  <c r="AC69" i="38"/>
  <c r="AC70" i="38"/>
  <c r="AC71" i="38"/>
  <c r="AC72" i="38"/>
  <c r="AC73" i="38"/>
  <c r="AC74" i="38"/>
  <c r="AC75" i="38"/>
  <c r="AC76" i="38"/>
  <c r="AC77" i="38"/>
  <c r="AC78" i="38"/>
  <c r="AC79" i="38"/>
  <c r="AC80" i="38"/>
  <c r="AC81" i="38"/>
  <c r="AC82" i="38"/>
  <c r="AC83" i="38"/>
  <c r="AC84" i="38"/>
  <c r="AC85" i="38"/>
  <c r="AC86" i="38"/>
  <c r="AC87" i="38"/>
  <c r="AC88" i="38"/>
  <c r="AC89" i="38"/>
  <c r="AC90" i="38"/>
  <c r="AC91" i="38"/>
  <c r="AC92" i="38"/>
  <c r="AC93" i="38"/>
  <c r="AC94" i="38"/>
  <c r="AC95" i="38"/>
  <c r="AC96" i="38"/>
  <c r="AC97" i="38"/>
  <c r="AC98" i="38"/>
  <c r="AC99" i="38"/>
  <c r="AC100" i="38"/>
  <c r="AC101" i="38"/>
  <c r="AC102" i="38"/>
  <c r="AC103" i="38"/>
  <c r="AC104" i="38"/>
  <c r="AC105" i="38"/>
  <c r="AC106" i="38"/>
  <c r="AC107" i="38"/>
  <c r="AC108" i="38"/>
  <c r="AC109" i="38"/>
  <c r="AC110" i="38"/>
  <c r="AC111" i="38"/>
  <c r="AC112" i="38"/>
  <c r="AC113" i="38"/>
  <c r="AC114" i="38"/>
  <c r="AC115" i="38"/>
  <c r="AC116" i="38"/>
  <c r="AC117" i="38"/>
  <c r="AC118" i="38"/>
  <c r="AC119" i="38"/>
  <c r="AC120" i="38"/>
  <c r="AC121" i="38"/>
  <c r="AC122" i="38"/>
  <c r="AC123" i="38"/>
  <c r="AC124" i="38"/>
  <c r="AC125" i="38"/>
  <c r="AC126" i="38"/>
  <c r="AC127" i="38"/>
  <c r="AC128" i="38"/>
  <c r="AC129" i="38"/>
  <c r="AC130" i="38"/>
  <c r="AC131" i="38"/>
  <c r="AC132" i="38"/>
  <c r="AC133" i="38"/>
  <c r="AC134" i="38"/>
  <c r="AC135" i="38"/>
  <c r="AC136" i="38"/>
  <c r="AC137" i="38"/>
  <c r="AC138" i="38"/>
  <c r="AC139" i="38"/>
  <c r="AC140" i="38"/>
  <c r="AC141" i="38"/>
  <c r="AC142" i="38"/>
  <c r="AC143" i="38"/>
  <c r="AC144" i="38"/>
  <c r="AC145" i="38"/>
  <c r="AC146" i="38"/>
  <c r="AC147" i="38"/>
  <c r="AC148" i="38"/>
  <c r="AC149" i="38"/>
  <c r="AC150" i="38"/>
  <c r="AC151" i="38"/>
  <c r="AC152" i="38"/>
  <c r="AC153" i="38"/>
  <c r="AC154" i="38"/>
  <c r="AC155" i="38"/>
  <c r="AC156" i="38"/>
  <c r="AC157" i="38"/>
  <c r="AC158" i="38"/>
  <c r="AC159" i="38"/>
  <c r="AC160" i="38"/>
  <c r="AC161" i="38"/>
  <c r="AC162" i="38"/>
  <c r="AC163" i="38"/>
  <c r="AC164" i="38"/>
  <c r="AC165" i="38"/>
  <c r="AC166" i="38"/>
  <c r="AC167" i="38"/>
  <c r="AC168" i="38"/>
  <c r="AC169" i="38"/>
  <c r="AC170" i="38"/>
  <c r="AC171" i="38"/>
  <c r="AC172" i="38"/>
  <c r="AC173" i="38"/>
  <c r="AC174" i="38"/>
  <c r="AC175" i="38"/>
  <c r="AC176" i="38"/>
  <c r="AC177" i="38"/>
  <c r="AC178" i="38"/>
  <c r="AC179" i="38"/>
  <c r="AC180" i="38"/>
  <c r="AC181" i="38"/>
  <c r="AC182" i="38"/>
  <c r="AC183" i="38"/>
  <c r="AC184" i="38"/>
  <c r="AC185" i="38"/>
  <c r="AC186" i="38"/>
  <c r="AC187" i="38"/>
  <c r="AC188" i="38"/>
  <c r="AC189" i="38"/>
  <c r="AC190" i="38"/>
  <c r="AC191" i="38"/>
  <c r="AC192" i="38"/>
  <c r="AC193" i="38"/>
  <c r="AC194" i="38"/>
  <c r="AC195" i="38"/>
  <c r="AC196" i="38"/>
  <c r="AC197" i="38"/>
  <c r="AC198" i="38"/>
  <c r="AC199" i="38"/>
  <c r="AC200" i="38"/>
  <c r="AC201" i="38"/>
  <c r="AC202" i="38"/>
  <c r="AC203" i="38"/>
  <c r="AC204" i="38"/>
  <c r="AC205" i="38"/>
  <c r="AC206" i="38"/>
  <c r="AC207" i="38"/>
  <c r="AC208" i="38"/>
  <c r="AC209" i="38"/>
  <c r="AC210" i="38"/>
  <c r="AC211" i="38"/>
  <c r="AC212" i="38"/>
  <c r="AC213" i="38"/>
  <c r="AC214" i="38"/>
  <c r="AC215" i="38"/>
  <c r="AC216" i="38"/>
  <c r="AC217" i="38"/>
  <c r="AC218" i="38"/>
  <c r="AC219" i="38"/>
  <c r="AC220" i="38"/>
  <c r="AC221" i="38"/>
  <c r="AC222" i="38"/>
  <c r="AC223" i="38"/>
  <c r="AC224" i="38"/>
  <c r="AC225" i="38"/>
  <c r="AC226" i="38"/>
  <c r="AC227" i="38"/>
  <c r="AC228" i="38"/>
  <c r="AC229" i="38"/>
  <c r="AC230" i="38"/>
  <c r="AC231" i="38"/>
  <c r="AC232" i="38"/>
  <c r="AC233" i="38"/>
  <c r="AC234" i="38"/>
  <c r="AC235" i="38"/>
  <c r="AC236" i="38"/>
  <c r="AC237" i="38"/>
  <c r="AC238" i="38"/>
  <c r="AC239" i="38"/>
  <c r="AC240" i="38"/>
  <c r="AC241" i="38"/>
  <c r="AC242" i="38"/>
  <c r="AC243" i="38"/>
  <c r="AC244" i="38"/>
  <c r="AC245" i="38"/>
  <c r="AC246" i="38"/>
  <c r="AC247" i="38"/>
  <c r="AC248" i="38"/>
  <c r="AC249" i="38"/>
  <c r="AC250" i="38"/>
  <c r="AC251" i="38"/>
  <c r="AC252" i="38"/>
  <c r="AC253" i="38"/>
  <c r="AC254" i="38"/>
  <c r="AC255" i="38"/>
  <c r="AC256" i="38"/>
  <c r="AC257" i="38"/>
  <c r="AC258" i="38"/>
  <c r="AC259" i="38"/>
  <c r="AC260" i="38"/>
  <c r="AC261" i="38"/>
  <c r="AC262" i="38"/>
  <c r="AC263" i="38"/>
  <c r="AC264" i="38"/>
  <c r="AC265" i="38"/>
  <c r="AC266" i="38"/>
  <c r="AC267" i="38"/>
  <c r="AC268" i="38"/>
  <c r="AC269" i="38"/>
  <c r="AC270" i="38"/>
  <c r="AC271" i="38"/>
  <c r="AC272" i="38"/>
  <c r="AC273" i="38"/>
  <c r="AC274" i="38"/>
  <c r="AC275" i="38"/>
  <c r="AC276" i="38"/>
  <c r="AC277" i="38"/>
  <c r="AC278" i="38"/>
  <c r="AC279" i="38"/>
  <c r="AC280" i="38"/>
  <c r="AC281" i="38"/>
  <c r="AC282" i="38"/>
  <c r="AC283" i="38"/>
  <c r="AC284" i="38"/>
  <c r="AC285" i="38"/>
  <c r="AC286" i="38"/>
  <c r="AC287" i="38"/>
  <c r="AC288" i="38"/>
  <c r="AC289" i="38"/>
  <c r="AC290" i="38"/>
  <c r="AC291" i="38"/>
  <c r="AC292" i="38"/>
  <c r="AC293" i="38"/>
  <c r="AC294" i="38"/>
  <c r="AC295" i="38"/>
  <c r="AC296" i="38"/>
  <c r="AC297" i="38"/>
  <c r="AC298" i="38"/>
  <c r="AC299" i="38"/>
  <c r="AC300" i="38"/>
  <c r="AC301" i="38"/>
  <c r="AC302" i="38"/>
  <c r="AC303" i="38"/>
  <c r="AC304" i="38"/>
  <c r="AC305" i="38"/>
  <c r="AC306" i="38"/>
  <c r="AC307" i="38"/>
  <c r="AC308" i="38"/>
  <c r="AC309" i="38"/>
  <c r="AC310" i="38"/>
  <c r="AC311" i="38"/>
  <c r="AC312" i="38"/>
  <c r="AC313" i="38"/>
  <c r="AC314" i="38"/>
  <c r="AC315" i="38"/>
  <c r="AC316" i="38"/>
  <c r="AC317" i="38"/>
  <c r="AC318" i="38"/>
  <c r="AC319" i="38"/>
  <c r="AC320" i="38"/>
  <c r="AC321" i="38"/>
  <c r="AC322" i="38"/>
  <c r="AC323" i="38"/>
  <c r="AC324" i="38"/>
  <c r="AC325" i="38"/>
  <c r="AC326" i="38"/>
  <c r="AC327" i="38"/>
  <c r="AC328" i="38"/>
  <c r="AC329" i="38"/>
  <c r="AC330" i="38"/>
  <c r="AC331" i="38"/>
  <c r="AC332" i="38"/>
  <c r="AC333" i="38"/>
  <c r="AC334" i="38"/>
  <c r="AC335" i="38"/>
  <c r="AC336" i="38"/>
  <c r="AC337" i="38"/>
  <c r="AC338" i="38"/>
  <c r="AC339" i="38"/>
  <c r="AC340" i="38"/>
  <c r="AC341" i="38"/>
  <c r="AC342" i="38"/>
  <c r="AC343" i="38"/>
  <c r="AC344" i="38"/>
  <c r="AC345" i="38"/>
  <c r="AC346" i="38"/>
  <c r="AC347" i="38"/>
  <c r="AC348" i="38"/>
  <c r="AC349" i="38"/>
  <c r="AC350" i="38"/>
  <c r="AC351" i="38"/>
  <c r="AC352" i="38"/>
  <c r="AC353" i="38"/>
  <c r="AC354" i="38"/>
  <c r="AC355" i="38"/>
  <c r="AC356" i="38"/>
  <c r="AC357" i="38"/>
  <c r="AC358" i="38"/>
  <c r="AC359" i="38"/>
  <c r="AC360" i="38"/>
  <c r="AC361" i="38"/>
  <c r="AC362" i="38"/>
  <c r="AC363" i="38"/>
  <c r="AC364" i="38"/>
  <c r="AC365" i="38"/>
  <c r="AC366" i="38"/>
  <c r="AC367" i="38"/>
  <c r="AC368" i="38"/>
  <c r="AC369" i="38"/>
  <c r="AC370" i="38"/>
  <c r="AC371" i="38"/>
  <c r="AC372" i="38"/>
  <c r="AC373" i="38"/>
  <c r="AC374" i="38"/>
  <c r="AC375" i="38"/>
  <c r="AC376" i="38"/>
  <c r="AC377" i="38"/>
  <c r="AC378" i="38"/>
  <c r="AC379" i="38"/>
  <c r="AC380" i="38"/>
  <c r="AC381" i="38"/>
  <c r="AC382" i="38"/>
  <c r="AC383" i="38"/>
  <c r="AC384" i="38"/>
  <c r="AC385" i="38"/>
  <c r="AC386" i="38"/>
  <c r="AC387" i="38"/>
  <c r="AC388" i="38"/>
  <c r="AC389" i="38"/>
  <c r="AC390" i="38"/>
  <c r="AC391" i="38"/>
  <c r="AC392" i="38"/>
  <c r="AC393" i="38"/>
  <c r="AC394" i="38"/>
  <c r="AC395" i="38"/>
  <c r="AC396" i="38"/>
  <c r="AC397" i="38"/>
  <c r="AC398" i="38"/>
  <c r="AC399" i="38"/>
  <c r="AC400" i="38"/>
  <c r="AC401" i="38"/>
  <c r="AC402" i="38"/>
  <c r="AC403" i="38"/>
  <c r="AC404" i="38"/>
  <c r="AC405" i="38"/>
  <c r="AC406" i="38"/>
  <c r="AC407" i="38"/>
  <c r="AC408" i="38"/>
  <c r="AC409" i="38"/>
  <c r="AC410" i="38"/>
  <c r="AC411" i="38"/>
  <c r="AC412" i="38"/>
  <c r="AC413" i="38"/>
  <c r="AC414" i="38"/>
  <c r="AC415" i="38"/>
  <c r="AC416" i="38"/>
  <c r="AC417" i="38"/>
  <c r="AC418" i="38"/>
  <c r="AC419" i="38"/>
  <c r="AC420" i="38"/>
  <c r="AC421" i="38"/>
  <c r="AC422" i="38"/>
  <c r="AC423" i="38"/>
  <c r="AC424" i="38"/>
  <c r="AC425" i="38"/>
  <c r="AC426" i="38"/>
  <c r="AC427" i="38"/>
  <c r="AC428" i="38"/>
  <c r="AC429" i="38"/>
  <c r="AC430" i="38"/>
  <c r="AC431" i="38"/>
  <c r="AC432" i="38"/>
  <c r="AC433" i="38"/>
  <c r="AC434" i="38"/>
  <c r="AC435" i="38"/>
  <c r="AC436" i="38"/>
  <c r="AC437" i="38"/>
  <c r="AC438" i="38"/>
  <c r="AC439" i="38"/>
  <c r="AC440" i="38"/>
  <c r="AC441" i="38"/>
  <c r="AC442" i="38"/>
  <c r="AC443" i="38"/>
  <c r="AC444" i="38"/>
  <c r="AC445" i="38"/>
  <c r="AC446" i="38"/>
  <c r="AC447" i="38"/>
  <c r="AC448" i="38"/>
  <c r="AC449" i="38"/>
  <c r="AC450" i="38"/>
  <c r="AC451" i="38"/>
  <c r="AC452" i="38"/>
  <c r="AC453" i="38"/>
  <c r="AC454" i="38"/>
  <c r="AC455" i="38"/>
  <c r="AC456" i="38"/>
  <c r="AC457" i="38"/>
  <c r="AC458" i="38"/>
  <c r="AC459" i="38"/>
  <c r="AC460" i="38"/>
  <c r="AC461" i="38"/>
  <c r="AC462" i="38"/>
  <c r="AC463" i="38"/>
  <c r="AC464" i="38"/>
  <c r="AC465" i="38"/>
  <c r="AC466" i="38"/>
  <c r="AC467" i="38"/>
  <c r="AC468" i="38"/>
  <c r="AC469" i="38"/>
  <c r="AC470" i="38"/>
  <c r="AC471" i="38"/>
  <c r="AC472" i="38"/>
  <c r="AC473" i="38"/>
  <c r="AC474" i="38"/>
  <c r="AC475" i="38"/>
  <c r="AC476" i="38"/>
  <c r="AC477" i="38"/>
  <c r="AC478" i="38"/>
  <c r="AC479" i="38"/>
  <c r="AC480" i="38"/>
  <c r="AC481" i="38"/>
  <c r="AC482" i="38"/>
  <c r="AC483" i="38"/>
  <c r="AC484" i="38"/>
  <c r="AC485" i="38"/>
  <c r="AC486" i="38"/>
  <c r="AC487" i="38"/>
  <c r="AC488" i="38"/>
  <c r="AC489" i="38"/>
  <c r="AC490" i="38"/>
  <c r="AC491" i="38"/>
  <c r="AC492" i="38"/>
  <c r="AC493" i="38"/>
  <c r="AC494" i="38"/>
  <c r="AC495" i="38"/>
  <c r="AC496" i="38"/>
  <c r="AC497" i="38"/>
  <c r="AC498" i="38"/>
  <c r="AC499" i="38"/>
  <c r="AC500" i="38"/>
  <c r="AC501" i="38"/>
  <c r="AC502" i="38"/>
  <c r="AC503" i="38"/>
  <c r="AC504" i="38"/>
  <c r="AC505" i="38"/>
  <c r="AC506" i="38"/>
  <c r="AC507" i="38"/>
  <c r="AC508" i="38"/>
  <c r="AC509" i="38"/>
  <c r="AC510" i="38"/>
  <c r="AC511" i="38"/>
  <c r="AC512" i="38"/>
  <c r="AC513" i="38"/>
  <c r="AC514" i="38"/>
  <c r="AC515" i="38"/>
  <c r="AC516" i="38"/>
  <c r="AC517" i="38"/>
  <c r="AC518" i="38"/>
  <c r="AC519" i="38"/>
  <c r="AC520" i="38"/>
  <c r="AC521" i="38"/>
  <c r="AC522" i="38"/>
  <c r="AC523" i="38"/>
  <c r="AC524" i="38"/>
  <c r="AC525" i="38"/>
  <c r="AC526" i="38"/>
  <c r="AC527" i="38"/>
  <c r="AB28" i="38"/>
  <c r="AB29" i="38"/>
  <c r="AB30" i="38"/>
  <c r="AB31" i="38"/>
  <c r="AB32" i="38"/>
  <c r="AB33" i="38"/>
  <c r="AB34"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AB61" i="38"/>
  <c r="AB62" i="38"/>
  <c r="AB63" i="38"/>
  <c r="AB64" i="38"/>
  <c r="AB65" i="38"/>
  <c r="AB66" i="38"/>
  <c r="AB67" i="38"/>
  <c r="AB68" i="38"/>
  <c r="AB69" i="38"/>
  <c r="AB70" i="3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B146" i="38"/>
  <c r="AB147" i="38"/>
  <c r="AB148" i="38"/>
  <c r="AB149" i="38"/>
  <c r="AB150" i="38"/>
  <c r="AB151" i="38"/>
  <c r="AB152" i="38"/>
  <c r="AB153" i="38"/>
  <c r="AB154" i="38"/>
  <c r="AB155" i="38"/>
  <c r="AB156" i="38"/>
  <c r="AB157" i="38"/>
  <c r="AB158" i="38"/>
  <c r="AB159" i="38"/>
  <c r="AB160" i="38"/>
  <c r="AB161" i="38"/>
  <c r="AB162" i="38"/>
  <c r="AB163" i="38"/>
  <c r="AB164" i="38"/>
  <c r="AB165" i="38"/>
  <c r="AB166" i="38"/>
  <c r="AB167" i="38"/>
  <c r="AB168"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90" i="38"/>
  <c r="AB191" i="38"/>
  <c r="AB192" i="38"/>
  <c r="AB193" i="38"/>
  <c r="AB194" i="38"/>
  <c r="AB195" i="38"/>
  <c r="AB196" i="38"/>
  <c r="AB197" i="38"/>
  <c r="AB198" i="38"/>
  <c r="AB199" i="38"/>
  <c r="AB200" i="38"/>
  <c r="AB201" i="38"/>
  <c r="AB202" i="38"/>
  <c r="AB203" i="38"/>
  <c r="AB204" i="38"/>
  <c r="AB205" i="38"/>
  <c r="AB206" i="38"/>
  <c r="AB207" i="38"/>
  <c r="AB208" i="38"/>
  <c r="AB209" i="38"/>
  <c r="AB210" i="38"/>
  <c r="AB211" i="38"/>
  <c r="AB212" i="38"/>
  <c r="AB213" i="38"/>
  <c r="AB214" i="38"/>
  <c r="AB215" i="38"/>
  <c r="AB216" i="38"/>
  <c r="AB217" i="38"/>
  <c r="AB218" i="38"/>
  <c r="AB219" i="38"/>
  <c r="AB220" i="38"/>
  <c r="AB221" i="38"/>
  <c r="AB222" i="38"/>
  <c r="AB223" i="38"/>
  <c r="AB224" i="38"/>
  <c r="AB225" i="38"/>
  <c r="AB226" i="38"/>
  <c r="AB227" i="38"/>
  <c r="AB228" i="38"/>
  <c r="AB229" i="38"/>
  <c r="AB230" i="38"/>
  <c r="AB231" i="38"/>
  <c r="AB232" i="38"/>
  <c r="AB233" i="38"/>
  <c r="AB234" i="38"/>
  <c r="AB235" i="38"/>
  <c r="AB236" i="38"/>
  <c r="AB237" i="38"/>
  <c r="AB238" i="38"/>
  <c r="AB239" i="38"/>
  <c r="AB240" i="38"/>
  <c r="AB241" i="38"/>
  <c r="AB242" i="38"/>
  <c r="AB243" i="38"/>
  <c r="AB244" i="38"/>
  <c r="AB245" i="38"/>
  <c r="AB246" i="38"/>
  <c r="AB247" i="38"/>
  <c r="AB248" i="38"/>
  <c r="AB249" i="38"/>
  <c r="AB250" i="38"/>
  <c r="AB251" i="38"/>
  <c r="AB252" i="38"/>
  <c r="AB253" i="38"/>
  <c r="AB254" i="38"/>
  <c r="AB255" i="38"/>
  <c r="AB256" i="38"/>
  <c r="AB257" i="38"/>
  <c r="AB258" i="38"/>
  <c r="AB259" i="38"/>
  <c r="AB260" i="38"/>
  <c r="AB261" i="38"/>
  <c r="AB262" i="38"/>
  <c r="AB263" i="38"/>
  <c r="AB264" i="38"/>
  <c r="AB265" i="38"/>
  <c r="AB266" i="38"/>
  <c r="AB267" i="38"/>
  <c r="AB268" i="38"/>
  <c r="AB269" i="38"/>
  <c r="AB270" i="38"/>
  <c r="AB271" i="38"/>
  <c r="AB272" i="38"/>
  <c r="AB273" i="38"/>
  <c r="AB274" i="38"/>
  <c r="AB275" i="38"/>
  <c r="AB276" i="38"/>
  <c r="AB277" i="38"/>
  <c r="AB278" i="38"/>
  <c r="AB279" i="38"/>
  <c r="AB280" i="38"/>
  <c r="AB281" i="38"/>
  <c r="AB282" i="38"/>
  <c r="AB283" i="38"/>
  <c r="AB284" i="38"/>
  <c r="AB285" i="38"/>
  <c r="AB286" i="38"/>
  <c r="AB287" i="38"/>
  <c r="AB288" i="38"/>
  <c r="AB289" i="38"/>
  <c r="AB290" i="38"/>
  <c r="AB291" i="38"/>
  <c r="AB292" i="38"/>
  <c r="AB293" i="38"/>
  <c r="AB294" i="38"/>
  <c r="AB295" i="38"/>
  <c r="AB296" i="38"/>
  <c r="AB297" i="38"/>
  <c r="AB298" i="38"/>
  <c r="AB299" i="38"/>
  <c r="AB300" i="38"/>
  <c r="AB301" i="38"/>
  <c r="AB302" i="38"/>
  <c r="AB303" i="38"/>
  <c r="AB304" i="38"/>
  <c r="AB305" i="38"/>
  <c r="AB306" i="38"/>
  <c r="AB307" i="38"/>
  <c r="AB308" i="38"/>
  <c r="AB309" i="38"/>
  <c r="AB310" i="38"/>
  <c r="AB311" i="38"/>
  <c r="AB312" i="38"/>
  <c r="AB313" i="38"/>
  <c r="AB314" i="38"/>
  <c r="AB315" i="38"/>
  <c r="AB316" i="38"/>
  <c r="AB317" i="38"/>
  <c r="AB318" i="38"/>
  <c r="AB319" i="38"/>
  <c r="AB320" i="38"/>
  <c r="AB321" i="38"/>
  <c r="AB322" i="38"/>
  <c r="AB323" i="38"/>
  <c r="AB324" i="38"/>
  <c r="AB325" i="38"/>
  <c r="AB326" i="38"/>
  <c r="AB327" i="38"/>
  <c r="AB328" i="38"/>
  <c r="AB329" i="38"/>
  <c r="AB330" i="38"/>
  <c r="AB331" i="38"/>
  <c r="AB332" i="38"/>
  <c r="AB333" i="38"/>
  <c r="AB334" i="38"/>
  <c r="AB335" i="38"/>
  <c r="AB336" i="38"/>
  <c r="AB337" i="38"/>
  <c r="AB338" i="38"/>
  <c r="AB339" i="38"/>
  <c r="AB340" i="38"/>
  <c r="AB341" i="38"/>
  <c r="AB342" i="38"/>
  <c r="AB343" i="38"/>
  <c r="AB344" i="38"/>
  <c r="AB345" i="38"/>
  <c r="AB346" i="38"/>
  <c r="AB347" i="38"/>
  <c r="AB348" i="38"/>
  <c r="AB349" i="38"/>
  <c r="AB350" i="38"/>
  <c r="AB351" i="38"/>
  <c r="AB352" i="38"/>
  <c r="AB353" i="38"/>
  <c r="AB354" i="38"/>
  <c r="AB355" i="38"/>
  <c r="AB356" i="38"/>
  <c r="AB357" i="38"/>
  <c r="AB358" i="38"/>
  <c r="AB359" i="38"/>
  <c r="AB360" i="38"/>
  <c r="AB361" i="38"/>
  <c r="AB362" i="38"/>
  <c r="AB363" i="38"/>
  <c r="AB364" i="38"/>
  <c r="AB365" i="38"/>
  <c r="AB366" i="38"/>
  <c r="AB367" i="38"/>
  <c r="AB368" i="38"/>
  <c r="AB369" i="38"/>
  <c r="AB370" i="38"/>
  <c r="AB371" i="38"/>
  <c r="AB372" i="38"/>
  <c r="AB373" i="38"/>
  <c r="AB374" i="38"/>
  <c r="AB375" i="38"/>
  <c r="AB376" i="38"/>
  <c r="AB377" i="38"/>
  <c r="AB378" i="38"/>
  <c r="AB379" i="38"/>
  <c r="AB380" i="38"/>
  <c r="AB381" i="38"/>
  <c r="AB382" i="38"/>
  <c r="AB383" i="38"/>
  <c r="AB384" i="38"/>
  <c r="AB385" i="38"/>
  <c r="AB386" i="38"/>
  <c r="AB387" i="38"/>
  <c r="AB388" i="38"/>
  <c r="AB389" i="38"/>
  <c r="AB390" i="38"/>
  <c r="AB391" i="38"/>
  <c r="AB392" i="38"/>
  <c r="AB393" i="38"/>
  <c r="AB394" i="38"/>
  <c r="AB395" i="38"/>
  <c r="AB396" i="38"/>
  <c r="AB397" i="38"/>
  <c r="AB398" i="38"/>
  <c r="AB399" i="38"/>
  <c r="AB400" i="38"/>
  <c r="AB401" i="38"/>
  <c r="AB402" i="38"/>
  <c r="AB403" i="38"/>
  <c r="AB404" i="38"/>
  <c r="AB405" i="38"/>
  <c r="AB406" i="38"/>
  <c r="AB407" i="38"/>
  <c r="AB408" i="38"/>
  <c r="AB409" i="38"/>
  <c r="AB410" i="38"/>
  <c r="AB411" i="38"/>
  <c r="AB412" i="38"/>
  <c r="AB413" i="38"/>
  <c r="AB414" i="38"/>
  <c r="AB415" i="38"/>
  <c r="AB416" i="38"/>
  <c r="AB417" i="38"/>
  <c r="AB418" i="38"/>
  <c r="AB419" i="38"/>
  <c r="AB420" i="38"/>
  <c r="AB421" i="38"/>
  <c r="AB422" i="38"/>
  <c r="AB423" i="38"/>
  <c r="AB424" i="38"/>
  <c r="AB425" i="38"/>
  <c r="AB426" i="38"/>
  <c r="AB427" i="38"/>
  <c r="AB428" i="38"/>
  <c r="AB429" i="38"/>
  <c r="AB430" i="38"/>
  <c r="AB431" i="38"/>
  <c r="AB432" i="38"/>
  <c r="AB433" i="38"/>
  <c r="AB434" i="38"/>
  <c r="AB435" i="38"/>
  <c r="AB436" i="38"/>
  <c r="AB437" i="38"/>
  <c r="AB438" i="38"/>
  <c r="AB439" i="38"/>
  <c r="AB440" i="38"/>
  <c r="AB441" i="38"/>
  <c r="AB442" i="38"/>
  <c r="AB443" i="38"/>
  <c r="AB444" i="38"/>
  <c r="AB445" i="38"/>
  <c r="AB446" i="38"/>
  <c r="AB447" i="38"/>
  <c r="AB448" i="38"/>
  <c r="AB449" i="38"/>
  <c r="AB450" i="38"/>
  <c r="AB451" i="38"/>
  <c r="AB452" i="38"/>
  <c r="AB453" i="38"/>
  <c r="AB454" i="38"/>
  <c r="AB455" i="38"/>
  <c r="AB456" i="38"/>
  <c r="AB457" i="38"/>
  <c r="AB458" i="38"/>
  <c r="AB459" i="38"/>
  <c r="AB460" i="38"/>
  <c r="AB461" i="38"/>
  <c r="AB462" i="38"/>
  <c r="AB463" i="38"/>
  <c r="AB464" i="38"/>
  <c r="AB465" i="38"/>
  <c r="AB466" i="38"/>
  <c r="AB467" i="38"/>
  <c r="AB468" i="38"/>
  <c r="AB469" i="38"/>
  <c r="AB470" i="38"/>
  <c r="AB471" i="38"/>
  <c r="AB472" i="38"/>
  <c r="AB473" i="38"/>
  <c r="AB474" i="38"/>
  <c r="AB475" i="38"/>
  <c r="AB476" i="38"/>
  <c r="AB477" i="38"/>
  <c r="AB478" i="38"/>
  <c r="AB479" i="38"/>
  <c r="AB480" i="38"/>
  <c r="AB481" i="38"/>
  <c r="AB482" i="38"/>
  <c r="AB483" i="38"/>
  <c r="AB484" i="38"/>
  <c r="AB485" i="38"/>
  <c r="AB486" i="38"/>
  <c r="AB487" i="38"/>
  <c r="AB488" i="38"/>
  <c r="AB489" i="38"/>
  <c r="AB490" i="38"/>
  <c r="AB491" i="38"/>
  <c r="AB492" i="38"/>
  <c r="AB493" i="38"/>
  <c r="AB494" i="38"/>
  <c r="AB495" i="38"/>
  <c r="AB496" i="38"/>
  <c r="AB497" i="38"/>
  <c r="AB498" i="38"/>
  <c r="AB499" i="38"/>
  <c r="AB500" i="38"/>
  <c r="AB501" i="38"/>
  <c r="AB502" i="38"/>
  <c r="AB503" i="38"/>
  <c r="AB504" i="38"/>
  <c r="AB505" i="38"/>
  <c r="AB506" i="38"/>
  <c r="AB507" i="38"/>
  <c r="AB508" i="38"/>
  <c r="AB509" i="38"/>
  <c r="AB510" i="38"/>
  <c r="AB511" i="38"/>
  <c r="AB512" i="38"/>
  <c r="AB513" i="38"/>
  <c r="AB514" i="38"/>
  <c r="AB515" i="38"/>
  <c r="AB516" i="38"/>
  <c r="AB517" i="38"/>
  <c r="AB518" i="38"/>
  <c r="AB519" i="38"/>
  <c r="AB520" i="38"/>
  <c r="AB521" i="38"/>
  <c r="AB522" i="38"/>
  <c r="AB523" i="38"/>
  <c r="AB524" i="38"/>
  <c r="AB525" i="38"/>
  <c r="AB526" i="38"/>
  <c r="AB527" i="38"/>
  <c r="Z28" i="38"/>
  <c r="Z29" i="38"/>
  <c r="Z30" i="38"/>
  <c r="Z31" i="38"/>
  <c r="Z32" i="38"/>
  <c r="Z33" i="38"/>
  <c r="Z34" i="38"/>
  <c r="Z35" i="38"/>
  <c r="Z36" i="38"/>
  <c r="Z37" i="38"/>
  <c r="Z38" i="38"/>
  <c r="Z39" i="38"/>
  <c r="Z40" i="38"/>
  <c r="Z41" i="38"/>
  <c r="Z42" i="38"/>
  <c r="Z43" i="38"/>
  <c r="Z44" i="38"/>
  <c r="Z45" i="38"/>
  <c r="Z46" i="38"/>
  <c r="Z47" i="38"/>
  <c r="Z48" i="38"/>
  <c r="Z49" i="38"/>
  <c r="Z50" i="38"/>
  <c r="Z51" i="38"/>
  <c r="Z52" i="38"/>
  <c r="Z53" i="38"/>
  <c r="Z54" i="38"/>
  <c r="Z55" i="38"/>
  <c r="Z56" i="38"/>
  <c r="Z57" i="38"/>
  <c r="Z58" i="38"/>
  <c r="Z59" i="38"/>
  <c r="Z60" i="38"/>
  <c r="Z61" i="38"/>
  <c r="Z62" i="38"/>
  <c r="Z63" i="38"/>
  <c r="Z64" i="38"/>
  <c r="Z65" i="38"/>
  <c r="Z66" i="38"/>
  <c r="Z67" i="38"/>
  <c r="Z68" i="38"/>
  <c r="Z69" i="38"/>
  <c r="Z70" i="38"/>
  <c r="Z71" i="38"/>
  <c r="Z72" i="38"/>
  <c r="Z73" i="38"/>
  <c r="Z74" i="38"/>
  <c r="Z75" i="38"/>
  <c r="Z76" i="38"/>
  <c r="Z77" i="38"/>
  <c r="Z78" i="38"/>
  <c r="Z79" i="38"/>
  <c r="Z80" i="38"/>
  <c r="Z81" i="38"/>
  <c r="Z82" i="38"/>
  <c r="Z83" i="38"/>
  <c r="Z84" i="38"/>
  <c r="Z85" i="38"/>
  <c r="Z86" i="38"/>
  <c r="Z87" i="38"/>
  <c r="Z88" i="38"/>
  <c r="Z89" i="38"/>
  <c r="Z90" i="38"/>
  <c r="Z91"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Z146" i="38"/>
  <c r="Z147" i="38"/>
  <c r="Z148" i="38"/>
  <c r="Z149" i="38"/>
  <c r="Z150" i="38"/>
  <c r="Z151" i="38"/>
  <c r="Z152" i="38"/>
  <c r="Z153" i="38"/>
  <c r="Z154" i="38"/>
  <c r="Z155" i="38"/>
  <c r="Z156" i="38"/>
  <c r="Z157" i="38"/>
  <c r="Z158" i="38"/>
  <c r="Z159" i="38"/>
  <c r="Z160" i="38"/>
  <c r="Z161" i="38"/>
  <c r="Z162" i="38"/>
  <c r="Z163" i="38"/>
  <c r="Z164" i="38"/>
  <c r="Z165" i="38"/>
  <c r="Z166" i="38"/>
  <c r="Z167" i="38"/>
  <c r="Z168" i="38"/>
  <c r="Z169" i="38"/>
  <c r="Z170" i="38"/>
  <c r="Z171" i="38"/>
  <c r="Z172" i="38"/>
  <c r="Z173" i="38"/>
  <c r="Z174" i="38"/>
  <c r="Z175" i="38"/>
  <c r="Z176" i="38"/>
  <c r="Z177" i="38"/>
  <c r="Z178" i="38"/>
  <c r="Z179" i="38"/>
  <c r="Z180" i="38"/>
  <c r="Z181" i="38"/>
  <c r="Z182" i="38"/>
  <c r="Z183" i="38"/>
  <c r="Z184" i="38"/>
  <c r="Z185" i="38"/>
  <c r="Z186" i="38"/>
  <c r="Z187" i="38"/>
  <c r="Z188" i="38"/>
  <c r="Z189" i="38"/>
  <c r="Z190" i="38"/>
  <c r="Z191" i="38"/>
  <c r="Z192" i="38"/>
  <c r="Z193" i="38"/>
  <c r="Z194" i="38"/>
  <c r="Z195" i="38"/>
  <c r="Z196" i="38"/>
  <c r="Z197" i="38"/>
  <c r="Z198" i="38"/>
  <c r="Z199" i="38"/>
  <c r="Z200" i="38"/>
  <c r="Z201" i="38"/>
  <c r="Z202" i="38"/>
  <c r="Z203" i="38"/>
  <c r="Z204" i="38"/>
  <c r="Z205" i="38"/>
  <c r="Z206" i="38"/>
  <c r="Z207" i="38"/>
  <c r="Z208" i="38"/>
  <c r="Z209" i="38"/>
  <c r="Z210" i="38"/>
  <c r="Z211" i="38"/>
  <c r="Z212" i="38"/>
  <c r="Z213" i="38"/>
  <c r="Z214" i="38"/>
  <c r="Z215" i="38"/>
  <c r="Z216" i="38"/>
  <c r="Z217" i="38"/>
  <c r="Z218" i="38"/>
  <c r="Z219" i="38"/>
  <c r="Z220" i="38"/>
  <c r="Z221" i="38"/>
  <c r="Z222" i="38"/>
  <c r="Z223" i="38"/>
  <c r="Z224" i="38"/>
  <c r="Z225" i="38"/>
  <c r="Z226" i="38"/>
  <c r="Z227" i="38"/>
  <c r="Z228" i="38"/>
  <c r="Z229" i="38"/>
  <c r="Z230" i="38"/>
  <c r="Z231" i="38"/>
  <c r="Z232" i="38"/>
  <c r="Z233" i="38"/>
  <c r="Z234" i="38"/>
  <c r="Z235" i="38"/>
  <c r="Z236" i="38"/>
  <c r="Z237" i="38"/>
  <c r="Z238" i="38"/>
  <c r="Z239" i="38"/>
  <c r="Z240" i="38"/>
  <c r="Z241" i="38"/>
  <c r="Z242" i="38"/>
  <c r="Z243" i="38"/>
  <c r="Z244" i="38"/>
  <c r="Z245" i="38"/>
  <c r="Z246" i="38"/>
  <c r="Z247" i="38"/>
  <c r="Z248" i="38"/>
  <c r="Z249" i="38"/>
  <c r="Z250" i="38"/>
  <c r="Z251" i="38"/>
  <c r="Z252" i="38"/>
  <c r="Z253" i="38"/>
  <c r="Z254" i="38"/>
  <c r="Z255" i="38"/>
  <c r="Z256" i="38"/>
  <c r="Z257" i="38"/>
  <c r="Z258" i="38"/>
  <c r="Z259" i="38"/>
  <c r="Z260" i="38"/>
  <c r="Z261" i="38"/>
  <c r="Z262" i="38"/>
  <c r="Z263" i="38"/>
  <c r="Z264" i="38"/>
  <c r="Z265" i="38"/>
  <c r="Z266" i="38"/>
  <c r="Z267" i="38"/>
  <c r="Z268" i="38"/>
  <c r="Z269" i="38"/>
  <c r="Z270" i="38"/>
  <c r="Z271" i="38"/>
  <c r="Z272" i="38"/>
  <c r="Z273" i="38"/>
  <c r="Z274" i="38"/>
  <c r="Z275" i="38"/>
  <c r="Z276" i="38"/>
  <c r="Z277" i="38"/>
  <c r="Z278" i="38"/>
  <c r="Z279" i="38"/>
  <c r="Z280" i="38"/>
  <c r="Z281" i="38"/>
  <c r="Z282" i="38"/>
  <c r="Z283" i="38"/>
  <c r="Z284" i="38"/>
  <c r="Z285" i="38"/>
  <c r="Z286" i="38"/>
  <c r="Z287" i="38"/>
  <c r="Z288" i="38"/>
  <c r="Z289" i="38"/>
  <c r="Z290" i="38"/>
  <c r="Z291" i="38"/>
  <c r="Z292" i="38"/>
  <c r="Z293" i="38"/>
  <c r="Z294" i="38"/>
  <c r="Z295" i="38"/>
  <c r="Z296" i="38"/>
  <c r="Z297" i="38"/>
  <c r="Z298" i="38"/>
  <c r="Z299" i="38"/>
  <c r="Z300" i="38"/>
  <c r="Z301" i="38"/>
  <c r="Z302" i="38"/>
  <c r="Z303" i="38"/>
  <c r="Z304" i="38"/>
  <c r="Z305" i="38"/>
  <c r="Z306" i="38"/>
  <c r="Z307" i="38"/>
  <c r="Z308" i="38"/>
  <c r="Z309" i="38"/>
  <c r="Z310" i="38"/>
  <c r="Z311" i="38"/>
  <c r="Z312" i="38"/>
  <c r="Z313" i="38"/>
  <c r="Z314" i="38"/>
  <c r="Z315" i="38"/>
  <c r="Z316" i="38"/>
  <c r="Z317" i="38"/>
  <c r="Z318" i="38"/>
  <c r="Z319" i="38"/>
  <c r="Z320" i="38"/>
  <c r="Z321" i="38"/>
  <c r="Z322" i="38"/>
  <c r="Z323" i="38"/>
  <c r="Z324" i="38"/>
  <c r="Z325" i="38"/>
  <c r="Z326" i="38"/>
  <c r="Z327" i="38"/>
  <c r="Z328" i="38"/>
  <c r="Z329" i="38"/>
  <c r="Z330" i="38"/>
  <c r="Z331" i="38"/>
  <c r="Z332" i="38"/>
  <c r="Z333" i="38"/>
  <c r="Z334" i="38"/>
  <c r="Z335" i="38"/>
  <c r="Z336" i="38"/>
  <c r="Z337" i="38"/>
  <c r="Z338" i="38"/>
  <c r="Z339" i="38"/>
  <c r="Z340" i="38"/>
  <c r="Z341" i="38"/>
  <c r="Z342" i="38"/>
  <c r="Z343" i="38"/>
  <c r="Z344" i="38"/>
  <c r="Z345" i="38"/>
  <c r="Z346" i="38"/>
  <c r="Z347" i="38"/>
  <c r="Z348" i="38"/>
  <c r="Z349" i="38"/>
  <c r="Z350" i="38"/>
  <c r="Z351" i="38"/>
  <c r="Z352" i="38"/>
  <c r="Z353" i="38"/>
  <c r="Z354" i="38"/>
  <c r="Z355" i="38"/>
  <c r="Z356" i="38"/>
  <c r="Z357" i="38"/>
  <c r="Z358" i="38"/>
  <c r="Z359" i="38"/>
  <c r="Z360" i="38"/>
  <c r="Z361" i="38"/>
  <c r="Z362" i="38"/>
  <c r="Z363" i="38"/>
  <c r="Z364" i="38"/>
  <c r="Z365" i="38"/>
  <c r="Z366" i="38"/>
  <c r="Z367" i="38"/>
  <c r="Z368" i="38"/>
  <c r="Z369" i="38"/>
  <c r="Z370" i="38"/>
  <c r="Z371" i="38"/>
  <c r="Z372" i="38"/>
  <c r="Z373" i="38"/>
  <c r="Z374" i="38"/>
  <c r="Z375" i="38"/>
  <c r="Z376" i="38"/>
  <c r="Z377" i="38"/>
  <c r="Z378" i="38"/>
  <c r="Z379" i="38"/>
  <c r="Z380" i="38"/>
  <c r="Z381" i="38"/>
  <c r="Z382" i="38"/>
  <c r="Z383" i="38"/>
  <c r="Z384" i="38"/>
  <c r="Z385" i="38"/>
  <c r="Z386" i="38"/>
  <c r="Z387" i="38"/>
  <c r="Z388" i="38"/>
  <c r="Z389" i="38"/>
  <c r="Z390" i="38"/>
  <c r="Z391" i="38"/>
  <c r="Z392" i="38"/>
  <c r="Z393" i="38"/>
  <c r="Z394" i="38"/>
  <c r="Z395" i="38"/>
  <c r="Z396" i="38"/>
  <c r="Z397" i="38"/>
  <c r="Z398" i="38"/>
  <c r="Z399" i="38"/>
  <c r="Z400" i="38"/>
  <c r="Z401" i="38"/>
  <c r="Z402" i="38"/>
  <c r="Z403" i="38"/>
  <c r="Z404" i="38"/>
  <c r="Z405" i="38"/>
  <c r="Z406" i="38"/>
  <c r="Z407" i="38"/>
  <c r="Z408" i="38"/>
  <c r="Z409" i="38"/>
  <c r="Z410" i="38"/>
  <c r="Z411" i="38"/>
  <c r="Z412" i="38"/>
  <c r="Z413" i="38"/>
  <c r="Z414" i="38"/>
  <c r="Z415" i="38"/>
  <c r="Z416" i="38"/>
  <c r="Z417" i="38"/>
  <c r="Z418" i="38"/>
  <c r="Z419" i="38"/>
  <c r="Z420" i="38"/>
  <c r="Z421" i="38"/>
  <c r="Z422" i="38"/>
  <c r="Z423" i="38"/>
  <c r="Z424" i="38"/>
  <c r="Z425" i="38"/>
  <c r="Z426" i="38"/>
  <c r="Z427" i="38"/>
  <c r="Z428" i="38"/>
  <c r="Z429" i="38"/>
  <c r="Z430" i="38"/>
  <c r="Z431" i="38"/>
  <c r="Z432" i="38"/>
  <c r="Z433" i="38"/>
  <c r="Z434" i="38"/>
  <c r="Z435" i="38"/>
  <c r="Z436" i="38"/>
  <c r="Z437" i="38"/>
  <c r="Z438" i="38"/>
  <c r="Z439" i="38"/>
  <c r="Z440" i="38"/>
  <c r="Z441" i="38"/>
  <c r="Z442" i="38"/>
  <c r="Z443" i="38"/>
  <c r="Z444" i="38"/>
  <c r="Z445" i="38"/>
  <c r="Z446" i="38"/>
  <c r="Z447" i="38"/>
  <c r="Z448" i="38"/>
  <c r="Z449" i="38"/>
  <c r="Z450" i="38"/>
  <c r="Z451" i="38"/>
  <c r="Z452" i="38"/>
  <c r="Z453" i="38"/>
  <c r="Z454" i="38"/>
  <c r="Z455" i="38"/>
  <c r="Z456" i="38"/>
  <c r="Z457" i="38"/>
  <c r="Z458" i="38"/>
  <c r="Z459" i="38"/>
  <c r="Z460" i="38"/>
  <c r="Z461" i="38"/>
  <c r="Z462" i="38"/>
  <c r="Z463" i="38"/>
  <c r="Z464" i="38"/>
  <c r="Z465" i="38"/>
  <c r="Z466" i="38"/>
  <c r="Z467" i="38"/>
  <c r="Z468" i="38"/>
  <c r="Z469" i="38"/>
  <c r="Z470" i="38"/>
  <c r="Z471" i="38"/>
  <c r="Z472" i="38"/>
  <c r="Z473" i="38"/>
  <c r="Z474" i="38"/>
  <c r="Z475" i="38"/>
  <c r="Z476" i="38"/>
  <c r="Z477" i="38"/>
  <c r="Z478" i="38"/>
  <c r="Z479" i="38"/>
  <c r="Z480" i="38"/>
  <c r="Z481" i="38"/>
  <c r="Z482" i="38"/>
  <c r="Z483" i="38"/>
  <c r="Z484" i="38"/>
  <c r="Z485" i="38"/>
  <c r="Z486" i="38"/>
  <c r="Z487" i="38"/>
  <c r="Z488" i="38"/>
  <c r="Z489" i="38"/>
  <c r="Z490" i="38"/>
  <c r="Z491" i="38"/>
  <c r="Z492" i="38"/>
  <c r="Z493" i="38"/>
  <c r="Z494" i="38"/>
  <c r="Z495" i="38"/>
  <c r="Z496" i="38"/>
  <c r="Z497" i="38"/>
  <c r="Z498" i="38"/>
  <c r="Z499" i="38"/>
  <c r="Z500" i="38"/>
  <c r="Z501" i="38"/>
  <c r="Z502" i="38"/>
  <c r="Z503" i="38"/>
  <c r="Z504" i="38"/>
  <c r="Z505" i="38"/>
  <c r="Z506" i="38"/>
  <c r="Z507" i="38"/>
  <c r="Z508" i="38"/>
  <c r="Z509" i="38"/>
  <c r="Z510" i="38"/>
  <c r="Z511" i="38"/>
  <c r="Z512" i="38"/>
  <c r="Z513" i="38"/>
  <c r="Z514" i="38"/>
  <c r="Z515" i="38"/>
  <c r="Z516" i="38"/>
  <c r="Z517" i="38"/>
  <c r="Z518" i="38"/>
  <c r="Z519" i="38"/>
  <c r="Z520" i="38"/>
  <c r="Z521" i="38"/>
  <c r="Z522" i="38"/>
  <c r="Z523" i="38"/>
  <c r="Z524" i="38"/>
  <c r="Z525" i="38"/>
  <c r="Z526" i="38"/>
  <c r="Z527" i="38"/>
  <c r="AS11" i="48"/>
  <c r="Z13" i="38"/>
  <c r="Z14" i="38"/>
  <c r="AA14" i="38" s="1" a="1"/>
  <c r="AA14" i="38" s="1"/>
  <c r="Z15" i="38"/>
  <c r="AA15" i="38" s="1" a="1"/>
  <c r="AA15" i="38" s="1"/>
  <c r="Z16" i="38"/>
  <c r="Z17" i="38"/>
  <c r="Z18" i="38"/>
  <c r="Z19" i="38"/>
  <c r="Z20" i="38"/>
  <c r="Z21" i="38"/>
  <c r="Z22" i="38"/>
  <c r="AB13" i="38"/>
  <c r="AB14" i="38"/>
  <c r="AB15" i="38"/>
  <c r="AB16" i="38"/>
  <c r="AB17" i="38"/>
  <c r="AB18" i="38"/>
  <c r="AB19" i="38"/>
  <c r="AB20" i="38"/>
  <c r="AB21" i="38"/>
  <c r="AB22" i="38"/>
  <c r="AC13" i="38"/>
  <c r="AC14" i="38"/>
  <c r="AC15" i="38"/>
  <c r="AC16" i="38"/>
  <c r="AC17" i="38"/>
  <c r="AC18" i="38"/>
  <c r="AC19" i="38"/>
  <c r="AC20" i="38"/>
  <c r="AC21" i="38"/>
  <c r="AC22" i="38"/>
  <c r="Q248" i="45"/>
  <c r="Q247" i="45"/>
  <c r="Q246" i="45"/>
  <c r="Q245" i="45"/>
  <c r="Q244" i="45"/>
  <c r="Q243" i="45"/>
  <c r="Q242" i="45"/>
  <c r="Q241" i="45"/>
  <c r="Q240" i="45"/>
  <c r="Q239" i="45"/>
  <c r="Q238" i="45"/>
  <c r="Q237" i="45"/>
  <c r="Q236" i="45"/>
  <c r="Q235" i="45"/>
  <c r="Q232" i="45"/>
  <c r="Q231" i="45"/>
  <c r="Q230" i="45"/>
  <c r="Q229" i="45"/>
  <c r="Q228" i="45"/>
  <c r="Q226" i="45"/>
  <c r="Q225" i="45"/>
  <c r="Q224" i="45"/>
  <c r="Q223" i="45"/>
  <c r="Q222" i="45"/>
  <c r="Q221" i="45"/>
  <c r="Q220" i="45"/>
  <c r="Q219" i="45"/>
  <c r="Q218" i="45"/>
  <c r="Q217" i="45"/>
  <c r="Q216" i="45"/>
  <c r="Q215" i="45"/>
  <c r="Q214" i="45"/>
  <c r="Q213" i="45"/>
  <c r="Q212" i="45"/>
  <c r="Q209" i="45"/>
  <c r="Q208" i="45"/>
  <c r="Q207" i="45"/>
  <c r="Q206" i="45"/>
  <c r="Q205" i="45"/>
  <c r="Q204" i="45"/>
  <c r="Q202" i="45"/>
  <c r="Q201" i="45"/>
  <c r="Q200" i="45"/>
  <c r="Q199" i="45"/>
  <c r="Q198" i="45"/>
  <c r="Q197" i="45"/>
  <c r="Q196" i="45"/>
  <c r="Q195" i="45"/>
  <c r="Q194" i="45"/>
  <c r="Q192" i="45"/>
  <c r="Q191" i="45"/>
  <c r="Q190" i="45"/>
  <c r="Q189" i="45"/>
  <c r="Q188" i="45"/>
  <c r="Q185" i="45"/>
  <c r="Q184" i="45"/>
  <c r="Q183" i="45"/>
  <c r="Q182" i="45"/>
  <c r="Q181" i="45"/>
  <c r="Q180" i="45"/>
  <c r="Q179" i="45"/>
  <c r="Q178" i="45"/>
  <c r="Q177" i="45"/>
  <c r="Q176" i="45"/>
  <c r="Q175" i="45"/>
  <c r="Q174" i="45"/>
  <c r="Q173" i="45"/>
  <c r="Q172" i="45"/>
  <c r="Q171" i="45"/>
  <c r="Q168" i="45"/>
  <c r="Q167" i="45"/>
  <c r="Q166" i="45"/>
  <c r="Q165" i="45"/>
  <c r="Q164" i="45"/>
  <c r="Q162" i="45"/>
  <c r="Q161" i="45"/>
  <c r="Q160" i="45"/>
  <c r="Q159" i="45"/>
  <c r="Q158" i="45"/>
  <c r="Q157" i="45"/>
  <c r="Q156" i="45"/>
  <c r="Q155" i="45"/>
  <c r="Q154" i="45"/>
  <c r="Q153" i="45"/>
  <c r="Q152" i="45"/>
  <c r="Q151" i="45"/>
  <c r="Q150" i="45"/>
  <c r="D129" i="45" a="1"/>
  <c r="D129" i="45" s="1"/>
  <c r="V14" i="45"/>
  <c r="V15" i="45"/>
  <c r="V16" i="45"/>
  <c r="V17" i="45"/>
  <c r="V18" i="45"/>
  <c r="V19" i="45"/>
  <c r="V20" i="45"/>
  <c r="V21" i="45"/>
  <c r="V22" i="45"/>
  <c r="V23" i="45"/>
  <c r="V24" i="45"/>
  <c r="V25" i="45"/>
  <c r="V26" i="45"/>
  <c r="V27" i="45"/>
  <c r="V28" i="45"/>
  <c r="V29" i="45"/>
  <c r="V30" i="45"/>
  <c r="V31" i="45"/>
  <c r="V32" i="45"/>
  <c r="V33" i="45"/>
  <c r="V34" i="45"/>
  <c r="V35" i="45"/>
  <c r="V36" i="45"/>
  <c r="V37" i="45"/>
  <c r="V38" i="45"/>
  <c r="V39" i="45"/>
  <c r="V40" i="45"/>
  <c r="V41" i="45"/>
  <c r="V42" i="45"/>
  <c r="V43" i="45"/>
  <c r="V44" i="45"/>
  <c r="V45" i="45"/>
  <c r="V46" i="45"/>
  <c r="V47" i="45"/>
  <c r="V48" i="45"/>
  <c r="V49" i="45"/>
  <c r="V50" i="45"/>
  <c r="V51" i="45"/>
  <c r="V52" i="45"/>
  <c r="V53" i="45"/>
  <c r="V54" i="45"/>
  <c r="V55" i="45"/>
  <c r="V56" i="45"/>
  <c r="V57" i="45"/>
  <c r="V58" i="45"/>
  <c r="V59" i="45"/>
  <c r="V60" i="45"/>
  <c r="V61" i="45"/>
  <c r="V62" i="45"/>
  <c r="V63" i="45"/>
  <c r="V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8" i="45"/>
  <c r="V99" i="45"/>
  <c r="V100" i="45"/>
  <c r="V101" i="45"/>
  <c r="V102" i="45"/>
  <c r="V103" i="45"/>
  <c r="V104" i="45"/>
  <c r="V105" i="45"/>
  <c r="V106" i="45"/>
  <c r="V107" i="45"/>
  <c r="V108" i="45"/>
  <c r="V109" i="45"/>
  <c r="V110" i="45"/>
  <c r="V111" i="45"/>
  <c r="V112" i="45"/>
  <c r="V113" i="45"/>
  <c r="V114" i="45"/>
  <c r="V115" i="45"/>
  <c r="V116" i="45"/>
  <c r="V117" i="45"/>
  <c r="V118" i="45"/>
  <c r="V119" i="45"/>
  <c r="V120" i="45"/>
  <c r="V121" i="45"/>
  <c r="V122" i="45"/>
  <c r="V123" i="45"/>
  <c r="U14" i="45"/>
  <c r="U15" i="45"/>
  <c r="U16" i="45"/>
  <c r="U17" i="45"/>
  <c r="U18" i="45"/>
  <c r="U19" i="45"/>
  <c r="U20" i="45"/>
  <c r="U21" i="45"/>
  <c r="U22" i="45"/>
  <c r="U23" i="45"/>
  <c r="U24" i="45"/>
  <c r="U25" i="45"/>
  <c r="U26" i="45"/>
  <c r="U27" i="45"/>
  <c r="U28" i="45"/>
  <c r="U29" i="45"/>
  <c r="U30" i="45"/>
  <c r="U31" i="45"/>
  <c r="U32" i="45"/>
  <c r="U33" i="45"/>
  <c r="U34" i="45"/>
  <c r="U35" i="45"/>
  <c r="U36" i="45"/>
  <c r="U37" i="45"/>
  <c r="U38" i="45"/>
  <c r="U39" i="45"/>
  <c r="U40" i="45"/>
  <c r="U41" i="45"/>
  <c r="U42" i="45"/>
  <c r="U43" i="45"/>
  <c r="U44" i="45"/>
  <c r="U45" i="45"/>
  <c r="U46" i="45"/>
  <c r="U47" i="45"/>
  <c r="U48" i="45"/>
  <c r="U49" i="45"/>
  <c r="U50" i="45"/>
  <c r="U51" i="45"/>
  <c r="U52" i="45"/>
  <c r="U53" i="45"/>
  <c r="U54" i="45"/>
  <c r="U55" i="45"/>
  <c r="U56" i="45"/>
  <c r="U57" i="45"/>
  <c r="U58" i="45"/>
  <c r="U59" i="45"/>
  <c r="U60" i="45"/>
  <c r="U61" i="45"/>
  <c r="U62" i="45"/>
  <c r="U63" i="45"/>
  <c r="U64" i="45"/>
  <c r="U65" i="45"/>
  <c r="U66" i="45"/>
  <c r="U67" i="45"/>
  <c r="U68" i="45"/>
  <c r="U69" i="45"/>
  <c r="U70" i="45"/>
  <c r="U71" i="45"/>
  <c r="U72" i="45"/>
  <c r="U73" i="45"/>
  <c r="U74" i="45"/>
  <c r="U75" i="45"/>
  <c r="U76" i="45"/>
  <c r="U77" i="45"/>
  <c r="U78" i="45"/>
  <c r="U79" i="45"/>
  <c r="U80" i="45"/>
  <c r="U81" i="45"/>
  <c r="U82" i="45"/>
  <c r="U83" i="45"/>
  <c r="U84" i="45"/>
  <c r="U85" i="45"/>
  <c r="U86" i="45"/>
  <c r="U87" i="45"/>
  <c r="U88" i="45"/>
  <c r="U89" i="45"/>
  <c r="U90" i="45"/>
  <c r="U91" i="45"/>
  <c r="U92" i="45"/>
  <c r="U93" i="45"/>
  <c r="U94" i="45"/>
  <c r="U95" i="45"/>
  <c r="U96" i="45"/>
  <c r="U97" i="45"/>
  <c r="U98" i="45"/>
  <c r="U99" i="45"/>
  <c r="U100" i="45"/>
  <c r="U101" i="45"/>
  <c r="U102" i="45"/>
  <c r="U103" i="45"/>
  <c r="U104" i="45"/>
  <c r="U105" i="45"/>
  <c r="U106" i="45"/>
  <c r="U107" i="45"/>
  <c r="U108" i="45"/>
  <c r="U109" i="45"/>
  <c r="U110" i="45"/>
  <c r="U111" i="45"/>
  <c r="U112" i="45"/>
  <c r="U113" i="45"/>
  <c r="U114" i="45"/>
  <c r="U115" i="45"/>
  <c r="U116" i="45"/>
  <c r="U117" i="45"/>
  <c r="U118" i="45"/>
  <c r="U119" i="45"/>
  <c r="U120" i="45"/>
  <c r="U121" i="45"/>
  <c r="U122" i="45"/>
  <c r="U123" i="45"/>
  <c r="Q18" i="43"/>
  <c r="Q19" i="43"/>
  <c r="Q20" i="43"/>
  <c r="Q21" i="43"/>
  <c r="Q22" i="43"/>
  <c r="Q23" i="43"/>
  <c r="Q24" i="43"/>
  <c r="Q25" i="43"/>
  <c r="Q26" i="43"/>
  <c r="Q27" i="43"/>
  <c r="Q28" i="43"/>
  <c r="Q29" i="43"/>
  <c r="Q30" i="43"/>
  <c r="Q31" i="43"/>
  <c r="Q32" i="43"/>
  <c r="Q33" i="43"/>
  <c r="Q34" i="43"/>
  <c r="Q35" i="43"/>
  <c r="Q36" i="43"/>
  <c r="Q17" i="43"/>
  <c r="Q41" i="44"/>
  <c r="Q42" i="44"/>
  <c r="Q43" i="44"/>
  <c r="Q44" i="44"/>
  <c r="Q45" i="44"/>
  <c r="Q46" i="44"/>
  <c r="Q47" i="44"/>
  <c r="Q48" i="44"/>
  <c r="Q49" i="44"/>
  <c r="Q50" i="44"/>
  <c r="Q51" i="44"/>
  <c r="Q52" i="44"/>
  <c r="Q53" i="44"/>
  <c r="Q54" i="44"/>
  <c r="Q55" i="44"/>
  <c r="Q56" i="44"/>
  <c r="Q57" i="44"/>
  <c r="Q58" i="44"/>
  <c r="Q59" i="44"/>
  <c r="Q60" i="44"/>
  <c r="M40" i="44"/>
  <c r="Q40" i="44" s="1"/>
  <c r="Q67" i="44"/>
  <c r="Q68" i="44"/>
  <c r="Q69" i="44"/>
  <c r="Q70" i="44"/>
  <c r="Q71" i="44"/>
  <c r="Q72" i="44"/>
  <c r="Q73" i="44"/>
  <c r="Q74" i="44"/>
  <c r="Q75" i="44"/>
  <c r="Q76" i="44"/>
  <c r="Q77" i="44"/>
  <c r="Q78" i="44"/>
  <c r="Q79" i="44"/>
  <c r="Q80" i="44"/>
  <c r="Q81" i="44"/>
  <c r="Q82" i="44"/>
  <c r="Q83" i="44"/>
  <c r="Q84" i="44"/>
  <c r="Q85" i="44"/>
  <c r="Q86" i="44"/>
  <c r="M66" i="44"/>
  <c r="Q66" i="44" s="1"/>
  <c r="Q16" i="44"/>
  <c r="Q17" i="44"/>
  <c r="Q18" i="44"/>
  <c r="Q19" i="44"/>
  <c r="Q20" i="44"/>
  <c r="Q21" i="44"/>
  <c r="Q22" i="44"/>
  <c r="Q23" i="44"/>
  <c r="Q24" i="44"/>
  <c r="Q25" i="44"/>
  <c r="Q26" i="44"/>
  <c r="Q27" i="44"/>
  <c r="Q28" i="44"/>
  <c r="Q29" i="44"/>
  <c r="Q30" i="44"/>
  <c r="Q34" i="44"/>
  <c r="Q15" i="44"/>
  <c r="V66" i="44"/>
  <c r="V67" i="44"/>
  <c r="V68" i="44"/>
  <c r="V69" i="44"/>
  <c r="V70" i="44"/>
  <c r="V71" i="44"/>
  <c r="V72" i="44"/>
  <c r="V73" i="44"/>
  <c r="V74" i="44"/>
  <c r="V75" i="44"/>
  <c r="V76" i="44"/>
  <c r="V77" i="44"/>
  <c r="V78" i="44"/>
  <c r="V79" i="44"/>
  <c r="V80" i="44"/>
  <c r="V81" i="44"/>
  <c r="V82" i="44"/>
  <c r="V83" i="44"/>
  <c r="V84" i="44"/>
  <c r="V85" i="44"/>
  <c r="V86" i="44"/>
  <c r="U66" i="44"/>
  <c r="U67" i="44"/>
  <c r="U68" i="44"/>
  <c r="U69" i="44"/>
  <c r="U70" i="44"/>
  <c r="U71" i="44"/>
  <c r="U72" i="44"/>
  <c r="U73" i="44"/>
  <c r="U74" i="44"/>
  <c r="U75" i="44"/>
  <c r="U76" i="44"/>
  <c r="U77" i="44"/>
  <c r="U78" i="44"/>
  <c r="U79" i="44"/>
  <c r="U80" i="44"/>
  <c r="U81" i="44"/>
  <c r="U82" i="44"/>
  <c r="U83" i="44"/>
  <c r="U84" i="44"/>
  <c r="U85" i="44"/>
  <c r="U86" i="44"/>
  <c r="V40" i="44"/>
  <c r="V41" i="44"/>
  <c r="V42" i="44"/>
  <c r="V43" i="44"/>
  <c r="V44" i="44"/>
  <c r="V45" i="44"/>
  <c r="V46" i="44"/>
  <c r="V47" i="44"/>
  <c r="V48" i="44"/>
  <c r="V49" i="44"/>
  <c r="V50" i="44"/>
  <c r="V51" i="44"/>
  <c r="V52" i="44"/>
  <c r="V53" i="44"/>
  <c r="V54" i="44"/>
  <c r="V55" i="44"/>
  <c r="V56" i="44"/>
  <c r="V57" i="44"/>
  <c r="V58" i="44"/>
  <c r="V59" i="44"/>
  <c r="V60" i="44"/>
  <c r="U40" i="44"/>
  <c r="U41" i="44"/>
  <c r="U42" i="44"/>
  <c r="U43" i="44"/>
  <c r="U44" i="44"/>
  <c r="U45" i="44"/>
  <c r="U46" i="44"/>
  <c r="U47" i="44"/>
  <c r="U48" i="44"/>
  <c r="U49" i="44"/>
  <c r="U50" i="44"/>
  <c r="U51" i="44"/>
  <c r="U52" i="44"/>
  <c r="U53" i="44"/>
  <c r="U54" i="44"/>
  <c r="U55" i="44"/>
  <c r="U56" i="44"/>
  <c r="U57" i="44"/>
  <c r="U58" i="44"/>
  <c r="U59" i="44"/>
  <c r="U60" i="44"/>
  <c r="V15" i="44"/>
  <c r="V16" i="44"/>
  <c r="V17" i="44"/>
  <c r="V18" i="44"/>
  <c r="V19" i="44"/>
  <c r="V20" i="44"/>
  <c r="V21" i="44"/>
  <c r="V22" i="44"/>
  <c r="V23" i="44"/>
  <c r="V24" i="44"/>
  <c r="V25" i="44"/>
  <c r="V26" i="44"/>
  <c r="V27" i="44"/>
  <c r="V28" i="44"/>
  <c r="V29" i="44"/>
  <c r="V30" i="44"/>
  <c r="V31" i="44"/>
  <c r="V32" i="44"/>
  <c r="V33" i="44"/>
  <c r="V34" i="44"/>
  <c r="U15" i="44"/>
  <c r="U16" i="44"/>
  <c r="U17" i="44"/>
  <c r="U18" i="44"/>
  <c r="U19" i="44"/>
  <c r="U20" i="44"/>
  <c r="U21" i="44"/>
  <c r="U22" i="44"/>
  <c r="U23" i="44"/>
  <c r="U24" i="44"/>
  <c r="U25" i="44"/>
  <c r="U26" i="44"/>
  <c r="U27" i="44"/>
  <c r="U28" i="44"/>
  <c r="U29" i="44"/>
  <c r="U30" i="44"/>
  <c r="U31" i="44"/>
  <c r="U32" i="44"/>
  <c r="U33" i="44"/>
  <c r="U34" i="44"/>
  <c r="BJ10" i="48"/>
  <c r="BH10" i="48"/>
  <c r="BF10" i="48"/>
  <c r="BD10" i="48"/>
  <c r="BB10" i="48"/>
  <c r="BA10" i="48"/>
  <c r="AN10" i="48"/>
  <c r="AO10" i="48"/>
  <c r="AP10" i="48"/>
  <c r="U13" i="38" s="1" a="1"/>
  <c r="U13" i="38" s="1"/>
  <c r="AQ10" i="48"/>
  <c r="AR10" i="48"/>
  <c r="AT10" i="48"/>
  <c r="AM10" i="48"/>
  <c r="W42" i="43"/>
  <c r="W43" i="43"/>
  <c r="W44" i="43"/>
  <c r="W45" i="43"/>
  <c r="W46" i="43"/>
  <c r="W47" i="43"/>
  <c r="W48" i="43"/>
  <c r="W49" i="43"/>
  <c r="W50" i="43"/>
  <c r="W51" i="43"/>
  <c r="W52" i="43"/>
  <c r="W53" i="43"/>
  <c r="W54" i="43"/>
  <c r="W55" i="43"/>
  <c r="W56" i="43"/>
  <c r="W57" i="43"/>
  <c r="W58" i="43"/>
  <c r="W59" i="43"/>
  <c r="W60" i="43"/>
  <c r="W61" i="43"/>
  <c r="W62" i="43"/>
  <c r="V42" i="43"/>
  <c r="V43" i="43"/>
  <c r="V44" i="43"/>
  <c r="V45" i="43"/>
  <c r="V46" i="43"/>
  <c r="V47" i="43"/>
  <c r="V48" i="43"/>
  <c r="V49" i="43"/>
  <c r="V50" i="43"/>
  <c r="V51" i="43"/>
  <c r="V52" i="43"/>
  <c r="V53" i="43"/>
  <c r="V54" i="43"/>
  <c r="V55" i="43"/>
  <c r="V56" i="43"/>
  <c r="V57" i="43"/>
  <c r="V58" i="43"/>
  <c r="V59" i="43"/>
  <c r="V60" i="43"/>
  <c r="V61" i="43"/>
  <c r="V62" i="43"/>
  <c r="U42" i="43"/>
  <c r="U43" i="43"/>
  <c r="U44" i="43"/>
  <c r="U45" i="43"/>
  <c r="U46" i="43"/>
  <c r="U47" i="43"/>
  <c r="U48" i="43"/>
  <c r="U49" i="43"/>
  <c r="U50" i="43"/>
  <c r="U51" i="43"/>
  <c r="U52" i="43"/>
  <c r="U53" i="43"/>
  <c r="U54" i="43"/>
  <c r="U55" i="43"/>
  <c r="U56" i="43"/>
  <c r="U57" i="43"/>
  <c r="U58" i="43"/>
  <c r="U59" i="43"/>
  <c r="U60" i="43"/>
  <c r="U61" i="43"/>
  <c r="U62" i="43"/>
  <c r="T42" i="43"/>
  <c r="T43" i="43"/>
  <c r="T44" i="43"/>
  <c r="T45" i="43"/>
  <c r="T46" i="43"/>
  <c r="T47" i="43"/>
  <c r="T48" i="43"/>
  <c r="T49" i="43"/>
  <c r="T50" i="43"/>
  <c r="T51" i="43"/>
  <c r="T52" i="43"/>
  <c r="T53" i="43"/>
  <c r="T54" i="43"/>
  <c r="T55" i="43"/>
  <c r="T56" i="43"/>
  <c r="T57" i="43"/>
  <c r="T58" i="43"/>
  <c r="T59" i="43"/>
  <c r="T60" i="43"/>
  <c r="T61" i="43"/>
  <c r="T62" i="43"/>
  <c r="O69" i="43"/>
  <c r="Q69" i="43" s="1"/>
  <c r="O70" i="43"/>
  <c r="Q70" i="43" s="1"/>
  <c r="O71" i="43"/>
  <c r="Q71" i="43" s="1"/>
  <c r="O72" i="43"/>
  <c r="Q72" i="43" s="1"/>
  <c r="O73" i="43"/>
  <c r="Q73" i="43" s="1"/>
  <c r="O74" i="43"/>
  <c r="Q74" i="43" s="1"/>
  <c r="O75" i="43"/>
  <c r="Q75" i="43" s="1"/>
  <c r="O76" i="43"/>
  <c r="Q76" i="43" s="1"/>
  <c r="O77" i="43"/>
  <c r="Q77" i="43" s="1"/>
  <c r="O78" i="43"/>
  <c r="Q78" i="43" s="1"/>
  <c r="O79" i="43"/>
  <c r="Q79" i="43" s="1"/>
  <c r="O80" i="43"/>
  <c r="Q80" i="43" s="1"/>
  <c r="O81" i="43"/>
  <c r="Q81" i="43" s="1"/>
  <c r="O82" i="43"/>
  <c r="Q82" i="43" s="1"/>
  <c r="O83" i="43"/>
  <c r="Q83" i="43" s="1"/>
  <c r="O84" i="43"/>
  <c r="Q84" i="43" s="1"/>
  <c r="O85" i="43"/>
  <c r="Q85" i="43" s="1"/>
  <c r="O86" i="43"/>
  <c r="Q86" i="43" s="1"/>
  <c r="O87" i="43"/>
  <c r="Q87" i="43" s="1"/>
  <c r="O88" i="43"/>
  <c r="Q88" i="43" s="1"/>
  <c r="O68" i="43"/>
  <c r="Q68" i="43" s="1"/>
  <c r="AB71" i="43"/>
  <c r="AB72" i="43"/>
  <c r="AB73" i="43"/>
  <c r="AB79" i="43"/>
  <c r="AB80" i="43"/>
  <c r="AB81" i="43"/>
  <c r="AB87" i="43"/>
  <c r="AB88" i="43"/>
  <c r="W17" i="43"/>
  <c r="W18" i="43"/>
  <c r="W19" i="43"/>
  <c r="W20" i="43"/>
  <c r="W21" i="43"/>
  <c r="W22" i="43"/>
  <c r="W23" i="43"/>
  <c r="W24" i="43"/>
  <c r="W25" i="43"/>
  <c r="W26" i="43"/>
  <c r="W27" i="43"/>
  <c r="W28" i="43"/>
  <c r="W29" i="43"/>
  <c r="W30" i="43"/>
  <c r="W31" i="43"/>
  <c r="W32" i="43"/>
  <c r="W33" i="43"/>
  <c r="W34" i="43"/>
  <c r="W35" i="43"/>
  <c r="W36" i="43"/>
  <c r="V17" i="43"/>
  <c r="V18" i="43"/>
  <c r="V19" i="43"/>
  <c r="V20" i="43"/>
  <c r="V21" i="43"/>
  <c r="V22" i="43"/>
  <c r="V23" i="43"/>
  <c r="V24" i="43"/>
  <c r="V25" i="43"/>
  <c r="V26" i="43"/>
  <c r="V27" i="43"/>
  <c r="V28" i="43"/>
  <c r="V29" i="43"/>
  <c r="V30" i="43"/>
  <c r="V31" i="43"/>
  <c r="V32" i="43"/>
  <c r="V33" i="43"/>
  <c r="V34" i="43"/>
  <c r="V35" i="43"/>
  <c r="V36" i="43"/>
  <c r="U17" i="43"/>
  <c r="U18" i="43"/>
  <c r="U19" i="43"/>
  <c r="U20" i="43"/>
  <c r="U21" i="43"/>
  <c r="U22" i="43"/>
  <c r="U23" i="43"/>
  <c r="U24" i="43"/>
  <c r="U25" i="43"/>
  <c r="AA25" i="43" s="1" a="1"/>
  <c r="AA25" i="43" s="1"/>
  <c r="U26" i="43"/>
  <c r="AA26" i="43" s="1" a="1"/>
  <c r="AA26" i="43" s="1"/>
  <c r="U27" i="43"/>
  <c r="AA27" i="43" s="1" a="1"/>
  <c r="AA27" i="43" s="1"/>
  <c r="U28" i="43"/>
  <c r="U29" i="43"/>
  <c r="U30" i="43"/>
  <c r="U31" i="43"/>
  <c r="U32" i="43"/>
  <c r="AA32" i="43" s="1" a="1"/>
  <c r="AA32" i="43" s="1"/>
  <c r="U33" i="43"/>
  <c r="AA33" i="43" s="1" a="1"/>
  <c r="AA33" i="43" s="1"/>
  <c r="U34" i="43"/>
  <c r="AA34" i="43" s="1" a="1"/>
  <c r="AA34" i="43" s="1"/>
  <c r="U35" i="43"/>
  <c r="U36" i="43"/>
  <c r="T18" i="43"/>
  <c r="T19" i="43"/>
  <c r="T20" i="43"/>
  <c r="T21" i="43"/>
  <c r="T22" i="43"/>
  <c r="T23" i="43"/>
  <c r="T24" i="43"/>
  <c r="T25" i="43"/>
  <c r="T26" i="43"/>
  <c r="T27" i="43"/>
  <c r="T28" i="43"/>
  <c r="T29" i="43"/>
  <c r="T30" i="43"/>
  <c r="T31" i="43"/>
  <c r="T32" i="43"/>
  <c r="T33" i="43"/>
  <c r="T34" i="43"/>
  <c r="T35" i="43"/>
  <c r="T36" i="43"/>
  <c r="T17" i="43"/>
  <c r="W41" i="42"/>
  <c r="W42" i="42"/>
  <c r="W43" i="42"/>
  <c r="W44" i="42"/>
  <c r="W45" i="42"/>
  <c r="W46" i="42"/>
  <c r="W47" i="42"/>
  <c r="W48" i="42"/>
  <c r="W49" i="42"/>
  <c r="W50" i="42"/>
  <c r="W51" i="42"/>
  <c r="W52" i="42"/>
  <c r="W53" i="42"/>
  <c r="W54" i="42"/>
  <c r="W55" i="42"/>
  <c r="W56" i="42"/>
  <c r="W57" i="42"/>
  <c r="W58" i="42"/>
  <c r="W59" i="42"/>
  <c r="W60" i="42"/>
  <c r="W61" i="42"/>
  <c r="V41" i="42"/>
  <c r="V42" i="42"/>
  <c r="V43" i="42"/>
  <c r="V44" i="42"/>
  <c r="V45" i="42"/>
  <c r="V46" i="42"/>
  <c r="V47" i="42"/>
  <c r="V48" i="42"/>
  <c r="V49" i="42"/>
  <c r="V50" i="42"/>
  <c r="V51" i="42"/>
  <c r="V52" i="42"/>
  <c r="V53" i="42"/>
  <c r="AA53" i="42" s="1" a="1"/>
  <c r="AA53" i="42" s="1"/>
  <c r="V54" i="42"/>
  <c r="V55" i="42"/>
  <c r="V56" i="42"/>
  <c r="V57" i="42"/>
  <c r="V58" i="42"/>
  <c r="V59" i="42"/>
  <c r="V60" i="42"/>
  <c r="V61" i="42"/>
  <c r="U42" i="42"/>
  <c r="U43" i="42"/>
  <c r="U44" i="42"/>
  <c r="U45" i="42"/>
  <c r="U46" i="42"/>
  <c r="U47" i="42"/>
  <c r="U48" i="42"/>
  <c r="U49" i="42"/>
  <c r="U50" i="42"/>
  <c r="U51" i="42"/>
  <c r="U52" i="42"/>
  <c r="U53" i="42"/>
  <c r="U54" i="42"/>
  <c r="U55" i="42"/>
  <c r="U56" i="42"/>
  <c r="U57" i="42"/>
  <c r="U58" i="42"/>
  <c r="U59" i="42"/>
  <c r="U60" i="42"/>
  <c r="U61" i="42"/>
  <c r="U41" i="42"/>
  <c r="V16" i="42"/>
  <c r="V17" i="42"/>
  <c r="V18" i="42"/>
  <c r="V19" i="42"/>
  <c r="V20" i="42"/>
  <c r="V21" i="42"/>
  <c r="V22" i="42"/>
  <c r="V23" i="42"/>
  <c r="V24" i="42"/>
  <c r="V25" i="42"/>
  <c r="V26" i="42"/>
  <c r="V27" i="42"/>
  <c r="V28" i="42"/>
  <c r="V29" i="42"/>
  <c r="V30" i="42"/>
  <c r="V31" i="42"/>
  <c r="V32" i="42"/>
  <c r="V33" i="42"/>
  <c r="V34" i="42"/>
  <c r="V35" i="42"/>
  <c r="U16" i="42"/>
  <c r="U17" i="42"/>
  <c r="U18" i="42"/>
  <c r="U19" i="42"/>
  <c r="U20" i="42"/>
  <c r="U21" i="42"/>
  <c r="U22" i="42"/>
  <c r="U23" i="42"/>
  <c r="U24" i="42"/>
  <c r="U25" i="42"/>
  <c r="U26" i="42"/>
  <c r="U27" i="42"/>
  <c r="U28" i="42"/>
  <c r="U29" i="42"/>
  <c r="U30" i="42"/>
  <c r="U31" i="42"/>
  <c r="U32" i="42"/>
  <c r="U33" i="42"/>
  <c r="U34" i="42"/>
  <c r="U35" i="42"/>
  <c r="T16" i="42"/>
  <c r="T17" i="42"/>
  <c r="T18" i="42"/>
  <c r="T19" i="42"/>
  <c r="T20" i="42"/>
  <c r="T21" i="42"/>
  <c r="T22" i="42"/>
  <c r="T23" i="42"/>
  <c r="T24" i="42"/>
  <c r="T25" i="42"/>
  <c r="T26" i="42"/>
  <c r="T27" i="42"/>
  <c r="T28" i="42"/>
  <c r="T29" i="42"/>
  <c r="T30" i="42"/>
  <c r="T31" i="42"/>
  <c r="T32" i="42"/>
  <c r="T33" i="42"/>
  <c r="T34" i="42"/>
  <c r="T35" i="42"/>
  <c r="V41" i="41"/>
  <c r="V42" i="41"/>
  <c r="V43" i="41"/>
  <c r="V44" i="41"/>
  <c r="V45" i="41"/>
  <c r="V46" i="41"/>
  <c r="V47" i="41"/>
  <c r="V48" i="41"/>
  <c r="V49" i="41"/>
  <c r="V50" i="41"/>
  <c r="V51" i="41"/>
  <c r="V52" i="41"/>
  <c r="V53" i="41"/>
  <c r="V54" i="41"/>
  <c r="V55" i="41"/>
  <c r="V56" i="41"/>
  <c r="V57" i="41"/>
  <c r="V58" i="41"/>
  <c r="V59" i="41"/>
  <c r="V60" i="41"/>
  <c r="V61" i="41"/>
  <c r="V16" i="41"/>
  <c r="V17" i="41"/>
  <c r="V18" i="41"/>
  <c r="V19" i="41"/>
  <c r="V20" i="41"/>
  <c r="V21" i="41"/>
  <c r="V22" i="41"/>
  <c r="V23" i="41"/>
  <c r="V24" i="41"/>
  <c r="V25" i="41"/>
  <c r="V26" i="41"/>
  <c r="V27" i="41"/>
  <c r="V28" i="41"/>
  <c r="V29" i="41"/>
  <c r="V30" i="41"/>
  <c r="V31" i="41"/>
  <c r="V32" i="41"/>
  <c r="V33" i="41"/>
  <c r="V34" i="41"/>
  <c r="V35" i="41"/>
  <c r="V15" i="40"/>
  <c r="V16" i="40"/>
  <c r="V17" i="40"/>
  <c r="V18" i="40"/>
  <c r="V19" i="40"/>
  <c r="V20" i="40"/>
  <c r="V21" i="40"/>
  <c r="V22" i="40"/>
  <c r="V23" i="40"/>
  <c r="V24" i="40"/>
  <c r="V25" i="40"/>
  <c r="V26" i="40"/>
  <c r="V27" i="40"/>
  <c r="V28" i="40"/>
  <c r="V29" i="40"/>
  <c r="V30" i="40"/>
  <c r="V31" i="40"/>
  <c r="V32" i="40"/>
  <c r="V33" i="40"/>
  <c r="V34" i="40"/>
  <c r="V35" i="40"/>
  <c r="V36" i="40"/>
  <c r="V37" i="40"/>
  <c r="V38" i="40"/>
  <c r="V39" i="40"/>
  <c r="V40" i="40"/>
  <c r="V41" i="40"/>
  <c r="V42" i="40"/>
  <c r="V43" i="40"/>
  <c r="V44" i="40"/>
  <c r="V45" i="40"/>
  <c r="V46" i="40"/>
  <c r="V47" i="40"/>
  <c r="V48" i="40"/>
  <c r="V49" i="40"/>
  <c r="V50" i="40"/>
  <c r="V51" i="40"/>
  <c r="V52" i="40"/>
  <c r="V53" i="40"/>
  <c r="V54" i="40"/>
  <c r="V55" i="40"/>
  <c r="V56" i="40"/>
  <c r="V57" i="40"/>
  <c r="V58" i="40"/>
  <c r="V59" i="40"/>
  <c r="V60" i="40"/>
  <c r="V61" i="40"/>
  <c r="V62" i="40"/>
  <c r="V63"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V89" i="40"/>
  <c r="V90" i="40"/>
  <c r="V91" i="40"/>
  <c r="V92" i="40"/>
  <c r="V93" i="40"/>
  <c r="V94" i="40"/>
  <c r="V95" i="40"/>
  <c r="V96" i="40"/>
  <c r="V97" i="40"/>
  <c r="V98" i="40"/>
  <c r="V99" i="40"/>
  <c r="V100" i="40"/>
  <c r="V101" i="40"/>
  <c r="V102" i="40"/>
  <c r="V103" i="40"/>
  <c r="V104" i="40"/>
  <c r="V105" i="40"/>
  <c r="V106" i="40"/>
  <c r="V107" i="40"/>
  <c r="V108" i="40"/>
  <c r="V109" i="40"/>
  <c r="V110" i="40"/>
  <c r="V111" i="40"/>
  <c r="V112" i="40"/>
  <c r="V113" i="40"/>
  <c r="V114" i="40"/>
  <c r="V115" i="40"/>
  <c r="V116" i="40"/>
  <c r="V117" i="40"/>
  <c r="V118" i="40"/>
  <c r="V119" i="40"/>
  <c r="V120" i="40"/>
  <c r="V121" i="40"/>
  <c r="V122" i="40"/>
  <c r="V123" i="40"/>
  <c r="V124" i="40"/>
  <c r="V125" i="40"/>
  <c r="V126" i="40"/>
  <c r="V127" i="40"/>
  <c r="V128" i="40"/>
  <c r="V129" i="40"/>
  <c r="V130" i="40"/>
  <c r="V131" i="40"/>
  <c r="V132" i="40"/>
  <c r="V133" i="40"/>
  <c r="V134" i="40"/>
  <c r="V135" i="40"/>
  <c r="V136" i="40"/>
  <c r="V137" i="40"/>
  <c r="V138" i="40"/>
  <c r="V139" i="40"/>
  <c r="V140" i="40"/>
  <c r="V141" i="40"/>
  <c r="V142" i="40"/>
  <c r="V143" i="40"/>
  <c r="V144" i="40"/>
  <c r="V145" i="40"/>
  <c r="V146" i="40"/>
  <c r="V147" i="40"/>
  <c r="V148" i="40"/>
  <c r="V149" i="40"/>
  <c r="V150" i="40"/>
  <c r="V151" i="40"/>
  <c r="V152" i="40"/>
  <c r="V153" i="40"/>
  <c r="V154" i="40"/>
  <c r="V155" i="40"/>
  <c r="V156" i="40"/>
  <c r="V157" i="40"/>
  <c r="V158" i="40"/>
  <c r="V159" i="40"/>
  <c r="V160" i="40"/>
  <c r="V161" i="40"/>
  <c r="V162" i="40"/>
  <c r="V163" i="40"/>
  <c r="V164" i="40"/>
  <c r="V165" i="40"/>
  <c r="V166" i="40"/>
  <c r="V167" i="40"/>
  <c r="V168" i="40"/>
  <c r="V169" i="40"/>
  <c r="V170" i="40"/>
  <c r="V171" i="40"/>
  <c r="V172" i="40"/>
  <c r="V173" i="40"/>
  <c r="V174" i="40"/>
  <c r="V175" i="40"/>
  <c r="V176" i="40"/>
  <c r="V177" i="40"/>
  <c r="V178" i="40"/>
  <c r="V179" i="40"/>
  <c r="V180" i="40"/>
  <c r="V181" i="40"/>
  <c r="V182" i="40"/>
  <c r="V183" i="40"/>
  <c r="V184" i="40"/>
  <c r="V185" i="40"/>
  <c r="V186" i="40"/>
  <c r="V187" i="40"/>
  <c r="V188" i="40"/>
  <c r="V189" i="40"/>
  <c r="V190" i="40"/>
  <c r="V191" i="40"/>
  <c r="V192" i="40"/>
  <c r="V193" i="40"/>
  <c r="V194" i="40"/>
  <c r="V195" i="40"/>
  <c r="V196" i="40"/>
  <c r="V197" i="40"/>
  <c r="V198" i="40"/>
  <c r="V199" i="40"/>
  <c r="V200" i="40"/>
  <c r="V201" i="40"/>
  <c r="V202" i="40"/>
  <c r="V203" i="40"/>
  <c r="V204" i="40"/>
  <c r="V205" i="40"/>
  <c r="V206" i="40"/>
  <c r="V207" i="40"/>
  <c r="V208" i="40"/>
  <c r="V209" i="40"/>
  <c r="V210" i="40"/>
  <c r="V211" i="40"/>
  <c r="V212" i="40"/>
  <c r="V213" i="40"/>
  <c r="V214" i="40"/>
  <c r="V215" i="40"/>
  <c r="V216" i="40"/>
  <c r="V217" i="40"/>
  <c r="V218" i="40"/>
  <c r="V219" i="40"/>
  <c r="V220" i="40"/>
  <c r="V221" i="40"/>
  <c r="V222" i="40"/>
  <c r="V223" i="40"/>
  <c r="V224" i="40"/>
  <c r="V225" i="40"/>
  <c r="V226" i="40"/>
  <c r="V227" i="40"/>
  <c r="V228" i="40"/>
  <c r="V229" i="40"/>
  <c r="V230" i="40"/>
  <c r="V231" i="40"/>
  <c r="V232" i="40"/>
  <c r="V233" i="40"/>
  <c r="V234" i="40"/>
  <c r="V235" i="40"/>
  <c r="V236" i="40"/>
  <c r="V237" i="40"/>
  <c r="V238" i="40"/>
  <c r="V239" i="40"/>
  <c r="V240" i="40"/>
  <c r="V241" i="40"/>
  <c r="V242" i="40"/>
  <c r="V243" i="40"/>
  <c r="V244" i="40"/>
  <c r="V245" i="40"/>
  <c r="V246" i="40"/>
  <c r="V247" i="40"/>
  <c r="V248" i="40"/>
  <c r="V249" i="40"/>
  <c r="V250" i="40"/>
  <c r="V251" i="40"/>
  <c r="V252" i="40"/>
  <c r="V253" i="40"/>
  <c r="V254" i="40"/>
  <c r="V255" i="40"/>
  <c r="V256" i="40"/>
  <c r="V257" i="40"/>
  <c r="V258" i="40"/>
  <c r="V259" i="40"/>
  <c r="V260" i="40"/>
  <c r="V261" i="40"/>
  <c r="V262" i="40"/>
  <c r="V263" i="40"/>
  <c r="V264" i="40"/>
  <c r="V265" i="40"/>
  <c r="V266" i="40"/>
  <c r="V267" i="40"/>
  <c r="V268" i="40"/>
  <c r="V269" i="40"/>
  <c r="V270" i="40"/>
  <c r="V271" i="40"/>
  <c r="V272" i="40"/>
  <c r="V273" i="40"/>
  <c r="V274" i="40"/>
  <c r="V275" i="40"/>
  <c r="V276" i="40"/>
  <c r="V277" i="40"/>
  <c r="V278" i="40"/>
  <c r="V279" i="40"/>
  <c r="V280" i="40"/>
  <c r="V281" i="40"/>
  <c r="V282" i="40"/>
  <c r="V283" i="40"/>
  <c r="V284" i="40"/>
  <c r="V285" i="40"/>
  <c r="V286" i="40"/>
  <c r="V287" i="40"/>
  <c r="V288" i="40"/>
  <c r="V289" i="40"/>
  <c r="V290" i="40"/>
  <c r="V291" i="40"/>
  <c r="V292" i="40"/>
  <c r="V293" i="40"/>
  <c r="V294" i="40"/>
  <c r="V295" i="40"/>
  <c r="V296" i="40"/>
  <c r="V297" i="40"/>
  <c r="V298" i="40"/>
  <c r="V299" i="40"/>
  <c r="V300" i="40"/>
  <c r="V301" i="40"/>
  <c r="V302" i="40"/>
  <c r="V303" i="40"/>
  <c r="V304" i="40"/>
  <c r="V305" i="40"/>
  <c r="V306" i="40"/>
  <c r="V307" i="40"/>
  <c r="V308" i="40"/>
  <c r="V309" i="40"/>
  <c r="V310" i="40"/>
  <c r="V311" i="40"/>
  <c r="V312" i="40"/>
  <c r="V313" i="40"/>
  <c r="V314" i="40"/>
  <c r="V315" i="40"/>
  <c r="V316" i="40"/>
  <c r="V317" i="40"/>
  <c r="V318" i="40"/>
  <c r="V319" i="40"/>
  <c r="V320" i="40"/>
  <c r="V321" i="40"/>
  <c r="V322" i="40"/>
  <c r="V323" i="40"/>
  <c r="V324" i="40"/>
  <c r="V325" i="40"/>
  <c r="V326" i="40"/>
  <c r="V327" i="40"/>
  <c r="V328" i="40"/>
  <c r="V329" i="40"/>
  <c r="V330" i="40"/>
  <c r="V331" i="40"/>
  <c r="V332" i="40"/>
  <c r="V333" i="40"/>
  <c r="V334" i="40"/>
  <c r="V335" i="40"/>
  <c r="V336" i="40"/>
  <c r="V337" i="40"/>
  <c r="V338" i="40"/>
  <c r="V339" i="40"/>
  <c r="V340" i="40"/>
  <c r="V341" i="40"/>
  <c r="V342" i="40"/>
  <c r="V343" i="40"/>
  <c r="V344" i="40"/>
  <c r="V345" i="40"/>
  <c r="V346" i="40"/>
  <c r="V347" i="40"/>
  <c r="V348" i="40"/>
  <c r="V349" i="40"/>
  <c r="V350" i="40"/>
  <c r="V351" i="40"/>
  <c r="V352" i="40"/>
  <c r="V353" i="40"/>
  <c r="V354" i="40"/>
  <c r="V355" i="40"/>
  <c r="V356" i="40"/>
  <c r="V357" i="40"/>
  <c r="V358" i="40"/>
  <c r="V359" i="40"/>
  <c r="V360" i="40"/>
  <c r="V361" i="40"/>
  <c r="V362" i="40"/>
  <c r="V363" i="40"/>
  <c r="V364" i="40"/>
  <c r="V365" i="40"/>
  <c r="V366" i="40"/>
  <c r="V367" i="40"/>
  <c r="V368" i="40"/>
  <c r="V369" i="40"/>
  <c r="V370" i="40"/>
  <c r="V371" i="40"/>
  <c r="V372" i="40"/>
  <c r="V373" i="40"/>
  <c r="V374" i="40"/>
  <c r="V375" i="40"/>
  <c r="V376" i="40"/>
  <c r="V377" i="40"/>
  <c r="V378" i="40"/>
  <c r="V379" i="40"/>
  <c r="V380" i="40"/>
  <c r="V381" i="40"/>
  <c r="V382" i="40"/>
  <c r="V383" i="40"/>
  <c r="V384" i="40"/>
  <c r="V385" i="40"/>
  <c r="V386" i="40"/>
  <c r="V387" i="40"/>
  <c r="V388" i="40"/>
  <c r="V389" i="40"/>
  <c r="V390" i="40"/>
  <c r="V391" i="40"/>
  <c r="V392" i="40"/>
  <c r="V393" i="40"/>
  <c r="V394" i="40"/>
  <c r="V395" i="40"/>
  <c r="V396" i="40"/>
  <c r="V397" i="40"/>
  <c r="V398" i="40"/>
  <c r="V399" i="40"/>
  <c r="V400" i="40"/>
  <c r="V401" i="40"/>
  <c r="V402" i="40"/>
  <c r="V403" i="40"/>
  <c r="V404" i="40"/>
  <c r="V405" i="40"/>
  <c r="V406" i="40"/>
  <c r="V407" i="40"/>
  <c r="V408" i="40"/>
  <c r="V409" i="40"/>
  <c r="V410" i="40"/>
  <c r="V411" i="40"/>
  <c r="V412" i="40"/>
  <c r="V413" i="40"/>
  <c r="V414" i="40"/>
  <c r="V415" i="40"/>
  <c r="V416" i="40"/>
  <c r="V417" i="40"/>
  <c r="V418" i="40"/>
  <c r="V419" i="40"/>
  <c r="V420" i="40"/>
  <c r="V421" i="40"/>
  <c r="V422" i="40"/>
  <c r="V423" i="40"/>
  <c r="V424" i="40"/>
  <c r="V425" i="40"/>
  <c r="V426" i="40"/>
  <c r="V427" i="40"/>
  <c r="V428" i="40"/>
  <c r="V429" i="40"/>
  <c r="V430" i="40"/>
  <c r="V431" i="40"/>
  <c r="V432" i="40"/>
  <c r="V433" i="40"/>
  <c r="V434" i="40"/>
  <c r="V435" i="40"/>
  <c r="V436" i="40"/>
  <c r="V437" i="40"/>
  <c r="V438" i="40"/>
  <c r="V439" i="40"/>
  <c r="V440" i="40"/>
  <c r="V441" i="40"/>
  <c r="V442" i="40"/>
  <c r="V443" i="40"/>
  <c r="V444" i="40"/>
  <c r="V445" i="40"/>
  <c r="V446" i="40"/>
  <c r="V447" i="40"/>
  <c r="V448" i="40"/>
  <c r="V449" i="40"/>
  <c r="V450" i="40"/>
  <c r="V451" i="40"/>
  <c r="V452" i="40"/>
  <c r="V453" i="40"/>
  <c r="V454" i="40"/>
  <c r="V455" i="40"/>
  <c r="V456" i="40"/>
  <c r="V457" i="40"/>
  <c r="V458" i="40"/>
  <c r="V459" i="40"/>
  <c r="V460" i="40"/>
  <c r="V461" i="40"/>
  <c r="V462" i="40"/>
  <c r="V463" i="40"/>
  <c r="V464" i="40"/>
  <c r="V465" i="40"/>
  <c r="V466" i="40"/>
  <c r="V467" i="40"/>
  <c r="V468" i="40"/>
  <c r="V469" i="40"/>
  <c r="V470" i="40"/>
  <c r="V471" i="40"/>
  <c r="V472" i="40"/>
  <c r="V473" i="40"/>
  <c r="V474" i="40"/>
  <c r="V475" i="40"/>
  <c r="V476" i="40"/>
  <c r="V477" i="40"/>
  <c r="V478" i="40"/>
  <c r="V479" i="40"/>
  <c r="V480" i="40"/>
  <c r="V481" i="40"/>
  <c r="V482" i="40"/>
  <c r="V483" i="40"/>
  <c r="V484" i="40"/>
  <c r="V485" i="40"/>
  <c r="V486" i="40"/>
  <c r="V487" i="40"/>
  <c r="V488" i="40"/>
  <c r="V489" i="40"/>
  <c r="V490" i="40"/>
  <c r="V491" i="40"/>
  <c r="V492" i="40"/>
  <c r="V493" i="40"/>
  <c r="V494" i="40"/>
  <c r="V495" i="40"/>
  <c r="V496" i="40"/>
  <c r="V497" i="40"/>
  <c r="V498" i="40"/>
  <c r="V499" i="40"/>
  <c r="V500" i="40"/>
  <c r="V501" i="40"/>
  <c r="V502" i="40"/>
  <c r="V503" i="40"/>
  <c r="V504" i="40"/>
  <c r="V505" i="40"/>
  <c r="V506" i="40"/>
  <c r="V507" i="40"/>
  <c r="V508" i="40"/>
  <c r="V509" i="40"/>
  <c r="V510" i="40"/>
  <c r="V511" i="40"/>
  <c r="V512" i="40"/>
  <c r="V513" i="40"/>
  <c r="V514" i="40"/>
  <c r="T13" i="38"/>
  <c r="T14" i="38"/>
  <c r="T15" i="38"/>
  <c r="T16" i="38"/>
  <c r="T17" i="38"/>
  <c r="T18" i="38"/>
  <c r="T19" i="38"/>
  <c r="T20" i="38"/>
  <c r="T21" i="38"/>
  <c r="T22" i="38"/>
  <c r="AI10" i="48"/>
  <c r="AJ10" i="48"/>
  <c r="AI253" i="39" l="1"/>
  <c r="AH253" i="39"/>
  <c r="AF253" i="39"/>
  <c r="AO253" i="39"/>
  <c r="AG253" i="39"/>
  <c r="AJ253" i="39"/>
  <c r="AK253" i="39"/>
  <c r="AH229" i="39"/>
  <c r="AO229" i="39"/>
  <c r="AF229" i="39"/>
  <c r="AJ229" i="39"/>
  <c r="AG229" i="39"/>
  <c r="AI229" i="39"/>
  <c r="AK229" i="39"/>
  <c r="AJ197" i="39"/>
  <c r="AG197" i="39"/>
  <c r="AI197" i="39"/>
  <c r="AF197" i="39"/>
  <c r="AK197" i="39"/>
  <c r="AO197" i="39"/>
  <c r="AH197" i="39"/>
  <c r="AK173" i="39"/>
  <c r="AO173" i="39"/>
  <c r="AJ173" i="39"/>
  <c r="AH173" i="39"/>
  <c r="AG173" i="39"/>
  <c r="AI173" i="39"/>
  <c r="AF173" i="39"/>
  <c r="AG141" i="39"/>
  <c r="AK141" i="39"/>
  <c r="AO141" i="39"/>
  <c r="AI141" i="39"/>
  <c r="AF141" i="39"/>
  <c r="AH141" i="39"/>
  <c r="AJ141" i="39"/>
  <c r="AF117" i="39"/>
  <c r="AI117" i="39"/>
  <c r="AH117" i="39"/>
  <c r="AK117" i="39"/>
  <c r="AJ117" i="39"/>
  <c r="AO117" i="39"/>
  <c r="AG117" i="39"/>
  <c r="AI93" i="39"/>
  <c r="AK93" i="39"/>
  <c r="AF93" i="39"/>
  <c r="AG93" i="39"/>
  <c r="AO93" i="39"/>
  <c r="AH93" i="39"/>
  <c r="AJ93" i="39"/>
  <c r="AI252" i="39"/>
  <c r="AK252" i="39"/>
  <c r="AG252" i="39"/>
  <c r="AH252" i="39"/>
  <c r="AJ252" i="39"/>
  <c r="AF252" i="39"/>
  <c r="AO252" i="39"/>
  <c r="AK228" i="39"/>
  <c r="AG228" i="39"/>
  <c r="AJ228" i="39"/>
  <c r="AO228" i="39"/>
  <c r="AF228" i="39"/>
  <c r="AH228" i="39"/>
  <c r="AI228" i="39"/>
  <c r="AK212" i="39"/>
  <c r="AI212" i="39"/>
  <c r="AH212" i="39"/>
  <c r="AG212" i="39"/>
  <c r="AF212" i="39"/>
  <c r="AJ212" i="39"/>
  <c r="AO212" i="39"/>
  <c r="AJ188" i="39"/>
  <c r="AI188" i="39"/>
  <c r="AK188" i="39"/>
  <c r="AG188" i="39"/>
  <c r="AO188" i="39"/>
  <c r="AF188" i="39"/>
  <c r="AH188" i="39"/>
  <c r="AO164" i="39"/>
  <c r="AI164" i="39"/>
  <c r="AG164" i="39"/>
  <c r="AJ164" i="39"/>
  <c r="AF164" i="39"/>
  <c r="AH164" i="39"/>
  <c r="AK164" i="39"/>
  <c r="AI140" i="39"/>
  <c r="AG140" i="39"/>
  <c r="AK140" i="39"/>
  <c r="AF140" i="39"/>
  <c r="AJ140" i="39"/>
  <c r="AH140" i="39"/>
  <c r="AO140" i="39"/>
  <c r="AG116" i="39"/>
  <c r="AF116" i="39"/>
  <c r="AO116" i="39"/>
  <c r="AK116" i="39"/>
  <c r="AJ116" i="39"/>
  <c r="AH116" i="39"/>
  <c r="AI116" i="39"/>
  <c r="AK92" i="39"/>
  <c r="AG92" i="39"/>
  <c r="AH92" i="39"/>
  <c r="AO92" i="39"/>
  <c r="AJ92" i="39"/>
  <c r="AI92" i="39"/>
  <c r="AF92" i="39"/>
  <c r="AG259" i="39"/>
  <c r="AO259" i="39"/>
  <c r="AK259" i="39"/>
  <c r="AJ259" i="39"/>
  <c r="AH259" i="39"/>
  <c r="AI259" i="39"/>
  <c r="AF259" i="39"/>
  <c r="AJ243" i="39"/>
  <c r="AO243" i="39"/>
  <c r="AG243" i="39"/>
  <c r="AH243" i="39"/>
  <c r="AI243" i="39"/>
  <c r="AF243" i="39"/>
  <c r="AK243" i="39"/>
  <c r="AH227" i="39"/>
  <c r="AJ227" i="39"/>
  <c r="AI227" i="39"/>
  <c r="AF227" i="39"/>
  <c r="AO227" i="39"/>
  <c r="AG227" i="39"/>
  <c r="AK227" i="39"/>
  <c r="AH211" i="39"/>
  <c r="AG211" i="39"/>
  <c r="AO211" i="39"/>
  <c r="AI211" i="39"/>
  <c r="AK211" i="39"/>
  <c r="AJ211" i="39"/>
  <c r="AF211" i="39"/>
  <c r="AJ195" i="39"/>
  <c r="AO195" i="39"/>
  <c r="AK195" i="39"/>
  <c r="AG195" i="39"/>
  <c r="AF195" i="39"/>
  <c r="AH195" i="39"/>
  <c r="AI195" i="39"/>
  <c r="AK179" i="39"/>
  <c r="AJ179" i="39"/>
  <c r="AF179" i="39"/>
  <c r="AI179" i="39"/>
  <c r="AO179" i="39"/>
  <c r="AG179" i="39"/>
  <c r="AH179" i="39"/>
  <c r="AK163" i="39"/>
  <c r="AH163" i="39"/>
  <c r="AF163" i="39"/>
  <c r="AI163" i="39"/>
  <c r="AJ163" i="39"/>
  <c r="AO163" i="39"/>
  <c r="AG163" i="39"/>
  <c r="AF147" i="39"/>
  <c r="AI147" i="39"/>
  <c r="AK147" i="39"/>
  <c r="AO147" i="39"/>
  <c r="AG147" i="39"/>
  <c r="AJ147" i="39"/>
  <c r="AH147" i="39"/>
  <c r="AI123" i="39"/>
  <c r="AJ123" i="39"/>
  <c r="AO123" i="39"/>
  <c r="AF123" i="39"/>
  <c r="AG123" i="39"/>
  <c r="AH123" i="39"/>
  <c r="AK123" i="39"/>
  <c r="AI107" i="39"/>
  <c r="AJ107" i="39"/>
  <c r="AF107" i="39"/>
  <c r="AK107" i="39"/>
  <c r="AO107" i="39"/>
  <c r="AH107" i="39"/>
  <c r="AG107" i="39"/>
  <c r="AK266" i="39"/>
  <c r="AI266" i="39"/>
  <c r="AG266" i="39"/>
  <c r="AH266" i="39"/>
  <c r="AJ266" i="39"/>
  <c r="AO266" i="39"/>
  <c r="AF266" i="39"/>
  <c r="AG250" i="39"/>
  <c r="AO250" i="39"/>
  <c r="AK250" i="39"/>
  <c r="AF250" i="39"/>
  <c r="AI250" i="39"/>
  <c r="AJ250" i="39"/>
  <c r="AH250" i="39"/>
  <c r="AO234" i="39"/>
  <c r="AH234" i="39"/>
  <c r="AF234" i="39"/>
  <c r="AG234" i="39"/>
  <c r="AJ234" i="39"/>
  <c r="AK234" i="39"/>
  <c r="AI234" i="39"/>
  <c r="AI218" i="39"/>
  <c r="AO218" i="39"/>
  <c r="AG218" i="39"/>
  <c r="AF218" i="39"/>
  <c r="AJ218" i="39"/>
  <c r="AH218" i="39"/>
  <c r="AK218" i="39"/>
  <c r="AH210" i="39"/>
  <c r="AK210" i="39"/>
  <c r="AF210" i="39"/>
  <c r="AI210" i="39"/>
  <c r="AO210" i="39"/>
  <c r="AG210" i="39"/>
  <c r="AJ210" i="39"/>
  <c r="AO186" i="39"/>
  <c r="AG186" i="39"/>
  <c r="AH186" i="39"/>
  <c r="AK186" i="39"/>
  <c r="AI186" i="39"/>
  <c r="AF186" i="39"/>
  <c r="AJ186" i="39"/>
  <c r="AK170" i="39"/>
  <c r="AO170" i="39"/>
  <c r="AF170" i="39"/>
  <c r="AG170" i="39"/>
  <c r="AH170" i="39"/>
  <c r="AJ170" i="39"/>
  <c r="AI170" i="39"/>
  <c r="AJ154" i="39"/>
  <c r="AH154" i="39"/>
  <c r="AI154" i="39"/>
  <c r="AK154" i="39"/>
  <c r="AO154" i="39"/>
  <c r="AG154" i="39"/>
  <c r="AF154" i="39"/>
  <c r="AG138" i="39"/>
  <c r="AK138" i="39"/>
  <c r="AI138" i="39"/>
  <c r="AF138" i="39"/>
  <c r="AJ138" i="39"/>
  <c r="AO138" i="39"/>
  <c r="AH138" i="39"/>
  <c r="AK130" i="39"/>
  <c r="AF130" i="39"/>
  <c r="AI130" i="39"/>
  <c r="AH130" i="39"/>
  <c r="AO130" i="39"/>
  <c r="AG130" i="39"/>
  <c r="AJ130" i="39"/>
  <c r="AF114" i="39"/>
  <c r="AI114" i="39"/>
  <c r="AK114" i="39"/>
  <c r="AO114" i="39"/>
  <c r="AJ114" i="39"/>
  <c r="AH114" i="39"/>
  <c r="AG114" i="39"/>
  <c r="AI106" i="39"/>
  <c r="AF106" i="39"/>
  <c r="AJ106" i="39"/>
  <c r="AK106" i="39"/>
  <c r="AO106" i="39"/>
  <c r="AG106" i="39"/>
  <c r="AH106" i="39"/>
  <c r="AJ265" i="39"/>
  <c r="AF265" i="39"/>
  <c r="AI265" i="39"/>
  <c r="AG265" i="39"/>
  <c r="AO265" i="39"/>
  <c r="AH265" i="39"/>
  <c r="AK265" i="39"/>
  <c r="AH249" i="39"/>
  <c r="AO249" i="39"/>
  <c r="AG249" i="39"/>
  <c r="AF249" i="39"/>
  <c r="AK249" i="39"/>
  <c r="AJ249" i="39"/>
  <c r="AI249" i="39"/>
  <c r="AF233" i="39"/>
  <c r="AO233" i="39"/>
  <c r="AJ233" i="39"/>
  <c r="AK233" i="39"/>
  <c r="AI233" i="39"/>
  <c r="AG233" i="39"/>
  <c r="AH233" i="39"/>
  <c r="AH217" i="39"/>
  <c r="AG217" i="39"/>
  <c r="AI217" i="39"/>
  <c r="AK217" i="39"/>
  <c r="AO217" i="39"/>
  <c r="AF217" i="39"/>
  <c r="AJ217" i="39"/>
  <c r="AK209" i="39"/>
  <c r="AF209" i="39"/>
  <c r="AJ209" i="39"/>
  <c r="AH209" i="39"/>
  <c r="AO209" i="39"/>
  <c r="AG209" i="39"/>
  <c r="AI209" i="39"/>
  <c r="AH193" i="39"/>
  <c r="AG193" i="39"/>
  <c r="AF193" i="39"/>
  <c r="AO193" i="39"/>
  <c r="AJ193" i="39"/>
  <c r="AI193" i="39"/>
  <c r="AK193" i="39"/>
  <c r="AK177" i="39"/>
  <c r="AG177" i="39"/>
  <c r="AI177" i="39"/>
  <c r="AF177" i="39"/>
  <c r="AJ177" i="39"/>
  <c r="AO177" i="39"/>
  <c r="AH177" i="39"/>
  <c r="AJ169" i="39"/>
  <c r="AO169" i="39"/>
  <c r="AI169" i="39"/>
  <c r="AF169" i="39"/>
  <c r="AG169" i="39"/>
  <c r="AH169" i="39"/>
  <c r="AK169" i="39"/>
  <c r="AK153" i="39"/>
  <c r="AG153" i="39"/>
  <c r="AF153" i="39"/>
  <c r="AH153" i="39"/>
  <c r="AI153" i="39"/>
  <c r="AJ153" i="39"/>
  <c r="AO153" i="39"/>
  <c r="AG145" i="39"/>
  <c r="AF145" i="39"/>
  <c r="AO145" i="39"/>
  <c r="AI145" i="39"/>
  <c r="AJ145" i="39"/>
  <c r="AH145" i="39"/>
  <c r="AK145" i="39"/>
  <c r="AF129" i="39"/>
  <c r="AI129" i="39"/>
  <c r="AO129" i="39"/>
  <c r="AK129" i="39"/>
  <c r="AH129" i="39"/>
  <c r="AJ129" i="39"/>
  <c r="AG129" i="39"/>
  <c r="AG121" i="39"/>
  <c r="AK121" i="39"/>
  <c r="AJ121" i="39"/>
  <c r="AF121" i="39"/>
  <c r="AH121" i="39"/>
  <c r="AI121" i="39"/>
  <c r="AO121" i="39"/>
  <c r="AH105" i="39"/>
  <c r="AF105" i="39"/>
  <c r="AJ105" i="39"/>
  <c r="AK105" i="39"/>
  <c r="AO105" i="39"/>
  <c r="AI105" i="39"/>
  <c r="AG105" i="39"/>
  <c r="AJ97" i="39"/>
  <c r="AO97" i="39"/>
  <c r="AH97" i="39"/>
  <c r="AG97" i="39"/>
  <c r="AI97" i="39"/>
  <c r="AF97" i="39"/>
  <c r="AK97" i="39"/>
  <c r="AO57" i="39"/>
  <c r="AF57" i="39"/>
  <c r="AG57" i="39"/>
  <c r="AI57" i="39"/>
  <c r="AJ57" i="39"/>
  <c r="AK57" i="39"/>
  <c r="AH57" i="39"/>
  <c r="AF272" i="39"/>
  <c r="AH272" i="39"/>
  <c r="AG272" i="39"/>
  <c r="AK272" i="39"/>
  <c r="AI272" i="39"/>
  <c r="AJ272" i="39"/>
  <c r="AO272" i="39"/>
  <c r="AJ264" i="39"/>
  <c r="AO264" i="39"/>
  <c r="AK264" i="39"/>
  <c r="AG264" i="39"/>
  <c r="AI264" i="39"/>
  <c r="AF264" i="39"/>
  <c r="AH264" i="39"/>
  <c r="AF256" i="39"/>
  <c r="AI256" i="39"/>
  <c r="AO256" i="39"/>
  <c r="AK256" i="39"/>
  <c r="AG256" i="39"/>
  <c r="AJ256" i="39"/>
  <c r="AH256" i="39"/>
  <c r="AK248" i="39"/>
  <c r="AJ248" i="39"/>
  <c r="AH248" i="39"/>
  <c r="AO248" i="39"/>
  <c r="AG248" i="39"/>
  <c r="AI248" i="39"/>
  <c r="AF248" i="39"/>
  <c r="AO240" i="39"/>
  <c r="AF240" i="39"/>
  <c r="AI240" i="39"/>
  <c r="AH240" i="39"/>
  <c r="AG240" i="39"/>
  <c r="AK240" i="39"/>
  <c r="AJ240" i="39"/>
  <c r="AH232" i="39"/>
  <c r="AJ232" i="39"/>
  <c r="AI232" i="39"/>
  <c r="AG232" i="39"/>
  <c r="AF232" i="39"/>
  <c r="AK232" i="39"/>
  <c r="AO232" i="39"/>
  <c r="AF224" i="39"/>
  <c r="AK224" i="39"/>
  <c r="AH224" i="39"/>
  <c r="AG224" i="39"/>
  <c r="AO224" i="39"/>
  <c r="AJ224" i="39"/>
  <c r="AI224" i="39"/>
  <c r="AK216" i="39"/>
  <c r="AG216" i="39"/>
  <c r="AO216" i="39"/>
  <c r="AH216" i="39"/>
  <c r="AJ216" i="39"/>
  <c r="AI216" i="39"/>
  <c r="AF216" i="39"/>
  <c r="AI208" i="39"/>
  <c r="AF208" i="39"/>
  <c r="AG208" i="39"/>
  <c r="AH208" i="39"/>
  <c r="AJ208" i="39"/>
  <c r="AO208" i="39"/>
  <c r="AK208" i="39"/>
  <c r="AH200" i="39"/>
  <c r="AF200" i="39"/>
  <c r="AJ200" i="39"/>
  <c r="AO200" i="39"/>
  <c r="AG200" i="39"/>
  <c r="AK200" i="39"/>
  <c r="AI200" i="39"/>
  <c r="AI192" i="39"/>
  <c r="AK192" i="39"/>
  <c r="AH192" i="39"/>
  <c r="AG192" i="39"/>
  <c r="AF192" i="39"/>
  <c r="AJ192" i="39"/>
  <c r="AO192" i="39"/>
  <c r="AO184" i="39"/>
  <c r="AG184" i="39"/>
  <c r="AK184" i="39"/>
  <c r="AI184" i="39"/>
  <c r="AH184" i="39"/>
  <c r="AJ184" i="39"/>
  <c r="AF184" i="39"/>
  <c r="AG176" i="39"/>
  <c r="AO176" i="39"/>
  <c r="AI176" i="39"/>
  <c r="AH176" i="39"/>
  <c r="AK176" i="39"/>
  <c r="AF176" i="39"/>
  <c r="AJ176" i="39"/>
  <c r="AJ168" i="39"/>
  <c r="AK168" i="39"/>
  <c r="AI168" i="39"/>
  <c r="AH168" i="39"/>
  <c r="AO168" i="39"/>
  <c r="AG168" i="39"/>
  <c r="AF168" i="39"/>
  <c r="AJ160" i="39"/>
  <c r="AG160" i="39"/>
  <c r="AO160" i="39"/>
  <c r="AF160" i="39"/>
  <c r="AH160" i="39"/>
  <c r="AI160" i="39"/>
  <c r="AK160" i="39"/>
  <c r="AO152" i="39"/>
  <c r="AK152" i="39"/>
  <c r="AG152" i="39"/>
  <c r="AJ152" i="39"/>
  <c r="AI152" i="39"/>
  <c r="AF152" i="39"/>
  <c r="AH152" i="39"/>
  <c r="AI144" i="39"/>
  <c r="AG144" i="39"/>
  <c r="AF144" i="39"/>
  <c r="AK144" i="39"/>
  <c r="AH144" i="39"/>
  <c r="AJ144" i="39"/>
  <c r="AO144" i="39"/>
  <c r="AH136" i="39"/>
  <c r="AK136" i="39"/>
  <c r="AG136" i="39"/>
  <c r="AI136" i="39"/>
  <c r="AO136" i="39"/>
  <c r="AF136" i="39"/>
  <c r="AJ136" i="39"/>
  <c r="AF128" i="39"/>
  <c r="AK128" i="39"/>
  <c r="AJ128" i="39"/>
  <c r="AH128" i="39"/>
  <c r="AG128" i="39"/>
  <c r="AO128" i="39"/>
  <c r="AI128" i="39"/>
  <c r="AF120" i="39"/>
  <c r="AJ120" i="39"/>
  <c r="AG120" i="39"/>
  <c r="AI120" i="39"/>
  <c r="AH120" i="39"/>
  <c r="AO120" i="39"/>
  <c r="AK120" i="39"/>
  <c r="AH112" i="39"/>
  <c r="AO112" i="39"/>
  <c r="AI112" i="39"/>
  <c r="AK112" i="39"/>
  <c r="AJ112" i="39"/>
  <c r="AF112" i="39"/>
  <c r="AG112" i="39"/>
  <c r="AF104" i="39"/>
  <c r="AJ104" i="39"/>
  <c r="AO104" i="39"/>
  <c r="AG104" i="39"/>
  <c r="AI104" i="39"/>
  <c r="AH104" i="39"/>
  <c r="AK104" i="39"/>
  <c r="AG96" i="39"/>
  <c r="AK96" i="39"/>
  <c r="AH96" i="39"/>
  <c r="AF96" i="39"/>
  <c r="AI96" i="39"/>
  <c r="AO96" i="39"/>
  <c r="AJ96" i="39"/>
  <c r="AJ269" i="39"/>
  <c r="AK269" i="39"/>
  <c r="AO269" i="39"/>
  <c r="AG269" i="39"/>
  <c r="AF269" i="39"/>
  <c r="AI269" i="39"/>
  <c r="AH269" i="39"/>
  <c r="AI245" i="39"/>
  <c r="AJ245" i="39"/>
  <c r="AK245" i="39"/>
  <c r="AO245" i="39"/>
  <c r="AH245" i="39"/>
  <c r="AF245" i="39"/>
  <c r="AG245" i="39"/>
  <c r="AF221" i="39"/>
  <c r="AO221" i="39"/>
  <c r="AG221" i="39"/>
  <c r="AK221" i="39"/>
  <c r="AH221" i="39"/>
  <c r="AJ221" i="39"/>
  <c r="AI221" i="39"/>
  <c r="AK205" i="39"/>
  <c r="AF205" i="39"/>
  <c r="AG205" i="39"/>
  <c r="AI205" i="39"/>
  <c r="AH205" i="39"/>
  <c r="AO205" i="39"/>
  <c r="AJ205" i="39"/>
  <c r="AH181" i="39"/>
  <c r="AF181" i="39"/>
  <c r="AK181" i="39"/>
  <c r="AO181" i="39"/>
  <c r="AG181" i="39"/>
  <c r="AI181" i="39"/>
  <c r="AJ181" i="39"/>
  <c r="AF157" i="39"/>
  <c r="AO157" i="39"/>
  <c r="AK157" i="39"/>
  <c r="AI157" i="39"/>
  <c r="AG157" i="39"/>
  <c r="AH157" i="39"/>
  <c r="AJ157" i="39"/>
  <c r="AF133" i="39"/>
  <c r="AG133" i="39"/>
  <c r="AJ133" i="39"/>
  <c r="AI133" i="39"/>
  <c r="AO133" i="39"/>
  <c r="AK133" i="39"/>
  <c r="AH133" i="39"/>
  <c r="AG109" i="39"/>
  <c r="AF109" i="39"/>
  <c r="AH109" i="39"/>
  <c r="AO109" i="39"/>
  <c r="AJ109" i="39"/>
  <c r="AK109" i="39"/>
  <c r="AI109" i="39"/>
  <c r="AO244" i="39"/>
  <c r="AG244" i="39"/>
  <c r="AF244" i="39"/>
  <c r="AH244" i="39"/>
  <c r="AI244" i="39"/>
  <c r="AJ244" i="39"/>
  <c r="AK244" i="39"/>
  <c r="AI220" i="39"/>
  <c r="AG220" i="39"/>
  <c r="AH220" i="39"/>
  <c r="AF220" i="39"/>
  <c r="AJ220" i="39"/>
  <c r="AK220" i="39"/>
  <c r="AO220" i="39"/>
  <c r="AF196" i="39"/>
  <c r="AJ196" i="39"/>
  <c r="AO196" i="39"/>
  <c r="AK196" i="39"/>
  <c r="AG196" i="39"/>
  <c r="AI196" i="39"/>
  <c r="AH196" i="39"/>
  <c r="AH172" i="39"/>
  <c r="AG172" i="39"/>
  <c r="AF172" i="39"/>
  <c r="AO172" i="39"/>
  <c r="AI172" i="39"/>
  <c r="AJ172" i="39"/>
  <c r="AK172" i="39"/>
  <c r="AO148" i="39"/>
  <c r="AH148" i="39"/>
  <c r="AI148" i="39"/>
  <c r="AK148" i="39"/>
  <c r="AF148" i="39"/>
  <c r="AJ148" i="39"/>
  <c r="AG148" i="39"/>
  <c r="AK132" i="39"/>
  <c r="AJ132" i="39"/>
  <c r="AG132" i="39"/>
  <c r="AI132" i="39"/>
  <c r="AO132" i="39"/>
  <c r="AH132" i="39"/>
  <c r="AF132" i="39"/>
  <c r="AH100" i="39"/>
  <c r="AG100" i="39"/>
  <c r="AI100" i="39"/>
  <c r="AK100" i="39"/>
  <c r="AO100" i="39"/>
  <c r="AJ100" i="39"/>
  <c r="AF100" i="39"/>
  <c r="AH267" i="39"/>
  <c r="AK267" i="39"/>
  <c r="AI267" i="39"/>
  <c r="AG267" i="39"/>
  <c r="AJ267" i="39"/>
  <c r="AO267" i="39"/>
  <c r="AF267" i="39"/>
  <c r="AO251" i="39"/>
  <c r="AI251" i="39"/>
  <c r="AG251" i="39"/>
  <c r="AK251" i="39"/>
  <c r="AJ251" i="39"/>
  <c r="AF251" i="39"/>
  <c r="AH251" i="39"/>
  <c r="AI235" i="39"/>
  <c r="AG235" i="39"/>
  <c r="AO235" i="39"/>
  <c r="AH235" i="39"/>
  <c r="AF235" i="39"/>
  <c r="AK235" i="39"/>
  <c r="AJ235" i="39"/>
  <c r="AF219" i="39"/>
  <c r="AO219" i="39"/>
  <c r="AJ219" i="39"/>
  <c r="AH219" i="39"/>
  <c r="AG219" i="39"/>
  <c r="AI219" i="39"/>
  <c r="AK219" i="39"/>
  <c r="AH203" i="39"/>
  <c r="AF203" i="39"/>
  <c r="AJ203" i="39"/>
  <c r="AI203" i="39"/>
  <c r="AO203" i="39"/>
  <c r="AK203" i="39"/>
  <c r="AG203" i="39"/>
  <c r="AI171" i="39"/>
  <c r="AJ171" i="39"/>
  <c r="AH171" i="39"/>
  <c r="AK171" i="39"/>
  <c r="AG171" i="39"/>
  <c r="AF171" i="39"/>
  <c r="AO171" i="39"/>
  <c r="AJ155" i="39"/>
  <c r="AH155" i="39"/>
  <c r="AK155" i="39"/>
  <c r="AI155" i="39"/>
  <c r="AG155" i="39"/>
  <c r="AF155" i="39"/>
  <c r="AO155" i="39"/>
  <c r="AO139" i="39"/>
  <c r="AI139" i="39"/>
  <c r="AF139" i="39"/>
  <c r="AK139" i="39"/>
  <c r="AG139" i="39"/>
  <c r="AJ139" i="39"/>
  <c r="AH139" i="39"/>
  <c r="AO131" i="39"/>
  <c r="AH131" i="39"/>
  <c r="AJ131" i="39"/>
  <c r="AI131" i="39"/>
  <c r="AG131" i="39"/>
  <c r="AF131" i="39"/>
  <c r="AK131" i="39"/>
  <c r="AF115" i="39"/>
  <c r="AK115" i="39"/>
  <c r="AO115" i="39"/>
  <c r="AG115" i="39"/>
  <c r="AH115" i="39"/>
  <c r="AJ115" i="39"/>
  <c r="AI115" i="39"/>
  <c r="AK99" i="39"/>
  <c r="AI99" i="39"/>
  <c r="AH99" i="39"/>
  <c r="AF99" i="39"/>
  <c r="AG99" i="39"/>
  <c r="AO99" i="39"/>
  <c r="AJ99" i="39"/>
  <c r="AK194" i="39"/>
  <c r="AF194" i="39"/>
  <c r="AH194" i="39"/>
  <c r="AI194" i="39"/>
  <c r="AO194" i="39"/>
  <c r="AG194" i="39"/>
  <c r="AJ194" i="39"/>
  <c r="AG257" i="39"/>
  <c r="AF257" i="39"/>
  <c r="AO257" i="39"/>
  <c r="AJ257" i="39"/>
  <c r="AK257" i="39"/>
  <c r="AH257" i="39"/>
  <c r="AI257" i="39"/>
  <c r="AJ241" i="39"/>
  <c r="AI241" i="39"/>
  <c r="AO241" i="39"/>
  <c r="AH241" i="39"/>
  <c r="AF241" i="39"/>
  <c r="AK241" i="39"/>
  <c r="AG241" i="39"/>
  <c r="AJ225" i="39"/>
  <c r="AO225" i="39"/>
  <c r="AI225" i="39"/>
  <c r="AK225" i="39"/>
  <c r="AF225" i="39"/>
  <c r="AH225" i="39"/>
  <c r="AG225" i="39"/>
  <c r="AH201" i="39"/>
  <c r="AG201" i="39"/>
  <c r="AF201" i="39"/>
  <c r="AJ201" i="39"/>
  <c r="AI201" i="39"/>
  <c r="AO201" i="39"/>
  <c r="AK201" i="39"/>
  <c r="AJ185" i="39"/>
  <c r="AG185" i="39"/>
  <c r="AI185" i="39"/>
  <c r="AF185" i="39"/>
  <c r="AK185" i="39"/>
  <c r="AO185" i="39"/>
  <c r="AH185" i="39"/>
  <c r="AJ161" i="39"/>
  <c r="AK161" i="39"/>
  <c r="AF161" i="39"/>
  <c r="AO161" i="39"/>
  <c r="AH161" i="39"/>
  <c r="AG161" i="39"/>
  <c r="AI161" i="39"/>
  <c r="AH137" i="39"/>
  <c r="AJ137" i="39"/>
  <c r="AI137" i="39"/>
  <c r="AF137" i="39"/>
  <c r="AO137" i="39"/>
  <c r="AG137" i="39"/>
  <c r="AK137" i="39"/>
  <c r="AF113" i="39"/>
  <c r="AO113" i="39"/>
  <c r="AK113" i="39"/>
  <c r="AG113" i="39"/>
  <c r="AH113" i="39"/>
  <c r="AJ113" i="39"/>
  <c r="AI113" i="39"/>
  <c r="AF271" i="39"/>
  <c r="AG271" i="39"/>
  <c r="AK271" i="39"/>
  <c r="AJ271" i="39"/>
  <c r="AI271" i="39"/>
  <c r="AH271" i="39"/>
  <c r="AO271" i="39"/>
  <c r="AK263" i="39"/>
  <c r="AJ263" i="39"/>
  <c r="AO263" i="39"/>
  <c r="AG263" i="39"/>
  <c r="AH263" i="39"/>
  <c r="AI263" i="39"/>
  <c r="AF263" i="39"/>
  <c r="AI255" i="39"/>
  <c r="AK255" i="39"/>
  <c r="AG255" i="39"/>
  <c r="AF255" i="39"/>
  <c r="AH255" i="39"/>
  <c r="AJ255" i="39"/>
  <c r="AO255" i="39"/>
  <c r="AH247" i="39"/>
  <c r="AJ247" i="39"/>
  <c r="AI247" i="39"/>
  <c r="AO247" i="39"/>
  <c r="AG247" i="39"/>
  <c r="AF247" i="39"/>
  <c r="AK247" i="39"/>
  <c r="AO239" i="39"/>
  <c r="AF239" i="39"/>
  <c r="AH239" i="39"/>
  <c r="AK239" i="39"/>
  <c r="AJ239" i="39"/>
  <c r="AI239" i="39"/>
  <c r="AG239" i="39"/>
  <c r="AJ231" i="39"/>
  <c r="AK231" i="39"/>
  <c r="AF231" i="39"/>
  <c r="AI231" i="39"/>
  <c r="AO231" i="39"/>
  <c r="AG231" i="39"/>
  <c r="AH231" i="39"/>
  <c r="AK223" i="39"/>
  <c r="AH223" i="39"/>
  <c r="AI223" i="39"/>
  <c r="AG223" i="39"/>
  <c r="AJ223" i="39"/>
  <c r="AO223" i="39"/>
  <c r="AF223" i="39"/>
  <c r="AI215" i="39"/>
  <c r="AF215" i="39"/>
  <c r="AH215" i="39"/>
  <c r="AJ215" i="39"/>
  <c r="AO215" i="39"/>
  <c r="AG215" i="39"/>
  <c r="AK215" i="39"/>
  <c r="AO207" i="39"/>
  <c r="AJ207" i="39"/>
  <c r="AH207" i="39"/>
  <c r="AI207" i="39"/>
  <c r="AK207" i="39"/>
  <c r="AG207" i="39"/>
  <c r="AF207" i="39"/>
  <c r="AJ199" i="39"/>
  <c r="AI199" i="39"/>
  <c r="AK199" i="39"/>
  <c r="AO199" i="39"/>
  <c r="AG199" i="39"/>
  <c r="AF199" i="39"/>
  <c r="AH199" i="39"/>
  <c r="AF191" i="39"/>
  <c r="AH191" i="39"/>
  <c r="AI191" i="39"/>
  <c r="AJ191" i="39"/>
  <c r="AG191" i="39"/>
  <c r="AK191" i="39"/>
  <c r="AO191" i="39"/>
  <c r="AK183" i="39"/>
  <c r="AO183" i="39"/>
  <c r="AJ183" i="39"/>
  <c r="AF183" i="39"/>
  <c r="AG183" i="39"/>
  <c r="AI183" i="39"/>
  <c r="AH183" i="39"/>
  <c r="AJ175" i="39"/>
  <c r="AO175" i="39"/>
  <c r="AI175" i="39"/>
  <c r="AG175" i="39"/>
  <c r="AF175" i="39"/>
  <c r="AK175" i="39"/>
  <c r="AH175" i="39"/>
  <c r="AG167" i="39"/>
  <c r="AJ167" i="39"/>
  <c r="AF167" i="39"/>
  <c r="AH167" i="39"/>
  <c r="AO167" i="39"/>
  <c r="AI167" i="39"/>
  <c r="AK167" i="39"/>
  <c r="AK159" i="39"/>
  <c r="AJ159" i="39"/>
  <c r="AI159" i="39"/>
  <c r="AO159" i="39"/>
  <c r="AG159" i="39"/>
  <c r="AF159" i="39"/>
  <c r="AH159" i="39"/>
  <c r="AG151" i="39"/>
  <c r="AO151" i="39"/>
  <c r="AI151" i="39"/>
  <c r="AJ151" i="39"/>
  <c r="AH151" i="39"/>
  <c r="AK151" i="39"/>
  <c r="AF151" i="39"/>
  <c r="AG143" i="39"/>
  <c r="AO143" i="39"/>
  <c r="AK143" i="39"/>
  <c r="AJ143" i="39"/>
  <c r="AI143" i="39"/>
  <c r="AF143" i="39"/>
  <c r="AH143" i="39"/>
  <c r="AF135" i="39"/>
  <c r="AG135" i="39"/>
  <c r="AK135" i="39"/>
  <c r="AO135" i="39"/>
  <c r="AJ135" i="39"/>
  <c r="AI135" i="39"/>
  <c r="AH135" i="39"/>
  <c r="AG127" i="39"/>
  <c r="AH127" i="39"/>
  <c r="AK127" i="39"/>
  <c r="AI127" i="39"/>
  <c r="AF127" i="39"/>
  <c r="AJ127" i="39"/>
  <c r="AO127" i="39"/>
  <c r="AI119" i="39"/>
  <c r="AF119" i="39"/>
  <c r="AH119" i="39"/>
  <c r="AK119" i="39"/>
  <c r="AJ119" i="39"/>
  <c r="AO119" i="39"/>
  <c r="AG119" i="39"/>
  <c r="AJ111" i="39"/>
  <c r="AK111" i="39"/>
  <c r="AH111" i="39"/>
  <c r="AI111" i="39"/>
  <c r="AG111" i="39"/>
  <c r="AO111" i="39"/>
  <c r="AF111" i="39"/>
  <c r="AF103" i="39"/>
  <c r="AJ103" i="39"/>
  <c r="AG103" i="39"/>
  <c r="AI103" i="39"/>
  <c r="AK103" i="39"/>
  <c r="AO103" i="39"/>
  <c r="AH103" i="39"/>
  <c r="AO95" i="39"/>
  <c r="AK95" i="39"/>
  <c r="AI95" i="39"/>
  <c r="AG95" i="39"/>
  <c r="AH95" i="39"/>
  <c r="AF95" i="39"/>
  <c r="AJ95" i="39"/>
  <c r="AI261" i="39"/>
  <c r="AO261" i="39"/>
  <c r="AF261" i="39"/>
  <c r="AG261" i="39"/>
  <c r="AK261" i="39"/>
  <c r="AH261" i="39"/>
  <c r="AJ261" i="39"/>
  <c r="AG237" i="39"/>
  <c r="AK237" i="39"/>
  <c r="AO237" i="39"/>
  <c r="AH237" i="39"/>
  <c r="AF237" i="39"/>
  <c r="AJ237" i="39"/>
  <c r="AI237" i="39"/>
  <c r="AI213" i="39"/>
  <c r="AH213" i="39"/>
  <c r="AJ213" i="39"/>
  <c r="AF213" i="39"/>
  <c r="AG213" i="39"/>
  <c r="AK213" i="39"/>
  <c r="AO213" i="39"/>
  <c r="AI189" i="39"/>
  <c r="AO189" i="39"/>
  <c r="AF189" i="39"/>
  <c r="AJ189" i="39"/>
  <c r="AG189" i="39"/>
  <c r="AK189" i="39"/>
  <c r="AH189" i="39"/>
  <c r="AI165" i="39"/>
  <c r="AG165" i="39"/>
  <c r="AF165" i="39"/>
  <c r="AJ165" i="39"/>
  <c r="AO165" i="39"/>
  <c r="AK165" i="39"/>
  <c r="AH165" i="39"/>
  <c r="AG149" i="39"/>
  <c r="AK149" i="39"/>
  <c r="AH149" i="39"/>
  <c r="AO149" i="39"/>
  <c r="AF149" i="39"/>
  <c r="AJ149" i="39"/>
  <c r="AI149" i="39"/>
  <c r="AF125" i="39"/>
  <c r="AJ125" i="39"/>
  <c r="AI125" i="39"/>
  <c r="AK125" i="39"/>
  <c r="AG125" i="39"/>
  <c r="AO125" i="39"/>
  <c r="AH125" i="39"/>
  <c r="AG101" i="39"/>
  <c r="AH101" i="39"/>
  <c r="AI101" i="39"/>
  <c r="AJ101" i="39"/>
  <c r="AO101" i="39"/>
  <c r="AK101" i="39"/>
  <c r="AF101" i="39"/>
  <c r="AK260" i="39"/>
  <c r="AI260" i="39"/>
  <c r="AG260" i="39"/>
  <c r="AJ260" i="39"/>
  <c r="AF260" i="39"/>
  <c r="AH260" i="39"/>
  <c r="AO260" i="39"/>
  <c r="AH236" i="39"/>
  <c r="AG236" i="39"/>
  <c r="AF236" i="39"/>
  <c r="AI236" i="39"/>
  <c r="AK236" i="39"/>
  <c r="AJ236" i="39"/>
  <c r="AO236" i="39"/>
  <c r="AH204" i="39"/>
  <c r="AJ204" i="39"/>
  <c r="AO204" i="39"/>
  <c r="AF204" i="39"/>
  <c r="AK204" i="39"/>
  <c r="AI204" i="39"/>
  <c r="AG204" i="39"/>
  <c r="AH180" i="39"/>
  <c r="AI180" i="39"/>
  <c r="AJ180" i="39"/>
  <c r="AO180" i="39"/>
  <c r="AK180" i="39"/>
  <c r="AG180" i="39"/>
  <c r="AF180" i="39"/>
  <c r="AJ156" i="39"/>
  <c r="AI156" i="39"/>
  <c r="AK156" i="39"/>
  <c r="AG156" i="39"/>
  <c r="AO156" i="39"/>
  <c r="AH156" i="39"/>
  <c r="AF156" i="39"/>
  <c r="AG124" i="39"/>
  <c r="AF124" i="39"/>
  <c r="AO124" i="39"/>
  <c r="AJ124" i="39"/>
  <c r="AI124" i="39"/>
  <c r="AK124" i="39"/>
  <c r="AH124" i="39"/>
  <c r="AH108" i="39"/>
  <c r="AO108" i="39"/>
  <c r="AF108" i="39"/>
  <c r="AI108" i="39"/>
  <c r="AG108" i="39"/>
  <c r="AK108" i="39"/>
  <c r="AJ108" i="39"/>
  <c r="AO187" i="39"/>
  <c r="AK187" i="39"/>
  <c r="AG187" i="39"/>
  <c r="AJ187" i="39"/>
  <c r="AF187" i="39"/>
  <c r="AI187" i="39"/>
  <c r="AH187" i="39"/>
  <c r="AG258" i="39"/>
  <c r="AO258" i="39"/>
  <c r="AJ258" i="39"/>
  <c r="AK258" i="39"/>
  <c r="AH258" i="39"/>
  <c r="AF258" i="39"/>
  <c r="AI258" i="39"/>
  <c r="AF242" i="39"/>
  <c r="AH242" i="39"/>
  <c r="AI242" i="39"/>
  <c r="AK242" i="39"/>
  <c r="AJ242" i="39"/>
  <c r="AO242" i="39"/>
  <c r="AG242" i="39"/>
  <c r="AH226" i="39"/>
  <c r="AG226" i="39"/>
  <c r="AO226" i="39"/>
  <c r="AI226" i="39"/>
  <c r="AK226" i="39"/>
  <c r="AJ226" i="39"/>
  <c r="AF226" i="39"/>
  <c r="AO202" i="39"/>
  <c r="AK202" i="39"/>
  <c r="AJ202" i="39"/>
  <c r="AG202" i="39"/>
  <c r="AF202" i="39"/>
  <c r="AI202" i="39"/>
  <c r="AH202" i="39"/>
  <c r="AG178" i="39"/>
  <c r="AI178" i="39"/>
  <c r="AJ178" i="39"/>
  <c r="AK178" i="39"/>
  <c r="AO178" i="39"/>
  <c r="AH178" i="39"/>
  <c r="AF178" i="39"/>
  <c r="AH162" i="39"/>
  <c r="AO162" i="39"/>
  <c r="AG162" i="39"/>
  <c r="AK162" i="39"/>
  <c r="AF162" i="39"/>
  <c r="AJ162" i="39"/>
  <c r="AI162" i="39"/>
  <c r="AG146" i="39"/>
  <c r="AJ146" i="39"/>
  <c r="AK146" i="39"/>
  <c r="AH146" i="39"/>
  <c r="AO146" i="39"/>
  <c r="AI146" i="39"/>
  <c r="AF146" i="39"/>
  <c r="AK122" i="39"/>
  <c r="AI122" i="39"/>
  <c r="AF122" i="39"/>
  <c r="AO122" i="39"/>
  <c r="AG122" i="39"/>
  <c r="AH122" i="39"/>
  <c r="AJ122" i="39"/>
  <c r="AH98" i="39"/>
  <c r="AJ98" i="39"/>
  <c r="AG98" i="39"/>
  <c r="AF98" i="39"/>
  <c r="AO98" i="39"/>
  <c r="AK98" i="39"/>
  <c r="AI98" i="39"/>
  <c r="AI270" i="39"/>
  <c r="AK270" i="39"/>
  <c r="AF270" i="39"/>
  <c r="AO270" i="39"/>
  <c r="AH270" i="39"/>
  <c r="AJ270" i="39"/>
  <c r="AG270" i="39"/>
  <c r="AO262" i="39"/>
  <c r="AG262" i="39"/>
  <c r="AK262" i="39"/>
  <c r="AJ262" i="39"/>
  <c r="AH262" i="39"/>
  <c r="AI262" i="39"/>
  <c r="AF262" i="39"/>
  <c r="AI254" i="39"/>
  <c r="AF254" i="39"/>
  <c r="AG254" i="39"/>
  <c r="AH254" i="39"/>
  <c r="AK254" i="39"/>
  <c r="AJ254" i="39"/>
  <c r="AO254" i="39"/>
  <c r="AG246" i="39"/>
  <c r="AF246" i="39"/>
  <c r="AH246" i="39"/>
  <c r="AI246" i="39"/>
  <c r="AO246" i="39"/>
  <c r="AK246" i="39"/>
  <c r="AJ246" i="39"/>
  <c r="AG238" i="39"/>
  <c r="AF238" i="39"/>
  <c r="AO238" i="39"/>
  <c r="AI238" i="39"/>
  <c r="AH238" i="39"/>
  <c r="AK238" i="39"/>
  <c r="AJ238" i="39"/>
  <c r="AH230" i="39"/>
  <c r="AO230" i="39"/>
  <c r="AK230" i="39"/>
  <c r="AJ230" i="39"/>
  <c r="AG230" i="39"/>
  <c r="AF230" i="39"/>
  <c r="AI230" i="39"/>
  <c r="AK222" i="39"/>
  <c r="AI222" i="39"/>
  <c r="AJ222" i="39"/>
  <c r="AO222" i="39"/>
  <c r="AH222" i="39"/>
  <c r="AF222" i="39"/>
  <c r="AG222" i="39"/>
  <c r="AK214" i="39"/>
  <c r="AH214" i="39"/>
  <c r="AF214" i="39"/>
  <c r="AI214" i="39"/>
  <c r="AG214" i="39"/>
  <c r="AO214" i="39"/>
  <c r="AJ214" i="39"/>
  <c r="AK206" i="39"/>
  <c r="AO206" i="39"/>
  <c r="AF206" i="39"/>
  <c r="AG206" i="39"/>
  <c r="AH206" i="39"/>
  <c r="AI206" i="39"/>
  <c r="AJ206" i="39"/>
  <c r="AJ198" i="39"/>
  <c r="AI198" i="39"/>
  <c r="AF198" i="39"/>
  <c r="AH198" i="39"/>
  <c r="AO198" i="39"/>
  <c r="AK198" i="39"/>
  <c r="AG198" i="39"/>
  <c r="AF190" i="39"/>
  <c r="AG190" i="39"/>
  <c r="AI190" i="39"/>
  <c r="AK190" i="39"/>
  <c r="AO190" i="39"/>
  <c r="AH190" i="39"/>
  <c r="AJ190" i="39"/>
  <c r="AO182" i="39"/>
  <c r="AK182" i="39"/>
  <c r="AG182" i="39"/>
  <c r="AH182" i="39"/>
  <c r="AJ182" i="39"/>
  <c r="AI182" i="39"/>
  <c r="AF182" i="39"/>
  <c r="AI174" i="39"/>
  <c r="AF174" i="39"/>
  <c r="AO174" i="39"/>
  <c r="AG174" i="39"/>
  <c r="AJ174" i="39"/>
  <c r="AK174" i="39"/>
  <c r="AH174" i="39"/>
  <c r="AO166" i="39"/>
  <c r="AJ166" i="39"/>
  <c r="AI166" i="39"/>
  <c r="AH166" i="39"/>
  <c r="AK166" i="39"/>
  <c r="AF166" i="39"/>
  <c r="AG166" i="39"/>
  <c r="AK158" i="39"/>
  <c r="AJ158" i="39"/>
  <c r="AI158" i="39"/>
  <c r="AO158" i="39"/>
  <c r="AG158" i="39"/>
  <c r="AF158" i="39"/>
  <c r="AH158" i="39"/>
  <c r="AI150" i="39"/>
  <c r="AF150" i="39"/>
  <c r="AJ150" i="39"/>
  <c r="AG150" i="39"/>
  <c r="AO150" i="39"/>
  <c r="AK150" i="39"/>
  <c r="AH150" i="39"/>
  <c r="AJ142" i="39"/>
  <c r="AI142" i="39"/>
  <c r="AK142" i="39"/>
  <c r="AG142" i="39"/>
  <c r="AH142" i="39"/>
  <c r="AO142" i="39"/>
  <c r="AF142" i="39"/>
  <c r="AG134" i="39"/>
  <c r="AH134" i="39"/>
  <c r="AJ134" i="39"/>
  <c r="AI134" i="39"/>
  <c r="AF134" i="39"/>
  <c r="AO134" i="39"/>
  <c r="AK134" i="39"/>
  <c r="AG126" i="39"/>
  <c r="AJ126" i="39"/>
  <c r="AF126" i="39"/>
  <c r="AK126" i="39"/>
  <c r="AO126" i="39"/>
  <c r="AI126" i="39"/>
  <c r="AH126" i="39"/>
  <c r="AI118" i="39"/>
  <c r="AF118" i="39"/>
  <c r="AO118" i="39"/>
  <c r="AH118" i="39"/>
  <c r="AK118" i="39"/>
  <c r="AJ118" i="39"/>
  <c r="AG118" i="39"/>
  <c r="AF110" i="39"/>
  <c r="AG110" i="39"/>
  <c r="AO110" i="39"/>
  <c r="AJ110" i="39"/>
  <c r="AK110" i="39"/>
  <c r="AH110" i="39"/>
  <c r="AI110" i="39"/>
  <c r="AO102" i="39"/>
  <c r="AI102" i="39"/>
  <c r="AF102" i="39"/>
  <c r="AJ102" i="39"/>
  <c r="AK102" i="39"/>
  <c r="AH102" i="39"/>
  <c r="AG102" i="39"/>
  <c r="AF94" i="39"/>
  <c r="AK94" i="39"/>
  <c r="AG94" i="39"/>
  <c r="AJ94" i="39"/>
  <c r="AH94" i="39"/>
  <c r="AO94" i="39"/>
  <c r="AI94" i="39"/>
  <c r="AJ38" i="39"/>
  <c r="AH38" i="39"/>
  <c r="AG38" i="39"/>
  <c r="AF38" i="39"/>
  <c r="AK38" i="39"/>
  <c r="AO38" i="39"/>
  <c r="AI38" i="39"/>
  <c r="AF30" i="39"/>
  <c r="AJ30" i="39"/>
  <c r="AI30" i="39"/>
  <c r="AG30" i="39"/>
  <c r="AO30" i="39"/>
  <c r="AH30" i="39"/>
  <c r="AK30" i="39"/>
  <c r="AI15" i="38"/>
  <c r="AJ15" i="38"/>
  <c r="AG15" i="38"/>
  <c r="AK15" i="38"/>
  <c r="AH15" i="38"/>
  <c r="AF15" i="38"/>
  <c r="AO15" i="38"/>
  <c r="AG14" i="38"/>
  <c r="AK14" i="38"/>
  <c r="AF14" i="38"/>
  <c r="AO14" i="38"/>
  <c r="AI14" i="38"/>
  <c r="AH14" i="38"/>
  <c r="AJ14" i="38"/>
  <c r="AA18" i="43" a="1"/>
  <c r="AA18" i="43" s="1"/>
  <c r="AA51" i="42" a="1"/>
  <c r="AA51" i="42" s="1"/>
  <c r="AA46" i="42" a="1"/>
  <c r="AA46" i="42" s="1"/>
  <c r="AA42" i="43" a="1"/>
  <c r="AA42" i="43" s="1"/>
  <c r="AA43" i="43" a="1"/>
  <c r="AA43" i="43" s="1"/>
  <c r="AA30" i="43" a="1"/>
  <c r="AA30" i="43" s="1"/>
  <c r="AA29" i="43" a="1"/>
  <c r="AA29" i="43" s="1"/>
  <c r="AA31" i="43" a="1"/>
  <c r="AA31" i="43" s="1"/>
  <c r="AA28" i="43" a="1"/>
  <c r="AA28" i="43" s="1"/>
  <c r="AA50" i="42" a="1"/>
  <c r="AA50" i="42" s="1"/>
  <c r="AA49" i="42" a="1"/>
  <c r="AA49" i="42" s="1"/>
  <c r="AA48" i="42" a="1"/>
  <c r="AA48" i="42" s="1"/>
  <c r="AH91" i="39"/>
  <c r="AK91" i="39"/>
  <c r="AJ91" i="39"/>
  <c r="AO91" i="39"/>
  <c r="AI91" i="39"/>
  <c r="AG91" i="39"/>
  <c r="AF91" i="39"/>
  <c r="AA41" i="42" a="1"/>
  <c r="AA41" i="42" s="1"/>
  <c r="AI13" i="38"/>
  <c r="AG13" i="38"/>
  <c r="AO13" i="38"/>
  <c r="AJ13" i="38"/>
  <c r="AH13" i="38"/>
  <c r="AA13" i="38" a="1"/>
  <c r="AA13" i="38" s="1"/>
  <c r="AK13" i="38"/>
  <c r="AF13" i="38"/>
  <c r="AA22" i="43" a="1"/>
  <c r="AA22" i="43" s="1"/>
  <c r="AA23" i="43" a="1"/>
  <c r="AA23" i="43" s="1"/>
  <c r="AA24" i="43" a="1"/>
  <c r="AA24" i="43" s="1"/>
  <c r="AA21" i="43" a="1"/>
  <c r="AA21" i="43" s="1"/>
  <c r="AA20" i="43" a="1"/>
  <c r="AA20" i="43" s="1"/>
  <c r="AA19" i="43" a="1"/>
  <c r="AA19" i="43" s="1"/>
  <c r="AA17" i="43" a="1"/>
  <c r="AA17" i="43" s="1"/>
  <c r="AA43" i="42" a="1"/>
  <c r="AA43" i="42" s="1"/>
  <c r="AA42" i="42" a="1"/>
  <c r="AA42" i="42" s="1"/>
  <c r="AA44" i="42" a="1"/>
  <c r="AA44" i="42" s="1"/>
  <c r="AA45" i="42" a="1"/>
  <c r="AA45" i="42" s="1"/>
  <c r="AE89" i="50" a="1"/>
  <c r="AE89" i="50" s="1"/>
  <c r="AE81" i="50" a="1"/>
  <c r="AE81" i="50" s="1"/>
  <c r="AE73" i="50" a="1"/>
  <c r="AE73" i="50" s="1"/>
  <c r="AE65" i="50" a="1"/>
  <c r="AE65" i="50" s="1"/>
  <c r="AE57" i="50" a="1"/>
  <c r="AE57" i="50" s="1"/>
  <c r="AE49" i="50" a="1"/>
  <c r="AE49" i="50" s="1"/>
  <c r="AE41" i="50" a="1"/>
  <c r="AE41" i="50" s="1"/>
  <c r="AE33" i="50" a="1"/>
  <c r="AE33" i="50" s="1"/>
  <c r="AE25" i="50" a="1"/>
  <c r="AE25" i="50" s="1"/>
  <c r="AE88" i="50" a="1"/>
  <c r="AE88" i="50" s="1"/>
  <c r="AE80" i="50" a="1"/>
  <c r="AE80" i="50" s="1"/>
  <c r="AE72" i="50" a="1"/>
  <c r="AE72" i="50" s="1"/>
  <c r="AE64" i="50" a="1"/>
  <c r="AE64" i="50" s="1"/>
  <c r="AE56" i="50" a="1"/>
  <c r="AE56" i="50" s="1"/>
  <c r="AE48" i="50" a="1"/>
  <c r="AE48" i="50" s="1"/>
  <c r="AE40" i="50" a="1"/>
  <c r="AE40" i="50" s="1"/>
  <c r="AE32" i="50" a="1"/>
  <c r="AE32" i="50" s="1"/>
  <c r="AE24" i="50" a="1"/>
  <c r="AE24" i="50" s="1"/>
  <c r="AE87" i="50" a="1"/>
  <c r="AE87" i="50" s="1"/>
  <c r="AE79" i="50" a="1"/>
  <c r="AE79" i="50" s="1"/>
  <c r="AE71" i="50" a="1"/>
  <c r="AE71" i="50" s="1"/>
  <c r="AE63" i="50" a="1"/>
  <c r="AE63" i="50" s="1"/>
  <c r="AE55" i="50" a="1"/>
  <c r="AE55" i="50" s="1"/>
  <c r="AE47" i="50" a="1"/>
  <c r="AE47" i="50" s="1"/>
  <c r="AE39" i="50" a="1"/>
  <c r="AE39" i="50" s="1"/>
  <c r="AE31" i="50" a="1"/>
  <c r="AE31" i="50" s="1"/>
  <c r="AE23" i="50" a="1"/>
  <c r="AE23" i="50" s="1"/>
  <c r="AE94" i="50" a="1"/>
  <c r="AE94" i="50" s="1"/>
  <c r="AE86" i="50" a="1"/>
  <c r="AE86" i="50" s="1"/>
  <c r="AE78" i="50" a="1"/>
  <c r="AE78" i="50" s="1"/>
  <c r="AE70" i="50" a="1"/>
  <c r="AE70" i="50" s="1"/>
  <c r="AE62" i="50" a="1"/>
  <c r="AE62" i="50" s="1"/>
  <c r="AE54" i="50" a="1"/>
  <c r="AE54" i="50" s="1"/>
  <c r="AE46" i="50" a="1"/>
  <c r="AE46" i="50" s="1"/>
  <c r="AE38" i="50" a="1"/>
  <c r="AE38" i="50" s="1"/>
  <c r="AE30" i="50" a="1"/>
  <c r="AE30" i="50" s="1"/>
  <c r="AE22" i="50" a="1"/>
  <c r="AE22" i="50" s="1"/>
  <c r="AE93" i="50" a="1"/>
  <c r="AE93" i="50" s="1"/>
  <c r="AE85" i="50" a="1"/>
  <c r="AE85" i="50" s="1"/>
  <c r="AE77" i="50" a="1"/>
  <c r="AE77" i="50" s="1"/>
  <c r="AE69" i="50" a="1"/>
  <c r="AE69" i="50" s="1"/>
  <c r="AE61" i="50" a="1"/>
  <c r="AE61" i="50" s="1"/>
  <c r="AE53" i="50" a="1"/>
  <c r="AE53" i="50" s="1"/>
  <c r="AE45" i="50" a="1"/>
  <c r="AE45" i="50" s="1"/>
  <c r="AE37" i="50" a="1"/>
  <c r="AE37" i="50" s="1"/>
  <c r="AE29" i="50" a="1"/>
  <c r="AE29" i="50" s="1"/>
  <c r="AE21" i="50" a="1"/>
  <c r="AE21" i="50" s="1"/>
  <c r="AE92" i="50" a="1"/>
  <c r="AE92" i="50" s="1"/>
  <c r="AE84" i="50" a="1"/>
  <c r="AE84" i="50" s="1"/>
  <c r="AE76" i="50" a="1"/>
  <c r="AE76" i="50" s="1"/>
  <c r="AE68" i="50" a="1"/>
  <c r="AE68" i="50" s="1"/>
  <c r="AE60" i="50" a="1"/>
  <c r="AE60" i="50" s="1"/>
  <c r="AE52" i="50" a="1"/>
  <c r="AE52" i="50" s="1"/>
  <c r="AE44" i="50" a="1"/>
  <c r="AE44" i="50" s="1"/>
  <c r="AE36" i="50" a="1"/>
  <c r="AE36" i="50" s="1"/>
  <c r="AE28" i="50" a="1"/>
  <c r="AE28" i="50" s="1"/>
  <c r="AE20" i="50" a="1"/>
  <c r="AE20" i="50" s="1"/>
  <c r="AE91" i="50" a="1"/>
  <c r="AE91" i="50" s="1"/>
  <c r="AE83" i="50" a="1"/>
  <c r="AE83" i="50" s="1"/>
  <c r="AE75" i="50" a="1"/>
  <c r="AE75" i="50" s="1"/>
  <c r="AE67" i="50" a="1"/>
  <c r="AE67" i="50" s="1"/>
  <c r="AE59" i="50" a="1"/>
  <c r="AE59" i="50" s="1"/>
  <c r="AE51" i="50" a="1"/>
  <c r="AE51" i="50" s="1"/>
  <c r="AE43" i="50" a="1"/>
  <c r="AE43" i="50" s="1"/>
  <c r="AE35" i="50" a="1"/>
  <c r="AE35" i="50" s="1"/>
  <c r="AE27" i="50" a="1"/>
  <c r="AE27" i="50" s="1"/>
  <c r="AE19" i="50" a="1"/>
  <c r="AE19" i="50" s="1"/>
  <c r="AE90" i="50" a="1"/>
  <c r="AE90" i="50" s="1"/>
  <c r="AE82" i="50" a="1"/>
  <c r="AE82" i="50" s="1"/>
  <c r="AE74" i="50" a="1"/>
  <c r="AE74" i="50" s="1"/>
  <c r="AE66" i="50" a="1"/>
  <c r="AE66" i="50" s="1"/>
  <c r="AE58" i="50" a="1"/>
  <c r="AE58" i="50" s="1"/>
  <c r="AE50" i="50" a="1"/>
  <c r="AE50" i="50" s="1"/>
  <c r="AE42" i="50" a="1"/>
  <c r="AE42" i="50" s="1"/>
  <c r="AE34" i="50" a="1"/>
  <c r="AE34" i="50" s="1"/>
  <c r="AE26" i="50" a="1"/>
  <c r="AE26" i="50" s="1"/>
  <c r="AE18" i="50" a="1"/>
  <c r="AE18" i="50" s="1"/>
  <c r="AE14" i="50" a="1"/>
  <c r="AE14" i="50" s="1"/>
  <c r="AE16" i="50" a="1"/>
  <c r="AE16" i="50" s="1"/>
  <c r="AE15" i="50" a="1"/>
  <c r="AE15" i="50" s="1"/>
  <c r="AE17" i="50" a="1"/>
  <c r="AE17" i="50" s="1"/>
  <c r="J48" i="36" a="1"/>
  <c r="J48" i="36" s="1"/>
  <c r="J47" i="36" a="1"/>
  <c r="J47" i="36" s="1"/>
  <c r="J55" i="36" a="1"/>
  <c r="J55" i="36" s="1"/>
  <c r="J49" i="36" a="1"/>
  <c r="J49" i="36" s="1"/>
  <c r="AA16" i="44" a="1"/>
  <c r="AA16" i="44" s="1"/>
  <c r="AA15" i="44" a="1"/>
  <c r="AA15" i="44" s="1"/>
  <c r="AA17" i="42" a="1"/>
  <c r="AA17" i="42" s="1"/>
  <c r="AA16" i="42" a="1"/>
  <c r="AA16" i="42" s="1"/>
  <c r="AA63" i="46" a="1"/>
  <c r="AA63" i="46" s="1"/>
  <c r="AA58" i="46" a="1"/>
  <c r="AA58" i="46" s="1"/>
  <c r="AA53" i="46" a="1"/>
  <c r="AA53" i="46" s="1"/>
  <c r="AA48" i="46" a="1"/>
  <c r="AA48" i="46" s="1"/>
  <c r="AA61" i="46" a="1"/>
  <c r="AA61" i="46" s="1"/>
  <c r="AA46" i="46" a="1"/>
  <c r="AA46" i="46" s="1"/>
  <c r="AA62" i="46" a="1"/>
  <c r="AA62" i="46" s="1"/>
  <c r="AA56" i="46" a="1"/>
  <c r="AA56" i="46" s="1"/>
  <c r="AA57" i="46" a="1"/>
  <c r="AA57" i="46" s="1"/>
  <c r="AA52" i="46" a="1"/>
  <c r="AA52" i="46" s="1"/>
  <c r="AA47" i="46" a="1"/>
  <c r="AA47" i="46" s="1"/>
  <c r="AA51" i="46" a="1"/>
  <c r="AA51" i="46" s="1"/>
  <c r="AA45" i="46" a="1"/>
  <c r="AA45" i="46" s="1"/>
  <c r="AA60" i="46" a="1"/>
  <c r="AA60" i="46" s="1"/>
  <c r="AA49" i="46" a="1"/>
  <c r="AA49" i="46" s="1"/>
  <c r="AA59" i="46" a="1"/>
  <c r="AA59" i="46" s="1"/>
  <c r="AA54" i="46" a="1"/>
  <c r="AA54" i="46" s="1"/>
  <c r="AA50" i="46" a="1"/>
  <c r="AA50" i="46" s="1"/>
  <c r="AA44" i="46" a="1"/>
  <c r="AA44" i="46" s="1"/>
  <c r="AA55" i="46" a="1"/>
  <c r="AA55" i="46" s="1"/>
  <c r="AA43" i="46" a="1"/>
  <c r="AA43" i="46" s="1"/>
  <c r="AN220" i="56"/>
  <c r="AN212" i="56"/>
  <c r="AN204" i="56"/>
  <c r="AN196" i="56"/>
  <c r="AN188" i="56"/>
  <c r="AN180" i="56"/>
  <c r="AN172" i="56"/>
  <c r="AN164" i="56"/>
  <c r="AN148" i="56"/>
  <c r="AN140" i="56"/>
  <c r="AN132" i="56"/>
  <c r="AN124" i="56"/>
  <c r="AN219" i="56"/>
  <c r="AN211" i="56"/>
  <c r="AN203" i="56"/>
  <c r="AN195" i="56"/>
  <c r="AN187" i="56"/>
  <c r="AN179" i="56"/>
  <c r="AN171" i="56"/>
  <c r="AN163" i="56"/>
  <c r="AN155" i="56"/>
  <c r="AN147" i="56"/>
  <c r="AN139" i="56"/>
  <c r="AN131" i="56"/>
  <c r="AN123" i="56"/>
  <c r="AN218" i="56"/>
  <c r="AN210" i="56"/>
  <c r="AN202" i="56"/>
  <c r="AN194" i="56"/>
  <c r="AN186" i="56"/>
  <c r="AN178" i="56"/>
  <c r="AN170" i="56"/>
  <c r="AN162" i="56"/>
  <c r="AN154" i="56"/>
  <c r="AN146" i="56"/>
  <c r="AN138" i="56"/>
  <c r="AN130" i="56"/>
  <c r="AN122" i="56"/>
  <c r="AN121" i="56"/>
  <c r="AN128" i="56"/>
  <c r="AN221" i="56"/>
  <c r="AN209" i="56"/>
  <c r="AN193" i="56"/>
  <c r="AN185" i="56"/>
  <c r="AN169" i="56"/>
  <c r="AN145" i="56"/>
  <c r="AN129" i="56"/>
  <c r="AN208" i="56"/>
  <c r="AN192" i="56"/>
  <c r="AN176" i="56"/>
  <c r="AN160" i="56"/>
  <c r="AN136" i="56"/>
  <c r="AN215" i="56"/>
  <c r="AN207" i="56"/>
  <c r="AN199" i="56"/>
  <c r="AN191" i="56"/>
  <c r="AN183" i="56"/>
  <c r="AN175" i="56"/>
  <c r="AN167" i="56"/>
  <c r="AN159" i="56"/>
  <c r="AN151" i="56"/>
  <c r="AN143" i="56"/>
  <c r="AN135" i="56"/>
  <c r="AN127" i="56"/>
  <c r="AN213" i="56"/>
  <c r="AN205" i="56"/>
  <c r="AN197" i="56"/>
  <c r="AN189" i="56"/>
  <c r="AN181" i="56"/>
  <c r="AN173" i="56"/>
  <c r="AN165" i="56"/>
  <c r="AN157" i="56"/>
  <c r="AN149" i="56"/>
  <c r="AN141" i="56"/>
  <c r="AN133" i="56"/>
  <c r="AN125" i="56"/>
  <c r="AN156" i="56"/>
  <c r="AN217" i="56"/>
  <c r="AN201" i="56"/>
  <c r="AN177" i="56"/>
  <c r="AN161" i="56"/>
  <c r="AN153" i="56"/>
  <c r="AN137" i="56"/>
  <c r="AN216" i="56"/>
  <c r="AN200" i="56"/>
  <c r="AN184" i="56"/>
  <c r="AN168" i="56"/>
  <c r="AN152" i="56"/>
  <c r="AN144" i="56"/>
  <c r="AN214" i="56"/>
  <c r="AN206" i="56"/>
  <c r="AN198" i="56"/>
  <c r="AN190" i="56"/>
  <c r="AN182" i="56"/>
  <c r="AN174" i="56"/>
  <c r="AN166" i="56"/>
  <c r="AN158" i="56"/>
  <c r="AN150" i="56"/>
  <c r="AN142" i="56"/>
  <c r="AN134" i="56"/>
  <c r="AN126" i="56"/>
  <c r="AD18" i="45"/>
  <c r="AN15" i="56"/>
  <c r="AE218" i="56" a="1"/>
  <c r="AE218" i="56" s="1"/>
  <c r="AD209" i="56" a="1"/>
  <c r="AD209" i="56" s="1"/>
  <c r="AJ209" i="56" s="1" a="1"/>
  <c r="AJ209" i="56" s="1"/>
  <c r="AF204" i="56" a="1"/>
  <c r="AF204" i="56" s="1"/>
  <c r="AE194" i="56" a="1"/>
  <c r="AE194" i="56" s="1"/>
  <c r="AE161" i="56" a="1"/>
  <c r="AE161" i="56" s="1"/>
  <c r="AF146" i="56" a="1"/>
  <c r="AF146" i="56" s="1"/>
  <c r="AE129" i="56" a="1"/>
  <c r="AE129" i="56" s="1"/>
  <c r="AE87" i="56" a="1"/>
  <c r="AE87" i="56" s="1"/>
  <c r="AE215" i="56" a="1"/>
  <c r="AE215" i="56" s="1"/>
  <c r="AD191" i="56" a="1"/>
  <c r="AD191" i="56" s="1"/>
  <c r="AJ191" i="56" s="1" a="1"/>
  <c r="AJ191" i="56" s="1"/>
  <c r="AF129" i="56" a="1"/>
  <c r="AF129" i="56" s="1"/>
  <c r="AE53" i="56" a="1"/>
  <c r="AE53" i="56" s="1"/>
  <c r="AD218" i="56" a="1"/>
  <c r="AD218" i="56" s="1"/>
  <c r="AJ218" i="56" s="1" a="1"/>
  <c r="AJ218" i="56" s="1"/>
  <c r="AF209" i="56" a="1"/>
  <c r="AF209" i="56" s="1"/>
  <c r="AD185" i="56" a="1"/>
  <c r="AD185" i="56" s="1"/>
  <c r="AJ185" i="56" s="1" a="1"/>
  <c r="AJ185" i="56" s="1"/>
  <c r="AD161" i="56" a="1"/>
  <c r="AD161" i="56" s="1"/>
  <c r="AJ161" i="56" s="1" a="1"/>
  <c r="AJ161" i="56" s="1"/>
  <c r="AF151" i="56" a="1"/>
  <c r="AF151" i="56" s="1"/>
  <c r="AE122" i="56" a="1"/>
  <c r="AE122" i="56" s="1"/>
  <c r="AD23" i="56" a="1"/>
  <c r="AD23" i="56" s="1"/>
  <c r="AJ23" i="56" s="1" a="1"/>
  <c r="AJ23" i="56" s="1"/>
  <c r="AF21" i="56" a="1"/>
  <c r="AF21" i="56" s="1"/>
  <c r="AE39" i="56" a="1"/>
  <c r="AE39" i="56" s="1"/>
  <c r="AE209" i="56" a="1"/>
  <c r="AE209" i="56" s="1"/>
  <c r="AF194" i="56" a="1"/>
  <c r="AF194" i="56" s="1"/>
  <c r="AD177" i="56" a="1"/>
  <c r="AD177" i="56" s="1"/>
  <c r="AJ177" i="56" s="1" a="1"/>
  <c r="AJ177" i="56" s="1"/>
  <c r="AF193" i="56" a="1"/>
  <c r="AF193" i="56" s="1"/>
  <c r="AE175" i="56" a="1"/>
  <c r="AE175" i="56" s="1"/>
  <c r="AE169" i="56" a="1"/>
  <c r="AE169" i="56" s="1"/>
  <c r="AF154" i="56" a="1"/>
  <c r="AF154" i="56" s="1"/>
  <c r="AE145" i="56" a="1"/>
  <c r="AE145" i="56" s="1"/>
  <c r="AD128" i="56" a="1"/>
  <c r="AD128" i="56" s="1"/>
  <c r="AJ128" i="56" s="1" a="1"/>
  <c r="AJ128" i="56" s="1"/>
  <c r="AD122" i="56" a="1"/>
  <c r="AD122" i="56" s="1"/>
  <c r="AJ122" i="56" s="1" a="1"/>
  <c r="AJ122" i="56" s="1"/>
  <c r="AF15" i="56" a="1"/>
  <c r="AF15" i="56" s="1"/>
  <c r="AD217" i="56" a="1"/>
  <c r="AD217" i="56" s="1"/>
  <c r="AJ217" i="56" s="1" a="1"/>
  <c r="AJ217" i="56" s="1"/>
  <c r="AE212" i="56" a="1"/>
  <c r="AE212" i="56" s="1"/>
  <c r="AF202" i="56" a="1"/>
  <c r="AF202" i="56" s="1"/>
  <c r="AD188" i="56" a="1"/>
  <c r="AD188" i="56" s="1"/>
  <c r="AJ188" i="56" s="1" a="1"/>
  <c r="AJ188" i="56" s="1"/>
  <c r="AE184" i="56" a="1"/>
  <c r="AE184" i="56" s="1"/>
  <c r="AF178" i="56" a="1"/>
  <c r="AF178" i="56" s="1"/>
  <c r="AD175" i="56" a="1"/>
  <c r="AD175" i="56" s="1"/>
  <c r="AJ175" i="56" s="1" a="1"/>
  <c r="AJ175" i="56" s="1"/>
  <c r="AD169" i="56" a="1"/>
  <c r="AD169" i="56" s="1"/>
  <c r="AJ169" i="56" s="1" a="1"/>
  <c r="AJ169" i="56" s="1"/>
  <c r="AE154" i="56" a="1"/>
  <c r="AE154" i="56" s="1"/>
  <c r="AD145" i="56" a="1"/>
  <c r="AD145" i="56" s="1"/>
  <c r="AJ145" i="56" s="1" a="1"/>
  <c r="AJ145" i="56" s="1"/>
  <c r="AF122" i="56" a="1"/>
  <c r="AF122" i="56" s="1"/>
  <c r="AF217" i="56" a="1"/>
  <c r="AF217" i="56" s="1"/>
  <c r="AE207" i="56" a="1"/>
  <c r="AE207" i="56" s="1"/>
  <c r="AE202" i="56" a="1"/>
  <c r="AE202" i="56" s="1"/>
  <c r="AE192" i="56" a="1"/>
  <c r="AE192" i="56" s="1"/>
  <c r="AE178" i="56" a="1"/>
  <c r="AE178" i="56" s="1"/>
  <c r="AF169" i="56" a="1"/>
  <c r="AF169" i="56" s="1"/>
  <c r="AF159" i="56" a="1"/>
  <c r="AF159" i="56" s="1"/>
  <c r="AD154" i="56" a="1"/>
  <c r="AD154" i="56" s="1"/>
  <c r="AJ154" i="56" s="1" a="1"/>
  <c r="AJ154" i="56" s="1"/>
  <c r="AF145" i="56" a="1"/>
  <c r="AF145" i="56" s="1"/>
  <c r="AE131" i="56" a="1"/>
  <c r="AE131" i="56" s="1"/>
  <c r="AF100" i="56" a="1"/>
  <c r="AF100" i="56" s="1"/>
  <c r="AE186" i="56" a="1"/>
  <c r="AE186" i="56" s="1"/>
  <c r="AD162" i="56" a="1"/>
  <c r="AD162" i="56" s="1"/>
  <c r="AJ162" i="56" s="1" a="1"/>
  <c r="AJ162" i="56" s="1"/>
  <c r="AD202" i="56" a="1"/>
  <c r="AD202" i="56" s="1"/>
  <c r="AJ202" i="56" s="1" a="1"/>
  <c r="AJ202" i="56" s="1"/>
  <c r="AD183" i="56" a="1"/>
  <c r="AD183" i="56" s="1"/>
  <c r="AJ183" i="56" s="1" a="1"/>
  <c r="AJ183" i="56" s="1"/>
  <c r="AD178" i="56" a="1"/>
  <c r="AD178" i="56" s="1"/>
  <c r="AJ178" i="56" s="1" a="1"/>
  <c r="AJ178" i="56" s="1"/>
  <c r="AE162" i="56" a="1"/>
  <c r="AE162" i="56" s="1"/>
  <c r="AD148" i="56" a="1"/>
  <c r="AD148" i="56" s="1"/>
  <c r="AJ148" i="56" s="1" a="1"/>
  <c r="AJ148" i="56" s="1"/>
  <c r="AF137" i="56" a="1"/>
  <c r="AF137" i="56" s="1"/>
  <c r="AE121" i="56" a="1"/>
  <c r="AE121" i="56" s="1"/>
  <c r="AF101" i="56" a="1"/>
  <c r="AF101" i="56" s="1"/>
  <c r="AE191" i="56" a="1"/>
  <c r="AE191" i="56" s="1"/>
  <c r="AF153" i="56" a="1"/>
  <c r="AF153" i="56" s="1"/>
  <c r="AF218" i="56" a="1"/>
  <c r="AF218" i="56" s="1"/>
  <c r="AF201" i="56" a="1"/>
  <c r="AF201" i="56" s="1"/>
  <c r="AD186" i="56" a="1"/>
  <c r="AD186" i="56" s="1"/>
  <c r="AJ186" i="56" s="1" a="1"/>
  <c r="AJ186" i="56" s="1"/>
  <c r="AF167" i="56" a="1"/>
  <c r="AF167" i="56" s="1"/>
  <c r="AE80" i="56" a="1"/>
  <c r="AE80" i="56" s="1"/>
  <c r="AE208" i="56" a="1"/>
  <c r="AE208" i="56" s="1"/>
  <c r="AE46" i="56" a="1"/>
  <c r="AE46" i="56" s="1"/>
  <c r="AE167" i="56" a="1"/>
  <c r="AE167" i="56" s="1"/>
  <c r="AE160" i="56" a="1"/>
  <c r="AE160" i="56" s="1"/>
  <c r="AF109" i="56" a="1"/>
  <c r="AF109" i="56" s="1"/>
  <c r="AE45" i="56" a="1"/>
  <c r="AE45" i="56" s="1"/>
  <c r="AF197" i="56" a="1"/>
  <c r="AF197" i="56" s="1"/>
  <c r="AD24" i="56" a="1"/>
  <c r="AD24" i="56" s="1"/>
  <c r="AJ24" i="56" s="1" a="1"/>
  <c r="AJ24" i="56" s="1"/>
  <c r="AD100" i="56" a="1"/>
  <c r="AD100" i="56" s="1"/>
  <c r="AJ100" i="56" s="1" a="1"/>
  <c r="AJ100" i="56" s="1"/>
  <c r="AD35" i="56" a="1"/>
  <c r="AD35" i="56" s="1"/>
  <c r="AJ35" i="56" s="1" a="1"/>
  <c r="AJ35" i="56" s="1"/>
  <c r="AE201" i="56" a="1"/>
  <c r="AE201" i="56" s="1"/>
  <c r="AD108" i="56" a="1"/>
  <c r="AD108" i="56" s="1"/>
  <c r="AJ108" i="56" s="1" a="1"/>
  <c r="AJ108" i="56" s="1"/>
  <c r="AD27" i="56" a="1"/>
  <c r="AD27" i="56" s="1"/>
  <c r="AJ27" i="56" s="1" a="1"/>
  <c r="AJ27" i="56" s="1"/>
  <c r="AE146" i="56" a="1"/>
  <c r="AE146" i="56" s="1"/>
  <c r="AE69" i="56" a="1"/>
  <c r="AE69" i="56" s="1"/>
  <c r="AE185" i="56" a="1"/>
  <c r="AE185" i="56" s="1"/>
  <c r="AE38" i="56" a="1"/>
  <c r="AE38" i="56" s="1"/>
  <c r="AD164" i="56" a="1"/>
  <c r="AD164" i="56" s="1"/>
  <c r="AJ164" i="56" s="1" a="1"/>
  <c r="AJ164" i="56" s="1"/>
  <c r="AE70" i="56" a="1"/>
  <c r="AE70" i="56" s="1"/>
  <c r="AD212" i="56" a="1"/>
  <c r="AD212" i="56" s="1"/>
  <c r="AJ212" i="56" s="1" a="1"/>
  <c r="AJ212" i="56" s="1"/>
  <c r="AD91" i="56" a="1"/>
  <c r="AD91" i="56" s="1"/>
  <c r="AJ91" i="56" s="1" a="1"/>
  <c r="AJ91" i="56" s="1"/>
  <c r="AD133" i="56" a="1"/>
  <c r="AD133" i="56" s="1"/>
  <c r="AJ133" i="56" s="1" a="1"/>
  <c r="AJ133" i="56" s="1"/>
  <c r="AD204" i="56" a="1"/>
  <c r="AD204" i="56" s="1"/>
  <c r="AJ204" i="56" s="1" a="1"/>
  <c r="AJ204" i="56" s="1"/>
  <c r="AD156" i="56" a="1"/>
  <c r="AD156" i="56" s="1"/>
  <c r="AJ156" i="56" s="1" a="1"/>
  <c r="AJ156" i="56" s="1"/>
  <c r="AE164" i="56" a="1"/>
  <c r="AE164" i="56" s="1"/>
  <c r="AF156" i="56" a="1"/>
  <c r="AF156" i="56" s="1"/>
  <c r="AE76" i="56" a="1"/>
  <c r="AE76" i="56" s="1"/>
  <c r="AD201" i="56" a="1"/>
  <c r="AD201" i="56" s="1"/>
  <c r="AJ201" i="56" s="1" a="1"/>
  <c r="AJ201" i="56" s="1"/>
  <c r="AF128" i="56" a="1"/>
  <c r="AF128" i="56" s="1"/>
  <c r="AD199" i="56" a="1"/>
  <c r="AD199" i="56" s="1"/>
  <c r="AJ199" i="56" s="1" a="1"/>
  <c r="AJ199" i="56" s="1"/>
  <c r="AE173" i="56" a="1"/>
  <c r="AE173" i="56" s="1"/>
  <c r="AF219" i="56" a="1"/>
  <c r="AF219" i="56" s="1"/>
  <c r="AD187" i="56" a="1"/>
  <c r="AD187" i="56" s="1"/>
  <c r="AJ187" i="56" s="1" a="1"/>
  <c r="AJ187" i="56" s="1"/>
  <c r="AE190" i="56" a="1"/>
  <c r="AE190" i="56" s="1"/>
  <c r="AD147" i="56" a="1"/>
  <c r="AD147" i="56" s="1"/>
  <c r="AJ147" i="56" s="1" a="1"/>
  <c r="AJ147" i="56" s="1"/>
  <c r="AD174" i="56" a="1"/>
  <c r="AD174" i="56" s="1"/>
  <c r="AJ174" i="56" s="1" a="1"/>
  <c r="AJ174" i="56" s="1"/>
  <c r="AF141" i="56" a="1"/>
  <c r="AF141" i="56" s="1"/>
  <c r="AF182" i="56" a="1"/>
  <c r="AF182" i="56" s="1"/>
  <c r="AF132" i="56" a="1"/>
  <c r="AF132" i="56" s="1"/>
  <c r="AF181" i="56" a="1"/>
  <c r="AF181" i="56" s="1"/>
  <c r="AF166" i="56" a="1"/>
  <c r="AF166" i="56" s="1"/>
  <c r="AF198" i="56" a="1"/>
  <c r="AF198" i="56" s="1"/>
  <c r="AD121" i="56" a="1"/>
  <c r="AD121" i="56" s="1"/>
  <c r="AF206" i="56" a="1"/>
  <c r="AF206" i="56" s="1"/>
  <c r="AD168" i="56" a="1"/>
  <c r="AD168" i="56" s="1"/>
  <c r="AJ168" i="56" s="1" a="1"/>
  <c r="AJ168" i="56" s="1"/>
  <c r="AF152" i="56" a="1"/>
  <c r="AF152" i="56" s="1"/>
  <c r="AF216" i="56" a="1"/>
  <c r="AF216" i="56" s="1"/>
  <c r="AF55" i="56" a="1"/>
  <c r="AF55" i="56" s="1"/>
  <c r="AD46" i="56" a="1"/>
  <c r="AD46" i="56" s="1"/>
  <c r="AJ46" i="56" s="1" a="1"/>
  <c r="AJ46" i="56" s="1"/>
  <c r="AE115" i="56" a="1"/>
  <c r="AE115" i="56" s="1"/>
  <c r="AE95" i="56" a="1"/>
  <c r="AE95" i="56" s="1"/>
  <c r="AE98" i="56" a="1"/>
  <c r="AE98" i="56" s="1"/>
  <c r="AF66" i="56" a="1"/>
  <c r="AF66" i="56" s="1"/>
  <c r="AF42" i="56" a="1"/>
  <c r="AF42" i="56" s="1"/>
  <c r="AF18" i="56" a="1"/>
  <c r="AF18" i="56" s="1"/>
  <c r="AD89" i="56" a="1"/>
  <c r="AD89" i="56" s="1"/>
  <c r="AJ89" i="56" s="1" a="1"/>
  <c r="AJ89" i="56" s="1"/>
  <c r="AF57" i="56" a="1"/>
  <c r="AF57" i="56" s="1"/>
  <c r="AF33" i="56" a="1"/>
  <c r="AF33" i="56" s="1"/>
  <c r="AF104" i="56" a="1"/>
  <c r="AF104" i="56" s="1"/>
  <c r="AD72" i="56" a="1"/>
  <c r="AD72" i="56" s="1"/>
  <c r="AJ72" i="56" s="1" a="1"/>
  <c r="AJ72" i="56" s="1"/>
  <c r="AE113" i="56" a="1"/>
  <c r="AE113" i="56" s="1"/>
  <c r="AF36" i="56" a="1"/>
  <c r="AF36" i="56" s="1"/>
  <c r="AE60" i="56" a="1"/>
  <c r="AE60" i="56" s="1"/>
  <c r="AF25" i="56" a="1"/>
  <c r="AF25" i="56" s="1"/>
  <c r="AE88" i="56" a="1"/>
  <c r="AE88" i="56" s="1"/>
  <c r="AE51" i="56" a="1"/>
  <c r="AE51" i="56" s="1"/>
  <c r="AF19" i="56" a="1"/>
  <c r="AF19" i="56" s="1"/>
  <c r="AF108" i="56" a="1"/>
  <c r="AF108" i="56" s="1"/>
  <c r="AD102" i="56" a="1"/>
  <c r="AD102" i="56" s="1"/>
  <c r="AJ102" i="56" s="1" a="1"/>
  <c r="AJ102" i="56" s="1"/>
  <c r="AD66" i="56" a="1"/>
  <c r="AD66" i="56" s="1"/>
  <c r="AJ66" i="56" s="1" a="1"/>
  <c r="AJ66" i="56" s="1"/>
  <c r="AF56" i="56" a="1"/>
  <c r="AF56" i="56" s="1"/>
  <c r="AF96" i="56" a="1"/>
  <c r="AF96" i="56" s="1"/>
  <c r="AF24" i="56" a="1"/>
  <c r="AF24" i="56" s="1"/>
  <c r="AD32" i="56" a="1"/>
  <c r="AD32" i="56" s="1"/>
  <c r="AJ32" i="56" s="1" a="1"/>
  <c r="AJ32" i="56" s="1"/>
  <c r="AE176" i="56" a="1"/>
  <c r="AE176" i="56" s="1"/>
  <c r="AE30" i="56" a="1"/>
  <c r="AE30" i="56" s="1"/>
  <c r="AE159" i="56" a="1"/>
  <c r="AE159" i="56" s="1"/>
  <c r="AE110" i="56" a="1"/>
  <c r="AE110" i="56" s="1"/>
  <c r="AE101" i="56" a="1"/>
  <c r="AE101" i="56" s="1"/>
  <c r="AF37" i="56" a="1"/>
  <c r="AF37" i="56" s="1"/>
  <c r="AF165" i="56" a="1"/>
  <c r="AF165" i="56" s="1"/>
  <c r="AE217" i="56" a="1"/>
  <c r="AE217" i="56" s="1"/>
  <c r="AD84" i="56" a="1"/>
  <c r="AD84" i="56" s="1"/>
  <c r="AJ84" i="56" s="1" a="1"/>
  <c r="AJ84" i="56" s="1"/>
  <c r="AD19" i="56" a="1"/>
  <c r="AD19" i="56" s="1"/>
  <c r="AJ19" i="56" s="1" a="1"/>
  <c r="AJ19" i="56" s="1"/>
  <c r="AE177" i="56" a="1"/>
  <c r="AE177" i="56" s="1"/>
  <c r="AD92" i="56" a="1"/>
  <c r="AD92" i="56" s="1"/>
  <c r="AJ92" i="56" s="1" a="1"/>
  <c r="AJ92" i="56" s="1"/>
  <c r="AF113" i="56" a="1"/>
  <c r="AF113" i="56" s="1"/>
  <c r="AF138" i="56" a="1"/>
  <c r="AF138" i="56" s="1"/>
  <c r="AE22" i="56" a="1"/>
  <c r="AE22" i="56" s="1"/>
  <c r="AF188" i="56" a="1"/>
  <c r="AF188" i="56" s="1"/>
  <c r="AD193" i="56" a="1"/>
  <c r="AD193" i="56" s="1"/>
  <c r="AJ193" i="56" s="1" a="1"/>
  <c r="AJ193" i="56" s="1"/>
  <c r="AF76" i="56" a="1"/>
  <c r="AF76" i="56" s="1"/>
  <c r="AD115" i="56" a="1"/>
  <c r="AD115" i="56" s="1"/>
  <c r="AJ115" i="56" s="1" a="1"/>
  <c r="AJ115" i="56" s="1"/>
  <c r="AF91" i="56" a="1"/>
  <c r="AF91" i="56" s="1"/>
  <c r="AF133" i="56" a="1"/>
  <c r="AF133" i="56" s="1"/>
  <c r="AE196" i="56" a="1"/>
  <c r="AE196" i="56" s="1"/>
  <c r="AE148" i="56" a="1"/>
  <c r="AE148" i="56" s="1"/>
  <c r="AE52" i="56" a="1"/>
  <c r="AE52" i="56" s="1"/>
  <c r="AE210" i="56" a="1"/>
  <c r="AE210" i="56" s="1"/>
  <c r="AD143" i="56" a="1"/>
  <c r="AD143" i="56" s="1"/>
  <c r="AJ143" i="56" s="1" a="1"/>
  <c r="AJ143" i="56" s="1"/>
  <c r="AD151" i="56" a="1"/>
  <c r="AD151" i="56" s="1"/>
  <c r="AJ151" i="56" s="1" a="1"/>
  <c r="AJ151" i="56" s="1"/>
  <c r="AD173" i="56" a="1"/>
  <c r="AD173" i="56" s="1"/>
  <c r="AJ173" i="56" s="1" a="1"/>
  <c r="AJ173" i="56" s="1"/>
  <c r="AE219" i="56" a="1"/>
  <c r="AE219" i="56" s="1"/>
  <c r="AF124" i="56" a="1"/>
  <c r="AF124" i="56" s="1"/>
  <c r="AF195" i="56" a="1"/>
  <c r="AF195" i="56" s="1"/>
  <c r="AF179" i="56" a="1"/>
  <c r="AF179" i="56" s="1"/>
  <c r="AD214" i="56" a="1"/>
  <c r="AD214" i="56" s="1"/>
  <c r="AJ214" i="56" s="1" a="1"/>
  <c r="AJ214" i="56" s="1"/>
  <c r="AE149" i="56" a="1"/>
  <c r="AE149" i="56" s="1"/>
  <c r="AE182" i="56" a="1"/>
  <c r="AE182" i="56" s="1"/>
  <c r="AE132" i="56" a="1"/>
  <c r="AE132" i="56" s="1"/>
  <c r="AD132" i="56" a="1"/>
  <c r="AD132" i="56" s="1"/>
  <c r="AJ132" i="56" s="1" a="1"/>
  <c r="AJ132" i="56" s="1"/>
  <c r="AE166" i="56" a="1"/>
  <c r="AE166" i="56" s="1"/>
  <c r="AE198" i="56" a="1"/>
  <c r="AE198" i="56" s="1"/>
  <c r="AF121" i="56" a="1"/>
  <c r="AF121" i="56" s="1"/>
  <c r="AE206" i="56" a="1"/>
  <c r="AE206" i="56" s="1"/>
  <c r="AD176" i="56" a="1"/>
  <c r="AD176" i="56" s="1"/>
  <c r="AJ176" i="56" s="1" a="1"/>
  <c r="AJ176" i="56" s="1"/>
  <c r="AF160" i="56" a="1"/>
  <c r="AF160" i="56" s="1"/>
  <c r="AF39" i="56" a="1"/>
  <c r="AF39" i="56" s="1"/>
  <c r="AD30" i="56" a="1"/>
  <c r="AD30" i="56" s="1"/>
  <c r="AJ30" i="56" s="1" a="1"/>
  <c r="AJ30" i="56" s="1"/>
  <c r="AE94" i="56" a="1"/>
  <c r="AE94" i="56" s="1"/>
  <c r="AE79" i="56" a="1"/>
  <c r="AE79" i="56" s="1"/>
  <c r="AF98" i="56" a="1"/>
  <c r="AF98" i="56" s="1"/>
  <c r="AE66" i="56" a="1"/>
  <c r="AE66" i="56" s="1"/>
  <c r="AD42" i="56" a="1"/>
  <c r="AD42" i="56" s="1"/>
  <c r="AJ42" i="56" s="1" a="1"/>
  <c r="AJ42" i="56" s="1"/>
  <c r="AE18" i="56" a="1"/>
  <c r="AE18" i="56" s="1"/>
  <c r="AE81" i="56" a="1"/>
  <c r="AE81" i="56" s="1"/>
  <c r="AD57" i="56" a="1"/>
  <c r="AD57" i="56" s="1"/>
  <c r="AJ57" i="56" s="1" a="1"/>
  <c r="AJ57" i="56" s="1"/>
  <c r="AD33" i="56" a="1"/>
  <c r="AD33" i="56" s="1"/>
  <c r="AJ33" i="56" s="1" a="1"/>
  <c r="AJ33" i="56" s="1"/>
  <c r="AE104" i="56" a="1"/>
  <c r="AE104" i="56" s="1"/>
  <c r="AF64" i="56" a="1"/>
  <c r="AF64" i="56" s="1"/>
  <c r="AE25" i="56" a="1"/>
  <c r="AE25" i="56" s="1"/>
  <c r="AE28" i="56" a="1"/>
  <c r="AE28" i="56" s="1"/>
  <c r="AE33" i="56" a="1"/>
  <c r="AE33" i="56" s="1"/>
  <c r="AD25" i="56" a="1"/>
  <c r="AD25" i="56" s="1"/>
  <c r="AJ25" i="56" s="1" a="1"/>
  <c r="AJ25" i="56" s="1"/>
  <c r="AF32" i="56" a="1"/>
  <c r="AF32" i="56" s="1"/>
  <c r="AF51" i="56" a="1"/>
  <c r="AF51" i="56" s="1"/>
  <c r="AE19" i="56" a="1"/>
  <c r="AE19" i="56" s="1"/>
  <c r="AF84" i="56" a="1"/>
  <c r="AF84" i="56" s="1"/>
  <c r="AD34" i="56" a="1"/>
  <c r="AD34" i="56" s="1"/>
  <c r="AJ34" i="56" s="1" a="1"/>
  <c r="AJ34" i="56" s="1"/>
  <c r="AE20" i="56" a="1"/>
  <c r="AE20" i="56" s="1"/>
  <c r="AF43" i="56" a="1"/>
  <c r="AF43" i="56" s="1"/>
  <c r="AE193" i="56" a="1"/>
  <c r="AE193" i="56" s="1"/>
  <c r="AE168" i="56" a="1"/>
  <c r="AE168" i="56" s="1"/>
  <c r="AF215" i="56" a="1"/>
  <c r="AF215" i="56" s="1"/>
  <c r="AE151" i="56" a="1"/>
  <c r="AE151" i="56" s="1"/>
  <c r="AF94" i="56" a="1"/>
  <c r="AF94" i="56" s="1"/>
  <c r="AF93" i="56" a="1"/>
  <c r="AF93" i="56" s="1"/>
  <c r="AF29" i="56" a="1"/>
  <c r="AF29" i="56" s="1"/>
  <c r="AE125" i="56" a="1"/>
  <c r="AE125" i="56" s="1"/>
  <c r="AF185" i="56" a="1"/>
  <c r="AF185" i="56" s="1"/>
  <c r="AD68" i="56" a="1"/>
  <c r="AD68" i="56" s="1"/>
  <c r="AJ68" i="56" s="1" a="1"/>
  <c r="AJ68" i="56" s="1"/>
  <c r="AF114" i="56" a="1"/>
  <c r="AF114" i="56" s="1"/>
  <c r="AD95" i="56" a="1"/>
  <c r="AD95" i="56" s="1"/>
  <c r="AJ95" i="56" s="1" a="1"/>
  <c r="AJ95" i="56" s="1"/>
  <c r="AD76" i="56" a="1"/>
  <c r="AD76" i="56" s="1"/>
  <c r="AJ76" i="56" s="1" a="1"/>
  <c r="AJ76" i="56" s="1"/>
  <c r="AE17" i="56" a="1"/>
  <c r="AE17" i="56" s="1"/>
  <c r="AF130" i="56" a="1"/>
  <c r="AF130" i="56" s="1"/>
  <c r="AF63" i="56" a="1"/>
  <c r="AF63" i="56" s="1"/>
  <c r="AD215" i="56" a="1"/>
  <c r="AD215" i="56" s="1"/>
  <c r="AJ215" i="56" s="1" a="1"/>
  <c r="AJ215" i="56" s="1"/>
  <c r="AF207" i="56" a="1"/>
  <c r="AF207" i="56" s="1"/>
  <c r="AD172" i="56" a="1"/>
  <c r="AD172" i="56" s="1"/>
  <c r="AJ172" i="56" s="1" a="1"/>
  <c r="AJ172" i="56" s="1"/>
  <c r="AF115" i="56" a="1"/>
  <c r="AF115" i="56" s="1"/>
  <c r="AE83" i="56" a="1"/>
  <c r="AE83" i="56" s="1"/>
  <c r="AD125" i="56" a="1"/>
  <c r="AD125" i="56" s="1"/>
  <c r="AJ125" i="56" s="1" a="1"/>
  <c r="AJ125" i="56" s="1"/>
  <c r="AF196" i="56" a="1"/>
  <c r="AF196" i="56" s="1"/>
  <c r="AF148" i="56" a="1"/>
  <c r="AF148" i="56" s="1"/>
  <c r="AF45" i="56" a="1"/>
  <c r="AF45" i="56" s="1"/>
  <c r="AD15" i="56" a="1"/>
  <c r="AD15" i="56" s="1"/>
  <c r="AD54" i="56" a="1"/>
  <c r="AD54" i="56" s="1"/>
  <c r="AJ54" i="56" s="1" a="1"/>
  <c r="AJ54" i="56" s="1"/>
  <c r="AE143" i="56" a="1"/>
  <c r="AE143" i="56" s="1"/>
  <c r="AD159" i="56" a="1"/>
  <c r="AD159" i="56" s="1"/>
  <c r="AJ159" i="56" s="1" a="1"/>
  <c r="AJ159" i="56" s="1"/>
  <c r="AF174" i="56" a="1"/>
  <c r="AF174" i="56" s="1"/>
  <c r="AD219" i="56" a="1"/>
  <c r="AD219" i="56" s="1"/>
  <c r="AJ219" i="56" s="1" a="1"/>
  <c r="AJ219" i="56" s="1"/>
  <c r="AE124" i="56" a="1"/>
  <c r="AE124" i="56" s="1"/>
  <c r="AE195" i="56" a="1"/>
  <c r="AE195" i="56" s="1"/>
  <c r="AE179" i="56" a="1"/>
  <c r="AE179" i="56" s="1"/>
  <c r="AE221" i="56" a="1"/>
  <c r="AE221" i="56" s="1"/>
  <c r="AD149" i="56" a="1"/>
  <c r="AD149" i="56" s="1"/>
  <c r="AJ149" i="56" s="1" a="1"/>
  <c r="AJ149" i="56" s="1"/>
  <c r="AF213" i="56" a="1"/>
  <c r="AF213" i="56" s="1"/>
  <c r="AF149" i="56" a="1"/>
  <c r="AF149" i="56" s="1"/>
  <c r="AD190" i="56" a="1"/>
  <c r="AD190" i="56" s="1"/>
  <c r="AJ190" i="56" s="1" a="1"/>
  <c r="AJ190" i="56" s="1"/>
  <c r="AF171" i="56" a="1"/>
  <c r="AF171" i="56" s="1"/>
  <c r="AF203" i="56" a="1"/>
  <c r="AF203" i="56" s="1"/>
  <c r="AD129" i="56" a="1"/>
  <c r="AD129" i="56" s="1"/>
  <c r="AJ129" i="56" s="1" a="1"/>
  <c r="AJ129" i="56" s="1"/>
  <c r="AF211" i="56" a="1"/>
  <c r="AF211" i="56" s="1"/>
  <c r="AD184" i="56" a="1"/>
  <c r="AD184" i="56" s="1"/>
  <c r="AJ184" i="56" s="1" a="1"/>
  <c r="AJ184" i="56" s="1"/>
  <c r="AF168" i="56" a="1"/>
  <c r="AF168" i="56" s="1"/>
  <c r="AF95" i="56" a="1"/>
  <c r="AF95" i="56" s="1"/>
  <c r="AE78" i="56" a="1"/>
  <c r="AE78" i="56" s="1"/>
  <c r="AE63" i="56" a="1"/>
  <c r="AE63" i="56" s="1"/>
  <c r="AF90" i="56" a="1"/>
  <c r="AF90" i="56" s="1"/>
  <c r="AE58" i="56" a="1"/>
  <c r="AE58" i="56" s="1"/>
  <c r="AE34" i="56" a="1"/>
  <c r="AE34" i="56" s="1"/>
  <c r="AD18" i="56" a="1"/>
  <c r="AD18" i="56" s="1"/>
  <c r="AJ18" i="56" s="1" a="1"/>
  <c r="AJ18" i="56" s="1"/>
  <c r="AD81" i="56" a="1"/>
  <c r="AD81" i="56" s="1"/>
  <c r="AJ81" i="56" s="1" a="1"/>
  <c r="AJ81" i="56" s="1"/>
  <c r="AE49" i="56" a="1"/>
  <c r="AE49" i="56" s="1"/>
  <c r="AD17" i="56" a="1"/>
  <c r="AD17" i="56" s="1"/>
  <c r="AJ17" i="56" s="1" a="1"/>
  <c r="AJ17" i="56" s="1"/>
  <c r="AD104" i="56" a="1"/>
  <c r="AD104" i="56" s="1"/>
  <c r="AJ104" i="56" s="1" a="1"/>
  <c r="AJ104" i="56" s="1"/>
  <c r="AD64" i="56" a="1"/>
  <c r="AD64" i="56" s="1"/>
  <c r="AJ64" i="56" s="1" a="1"/>
  <c r="AJ64" i="56" s="1"/>
  <c r="AE48" i="56" a="1"/>
  <c r="AE48" i="56" s="1"/>
  <c r="AF28" i="56" a="1"/>
  <c r="AF28" i="56" s="1"/>
  <c r="AE97" i="56" a="1"/>
  <c r="AE97" i="56" s="1"/>
  <c r="AF106" i="56" a="1"/>
  <c r="AF106" i="56" s="1"/>
  <c r="AD98" i="56" a="1"/>
  <c r="AD98" i="56" s="1"/>
  <c r="AJ98" i="56" s="1" a="1"/>
  <c r="AJ98" i="56" s="1"/>
  <c r="AE43" i="56" a="1"/>
  <c r="AE43" i="56" s="1"/>
  <c r="AD105" i="56" a="1"/>
  <c r="AD105" i="56" s="1"/>
  <c r="AJ105" i="56" s="1" a="1"/>
  <c r="AJ105" i="56" s="1"/>
  <c r="AF40" i="56" a="1"/>
  <c r="AF40" i="56" s="1"/>
  <c r="AF58" i="56" a="1"/>
  <c r="AF58" i="56" s="1"/>
  <c r="AF88" i="56" a="1"/>
  <c r="AF88" i="56" s="1"/>
  <c r="AF97" i="56" a="1"/>
  <c r="AF97" i="56" s="1"/>
  <c r="AF17" i="56" a="1"/>
  <c r="AF17" i="56" s="1"/>
  <c r="AD67" i="56" a="1"/>
  <c r="AD67" i="56" s="1"/>
  <c r="AJ67" i="56" s="1" a="1"/>
  <c r="AJ67" i="56" s="1"/>
  <c r="AF161" i="56" a="1"/>
  <c r="AF161" i="56" s="1"/>
  <c r="AE152" i="56" a="1"/>
  <c r="AE152" i="56" s="1"/>
  <c r="AD207" i="56" a="1"/>
  <c r="AD207" i="56" s="1"/>
  <c r="AJ207" i="56" s="1" a="1"/>
  <c r="AJ207" i="56" s="1"/>
  <c r="AF143" i="56" a="1"/>
  <c r="AF143" i="56" s="1"/>
  <c r="AF78" i="56" a="1"/>
  <c r="AF78" i="56" s="1"/>
  <c r="AF85" i="56" a="1"/>
  <c r="AF85" i="56" s="1"/>
  <c r="AE21" i="56" a="1"/>
  <c r="AE21" i="56" s="1"/>
  <c r="AF212" i="56" a="1"/>
  <c r="AF212" i="56" s="1"/>
  <c r="AE153" i="56" a="1"/>
  <c r="AE153" i="56" s="1"/>
  <c r="AF52" i="56" a="1"/>
  <c r="AF52" i="56" s="1"/>
  <c r="AE106" i="56" a="1"/>
  <c r="AE106" i="56" s="1"/>
  <c r="AD71" i="56" a="1"/>
  <c r="AD71" i="56" s="1"/>
  <c r="AJ71" i="56" s="1" a="1"/>
  <c r="AJ71" i="56" s="1"/>
  <c r="AF60" i="56" a="1"/>
  <c r="AF60" i="56" s="1"/>
  <c r="AF210" i="56" a="1"/>
  <c r="AF210" i="56" s="1"/>
  <c r="AF92" i="56" a="1"/>
  <c r="AF92" i="56" s="1"/>
  <c r="AD140" i="56" a="1"/>
  <c r="AD140" i="56" s="1"/>
  <c r="AJ140" i="56" s="1" a="1"/>
  <c r="AJ140" i="56" s="1"/>
  <c r="AE140" i="56" a="1"/>
  <c r="AE140" i="56" s="1"/>
  <c r="AE37" i="56" a="1"/>
  <c r="AE37" i="56" s="1"/>
  <c r="AD101" i="56" a="1"/>
  <c r="AD101" i="56" s="1"/>
  <c r="AJ101" i="56" s="1" a="1"/>
  <c r="AJ101" i="56" s="1"/>
  <c r="AD86" i="56" a="1"/>
  <c r="AD86" i="56" s="1"/>
  <c r="AJ86" i="56" s="1" a="1"/>
  <c r="AJ86" i="56" s="1"/>
  <c r="AE100" i="56" a="1"/>
  <c r="AE100" i="56" s="1"/>
  <c r="AE107" i="56" a="1"/>
  <c r="AE107" i="56" s="1"/>
  <c r="AF83" i="56" a="1"/>
  <c r="AF83" i="56" s="1"/>
  <c r="AF125" i="56" a="1"/>
  <c r="AF125" i="56" s="1"/>
  <c r="AD196" i="56" a="1"/>
  <c r="AD196" i="56" s="1"/>
  <c r="AJ196" i="56" s="1" a="1"/>
  <c r="AJ196" i="56" s="1"/>
  <c r="AD40" i="56" a="1"/>
  <c r="AD40" i="56" s="1"/>
  <c r="AJ40" i="56" s="1" a="1"/>
  <c r="AJ40" i="56" s="1"/>
  <c r="AE138" i="56" a="1"/>
  <c r="AE138" i="56" s="1"/>
  <c r="AE71" i="56" a="1"/>
  <c r="AE71" i="56" s="1"/>
  <c r="AF136" i="56" a="1"/>
  <c r="AF136" i="56" s="1"/>
  <c r="AD167" i="56" a="1"/>
  <c r="AD167" i="56" s="1"/>
  <c r="AJ167" i="56" s="1" a="1"/>
  <c r="AJ167" i="56" s="1"/>
  <c r="AE174" i="56" a="1"/>
  <c r="AE174" i="56" s="1"/>
  <c r="AF155" i="56" a="1"/>
  <c r="AF155" i="56" s="1"/>
  <c r="AF158" i="56" a="1"/>
  <c r="AF158" i="56" s="1"/>
  <c r="AD195" i="56" a="1"/>
  <c r="AD195" i="56" s="1"/>
  <c r="AJ195" i="56" s="1" a="1"/>
  <c r="AJ195" i="56" s="1"/>
  <c r="AD179" i="56" a="1"/>
  <c r="AD179" i="56" s="1"/>
  <c r="AJ179" i="56" s="1" a="1"/>
  <c r="AJ179" i="56" s="1"/>
  <c r="AD221" i="56" a="1"/>
  <c r="AD221" i="56" s="1"/>
  <c r="AJ221" i="56" s="1" a="1"/>
  <c r="AJ221" i="56" s="1"/>
  <c r="AF150" i="56" a="1"/>
  <c r="AF150" i="56" s="1"/>
  <c r="AE130" i="56" a="1"/>
  <c r="AE130" i="56" s="1"/>
  <c r="AE157" i="56" a="1"/>
  <c r="AE157" i="56" s="1"/>
  <c r="AF139" i="56" a="1"/>
  <c r="AF139" i="56" s="1"/>
  <c r="AE171" i="56" a="1"/>
  <c r="AE171" i="56" s="1"/>
  <c r="AE203" i="56" a="1"/>
  <c r="AE203" i="56" s="1"/>
  <c r="AD139" i="56" a="1"/>
  <c r="AD139" i="56" s="1"/>
  <c r="AJ139" i="56" s="1" a="1"/>
  <c r="AJ139" i="56" s="1"/>
  <c r="AE211" i="56" a="1"/>
  <c r="AE211" i="56" s="1"/>
  <c r="AD192" i="56" a="1"/>
  <c r="AD192" i="56" s="1"/>
  <c r="AJ192" i="56" s="1" a="1"/>
  <c r="AJ192" i="56" s="1"/>
  <c r="AF176" i="56" a="1"/>
  <c r="AF176" i="56" s="1"/>
  <c r="AE47" i="56" a="1"/>
  <c r="AE47" i="56" s="1"/>
  <c r="AE29" i="56" a="1"/>
  <c r="AE29" i="56" s="1"/>
  <c r="AE16" i="56" a="1"/>
  <c r="AE16" i="56" s="1"/>
  <c r="AD93" i="56" a="1"/>
  <c r="AD93" i="56" s="1"/>
  <c r="AJ93" i="56" s="1" a="1"/>
  <c r="AJ93" i="56" s="1"/>
  <c r="AE90" i="56" a="1"/>
  <c r="AE90" i="56" s="1"/>
  <c r="AF81" i="56" a="1"/>
  <c r="AF81" i="56" s="1"/>
  <c r="AF49" i="56" a="1"/>
  <c r="AF49" i="56" s="1"/>
  <c r="AD114" i="56" a="1"/>
  <c r="AD114" i="56" s="1"/>
  <c r="AJ114" i="56" s="1" a="1"/>
  <c r="AJ114" i="56" s="1"/>
  <c r="AE24" i="56" a="1"/>
  <c r="AE24" i="56" s="1"/>
  <c r="AE103" i="56" a="1"/>
  <c r="AE103" i="56" s="1"/>
  <c r="AE136" i="56" a="1"/>
  <c r="AE136" i="56" s="1"/>
  <c r="AF199" i="56" a="1"/>
  <c r="AF199" i="56" s="1"/>
  <c r="AD135" i="56" a="1"/>
  <c r="AD135" i="56" s="1"/>
  <c r="AJ135" i="56" s="1" a="1"/>
  <c r="AJ135" i="56" s="1"/>
  <c r="AE62" i="56" a="1"/>
  <c r="AE62" i="56" s="1"/>
  <c r="AE77" i="56" a="1"/>
  <c r="AE77" i="56" s="1"/>
  <c r="AD206" i="56" a="1"/>
  <c r="AD206" i="56" s="1"/>
  <c r="AJ206" i="56" s="1" a="1"/>
  <c r="AJ206" i="56" s="1"/>
  <c r="AE188" i="56" a="1"/>
  <c r="AE188" i="56" s="1"/>
  <c r="AF111" i="56" a="1"/>
  <c r="AF111" i="56" s="1"/>
  <c r="AD36" i="56" a="1"/>
  <c r="AD36" i="56" s="1"/>
  <c r="AJ36" i="56" s="1" a="1"/>
  <c r="AJ36" i="56" s="1"/>
  <c r="AD131" i="56" a="1"/>
  <c r="AD131" i="56" s="1"/>
  <c r="AJ131" i="56" s="1" a="1"/>
  <c r="AJ131" i="56" s="1"/>
  <c r="AD55" i="56" a="1"/>
  <c r="AD55" i="56" s="1"/>
  <c r="AJ55" i="56" s="1" a="1"/>
  <c r="AJ55" i="56" s="1"/>
  <c r="AF44" i="56" a="1"/>
  <c r="AF44" i="56" s="1"/>
  <c r="AD194" i="56" a="1"/>
  <c r="AD194" i="56" s="1"/>
  <c r="AJ194" i="56" s="1" a="1"/>
  <c r="AJ194" i="56" s="1"/>
  <c r="AD85" i="56" a="1"/>
  <c r="AD85" i="56" s="1"/>
  <c r="AJ85" i="56" s="1" a="1"/>
  <c r="AJ85" i="56" s="1"/>
  <c r="AD37" i="56" a="1"/>
  <c r="AD37" i="56" s="1"/>
  <c r="AJ37" i="56" s="1" a="1"/>
  <c r="AJ37" i="56" s="1"/>
  <c r="AE85" i="56" a="1"/>
  <c r="AE85" i="56" s="1"/>
  <c r="AE92" i="56" a="1"/>
  <c r="AE92" i="56" s="1"/>
  <c r="AF107" i="56" a="1"/>
  <c r="AF107" i="56" s="1"/>
  <c r="AE75" i="56" a="1"/>
  <c r="AE75" i="56" s="1"/>
  <c r="AF220" i="56" a="1"/>
  <c r="AF220" i="56" s="1"/>
  <c r="AF180" i="56" a="1"/>
  <c r="AF180" i="56" s="1"/>
  <c r="AE40" i="56" a="1"/>
  <c r="AE40" i="56" s="1"/>
  <c r="AE123" i="56" a="1"/>
  <c r="AE123" i="56" s="1"/>
  <c r="AD70" i="56" a="1"/>
  <c r="AD70" i="56" s="1"/>
  <c r="AJ70" i="56" s="1" a="1"/>
  <c r="AJ70" i="56" s="1"/>
  <c r="AD146" i="56" a="1"/>
  <c r="AD146" i="56" s="1"/>
  <c r="AJ146" i="56" s="1" a="1"/>
  <c r="AJ146" i="56" s="1"/>
  <c r="AF46" i="56" a="1"/>
  <c r="AF46" i="56" s="1"/>
  <c r="AF77" i="56" a="1"/>
  <c r="AF77" i="56" s="1"/>
  <c r="AE199" i="56" a="1"/>
  <c r="AE199" i="56" s="1"/>
  <c r="AE141" i="56" a="1"/>
  <c r="AE141" i="56" s="1"/>
  <c r="AE213" i="56" a="1"/>
  <c r="AE213" i="56" s="1"/>
  <c r="AE155" i="56" a="1"/>
  <c r="AE155" i="56" s="1"/>
  <c r="AE158" i="56" a="1"/>
  <c r="AE158" i="56" s="1"/>
  <c r="AE126" i="56" a="1"/>
  <c r="AE126" i="56" s="1"/>
  <c r="AD130" i="56" a="1"/>
  <c r="AD130" i="56" s="1"/>
  <c r="AJ130" i="56" s="1" a="1"/>
  <c r="AJ130" i="56" s="1"/>
  <c r="AF126" i="56" a="1"/>
  <c r="AF126" i="56" s="1"/>
  <c r="AE150" i="56" a="1"/>
  <c r="AE150" i="56" s="1"/>
  <c r="AD182" i="56" a="1"/>
  <c r="AD182" i="56" s="1"/>
  <c r="AJ182" i="56" s="1" a="1"/>
  <c r="AJ182" i="56" s="1"/>
  <c r="AD157" i="56" a="1"/>
  <c r="AD157" i="56" s="1"/>
  <c r="AJ157" i="56" s="1" a="1"/>
  <c r="AJ157" i="56" s="1"/>
  <c r="AE139" i="56" a="1"/>
  <c r="AE139" i="56" s="1"/>
  <c r="AD171" i="56" a="1"/>
  <c r="AD171" i="56" s="1"/>
  <c r="AJ171" i="56" s="1" a="1"/>
  <c r="AJ171" i="56" s="1"/>
  <c r="AD203" i="56" a="1"/>
  <c r="AD203" i="56" s="1"/>
  <c r="AJ203" i="56" s="1" a="1"/>
  <c r="AJ203" i="56" s="1"/>
  <c r="AD166" i="56" a="1"/>
  <c r="AD166" i="56" s="1"/>
  <c r="AJ166" i="56" s="1" a="1"/>
  <c r="AJ166" i="56" s="1"/>
  <c r="AD211" i="56" a="1"/>
  <c r="AD211" i="56" s="1"/>
  <c r="AJ211" i="56" s="1" a="1"/>
  <c r="AJ211" i="56" s="1"/>
  <c r="AD200" i="56" a="1"/>
  <c r="AD200" i="56" s="1"/>
  <c r="AJ200" i="56" s="1" a="1"/>
  <c r="AJ200" i="56" s="1"/>
  <c r="AF184" i="56" a="1"/>
  <c r="AF184" i="56" s="1"/>
  <c r="AE31" i="56" a="1"/>
  <c r="AE31" i="56" s="1"/>
  <c r="AD94" i="56" a="1"/>
  <c r="AD94" i="56" s="1"/>
  <c r="AJ94" i="56" s="1" a="1"/>
  <c r="AJ94" i="56" s="1"/>
  <c r="AF110" i="56" a="1"/>
  <c r="AF110" i="56" s="1"/>
  <c r="AD61" i="56" a="1"/>
  <c r="AD61" i="56" s="1"/>
  <c r="AJ61" i="56" s="1" a="1"/>
  <c r="AJ61" i="56" s="1"/>
  <c r="AE109" i="56" a="1"/>
  <c r="AE109" i="56" s="1"/>
  <c r="AE82" i="56" a="1"/>
  <c r="AE82" i="56" s="1"/>
  <c r="AD50" i="56" a="1"/>
  <c r="AD50" i="56" s="1"/>
  <c r="AJ50" i="56" s="1" a="1"/>
  <c r="AJ50" i="56" s="1"/>
  <c r="AF34" i="56" a="1"/>
  <c r="AF34" i="56" s="1"/>
  <c r="AE105" i="56" a="1"/>
  <c r="AE105" i="56" s="1"/>
  <c r="AE65" i="56" a="1"/>
  <c r="AE65" i="56" s="1"/>
  <c r="AD49" i="56" a="1"/>
  <c r="AD49" i="56" s="1"/>
  <c r="AJ49" i="56" s="1" a="1"/>
  <c r="AJ49" i="56" s="1"/>
  <c r="AD90" i="56" a="1"/>
  <c r="AD90" i="56" s="1"/>
  <c r="AJ90" i="56" s="1" a="1"/>
  <c r="AJ90" i="56" s="1"/>
  <c r="AD88" i="56" a="1"/>
  <c r="AD88" i="56" s="1"/>
  <c r="AJ88" i="56" s="1" a="1"/>
  <c r="AJ88" i="56" s="1"/>
  <c r="AD56" i="56" a="1"/>
  <c r="AD56" i="56" s="1"/>
  <c r="AJ56" i="56" s="1" a="1"/>
  <c r="AJ56" i="56" s="1"/>
  <c r="AF16" i="56" a="1"/>
  <c r="AF16" i="56" s="1"/>
  <c r="AF20" i="56" a="1"/>
  <c r="AF20" i="56" s="1"/>
  <c r="AD97" i="56" a="1"/>
  <c r="AD97" i="56" s="1"/>
  <c r="AJ97" i="56" s="1" a="1"/>
  <c r="AJ97" i="56" s="1"/>
  <c r="AD96" i="56" a="1"/>
  <c r="AD96" i="56" s="1"/>
  <c r="AJ96" i="56" s="1" a="1"/>
  <c r="AJ96" i="56" s="1"/>
  <c r="AD58" i="56" a="1"/>
  <c r="AD58" i="56" s="1"/>
  <c r="AJ58" i="56" s="1" a="1"/>
  <c r="AJ58" i="56" s="1"/>
  <c r="AF35" i="56" a="1"/>
  <c r="AF35" i="56" s="1"/>
  <c r="AD43" i="56" a="1"/>
  <c r="AD43" i="56" s="1"/>
  <c r="AJ43" i="56" s="1" a="1"/>
  <c r="AJ43" i="56" s="1"/>
  <c r="AD111" i="56" a="1"/>
  <c r="AD111" i="56" s="1"/>
  <c r="AJ111" i="56" s="1" a="1"/>
  <c r="AJ111" i="56" s="1"/>
  <c r="AD79" i="56" a="1"/>
  <c r="AD79" i="56" s="1"/>
  <c r="AJ79" i="56" s="1" a="1"/>
  <c r="AJ79" i="56" s="1"/>
  <c r="AE102" i="56" a="1"/>
  <c r="AE102" i="56" s="1"/>
  <c r="AF191" i="56" a="1"/>
  <c r="AF191" i="56" s="1"/>
  <c r="AF127" i="56" a="1"/>
  <c r="AF127" i="56" s="1"/>
  <c r="AF54" i="56" a="1"/>
  <c r="AF54" i="56" s="1"/>
  <c r="AF69" i="56" a="1"/>
  <c r="AF69" i="56" s="1"/>
  <c r="AD150" i="56" a="1"/>
  <c r="AD150" i="56" s="1"/>
  <c r="AJ150" i="56" s="1" a="1"/>
  <c r="AJ150" i="56" s="1"/>
  <c r="AF172" i="56" a="1"/>
  <c r="AF172" i="56" s="1"/>
  <c r="AD87" i="56" a="1"/>
  <c r="AD87" i="56" s="1"/>
  <c r="AJ87" i="56" s="1" a="1"/>
  <c r="AJ87" i="56" s="1"/>
  <c r="AD20" i="56" a="1"/>
  <c r="AD20" i="56" s="1"/>
  <c r="AJ20" i="56" s="1" a="1"/>
  <c r="AJ20" i="56" s="1"/>
  <c r="AF123" i="56" a="1"/>
  <c r="AF123" i="56" s="1"/>
  <c r="AD109" i="56" a="1"/>
  <c r="AD109" i="56" s="1"/>
  <c r="AJ109" i="56" s="1" a="1"/>
  <c r="AJ109" i="56" s="1"/>
  <c r="AF47" i="56" a="1"/>
  <c r="AF47" i="56" s="1"/>
  <c r="AF38" i="56" a="1"/>
  <c r="AF38" i="56" s="1"/>
  <c r="AD63" i="56" a="1"/>
  <c r="AD63" i="56" s="1"/>
  <c r="AJ63" i="56" s="1" a="1"/>
  <c r="AJ63" i="56" s="1"/>
  <c r="AE144" i="56" a="1"/>
  <c r="AE144" i="56" s="1"/>
  <c r="AE108" i="56" a="1"/>
  <c r="AE108" i="56" s="1"/>
  <c r="AF62" i="56" a="1"/>
  <c r="AF62" i="56" s="1"/>
  <c r="AF102" i="56" a="1"/>
  <c r="AF102" i="56" s="1"/>
  <c r="AD220" i="56" a="1"/>
  <c r="AD220" i="56" s="1"/>
  <c r="AJ220" i="56" s="1" a="1"/>
  <c r="AJ220" i="56" s="1"/>
  <c r="AE170" i="56" a="1"/>
  <c r="AE170" i="56" s="1"/>
  <c r="AE128" i="56" a="1"/>
  <c r="AE128" i="56" s="1"/>
  <c r="AE214" i="56" a="1"/>
  <c r="AE214" i="56" s="1"/>
  <c r="AF147" i="56" a="1"/>
  <c r="AF147" i="56" s="1"/>
  <c r="AF173" i="56" a="1"/>
  <c r="AF173" i="56" s="1"/>
  <c r="AD163" i="56" a="1"/>
  <c r="AD163" i="56" s="1"/>
  <c r="AJ163" i="56" s="1" a="1"/>
  <c r="AJ163" i="56" s="1"/>
  <c r="AD137" i="56" a="1"/>
  <c r="AD137" i="56" s="1"/>
  <c r="AJ137" i="56" s="1" a="1"/>
  <c r="AJ137" i="56" s="1"/>
  <c r="AD208" i="56" a="1"/>
  <c r="AD208" i="56" s="1"/>
  <c r="AJ208" i="56" s="1" a="1"/>
  <c r="AJ208" i="56" s="1"/>
  <c r="AF71" i="56" a="1"/>
  <c r="AF71" i="56" s="1"/>
  <c r="AF68" i="56" a="1"/>
  <c r="AF68" i="56" s="1"/>
  <c r="AF82" i="56" a="1"/>
  <c r="AF82" i="56" s="1"/>
  <c r="AD26" i="56" a="1"/>
  <c r="AD26" i="56" s="1"/>
  <c r="AJ26" i="56" s="1" a="1"/>
  <c r="AJ26" i="56" s="1"/>
  <c r="AE41" i="56" a="1"/>
  <c r="AE41" i="56" s="1"/>
  <c r="AF48" i="56" a="1"/>
  <c r="AF48" i="56" s="1"/>
  <c r="AD44" i="56" a="1"/>
  <c r="AD44" i="56" s="1"/>
  <c r="AJ44" i="56" s="1" a="1"/>
  <c r="AJ44" i="56" s="1"/>
  <c r="AE59" i="56" a="1"/>
  <c r="AE59" i="56" s="1"/>
  <c r="AD103" i="56" a="1"/>
  <c r="AD103" i="56" s="1"/>
  <c r="AJ103" i="56" s="1" a="1"/>
  <c r="AJ103" i="56" s="1"/>
  <c r="AE50" i="56" a="1"/>
  <c r="AE50" i="56" s="1"/>
  <c r="AE27" i="56" a="1"/>
  <c r="AE27" i="56" s="1"/>
  <c r="AE93" i="56" a="1"/>
  <c r="AE93" i="56" s="1"/>
  <c r="AF164" i="56" a="1"/>
  <c r="AF164" i="56" s="1"/>
  <c r="AD53" i="56" a="1"/>
  <c r="AD53" i="56" s="1"/>
  <c r="AJ53" i="56" s="1" a="1"/>
  <c r="AJ53" i="56" s="1"/>
  <c r="AD29" i="56" a="1"/>
  <c r="AD29" i="56" s="1"/>
  <c r="AJ29" i="56" s="1" a="1"/>
  <c r="AJ29" i="56" s="1"/>
  <c r="AD106" i="56" a="1"/>
  <c r="AD106" i="56" s="1"/>
  <c r="AJ106" i="56" s="1" a="1"/>
  <c r="AJ106" i="56" s="1"/>
  <c r="AE200" i="56" a="1"/>
  <c r="AE200" i="56" s="1"/>
  <c r="AE137" i="56" a="1"/>
  <c r="AE137" i="56" s="1"/>
  <c r="AF26" i="56" a="1"/>
  <c r="AF26" i="56" s="1"/>
  <c r="AE72" i="56" a="1"/>
  <c r="AE72" i="56" s="1"/>
  <c r="AE23" i="56" a="1"/>
  <c r="AE23" i="56" s="1"/>
  <c r="AF22" i="56" a="1"/>
  <c r="AF22" i="56" s="1"/>
  <c r="AF31" i="56" a="1"/>
  <c r="AF31" i="56" s="1"/>
  <c r="AD28" i="56" a="1"/>
  <c r="AD28" i="56" s="1"/>
  <c r="AJ28" i="56" s="1" a="1"/>
  <c r="AJ28" i="56" s="1"/>
  <c r="AE172" i="56" a="1"/>
  <c r="AE172" i="56" s="1"/>
  <c r="AE55" i="56" a="1"/>
  <c r="AE55" i="56" s="1"/>
  <c r="AE220" i="56" a="1"/>
  <c r="AE220" i="56" s="1"/>
  <c r="AD123" i="56" a="1"/>
  <c r="AD123" i="56" s="1"/>
  <c r="AJ123" i="56" s="1" a="1"/>
  <c r="AJ123" i="56" s="1"/>
  <c r="AD136" i="56" a="1"/>
  <c r="AD136" i="56" s="1"/>
  <c r="AJ136" i="56" s="1" a="1"/>
  <c r="AJ136" i="56" s="1"/>
  <c r="AD155" i="56" a="1"/>
  <c r="AD155" i="56" s="1"/>
  <c r="AJ155" i="56" s="1" a="1"/>
  <c r="AJ155" i="56" s="1"/>
  <c r="AE147" i="56" a="1"/>
  <c r="AE147" i="56" s="1"/>
  <c r="AE181" i="56" a="1"/>
  <c r="AE181" i="56" s="1"/>
  <c r="AF157" i="56" a="1"/>
  <c r="AF157" i="56" s="1"/>
  <c r="AD158" i="56" a="1"/>
  <c r="AD158" i="56" s="1"/>
  <c r="AJ158" i="56" s="1" a="1"/>
  <c r="AJ158" i="56" s="1"/>
  <c r="AD216" i="56" a="1"/>
  <c r="AD216" i="56" s="1"/>
  <c r="AJ216" i="56" s="1" a="1"/>
  <c r="AJ216" i="56" s="1"/>
  <c r="AF30" i="56" a="1"/>
  <c r="AF30" i="56" s="1"/>
  <c r="AE74" i="56" a="1"/>
  <c r="AE74" i="56" s="1"/>
  <c r="AF105" i="56" a="1"/>
  <c r="AF105" i="56" s="1"/>
  <c r="AD41" i="56" a="1"/>
  <c r="AD41" i="56" s="1"/>
  <c r="AJ41" i="56" s="1" a="1"/>
  <c r="AJ41" i="56" s="1"/>
  <c r="AD48" i="56" a="1"/>
  <c r="AD48" i="56" s="1"/>
  <c r="AJ48" i="56" s="1" a="1"/>
  <c r="AJ48" i="56" s="1"/>
  <c r="AE73" i="56" a="1"/>
  <c r="AE73" i="56" s="1"/>
  <c r="AF59" i="56" a="1"/>
  <c r="AF59" i="56" s="1"/>
  <c r="AE111" i="56" a="1"/>
  <c r="AE111" i="56" s="1"/>
  <c r="AF89" i="56" a="1"/>
  <c r="AF89" i="56" s="1"/>
  <c r="AD45" i="56" a="1"/>
  <c r="AD45" i="56" s="1"/>
  <c r="AJ45" i="56" s="1" a="1"/>
  <c r="AJ45" i="56" s="1"/>
  <c r="AD39" i="56" a="1"/>
  <c r="AD39" i="56" s="1"/>
  <c r="AJ39" i="56" s="1" a="1"/>
  <c r="AJ39" i="56" s="1"/>
  <c r="AD107" i="56" a="1"/>
  <c r="AD107" i="56" s="1"/>
  <c r="AJ107" i="56" s="1" a="1"/>
  <c r="AJ107" i="56" s="1"/>
  <c r="AF135" i="56" a="1"/>
  <c r="AF135" i="56" s="1"/>
  <c r="AF87" i="56" a="1"/>
  <c r="AF87" i="56" s="1"/>
  <c r="AE57" i="56" a="1"/>
  <c r="AE57" i="56" s="1"/>
  <c r="AE56" i="56" a="1"/>
  <c r="AE56" i="56" s="1"/>
  <c r="AD52" i="56" a="1"/>
  <c r="AD52" i="56" s="1"/>
  <c r="AJ52" i="56" s="1" a="1"/>
  <c r="AJ52" i="56" s="1"/>
  <c r="AE54" i="56" a="1"/>
  <c r="AE54" i="56" s="1"/>
  <c r="AE163" i="56" a="1"/>
  <c r="AE163" i="56" s="1"/>
  <c r="AF79" i="56" a="1"/>
  <c r="AF79" i="56" s="1"/>
  <c r="AD82" i="56" a="1"/>
  <c r="AD82" i="56" s="1"/>
  <c r="AJ82" i="56" s="1" a="1"/>
  <c r="AJ82" i="56" s="1"/>
  <c r="AF86" i="56" a="1"/>
  <c r="AF86" i="56" s="1"/>
  <c r="AE61" i="56" a="1"/>
  <c r="AE61" i="56" s="1"/>
  <c r="AE99" i="56" a="1"/>
  <c r="AE99" i="56" s="1"/>
  <c r="AE67" i="56" a="1"/>
  <c r="AE67" i="56" s="1"/>
  <c r="AF177" i="56" a="1"/>
  <c r="AF177" i="56" s="1"/>
  <c r="AF103" i="56" a="1"/>
  <c r="AF103" i="56" s="1"/>
  <c r="AF99" i="56" a="1"/>
  <c r="AF99" i="56" s="1"/>
  <c r="AE204" i="56" a="1"/>
  <c r="AE204" i="56" s="1"/>
  <c r="AF75" i="56" a="1"/>
  <c r="AF75" i="56" s="1"/>
  <c r="AE183" i="56" a="1"/>
  <c r="AE183" i="56" s="1"/>
  <c r="AF187" i="56" a="1"/>
  <c r="AF187" i="56" s="1"/>
  <c r="AE134" i="56" a="1"/>
  <c r="AE134" i="56" s="1"/>
  <c r="AD181" i="56" a="1"/>
  <c r="AD181" i="56" s="1"/>
  <c r="AJ181" i="56" s="1" a="1"/>
  <c r="AJ181" i="56" s="1"/>
  <c r="AE165" i="56" a="1"/>
  <c r="AE165" i="56" s="1"/>
  <c r="AD198" i="56" a="1"/>
  <c r="AD198" i="56" s="1"/>
  <c r="AJ198" i="56" s="1" a="1"/>
  <c r="AJ198" i="56" s="1"/>
  <c r="AF144" i="56" a="1"/>
  <c r="AF144" i="56" s="1"/>
  <c r="AD78" i="56" a="1"/>
  <c r="AD78" i="56" s="1"/>
  <c r="AJ78" i="56" s="1" a="1"/>
  <c r="AJ78" i="56" s="1"/>
  <c r="AD47" i="56" a="1"/>
  <c r="AD47" i="56" s="1"/>
  <c r="AJ47" i="56" s="1" a="1"/>
  <c r="AJ47" i="56" s="1"/>
  <c r="AF74" i="56" a="1"/>
  <c r="AF74" i="56" s="1"/>
  <c r="AE89" i="56" a="1"/>
  <c r="AE89" i="56" s="1"/>
  <c r="AD112" i="56" a="1"/>
  <c r="AD112" i="56" s="1"/>
  <c r="AJ112" i="56" s="1" a="1"/>
  <c r="AJ112" i="56" s="1"/>
  <c r="AE114" i="56" a="1"/>
  <c r="AE114" i="56" s="1"/>
  <c r="AF73" i="56" a="1"/>
  <c r="AF73" i="56" s="1"/>
  <c r="AE35" i="56" a="1"/>
  <c r="AE35" i="56" s="1"/>
  <c r="AD110" i="56" a="1"/>
  <c r="AD110" i="56" s="1"/>
  <c r="AJ110" i="56" s="1" a="1"/>
  <c r="AJ110" i="56" s="1"/>
  <c r="AF112" i="56" a="1"/>
  <c r="AF112" i="56" s="1"/>
  <c r="AD73" i="56" a="1"/>
  <c r="AD73" i="56" s="1"/>
  <c r="AJ73" i="56" s="1" a="1"/>
  <c r="AJ73" i="56" s="1"/>
  <c r="AD144" i="56" a="1"/>
  <c r="AD144" i="56" s="1"/>
  <c r="AJ144" i="56" s="1" a="1"/>
  <c r="AJ144" i="56" s="1"/>
  <c r="AE216" i="56" a="1"/>
  <c r="AE216" i="56" s="1"/>
  <c r="AD83" i="56" a="1"/>
  <c r="AD83" i="56" s="1"/>
  <c r="AJ83" i="56" s="1" a="1"/>
  <c r="AJ83" i="56" s="1"/>
  <c r="AF190" i="56" a="1"/>
  <c r="AF190" i="56" s="1"/>
  <c r="AD197" i="56" a="1"/>
  <c r="AD197" i="56" s="1"/>
  <c r="AJ197" i="56" s="1" a="1"/>
  <c r="AJ197" i="56" s="1"/>
  <c r="AE44" i="56" a="1"/>
  <c r="AE44" i="56" s="1"/>
  <c r="AD80" i="56" a="1"/>
  <c r="AD80" i="56" s="1"/>
  <c r="AJ80" i="56" s="1" a="1"/>
  <c r="AJ80" i="56" s="1"/>
  <c r="AF140" i="56" a="1"/>
  <c r="AF140" i="56" s="1"/>
  <c r="AD153" i="56" a="1"/>
  <c r="AD153" i="56" s="1"/>
  <c r="AJ153" i="56" s="1" a="1"/>
  <c r="AJ153" i="56" s="1"/>
  <c r="AD126" i="56" a="1"/>
  <c r="AD126" i="56" s="1"/>
  <c r="AJ126" i="56" s="1" a="1"/>
  <c r="AJ126" i="56" s="1"/>
  <c r="AD160" i="56" a="1"/>
  <c r="AD160" i="56" s="1"/>
  <c r="AJ160" i="56" s="1" a="1"/>
  <c r="AJ160" i="56" s="1"/>
  <c r="AF67" i="56" a="1"/>
  <c r="AF67" i="56" s="1"/>
  <c r="AF72" i="56" a="1"/>
  <c r="AF72" i="56" s="1"/>
  <c r="AF70" i="56" a="1"/>
  <c r="AF70" i="56" s="1"/>
  <c r="AF53" i="56" a="1"/>
  <c r="AF53" i="56" s="1"/>
  <c r="AD51" i="56" a="1"/>
  <c r="AD51" i="56" s="1"/>
  <c r="AJ51" i="56" s="1" a="1"/>
  <c r="AJ51" i="56" s="1"/>
  <c r="AD59" i="56" a="1"/>
  <c r="AD59" i="56" s="1"/>
  <c r="AJ59" i="56" s="1" a="1"/>
  <c r="AJ59" i="56" s="1"/>
  <c r="AD22" i="56" a="1"/>
  <c r="AD22" i="56" s="1"/>
  <c r="AJ22" i="56" s="1" a="1"/>
  <c r="AJ22" i="56" s="1"/>
  <c r="AF61" i="56" a="1"/>
  <c r="AF61" i="56" s="1"/>
  <c r="AD99" i="56" a="1"/>
  <c r="AD99" i="56" s="1"/>
  <c r="AJ99" i="56" s="1" a="1"/>
  <c r="AJ99" i="56" s="1"/>
  <c r="AD180" i="56" a="1"/>
  <c r="AD180" i="56" s="1"/>
  <c r="AJ180" i="56" s="1" a="1"/>
  <c r="AJ180" i="56" s="1"/>
  <c r="AF131" i="56" a="1"/>
  <c r="AF131" i="56" s="1"/>
  <c r="AD210" i="56" a="1"/>
  <c r="AD210" i="56" s="1"/>
  <c r="AJ210" i="56" s="1" a="1"/>
  <c r="AJ210" i="56" s="1"/>
  <c r="AD141" i="56" a="1"/>
  <c r="AD141" i="56" s="1"/>
  <c r="AJ141" i="56" s="1" a="1"/>
  <c r="AJ141" i="56" s="1"/>
  <c r="AE187" i="56" a="1"/>
  <c r="AE187" i="56" s="1"/>
  <c r="AD134" i="56" a="1"/>
  <c r="AD134" i="56" s="1"/>
  <c r="AJ134" i="56" s="1" a="1"/>
  <c r="AJ134" i="56" s="1"/>
  <c r="AF221" i="56" a="1"/>
  <c r="AF221" i="56" s="1"/>
  <c r="AD165" i="56" a="1"/>
  <c r="AD165" i="56" s="1"/>
  <c r="AJ165" i="56" s="1" a="1"/>
  <c r="AJ165" i="56" s="1"/>
  <c r="AE205" i="56" a="1"/>
  <c r="AE205" i="56" s="1"/>
  <c r="AF192" i="56" a="1"/>
  <c r="AF192" i="56" s="1"/>
  <c r="AD60" i="56" a="1"/>
  <c r="AD60" i="56" s="1"/>
  <c r="AJ60" i="56" s="1" a="1"/>
  <c r="AJ60" i="56" s="1"/>
  <c r="AD31" i="56" a="1"/>
  <c r="AD31" i="56" s="1"/>
  <c r="AJ31" i="56" s="1" a="1"/>
  <c r="AJ31" i="56" s="1"/>
  <c r="AF183" i="56" a="1"/>
  <c r="AF183" i="56" s="1"/>
  <c r="AF134" i="56" a="1"/>
  <c r="AF134" i="56" s="1"/>
  <c r="AE96" i="56" a="1"/>
  <c r="AE96" i="56" s="1"/>
  <c r="AF186" i="56" a="1"/>
  <c r="AF186" i="56" s="1"/>
  <c r="AE86" i="56" a="1"/>
  <c r="AE86" i="56" s="1"/>
  <c r="AE91" i="56" a="1"/>
  <c r="AE91" i="56" s="1"/>
  <c r="AE180" i="56" a="1"/>
  <c r="AE180" i="56" s="1"/>
  <c r="AD138" i="56" a="1"/>
  <c r="AD138" i="56" s="1"/>
  <c r="AJ138" i="56" s="1" a="1"/>
  <c r="AJ138" i="56" s="1"/>
  <c r="AF142" i="56" a="1"/>
  <c r="AF142" i="56" s="1"/>
  <c r="AE189" i="56" a="1"/>
  <c r="AE189" i="56" s="1"/>
  <c r="AD142" i="56" a="1"/>
  <c r="AD142" i="56" s="1"/>
  <c r="AJ142" i="56" s="1" a="1"/>
  <c r="AJ142" i="56" s="1"/>
  <c r="AD124" i="56" a="1"/>
  <c r="AD124" i="56" s="1"/>
  <c r="AJ124" i="56" s="1" a="1"/>
  <c r="AJ124" i="56" s="1"/>
  <c r="AF189" i="56" a="1"/>
  <c r="AF189" i="56" s="1"/>
  <c r="AD205" i="56" a="1"/>
  <c r="AD205" i="56" s="1"/>
  <c r="AJ205" i="56" s="1" a="1"/>
  <c r="AJ205" i="56" s="1"/>
  <c r="AF200" i="56" a="1"/>
  <c r="AF200" i="56" s="1"/>
  <c r="AD77" i="56" a="1"/>
  <c r="AD77" i="56" s="1"/>
  <c r="AJ77" i="56" s="1" a="1"/>
  <c r="AJ77" i="56" s="1"/>
  <c r="AF50" i="56" a="1"/>
  <c r="AF50" i="56" s="1"/>
  <c r="AF65" i="56" a="1"/>
  <c r="AF65" i="56" s="1"/>
  <c r="AE112" i="56" a="1"/>
  <c r="AE112" i="56" s="1"/>
  <c r="AD113" i="56" a="1"/>
  <c r="AD113" i="56" s="1"/>
  <c r="AJ113" i="56" s="1" a="1"/>
  <c r="AJ113" i="56" s="1"/>
  <c r="AF27" i="56" a="1"/>
  <c r="AF27" i="56" s="1"/>
  <c r="AF175" i="56" a="1"/>
  <c r="AF175" i="56" s="1"/>
  <c r="AF205" i="56" a="1"/>
  <c r="AF205" i="56" s="1"/>
  <c r="AD16" i="56" a="1"/>
  <c r="AD16" i="56" s="1"/>
  <c r="AJ16" i="56" s="1" a="1"/>
  <c r="AJ16" i="56" s="1"/>
  <c r="AF170" i="56" a="1"/>
  <c r="AF170" i="56" s="1"/>
  <c r="AD21" i="56" a="1"/>
  <c r="AD21" i="56" s="1"/>
  <c r="AJ21" i="56" s="1" a="1"/>
  <c r="AJ21" i="56" s="1"/>
  <c r="AD75" i="56" a="1"/>
  <c r="AD75" i="56" s="1"/>
  <c r="AJ75" i="56" s="1" a="1"/>
  <c r="AJ75" i="56" s="1"/>
  <c r="AE156" i="56" a="1"/>
  <c r="AE156" i="56" s="1"/>
  <c r="AD170" i="56" a="1"/>
  <c r="AD170" i="56" s="1"/>
  <c r="AJ170" i="56" s="1" a="1"/>
  <c r="AJ170" i="56" s="1"/>
  <c r="AF23" i="56" a="1"/>
  <c r="AF23" i="56" s="1"/>
  <c r="AE142" i="56" a="1"/>
  <c r="AE142" i="56" s="1"/>
  <c r="AD189" i="56" a="1"/>
  <c r="AD189" i="56" s="1"/>
  <c r="AJ189" i="56" s="1" a="1"/>
  <c r="AJ189" i="56" s="1"/>
  <c r="AD127" i="56" a="1"/>
  <c r="AD127" i="56" s="1"/>
  <c r="AJ127" i="56" s="1" a="1"/>
  <c r="AJ127" i="56" s="1"/>
  <c r="AE127" i="56" a="1"/>
  <c r="AE127" i="56" s="1"/>
  <c r="AE197" i="56" a="1"/>
  <c r="AE197" i="56" s="1"/>
  <c r="AF208" i="56" a="1"/>
  <c r="AF208" i="56" s="1"/>
  <c r="AE42" i="56" a="1"/>
  <c r="AE42" i="56" s="1"/>
  <c r="AD65" i="56" a="1"/>
  <c r="AD65" i="56" s="1"/>
  <c r="AJ65" i="56" s="1" a="1"/>
  <c r="AJ65" i="56" s="1"/>
  <c r="AF80" i="56" a="1"/>
  <c r="AF80" i="56" s="1"/>
  <c r="AE36" i="56" a="1"/>
  <c r="AE36" i="56" s="1"/>
  <c r="AE64" i="56" a="1"/>
  <c r="AE64" i="56" s="1"/>
  <c r="AE84" i="56" a="1"/>
  <c r="AE84" i="56" s="1"/>
  <c r="AF162" i="56" a="1"/>
  <c r="AF162" i="56" s="1"/>
  <c r="AD38" i="56" a="1"/>
  <c r="AD38" i="56" s="1"/>
  <c r="AJ38" i="56" s="1" a="1"/>
  <c r="AJ38" i="56" s="1"/>
  <c r="AD69" i="56" a="1"/>
  <c r="AD69" i="56" s="1"/>
  <c r="AJ69" i="56" s="1" a="1"/>
  <c r="AJ69" i="56" s="1"/>
  <c r="AD213" i="56" a="1"/>
  <c r="AD213" i="56" s="1"/>
  <c r="AJ213" i="56" s="1" a="1"/>
  <c r="AJ213" i="56" s="1"/>
  <c r="AF163" i="56" a="1"/>
  <c r="AF163" i="56" s="1"/>
  <c r="AD152" i="56" a="1"/>
  <c r="AD152" i="56" s="1"/>
  <c r="AJ152" i="56" s="1" a="1"/>
  <c r="AJ152" i="56" s="1"/>
  <c r="AE26" i="56" a="1"/>
  <c r="AE26" i="56" s="1"/>
  <c r="AD74" i="56" a="1"/>
  <c r="AD74" i="56" s="1"/>
  <c r="AJ74" i="56" s="1" a="1"/>
  <c r="AJ74" i="56" s="1"/>
  <c r="AE15" i="56" a="1"/>
  <c r="AE15" i="56" s="1"/>
  <c r="AE68" i="56" a="1"/>
  <c r="AE68" i="56" s="1"/>
  <c r="AE133" i="56" a="1"/>
  <c r="AE133" i="56" s="1"/>
  <c r="AF214" i="56" a="1"/>
  <c r="AF214" i="56" s="1"/>
  <c r="AE135" i="56" a="1"/>
  <c r="AE135" i="56" s="1"/>
  <c r="AD62" i="56" a="1"/>
  <c r="AD62" i="56" s="1"/>
  <c r="AJ62" i="56" s="1" a="1"/>
  <c r="AJ62" i="56" s="1"/>
  <c r="AF41" i="56" a="1"/>
  <c r="AF41" i="56" s="1"/>
  <c r="AE32" i="56" a="1"/>
  <c r="AE32" i="56" s="1"/>
  <c r="AD53" i="45"/>
  <c r="AD22" i="45"/>
  <c r="AD86" i="45"/>
  <c r="AD39" i="45"/>
  <c r="AD103" i="45"/>
  <c r="AD56" i="45"/>
  <c r="AD120" i="45"/>
  <c r="AD73" i="45"/>
  <c r="AD34" i="45"/>
  <c r="AD98" i="45"/>
  <c r="AD51" i="45"/>
  <c r="AD115" i="45"/>
  <c r="AD92" i="45"/>
  <c r="AD69" i="45"/>
  <c r="AD52" i="45"/>
  <c r="AD102" i="45"/>
  <c r="AD119" i="45"/>
  <c r="AD25" i="45"/>
  <c r="AD114" i="45"/>
  <c r="AD20" i="45"/>
  <c r="AD44" i="45"/>
  <c r="AD46" i="45"/>
  <c r="AD63" i="45"/>
  <c r="AD80" i="45"/>
  <c r="AD97" i="45"/>
  <c r="AD122" i="45"/>
  <c r="AD21" i="45"/>
  <c r="AD76" i="45"/>
  <c r="AD54" i="45"/>
  <c r="AD118" i="45"/>
  <c r="AD24" i="45"/>
  <c r="AD88" i="45"/>
  <c r="AD41" i="45"/>
  <c r="AD105" i="45"/>
  <c r="AD66" i="45"/>
  <c r="AD19" i="45"/>
  <c r="AD83" i="45"/>
  <c r="AD85" i="45"/>
  <c r="AD36" i="45"/>
  <c r="AD108" i="45"/>
  <c r="AD62" i="45"/>
  <c r="AD79" i="45"/>
  <c r="AD32" i="45"/>
  <c r="AD49" i="45"/>
  <c r="AD74" i="45"/>
  <c r="AD91" i="45"/>
  <c r="AD68" i="45"/>
  <c r="AD70" i="45"/>
  <c r="AD87" i="45"/>
  <c r="AD40" i="45"/>
  <c r="AD57" i="45"/>
  <c r="AD82" i="45"/>
  <c r="AD99" i="45"/>
  <c r="AD100" i="45"/>
  <c r="AD78" i="45"/>
  <c r="AD95" i="45"/>
  <c r="AD112" i="45"/>
  <c r="AD65" i="45"/>
  <c r="AD26" i="45"/>
  <c r="AD43" i="45"/>
  <c r="AD60" i="45"/>
  <c r="AD109" i="45"/>
  <c r="AD30" i="45"/>
  <c r="AD94" i="45"/>
  <c r="AD47" i="45"/>
  <c r="AD111" i="45"/>
  <c r="AD64" i="45"/>
  <c r="AD17" i="45"/>
  <c r="AD81" i="45"/>
  <c r="AD42" i="45"/>
  <c r="AD106" i="45"/>
  <c r="AD59" i="45"/>
  <c r="AD123" i="45"/>
  <c r="AD29" i="45"/>
  <c r="AD101" i="45"/>
  <c r="AD84" i="45"/>
  <c r="AD38" i="45"/>
  <c r="AD55" i="45"/>
  <c r="AD72" i="45"/>
  <c r="AD89" i="45"/>
  <c r="AD50" i="45"/>
  <c r="AD67" i="45"/>
  <c r="AD61" i="45"/>
  <c r="AD116" i="45"/>
  <c r="AD110" i="45"/>
  <c r="AD16" i="45"/>
  <c r="AD33" i="45"/>
  <c r="AD58" i="45"/>
  <c r="AD75" i="45"/>
  <c r="AD93" i="45"/>
  <c r="AD71" i="45"/>
  <c r="AD15" i="45"/>
  <c r="AD96" i="45"/>
  <c r="AD113" i="45"/>
  <c r="AD27" i="45"/>
  <c r="AD117" i="45"/>
  <c r="AD45" i="45"/>
  <c r="AD23" i="45"/>
  <c r="AD104" i="45"/>
  <c r="AD121" i="45"/>
  <c r="AD35" i="45"/>
  <c r="AD28" i="45"/>
  <c r="AD77" i="45"/>
  <c r="AD31" i="45"/>
  <c r="AD48" i="45"/>
  <c r="AD90" i="45"/>
  <c r="AD107" i="45"/>
  <c r="AD37" i="45"/>
  <c r="W78" i="46" a="1"/>
  <c r="W78" i="46" s="1"/>
  <c r="T18" i="45" a="1"/>
  <c r="T18" i="45" s="1"/>
  <c r="X42" i="50" a="1"/>
  <c r="X42" i="50" s="1"/>
  <c r="X58" i="50" a="1"/>
  <c r="X58" i="50" s="1"/>
  <c r="X81" i="50" a="1"/>
  <c r="X81" i="50" s="1"/>
  <c r="X82" i="50" a="1"/>
  <c r="X82" i="50" s="1"/>
  <c r="X15" i="50" a="1"/>
  <c r="X15" i="50" s="1"/>
  <c r="X16" i="50" a="1"/>
  <c r="X16" i="50" s="1"/>
  <c r="X17" i="50" a="1"/>
  <c r="X17" i="50" s="1"/>
  <c r="X43" i="50" a="1"/>
  <c r="X43" i="50" s="1"/>
  <c r="X59" i="50" a="1"/>
  <c r="X59" i="50" s="1"/>
  <c r="X60" i="50" a="1"/>
  <c r="X60" i="50" s="1"/>
  <c r="X61" i="50" a="1"/>
  <c r="X61" i="50" s="1"/>
  <c r="X62" i="50" a="1"/>
  <c r="X62" i="50" s="1"/>
  <c r="X63" i="50" a="1"/>
  <c r="X63" i="50" s="1"/>
  <c r="X64" i="50" a="1"/>
  <c r="X64" i="50" s="1"/>
  <c r="X65" i="50" a="1"/>
  <c r="X65" i="50" s="1"/>
  <c r="X83" i="50" a="1"/>
  <c r="X83" i="50" s="1"/>
  <c r="X18" i="50" a="1"/>
  <c r="X18" i="50" s="1"/>
  <c r="X19" i="50" a="1"/>
  <c r="X19" i="50" s="1"/>
  <c r="X44" i="50" a="1"/>
  <c r="X44" i="50" s="1"/>
  <c r="X66" i="50" a="1"/>
  <c r="X66" i="50" s="1"/>
  <c r="X84" i="50" a="1"/>
  <c r="X84" i="50" s="1"/>
  <c r="X85" i="50" a="1"/>
  <c r="X85" i="50" s="1"/>
  <c r="X86" i="50" a="1"/>
  <c r="X86" i="50" s="1"/>
  <c r="X87" i="50" a="1"/>
  <c r="X87" i="50" s="1"/>
  <c r="X88" i="50" a="1"/>
  <c r="X88" i="50" s="1"/>
  <c r="X14" i="50" a="1"/>
  <c r="X14" i="50" s="1"/>
  <c r="X20" i="50" a="1"/>
  <c r="X20" i="50" s="1"/>
  <c r="X21" i="50" a="1"/>
  <c r="X21" i="50" s="1"/>
  <c r="X22" i="50" a="1"/>
  <c r="X22" i="50" s="1"/>
  <c r="X23" i="50" a="1"/>
  <c r="X23" i="50" s="1"/>
  <c r="X24" i="50" a="1"/>
  <c r="X24" i="50" s="1"/>
  <c r="X25" i="50" a="1"/>
  <c r="X25" i="50" s="1"/>
  <c r="X45" i="50" a="1"/>
  <c r="X45" i="50" s="1"/>
  <c r="X67" i="50" a="1"/>
  <c r="X67" i="50" s="1"/>
  <c r="X68" i="50" a="1"/>
  <c r="X68" i="50" s="1"/>
  <c r="X69" i="50" a="1"/>
  <c r="X69" i="50" s="1"/>
  <c r="X70" i="50" a="1"/>
  <c r="X70" i="50" s="1"/>
  <c r="X71" i="50" a="1"/>
  <c r="X71" i="50" s="1"/>
  <c r="X72" i="50" a="1"/>
  <c r="X72" i="50" s="1"/>
  <c r="X89" i="50" a="1"/>
  <c r="X89" i="50" s="1"/>
  <c r="X90" i="50" a="1"/>
  <c r="X90" i="50" s="1"/>
  <c r="X26" i="50" a="1"/>
  <c r="X26" i="50" s="1"/>
  <c r="X46" i="50" a="1"/>
  <c r="X46" i="50" s="1"/>
  <c r="X47" i="50" a="1"/>
  <c r="X47" i="50" s="1"/>
  <c r="X48" i="50" a="1"/>
  <c r="X48" i="50" s="1"/>
  <c r="X49" i="50" a="1"/>
  <c r="X49" i="50" s="1"/>
  <c r="X73" i="50" a="1"/>
  <c r="X73" i="50" s="1"/>
  <c r="X91" i="50" a="1"/>
  <c r="X91" i="50" s="1"/>
  <c r="X92" i="50" a="1"/>
  <c r="X92" i="50" s="1"/>
  <c r="X93" i="50" a="1"/>
  <c r="X93" i="50" s="1"/>
  <c r="X94" i="50" a="1"/>
  <c r="X94" i="50" s="1"/>
  <c r="X27" i="50" a="1"/>
  <c r="X27" i="50" s="1"/>
  <c r="X28" i="50" a="1"/>
  <c r="X28" i="50" s="1"/>
  <c r="X29" i="50" a="1"/>
  <c r="X29" i="50" s="1"/>
  <c r="X30" i="50" a="1"/>
  <c r="X30" i="50" s="1"/>
  <c r="X31" i="50" a="1"/>
  <c r="X31" i="50" s="1"/>
  <c r="X32" i="50" a="1"/>
  <c r="X32" i="50" s="1"/>
  <c r="X33" i="50" a="1"/>
  <c r="X33" i="50" s="1"/>
  <c r="X50" i="50" a="1"/>
  <c r="X50" i="50" s="1"/>
  <c r="X74" i="50" a="1"/>
  <c r="X74" i="50" s="1"/>
  <c r="X34" i="50" a="1"/>
  <c r="X34" i="50" s="1"/>
  <c r="X51" i="50" a="1"/>
  <c r="X51" i="50" s="1"/>
  <c r="X75" i="50" a="1"/>
  <c r="X75" i="50" s="1"/>
  <c r="X35" i="50" a="1"/>
  <c r="X35" i="50" s="1"/>
  <c r="X36" i="50" a="1"/>
  <c r="X36" i="50" s="1"/>
  <c r="X37" i="50" a="1"/>
  <c r="X37" i="50" s="1"/>
  <c r="X38" i="50" a="1"/>
  <c r="X38" i="50" s="1"/>
  <c r="X39" i="50" a="1"/>
  <c r="X39" i="50" s="1"/>
  <c r="X40" i="50" a="1"/>
  <c r="X40" i="50" s="1"/>
  <c r="X41" i="50" a="1"/>
  <c r="X41" i="50" s="1"/>
  <c r="X52" i="50" a="1"/>
  <c r="X52" i="50" s="1"/>
  <c r="X53" i="50" a="1"/>
  <c r="X53" i="50" s="1"/>
  <c r="X54" i="50" a="1"/>
  <c r="X54" i="50" s="1"/>
  <c r="X55" i="50" a="1"/>
  <c r="X55" i="50" s="1"/>
  <c r="X56" i="50" a="1"/>
  <c r="X56" i="50" s="1"/>
  <c r="X57" i="50" a="1"/>
  <c r="X57" i="50" s="1"/>
  <c r="X76" i="50" a="1"/>
  <c r="X76" i="50" s="1"/>
  <c r="X77" i="50" a="1"/>
  <c r="X77" i="50" s="1"/>
  <c r="X78" i="50" a="1"/>
  <c r="X78" i="50" s="1"/>
  <c r="X79" i="50" a="1"/>
  <c r="X79" i="50" s="1"/>
  <c r="X80" i="50" a="1"/>
  <c r="X80" i="50" s="1"/>
  <c r="AA22" i="50" a="1"/>
  <c r="AA22" i="50" s="1"/>
  <c r="AA28" i="50" a="1"/>
  <c r="AA28" i="50" s="1"/>
  <c r="AA36" i="50" a="1"/>
  <c r="AA36" i="50" s="1"/>
  <c r="AA78" i="50" a="1"/>
  <c r="AA78" i="50" s="1"/>
  <c r="AA84" i="50" a="1"/>
  <c r="AA84" i="50" s="1"/>
  <c r="AA91" i="50" a="1"/>
  <c r="AA91" i="50" s="1"/>
  <c r="AA74" i="50" a="1"/>
  <c r="AA74" i="50" s="1"/>
  <c r="AA62" i="50" a="1"/>
  <c r="AA62" i="50" s="1"/>
  <c r="AA48" i="50" a="1"/>
  <c r="AA48" i="50" s="1"/>
  <c r="AA71" i="50" a="1"/>
  <c r="AA71" i="50" s="1"/>
  <c r="AA89" i="50" a="1"/>
  <c r="AA89" i="50" s="1"/>
  <c r="AA21" i="50" a="1"/>
  <c r="AA21" i="50" s="1"/>
  <c r="AA65" i="50" a="1"/>
  <c r="AA65" i="50" s="1"/>
  <c r="AA15" i="50" a="1"/>
  <c r="AA15" i="50" s="1"/>
  <c r="AA23" i="50" a="1"/>
  <c r="AA23" i="50" s="1"/>
  <c r="AA30" i="50" a="1"/>
  <c r="AA30" i="50" s="1"/>
  <c r="AA38" i="50" a="1"/>
  <c r="AA38" i="50" s="1"/>
  <c r="AA51" i="50" a="1"/>
  <c r="AA51" i="50" s="1"/>
  <c r="AA73" i="50" a="1"/>
  <c r="AA73" i="50" s="1"/>
  <c r="AA79" i="50" a="1"/>
  <c r="AA79" i="50" s="1"/>
  <c r="AA85" i="50" a="1"/>
  <c r="AA85" i="50" s="1"/>
  <c r="AA92" i="50" a="1"/>
  <c r="AA92" i="50" s="1"/>
  <c r="AA16" i="50" a="1"/>
  <c r="AA16" i="50" s="1"/>
  <c r="AA24" i="50" a="1"/>
  <c r="AA24" i="50" s="1"/>
  <c r="AA31" i="50" a="1"/>
  <c r="AA31" i="50" s="1"/>
  <c r="AA39" i="50" a="1"/>
  <c r="AA39" i="50" s="1"/>
  <c r="AA59" i="50" a="1"/>
  <c r="AA59" i="50" s="1"/>
  <c r="AA67" i="50" a="1"/>
  <c r="AA67" i="50" s="1"/>
  <c r="AA80" i="50" a="1"/>
  <c r="AA80" i="50" s="1"/>
  <c r="AA86" i="50" a="1"/>
  <c r="AA86" i="50" s="1"/>
  <c r="AA93" i="50" a="1"/>
  <c r="AA93" i="50" s="1"/>
  <c r="AA25" i="50" a="1"/>
  <c r="AA25" i="50" s="1"/>
  <c r="AA32" i="50" a="1"/>
  <c r="AA32" i="50" s="1"/>
  <c r="AA40" i="50" a="1"/>
  <c r="AA40" i="50" s="1"/>
  <c r="AA46" i="50" a="1"/>
  <c r="AA46" i="50" s="1"/>
  <c r="AA60" i="50" a="1"/>
  <c r="AA60" i="50" s="1"/>
  <c r="AA87" i="50" a="1"/>
  <c r="AA87" i="50" s="1"/>
  <c r="AA18" i="50" a="1"/>
  <c r="AA18" i="50" s="1"/>
  <c r="AA33" i="50" a="1"/>
  <c r="AA33" i="50" s="1"/>
  <c r="AA47" i="50" a="1"/>
  <c r="AA47" i="50" s="1"/>
  <c r="AA54" i="50" a="1"/>
  <c r="AA54" i="50" s="1"/>
  <c r="AA88" i="50" a="1"/>
  <c r="AA88" i="50" s="1"/>
  <c r="AA26" i="50" a="1"/>
  <c r="AA26" i="50" s="1"/>
  <c r="AA55" i="50" a="1"/>
  <c r="AA55" i="50" s="1"/>
  <c r="AA63" i="50" a="1"/>
  <c r="AA63" i="50" s="1"/>
  <c r="AA70" i="50" a="1"/>
  <c r="AA70" i="50" s="1"/>
  <c r="AA20" i="50" a="1"/>
  <c r="AA20" i="50" s="1"/>
  <c r="AA56" i="50" a="1"/>
  <c r="AA56" i="50" s="1"/>
  <c r="AA76" i="50" a="1"/>
  <c r="AA76" i="50" s="1"/>
  <c r="AA27" i="50" a="1"/>
  <c r="AA27" i="50" s="1"/>
  <c r="AA43" i="50" a="1"/>
  <c r="AA43" i="50" s="1"/>
  <c r="AA52" i="50" a="1"/>
  <c r="AA52" i="50" s="1"/>
  <c r="AA68" i="50" a="1"/>
  <c r="AA68" i="50" s="1"/>
  <c r="AA41" i="50" a="1"/>
  <c r="AA41" i="50" s="1"/>
  <c r="AA69" i="50" a="1"/>
  <c r="AA69" i="50" s="1"/>
  <c r="AA81" i="50" a="1"/>
  <c r="AA81" i="50" s="1"/>
  <c r="AA82" i="50" a="1"/>
  <c r="AA82" i="50" s="1"/>
  <c r="AA49" i="50" a="1"/>
  <c r="AA49" i="50" s="1"/>
  <c r="AA64" i="50" a="1"/>
  <c r="AA64" i="50" s="1"/>
  <c r="AA57" i="50" a="1"/>
  <c r="AA57" i="50" s="1"/>
  <c r="AA35" i="50" a="1"/>
  <c r="AA35" i="50" s="1"/>
  <c r="AA72" i="50" a="1"/>
  <c r="AA72" i="50" s="1"/>
  <c r="AA77" i="50" a="1"/>
  <c r="AA77" i="50" s="1"/>
  <c r="AA90" i="50" a="1"/>
  <c r="AA90" i="50" s="1"/>
  <c r="AA17" i="50" a="1"/>
  <c r="AA17" i="50" s="1"/>
  <c r="AA37" i="50" a="1"/>
  <c r="AA37" i="50" s="1"/>
  <c r="AA50" i="50" a="1"/>
  <c r="AA50" i="50" s="1"/>
  <c r="AA19" i="50" a="1"/>
  <c r="AA19" i="50" s="1"/>
  <c r="AA42" i="50" a="1"/>
  <c r="AA42" i="50" s="1"/>
  <c r="AA53" i="50" a="1"/>
  <c r="AA53" i="50" s="1"/>
  <c r="AA83" i="50" a="1"/>
  <c r="AA83" i="50" s="1"/>
  <c r="AA45" i="50" a="1"/>
  <c r="AA45" i="50" s="1"/>
  <c r="AA29" i="50" a="1"/>
  <c r="AA29" i="50" s="1"/>
  <c r="AA34" i="50" a="1"/>
  <c r="AA34" i="50" s="1"/>
  <c r="AA14" i="50" a="1"/>
  <c r="AA14" i="50" s="1"/>
  <c r="AA61" i="50" a="1"/>
  <c r="AA61" i="50" s="1"/>
  <c r="AA58" i="50" a="1"/>
  <c r="AA58" i="50" s="1"/>
  <c r="AA44" i="50" a="1"/>
  <c r="AA44" i="50" s="1"/>
  <c r="AA75" i="50" a="1"/>
  <c r="AA75" i="50" s="1"/>
  <c r="AA66" i="50" a="1"/>
  <c r="AA66" i="50" s="1"/>
  <c r="AA94" i="50" a="1"/>
  <c r="AA94" i="50" s="1"/>
  <c r="AI238" i="45"/>
  <c r="AI230" i="45"/>
  <c r="AI182" i="45"/>
  <c r="AI197" i="45"/>
  <c r="AK174" i="45"/>
  <c r="AK151" i="45"/>
  <c r="AO193" i="45"/>
  <c r="AK222" i="45"/>
  <c r="AD26" i="42"/>
  <c r="AF168" i="45"/>
  <c r="AL168" i="45" s="1"/>
  <c r="AF201" i="45"/>
  <c r="AL201" i="45" s="1"/>
  <c r="AK246" i="45"/>
  <c r="AO150" i="45"/>
  <c r="AD41" i="42"/>
  <c r="AI41" i="42" s="1"/>
  <c r="AF232" i="45"/>
  <c r="AL232" i="45" s="1"/>
  <c r="AO200" i="45"/>
  <c r="AK160" i="45"/>
  <c r="AJ246" i="45"/>
  <c r="AG241" i="45"/>
  <c r="AF199" i="45"/>
  <c r="AL199" i="45" s="1"/>
  <c r="AI244" i="45"/>
  <c r="AK148" i="45"/>
  <c r="AO191" i="45"/>
  <c r="AK231" i="45"/>
  <c r="AJ191" i="45"/>
  <c r="AO143" i="45"/>
  <c r="AF240" i="45"/>
  <c r="AL240" i="45" s="1"/>
  <c r="AO205" i="45"/>
  <c r="AK156" i="45"/>
  <c r="AJ151" i="45"/>
  <c r="AD30" i="42"/>
  <c r="AI30" i="42" s="1"/>
  <c r="AD34" i="42"/>
  <c r="AF34" i="42" s="1"/>
  <c r="AL34" i="42" s="1"/>
  <c r="AG208" i="45"/>
  <c r="AO160" i="45"/>
  <c r="AJ222" i="45"/>
  <c r="AF151" i="45"/>
  <c r="AL151" i="45" s="1"/>
  <c r="AI222" i="45"/>
  <c r="AI246" i="45"/>
  <c r="AO214" i="45"/>
  <c r="AJ182" i="45"/>
  <c r="AO158" i="45"/>
  <c r="AJ133" i="45"/>
  <c r="AO239" i="45"/>
  <c r="I57" i="36" a="1"/>
  <c r="I57" i="36" s="1"/>
  <c r="AG184" i="45"/>
  <c r="AK191" i="45"/>
  <c r="AF247" i="45"/>
  <c r="AL247" i="45" s="1"/>
  <c r="AF239" i="45"/>
  <c r="AL239" i="45" s="1"/>
  <c r="AF215" i="45"/>
  <c r="AL215" i="45" s="1"/>
  <c r="AO207" i="45"/>
  <c r="AF175" i="45"/>
  <c r="AL175" i="45" s="1"/>
  <c r="AK167" i="45"/>
  <c r="AF135" i="45"/>
  <c r="AL135" i="45" s="1"/>
  <c r="AO136" i="45"/>
  <c r="AF246" i="45"/>
  <c r="AL246" i="45" s="1"/>
  <c r="AF238" i="45"/>
  <c r="AL238" i="45" s="1"/>
  <c r="AO230" i="45"/>
  <c r="AO222" i="45"/>
  <c r="AI214" i="45"/>
  <c r="AI206" i="45"/>
  <c r="AI198" i="45"/>
  <c r="AK190" i="45"/>
  <c r="AJ174" i="45"/>
  <c r="AO166" i="45"/>
  <c r="AI158" i="45"/>
  <c r="AJ150" i="45"/>
  <c r="AO142" i="45"/>
  <c r="AJ244" i="45"/>
  <c r="AO231" i="45"/>
  <c r="AK182" i="45"/>
  <c r="AK158" i="45"/>
  <c r="AJ142" i="45"/>
  <c r="AF130" i="45"/>
  <c r="AL130" i="45" s="1"/>
  <c r="AF248" i="45"/>
  <c r="AL248" i="45" s="1"/>
  <c r="AF208" i="45"/>
  <c r="AL208" i="45" s="1"/>
  <c r="AK165" i="45"/>
  <c r="AF243" i="45"/>
  <c r="AL243" i="45" s="1"/>
  <c r="AF203" i="45"/>
  <c r="AL203" i="45" s="1"/>
  <c r="AG171" i="45"/>
  <c r="AI142" i="45"/>
  <c r="AK244" i="45"/>
  <c r="AF244" i="45"/>
  <c r="AL244" i="45" s="1"/>
  <c r="AG244" i="45"/>
  <c r="AK236" i="45"/>
  <c r="AI236" i="45"/>
  <c r="AJ236" i="45"/>
  <c r="AF236" i="45"/>
  <c r="AL236" i="45" s="1"/>
  <c r="AG236" i="45"/>
  <c r="AG228" i="45"/>
  <c r="AG220" i="45"/>
  <c r="AI220" i="45"/>
  <c r="AJ220" i="45"/>
  <c r="AK220" i="45"/>
  <c r="AJ212" i="45"/>
  <c r="AG212" i="45"/>
  <c r="AK212" i="45"/>
  <c r="AJ204" i="45"/>
  <c r="AG204" i="45"/>
  <c r="AI204" i="45"/>
  <c r="AI196" i="45"/>
  <c r="AK196" i="45"/>
  <c r="AJ196" i="45"/>
  <c r="AK188" i="45"/>
  <c r="AG188" i="45"/>
  <c r="AI180" i="45"/>
  <c r="AG180" i="45"/>
  <c r="AJ180" i="45"/>
  <c r="AK180" i="45"/>
  <c r="AI172" i="45"/>
  <c r="AJ172" i="45"/>
  <c r="AK172" i="45"/>
  <c r="AI164" i="45"/>
  <c r="AG164" i="45"/>
  <c r="AG156" i="45"/>
  <c r="AI156" i="45"/>
  <c r="AJ156" i="45"/>
  <c r="AJ148" i="45"/>
  <c r="AG148" i="45"/>
  <c r="AI140" i="45"/>
  <c r="AJ140" i="45"/>
  <c r="AG140" i="45"/>
  <c r="AF131" i="45"/>
  <c r="AL131" i="45" s="1"/>
  <c r="AG131" i="45"/>
  <c r="AI211" i="45"/>
  <c r="AF235" i="45"/>
  <c r="AL235" i="45" s="1"/>
  <c r="AI227" i="45"/>
  <c r="AF195" i="45"/>
  <c r="AL195" i="45" s="1"/>
  <c r="AI187" i="45"/>
  <c r="AF179" i="45"/>
  <c r="AL179" i="45" s="1"/>
  <c r="AI171" i="45"/>
  <c r="AG147" i="45"/>
  <c r="AI228" i="45"/>
  <c r="AO245" i="45"/>
  <c r="AG245" i="45"/>
  <c r="AI245" i="45"/>
  <c r="AJ245" i="45"/>
  <c r="AK245" i="45"/>
  <c r="AO237" i="45"/>
  <c r="AI237" i="45"/>
  <c r="AJ237" i="45"/>
  <c r="AG237" i="45"/>
  <c r="AK237" i="45"/>
  <c r="AI229" i="45"/>
  <c r="AJ229" i="45"/>
  <c r="AK229" i="45"/>
  <c r="AO229" i="45"/>
  <c r="AO221" i="45"/>
  <c r="AI213" i="45"/>
  <c r="AJ213" i="45"/>
  <c r="AK213" i="45"/>
  <c r="AJ205" i="45"/>
  <c r="AK205" i="45"/>
  <c r="AI189" i="45"/>
  <c r="AJ189" i="45"/>
  <c r="AK189" i="45"/>
  <c r="AO189" i="45"/>
  <c r="AO181" i="45"/>
  <c r="AK181" i="45"/>
  <c r="AI173" i="45"/>
  <c r="AJ173" i="45"/>
  <c r="AO165" i="45"/>
  <c r="AI165" i="45"/>
  <c r="AJ165" i="45"/>
  <c r="AO157" i="45"/>
  <c r="AI149" i="45"/>
  <c r="AJ149" i="45"/>
  <c r="AK149" i="45"/>
  <c r="AJ141" i="45"/>
  <c r="AK141" i="45"/>
  <c r="AO141" i="45"/>
  <c r="AI132" i="45"/>
  <c r="AG132" i="45"/>
  <c r="AI234" i="45"/>
  <c r="AF210" i="45"/>
  <c r="AL210" i="45" s="1"/>
  <c r="AG194" i="45"/>
  <c r="AG178" i="45"/>
  <c r="AF154" i="45"/>
  <c r="AL154" i="45" s="1"/>
  <c r="AF146" i="45"/>
  <c r="AL146" i="45" s="1"/>
  <c r="AG217" i="45"/>
  <c r="AF209" i="45"/>
  <c r="AL209" i="45" s="1"/>
  <c r="AO201" i="45"/>
  <c r="AF193" i="45"/>
  <c r="AL193" i="45" s="1"/>
  <c r="AF185" i="45"/>
  <c r="AL185" i="45" s="1"/>
  <c r="AO177" i="45"/>
  <c r="AG169" i="45"/>
  <c r="AG161" i="45"/>
  <c r="AG153" i="45"/>
  <c r="AF145" i="45"/>
  <c r="AL145" i="45" s="1"/>
  <c r="AK239" i="45"/>
  <c r="AO198" i="45"/>
  <c r="AI195" i="45"/>
  <c r="AG177" i="45"/>
  <c r="AO167" i="45"/>
  <c r="AJ158" i="45"/>
  <c r="AF137" i="45"/>
  <c r="AL137" i="45" s="1"/>
  <c r="AO130" i="45"/>
  <c r="AJ243" i="45"/>
  <c r="AG227" i="45"/>
  <c r="AF211" i="45"/>
  <c r="AL211" i="45" s="1"/>
  <c r="AF187" i="45"/>
  <c r="AL187" i="45" s="1"/>
  <c r="AG163" i="45"/>
  <c r="AJ155" i="45"/>
  <c r="AG211" i="45"/>
  <c r="AJ147" i="45"/>
  <c r="AI242" i="45"/>
  <c r="AF202" i="45"/>
  <c r="AL202" i="45" s="1"/>
  <c r="AF138" i="45"/>
  <c r="AL138" i="45" s="1"/>
  <c r="AJ187" i="45"/>
  <c r="AI147" i="45"/>
  <c r="AG248" i="45"/>
  <c r="AG240" i="45"/>
  <c r="AG232" i="45"/>
  <c r="AF224" i="45"/>
  <c r="AL224" i="45" s="1"/>
  <c r="AF216" i="45"/>
  <c r="AL216" i="45" s="1"/>
  <c r="AF200" i="45"/>
  <c r="AL200" i="45" s="1"/>
  <c r="AG192" i="45"/>
  <c r="AG176" i="45"/>
  <c r="AG152" i="45"/>
  <c r="AO144" i="45"/>
  <c r="AO247" i="45"/>
  <c r="AI243" i="45"/>
  <c r="AO238" i="45"/>
  <c r="AG235" i="45"/>
  <c r="AO224" i="45"/>
  <c r="AK215" i="45"/>
  <c r="AK198" i="45"/>
  <c r="AJ175" i="45"/>
  <c r="AG155" i="45"/>
  <c r="AK130" i="45"/>
  <c r="AI235" i="45"/>
  <c r="AF139" i="45"/>
  <c r="AL139" i="45" s="1"/>
  <c r="AK247" i="45"/>
  <c r="AK238" i="45"/>
  <c r="AK224" i="45"/>
  <c r="AJ215" i="45"/>
  <c r="AJ206" i="45"/>
  <c r="AJ198" i="45"/>
  <c r="AG195" i="45"/>
  <c r="AK184" i="45"/>
  <c r="AJ171" i="45"/>
  <c r="AI166" i="45"/>
  <c r="AJ163" i="45"/>
  <c r="AF155" i="45"/>
  <c r="AL155" i="45" s="1"/>
  <c r="AG144" i="45"/>
  <c r="AJ235" i="45"/>
  <c r="AJ219" i="45"/>
  <c r="AI179" i="45"/>
  <c r="AF147" i="45"/>
  <c r="AL147" i="45" s="1"/>
  <c r="AG130" i="45"/>
  <c r="AG219" i="45"/>
  <c r="AG179" i="45"/>
  <c r="AF171" i="45"/>
  <c r="AL171" i="45" s="1"/>
  <c r="AJ139" i="45"/>
  <c r="AF218" i="45"/>
  <c r="AL218" i="45" s="1"/>
  <c r="AJ227" i="45"/>
  <c r="AF219" i="45"/>
  <c r="AL219" i="45" s="1"/>
  <c r="AO246" i="45"/>
  <c r="AG243" i="45"/>
  <c r="AJ238" i="45"/>
  <c r="AG233" i="45"/>
  <c r="AJ211" i="45"/>
  <c r="AJ203" i="45"/>
  <c r="AO174" i="45"/>
  <c r="AI163" i="45"/>
  <c r="AF144" i="45"/>
  <c r="AL144" i="45" s="1"/>
  <c r="AI133" i="45"/>
  <c r="AD33" i="42"/>
  <c r="AI33" i="42" s="1"/>
  <c r="AD32" i="42"/>
  <c r="AF32" i="42" s="1"/>
  <c r="AL32" i="42" s="1"/>
  <c r="AD29" i="42"/>
  <c r="AI29" i="42" s="1"/>
  <c r="AD51" i="42"/>
  <c r="AK51" i="42" s="1"/>
  <c r="AD50" i="42"/>
  <c r="AI50" i="42" s="1"/>
  <c r="AD28" i="42"/>
  <c r="AO28" i="42" s="1"/>
  <c r="AD57" i="42"/>
  <c r="AH57" i="42" s="1"/>
  <c r="AD49" i="42"/>
  <c r="AO49" i="42" s="1"/>
  <c r="AD56" i="42"/>
  <c r="AJ56" i="42" s="1"/>
  <c r="AD48" i="42"/>
  <c r="AG48" i="42" s="1"/>
  <c r="AD55" i="42"/>
  <c r="AJ55" i="42" s="1"/>
  <c r="AD58" i="42"/>
  <c r="AG58" i="42" s="1"/>
  <c r="AD54" i="42"/>
  <c r="AF54" i="42" s="1"/>
  <c r="AL54" i="42" s="1"/>
  <c r="AD61" i="42"/>
  <c r="AO61" i="42" s="1"/>
  <c r="AD53" i="42"/>
  <c r="AG53" i="42" s="1"/>
  <c r="AD59" i="42"/>
  <c r="AJ59" i="42" s="1"/>
  <c r="AD31" i="42"/>
  <c r="AJ31" i="42" s="1"/>
  <c r="AD35" i="42"/>
  <c r="AF35" i="42" s="1"/>
  <c r="AL35" i="42" s="1"/>
  <c r="AD27" i="42"/>
  <c r="AG27" i="42" s="1"/>
  <c r="AD60" i="42"/>
  <c r="AJ60" i="42" s="1"/>
  <c r="AD52" i="42"/>
  <c r="AI52" i="42" s="1"/>
  <c r="AD19" i="42"/>
  <c r="AD18" i="42"/>
  <c r="AJ18" i="42" s="1"/>
  <c r="AD22" i="42"/>
  <c r="AI22" i="42" s="1"/>
  <c r="AD25" i="42"/>
  <c r="AD17" i="42"/>
  <c r="AO17" i="42" s="1"/>
  <c r="AD21" i="42"/>
  <c r="AF21" i="42" s="1"/>
  <c r="AL21" i="42" s="1"/>
  <c r="AD47" i="42"/>
  <c r="AG47" i="42" s="1"/>
  <c r="AD46" i="42"/>
  <c r="AG46" i="42" s="1"/>
  <c r="AD45" i="42"/>
  <c r="AO45" i="42" s="1"/>
  <c r="AD44" i="42"/>
  <c r="AD23" i="42"/>
  <c r="AJ23" i="42" s="1"/>
  <c r="AD43" i="42"/>
  <c r="AO43" i="42" s="1"/>
  <c r="AD24" i="42"/>
  <c r="AI24" i="42" s="1"/>
  <c r="AD20" i="42"/>
  <c r="AJ20" i="42" s="1"/>
  <c r="W77" i="46" a="1"/>
  <c r="W77" i="46" s="1"/>
  <c r="AD16" i="42"/>
  <c r="AO145" i="45"/>
  <c r="AG231" i="45"/>
  <c r="AI231" i="45"/>
  <c r="AG223" i="45"/>
  <c r="AI223" i="45"/>
  <c r="AG215" i="45"/>
  <c r="AI215" i="45"/>
  <c r="AG207" i="45"/>
  <c r="AI207" i="45"/>
  <c r="AG199" i="45"/>
  <c r="AI199" i="45"/>
  <c r="AG191" i="45"/>
  <c r="AI191" i="45"/>
  <c r="AG183" i="45"/>
  <c r="AI183" i="45"/>
  <c r="AG175" i="45"/>
  <c r="AI175" i="45"/>
  <c r="AG167" i="45"/>
  <c r="AI167" i="45"/>
  <c r="AG159" i="45"/>
  <c r="AI159" i="45"/>
  <c r="AG151" i="45"/>
  <c r="AI151" i="45"/>
  <c r="AG143" i="45"/>
  <c r="AI143" i="45"/>
  <c r="AG135" i="45"/>
  <c r="AI135" i="45"/>
  <c r="AK248" i="45"/>
  <c r="AJ247" i="45"/>
  <c r="AO241" i="45"/>
  <c r="AK240" i="45"/>
  <c r="AJ239" i="45"/>
  <c r="AO233" i="45"/>
  <c r="AK232" i="45"/>
  <c r="AJ231" i="45"/>
  <c r="AF226" i="45"/>
  <c r="AL226" i="45" s="1"/>
  <c r="AI218" i="45"/>
  <c r="AO216" i="45"/>
  <c r="AK207" i="45"/>
  <c r="AG202" i="45"/>
  <c r="AG200" i="45"/>
  <c r="AF191" i="45"/>
  <c r="AL191" i="45" s="1"/>
  <c r="AI225" i="45"/>
  <c r="AJ225" i="45"/>
  <c r="AK225" i="45"/>
  <c r="AI193" i="45"/>
  <c r="AJ193" i="45"/>
  <c r="AK193" i="45"/>
  <c r="AF233" i="45"/>
  <c r="AL233" i="45" s="1"/>
  <c r="AI202" i="45"/>
  <c r="AI224" i="45"/>
  <c r="AJ224" i="45"/>
  <c r="AI208" i="45"/>
  <c r="AJ208" i="45"/>
  <c r="AI168" i="45"/>
  <c r="AJ168" i="45"/>
  <c r="AO185" i="45"/>
  <c r="AO183" i="45"/>
  <c r="AO152" i="45"/>
  <c r="AO225" i="45"/>
  <c r="AO223" i="45"/>
  <c r="AK183" i="45"/>
  <c r="AF229" i="45"/>
  <c r="AL229" i="45" s="1"/>
  <c r="AG229" i="45"/>
  <c r="AF221" i="45"/>
  <c r="AL221" i="45" s="1"/>
  <c r="AG221" i="45"/>
  <c r="AF213" i="45"/>
  <c r="AL213" i="45" s="1"/>
  <c r="AG213" i="45"/>
  <c r="AF205" i="45"/>
  <c r="AL205" i="45" s="1"/>
  <c r="AG205" i="45"/>
  <c r="AF197" i="45"/>
  <c r="AL197" i="45" s="1"/>
  <c r="AG197" i="45"/>
  <c r="AF189" i="45"/>
  <c r="AL189" i="45" s="1"/>
  <c r="AG189" i="45"/>
  <c r="AF181" i="45"/>
  <c r="AL181" i="45" s="1"/>
  <c r="AG181" i="45"/>
  <c r="AF173" i="45"/>
  <c r="AL173" i="45" s="1"/>
  <c r="AG173" i="45"/>
  <c r="AF165" i="45"/>
  <c r="AL165" i="45" s="1"/>
  <c r="AG165" i="45"/>
  <c r="AF157" i="45"/>
  <c r="AL157" i="45" s="1"/>
  <c r="AG157" i="45"/>
  <c r="AF149" i="45"/>
  <c r="AL149" i="45" s="1"/>
  <c r="AG149" i="45"/>
  <c r="AF141" i="45"/>
  <c r="AL141" i="45" s="1"/>
  <c r="AG141" i="45"/>
  <c r="AI248" i="45"/>
  <c r="AG246" i="45"/>
  <c r="AF245" i="45"/>
  <c r="AL245" i="45" s="1"/>
  <c r="AO243" i="45"/>
  <c r="AK242" i="45"/>
  <c r="AJ241" i="45"/>
  <c r="AI240" i="45"/>
  <c r="AG238" i="45"/>
  <c r="AF237" i="45"/>
  <c r="AL237" i="45" s="1"/>
  <c r="AO235" i="45"/>
  <c r="AK234" i="45"/>
  <c r="AJ233" i="45"/>
  <c r="AI232" i="45"/>
  <c r="AK223" i="45"/>
  <c r="AK221" i="45"/>
  <c r="AG218" i="45"/>
  <c r="AG216" i="45"/>
  <c r="AJ214" i="45"/>
  <c r="AF207" i="45"/>
  <c r="AL207" i="45" s="1"/>
  <c r="AI205" i="45"/>
  <c r="AI203" i="45"/>
  <c r="AO199" i="45"/>
  <c r="AO197" i="45"/>
  <c r="AK192" i="45"/>
  <c r="AG187" i="45"/>
  <c r="AG185" i="45"/>
  <c r="AJ183" i="45"/>
  <c r="AJ181" i="45"/>
  <c r="AJ179" i="45"/>
  <c r="AF178" i="45"/>
  <c r="AL178" i="45" s="1"/>
  <c r="AF176" i="45"/>
  <c r="AL176" i="45" s="1"/>
  <c r="AI174" i="45"/>
  <c r="AI170" i="45"/>
  <c r="AO168" i="45"/>
  <c r="AK159" i="45"/>
  <c r="AK157" i="45"/>
  <c r="AG154" i="45"/>
  <c r="AF143" i="45"/>
  <c r="AL143" i="45" s="1"/>
  <c r="AI141" i="45"/>
  <c r="AI139" i="45"/>
  <c r="AO137" i="45"/>
  <c r="AO135" i="45"/>
  <c r="AJ226" i="45"/>
  <c r="AK226" i="45"/>
  <c r="AO226" i="45"/>
  <c r="AJ210" i="45"/>
  <c r="AK210" i="45"/>
  <c r="AO210" i="45"/>
  <c r="AJ186" i="45"/>
  <c r="AK186" i="45"/>
  <c r="AO186" i="45"/>
  <c r="AJ146" i="45"/>
  <c r="AK146" i="45"/>
  <c r="AO146" i="45"/>
  <c r="AI226" i="45"/>
  <c r="AG210" i="45"/>
  <c r="AG146" i="45"/>
  <c r="AI217" i="45"/>
  <c r="AJ217" i="45"/>
  <c r="AK217" i="45"/>
  <c r="AI201" i="45"/>
  <c r="AJ201" i="45"/>
  <c r="AK201" i="45"/>
  <c r="AI145" i="45"/>
  <c r="AJ145" i="45"/>
  <c r="AK145" i="45"/>
  <c r="AG242" i="45"/>
  <c r="AF241" i="45"/>
  <c r="AL241" i="45" s="1"/>
  <c r="AO169" i="45"/>
  <c r="AI138" i="45"/>
  <c r="AI152" i="45"/>
  <c r="AJ152" i="45"/>
  <c r="AK176" i="45"/>
  <c r="AJ167" i="45"/>
  <c r="AI154" i="45"/>
  <c r="AK143" i="45"/>
  <c r="AG138" i="45"/>
  <c r="AF230" i="45"/>
  <c r="AL230" i="45" s="1"/>
  <c r="AG230" i="45"/>
  <c r="AF222" i="45"/>
  <c r="AL222" i="45" s="1"/>
  <c r="AG222" i="45"/>
  <c r="AF206" i="45"/>
  <c r="AL206" i="45" s="1"/>
  <c r="AG206" i="45"/>
  <c r="AF190" i="45"/>
  <c r="AL190" i="45" s="1"/>
  <c r="AG190" i="45"/>
  <c r="AF182" i="45"/>
  <c r="AL182" i="45" s="1"/>
  <c r="AG182" i="45"/>
  <c r="AF166" i="45"/>
  <c r="AL166" i="45" s="1"/>
  <c r="AG166" i="45"/>
  <c r="AF150" i="45"/>
  <c r="AL150" i="45" s="1"/>
  <c r="AG150" i="45"/>
  <c r="AJ248" i="45"/>
  <c r="AI247" i="45"/>
  <c r="AO242" i="45"/>
  <c r="AK241" i="45"/>
  <c r="AJ240" i="45"/>
  <c r="AI239" i="45"/>
  <c r="AK216" i="45"/>
  <c r="AK214" i="45"/>
  <c r="AO161" i="45"/>
  <c r="AO159" i="45"/>
  <c r="AK152" i="45"/>
  <c r="AK150" i="45"/>
  <c r="AO228" i="45"/>
  <c r="AF228" i="45"/>
  <c r="AL228" i="45" s="1"/>
  <c r="AO220" i="45"/>
  <c r="AF220" i="45"/>
  <c r="AL220" i="45" s="1"/>
  <c r="AO212" i="45"/>
  <c r="AF212" i="45"/>
  <c r="AL212" i="45" s="1"/>
  <c r="AO204" i="45"/>
  <c r="AF204" i="45"/>
  <c r="AL204" i="45" s="1"/>
  <c r="AO196" i="45"/>
  <c r="AF196" i="45"/>
  <c r="AL196" i="45" s="1"/>
  <c r="AO188" i="45"/>
  <c r="AF188" i="45"/>
  <c r="AL188" i="45" s="1"/>
  <c r="AO180" i="45"/>
  <c r="AF180" i="45"/>
  <c r="AL180" i="45" s="1"/>
  <c r="AO172" i="45"/>
  <c r="AF172" i="45"/>
  <c r="AL172" i="45" s="1"/>
  <c r="AO164" i="45"/>
  <c r="AF164" i="45"/>
  <c r="AL164" i="45" s="1"/>
  <c r="AO156" i="45"/>
  <c r="AF156" i="45"/>
  <c r="AL156" i="45" s="1"/>
  <c r="AO148" i="45"/>
  <c r="AF148" i="45"/>
  <c r="AL148" i="45" s="1"/>
  <c r="AO140" i="45"/>
  <c r="AF140" i="45"/>
  <c r="AL140" i="45" s="1"/>
  <c r="AG247" i="45"/>
  <c r="AO244" i="45"/>
  <c r="AK243" i="45"/>
  <c r="AJ242" i="45"/>
  <c r="AI241" i="45"/>
  <c r="AG239" i="45"/>
  <c r="AO236" i="45"/>
  <c r="AK235" i="45"/>
  <c r="AJ234" i="45"/>
  <c r="AI233" i="45"/>
  <c r="AK230" i="45"/>
  <c r="AK228" i="45"/>
  <c r="AG225" i="45"/>
  <c r="AJ223" i="45"/>
  <c r="AJ221" i="45"/>
  <c r="AI212" i="45"/>
  <c r="AI210" i="45"/>
  <c r="AO208" i="45"/>
  <c r="AO206" i="45"/>
  <c r="AK199" i="45"/>
  <c r="AK197" i="45"/>
  <c r="AG196" i="45"/>
  <c r="AJ190" i="45"/>
  <c r="AJ188" i="45"/>
  <c r="AF183" i="45"/>
  <c r="AL183" i="45" s="1"/>
  <c r="AI181" i="45"/>
  <c r="AO175" i="45"/>
  <c r="AO173" i="45"/>
  <c r="AK168" i="45"/>
  <c r="AK166" i="45"/>
  <c r="AK164" i="45"/>
  <c r="AJ159" i="45"/>
  <c r="AJ157" i="45"/>
  <c r="AF152" i="45"/>
  <c r="AL152" i="45" s="1"/>
  <c r="AI150" i="45"/>
  <c r="AI148" i="45"/>
  <c r="AI146" i="45"/>
  <c r="AK135" i="45"/>
  <c r="AJ218" i="45"/>
  <c r="AK218" i="45"/>
  <c r="AO218" i="45"/>
  <c r="AJ202" i="45"/>
  <c r="AK202" i="45"/>
  <c r="AO202" i="45"/>
  <c r="AJ194" i="45"/>
  <c r="AK194" i="45"/>
  <c r="AO194" i="45"/>
  <c r="AJ178" i="45"/>
  <c r="AK178" i="45"/>
  <c r="AO178" i="45"/>
  <c r="AJ170" i="45"/>
  <c r="AK170" i="45"/>
  <c r="AO170" i="45"/>
  <c r="AJ162" i="45"/>
  <c r="AK162" i="45"/>
  <c r="AO162" i="45"/>
  <c r="AJ154" i="45"/>
  <c r="AK154" i="45"/>
  <c r="AO154" i="45"/>
  <c r="AJ138" i="45"/>
  <c r="AK138" i="45"/>
  <c r="AO138" i="45"/>
  <c r="AF170" i="45"/>
  <c r="AL170" i="45" s="1"/>
  <c r="AI162" i="45"/>
  <c r="AI209" i="45"/>
  <c r="AJ209" i="45"/>
  <c r="AK209" i="45"/>
  <c r="AI185" i="45"/>
  <c r="AJ185" i="45"/>
  <c r="AK185" i="45"/>
  <c r="AI177" i="45"/>
  <c r="AJ177" i="45"/>
  <c r="AK177" i="45"/>
  <c r="AI169" i="45"/>
  <c r="AJ169" i="45"/>
  <c r="AK169" i="45"/>
  <c r="AI161" i="45"/>
  <c r="AJ161" i="45"/>
  <c r="AK161" i="45"/>
  <c r="AI153" i="45"/>
  <c r="AJ153" i="45"/>
  <c r="AK153" i="45"/>
  <c r="AI137" i="45"/>
  <c r="AJ137" i="45"/>
  <c r="AK137" i="45"/>
  <c r="AG234" i="45"/>
  <c r="AG186" i="45"/>
  <c r="AF177" i="45"/>
  <c r="AL177" i="45" s="1"/>
  <c r="AI216" i="45"/>
  <c r="AJ216" i="45"/>
  <c r="AI200" i="45"/>
  <c r="AJ200" i="45"/>
  <c r="AI192" i="45"/>
  <c r="AJ192" i="45"/>
  <c r="AI184" i="45"/>
  <c r="AJ184" i="45"/>
  <c r="AI176" i="45"/>
  <c r="AJ176" i="45"/>
  <c r="AI160" i="45"/>
  <c r="AJ160" i="45"/>
  <c r="AI144" i="45"/>
  <c r="AJ144" i="45"/>
  <c r="AI136" i="45"/>
  <c r="AJ136" i="45"/>
  <c r="AO248" i="45"/>
  <c r="AF242" i="45"/>
  <c r="AL242" i="45" s="1"/>
  <c r="AO240" i="45"/>
  <c r="AF234" i="45"/>
  <c r="AL234" i="45" s="1"/>
  <c r="AO232" i="45"/>
  <c r="AG226" i="45"/>
  <c r="AG224" i="45"/>
  <c r="AF217" i="45"/>
  <c r="AL217" i="45" s="1"/>
  <c r="AO209" i="45"/>
  <c r="AK200" i="45"/>
  <c r="AG193" i="45"/>
  <c r="AF186" i="45"/>
  <c r="AL186" i="45" s="1"/>
  <c r="AF184" i="45"/>
  <c r="AL184" i="45" s="1"/>
  <c r="AI178" i="45"/>
  <c r="AO176" i="45"/>
  <c r="AG162" i="45"/>
  <c r="AG160" i="45"/>
  <c r="AF153" i="45"/>
  <c r="AL153" i="45" s="1"/>
  <c r="AK136" i="45"/>
  <c r="AF162" i="45"/>
  <c r="AL162" i="45" s="1"/>
  <c r="AF160" i="45"/>
  <c r="AL160" i="45" s="1"/>
  <c r="AG136" i="45"/>
  <c r="AF214" i="45"/>
  <c r="AL214" i="45" s="1"/>
  <c r="AG214" i="45"/>
  <c r="AF198" i="45"/>
  <c r="AL198" i="45" s="1"/>
  <c r="AG198" i="45"/>
  <c r="AF174" i="45"/>
  <c r="AL174" i="45" s="1"/>
  <c r="AG174" i="45"/>
  <c r="AF158" i="45"/>
  <c r="AL158" i="45" s="1"/>
  <c r="AG158" i="45"/>
  <c r="AF142" i="45"/>
  <c r="AL142" i="45" s="1"/>
  <c r="AG142" i="45"/>
  <c r="AO234" i="45"/>
  <c r="AK233" i="45"/>
  <c r="AJ232" i="45"/>
  <c r="AF231" i="45"/>
  <c r="AL231" i="45" s="1"/>
  <c r="AG209" i="45"/>
  <c r="AJ207" i="45"/>
  <c r="AI194" i="45"/>
  <c r="AO192" i="45"/>
  <c r="AO190" i="45"/>
  <c r="AF169" i="45"/>
  <c r="AL169" i="45" s="1"/>
  <c r="AF167" i="45"/>
  <c r="AL167" i="45" s="1"/>
  <c r="AG145" i="45"/>
  <c r="AJ143" i="45"/>
  <c r="AF136" i="45"/>
  <c r="AL136" i="45" s="1"/>
  <c r="AK227" i="45"/>
  <c r="AO227" i="45"/>
  <c r="AK219" i="45"/>
  <c r="AO219" i="45"/>
  <c r="AK211" i="45"/>
  <c r="AO211" i="45"/>
  <c r="AK203" i="45"/>
  <c r="AO203" i="45"/>
  <c r="AK195" i="45"/>
  <c r="AO195" i="45"/>
  <c r="AK187" i="45"/>
  <c r="AO187" i="45"/>
  <c r="AK179" i="45"/>
  <c r="AO179" i="45"/>
  <c r="AK171" i="45"/>
  <c r="AO171" i="45"/>
  <c r="AK163" i="45"/>
  <c r="AO163" i="45"/>
  <c r="AK155" i="45"/>
  <c r="AO155" i="45"/>
  <c r="AK147" i="45"/>
  <c r="AO147" i="45"/>
  <c r="AK139" i="45"/>
  <c r="AO139" i="45"/>
  <c r="AJ230" i="45"/>
  <c r="AJ228" i="45"/>
  <c r="AF227" i="45"/>
  <c r="AL227" i="45" s="1"/>
  <c r="AF225" i="45"/>
  <c r="AL225" i="45" s="1"/>
  <c r="AF223" i="45"/>
  <c r="AL223" i="45" s="1"/>
  <c r="AI221" i="45"/>
  <c r="AI219" i="45"/>
  <c r="AO217" i="45"/>
  <c r="AO215" i="45"/>
  <c r="AO213" i="45"/>
  <c r="AK208" i="45"/>
  <c r="AK206" i="45"/>
  <c r="AK204" i="45"/>
  <c r="AG203" i="45"/>
  <c r="AG201" i="45"/>
  <c r="AJ199" i="45"/>
  <c r="AJ197" i="45"/>
  <c r="AJ195" i="45"/>
  <c r="AF194" i="45"/>
  <c r="AL194" i="45" s="1"/>
  <c r="AF192" i="45"/>
  <c r="AL192" i="45" s="1"/>
  <c r="AI190" i="45"/>
  <c r="AI188" i="45"/>
  <c r="AI186" i="45"/>
  <c r="AO184" i="45"/>
  <c r="AO182" i="45"/>
  <c r="AK175" i="45"/>
  <c r="AK173" i="45"/>
  <c r="AG172" i="45"/>
  <c r="AG170" i="45"/>
  <c r="AG168" i="45"/>
  <c r="AJ166" i="45"/>
  <c r="AJ164" i="45"/>
  <c r="AF163" i="45"/>
  <c r="AL163" i="45" s="1"/>
  <c r="AF161" i="45"/>
  <c r="AL161" i="45" s="1"/>
  <c r="AF159" i="45"/>
  <c r="AL159" i="45" s="1"/>
  <c r="AI157" i="45"/>
  <c r="AI155" i="45"/>
  <c r="AO153" i="45"/>
  <c r="AO151" i="45"/>
  <c r="AO149" i="45"/>
  <c r="AK144" i="45"/>
  <c r="AK142" i="45"/>
  <c r="AK140" i="45"/>
  <c r="AG139" i="45"/>
  <c r="AG137" i="45"/>
  <c r="AJ135" i="45"/>
  <c r="AO132" i="45"/>
  <c r="AO133" i="45"/>
  <c r="AK132" i="45"/>
  <c r="AJ131" i="45"/>
  <c r="AI130" i="45"/>
  <c r="AK133" i="45"/>
  <c r="AJ132" i="45"/>
  <c r="AI131" i="45"/>
  <c r="AG133" i="45"/>
  <c r="AF132" i="45"/>
  <c r="AL132" i="45" s="1"/>
  <c r="AF133" i="45"/>
  <c r="AL133" i="45" s="1"/>
  <c r="AO131" i="45"/>
  <c r="AK131" i="45"/>
  <c r="AJ130" i="45"/>
  <c r="AU10" i="48"/>
  <c r="AV10" i="48"/>
  <c r="AX10" i="48"/>
  <c r="AW10" i="48"/>
  <c r="AD42" i="42"/>
  <c r="AO42" i="42" s="1"/>
  <c r="T95" i="45" a="1"/>
  <c r="T95" i="45" s="1"/>
  <c r="T57" i="45" a="1"/>
  <c r="T57" i="45" s="1"/>
  <c r="T17" i="45" a="1"/>
  <c r="T17" i="45" s="1"/>
  <c r="T94" i="45" a="1"/>
  <c r="T94" i="45" s="1"/>
  <c r="T56" i="45" a="1"/>
  <c r="T56" i="45" s="1"/>
  <c r="T16" i="45" a="1"/>
  <c r="T16" i="45" s="1"/>
  <c r="T120" i="45" a="1"/>
  <c r="T120" i="45" s="1"/>
  <c r="T80" i="45" a="1"/>
  <c r="T80" i="45" s="1"/>
  <c r="T42" i="45" a="1"/>
  <c r="T42" i="45" s="1"/>
  <c r="T119" i="45" a="1"/>
  <c r="T119" i="45" s="1"/>
  <c r="T79" i="45" a="1"/>
  <c r="T79" i="45" s="1"/>
  <c r="T41" i="45" a="1"/>
  <c r="T41" i="45" s="1"/>
  <c r="T118" i="45" a="1"/>
  <c r="T118" i="45" s="1"/>
  <c r="T38" i="45" a="1"/>
  <c r="T38" i="45" s="1"/>
  <c r="T74" i="45" a="1"/>
  <c r="T74" i="45" s="1"/>
  <c r="T103" i="45" a="1"/>
  <c r="T103" i="45" s="1"/>
  <c r="T63" i="45" a="1"/>
  <c r="T63" i="45" s="1"/>
  <c r="T23" i="45" a="1"/>
  <c r="T23" i="45" s="1"/>
  <c r="T78" i="45" a="1"/>
  <c r="T78" i="45" s="1"/>
  <c r="T114" i="45" a="1"/>
  <c r="T114" i="45" s="1"/>
  <c r="T34" i="45" a="1"/>
  <c r="T34" i="45" s="1"/>
  <c r="T15" i="45" a="1"/>
  <c r="T15" i="45" s="1"/>
  <c r="T102" i="45" a="1"/>
  <c r="T102" i="45" s="1"/>
  <c r="T62" i="45" a="1"/>
  <c r="T62" i="45" s="1"/>
  <c r="T25" i="45" a="1"/>
  <c r="T25" i="45" s="1"/>
  <c r="T106" i="45" a="1"/>
  <c r="T106" i="45" s="1"/>
  <c r="T89" i="45" a="1"/>
  <c r="T89" i="45" s="1"/>
  <c r="T71" i="45" a="1"/>
  <c r="T71" i="45" s="1"/>
  <c r="T49" i="45" a="1"/>
  <c r="T49" i="45" s="1"/>
  <c r="T31" i="45" a="1"/>
  <c r="T31" i="45" s="1"/>
  <c r="T14" i="45" a="1"/>
  <c r="T14" i="45" s="1"/>
  <c r="W114" i="45" a="1"/>
  <c r="W114" i="45" s="1"/>
  <c r="W82" i="45" a="1"/>
  <c r="W82" i="45" s="1"/>
  <c r="W33" i="46" a="1"/>
  <c r="W33" i="46" s="1"/>
  <c r="AA33" i="46" s="1" a="1"/>
  <c r="AA33" i="46" s="1"/>
  <c r="W25" i="46" a="1"/>
  <c r="W25" i="46" s="1"/>
  <c r="AA25" i="46" s="1" a="1"/>
  <c r="AA25" i="46" s="1"/>
  <c r="W21" i="46" a="1"/>
  <c r="W21" i="46" s="1"/>
  <c r="AA21" i="46" s="1" a="1"/>
  <c r="AA21" i="46" s="1"/>
  <c r="W69" i="46" a="1"/>
  <c r="W69" i="46" s="1"/>
  <c r="W75" i="46" a="1"/>
  <c r="W75" i="46" s="1"/>
  <c r="T110" i="45" a="1"/>
  <c r="T110" i="45" s="1"/>
  <c r="T90" i="45" a="1"/>
  <c r="T90" i="45" s="1"/>
  <c r="T73" i="45" a="1"/>
  <c r="T73" i="45" s="1"/>
  <c r="T50" i="45" a="1"/>
  <c r="T50" i="45" s="1"/>
  <c r="T32" i="45" a="1"/>
  <c r="T32" i="45" s="1"/>
  <c r="W85" i="46" a="1"/>
  <c r="W85" i="46" s="1"/>
  <c r="T105" i="45" a="1"/>
  <c r="T105" i="45" s="1"/>
  <c r="T88" i="45" a="1"/>
  <c r="T88" i="45" s="1"/>
  <c r="T65" i="45" a="1"/>
  <c r="T65" i="45" s="1"/>
  <c r="T48" i="45" a="1"/>
  <c r="T48" i="45" s="1"/>
  <c r="T30" i="45" a="1"/>
  <c r="T30" i="45" s="1"/>
  <c r="W84" i="46" a="1"/>
  <c r="W84" i="46" s="1"/>
  <c r="T121" i="45" a="1"/>
  <c r="T121" i="45" s="1"/>
  <c r="T104" i="45" a="1"/>
  <c r="T104" i="45" s="1"/>
  <c r="T87" i="45" a="1"/>
  <c r="T87" i="45" s="1"/>
  <c r="T64" i="45" a="1"/>
  <c r="T64" i="45" s="1"/>
  <c r="T46" i="45" a="1"/>
  <c r="T46" i="45" s="1"/>
  <c r="T26" i="45" a="1"/>
  <c r="T26" i="45" s="1"/>
  <c r="W79" i="46" a="1"/>
  <c r="W79" i="46" s="1"/>
  <c r="AS10" i="48"/>
  <c r="AT3" i="48" s="1"/>
  <c r="W117" i="45" a="1"/>
  <c r="W117" i="45" s="1"/>
  <c r="W109" i="45" a="1"/>
  <c r="W109" i="45" s="1"/>
  <c r="W101" i="45" a="1"/>
  <c r="W101" i="45" s="1"/>
  <c r="W93" i="45" a="1"/>
  <c r="W93" i="45" s="1"/>
  <c r="W85" i="45" a="1"/>
  <c r="W85" i="45" s="1"/>
  <c r="W77" i="45" a="1"/>
  <c r="W77" i="45" s="1"/>
  <c r="W69" i="45" a="1"/>
  <c r="W69" i="45" s="1"/>
  <c r="W61" i="45" a="1"/>
  <c r="W61" i="45" s="1"/>
  <c r="W53" i="45" a="1"/>
  <c r="W53" i="45" s="1"/>
  <c r="W45" i="45" a="1"/>
  <c r="W45" i="45" s="1"/>
  <c r="W37" i="45" a="1"/>
  <c r="W37" i="45" s="1"/>
  <c r="W29" i="45" a="1"/>
  <c r="W29" i="45" s="1"/>
  <c r="W21" i="45" a="1"/>
  <c r="W21" i="45" s="1"/>
  <c r="W89" i="46" a="1"/>
  <c r="W89" i="46" s="1"/>
  <c r="W76" i="46" a="1"/>
  <c r="W76" i="46" s="1"/>
  <c r="V135" i="38" a="1"/>
  <c r="V135" i="38" s="1"/>
  <c r="W87" i="46" a="1"/>
  <c r="W87" i="46" s="1"/>
  <c r="W94" i="45" a="1"/>
  <c r="W94" i="45" s="1"/>
  <c r="W70" i="45" a="1"/>
  <c r="W70" i="45" s="1"/>
  <c r="W62" i="45" a="1"/>
  <c r="W62" i="45" s="1"/>
  <c r="W54" i="45" a="1"/>
  <c r="W54" i="45" s="1"/>
  <c r="W30" i="45" a="1"/>
  <c r="W30" i="45" s="1"/>
  <c r="W72" i="46" a="1"/>
  <c r="W72" i="46" s="1"/>
  <c r="W80" i="46" a="1"/>
  <c r="W80" i="46" s="1"/>
  <c r="W88" i="46" a="1"/>
  <c r="W88" i="46" s="1"/>
  <c r="W71" i="46" a="1"/>
  <c r="W71" i="46" s="1"/>
  <c r="W81" i="46" a="1"/>
  <c r="W81" i="46" s="1"/>
  <c r="W73" i="46" a="1"/>
  <c r="W73" i="46" s="1"/>
  <c r="W82" i="46" a="1"/>
  <c r="W82" i="46" s="1"/>
  <c r="W74" i="46" a="1"/>
  <c r="W74" i="46" s="1"/>
  <c r="W83" i="46" a="1"/>
  <c r="W83" i="46" s="1"/>
  <c r="W123" i="45" a="1"/>
  <c r="W123" i="45" s="1"/>
  <c r="W91" i="45" a="1"/>
  <c r="W91" i="45" s="1"/>
  <c r="W86" i="46" a="1"/>
  <c r="W86" i="46" s="1"/>
  <c r="W70" i="46" a="1"/>
  <c r="W70" i="46" s="1"/>
  <c r="T113" i="45" a="1"/>
  <c r="T113" i="45" s="1"/>
  <c r="T98" i="45" a="1"/>
  <c r="T98" i="45" s="1"/>
  <c r="T82" i="45" a="1"/>
  <c r="T82" i="45" s="1"/>
  <c r="T70" i="45" a="1"/>
  <c r="T70" i="45" s="1"/>
  <c r="T55" i="45" a="1"/>
  <c r="T55" i="45" s="1"/>
  <c r="T40" i="45" a="1"/>
  <c r="T40" i="45" s="1"/>
  <c r="W113" i="45" a="1"/>
  <c r="W113" i="45" s="1"/>
  <c r="W81" i="45" a="1"/>
  <c r="W81" i="45" s="1"/>
  <c r="T19" i="45" a="1"/>
  <c r="T19" i="45" s="1"/>
  <c r="T22" i="45" a="1"/>
  <c r="T22" i="45" s="1"/>
  <c r="T33" i="45" a="1"/>
  <c r="T33" i="45" s="1"/>
  <c r="T47" i="45" a="1"/>
  <c r="T47" i="45" s="1"/>
  <c r="T58" i="45" a="1"/>
  <c r="T58" i="45" s="1"/>
  <c r="T72" i="45" a="1"/>
  <c r="T72" i="45" s="1"/>
  <c r="T86" i="45" a="1"/>
  <c r="T86" i="45" s="1"/>
  <c r="T97" i="45" a="1"/>
  <c r="T97" i="45" s="1"/>
  <c r="T111" i="45" a="1"/>
  <c r="T111" i="45" s="1"/>
  <c r="T122" i="45" a="1"/>
  <c r="T122" i="45" s="1"/>
  <c r="T112" i="45" a="1"/>
  <c r="T112" i="45" s="1"/>
  <c r="T96" i="45" a="1"/>
  <c r="T96" i="45" s="1"/>
  <c r="T81" i="45" a="1"/>
  <c r="T81" i="45" s="1"/>
  <c r="T66" i="45" a="1"/>
  <c r="T66" i="45" s="1"/>
  <c r="T54" i="45" a="1"/>
  <c r="T54" i="45" s="1"/>
  <c r="T39" i="45" a="1"/>
  <c r="T39" i="45" s="1"/>
  <c r="T24" i="45" a="1"/>
  <c r="T24" i="45" s="1"/>
  <c r="W104" i="45" a="1"/>
  <c r="W104" i="45" s="1"/>
  <c r="W72" i="45" a="1"/>
  <c r="W72" i="45" s="1"/>
  <c r="W103" i="45" a="1"/>
  <c r="W103" i="45" s="1"/>
  <c r="W71" i="45" a="1"/>
  <c r="W71" i="45" s="1"/>
  <c r="W31" i="45" a="1"/>
  <c r="W31" i="45" s="1"/>
  <c r="W32" i="46" a="1"/>
  <c r="W32" i="46" s="1"/>
  <c r="AA32" i="46" s="1" a="1"/>
  <c r="AA32" i="46" s="1"/>
  <c r="W24" i="46" a="1"/>
  <c r="W24" i="46" s="1"/>
  <c r="AA24" i="46" s="1" a="1"/>
  <c r="AA24" i="46" s="1"/>
  <c r="W20" i="46" a="1"/>
  <c r="W20" i="46" s="1"/>
  <c r="AA20" i="46" s="1" a="1"/>
  <c r="AA20" i="46" s="1"/>
  <c r="W31" i="46" a="1"/>
  <c r="W31" i="46" s="1"/>
  <c r="AA31" i="46" s="1" a="1"/>
  <c r="AA31" i="46" s="1"/>
  <c r="W23" i="46" a="1"/>
  <c r="W23" i="46" s="1"/>
  <c r="AA23" i="46" s="1" a="1"/>
  <c r="AA23" i="46" s="1"/>
  <c r="W27" i="46" a="1"/>
  <c r="W27" i="46" s="1"/>
  <c r="AA27" i="46" s="1" a="1"/>
  <c r="AA27" i="46" s="1"/>
  <c r="W22" i="46" a="1"/>
  <c r="W22" i="46" s="1"/>
  <c r="AA22" i="46" s="1" a="1"/>
  <c r="AA22" i="46" s="1"/>
  <c r="W36" i="46" a="1"/>
  <c r="W36" i="46" s="1"/>
  <c r="AA36" i="46" s="1" a="1"/>
  <c r="AA36" i="46" s="1"/>
  <c r="W26" i="46" a="1"/>
  <c r="W26" i="46" s="1"/>
  <c r="AA26" i="46" s="1" a="1"/>
  <c r="AA26" i="46" s="1"/>
  <c r="W18" i="46" a="1"/>
  <c r="W18" i="46" s="1"/>
  <c r="AA18" i="46" s="1" a="1"/>
  <c r="AA18" i="46" s="1"/>
  <c r="W30" i="46" a="1"/>
  <c r="W30" i="46" s="1"/>
  <c r="AA30" i="46" s="1" a="1"/>
  <c r="AA30" i="46" s="1"/>
  <c r="W34" i="46" a="1"/>
  <c r="W34" i="46" s="1"/>
  <c r="AA34" i="46" s="1" a="1"/>
  <c r="AA34" i="46" s="1"/>
  <c r="W37" i="46" a="1"/>
  <c r="W37" i="46" s="1"/>
  <c r="AA37" i="46" s="1" a="1"/>
  <c r="AA37" i="46" s="1"/>
  <c r="W29" i="46" a="1"/>
  <c r="W29" i="46" s="1"/>
  <c r="AA29" i="46" s="1" a="1"/>
  <c r="AA29" i="46" s="1"/>
  <c r="W28" i="46" a="1"/>
  <c r="W28" i="46" s="1"/>
  <c r="AA28" i="46" s="1" a="1"/>
  <c r="AA28" i="46" s="1"/>
  <c r="W19" i="46" a="1"/>
  <c r="W19" i="46" s="1"/>
  <c r="AA19" i="46" s="1" a="1"/>
  <c r="AA19" i="46" s="1"/>
  <c r="W35" i="46" a="1"/>
  <c r="W35" i="46" s="1"/>
  <c r="AA35" i="46" s="1" a="1"/>
  <c r="AA35" i="46" s="1"/>
  <c r="W23" i="45" a="1"/>
  <c r="W23" i="45" s="1"/>
  <c r="W38" i="45" a="1"/>
  <c r="W38" i="45" s="1"/>
  <c r="M65" i="44"/>
  <c r="H49" i="36" s="1"/>
  <c r="M39" i="44"/>
  <c r="H48" i="36" s="1"/>
  <c r="O41" i="43"/>
  <c r="H45" i="36" s="1"/>
  <c r="W59" i="45" a="1"/>
  <c r="W59" i="45" s="1"/>
  <c r="W35" i="45" a="1"/>
  <c r="W35" i="45" s="1"/>
  <c r="W19" i="45" a="1"/>
  <c r="W19" i="45" s="1"/>
  <c r="W111" i="45" a="1"/>
  <c r="W111" i="45" s="1"/>
  <c r="W99" i="45" a="1"/>
  <c r="W99" i="45" s="1"/>
  <c r="W79" i="45" a="1"/>
  <c r="W79" i="45" s="1"/>
  <c r="W22" i="45" a="1"/>
  <c r="W22" i="45" s="1"/>
  <c r="BE10" i="48"/>
  <c r="W50" i="45" a="1"/>
  <c r="W50" i="45" s="1"/>
  <c r="W42" i="45" a="1"/>
  <c r="W42" i="45" s="1"/>
  <c r="W34" i="45" a="1"/>
  <c r="W34" i="45" s="1"/>
  <c r="W26" i="45" a="1"/>
  <c r="W26" i="45" s="1"/>
  <c r="W18" i="45" a="1"/>
  <c r="W18" i="45" s="1"/>
  <c r="W120" i="45" a="1"/>
  <c r="W120" i="45" s="1"/>
  <c r="W98" i="45" a="1"/>
  <c r="W98" i="45" s="1"/>
  <c r="W88" i="45" a="1"/>
  <c r="W88" i="45" s="1"/>
  <c r="W78" i="45" a="1"/>
  <c r="W78" i="45" s="1"/>
  <c r="W66" i="45" a="1"/>
  <c r="W66" i="45" s="1"/>
  <c r="W15" i="45" a="1"/>
  <c r="W15" i="45" s="1"/>
  <c r="T117" i="45" a="1"/>
  <c r="T117" i="45" s="1"/>
  <c r="T109" i="45" a="1"/>
  <c r="T109" i="45" s="1"/>
  <c r="T101" i="45" a="1"/>
  <c r="T101" i="45" s="1"/>
  <c r="T93" i="45" a="1"/>
  <c r="T93" i="45" s="1"/>
  <c r="T85" i="45" a="1"/>
  <c r="T85" i="45" s="1"/>
  <c r="T77" i="45" a="1"/>
  <c r="T77" i="45" s="1"/>
  <c r="T69" i="45" a="1"/>
  <c r="T69" i="45" s="1"/>
  <c r="T61" i="45" a="1"/>
  <c r="T61" i="45" s="1"/>
  <c r="T53" i="45" a="1"/>
  <c r="T53" i="45" s="1"/>
  <c r="T45" i="45" a="1"/>
  <c r="T45" i="45" s="1"/>
  <c r="T37" i="45" a="1"/>
  <c r="T37" i="45" s="1"/>
  <c r="T29" i="45" a="1"/>
  <c r="T29" i="45" s="1"/>
  <c r="T21" i="45" a="1"/>
  <c r="T21" i="45" s="1"/>
  <c r="W65" i="45" a="1"/>
  <c r="W65" i="45" s="1"/>
  <c r="W57" i="45" a="1"/>
  <c r="W57" i="45" s="1"/>
  <c r="W49" i="45" a="1"/>
  <c r="W49" i="45" s="1"/>
  <c r="W41" i="45" a="1"/>
  <c r="W41" i="45" s="1"/>
  <c r="W33" i="45" a="1"/>
  <c r="W33" i="45" s="1"/>
  <c r="W25" i="45" a="1"/>
  <c r="W25" i="45" s="1"/>
  <c r="W17" i="45" a="1"/>
  <c r="W17" i="45" s="1"/>
  <c r="W119" i="45" a="1"/>
  <c r="W119" i="45" s="1"/>
  <c r="W107" i="45" a="1"/>
  <c r="W107" i="45" s="1"/>
  <c r="W97" i="45" a="1"/>
  <c r="W97" i="45" s="1"/>
  <c r="W87" i="45" a="1"/>
  <c r="W87" i="45" s="1"/>
  <c r="W75" i="45" a="1"/>
  <c r="W75" i="45" s="1"/>
  <c r="W46" i="45" a="1"/>
  <c r="W46" i="45" s="1"/>
  <c r="W14" i="45" a="1"/>
  <c r="W14" i="45" s="1"/>
  <c r="BI10" i="48"/>
  <c r="BG10" i="48"/>
  <c r="W116" i="45" a="1"/>
  <c r="W116" i="45" s="1"/>
  <c r="W108" i="45" a="1"/>
  <c r="W108" i="45" s="1"/>
  <c r="W100" i="45" a="1"/>
  <c r="W100" i="45" s="1"/>
  <c r="W92" i="45" a="1"/>
  <c r="W92" i="45" s="1"/>
  <c r="W84" i="45" a="1"/>
  <c r="W84" i="45" s="1"/>
  <c r="W76" i="45" a="1"/>
  <c r="W76" i="45" s="1"/>
  <c r="W60" i="45" a="1"/>
  <c r="W60" i="45" s="1"/>
  <c r="W52" i="45" a="1"/>
  <c r="W52" i="45" s="1"/>
  <c r="W44" i="45" a="1"/>
  <c r="W44" i="45" s="1"/>
  <c r="W36" i="45" a="1"/>
  <c r="W36" i="45" s="1"/>
  <c r="W28" i="45" a="1"/>
  <c r="W28" i="45" s="1"/>
  <c r="W20" i="45" a="1"/>
  <c r="W20" i="45" s="1"/>
  <c r="W122" i="45" a="1"/>
  <c r="W122" i="45" s="1"/>
  <c r="W112" i="45" a="1"/>
  <c r="W112" i="45" s="1"/>
  <c r="W102" i="45" a="1"/>
  <c r="W102" i="45" s="1"/>
  <c r="W90" i="45" a="1"/>
  <c r="W90" i="45" s="1"/>
  <c r="W80" i="45" a="1"/>
  <c r="W80" i="45" s="1"/>
  <c r="W68" i="45" a="1"/>
  <c r="W68" i="45" s="1"/>
  <c r="W51" i="45" a="1"/>
  <c r="W51" i="45" s="1"/>
  <c r="W43" i="45" a="1"/>
  <c r="W43" i="45" s="1"/>
  <c r="W27" i="45" a="1"/>
  <c r="W27" i="45" s="1"/>
  <c r="W121" i="45" a="1"/>
  <c r="W121" i="45" s="1"/>
  <c r="W89" i="45" a="1"/>
  <c r="W89" i="45" s="1"/>
  <c r="W67" i="45" a="1"/>
  <c r="W67" i="45" s="1"/>
  <c r="BK10" i="48"/>
  <c r="BC10" i="48"/>
  <c r="T116" i="45" a="1"/>
  <c r="T116" i="45" s="1"/>
  <c r="T108" i="45" a="1"/>
  <c r="T108" i="45" s="1"/>
  <c r="T100" i="45" a="1"/>
  <c r="T100" i="45" s="1"/>
  <c r="T92" i="45" a="1"/>
  <c r="T92" i="45" s="1"/>
  <c r="T84" i="45" a="1"/>
  <c r="T84" i="45" s="1"/>
  <c r="T76" i="45" a="1"/>
  <c r="T76" i="45" s="1"/>
  <c r="T68" i="45" a="1"/>
  <c r="T68" i="45" s="1"/>
  <c r="T60" i="45" a="1"/>
  <c r="T60" i="45" s="1"/>
  <c r="T52" i="45" a="1"/>
  <c r="T52" i="45" s="1"/>
  <c r="T44" i="45" a="1"/>
  <c r="T44" i="45" s="1"/>
  <c r="T36" i="45" a="1"/>
  <c r="T36" i="45" s="1"/>
  <c r="T28" i="45" a="1"/>
  <c r="T28" i="45" s="1"/>
  <c r="T20" i="45" a="1"/>
  <c r="T20" i="45" s="1"/>
  <c r="W64" i="45" a="1"/>
  <c r="W64" i="45" s="1"/>
  <c r="W56" i="45" a="1"/>
  <c r="W56" i="45" s="1"/>
  <c r="W48" i="45" a="1"/>
  <c r="W48" i="45" s="1"/>
  <c r="W40" i="45" a="1"/>
  <c r="W40" i="45" s="1"/>
  <c r="W32" i="45" a="1"/>
  <c r="W32" i="45" s="1"/>
  <c r="W24" i="45" a="1"/>
  <c r="W24" i="45" s="1"/>
  <c r="W16" i="45" a="1"/>
  <c r="W16" i="45" s="1"/>
  <c r="W118" i="45" a="1"/>
  <c r="W118" i="45" s="1"/>
  <c r="W106" i="45" a="1"/>
  <c r="W106" i="45" s="1"/>
  <c r="W96" i="45" a="1"/>
  <c r="W96" i="45" s="1"/>
  <c r="W86" i="45" a="1"/>
  <c r="W86" i="45" s="1"/>
  <c r="W74" i="45" a="1"/>
  <c r="W74" i="45" s="1"/>
  <c r="W39" i="45" a="1"/>
  <c r="W39" i="45" s="1"/>
  <c r="W58" i="45" a="1"/>
  <c r="W58" i="45" s="1"/>
  <c r="W110" i="45" a="1"/>
  <c r="W110" i="45" s="1"/>
  <c r="T123" i="45" a="1"/>
  <c r="T123" i="45" s="1"/>
  <c r="T115" i="45" a="1"/>
  <c r="T115" i="45" s="1"/>
  <c r="T107" i="45" a="1"/>
  <c r="T107" i="45" s="1"/>
  <c r="T99" i="45" a="1"/>
  <c r="T99" i="45" s="1"/>
  <c r="T91" i="45" a="1"/>
  <c r="T91" i="45" s="1"/>
  <c r="T83" i="45" a="1"/>
  <c r="T83" i="45" s="1"/>
  <c r="T75" i="45" a="1"/>
  <c r="T75" i="45" s="1"/>
  <c r="T67" i="45" a="1"/>
  <c r="T67" i="45" s="1"/>
  <c r="T59" i="45" a="1"/>
  <c r="T59" i="45" s="1"/>
  <c r="T51" i="45" a="1"/>
  <c r="T51" i="45" s="1"/>
  <c r="T43" i="45" a="1"/>
  <c r="T43" i="45" s="1"/>
  <c r="T35" i="45" a="1"/>
  <c r="T35" i="45" s="1"/>
  <c r="T27" i="45" a="1"/>
  <c r="T27" i="45" s="1"/>
  <c r="W63" i="45" a="1"/>
  <c r="W63" i="45" s="1"/>
  <c r="W55" i="45" a="1"/>
  <c r="W55" i="45" s="1"/>
  <c r="W47" i="45" a="1"/>
  <c r="W47" i="45" s="1"/>
  <c r="W115" i="45" a="1"/>
  <c r="W115" i="45" s="1"/>
  <c r="W105" i="45" a="1"/>
  <c r="W105" i="45" s="1"/>
  <c r="W95" i="45" a="1"/>
  <c r="W95" i="45" s="1"/>
  <c r="W83" i="45" a="1"/>
  <c r="W83" i="45" s="1"/>
  <c r="W73" i="45" a="1"/>
  <c r="W73" i="45" s="1"/>
  <c r="M14" i="44"/>
  <c r="V422" i="38" a="1"/>
  <c r="V422" i="38" s="1"/>
  <c r="V440" i="38" a="1"/>
  <c r="V440" i="38" s="1"/>
  <c r="V364" i="38" a="1"/>
  <c r="V364" i="38" s="1"/>
  <c r="V347" i="38" a="1"/>
  <c r="V347" i="38" s="1"/>
  <c r="V283" i="38" a="1"/>
  <c r="V283" i="38" s="1"/>
  <c r="V266" i="38" a="1"/>
  <c r="V266" i="38" s="1"/>
  <c r="V515" i="38" a="1"/>
  <c r="V515" i="38" s="1"/>
  <c r="V183" i="38" a="1"/>
  <c r="V183" i="38" s="1"/>
  <c r="V501" i="38" a="1"/>
  <c r="V501" i="38" s="1"/>
  <c r="V163" i="38" a="1"/>
  <c r="V163" i="38" s="1"/>
  <c r="V265" i="38" a="1"/>
  <c r="V265" i="38" s="1"/>
  <c r="V51" i="38" a="1"/>
  <c r="V51" i="38" s="1"/>
  <c r="V404" i="38" a="1"/>
  <c r="V404" i="38" s="1"/>
  <c r="V323" i="38" a="1"/>
  <c r="V323" i="38" s="1"/>
  <c r="V248" i="38" a="1"/>
  <c r="V248" i="38" s="1"/>
  <c r="V478" i="38" a="1"/>
  <c r="V478" i="38" s="1"/>
  <c r="V401" i="38" a="1"/>
  <c r="V401" i="38" s="1"/>
  <c r="V322" i="38" a="1"/>
  <c r="V322" i="38" s="1"/>
  <c r="V246" i="38" a="1"/>
  <c r="V246" i="38" s="1"/>
  <c r="V94" i="38" a="1"/>
  <c r="V94" i="38" s="1"/>
  <c r="V465" i="38" a="1"/>
  <c r="V465" i="38" s="1"/>
  <c r="V384" i="38" a="1"/>
  <c r="V384" i="38" s="1"/>
  <c r="V305" i="38" a="1"/>
  <c r="V305" i="38" s="1"/>
  <c r="V228" i="38" a="1"/>
  <c r="V228" i="38" s="1"/>
  <c r="V70" i="38" a="1"/>
  <c r="V70" i="38" s="1"/>
  <c r="V458" i="38" a="1"/>
  <c r="V458" i="38" s="1"/>
  <c r="V382" i="38" a="1"/>
  <c r="V382" i="38" s="1"/>
  <c r="V304" i="38" a="1"/>
  <c r="V304" i="38" s="1"/>
  <c r="V205" i="38" a="1"/>
  <c r="V205" i="38" s="1"/>
  <c r="V50" i="38" a="1"/>
  <c r="V50" i="38" s="1"/>
  <c r="V497" i="38" a="1"/>
  <c r="V497" i="38" s="1"/>
  <c r="V421" i="38" a="1"/>
  <c r="V421" i="38" s="1"/>
  <c r="V340" i="38" a="1"/>
  <c r="V340" i="38" s="1"/>
  <c r="V483" i="38" a="1"/>
  <c r="V483" i="38" s="1"/>
  <c r="V115" i="38" a="1"/>
  <c r="V115" i="38" s="1"/>
  <c r="V522" i="38" a="1"/>
  <c r="V522" i="38" s="1"/>
  <c r="V441" i="38" a="1"/>
  <c r="V441" i="38" s="1"/>
  <c r="V365" i="38" a="1"/>
  <c r="V365" i="38" s="1"/>
  <c r="V286" i="38" a="1"/>
  <c r="V286" i="38" s="1"/>
  <c r="V199" i="38" a="1"/>
  <c r="V199" i="38" s="1"/>
  <c r="V155" i="38" a="1"/>
  <c r="V155" i="38" s="1"/>
  <c r="V114" i="38" a="1"/>
  <c r="V114" i="38" s="1"/>
  <c r="V69" i="38" a="1"/>
  <c r="V69" i="38" s="1"/>
  <c r="V48" i="38" a="1"/>
  <c r="V48" i="38" s="1"/>
  <c r="V496" i="38" a="1"/>
  <c r="V496" i="38" s="1"/>
  <c r="V457" i="38" a="1"/>
  <c r="V457" i="38" s="1"/>
  <c r="V420" i="38" a="1"/>
  <c r="V420" i="38" s="1"/>
  <c r="V378" i="38" a="1"/>
  <c r="V378" i="38" s="1"/>
  <c r="V321" i="38" a="1"/>
  <c r="V321" i="38" s="1"/>
  <c r="V282" i="38" a="1"/>
  <c r="V282" i="38" s="1"/>
  <c r="V245" i="38" a="1"/>
  <c r="V245" i="38" s="1"/>
  <c r="V198" i="38" a="1"/>
  <c r="V198" i="38" s="1"/>
  <c r="V154" i="38" a="1"/>
  <c r="V154" i="38" s="1"/>
  <c r="V112" i="38" a="1"/>
  <c r="V112" i="38" s="1"/>
  <c r="V42" i="38" a="1"/>
  <c r="V42" i="38" s="1"/>
  <c r="V513" i="38" a="1"/>
  <c r="V513" i="38" s="1"/>
  <c r="V456" i="38" a="1"/>
  <c r="V456" i="38" s="1"/>
  <c r="V413" i="38" a="1"/>
  <c r="V413" i="38" s="1"/>
  <c r="V377" i="38" a="1"/>
  <c r="V377" i="38" s="1"/>
  <c r="V356" i="38" a="1"/>
  <c r="V356" i="38" s="1"/>
  <c r="V320" i="38" a="1"/>
  <c r="V320" i="38" s="1"/>
  <c r="V296" i="38" a="1"/>
  <c r="V296" i="38" s="1"/>
  <c r="V277" i="38" a="1"/>
  <c r="V277" i="38" s="1"/>
  <c r="V238" i="38" a="1"/>
  <c r="V238" i="38" s="1"/>
  <c r="V218" i="38" a="1"/>
  <c r="V218" i="38" s="1"/>
  <c r="V197" i="38" a="1"/>
  <c r="V197" i="38" s="1"/>
  <c r="V173" i="38" a="1"/>
  <c r="V173" i="38" s="1"/>
  <c r="V152" i="38" a="1"/>
  <c r="V152" i="38" s="1"/>
  <c r="V132" i="38" a="1"/>
  <c r="V132" i="38" s="1"/>
  <c r="V104" i="38" a="1"/>
  <c r="V104" i="38" s="1"/>
  <c r="V83" i="38" a="1"/>
  <c r="V83" i="38" s="1"/>
  <c r="V37" i="38" a="1"/>
  <c r="V37" i="38" s="1"/>
  <c r="V512" i="38" a="1"/>
  <c r="V512" i="38" s="1"/>
  <c r="V493" i="38" a="1"/>
  <c r="V493" i="38" s="1"/>
  <c r="V469" i="38" a="1"/>
  <c r="V469" i="38" s="1"/>
  <c r="V451" i="38" a="1"/>
  <c r="V451" i="38" s="1"/>
  <c r="V433" i="38" a="1"/>
  <c r="V433" i="38" s="1"/>
  <c r="V412" i="38" a="1"/>
  <c r="V412" i="38" s="1"/>
  <c r="V394" i="38" a="1"/>
  <c r="V394" i="38" s="1"/>
  <c r="V376" i="38" a="1"/>
  <c r="V376" i="38" s="1"/>
  <c r="V355" i="38" a="1"/>
  <c r="V355" i="38" s="1"/>
  <c r="V337" i="38" a="1"/>
  <c r="V337" i="38" s="1"/>
  <c r="V318" i="38" a="1"/>
  <c r="V318" i="38" s="1"/>
  <c r="V294" i="38" a="1"/>
  <c r="V294" i="38" s="1"/>
  <c r="V276" i="38" a="1"/>
  <c r="V276" i="38" s="1"/>
  <c r="V258" i="38" a="1"/>
  <c r="V258" i="38" s="1"/>
  <c r="V237" i="38" a="1"/>
  <c r="V237" i="38" s="1"/>
  <c r="V216" i="38" a="1"/>
  <c r="V216" i="38" s="1"/>
  <c r="V196" i="38" a="1"/>
  <c r="V196" i="38" s="1"/>
  <c r="V168" i="38" a="1"/>
  <c r="V168" i="38" s="1"/>
  <c r="V147" i="38" a="1"/>
  <c r="V147" i="38" s="1"/>
  <c r="V126" i="38" a="1"/>
  <c r="V126" i="38" s="1"/>
  <c r="V103" i="38" a="1"/>
  <c r="V103" i="38" s="1"/>
  <c r="V82" i="38" a="1"/>
  <c r="V82" i="38" s="1"/>
  <c r="V61" i="38" a="1"/>
  <c r="V61" i="38" s="1"/>
  <c r="V35" i="38" a="1"/>
  <c r="V35" i="38" s="1"/>
  <c r="V510" i="38" a="1"/>
  <c r="V510" i="38" s="1"/>
  <c r="V486" i="38" a="1"/>
  <c r="V486" i="38" s="1"/>
  <c r="V468" i="38" a="1"/>
  <c r="V468" i="38" s="1"/>
  <c r="V450" i="38" a="1"/>
  <c r="V450" i="38" s="1"/>
  <c r="V429" i="38" a="1"/>
  <c r="V429" i="38" s="1"/>
  <c r="V411" i="38" a="1"/>
  <c r="V411" i="38" s="1"/>
  <c r="V393" i="38" a="1"/>
  <c r="V393" i="38" s="1"/>
  <c r="V369" i="38" a="1"/>
  <c r="V369" i="38" s="1"/>
  <c r="V350" i="38" a="1"/>
  <c r="V350" i="38" s="1"/>
  <c r="V332" i="38" a="1"/>
  <c r="V332" i="38" s="1"/>
  <c r="V312" i="38" a="1"/>
  <c r="V312" i="38" s="1"/>
  <c r="V293" i="38" a="1"/>
  <c r="V293" i="38" s="1"/>
  <c r="V275" i="38" a="1"/>
  <c r="V275" i="38" s="1"/>
  <c r="V254" i="38" a="1"/>
  <c r="V254" i="38" s="1"/>
  <c r="V236" i="38" a="1"/>
  <c r="V236" i="38" s="1"/>
  <c r="V215" i="38" a="1"/>
  <c r="V215" i="38" s="1"/>
  <c r="V188" i="38" a="1"/>
  <c r="V188" i="38" s="1"/>
  <c r="V167" i="38" a="1"/>
  <c r="V167" i="38" s="1"/>
  <c r="V146" i="38" a="1"/>
  <c r="V146" i="38" s="1"/>
  <c r="V123" i="38" a="1"/>
  <c r="V123" i="38" s="1"/>
  <c r="V101" i="38" a="1"/>
  <c r="V101" i="38" s="1"/>
  <c r="V80" i="38" a="1"/>
  <c r="V80" i="38" s="1"/>
  <c r="V53" i="38" a="1"/>
  <c r="V53" i="38" s="1"/>
  <c r="V30" i="38" a="1"/>
  <c r="V30" i="38" s="1"/>
  <c r="V220" i="38" a="1"/>
  <c r="V220" i="38" s="1"/>
  <c r="V179" i="38" a="1"/>
  <c r="V179" i="38" s="1"/>
  <c r="V134" i="38" a="1"/>
  <c r="V134" i="38" s="1"/>
  <c r="V90" i="38" a="1"/>
  <c r="V90" i="38" s="1"/>
  <c r="V514" i="38" a="1"/>
  <c r="V514" i="38" s="1"/>
  <c r="V477" i="38" a="1"/>
  <c r="V477" i="38" s="1"/>
  <c r="V438" i="38" a="1"/>
  <c r="V438" i="38" s="1"/>
  <c r="V396" i="38" a="1"/>
  <c r="V396" i="38" s="1"/>
  <c r="V360" i="38" a="1"/>
  <c r="V360" i="38" s="1"/>
  <c r="V339" i="38" a="1"/>
  <c r="V339" i="38" s="1"/>
  <c r="V302" i="38" a="1"/>
  <c r="V302" i="38" s="1"/>
  <c r="V264" i="38" a="1"/>
  <c r="V264" i="38" s="1"/>
  <c r="V219" i="38" a="1"/>
  <c r="V219" i="38" s="1"/>
  <c r="V178" i="38" a="1"/>
  <c r="V178" i="38" s="1"/>
  <c r="V133" i="38" a="1"/>
  <c r="V133" i="38" s="1"/>
  <c r="V85" i="38" a="1"/>
  <c r="V85" i="38" s="1"/>
  <c r="V63" i="38" a="1"/>
  <c r="V63" i="38" s="1"/>
  <c r="V494" i="38" a="1"/>
  <c r="V494" i="38" s="1"/>
  <c r="V474" i="38" a="1"/>
  <c r="V474" i="38" s="1"/>
  <c r="V437" i="38" a="1"/>
  <c r="V437" i="38" s="1"/>
  <c r="V395" i="38" a="1"/>
  <c r="V395" i="38" s="1"/>
  <c r="V338" i="38" a="1"/>
  <c r="V338" i="38" s="1"/>
  <c r="V259" i="38" a="1"/>
  <c r="V259" i="38" s="1"/>
  <c r="V62" i="38" a="1"/>
  <c r="V62" i="38" s="1"/>
  <c r="V524" i="38" a="1"/>
  <c r="V524" i="38" s="1"/>
  <c r="V506" i="38" a="1"/>
  <c r="V506" i="38" s="1"/>
  <c r="V485" i="38" a="1"/>
  <c r="V485" i="38" s="1"/>
  <c r="V467" i="38" a="1"/>
  <c r="V467" i="38" s="1"/>
  <c r="V449" i="38" a="1"/>
  <c r="V449" i="38" s="1"/>
  <c r="V428" i="38" a="1"/>
  <c r="V428" i="38" s="1"/>
  <c r="V410" i="38" a="1"/>
  <c r="V410" i="38" s="1"/>
  <c r="V392" i="38" a="1"/>
  <c r="V392" i="38" s="1"/>
  <c r="V368" i="38" a="1"/>
  <c r="V368" i="38" s="1"/>
  <c r="V349" i="38" a="1"/>
  <c r="V349" i="38" s="1"/>
  <c r="V331" i="38" a="1"/>
  <c r="V331" i="38" s="1"/>
  <c r="V310" i="38" a="1"/>
  <c r="V310" i="38" s="1"/>
  <c r="V292" i="38" a="1"/>
  <c r="V292" i="38" s="1"/>
  <c r="V274" i="38" a="1"/>
  <c r="V274" i="38" s="1"/>
  <c r="V250" i="38" a="1"/>
  <c r="V250" i="38" s="1"/>
  <c r="V231" i="38" a="1"/>
  <c r="V231" i="38" s="1"/>
  <c r="V210" i="38" a="1"/>
  <c r="V210" i="38" s="1"/>
  <c r="V187" i="38" a="1"/>
  <c r="V187" i="38" s="1"/>
  <c r="V165" i="38" a="1"/>
  <c r="V165" i="38" s="1"/>
  <c r="V144" i="38" a="1"/>
  <c r="V144" i="38" s="1"/>
  <c r="V122" i="38" a="1"/>
  <c r="V122" i="38" s="1"/>
  <c r="V100" i="38" a="1"/>
  <c r="V100" i="38" s="1"/>
  <c r="V79" i="38" a="1"/>
  <c r="V79" i="38" s="1"/>
  <c r="V52" i="38" a="1"/>
  <c r="V52" i="38" s="1"/>
  <c r="V28" i="38" a="1"/>
  <c r="V28" i="38" s="1"/>
  <c r="V523" i="38" a="1"/>
  <c r="V523" i="38" s="1"/>
  <c r="V502" i="38" a="1"/>
  <c r="V502" i="38" s="1"/>
  <c r="V484" i="38" a="1"/>
  <c r="V484" i="38" s="1"/>
  <c r="V466" i="38" a="1"/>
  <c r="V466" i="38" s="1"/>
  <c r="V442" i="38" a="1"/>
  <c r="V442" i="38" s="1"/>
  <c r="V424" i="38" a="1"/>
  <c r="V424" i="38" s="1"/>
  <c r="V405" i="38" a="1"/>
  <c r="V405" i="38" s="1"/>
  <c r="V385" i="38" a="1"/>
  <c r="V385" i="38" s="1"/>
  <c r="V366" i="38" a="1"/>
  <c r="V366" i="38" s="1"/>
  <c r="V348" i="38" a="1"/>
  <c r="V348" i="38" s="1"/>
  <c r="V328" i="38" a="1"/>
  <c r="V328" i="38" s="1"/>
  <c r="V309" i="38" a="1"/>
  <c r="V309" i="38" s="1"/>
  <c r="V291" i="38" a="1"/>
  <c r="V291" i="38" s="1"/>
  <c r="V267" i="38" a="1"/>
  <c r="V267" i="38" s="1"/>
  <c r="V249" i="38" a="1"/>
  <c r="V249" i="38" s="1"/>
  <c r="V229" i="38" a="1"/>
  <c r="V229" i="38" s="1"/>
  <c r="V206" i="38" a="1"/>
  <c r="V206" i="38" s="1"/>
  <c r="V186" i="38" a="1"/>
  <c r="V186" i="38" s="1"/>
  <c r="V164" i="38" a="1"/>
  <c r="V164" i="38" s="1"/>
  <c r="V136" i="38" a="1"/>
  <c r="V136" i="38" s="1"/>
  <c r="V116" i="38" a="1"/>
  <c r="V116" i="38" s="1"/>
  <c r="V95" i="38" a="1"/>
  <c r="V95" i="38" s="1"/>
  <c r="V71" i="38" a="1"/>
  <c r="V71" i="38" s="1"/>
  <c r="W47" i="41" a="1"/>
  <c r="W47" i="41" s="1"/>
  <c r="AA47" i="41" s="1" a="1"/>
  <c r="AA47" i="41" s="1"/>
  <c r="W67" i="40" a="1"/>
  <c r="W67" i="40" s="1"/>
  <c r="AA67" i="40" s="1" a="1"/>
  <c r="AA67" i="40" s="1"/>
  <c r="W148" i="40" a="1"/>
  <c r="W148" i="40" s="1"/>
  <c r="AA148" i="40" s="1" a="1"/>
  <c r="AA148" i="40" s="1"/>
  <c r="W200" i="40" a="1"/>
  <c r="W200" i="40" s="1"/>
  <c r="AA200" i="40" s="1" a="1"/>
  <c r="AA200" i="40" s="1"/>
  <c r="W253" i="40" a="1"/>
  <c r="W253" i="40" s="1"/>
  <c r="W316" i="40" a="1"/>
  <c r="W316" i="40" s="1"/>
  <c r="AA316" i="40" s="1" a="1"/>
  <c r="AA316" i="40" s="1"/>
  <c r="W367" i="40" a="1"/>
  <c r="W367" i="40" s="1"/>
  <c r="W420" i="40" a="1"/>
  <c r="W420" i="40" s="1"/>
  <c r="W473" i="40" a="1"/>
  <c r="W473" i="40" s="1"/>
  <c r="W54" i="38" a="1"/>
  <c r="W54" i="38" s="1"/>
  <c r="W86" i="38" a="1"/>
  <c r="W86" i="38" s="1"/>
  <c r="W120" i="38" a="1"/>
  <c r="W120" i="38" s="1"/>
  <c r="W155" i="38" a="1"/>
  <c r="W155" i="38" s="1"/>
  <c r="W183" i="38" a="1"/>
  <c r="W183" i="38" s="1"/>
  <c r="W215" i="38" a="1"/>
  <c r="W215" i="38" s="1"/>
  <c r="W250" i="38" a="1"/>
  <c r="W250" i="38" s="1"/>
  <c r="W278" i="38" a="1"/>
  <c r="W278" i="38" s="1"/>
  <c r="W311" i="38" a="1"/>
  <c r="W311" i="38" s="1"/>
  <c r="W345" i="38" a="1"/>
  <c r="W345" i="38" s="1"/>
  <c r="W372" i="38" a="1"/>
  <c r="W372" i="38" s="1"/>
  <c r="W398" i="38" a="1"/>
  <c r="W398" i="38" s="1"/>
  <c r="W430" i="38" a="1"/>
  <c r="W430" i="38" s="1"/>
  <c r="W454" i="38" a="1"/>
  <c r="W454" i="38" s="1"/>
  <c r="W478" i="38" a="1"/>
  <c r="W478" i="38" s="1"/>
  <c r="W504" i="38" a="1"/>
  <c r="W504" i="38" s="1"/>
  <c r="W87" i="40" a="1"/>
  <c r="W87" i="40" s="1"/>
  <c r="AA87" i="40" s="1" a="1"/>
  <c r="AA87" i="40" s="1"/>
  <c r="W155" i="40" a="1"/>
  <c r="W155" i="40" s="1"/>
  <c r="AA155" i="40" s="1" a="1"/>
  <c r="AA155" i="40" s="1"/>
  <c r="W208" i="40" a="1"/>
  <c r="W208" i="40" s="1"/>
  <c r="AA208" i="40" s="1" a="1"/>
  <c r="AA208" i="40" s="1"/>
  <c r="W273" i="40" a="1"/>
  <c r="W273" i="40" s="1"/>
  <c r="AA273" i="40" s="1" a="1"/>
  <c r="AA273" i="40" s="1"/>
  <c r="W334" i="40" a="1"/>
  <c r="W334" i="40" s="1"/>
  <c r="W385" i="40" a="1"/>
  <c r="W385" i="40" s="1"/>
  <c r="W439" i="40" a="1"/>
  <c r="W439" i="40" s="1"/>
  <c r="W492" i="40" a="1"/>
  <c r="W492" i="40" s="1"/>
  <c r="W57" i="38" a="1"/>
  <c r="W57" i="38" s="1"/>
  <c r="W95" i="38" a="1"/>
  <c r="W95" i="38" s="1"/>
  <c r="W131" i="38" a="1"/>
  <c r="W131" i="38" s="1"/>
  <c r="W158" i="38" a="1"/>
  <c r="W158" i="38" s="1"/>
  <c r="W190" i="38" a="1"/>
  <c r="W190" i="38" s="1"/>
  <c r="W226" i="38" a="1"/>
  <c r="W226" i="38" s="1"/>
  <c r="W252" i="38" a="1"/>
  <c r="W252" i="38" s="1"/>
  <c r="W287" i="38" a="1"/>
  <c r="W287" i="38" s="1"/>
  <c r="W322" i="38" a="1"/>
  <c r="W322" i="38" s="1"/>
  <c r="W350" i="38" a="1"/>
  <c r="W350" i="38" s="1"/>
  <c r="W382" i="38" a="1"/>
  <c r="W382" i="38" s="1"/>
  <c r="W408" i="38" a="1"/>
  <c r="W408" i="38" s="1"/>
  <c r="W433" i="38" a="1"/>
  <c r="W433" i="38" s="1"/>
  <c r="W457" i="38" a="1"/>
  <c r="W457" i="38" s="1"/>
  <c r="W83" i="40" a="1"/>
  <c r="W83" i="40" s="1"/>
  <c r="AA83" i="40" s="1" a="1"/>
  <c r="AA83" i="40" s="1"/>
  <c r="W149" i="40" a="1"/>
  <c r="W149" i="40" s="1"/>
  <c r="AA149" i="40" s="1" a="1"/>
  <c r="AA149" i="40" s="1"/>
  <c r="W201" i="40" a="1"/>
  <c r="W201" i="40" s="1"/>
  <c r="AA201" i="40" s="1" a="1"/>
  <c r="AA201" i="40" s="1"/>
  <c r="W264" i="40" a="1"/>
  <c r="W264" i="40" s="1"/>
  <c r="AA264" i="40" s="1" a="1"/>
  <c r="AA264" i="40" s="1"/>
  <c r="W317" i="40" a="1"/>
  <c r="W317" i="40" s="1"/>
  <c r="AA317" i="40" s="1" a="1"/>
  <c r="AA317" i="40" s="1"/>
  <c r="W368" i="40" a="1"/>
  <c r="W368" i="40" s="1"/>
  <c r="W421" i="40" a="1"/>
  <c r="W421" i="40" s="1"/>
  <c r="W491" i="40" a="1"/>
  <c r="W491" i="40" s="1"/>
  <c r="W56" i="38" a="1"/>
  <c r="W56" i="38" s="1"/>
  <c r="W88" i="38" a="1"/>
  <c r="W88" i="38" s="1"/>
  <c r="W121" i="38" a="1"/>
  <c r="W121" i="38" s="1"/>
  <c r="W156" i="38" a="1"/>
  <c r="W156" i="38" s="1"/>
  <c r="W184" i="38" a="1"/>
  <c r="W184" i="38" s="1"/>
  <c r="W216" i="38" a="1"/>
  <c r="W216" i="38" s="1"/>
  <c r="W251" i="38" a="1"/>
  <c r="W251" i="38" s="1"/>
  <c r="W279" i="38" a="1"/>
  <c r="W279" i="38" s="1"/>
  <c r="W312" i="38" a="1"/>
  <c r="W312" i="38" s="1"/>
  <c r="W347" i="38" a="1"/>
  <c r="W347" i="38" s="1"/>
  <c r="W375" i="38" a="1"/>
  <c r="W375" i="38" s="1"/>
  <c r="W404" i="38" a="1"/>
  <c r="W404" i="38" s="1"/>
  <c r="W431" i="38" a="1"/>
  <c r="W431" i="38" s="1"/>
  <c r="W455" i="38" a="1"/>
  <c r="W455" i="38" s="1"/>
  <c r="W479" i="38" a="1"/>
  <c r="W479" i="38" s="1"/>
  <c r="W506" i="38" a="1"/>
  <c r="W506" i="38" s="1"/>
  <c r="W117" i="40" a="1"/>
  <c r="W117" i="40" s="1"/>
  <c r="AA117" i="40" s="1" a="1"/>
  <c r="AA117" i="40" s="1"/>
  <c r="W222" i="40" a="1"/>
  <c r="W222" i="40" s="1"/>
  <c r="AA222" i="40" s="1" a="1"/>
  <c r="AA222" i="40" s="1"/>
  <c r="W291" i="40" a="1"/>
  <c r="W291" i="40" s="1"/>
  <c r="AA291" i="40" s="1" a="1"/>
  <c r="AA291" i="40" s="1"/>
  <c r="W390" i="40" a="1"/>
  <c r="W390" i="40" s="1"/>
  <c r="W471" i="40" a="1"/>
  <c r="W471" i="40" s="1"/>
  <c r="W73" i="38" a="1"/>
  <c r="W73" i="38" s="1"/>
  <c r="W132" i="38" a="1"/>
  <c r="W132" i="38" s="1"/>
  <c r="W178" i="38" a="1"/>
  <c r="W178" i="38" s="1"/>
  <c r="W230" i="38" a="1"/>
  <c r="W230" i="38" s="1"/>
  <c r="W276" i="38" a="1"/>
  <c r="W276" i="38" s="1"/>
  <c r="W326" i="38" a="1"/>
  <c r="W326" i="38" s="1"/>
  <c r="W384" i="38" a="1"/>
  <c r="W384" i="38" s="1"/>
  <c r="W418" i="38" a="1"/>
  <c r="W418" i="38" s="1"/>
  <c r="W467" i="38" a="1"/>
  <c r="W467" i="38" s="1"/>
  <c r="W494" i="38" a="1"/>
  <c r="W494" i="38" s="1"/>
  <c r="W20" i="40" a="1"/>
  <c r="W20" i="40" s="1"/>
  <c r="AA20" i="40" s="1" a="1"/>
  <c r="AA20" i="40" s="1"/>
  <c r="W118" i="40" a="1"/>
  <c r="W118" i="40" s="1"/>
  <c r="AA118" i="40" s="1" a="1"/>
  <c r="AA118" i="40" s="1"/>
  <c r="W231" i="40" a="1"/>
  <c r="W231" i="40" s="1"/>
  <c r="W303" i="40" a="1"/>
  <c r="W303" i="40" s="1"/>
  <c r="AA303" i="40" s="1" a="1"/>
  <c r="AA303" i="40" s="1"/>
  <c r="W399" i="40" a="1"/>
  <c r="W399" i="40" s="1"/>
  <c r="W501" i="40" a="1"/>
  <c r="W501" i="40" s="1"/>
  <c r="W83" i="38" a="1"/>
  <c r="W83" i="38" s="1"/>
  <c r="W134" i="38" a="1"/>
  <c r="W134" i="38" s="1"/>
  <c r="W179" i="38" a="1"/>
  <c r="W179" i="38" s="1"/>
  <c r="W231" i="38" a="1"/>
  <c r="W231" i="38" s="1"/>
  <c r="W288" i="38" a="1"/>
  <c r="W288" i="38" s="1"/>
  <c r="W334" i="38" a="1"/>
  <c r="W334" i="38" s="1"/>
  <c r="W393" i="38" a="1"/>
  <c r="W393" i="38" s="1"/>
  <c r="W420" i="38" a="1"/>
  <c r="W420" i="38" s="1"/>
  <c r="W468" i="38" a="1"/>
  <c r="W468" i="38" s="1"/>
  <c r="W499" i="38" a="1"/>
  <c r="W499" i="38" s="1"/>
  <c r="W38" i="40" a="1"/>
  <c r="W38" i="40" s="1"/>
  <c r="AA38" i="40" s="1" a="1"/>
  <c r="AA38" i="40" s="1"/>
  <c r="W137" i="40" a="1"/>
  <c r="W137" i="40" s="1"/>
  <c r="AA137" i="40" s="1" a="1"/>
  <c r="AA137" i="40" s="1"/>
  <c r="W233" i="40" a="1"/>
  <c r="W233" i="40" s="1"/>
  <c r="AA233" i="40" s="1" a="1"/>
  <c r="AA233" i="40" s="1"/>
  <c r="W335" i="40" a="1"/>
  <c r="W335" i="40" s="1"/>
  <c r="W417" i="40" a="1"/>
  <c r="W417" i="40" s="1"/>
  <c r="W503" i="40" a="1"/>
  <c r="W503" i="40" s="1"/>
  <c r="W84" i="38" a="1"/>
  <c r="W84" i="38" s="1"/>
  <c r="W135" i="38" a="1"/>
  <c r="W135" i="38" s="1"/>
  <c r="W193" i="38" a="1"/>
  <c r="W193" i="38" s="1"/>
  <c r="W239" i="38" a="1"/>
  <c r="W239" i="38" s="1"/>
  <c r="W298" i="38" a="1"/>
  <c r="W298" i="38" s="1"/>
  <c r="W335" i="38" a="1"/>
  <c r="W335" i="38" s="1"/>
  <c r="W394" i="38" a="1"/>
  <c r="W394" i="38" s="1"/>
  <c r="W434" i="38" a="1"/>
  <c r="W434" i="38" s="1"/>
  <c r="W470" i="38" a="1"/>
  <c r="W470" i="38" s="1"/>
  <c r="W512" i="38" a="1"/>
  <c r="W512" i="38" s="1"/>
  <c r="W45" i="40" a="1"/>
  <c r="W45" i="40" s="1"/>
  <c r="AA45" i="40" s="1" a="1"/>
  <c r="AA45" i="40" s="1"/>
  <c r="W516" i="38" a="1"/>
  <c r="W516" i="38" s="1"/>
  <c r="W396" i="38" a="1"/>
  <c r="W396" i="38" s="1"/>
  <c r="W240" i="38" a="1"/>
  <c r="W240" i="38" s="1"/>
  <c r="W68" i="38" a="1"/>
  <c r="W68" i="38" s="1"/>
  <c r="W356" i="40" a="1"/>
  <c r="W356" i="40" s="1"/>
  <c r="W199" i="40" a="1"/>
  <c r="W199" i="40" s="1"/>
  <c r="AA199" i="40" s="1" a="1"/>
  <c r="AA199" i="40" s="1"/>
  <c r="W48" i="40" a="1"/>
  <c r="W48" i="40" s="1"/>
  <c r="AA48" i="40" s="1" a="1"/>
  <c r="AA48" i="40" s="1"/>
  <c r="W451" i="38" a="1"/>
  <c r="W451" i="38" s="1"/>
  <c r="W395" i="38" a="1"/>
  <c r="W395" i="38" s="1"/>
  <c r="W228" i="38" a="1"/>
  <c r="W228" i="38" s="1"/>
  <c r="W58" i="38" a="1"/>
  <c r="W58" i="38" s="1"/>
  <c r="W469" i="40" a="1"/>
  <c r="W469" i="40" s="1"/>
  <c r="W337" i="40" a="1"/>
  <c r="W337" i="40" s="1"/>
  <c r="W185" i="40" a="1"/>
  <c r="W185" i="40" s="1"/>
  <c r="AA185" i="40" s="1" a="1"/>
  <c r="AA185" i="40" s="1"/>
  <c r="W458" i="38" a="1"/>
  <c r="W458" i="38" s="1"/>
  <c r="W323" i="38" a="1"/>
  <c r="W323" i="38" s="1"/>
  <c r="W159" i="38" a="1"/>
  <c r="W159" i="38" s="1"/>
  <c r="W514" i="38" a="1"/>
  <c r="W514" i="38" s="1"/>
  <c r="W303" i="38" a="1"/>
  <c r="W303" i="38" s="1"/>
  <c r="W144" i="38" a="1"/>
  <c r="W144" i="38" s="1"/>
  <c r="W513" i="38" a="1"/>
  <c r="W513" i="38" s="1"/>
  <c r="W446" i="38" a="1"/>
  <c r="W446" i="38" s="1"/>
  <c r="W371" i="38" a="1"/>
  <c r="W371" i="38" s="1"/>
  <c r="W302" i="38" a="1"/>
  <c r="W302" i="38" s="1"/>
  <c r="W207" i="38" a="1"/>
  <c r="W207" i="38" s="1"/>
  <c r="W143" i="38" a="1"/>
  <c r="W143" i="38" s="1"/>
  <c r="W41" i="38" a="1"/>
  <c r="W41" i="38" s="1"/>
  <c r="W468" i="40" a="1"/>
  <c r="W468" i="40" s="1"/>
  <c r="W336" i="40" a="1"/>
  <c r="W336" i="40" s="1"/>
  <c r="W441" i="38" a="1"/>
  <c r="W441" i="38" s="1"/>
  <c r="W299" i="38" a="1"/>
  <c r="W299" i="38" s="1"/>
  <c r="W206" i="38" a="1"/>
  <c r="W206" i="38" s="1"/>
  <c r="W36" i="38" a="1"/>
  <c r="W36" i="38" s="1"/>
  <c r="W285" i="40" a="1"/>
  <c r="W285" i="40" s="1"/>
  <c r="AA285" i="40" s="1" a="1"/>
  <c r="AA285" i="40" s="1"/>
  <c r="W44" i="41" a="1"/>
  <c r="W44" i="41" s="1"/>
  <c r="AA44" i="41" s="1" a="1"/>
  <c r="AA44" i="41" s="1"/>
  <c r="W360" i="38" a="1"/>
  <c r="W360" i="38" s="1"/>
  <c r="W111" i="38" a="1"/>
  <c r="W111" i="38" s="1"/>
  <c r="W440" i="40" a="1"/>
  <c r="W440" i="40" s="1"/>
  <c r="W169" i="40" a="1"/>
  <c r="W169" i="40" s="1"/>
  <c r="AA169" i="40" s="1" a="1"/>
  <c r="AA169" i="40" s="1"/>
  <c r="W42" i="41" a="1"/>
  <c r="W42" i="41" s="1"/>
  <c r="AA42" i="41" s="1" a="1"/>
  <c r="AA42" i="41" s="1"/>
  <c r="W489" i="38" a="1"/>
  <c r="W489" i="38" s="1"/>
  <c r="W417" i="38" a="1"/>
  <c r="W417" i="38" s="1"/>
  <c r="W263" i="38" a="1"/>
  <c r="W263" i="38" s="1"/>
  <c r="W203" i="38" a="1"/>
  <c r="W203" i="38" s="1"/>
  <c r="W110" i="38" a="1"/>
  <c r="W110" i="38" s="1"/>
  <c r="W419" i="40" a="1"/>
  <c r="W419" i="40" s="1"/>
  <c r="W283" i="40" a="1"/>
  <c r="W283" i="40" s="1"/>
  <c r="AA283" i="40" s="1" a="1"/>
  <c r="AA283" i="40" s="1"/>
  <c r="W109" i="40" a="1"/>
  <c r="W109" i="40" s="1"/>
  <c r="AA109" i="40" s="1" a="1"/>
  <c r="AA109" i="40" s="1"/>
  <c r="W31" i="41" a="1"/>
  <c r="W31" i="41" s="1"/>
  <c r="W527" i="38" a="1"/>
  <c r="W527" i="38" s="1"/>
  <c r="W488" i="38" a="1"/>
  <c r="W488" i="38" s="1"/>
  <c r="W416" i="38" a="1"/>
  <c r="W416" i="38" s="1"/>
  <c r="W351" i="38" a="1"/>
  <c r="W351" i="38" s="1"/>
  <c r="W262" i="38" a="1"/>
  <c r="W262" i="38" s="1"/>
  <c r="W168" i="38" a="1"/>
  <c r="W168" i="38" s="1"/>
  <c r="W106" i="38" a="1"/>
  <c r="W106" i="38" s="1"/>
  <c r="W387" i="40" a="1"/>
  <c r="W387" i="40" s="1"/>
  <c r="W252" i="40" a="1"/>
  <c r="W252" i="40" s="1"/>
  <c r="AA252" i="40" s="1" a="1"/>
  <c r="AA252" i="40" s="1"/>
  <c r="W92" i="40" a="1"/>
  <c r="W92" i="40" s="1"/>
  <c r="AA92" i="40" s="1" a="1"/>
  <c r="AA92" i="40" s="1"/>
  <c r="W181" i="40" a="1"/>
  <c r="W181" i="40" s="1"/>
  <c r="AA181" i="40" s="1" a="1"/>
  <c r="AA181" i="40" s="1"/>
  <c r="W491" i="38" a="1"/>
  <c r="W491" i="38" s="1"/>
  <c r="W370" i="38" a="1"/>
  <c r="W370" i="38" s="1"/>
  <c r="W112" i="38" a="1"/>
  <c r="W112" i="38" s="1"/>
  <c r="W449" i="40" a="1"/>
  <c r="W449" i="40" s="1"/>
  <c r="W171" i="40" a="1"/>
  <c r="W171" i="40" s="1"/>
  <c r="AA171" i="40" s="1" a="1"/>
  <c r="AA171" i="40" s="1"/>
  <c r="W490" i="38" a="1"/>
  <c r="W490" i="38" s="1"/>
  <c r="W440" i="38" a="1"/>
  <c r="W440" i="38" s="1"/>
  <c r="W274" i="38" a="1"/>
  <c r="W274" i="38" s="1"/>
  <c r="W204" i="38" a="1"/>
  <c r="W204" i="38" s="1"/>
  <c r="W284" i="40" a="1"/>
  <c r="W284" i="40" s="1"/>
  <c r="AA284" i="40" s="1" a="1"/>
  <c r="AA284" i="40" s="1"/>
  <c r="W358" i="38" a="1"/>
  <c r="W358" i="38" s="1"/>
  <c r="W524" i="38" a="1"/>
  <c r="W524" i="38" s="1"/>
  <c r="W476" i="38" a="1"/>
  <c r="W476" i="38" s="1"/>
  <c r="W409" i="38" a="1"/>
  <c r="W409" i="38" s="1"/>
  <c r="W324" i="38" a="1"/>
  <c r="W324" i="38" s="1"/>
  <c r="W256" i="38" a="1"/>
  <c r="W256" i="38" s="1"/>
  <c r="W167" i="38" a="1"/>
  <c r="W167" i="38" s="1"/>
  <c r="W96" i="38" a="1"/>
  <c r="W96" i="38" s="1"/>
  <c r="W366" i="40" a="1"/>
  <c r="W366" i="40" s="1"/>
  <c r="W238" i="40" a="1"/>
  <c r="W238" i="40" s="1"/>
  <c r="AA238" i="40" s="1" a="1"/>
  <c r="AA238" i="40" s="1"/>
  <c r="W51" i="40" a="1"/>
  <c r="W51" i="40" s="1"/>
  <c r="AA51" i="40" s="1" a="1"/>
  <c r="AA51" i="40" s="1"/>
  <c r="T68" i="43" a="1"/>
  <c r="T68" i="43" s="1"/>
  <c r="T69" i="43" a="1"/>
  <c r="T69" i="43" s="1"/>
  <c r="T77" i="43" a="1"/>
  <c r="T77" i="43" s="1"/>
  <c r="T85" i="43" a="1"/>
  <c r="T85" i="43" s="1"/>
  <c r="T70" i="43" a="1"/>
  <c r="T70" i="43" s="1"/>
  <c r="T78" i="43" a="1"/>
  <c r="T78" i="43" s="1"/>
  <c r="T86" i="43" a="1"/>
  <c r="T86" i="43" s="1"/>
  <c r="T71" i="43" a="1"/>
  <c r="T71" i="43" s="1"/>
  <c r="T81" i="43" a="1"/>
  <c r="T81" i="43" s="1"/>
  <c r="T72" i="43" a="1"/>
  <c r="T72" i="43" s="1"/>
  <c r="T82" i="43" a="1"/>
  <c r="T82" i="43" s="1"/>
  <c r="T73" i="43" a="1"/>
  <c r="T73" i="43" s="1"/>
  <c r="T74" i="43" a="1"/>
  <c r="T74" i="43" s="1"/>
  <c r="T87" i="43" a="1"/>
  <c r="T87" i="43" s="1"/>
  <c r="T84" i="43" a="1"/>
  <c r="T84" i="43" s="1"/>
  <c r="T75" i="43" a="1"/>
  <c r="T75" i="43" s="1"/>
  <c r="T76" i="43" a="1"/>
  <c r="T76" i="43" s="1"/>
  <c r="T79" i="43" a="1"/>
  <c r="T79" i="43" s="1"/>
  <c r="T80" i="43" a="1"/>
  <c r="T80" i="43" s="1"/>
  <c r="T83" i="43" a="1"/>
  <c r="T83" i="43" s="1"/>
  <c r="T88" i="43" a="1"/>
  <c r="T88" i="43" s="1"/>
  <c r="W29" i="38" a="1"/>
  <c r="W29" i="38" s="1"/>
  <c r="W37" i="38" a="1"/>
  <c r="W37" i="38" s="1"/>
  <c r="W45" i="38" a="1"/>
  <c r="W45" i="38" s="1"/>
  <c r="W53" i="38" a="1"/>
  <c r="W53" i="38" s="1"/>
  <c r="W61" i="38" a="1"/>
  <c r="W61" i="38" s="1"/>
  <c r="W69" i="38" a="1"/>
  <c r="W69" i="38" s="1"/>
  <c r="W77" i="38" a="1"/>
  <c r="W77" i="38" s="1"/>
  <c r="W85" i="38" a="1"/>
  <c r="W85" i="38" s="1"/>
  <c r="W93" i="38" a="1"/>
  <c r="W93" i="38" s="1"/>
  <c r="W101" i="38" a="1"/>
  <c r="W101" i="38" s="1"/>
  <c r="W109" i="38" a="1"/>
  <c r="W109" i="38" s="1"/>
  <c r="W117" i="38" a="1"/>
  <c r="W117" i="38" s="1"/>
  <c r="W125" i="38" a="1"/>
  <c r="W125" i="38" s="1"/>
  <c r="W133" i="38" a="1"/>
  <c r="W133" i="38" s="1"/>
  <c r="W141" i="38" a="1"/>
  <c r="W141" i="38" s="1"/>
  <c r="W149" i="38" a="1"/>
  <c r="W149" i="38" s="1"/>
  <c r="W157" i="38" a="1"/>
  <c r="W157" i="38" s="1"/>
  <c r="W165" i="38" a="1"/>
  <c r="W165" i="38" s="1"/>
  <c r="W173" i="38" a="1"/>
  <c r="W173" i="38" s="1"/>
  <c r="W181" i="38" a="1"/>
  <c r="W181" i="38" s="1"/>
  <c r="W189" i="38" a="1"/>
  <c r="W189" i="38" s="1"/>
  <c r="W197" i="38" a="1"/>
  <c r="W197" i="38" s="1"/>
  <c r="W205" i="38" a="1"/>
  <c r="W205" i="38" s="1"/>
  <c r="W213" i="38" a="1"/>
  <c r="W213" i="38" s="1"/>
  <c r="W221" i="38" a="1"/>
  <c r="W221" i="38" s="1"/>
  <c r="W229" i="38" a="1"/>
  <c r="W229" i="38" s="1"/>
  <c r="W237" i="38" a="1"/>
  <c r="W237" i="38" s="1"/>
  <c r="W245" i="38" a="1"/>
  <c r="W245" i="38" s="1"/>
  <c r="W253" i="38" a="1"/>
  <c r="W253" i="38" s="1"/>
  <c r="W261" i="38" a="1"/>
  <c r="W261" i="38" s="1"/>
  <c r="W269" i="38" a="1"/>
  <c r="W269" i="38" s="1"/>
  <c r="W277" i="38" a="1"/>
  <c r="W277" i="38" s="1"/>
  <c r="W285" i="38" a="1"/>
  <c r="W285" i="38" s="1"/>
  <c r="W293" i="38" a="1"/>
  <c r="W293" i="38" s="1"/>
  <c r="W301" i="38" a="1"/>
  <c r="W301" i="38" s="1"/>
  <c r="W309" i="38" a="1"/>
  <c r="W309" i="38" s="1"/>
  <c r="W317" i="38" a="1"/>
  <c r="W317" i="38" s="1"/>
  <c r="W325" i="38" a="1"/>
  <c r="W325" i="38" s="1"/>
  <c r="W333" i="38" a="1"/>
  <c r="W333" i="38" s="1"/>
  <c r="W341" i="38" a="1"/>
  <c r="W341" i="38" s="1"/>
  <c r="W349" i="38" a="1"/>
  <c r="W349" i="38" s="1"/>
  <c r="W357" i="38" a="1"/>
  <c r="W357" i="38" s="1"/>
  <c r="W365" i="38" a="1"/>
  <c r="W365" i="38" s="1"/>
  <c r="W373" i="38" a="1"/>
  <c r="W373" i="38" s="1"/>
  <c r="W381" i="38" a="1"/>
  <c r="W381" i="38" s="1"/>
  <c r="W389" i="38" a="1"/>
  <c r="W389" i="38" s="1"/>
  <c r="W397" i="38" a="1"/>
  <c r="W397" i="38" s="1"/>
  <c r="W405" i="38" a="1"/>
  <c r="W405" i="38" s="1"/>
  <c r="W413" i="38" a="1"/>
  <c r="W413" i="38" s="1"/>
  <c r="W421" i="38" a="1"/>
  <c r="W421" i="38" s="1"/>
  <c r="W429" i="38" a="1"/>
  <c r="W429" i="38" s="1"/>
  <c r="W437" i="38" a="1"/>
  <c r="W437" i="38" s="1"/>
  <c r="W445" i="38" a="1"/>
  <c r="W445" i="38" s="1"/>
  <c r="W453" i="38" a="1"/>
  <c r="W453" i="38" s="1"/>
  <c r="W461" i="38" a="1"/>
  <c r="W461" i="38" s="1"/>
  <c r="W469" i="38" a="1"/>
  <c r="W469" i="38" s="1"/>
  <c r="W477" i="38" a="1"/>
  <c r="W477" i="38" s="1"/>
  <c r="W485" i="38" a="1"/>
  <c r="W485" i="38" s="1"/>
  <c r="W493" i="38" a="1"/>
  <c r="W493" i="38" s="1"/>
  <c r="W501" i="38" a="1"/>
  <c r="W501" i="38" s="1"/>
  <c r="W509" i="38" a="1"/>
  <c r="W509" i="38" s="1"/>
  <c r="W517" i="38" a="1"/>
  <c r="W517" i="38" s="1"/>
  <c r="W525" i="38" a="1"/>
  <c r="W525" i="38" s="1"/>
  <c r="V33" i="38" a="1"/>
  <c r="V33" i="38" s="1"/>
  <c r="V41" i="38" a="1"/>
  <c r="V41" i="38" s="1"/>
  <c r="V49" i="38" a="1"/>
  <c r="V49" i="38" s="1"/>
  <c r="V57" i="38" a="1"/>
  <c r="V57" i="38" s="1"/>
  <c r="V65" i="38" a="1"/>
  <c r="V65" i="38" s="1"/>
  <c r="V73" i="38" a="1"/>
  <c r="V73" i="38" s="1"/>
  <c r="V81" i="38" a="1"/>
  <c r="V81" i="38" s="1"/>
  <c r="V89" i="38" a="1"/>
  <c r="V89" i="38" s="1"/>
  <c r="V97" i="38" a="1"/>
  <c r="V97" i="38" s="1"/>
  <c r="V105" i="38" a="1"/>
  <c r="V105" i="38" s="1"/>
  <c r="V113" i="38" a="1"/>
  <c r="V113" i="38" s="1"/>
  <c r="V121" i="38" a="1"/>
  <c r="V121" i="38" s="1"/>
  <c r="V129" i="38" a="1"/>
  <c r="V129" i="38" s="1"/>
  <c r="V137" i="38" a="1"/>
  <c r="V137" i="38" s="1"/>
  <c r="V145" i="38" a="1"/>
  <c r="V145" i="38" s="1"/>
  <c r="V153" i="38" a="1"/>
  <c r="V153" i="38" s="1"/>
  <c r="V161" i="38" a="1"/>
  <c r="V161" i="38" s="1"/>
  <c r="V169" i="38" a="1"/>
  <c r="V169" i="38" s="1"/>
  <c r="V177" i="38" a="1"/>
  <c r="V177" i="38" s="1"/>
  <c r="V185" i="38" a="1"/>
  <c r="V185" i="38" s="1"/>
  <c r="V193" i="38" a="1"/>
  <c r="V193" i="38" s="1"/>
  <c r="V201" i="38" a="1"/>
  <c r="V201" i="38" s="1"/>
  <c r="V209" i="38" a="1"/>
  <c r="V209" i="38" s="1"/>
  <c r="V217" i="38" a="1"/>
  <c r="V217" i="38" s="1"/>
  <c r="V225" i="38" a="1"/>
  <c r="V225" i="38" s="1"/>
  <c r="V233" i="38" a="1"/>
  <c r="V233" i="38" s="1"/>
  <c r="W31" i="38" a="1"/>
  <c r="W31" i="38" s="1"/>
  <c r="W39" i="38" a="1"/>
  <c r="W39" i="38" s="1"/>
  <c r="W47" i="38" a="1"/>
  <c r="W47" i="38" s="1"/>
  <c r="W55" i="38" a="1"/>
  <c r="W55" i="38" s="1"/>
  <c r="W63" i="38" a="1"/>
  <c r="W63" i="38" s="1"/>
  <c r="W71" i="38" a="1"/>
  <c r="W71" i="38" s="1"/>
  <c r="W38" i="38" a="1"/>
  <c r="W38" i="38" s="1"/>
  <c r="W49" i="38" a="1"/>
  <c r="W49" i="38" s="1"/>
  <c r="W59" i="38" a="1"/>
  <c r="W59" i="38" s="1"/>
  <c r="W70" i="38" a="1"/>
  <c r="W70" i="38" s="1"/>
  <c r="W28" i="38" a="1"/>
  <c r="W28" i="38" s="1"/>
  <c r="W40" i="38" a="1"/>
  <c r="W40" i="38" s="1"/>
  <c r="W50" i="38" a="1"/>
  <c r="W50" i="38" s="1"/>
  <c r="W60" i="38" a="1"/>
  <c r="W60" i="38" s="1"/>
  <c r="W72" i="38" a="1"/>
  <c r="W72" i="38" s="1"/>
  <c r="W81" i="38" a="1"/>
  <c r="W81" i="38" s="1"/>
  <c r="W90" i="38" a="1"/>
  <c r="W90" i="38" s="1"/>
  <c r="W99" i="38" a="1"/>
  <c r="W99" i="38" s="1"/>
  <c r="W108" i="38" a="1"/>
  <c r="W108" i="38" s="1"/>
  <c r="W118" i="38" a="1"/>
  <c r="W118" i="38" s="1"/>
  <c r="W127" i="38" a="1"/>
  <c r="W127" i="38" s="1"/>
  <c r="W136" i="38" a="1"/>
  <c r="W136" i="38" s="1"/>
  <c r="W145" i="38" a="1"/>
  <c r="W145" i="38" s="1"/>
  <c r="W154" i="38" a="1"/>
  <c r="W154" i="38" s="1"/>
  <c r="W163" i="38" a="1"/>
  <c r="W163" i="38" s="1"/>
  <c r="W172" i="38" a="1"/>
  <c r="W172" i="38" s="1"/>
  <c r="W182" i="38" a="1"/>
  <c r="W182" i="38" s="1"/>
  <c r="W191" i="38" a="1"/>
  <c r="W191" i="38" s="1"/>
  <c r="W200" i="38" a="1"/>
  <c r="W200" i="38" s="1"/>
  <c r="W209" i="38" a="1"/>
  <c r="W209" i="38" s="1"/>
  <c r="W218" i="38" a="1"/>
  <c r="W218" i="38" s="1"/>
  <c r="W227" i="38" a="1"/>
  <c r="W227" i="38" s="1"/>
  <c r="W236" i="38" a="1"/>
  <c r="W236" i="38" s="1"/>
  <c r="W246" i="38" a="1"/>
  <c r="W246" i="38" s="1"/>
  <c r="W255" i="38" a="1"/>
  <c r="W255" i="38" s="1"/>
  <c r="W264" i="38" a="1"/>
  <c r="W264" i="38" s="1"/>
  <c r="W273" i="38" a="1"/>
  <c r="W273" i="38" s="1"/>
  <c r="W282" i="38" a="1"/>
  <c r="W282" i="38" s="1"/>
  <c r="W291" i="38" a="1"/>
  <c r="W291" i="38" s="1"/>
  <c r="W300" i="38" a="1"/>
  <c r="W300" i="38" s="1"/>
  <c r="W310" i="38" a="1"/>
  <c r="W310" i="38" s="1"/>
  <c r="W319" i="38" a="1"/>
  <c r="W319" i="38" s="1"/>
  <c r="W328" i="38" a="1"/>
  <c r="W328" i="38" s="1"/>
  <c r="W337" i="38" a="1"/>
  <c r="W337" i="38" s="1"/>
  <c r="W346" i="38" a="1"/>
  <c r="W346" i="38" s="1"/>
  <c r="W355" i="38" a="1"/>
  <c r="W355" i="38" s="1"/>
  <c r="W364" i="38" a="1"/>
  <c r="W364" i="38" s="1"/>
  <c r="W374" i="38" a="1"/>
  <c r="W374" i="38" s="1"/>
  <c r="W383" i="38" a="1"/>
  <c r="W383" i="38" s="1"/>
  <c r="W392" i="38" a="1"/>
  <c r="W392" i="38" s="1"/>
  <c r="W401" i="38" a="1"/>
  <c r="W401" i="38" s="1"/>
  <c r="W410" i="38" a="1"/>
  <c r="W410" i="38" s="1"/>
  <c r="W419" i="38" a="1"/>
  <c r="W419" i="38" s="1"/>
  <c r="W428" i="38" a="1"/>
  <c r="W428" i="38" s="1"/>
  <c r="W438" i="38" a="1"/>
  <c r="W438" i="38" s="1"/>
  <c r="W447" i="38" a="1"/>
  <c r="W447" i="38" s="1"/>
  <c r="W456" i="38" a="1"/>
  <c r="W456" i="38" s="1"/>
  <c r="W465" i="38" a="1"/>
  <c r="W465" i="38" s="1"/>
  <c r="W474" i="38" a="1"/>
  <c r="W474" i="38" s="1"/>
  <c r="W483" i="38" a="1"/>
  <c r="W483" i="38" s="1"/>
  <c r="W492" i="38" a="1"/>
  <c r="W492" i="38" s="1"/>
  <c r="W502" i="38" a="1"/>
  <c r="W502" i="38" s="1"/>
  <c r="W511" i="38" a="1"/>
  <c r="W511" i="38" s="1"/>
  <c r="W520" i="38" a="1"/>
  <c r="W520" i="38" s="1"/>
  <c r="V29" i="38" a="1"/>
  <c r="V29" i="38" s="1"/>
  <c r="V38" i="38" a="1"/>
  <c r="V38" i="38" s="1"/>
  <c r="V47" i="38" a="1"/>
  <c r="V47" i="38" s="1"/>
  <c r="V56" i="38" a="1"/>
  <c r="V56" i="38" s="1"/>
  <c r="V66" i="38" a="1"/>
  <c r="V66" i="38" s="1"/>
  <c r="V75" i="38" a="1"/>
  <c r="V75" i="38" s="1"/>
  <c r="V84" i="38" a="1"/>
  <c r="V84" i="38" s="1"/>
  <c r="V93" i="38" a="1"/>
  <c r="V93" i="38" s="1"/>
  <c r="V102" i="38" a="1"/>
  <c r="V102" i="38" s="1"/>
  <c r="V111" i="38" a="1"/>
  <c r="V111" i="38" s="1"/>
  <c r="V120" i="38" a="1"/>
  <c r="V120" i="38" s="1"/>
  <c r="V130" i="38" a="1"/>
  <c r="V130" i="38" s="1"/>
  <c r="V139" i="38" a="1"/>
  <c r="V139" i="38" s="1"/>
  <c r="V148" i="38" a="1"/>
  <c r="V148" i="38" s="1"/>
  <c r="V157" i="38" a="1"/>
  <c r="V157" i="38" s="1"/>
  <c r="V166" i="38" a="1"/>
  <c r="V166" i="38" s="1"/>
  <c r="V175" i="38" a="1"/>
  <c r="V175" i="38" s="1"/>
  <c r="V184" i="38" a="1"/>
  <c r="V184" i="38" s="1"/>
  <c r="V194" i="38" a="1"/>
  <c r="V194" i="38" s="1"/>
  <c r="V203" i="38" a="1"/>
  <c r="V203" i="38" s="1"/>
  <c r="V212" i="38" a="1"/>
  <c r="V212" i="38" s="1"/>
  <c r="V221" i="38" a="1"/>
  <c r="V221" i="38" s="1"/>
  <c r="V230" i="38" a="1"/>
  <c r="V230" i="38" s="1"/>
  <c r="V239" i="38" a="1"/>
  <c r="V239" i="38" s="1"/>
  <c r="V247" i="38" a="1"/>
  <c r="V247" i="38" s="1"/>
  <c r="V255" i="38" a="1"/>
  <c r="V255" i="38" s="1"/>
  <c r="V263" i="38" a="1"/>
  <c r="V263" i="38" s="1"/>
  <c r="V271" i="38" a="1"/>
  <c r="V271" i="38" s="1"/>
  <c r="V279" i="38" a="1"/>
  <c r="V279" i="38" s="1"/>
  <c r="V287" i="38" a="1"/>
  <c r="V287" i="38" s="1"/>
  <c r="V295" i="38" a="1"/>
  <c r="V295" i="38" s="1"/>
  <c r="V303" i="38" a="1"/>
  <c r="V303" i="38" s="1"/>
  <c r="V311" i="38" a="1"/>
  <c r="V311" i="38" s="1"/>
  <c r="V319" i="38" a="1"/>
  <c r="V319" i="38" s="1"/>
  <c r="V327" i="38" a="1"/>
  <c r="V327" i="38" s="1"/>
  <c r="V335" i="38" a="1"/>
  <c r="V335" i="38" s="1"/>
  <c r="V343" i="38" a="1"/>
  <c r="V343" i="38" s="1"/>
  <c r="V351" i="38" a="1"/>
  <c r="V351" i="38" s="1"/>
  <c r="V359" i="38" a="1"/>
  <c r="V359" i="38" s="1"/>
  <c r="V367" i="38" a="1"/>
  <c r="V367" i="38" s="1"/>
  <c r="V375" i="38" a="1"/>
  <c r="V375" i="38" s="1"/>
  <c r="V383" i="38" a="1"/>
  <c r="V383" i="38" s="1"/>
  <c r="V391" i="38" a="1"/>
  <c r="V391" i="38" s="1"/>
  <c r="V399" i="38" a="1"/>
  <c r="V399" i="38" s="1"/>
  <c r="V407" i="38" a="1"/>
  <c r="V407" i="38" s="1"/>
  <c r="V415" i="38" a="1"/>
  <c r="V415" i="38" s="1"/>
  <c r="V423" i="38" a="1"/>
  <c r="V423" i="38" s="1"/>
  <c r="V431" i="38" a="1"/>
  <c r="V431" i="38" s="1"/>
  <c r="V439" i="38" a="1"/>
  <c r="V439" i="38" s="1"/>
  <c r="V447" i="38" a="1"/>
  <c r="V447" i="38" s="1"/>
  <c r="V455" i="38" a="1"/>
  <c r="V455" i="38" s="1"/>
  <c r="V463" i="38" a="1"/>
  <c r="V463" i="38" s="1"/>
  <c r="V471" i="38" a="1"/>
  <c r="V471" i="38" s="1"/>
  <c r="V479" i="38" a="1"/>
  <c r="V479" i="38" s="1"/>
  <c r="V487" i="38" a="1"/>
  <c r="V487" i="38" s="1"/>
  <c r="V495" i="38" a="1"/>
  <c r="V495" i="38" s="1"/>
  <c r="V503" i="38" a="1"/>
  <c r="V503" i="38" s="1"/>
  <c r="V511" i="38" a="1"/>
  <c r="V511" i="38" s="1"/>
  <c r="V519" i="38" a="1"/>
  <c r="V519" i="38" s="1"/>
  <c r="V527" i="38" a="1"/>
  <c r="V527" i="38" s="1"/>
  <c r="W34" i="38" a="1"/>
  <c r="W34" i="38" s="1"/>
  <c r="W48" i="38" a="1"/>
  <c r="W48" i="38" s="1"/>
  <c r="W64" i="38" a="1"/>
  <c r="W64" i="38" s="1"/>
  <c r="W76" i="38" a="1"/>
  <c r="W76" i="38" s="1"/>
  <c r="W87" i="38" a="1"/>
  <c r="W87" i="38" s="1"/>
  <c r="W97" i="38" a="1"/>
  <c r="W97" i="38" s="1"/>
  <c r="W107" i="38" a="1"/>
  <c r="W107" i="38" s="1"/>
  <c r="W119" i="38" a="1"/>
  <c r="W119" i="38" s="1"/>
  <c r="W129" i="38" a="1"/>
  <c r="W129" i="38" s="1"/>
  <c r="W139" i="38" a="1"/>
  <c r="W139" i="38" s="1"/>
  <c r="W150" i="38" a="1"/>
  <c r="W150" i="38" s="1"/>
  <c r="W160" i="38" a="1"/>
  <c r="W160" i="38" s="1"/>
  <c r="W170" i="38" a="1"/>
  <c r="W170" i="38" s="1"/>
  <c r="W180" i="38" a="1"/>
  <c r="W180" i="38" s="1"/>
  <c r="W192" i="38" a="1"/>
  <c r="W192" i="38" s="1"/>
  <c r="W202" i="38" a="1"/>
  <c r="W202" i="38" s="1"/>
  <c r="W212" i="38" a="1"/>
  <c r="W212" i="38" s="1"/>
  <c r="W223" i="38" a="1"/>
  <c r="W223" i="38" s="1"/>
  <c r="W233" i="38" a="1"/>
  <c r="W233" i="38" s="1"/>
  <c r="W243" i="38" a="1"/>
  <c r="W243" i="38" s="1"/>
  <c r="W254" i="38" a="1"/>
  <c r="W254" i="38" s="1"/>
  <c r="W265" i="38" a="1"/>
  <c r="W265" i="38" s="1"/>
  <c r="W275" i="38" a="1"/>
  <c r="W275" i="38" s="1"/>
  <c r="W286" i="38" a="1"/>
  <c r="W286" i="38" s="1"/>
  <c r="W296" i="38" a="1"/>
  <c r="W296" i="38" s="1"/>
  <c r="W306" i="38" a="1"/>
  <c r="W306" i="38" s="1"/>
  <c r="W316" i="38" a="1"/>
  <c r="W316" i="38" s="1"/>
  <c r="W327" i="38" a="1"/>
  <c r="W327" i="38" s="1"/>
  <c r="W338" i="38" a="1"/>
  <c r="W338" i="38" s="1"/>
  <c r="W348" i="38" a="1"/>
  <c r="W348" i="38" s="1"/>
  <c r="W359" i="38" a="1"/>
  <c r="W359" i="38" s="1"/>
  <c r="W369" i="38" a="1"/>
  <c r="W369" i="38" s="1"/>
  <c r="W379" i="38" a="1"/>
  <c r="W379" i="38" s="1"/>
  <c r="W390" i="38" a="1"/>
  <c r="W390" i="38" s="1"/>
  <c r="W400" i="38" a="1"/>
  <c r="W400" i="38" s="1"/>
  <c r="W411" i="38" a="1"/>
  <c r="W411" i="38" s="1"/>
  <c r="W422" i="38" a="1"/>
  <c r="W422" i="38" s="1"/>
  <c r="W432" i="38" a="1"/>
  <c r="W432" i="38" s="1"/>
  <c r="W442" i="38" a="1"/>
  <c r="W442" i="38" s="1"/>
  <c r="W452" i="38" a="1"/>
  <c r="W452" i="38" s="1"/>
  <c r="W463" i="38" a="1"/>
  <c r="W463" i="38" s="1"/>
  <c r="W473" i="38" a="1"/>
  <c r="W473" i="38" s="1"/>
  <c r="W484" i="38" a="1"/>
  <c r="W484" i="38" s="1"/>
  <c r="W495" i="38" a="1"/>
  <c r="W495" i="38" s="1"/>
  <c r="W505" i="38" a="1"/>
  <c r="W505" i="38" s="1"/>
  <c r="W515" i="38" a="1"/>
  <c r="W515" i="38" s="1"/>
  <c r="W526" i="38" a="1"/>
  <c r="W526" i="38" s="1"/>
  <c r="V36" i="38" a="1"/>
  <c r="V36" i="38" s="1"/>
  <c r="V46" i="38" a="1"/>
  <c r="V46" i="38" s="1"/>
  <c r="W30" i="38" a="1"/>
  <c r="W30" i="38" s="1"/>
  <c r="W44" i="38" a="1"/>
  <c r="W44" i="38" s="1"/>
  <c r="W62" i="38" a="1"/>
  <c r="W62" i="38" s="1"/>
  <c r="W78" i="38" a="1"/>
  <c r="W78" i="38" s="1"/>
  <c r="W89" i="38" a="1"/>
  <c r="W89" i="38" s="1"/>
  <c r="W102" i="38" a="1"/>
  <c r="W102" i="38" s="1"/>
  <c r="W113" i="38" a="1"/>
  <c r="W113" i="38" s="1"/>
  <c r="W124" i="38" a="1"/>
  <c r="W124" i="38" s="1"/>
  <c r="W137" i="38" a="1"/>
  <c r="W137" i="38" s="1"/>
  <c r="W148" i="38" a="1"/>
  <c r="W148" i="38" s="1"/>
  <c r="W161" i="38" a="1"/>
  <c r="W161" i="38" s="1"/>
  <c r="W174" i="38" a="1"/>
  <c r="W174" i="38" s="1"/>
  <c r="W185" i="38" a="1"/>
  <c r="W185" i="38" s="1"/>
  <c r="W196" i="38" a="1"/>
  <c r="W196" i="38" s="1"/>
  <c r="W208" i="38" a="1"/>
  <c r="W208" i="38" s="1"/>
  <c r="W220" i="38" a="1"/>
  <c r="W220" i="38" s="1"/>
  <c r="W232" i="38" a="1"/>
  <c r="W232" i="38" s="1"/>
  <c r="W244" i="38" a="1"/>
  <c r="W244" i="38" s="1"/>
  <c r="W257" i="38" a="1"/>
  <c r="W257" i="38" s="1"/>
  <c r="W268" i="38" a="1"/>
  <c r="W268" i="38" s="1"/>
  <c r="W280" i="38" a="1"/>
  <c r="W280" i="38" s="1"/>
  <c r="W292" i="38" a="1"/>
  <c r="W292" i="38" s="1"/>
  <c r="W304" i="38" a="1"/>
  <c r="W304" i="38" s="1"/>
  <c r="W315" i="38" a="1"/>
  <c r="W315" i="38" s="1"/>
  <c r="W329" i="38" a="1"/>
  <c r="W329" i="38" s="1"/>
  <c r="W340" i="38" a="1"/>
  <c r="W340" i="38" s="1"/>
  <c r="W352" i="38" a="1"/>
  <c r="W352" i="38" s="1"/>
  <c r="W363" i="38" a="1"/>
  <c r="W363" i="38" s="1"/>
  <c r="W376" i="38" a="1"/>
  <c r="W376" i="38" s="1"/>
  <c r="W387" i="38" a="1"/>
  <c r="W387" i="38" s="1"/>
  <c r="W399" i="38" a="1"/>
  <c r="W399" i="38" s="1"/>
  <c r="W412" i="38" a="1"/>
  <c r="W412" i="38" s="1"/>
  <c r="W424" i="38" a="1"/>
  <c r="W424" i="38" s="1"/>
  <c r="W435" i="38" a="1"/>
  <c r="W435" i="38" s="1"/>
  <c r="W448" i="38" a="1"/>
  <c r="W448" i="38" s="1"/>
  <c r="W459" i="38" a="1"/>
  <c r="W459" i="38" s="1"/>
  <c r="W471" i="38" a="1"/>
  <c r="W471" i="38" s="1"/>
  <c r="W482" i="38" a="1"/>
  <c r="W482" i="38" s="1"/>
  <c r="W496" i="38" a="1"/>
  <c r="W496" i="38" s="1"/>
  <c r="W507" i="38" a="1"/>
  <c r="W507" i="38" s="1"/>
  <c r="W519" i="38" a="1"/>
  <c r="W519" i="38" s="1"/>
  <c r="V31" i="38" a="1"/>
  <c r="V31" i="38" s="1"/>
  <c r="V43" i="38" a="1"/>
  <c r="V43" i="38" s="1"/>
  <c r="V54" i="38" a="1"/>
  <c r="V54" i="38" s="1"/>
  <c r="V64" i="38" a="1"/>
  <c r="V64" i="38" s="1"/>
  <c r="V76" i="38" a="1"/>
  <c r="V76" i="38" s="1"/>
  <c r="V86" i="38" a="1"/>
  <c r="V86" i="38" s="1"/>
  <c r="V96" i="38" a="1"/>
  <c r="V96" i="38" s="1"/>
  <c r="V107" i="38" a="1"/>
  <c r="V107" i="38" s="1"/>
  <c r="V117" i="38" a="1"/>
  <c r="V117" i="38" s="1"/>
  <c r="V127" i="38" a="1"/>
  <c r="V127" i="38" s="1"/>
  <c r="V138" i="38" a="1"/>
  <c r="V138" i="38" s="1"/>
  <c r="V149" i="38" a="1"/>
  <c r="V149" i="38" s="1"/>
  <c r="V159" i="38" a="1"/>
  <c r="V159" i="38" s="1"/>
  <c r="V170" i="38" a="1"/>
  <c r="V170" i="38" s="1"/>
  <c r="V180" i="38" a="1"/>
  <c r="V180" i="38" s="1"/>
  <c r="V190" i="38" a="1"/>
  <c r="V190" i="38" s="1"/>
  <c r="V200" i="38" a="1"/>
  <c r="V200" i="38" s="1"/>
  <c r="V211" i="38" a="1"/>
  <c r="V211" i="38" s="1"/>
  <c r="V222" i="38" a="1"/>
  <c r="V222" i="38" s="1"/>
  <c r="V232" i="38" a="1"/>
  <c r="V232" i="38" s="1"/>
  <c r="V242" i="38" a="1"/>
  <c r="V242" i="38" s="1"/>
  <c r="V251" i="38" a="1"/>
  <c r="V251" i="38" s="1"/>
  <c r="V260" i="38" a="1"/>
  <c r="V260" i="38" s="1"/>
  <c r="V269" i="38" a="1"/>
  <c r="V269" i="38" s="1"/>
  <c r="V278" i="38" a="1"/>
  <c r="V278" i="38" s="1"/>
  <c r="V288" i="38" a="1"/>
  <c r="V288" i="38" s="1"/>
  <c r="V297" i="38" a="1"/>
  <c r="V297" i="38" s="1"/>
  <c r="V306" i="38" a="1"/>
  <c r="V306" i="38" s="1"/>
  <c r="V315" i="38" a="1"/>
  <c r="V315" i="38" s="1"/>
  <c r="V324" i="38" a="1"/>
  <c r="V324" i="38" s="1"/>
  <c r="V333" i="38" a="1"/>
  <c r="V333" i="38" s="1"/>
  <c r="V342" i="38" a="1"/>
  <c r="V342" i="38" s="1"/>
  <c r="V352" i="38" a="1"/>
  <c r="V352" i="38" s="1"/>
  <c r="V361" i="38" a="1"/>
  <c r="V361" i="38" s="1"/>
  <c r="V370" i="38" a="1"/>
  <c r="V370" i="38" s="1"/>
  <c r="V379" i="38" a="1"/>
  <c r="V379" i="38" s="1"/>
  <c r="V388" i="38" a="1"/>
  <c r="V388" i="38" s="1"/>
  <c r="V397" i="38" a="1"/>
  <c r="V397" i="38" s="1"/>
  <c r="V406" i="38" a="1"/>
  <c r="V406" i="38" s="1"/>
  <c r="V416" i="38" a="1"/>
  <c r="V416" i="38" s="1"/>
  <c r="V425" i="38" a="1"/>
  <c r="V425" i="38" s="1"/>
  <c r="V434" i="38" a="1"/>
  <c r="V434" i="38" s="1"/>
  <c r="V443" i="38" a="1"/>
  <c r="V443" i="38" s="1"/>
  <c r="V452" i="38" a="1"/>
  <c r="V452" i="38" s="1"/>
  <c r="V461" i="38" a="1"/>
  <c r="V461" i="38" s="1"/>
  <c r="V470" i="38" a="1"/>
  <c r="V470" i="38" s="1"/>
  <c r="V480" i="38" a="1"/>
  <c r="V480" i="38" s="1"/>
  <c r="V489" i="38" a="1"/>
  <c r="V489" i="38" s="1"/>
  <c r="V498" i="38" a="1"/>
  <c r="V498" i="38" s="1"/>
  <c r="V507" i="38" a="1"/>
  <c r="V507" i="38" s="1"/>
  <c r="V516" i="38" a="1"/>
  <c r="V516" i="38" s="1"/>
  <c r="V525" i="38" a="1"/>
  <c r="V525" i="38" s="1"/>
  <c r="W32" i="38" a="1"/>
  <c r="W32" i="38" s="1"/>
  <c r="W46" i="38" a="1"/>
  <c r="W46" i="38" s="1"/>
  <c r="W65" i="38" a="1"/>
  <c r="W65" i="38" s="1"/>
  <c r="W79" i="38" a="1"/>
  <c r="W79" i="38" s="1"/>
  <c r="W91" i="38" a="1"/>
  <c r="W91" i="38" s="1"/>
  <c r="W103" i="38" a="1"/>
  <c r="W103" i="38" s="1"/>
  <c r="W114" i="38" a="1"/>
  <c r="W114" i="38" s="1"/>
  <c r="W126" i="38" a="1"/>
  <c r="W126" i="38" s="1"/>
  <c r="W138" i="38" a="1"/>
  <c r="W138" i="38" s="1"/>
  <c r="W151" i="38" a="1"/>
  <c r="W151" i="38" s="1"/>
  <c r="W162" i="38" a="1"/>
  <c r="W162" i="38" s="1"/>
  <c r="W175" i="38" a="1"/>
  <c r="W175" i="38" s="1"/>
  <c r="W186" i="38" a="1"/>
  <c r="W186" i="38" s="1"/>
  <c r="W198" i="38" a="1"/>
  <c r="W198" i="38" s="1"/>
  <c r="W210" i="38" a="1"/>
  <c r="W210" i="38" s="1"/>
  <c r="W222" i="38" a="1"/>
  <c r="W222" i="38" s="1"/>
  <c r="W234" i="38" a="1"/>
  <c r="W234" i="38" s="1"/>
  <c r="W247" i="38" a="1"/>
  <c r="W247" i="38" s="1"/>
  <c r="W258" i="38" a="1"/>
  <c r="W258" i="38" s="1"/>
  <c r="W270" i="38" a="1"/>
  <c r="W270" i="38" s="1"/>
  <c r="W281" i="38" a="1"/>
  <c r="W281" i="38" s="1"/>
  <c r="W294" i="38" a="1"/>
  <c r="W294" i="38" s="1"/>
  <c r="W305" i="38" a="1"/>
  <c r="W305" i="38" s="1"/>
  <c r="W318" i="38" a="1"/>
  <c r="W318" i="38" s="1"/>
  <c r="W330" i="38" a="1"/>
  <c r="W330" i="38" s="1"/>
  <c r="W342" i="38" a="1"/>
  <c r="W342" i="38" s="1"/>
  <c r="W353" i="38" a="1"/>
  <c r="W353" i="38" s="1"/>
  <c r="W366" i="38" a="1"/>
  <c r="W366" i="38" s="1"/>
  <c r="W377" i="38" a="1"/>
  <c r="W377" i="38" s="1"/>
  <c r="W388" i="38" a="1"/>
  <c r="W388" i="38" s="1"/>
  <c r="W402" i="38" a="1"/>
  <c r="W402" i="38" s="1"/>
  <c r="W414" i="38" a="1"/>
  <c r="W414" i="38" s="1"/>
  <c r="W425" i="38" a="1"/>
  <c r="W425" i="38" s="1"/>
  <c r="W436" i="38" a="1"/>
  <c r="W436" i="38" s="1"/>
  <c r="W449" i="38" a="1"/>
  <c r="W449" i="38" s="1"/>
  <c r="W460" i="38" a="1"/>
  <c r="W460" i="38" s="1"/>
  <c r="W472" i="38" a="1"/>
  <c r="W472" i="38" s="1"/>
  <c r="W486" i="38" a="1"/>
  <c r="W486" i="38" s="1"/>
  <c r="W497" i="38" a="1"/>
  <c r="W497" i="38" s="1"/>
  <c r="W508" i="38" a="1"/>
  <c r="W508" i="38" s="1"/>
  <c r="W521" i="38" a="1"/>
  <c r="W521" i="38" s="1"/>
  <c r="V32" i="38" a="1"/>
  <c r="V32" i="38" s="1"/>
  <c r="V44" i="38" a="1"/>
  <c r="V44" i="38" s="1"/>
  <c r="V55" i="38" a="1"/>
  <c r="V55" i="38" s="1"/>
  <c r="V67" i="38" a="1"/>
  <c r="V67" i="38" s="1"/>
  <c r="V77" i="38" a="1"/>
  <c r="V77" i="38" s="1"/>
  <c r="V87" i="38" a="1"/>
  <c r="V87" i="38" s="1"/>
  <c r="V98" i="38" a="1"/>
  <c r="V98" i="38" s="1"/>
  <c r="V108" i="38" a="1"/>
  <c r="V108" i="38" s="1"/>
  <c r="V118" i="38" a="1"/>
  <c r="V118" i="38" s="1"/>
  <c r="V128" i="38" a="1"/>
  <c r="V128" i="38" s="1"/>
  <c r="V140" i="38" a="1"/>
  <c r="V140" i="38" s="1"/>
  <c r="V150" i="38" a="1"/>
  <c r="V150" i="38" s="1"/>
  <c r="V160" i="38" a="1"/>
  <c r="V160" i="38" s="1"/>
  <c r="V171" i="38" a="1"/>
  <c r="V171" i="38" s="1"/>
  <c r="V181" i="38" a="1"/>
  <c r="V181" i="38" s="1"/>
  <c r="V191" i="38" a="1"/>
  <c r="V191" i="38" s="1"/>
  <c r="V202" i="38" a="1"/>
  <c r="V202" i="38" s="1"/>
  <c r="V213" i="38" a="1"/>
  <c r="V213" i="38" s="1"/>
  <c r="V223" i="38" a="1"/>
  <c r="V223" i="38" s="1"/>
  <c r="V234" i="38" a="1"/>
  <c r="V234" i="38" s="1"/>
  <c r="V243" i="38" a="1"/>
  <c r="V243" i="38" s="1"/>
  <c r="V252" i="38" a="1"/>
  <c r="V252" i="38" s="1"/>
  <c r="V261" i="38" a="1"/>
  <c r="V261" i="38" s="1"/>
  <c r="V270" i="38" a="1"/>
  <c r="V270" i="38" s="1"/>
  <c r="V280" i="38" a="1"/>
  <c r="V280" i="38" s="1"/>
  <c r="V289" i="38" a="1"/>
  <c r="V289" i="38" s="1"/>
  <c r="V298" i="38" a="1"/>
  <c r="V298" i="38" s="1"/>
  <c r="V307" i="38" a="1"/>
  <c r="V307" i="38" s="1"/>
  <c r="V316" i="38" a="1"/>
  <c r="V316" i="38" s="1"/>
  <c r="V325" i="38" a="1"/>
  <c r="V325" i="38" s="1"/>
  <c r="V334" i="38" a="1"/>
  <c r="V334" i="38" s="1"/>
  <c r="V344" i="38" a="1"/>
  <c r="V344" i="38" s="1"/>
  <c r="V353" i="38" a="1"/>
  <c r="V353" i="38" s="1"/>
  <c r="V362" i="38" a="1"/>
  <c r="V362" i="38" s="1"/>
  <c r="V371" i="38" a="1"/>
  <c r="V371" i="38" s="1"/>
  <c r="V380" i="38" a="1"/>
  <c r="V380" i="38" s="1"/>
  <c r="V389" i="38" a="1"/>
  <c r="V389" i="38" s="1"/>
  <c r="V398" i="38" a="1"/>
  <c r="V398" i="38" s="1"/>
  <c r="V408" i="38" a="1"/>
  <c r="V408" i="38" s="1"/>
  <c r="V417" i="38" a="1"/>
  <c r="V417" i="38" s="1"/>
  <c r="V426" i="38" a="1"/>
  <c r="V426" i="38" s="1"/>
  <c r="V435" i="38" a="1"/>
  <c r="V435" i="38" s="1"/>
  <c r="V444" i="38" a="1"/>
  <c r="V444" i="38" s="1"/>
  <c r="V453" i="38" a="1"/>
  <c r="V453" i="38" s="1"/>
  <c r="V462" i="38" a="1"/>
  <c r="V462" i="38" s="1"/>
  <c r="V472" i="38" a="1"/>
  <c r="V472" i="38" s="1"/>
  <c r="V481" i="38" a="1"/>
  <c r="V481" i="38" s="1"/>
  <c r="V490" i="38" a="1"/>
  <c r="V490" i="38" s="1"/>
  <c r="V499" i="38" a="1"/>
  <c r="V499" i="38" s="1"/>
  <c r="V508" i="38" a="1"/>
  <c r="V508" i="38" s="1"/>
  <c r="V517" i="38" a="1"/>
  <c r="V517" i="38" s="1"/>
  <c r="V526" i="38" a="1"/>
  <c r="V526" i="38" s="1"/>
  <c r="W33" i="38" a="1"/>
  <c r="W33" i="38" s="1"/>
  <c r="W51" i="38" a="1"/>
  <c r="W51" i="38" s="1"/>
  <c r="W66" i="38" a="1"/>
  <c r="W66" i="38" s="1"/>
  <c r="W80" i="38" a="1"/>
  <c r="W80" i="38" s="1"/>
  <c r="W92" i="38" a="1"/>
  <c r="W92" i="38" s="1"/>
  <c r="W104" i="38" a="1"/>
  <c r="W104" i="38" s="1"/>
  <c r="W115" i="38" a="1"/>
  <c r="W115" i="38" s="1"/>
  <c r="W128" i="38" a="1"/>
  <c r="W128" i="38" s="1"/>
  <c r="W140" i="38" a="1"/>
  <c r="W140" i="38" s="1"/>
  <c r="W152" i="38" a="1"/>
  <c r="W152" i="38" s="1"/>
  <c r="W164" i="38" a="1"/>
  <c r="W164" i="38" s="1"/>
  <c r="W176" i="38" a="1"/>
  <c r="W176" i="38" s="1"/>
  <c r="W187" i="38" a="1"/>
  <c r="W187" i="38" s="1"/>
  <c r="W199" i="38" a="1"/>
  <c r="W199" i="38" s="1"/>
  <c r="W211" i="38" a="1"/>
  <c r="W211" i="38" s="1"/>
  <c r="W224" i="38" a="1"/>
  <c r="W224" i="38" s="1"/>
  <c r="W235" i="38" a="1"/>
  <c r="W235" i="38" s="1"/>
  <c r="W248" i="38" a="1"/>
  <c r="W248" i="38" s="1"/>
  <c r="W259" i="38" a="1"/>
  <c r="W259" i="38" s="1"/>
  <c r="W271" i="38" a="1"/>
  <c r="W271" i="38" s="1"/>
  <c r="W283" i="38" a="1"/>
  <c r="W283" i="38" s="1"/>
  <c r="W295" i="38" a="1"/>
  <c r="W295" i="38" s="1"/>
  <c r="W307" i="38" a="1"/>
  <c r="W307" i="38" s="1"/>
  <c r="W320" i="38" a="1"/>
  <c r="W320" i="38" s="1"/>
  <c r="W331" i="38" a="1"/>
  <c r="W331" i="38" s="1"/>
  <c r="W343" i="38" a="1"/>
  <c r="W343" i="38" s="1"/>
  <c r="W354" i="38" a="1"/>
  <c r="W354" i="38" s="1"/>
  <c r="W367" i="38" a="1"/>
  <c r="W367" i="38" s="1"/>
  <c r="W378" i="38" a="1"/>
  <c r="W378" i="38" s="1"/>
  <c r="W391" i="38" a="1"/>
  <c r="W391" i="38" s="1"/>
  <c r="W403" i="38" a="1"/>
  <c r="W403" i="38" s="1"/>
  <c r="W415" i="38" a="1"/>
  <c r="W415" i="38" s="1"/>
  <c r="W426" i="38" a="1"/>
  <c r="W426" i="38" s="1"/>
  <c r="W439" i="38" a="1"/>
  <c r="W439" i="38" s="1"/>
  <c r="W450" i="38" a="1"/>
  <c r="W450" i="38" s="1"/>
  <c r="W462" i="38" a="1"/>
  <c r="W462" i="38" s="1"/>
  <c r="W475" i="38" a="1"/>
  <c r="W475" i="38" s="1"/>
  <c r="W487" i="38" a="1"/>
  <c r="W487" i="38" s="1"/>
  <c r="W498" i="38" a="1"/>
  <c r="W498" i="38" s="1"/>
  <c r="W510" i="38" a="1"/>
  <c r="W510" i="38" s="1"/>
  <c r="W522" i="38" a="1"/>
  <c r="W522" i="38" s="1"/>
  <c r="V34" i="38" a="1"/>
  <c r="V34" i="38" s="1"/>
  <c r="V45" i="38" a="1"/>
  <c r="V45" i="38" s="1"/>
  <c r="V58" i="38" a="1"/>
  <c r="V58" i="38" s="1"/>
  <c r="V68" i="38" a="1"/>
  <c r="V68" i="38" s="1"/>
  <c r="V78" i="38" a="1"/>
  <c r="V78" i="38" s="1"/>
  <c r="V88" i="38" a="1"/>
  <c r="V88" i="38" s="1"/>
  <c r="V99" i="38" a="1"/>
  <c r="V99" i="38" s="1"/>
  <c r="V109" i="38" a="1"/>
  <c r="V109" i="38" s="1"/>
  <c r="V119" i="38" a="1"/>
  <c r="V119" i="38" s="1"/>
  <c r="V131" i="38" a="1"/>
  <c r="V131" i="38" s="1"/>
  <c r="V141" i="38" a="1"/>
  <c r="V141" i="38" s="1"/>
  <c r="V151" i="38" a="1"/>
  <c r="V151" i="38" s="1"/>
  <c r="V162" i="38" a="1"/>
  <c r="V162" i="38" s="1"/>
  <c r="V172" i="38" a="1"/>
  <c r="V172" i="38" s="1"/>
  <c r="V182" i="38" a="1"/>
  <c r="V182" i="38" s="1"/>
  <c r="V192" i="38" a="1"/>
  <c r="V192" i="38" s="1"/>
  <c r="V204" i="38" a="1"/>
  <c r="V204" i="38" s="1"/>
  <c r="V214" i="38" a="1"/>
  <c r="V214" i="38" s="1"/>
  <c r="V224" i="38" a="1"/>
  <c r="V224" i="38" s="1"/>
  <c r="V235" i="38" a="1"/>
  <c r="V235" i="38" s="1"/>
  <c r="V244" i="38" a="1"/>
  <c r="V244" i="38" s="1"/>
  <c r="V253" i="38" a="1"/>
  <c r="V253" i="38" s="1"/>
  <c r="V262" i="38" a="1"/>
  <c r="V262" i="38" s="1"/>
  <c r="V272" i="38" a="1"/>
  <c r="V272" i="38" s="1"/>
  <c r="V281" i="38" a="1"/>
  <c r="V281" i="38" s="1"/>
  <c r="V290" i="38" a="1"/>
  <c r="V290" i="38" s="1"/>
  <c r="V299" i="38" a="1"/>
  <c r="V299" i="38" s="1"/>
  <c r="V308" i="38" a="1"/>
  <c r="V308" i="38" s="1"/>
  <c r="V317" i="38" a="1"/>
  <c r="V317" i="38" s="1"/>
  <c r="V326" i="38" a="1"/>
  <c r="V326" i="38" s="1"/>
  <c r="V336" i="38" a="1"/>
  <c r="V336" i="38" s="1"/>
  <c r="V345" i="38" a="1"/>
  <c r="V345" i="38" s="1"/>
  <c r="V354" i="38" a="1"/>
  <c r="V354" i="38" s="1"/>
  <c r="V363" i="38" a="1"/>
  <c r="V363" i="38" s="1"/>
  <c r="V372" i="38" a="1"/>
  <c r="V372" i="38" s="1"/>
  <c r="V381" i="38" a="1"/>
  <c r="V381" i="38" s="1"/>
  <c r="V390" i="38" a="1"/>
  <c r="V390" i="38" s="1"/>
  <c r="V400" i="38" a="1"/>
  <c r="V400" i="38" s="1"/>
  <c r="V409" i="38" a="1"/>
  <c r="V409" i="38" s="1"/>
  <c r="V418" i="38" a="1"/>
  <c r="V418" i="38" s="1"/>
  <c r="V427" i="38" a="1"/>
  <c r="V427" i="38" s="1"/>
  <c r="V436" i="38" a="1"/>
  <c r="V436" i="38" s="1"/>
  <c r="V445" i="38" a="1"/>
  <c r="V445" i="38" s="1"/>
  <c r="V454" i="38" a="1"/>
  <c r="V454" i="38" s="1"/>
  <c r="V464" i="38" a="1"/>
  <c r="V464" i="38" s="1"/>
  <c r="V473" i="38" a="1"/>
  <c r="V473" i="38" s="1"/>
  <c r="V482" i="38" a="1"/>
  <c r="V482" i="38" s="1"/>
  <c r="V491" i="38" a="1"/>
  <c r="V491" i="38" s="1"/>
  <c r="V500" i="38" a="1"/>
  <c r="V500" i="38" s="1"/>
  <c r="V509" i="38" a="1"/>
  <c r="V509" i="38" s="1"/>
  <c r="V518" i="38" a="1"/>
  <c r="V518" i="38" s="1"/>
  <c r="W35" i="38" a="1"/>
  <c r="W35" i="38" s="1"/>
  <c r="W52" i="38" a="1"/>
  <c r="W52" i="38" s="1"/>
  <c r="W82" i="38" a="1"/>
  <c r="W82" i="38" s="1"/>
  <c r="W94" i="38" a="1"/>
  <c r="W94" i="38" s="1"/>
  <c r="W105" i="38" a="1"/>
  <c r="W105" i="38" s="1"/>
  <c r="W116" i="38" a="1"/>
  <c r="W116" i="38" s="1"/>
  <c r="W130" i="38" a="1"/>
  <c r="W130" i="38" s="1"/>
  <c r="W142" i="38" a="1"/>
  <c r="W142" i="38" s="1"/>
  <c r="W166" i="38" a="1"/>
  <c r="W166" i="38" s="1"/>
  <c r="W177" i="38" a="1"/>
  <c r="W177" i="38" s="1"/>
  <c r="W201" i="38" a="1"/>
  <c r="W201" i="38" s="1"/>
  <c r="W214" i="38" a="1"/>
  <c r="W214" i="38" s="1"/>
  <c r="W238" i="38" a="1"/>
  <c r="W238" i="38" s="1"/>
  <c r="W260" i="38" a="1"/>
  <c r="W260" i="38" s="1"/>
  <c r="W284" i="38" a="1"/>
  <c r="W284" i="38" s="1"/>
  <c r="W308" i="38" a="1"/>
  <c r="W308" i="38" s="1"/>
  <c r="W321" i="38" a="1"/>
  <c r="W321" i="38" s="1"/>
  <c r="W344" i="38" a="1"/>
  <c r="W344" i="38" s="1"/>
  <c r="W368" i="38" a="1"/>
  <c r="W368" i="38" s="1"/>
  <c r="W67" i="38" a="1"/>
  <c r="W67" i="38" s="1"/>
  <c r="W153" i="38" a="1"/>
  <c r="W153" i="38" s="1"/>
  <c r="W188" i="38" a="1"/>
  <c r="W188" i="38" s="1"/>
  <c r="W225" i="38" a="1"/>
  <c r="W225" i="38" s="1"/>
  <c r="W249" i="38" a="1"/>
  <c r="W249" i="38" s="1"/>
  <c r="W272" i="38" a="1"/>
  <c r="W272" i="38" s="1"/>
  <c r="W297" i="38" a="1"/>
  <c r="W297" i="38" s="1"/>
  <c r="W332" i="38" a="1"/>
  <c r="W332" i="38" s="1"/>
  <c r="W356" i="38" a="1"/>
  <c r="W356" i="38" s="1"/>
  <c r="W380" i="38" a="1"/>
  <c r="W380" i="38" s="1"/>
  <c r="V521" i="38" a="1"/>
  <c r="V521" i="38" s="1"/>
  <c r="V505" i="38" a="1"/>
  <c r="V505" i="38" s="1"/>
  <c r="V492" i="38" a="1"/>
  <c r="V492" i="38" s="1"/>
  <c r="V476" i="38" a="1"/>
  <c r="V476" i="38" s="1"/>
  <c r="V460" i="38" a="1"/>
  <c r="V460" i="38" s="1"/>
  <c r="V448" i="38" a="1"/>
  <c r="V448" i="38" s="1"/>
  <c r="V432" i="38" a="1"/>
  <c r="V432" i="38" s="1"/>
  <c r="V419" i="38" a="1"/>
  <c r="V419" i="38" s="1"/>
  <c r="V403" i="38" a="1"/>
  <c r="V403" i="38" s="1"/>
  <c r="V387" i="38" a="1"/>
  <c r="V387" i="38" s="1"/>
  <c r="V374" i="38" a="1"/>
  <c r="V374" i="38" s="1"/>
  <c r="V358" i="38" a="1"/>
  <c r="V358" i="38" s="1"/>
  <c r="V346" i="38" a="1"/>
  <c r="V346" i="38" s="1"/>
  <c r="V330" i="38" a="1"/>
  <c r="V330" i="38" s="1"/>
  <c r="V314" i="38" a="1"/>
  <c r="V314" i="38" s="1"/>
  <c r="V301" i="38" a="1"/>
  <c r="V301" i="38" s="1"/>
  <c r="V285" i="38" a="1"/>
  <c r="V285" i="38" s="1"/>
  <c r="V273" i="38" a="1"/>
  <c r="V273" i="38" s="1"/>
  <c r="V257" i="38" a="1"/>
  <c r="V257" i="38" s="1"/>
  <c r="V241" i="38" a="1"/>
  <c r="V241" i="38" s="1"/>
  <c r="V227" i="38" a="1"/>
  <c r="V227" i="38" s="1"/>
  <c r="V208" i="38" a="1"/>
  <c r="V208" i="38" s="1"/>
  <c r="V195" i="38" a="1"/>
  <c r="V195" i="38" s="1"/>
  <c r="V176" i="38" a="1"/>
  <c r="V176" i="38" s="1"/>
  <c r="V158" i="38" a="1"/>
  <c r="V158" i="38" s="1"/>
  <c r="V143" i="38" a="1"/>
  <c r="V143" i="38" s="1"/>
  <c r="V125" i="38" a="1"/>
  <c r="V125" i="38" s="1"/>
  <c r="V110" i="38" a="1"/>
  <c r="V110" i="38" s="1"/>
  <c r="V92" i="38" a="1"/>
  <c r="V92" i="38" s="1"/>
  <c r="V74" i="38" a="1"/>
  <c r="V74" i="38" s="1"/>
  <c r="V60" i="38" a="1"/>
  <c r="V60" i="38" s="1"/>
  <c r="V40" i="38" a="1"/>
  <c r="V40" i="38" s="1"/>
  <c r="W523" i="38" a="1"/>
  <c r="W523" i="38" s="1"/>
  <c r="W503" i="38" a="1"/>
  <c r="W503" i="38" s="1"/>
  <c r="W481" i="38" a="1"/>
  <c r="W481" i="38" s="1"/>
  <c r="W466" i="38" a="1"/>
  <c r="W466" i="38" s="1"/>
  <c r="W444" i="38" a="1"/>
  <c r="W444" i="38" s="1"/>
  <c r="W427" i="38" a="1"/>
  <c r="W427" i="38" s="1"/>
  <c r="W407" i="38" a="1"/>
  <c r="W407" i="38" s="1"/>
  <c r="W386" i="38" a="1"/>
  <c r="W386" i="38" s="1"/>
  <c r="W362" i="38" a="1"/>
  <c r="W362" i="38" s="1"/>
  <c r="W339" i="38" a="1"/>
  <c r="W339" i="38" s="1"/>
  <c r="W314" i="38" a="1"/>
  <c r="W314" i="38" s="1"/>
  <c r="W290" i="38" a="1"/>
  <c r="W290" i="38" s="1"/>
  <c r="W267" i="38" a="1"/>
  <c r="W267" i="38" s="1"/>
  <c r="W242" i="38" a="1"/>
  <c r="W242" i="38" s="1"/>
  <c r="W219" i="38" a="1"/>
  <c r="W219" i="38" s="1"/>
  <c r="W195" i="38" a="1"/>
  <c r="W195" i="38" s="1"/>
  <c r="W171" i="38" a="1"/>
  <c r="W171" i="38" s="1"/>
  <c r="W147" i="38" a="1"/>
  <c r="W147" i="38" s="1"/>
  <c r="W123" i="38" a="1"/>
  <c r="W123" i="38" s="1"/>
  <c r="W100" i="38" a="1"/>
  <c r="W100" i="38" s="1"/>
  <c r="W75" i="38" a="1"/>
  <c r="W75" i="38" s="1"/>
  <c r="W43" i="38" a="1"/>
  <c r="W43" i="38" s="1"/>
  <c r="V520" i="38" a="1"/>
  <c r="V520" i="38" s="1"/>
  <c r="V504" i="38" a="1"/>
  <c r="V504" i="38" s="1"/>
  <c r="V488" i="38" a="1"/>
  <c r="V488" i="38" s="1"/>
  <c r="V475" i="38" a="1"/>
  <c r="V475" i="38" s="1"/>
  <c r="V459" i="38" a="1"/>
  <c r="V459" i="38" s="1"/>
  <c r="V446" i="38" a="1"/>
  <c r="V446" i="38" s="1"/>
  <c r="V430" i="38" a="1"/>
  <c r="V430" i="38" s="1"/>
  <c r="V414" i="38" a="1"/>
  <c r="V414" i="38" s="1"/>
  <c r="V402" i="38" a="1"/>
  <c r="V402" i="38" s="1"/>
  <c r="V386" i="38" a="1"/>
  <c r="V386" i="38" s="1"/>
  <c r="V373" i="38" a="1"/>
  <c r="V373" i="38" s="1"/>
  <c r="V357" i="38" a="1"/>
  <c r="V357" i="38" s="1"/>
  <c r="V341" i="38" a="1"/>
  <c r="V341" i="38" s="1"/>
  <c r="V329" i="38" a="1"/>
  <c r="V329" i="38" s="1"/>
  <c r="V313" i="38" a="1"/>
  <c r="V313" i="38" s="1"/>
  <c r="V300" i="38" a="1"/>
  <c r="V300" i="38" s="1"/>
  <c r="V284" i="38" a="1"/>
  <c r="V284" i="38" s="1"/>
  <c r="V268" i="38" a="1"/>
  <c r="V268" i="38" s="1"/>
  <c r="V256" i="38" a="1"/>
  <c r="V256" i="38" s="1"/>
  <c r="V240" i="38" a="1"/>
  <c r="V240" i="38" s="1"/>
  <c r="V226" i="38" a="1"/>
  <c r="V226" i="38" s="1"/>
  <c r="V207" i="38" a="1"/>
  <c r="V207" i="38" s="1"/>
  <c r="V189" i="38" a="1"/>
  <c r="V189" i="38" s="1"/>
  <c r="V174" i="38" a="1"/>
  <c r="V174" i="38" s="1"/>
  <c r="V156" i="38" a="1"/>
  <c r="V156" i="38" s="1"/>
  <c r="V142" i="38" a="1"/>
  <c r="V142" i="38" s="1"/>
  <c r="V124" i="38" a="1"/>
  <c r="V124" i="38" s="1"/>
  <c r="V106" i="38" a="1"/>
  <c r="V106" i="38" s="1"/>
  <c r="V91" i="38" a="1"/>
  <c r="V91" i="38" s="1"/>
  <c r="V72" i="38" a="1"/>
  <c r="V72" i="38" s="1"/>
  <c r="V59" i="38" a="1"/>
  <c r="V59" i="38" s="1"/>
  <c r="V39" i="38" a="1"/>
  <c r="V39" i="38" s="1"/>
  <c r="W518" i="38" a="1"/>
  <c r="W518" i="38" s="1"/>
  <c r="W500" i="38" a="1"/>
  <c r="W500" i="38" s="1"/>
  <c r="W480" i="38" a="1"/>
  <c r="W480" i="38" s="1"/>
  <c r="W464" i="38" a="1"/>
  <c r="W464" i="38" s="1"/>
  <c r="W443" i="38" a="1"/>
  <c r="W443" i="38" s="1"/>
  <c r="W423" i="38" a="1"/>
  <c r="W423" i="38" s="1"/>
  <c r="W406" i="38" a="1"/>
  <c r="W406" i="38" s="1"/>
  <c r="W385" i="38" a="1"/>
  <c r="W385" i="38" s="1"/>
  <c r="W361" i="38" a="1"/>
  <c r="W361" i="38" s="1"/>
  <c r="W336" i="38" a="1"/>
  <c r="W336" i="38" s="1"/>
  <c r="W313" i="38" a="1"/>
  <c r="W313" i="38" s="1"/>
  <c r="W289" i="38" a="1"/>
  <c r="W289" i="38" s="1"/>
  <c r="W266" i="38" a="1"/>
  <c r="W266" i="38" s="1"/>
  <c r="W241" i="38" a="1"/>
  <c r="W241" i="38" s="1"/>
  <c r="W217" i="38" a="1"/>
  <c r="W217" i="38" s="1"/>
  <c r="W194" i="38" a="1"/>
  <c r="W194" i="38" s="1"/>
  <c r="W169" i="38" a="1"/>
  <c r="W169" i="38" s="1"/>
  <c r="W146" i="38" a="1"/>
  <c r="W146" i="38" s="1"/>
  <c r="W122" i="38" a="1"/>
  <c r="W122" i="38" s="1"/>
  <c r="W98" i="38" a="1"/>
  <c r="W98" i="38" s="1"/>
  <c r="W74" i="38" a="1"/>
  <c r="W74" i="38" s="1"/>
  <c r="W42" i="38" a="1"/>
  <c r="W42" i="38" s="1"/>
  <c r="W45" i="41" a="1"/>
  <c r="W45" i="41" s="1"/>
  <c r="AA45" i="41" s="1" a="1"/>
  <c r="AA45" i="41" s="1"/>
  <c r="W53" i="41" a="1"/>
  <c r="W53" i="41" s="1"/>
  <c r="AA53" i="41" s="1" a="1"/>
  <c r="AA53" i="41" s="1"/>
  <c r="W61" i="41" a="1"/>
  <c r="W61" i="41" s="1"/>
  <c r="AA61" i="41" s="1" a="1"/>
  <c r="AA61" i="41" s="1"/>
  <c r="W18" i="41" a="1"/>
  <c r="W18" i="41" s="1"/>
  <c r="W26" i="41" a="1"/>
  <c r="W26" i="41" s="1"/>
  <c r="W34" i="41" a="1"/>
  <c r="W34" i="41" s="1"/>
  <c r="W17" i="40" a="1"/>
  <c r="W17" i="40" s="1"/>
  <c r="AA17" i="40" s="1" a="1"/>
  <c r="AA17" i="40" s="1"/>
  <c r="W25" i="40" a="1"/>
  <c r="W25" i="40" s="1"/>
  <c r="AA25" i="40" s="1" a="1"/>
  <c r="AA25" i="40" s="1"/>
  <c r="W33" i="40" a="1"/>
  <c r="W33" i="40" s="1"/>
  <c r="AA33" i="40" s="1" a="1"/>
  <c r="AA33" i="40" s="1"/>
  <c r="W41" i="40" a="1"/>
  <c r="W41" i="40" s="1"/>
  <c r="AA41" i="40" s="1" a="1"/>
  <c r="AA41" i="40" s="1"/>
  <c r="W49" i="40" a="1"/>
  <c r="W49" i="40" s="1"/>
  <c r="AA49" i="40" s="1" a="1"/>
  <c r="AA49" i="40" s="1"/>
  <c r="W57" i="40" a="1"/>
  <c r="W57" i="40" s="1"/>
  <c r="AA57" i="40" s="1" a="1"/>
  <c r="AA57" i="40" s="1"/>
  <c r="W65" i="40" a="1"/>
  <c r="W65" i="40" s="1"/>
  <c r="AA65" i="40" s="1" a="1"/>
  <c r="AA65" i="40" s="1"/>
  <c r="W73" i="40" a="1"/>
  <c r="W73" i="40" s="1"/>
  <c r="AA73" i="40" s="1" a="1"/>
  <c r="AA73" i="40" s="1"/>
  <c r="W81" i="40" a="1"/>
  <c r="W81" i="40" s="1"/>
  <c r="AA81" i="40" s="1" a="1"/>
  <c r="AA81" i="40" s="1"/>
  <c r="W89" i="40" a="1"/>
  <c r="W89" i="40" s="1"/>
  <c r="AA89" i="40" s="1" a="1"/>
  <c r="AA89" i="40" s="1"/>
  <c r="W97" i="40" a="1"/>
  <c r="W97" i="40" s="1"/>
  <c r="AA97" i="40" s="1" a="1"/>
  <c r="AA97" i="40" s="1"/>
  <c r="W105" i="40" a="1"/>
  <c r="W105" i="40" s="1"/>
  <c r="AA105" i="40" s="1" a="1"/>
  <c r="AA105" i="40" s="1"/>
  <c r="W113" i="40" a="1"/>
  <c r="W113" i="40" s="1"/>
  <c r="AA113" i="40" s="1" a="1"/>
  <c r="AA113" i="40" s="1"/>
  <c r="W121" i="40" a="1"/>
  <c r="W121" i="40" s="1"/>
  <c r="AA121" i="40" s="1" a="1"/>
  <c r="AA121" i="40" s="1"/>
  <c r="W129" i="40" a="1"/>
  <c r="W129" i="40" s="1"/>
  <c r="AA129" i="40" s="1" a="1"/>
  <c r="AA129" i="40" s="1"/>
  <c r="W46" i="41" a="1"/>
  <c r="W46" i="41" s="1"/>
  <c r="AA46" i="41" s="1" a="1"/>
  <c r="AA46" i="41" s="1"/>
  <c r="W54" i="41" a="1"/>
  <c r="W54" i="41" s="1"/>
  <c r="AA54" i="41" s="1" a="1"/>
  <c r="AA54" i="41" s="1"/>
  <c r="W19" i="41" a="1"/>
  <c r="W19" i="41" s="1"/>
  <c r="W27" i="41" a="1"/>
  <c r="W27" i="41" s="1"/>
  <c r="W35" i="41" a="1"/>
  <c r="W35" i="41" s="1"/>
  <c r="W18" i="40" a="1"/>
  <c r="W18" i="40" s="1"/>
  <c r="AA18" i="40" s="1" a="1"/>
  <c r="AA18" i="40" s="1"/>
  <c r="W26" i="40" a="1"/>
  <c r="W26" i="40" s="1"/>
  <c r="AA26" i="40" s="1" a="1"/>
  <c r="AA26" i="40" s="1"/>
  <c r="W34" i="40" a="1"/>
  <c r="W34" i="40" s="1"/>
  <c r="AA34" i="40" s="1" a="1"/>
  <c r="AA34" i="40" s="1"/>
  <c r="W42" i="40" a="1"/>
  <c r="W42" i="40" s="1"/>
  <c r="AA42" i="40" s="1" a="1"/>
  <c r="AA42" i="40" s="1"/>
  <c r="W50" i="40" a="1"/>
  <c r="W50" i="40" s="1"/>
  <c r="AA50" i="40" s="1" a="1"/>
  <c r="AA50" i="40" s="1"/>
  <c r="W58" i="40" a="1"/>
  <c r="W58" i="40" s="1"/>
  <c r="AA58" i="40" s="1" a="1"/>
  <c r="AA58" i="40" s="1"/>
  <c r="W66" i="40" a="1"/>
  <c r="W66" i="40" s="1"/>
  <c r="AA66" i="40" s="1" a="1"/>
  <c r="AA66" i="40" s="1"/>
  <c r="W74" i="40" a="1"/>
  <c r="W74" i="40" s="1"/>
  <c r="AA74" i="40" s="1" a="1"/>
  <c r="AA74" i="40" s="1"/>
  <c r="W82" i="40" a="1"/>
  <c r="W82" i="40" s="1"/>
  <c r="AA82" i="40" s="1" a="1"/>
  <c r="AA82" i="40" s="1"/>
  <c r="W90" i="40" a="1"/>
  <c r="W90" i="40" s="1"/>
  <c r="AA90" i="40" s="1" a="1"/>
  <c r="AA90" i="40" s="1"/>
  <c r="W98" i="40" a="1"/>
  <c r="W98" i="40" s="1"/>
  <c r="AA98" i="40" s="1" a="1"/>
  <c r="AA98" i="40" s="1"/>
  <c r="W106" i="40" a="1"/>
  <c r="W106" i="40" s="1"/>
  <c r="AA106" i="40" s="1" a="1"/>
  <c r="AA106" i="40" s="1"/>
  <c r="W114" i="40" a="1"/>
  <c r="W114" i="40" s="1"/>
  <c r="AA114" i="40" s="1" a="1"/>
  <c r="AA114" i="40" s="1"/>
  <c r="W122" i="40" a="1"/>
  <c r="W122" i="40" s="1"/>
  <c r="AA122" i="40" s="1" a="1"/>
  <c r="AA122" i="40" s="1"/>
  <c r="W130" i="40" a="1"/>
  <c r="W130" i="40" s="1"/>
  <c r="AA130" i="40" s="1" a="1"/>
  <c r="AA130" i="40" s="1"/>
  <c r="W138" i="40" a="1"/>
  <c r="W138" i="40" s="1"/>
  <c r="AA138" i="40" s="1" a="1"/>
  <c r="AA138" i="40" s="1"/>
  <c r="W146" i="40" a="1"/>
  <c r="W146" i="40" s="1"/>
  <c r="AA146" i="40" s="1" a="1"/>
  <c r="AA146" i="40" s="1"/>
  <c r="W154" i="40" a="1"/>
  <c r="W154" i="40" s="1"/>
  <c r="AA154" i="40" s="1" a="1"/>
  <c r="AA154" i="40" s="1"/>
  <c r="W162" i="40" a="1"/>
  <c r="W162" i="40" s="1"/>
  <c r="AA162" i="40" s="1" a="1"/>
  <c r="AA162" i="40" s="1"/>
  <c r="W170" i="40" a="1"/>
  <c r="W170" i="40" s="1"/>
  <c r="AA170" i="40" s="1" a="1"/>
  <c r="AA170" i="40" s="1"/>
  <c r="W178" i="40" a="1"/>
  <c r="W178" i="40" s="1"/>
  <c r="AA178" i="40" s="1" a="1"/>
  <c r="AA178" i="40" s="1"/>
  <c r="W186" i="40" a="1"/>
  <c r="W186" i="40" s="1"/>
  <c r="AA186" i="40" s="1" a="1"/>
  <c r="AA186" i="40" s="1"/>
  <c r="W194" i="40" a="1"/>
  <c r="W194" i="40" s="1"/>
  <c r="AA194" i="40" s="1" a="1"/>
  <c r="AA194" i="40" s="1"/>
  <c r="W202" i="40" a="1"/>
  <c r="W202" i="40" s="1"/>
  <c r="AA202" i="40" s="1" a="1"/>
  <c r="AA202" i="40" s="1"/>
  <c r="W210" i="40" a="1"/>
  <c r="W210" i="40" s="1"/>
  <c r="AA210" i="40" s="1" a="1"/>
  <c r="AA210" i="40" s="1"/>
  <c r="W218" i="40" a="1"/>
  <c r="W218" i="40" s="1"/>
  <c r="AA218" i="40" s="1" a="1"/>
  <c r="AA218" i="40" s="1"/>
  <c r="W226" i="40" a="1"/>
  <c r="W226" i="40" s="1"/>
  <c r="AA226" i="40" s="1" a="1"/>
  <c r="AA226" i="40" s="1"/>
  <c r="W234" i="40" a="1"/>
  <c r="W234" i="40" s="1"/>
  <c r="AA234" i="40" s="1" a="1"/>
  <c r="AA234" i="40" s="1"/>
  <c r="W242" i="40" a="1"/>
  <c r="W242" i="40" s="1"/>
  <c r="AA242" i="40" s="1" a="1"/>
  <c r="AA242" i="40" s="1"/>
  <c r="W250" i="40" a="1"/>
  <c r="W250" i="40" s="1"/>
  <c r="AA250" i="40" s="1" a="1"/>
  <c r="AA250" i="40" s="1"/>
  <c r="W258" i="40" a="1"/>
  <c r="W258" i="40" s="1"/>
  <c r="AA258" i="40" s="1" a="1"/>
  <c r="AA258" i="40" s="1"/>
  <c r="W266" i="40" a="1"/>
  <c r="W266" i="40" s="1"/>
  <c r="AA266" i="40" s="1" a="1"/>
  <c r="AA266" i="40" s="1"/>
  <c r="W274" i="40" a="1"/>
  <c r="W274" i="40" s="1"/>
  <c r="AA274" i="40" s="1" a="1"/>
  <c r="AA274" i="40" s="1"/>
  <c r="W282" i="40" a="1"/>
  <c r="W282" i="40" s="1"/>
  <c r="AA282" i="40" s="1" a="1"/>
  <c r="AA282" i="40" s="1"/>
  <c r="W290" i="40" a="1"/>
  <c r="W290" i="40" s="1"/>
  <c r="AA290" i="40" s="1" a="1"/>
  <c r="AA290" i="40" s="1"/>
  <c r="W298" i="40" a="1"/>
  <c r="W298" i="40" s="1"/>
  <c r="AA298" i="40" s="1" a="1"/>
  <c r="AA298" i="40" s="1"/>
  <c r="W306" i="40" a="1"/>
  <c r="W306" i="40" s="1"/>
  <c r="AA306" i="40" s="1" a="1"/>
  <c r="AA306" i="40" s="1"/>
  <c r="W314" i="40" a="1"/>
  <c r="W314" i="40" s="1"/>
  <c r="AA314" i="40" s="1" a="1"/>
  <c r="AA314" i="40" s="1"/>
  <c r="W322" i="40" a="1"/>
  <c r="W322" i="40" s="1"/>
  <c r="AA322" i="40" s="1" a="1"/>
  <c r="AA322" i="40" s="1"/>
  <c r="W330" i="40" a="1"/>
  <c r="W330" i="40" s="1"/>
  <c r="AA330" i="40" s="1" a="1"/>
  <c r="AA330" i="40" s="1"/>
  <c r="W338" i="40" a="1"/>
  <c r="W338" i="40" s="1"/>
  <c r="W346" i="40" a="1"/>
  <c r="W346" i="40" s="1"/>
  <c r="W354" i="40" a="1"/>
  <c r="W354" i="40" s="1"/>
  <c r="W362" i="40" a="1"/>
  <c r="W362" i="40" s="1"/>
  <c r="W370" i="40" a="1"/>
  <c r="W370" i="40" s="1"/>
  <c r="W378" i="40" a="1"/>
  <c r="W378" i="40" s="1"/>
  <c r="W386" i="40" a="1"/>
  <c r="W386" i="40" s="1"/>
  <c r="W394" i="40" a="1"/>
  <c r="W394" i="40" s="1"/>
  <c r="W402" i="40" a="1"/>
  <c r="W402" i="40" s="1"/>
  <c r="W410" i="40" a="1"/>
  <c r="W410" i="40" s="1"/>
  <c r="W418" i="40" a="1"/>
  <c r="W418" i="40" s="1"/>
  <c r="W426" i="40" a="1"/>
  <c r="W426" i="40" s="1"/>
  <c r="W434" i="40" a="1"/>
  <c r="W434" i="40" s="1"/>
  <c r="W442" i="40" a="1"/>
  <c r="W442" i="40" s="1"/>
  <c r="W450" i="40" a="1"/>
  <c r="W450" i="40" s="1"/>
  <c r="W458" i="40" a="1"/>
  <c r="W458" i="40" s="1"/>
  <c r="W466" i="40" a="1"/>
  <c r="W466" i="40" s="1"/>
  <c r="W474" i="40" a="1"/>
  <c r="W474" i="40" s="1"/>
  <c r="W482" i="40" a="1"/>
  <c r="W482" i="40" s="1"/>
  <c r="W490" i="40" a="1"/>
  <c r="W490" i="40" s="1"/>
  <c r="W498" i="40" a="1"/>
  <c r="W498" i="40" s="1"/>
  <c r="W506" i="40" a="1"/>
  <c r="W506" i="40" s="1"/>
  <c r="W514" i="40" a="1"/>
  <c r="W514" i="40" s="1"/>
  <c r="W49" i="41" a="1"/>
  <c r="W49" i="41" s="1"/>
  <c r="AA49" i="41" s="1" a="1"/>
  <c r="AA49" i="41" s="1"/>
  <c r="W59" i="41" a="1"/>
  <c r="W59" i="41" s="1"/>
  <c r="AA59" i="41" s="1" a="1"/>
  <c r="AA59" i="41" s="1"/>
  <c r="W17" i="41" a="1"/>
  <c r="W17" i="41" s="1"/>
  <c r="W29" i="41" a="1"/>
  <c r="W29" i="41" s="1"/>
  <c r="W24" i="40" a="1"/>
  <c r="W24" i="40" s="1"/>
  <c r="AA24" i="40" s="1" a="1"/>
  <c r="AA24" i="40" s="1"/>
  <c r="W36" i="40" a="1"/>
  <c r="W36" i="40" s="1"/>
  <c r="AA36" i="40" s="1" a="1"/>
  <c r="AA36" i="40" s="1"/>
  <c r="W46" i="40" a="1"/>
  <c r="W46" i="40" s="1"/>
  <c r="AA46" i="40" s="1" a="1"/>
  <c r="AA46" i="40" s="1"/>
  <c r="W56" i="40" a="1"/>
  <c r="W56" i="40" s="1"/>
  <c r="AA56" i="40" s="1" a="1"/>
  <c r="AA56" i="40" s="1"/>
  <c r="W68" i="40" a="1"/>
  <c r="W68" i="40" s="1"/>
  <c r="AA68" i="40" s="1" a="1"/>
  <c r="AA68" i="40" s="1"/>
  <c r="W78" i="40" a="1"/>
  <c r="W78" i="40" s="1"/>
  <c r="AA78" i="40" s="1" a="1"/>
  <c r="AA78" i="40" s="1"/>
  <c r="W88" i="40" a="1"/>
  <c r="W88" i="40" s="1"/>
  <c r="AA88" i="40" s="1" a="1"/>
  <c r="AA88" i="40" s="1"/>
  <c r="W100" i="40" a="1"/>
  <c r="W100" i="40" s="1"/>
  <c r="AA100" i="40" s="1" a="1"/>
  <c r="AA100" i="40" s="1"/>
  <c r="W110" i="40" a="1"/>
  <c r="W110" i="40" s="1"/>
  <c r="AA110" i="40" s="1" a="1"/>
  <c r="AA110" i="40" s="1"/>
  <c r="W120" i="40" a="1"/>
  <c r="W120" i="40" s="1"/>
  <c r="AA120" i="40" s="1" a="1"/>
  <c r="AA120" i="40" s="1"/>
  <c r="W132" i="40" a="1"/>
  <c r="W132" i="40" s="1"/>
  <c r="AA132" i="40" s="1" a="1"/>
  <c r="AA132" i="40" s="1"/>
  <c r="W141" i="40" a="1"/>
  <c r="W141" i="40" s="1"/>
  <c r="AA141" i="40" s="1" a="1"/>
  <c r="AA141" i="40" s="1"/>
  <c r="W150" i="40" a="1"/>
  <c r="W150" i="40" s="1"/>
  <c r="AA150" i="40" s="1" a="1"/>
  <c r="AA150" i="40" s="1"/>
  <c r="W159" i="40" a="1"/>
  <c r="W159" i="40" s="1"/>
  <c r="AA159" i="40" s="1" a="1"/>
  <c r="AA159" i="40" s="1"/>
  <c r="W168" i="40" a="1"/>
  <c r="W168" i="40" s="1"/>
  <c r="AA168" i="40" s="1" a="1"/>
  <c r="AA168" i="40" s="1"/>
  <c r="W177" i="40" a="1"/>
  <c r="W177" i="40" s="1"/>
  <c r="AA177" i="40" s="1" a="1"/>
  <c r="AA177" i="40" s="1"/>
  <c r="W187" i="40" a="1"/>
  <c r="W187" i="40" s="1"/>
  <c r="AA187" i="40" s="1" a="1"/>
  <c r="AA187" i="40" s="1"/>
  <c r="W196" i="40" a="1"/>
  <c r="W196" i="40" s="1"/>
  <c r="AA196" i="40" s="1" a="1"/>
  <c r="AA196" i="40" s="1"/>
  <c r="W205" i="40" a="1"/>
  <c r="W205" i="40" s="1"/>
  <c r="AA205" i="40" s="1" a="1"/>
  <c r="AA205" i="40" s="1"/>
  <c r="W214" i="40" a="1"/>
  <c r="W214" i="40" s="1"/>
  <c r="AA214" i="40" s="1" a="1"/>
  <c r="AA214" i="40" s="1"/>
  <c r="W223" i="40" a="1"/>
  <c r="W223" i="40" s="1"/>
  <c r="AA223" i="40" s="1" a="1"/>
  <c r="AA223" i="40" s="1"/>
  <c r="W232" i="40" a="1"/>
  <c r="W232" i="40" s="1"/>
  <c r="AA232" i="40" s="1" a="1"/>
  <c r="AA232" i="40" s="1"/>
  <c r="W241" i="40" a="1"/>
  <c r="W241" i="40" s="1"/>
  <c r="AA241" i="40" s="1" a="1"/>
  <c r="AA241" i="40" s="1"/>
  <c r="W251" i="40" a="1"/>
  <c r="W251" i="40" s="1"/>
  <c r="AA251" i="40" s="1" a="1"/>
  <c r="AA251" i="40" s="1"/>
  <c r="W260" i="40" a="1"/>
  <c r="W260" i="40" s="1"/>
  <c r="AA260" i="40" s="1" a="1"/>
  <c r="AA260" i="40" s="1"/>
  <c r="W269" i="40" a="1"/>
  <c r="W269" i="40" s="1"/>
  <c r="AA269" i="40" s="1" a="1"/>
  <c r="AA269" i="40" s="1"/>
  <c r="W278" i="40" a="1"/>
  <c r="W278" i="40" s="1"/>
  <c r="AA278" i="40" s="1" a="1"/>
  <c r="AA278" i="40" s="1"/>
  <c r="W287" i="40" a="1"/>
  <c r="W287" i="40" s="1"/>
  <c r="AA287" i="40" s="1" a="1"/>
  <c r="AA287" i="40" s="1"/>
  <c r="W296" i="40" a="1"/>
  <c r="W296" i="40" s="1"/>
  <c r="AA296" i="40" s="1" a="1"/>
  <c r="AA296" i="40" s="1"/>
  <c r="W305" i="40" a="1"/>
  <c r="W305" i="40" s="1"/>
  <c r="AA305" i="40" s="1" a="1"/>
  <c r="AA305" i="40" s="1"/>
  <c r="W315" i="40" a="1"/>
  <c r="W315" i="40" s="1"/>
  <c r="AA315" i="40" s="1" a="1"/>
  <c r="AA315" i="40" s="1"/>
  <c r="W324" i="40" a="1"/>
  <c r="W324" i="40" s="1"/>
  <c r="AA324" i="40" s="1" a="1"/>
  <c r="AA324" i="40" s="1"/>
  <c r="W333" i="40" a="1"/>
  <c r="W333" i="40" s="1"/>
  <c r="W342" i="40" a="1"/>
  <c r="W342" i="40" s="1"/>
  <c r="W351" i="40" a="1"/>
  <c r="W351" i="40" s="1"/>
  <c r="W360" i="40" a="1"/>
  <c r="W360" i="40" s="1"/>
  <c r="W369" i="40" a="1"/>
  <c r="W369" i="40" s="1"/>
  <c r="W379" i="40" a="1"/>
  <c r="W379" i="40" s="1"/>
  <c r="W388" i="40" a="1"/>
  <c r="W388" i="40" s="1"/>
  <c r="W397" i="40" a="1"/>
  <c r="W397" i="40" s="1"/>
  <c r="W406" i="40" a="1"/>
  <c r="W406" i="40" s="1"/>
  <c r="W415" i="40" a="1"/>
  <c r="W415" i="40" s="1"/>
  <c r="W424" i="40" a="1"/>
  <c r="W424" i="40" s="1"/>
  <c r="W433" i="40" a="1"/>
  <c r="W433" i="40" s="1"/>
  <c r="W443" i="40" a="1"/>
  <c r="W443" i="40" s="1"/>
  <c r="W452" i="40" a="1"/>
  <c r="W452" i="40" s="1"/>
  <c r="W461" i="40" a="1"/>
  <c r="W461" i="40" s="1"/>
  <c r="W470" i="40" a="1"/>
  <c r="W470" i="40" s="1"/>
  <c r="W479" i="40" a="1"/>
  <c r="W479" i="40" s="1"/>
  <c r="W488" i="40" a="1"/>
  <c r="W488" i="40" s="1"/>
  <c r="W497" i="40" a="1"/>
  <c r="W497" i="40" s="1"/>
  <c r="W507" i="40" a="1"/>
  <c r="W507" i="40" s="1"/>
  <c r="W50" i="41" a="1"/>
  <c r="W50" i="41" s="1"/>
  <c r="AA50" i="41" s="1" a="1"/>
  <c r="AA50" i="41" s="1"/>
  <c r="W60" i="41" a="1"/>
  <c r="W60" i="41" s="1"/>
  <c r="AA60" i="41" s="1" a="1"/>
  <c r="AA60" i="41" s="1"/>
  <c r="W20" i="41" a="1"/>
  <c r="W20" i="41" s="1"/>
  <c r="W30" i="41" a="1"/>
  <c r="W30" i="41" s="1"/>
  <c r="W15" i="40" a="1"/>
  <c r="W15" i="40" s="1"/>
  <c r="AA15" i="40" s="1" a="1"/>
  <c r="AA15" i="40" s="1"/>
  <c r="W27" i="40" a="1"/>
  <c r="W27" i="40" s="1"/>
  <c r="AA27" i="40" s="1" a="1"/>
  <c r="AA27" i="40" s="1"/>
  <c r="W37" i="40" a="1"/>
  <c r="W37" i="40" s="1"/>
  <c r="AA37" i="40" s="1" a="1"/>
  <c r="AA37" i="40" s="1"/>
  <c r="W47" i="40" a="1"/>
  <c r="W47" i="40" s="1"/>
  <c r="AA47" i="40" s="1" a="1"/>
  <c r="AA47" i="40" s="1"/>
  <c r="W59" i="40" a="1"/>
  <c r="W59" i="40" s="1"/>
  <c r="AA59" i="40" s="1" a="1"/>
  <c r="AA59" i="40" s="1"/>
  <c r="W69" i="40" a="1"/>
  <c r="W69" i="40" s="1"/>
  <c r="AA69" i="40" s="1" a="1"/>
  <c r="AA69" i="40" s="1"/>
  <c r="W79" i="40" a="1"/>
  <c r="W79" i="40" s="1"/>
  <c r="AA79" i="40" s="1" a="1"/>
  <c r="AA79" i="40" s="1"/>
  <c r="W91" i="40" a="1"/>
  <c r="W91" i="40" s="1"/>
  <c r="AA91" i="40" s="1" a="1"/>
  <c r="AA91" i="40" s="1"/>
  <c r="W101" i="40" a="1"/>
  <c r="W101" i="40" s="1"/>
  <c r="AA101" i="40" s="1" a="1"/>
  <c r="AA101" i="40" s="1"/>
  <c r="W111" i="40" a="1"/>
  <c r="W111" i="40" s="1"/>
  <c r="AA111" i="40" s="1" a="1"/>
  <c r="AA111" i="40" s="1"/>
  <c r="W123" i="40" a="1"/>
  <c r="W123" i="40" s="1"/>
  <c r="AA123" i="40" s="1" a="1"/>
  <c r="AA123" i="40" s="1"/>
  <c r="W133" i="40" a="1"/>
  <c r="W133" i="40" s="1"/>
  <c r="AA133" i="40" s="1" a="1"/>
  <c r="AA133" i="40" s="1"/>
  <c r="W142" i="40" a="1"/>
  <c r="W142" i="40" s="1"/>
  <c r="AA142" i="40" s="1" a="1"/>
  <c r="AA142" i="40" s="1"/>
  <c r="W51" i="41" a="1"/>
  <c r="W51" i="41" s="1"/>
  <c r="AA51" i="41" s="1" a="1"/>
  <c r="AA51" i="41" s="1"/>
  <c r="W25" i="41" a="1"/>
  <c r="W25" i="41" s="1"/>
  <c r="W29" i="40" a="1"/>
  <c r="W29" i="40" s="1"/>
  <c r="AA29" i="40" s="1" a="1"/>
  <c r="AA29" i="40" s="1"/>
  <c r="W43" i="40" a="1"/>
  <c r="W43" i="40" s="1"/>
  <c r="AA43" i="40" s="1" a="1"/>
  <c r="AA43" i="40" s="1"/>
  <c r="W55" i="40" a="1"/>
  <c r="W55" i="40" s="1"/>
  <c r="AA55" i="40" s="1" a="1"/>
  <c r="AA55" i="40" s="1"/>
  <c r="W71" i="40" a="1"/>
  <c r="W71" i="40" s="1"/>
  <c r="AA71" i="40" s="1" a="1"/>
  <c r="AA71" i="40" s="1"/>
  <c r="W85" i="40" a="1"/>
  <c r="W85" i="40" s="1"/>
  <c r="AA85" i="40" s="1" a="1"/>
  <c r="AA85" i="40" s="1"/>
  <c r="W99" i="40" a="1"/>
  <c r="W99" i="40" s="1"/>
  <c r="AA99" i="40" s="1" a="1"/>
  <c r="AA99" i="40" s="1"/>
  <c r="W115" i="40" a="1"/>
  <c r="W115" i="40" s="1"/>
  <c r="AA115" i="40" s="1" a="1"/>
  <c r="AA115" i="40" s="1"/>
  <c r="W127" i="40" a="1"/>
  <c r="W127" i="40" s="1"/>
  <c r="AA127" i="40" s="1" a="1"/>
  <c r="AA127" i="40" s="1"/>
  <c r="W140" i="40" a="1"/>
  <c r="W140" i="40" s="1"/>
  <c r="AA140" i="40" s="1" a="1"/>
  <c r="AA140" i="40" s="1"/>
  <c r="W152" i="40" a="1"/>
  <c r="W152" i="40" s="1"/>
  <c r="AA152" i="40" s="1" a="1"/>
  <c r="AA152" i="40" s="1"/>
  <c r="W163" i="40" a="1"/>
  <c r="W163" i="40" s="1"/>
  <c r="AA163" i="40" s="1" a="1"/>
  <c r="AA163" i="40" s="1"/>
  <c r="W173" i="40" a="1"/>
  <c r="W173" i="40" s="1"/>
  <c r="AA173" i="40" s="1" a="1"/>
  <c r="AA173" i="40" s="1"/>
  <c r="W183" i="40" a="1"/>
  <c r="W183" i="40" s="1"/>
  <c r="AA183" i="40" s="1" a="1"/>
  <c r="AA183" i="40" s="1"/>
  <c r="W193" i="40" a="1"/>
  <c r="W193" i="40" s="1"/>
  <c r="AA193" i="40" s="1" a="1"/>
  <c r="AA193" i="40" s="1"/>
  <c r="W204" i="40" a="1"/>
  <c r="W204" i="40" s="1"/>
  <c r="AA204" i="40" s="1" a="1"/>
  <c r="AA204" i="40" s="1"/>
  <c r="W215" i="40" a="1"/>
  <c r="W215" i="40" s="1"/>
  <c r="AA215" i="40" s="1" a="1"/>
  <c r="AA215" i="40" s="1"/>
  <c r="W225" i="40" a="1"/>
  <c r="W225" i="40" s="1"/>
  <c r="AA225" i="40" s="1" a="1"/>
  <c r="AA225" i="40" s="1"/>
  <c r="W236" i="40" a="1"/>
  <c r="W236" i="40" s="1"/>
  <c r="AA236" i="40" s="1" a="1"/>
  <c r="AA236" i="40" s="1"/>
  <c r="W246" i="40" a="1"/>
  <c r="W246" i="40" s="1"/>
  <c r="AA246" i="40" s="1" a="1"/>
  <c r="AA246" i="40" s="1"/>
  <c r="W256" i="40" a="1"/>
  <c r="W256" i="40" s="1"/>
  <c r="AA256" i="40" s="1" a="1"/>
  <c r="AA256" i="40" s="1"/>
  <c r="W267" i="40" a="1"/>
  <c r="W267" i="40" s="1"/>
  <c r="AA267" i="40" s="1" a="1"/>
  <c r="AA267" i="40" s="1"/>
  <c r="W277" i="40" a="1"/>
  <c r="W277" i="40" s="1"/>
  <c r="AA277" i="40" s="1" a="1"/>
  <c r="AA277" i="40" s="1"/>
  <c r="W288" i="40" a="1"/>
  <c r="W288" i="40" s="1"/>
  <c r="AA288" i="40" s="1" a="1"/>
  <c r="AA288" i="40" s="1"/>
  <c r="W299" i="40" a="1"/>
  <c r="W299" i="40" s="1"/>
  <c r="AA299" i="40" s="1" a="1"/>
  <c r="AA299" i="40" s="1"/>
  <c r="W309" i="40" a="1"/>
  <c r="W309" i="40" s="1"/>
  <c r="AA309" i="40" s="1" a="1"/>
  <c r="AA309" i="40" s="1"/>
  <c r="W319" i="40" a="1"/>
  <c r="W319" i="40" s="1"/>
  <c r="AA319" i="40" s="1" a="1"/>
  <c r="AA319" i="40" s="1"/>
  <c r="W329" i="40" a="1"/>
  <c r="W329" i="40" s="1"/>
  <c r="AA329" i="40" s="1" a="1"/>
  <c r="AA329" i="40" s="1"/>
  <c r="W340" i="40" a="1"/>
  <c r="W340" i="40" s="1"/>
  <c r="W350" i="40" a="1"/>
  <c r="W350" i="40" s="1"/>
  <c r="W361" i="40" a="1"/>
  <c r="W361" i="40" s="1"/>
  <c r="W372" i="40" a="1"/>
  <c r="W372" i="40" s="1"/>
  <c r="W382" i="40" a="1"/>
  <c r="W382" i="40" s="1"/>
  <c r="W392" i="40" a="1"/>
  <c r="W392" i="40" s="1"/>
  <c r="W403" i="40" a="1"/>
  <c r="W403" i="40" s="1"/>
  <c r="W413" i="40" a="1"/>
  <c r="W413" i="40" s="1"/>
  <c r="W423" i="40" a="1"/>
  <c r="W423" i="40" s="1"/>
  <c r="W435" i="40" a="1"/>
  <c r="W435" i="40" s="1"/>
  <c r="W445" i="40" a="1"/>
  <c r="W445" i="40" s="1"/>
  <c r="W455" i="40" a="1"/>
  <c r="W455" i="40" s="1"/>
  <c r="W465" i="40" a="1"/>
  <c r="W465" i="40" s="1"/>
  <c r="W476" i="40" a="1"/>
  <c r="W476" i="40" s="1"/>
  <c r="W486" i="40" a="1"/>
  <c r="W486" i="40" s="1"/>
  <c r="W496" i="40" a="1"/>
  <c r="W496" i="40" s="1"/>
  <c r="W508" i="40" a="1"/>
  <c r="W508" i="40" s="1"/>
  <c r="W52" i="41" a="1"/>
  <c r="W52" i="41" s="1"/>
  <c r="AA52" i="41" s="1" a="1"/>
  <c r="AA52" i="41" s="1"/>
  <c r="W28" i="41" a="1"/>
  <c r="W28" i="41" s="1"/>
  <c r="AA28" i="41" s="1" a="1"/>
  <c r="AA28" i="41" s="1"/>
  <c r="W16" i="40" a="1"/>
  <c r="W16" i="40" s="1"/>
  <c r="AA16" i="40" s="1" a="1"/>
  <c r="AA16" i="40" s="1"/>
  <c r="W30" i="40" a="1"/>
  <c r="W30" i="40" s="1"/>
  <c r="AA30" i="40" s="1" a="1"/>
  <c r="AA30" i="40" s="1"/>
  <c r="W44" i="40" a="1"/>
  <c r="W44" i="40" s="1"/>
  <c r="AA44" i="40" s="1" a="1"/>
  <c r="AA44" i="40" s="1"/>
  <c r="W60" i="40" a="1"/>
  <c r="W60" i="40" s="1"/>
  <c r="AA60" i="40" s="1" a="1"/>
  <c r="AA60" i="40" s="1"/>
  <c r="W72" i="40" a="1"/>
  <c r="W72" i="40" s="1"/>
  <c r="AA72" i="40" s="1" a="1"/>
  <c r="AA72" i="40" s="1"/>
  <c r="W86" i="40" a="1"/>
  <c r="W86" i="40" s="1"/>
  <c r="AA86" i="40" s="1" a="1"/>
  <c r="AA86" i="40" s="1"/>
  <c r="W102" i="40" a="1"/>
  <c r="W102" i="40" s="1"/>
  <c r="AA102" i="40" s="1" a="1"/>
  <c r="AA102" i="40" s="1"/>
  <c r="W116" i="40" a="1"/>
  <c r="W116" i="40" s="1"/>
  <c r="AA116" i="40" s="1" a="1"/>
  <c r="AA116" i="40" s="1"/>
  <c r="W128" i="40" a="1"/>
  <c r="W128" i="40" s="1"/>
  <c r="AA128" i="40" s="1" a="1"/>
  <c r="AA128" i="40" s="1"/>
  <c r="W143" i="40" a="1"/>
  <c r="W143" i="40" s="1"/>
  <c r="AA143" i="40" s="1" a="1"/>
  <c r="AA143" i="40" s="1"/>
  <c r="W153" i="40" a="1"/>
  <c r="W153" i="40" s="1"/>
  <c r="AA153" i="40" s="1" a="1"/>
  <c r="AA153" i="40" s="1"/>
  <c r="W164" i="40" a="1"/>
  <c r="W164" i="40" s="1"/>
  <c r="AA164" i="40" s="1" a="1"/>
  <c r="AA164" i="40" s="1"/>
  <c r="W174" i="40" a="1"/>
  <c r="W174" i="40" s="1"/>
  <c r="AA174" i="40" s="1" a="1"/>
  <c r="AA174" i="40" s="1"/>
  <c r="W184" i="40" a="1"/>
  <c r="W184" i="40" s="1"/>
  <c r="AA184" i="40" s="1" a="1"/>
  <c r="AA184" i="40" s="1"/>
  <c r="W195" i="40" a="1"/>
  <c r="W195" i="40" s="1"/>
  <c r="AA195" i="40" s="1" a="1"/>
  <c r="AA195" i="40" s="1"/>
  <c r="W206" i="40" a="1"/>
  <c r="W206" i="40" s="1"/>
  <c r="AA206" i="40" s="1" a="1"/>
  <c r="AA206" i="40" s="1"/>
  <c r="W216" i="40" a="1"/>
  <c r="W216" i="40" s="1"/>
  <c r="AA216" i="40" s="1" a="1"/>
  <c r="AA216" i="40" s="1"/>
  <c r="W227" i="40" a="1"/>
  <c r="W227" i="40" s="1"/>
  <c r="AA227" i="40" s="1" a="1"/>
  <c r="AA227" i="40" s="1"/>
  <c r="W237" i="40" a="1"/>
  <c r="W237" i="40" s="1"/>
  <c r="AA237" i="40" s="1" a="1"/>
  <c r="AA237" i="40" s="1"/>
  <c r="W247" i="40" a="1"/>
  <c r="W247" i="40" s="1"/>
  <c r="AA247" i="40" s="1" a="1"/>
  <c r="AA247" i="40" s="1"/>
  <c r="W257" i="40" a="1"/>
  <c r="W257" i="40" s="1"/>
  <c r="AA257" i="40" s="1" a="1"/>
  <c r="AA257" i="40" s="1"/>
  <c r="W268" i="40" a="1"/>
  <c r="W268" i="40" s="1"/>
  <c r="AA268" i="40" s="1" a="1"/>
  <c r="AA268" i="40" s="1"/>
  <c r="W279" i="40" a="1"/>
  <c r="W279" i="40" s="1"/>
  <c r="AA279" i="40" s="1" a="1"/>
  <c r="AA279" i="40" s="1"/>
  <c r="W289" i="40" a="1"/>
  <c r="W289" i="40" s="1"/>
  <c r="AA289" i="40" s="1" a="1"/>
  <c r="AA289" i="40" s="1"/>
  <c r="W300" i="40" a="1"/>
  <c r="W300" i="40" s="1"/>
  <c r="AA300" i="40" s="1" a="1"/>
  <c r="AA300" i="40" s="1"/>
  <c r="W310" i="40" a="1"/>
  <c r="W310" i="40" s="1"/>
  <c r="AA310" i="40" s="1" a="1"/>
  <c r="AA310" i="40" s="1"/>
  <c r="W320" i="40" a="1"/>
  <c r="W320" i="40" s="1"/>
  <c r="AA320" i="40" s="1" a="1"/>
  <c r="AA320" i="40" s="1"/>
  <c r="W331" i="40" a="1"/>
  <c r="W331" i="40" s="1"/>
  <c r="AA331" i="40" s="1" a="1"/>
  <c r="AA331" i="40" s="1"/>
  <c r="W341" i="40" a="1"/>
  <c r="W341" i="40" s="1"/>
  <c r="W352" i="40" a="1"/>
  <c r="W352" i="40" s="1"/>
  <c r="W363" i="40" a="1"/>
  <c r="W363" i="40" s="1"/>
  <c r="W373" i="40" a="1"/>
  <c r="W373" i="40" s="1"/>
  <c r="W383" i="40" a="1"/>
  <c r="W383" i="40" s="1"/>
  <c r="W393" i="40" a="1"/>
  <c r="W393" i="40" s="1"/>
  <c r="W404" i="40" a="1"/>
  <c r="W404" i="40" s="1"/>
  <c r="W414" i="40" a="1"/>
  <c r="W414" i="40" s="1"/>
  <c r="W425" i="40" a="1"/>
  <c r="W425" i="40" s="1"/>
  <c r="W436" i="40" a="1"/>
  <c r="W436" i="40" s="1"/>
  <c r="W446" i="40" a="1"/>
  <c r="W446" i="40" s="1"/>
  <c r="W456" i="40" a="1"/>
  <c r="W456" i="40" s="1"/>
  <c r="W467" i="40" a="1"/>
  <c r="W467" i="40" s="1"/>
  <c r="W477" i="40" a="1"/>
  <c r="W477" i="40" s="1"/>
  <c r="W487" i="40" a="1"/>
  <c r="W487" i="40" s="1"/>
  <c r="W499" i="40" a="1"/>
  <c r="W499" i="40" s="1"/>
  <c r="W509" i="40" a="1"/>
  <c r="W509" i="40" s="1"/>
  <c r="W48" i="41" a="1"/>
  <c r="W48" i="41" s="1"/>
  <c r="AA48" i="41" s="1" a="1"/>
  <c r="AA48" i="41" s="1"/>
  <c r="W24" i="41" a="1"/>
  <c r="W24" i="41" s="1"/>
  <c r="W28" i="40" a="1"/>
  <c r="W28" i="40" s="1"/>
  <c r="AA28" i="40" s="1" a="1"/>
  <c r="AA28" i="40" s="1"/>
  <c r="W40" i="40" a="1"/>
  <c r="W40" i="40" s="1"/>
  <c r="AA40" i="40" s="1" a="1"/>
  <c r="AA40" i="40" s="1"/>
  <c r="W54" i="40" a="1"/>
  <c r="W54" i="40" s="1"/>
  <c r="AA54" i="40" s="1" a="1"/>
  <c r="AA54" i="40" s="1"/>
  <c r="W70" i="40" a="1"/>
  <c r="W70" i="40" s="1"/>
  <c r="AA70" i="40" s="1" a="1"/>
  <c r="AA70" i="40" s="1"/>
  <c r="W84" i="40" a="1"/>
  <c r="W84" i="40" s="1"/>
  <c r="AA84" i="40" s="1" a="1"/>
  <c r="AA84" i="40" s="1"/>
  <c r="W96" i="40" a="1"/>
  <c r="W96" i="40" s="1"/>
  <c r="AA96" i="40" s="1" a="1"/>
  <c r="AA96" i="40" s="1"/>
  <c r="W112" i="40" a="1"/>
  <c r="W112" i="40" s="1"/>
  <c r="AA112" i="40" s="1" a="1"/>
  <c r="AA112" i="40" s="1"/>
  <c r="W126" i="40" a="1"/>
  <c r="W126" i="40" s="1"/>
  <c r="AA126" i="40" s="1" a="1"/>
  <c r="AA126" i="40" s="1"/>
  <c r="W139" i="40" a="1"/>
  <c r="W139" i="40" s="1"/>
  <c r="AA139" i="40" s="1" a="1"/>
  <c r="AA139" i="40" s="1"/>
  <c r="W151" i="40" a="1"/>
  <c r="W151" i="40" s="1"/>
  <c r="AA151" i="40" s="1" a="1"/>
  <c r="AA151" i="40" s="1"/>
  <c r="W161" i="40" a="1"/>
  <c r="W161" i="40" s="1"/>
  <c r="AA161" i="40" s="1" a="1"/>
  <c r="AA161" i="40" s="1"/>
  <c r="W172" i="40" a="1"/>
  <c r="W172" i="40" s="1"/>
  <c r="AA172" i="40" s="1" a="1"/>
  <c r="AA172" i="40" s="1"/>
  <c r="W182" i="40" a="1"/>
  <c r="W182" i="40" s="1"/>
  <c r="AA182" i="40" s="1" a="1"/>
  <c r="AA182" i="40" s="1"/>
  <c r="W192" i="40" a="1"/>
  <c r="W192" i="40" s="1"/>
  <c r="AA192" i="40" s="1" a="1"/>
  <c r="AA192" i="40" s="1"/>
  <c r="W203" i="40" a="1"/>
  <c r="W203" i="40" s="1"/>
  <c r="AA203" i="40" s="1" a="1"/>
  <c r="AA203" i="40" s="1"/>
  <c r="W213" i="40" a="1"/>
  <c r="W213" i="40" s="1"/>
  <c r="AA213" i="40" s="1" a="1"/>
  <c r="AA213" i="40" s="1"/>
  <c r="W224" i="40" a="1"/>
  <c r="W224" i="40" s="1"/>
  <c r="AA224" i="40" s="1" a="1"/>
  <c r="AA224" i="40" s="1"/>
  <c r="W235" i="40" a="1"/>
  <c r="W235" i="40" s="1"/>
  <c r="AA235" i="40" s="1" a="1"/>
  <c r="AA235" i="40" s="1"/>
  <c r="W245" i="40" a="1"/>
  <c r="W245" i="40" s="1"/>
  <c r="AA245" i="40" s="1" a="1"/>
  <c r="AA245" i="40" s="1"/>
  <c r="W255" i="40" a="1"/>
  <c r="W255" i="40" s="1"/>
  <c r="AA255" i="40" s="1" a="1"/>
  <c r="AA255" i="40" s="1"/>
  <c r="W265" i="40" a="1"/>
  <c r="W265" i="40" s="1"/>
  <c r="AA265" i="40" s="1" a="1"/>
  <c r="AA265" i="40" s="1"/>
  <c r="W276" i="40" a="1"/>
  <c r="W276" i="40" s="1"/>
  <c r="AA276" i="40" s="1" a="1"/>
  <c r="AA276" i="40" s="1"/>
  <c r="W286" i="40" a="1"/>
  <c r="W286" i="40" s="1"/>
  <c r="AA286" i="40" s="1" a="1"/>
  <c r="AA286" i="40" s="1"/>
  <c r="W297" i="40" a="1"/>
  <c r="W297" i="40" s="1"/>
  <c r="AA297" i="40" s="1" a="1"/>
  <c r="AA297" i="40" s="1"/>
  <c r="W308" i="40" a="1"/>
  <c r="W308" i="40" s="1"/>
  <c r="AA308" i="40" s="1" a="1"/>
  <c r="AA308" i="40" s="1"/>
  <c r="W318" i="40" a="1"/>
  <c r="W318" i="40" s="1"/>
  <c r="AA318" i="40" s="1" a="1"/>
  <c r="AA318" i="40" s="1"/>
  <c r="W328" i="40" a="1"/>
  <c r="W328" i="40" s="1"/>
  <c r="AA328" i="40" s="1" a="1"/>
  <c r="AA328" i="40" s="1"/>
  <c r="W339" i="40" a="1"/>
  <c r="W339" i="40" s="1"/>
  <c r="W349" i="40" a="1"/>
  <c r="W349" i="40" s="1"/>
  <c r="W359" i="40" a="1"/>
  <c r="W359" i="40" s="1"/>
  <c r="W371" i="40" a="1"/>
  <c r="W371" i="40" s="1"/>
  <c r="W381" i="40" a="1"/>
  <c r="W381" i="40" s="1"/>
  <c r="W391" i="40" a="1"/>
  <c r="W391" i="40" s="1"/>
  <c r="W401" i="40" a="1"/>
  <c r="W401" i="40" s="1"/>
  <c r="W412" i="40" a="1"/>
  <c r="W412" i="40" s="1"/>
  <c r="W422" i="40" a="1"/>
  <c r="W422" i="40" s="1"/>
  <c r="W432" i="40" a="1"/>
  <c r="W432" i="40" s="1"/>
  <c r="W444" i="40" a="1"/>
  <c r="W444" i="40" s="1"/>
  <c r="W454" i="40" a="1"/>
  <c r="W454" i="40" s="1"/>
  <c r="W464" i="40" a="1"/>
  <c r="W464" i="40" s="1"/>
  <c r="W475" i="40" a="1"/>
  <c r="W475" i="40" s="1"/>
  <c r="W485" i="40" a="1"/>
  <c r="W485" i="40" s="1"/>
  <c r="W495" i="40" a="1"/>
  <c r="W495" i="40" s="1"/>
  <c r="W505" i="40" a="1"/>
  <c r="W505" i="40" s="1"/>
  <c r="W56" i="41" a="1"/>
  <c r="W56" i="41" s="1"/>
  <c r="AA56" i="41" s="1" a="1"/>
  <c r="AA56" i="41" s="1"/>
  <c r="W16" i="41" a="1"/>
  <c r="W16" i="41" s="1"/>
  <c r="W31" i="40" a="1"/>
  <c r="W31" i="40" s="1"/>
  <c r="AA31" i="40" s="1" a="1"/>
  <c r="AA31" i="40" s="1"/>
  <c r="W52" i="40" a="1"/>
  <c r="W52" i="40" s="1"/>
  <c r="AA52" i="40" s="1" a="1"/>
  <c r="AA52" i="40" s="1"/>
  <c r="W76" i="40" a="1"/>
  <c r="W76" i="40" s="1"/>
  <c r="AA76" i="40" s="1" a="1"/>
  <c r="AA76" i="40" s="1"/>
  <c r="W95" i="40" a="1"/>
  <c r="W95" i="40" s="1"/>
  <c r="AA95" i="40" s="1" a="1"/>
  <c r="AA95" i="40" s="1"/>
  <c r="W119" i="40" a="1"/>
  <c r="W119" i="40" s="1"/>
  <c r="AA119" i="40" s="1" a="1"/>
  <c r="AA119" i="40" s="1"/>
  <c r="W144" i="40" a="1"/>
  <c r="W144" i="40" s="1"/>
  <c r="AA144" i="40" s="1" a="1"/>
  <c r="AA144" i="40" s="1"/>
  <c r="W158" i="40" a="1"/>
  <c r="W158" i="40" s="1"/>
  <c r="AA158" i="40" s="1" a="1"/>
  <c r="AA158" i="40" s="1"/>
  <c r="W176" i="40" a="1"/>
  <c r="W176" i="40" s="1"/>
  <c r="AA176" i="40" s="1" a="1"/>
  <c r="AA176" i="40" s="1"/>
  <c r="W191" i="40" a="1"/>
  <c r="W191" i="40" s="1"/>
  <c r="AA191" i="40" s="1" a="1"/>
  <c r="AA191" i="40" s="1"/>
  <c r="W209" i="40" a="1"/>
  <c r="W209" i="40" s="1"/>
  <c r="AA209" i="40" s="1" a="1"/>
  <c r="AA209" i="40" s="1"/>
  <c r="W228" i="40" a="1"/>
  <c r="W228" i="40" s="1"/>
  <c r="AA228" i="40" s="1" a="1"/>
  <c r="AA228" i="40" s="1"/>
  <c r="W243" i="40" a="1"/>
  <c r="W243" i="40" s="1"/>
  <c r="AA243" i="40" s="1" a="1"/>
  <c r="AA243" i="40" s="1"/>
  <c r="W261" i="40" a="1"/>
  <c r="W261" i="40" s="1"/>
  <c r="AA261" i="40" s="1" a="1"/>
  <c r="AA261" i="40" s="1"/>
  <c r="W275" i="40" a="1"/>
  <c r="W275" i="40" s="1"/>
  <c r="AA275" i="40" s="1" a="1"/>
  <c r="AA275" i="40" s="1"/>
  <c r="W293" i="40" a="1"/>
  <c r="W293" i="40" s="1"/>
  <c r="AA293" i="40" s="1" a="1"/>
  <c r="AA293" i="40" s="1"/>
  <c r="W311" i="40" a="1"/>
  <c r="W311" i="40" s="1"/>
  <c r="AA311" i="40" s="1" a="1"/>
  <c r="AA311" i="40" s="1"/>
  <c r="W326" i="40" a="1"/>
  <c r="W326" i="40" s="1"/>
  <c r="AA326" i="40" s="1" a="1"/>
  <c r="AA326" i="40" s="1"/>
  <c r="W344" i="40" a="1"/>
  <c r="W344" i="40" s="1"/>
  <c r="W358" i="40" a="1"/>
  <c r="W358" i="40" s="1"/>
  <c r="W376" i="40" a="1"/>
  <c r="W376" i="40" s="1"/>
  <c r="W395" i="40" a="1"/>
  <c r="W395" i="40" s="1"/>
  <c r="W409" i="40" a="1"/>
  <c r="W409" i="40" s="1"/>
  <c r="W428" i="40" a="1"/>
  <c r="W428" i="40" s="1"/>
  <c r="W441" i="40" a="1"/>
  <c r="W441" i="40" s="1"/>
  <c r="W460" i="40" a="1"/>
  <c r="W460" i="40" s="1"/>
  <c r="W478" i="40" a="1"/>
  <c r="W478" i="40" s="1"/>
  <c r="W493" i="40" a="1"/>
  <c r="W493" i="40" s="1"/>
  <c r="W511" i="40" a="1"/>
  <c r="W511" i="40" s="1"/>
  <c r="W57" i="41" a="1"/>
  <c r="W57" i="41" s="1"/>
  <c r="AA57" i="41" s="1" a="1"/>
  <c r="AA57" i="41" s="1"/>
  <c r="W21" i="41" a="1"/>
  <c r="W21" i="41" s="1"/>
  <c r="W32" i="40" a="1"/>
  <c r="W32" i="40" s="1"/>
  <c r="AA32" i="40" s="1" a="1"/>
  <c r="AA32" i="40" s="1"/>
  <c r="W53" i="40" a="1"/>
  <c r="W53" i="40" s="1"/>
  <c r="AA53" i="40" s="1" a="1"/>
  <c r="AA53" i="40" s="1"/>
  <c r="W77" i="40" a="1"/>
  <c r="W77" i="40" s="1"/>
  <c r="AA77" i="40" s="1" a="1"/>
  <c r="AA77" i="40" s="1"/>
  <c r="W103" i="40" a="1"/>
  <c r="W103" i="40" s="1"/>
  <c r="AA103" i="40" s="1" a="1"/>
  <c r="AA103" i="40" s="1"/>
  <c r="W124" i="40" a="1"/>
  <c r="W124" i="40" s="1"/>
  <c r="AA124" i="40" s="1" a="1"/>
  <c r="AA124" i="40" s="1"/>
  <c r="W145" i="40" a="1"/>
  <c r="W145" i="40" s="1"/>
  <c r="AA145" i="40" s="1" a="1"/>
  <c r="AA145" i="40" s="1"/>
  <c r="W160" i="40" a="1"/>
  <c r="W160" i="40" s="1"/>
  <c r="AA160" i="40" s="1" a="1"/>
  <c r="AA160" i="40" s="1"/>
  <c r="W179" i="40" a="1"/>
  <c r="W179" i="40" s="1"/>
  <c r="AA179" i="40" s="1" a="1"/>
  <c r="AA179" i="40" s="1"/>
  <c r="W197" i="40" a="1"/>
  <c r="W197" i="40" s="1"/>
  <c r="AA197" i="40" s="1" a="1"/>
  <c r="AA197" i="40" s="1"/>
  <c r="W211" i="40" a="1"/>
  <c r="W211" i="40" s="1"/>
  <c r="AA211" i="40" s="1" a="1"/>
  <c r="AA211" i="40" s="1"/>
  <c r="W229" i="40" a="1"/>
  <c r="W229" i="40" s="1"/>
  <c r="AA229" i="40" s="1" a="1"/>
  <c r="AA229" i="40" s="1"/>
  <c r="W244" i="40" a="1"/>
  <c r="W244" i="40" s="1"/>
  <c r="AA244" i="40" s="1" a="1"/>
  <c r="AA244" i="40" s="1"/>
  <c r="W262" i="40" a="1"/>
  <c r="W262" i="40" s="1"/>
  <c r="AA262" i="40" s="1" a="1"/>
  <c r="AA262" i="40" s="1"/>
  <c r="W280" i="40" a="1"/>
  <c r="W280" i="40" s="1"/>
  <c r="AA280" i="40" s="1" a="1"/>
  <c r="AA280" i="40" s="1"/>
  <c r="W294" i="40" a="1"/>
  <c r="W294" i="40" s="1"/>
  <c r="AA294" i="40" s="1" a="1"/>
  <c r="AA294" i="40" s="1"/>
  <c r="W312" i="40" a="1"/>
  <c r="W312" i="40" s="1"/>
  <c r="AA312" i="40" s="1" a="1"/>
  <c r="AA312" i="40" s="1"/>
  <c r="W327" i="40" a="1"/>
  <c r="W327" i="40" s="1"/>
  <c r="AA327" i="40" s="1" a="1"/>
  <c r="AA327" i="40" s="1"/>
  <c r="W345" i="40" a="1"/>
  <c r="W345" i="40" s="1"/>
  <c r="W364" i="40" a="1"/>
  <c r="W364" i="40" s="1"/>
  <c r="W377" i="40" a="1"/>
  <c r="W377" i="40" s="1"/>
  <c r="W396" i="40" a="1"/>
  <c r="W396" i="40" s="1"/>
  <c r="W411" i="40" a="1"/>
  <c r="W411" i="40" s="1"/>
  <c r="W429" i="40" a="1"/>
  <c r="W429" i="40" s="1"/>
  <c r="W447" i="40" a="1"/>
  <c r="W447" i="40" s="1"/>
  <c r="W462" i="40" a="1"/>
  <c r="W462" i="40" s="1"/>
  <c r="W480" i="40" a="1"/>
  <c r="W480" i="40" s="1"/>
  <c r="W494" i="40" a="1"/>
  <c r="W494" i="40" s="1"/>
  <c r="W512" i="40" a="1"/>
  <c r="W512" i="40" s="1"/>
  <c r="W41" i="41" a="1"/>
  <c r="W41" i="41" s="1"/>
  <c r="AA41" i="41" s="1" a="1"/>
  <c r="AA41" i="41" s="1"/>
  <c r="W58" i="41" a="1"/>
  <c r="W58" i="41" s="1"/>
  <c r="AA58" i="41" s="1" a="1"/>
  <c r="AA58" i="41" s="1"/>
  <c r="W22" i="41" a="1"/>
  <c r="W22" i="41" s="1"/>
  <c r="W35" i="40" a="1"/>
  <c r="W35" i="40" s="1"/>
  <c r="AA35" i="40" s="1" a="1"/>
  <c r="AA35" i="40" s="1"/>
  <c r="W61" i="40" a="1"/>
  <c r="W61" i="40" s="1"/>
  <c r="AA61" i="40" s="1" a="1"/>
  <c r="AA61" i="40" s="1"/>
  <c r="W80" i="40" a="1"/>
  <c r="W80" i="40" s="1"/>
  <c r="AA80" i="40" s="1" a="1"/>
  <c r="AA80" i="40" s="1"/>
  <c r="W104" i="40" a="1"/>
  <c r="W104" i="40" s="1"/>
  <c r="AA104" i="40" s="1" a="1"/>
  <c r="AA104" i="40" s="1"/>
  <c r="W125" i="40" a="1"/>
  <c r="W125" i="40" s="1"/>
  <c r="AA125" i="40" s="1" a="1"/>
  <c r="AA125" i="40" s="1"/>
  <c r="W147" i="40" a="1"/>
  <c r="W147" i="40" s="1"/>
  <c r="AA147" i="40" s="1" a="1"/>
  <c r="AA147" i="40" s="1"/>
  <c r="W165" i="40" a="1"/>
  <c r="W165" i="40" s="1"/>
  <c r="AA165" i="40" s="1" a="1"/>
  <c r="AA165" i="40" s="1"/>
  <c r="W180" i="40" a="1"/>
  <c r="W180" i="40" s="1"/>
  <c r="AA180" i="40" s="1" a="1"/>
  <c r="AA180" i="40" s="1"/>
  <c r="W198" i="40" a="1"/>
  <c r="W198" i="40" s="1"/>
  <c r="AA198" i="40" s="1" a="1"/>
  <c r="AA198" i="40" s="1"/>
  <c r="W212" i="40" a="1"/>
  <c r="W212" i="40" s="1"/>
  <c r="AA212" i="40" s="1" a="1"/>
  <c r="AA212" i="40" s="1"/>
  <c r="W230" i="40" a="1"/>
  <c r="W230" i="40" s="1"/>
  <c r="AA230" i="40" s="1" a="1"/>
  <c r="AA230" i="40" s="1"/>
  <c r="W248" i="40" a="1"/>
  <c r="W248" i="40" s="1"/>
  <c r="AA248" i="40" s="1" a="1"/>
  <c r="AA248" i="40" s="1"/>
  <c r="W263" i="40" a="1"/>
  <c r="W263" i="40" s="1"/>
  <c r="AA263" i="40" s="1" a="1"/>
  <c r="AA263" i="40" s="1"/>
  <c r="W281" i="40" a="1"/>
  <c r="W281" i="40" s="1"/>
  <c r="AA281" i="40" s="1" a="1"/>
  <c r="AA281" i="40" s="1"/>
  <c r="W295" i="40" a="1"/>
  <c r="W295" i="40" s="1"/>
  <c r="AA295" i="40" s="1" a="1"/>
  <c r="AA295" i="40" s="1"/>
  <c r="W313" i="40" a="1"/>
  <c r="W313" i="40" s="1"/>
  <c r="AA313" i="40" s="1" a="1"/>
  <c r="AA313" i="40" s="1"/>
  <c r="W332" i="40" a="1"/>
  <c r="W332" i="40" s="1"/>
  <c r="W347" i="40" a="1"/>
  <c r="W347" i="40" s="1"/>
  <c r="W365" i="40" a="1"/>
  <c r="W365" i="40" s="1"/>
  <c r="W380" i="40" a="1"/>
  <c r="W380" i="40" s="1"/>
  <c r="W398" i="40" a="1"/>
  <c r="W398" i="40" s="1"/>
  <c r="W416" i="40" a="1"/>
  <c r="W416" i="40" s="1"/>
  <c r="W430" i="40" a="1"/>
  <c r="W430" i="40" s="1"/>
  <c r="W448" i="40" a="1"/>
  <c r="W448" i="40" s="1"/>
  <c r="W463" i="40" a="1"/>
  <c r="W463" i="40" s="1"/>
  <c r="W481" i="40" a="1"/>
  <c r="W481" i="40" s="1"/>
  <c r="W500" i="40" a="1"/>
  <c r="W500" i="40" s="1"/>
  <c r="W513" i="40" a="1"/>
  <c r="W513" i="40" s="1"/>
  <c r="W55" i="41" a="1"/>
  <c r="W55" i="41" s="1"/>
  <c r="AA55" i="41" s="1" a="1"/>
  <c r="AA55" i="41" s="1"/>
  <c r="W32" i="41" a="1"/>
  <c r="W32" i="41" s="1"/>
  <c r="W21" i="40" a="1"/>
  <c r="W21" i="40" s="1"/>
  <c r="AA21" i="40" s="1" a="1"/>
  <c r="AA21" i="40" s="1"/>
  <c r="W62" i="40" a="1"/>
  <c r="W62" i="40" s="1"/>
  <c r="AA62" i="40" s="1" a="1"/>
  <c r="AA62" i="40" s="1"/>
  <c r="W93" i="40" a="1"/>
  <c r="W93" i="40" s="1"/>
  <c r="AA93" i="40" s="1" a="1"/>
  <c r="AA93" i="40" s="1"/>
  <c r="W134" i="40" a="1"/>
  <c r="W134" i="40" s="1"/>
  <c r="AA134" i="40" s="1" a="1"/>
  <c r="AA134" i="40" s="1"/>
  <c r="W157" i="40" a="1"/>
  <c r="W157" i="40" s="1"/>
  <c r="AA157" i="40" s="1" a="1"/>
  <c r="AA157" i="40" s="1"/>
  <c r="W188" i="40" a="1"/>
  <c r="W188" i="40" s="1"/>
  <c r="AA188" i="40" s="1" a="1"/>
  <c r="AA188" i="40" s="1"/>
  <c r="W217" i="40" a="1"/>
  <c r="W217" i="40" s="1"/>
  <c r="AA217" i="40" s="1" a="1"/>
  <c r="AA217" i="40" s="1"/>
  <c r="W239" i="40" a="1"/>
  <c r="W239" i="40" s="1"/>
  <c r="AA239" i="40" s="1" a="1"/>
  <c r="AA239" i="40" s="1"/>
  <c r="W270" i="40" a="1"/>
  <c r="W270" i="40" s="1"/>
  <c r="AA270" i="40" s="1" a="1"/>
  <c r="AA270" i="40" s="1"/>
  <c r="W292" i="40" a="1"/>
  <c r="W292" i="40" s="1"/>
  <c r="AA292" i="40" s="1" a="1"/>
  <c r="AA292" i="40" s="1"/>
  <c r="W321" i="40" a="1"/>
  <c r="W321" i="40" s="1"/>
  <c r="AA321" i="40" s="1" a="1"/>
  <c r="AA321" i="40" s="1"/>
  <c r="W348" i="40" a="1"/>
  <c r="W348" i="40" s="1"/>
  <c r="W374" i="40" a="1"/>
  <c r="W374" i="40" s="1"/>
  <c r="W400" i="40" a="1"/>
  <c r="W400" i="40" s="1"/>
  <c r="W427" i="40" a="1"/>
  <c r="W427" i="40" s="1"/>
  <c r="W453" i="40" a="1"/>
  <c r="W453" i="40" s="1"/>
  <c r="W483" i="40" a="1"/>
  <c r="W483" i="40" s="1"/>
  <c r="W504" i="40" a="1"/>
  <c r="W504" i="40" s="1"/>
  <c r="W33" i="41" a="1"/>
  <c r="W33" i="41" s="1"/>
  <c r="W22" i="40" a="1"/>
  <c r="W22" i="40" s="1"/>
  <c r="AA22" i="40" s="1" a="1"/>
  <c r="AA22" i="40" s="1"/>
  <c r="W63" i="40" a="1"/>
  <c r="W63" i="40" s="1"/>
  <c r="AA63" i="40" s="1" a="1"/>
  <c r="AA63" i="40" s="1"/>
  <c r="W94" i="40" a="1"/>
  <c r="W94" i="40" s="1"/>
  <c r="AA94" i="40" s="1" a="1"/>
  <c r="AA94" i="40" s="1"/>
  <c r="W135" i="40" a="1"/>
  <c r="W135" i="40" s="1"/>
  <c r="AA135" i="40" s="1" a="1"/>
  <c r="AA135" i="40" s="1"/>
  <c r="W166" i="40" a="1"/>
  <c r="W166" i="40" s="1"/>
  <c r="AA166" i="40" s="1" a="1"/>
  <c r="AA166" i="40" s="1"/>
  <c r="W189" i="40" a="1"/>
  <c r="W189" i="40" s="1"/>
  <c r="AA189" i="40" s="1" a="1"/>
  <c r="AA189" i="40" s="1"/>
  <c r="W219" i="40" a="1"/>
  <c r="W219" i="40" s="1"/>
  <c r="AA219" i="40" s="1" a="1"/>
  <c r="AA219" i="40" s="1"/>
  <c r="W240" i="40" a="1"/>
  <c r="W240" i="40" s="1"/>
  <c r="AA240" i="40" s="1" a="1"/>
  <c r="AA240" i="40" s="1"/>
  <c r="W271" i="40" a="1"/>
  <c r="W271" i="40" s="1"/>
  <c r="AA271" i="40" s="1" a="1"/>
  <c r="AA271" i="40" s="1"/>
  <c r="W301" i="40" a="1"/>
  <c r="W301" i="40" s="1"/>
  <c r="AA301" i="40" s="1" a="1"/>
  <c r="AA301" i="40" s="1"/>
  <c r="W323" i="40" a="1"/>
  <c r="W323" i="40" s="1"/>
  <c r="W353" i="40" a="1"/>
  <c r="W353" i="40" s="1"/>
  <c r="W375" i="40" a="1"/>
  <c r="W375" i="40" s="1"/>
  <c r="W405" i="40" a="1"/>
  <c r="W405" i="40" s="1"/>
  <c r="W431" i="40" a="1"/>
  <c r="W431" i="40" s="1"/>
  <c r="W457" i="40" a="1"/>
  <c r="W457" i="40" s="1"/>
  <c r="W484" i="40" a="1"/>
  <c r="W484" i="40" s="1"/>
  <c r="W510" i="40" a="1"/>
  <c r="W510" i="40" s="1"/>
  <c r="W23" i="40" a="1"/>
  <c r="W23" i="40" s="1"/>
  <c r="AA23" i="40" s="1" a="1"/>
  <c r="AA23" i="40" s="1"/>
  <c r="W64" i="40" a="1"/>
  <c r="W64" i="40" s="1"/>
  <c r="AA64" i="40" s="1" a="1"/>
  <c r="AA64" i="40" s="1"/>
  <c r="W107" i="40" a="1"/>
  <c r="W107" i="40" s="1"/>
  <c r="AA107" i="40" s="1" a="1"/>
  <c r="AA107" i="40" s="1"/>
  <c r="W136" i="40" a="1"/>
  <c r="W136" i="40" s="1"/>
  <c r="AA136" i="40" s="1" a="1"/>
  <c r="AA136" i="40" s="1"/>
  <c r="W167" i="40" a="1"/>
  <c r="W167" i="40" s="1"/>
  <c r="AA167" i="40" s="1" a="1"/>
  <c r="AA167" i="40" s="1"/>
  <c r="W190" i="40" a="1"/>
  <c r="W190" i="40" s="1"/>
  <c r="AA190" i="40" s="1" a="1"/>
  <c r="AA190" i="40" s="1"/>
  <c r="W220" i="40" a="1"/>
  <c r="W220" i="40" s="1"/>
  <c r="AA220" i="40" s="1" a="1"/>
  <c r="AA220" i="40" s="1"/>
  <c r="W249" i="40" a="1"/>
  <c r="W249" i="40" s="1"/>
  <c r="AA249" i="40" s="1" a="1"/>
  <c r="AA249" i="40" s="1"/>
  <c r="W272" i="40" a="1"/>
  <c r="W272" i="40" s="1"/>
  <c r="AA272" i="40" s="1" a="1"/>
  <c r="AA272" i="40" s="1"/>
  <c r="W302" i="40" a="1"/>
  <c r="W302" i="40" s="1"/>
  <c r="AA302" i="40" s="1" a="1"/>
  <c r="AA302" i="40" s="1"/>
  <c r="W325" i="40" a="1"/>
  <c r="W325" i="40" s="1"/>
  <c r="AA325" i="40" s="1" a="1"/>
  <c r="AA325" i="40" s="1"/>
  <c r="W355" i="40" a="1"/>
  <c r="W355" i="40" s="1"/>
  <c r="W384" i="40" a="1"/>
  <c r="W384" i="40" s="1"/>
  <c r="W407" i="40" a="1"/>
  <c r="W407" i="40" s="1"/>
  <c r="W437" i="40" a="1"/>
  <c r="W437" i="40" s="1"/>
  <c r="W459" i="40" a="1"/>
  <c r="W459" i="40" s="1"/>
  <c r="W489" i="40" a="1"/>
  <c r="W489" i="40" s="1"/>
  <c r="W19" i="40" a="1"/>
  <c r="W19" i="40" s="1"/>
  <c r="AA19" i="40" s="1" a="1"/>
  <c r="AA19" i="40" s="1"/>
  <c r="W75" i="40" a="1"/>
  <c r="W75" i="40" s="1"/>
  <c r="AA75" i="40" s="1" a="1"/>
  <c r="AA75" i="40" s="1"/>
  <c r="W131" i="40" a="1"/>
  <c r="W131" i="40" s="1"/>
  <c r="AA131" i="40" s="1" a="1"/>
  <c r="AA131" i="40" s="1"/>
  <c r="W175" i="40" a="1"/>
  <c r="W175" i="40" s="1"/>
  <c r="AA175" i="40" s="1" a="1"/>
  <c r="AA175" i="40" s="1"/>
  <c r="W221" i="40" a="1"/>
  <c r="W221" i="40" s="1"/>
  <c r="AA221" i="40" s="1" a="1"/>
  <c r="AA221" i="40" s="1"/>
  <c r="W259" i="40" a="1"/>
  <c r="W259" i="40" s="1"/>
  <c r="AA259" i="40" s="1" a="1"/>
  <c r="AA259" i="40" s="1"/>
  <c r="W304" i="40" a="1"/>
  <c r="W304" i="40" s="1"/>
  <c r="AA304" i="40" s="1" a="1"/>
  <c r="AA304" i="40" s="1"/>
  <c r="W343" i="40" a="1"/>
  <c r="W343" i="40" s="1"/>
  <c r="W389" i="40" a="1"/>
  <c r="W389" i="40" s="1"/>
  <c r="W438" i="40" a="1"/>
  <c r="W438" i="40" s="1"/>
  <c r="W472" i="40" a="1"/>
  <c r="W472" i="40" s="1"/>
  <c r="W502" i="40" a="1"/>
  <c r="W502" i="40" s="1"/>
  <c r="W451" i="40" a="1"/>
  <c r="W451" i="40" s="1"/>
  <c r="W408" i="40" a="1"/>
  <c r="W408" i="40" s="1"/>
  <c r="W357" i="40" a="1"/>
  <c r="W357" i="40" s="1"/>
  <c r="W307" i="40" a="1"/>
  <c r="W307" i="40" s="1"/>
  <c r="AA307" i="40" s="1" a="1"/>
  <c r="AA307" i="40" s="1"/>
  <c r="W254" i="40" a="1"/>
  <c r="W254" i="40" s="1"/>
  <c r="AA254" i="40" s="1" a="1"/>
  <c r="AA254" i="40" s="1"/>
  <c r="W207" i="40" a="1"/>
  <c r="W207" i="40" s="1"/>
  <c r="AA207" i="40" s="1" a="1"/>
  <c r="AA207" i="40" s="1"/>
  <c r="W156" i="40" a="1"/>
  <c r="W156" i="40" s="1"/>
  <c r="AA156" i="40" s="1" a="1"/>
  <c r="AA156" i="40" s="1"/>
  <c r="W108" i="40" a="1"/>
  <c r="W108" i="40" s="1"/>
  <c r="AA108" i="40" s="1" a="1"/>
  <c r="AA108" i="40" s="1"/>
  <c r="W39" i="40" a="1"/>
  <c r="W39" i="40" s="1"/>
  <c r="AA39" i="40" s="1" a="1"/>
  <c r="AA39" i="40" s="1"/>
  <c r="W23" i="41" a="1"/>
  <c r="W23" i="41" s="1"/>
  <c r="W43" i="41" a="1"/>
  <c r="W43" i="41" s="1"/>
  <c r="AA43" i="41" s="1" a="1"/>
  <c r="AA43" i="41" s="1"/>
  <c r="AE10" i="48"/>
  <c r="AF10" i="48"/>
  <c r="AG10" i="48"/>
  <c r="F2" i="56"/>
  <c r="F1" i="56"/>
  <c r="AI142" i="38" l="1"/>
  <c r="AO142" i="38"/>
  <c r="AK142" i="38"/>
  <c r="AJ142" i="38"/>
  <c r="AH142" i="38"/>
  <c r="AG142" i="38"/>
  <c r="AF142" i="38"/>
  <c r="AA142" i="38" a="1"/>
  <c r="AA142" i="38" s="1"/>
  <c r="AO192" i="38"/>
  <c r="AJ192" i="38"/>
  <c r="AI192" i="38"/>
  <c r="AK192" i="38"/>
  <c r="AA192" i="38" a="1"/>
  <c r="AA192" i="38" s="1"/>
  <c r="AH192" i="38"/>
  <c r="AF192" i="38"/>
  <c r="AG192" i="38"/>
  <c r="AI160" i="38"/>
  <c r="AH160" i="38"/>
  <c r="AA160" i="38" a="1"/>
  <c r="AA160" i="38" s="1"/>
  <c r="AJ160" i="38"/>
  <c r="AK160" i="38"/>
  <c r="AO160" i="38"/>
  <c r="AF160" i="38"/>
  <c r="AG160" i="38"/>
  <c r="AJ127" i="38"/>
  <c r="AH127" i="38"/>
  <c r="AK127" i="38"/>
  <c r="AA127" i="38" a="1"/>
  <c r="AA127" i="38" s="1"/>
  <c r="AO127" i="38"/>
  <c r="AG127" i="38"/>
  <c r="AI127" i="38"/>
  <c r="AF127" i="38"/>
  <c r="AI233" i="38"/>
  <c r="AO233" i="38"/>
  <c r="AH233" i="38"/>
  <c r="AJ233" i="38"/>
  <c r="AK233" i="38"/>
  <c r="AA233" i="38" a="1"/>
  <c r="AA233" i="38" s="1"/>
  <c r="AF233" i="38"/>
  <c r="AG233" i="38"/>
  <c r="AO178" i="38"/>
  <c r="AI178" i="38"/>
  <c r="AK178" i="38"/>
  <c r="AH178" i="38"/>
  <c r="AA178" i="38" a="1"/>
  <c r="AA178" i="38" s="1"/>
  <c r="AJ178" i="38"/>
  <c r="AF178" i="38"/>
  <c r="AG178" i="38"/>
  <c r="AO104" i="38"/>
  <c r="AI104" i="38"/>
  <c r="AG104" i="38"/>
  <c r="AF104" i="38"/>
  <c r="AA104" i="38" a="1"/>
  <c r="AA104" i="38" s="1"/>
  <c r="AH104" i="38"/>
  <c r="AJ104" i="38"/>
  <c r="AK104" i="38"/>
  <c r="AO262" i="38"/>
  <c r="AG262" i="38"/>
  <c r="AF262" i="38"/>
  <c r="AH262" i="38"/>
  <c r="AJ262" i="38"/>
  <c r="AA262" i="38" a="1"/>
  <c r="AA262" i="38" s="1"/>
  <c r="AK262" i="38"/>
  <c r="AI262" i="38"/>
  <c r="AO200" i="38"/>
  <c r="AJ200" i="38"/>
  <c r="AF200" i="38"/>
  <c r="AA200" i="38" a="1"/>
  <c r="AA200" i="38" s="1"/>
  <c r="AG200" i="38"/>
  <c r="AH200" i="38"/>
  <c r="AI200" i="38"/>
  <c r="AK200" i="38"/>
  <c r="AO230" i="38"/>
  <c r="AK230" i="38"/>
  <c r="AH230" i="38"/>
  <c r="AJ230" i="38"/>
  <c r="AI230" i="38"/>
  <c r="AF230" i="38"/>
  <c r="AG230" i="38"/>
  <c r="AA230" i="38" a="1"/>
  <c r="AA230" i="38" s="1"/>
  <c r="AG161" i="38"/>
  <c r="AI161" i="38"/>
  <c r="AH161" i="38"/>
  <c r="AA161" i="38" a="1"/>
  <c r="AA161" i="38" s="1"/>
  <c r="AJ161" i="38"/>
  <c r="AF161" i="38"/>
  <c r="AO161" i="38"/>
  <c r="AK161" i="38"/>
  <c r="AO292" i="38"/>
  <c r="AJ292" i="38"/>
  <c r="AH292" i="38"/>
  <c r="AG292" i="38"/>
  <c r="AI292" i="38"/>
  <c r="AF292" i="38"/>
  <c r="AK292" i="38"/>
  <c r="AA292" i="38" a="1"/>
  <c r="AA292" i="38" s="1"/>
  <c r="AO219" i="38"/>
  <c r="AK219" i="38"/>
  <c r="AI219" i="38"/>
  <c r="AJ219" i="38"/>
  <c r="AH219" i="38"/>
  <c r="AF219" i="38"/>
  <c r="AG219" i="38"/>
  <c r="AA219" i="38" a="1"/>
  <c r="AA219" i="38" s="1"/>
  <c r="AO275" i="38"/>
  <c r="AK275" i="38"/>
  <c r="AI275" i="38"/>
  <c r="AH275" i="38"/>
  <c r="AJ275" i="38"/>
  <c r="AG275" i="38"/>
  <c r="AA275" i="38" a="1"/>
  <c r="AA275" i="38" s="1"/>
  <c r="AF275" i="38"/>
  <c r="AO276" i="38"/>
  <c r="AK276" i="38"/>
  <c r="AH276" i="38"/>
  <c r="AI276" i="38"/>
  <c r="AF276" i="38"/>
  <c r="AJ276" i="38"/>
  <c r="AA276" i="38" a="1"/>
  <c r="AA276" i="38" s="1"/>
  <c r="AG276" i="38"/>
  <c r="AO272" i="38"/>
  <c r="AG272" i="38"/>
  <c r="AJ272" i="38"/>
  <c r="AI272" i="38"/>
  <c r="AH272" i="38"/>
  <c r="AA272" i="38" a="1"/>
  <c r="AA272" i="38" s="1"/>
  <c r="AK272" i="38"/>
  <c r="AF272" i="38"/>
  <c r="AK243" i="38"/>
  <c r="AI243" i="38"/>
  <c r="AO243" i="38"/>
  <c r="AH243" i="38"/>
  <c r="AJ243" i="38"/>
  <c r="AG243" i="38"/>
  <c r="AF243" i="38"/>
  <c r="AA243" i="38" a="1"/>
  <c r="AA243" i="38" s="1"/>
  <c r="AO288" i="38"/>
  <c r="AI288" i="38"/>
  <c r="AG288" i="38"/>
  <c r="AK288" i="38"/>
  <c r="AJ288" i="38"/>
  <c r="AH288" i="38"/>
  <c r="AA288" i="38" a="1"/>
  <c r="AA288" i="38" s="1"/>
  <c r="AF288" i="38"/>
  <c r="AO166" i="38"/>
  <c r="AK166" i="38"/>
  <c r="AH166" i="38"/>
  <c r="AI166" i="38"/>
  <c r="AF166" i="38"/>
  <c r="AJ166" i="38"/>
  <c r="AG166" i="38"/>
  <c r="AA166" i="38" a="1"/>
  <c r="AA166" i="38" s="1"/>
  <c r="AO105" i="38"/>
  <c r="AI105" i="38"/>
  <c r="AG105" i="38"/>
  <c r="AH105" i="38"/>
  <c r="AA105" i="38" a="1"/>
  <c r="AA105" i="38" s="1"/>
  <c r="AK105" i="38"/>
  <c r="AJ105" i="38"/>
  <c r="AF105" i="38"/>
  <c r="AO254" i="38"/>
  <c r="AJ254" i="38"/>
  <c r="AH254" i="38"/>
  <c r="AI254" i="38"/>
  <c r="AK254" i="38"/>
  <c r="AF254" i="38"/>
  <c r="AG254" i="38"/>
  <c r="AA254" i="38" a="1"/>
  <c r="AA254" i="38" s="1"/>
  <c r="AO112" i="38"/>
  <c r="AH112" i="38"/>
  <c r="AI112" i="38"/>
  <c r="AF112" i="38"/>
  <c r="AA112" i="38" a="1"/>
  <c r="AA112" i="38" s="1"/>
  <c r="AG112" i="38"/>
  <c r="AK112" i="38"/>
  <c r="AJ112" i="38"/>
  <c r="AO266" i="38"/>
  <c r="AK266" i="38"/>
  <c r="AH266" i="38"/>
  <c r="AJ266" i="38"/>
  <c r="AI266" i="38"/>
  <c r="AA266" i="38" a="1"/>
  <c r="AA266" i="38" s="1"/>
  <c r="AG266" i="38"/>
  <c r="AF266" i="38"/>
  <c r="AK195" i="38"/>
  <c r="AI195" i="38"/>
  <c r="AG195" i="38"/>
  <c r="AO195" i="38"/>
  <c r="AF195" i="38"/>
  <c r="AH195" i="38"/>
  <c r="AJ195" i="38"/>
  <c r="AA195" i="38" a="1"/>
  <c r="AA195" i="38" s="1"/>
  <c r="AO208" i="38"/>
  <c r="AG208" i="38"/>
  <c r="AH208" i="38"/>
  <c r="AF208" i="38"/>
  <c r="AA208" i="38" a="1"/>
  <c r="AA208" i="38" s="1"/>
  <c r="AJ208" i="38"/>
  <c r="AK208" i="38"/>
  <c r="AI208" i="38"/>
  <c r="AO140" i="38"/>
  <c r="AK140" i="38"/>
  <c r="AF140" i="38"/>
  <c r="AH140" i="38"/>
  <c r="AG140" i="38"/>
  <c r="AJ140" i="38"/>
  <c r="AA140" i="38" a="1"/>
  <c r="AA140" i="38" s="1"/>
  <c r="AI140" i="38"/>
  <c r="AI107" i="38"/>
  <c r="AG107" i="38"/>
  <c r="AO107" i="38"/>
  <c r="AF107" i="38"/>
  <c r="AK107" i="38"/>
  <c r="AJ107" i="38"/>
  <c r="AH107" i="38"/>
  <c r="AA107" i="38" a="1"/>
  <c r="AA107" i="38" s="1"/>
  <c r="AO148" i="38"/>
  <c r="AK148" i="38"/>
  <c r="AH148" i="38"/>
  <c r="AF148" i="38"/>
  <c r="AI148" i="38"/>
  <c r="AA148" i="38" a="1"/>
  <c r="AA148" i="38" s="1"/>
  <c r="AJ148" i="38"/>
  <c r="AG148" i="38"/>
  <c r="AO164" i="38"/>
  <c r="AJ164" i="38"/>
  <c r="AF164" i="38"/>
  <c r="AK164" i="38"/>
  <c r="AH164" i="38"/>
  <c r="AG164" i="38"/>
  <c r="AA164" i="38" a="1"/>
  <c r="AA164" i="38" s="1"/>
  <c r="AI164" i="38"/>
  <c r="AO144" i="38"/>
  <c r="AG144" i="38"/>
  <c r="AJ144" i="38"/>
  <c r="AI144" i="38"/>
  <c r="AK144" i="38"/>
  <c r="AF144" i="38"/>
  <c r="AA144" i="38" a="1"/>
  <c r="AA144" i="38" s="1"/>
  <c r="AH144" i="38"/>
  <c r="AO123" i="38"/>
  <c r="AI123" i="38"/>
  <c r="AG123" i="38"/>
  <c r="AF123" i="38"/>
  <c r="AH123" i="38"/>
  <c r="AJ123" i="38"/>
  <c r="AK123" i="38"/>
  <c r="AA123" i="38" a="1"/>
  <c r="AA123" i="38" s="1"/>
  <c r="AO126" i="38"/>
  <c r="AJ126" i="38"/>
  <c r="AG126" i="38"/>
  <c r="AK126" i="38"/>
  <c r="AF126" i="38"/>
  <c r="AI126" i="38"/>
  <c r="AH126" i="38"/>
  <c r="AA126" i="38" a="1"/>
  <c r="AA126" i="38" s="1"/>
  <c r="AG152" i="38"/>
  <c r="AO152" i="38"/>
  <c r="AJ152" i="38"/>
  <c r="AI152" i="38"/>
  <c r="AK152" i="38"/>
  <c r="AA152" i="38" a="1"/>
  <c r="AA152" i="38" s="1"/>
  <c r="AF152" i="38"/>
  <c r="AH152" i="38"/>
  <c r="AO189" i="38"/>
  <c r="AG189" i="38"/>
  <c r="AK189" i="38"/>
  <c r="AJ189" i="38"/>
  <c r="AH189" i="38"/>
  <c r="AF189" i="38"/>
  <c r="AA189" i="38" a="1"/>
  <c r="AA189" i="38" s="1"/>
  <c r="AI189" i="38"/>
  <c r="AG162" i="38"/>
  <c r="AO162" i="38"/>
  <c r="AH162" i="38"/>
  <c r="AA162" i="38" a="1"/>
  <c r="AA162" i="38" s="1"/>
  <c r="AF162" i="38"/>
  <c r="AI162" i="38"/>
  <c r="AJ162" i="38"/>
  <c r="AK162" i="38"/>
  <c r="AK128" i="38"/>
  <c r="AJ128" i="38"/>
  <c r="AG128" i="38"/>
  <c r="AA128" i="38" a="1"/>
  <c r="AA128" i="38" s="1"/>
  <c r="AO128" i="38"/>
  <c r="AH128" i="38"/>
  <c r="AF128" i="38"/>
  <c r="AI128" i="38"/>
  <c r="AI139" i="38"/>
  <c r="AG139" i="38"/>
  <c r="AO139" i="38"/>
  <c r="AF139" i="38"/>
  <c r="AK139" i="38"/>
  <c r="AH139" i="38"/>
  <c r="AJ139" i="38"/>
  <c r="AA139" i="38" a="1"/>
  <c r="AA139" i="38" s="1"/>
  <c r="AO186" i="38"/>
  <c r="AI186" i="38"/>
  <c r="AF186" i="38"/>
  <c r="AA186" i="38" a="1"/>
  <c r="AA186" i="38" s="1"/>
  <c r="AG186" i="38"/>
  <c r="AK186" i="38"/>
  <c r="AH186" i="38"/>
  <c r="AJ186" i="38"/>
  <c r="AO165" i="38"/>
  <c r="AH165" i="38"/>
  <c r="AK165" i="38"/>
  <c r="AF165" i="38"/>
  <c r="AI165" i="38"/>
  <c r="AG165" i="38"/>
  <c r="AA165" i="38" a="1"/>
  <c r="AA165" i="38" s="1"/>
  <c r="AJ165" i="38"/>
  <c r="AO146" i="38"/>
  <c r="AJ146" i="38"/>
  <c r="AH146" i="38"/>
  <c r="AG146" i="38"/>
  <c r="AF146" i="38"/>
  <c r="AA146" i="38" a="1"/>
  <c r="AA146" i="38" s="1"/>
  <c r="AK146" i="38"/>
  <c r="AI146" i="38"/>
  <c r="AK147" i="38"/>
  <c r="AI147" i="38"/>
  <c r="AG147" i="38"/>
  <c r="AH147" i="38"/>
  <c r="AF147" i="38"/>
  <c r="AO147" i="38"/>
  <c r="AJ147" i="38"/>
  <c r="AA147" i="38" a="1"/>
  <c r="AA147" i="38" s="1"/>
  <c r="AO69" i="38"/>
  <c r="AK69" i="38"/>
  <c r="AH69" i="38"/>
  <c r="AJ69" i="38"/>
  <c r="AF69" i="38"/>
  <c r="AI69" i="38"/>
  <c r="AG69" i="38"/>
  <c r="AA69" i="38" a="1"/>
  <c r="AA69" i="38" s="1"/>
  <c r="AO268" i="38"/>
  <c r="AK268" i="38"/>
  <c r="AH268" i="38"/>
  <c r="AJ268" i="38"/>
  <c r="AF268" i="38"/>
  <c r="AA268" i="38" a="1"/>
  <c r="AA268" i="38" s="1"/>
  <c r="AI268" i="38"/>
  <c r="AG268" i="38"/>
  <c r="AO43" i="38"/>
  <c r="AK43" i="38"/>
  <c r="AJ43" i="38"/>
  <c r="AF43" i="38"/>
  <c r="AH43" i="38"/>
  <c r="AI43" i="38"/>
  <c r="AA43" i="38" a="1"/>
  <c r="AA43" i="38" s="1"/>
  <c r="AG43" i="38"/>
  <c r="AO239" i="38"/>
  <c r="AJ239" i="38"/>
  <c r="AH239" i="38"/>
  <c r="AK239" i="38"/>
  <c r="AG239" i="38"/>
  <c r="AI239" i="38"/>
  <c r="AA239" i="38" a="1"/>
  <c r="AA239" i="38" s="1"/>
  <c r="AF239" i="38"/>
  <c r="AI169" i="38"/>
  <c r="AO169" i="38"/>
  <c r="AJ169" i="38"/>
  <c r="AG169" i="38"/>
  <c r="AK169" i="38"/>
  <c r="AA169" i="38" a="1"/>
  <c r="AA169" i="38" s="1"/>
  <c r="AH169" i="38"/>
  <c r="AF169" i="38"/>
  <c r="AK291" i="38"/>
  <c r="AI291" i="38"/>
  <c r="AO291" i="38"/>
  <c r="AJ291" i="38"/>
  <c r="AH291" i="38"/>
  <c r="AG291" i="38"/>
  <c r="AA291" i="38" a="1"/>
  <c r="AA291" i="38" s="1"/>
  <c r="AF291" i="38"/>
  <c r="AO258" i="38"/>
  <c r="AK258" i="38"/>
  <c r="AH258" i="38"/>
  <c r="AG258" i="38"/>
  <c r="AJ258" i="38"/>
  <c r="AA258" i="38" a="1"/>
  <c r="AA258" i="38" s="1"/>
  <c r="AI258" i="38"/>
  <c r="AF258" i="38"/>
  <c r="AO284" i="38"/>
  <c r="AH284" i="38"/>
  <c r="AF284" i="38"/>
  <c r="AG284" i="38"/>
  <c r="AK284" i="38"/>
  <c r="AA284" i="38" a="1"/>
  <c r="AA284" i="38" s="1"/>
  <c r="AI284" i="38"/>
  <c r="AJ284" i="38"/>
  <c r="AO234" i="38"/>
  <c r="AG234" i="38"/>
  <c r="AJ234" i="38"/>
  <c r="AI234" i="38"/>
  <c r="AA234" i="38" a="1"/>
  <c r="AA234" i="38" s="1"/>
  <c r="AK234" i="38"/>
  <c r="AH234" i="38"/>
  <c r="AF234" i="38"/>
  <c r="AO117" i="38"/>
  <c r="AK117" i="38"/>
  <c r="AJ117" i="38"/>
  <c r="AG117" i="38"/>
  <c r="AH117" i="38"/>
  <c r="AI117" i="38"/>
  <c r="AA117" i="38" a="1"/>
  <c r="AA117" i="38" s="1"/>
  <c r="AF117" i="38"/>
  <c r="AO157" i="38"/>
  <c r="AK157" i="38"/>
  <c r="AH157" i="38"/>
  <c r="AJ157" i="38"/>
  <c r="AI157" i="38"/>
  <c r="AG157" i="38"/>
  <c r="AF157" i="38"/>
  <c r="AA157" i="38" a="1"/>
  <c r="AA157" i="38" s="1"/>
  <c r="AO154" i="38"/>
  <c r="AJ154" i="38"/>
  <c r="AI154" i="38"/>
  <c r="AK154" i="38"/>
  <c r="AH154" i="38"/>
  <c r="AG154" i="38"/>
  <c r="AA154" i="38" a="1"/>
  <c r="AA154" i="38" s="1"/>
  <c r="AF154" i="38"/>
  <c r="AO283" i="38"/>
  <c r="AK283" i="38"/>
  <c r="AI283" i="38"/>
  <c r="AJ283" i="38"/>
  <c r="AG283" i="38"/>
  <c r="AF283" i="38"/>
  <c r="AA283" i="38" a="1"/>
  <c r="AA283" i="38" s="1"/>
  <c r="AH283" i="38"/>
  <c r="AO172" i="38"/>
  <c r="AJ172" i="38"/>
  <c r="AG172" i="38"/>
  <c r="AF172" i="38"/>
  <c r="AK172" i="38"/>
  <c r="AH172" i="38"/>
  <c r="AA172" i="38" a="1"/>
  <c r="AA172" i="38" s="1"/>
  <c r="AI172" i="38"/>
  <c r="AJ223" i="38"/>
  <c r="AH223" i="38"/>
  <c r="AI223" i="38"/>
  <c r="AG223" i="38"/>
  <c r="AO223" i="38"/>
  <c r="AA223" i="38" a="1"/>
  <c r="AA223" i="38" s="1"/>
  <c r="AF223" i="38"/>
  <c r="AK223" i="38"/>
  <c r="AO190" i="38"/>
  <c r="AJ190" i="38"/>
  <c r="AG190" i="38"/>
  <c r="AK190" i="38"/>
  <c r="AI190" i="38"/>
  <c r="AF190" i="38"/>
  <c r="AH190" i="38"/>
  <c r="AA190" i="38" a="1"/>
  <c r="AA190" i="38" s="1"/>
  <c r="AO221" i="38"/>
  <c r="AK221" i="38"/>
  <c r="AH221" i="38"/>
  <c r="AG221" i="38"/>
  <c r="AF221" i="38"/>
  <c r="AJ221" i="38"/>
  <c r="AA221" i="38" a="1"/>
  <c r="AA221" i="38" s="1"/>
  <c r="AI221" i="38"/>
  <c r="AO153" i="38"/>
  <c r="AG153" i="38"/>
  <c r="AK153" i="38"/>
  <c r="AF153" i="38"/>
  <c r="AJ153" i="38"/>
  <c r="AI153" i="38"/>
  <c r="AA153" i="38" a="1"/>
  <c r="AA153" i="38" s="1"/>
  <c r="AH153" i="38"/>
  <c r="AO264" i="38"/>
  <c r="AJ264" i="38"/>
  <c r="AG264" i="38"/>
  <c r="AI264" i="38"/>
  <c r="AK264" i="38"/>
  <c r="AA264" i="38" a="1"/>
  <c r="AA264" i="38" s="1"/>
  <c r="AH264" i="38"/>
  <c r="AF264" i="38"/>
  <c r="AO293" i="38"/>
  <c r="AH293" i="38"/>
  <c r="AJ293" i="38"/>
  <c r="AI293" i="38"/>
  <c r="AF293" i="38"/>
  <c r="AK293" i="38"/>
  <c r="AA293" i="38" a="1"/>
  <c r="AA293" i="38" s="1"/>
  <c r="AG293" i="38"/>
  <c r="AO294" i="38"/>
  <c r="AK294" i="38"/>
  <c r="AH294" i="38"/>
  <c r="AG294" i="38"/>
  <c r="AJ294" i="38"/>
  <c r="AI294" i="38"/>
  <c r="AF294" i="38"/>
  <c r="AA294" i="38" a="1"/>
  <c r="AA294" i="38" s="1"/>
  <c r="AO51" i="38"/>
  <c r="AH51" i="38"/>
  <c r="AK51" i="38"/>
  <c r="AF51" i="38"/>
  <c r="AI51" i="38"/>
  <c r="AJ51" i="38"/>
  <c r="AG51" i="38"/>
  <c r="AA51" i="38" a="1"/>
  <c r="AA51" i="38" s="1"/>
  <c r="AK227" i="38"/>
  <c r="AI227" i="38"/>
  <c r="AJ227" i="38"/>
  <c r="AF227" i="38"/>
  <c r="AO227" i="38"/>
  <c r="AG227" i="38"/>
  <c r="AH227" i="38"/>
  <c r="AA227" i="38" a="1"/>
  <c r="AA227" i="38" s="1"/>
  <c r="AO289" i="38"/>
  <c r="AJ289" i="38"/>
  <c r="AI289" i="38"/>
  <c r="AK289" i="38"/>
  <c r="AH289" i="38"/>
  <c r="AA289" i="38" a="1"/>
  <c r="AA289" i="38" s="1"/>
  <c r="AF289" i="38"/>
  <c r="AG289" i="38"/>
  <c r="AO260" i="38"/>
  <c r="AI260" i="38"/>
  <c r="AG260" i="38"/>
  <c r="AF260" i="38"/>
  <c r="AH260" i="38"/>
  <c r="AJ260" i="38"/>
  <c r="AA260" i="38" a="1"/>
  <c r="AA260" i="38" s="1"/>
  <c r="AK260" i="38"/>
  <c r="AJ279" i="38"/>
  <c r="AH279" i="38"/>
  <c r="AG279" i="38"/>
  <c r="AI279" i="38"/>
  <c r="AK279" i="38"/>
  <c r="AA279" i="38" a="1"/>
  <c r="AA279" i="38" s="1"/>
  <c r="AO279" i="38"/>
  <c r="AF279" i="38"/>
  <c r="AO209" i="38"/>
  <c r="AJ209" i="38"/>
  <c r="AK209" i="38"/>
  <c r="AH209" i="38"/>
  <c r="AF209" i="38"/>
  <c r="AA209" i="38" a="1"/>
  <c r="AA209" i="38" s="1"/>
  <c r="AI209" i="38"/>
  <c r="AG209" i="38"/>
  <c r="AO134" i="38"/>
  <c r="AG134" i="38"/>
  <c r="AH134" i="38"/>
  <c r="AI134" i="38"/>
  <c r="AJ134" i="38"/>
  <c r="AK134" i="38"/>
  <c r="AF134" i="38"/>
  <c r="AA134" i="38" a="1"/>
  <c r="AA134" i="38" s="1"/>
  <c r="AO173" i="38"/>
  <c r="AJ173" i="38"/>
  <c r="AI173" i="38"/>
  <c r="AK173" i="38"/>
  <c r="AH173" i="38"/>
  <c r="AG173" i="38"/>
  <c r="AF173" i="38"/>
  <c r="AA173" i="38" a="1"/>
  <c r="AA173" i="38" s="1"/>
  <c r="AO245" i="38"/>
  <c r="AJ245" i="38"/>
  <c r="AG245" i="38"/>
  <c r="AF245" i="38"/>
  <c r="AK245" i="38"/>
  <c r="AA245" i="38" a="1"/>
  <c r="AA245" i="38" s="1"/>
  <c r="AI245" i="38"/>
  <c r="AH245" i="38"/>
  <c r="AI115" i="38"/>
  <c r="AG115" i="38"/>
  <c r="AF115" i="38"/>
  <c r="AO115" i="38"/>
  <c r="AK115" i="38"/>
  <c r="AJ115" i="38"/>
  <c r="AH115" i="38"/>
  <c r="AA115" i="38" a="1"/>
  <c r="AA115" i="38" s="1"/>
  <c r="AO246" i="38"/>
  <c r="AJ246" i="38"/>
  <c r="AG246" i="38"/>
  <c r="AF246" i="38"/>
  <c r="AK246" i="38"/>
  <c r="AI246" i="38"/>
  <c r="AH246" i="38"/>
  <c r="AA246" i="38" a="1"/>
  <c r="AA246" i="38" s="1"/>
  <c r="AJ265" i="38"/>
  <c r="AO265" i="38"/>
  <c r="AI265" i="38"/>
  <c r="AK265" i="38"/>
  <c r="AA265" i="38" a="1"/>
  <c r="AA265" i="38" s="1"/>
  <c r="AF265" i="38"/>
  <c r="AH265" i="38"/>
  <c r="AG265" i="38"/>
  <c r="AJ207" i="38"/>
  <c r="AH207" i="38"/>
  <c r="AO207" i="38"/>
  <c r="AG207" i="38"/>
  <c r="AI207" i="38"/>
  <c r="AF207" i="38"/>
  <c r="AA207" i="38" a="1"/>
  <c r="AA207" i="38" s="1"/>
  <c r="AK207" i="38"/>
  <c r="AH110" i="38"/>
  <c r="AO110" i="38"/>
  <c r="AG110" i="38"/>
  <c r="AJ110" i="38"/>
  <c r="AK110" i="38"/>
  <c r="AI110" i="38"/>
  <c r="AF110" i="38"/>
  <c r="AA110" i="38" a="1"/>
  <c r="AA110" i="38" s="1"/>
  <c r="AO241" i="38"/>
  <c r="AI241" i="38"/>
  <c r="AJ241" i="38"/>
  <c r="AK241" i="38"/>
  <c r="AH241" i="38"/>
  <c r="AA241" i="38" a="1"/>
  <c r="AA241" i="38" s="1"/>
  <c r="AF241" i="38"/>
  <c r="AG241" i="38"/>
  <c r="AK235" i="38"/>
  <c r="AI235" i="38"/>
  <c r="AO235" i="38"/>
  <c r="AF235" i="38"/>
  <c r="AG235" i="38"/>
  <c r="AJ235" i="38"/>
  <c r="AH235" i="38"/>
  <c r="AA235" i="38" a="1"/>
  <c r="AA235" i="38" s="1"/>
  <c r="AJ151" i="38"/>
  <c r="AH151" i="38"/>
  <c r="AO151" i="38"/>
  <c r="AI151" i="38"/>
  <c r="AK151" i="38"/>
  <c r="AA151" i="38" a="1"/>
  <c r="AA151" i="38" s="1"/>
  <c r="AF151" i="38"/>
  <c r="AG151" i="38"/>
  <c r="AG280" i="38"/>
  <c r="AH280" i="38"/>
  <c r="AJ280" i="38"/>
  <c r="AI280" i="38"/>
  <c r="AA280" i="38" a="1"/>
  <c r="AA280" i="38" s="1"/>
  <c r="AO280" i="38"/>
  <c r="AK280" i="38"/>
  <c r="AF280" i="38"/>
  <c r="AK202" i="38"/>
  <c r="AH202" i="38"/>
  <c r="AO202" i="38"/>
  <c r="AI202" i="38"/>
  <c r="AA202" i="38" a="1"/>
  <c r="AA202" i="38" s="1"/>
  <c r="AJ202" i="38"/>
  <c r="AF202" i="38"/>
  <c r="AG202" i="38"/>
  <c r="AK118" i="38"/>
  <c r="AJ118" i="38"/>
  <c r="AI118" i="38"/>
  <c r="AO118" i="38"/>
  <c r="AH118" i="38"/>
  <c r="AG118" i="38"/>
  <c r="AA118" i="38" a="1"/>
  <c r="AA118" i="38" s="1"/>
  <c r="AF118" i="38"/>
  <c r="AO251" i="38"/>
  <c r="AK251" i="38"/>
  <c r="AI251" i="38"/>
  <c r="AJ251" i="38"/>
  <c r="AG251" i="38"/>
  <c r="AA251" i="38" a="1"/>
  <c r="AA251" i="38" s="1"/>
  <c r="AH251" i="38"/>
  <c r="AF251" i="38"/>
  <c r="AG170" i="38"/>
  <c r="AH170" i="38"/>
  <c r="AO170" i="38"/>
  <c r="AJ170" i="38"/>
  <c r="AI170" i="38"/>
  <c r="AA170" i="38" a="1"/>
  <c r="AA170" i="38" s="1"/>
  <c r="AF170" i="38"/>
  <c r="AK170" i="38"/>
  <c r="AJ271" i="38"/>
  <c r="AH271" i="38"/>
  <c r="AG271" i="38"/>
  <c r="AI271" i="38"/>
  <c r="AA271" i="38" a="1"/>
  <c r="AA271" i="38" s="1"/>
  <c r="AO271" i="38"/>
  <c r="AK271" i="38"/>
  <c r="AF271" i="38"/>
  <c r="AK203" i="38"/>
  <c r="AI203" i="38"/>
  <c r="AG203" i="38"/>
  <c r="AF203" i="38"/>
  <c r="AH203" i="38"/>
  <c r="AO203" i="38"/>
  <c r="AA203" i="38" a="1"/>
  <c r="AA203" i="38" s="1"/>
  <c r="AJ203" i="38"/>
  <c r="AO130" i="38"/>
  <c r="AH130" i="38"/>
  <c r="AK130" i="38"/>
  <c r="AI130" i="38"/>
  <c r="AA130" i="38" a="1"/>
  <c r="AA130" i="38" s="1"/>
  <c r="AG130" i="38"/>
  <c r="AF130" i="38"/>
  <c r="AJ130" i="38"/>
  <c r="AO201" i="38"/>
  <c r="AJ201" i="38"/>
  <c r="AK201" i="38"/>
  <c r="AA201" i="38" a="1"/>
  <c r="AA201" i="38" s="1"/>
  <c r="AG201" i="38"/>
  <c r="AF201" i="38"/>
  <c r="AH201" i="38"/>
  <c r="AI201" i="38"/>
  <c r="AK137" i="38"/>
  <c r="AJ137" i="38"/>
  <c r="AH137" i="38"/>
  <c r="AI137" i="38"/>
  <c r="AA137" i="38" a="1"/>
  <c r="AA137" i="38" s="1"/>
  <c r="AO137" i="38"/>
  <c r="AF137" i="38"/>
  <c r="AG137" i="38"/>
  <c r="AO206" i="38"/>
  <c r="AI206" i="38"/>
  <c r="AH206" i="38"/>
  <c r="AG206" i="38"/>
  <c r="AK206" i="38"/>
  <c r="AJ206" i="38"/>
  <c r="AF206" i="38"/>
  <c r="AA206" i="38" a="1"/>
  <c r="AA206" i="38" s="1"/>
  <c r="AO187" i="38"/>
  <c r="AK187" i="38"/>
  <c r="AI187" i="38"/>
  <c r="AG187" i="38"/>
  <c r="AF187" i="38"/>
  <c r="AA187" i="38" a="1"/>
  <c r="AA187" i="38" s="1"/>
  <c r="AJ187" i="38"/>
  <c r="AH187" i="38"/>
  <c r="AK179" i="38"/>
  <c r="AI179" i="38"/>
  <c r="AG179" i="38"/>
  <c r="AF179" i="38"/>
  <c r="AO179" i="38"/>
  <c r="AJ179" i="38"/>
  <c r="AH179" i="38"/>
  <c r="AA179" i="38" a="1"/>
  <c r="AA179" i="38" s="1"/>
  <c r="AO167" i="38"/>
  <c r="AJ167" i="38"/>
  <c r="AH167" i="38"/>
  <c r="AK167" i="38"/>
  <c r="AI167" i="38"/>
  <c r="AG167" i="38"/>
  <c r="AA167" i="38" a="1"/>
  <c r="AA167" i="38" s="1"/>
  <c r="AF167" i="38"/>
  <c r="AO168" i="38"/>
  <c r="AI168" i="38"/>
  <c r="AJ168" i="38"/>
  <c r="AK168" i="38"/>
  <c r="AF168" i="38"/>
  <c r="AG168" i="38"/>
  <c r="AA168" i="38" a="1"/>
  <c r="AA168" i="38" s="1"/>
  <c r="AH168" i="38"/>
  <c r="AO197" i="38"/>
  <c r="AI197" i="38"/>
  <c r="AF197" i="38"/>
  <c r="AG197" i="38"/>
  <c r="AK197" i="38"/>
  <c r="AJ197" i="38"/>
  <c r="AA197" i="38" a="1"/>
  <c r="AA197" i="38" s="1"/>
  <c r="AH197" i="38"/>
  <c r="AO282" i="38"/>
  <c r="AJ282" i="38"/>
  <c r="AG282" i="38"/>
  <c r="AA282" i="38" a="1"/>
  <c r="AA282" i="38" s="1"/>
  <c r="AK282" i="38"/>
  <c r="AF282" i="38"/>
  <c r="AH282" i="38"/>
  <c r="AI282" i="38"/>
  <c r="AO114" i="38"/>
  <c r="AI114" i="38"/>
  <c r="AK114" i="38"/>
  <c r="AJ114" i="38"/>
  <c r="AA114" i="38" a="1"/>
  <c r="AA114" i="38" s="1"/>
  <c r="AF114" i="38"/>
  <c r="AH114" i="38"/>
  <c r="AG114" i="38"/>
  <c r="AK163" i="38"/>
  <c r="AI163" i="38"/>
  <c r="AG163" i="38"/>
  <c r="AJ163" i="38"/>
  <c r="AF163" i="38"/>
  <c r="AO163" i="38"/>
  <c r="AH163" i="38"/>
  <c r="AA163" i="38" a="1"/>
  <c r="AA163" i="38" s="1"/>
  <c r="AO176" i="38"/>
  <c r="AK176" i="38"/>
  <c r="AH176" i="38"/>
  <c r="AJ176" i="38"/>
  <c r="AF176" i="38"/>
  <c r="AA176" i="38" a="1"/>
  <c r="AA176" i="38" s="1"/>
  <c r="AI176" i="38"/>
  <c r="AG176" i="38"/>
  <c r="AO109" i="38"/>
  <c r="AJ109" i="38"/>
  <c r="AG109" i="38"/>
  <c r="AH109" i="38"/>
  <c r="AI109" i="38"/>
  <c r="AK109" i="38"/>
  <c r="AF109" i="38"/>
  <c r="AA109" i="38" a="1"/>
  <c r="AA109" i="38" s="1"/>
  <c r="AK211" i="38"/>
  <c r="AI211" i="38"/>
  <c r="AH211" i="38"/>
  <c r="AF211" i="38"/>
  <c r="AO211" i="38"/>
  <c r="AG211" i="38"/>
  <c r="AA211" i="38" a="1"/>
  <c r="AA211" i="38" s="1"/>
  <c r="AJ211" i="38"/>
  <c r="AO116" i="38"/>
  <c r="AK116" i="38"/>
  <c r="AG116" i="38"/>
  <c r="AF116" i="38"/>
  <c r="AH116" i="38"/>
  <c r="AI116" i="38"/>
  <c r="AJ116" i="38"/>
  <c r="AA116" i="38" a="1"/>
  <c r="AA116" i="38" s="1"/>
  <c r="AO274" i="38"/>
  <c r="AJ274" i="38"/>
  <c r="AK274" i="38"/>
  <c r="AH274" i="38"/>
  <c r="AA274" i="38" a="1"/>
  <c r="AA274" i="38" s="1"/>
  <c r="AI274" i="38"/>
  <c r="AG274" i="38"/>
  <c r="AF274" i="38"/>
  <c r="AO296" i="38"/>
  <c r="AI296" i="38"/>
  <c r="AG296" i="38"/>
  <c r="AA296" i="38" a="1"/>
  <c r="AA296" i="38" s="1"/>
  <c r="AJ296" i="38"/>
  <c r="AK296" i="38"/>
  <c r="AH296" i="38"/>
  <c r="AF296" i="38"/>
  <c r="AO156" i="38"/>
  <c r="AH156" i="38"/>
  <c r="AF156" i="38"/>
  <c r="AJ156" i="38"/>
  <c r="AI156" i="38"/>
  <c r="AK156" i="38"/>
  <c r="AG156" i="38"/>
  <c r="AA156" i="38" a="1"/>
  <c r="AA156" i="38" s="1"/>
  <c r="AJ182" i="38"/>
  <c r="AH182" i="38"/>
  <c r="AO182" i="38"/>
  <c r="AI182" i="38"/>
  <c r="AG182" i="38"/>
  <c r="AK182" i="38"/>
  <c r="AA182" i="38" a="1"/>
  <c r="AA182" i="38" s="1"/>
  <c r="AF182" i="38"/>
  <c r="AI150" i="38"/>
  <c r="AO150" i="38"/>
  <c r="AF150" i="38"/>
  <c r="AA150" i="38" a="1"/>
  <c r="AA150" i="38" s="1"/>
  <c r="AG150" i="38"/>
  <c r="AJ150" i="38"/>
  <c r="AH150" i="38"/>
  <c r="AK150" i="38"/>
  <c r="AO278" i="38"/>
  <c r="AI278" i="38"/>
  <c r="AK278" i="38"/>
  <c r="AJ278" i="38"/>
  <c r="AF278" i="38"/>
  <c r="AG278" i="38"/>
  <c r="AA278" i="38" a="1"/>
  <c r="AA278" i="38" s="1"/>
  <c r="AH278" i="38"/>
  <c r="AO295" i="38"/>
  <c r="AJ295" i="38"/>
  <c r="AH295" i="38"/>
  <c r="AG295" i="38"/>
  <c r="AK295" i="38"/>
  <c r="AA295" i="38" a="1"/>
  <c r="AA295" i="38" s="1"/>
  <c r="AF295" i="38"/>
  <c r="AI295" i="38"/>
  <c r="AO225" i="38"/>
  <c r="AH225" i="38"/>
  <c r="AG225" i="38"/>
  <c r="AA225" i="38" a="1"/>
  <c r="AA225" i="38" s="1"/>
  <c r="AI225" i="38"/>
  <c r="AJ225" i="38"/>
  <c r="AF225" i="38"/>
  <c r="AK225" i="38"/>
  <c r="AO136" i="38"/>
  <c r="AJ136" i="38"/>
  <c r="AH136" i="38"/>
  <c r="AF136" i="38"/>
  <c r="AI136" i="38"/>
  <c r="AA136" i="38" a="1"/>
  <c r="AA136" i="38" s="1"/>
  <c r="AK136" i="38"/>
  <c r="AG136" i="38"/>
  <c r="AO122" i="38"/>
  <c r="AI122" i="38"/>
  <c r="AH122" i="38"/>
  <c r="AJ122" i="38"/>
  <c r="AG122" i="38"/>
  <c r="AF122" i="38"/>
  <c r="AA122" i="38" a="1"/>
  <c r="AA122" i="38" s="1"/>
  <c r="AK122" i="38"/>
  <c r="AO103" i="38"/>
  <c r="AJ103" i="38"/>
  <c r="AH103" i="38"/>
  <c r="AK103" i="38"/>
  <c r="AA103" i="38" a="1"/>
  <c r="AA103" i="38" s="1"/>
  <c r="AF103" i="38"/>
  <c r="AG103" i="38"/>
  <c r="AI103" i="38"/>
  <c r="AO132" i="38"/>
  <c r="AK132" i="38"/>
  <c r="AI132" i="38"/>
  <c r="AF132" i="38"/>
  <c r="AG132" i="38"/>
  <c r="AJ132" i="38"/>
  <c r="AA132" i="38" a="1"/>
  <c r="AA132" i="38" s="1"/>
  <c r="AH132" i="38"/>
  <c r="AO205" i="38"/>
  <c r="AI205" i="38"/>
  <c r="AK205" i="38"/>
  <c r="AJ205" i="38"/>
  <c r="AH205" i="38"/>
  <c r="AG205" i="38"/>
  <c r="AF205" i="38"/>
  <c r="AA205" i="38" a="1"/>
  <c r="AA205" i="38" s="1"/>
  <c r="AO135" i="38"/>
  <c r="AJ135" i="38"/>
  <c r="AH135" i="38"/>
  <c r="AG135" i="38"/>
  <c r="AI135" i="38"/>
  <c r="AA135" i="38" a="1"/>
  <c r="AA135" i="38" s="1"/>
  <c r="AK135" i="38"/>
  <c r="AF135" i="38"/>
  <c r="AO174" i="38"/>
  <c r="AH174" i="38"/>
  <c r="AJ174" i="38"/>
  <c r="AG174" i="38"/>
  <c r="AI174" i="38"/>
  <c r="AK174" i="38"/>
  <c r="AF174" i="38"/>
  <c r="AA174" i="38" a="1"/>
  <c r="AA174" i="38" s="1"/>
  <c r="AO253" i="38"/>
  <c r="AI253" i="38"/>
  <c r="AK253" i="38"/>
  <c r="AJ253" i="38"/>
  <c r="AH253" i="38"/>
  <c r="AF253" i="38"/>
  <c r="AA253" i="38" a="1"/>
  <c r="AA253" i="38" s="1"/>
  <c r="AG253" i="38"/>
  <c r="AO298" i="38"/>
  <c r="AA298" i="38" a="1"/>
  <c r="AA298" i="38" s="1"/>
  <c r="AG298" i="38"/>
  <c r="AJ298" i="38"/>
  <c r="AH298" i="38"/>
  <c r="AF298" i="38"/>
  <c r="AI298" i="38"/>
  <c r="AK298" i="38"/>
  <c r="AO269" i="38"/>
  <c r="AI269" i="38"/>
  <c r="AH269" i="38"/>
  <c r="AG269" i="38"/>
  <c r="AF269" i="38"/>
  <c r="AK269" i="38"/>
  <c r="AA269" i="38" a="1"/>
  <c r="AA269" i="38" s="1"/>
  <c r="AJ269" i="38"/>
  <c r="AJ287" i="38"/>
  <c r="AH287" i="38"/>
  <c r="AI287" i="38"/>
  <c r="AG287" i="38"/>
  <c r="AK287" i="38"/>
  <c r="AA287" i="38" a="1"/>
  <c r="AA287" i="38" s="1"/>
  <c r="AF287" i="38"/>
  <c r="AO287" i="38"/>
  <c r="AO217" i="38"/>
  <c r="AJ217" i="38"/>
  <c r="AI217" i="38"/>
  <c r="AK217" i="38"/>
  <c r="AF217" i="38"/>
  <c r="AA217" i="38" a="1"/>
  <c r="AA217" i="38" s="1"/>
  <c r="AG217" i="38"/>
  <c r="AH217" i="38"/>
  <c r="AO198" i="38"/>
  <c r="AG198" i="38"/>
  <c r="AJ198" i="38"/>
  <c r="AF198" i="38"/>
  <c r="AK198" i="38"/>
  <c r="AI198" i="38"/>
  <c r="AH198" i="38"/>
  <c r="AA198" i="38" a="1"/>
  <c r="AA198" i="38" s="1"/>
  <c r="AK226" i="38"/>
  <c r="AF226" i="38"/>
  <c r="AH226" i="38"/>
  <c r="AG226" i="38"/>
  <c r="AA226" i="38" a="1"/>
  <c r="AA226" i="38" s="1"/>
  <c r="AO226" i="38"/>
  <c r="AI226" i="38"/>
  <c r="AJ226" i="38"/>
  <c r="AO125" i="38"/>
  <c r="AG125" i="38"/>
  <c r="AH125" i="38"/>
  <c r="AF125" i="38"/>
  <c r="AJ125" i="38"/>
  <c r="AA125" i="38" a="1"/>
  <c r="AA125" i="38" s="1"/>
  <c r="AK125" i="38"/>
  <c r="AI125" i="38"/>
  <c r="AO257" i="38"/>
  <c r="AK257" i="38"/>
  <c r="AH257" i="38"/>
  <c r="AJ257" i="38"/>
  <c r="AI257" i="38"/>
  <c r="AA257" i="38" a="1"/>
  <c r="AA257" i="38" s="1"/>
  <c r="AF257" i="38"/>
  <c r="AG257" i="38"/>
  <c r="AK299" i="38"/>
  <c r="AI299" i="38"/>
  <c r="AO299" i="38"/>
  <c r="AG299" i="38"/>
  <c r="AJ299" i="38"/>
  <c r="AH299" i="38"/>
  <c r="AF299" i="38"/>
  <c r="AA299" i="38" a="1"/>
  <c r="AA299" i="38" s="1"/>
  <c r="AO224" i="38"/>
  <c r="AI224" i="38"/>
  <c r="AG224" i="38"/>
  <c r="AH224" i="38"/>
  <c r="AA224" i="38" a="1"/>
  <c r="AA224" i="38" s="1"/>
  <c r="AJ224" i="38"/>
  <c r="AK224" i="38"/>
  <c r="AF224" i="38"/>
  <c r="AO141" i="38"/>
  <c r="AI141" i="38"/>
  <c r="AH141" i="38"/>
  <c r="AG141" i="38"/>
  <c r="AJ141" i="38"/>
  <c r="AK141" i="38"/>
  <c r="AA141" i="38" a="1"/>
  <c r="AA141" i="38" s="1"/>
  <c r="AF141" i="38"/>
  <c r="AI270" i="38"/>
  <c r="AG270" i="38"/>
  <c r="AO270" i="38"/>
  <c r="AK270" i="38"/>
  <c r="AJ270" i="38"/>
  <c r="AH270" i="38"/>
  <c r="AF270" i="38"/>
  <c r="AA270" i="38" a="1"/>
  <c r="AA270" i="38" s="1"/>
  <c r="AO191" i="38"/>
  <c r="AJ191" i="38"/>
  <c r="AH191" i="38"/>
  <c r="AI191" i="38"/>
  <c r="AK191" i="38"/>
  <c r="AA191" i="38" a="1"/>
  <c r="AA191" i="38" s="1"/>
  <c r="AG191" i="38"/>
  <c r="AF191" i="38"/>
  <c r="AO108" i="38"/>
  <c r="AK108" i="38"/>
  <c r="AJ108" i="38"/>
  <c r="AG108" i="38"/>
  <c r="AF108" i="38"/>
  <c r="AH108" i="38"/>
  <c r="AI108" i="38"/>
  <c r="AA108" i="38" a="1"/>
  <c r="AA108" i="38" s="1"/>
  <c r="AO242" i="38"/>
  <c r="AI242" i="38"/>
  <c r="AJ242" i="38"/>
  <c r="AK242" i="38"/>
  <c r="AH242" i="38"/>
  <c r="AA242" i="38" a="1"/>
  <c r="AA242" i="38" s="1"/>
  <c r="AG242" i="38"/>
  <c r="AF242" i="38"/>
  <c r="AJ159" i="38"/>
  <c r="AH159" i="38"/>
  <c r="AO159" i="38"/>
  <c r="AI159" i="38"/>
  <c r="AA159" i="38" a="1"/>
  <c r="AA159" i="38" s="1"/>
  <c r="AG159" i="38"/>
  <c r="AK159" i="38"/>
  <c r="AF159" i="38"/>
  <c r="AO263" i="38"/>
  <c r="AJ263" i="38"/>
  <c r="AH263" i="38"/>
  <c r="AG263" i="38"/>
  <c r="AK263" i="38"/>
  <c r="AA263" i="38" a="1"/>
  <c r="AA263" i="38" s="1"/>
  <c r="AF263" i="38"/>
  <c r="AI263" i="38"/>
  <c r="AK194" i="38"/>
  <c r="AH194" i="38"/>
  <c r="AJ194" i="38"/>
  <c r="AG194" i="38"/>
  <c r="AI194" i="38"/>
  <c r="AA194" i="38" a="1"/>
  <c r="AA194" i="38" s="1"/>
  <c r="AF194" i="38"/>
  <c r="AO194" i="38"/>
  <c r="AO120" i="38"/>
  <c r="AK120" i="38"/>
  <c r="AH120" i="38"/>
  <c r="AJ120" i="38"/>
  <c r="AG120" i="38"/>
  <c r="AI120" i="38"/>
  <c r="AA120" i="38" a="1"/>
  <c r="AA120" i="38" s="1"/>
  <c r="AF120" i="38"/>
  <c r="AK193" i="38"/>
  <c r="AH193" i="38"/>
  <c r="AJ193" i="38"/>
  <c r="AI193" i="38"/>
  <c r="AA193" i="38" a="1"/>
  <c r="AA193" i="38" s="1"/>
  <c r="AF193" i="38"/>
  <c r="AG193" i="38"/>
  <c r="AO193" i="38"/>
  <c r="AK129" i="38"/>
  <c r="AO129" i="38"/>
  <c r="AH129" i="38"/>
  <c r="AI129" i="38"/>
  <c r="AA129" i="38" a="1"/>
  <c r="AA129" i="38" s="1"/>
  <c r="AF129" i="38"/>
  <c r="AJ129" i="38"/>
  <c r="AG129" i="38"/>
  <c r="AO229" i="38"/>
  <c r="AH229" i="38"/>
  <c r="AJ229" i="38"/>
  <c r="AI229" i="38"/>
  <c r="AK229" i="38"/>
  <c r="AF229" i="38"/>
  <c r="AG229" i="38"/>
  <c r="AA229" i="38" a="1"/>
  <c r="AA229" i="38" s="1"/>
  <c r="AO210" i="38"/>
  <c r="AJ210" i="38"/>
  <c r="AI210" i="38"/>
  <c r="AG210" i="38"/>
  <c r="AK210" i="38"/>
  <c r="AH210" i="38"/>
  <c r="AA210" i="38" a="1"/>
  <c r="AA210" i="38" s="1"/>
  <c r="AF210" i="38"/>
  <c r="AO220" i="38"/>
  <c r="AH220" i="38"/>
  <c r="AF220" i="38"/>
  <c r="AJ220" i="38"/>
  <c r="AI220" i="38"/>
  <c r="AA220" i="38" a="1"/>
  <c r="AA220" i="38" s="1"/>
  <c r="AK220" i="38"/>
  <c r="AG220" i="38"/>
  <c r="AO188" i="38"/>
  <c r="AI188" i="38"/>
  <c r="AF188" i="38"/>
  <c r="AH188" i="38"/>
  <c r="AA188" i="38" a="1"/>
  <c r="AA188" i="38" s="1"/>
  <c r="AK188" i="38"/>
  <c r="AJ188" i="38"/>
  <c r="AG188" i="38"/>
  <c r="AO196" i="38"/>
  <c r="AI196" i="38"/>
  <c r="AF196" i="38"/>
  <c r="AH196" i="38"/>
  <c r="AG196" i="38"/>
  <c r="AK196" i="38"/>
  <c r="AJ196" i="38"/>
  <c r="AA196" i="38" a="1"/>
  <c r="AA196" i="38" s="1"/>
  <c r="AO218" i="38"/>
  <c r="AJ218" i="38"/>
  <c r="AH218" i="38"/>
  <c r="AG218" i="38"/>
  <c r="AI218" i="38"/>
  <c r="AF218" i="38"/>
  <c r="AK218" i="38"/>
  <c r="AA218" i="38" a="1"/>
  <c r="AA218" i="38" s="1"/>
  <c r="AO155" i="38"/>
  <c r="AK155" i="38"/>
  <c r="AI155" i="38"/>
  <c r="AG155" i="38"/>
  <c r="AF155" i="38"/>
  <c r="AJ155" i="38"/>
  <c r="AH155" i="38"/>
  <c r="AA155" i="38" a="1"/>
  <c r="AA155" i="38" s="1"/>
  <c r="AO244" i="38"/>
  <c r="AH244" i="38"/>
  <c r="AI244" i="38"/>
  <c r="AF244" i="38"/>
  <c r="AA244" i="38" a="1"/>
  <c r="AA244" i="38" s="1"/>
  <c r="AJ244" i="38"/>
  <c r="AG244" i="38"/>
  <c r="AK244" i="38"/>
  <c r="AO213" i="38"/>
  <c r="AK213" i="38"/>
  <c r="AJ213" i="38"/>
  <c r="AG213" i="38"/>
  <c r="AI213" i="38"/>
  <c r="AA213" i="38" a="1"/>
  <c r="AA213" i="38" s="1"/>
  <c r="AH213" i="38"/>
  <c r="AF213" i="38"/>
  <c r="AO180" i="38"/>
  <c r="AG180" i="38"/>
  <c r="AF180" i="38"/>
  <c r="AI180" i="38"/>
  <c r="AK180" i="38"/>
  <c r="AJ180" i="38"/>
  <c r="AA180" i="38" a="1"/>
  <c r="AA180" i="38" s="1"/>
  <c r="AH180" i="38"/>
  <c r="AO212" i="38"/>
  <c r="AK212" i="38"/>
  <c r="AH212" i="38"/>
  <c r="AF212" i="38"/>
  <c r="AJ212" i="38"/>
  <c r="AI212" i="38"/>
  <c r="AG212" i="38"/>
  <c r="AA212" i="38" a="1"/>
  <c r="AA212" i="38" s="1"/>
  <c r="AO145" i="38"/>
  <c r="AJ145" i="38"/>
  <c r="AH145" i="38"/>
  <c r="AG145" i="38"/>
  <c r="AI145" i="38"/>
  <c r="AF145" i="38"/>
  <c r="AA145" i="38" a="1"/>
  <c r="AA145" i="38" s="1"/>
  <c r="AK145" i="38"/>
  <c r="AO106" i="38"/>
  <c r="AK106" i="38"/>
  <c r="AG106" i="38"/>
  <c r="AJ106" i="38"/>
  <c r="AI106" i="38"/>
  <c r="AA106" i="38" a="1"/>
  <c r="AA106" i="38" s="1"/>
  <c r="AF106" i="38"/>
  <c r="AH106" i="38"/>
  <c r="AO240" i="38"/>
  <c r="AK240" i="38"/>
  <c r="AH240" i="38"/>
  <c r="AG240" i="38"/>
  <c r="AI240" i="38"/>
  <c r="AA240" i="38" a="1"/>
  <c r="AA240" i="38" s="1"/>
  <c r="AF240" i="38"/>
  <c r="AJ240" i="38"/>
  <c r="AJ143" i="38"/>
  <c r="AH143" i="38"/>
  <c r="AG143" i="38"/>
  <c r="AI143" i="38"/>
  <c r="AO143" i="38"/>
  <c r="AK143" i="38"/>
  <c r="AF143" i="38"/>
  <c r="AA143" i="38" a="1"/>
  <c r="AA143" i="38" s="1"/>
  <c r="AO273" i="38"/>
  <c r="AJ273" i="38"/>
  <c r="AG273" i="38"/>
  <c r="AK273" i="38"/>
  <c r="AI273" i="38"/>
  <c r="AH273" i="38"/>
  <c r="AA273" i="38" a="1"/>
  <c r="AA273" i="38" s="1"/>
  <c r="AF273" i="38"/>
  <c r="AO290" i="38"/>
  <c r="AJ290" i="38"/>
  <c r="AI290" i="38"/>
  <c r="AK290" i="38"/>
  <c r="AA290" i="38" a="1"/>
  <c r="AA290" i="38" s="1"/>
  <c r="AH290" i="38"/>
  <c r="AG290" i="38"/>
  <c r="AF290" i="38"/>
  <c r="AI214" i="38"/>
  <c r="AK214" i="38"/>
  <c r="AJ214" i="38"/>
  <c r="AF214" i="38"/>
  <c r="AH214" i="38"/>
  <c r="AO214" i="38"/>
  <c r="AA214" i="38" a="1"/>
  <c r="AA214" i="38" s="1"/>
  <c r="AG214" i="38"/>
  <c r="AI131" i="38"/>
  <c r="AG131" i="38"/>
  <c r="AF131" i="38"/>
  <c r="AJ131" i="38"/>
  <c r="AK131" i="38"/>
  <c r="AO131" i="38"/>
  <c r="AH131" i="38"/>
  <c r="AA131" i="38" a="1"/>
  <c r="AA131" i="38" s="1"/>
  <c r="AO261" i="38"/>
  <c r="AI261" i="38"/>
  <c r="AF261" i="38"/>
  <c r="AG261" i="38"/>
  <c r="AJ261" i="38"/>
  <c r="AA261" i="38" a="1"/>
  <c r="AA261" i="38" s="1"/>
  <c r="AK261" i="38"/>
  <c r="AH261" i="38"/>
  <c r="AO181" i="38"/>
  <c r="AJ181" i="38"/>
  <c r="AG181" i="38"/>
  <c r="AH181" i="38"/>
  <c r="AI181" i="38"/>
  <c r="AK181" i="38"/>
  <c r="AA181" i="38" a="1"/>
  <c r="AA181" i="38" s="1"/>
  <c r="AF181" i="38"/>
  <c r="AO232" i="38"/>
  <c r="AI232" i="38"/>
  <c r="AG232" i="38"/>
  <c r="AH232" i="38"/>
  <c r="AJ232" i="38"/>
  <c r="AK232" i="38"/>
  <c r="AA232" i="38" a="1"/>
  <c r="AA232" i="38" s="1"/>
  <c r="AF232" i="38"/>
  <c r="AO149" i="38"/>
  <c r="AK149" i="38"/>
  <c r="AH149" i="38"/>
  <c r="AG149" i="38"/>
  <c r="AI149" i="38"/>
  <c r="AA149" i="38" a="1"/>
  <c r="AA149" i="38" s="1"/>
  <c r="AJ149" i="38"/>
  <c r="AF149" i="38"/>
  <c r="AJ255" i="38"/>
  <c r="AH255" i="38"/>
  <c r="AG255" i="38"/>
  <c r="AI255" i="38"/>
  <c r="AA255" i="38" a="1"/>
  <c r="AA255" i="38" s="1"/>
  <c r="AK255" i="38"/>
  <c r="AF255" i="38"/>
  <c r="AO255" i="38"/>
  <c r="AK184" i="38"/>
  <c r="AH184" i="38"/>
  <c r="AJ184" i="38"/>
  <c r="AO184" i="38"/>
  <c r="AG184" i="38"/>
  <c r="AA184" i="38" a="1"/>
  <c r="AA184" i="38" s="1"/>
  <c r="AF184" i="38"/>
  <c r="AI184" i="38"/>
  <c r="AK111" i="38"/>
  <c r="AJ111" i="38"/>
  <c r="AH111" i="38"/>
  <c r="AO111" i="38"/>
  <c r="AF111" i="38"/>
  <c r="AA111" i="38" a="1"/>
  <c r="AA111" i="38" s="1"/>
  <c r="AG111" i="38"/>
  <c r="AI111" i="38"/>
  <c r="AK185" i="38"/>
  <c r="AH185" i="38"/>
  <c r="AF185" i="38"/>
  <c r="AO185" i="38"/>
  <c r="AG185" i="38"/>
  <c r="AA185" i="38" a="1"/>
  <c r="AA185" i="38" s="1"/>
  <c r="AJ185" i="38"/>
  <c r="AI185" i="38"/>
  <c r="AO121" i="38"/>
  <c r="AH121" i="38"/>
  <c r="AJ121" i="38"/>
  <c r="AG121" i="38"/>
  <c r="AF121" i="38"/>
  <c r="AA121" i="38" a="1"/>
  <c r="AA121" i="38" s="1"/>
  <c r="AI121" i="38"/>
  <c r="AK121" i="38"/>
  <c r="AK249" i="38"/>
  <c r="AH249" i="38"/>
  <c r="AI249" i="38"/>
  <c r="AG249" i="38"/>
  <c r="AA249" i="38" a="1"/>
  <c r="AA249" i="38" s="1"/>
  <c r="AO249" i="38"/>
  <c r="AF249" i="38"/>
  <c r="AJ249" i="38"/>
  <c r="AO231" i="38"/>
  <c r="AJ231" i="38"/>
  <c r="AH231" i="38"/>
  <c r="AG231" i="38"/>
  <c r="AK231" i="38"/>
  <c r="AI231" i="38"/>
  <c r="AA231" i="38" a="1"/>
  <c r="AA231" i="38" s="1"/>
  <c r="AF231" i="38"/>
  <c r="AJ215" i="38"/>
  <c r="AH215" i="38"/>
  <c r="AG215" i="38"/>
  <c r="AI215" i="38"/>
  <c r="AK215" i="38"/>
  <c r="AO215" i="38"/>
  <c r="AA215" i="38" a="1"/>
  <c r="AA215" i="38" s="1"/>
  <c r="AF215" i="38"/>
  <c r="AG216" i="38"/>
  <c r="AJ216" i="38"/>
  <c r="AI216" i="38"/>
  <c r="AK216" i="38"/>
  <c r="AO216" i="38"/>
  <c r="AA216" i="38" a="1"/>
  <c r="AA216" i="38" s="1"/>
  <c r="AF216" i="38"/>
  <c r="AH216" i="38"/>
  <c r="AH238" i="38"/>
  <c r="AK238" i="38"/>
  <c r="AG238" i="38"/>
  <c r="AJ238" i="38"/>
  <c r="AF238" i="38"/>
  <c r="AO238" i="38"/>
  <c r="AI238" i="38"/>
  <c r="AA238" i="38" a="1"/>
  <c r="AA238" i="38" s="1"/>
  <c r="AO199" i="38"/>
  <c r="AJ199" i="38"/>
  <c r="AH199" i="38"/>
  <c r="AG199" i="38"/>
  <c r="AA199" i="38" a="1"/>
  <c r="AA199" i="38" s="1"/>
  <c r="AI199" i="38"/>
  <c r="AF199" i="38"/>
  <c r="AK199" i="38"/>
  <c r="AO228" i="38"/>
  <c r="AJ228" i="38"/>
  <c r="AF228" i="38"/>
  <c r="AI228" i="38"/>
  <c r="AK228" i="38"/>
  <c r="AG228" i="38"/>
  <c r="AH228" i="38"/>
  <c r="AA228" i="38" a="1"/>
  <c r="AA228" i="38" s="1"/>
  <c r="AJ183" i="38"/>
  <c r="AH183" i="38"/>
  <c r="AG183" i="38"/>
  <c r="AA183" i="38" a="1"/>
  <c r="AA183" i="38" s="1"/>
  <c r="AO183" i="38"/>
  <c r="AF183" i="38"/>
  <c r="AK183" i="38"/>
  <c r="AI183" i="38"/>
  <c r="AO124" i="38"/>
  <c r="AK124" i="38"/>
  <c r="AI124" i="38"/>
  <c r="AF124" i="38"/>
  <c r="AH124" i="38"/>
  <c r="AG124" i="38"/>
  <c r="AJ124" i="38"/>
  <c r="AA124" i="38" a="1"/>
  <c r="AA124" i="38" s="1"/>
  <c r="AJ256" i="38"/>
  <c r="AG256" i="38"/>
  <c r="AH256" i="38"/>
  <c r="AO256" i="38"/>
  <c r="AA256" i="38" a="1"/>
  <c r="AA256" i="38" s="1"/>
  <c r="AI256" i="38"/>
  <c r="AK256" i="38"/>
  <c r="AF256" i="38"/>
  <c r="AO158" i="38"/>
  <c r="AK158" i="38"/>
  <c r="AH158" i="38"/>
  <c r="AG158" i="38"/>
  <c r="AJ158" i="38"/>
  <c r="AI158" i="38"/>
  <c r="AF158" i="38"/>
  <c r="AA158" i="38" a="1"/>
  <c r="AA158" i="38" s="1"/>
  <c r="AO285" i="38"/>
  <c r="AK285" i="38"/>
  <c r="AH285" i="38"/>
  <c r="AF285" i="38"/>
  <c r="AG285" i="38"/>
  <c r="AI285" i="38"/>
  <c r="AA285" i="38" a="1"/>
  <c r="AA285" i="38" s="1"/>
  <c r="AJ285" i="38"/>
  <c r="AH281" i="38"/>
  <c r="AA281" i="38" a="1"/>
  <c r="AA281" i="38" s="1"/>
  <c r="AF281" i="38"/>
  <c r="AJ281" i="38"/>
  <c r="AG281" i="38"/>
  <c r="AO281" i="38"/>
  <c r="AI281" i="38"/>
  <c r="AK281" i="38"/>
  <c r="AO204" i="38"/>
  <c r="AK204" i="38"/>
  <c r="AF204" i="38"/>
  <c r="AJ204" i="38"/>
  <c r="AI204" i="38"/>
  <c r="AH204" i="38"/>
  <c r="AA204" i="38" a="1"/>
  <c r="AA204" i="38" s="1"/>
  <c r="AG204" i="38"/>
  <c r="AJ119" i="38"/>
  <c r="AH119" i="38"/>
  <c r="AI119" i="38"/>
  <c r="AO119" i="38"/>
  <c r="AA119" i="38" a="1"/>
  <c r="AA119" i="38" s="1"/>
  <c r="AK119" i="38"/>
  <c r="AF119" i="38"/>
  <c r="AG119" i="38"/>
  <c r="AO252" i="38"/>
  <c r="AI252" i="38"/>
  <c r="AK252" i="38"/>
  <c r="AJ252" i="38"/>
  <c r="AH252" i="38"/>
  <c r="AF252" i="38"/>
  <c r="AG252" i="38"/>
  <c r="AA252" i="38" a="1"/>
  <c r="AA252" i="38" s="1"/>
  <c r="AO171" i="38"/>
  <c r="AK171" i="38"/>
  <c r="AI171" i="38"/>
  <c r="AG171" i="38"/>
  <c r="AF171" i="38"/>
  <c r="AH171" i="38"/>
  <c r="AA171" i="38" a="1"/>
  <c r="AA171" i="38" s="1"/>
  <c r="AJ171" i="38"/>
  <c r="AI297" i="38"/>
  <c r="AO297" i="38"/>
  <c r="AG297" i="38"/>
  <c r="AJ297" i="38"/>
  <c r="AA297" i="38" a="1"/>
  <c r="AA297" i="38" s="1"/>
  <c r="AH297" i="38"/>
  <c r="AF297" i="38"/>
  <c r="AK297" i="38"/>
  <c r="AO222" i="38"/>
  <c r="AK222" i="38"/>
  <c r="AH222" i="38"/>
  <c r="AG222" i="38"/>
  <c r="AJ222" i="38"/>
  <c r="AF222" i="38"/>
  <c r="AA222" i="38" a="1"/>
  <c r="AA222" i="38" s="1"/>
  <c r="AI222" i="38"/>
  <c r="AO138" i="38"/>
  <c r="AK138" i="38"/>
  <c r="AH138" i="38"/>
  <c r="AG138" i="38"/>
  <c r="AI138" i="38"/>
  <c r="AJ138" i="38"/>
  <c r="AA138" i="38" a="1"/>
  <c r="AA138" i="38" s="1"/>
  <c r="AF138" i="38"/>
  <c r="AJ247" i="38"/>
  <c r="AH247" i="38"/>
  <c r="AG247" i="38"/>
  <c r="AO247" i="38"/>
  <c r="AK247" i="38"/>
  <c r="AA247" i="38" a="1"/>
  <c r="AA247" i="38" s="1"/>
  <c r="AF247" i="38"/>
  <c r="AI247" i="38"/>
  <c r="AJ175" i="38"/>
  <c r="AH175" i="38"/>
  <c r="AO175" i="38"/>
  <c r="AK175" i="38"/>
  <c r="AF175" i="38"/>
  <c r="AA175" i="38" a="1"/>
  <c r="AA175" i="38" s="1"/>
  <c r="AI175" i="38"/>
  <c r="AG175" i="38"/>
  <c r="AO177" i="38"/>
  <c r="AI177" i="38"/>
  <c r="AK177" i="38"/>
  <c r="AJ177" i="38"/>
  <c r="AH177" i="38"/>
  <c r="AF177" i="38"/>
  <c r="AA177" i="38" a="1"/>
  <c r="AA177" i="38" s="1"/>
  <c r="AG177" i="38"/>
  <c r="AO113" i="38"/>
  <c r="AI113" i="38"/>
  <c r="AK113" i="38"/>
  <c r="AH113" i="38"/>
  <c r="AF113" i="38"/>
  <c r="AA113" i="38" a="1"/>
  <c r="AA113" i="38" s="1"/>
  <c r="AJ113" i="38"/>
  <c r="AG113" i="38"/>
  <c r="AK267" i="38"/>
  <c r="AI267" i="38"/>
  <c r="AO267" i="38"/>
  <c r="AH267" i="38"/>
  <c r="AJ267" i="38"/>
  <c r="AG267" i="38"/>
  <c r="AA267" i="38" a="1"/>
  <c r="AA267" i="38" s="1"/>
  <c r="AF267" i="38"/>
  <c r="AO250" i="38"/>
  <c r="AI250" i="38"/>
  <c r="AG250" i="38"/>
  <c r="AJ250" i="38"/>
  <c r="AA250" i="38" a="1"/>
  <c r="AA250" i="38" s="1"/>
  <c r="AK250" i="38"/>
  <c r="AF250" i="38"/>
  <c r="AH250" i="38"/>
  <c r="AK259" i="38"/>
  <c r="AI259" i="38"/>
  <c r="AO259" i="38"/>
  <c r="AJ259" i="38"/>
  <c r="AG259" i="38"/>
  <c r="AH259" i="38"/>
  <c r="AF259" i="38"/>
  <c r="AA259" i="38" a="1"/>
  <c r="AA259" i="38" s="1"/>
  <c r="AO133" i="38"/>
  <c r="AI133" i="38"/>
  <c r="AH133" i="38"/>
  <c r="AG133" i="38"/>
  <c r="AJ133" i="38"/>
  <c r="AK133" i="38"/>
  <c r="AF133" i="38"/>
  <c r="AA133" i="38" a="1"/>
  <c r="AA133" i="38" s="1"/>
  <c r="AO236" i="38"/>
  <c r="AJ236" i="38"/>
  <c r="AF236" i="38"/>
  <c r="AH236" i="38"/>
  <c r="AK236" i="38"/>
  <c r="AI236" i="38"/>
  <c r="AG236" i="38"/>
  <c r="AA236" i="38" a="1"/>
  <c r="AA236" i="38" s="1"/>
  <c r="AO237" i="38"/>
  <c r="AJ237" i="38"/>
  <c r="AH237" i="38"/>
  <c r="AF237" i="38"/>
  <c r="AI237" i="38"/>
  <c r="AG237" i="38"/>
  <c r="AK237" i="38"/>
  <c r="AA237" i="38" a="1"/>
  <c r="AA237" i="38" s="1"/>
  <c r="AO277" i="38"/>
  <c r="AK277" i="38"/>
  <c r="AJ277" i="38"/>
  <c r="AI277" i="38"/>
  <c r="AF277" i="38"/>
  <c r="AA277" i="38" a="1"/>
  <c r="AA277" i="38" s="1"/>
  <c r="AH277" i="38"/>
  <c r="AG277" i="38"/>
  <c r="AO286" i="38"/>
  <c r="AK286" i="38"/>
  <c r="AI286" i="38"/>
  <c r="AH286" i="38"/>
  <c r="AG286" i="38"/>
  <c r="AF286" i="38"/>
  <c r="AJ286" i="38"/>
  <c r="AA286" i="38" a="1"/>
  <c r="AA286" i="38" s="1"/>
  <c r="AK248" i="38"/>
  <c r="AH248" i="38"/>
  <c r="AG248" i="38"/>
  <c r="AI248" i="38"/>
  <c r="AA248" i="38" a="1"/>
  <c r="AA248" i="38" s="1"/>
  <c r="AJ248" i="38"/>
  <c r="AO248" i="38"/>
  <c r="AF248" i="38"/>
  <c r="AO76" i="38"/>
  <c r="AO101" i="38"/>
  <c r="AO32" i="38"/>
  <c r="AO53" i="38"/>
  <c r="AO83" i="38"/>
  <c r="AO56" i="38"/>
  <c r="AO95" i="38"/>
  <c r="AO38" i="38"/>
  <c r="AO64" i="38"/>
  <c r="AO65" i="38"/>
  <c r="AO34" i="38"/>
  <c r="AO50" i="38"/>
  <c r="AO60" i="38"/>
  <c r="AO84" i="38"/>
  <c r="AK72" i="38"/>
  <c r="AO72" i="38"/>
  <c r="AK36" i="38"/>
  <c r="AO36" i="38"/>
  <c r="AK91" i="38"/>
  <c r="AO91" i="38"/>
  <c r="AK47" i="38"/>
  <c r="AO47" i="38"/>
  <c r="AO80" i="38"/>
  <c r="AK29" i="38"/>
  <c r="AO29" i="38"/>
  <c r="AO90" i="38"/>
  <c r="AK48" i="38"/>
  <c r="AO48" i="38"/>
  <c r="AO41" i="38"/>
  <c r="AO99" i="38"/>
  <c r="AO67" i="38"/>
  <c r="AO31" i="38"/>
  <c r="AO97" i="38"/>
  <c r="AO33" i="38"/>
  <c r="AO100" i="38"/>
  <c r="AK45" i="38"/>
  <c r="AO45" i="38"/>
  <c r="AO57" i="38"/>
  <c r="AK94" i="38"/>
  <c r="AO94" i="38"/>
  <c r="AK77" i="38"/>
  <c r="AO77" i="38"/>
  <c r="AK93" i="38"/>
  <c r="AO93" i="38"/>
  <c r="AO39" i="38"/>
  <c r="AO74" i="38"/>
  <c r="AK88" i="38"/>
  <c r="AO88" i="38"/>
  <c r="AO55" i="38"/>
  <c r="AO75" i="38"/>
  <c r="AO89" i="38"/>
  <c r="AO28" i="38"/>
  <c r="AO63" i="38"/>
  <c r="AO70" i="38"/>
  <c r="AK68" i="38"/>
  <c r="AO68" i="38"/>
  <c r="AK86" i="38"/>
  <c r="AO86" i="38"/>
  <c r="AK73" i="38"/>
  <c r="AO73" i="38"/>
  <c r="AK79" i="38"/>
  <c r="AO79" i="38"/>
  <c r="AO61" i="38"/>
  <c r="AO42" i="38"/>
  <c r="AK58" i="38"/>
  <c r="AO58" i="38"/>
  <c r="AK82" i="38"/>
  <c r="AO82" i="38"/>
  <c r="AO98" i="38"/>
  <c r="AK87" i="38"/>
  <c r="AO87" i="38"/>
  <c r="AK54" i="38"/>
  <c r="AO54" i="38"/>
  <c r="AO102" i="38"/>
  <c r="AK49" i="38"/>
  <c r="AO49" i="38"/>
  <c r="AO40" i="38"/>
  <c r="AO59" i="38"/>
  <c r="AO92" i="38"/>
  <c r="AO78" i="38"/>
  <c r="AO44" i="38"/>
  <c r="AO96" i="38"/>
  <c r="AO46" i="38"/>
  <c r="AO66" i="38"/>
  <c r="AO81" i="38"/>
  <c r="AO71" i="38"/>
  <c r="AO52" i="38"/>
  <c r="AO62" i="38"/>
  <c r="AO85" i="38"/>
  <c r="AO30" i="38"/>
  <c r="AO35" i="38"/>
  <c r="AO37" i="38"/>
  <c r="AK32" i="38"/>
  <c r="AK53" i="38"/>
  <c r="AK83" i="38"/>
  <c r="AK60" i="38"/>
  <c r="AK84" i="38"/>
  <c r="AJ76" i="38"/>
  <c r="AK76" i="38"/>
  <c r="AK98" i="38"/>
  <c r="AJ41" i="38"/>
  <c r="AK41" i="38"/>
  <c r="AJ65" i="38"/>
  <c r="AK65" i="38"/>
  <c r="AK100" i="38"/>
  <c r="AJ101" i="38"/>
  <c r="AK101" i="38"/>
  <c r="AJ34" i="38"/>
  <c r="AK34" i="38"/>
  <c r="AK102" i="38"/>
  <c r="AK90" i="38"/>
  <c r="AK67" i="38"/>
  <c r="AK97" i="38"/>
  <c r="AK39" i="38"/>
  <c r="AK74" i="38"/>
  <c r="AK55" i="38"/>
  <c r="AK75" i="38"/>
  <c r="AK89" i="38"/>
  <c r="AK28" i="38"/>
  <c r="AK63" i="38"/>
  <c r="AK70" i="38"/>
  <c r="AJ56" i="38"/>
  <c r="AK56" i="38"/>
  <c r="AJ95" i="38"/>
  <c r="AK95" i="38"/>
  <c r="AK61" i="38"/>
  <c r="AK42" i="38"/>
  <c r="AK80" i="38"/>
  <c r="AJ50" i="38"/>
  <c r="AK50" i="38"/>
  <c r="AJ64" i="38"/>
  <c r="AK64" i="38"/>
  <c r="AJ38" i="38"/>
  <c r="AK38" i="38"/>
  <c r="AK57" i="38"/>
  <c r="AK40" i="38"/>
  <c r="AK99" i="38"/>
  <c r="AK31" i="38"/>
  <c r="AK33" i="38"/>
  <c r="AJ59" i="38"/>
  <c r="AK59" i="38"/>
  <c r="AK92" i="38"/>
  <c r="AK78" i="38"/>
  <c r="AK44" i="38"/>
  <c r="AK96" i="38"/>
  <c r="AK46" i="38"/>
  <c r="AK66" i="38"/>
  <c r="AK81" i="38"/>
  <c r="AK71" i="38"/>
  <c r="AK52" i="38"/>
  <c r="AK62" i="38"/>
  <c r="AK85" i="38"/>
  <c r="AK30" i="38"/>
  <c r="AK35" i="38"/>
  <c r="AK37" i="38"/>
  <c r="AI72" i="38"/>
  <c r="AJ72" i="38"/>
  <c r="AI68" i="38"/>
  <c r="AJ68" i="38"/>
  <c r="AI32" i="38"/>
  <c r="AJ32" i="38"/>
  <c r="AI73" i="38"/>
  <c r="AJ73" i="38"/>
  <c r="AJ61" i="38"/>
  <c r="AJ42" i="38"/>
  <c r="AI45" i="38"/>
  <c r="AJ45" i="38"/>
  <c r="AI87" i="38"/>
  <c r="AJ87" i="38"/>
  <c r="AI54" i="38"/>
  <c r="AJ54" i="38"/>
  <c r="AJ102" i="38"/>
  <c r="AJ29" i="38"/>
  <c r="AJ49" i="38"/>
  <c r="AJ90" i="38"/>
  <c r="AI48" i="38"/>
  <c r="AJ48" i="38"/>
  <c r="AJ94" i="38"/>
  <c r="AI79" i="38"/>
  <c r="AJ79" i="38"/>
  <c r="AI83" i="38"/>
  <c r="AJ83" i="38"/>
  <c r="AI58" i="38"/>
  <c r="AJ58" i="38"/>
  <c r="AJ57" i="38"/>
  <c r="AJ40" i="38"/>
  <c r="AI60" i="38"/>
  <c r="AJ60" i="38"/>
  <c r="AJ99" i="38"/>
  <c r="AJ67" i="38"/>
  <c r="AJ31" i="38"/>
  <c r="AI84" i="38"/>
  <c r="AJ84" i="38"/>
  <c r="AJ97" i="38"/>
  <c r="AJ33" i="38"/>
  <c r="AI86" i="38"/>
  <c r="AJ86" i="38"/>
  <c r="AI53" i="38"/>
  <c r="AJ53" i="38"/>
  <c r="AI91" i="38"/>
  <c r="AJ91" i="38"/>
  <c r="AJ98" i="38"/>
  <c r="AI77" i="38"/>
  <c r="AJ77" i="38"/>
  <c r="AI93" i="38"/>
  <c r="AJ93" i="38"/>
  <c r="AJ39" i="38"/>
  <c r="AJ74" i="38"/>
  <c r="AI88" i="38"/>
  <c r="AJ88" i="38"/>
  <c r="AJ55" i="38"/>
  <c r="AJ75" i="38"/>
  <c r="AJ89" i="38"/>
  <c r="AJ28" i="38"/>
  <c r="AJ63" i="38"/>
  <c r="AJ70" i="38"/>
  <c r="AI36" i="38"/>
  <c r="AJ36" i="38"/>
  <c r="AI47" i="38"/>
  <c r="AJ47" i="38"/>
  <c r="AJ100" i="38"/>
  <c r="AJ80" i="38"/>
  <c r="AI82" i="38"/>
  <c r="AJ82" i="38"/>
  <c r="AJ92" i="38"/>
  <c r="AJ78" i="38"/>
  <c r="AI44" i="38"/>
  <c r="AJ44" i="38"/>
  <c r="AJ96" i="38"/>
  <c r="AJ46" i="38"/>
  <c r="AJ66" i="38"/>
  <c r="AJ81" i="38"/>
  <c r="AJ71" i="38"/>
  <c r="AJ52" i="38"/>
  <c r="AJ62" i="38"/>
  <c r="AJ85" i="38"/>
  <c r="AJ30" i="38"/>
  <c r="AJ35" i="38"/>
  <c r="AJ37" i="38"/>
  <c r="AH76" i="38"/>
  <c r="AI76" i="38"/>
  <c r="AH38" i="38"/>
  <c r="AI38" i="38"/>
  <c r="AH34" i="38"/>
  <c r="AI34" i="38"/>
  <c r="AH102" i="38"/>
  <c r="AI102" i="38"/>
  <c r="AH49" i="38"/>
  <c r="AI49" i="38"/>
  <c r="AI40" i="38"/>
  <c r="AI41" i="38"/>
  <c r="AI99" i="38"/>
  <c r="AI67" i="38"/>
  <c r="AI31" i="38"/>
  <c r="AI97" i="38"/>
  <c r="AI33" i="38"/>
  <c r="AH56" i="38"/>
  <c r="AI56" i="38"/>
  <c r="AH95" i="38"/>
  <c r="AI95" i="38"/>
  <c r="AI42" i="38"/>
  <c r="AH65" i="38"/>
  <c r="AI65" i="38"/>
  <c r="AI100" i="38"/>
  <c r="AI98" i="38"/>
  <c r="AH64" i="38"/>
  <c r="AI64" i="38"/>
  <c r="AH101" i="38"/>
  <c r="AI101" i="38"/>
  <c r="AI39" i="38"/>
  <c r="AI74" i="38"/>
  <c r="AI55" i="38"/>
  <c r="AI75" i="38"/>
  <c r="AI89" i="38"/>
  <c r="AI28" i="38"/>
  <c r="AI63" i="38"/>
  <c r="AI70" i="38"/>
  <c r="AI61" i="38"/>
  <c r="AI80" i="38"/>
  <c r="AH50" i="38"/>
  <c r="AI50" i="38"/>
  <c r="AH57" i="38"/>
  <c r="AI57" i="38"/>
  <c r="AH29" i="38"/>
  <c r="AI29" i="38"/>
  <c r="AI90" i="38"/>
  <c r="AH94" i="38"/>
  <c r="AI94" i="38"/>
  <c r="AI59" i="38"/>
  <c r="AI92" i="38"/>
  <c r="AI78" i="38"/>
  <c r="AI96" i="38"/>
  <c r="AI46" i="38"/>
  <c r="AI66" i="38"/>
  <c r="AI81" i="38"/>
  <c r="AI71" i="38"/>
  <c r="AI52" i="38"/>
  <c r="AI62" i="38"/>
  <c r="AI85" i="38"/>
  <c r="AI30" i="38"/>
  <c r="AI35" i="38"/>
  <c r="AI37" i="38"/>
  <c r="AG72" i="38"/>
  <c r="AH72" i="38"/>
  <c r="AG68" i="38"/>
  <c r="AH68" i="38"/>
  <c r="AG32" i="38"/>
  <c r="AH32" i="38"/>
  <c r="AG86" i="38"/>
  <c r="AH86" i="38"/>
  <c r="AG36" i="38"/>
  <c r="AH36" i="38"/>
  <c r="AG73" i="38"/>
  <c r="AH73" i="38"/>
  <c r="AG79" i="38"/>
  <c r="AH79" i="38"/>
  <c r="AG53" i="38"/>
  <c r="AH53" i="38"/>
  <c r="AH61" i="38"/>
  <c r="AG83" i="38"/>
  <c r="AH83" i="38"/>
  <c r="AH42" i="38"/>
  <c r="AG45" i="38"/>
  <c r="AH45" i="38"/>
  <c r="AG91" i="38"/>
  <c r="AH91" i="38"/>
  <c r="AG58" i="38"/>
  <c r="AH58" i="38"/>
  <c r="AG47" i="38"/>
  <c r="AH47" i="38"/>
  <c r="AH100" i="38"/>
  <c r="AH80" i="38"/>
  <c r="AG82" i="38"/>
  <c r="AH82" i="38"/>
  <c r="AH98" i="38"/>
  <c r="AG87" i="38"/>
  <c r="AH87" i="38"/>
  <c r="AG54" i="38"/>
  <c r="AH54" i="38"/>
  <c r="AH90" i="38"/>
  <c r="AG48" i="38"/>
  <c r="AH48" i="38"/>
  <c r="AH40" i="38"/>
  <c r="AG77" i="38"/>
  <c r="AH77" i="38"/>
  <c r="AG93" i="38"/>
  <c r="AH93" i="38"/>
  <c r="AH41" i="38"/>
  <c r="AH99" i="38"/>
  <c r="AH67" i="38"/>
  <c r="AH31" i="38"/>
  <c r="AG84" i="38"/>
  <c r="AH84" i="38"/>
  <c r="AH33" i="38"/>
  <c r="AH39" i="38"/>
  <c r="AH74" i="38"/>
  <c r="AG88" i="38"/>
  <c r="AH88" i="38"/>
  <c r="AH55" i="38"/>
  <c r="AH75" i="38"/>
  <c r="AH89" i="38"/>
  <c r="AH28" i="38"/>
  <c r="AG63" i="38"/>
  <c r="AH63" i="38"/>
  <c r="AH70" i="38"/>
  <c r="AG60" i="38"/>
  <c r="AH60" i="38"/>
  <c r="AH97" i="38"/>
  <c r="AH59" i="38"/>
  <c r="AH92" i="38"/>
  <c r="AH78" i="38"/>
  <c r="AH44" i="38"/>
  <c r="AH96" i="38"/>
  <c r="AH46" i="38"/>
  <c r="AH66" i="38"/>
  <c r="AH81" i="38"/>
  <c r="AH71" i="38"/>
  <c r="AH52" i="38"/>
  <c r="AH62" i="38"/>
  <c r="AH85" i="38"/>
  <c r="AH30" i="38"/>
  <c r="AH35" i="38"/>
  <c r="AH37" i="38"/>
  <c r="AF95" i="38"/>
  <c r="AG95" i="38"/>
  <c r="AG61" i="38"/>
  <c r="AF65" i="38"/>
  <c r="AG65" i="38"/>
  <c r="AG80" i="38"/>
  <c r="AG98" i="38"/>
  <c r="AF64" i="38"/>
  <c r="AG64" i="38"/>
  <c r="AG57" i="38"/>
  <c r="AF34" i="38"/>
  <c r="AG34" i="38"/>
  <c r="AF29" i="38"/>
  <c r="AG29" i="38"/>
  <c r="AF94" i="38"/>
  <c r="AG94" i="38"/>
  <c r="AG41" i="38"/>
  <c r="AG99" i="38"/>
  <c r="AG67" i="38"/>
  <c r="AG31" i="38"/>
  <c r="AG97" i="38"/>
  <c r="AG74" i="38"/>
  <c r="AG55" i="38"/>
  <c r="AG75" i="38"/>
  <c r="AG89" i="38"/>
  <c r="AG28" i="38"/>
  <c r="AG70" i="38"/>
  <c r="AF56" i="38"/>
  <c r="AG56" i="38"/>
  <c r="AG42" i="38"/>
  <c r="AF76" i="38"/>
  <c r="AG76" i="38"/>
  <c r="AG100" i="38"/>
  <c r="AF50" i="38"/>
  <c r="AG50" i="38"/>
  <c r="AF38" i="38"/>
  <c r="AG38" i="38"/>
  <c r="AF101" i="38"/>
  <c r="AG101" i="38"/>
  <c r="AG102" i="38"/>
  <c r="AF49" i="38"/>
  <c r="AG49" i="38"/>
  <c r="AG90" i="38"/>
  <c r="AG40" i="38"/>
  <c r="AG33" i="38"/>
  <c r="AG39" i="38"/>
  <c r="AG59" i="38"/>
  <c r="AG92" i="38"/>
  <c r="AG78" i="38"/>
  <c r="AG44" i="38"/>
  <c r="AG96" i="38"/>
  <c r="AG46" i="38"/>
  <c r="AG66" i="38"/>
  <c r="AG81" i="38"/>
  <c r="AG71" i="38"/>
  <c r="AG52" i="38"/>
  <c r="AG62" i="38"/>
  <c r="AG85" i="38"/>
  <c r="AG30" i="38"/>
  <c r="AG35" i="38"/>
  <c r="AG37" i="38"/>
  <c r="AA68" i="38" a="1"/>
  <c r="AA68" i="38" s="1"/>
  <c r="AF68" i="38"/>
  <c r="AA32" i="38" a="1"/>
  <c r="AA32" i="38" s="1"/>
  <c r="AF32" i="38"/>
  <c r="AF61" i="38"/>
  <c r="AA58" i="38" a="1"/>
  <c r="AA58" i="38" s="1"/>
  <c r="AF58" i="38"/>
  <c r="AF100" i="38"/>
  <c r="AF80" i="38"/>
  <c r="AA82" i="38" a="1"/>
  <c r="AA82" i="38" s="1"/>
  <c r="AF82" i="38"/>
  <c r="AF102" i="38"/>
  <c r="AF90" i="38"/>
  <c r="AA72" i="38" a="1"/>
  <c r="AA72" i="38" s="1"/>
  <c r="AF72" i="38"/>
  <c r="AA73" i="38" a="1"/>
  <c r="AA73" i="38" s="1"/>
  <c r="AF73" i="38"/>
  <c r="AA83" i="38" a="1"/>
  <c r="AA83" i="38" s="1"/>
  <c r="AF83" i="38"/>
  <c r="AF42" i="38"/>
  <c r="AA91" i="38" a="1"/>
  <c r="AA91" i="38" s="1"/>
  <c r="AF91" i="38"/>
  <c r="AF98" i="38"/>
  <c r="AA48" i="38" a="1"/>
  <c r="AA48" i="38" s="1"/>
  <c r="AF48" i="38"/>
  <c r="AA77" i="38" a="1"/>
  <c r="AA77" i="38" s="1"/>
  <c r="AF77" i="38"/>
  <c r="AA60" i="38" a="1"/>
  <c r="AA60" i="38" s="1"/>
  <c r="AF60" i="38"/>
  <c r="AF97" i="38"/>
  <c r="AF39" i="38"/>
  <c r="AF74" i="38"/>
  <c r="AA88" i="38" a="1"/>
  <c r="AA88" i="38" s="1"/>
  <c r="AF88" i="38"/>
  <c r="AF55" i="38"/>
  <c r="AF75" i="38"/>
  <c r="AF89" i="38"/>
  <c r="AF28" i="38"/>
  <c r="AF63" i="38"/>
  <c r="AF70" i="38"/>
  <c r="AA86" i="38" a="1"/>
  <c r="AA86" i="38" s="1"/>
  <c r="AF86" i="38"/>
  <c r="AA36" i="38" a="1"/>
  <c r="AA36" i="38" s="1"/>
  <c r="AF36" i="38"/>
  <c r="AA79" i="38" a="1"/>
  <c r="AA79" i="38" s="1"/>
  <c r="AF79" i="38"/>
  <c r="AA53" i="38" a="1"/>
  <c r="AA53" i="38" s="1"/>
  <c r="AF53" i="38"/>
  <c r="AA47" i="38" a="1"/>
  <c r="AA47" i="38" s="1"/>
  <c r="AF47" i="38"/>
  <c r="AA45" i="38" a="1"/>
  <c r="AA45" i="38" s="1"/>
  <c r="AF45" i="38"/>
  <c r="AF57" i="38"/>
  <c r="AA87" i="38" a="1"/>
  <c r="AA87" i="38" s="1"/>
  <c r="AF87" i="38"/>
  <c r="AA54" i="38" a="1"/>
  <c r="AA54" i="38" s="1"/>
  <c r="AF54" i="38"/>
  <c r="AF40" i="38"/>
  <c r="AA93" i="38" a="1"/>
  <c r="AA93" i="38" s="1"/>
  <c r="AF93" i="38"/>
  <c r="AF41" i="38"/>
  <c r="AF99" i="38"/>
  <c r="AF67" i="38"/>
  <c r="AF31" i="38"/>
  <c r="AA84" i="38" a="1"/>
  <c r="AA84" i="38" s="1"/>
  <c r="AF84" i="38"/>
  <c r="AF33" i="38"/>
  <c r="AF59" i="38"/>
  <c r="AF92" i="38"/>
  <c r="AF78" i="38"/>
  <c r="AF44" i="38"/>
  <c r="AF96" i="38"/>
  <c r="AF46" i="38"/>
  <c r="AF66" i="38"/>
  <c r="AF81" i="38"/>
  <c r="AF71" i="38"/>
  <c r="AF52" i="38"/>
  <c r="AF62" i="38"/>
  <c r="AF85" i="38"/>
  <c r="AF30" i="38"/>
  <c r="AF35" i="38"/>
  <c r="AF37" i="38"/>
  <c r="AA56" i="38" a="1"/>
  <c r="AA56" i="38" s="1"/>
  <c r="AA95" i="38" a="1"/>
  <c r="AA95" i="38" s="1"/>
  <c r="AA76" i="38" a="1"/>
  <c r="AA76" i="38" s="1"/>
  <c r="AA65" i="38" a="1"/>
  <c r="AA65" i="38" s="1"/>
  <c r="AA50" i="38" a="1"/>
  <c r="AA50" i="38" s="1"/>
  <c r="AA64" i="38" a="1"/>
  <c r="AA64" i="38" s="1"/>
  <c r="AA38" i="38" a="1"/>
  <c r="AA38" i="38" s="1"/>
  <c r="AA101" i="38" a="1"/>
  <c r="AA101" i="38" s="1"/>
  <c r="AA34" i="38" a="1"/>
  <c r="AA34" i="38" s="1"/>
  <c r="AA29" i="38" a="1"/>
  <c r="AA29" i="38" s="1"/>
  <c r="AA49" i="38" a="1"/>
  <c r="AA49" i="38" s="1"/>
  <c r="AA94" i="38" a="1"/>
  <c r="AA94" i="38" s="1"/>
  <c r="AA42" i="38" a="1"/>
  <c r="AA42" i="38" s="1"/>
  <c r="AA100" i="38" a="1"/>
  <c r="AA100" i="38" s="1"/>
  <c r="AA98" i="38" a="1"/>
  <c r="AA98" i="38" s="1"/>
  <c r="AA61" i="38" a="1"/>
  <c r="AA61" i="38" s="1"/>
  <c r="AA80" i="38" a="1"/>
  <c r="AA80" i="38" s="1"/>
  <c r="AA102" i="38" a="1"/>
  <c r="AA102" i="38" s="1"/>
  <c r="AA90" i="38" a="1"/>
  <c r="AA90" i="38" s="1"/>
  <c r="AA41" i="38" a="1"/>
  <c r="AA41" i="38" s="1"/>
  <c r="AA99" i="38" a="1"/>
  <c r="AA99" i="38" s="1"/>
  <c r="AA97" i="38" a="1"/>
  <c r="AA97" i="38" s="1"/>
  <c r="AA39" i="38" a="1"/>
  <c r="AA39" i="38" s="1"/>
  <c r="AA74" i="38" a="1"/>
  <c r="AA74" i="38" s="1"/>
  <c r="AA55" i="38" a="1"/>
  <c r="AA55" i="38" s="1"/>
  <c r="AA75" i="38" a="1"/>
  <c r="AA75" i="38" s="1"/>
  <c r="AA89" i="38" a="1"/>
  <c r="AA89" i="38" s="1"/>
  <c r="AA28" i="38" a="1"/>
  <c r="AA28" i="38" s="1"/>
  <c r="AA63" i="38" a="1"/>
  <c r="AA63" i="38" s="1"/>
  <c r="AA70" i="38" a="1"/>
  <c r="AA70" i="38" s="1"/>
  <c r="AA57" i="38" a="1"/>
  <c r="AA57" i="38" s="1"/>
  <c r="AA40" i="38" a="1"/>
  <c r="AA40" i="38" s="1"/>
  <c r="AA67" i="38" a="1"/>
  <c r="AA67" i="38" s="1"/>
  <c r="AA31" i="38" a="1"/>
  <c r="AA31" i="38" s="1"/>
  <c r="AA33" i="38" a="1"/>
  <c r="AA33" i="38" s="1"/>
  <c r="AA59" i="38" a="1"/>
  <c r="AA59" i="38" s="1"/>
  <c r="AA92" i="38" a="1"/>
  <c r="AA92" i="38" s="1"/>
  <c r="AA78" i="38" a="1"/>
  <c r="AA78" i="38" s="1"/>
  <c r="AA44" i="38" a="1"/>
  <c r="AA44" i="38" s="1"/>
  <c r="AA96" i="38" a="1"/>
  <c r="AA96" i="38" s="1"/>
  <c r="AA46" i="38" a="1"/>
  <c r="AA46" i="38" s="1"/>
  <c r="AA66" i="38" a="1"/>
  <c r="AA66" i="38" s="1"/>
  <c r="AA81" i="38" a="1"/>
  <c r="AA81" i="38" s="1"/>
  <c r="AA71" i="38" a="1"/>
  <c r="AA71" i="38" s="1"/>
  <c r="AA52" i="38" a="1"/>
  <c r="AA52" i="38" s="1"/>
  <c r="AA62" i="38" a="1"/>
  <c r="AA62" i="38" s="1"/>
  <c r="AA85" i="38" a="1"/>
  <c r="AA85" i="38" s="1"/>
  <c r="AA30" i="38" a="1"/>
  <c r="AA30" i="38" s="1"/>
  <c r="AA35" i="38" a="1"/>
  <c r="AA35" i="38" s="1"/>
  <c r="AA37" i="38" a="1"/>
  <c r="AA37" i="38" s="1"/>
  <c r="AQ15" i="50"/>
  <c r="AR15" i="50"/>
  <c r="AQ58" i="50"/>
  <c r="AR58" i="50"/>
  <c r="AQ43" i="50"/>
  <c r="AR43" i="50"/>
  <c r="AQ28" i="50"/>
  <c r="AR28" i="50"/>
  <c r="AR92" i="50"/>
  <c r="AQ92" i="50"/>
  <c r="AQ77" i="50"/>
  <c r="AR77" i="50"/>
  <c r="AQ62" i="50"/>
  <c r="AR62" i="50"/>
  <c r="AR47" i="50"/>
  <c r="AQ47" i="50"/>
  <c r="AQ40" i="50"/>
  <c r="AR40" i="50"/>
  <c r="AR33" i="50"/>
  <c r="AQ33" i="50"/>
  <c r="AR16" i="50"/>
  <c r="AQ16" i="50"/>
  <c r="AQ66" i="50"/>
  <c r="AR66" i="50"/>
  <c r="AR51" i="50"/>
  <c r="AQ51" i="50"/>
  <c r="AR36" i="50"/>
  <c r="AQ36" i="50"/>
  <c r="AQ21" i="50"/>
  <c r="AR21" i="50"/>
  <c r="AR85" i="50"/>
  <c r="AQ85" i="50"/>
  <c r="AR70" i="50"/>
  <c r="AQ70" i="50"/>
  <c r="AQ55" i="50"/>
  <c r="AR55" i="50"/>
  <c r="AQ48" i="50"/>
  <c r="AR48" i="50"/>
  <c r="AQ41" i="50"/>
  <c r="AR41" i="50"/>
  <c r="AQ14" i="50"/>
  <c r="AR14" i="50"/>
  <c r="AQ74" i="50"/>
  <c r="AR74" i="50"/>
  <c r="AQ59" i="50"/>
  <c r="AR59" i="50"/>
  <c r="AQ44" i="50"/>
  <c r="AR44" i="50"/>
  <c r="AQ29" i="50"/>
  <c r="AR29" i="50"/>
  <c r="AQ93" i="50"/>
  <c r="AR93" i="50"/>
  <c r="AR78" i="50"/>
  <c r="AQ78" i="50"/>
  <c r="AQ63" i="50"/>
  <c r="AR63" i="50"/>
  <c r="AR56" i="50"/>
  <c r="AQ56" i="50"/>
  <c r="AQ49" i="50"/>
  <c r="AR49" i="50"/>
  <c r="AR18" i="50"/>
  <c r="AQ18" i="50"/>
  <c r="AR82" i="50"/>
  <c r="AQ82" i="50"/>
  <c r="AQ67" i="50"/>
  <c r="AR67" i="50"/>
  <c r="AQ52" i="50"/>
  <c r="AR52" i="50"/>
  <c r="AQ37" i="50"/>
  <c r="AR37" i="50"/>
  <c r="AQ22" i="50"/>
  <c r="AR22" i="50"/>
  <c r="AQ86" i="50"/>
  <c r="AR86" i="50"/>
  <c r="AQ71" i="50"/>
  <c r="AR71" i="50"/>
  <c r="AQ64" i="50"/>
  <c r="AR64" i="50"/>
  <c r="AR57" i="50"/>
  <c r="AQ57" i="50"/>
  <c r="AQ26" i="50"/>
  <c r="AR26" i="50"/>
  <c r="AR90" i="50"/>
  <c r="AQ90" i="50"/>
  <c r="AQ75" i="50"/>
  <c r="AR75" i="50"/>
  <c r="AQ60" i="50"/>
  <c r="AR60" i="50"/>
  <c r="AQ45" i="50"/>
  <c r="AR45" i="50"/>
  <c r="AR30" i="50"/>
  <c r="AQ30" i="50"/>
  <c r="AQ94" i="50"/>
  <c r="AR94" i="50"/>
  <c r="AQ79" i="50"/>
  <c r="AR79" i="50"/>
  <c r="AQ72" i="50"/>
  <c r="AR72" i="50"/>
  <c r="AQ65" i="50"/>
  <c r="AR65" i="50"/>
  <c r="AR34" i="50"/>
  <c r="AQ34" i="50"/>
  <c r="AQ19" i="50"/>
  <c r="AR19" i="50"/>
  <c r="AQ83" i="50"/>
  <c r="AR83" i="50"/>
  <c r="AQ68" i="50"/>
  <c r="AR68" i="50"/>
  <c r="AR53" i="50"/>
  <c r="AQ53" i="50"/>
  <c r="AR38" i="50"/>
  <c r="AQ38" i="50"/>
  <c r="AR23" i="50"/>
  <c r="AQ23" i="50"/>
  <c r="AQ87" i="50"/>
  <c r="AR87" i="50"/>
  <c r="AQ80" i="50"/>
  <c r="AR80" i="50"/>
  <c r="AR73" i="50"/>
  <c r="AQ73" i="50"/>
  <c r="AQ42" i="50"/>
  <c r="AR42" i="50"/>
  <c r="AQ27" i="50"/>
  <c r="AR27" i="50"/>
  <c r="AR91" i="50"/>
  <c r="AQ91" i="50"/>
  <c r="AQ76" i="50"/>
  <c r="AR76" i="50"/>
  <c r="AQ61" i="50"/>
  <c r="AR61" i="50"/>
  <c r="AR46" i="50"/>
  <c r="AQ46" i="50"/>
  <c r="AQ31" i="50"/>
  <c r="AR31" i="50"/>
  <c r="AQ24" i="50"/>
  <c r="AR24" i="50"/>
  <c r="AQ88" i="50"/>
  <c r="AR88" i="50"/>
  <c r="AR81" i="50"/>
  <c r="AQ81" i="50"/>
  <c r="AQ17" i="50"/>
  <c r="AR17" i="50"/>
  <c r="AQ50" i="50"/>
  <c r="AR50" i="50"/>
  <c r="AQ35" i="50"/>
  <c r="AR35" i="50"/>
  <c r="AQ20" i="50"/>
  <c r="AR20" i="50"/>
  <c r="AR84" i="50"/>
  <c r="AQ84" i="50"/>
  <c r="AR69" i="50"/>
  <c r="AQ69" i="50"/>
  <c r="AQ54" i="50"/>
  <c r="AR54" i="50"/>
  <c r="AR39" i="50"/>
  <c r="AQ39" i="50"/>
  <c r="AQ32" i="50"/>
  <c r="AR32" i="50"/>
  <c r="AQ25" i="50"/>
  <c r="AR25" i="50"/>
  <c r="AR89" i="50"/>
  <c r="AQ89" i="50"/>
  <c r="AA35" i="45" a="1"/>
  <c r="AA35" i="45" s="1"/>
  <c r="AA107" i="45" a="1"/>
  <c r="AA107" i="45" s="1"/>
  <c r="AJ15" i="56" a="1"/>
  <c r="AJ15" i="56" s="1"/>
  <c r="AA59" i="45" a="1"/>
  <c r="AA59" i="45" s="1"/>
  <c r="AA123" i="45" a="1"/>
  <c r="AA123" i="45" s="1"/>
  <c r="AA80" i="45" a="1"/>
  <c r="AA80" i="45" s="1"/>
  <c r="AA28" i="45" a="1"/>
  <c r="AA28" i="45" s="1"/>
  <c r="AA92" i="45" a="1"/>
  <c r="AA92" i="45" s="1"/>
  <c r="AA37" i="45" a="1"/>
  <c r="AA37" i="45" s="1"/>
  <c r="AA101" i="45" a="1"/>
  <c r="AA101" i="45" s="1"/>
  <c r="AA122" i="45" a="1"/>
  <c r="AA122" i="45" s="1"/>
  <c r="AA46" i="45" a="1"/>
  <c r="AA46" i="45" s="1"/>
  <c r="AA65" i="45" a="1"/>
  <c r="AA65" i="45" s="1"/>
  <c r="AA74" i="45" a="1"/>
  <c r="AA74" i="45" s="1"/>
  <c r="AA75" i="45" a="1"/>
  <c r="AA75" i="45" s="1"/>
  <c r="AA100" i="45" a="1"/>
  <c r="AA100" i="45" s="1"/>
  <c r="AA45" i="45" a="1"/>
  <c r="AA45" i="45" s="1"/>
  <c r="AA109" i="45" a="1"/>
  <c r="AA109" i="45" s="1"/>
  <c r="AA111" i="45" a="1"/>
  <c r="AA111" i="45" s="1"/>
  <c r="AA19" i="45" a="1"/>
  <c r="AA19" i="45" s="1"/>
  <c r="AA113" i="45" a="1"/>
  <c r="AA113" i="45" s="1"/>
  <c r="AA96" i="45" a="1"/>
  <c r="AA96" i="45" s="1"/>
  <c r="AA42" i="45" a="1"/>
  <c r="AA42" i="45" s="1"/>
  <c r="AA95" i="45" a="1"/>
  <c r="AA95" i="45" s="1"/>
  <c r="AA51" i="45" a="1"/>
  <c r="AA51" i="45" s="1"/>
  <c r="AA70" i="45" a="1"/>
  <c r="AA70" i="45" s="1"/>
  <c r="AA73" i="45" a="1"/>
  <c r="AA73" i="45" s="1"/>
  <c r="AA63" i="45" a="1"/>
  <c r="AA63" i="45" s="1"/>
  <c r="AA20" i="45" a="1"/>
  <c r="AA20" i="45" s="1"/>
  <c r="AA84" i="45" a="1"/>
  <c r="AA84" i="45" s="1"/>
  <c r="AA29" i="45" a="1"/>
  <c r="AA29" i="45" s="1"/>
  <c r="AA93" i="45" a="1"/>
  <c r="AA93" i="45" s="1"/>
  <c r="AA112" i="45" a="1"/>
  <c r="AA112" i="45" s="1"/>
  <c r="AA33" i="45" a="1"/>
  <c r="AA33" i="45" s="1"/>
  <c r="AA26" i="45" a="1"/>
  <c r="AA26" i="45" s="1"/>
  <c r="AA62" i="45" a="1"/>
  <c r="AA62" i="45" s="1"/>
  <c r="AA31" i="45" a="1"/>
  <c r="AA31" i="45" s="1"/>
  <c r="AA15" i="45" a="1"/>
  <c r="AA15" i="45" s="1"/>
  <c r="AA82" i="45" a="1"/>
  <c r="AA82" i="45" s="1"/>
  <c r="AA48" i="45" a="1"/>
  <c r="AA48" i="45" s="1"/>
  <c r="AA36" i="45" a="1"/>
  <c r="AA36" i="45" s="1"/>
  <c r="AA83" i="45" a="1"/>
  <c r="AA83" i="45" s="1"/>
  <c r="AA44" i="45" a="1"/>
  <c r="AA44" i="45" s="1"/>
  <c r="AA108" i="45" a="1"/>
  <c r="AA108" i="45" s="1"/>
  <c r="AA53" i="45" a="1"/>
  <c r="AA53" i="45" s="1"/>
  <c r="AA117" i="45" a="1"/>
  <c r="AA117" i="45" s="1"/>
  <c r="AA97" i="45" a="1"/>
  <c r="AA97" i="45" s="1"/>
  <c r="AA87" i="45" a="1"/>
  <c r="AA87" i="45" s="1"/>
  <c r="AA49" i="45" a="1"/>
  <c r="AA49" i="45" s="1"/>
  <c r="AA34" i="45" a="1"/>
  <c r="AA34" i="45" s="1"/>
  <c r="AA56" i="45" a="1"/>
  <c r="AA56" i="45" s="1"/>
  <c r="AA90" i="45" a="1"/>
  <c r="AA90" i="45" s="1"/>
  <c r="AA103" i="45" a="1"/>
  <c r="AA103" i="45" s="1"/>
  <c r="AA67" i="45" a="1"/>
  <c r="AA67" i="45" s="1"/>
  <c r="AA91" i="45" a="1"/>
  <c r="AA91" i="45" s="1"/>
  <c r="AA116" i="45" a="1"/>
  <c r="AA116" i="45" s="1"/>
  <c r="AA61" i="45" a="1"/>
  <c r="AA61" i="45" s="1"/>
  <c r="AA86" i="45" a="1"/>
  <c r="AA86" i="45" s="1"/>
  <c r="AA71" i="45" a="1"/>
  <c r="AA71" i="45" s="1"/>
  <c r="AA115" i="45" a="1"/>
  <c r="AA115" i="45" s="1"/>
  <c r="AA76" i="45" a="1"/>
  <c r="AA76" i="45" s="1"/>
  <c r="AA21" i="45" a="1"/>
  <c r="AA21" i="45" s="1"/>
  <c r="AA85" i="45" a="1"/>
  <c r="AA85" i="45" s="1"/>
  <c r="AA47" i="45" a="1"/>
  <c r="AA47" i="45" s="1"/>
  <c r="AA30" i="45" a="1"/>
  <c r="AA30" i="45" s="1"/>
  <c r="AA25" i="45" a="1"/>
  <c r="AA25" i="45" s="1"/>
  <c r="AA22" i="45" a="1"/>
  <c r="AA22" i="45" s="1"/>
  <c r="AA98" i="45" a="1"/>
  <c r="AA98" i="45" s="1"/>
  <c r="AA110" i="45" a="1"/>
  <c r="AA110" i="45" s="1"/>
  <c r="AA14" i="45" a="1"/>
  <c r="AA14" i="45" s="1"/>
  <c r="AA102" i="45" a="1"/>
  <c r="AA102" i="45" s="1"/>
  <c r="AA120" i="45" a="1"/>
  <c r="AA120" i="45" s="1"/>
  <c r="AA64" i="45" a="1"/>
  <c r="AA64" i="45" s="1"/>
  <c r="AA38" i="45" a="1"/>
  <c r="AA38" i="45" s="1"/>
  <c r="AA118" i="45" a="1"/>
  <c r="AA118" i="45" s="1"/>
  <c r="AA27" i="45" a="1"/>
  <c r="AA27" i="45" s="1"/>
  <c r="AA54" i="45" a="1"/>
  <c r="AA54" i="45" s="1"/>
  <c r="AA114" i="45" a="1"/>
  <c r="AA114" i="45" s="1"/>
  <c r="AA94" i="45" a="1"/>
  <c r="AA94" i="45" s="1"/>
  <c r="AA99" i="45" a="1"/>
  <c r="AA99" i="45" s="1"/>
  <c r="AA60" i="45" a="1"/>
  <c r="AA60" i="45" s="1"/>
  <c r="AA69" i="45" a="1"/>
  <c r="AA69" i="45" s="1"/>
  <c r="AA66" i="45" a="1"/>
  <c r="AA66" i="45" s="1"/>
  <c r="AA72" i="45" a="1"/>
  <c r="AA72" i="45" s="1"/>
  <c r="AA40" i="45" a="1"/>
  <c r="AA40" i="45" s="1"/>
  <c r="AA121" i="45" a="1"/>
  <c r="AA121" i="45" s="1"/>
  <c r="AA32" i="45" a="1"/>
  <c r="AA32" i="45" s="1"/>
  <c r="AA89" i="45" a="1"/>
  <c r="AA89" i="45" s="1"/>
  <c r="AA78" i="45" a="1"/>
  <c r="AA78" i="45" s="1"/>
  <c r="AA79" i="45" a="1"/>
  <c r="AA79" i="45" s="1"/>
  <c r="AA17" i="45" a="1"/>
  <c r="AA17" i="45" s="1"/>
  <c r="AA24" i="45" a="1"/>
  <c r="AA24" i="45" s="1"/>
  <c r="AA88" i="45" a="1"/>
  <c r="AA88" i="45" s="1"/>
  <c r="AA16" i="45" a="1"/>
  <c r="AA16" i="45" s="1"/>
  <c r="AA39" i="45" a="1"/>
  <c r="AA39" i="45" s="1"/>
  <c r="AA105" i="45" a="1"/>
  <c r="AA105" i="45" s="1"/>
  <c r="AA52" i="45" a="1"/>
  <c r="AA52" i="45" s="1"/>
  <c r="AA104" i="45" a="1"/>
  <c r="AA104" i="45" s="1"/>
  <c r="AA41" i="45" a="1"/>
  <c r="AA41" i="45" s="1"/>
  <c r="AA43" i="45" a="1"/>
  <c r="AA43" i="45" s="1"/>
  <c r="AA68" i="45" a="1"/>
  <c r="AA68" i="45" s="1"/>
  <c r="AA77" i="45" a="1"/>
  <c r="AA77" i="45" s="1"/>
  <c r="AA81" i="45" a="1"/>
  <c r="AA81" i="45" s="1"/>
  <c r="AA58" i="45" a="1"/>
  <c r="AA58" i="45" s="1"/>
  <c r="AA55" i="45" a="1"/>
  <c r="AA55" i="45" s="1"/>
  <c r="AA50" i="45" a="1"/>
  <c r="AA50" i="45" s="1"/>
  <c r="AA106" i="45" a="1"/>
  <c r="AA106" i="45" s="1"/>
  <c r="AA23" i="45" a="1"/>
  <c r="AA23" i="45" s="1"/>
  <c r="AA119" i="45" a="1"/>
  <c r="AA119" i="45" s="1"/>
  <c r="AA57" i="45" a="1"/>
  <c r="AA57" i="45" s="1"/>
  <c r="AA18" i="45" a="1"/>
  <c r="AA18" i="45" s="1"/>
  <c r="AJ121" i="56" a="1"/>
  <c r="AJ121" i="56" s="1"/>
  <c r="AF14" i="45"/>
  <c r="AJ34" i="42"/>
  <c r="AK34" i="42"/>
  <c r="AH34" i="42"/>
  <c r="AO34" i="42"/>
  <c r="AI34" i="42"/>
  <c r="AG34" i="42"/>
  <c r="AO54" i="42"/>
  <c r="AO41" i="42"/>
  <c r="AH41" i="42"/>
  <c r="AF41" i="42"/>
  <c r="AG41" i="42"/>
  <c r="AK30" i="42"/>
  <c r="AK41" i="42"/>
  <c r="AH30" i="42"/>
  <c r="AJ41" i="42"/>
  <c r="AK54" i="42"/>
  <c r="AJ50" i="42"/>
  <c r="AG54" i="42"/>
  <c r="AH50" i="42"/>
  <c r="AG56" i="42"/>
  <c r="AO31" i="42"/>
  <c r="AK24" i="42"/>
  <c r="AG33" i="42"/>
  <c r="AO35" i="42"/>
  <c r="AG32" i="42"/>
  <c r="AK35" i="42"/>
  <c r="AI35" i="42"/>
  <c r="AF33" i="42"/>
  <c r="AL33" i="42" s="1"/>
  <c r="AG31" i="42"/>
  <c r="AH32" i="42"/>
  <c r="AH35" i="42"/>
  <c r="AH56" i="42"/>
  <c r="AO33" i="42"/>
  <c r="AK31" i="42"/>
  <c r="AF31" i="42"/>
  <c r="AL31" i="42" s="1"/>
  <c r="AG51" i="42"/>
  <c r="AK48" i="42"/>
  <c r="AJ33" i="42"/>
  <c r="AG21" i="42"/>
  <c r="AK55" i="42"/>
  <c r="AH48" i="42"/>
  <c r="AO56" i="42"/>
  <c r="AG35" i="42"/>
  <c r="AO21" i="42"/>
  <c r="AG55" i="42"/>
  <c r="AK32" i="42"/>
  <c r="AI31" i="42"/>
  <c r="AK21" i="42"/>
  <c r="AG24" i="42"/>
  <c r="AI48" i="42"/>
  <c r="AJ43" i="42"/>
  <c r="AJ32" i="42"/>
  <c r="AH33" i="42"/>
  <c r="AF43" i="42"/>
  <c r="AI55" i="42"/>
  <c r="AI20" i="42"/>
  <c r="AI27" i="42"/>
  <c r="AO32" i="42"/>
  <c r="AF56" i="42"/>
  <c r="AL56" i="42" s="1"/>
  <c r="AO55" i="42"/>
  <c r="AH55" i="42"/>
  <c r="AI51" i="42"/>
  <c r="AK27" i="42"/>
  <c r="AI32" i="42"/>
  <c r="AF51" i="42"/>
  <c r="AL51" i="42" s="1"/>
  <c r="AJ48" i="42"/>
  <c r="AK20" i="42"/>
  <c r="AJ21" i="42"/>
  <c r="AH31" i="42"/>
  <c r="AG43" i="42"/>
  <c r="AI60" i="42"/>
  <c r="AI56" i="42"/>
  <c r="AJ35" i="42"/>
  <c r="AK33" i="42"/>
  <c r="AJ51" i="42"/>
  <c r="AK56" i="42"/>
  <c r="AK58" i="42"/>
  <c r="AK60" i="42"/>
  <c r="AJ58" i="42"/>
  <c r="AF48" i="42"/>
  <c r="AO24" i="42"/>
  <c r="AF58" i="42"/>
  <c r="AL58" i="42" s="1"/>
  <c r="AH21" i="42"/>
  <c r="AO48" i="42"/>
  <c r="AJ29" i="42"/>
  <c r="AK29" i="42"/>
  <c r="AF29" i="42"/>
  <c r="AL29" i="42" s="1"/>
  <c r="AJ27" i="42"/>
  <c r="AO27" i="42"/>
  <c r="AI21" i="42"/>
  <c r="AO18" i="42"/>
  <c r="AK49" i="42"/>
  <c r="AG28" i="42"/>
  <c r="AJ54" i="42"/>
  <c r="AH54" i="42"/>
  <c r="AI18" i="42"/>
  <c r="AG57" i="42"/>
  <c r="AO58" i="42"/>
  <c r="AG22" i="42"/>
  <c r="AF18" i="42"/>
  <c r="AL18" i="42" s="1"/>
  <c r="AF57" i="42"/>
  <c r="AL57" i="42" s="1"/>
  <c r="AF60" i="42"/>
  <c r="AL60" i="42" s="1"/>
  <c r="AI23" i="42"/>
  <c r="AI28" i="42"/>
  <c r="AG60" i="42"/>
  <c r="AK23" i="42"/>
  <c r="AK50" i="42"/>
  <c r="AO60" i="42"/>
  <c r="AH23" i="42"/>
  <c r="AJ22" i="42"/>
  <c r="AI49" i="42"/>
  <c r="AG18" i="42"/>
  <c r="AO22" i="42"/>
  <c r="AK18" i="42"/>
  <c r="AF59" i="42"/>
  <c r="AL59" i="42" s="1"/>
  <c r="AH49" i="42"/>
  <c r="AO57" i="42"/>
  <c r="AI59" i="42"/>
  <c r="AO59" i="42"/>
  <c r="AJ49" i="42"/>
  <c r="AK57" i="42"/>
  <c r="AJ28" i="42"/>
  <c r="AH28" i="42"/>
  <c r="AK61" i="42"/>
  <c r="AJ61" i="42"/>
  <c r="AH18" i="42"/>
  <c r="AG49" i="42"/>
  <c r="AG50" i="42"/>
  <c r="AG61" i="42"/>
  <c r="AK22" i="42"/>
  <c r="AH22" i="42"/>
  <c r="AH46" i="42"/>
  <c r="AJ57" i="42"/>
  <c r="AI58" i="42"/>
  <c r="AF23" i="42"/>
  <c r="AL23" i="42" s="1"/>
  <c r="AO23" i="42"/>
  <c r="AK28" i="42"/>
  <c r="AF22" i="42"/>
  <c r="AL22" i="42" s="1"/>
  <c r="AG29" i="42"/>
  <c r="AJ46" i="42"/>
  <c r="AI61" i="42"/>
  <c r="AF55" i="42"/>
  <c r="AL55" i="42" s="1"/>
  <c r="AH59" i="42"/>
  <c r="AF27" i="42"/>
  <c r="AL27" i="42" s="1"/>
  <c r="AF20" i="42"/>
  <c r="AL20" i="42" s="1"/>
  <c r="AO51" i="42"/>
  <c r="AF49" i="42"/>
  <c r="AI57" i="42"/>
  <c r="AO50" i="42"/>
  <c r="AH58" i="42"/>
  <c r="AF61" i="42"/>
  <c r="AL61" i="42" s="1"/>
  <c r="AG59" i="42"/>
  <c r="AK59" i="42"/>
  <c r="AH60" i="42"/>
  <c r="AF50" i="42"/>
  <c r="AL50" i="42" s="1"/>
  <c r="AH61" i="42"/>
  <c r="AO29" i="42"/>
  <c r="AH27" i="42"/>
  <c r="AG23" i="42"/>
  <c r="AH29" i="42"/>
  <c r="AH51" i="42"/>
  <c r="AI54" i="42"/>
  <c r="AI17" i="42"/>
  <c r="AK47" i="42"/>
  <c r="AG17" i="42"/>
  <c r="AO46" i="42"/>
  <c r="AK46" i="42"/>
  <c r="AF47" i="42"/>
  <c r="AI47" i="42"/>
  <c r="AK17" i="42"/>
  <c r="AI46" i="42"/>
  <c r="AO20" i="42"/>
  <c r="AH24" i="42"/>
  <c r="AH47" i="42"/>
  <c r="AH17" i="42"/>
  <c r="AG20" i="42"/>
  <c r="AK43" i="42"/>
  <c r="AO47" i="42"/>
  <c r="AJ17" i="42"/>
  <c r="AH20" i="42"/>
  <c r="AF46" i="42"/>
  <c r="AF17" i="42"/>
  <c r="AI43" i="42"/>
  <c r="AK42" i="42"/>
  <c r="AJ47" i="42"/>
  <c r="AJ24" i="42"/>
  <c r="AF24" i="42"/>
  <c r="AL24" i="42" s="1"/>
  <c r="AH43" i="42"/>
  <c r="AE304" i="40" a="1"/>
  <c r="AE304" i="40" s="1"/>
  <c r="AD304" i="40" s="1"/>
  <c r="AH304" i="40" s="1"/>
  <c r="AE190" i="40" a="1"/>
  <c r="AE190" i="40" s="1"/>
  <c r="AD190" i="40" s="1"/>
  <c r="AG190" i="40" s="1"/>
  <c r="AE271" i="40" a="1"/>
  <c r="AE271" i="40" s="1"/>
  <c r="AD271" i="40" s="1"/>
  <c r="AJ271" i="40" s="1"/>
  <c r="AE125" i="40" a="1"/>
  <c r="AE125" i="40" s="1"/>
  <c r="AD125" i="40" s="1"/>
  <c r="AI125" i="40" s="1"/>
  <c r="AE294" i="40" a="1"/>
  <c r="AE294" i="40" s="1"/>
  <c r="AD294" i="40" s="1"/>
  <c r="AI294" i="40" s="1"/>
  <c r="AE409" i="40" a="1"/>
  <c r="AE409" i="40" s="1"/>
  <c r="AD409" i="40" s="1"/>
  <c r="AI409" i="40" s="1"/>
  <c r="AE464" i="40" a="1"/>
  <c r="AE464" i="40" s="1"/>
  <c r="AD464" i="40" s="1"/>
  <c r="AJ464" i="40" s="1"/>
  <c r="AE213" i="40" a="1"/>
  <c r="AE213" i="40" s="1"/>
  <c r="AD213" i="40" s="1"/>
  <c r="AO213" i="40" s="1"/>
  <c r="AE477" i="40" a="1"/>
  <c r="AE477" i="40" s="1"/>
  <c r="AD477" i="40" s="1"/>
  <c r="AF477" i="40" s="1"/>
  <c r="AL477" i="40" s="1"/>
  <c r="AE30" i="40" a="1"/>
  <c r="AE30" i="40" s="1"/>
  <c r="AD30" i="40" s="1"/>
  <c r="AK30" i="40" s="1"/>
  <c r="AE100" i="40" a="1"/>
  <c r="AE100" i="40" s="1"/>
  <c r="AD100" i="40" s="1"/>
  <c r="AF100" i="40" s="1"/>
  <c r="AA83" i="46" a="1"/>
  <c r="AA83" i="46" s="1"/>
  <c r="AA72" i="46" a="1"/>
  <c r="AA72" i="46" s="1"/>
  <c r="AE55" i="43" a="1"/>
  <c r="AE55" i="43" s="1"/>
  <c r="AD55" i="43" s="1"/>
  <c r="AK55" i="43" s="1"/>
  <c r="AA88" i="46" a="1"/>
  <c r="AA88" i="46" s="1"/>
  <c r="AA79" i="46" a="1"/>
  <c r="AA79" i="46" s="1"/>
  <c r="AE407" i="40" a="1"/>
  <c r="AE407" i="40" s="1"/>
  <c r="AD407" i="40" s="1"/>
  <c r="AK407" i="40" s="1"/>
  <c r="AE484" i="40" a="1"/>
  <c r="AE484" i="40" s="1"/>
  <c r="AD484" i="40" s="1"/>
  <c r="AJ484" i="40" s="1"/>
  <c r="AE400" i="40" a="1"/>
  <c r="AE400" i="40" s="1"/>
  <c r="AD400" i="40" s="1"/>
  <c r="AO400" i="40" s="1"/>
  <c r="AE398" i="40" a="1"/>
  <c r="AE398" i="40" s="1"/>
  <c r="AD398" i="40" s="1"/>
  <c r="AI398" i="40" s="1"/>
  <c r="AE429" i="40" a="1"/>
  <c r="AE429" i="40" s="1"/>
  <c r="AD429" i="40" s="1"/>
  <c r="AI429" i="40" s="1"/>
  <c r="AE160" i="40" a="1"/>
  <c r="AE160" i="40" s="1"/>
  <c r="AD160" i="40" s="1"/>
  <c r="AG160" i="40" s="1"/>
  <c r="AE275" i="40" a="1"/>
  <c r="AE275" i="40" s="1"/>
  <c r="AD275" i="40" s="1"/>
  <c r="AI275" i="40" s="1"/>
  <c r="AE297" i="40" a="1"/>
  <c r="AE297" i="40" s="1"/>
  <c r="AD297" i="40" s="1"/>
  <c r="AO297" i="40" s="1"/>
  <c r="AE393" i="40" a="1"/>
  <c r="AE393" i="40" s="1"/>
  <c r="AD393" i="40" s="1"/>
  <c r="AH393" i="40" s="1"/>
  <c r="AE227" i="40" a="1"/>
  <c r="AE227" i="40" s="1"/>
  <c r="AD227" i="40" s="1"/>
  <c r="AK227" i="40" s="1"/>
  <c r="AE382" i="40" a="1"/>
  <c r="AE382" i="40" s="1"/>
  <c r="AD382" i="40" s="1"/>
  <c r="AH382" i="40" s="1"/>
  <c r="AE215" i="40" a="1"/>
  <c r="AE215" i="40" s="1"/>
  <c r="AD215" i="40" s="1"/>
  <c r="AI215" i="40" s="1"/>
  <c r="AE79" i="40" a="1"/>
  <c r="AE79" i="40" s="1"/>
  <c r="AD79" i="40" s="1"/>
  <c r="AG79" i="40" s="1"/>
  <c r="AE397" i="40" a="1"/>
  <c r="AE397" i="40" s="1"/>
  <c r="AD397" i="40" s="1"/>
  <c r="AG397" i="40" s="1"/>
  <c r="AE251" i="40" a="1"/>
  <c r="AE251" i="40" s="1"/>
  <c r="AD251" i="40" s="1"/>
  <c r="AH251" i="40" s="1"/>
  <c r="AE514" i="40" a="1"/>
  <c r="AE514" i="40" s="1"/>
  <c r="AD514" i="40" s="1"/>
  <c r="AK514" i="40" s="1"/>
  <c r="AE386" i="40" a="1"/>
  <c r="AE386" i="40" s="1"/>
  <c r="AD386" i="40" s="1"/>
  <c r="AK386" i="40" s="1"/>
  <c r="AE258" i="40" a="1"/>
  <c r="AE258" i="40" s="1"/>
  <c r="AD258" i="40" s="1"/>
  <c r="AJ258" i="40" s="1"/>
  <c r="AE130" i="40" a="1"/>
  <c r="AE130" i="40" s="1"/>
  <c r="AD130" i="40" s="1"/>
  <c r="AK130" i="40" s="1"/>
  <c r="AE97" i="40" a="1"/>
  <c r="AE97" i="40" s="1"/>
  <c r="AD97" i="40" s="1"/>
  <c r="AI97" i="40" s="1"/>
  <c r="AE335" i="40" a="1"/>
  <c r="AE335" i="40" s="1"/>
  <c r="AD335" i="40" s="1"/>
  <c r="AG335" i="40" s="1"/>
  <c r="AE59" i="43" a="1"/>
  <c r="AE59" i="43" s="1"/>
  <c r="AD59" i="43" s="1"/>
  <c r="AF59" i="43" s="1"/>
  <c r="AL59" i="43" s="1"/>
  <c r="AE45" i="43" a="1"/>
  <c r="AE45" i="43" s="1"/>
  <c r="AD45" i="43" s="1"/>
  <c r="AF45" i="43" s="1"/>
  <c r="AL45" i="43" s="1"/>
  <c r="AE77" i="46" a="1"/>
  <c r="AE77" i="46" s="1"/>
  <c r="AD77" i="46" s="1"/>
  <c r="AE47" i="43" a="1"/>
  <c r="AE47" i="43" s="1"/>
  <c r="AD47" i="43" s="1"/>
  <c r="AI47" i="43" s="1"/>
  <c r="AE43" i="43" a="1"/>
  <c r="AE43" i="43" s="1"/>
  <c r="AD43" i="43" s="1"/>
  <c r="AA78" i="46" a="1"/>
  <c r="AA78" i="46" s="1"/>
  <c r="AA84" i="46" a="1"/>
  <c r="AA84" i="46" s="1"/>
  <c r="AE51" i="43" a="1"/>
  <c r="AE51" i="43" s="1"/>
  <c r="AD51" i="43" s="1"/>
  <c r="AI51" i="43" s="1"/>
  <c r="AA80" i="46" a="1"/>
  <c r="AA80" i="46" s="1"/>
  <c r="AE254" i="40" a="1"/>
  <c r="AE254" i="40" s="1"/>
  <c r="AD254" i="40" s="1"/>
  <c r="AJ254" i="40" s="1"/>
  <c r="AE22" i="40" a="1"/>
  <c r="AE22" i="40" s="1"/>
  <c r="AD22" i="40" s="1"/>
  <c r="AI22" i="40" s="1"/>
  <c r="AE188" i="40" a="1"/>
  <c r="AE188" i="40" s="1"/>
  <c r="AD188" i="40" s="1"/>
  <c r="AK188" i="40" s="1"/>
  <c r="AE263" i="40" a="1"/>
  <c r="AE263" i="40" s="1"/>
  <c r="AD263" i="40" s="1"/>
  <c r="AF263" i="40" s="1"/>
  <c r="AE144" i="40" a="1"/>
  <c r="AE144" i="40" s="1"/>
  <c r="AD144" i="40" s="1"/>
  <c r="AF144" i="40" s="1"/>
  <c r="AE381" i="40" a="1"/>
  <c r="AE381" i="40" s="1"/>
  <c r="AD381" i="40" s="1"/>
  <c r="AF381" i="40" s="1"/>
  <c r="AL381" i="40" s="1"/>
  <c r="AE126" i="40" a="1"/>
  <c r="AE126" i="40" s="1"/>
  <c r="AD126" i="40" s="1"/>
  <c r="AF126" i="40" s="1"/>
  <c r="AE310" i="40" a="1"/>
  <c r="AE310" i="40" s="1"/>
  <c r="AD310" i="40" s="1"/>
  <c r="AO310" i="40" s="1"/>
  <c r="AE143" i="40" a="1"/>
  <c r="AE143" i="40" s="1"/>
  <c r="AD143" i="40" s="1"/>
  <c r="AO143" i="40" s="1"/>
  <c r="AE465" i="40" a="1"/>
  <c r="AE465" i="40" s="1"/>
  <c r="AD465" i="40" s="1"/>
  <c r="AI465" i="40" s="1"/>
  <c r="AE299" i="40" a="1"/>
  <c r="AE299" i="40" s="1"/>
  <c r="AD299" i="40" s="1"/>
  <c r="AF299" i="40" s="1"/>
  <c r="AE127" i="40" a="1"/>
  <c r="AE127" i="40" s="1"/>
  <c r="AD127" i="40" s="1"/>
  <c r="AH127" i="40" s="1"/>
  <c r="AE470" i="40" a="1"/>
  <c r="AE470" i="40" s="1"/>
  <c r="AD470" i="40" s="1"/>
  <c r="AK470" i="40" s="1"/>
  <c r="AE324" i="40" a="1"/>
  <c r="AE324" i="40" s="1"/>
  <c r="AD324" i="40" s="1"/>
  <c r="AO324" i="40" s="1"/>
  <c r="AE177" i="40" a="1"/>
  <c r="AE177" i="40" s="1"/>
  <c r="AD177" i="40" s="1"/>
  <c r="AO177" i="40" s="1"/>
  <c r="AE450" i="40" a="1"/>
  <c r="AE450" i="40" s="1"/>
  <c r="AD450" i="40" s="1"/>
  <c r="AG450" i="40" s="1"/>
  <c r="AE322" i="40" a="1"/>
  <c r="AE322" i="40" s="1"/>
  <c r="AD322" i="40" s="1"/>
  <c r="AK322" i="40" s="1"/>
  <c r="AE194" i="40" a="1"/>
  <c r="AE194" i="40" s="1"/>
  <c r="AD194" i="40" s="1"/>
  <c r="AK194" i="40" s="1"/>
  <c r="AE66" i="40" a="1"/>
  <c r="AE66" i="40" s="1"/>
  <c r="AD66" i="40" s="1"/>
  <c r="AJ66" i="40" s="1"/>
  <c r="AE33" i="40" a="1"/>
  <c r="AE33" i="40" s="1"/>
  <c r="AD33" i="40" s="1"/>
  <c r="AK33" i="40" s="1"/>
  <c r="AE337" i="40" a="1"/>
  <c r="AE337" i="40" s="1"/>
  <c r="AD337" i="40" s="1"/>
  <c r="AJ337" i="40" s="1"/>
  <c r="AA74" i="46" a="1"/>
  <c r="AA74" i="46" s="1"/>
  <c r="AA87" i="46" a="1"/>
  <c r="AA87" i="46" s="1"/>
  <c r="AA82" i="46" a="1"/>
  <c r="AA82" i="46" s="1"/>
  <c r="H47" i="36"/>
  <c r="J1" i="44"/>
  <c r="H44" i="36"/>
  <c r="AJ42" i="42"/>
  <c r="AI42" i="42"/>
  <c r="AH42" i="42"/>
  <c r="AF42" i="42"/>
  <c r="AG42" i="42"/>
  <c r="AA86" i="46" a="1"/>
  <c r="AA86" i="46" s="1"/>
  <c r="AA71" i="46" a="1"/>
  <c r="AA71" i="46" s="1"/>
  <c r="AA77" i="46" a="1"/>
  <c r="AA77" i="46" s="1"/>
  <c r="AA73" i="46" a="1"/>
  <c r="AA73" i="46" s="1"/>
  <c r="AA76" i="46" a="1"/>
  <c r="AA76" i="46" s="1"/>
  <c r="AA75" i="46" a="1"/>
  <c r="AA75" i="46" s="1"/>
  <c r="AA70" i="46" a="1"/>
  <c r="AA70" i="46" s="1"/>
  <c r="AA81" i="46" a="1"/>
  <c r="AA81" i="46" s="1"/>
  <c r="AA85" i="46" a="1"/>
  <c r="AA85" i="46" s="1"/>
  <c r="AA69" i="46" a="1"/>
  <c r="AA69" i="46" s="1"/>
  <c r="AE89" i="46" a="1"/>
  <c r="AE89" i="46" s="1"/>
  <c r="AD89" i="46" s="1"/>
  <c r="AA89" i="46" a="1"/>
  <c r="AA89" i="46" s="1"/>
  <c r="AE21" i="46" a="1"/>
  <c r="AE21" i="46" s="1"/>
  <c r="AE59" i="44" a="1"/>
  <c r="AE59" i="44" s="1"/>
  <c r="AD59" i="44" s="1"/>
  <c r="AJ59" i="44" s="1"/>
  <c r="AE47" i="44" a="1"/>
  <c r="AE47" i="44" s="1"/>
  <c r="AD47" i="44" s="1"/>
  <c r="AK47" i="44" s="1"/>
  <c r="AE30" i="44" a="1"/>
  <c r="AE30" i="44" s="1"/>
  <c r="AD30" i="44" s="1"/>
  <c r="AE21" i="44" a="1"/>
  <c r="AE21" i="44" s="1"/>
  <c r="AD21" i="44" s="1"/>
  <c r="AE18" i="43" a="1"/>
  <c r="AE18" i="43" s="1"/>
  <c r="AD18" i="43" s="1"/>
  <c r="AE291" i="40" a="1"/>
  <c r="AE291" i="40" s="1"/>
  <c r="AD291" i="40" s="1"/>
  <c r="AO291" i="40" s="1"/>
  <c r="AE368" i="40" a="1"/>
  <c r="AE368" i="40" s="1"/>
  <c r="AD368" i="40" s="1"/>
  <c r="AG368" i="40" s="1"/>
  <c r="AE439" i="40" a="1"/>
  <c r="AE439" i="40" s="1"/>
  <c r="AD439" i="40" s="1"/>
  <c r="AH439" i="40" s="1"/>
  <c r="AE67" i="40" a="1"/>
  <c r="AE67" i="40" s="1"/>
  <c r="AD67" i="40" s="1"/>
  <c r="AF67" i="40" s="1"/>
  <c r="AE34" i="43" a="1"/>
  <c r="AE34" i="43" s="1"/>
  <c r="AD34" i="43" s="1"/>
  <c r="AJ34" i="43" s="1"/>
  <c r="AE32" i="43" a="1"/>
  <c r="AE32" i="43" s="1"/>
  <c r="AD32" i="43" s="1"/>
  <c r="AI32" i="43" s="1"/>
  <c r="AE29" i="43" a="1"/>
  <c r="AE29" i="43" s="1"/>
  <c r="AD29" i="43" s="1"/>
  <c r="AO29" i="43" s="1"/>
  <c r="AE25" i="46" a="1"/>
  <c r="AE25" i="46" s="1"/>
  <c r="AE408" i="40" a="1"/>
  <c r="AE408" i="40" s="1"/>
  <c r="AD408" i="40" s="1"/>
  <c r="AI408" i="40" s="1"/>
  <c r="AE175" i="40" a="1"/>
  <c r="AE175" i="40" s="1"/>
  <c r="AD175" i="40" s="1"/>
  <c r="AH175" i="40" s="1"/>
  <c r="AE325" i="40" a="1"/>
  <c r="AE325" i="40" s="1"/>
  <c r="AD325" i="40" s="1"/>
  <c r="AG325" i="40" s="1"/>
  <c r="AE107" i="40" a="1"/>
  <c r="AE107" i="40" s="1"/>
  <c r="AD107" i="40" s="1"/>
  <c r="AG107" i="40" s="1"/>
  <c r="AE405" i="40" a="1"/>
  <c r="AE405" i="40" s="1"/>
  <c r="AD405" i="40" s="1"/>
  <c r="AO405" i="40" s="1"/>
  <c r="AE189" i="40" a="1"/>
  <c r="AE189" i="40" s="1"/>
  <c r="AD189" i="40" s="1"/>
  <c r="AE321" i="40" a="1"/>
  <c r="AE321" i="40" s="1"/>
  <c r="AD321" i="40" s="1"/>
  <c r="AH321" i="40" s="1"/>
  <c r="AE93" i="40" a="1"/>
  <c r="AE93" i="40" s="1"/>
  <c r="AD93" i="40" s="1"/>
  <c r="AK93" i="40" s="1"/>
  <c r="AE481" i="40" a="1"/>
  <c r="AE481" i="40" s="1"/>
  <c r="AD481" i="40" s="1"/>
  <c r="AI481" i="40" s="1"/>
  <c r="AE347" i="40" a="1"/>
  <c r="AE347" i="40" s="1"/>
  <c r="AD347" i="40" s="1"/>
  <c r="AF347" i="40" s="1"/>
  <c r="AL347" i="40" s="1"/>
  <c r="AE212" i="40" a="1"/>
  <c r="AE212" i="40" s="1"/>
  <c r="AD212" i="40" s="1"/>
  <c r="AI212" i="40" s="1"/>
  <c r="AE61" i="40" a="1"/>
  <c r="AE61" i="40" s="1"/>
  <c r="AD61" i="40" s="1"/>
  <c r="AI61" i="40" s="1"/>
  <c r="AE512" i="40" a="1"/>
  <c r="AE512" i="40" s="1"/>
  <c r="AD512" i="40" s="1"/>
  <c r="AI512" i="40" s="1"/>
  <c r="AE377" i="40" a="1"/>
  <c r="AE377" i="40" s="1"/>
  <c r="AD377" i="40" s="1"/>
  <c r="AE244" i="40" a="1"/>
  <c r="AE244" i="40" s="1"/>
  <c r="AD244" i="40" s="1"/>
  <c r="AF244" i="40" s="1"/>
  <c r="AE103" i="40" a="1"/>
  <c r="AE103" i="40" s="1"/>
  <c r="AD103" i="40" s="1"/>
  <c r="AJ103" i="40" s="1"/>
  <c r="AE493" i="40" a="1"/>
  <c r="AE493" i="40" s="1"/>
  <c r="AD493" i="40" s="1"/>
  <c r="AG493" i="40" s="1"/>
  <c r="AE358" i="40" a="1"/>
  <c r="AE358" i="40" s="1"/>
  <c r="AD358" i="40" s="1"/>
  <c r="AI358" i="40" s="1"/>
  <c r="AE228" i="40" a="1"/>
  <c r="AE228" i="40" s="1"/>
  <c r="AD228" i="40" s="1"/>
  <c r="AH228" i="40" s="1"/>
  <c r="AE76" i="40" a="1"/>
  <c r="AE76" i="40" s="1"/>
  <c r="AD76" i="40" s="1"/>
  <c r="AJ76" i="40" s="1"/>
  <c r="AE432" i="40" a="1"/>
  <c r="AE432" i="40" s="1"/>
  <c r="AD432" i="40" s="1"/>
  <c r="AG432" i="40" s="1"/>
  <c r="AE349" i="40" a="1"/>
  <c r="AE349" i="40" s="1"/>
  <c r="AD349" i="40" s="1"/>
  <c r="AI349" i="40" s="1"/>
  <c r="AE265" i="40" a="1"/>
  <c r="AE265" i="40" s="1"/>
  <c r="AD265" i="40" s="1"/>
  <c r="AF265" i="40" s="1"/>
  <c r="AE182" i="40" a="1"/>
  <c r="AE182" i="40" s="1"/>
  <c r="AD182" i="40" s="1"/>
  <c r="AH182" i="40" s="1"/>
  <c r="AE84" i="40" a="1"/>
  <c r="AE84" i="40" s="1"/>
  <c r="AD84" i="40" s="1"/>
  <c r="AJ84" i="40" s="1"/>
  <c r="AE446" i="40" a="1"/>
  <c r="AE446" i="40" s="1"/>
  <c r="AD446" i="40" s="1"/>
  <c r="AK446" i="40" s="1"/>
  <c r="AE363" i="40" a="1"/>
  <c r="AE363" i="40" s="1"/>
  <c r="AD363" i="40" s="1"/>
  <c r="AF363" i="40" s="1"/>
  <c r="AL363" i="40" s="1"/>
  <c r="AE279" i="40" a="1"/>
  <c r="AE279" i="40" s="1"/>
  <c r="AD279" i="40" s="1"/>
  <c r="AF279" i="40" s="1"/>
  <c r="AE195" i="40" a="1"/>
  <c r="AE195" i="40" s="1"/>
  <c r="AD195" i="40" s="1"/>
  <c r="AF195" i="40" s="1"/>
  <c r="AE102" i="40" a="1"/>
  <c r="AE102" i="40" s="1"/>
  <c r="AD102" i="40" s="1"/>
  <c r="AE435" i="40" a="1"/>
  <c r="AE435" i="40" s="1"/>
  <c r="AD435" i="40" s="1"/>
  <c r="AG435" i="40" s="1"/>
  <c r="AE350" i="40" a="1"/>
  <c r="AE350" i="40" s="1"/>
  <c r="AD350" i="40" s="1"/>
  <c r="AK350" i="40" s="1"/>
  <c r="AE267" i="40" a="1"/>
  <c r="AE267" i="40" s="1"/>
  <c r="AD267" i="40" s="1"/>
  <c r="AJ267" i="40" s="1"/>
  <c r="AE183" i="40" a="1"/>
  <c r="AE183" i="40" s="1"/>
  <c r="AD183" i="40" s="1"/>
  <c r="AK183" i="40" s="1"/>
  <c r="AE85" i="40" a="1"/>
  <c r="AE85" i="40" s="1"/>
  <c r="AD85" i="40" s="1"/>
  <c r="AJ85" i="40" s="1"/>
  <c r="AE133" i="40" a="1"/>
  <c r="AE133" i="40" s="1"/>
  <c r="AD133" i="40" s="1"/>
  <c r="AO133" i="40" s="1"/>
  <c r="AE47" i="40" a="1"/>
  <c r="AE47" i="40" s="1"/>
  <c r="AD47" i="40" s="1"/>
  <c r="AE443" i="40" a="1"/>
  <c r="AE443" i="40" s="1"/>
  <c r="AD443" i="40" s="1"/>
  <c r="AE369" i="40" a="1"/>
  <c r="AE369" i="40" s="1"/>
  <c r="AD369" i="40" s="1"/>
  <c r="AH369" i="40" s="1"/>
  <c r="AE296" i="40" a="1"/>
  <c r="AE296" i="40" s="1"/>
  <c r="AD296" i="40" s="1"/>
  <c r="AG296" i="40" s="1"/>
  <c r="AE223" i="40" a="1"/>
  <c r="AE223" i="40" s="1"/>
  <c r="AD223" i="40" s="1"/>
  <c r="AJ223" i="40" s="1"/>
  <c r="AE150" i="40" a="1"/>
  <c r="AE150" i="40" s="1"/>
  <c r="AD150" i="40" s="1"/>
  <c r="AJ150" i="40" s="1"/>
  <c r="AE68" i="40" a="1"/>
  <c r="AE68" i="40" s="1"/>
  <c r="AD68" i="40" s="1"/>
  <c r="AF68" i="40" s="1"/>
  <c r="AE490" i="40" a="1"/>
  <c r="AE490" i="40" s="1"/>
  <c r="AD490" i="40" s="1"/>
  <c r="AH490" i="40" s="1"/>
  <c r="AE426" i="40" a="1"/>
  <c r="AE426" i="40" s="1"/>
  <c r="AD426" i="40" s="1"/>
  <c r="AJ426" i="40" s="1"/>
  <c r="AE362" i="40" a="1"/>
  <c r="AE362" i="40" s="1"/>
  <c r="AD362" i="40" s="1"/>
  <c r="AE298" i="40" a="1"/>
  <c r="AE298" i="40" s="1"/>
  <c r="AD298" i="40" s="1"/>
  <c r="AK298" i="40" s="1"/>
  <c r="AE234" i="40" a="1"/>
  <c r="AE234" i="40" s="1"/>
  <c r="AD234" i="40" s="1"/>
  <c r="AF234" i="40" s="1"/>
  <c r="AE170" i="40" a="1"/>
  <c r="AE170" i="40" s="1"/>
  <c r="AD170" i="40" s="1"/>
  <c r="AO170" i="40" s="1"/>
  <c r="AE106" i="40" a="1"/>
  <c r="AE106" i="40" s="1"/>
  <c r="AD106" i="40" s="1"/>
  <c r="AI106" i="40" s="1"/>
  <c r="AE42" i="40" a="1"/>
  <c r="AE42" i="40" s="1"/>
  <c r="AD42" i="40" s="1"/>
  <c r="AH42" i="40" s="1"/>
  <c r="AE73" i="40" a="1"/>
  <c r="AE73" i="40" s="1"/>
  <c r="AD73" i="40" s="1"/>
  <c r="AO73" i="40" s="1"/>
  <c r="AE366" i="40" a="1"/>
  <c r="AE366" i="40" s="1"/>
  <c r="AD366" i="40" s="1"/>
  <c r="AJ366" i="40" s="1"/>
  <c r="AE92" i="40" a="1"/>
  <c r="AE92" i="40" s="1"/>
  <c r="AD92" i="40" s="1"/>
  <c r="AO92" i="40" s="1"/>
  <c r="AE38" i="40" a="1"/>
  <c r="AE38" i="40" s="1"/>
  <c r="AD38" i="40" s="1"/>
  <c r="AG38" i="40" s="1"/>
  <c r="AE399" i="40" a="1"/>
  <c r="AE399" i="40" s="1"/>
  <c r="AD399" i="40" s="1"/>
  <c r="AH399" i="40" s="1"/>
  <c r="AE201" i="40" a="1"/>
  <c r="AE201" i="40" s="1"/>
  <c r="AD201" i="40" s="1"/>
  <c r="AJ201" i="40" s="1"/>
  <c r="AE273" i="40" a="1"/>
  <c r="AE273" i="40" s="1"/>
  <c r="AD273" i="40" s="1"/>
  <c r="AH273" i="40" s="1"/>
  <c r="AE367" i="40" a="1"/>
  <c r="AE367" i="40" s="1"/>
  <c r="AD367" i="40" s="1"/>
  <c r="AJ367" i="40" s="1"/>
  <c r="AE44" i="43" a="1"/>
  <c r="AE44" i="43" s="1"/>
  <c r="AD44" i="43" s="1"/>
  <c r="AO44" i="43" s="1"/>
  <c r="AE23" i="43" a="1"/>
  <c r="AE23" i="43" s="1"/>
  <c r="AD23" i="43" s="1"/>
  <c r="AG23" i="43" s="1"/>
  <c r="AE49" i="43" a="1"/>
  <c r="AE49" i="43" s="1"/>
  <c r="AD49" i="43" s="1"/>
  <c r="AJ49" i="43" s="1"/>
  <c r="AE35" i="43" a="1"/>
  <c r="AE35" i="43" s="1"/>
  <c r="AD35" i="43" s="1"/>
  <c r="AH35" i="43" s="1"/>
  <c r="AE33" i="43" a="1"/>
  <c r="AE33" i="43" s="1"/>
  <c r="AD33" i="43" s="1"/>
  <c r="AH33" i="43" s="1"/>
  <c r="AE307" i="40" a="1"/>
  <c r="AE307" i="40" s="1"/>
  <c r="AD307" i="40" s="1"/>
  <c r="AE259" i="40" a="1"/>
  <c r="AE259" i="40" s="1"/>
  <c r="AD259" i="40" s="1"/>
  <c r="AE384" i="40" a="1"/>
  <c r="AE384" i="40" s="1"/>
  <c r="AD384" i="40" s="1"/>
  <c r="AE167" i="40" a="1"/>
  <c r="AE167" i="40" s="1"/>
  <c r="AD167" i="40" s="1"/>
  <c r="AF167" i="40" s="1"/>
  <c r="AE457" i="40" a="1"/>
  <c r="AE457" i="40" s="1"/>
  <c r="AD457" i="40" s="1"/>
  <c r="AI457" i="40" s="1"/>
  <c r="AE240" i="40" a="1"/>
  <c r="AE240" i="40" s="1"/>
  <c r="AD240" i="40" s="1"/>
  <c r="AG240" i="40" s="1"/>
  <c r="AE374" i="40" a="1"/>
  <c r="AE374" i="40" s="1"/>
  <c r="AD374" i="40" s="1"/>
  <c r="AG374" i="40" s="1"/>
  <c r="AE157" i="40" a="1"/>
  <c r="AE157" i="40" s="1"/>
  <c r="AD157" i="40" s="1"/>
  <c r="AE513" i="40" a="1"/>
  <c r="AE513" i="40" s="1"/>
  <c r="AD513" i="40" s="1"/>
  <c r="AE380" i="40" a="1"/>
  <c r="AE380" i="40" s="1"/>
  <c r="AD380" i="40" s="1"/>
  <c r="AE248" i="40" a="1"/>
  <c r="AE248" i="40" s="1"/>
  <c r="AD248" i="40" s="1"/>
  <c r="AO248" i="40" s="1"/>
  <c r="AE104" i="40" a="1"/>
  <c r="AE104" i="40" s="1"/>
  <c r="AD104" i="40" s="1"/>
  <c r="AE411" i="40" a="1"/>
  <c r="AE411" i="40" s="1"/>
  <c r="AD411" i="40" s="1"/>
  <c r="AJ411" i="40" s="1"/>
  <c r="AE280" i="40" a="1"/>
  <c r="AE280" i="40" s="1"/>
  <c r="AD280" i="40" s="1"/>
  <c r="AO280" i="40" s="1"/>
  <c r="AE145" i="40" a="1"/>
  <c r="AE145" i="40" s="1"/>
  <c r="AD145" i="40" s="1"/>
  <c r="AF145" i="40" s="1"/>
  <c r="AE395" i="40" a="1"/>
  <c r="AE395" i="40" s="1"/>
  <c r="AD395" i="40" s="1"/>
  <c r="AE261" i="40" a="1"/>
  <c r="AE261" i="40" s="1"/>
  <c r="AD261" i="40" s="1"/>
  <c r="AE119" i="40" a="1"/>
  <c r="AE119" i="40" s="1"/>
  <c r="AD119" i="40" s="1"/>
  <c r="AI119" i="40" s="1"/>
  <c r="AE454" i="40" a="1"/>
  <c r="AE454" i="40" s="1"/>
  <c r="AD454" i="40" s="1"/>
  <c r="AE371" i="40" a="1"/>
  <c r="AE371" i="40" s="1"/>
  <c r="AD371" i="40" s="1"/>
  <c r="AO371" i="40" s="1"/>
  <c r="AE286" i="40" a="1"/>
  <c r="AE286" i="40" s="1"/>
  <c r="AD286" i="40" s="1"/>
  <c r="AK286" i="40" s="1"/>
  <c r="AE203" i="40" a="1"/>
  <c r="AE203" i="40" s="1"/>
  <c r="AD203" i="40" s="1"/>
  <c r="AI203" i="40" s="1"/>
  <c r="AE112" i="40" a="1"/>
  <c r="AE112" i="40" s="1"/>
  <c r="AD112" i="40" s="1"/>
  <c r="AJ112" i="40" s="1"/>
  <c r="AE467" i="40" a="1"/>
  <c r="AE467" i="40" s="1"/>
  <c r="AD467" i="40" s="1"/>
  <c r="AJ467" i="40" s="1"/>
  <c r="AE383" i="40" a="1"/>
  <c r="AE383" i="40" s="1"/>
  <c r="AD383" i="40" s="1"/>
  <c r="AE300" i="40" a="1"/>
  <c r="AE300" i="40" s="1"/>
  <c r="AD300" i="40" s="1"/>
  <c r="AF300" i="40" s="1"/>
  <c r="AE216" i="40" a="1"/>
  <c r="AE216" i="40" s="1"/>
  <c r="AD216" i="40" s="1"/>
  <c r="AE128" i="40" a="1"/>
  <c r="AE128" i="40" s="1"/>
  <c r="AD128" i="40" s="1"/>
  <c r="AE16" i="40" a="1"/>
  <c r="AE16" i="40" s="1"/>
  <c r="AD16" i="40" s="1"/>
  <c r="AF16" i="40" s="1"/>
  <c r="AE455" i="40" a="1"/>
  <c r="AE455" i="40" s="1"/>
  <c r="AD455" i="40" s="1"/>
  <c r="AO455" i="40" s="1"/>
  <c r="AE372" i="40" a="1"/>
  <c r="AE372" i="40" s="1"/>
  <c r="AD372" i="40" s="1"/>
  <c r="AE288" i="40" a="1"/>
  <c r="AE288" i="40" s="1"/>
  <c r="AD288" i="40" s="1"/>
  <c r="AE204" i="40" a="1"/>
  <c r="AE204" i="40" s="1"/>
  <c r="AD204" i="40" s="1"/>
  <c r="AJ204" i="40" s="1"/>
  <c r="AE115" i="40" a="1"/>
  <c r="AE115" i="40" s="1"/>
  <c r="AD115" i="40" s="1"/>
  <c r="AH115" i="40" s="1"/>
  <c r="AE69" i="40" a="1"/>
  <c r="AE69" i="40" s="1"/>
  <c r="AD69" i="40" s="1"/>
  <c r="AE461" i="40" a="1"/>
  <c r="AE461" i="40" s="1"/>
  <c r="AD461" i="40" s="1"/>
  <c r="AE388" i="40" a="1"/>
  <c r="AE388" i="40" s="1"/>
  <c r="AD388" i="40" s="1"/>
  <c r="AG388" i="40" s="1"/>
  <c r="AE315" i="40" a="1"/>
  <c r="AE315" i="40" s="1"/>
  <c r="AD315" i="40" s="1"/>
  <c r="AK315" i="40" s="1"/>
  <c r="AE241" i="40" a="1"/>
  <c r="AE241" i="40" s="1"/>
  <c r="AD241" i="40" s="1"/>
  <c r="AE168" i="40" a="1"/>
  <c r="AE168" i="40" s="1"/>
  <c r="AD168" i="40" s="1"/>
  <c r="AE88" i="40" a="1"/>
  <c r="AE88" i="40" s="1"/>
  <c r="AD88" i="40" s="1"/>
  <c r="AE506" i="40" a="1"/>
  <c r="AE506" i="40" s="1"/>
  <c r="AD506" i="40" s="1"/>
  <c r="AE442" i="40" a="1"/>
  <c r="AE442" i="40" s="1"/>
  <c r="AD442" i="40" s="1"/>
  <c r="AK442" i="40" s="1"/>
  <c r="AE378" i="40" a="1"/>
  <c r="AE378" i="40" s="1"/>
  <c r="AD378" i="40" s="1"/>
  <c r="AE314" i="40" a="1"/>
  <c r="AE314" i="40" s="1"/>
  <c r="AD314" i="40" s="1"/>
  <c r="AJ314" i="40" s="1"/>
  <c r="AE250" i="40" a="1"/>
  <c r="AE250" i="40" s="1"/>
  <c r="AD250" i="40" s="1"/>
  <c r="AJ250" i="40" s="1"/>
  <c r="AE186" i="40" a="1"/>
  <c r="AE186" i="40" s="1"/>
  <c r="AD186" i="40" s="1"/>
  <c r="AE122" i="40" a="1"/>
  <c r="AE122" i="40" s="1"/>
  <c r="AD122" i="40" s="1"/>
  <c r="AH122" i="40" s="1"/>
  <c r="AE58" i="40" a="1"/>
  <c r="AE58" i="40" s="1"/>
  <c r="AD58" i="40" s="1"/>
  <c r="AJ58" i="40" s="1"/>
  <c r="AE89" i="40" a="1"/>
  <c r="AE89" i="40" s="1"/>
  <c r="AD89" i="40" s="1"/>
  <c r="AI89" i="40" s="1"/>
  <c r="AE51" i="40" a="1"/>
  <c r="AE51" i="40" s="1"/>
  <c r="AD51" i="40" s="1"/>
  <c r="AE469" i="40" a="1"/>
  <c r="AE469" i="40" s="1"/>
  <c r="AD469" i="40" s="1"/>
  <c r="AF469" i="40" s="1"/>
  <c r="AL469" i="40" s="1"/>
  <c r="AE233" i="40" a="1"/>
  <c r="AE233" i="40" s="1"/>
  <c r="AD233" i="40" s="1"/>
  <c r="AG233" i="40" s="1"/>
  <c r="AE222" i="40" a="1"/>
  <c r="AE222" i="40" s="1"/>
  <c r="AD222" i="40" s="1"/>
  <c r="AK222" i="40" s="1"/>
  <c r="AE317" i="40" a="1"/>
  <c r="AE317" i="40" s="1"/>
  <c r="AD317" i="40" s="1"/>
  <c r="AF317" i="40" s="1"/>
  <c r="AE385" i="40" a="1"/>
  <c r="AE385" i="40" s="1"/>
  <c r="AD385" i="40" s="1"/>
  <c r="AE473" i="40" a="1"/>
  <c r="AE473" i="40" s="1"/>
  <c r="AD473" i="40" s="1"/>
  <c r="AE31" i="43" a="1"/>
  <c r="AE31" i="43" s="1"/>
  <c r="AD31" i="43" s="1"/>
  <c r="AE56" i="43" a="1"/>
  <c r="AE56" i="43" s="1"/>
  <c r="AD56" i="43" s="1"/>
  <c r="AK56" i="43" s="1"/>
  <c r="AE83" i="46" a="1"/>
  <c r="AE83" i="46" s="1"/>
  <c r="AD83" i="46" s="1"/>
  <c r="AE72" i="46" a="1"/>
  <c r="AE72" i="46" s="1"/>
  <c r="AD72" i="46" s="1"/>
  <c r="AE33" i="44" a="1"/>
  <c r="AE33" i="44" s="1"/>
  <c r="AD33" i="44" s="1"/>
  <c r="AE357" i="40" a="1"/>
  <c r="AE357" i="40" s="1"/>
  <c r="AD357" i="40" s="1"/>
  <c r="AH357" i="40" s="1"/>
  <c r="AE221" i="40" a="1"/>
  <c r="AE221" i="40" s="1"/>
  <c r="AD221" i="40" s="1"/>
  <c r="AH221" i="40" s="1"/>
  <c r="AE355" i="40" a="1"/>
  <c r="AE355" i="40" s="1"/>
  <c r="AD355" i="40" s="1"/>
  <c r="AE136" i="40" a="1"/>
  <c r="AE136" i="40" s="1"/>
  <c r="AD136" i="40" s="1"/>
  <c r="AG136" i="40" s="1"/>
  <c r="AE431" i="40" a="1"/>
  <c r="AE431" i="40" s="1"/>
  <c r="AD431" i="40" s="1"/>
  <c r="AE219" i="40" a="1"/>
  <c r="AE219" i="40" s="1"/>
  <c r="AD219" i="40" s="1"/>
  <c r="AK219" i="40" s="1"/>
  <c r="AE348" i="40" a="1"/>
  <c r="AE348" i="40" s="1"/>
  <c r="AD348" i="40" s="1"/>
  <c r="AG348" i="40" s="1"/>
  <c r="AE134" i="40" a="1"/>
  <c r="AE134" i="40" s="1"/>
  <c r="AD134" i="40" s="1"/>
  <c r="AO134" i="40" s="1"/>
  <c r="AE500" i="40" a="1"/>
  <c r="AE500" i="40" s="1"/>
  <c r="AD500" i="40" s="1"/>
  <c r="AH500" i="40" s="1"/>
  <c r="AE365" i="40" a="1"/>
  <c r="AE365" i="40" s="1"/>
  <c r="AD365" i="40" s="1"/>
  <c r="AH365" i="40" s="1"/>
  <c r="AE230" i="40" a="1"/>
  <c r="AE230" i="40" s="1"/>
  <c r="AD230" i="40" s="1"/>
  <c r="AH230" i="40" s="1"/>
  <c r="AE80" i="40" a="1"/>
  <c r="AE80" i="40" s="1"/>
  <c r="AD80" i="40" s="1"/>
  <c r="AG80" i="40" s="1"/>
  <c r="AE396" i="40" a="1"/>
  <c r="AE396" i="40" s="1"/>
  <c r="AD396" i="40" s="1"/>
  <c r="AE262" i="40" a="1"/>
  <c r="AE262" i="40" s="1"/>
  <c r="AD262" i="40" s="1"/>
  <c r="AE124" i="40" a="1"/>
  <c r="AE124" i="40" s="1"/>
  <c r="AD124" i="40" s="1"/>
  <c r="AH124" i="40" s="1"/>
  <c r="AE511" i="40" a="1"/>
  <c r="AE511" i="40" s="1"/>
  <c r="AD511" i="40" s="1"/>
  <c r="AE376" i="40" a="1"/>
  <c r="AE376" i="40" s="1"/>
  <c r="AD376" i="40" s="1"/>
  <c r="AJ376" i="40" s="1"/>
  <c r="AE243" i="40" a="1"/>
  <c r="AE243" i="40" s="1"/>
  <c r="AD243" i="40" s="1"/>
  <c r="AE95" i="40" a="1"/>
  <c r="AE95" i="40" s="1"/>
  <c r="AD95" i="40" s="1"/>
  <c r="AE444" i="40" a="1"/>
  <c r="AE444" i="40" s="1"/>
  <c r="AD444" i="40" s="1"/>
  <c r="AE359" i="40" a="1"/>
  <c r="AE359" i="40" s="1"/>
  <c r="AD359" i="40" s="1"/>
  <c r="AE276" i="40" a="1"/>
  <c r="AE276" i="40" s="1"/>
  <c r="AD276" i="40" s="1"/>
  <c r="AK276" i="40" s="1"/>
  <c r="AE192" i="40" a="1"/>
  <c r="AE192" i="40" s="1"/>
  <c r="AD192" i="40" s="1"/>
  <c r="AE96" i="40" a="1"/>
  <c r="AE96" i="40" s="1"/>
  <c r="AD96" i="40" s="1"/>
  <c r="AF96" i="40" s="1"/>
  <c r="AE456" i="40" a="1"/>
  <c r="AE456" i="40" s="1"/>
  <c r="AD456" i="40" s="1"/>
  <c r="AH456" i="40" s="1"/>
  <c r="AE373" i="40" a="1"/>
  <c r="AE373" i="40" s="1"/>
  <c r="AD373" i="40" s="1"/>
  <c r="AJ373" i="40" s="1"/>
  <c r="AE289" i="40" a="1"/>
  <c r="AE289" i="40" s="1"/>
  <c r="AD289" i="40" s="1"/>
  <c r="AG289" i="40" s="1"/>
  <c r="AE206" i="40" a="1"/>
  <c r="AE206" i="40" s="1"/>
  <c r="AD206" i="40" s="1"/>
  <c r="AE116" i="40" a="1"/>
  <c r="AE116" i="40" s="1"/>
  <c r="AD116" i="40" s="1"/>
  <c r="AE445" i="40" a="1"/>
  <c r="AE445" i="40" s="1"/>
  <c r="AD445" i="40" s="1"/>
  <c r="AG445" i="40" s="1"/>
  <c r="AE361" i="40" a="1"/>
  <c r="AE361" i="40" s="1"/>
  <c r="AD361" i="40" s="1"/>
  <c r="AE277" i="40" a="1"/>
  <c r="AE277" i="40" s="1"/>
  <c r="AD277" i="40" s="1"/>
  <c r="AE193" i="40" a="1"/>
  <c r="AE193" i="40" s="1"/>
  <c r="AD193" i="40" s="1"/>
  <c r="AI193" i="40" s="1"/>
  <c r="AE99" i="40" a="1"/>
  <c r="AE99" i="40" s="1"/>
  <c r="AD99" i="40" s="1"/>
  <c r="AO99" i="40" s="1"/>
  <c r="AE142" i="40" a="1"/>
  <c r="AE142" i="40" s="1"/>
  <c r="AD142" i="40" s="1"/>
  <c r="AI142" i="40" s="1"/>
  <c r="AE59" i="40" a="1"/>
  <c r="AE59" i="40" s="1"/>
  <c r="AD59" i="40" s="1"/>
  <c r="AE452" i="40" a="1"/>
  <c r="AE452" i="40" s="1"/>
  <c r="AD452" i="40" s="1"/>
  <c r="AH452" i="40" s="1"/>
  <c r="AE379" i="40" a="1"/>
  <c r="AE379" i="40" s="1"/>
  <c r="AD379" i="40" s="1"/>
  <c r="AE305" i="40" a="1"/>
  <c r="AE305" i="40" s="1"/>
  <c r="AD305" i="40" s="1"/>
  <c r="AF305" i="40" s="1"/>
  <c r="AE232" i="40" a="1"/>
  <c r="AE232" i="40" s="1"/>
  <c r="AD232" i="40" s="1"/>
  <c r="AE159" i="40" a="1"/>
  <c r="AE159" i="40" s="1"/>
  <c r="AD159" i="40" s="1"/>
  <c r="AO159" i="40" s="1"/>
  <c r="AE78" i="40" a="1"/>
  <c r="AE78" i="40" s="1"/>
  <c r="AD78" i="40" s="1"/>
  <c r="AJ78" i="40" s="1"/>
  <c r="AE498" i="40" a="1"/>
  <c r="AE498" i="40" s="1"/>
  <c r="AD498" i="40" s="1"/>
  <c r="AI498" i="40" s="1"/>
  <c r="AE434" i="40" a="1"/>
  <c r="AE434" i="40" s="1"/>
  <c r="AD434" i="40" s="1"/>
  <c r="AE370" i="40" a="1"/>
  <c r="AE370" i="40" s="1"/>
  <c r="AD370" i="40" s="1"/>
  <c r="AH370" i="40" s="1"/>
  <c r="AE306" i="40" a="1"/>
  <c r="AE306" i="40" s="1"/>
  <c r="AD306" i="40" s="1"/>
  <c r="AO306" i="40" s="1"/>
  <c r="AE242" i="40" a="1"/>
  <c r="AE242" i="40" s="1"/>
  <c r="AD242" i="40" s="1"/>
  <c r="AE178" i="40" a="1"/>
  <c r="AE178" i="40" s="1"/>
  <c r="AD178" i="40" s="1"/>
  <c r="AE114" i="40" a="1"/>
  <c r="AE114" i="40" s="1"/>
  <c r="AD114" i="40" s="1"/>
  <c r="AK114" i="40" s="1"/>
  <c r="AE50" i="40" a="1"/>
  <c r="AE50" i="40" s="1"/>
  <c r="AD50" i="40" s="1"/>
  <c r="AJ50" i="40" s="1"/>
  <c r="AE81" i="40" a="1"/>
  <c r="AE81" i="40" s="1"/>
  <c r="AD81" i="40" s="1"/>
  <c r="AJ81" i="40" s="1"/>
  <c r="AE17" i="40" a="1"/>
  <c r="AE17" i="40" s="1"/>
  <c r="AD17" i="40" s="1"/>
  <c r="AE238" i="40" a="1"/>
  <c r="AE238" i="40" s="1"/>
  <c r="AD238" i="40" s="1"/>
  <c r="AE137" i="40" a="1"/>
  <c r="AE137" i="40" s="1"/>
  <c r="AD137" i="40" s="1"/>
  <c r="AK137" i="40" s="1"/>
  <c r="AE501" i="40" a="1"/>
  <c r="AE501" i="40" s="1"/>
  <c r="AD501" i="40" s="1"/>
  <c r="AE117" i="40" a="1"/>
  <c r="AE117" i="40" s="1"/>
  <c r="AD117" i="40" s="1"/>
  <c r="AE264" i="40" a="1"/>
  <c r="AE264" i="40" s="1"/>
  <c r="AD264" i="40" s="1"/>
  <c r="AH264" i="40" s="1"/>
  <c r="AE334" i="40" a="1"/>
  <c r="AE334" i="40" s="1"/>
  <c r="AD334" i="40" s="1"/>
  <c r="AJ334" i="40" s="1"/>
  <c r="AE420" i="40" a="1"/>
  <c r="AE420" i="40" s="1"/>
  <c r="AD420" i="40" s="1"/>
  <c r="AK420" i="40" s="1"/>
  <c r="AE26" i="43" a="1"/>
  <c r="AE26" i="43" s="1"/>
  <c r="AD26" i="43" s="1"/>
  <c r="AE34" i="44" a="1"/>
  <c r="AE34" i="44" s="1"/>
  <c r="AD34" i="44" s="1"/>
  <c r="AE61" i="43" a="1"/>
  <c r="AE61" i="43" s="1"/>
  <c r="AD61" i="43" s="1"/>
  <c r="AK61" i="43" s="1"/>
  <c r="AE48" i="43" a="1"/>
  <c r="AE48" i="43" s="1"/>
  <c r="AD48" i="43" s="1"/>
  <c r="AE19" i="43" a="1"/>
  <c r="AE19" i="43" s="1"/>
  <c r="AD19" i="43" s="1"/>
  <c r="AE79" i="46" a="1"/>
  <c r="AE79" i="46" s="1"/>
  <c r="AD79" i="46" s="1"/>
  <c r="AE52" i="43" a="1"/>
  <c r="AE52" i="43" s="1"/>
  <c r="AD52" i="43" s="1"/>
  <c r="AO52" i="43" s="1"/>
  <c r="AE53" i="43" a="1"/>
  <c r="AE53" i="43" s="1"/>
  <c r="AD53" i="43" s="1"/>
  <c r="AJ53" i="43" s="1"/>
  <c r="AE17" i="43" a="1"/>
  <c r="AE17" i="43" s="1"/>
  <c r="AD17" i="43" s="1"/>
  <c r="AE451" i="40" a="1"/>
  <c r="AE451" i="40" s="1"/>
  <c r="AD451" i="40" s="1"/>
  <c r="AE472" i="40" a="1"/>
  <c r="AE472" i="40" s="1"/>
  <c r="AD472" i="40" s="1"/>
  <c r="AH472" i="40" s="1"/>
  <c r="AE64" i="40" a="1"/>
  <c r="AE64" i="40" s="1"/>
  <c r="AD64" i="40" s="1"/>
  <c r="AE166" i="40" a="1"/>
  <c r="AE166" i="40" s="1"/>
  <c r="AD166" i="40" s="1"/>
  <c r="AE62" i="40" a="1"/>
  <c r="AE62" i="40" s="1"/>
  <c r="AD62" i="40" s="1"/>
  <c r="AE332" i="40" a="1"/>
  <c r="AE332" i="40" s="1"/>
  <c r="AD332" i="40" s="1"/>
  <c r="AO332" i="40" s="1"/>
  <c r="AE35" i="40" a="1"/>
  <c r="AE35" i="40" s="1"/>
  <c r="AD35" i="40" s="1"/>
  <c r="AK35" i="40" s="1"/>
  <c r="AE364" i="40" a="1"/>
  <c r="AE364" i="40" s="1"/>
  <c r="AD364" i="40" s="1"/>
  <c r="AE77" i="40" a="1"/>
  <c r="AE77" i="40" s="1"/>
  <c r="AD77" i="40" s="1"/>
  <c r="AO77" i="40" s="1"/>
  <c r="AE209" i="40" a="1"/>
  <c r="AE209" i="40" s="1"/>
  <c r="AD209" i="40" s="1"/>
  <c r="AO209" i="40" s="1"/>
  <c r="AE422" i="40" a="1"/>
  <c r="AE422" i="40" s="1"/>
  <c r="AD422" i="40" s="1"/>
  <c r="AF422" i="40" s="1"/>
  <c r="AL422" i="40" s="1"/>
  <c r="AE255" i="40" a="1"/>
  <c r="AE255" i="40" s="1"/>
  <c r="AD255" i="40" s="1"/>
  <c r="AH255" i="40" s="1"/>
  <c r="AE352" i="40" a="1"/>
  <c r="AE352" i="40" s="1"/>
  <c r="AD352" i="40" s="1"/>
  <c r="AK352" i="40" s="1"/>
  <c r="AE184" i="40" a="1"/>
  <c r="AE184" i="40" s="1"/>
  <c r="AD184" i="40" s="1"/>
  <c r="AI184" i="40" s="1"/>
  <c r="AE340" i="40" a="1"/>
  <c r="AE340" i="40" s="1"/>
  <c r="AD340" i="40" s="1"/>
  <c r="AJ340" i="40" s="1"/>
  <c r="AE173" i="40" a="1"/>
  <c r="AE173" i="40" s="1"/>
  <c r="AD173" i="40" s="1"/>
  <c r="AE123" i="40" a="1"/>
  <c r="AE123" i="40" s="1"/>
  <c r="AD123" i="40" s="1"/>
  <c r="AE507" i="40" a="1"/>
  <c r="AE507" i="40" s="1"/>
  <c r="AD507" i="40" s="1"/>
  <c r="AE360" i="40" a="1"/>
  <c r="AE360" i="40" s="1"/>
  <c r="AD360" i="40" s="1"/>
  <c r="AH360" i="40" s="1"/>
  <c r="AE214" i="40" a="1"/>
  <c r="AE214" i="40" s="1"/>
  <c r="AD214" i="40" s="1"/>
  <c r="AG214" i="40" s="1"/>
  <c r="AE482" i="40" a="1"/>
  <c r="AE482" i="40" s="1"/>
  <c r="AD482" i="40" s="1"/>
  <c r="AI482" i="40" s="1"/>
  <c r="AE354" i="40" a="1"/>
  <c r="AE354" i="40" s="1"/>
  <c r="AD354" i="40" s="1"/>
  <c r="AO354" i="40" s="1"/>
  <c r="AE226" i="40" a="1"/>
  <c r="AE226" i="40" s="1"/>
  <c r="AD226" i="40" s="1"/>
  <c r="AH226" i="40" s="1"/>
  <c r="AE98" i="40" a="1"/>
  <c r="AE98" i="40" s="1"/>
  <c r="AD98" i="40" s="1"/>
  <c r="AJ98" i="40" s="1"/>
  <c r="AE65" i="40" a="1"/>
  <c r="AE65" i="40" s="1"/>
  <c r="AD65" i="40" s="1"/>
  <c r="AJ65" i="40" s="1"/>
  <c r="AE252" i="40" a="1"/>
  <c r="AE252" i="40" s="1"/>
  <c r="AD252" i="40" s="1"/>
  <c r="AJ252" i="40" s="1"/>
  <c r="AE48" i="40" a="1"/>
  <c r="AE48" i="40" s="1"/>
  <c r="AD48" i="40" s="1"/>
  <c r="AE303" i="40" a="1"/>
  <c r="AE303" i="40" s="1"/>
  <c r="AD303" i="40" s="1"/>
  <c r="AE208" i="40" a="1"/>
  <c r="AE208" i="40" s="1"/>
  <c r="AD208" i="40" s="1"/>
  <c r="AE36" i="43" a="1"/>
  <c r="AE36" i="43" s="1"/>
  <c r="AD36" i="43" s="1"/>
  <c r="AK36" i="43" s="1"/>
  <c r="AE20" i="43" a="1"/>
  <c r="AE20" i="43" s="1"/>
  <c r="AD20" i="43" s="1"/>
  <c r="AE50" i="43" a="1"/>
  <c r="AE50" i="43" s="1"/>
  <c r="AD50" i="43" s="1"/>
  <c r="AJ50" i="43" s="1"/>
  <c r="AE74" i="46" a="1"/>
  <c r="AE74" i="46" s="1"/>
  <c r="AD74" i="46" s="1"/>
  <c r="AE81" i="44" a="1"/>
  <c r="AE81" i="44" s="1"/>
  <c r="AD81" i="44" s="1"/>
  <c r="AE39" i="40" a="1"/>
  <c r="AE39" i="40" s="1"/>
  <c r="AD39" i="40" s="1"/>
  <c r="AH39" i="40" s="1"/>
  <c r="AE131" i="40" a="1"/>
  <c r="AE131" i="40" s="1"/>
  <c r="AD131" i="40" s="1"/>
  <c r="AE302" i="40" a="1"/>
  <c r="AE302" i="40" s="1"/>
  <c r="AD302" i="40" s="1"/>
  <c r="AE375" i="40" a="1"/>
  <c r="AE375" i="40" s="1"/>
  <c r="AD375" i="40" s="1"/>
  <c r="AE504" i="40" a="1"/>
  <c r="AE504" i="40" s="1"/>
  <c r="AD504" i="40" s="1"/>
  <c r="AE292" i="40" a="1"/>
  <c r="AE292" i="40" s="1"/>
  <c r="AD292" i="40" s="1"/>
  <c r="AE463" i="40" a="1"/>
  <c r="AE463" i="40" s="1"/>
  <c r="AD463" i="40" s="1"/>
  <c r="AE198" i="40" a="1"/>
  <c r="AE198" i="40" s="1"/>
  <c r="AD198" i="40" s="1"/>
  <c r="AO198" i="40" s="1"/>
  <c r="AE494" i="40" a="1"/>
  <c r="AE494" i="40" s="1"/>
  <c r="AD494" i="40" s="1"/>
  <c r="AH494" i="40" s="1"/>
  <c r="AE229" i="40" a="1"/>
  <c r="AE229" i="40" s="1"/>
  <c r="AD229" i="40" s="1"/>
  <c r="AI229" i="40" s="1"/>
  <c r="AE478" i="40" a="1"/>
  <c r="AE478" i="40" s="1"/>
  <c r="AD478" i="40" s="1"/>
  <c r="AE344" i="40" a="1"/>
  <c r="AE344" i="40" s="1"/>
  <c r="AD344" i="40" s="1"/>
  <c r="AE52" i="40" a="1"/>
  <c r="AE52" i="40" s="1"/>
  <c r="AD52" i="40" s="1"/>
  <c r="AK52" i="40" s="1"/>
  <c r="AE505" i="40" a="1"/>
  <c r="AE505" i="40" s="1"/>
  <c r="AD505" i="40" s="1"/>
  <c r="AE339" i="40" a="1"/>
  <c r="AE339" i="40" s="1"/>
  <c r="AD339" i="40" s="1"/>
  <c r="AF339" i="40" s="1"/>
  <c r="AL339" i="40" s="1"/>
  <c r="AE172" i="40" a="1"/>
  <c r="AE172" i="40" s="1"/>
  <c r="AD172" i="40" s="1"/>
  <c r="AI172" i="40" s="1"/>
  <c r="AE70" i="40" a="1"/>
  <c r="AE70" i="40" s="1"/>
  <c r="AD70" i="40" s="1"/>
  <c r="AH70" i="40" s="1"/>
  <c r="AE436" i="40" a="1"/>
  <c r="AE436" i="40" s="1"/>
  <c r="AD436" i="40" s="1"/>
  <c r="AI436" i="40" s="1"/>
  <c r="AE268" i="40" a="1"/>
  <c r="AE268" i="40" s="1"/>
  <c r="AD268" i="40" s="1"/>
  <c r="AE86" i="40" a="1"/>
  <c r="AE86" i="40" s="1"/>
  <c r="AD86" i="40" s="1"/>
  <c r="AE508" i="40" a="1"/>
  <c r="AE508" i="40" s="1"/>
  <c r="AD508" i="40" s="1"/>
  <c r="AH508" i="40" s="1"/>
  <c r="AE423" i="40" a="1"/>
  <c r="AE423" i="40" s="1"/>
  <c r="AD423" i="40" s="1"/>
  <c r="AE256" i="40" a="1"/>
  <c r="AE256" i="40" s="1"/>
  <c r="AD256" i="40" s="1"/>
  <c r="AE71" i="40" a="1"/>
  <c r="AE71" i="40" s="1"/>
  <c r="AD71" i="40" s="1"/>
  <c r="AH71" i="40" s="1"/>
  <c r="AE37" i="40" a="1"/>
  <c r="AE37" i="40" s="1"/>
  <c r="AD37" i="40" s="1"/>
  <c r="AG37" i="40" s="1"/>
  <c r="AE433" i="40" a="1"/>
  <c r="AE433" i="40" s="1"/>
  <c r="AD433" i="40" s="1"/>
  <c r="AE287" i="40" a="1"/>
  <c r="AE287" i="40" s="1"/>
  <c r="AD287" i="40" s="1"/>
  <c r="AE141" i="40" a="1"/>
  <c r="AE141" i="40" s="1"/>
  <c r="AD141" i="40" s="1"/>
  <c r="AE56" i="40" a="1"/>
  <c r="AE56" i="40" s="1"/>
  <c r="AD56" i="40" s="1"/>
  <c r="AH56" i="40" s="1"/>
  <c r="AE418" i="40" a="1"/>
  <c r="AE418" i="40" s="1"/>
  <c r="AD418" i="40" s="1"/>
  <c r="AE290" i="40" a="1"/>
  <c r="AE290" i="40" s="1"/>
  <c r="AD290" i="40" s="1"/>
  <c r="AK290" i="40" s="1"/>
  <c r="AE162" i="40" a="1"/>
  <c r="AE162" i="40" s="1"/>
  <c r="AD162" i="40" s="1"/>
  <c r="AI162" i="40" s="1"/>
  <c r="AE34" i="40" a="1"/>
  <c r="AE34" i="40" s="1"/>
  <c r="AD34" i="40" s="1"/>
  <c r="AF34" i="40" s="1"/>
  <c r="AE129" i="40" a="1"/>
  <c r="AE129" i="40" s="1"/>
  <c r="AD129" i="40" s="1"/>
  <c r="AE284" i="40" a="1"/>
  <c r="AE284" i="40" s="1"/>
  <c r="AD284" i="40" s="1"/>
  <c r="AE149" i="40" a="1"/>
  <c r="AE149" i="40" s="1"/>
  <c r="AD149" i="40" s="1"/>
  <c r="AE316" i="40" a="1"/>
  <c r="AE316" i="40" s="1"/>
  <c r="AD316" i="40" s="1"/>
  <c r="AE108" i="40" a="1"/>
  <c r="AE108" i="40" s="1"/>
  <c r="AD108" i="40" s="1"/>
  <c r="AO108" i="40" s="1"/>
  <c r="AE502" i="40" a="1"/>
  <c r="AE502" i="40" s="1"/>
  <c r="AD502" i="40" s="1"/>
  <c r="AE438" i="40" a="1"/>
  <c r="AE438" i="40" s="1"/>
  <c r="AD438" i="40" s="1"/>
  <c r="AE75" i="40" a="1"/>
  <c r="AE75" i="40" s="1"/>
  <c r="AD75" i="40" s="1"/>
  <c r="AE489" i="40" a="1"/>
  <c r="AE489" i="40" s="1"/>
  <c r="AD489" i="40" s="1"/>
  <c r="AI489" i="40" s="1"/>
  <c r="AE27" i="43" a="1"/>
  <c r="AE27" i="43" s="1"/>
  <c r="AD27" i="43" s="1"/>
  <c r="AH27" i="43" s="1"/>
  <c r="AE42" i="43" a="1"/>
  <c r="AE42" i="43" s="1"/>
  <c r="AD42" i="43" s="1"/>
  <c r="AE58" i="43" a="1"/>
  <c r="AE58" i="43" s="1"/>
  <c r="AD58" i="43" s="1"/>
  <c r="AH58" i="43" s="1"/>
  <c r="AE272" i="40" a="1"/>
  <c r="AE272" i="40" s="1"/>
  <c r="AD272" i="40" s="1"/>
  <c r="AE23" i="40" a="1"/>
  <c r="AE23" i="40" s="1"/>
  <c r="AD23" i="40" s="1"/>
  <c r="AE353" i="40" a="1"/>
  <c r="AE353" i="40" s="1"/>
  <c r="AD353" i="40" s="1"/>
  <c r="AO353" i="40" s="1"/>
  <c r="AE135" i="40" a="1"/>
  <c r="AE135" i="40" s="1"/>
  <c r="AD135" i="40" s="1"/>
  <c r="AG135" i="40" s="1"/>
  <c r="AE483" i="40" a="1"/>
  <c r="AE483" i="40" s="1"/>
  <c r="AD483" i="40" s="1"/>
  <c r="AE270" i="40" a="1"/>
  <c r="AE270" i="40" s="1"/>
  <c r="AD270" i="40" s="1"/>
  <c r="AG270" i="40" s="1"/>
  <c r="AE21" i="40" a="1"/>
  <c r="AE21" i="40" s="1"/>
  <c r="AD21" i="40" s="1"/>
  <c r="AE448" i="40" a="1"/>
  <c r="AE448" i="40" s="1"/>
  <c r="AD448" i="40" s="1"/>
  <c r="AE313" i="40" a="1"/>
  <c r="AE313" i="40" s="1"/>
  <c r="AD313" i="40" s="1"/>
  <c r="AK313" i="40" s="1"/>
  <c r="AE180" i="40" a="1"/>
  <c r="AE180" i="40" s="1"/>
  <c r="AD180" i="40" s="1"/>
  <c r="AE480" i="40" a="1"/>
  <c r="AE480" i="40" s="1"/>
  <c r="AD480" i="40" s="1"/>
  <c r="AE345" i="40" a="1"/>
  <c r="AE345" i="40" s="1"/>
  <c r="AD345" i="40" s="1"/>
  <c r="AJ345" i="40" s="1"/>
  <c r="AE211" i="40" a="1"/>
  <c r="AE211" i="40" s="1"/>
  <c r="AD211" i="40" s="1"/>
  <c r="AF211" i="40" s="1"/>
  <c r="AE53" i="40" a="1"/>
  <c r="AE53" i="40" s="1"/>
  <c r="AD53" i="40" s="1"/>
  <c r="AE460" i="40" a="1"/>
  <c r="AE460" i="40" s="1"/>
  <c r="AD460" i="40" s="1"/>
  <c r="AE326" i="40" a="1"/>
  <c r="AE326" i="40" s="1"/>
  <c r="AD326" i="40" s="1"/>
  <c r="AE191" i="40" a="1"/>
  <c r="AE191" i="40" s="1"/>
  <c r="AD191" i="40" s="1"/>
  <c r="AE31" i="40" a="1"/>
  <c r="AE31" i="40" s="1"/>
  <c r="AD31" i="40" s="1"/>
  <c r="AE495" i="40" a="1"/>
  <c r="AE495" i="40" s="1"/>
  <c r="AD495" i="40" s="1"/>
  <c r="AE412" i="40" a="1"/>
  <c r="AE412" i="40" s="1"/>
  <c r="AD412" i="40" s="1"/>
  <c r="AK412" i="40" s="1"/>
  <c r="AE328" i="40" a="1"/>
  <c r="AE328" i="40" s="1"/>
  <c r="AD328" i="40" s="1"/>
  <c r="AO328" i="40" s="1"/>
  <c r="AE245" i="40" a="1"/>
  <c r="AE245" i="40" s="1"/>
  <c r="AD245" i="40" s="1"/>
  <c r="AI245" i="40" s="1"/>
  <c r="AE161" i="40" a="1"/>
  <c r="AE161" i="40" s="1"/>
  <c r="AD161" i="40" s="1"/>
  <c r="AH161" i="40" s="1"/>
  <c r="AE54" i="40" a="1"/>
  <c r="AE54" i="40" s="1"/>
  <c r="AD54" i="40" s="1"/>
  <c r="AJ54" i="40" s="1"/>
  <c r="AE509" i="40" a="1"/>
  <c r="AE509" i="40" s="1"/>
  <c r="AD509" i="40" s="1"/>
  <c r="AE425" i="40" a="1"/>
  <c r="AE425" i="40" s="1"/>
  <c r="AD425" i="40" s="1"/>
  <c r="AE341" i="40" a="1"/>
  <c r="AE341" i="40" s="1"/>
  <c r="AD341" i="40" s="1"/>
  <c r="AH341" i="40" s="1"/>
  <c r="AE257" i="40" a="1"/>
  <c r="AE257" i="40" s="1"/>
  <c r="AD257" i="40" s="1"/>
  <c r="AH257" i="40" s="1"/>
  <c r="AE174" i="40" a="1"/>
  <c r="AE174" i="40" s="1"/>
  <c r="AD174" i="40" s="1"/>
  <c r="AG174" i="40" s="1"/>
  <c r="AE72" i="40" a="1"/>
  <c r="AE72" i="40" s="1"/>
  <c r="AD72" i="40" s="1"/>
  <c r="AE496" i="40" a="1"/>
  <c r="AE496" i="40" s="1"/>
  <c r="AD496" i="40" s="1"/>
  <c r="AE413" i="40" a="1"/>
  <c r="AE413" i="40" s="1"/>
  <c r="AD413" i="40" s="1"/>
  <c r="AG413" i="40" s="1"/>
  <c r="AE329" i="40" a="1"/>
  <c r="AE329" i="40" s="1"/>
  <c r="AD329" i="40" s="1"/>
  <c r="AE246" i="40" a="1"/>
  <c r="AE246" i="40" s="1"/>
  <c r="AD246" i="40" s="1"/>
  <c r="AE163" i="40" a="1"/>
  <c r="AE163" i="40" s="1"/>
  <c r="AD163" i="40" s="1"/>
  <c r="AE55" i="40" a="1"/>
  <c r="AE55" i="40" s="1"/>
  <c r="AD55" i="40" s="1"/>
  <c r="AI55" i="40" s="1"/>
  <c r="AE111" i="40" a="1"/>
  <c r="AE111" i="40" s="1"/>
  <c r="AD111" i="40" s="1"/>
  <c r="AI111" i="40" s="1"/>
  <c r="AE27" i="40" a="1"/>
  <c r="AE27" i="40" s="1"/>
  <c r="AD27" i="40" s="1"/>
  <c r="AE497" i="40" a="1"/>
  <c r="AE497" i="40" s="1"/>
  <c r="AD497" i="40" s="1"/>
  <c r="AE424" i="40" a="1"/>
  <c r="AE424" i="40" s="1"/>
  <c r="AD424" i="40" s="1"/>
  <c r="AE351" i="40" a="1"/>
  <c r="AE351" i="40" s="1"/>
  <c r="AD351" i="40" s="1"/>
  <c r="AF351" i="40" s="1"/>
  <c r="AL351" i="40" s="1"/>
  <c r="AE278" i="40" a="1"/>
  <c r="AE278" i="40" s="1"/>
  <c r="AD278" i="40" s="1"/>
  <c r="AE205" i="40" a="1"/>
  <c r="AE205" i="40" s="1"/>
  <c r="AD205" i="40" s="1"/>
  <c r="AG205" i="40" s="1"/>
  <c r="AE132" i="40" a="1"/>
  <c r="AE132" i="40" s="1"/>
  <c r="AD132" i="40" s="1"/>
  <c r="AE46" i="40" a="1"/>
  <c r="AE46" i="40" s="1"/>
  <c r="AD46" i="40" s="1"/>
  <c r="AF46" i="40" s="1"/>
  <c r="AE474" i="40" a="1"/>
  <c r="AE474" i="40" s="1"/>
  <c r="AD474" i="40" s="1"/>
  <c r="AE410" i="40" a="1"/>
  <c r="AE410" i="40" s="1"/>
  <c r="AD410" i="40" s="1"/>
  <c r="AE346" i="40" a="1"/>
  <c r="AE346" i="40" s="1"/>
  <c r="AD346" i="40" s="1"/>
  <c r="AE282" i="40" a="1"/>
  <c r="AE282" i="40" s="1"/>
  <c r="AD282" i="40" s="1"/>
  <c r="AE218" i="40" a="1"/>
  <c r="AE218" i="40" s="1"/>
  <c r="AD218" i="40" s="1"/>
  <c r="AG218" i="40" s="1"/>
  <c r="AE154" i="40" a="1"/>
  <c r="AE154" i="40" s="1"/>
  <c r="AD154" i="40" s="1"/>
  <c r="AE90" i="40" a="1"/>
  <c r="AE90" i="40" s="1"/>
  <c r="AD90" i="40" s="1"/>
  <c r="AI90" i="40" s="1"/>
  <c r="AE26" i="40" a="1"/>
  <c r="AE26" i="40" s="1"/>
  <c r="AD26" i="40" s="1"/>
  <c r="AI26" i="40" s="1"/>
  <c r="AE121" i="40" a="1"/>
  <c r="AE121" i="40" s="1"/>
  <c r="AD121" i="40" s="1"/>
  <c r="AK121" i="40" s="1"/>
  <c r="AE57" i="40" a="1"/>
  <c r="AE57" i="40" s="1"/>
  <c r="AD57" i="40" s="1"/>
  <c r="AE171" i="40" a="1"/>
  <c r="AE171" i="40" s="1"/>
  <c r="AD171" i="40" s="1"/>
  <c r="AH171" i="40" s="1"/>
  <c r="AE387" i="40" a="1"/>
  <c r="AE387" i="40" s="1"/>
  <c r="AD387" i="40" s="1"/>
  <c r="AE109" i="40" a="1"/>
  <c r="AE109" i="40" s="1"/>
  <c r="AD109" i="40" s="1"/>
  <c r="AK109" i="40" s="1"/>
  <c r="AE169" i="40" a="1"/>
  <c r="AE169" i="40" s="1"/>
  <c r="AD169" i="40" s="1"/>
  <c r="AE199" i="40" a="1"/>
  <c r="AE199" i="40" s="1"/>
  <c r="AD199" i="40" s="1"/>
  <c r="AE231" i="40" a="1"/>
  <c r="AE231" i="40" s="1"/>
  <c r="AD231" i="40" s="1"/>
  <c r="AJ231" i="40" s="1"/>
  <c r="AE83" i="40" a="1"/>
  <c r="AE83" i="40" s="1"/>
  <c r="AD83" i="40" s="1"/>
  <c r="AE155" i="40" a="1"/>
  <c r="AE155" i="40" s="1"/>
  <c r="AD155" i="40" s="1"/>
  <c r="AO155" i="40" s="1"/>
  <c r="AE253" i="40" a="1"/>
  <c r="AE253" i="40" s="1"/>
  <c r="AD253" i="40" s="1"/>
  <c r="AE22" i="44" a="1"/>
  <c r="AE22" i="44" s="1"/>
  <c r="AD22" i="44" s="1"/>
  <c r="AE82" i="46" a="1"/>
  <c r="AE82" i="46" s="1"/>
  <c r="AD82" i="46" s="1"/>
  <c r="AE84" i="44" a="1"/>
  <c r="AE84" i="44" s="1"/>
  <c r="AD84" i="44" s="1"/>
  <c r="AG84" i="44" s="1"/>
  <c r="AD16" i="39"/>
  <c r="AO16" i="39" s="1"/>
  <c r="AD26" i="39"/>
  <c r="AO26" i="39" s="1"/>
  <c r="AD34" i="39"/>
  <c r="AO34" i="39" s="1"/>
  <c r="AD42" i="39"/>
  <c r="AO42" i="39" s="1"/>
  <c r="AD50" i="39"/>
  <c r="AO50" i="39" s="1"/>
  <c r="AD58" i="39"/>
  <c r="AO58" i="39" s="1"/>
  <c r="AD66" i="39"/>
  <c r="AO66" i="39" s="1"/>
  <c r="AD74" i="39"/>
  <c r="AO74" i="39" s="1"/>
  <c r="AD82" i="39"/>
  <c r="AO82" i="39" s="1"/>
  <c r="AD90" i="39"/>
  <c r="AO90" i="39" s="1"/>
  <c r="AD20" i="39"/>
  <c r="AO20" i="39" s="1"/>
  <c r="AD39" i="39"/>
  <c r="AO39" i="39" s="1"/>
  <c r="AD48" i="39"/>
  <c r="AO48" i="39" s="1"/>
  <c r="AD67" i="39"/>
  <c r="AO67" i="39" s="1"/>
  <c r="AD76" i="39"/>
  <c r="AO76" i="39" s="1"/>
  <c r="AD85" i="39"/>
  <c r="AO85" i="39" s="1"/>
  <c r="AD21" i="39"/>
  <c r="AO21" i="39" s="1"/>
  <c r="AD31" i="39"/>
  <c r="AO31" i="39" s="1"/>
  <c r="AD40" i="39"/>
  <c r="AO40" i="39" s="1"/>
  <c r="AD49" i="39"/>
  <c r="AO49" i="39" s="1"/>
  <c r="AD59" i="39"/>
  <c r="AO59" i="39" s="1"/>
  <c r="AD68" i="39"/>
  <c r="AO68" i="39" s="1"/>
  <c r="AD77" i="39"/>
  <c r="AO77" i="39" s="1"/>
  <c r="AD22" i="39"/>
  <c r="AO22" i="39" s="1"/>
  <c r="AD32" i="39"/>
  <c r="AO32" i="39" s="1"/>
  <c r="AD41" i="39"/>
  <c r="AO41" i="39" s="1"/>
  <c r="AD51" i="39"/>
  <c r="AO51" i="39" s="1"/>
  <c r="AD69" i="39"/>
  <c r="AO69" i="39" s="1"/>
  <c r="AD78" i="39"/>
  <c r="AO78" i="39" s="1"/>
  <c r="AD87" i="39"/>
  <c r="AO87" i="39" s="1"/>
  <c r="AD33" i="39"/>
  <c r="AO33" i="39" s="1"/>
  <c r="AD46" i="39"/>
  <c r="AO46" i="39" s="1"/>
  <c r="AD61" i="39"/>
  <c r="AO61" i="39" s="1"/>
  <c r="AD73" i="39"/>
  <c r="AO73" i="39" s="1"/>
  <c r="AD23" i="39"/>
  <c r="AO23" i="39" s="1"/>
  <c r="AD37" i="39"/>
  <c r="AO37" i="39" s="1"/>
  <c r="AD53" i="39"/>
  <c r="AO53" i="39" s="1"/>
  <c r="AD64" i="39"/>
  <c r="AO64" i="39" s="1"/>
  <c r="AD80" i="39"/>
  <c r="AO80" i="39" s="1"/>
  <c r="AD25" i="39"/>
  <c r="AO25" i="39" s="1"/>
  <c r="AD54" i="39"/>
  <c r="AO54" i="39" s="1"/>
  <c r="AD65" i="39"/>
  <c r="AO65" i="39" s="1"/>
  <c r="AD81" i="39"/>
  <c r="AO81" i="39" s="1"/>
  <c r="AD17" i="39"/>
  <c r="AO17" i="39" s="1"/>
  <c r="AD35" i="39"/>
  <c r="AO35" i="39" s="1"/>
  <c r="AD47" i="39"/>
  <c r="AO47" i="39" s="1"/>
  <c r="AD62" i="39"/>
  <c r="AO62" i="39" s="1"/>
  <c r="AD75" i="39"/>
  <c r="AO75" i="39" s="1"/>
  <c r="AD19" i="39"/>
  <c r="AO19" i="39" s="1"/>
  <c r="AD36" i="39"/>
  <c r="AO36" i="39" s="1"/>
  <c r="AD52" i="39"/>
  <c r="AO52" i="39" s="1"/>
  <c r="AD63" i="39"/>
  <c r="AO63" i="39" s="1"/>
  <c r="AD79" i="39"/>
  <c r="AO79" i="39" s="1"/>
  <c r="AD27" i="39"/>
  <c r="AO27" i="39" s="1"/>
  <c r="AD43" i="39"/>
  <c r="AO43" i="39" s="1"/>
  <c r="AD55" i="39"/>
  <c r="AO55" i="39" s="1"/>
  <c r="AD70" i="39"/>
  <c r="AO70" i="39" s="1"/>
  <c r="AD83" i="39"/>
  <c r="AO83" i="39" s="1"/>
  <c r="AD28" i="39"/>
  <c r="AO28" i="39" s="1"/>
  <c r="AD44" i="39"/>
  <c r="AO44" i="39" s="1"/>
  <c r="AD56" i="39"/>
  <c r="AO56" i="39" s="1"/>
  <c r="AD71" i="39"/>
  <c r="AO71" i="39" s="1"/>
  <c r="AD84" i="39"/>
  <c r="AO84" i="39" s="1"/>
  <c r="AD45" i="39"/>
  <c r="AO45" i="39" s="1"/>
  <c r="AD60" i="39"/>
  <c r="AO60" i="39" s="1"/>
  <c r="AD29" i="39"/>
  <c r="AO29" i="39" s="1"/>
  <c r="AD72" i="39"/>
  <c r="AO72" i="39" s="1"/>
  <c r="AE85" i="46" a="1"/>
  <c r="AE85" i="46" s="1"/>
  <c r="AD85" i="46" s="1"/>
  <c r="AE75" i="46" a="1"/>
  <c r="AE75" i="46" s="1"/>
  <c r="AD75" i="46" s="1"/>
  <c r="AE156" i="40" a="1"/>
  <c r="AE156" i="40" s="1"/>
  <c r="AD156" i="40" s="1"/>
  <c r="AO156" i="40" s="1"/>
  <c r="AE389" i="40" a="1"/>
  <c r="AE389" i="40" s="1"/>
  <c r="AD389" i="40" s="1"/>
  <c r="AE19" i="40" a="1"/>
  <c r="AE19" i="40" s="1"/>
  <c r="AD19" i="40" s="1"/>
  <c r="AE459" i="40" a="1"/>
  <c r="AE459" i="40" s="1"/>
  <c r="AD459" i="40" s="1"/>
  <c r="AJ459" i="40" s="1"/>
  <c r="AE249" i="40" a="1"/>
  <c r="AE249" i="40" s="1"/>
  <c r="AD249" i="40" s="1"/>
  <c r="AK249" i="40" s="1"/>
  <c r="AE323" i="40" a="1"/>
  <c r="AE323" i="40" s="1"/>
  <c r="AD323" i="40" s="1"/>
  <c r="AI323" i="40" s="1"/>
  <c r="AE94" i="40" a="1"/>
  <c r="AE94" i="40" s="1"/>
  <c r="AD94" i="40" s="1"/>
  <c r="AE453" i="40" a="1"/>
  <c r="AE453" i="40" s="1"/>
  <c r="AD453" i="40" s="1"/>
  <c r="AE239" i="40" a="1"/>
  <c r="AE239" i="40" s="1"/>
  <c r="AD239" i="40" s="1"/>
  <c r="AH239" i="40" s="1"/>
  <c r="AE430" i="40" a="1"/>
  <c r="AE430" i="40" s="1"/>
  <c r="AD430" i="40" s="1"/>
  <c r="AE295" i="40" a="1"/>
  <c r="AE295" i="40" s="1"/>
  <c r="AD295" i="40" s="1"/>
  <c r="AE165" i="40" a="1"/>
  <c r="AE165" i="40" s="1"/>
  <c r="AD165" i="40" s="1"/>
  <c r="AJ165" i="40" s="1"/>
  <c r="AE462" i="40" a="1"/>
  <c r="AE462" i="40" s="1"/>
  <c r="AD462" i="40" s="1"/>
  <c r="AK462" i="40" s="1"/>
  <c r="AE327" i="40" a="1"/>
  <c r="AE327" i="40" s="1"/>
  <c r="AD327" i="40" s="1"/>
  <c r="AE197" i="40" a="1"/>
  <c r="AE197" i="40" s="1"/>
  <c r="AD197" i="40" s="1"/>
  <c r="AH197" i="40" s="1"/>
  <c r="AE32" i="40" a="1"/>
  <c r="AE32" i="40" s="1"/>
  <c r="AD32" i="40" s="1"/>
  <c r="AI32" i="40" s="1"/>
  <c r="AE441" i="40" a="1"/>
  <c r="AE441" i="40" s="1"/>
  <c r="AD441" i="40" s="1"/>
  <c r="AE311" i="40" a="1"/>
  <c r="AE311" i="40" s="1"/>
  <c r="AD311" i="40" s="1"/>
  <c r="AE176" i="40" a="1"/>
  <c r="AE176" i="40" s="1"/>
  <c r="AD176" i="40" s="1"/>
  <c r="AJ176" i="40" s="1"/>
  <c r="AE485" i="40" a="1"/>
  <c r="AE485" i="40" s="1"/>
  <c r="AD485" i="40" s="1"/>
  <c r="AE401" i="40" a="1"/>
  <c r="AE401" i="40" s="1"/>
  <c r="AD401" i="40" s="1"/>
  <c r="AF401" i="40" s="1"/>
  <c r="AL401" i="40" s="1"/>
  <c r="AE318" i="40" a="1"/>
  <c r="AE318" i="40" s="1"/>
  <c r="AD318" i="40" s="1"/>
  <c r="AK318" i="40" s="1"/>
  <c r="AE235" i="40" a="1"/>
  <c r="AE235" i="40" s="1"/>
  <c r="AD235" i="40" s="1"/>
  <c r="AE151" i="40" a="1"/>
  <c r="AE151" i="40" s="1"/>
  <c r="AD151" i="40" s="1"/>
  <c r="AE40" i="40" a="1"/>
  <c r="AE40" i="40" s="1"/>
  <c r="AD40" i="40" s="1"/>
  <c r="AI40" i="40" s="1"/>
  <c r="AE499" i="40" a="1"/>
  <c r="AE499" i="40" s="1"/>
  <c r="AD499" i="40" s="1"/>
  <c r="AE414" i="40" a="1"/>
  <c r="AE414" i="40" s="1"/>
  <c r="AD414" i="40" s="1"/>
  <c r="AE331" i="40" a="1"/>
  <c r="AE331" i="40" s="1"/>
  <c r="AD331" i="40" s="1"/>
  <c r="AO331" i="40" s="1"/>
  <c r="AE247" i="40" a="1"/>
  <c r="AE247" i="40" s="1"/>
  <c r="AD247" i="40" s="1"/>
  <c r="AE164" i="40" a="1"/>
  <c r="AE164" i="40" s="1"/>
  <c r="AD164" i="40" s="1"/>
  <c r="AI164" i="40" s="1"/>
  <c r="AE60" i="40" a="1"/>
  <c r="AE60" i="40" s="1"/>
  <c r="AD60" i="40" s="1"/>
  <c r="AI60" i="40" s="1"/>
  <c r="AE486" i="40" a="1"/>
  <c r="AE486" i="40" s="1"/>
  <c r="AD486" i="40" s="1"/>
  <c r="AJ486" i="40" s="1"/>
  <c r="AE403" i="40" a="1"/>
  <c r="AE403" i="40" s="1"/>
  <c r="AD403" i="40" s="1"/>
  <c r="AF403" i="40" s="1"/>
  <c r="AL403" i="40" s="1"/>
  <c r="AE319" i="40" a="1"/>
  <c r="AE319" i="40" s="1"/>
  <c r="AD319" i="40" s="1"/>
  <c r="AE236" i="40" a="1"/>
  <c r="AE236" i="40" s="1"/>
  <c r="AD236" i="40" s="1"/>
  <c r="AE152" i="40" a="1"/>
  <c r="AE152" i="40" s="1"/>
  <c r="AD152" i="40" s="1"/>
  <c r="AF152" i="40" s="1"/>
  <c r="AE43" i="40" a="1"/>
  <c r="AE43" i="40" s="1"/>
  <c r="AD43" i="40" s="1"/>
  <c r="AJ43" i="40" s="1"/>
  <c r="AE101" i="40" a="1"/>
  <c r="AE101" i="40" s="1"/>
  <c r="AD101" i="40" s="1"/>
  <c r="AE488" i="40" a="1"/>
  <c r="AE488" i="40" s="1"/>
  <c r="AD488" i="40" s="1"/>
  <c r="AE415" i="40" a="1"/>
  <c r="AE415" i="40" s="1"/>
  <c r="AD415" i="40" s="1"/>
  <c r="AE342" i="40" a="1"/>
  <c r="AE342" i="40" s="1"/>
  <c r="AD342" i="40" s="1"/>
  <c r="AE269" i="40" a="1"/>
  <c r="AE269" i="40" s="1"/>
  <c r="AD269" i="40" s="1"/>
  <c r="AH269" i="40" s="1"/>
  <c r="AE196" i="40" a="1"/>
  <c r="AE196" i="40" s="1"/>
  <c r="AD196" i="40" s="1"/>
  <c r="AE120" i="40" a="1"/>
  <c r="AE120" i="40" s="1"/>
  <c r="AD120" i="40" s="1"/>
  <c r="AJ120" i="40" s="1"/>
  <c r="AE36" i="40" a="1"/>
  <c r="AE36" i="40" s="1"/>
  <c r="AD36" i="40" s="1"/>
  <c r="AE466" i="40" a="1"/>
  <c r="AE466" i="40" s="1"/>
  <c r="AD466" i="40" s="1"/>
  <c r="AK466" i="40" s="1"/>
  <c r="AE402" i="40" a="1"/>
  <c r="AE402" i="40" s="1"/>
  <c r="AD402" i="40" s="1"/>
  <c r="AE338" i="40" a="1"/>
  <c r="AE338" i="40" s="1"/>
  <c r="AD338" i="40" s="1"/>
  <c r="AE274" i="40" a="1"/>
  <c r="AE274" i="40" s="1"/>
  <c r="AD274" i="40" s="1"/>
  <c r="AE210" i="40" a="1"/>
  <c r="AE210" i="40" s="1"/>
  <c r="AD210" i="40" s="1"/>
  <c r="AE146" i="40" a="1"/>
  <c r="AE146" i="40" s="1"/>
  <c r="AD146" i="40" s="1"/>
  <c r="AE82" i="40" a="1"/>
  <c r="AE82" i="40" s="1"/>
  <c r="AD82" i="40" s="1"/>
  <c r="AK82" i="40" s="1"/>
  <c r="AE18" i="40" a="1"/>
  <c r="AE18" i="40" s="1"/>
  <c r="AD18" i="40" s="1"/>
  <c r="AE113" i="40" a="1"/>
  <c r="AE113" i="40" s="1"/>
  <c r="AD113" i="40" s="1"/>
  <c r="AE49" i="40" a="1"/>
  <c r="AE49" i="40" s="1"/>
  <c r="AD49" i="40" s="1"/>
  <c r="AE449" i="40" a="1"/>
  <c r="AE449" i="40" s="1"/>
  <c r="AD449" i="40" s="1"/>
  <c r="AE181" i="40" a="1"/>
  <c r="AE181" i="40" s="1"/>
  <c r="AD181" i="40" s="1"/>
  <c r="AE283" i="40" a="1"/>
  <c r="AE283" i="40" s="1"/>
  <c r="AD283" i="40" s="1"/>
  <c r="AE440" i="40" a="1"/>
  <c r="AE440" i="40" s="1"/>
  <c r="AD440" i="40" s="1"/>
  <c r="AK440" i="40" s="1"/>
  <c r="AE285" i="40" a="1"/>
  <c r="AE285" i="40" s="1"/>
  <c r="AD285" i="40" s="1"/>
  <c r="AO285" i="40" s="1"/>
  <c r="AE336" i="40" a="1"/>
  <c r="AE336" i="40" s="1"/>
  <c r="AD336" i="40" s="1"/>
  <c r="AH336" i="40" s="1"/>
  <c r="AE356" i="40" a="1"/>
  <c r="AE356" i="40" s="1"/>
  <c r="AD356" i="40" s="1"/>
  <c r="AE503" i="40" a="1"/>
  <c r="AE503" i="40" s="1"/>
  <c r="AD503" i="40" s="1"/>
  <c r="AE118" i="40" a="1"/>
  <c r="AE118" i="40" s="1"/>
  <c r="AD118" i="40" s="1"/>
  <c r="AF118" i="40" s="1"/>
  <c r="AE471" i="40" a="1"/>
  <c r="AE471" i="40" s="1"/>
  <c r="AD471" i="40" s="1"/>
  <c r="AI471" i="40" s="1"/>
  <c r="AE491" i="40" a="1"/>
  <c r="AE491" i="40" s="1"/>
  <c r="AD491" i="40" s="1"/>
  <c r="AE87" i="40" a="1"/>
  <c r="AE87" i="40" s="1"/>
  <c r="AD87" i="40" s="1"/>
  <c r="AE200" i="40" a="1"/>
  <c r="AE200" i="40" s="1"/>
  <c r="AD200" i="40" s="1"/>
  <c r="AI200" i="40" s="1"/>
  <c r="AE24" i="43" a="1"/>
  <c r="AE24" i="43" s="1"/>
  <c r="AD24" i="43" s="1"/>
  <c r="AJ24" i="43" s="1"/>
  <c r="AE22" i="43" a="1"/>
  <c r="AE22" i="43" s="1"/>
  <c r="AD22" i="43" s="1"/>
  <c r="AH22" i="43" s="1"/>
  <c r="AE28" i="43" a="1"/>
  <c r="AE28" i="43" s="1"/>
  <c r="AD28" i="43" s="1"/>
  <c r="AG28" i="43" s="1"/>
  <c r="AE54" i="43" a="1"/>
  <c r="AE54" i="43" s="1"/>
  <c r="AD54" i="43" s="1"/>
  <c r="AE60" i="43" a="1"/>
  <c r="AE60" i="43" s="1"/>
  <c r="AD60" i="43" s="1"/>
  <c r="AE29" i="44" a="1"/>
  <c r="AE29" i="44" s="1"/>
  <c r="AD29" i="44" s="1"/>
  <c r="AE48" i="44" a="1"/>
  <c r="AE48" i="44" s="1"/>
  <c r="AD48" i="44" s="1"/>
  <c r="AE70" i="46" a="1"/>
  <c r="AE70" i="46" s="1"/>
  <c r="AD70" i="46" s="1"/>
  <c r="AE81" i="46" a="1"/>
  <c r="AE81" i="46" s="1"/>
  <c r="AD81" i="46" s="1"/>
  <c r="AE33" i="46" a="1"/>
  <c r="AE33" i="46" s="1"/>
  <c r="AE69" i="46" a="1"/>
  <c r="AE69" i="46" s="1"/>
  <c r="AD69" i="46" s="1"/>
  <c r="AE40" i="44" a="1"/>
  <c r="AE40" i="44" s="1"/>
  <c r="AD40" i="44" s="1"/>
  <c r="AE73" i="46" a="1"/>
  <c r="AE73" i="46" s="1"/>
  <c r="AD73" i="46" s="1"/>
  <c r="AE84" i="46" a="1"/>
  <c r="AE84" i="46" s="1"/>
  <c r="AD84" i="46" s="1"/>
  <c r="AE207" i="40" a="1"/>
  <c r="AE207" i="40" s="1"/>
  <c r="AD207" i="40" s="1"/>
  <c r="AI207" i="40" s="1"/>
  <c r="AE343" i="40" a="1"/>
  <c r="AE343" i="40" s="1"/>
  <c r="AD343" i="40" s="1"/>
  <c r="AE437" i="40" a="1"/>
  <c r="AE437" i="40" s="1"/>
  <c r="AD437" i="40" s="1"/>
  <c r="AK437" i="40" s="1"/>
  <c r="AE220" i="40" a="1"/>
  <c r="AE220" i="40" s="1"/>
  <c r="AD220" i="40" s="1"/>
  <c r="AJ220" i="40" s="1"/>
  <c r="AE510" i="40" a="1"/>
  <c r="AE510" i="40" s="1"/>
  <c r="AD510" i="40" s="1"/>
  <c r="AJ510" i="40" s="1"/>
  <c r="AE301" i="40" a="1"/>
  <c r="AE301" i="40" s="1"/>
  <c r="AD301" i="40" s="1"/>
  <c r="AE63" i="40" a="1"/>
  <c r="AE63" i="40" s="1"/>
  <c r="AD63" i="40" s="1"/>
  <c r="AG63" i="40" s="1"/>
  <c r="AE427" i="40" a="1"/>
  <c r="AE427" i="40" s="1"/>
  <c r="AD427" i="40" s="1"/>
  <c r="AH427" i="40" s="1"/>
  <c r="AE217" i="40" a="1"/>
  <c r="AE217" i="40" s="1"/>
  <c r="AD217" i="40" s="1"/>
  <c r="AF217" i="40" s="1"/>
  <c r="AE416" i="40" a="1"/>
  <c r="AE416" i="40" s="1"/>
  <c r="AD416" i="40" s="1"/>
  <c r="AE281" i="40" a="1"/>
  <c r="AE281" i="40" s="1"/>
  <c r="AD281" i="40" s="1"/>
  <c r="AO281" i="40" s="1"/>
  <c r="AE147" i="40" a="1"/>
  <c r="AE147" i="40" s="1"/>
  <c r="AD147" i="40" s="1"/>
  <c r="AE447" i="40" a="1"/>
  <c r="AE447" i="40" s="1"/>
  <c r="AD447" i="40" s="1"/>
  <c r="AE312" i="40" a="1"/>
  <c r="AE312" i="40" s="1"/>
  <c r="AD312" i="40" s="1"/>
  <c r="AI312" i="40" s="1"/>
  <c r="AE179" i="40" a="1"/>
  <c r="AE179" i="40" s="1"/>
  <c r="AD179" i="40" s="1"/>
  <c r="AK179" i="40" s="1"/>
  <c r="AE428" i="40" a="1"/>
  <c r="AE428" i="40" s="1"/>
  <c r="AD428" i="40" s="1"/>
  <c r="AE293" i="40" a="1"/>
  <c r="AE293" i="40" s="1"/>
  <c r="AD293" i="40" s="1"/>
  <c r="AE158" i="40" a="1"/>
  <c r="AE158" i="40" s="1"/>
  <c r="AD158" i="40" s="1"/>
  <c r="AH158" i="40" s="1"/>
  <c r="AE475" i="40" a="1"/>
  <c r="AE475" i="40" s="1"/>
  <c r="AD475" i="40" s="1"/>
  <c r="AE391" i="40" a="1"/>
  <c r="AE391" i="40" s="1"/>
  <c r="AD391" i="40" s="1"/>
  <c r="AE308" i="40" a="1"/>
  <c r="AE308" i="40" s="1"/>
  <c r="AD308" i="40" s="1"/>
  <c r="AE224" i="40" a="1"/>
  <c r="AE224" i="40" s="1"/>
  <c r="AD224" i="40" s="1"/>
  <c r="AE139" i="40" a="1"/>
  <c r="AE139" i="40" s="1"/>
  <c r="AD139" i="40" s="1"/>
  <c r="AG139" i="40" s="1"/>
  <c r="AE28" i="40" a="1"/>
  <c r="AE28" i="40" s="1"/>
  <c r="AD28" i="40" s="1"/>
  <c r="AK28" i="40" s="1"/>
  <c r="AE487" i="40" a="1"/>
  <c r="AE487" i="40" s="1"/>
  <c r="AD487" i="40" s="1"/>
  <c r="AE404" i="40" a="1"/>
  <c r="AE404" i="40" s="1"/>
  <c r="AD404" i="40" s="1"/>
  <c r="AE320" i="40" a="1"/>
  <c r="AE320" i="40" s="1"/>
  <c r="AD320" i="40" s="1"/>
  <c r="AE237" i="40" a="1"/>
  <c r="AE237" i="40" s="1"/>
  <c r="AD237" i="40" s="1"/>
  <c r="AE153" i="40" a="1"/>
  <c r="AE153" i="40" s="1"/>
  <c r="AD153" i="40" s="1"/>
  <c r="AJ153" i="40" s="1"/>
  <c r="AE44" i="40" a="1"/>
  <c r="AE44" i="40" s="1"/>
  <c r="AD44" i="40" s="1"/>
  <c r="AK44" i="40" s="1"/>
  <c r="AE476" i="40" a="1"/>
  <c r="AE476" i="40" s="1"/>
  <c r="AD476" i="40" s="1"/>
  <c r="AJ476" i="40" s="1"/>
  <c r="AE392" i="40" a="1"/>
  <c r="AE392" i="40" s="1"/>
  <c r="AD392" i="40" s="1"/>
  <c r="AI392" i="40" s="1"/>
  <c r="AE309" i="40" a="1"/>
  <c r="AE309" i="40" s="1"/>
  <c r="AD309" i="40" s="1"/>
  <c r="AE225" i="40" a="1"/>
  <c r="AE225" i="40" s="1"/>
  <c r="AD225" i="40" s="1"/>
  <c r="AE140" i="40" a="1"/>
  <c r="AE140" i="40" s="1"/>
  <c r="AD140" i="40" s="1"/>
  <c r="AH140" i="40" s="1"/>
  <c r="AE29" i="40" a="1"/>
  <c r="AE29" i="40" s="1"/>
  <c r="AD29" i="40" s="1"/>
  <c r="AO29" i="40" s="1"/>
  <c r="AE91" i="40" a="1"/>
  <c r="AE91" i="40" s="1"/>
  <c r="AD91" i="40" s="1"/>
  <c r="AK91" i="40" s="1"/>
  <c r="AE479" i="40" a="1"/>
  <c r="AE479" i="40" s="1"/>
  <c r="AD479" i="40" s="1"/>
  <c r="AF479" i="40" s="1"/>
  <c r="AL479" i="40" s="1"/>
  <c r="AE406" i="40" a="1"/>
  <c r="AE406" i="40" s="1"/>
  <c r="AD406" i="40" s="1"/>
  <c r="AE333" i="40" a="1"/>
  <c r="AE333" i="40" s="1"/>
  <c r="AD333" i="40" s="1"/>
  <c r="AO333" i="40" s="1"/>
  <c r="AE260" i="40" a="1"/>
  <c r="AE260" i="40" s="1"/>
  <c r="AD260" i="40" s="1"/>
  <c r="AH260" i="40" s="1"/>
  <c r="AE187" i="40" a="1"/>
  <c r="AE187" i="40" s="1"/>
  <c r="AD187" i="40" s="1"/>
  <c r="AE110" i="40" a="1"/>
  <c r="AE110" i="40" s="1"/>
  <c r="AD110" i="40" s="1"/>
  <c r="AE24" i="40" a="1"/>
  <c r="AE24" i="40" s="1"/>
  <c r="AD24" i="40" s="1"/>
  <c r="AE458" i="40" a="1"/>
  <c r="AE458" i="40" s="1"/>
  <c r="AD458" i="40" s="1"/>
  <c r="AE394" i="40" a="1"/>
  <c r="AE394" i="40" s="1"/>
  <c r="AD394" i="40" s="1"/>
  <c r="AH394" i="40" s="1"/>
  <c r="AE330" i="40" a="1"/>
  <c r="AE330" i="40" s="1"/>
  <c r="AD330" i="40" s="1"/>
  <c r="AE266" i="40" a="1"/>
  <c r="AE266" i="40" s="1"/>
  <c r="AD266" i="40" s="1"/>
  <c r="AG266" i="40" s="1"/>
  <c r="AE202" i="40" a="1"/>
  <c r="AE202" i="40" s="1"/>
  <c r="AD202" i="40" s="1"/>
  <c r="AI202" i="40" s="1"/>
  <c r="AE138" i="40" a="1"/>
  <c r="AE138" i="40" s="1"/>
  <c r="AD138" i="40" s="1"/>
  <c r="AH138" i="40" s="1"/>
  <c r="AE74" i="40" a="1"/>
  <c r="AE74" i="40" s="1"/>
  <c r="AD74" i="40" s="1"/>
  <c r="AG74" i="40" s="1"/>
  <c r="AE105" i="40" a="1"/>
  <c r="AE105" i="40" s="1"/>
  <c r="AD105" i="40" s="1"/>
  <c r="AE41" i="40" a="1"/>
  <c r="AE41" i="40" s="1"/>
  <c r="AD41" i="40" s="1"/>
  <c r="AF41" i="40" s="1"/>
  <c r="AE419" i="40" a="1"/>
  <c r="AE419" i="40" s="1"/>
  <c r="AD419" i="40" s="1"/>
  <c r="AG419" i="40" s="1"/>
  <c r="AE468" i="40" a="1"/>
  <c r="AE468" i="40" s="1"/>
  <c r="AD468" i="40" s="1"/>
  <c r="AI468" i="40" s="1"/>
  <c r="AE185" i="40" a="1"/>
  <c r="AE185" i="40" s="1"/>
  <c r="AD185" i="40" s="1"/>
  <c r="AO185" i="40" s="1"/>
  <c r="AE45" i="40" a="1"/>
  <c r="AE45" i="40" s="1"/>
  <c r="AD45" i="40" s="1"/>
  <c r="AE417" i="40" a="1"/>
  <c r="AE417" i="40" s="1"/>
  <c r="AD417" i="40" s="1"/>
  <c r="AE20" i="40" a="1"/>
  <c r="AE20" i="40" s="1"/>
  <c r="AD20" i="40" s="1"/>
  <c r="AG20" i="40" s="1"/>
  <c r="AE390" i="40" a="1"/>
  <c r="AE390" i="40" s="1"/>
  <c r="AD390" i="40" s="1"/>
  <c r="AE421" i="40" a="1"/>
  <c r="AE421" i="40" s="1"/>
  <c r="AD421" i="40" s="1"/>
  <c r="AE492" i="40" a="1"/>
  <c r="AE492" i="40" s="1"/>
  <c r="AD492" i="40" s="1"/>
  <c r="AG492" i="40" s="1"/>
  <c r="AE148" i="40" a="1"/>
  <c r="AE148" i="40" s="1"/>
  <c r="AD148" i="40" s="1"/>
  <c r="AF148" i="40" s="1"/>
  <c r="AE25" i="43" a="1"/>
  <c r="AE25" i="43" s="1"/>
  <c r="AD25" i="43" s="1"/>
  <c r="AJ25" i="43" s="1"/>
  <c r="AE21" i="43" a="1"/>
  <c r="AE21" i="43" s="1"/>
  <c r="AD21" i="43" s="1"/>
  <c r="AI21" i="43" s="1"/>
  <c r="AE30" i="43" a="1"/>
  <c r="AE30" i="43" s="1"/>
  <c r="AD30" i="43" s="1"/>
  <c r="AE57" i="43" a="1"/>
  <c r="AE57" i="43" s="1"/>
  <c r="AD57" i="43" s="1"/>
  <c r="AJ57" i="43" s="1"/>
  <c r="AE62" i="43" a="1"/>
  <c r="AE62" i="43" s="1"/>
  <c r="AD62" i="43" s="1"/>
  <c r="AE46" i="43" a="1"/>
  <c r="AE46" i="43" s="1"/>
  <c r="AD46" i="43" s="1"/>
  <c r="AJ46" i="43" s="1"/>
  <c r="AE56" i="44" a="1"/>
  <c r="AE56" i="44" s="1"/>
  <c r="AD56" i="44" s="1"/>
  <c r="AE86" i="46" a="1"/>
  <c r="AE86" i="46" s="1"/>
  <c r="AD86" i="46" s="1"/>
  <c r="AE71" i="46" a="1"/>
  <c r="AE71" i="46" s="1"/>
  <c r="AD71" i="46" s="1"/>
  <c r="AE87" i="46" a="1"/>
  <c r="AE87" i="46" s="1"/>
  <c r="AD87" i="46" s="1"/>
  <c r="AE78" i="46" a="1"/>
  <c r="AE78" i="46" s="1"/>
  <c r="AD78" i="46" s="1"/>
  <c r="AE88" i="46" a="1"/>
  <c r="AE88" i="46" s="1"/>
  <c r="AD88" i="46" s="1"/>
  <c r="AE72" i="44" a="1"/>
  <c r="AE72" i="44" s="1"/>
  <c r="AD72" i="44" s="1"/>
  <c r="AE71" i="44" a="1"/>
  <c r="AE71" i="44" s="1"/>
  <c r="AD71" i="44" s="1"/>
  <c r="AE80" i="46" a="1"/>
  <c r="AE80" i="46" s="1"/>
  <c r="AD80" i="46" s="1"/>
  <c r="AE80" i="44" a="1"/>
  <c r="AE80" i="44" s="1"/>
  <c r="AD80" i="44" s="1"/>
  <c r="AE76" i="46" a="1"/>
  <c r="AE76" i="46" s="1"/>
  <c r="AD76" i="46" s="1"/>
  <c r="AE79" i="44" a="1"/>
  <c r="AE79" i="44" s="1"/>
  <c r="AD79" i="44" s="1"/>
  <c r="AH53" i="42"/>
  <c r="AK53" i="42"/>
  <c r="AJ53" i="42"/>
  <c r="AO53" i="42"/>
  <c r="AF52" i="42"/>
  <c r="AL52" i="42" s="1"/>
  <c r="AJ52" i="42"/>
  <c r="AK52" i="42"/>
  <c r="AO52" i="42"/>
  <c r="AG44" i="42"/>
  <c r="AF44" i="42"/>
  <c r="AJ44" i="42"/>
  <c r="AK44" i="42"/>
  <c r="AO44" i="42"/>
  <c r="AH45" i="42"/>
  <c r="AF45" i="42"/>
  <c r="AH52" i="42"/>
  <c r="AI53" i="42"/>
  <c r="AK45" i="42"/>
  <c r="AH44" i="42"/>
  <c r="AI45" i="42"/>
  <c r="AF53" i="42"/>
  <c r="AL53" i="42" s="1"/>
  <c r="AG52" i="42"/>
  <c r="AI44" i="42"/>
  <c r="AJ45" i="42"/>
  <c r="AG45" i="42"/>
  <c r="AG30" i="42"/>
  <c r="AO30" i="42"/>
  <c r="AF30" i="42"/>
  <c r="AL30" i="42" s="1"/>
  <c r="AJ30" i="42"/>
  <c r="AE29" i="46" a="1"/>
  <c r="AE29" i="46" s="1"/>
  <c r="AE23" i="46" a="1"/>
  <c r="AE23" i="46" s="1"/>
  <c r="AE26" i="46" a="1"/>
  <c r="AE26" i="46" s="1"/>
  <c r="AE32" i="46" a="1"/>
  <c r="AE32" i="46" s="1"/>
  <c r="AE27" i="46" a="1"/>
  <c r="AE27" i="46" s="1"/>
  <c r="AE37" i="46" a="1"/>
  <c r="AE37" i="46" s="1"/>
  <c r="AE34" i="46" a="1"/>
  <c r="AE34" i="46" s="1"/>
  <c r="AE30" i="46" a="1"/>
  <c r="AE30" i="46" s="1"/>
  <c r="AE19" i="46" a="1"/>
  <c r="AE19" i="46" s="1"/>
  <c r="AE36" i="46" a="1"/>
  <c r="AE36" i="46" s="1"/>
  <c r="AE31" i="46" a="1"/>
  <c r="AE31" i="46" s="1"/>
  <c r="AE20" i="46" a="1"/>
  <c r="AE20" i="46" s="1"/>
  <c r="AE35" i="46" a="1"/>
  <c r="AE35" i="46" s="1"/>
  <c r="AE24" i="46" a="1"/>
  <c r="AE24" i="46" s="1"/>
  <c r="AE28" i="46" a="1"/>
  <c r="AE28" i="46" s="1"/>
  <c r="AE22" i="46" a="1"/>
  <c r="AE22" i="46" s="1"/>
  <c r="AE18" i="46" a="1"/>
  <c r="AE18" i="46" s="1"/>
  <c r="AD18" i="46" s="1"/>
  <c r="AE85" i="44" a="1"/>
  <c r="AE85" i="44" s="1"/>
  <c r="AD85" i="44" s="1"/>
  <c r="AO85" i="44" s="1"/>
  <c r="AE82" i="44" a="1"/>
  <c r="AE82" i="44" s="1"/>
  <c r="AD82" i="44" s="1"/>
  <c r="AK82" i="44" s="1"/>
  <c r="AE67" i="44" a="1"/>
  <c r="AE67" i="44" s="1"/>
  <c r="AD67" i="44" s="1"/>
  <c r="AI67" i="44" s="1"/>
  <c r="AE76" i="44" a="1"/>
  <c r="AE76" i="44" s="1"/>
  <c r="AD76" i="44" s="1"/>
  <c r="AH76" i="44" s="1"/>
  <c r="AE69" i="44" a="1"/>
  <c r="AE69" i="44" s="1"/>
  <c r="AD69" i="44" s="1"/>
  <c r="AK69" i="44" s="1"/>
  <c r="AE86" i="44" a="1"/>
  <c r="AE86" i="44" s="1"/>
  <c r="AD86" i="44" s="1"/>
  <c r="AF86" i="44" s="1"/>
  <c r="AL86" i="44" s="1"/>
  <c r="AE73" i="44" a="1"/>
  <c r="AE73" i="44" s="1"/>
  <c r="AD73" i="44" s="1"/>
  <c r="AI73" i="44" s="1"/>
  <c r="AE83" i="44" a="1"/>
  <c r="AE83" i="44" s="1"/>
  <c r="AD83" i="44" s="1"/>
  <c r="AF83" i="44" s="1"/>
  <c r="AL83" i="44" s="1"/>
  <c r="AE68" i="44" a="1"/>
  <c r="AE68" i="44" s="1"/>
  <c r="AD68" i="44" s="1"/>
  <c r="AG68" i="44" s="1"/>
  <c r="AE74" i="44" a="1"/>
  <c r="AE74" i="44" s="1"/>
  <c r="AD74" i="44" s="1"/>
  <c r="AH74" i="44" s="1"/>
  <c r="AE75" i="44" a="1"/>
  <c r="AE75" i="44" s="1"/>
  <c r="AD75" i="44" s="1"/>
  <c r="AO75" i="44" s="1"/>
  <c r="AE70" i="44" a="1"/>
  <c r="AE70" i="44" s="1"/>
  <c r="AD70" i="44" s="1"/>
  <c r="AI70" i="44" s="1"/>
  <c r="AE78" i="44" a="1"/>
  <c r="AE78" i="44" s="1"/>
  <c r="AD78" i="44" s="1"/>
  <c r="AK78" i="44" s="1"/>
  <c r="AE77" i="44" a="1"/>
  <c r="AE77" i="44" s="1"/>
  <c r="AD77" i="44" s="1"/>
  <c r="AG77" i="44" s="1"/>
  <c r="AE66" i="44" a="1"/>
  <c r="AE66" i="44" s="1"/>
  <c r="AD66" i="44" s="1"/>
  <c r="AE54" i="44" a="1"/>
  <c r="AE54" i="44" s="1"/>
  <c r="AD54" i="44" s="1"/>
  <c r="AH54" i="44" s="1"/>
  <c r="AE57" i="44" a="1"/>
  <c r="AE57" i="44" s="1"/>
  <c r="AD57" i="44" s="1"/>
  <c r="AI57" i="44" s="1"/>
  <c r="AE52" i="44" a="1"/>
  <c r="AE52" i="44" s="1"/>
  <c r="AD52" i="44" s="1"/>
  <c r="AF52" i="44" s="1"/>
  <c r="AL52" i="44" s="1"/>
  <c r="AE55" i="44" a="1"/>
  <c r="AE55" i="44" s="1"/>
  <c r="AD55" i="44" s="1"/>
  <c r="AG55" i="44" s="1"/>
  <c r="AE41" i="44" a="1"/>
  <c r="AE41" i="44" s="1"/>
  <c r="AD41" i="44" s="1"/>
  <c r="AG41" i="44" s="1"/>
  <c r="AE60" i="44" a="1"/>
  <c r="AE60" i="44" s="1"/>
  <c r="AD60" i="44" s="1"/>
  <c r="AI60" i="44" s="1"/>
  <c r="AE43" i="44" a="1"/>
  <c r="AE43" i="44" s="1"/>
  <c r="AD43" i="44" s="1"/>
  <c r="AF43" i="44" s="1"/>
  <c r="AL43" i="44" s="1"/>
  <c r="AE44" i="44" a="1"/>
  <c r="AE44" i="44" s="1"/>
  <c r="AD44" i="44" s="1"/>
  <c r="AI44" i="44" s="1"/>
  <c r="AE51" i="44" a="1"/>
  <c r="AE51" i="44" s="1"/>
  <c r="AD51" i="44" s="1"/>
  <c r="AK51" i="44" s="1"/>
  <c r="AE46" i="44" a="1"/>
  <c r="AE46" i="44" s="1"/>
  <c r="AD46" i="44" s="1"/>
  <c r="AO46" i="44" s="1"/>
  <c r="AE53" i="44" a="1"/>
  <c r="AE53" i="44" s="1"/>
  <c r="AD53" i="44" s="1"/>
  <c r="AG53" i="44" s="1"/>
  <c r="AE49" i="44" a="1"/>
  <c r="AE49" i="44" s="1"/>
  <c r="AD49" i="44" s="1"/>
  <c r="AG49" i="44" s="1"/>
  <c r="AE50" i="44" a="1"/>
  <c r="AE50" i="44" s="1"/>
  <c r="AD50" i="44" s="1"/>
  <c r="AO50" i="44" s="1"/>
  <c r="AE42" i="44" a="1"/>
  <c r="AE42" i="44" s="1"/>
  <c r="AD42" i="44" s="1"/>
  <c r="AJ42" i="44" s="1"/>
  <c r="AE45" i="44" a="1"/>
  <c r="AE45" i="44" s="1"/>
  <c r="AD45" i="44" s="1"/>
  <c r="AG45" i="44" s="1"/>
  <c r="AE58" i="44" a="1"/>
  <c r="AE58" i="44" s="1"/>
  <c r="AD58" i="44" s="1"/>
  <c r="AG58" i="44" s="1"/>
  <c r="AE24" i="44" a="1"/>
  <c r="AE24" i="44" s="1"/>
  <c r="AD24" i="44" s="1"/>
  <c r="AE23" i="44" a="1"/>
  <c r="AE23" i="44" s="1"/>
  <c r="AD23" i="44" s="1"/>
  <c r="AE26" i="44" a="1"/>
  <c r="AE26" i="44" s="1"/>
  <c r="AD26" i="44" s="1"/>
  <c r="AE18" i="44" a="1"/>
  <c r="AE18" i="44" s="1"/>
  <c r="AD18" i="44" s="1"/>
  <c r="AE31" i="44" a="1"/>
  <c r="AE31" i="44" s="1"/>
  <c r="AD31" i="44" s="1"/>
  <c r="AE17" i="44" a="1"/>
  <c r="AE17" i="44" s="1"/>
  <c r="AD17" i="44" s="1"/>
  <c r="AE19" i="44" a="1"/>
  <c r="AE19" i="44" s="1"/>
  <c r="AD19" i="44" s="1"/>
  <c r="AE25" i="44" a="1"/>
  <c r="AE25" i="44" s="1"/>
  <c r="AD25" i="44" s="1"/>
  <c r="AE32" i="44" a="1"/>
  <c r="AE32" i="44" s="1"/>
  <c r="AD32" i="44" s="1"/>
  <c r="AE20" i="44" a="1"/>
  <c r="AE20" i="44" s="1"/>
  <c r="AD20" i="44" s="1"/>
  <c r="AE27" i="44" a="1"/>
  <c r="AE27" i="44" s="1"/>
  <c r="AD27" i="44" s="1"/>
  <c r="AE16" i="44" a="1"/>
  <c r="AE16" i="44" s="1"/>
  <c r="AD16" i="44" s="1"/>
  <c r="AE28" i="44" a="1"/>
  <c r="AE28" i="44" s="1"/>
  <c r="AD28" i="44" s="1"/>
  <c r="AE15" i="44" a="1"/>
  <c r="AE15" i="44" s="1"/>
  <c r="AE25" i="40" a="1"/>
  <c r="AE25" i="40" s="1"/>
  <c r="AD25" i="40" s="1"/>
  <c r="AE15" i="40" a="1"/>
  <c r="AE15" i="40" s="1"/>
  <c r="AD15" i="40" s="1"/>
  <c r="AD24" i="39"/>
  <c r="AO24" i="39" s="1"/>
  <c r="AD18" i="39"/>
  <c r="AO18" i="39" s="1"/>
  <c r="AD15" i="39"/>
  <c r="AO15" i="39" s="1"/>
  <c r="U82" i="43" a="1"/>
  <c r="U82" i="43" s="1"/>
  <c r="V82" i="43" s="1" a="1"/>
  <c r="V82" i="43" s="1"/>
  <c r="W82" i="43" s="1" a="1"/>
  <c r="W82" i="43" s="1"/>
  <c r="U72" i="43" a="1"/>
  <c r="U72" i="43" s="1"/>
  <c r="V72" i="43" s="1" a="1"/>
  <c r="V72" i="43" s="1"/>
  <c r="W72" i="43" s="1" a="1"/>
  <c r="W72" i="43" s="1"/>
  <c r="U81" i="43" a="1"/>
  <c r="U81" i="43" s="1"/>
  <c r="V81" i="43" s="1" a="1"/>
  <c r="V81" i="43" s="1"/>
  <c r="W81" i="43" s="1" a="1"/>
  <c r="W81" i="43" s="1"/>
  <c r="U71" i="43" a="1"/>
  <c r="U71" i="43" s="1"/>
  <c r="V71" i="43" s="1" a="1"/>
  <c r="V71" i="43" s="1"/>
  <c r="W71" i="43" s="1" a="1"/>
  <c r="W71" i="43" s="1"/>
  <c r="U86" i="43" a="1"/>
  <c r="U86" i="43" s="1"/>
  <c r="V86" i="43" s="1" a="1"/>
  <c r="V86" i="43" s="1"/>
  <c r="W86" i="43" s="1" a="1"/>
  <c r="W86" i="43" s="1"/>
  <c r="AA86" i="43" s="1" a="1"/>
  <c r="AA86" i="43" s="1"/>
  <c r="U87" i="43" a="1"/>
  <c r="U87" i="43" s="1"/>
  <c r="V87" i="43" s="1" a="1"/>
  <c r="V87" i="43" s="1"/>
  <c r="W87" i="43" s="1" a="1"/>
  <c r="W87" i="43" s="1"/>
  <c r="U88" i="43" a="1"/>
  <c r="U88" i="43" s="1"/>
  <c r="V88" i="43" s="1" a="1"/>
  <c r="V88" i="43" s="1"/>
  <c r="W88" i="43" s="1" a="1"/>
  <c r="W88" i="43" s="1"/>
  <c r="U74" i="43" a="1"/>
  <c r="U74" i="43" s="1"/>
  <c r="V74" i="43" s="1" a="1"/>
  <c r="V74" i="43" s="1"/>
  <c r="W74" i="43" s="1" a="1"/>
  <c r="W74" i="43" s="1"/>
  <c r="U70" i="43" a="1"/>
  <c r="U70" i="43" s="1"/>
  <c r="V70" i="43" s="1" a="1"/>
  <c r="V70" i="43" s="1"/>
  <c r="W70" i="43" s="1" a="1"/>
  <c r="W70" i="43" s="1"/>
  <c r="U80" i="43" a="1"/>
  <c r="U80" i="43" s="1"/>
  <c r="V80" i="43" s="1" a="1"/>
  <c r="V80" i="43" s="1"/>
  <c r="W80" i="43" s="1" a="1"/>
  <c r="W80" i="43" s="1"/>
  <c r="U77" i="43" a="1"/>
  <c r="U77" i="43" s="1"/>
  <c r="V77" i="43" s="1" a="1"/>
  <c r="V77" i="43" s="1"/>
  <c r="W77" i="43" s="1" a="1"/>
  <c r="W77" i="43" s="1"/>
  <c r="U79" i="43" a="1"/>
  <c r="U79" i="43" s="1"/>
  <c r="V79" i="43" s="1" a="1"/>
  <c r="V79" i="43" s="1"/>
  <c r="W79" i="43" s="1" a="1"/>
  <c r="W79" i="43" s="1"/>
  <c r="U69" i="43" a="1"/>
  <c r="U69" i="43" s="1"/>
  <c r="V69" i="43" s="1" a="1"/>
  <c r="V69" i="43" s="1"/>
  <c r="W69" i="43" s="1" a="1"/>
  <c r="W69" i="43" s="1"/>
  <c r="U76" i="43" a="1"/>
  <c r="U76" i="43" s="1"/>
  <c r="V76" i="43" s="1" a="1"/>
  <c r="V76" i="43" s="1"/>
  <c r="W76" i="43" s="1" a="1"/>
  <c r="W76" i="43" s="1"/>
  <c r="U68" i="43" a="1"/>
  <c r="U68" i="43" s="1"/>
  <c r="U75" i="43" a="1"/>
  <c r="U75" i="43" s="1"/>
  <c r="V75" i="43" s="1" a="1"/>
  <c r="V75" i="43" s="1"/>
  <c r="W75" i="43" s="1" a="1"/>
  <c r="W75" i="43" s="1"/>
  <c r="U84" i="43" a="1"/>
  <c r="U84" i="43" s="1"/>
  <c r="V84" i="43" s="1" a="1"/>
  <c r="V84" i="43" s="1"/>
  <c r="W84" i="43" s="1" a="1"/>
  <c r="W84" i="43" s="1"/>
  <c r="U78" i="43" a="1"/>
  <c r="U78" i="43" s="1"/>
  <c r="V78" i="43" s="1" a="1"/>
  <c r="V78" i="43" s="1"/>
  <c r="W78" i="43" s="1" a="1"/>
  <c r="W78" i="43" s="1"/>
  <c r="U83" i="43" a="1"/>
  <c r="U83" i="43" s="1"/>
  <c r="V83" i="43" s="1" a="1"/>
  <c r="V83" i="43" s="1"/>
  <c r="W83" i="43" s="1" a="1"/>
  <c r="W83" i="43" s="1"/>
  <c r="U73" i="43" a="1"/>
  <c r="U73" i="43" s="1"/>
  <c r="V73" i="43" s="1" a="1"/>
  <c r="V73" i="43" s="1"/>
  <c r="W73" i="43" s="1" a="1"/>
  <c r="W73" i="43" s="1"/>
  <c r="U85" i="43" a="1"/>
  <c r="U85" i="43" s="1"/>
  <c r="V85" i="43" s="1" a="1"/>
  <c r="V85" i="43" s="1"/>
  <c r="W85" i="43" s="1" a="1"/>
  <c r="W85" i="43" s="1"/>
  <c r="Q42" i="42"/>
  <c r="Q41" i="42"/>
  <c r="Q18" i="42"/>
  <c r="Q17" i="42"/>
  <c r="M13" i="37"/>
  <c r="F2" i="54" a="1"/>
  <c r="F2" i="54" s="1"/>
  <c r="F2" i="34" s="1"/>
  <c r="F1" i="54" a="1"/>
  <c r="F1" i="54"/>
  <c r="F1" i="34" s="1"/>
  <c r="M45" i="46"/>
  <c r="Q45" i="46" s="1"/>
  <c r="M48" i="46"/>
  <c r="Q48" i="46" s="1"/>
  <c r="M49" i="46"/>
  <c r="Q49" i="46" s="1"/>
  <c r="M50" i="46"/>
  <c r="Q50" i="46" s="1"/>
  <c r="M51" i="46"/>
  <c r="Q51" i="46" s="1"/>
  <c r="M56" i="46"/>
  <c r="Q56" i="46" s="1"/>
  <c r="M57" i="46"/>
  <c r="Q57" i="46" s="1"/>
  <c r="M58" i="46"/>
  <c r="Q58" i="46" s="1"/>
  <c r="M59" i="46"/>
  <c r="Q59" i="46" s="1"/>
  <c r="M44" i="46"/>
  <c r="Q44" i="46" s="1"/>
  <c r="M46" i="46"/>
  <c r="Q46" i="46" s="1"/>
  <c r="M47" i="46"/>
  <c r="Q47" i="46" s="1"/>
  <c r="M52" i="46"/>
  <c r="Q52" i="46" s="1"/>
  <c r="M53" i="46"/>
  <c r="Q53" i="46" s="1"/>
  <c r="M54" i="46"/>
  <c r="Q54" i="46" s="1"/>
  <c r="M55" i="46"/>
  <c r="Q55" i="46" s="1"/>
  <c r="M60" i="46"/>
  <c r="Q60" i="46" s="1"/>
  <c r="M61" i="46"/>
  <c r="Q61" i="46" s="1"/>
  <c r="M62" i="46"/>
  <c r="Q62" i="46" s="1"/>
  <c r="M63" i="46"/>
  <c r="Q63" i="46" s="1"/>
  <c r="M19" i="46"/>
  <c r="M20" i="46"/>
  <c r="Q20" i="46" s="1"/>
  <c r="M21" i="46"/>
  <c r="Q21" i="46" s="1"/>
  <c r="M22" i="46"/>
  <c r="Q22" i="46" s="1"/>
  <c r="M23" i="46"/>
  <c r="Q23" i="46" s="1"/>
  <c r="M24" i="46"/>
  <c r="Q24" i="46" s="1"/>
  <c r="M25" i="46"/>
  <c r="Q25" i="46" s="1"/>
  <c r="M26" i="46"/>
  <c r="Q26" i="46" s="1"/>
  <c r="M27" i="46"/>
  <c r="Q27" i="46" s="1"/>
  <c r="M28" i="46"/>
  <c r="Q28" i="46" s="1"/>
  <c r="M29" i="46"/>
  <c r="Q29" i="46" s="1"/>
  <c r="M30" i="46"/>
  <c r="Q30" i="46" s="1"/>
  <c r="M31" i="46"/>
  <c r="Q31" i="46" s="1"/>
  <c r="M32" i="46"/>
  <c r="Q32" i="46" s="1"/>
  <c r="M33" i="46"/>
  <c r="Q33" i="46" s="1"/>
  <c r="M34" i="46"/>
  <c r="Q34" i="46" s="1"/>
  <c r="M35" i="46"/>
  <c r="Q35" i="46" s="1"/>
  <c r="M36" i="46"/>
  <c r="Q36" i="46" s="1"/>
  <c r="M37" i="46"/>
  <c r="Q37" i="46" s="1"/>
  <c r="M18" i="46"/>
  <c r="Q18" i="46" s="1"/>
  <c r="Q130" i="45"/>
  <c r="Q131" i="45"/>
  <c r="Q132" i="45"/>
  <c r="Q133" i="45"/>
  <c r="Q135" i="45"/>
  <c r="Q136" i="45"/>
  <c r="Q137" i="45"/>
  <c r="Q138" i="45"/>
  <c r="Q139" i="45"/>
  <c r="Q140" i="45"/>
  <c r="Q141" i="45"/>
  <c r="Q142" i="45"/>
  <c r="Q143" i="45"/>
  <c r="Q144" i="45"/>
  <c r="Q145" i="45"/>
  <c r="Q146" i="45"/>
  <c r="Q147" i="45"/>
  <c r="Q148" i="45"/>
  <c r="Q149" i="45"/>
  <c r="Q129" i="45"/>
  <c r="AL271" i="38" l="1"/>
  <c r="AN271" i="38" s="1"/>
  <c r="AL280" i="38"/>
  <c r="AN280" i="38" s="1"/>
  <c r="AL182" i="38"/>
  <c r="AN182" i="38" s="1"/>
  <c r="AL296" i="38"/>
  <c r="AN296" i="38" s="1"/>
  <c r="AL274" i="38"/>
  <c r="AM274" i="38" s="1"/>
  <c r="AL167" i="38"/>
  <c r="AN167" i="38" s="1"/>
  <c r="AL251" i="38"/>
  <c r="AM251" i="38" s="1"/>
  <c r="AL279" i="38"/>
  <c r="AM279" i="38" s="1"/>
  <c r="AL154" i="38"/>
  <c r="AN154" i="38" s="1"/>
  <c r="AL117" i="38"/>
  <c r="AM117" i="38" s="1"/>
  <c r="AL258" i="38"/>
  <c r="AN258" i="38" s="1"/>
  <c r="AL239" i="38"/>
  <c r="AN239" i="38" s="1"/>
  <c r="AL266" i="38"/>
  <c r="AM266" i="38" s="1"/>
  <c r="AL105" i="38"/>
  <c r="AN105" i="38" s="1"/>
  <c r="AL288" i="38"/>
  <c r="AN288" i="38" s="1"/>
  <c r="AL272" i="38"/>
  <c r="AN272" i="38" s="1"/>
  <c r="AL275" i="38"/>
  <c r="AM275" i="38" s="1"/>
  <c r="AL294" i="38"/>
  <c r="AN294" i="38" s="1"/>
  <c r="AL243" i="38"/>
  <c r="AM243" i="38" s="1"/>
  <c r="AL215" i="38"/>
  <c r="AN215" i="38" s="1"/>
  <c r="AL191" i="38"/>
  <c r="AN191" i="38" s="1"/>
  <c r="AL255" i="38"/>
  <c r="AN255" i="38" s="1"/>
  <c r="AL194" i="38"/>
  <c r="AN194" i="38" s="1"/>
  <c r="AL270" i="38"/>
  <c r="AN270" i="38" s="1"/>
  <c r="AL231" i="38"/>
  <c r="AN231" i="38" s="1"/>
  <c r="AL290" i="38"/>
  <c r="AN290" i="38" s="1"/>
  <c r="AL135" i="38"/>
  <c r="AN135" i="38" s="1"/>
  <c r="AL267" i="38"/>
  <c r="AM267" i="38" s="1"/>
  <c r="AL256" i="38"/>
  <c r="AN256" i="38" s="1"/>
  <c r="AL181" i="38"/>
  <c r="AM181" i="38" s="1"/>
  <c r="AL210" i="38"/>
  <c r="AN210" i="38" s="1"/>
  <c r="AL224" i="38"/>
  <c r="AM224" i="38" s="1"/>
  <c r="AL259" i="38"/>
  <c r="AN259" i="38" s="1"/>
  <c r="AL299" i="38"/>
  <c r="AM299" i="38" s="1"/>
  <c r="AL287" i="38"/>
  <c r="AM287" i="38" s="1"/>
  <c r="AL248" i="38"/>
  <c r="AN248" i="38" s="1"/>
  <c r="AL232" i="38"/>
  <c r="AM232" i="38" s="1"/>
  <c r="AL273" i="38"/>
  <c r="AN273" i="38" s="1"/>
  <c r="AL213" i="38"/>
  <c r="AN213" i="38" s="1"/>
  <c r="AL242" i="38"/>
  <c r="AM242" i="38" s="1"/>
  <c r="AL205" i="38"/>
  <c r="AM205" i="38" s="1"/>
  <c r="AL206" i="38"/>
  <c r="AN206" i="38" s="1"/>
  <c r="AL183" i="38"/>
  <c r="AM183" i="38" s="1"/>
  <c r="AL269" i="38"/>
  <c r="AM269" i="38" s="1"/>
  <c r="AL234" i="38"/>
  <c r="AM234" i="38" s="1"/>
  <c r="AL292" i="38"/>
  <c r="AN292" i="38" s="1"/>
  <c r="AL297" i="38"/>
  <c r="AN297" i="38" s="1"/>
  <c r="AL289" i="38"/>
  <c r="AN289" i="38" s="1"/>
  <c r="AL286" i="38"/>
  <c r="AN286" i="38" s="1"/>
  <c r="AL298" i="38"/>
  <c r="AM298" i="38" s="1"/>
  <c r="AL282" i="38"/>
  <c r="AM282" i="38" s="1"/>
  <c r="AL283" i="38"/>
  <c r="AM283" i="38" s="1"/>
  <c r="AL277" i="38"/>
  <c r="AN277" i="38" s="1"/>
  <c r="AL278" i="38"/>
  <c r="AM278" i="38" s="1"/>
  <c r="AL276" i="38"/>
  <c r="AM276" i="38" s="1"/>
  <c r="AL285" i="38"/>
  <c r="AM285" i="38" s="1"/>
  <c r="AL281" i="38"/>
  <c r="AN281" i="38" s="1"/>
  <c r="AL284" i="38"/>
  <c r="AM284" i="38" s="1"/>
  <c r="AL264" i="38"/>
  <c r="AM264" i="38" s="1"/>
  <c r="AL199" i="38"/>
  <c r="AM199" i="38" s="1"/>
  <c r="AL216" i="38"/>
  <c r="AN216" i="38" s="1"/>
  <c r="AL249" i="38"/>
  <c r="AN249" i="38" s="1"/>
  <c r="AL240" i="38"/>
  <c r="AN240" i="38" s="1"/>
  <c r="AL257" i="38"/>
  <c r="AN257" i="38" s="1"/>
  <c r="AL225" i="38"/>
  <c r="AN225" i="38" s="1"/>
  <c r="AL223" i="38"/>
  <c r="AN223" i="38" s="1"/>
  <c r="AL222" i="38"/>
  <c r="AM222" i="38" s="1"/>
  <c r="AL252" i="38"/>
  <c r="AN252" i="38" s="1"/>
  <c r="AL218" i="38"/>
  <c r="AN218" i="38" s="1"/>
  <c r="AL229" i="38"/>
  <c r="AM229" i="38" s="1"/>
  <c r="AL193" i="38"/>
  <c r="AN193" i="38" s="1"/>
  <c r="AL253" i="38"/>
  <c r="AM253" i="38" s="1"/>
  <c r="AL207" i="38"/>
  <c r="AM207" i="38" s="1"/>
  <c r="AL219" i="38"/>
  <c r="AN219" i="38" s="1"/>
  <c r="AL230" i="38"/>
  <c r="AN230" i="38" s="1"/>
  <c r="AL237" i="38"/>
  <c r="AM237" i="38" s="1"/>
  <c r="AL214" i="38"/>
  <c r="AN214" i="38" s="1"/>
  <c r="AL212" i="38"/>
  <c r="AM212" i="38" s="1"/>
  <c r="AL244" i="38"/>
  <c r="AM244" i="38" s="1"/>
  <c r="AL198" i="38"/>
  <c r="AN198" i="38" s="1"/>
  <c r="AL211" i="38"/>
  <c r="AM211" i="38" s="1"/>
  <c r="AL203" i="38"/>
  <c r="AM203" i="38" s="1"/>
  <c r="AL235" i="38"/>
  <c r="AM235" i="38" s="1"/>
  <c r="AL246" i="38"/>
  <c r="AN246" i="38" s="1"/>
  <c r="AL245" i="38"/>
  <c r="AM245" i="38" s="1"/>
  <c r="AL260" i="38"/>
  <c r="AM260" i="38" s="1"/>
  <c r="AL227" i="38"/>
  <c r="AM227" i="38" s="1"/>
  <c r="AL208" i="38"/>
  <c r="AM208" i="38" s="1"/>
  <c r="AL200" i="38"/>
  <c r="AM200" i="38" s="1"/>
  <c r="AL262" i="38"/>
  <c r="AM262" i="38" s="1"/>
  <c r="AL263" i="38"/>
  <c r="AN263" i="38" s="1"/>
  <c r="AL202" i="38"/>
  <c r="AN202" i="38" s="1"/>
  <c r="AL192" i="38"/>
  <c r="AN192" i="38" s="1"/>
  <c r="AL201" i="38"/>
  <c r="AN201" i="38" s="1"/>
  <c r="AL265" i="38"/>
  <c r="AN265" i="38" s="1"/>
  <c r="AL189" i="38"/>
  <c r="AM189" i="38" s="1"/>
  <c r="AL238" i="38"/>
  <c r="AM238" i="38" s="1"/>
  <c r="AL187" i="38"/>
  <c r="AM187" i="38" s="1"/>
  <c r="AL209" i="38"/>
  <c r="AM209" i="38" s="1"/>
  <c r="AL221" i="38"/>
  <c r="AN221" i="38" s="1"/>
  <c r="AL268" i="38"/>
  <c r="AM268" i="38" s="1"/>
  <c r="AL236" i="38"/>
  <c r="AM236" i="38" s="1"/>
  <c r="AL204" i="38"/>
  <c r="AM204" i="38" s="1"/>
  <c r="AL185" i="38"/>
  <c r="AN185" i="38" s="1"/>
  <c r="AL188" i="38"/>
  <c r="AM188" i="38" s="1"/>
  <c r="AL186" i="38"/>
  <c r="AN186" i="38" s="1"/>
  <c r="AL226" i="38"/>
  <c r="AN226" i="38" s="1"/>
  <c r="AL250" i="38"/>
  <c r="AN250" i="38" s="1"/>
  <c r="AL247" i="38"/>
  <c r="AN247" i="38" s="1"/>
  <c r="AL241" i="38"/>
  <c r="AN241" i="38" s="1"/>
  <c r="AL233" i="38"/>
  <c r="AN233" i="38" s="1"/>
  <c r="AL190" i="38"/>
  <c r="AM190" i="38" s="1"/>
  <c r="AL254" i="38"/>
  <c r="AM254" i="38" s="1"/>
  <c r="AL217" i="38"/>
  <c r="AN217" i="38" s="1"/>
  <c r="AL195" i="38"/>
  <c r="AN195" i="38" s="1"/>
  <c r="AL228" i="38"/>
  <c r="AM228" i="38" s="1"/>
  <c r="AL261" i="38"/>
  <c r="AM261" i="38" s="1"/>
  <c r="AL196" i="38"/>
  <c r="AM196" i="38" s="1"/>
  <c r="AL220" i="38"/>
  <c r="AM220" i="38" s="1"/>
  <c r="AL197" i="38"/>
  <c r="AM197" i="38" s="1"/>
  <c r="AL174" i="38"/>
  <c r="AM174" i="38" s="1"/>
  <c r="AL109" i="38"/>
  <c r="AM109" i="38" s="1"/>
  <c r="AL173" i="38"/>
  <c r="AN173" i="38" s="1"/>
  <c r="AL134" i="38"/>
  <c r="AM134" i="38" s="1"/>
  <c r="AL157" i="38"/>
  <c r="AN157" i="38" s="1"/>
  <c r="AL120" i="38"/>
  <c r="AN120" i="38" s="1"/>
  <c r="AL141" i="38"/>
  <c r="AM141" i="38" s="1"/>
  <c r="AL133" i="38"/>
  <c r="AM133" i="38" s="1"/>
  <c r="AL158" i="38"/>
  <c r="AN158" i="38" s="1"/>
  <c r="AL138" i="38"/>
  <c r="AN138" i="38" s="1"/>
  <c r="AL149" i="38"/>
  <c r="AM149" i="38" s="1"/>
  <c r="AL184" i="38"/>
  <c r="AN184" i="38" s="1"/>
  <c r="AL118" i="38"/>
  <c r="AN118" i="38" s="1"/>
  <c r="AL143" i="38"/>
  <c r="AM143" i="38" s="1"/>
  <c r="AL106" i="38"/>
  <c r="AM106" i="38" s="1"/>
  <c r="AL137" i="38"/>
  <c r="AN137" i="38" s="1"/>
  <c r="AL178" i="38"/>
  <c r="AM178" i="38" s="1"/>
  <c r="AL177" i="38"/>
  <c r="AN177" i="38" s="1"/>
  <c r="AL145" i="38"/>
  <c r="AN145" i="38" s="1"/>
  <c r="AL129" i="38"/>
  <c r="AN129" i="38" s="1"/>
  <c r="AL114" i="38"/>
  <c r="AN114" i="38" s="1"/>
  <c r="AL161" i="38"/>
  <c r="AN161" i="38" s="1"/>
  <c r="AL121" i="38"/>
  <c r="AN121" i="38" s="1"/>
  <c r="AL108" i="38"/>
  <c r="AM108" i="38" s="1"/>
  <c r="AL176" i="38"/>
  <c r="AN176" i="38" s="1"/>
  <c r="AL293" i="38"/>
  <c r="AM293" i="38" s="1"/>
  <c r="AL69" i="38"/>
  <c r="AN69" i="38" s="1"/>
  <c r="AL162" i="38"/>
  <c r="AM162" i="38" s="1"/>
  <c r="AL124" i="38"/>
  <c r="AM124" i="38" s="1"/>
  <c r="AL125" i="38"/>
  <c r="AM125" i="38" s="1"/>
  <c r="AL132" i="38"/>
  <c r="AM132" i="38" s="1"/>
  <c r="AL136" i="38"/>
  <c r="AN136" i="38" s="1"/>
  <c r="AL116" i="38"/>
  <c r="AM116" i="38" s="1"/>
  <c r="AL179" i="38"/>
  <c r="AN179" i="38" s="1"/>
  <c r="AL51" i="38"/>
  <c r="AN51" i="38" s="1"/>
  <c r="AL153" i="38"/>
  <c r="AN153" i="38" s="1"/>
  <c r="AL172" i="38"/>
  <c r="AM172" i="38" s="1"/>
  <c r="AL43" i="38"/>
  <c r="AM43" i="38" s="1"/>
  <c r="AL165" i="38"/>
  <c r="AN165" i="38" s="1"/>
  <c r="AL139" i="38"/>
  <c r="AM139" i="38" s="1"/>
  <c r="AL123" i="38"/>
  <c r="AM123" i="38" s="1"/>
  <c r="AL148" i="38"/>
  <c r="AM148" i="38" s="1"/>
  <c r="AL107" i="38"/>
  <c r="AN107" i="38" s="1"/>
  <c r="AL112" i="38"/>
  <c r="AN112" i="38" s="1"/>
  <c r="AL104" i="38"/>
  <c r="AN104" i="38" s="1"/>
  <c r="AL169" i="38"/>
  <c r="AN169" i="38" s="1"/>
  <c r="AL127" i="38"/>
  <c r="AN127" i="38" s="1"/>
  <c r="AL119" i="38"/>
  <c r="AN119" i="38" s="1"/>
  <c r="AL295" i="38"/>
  <c r="AN295" i="38" s="1"/>
  <c r="AL130" i="38"/>
  <c r="AN130" i="38" s="1"/>
  <c r="AL170" i="38"/>
  <c r="AM170" i="38" s="1"/>
  <c r="AL110" i="38"/>
  <c r="AN110" i="38" s="1"/>
  <c r="AL160" i="38"/>
  <c r="AN160" i="38" s="1"/>
  <c r="AL147" i="38"/>
  <c r="AM147" i="38" s="1"/>
  <c r="AL126" i="38"/>
  <c r="AM126" i="38" s="1"/>
  <c r="AL166" i="38"/>
  <c r="AM166" i="38" s="1"/>
  <c r="AL131" i="38"/>
  <c r="AN131" i="38" s="1"/>
  <c r="AL180" i="38"/>
  <c r="AM180" i="38" s="1"/>
  <c r="AL150" i="38"/>
  <c r="AN150" i="38" s="1"/>
  <c r="AL156" i="38"/>
  <c r="AN156" i="38" s="1"/>
  <c r="AL115" i="38"/>
  <c r="AM115" i="38" s="1"/>
  <c r="AL164" i="38"/>
  <c r="AN164" i="38" s="1"/>
  <c r="AL140" i="38"/>
  <c r="AM140" i="38" s="1"/>
  <c r="AL159" i="38"/>
  <c r="AM159" i="38" s="1"/>
  <c r="AL291" i="38"/>
  <c r="AN291" i="38" s="1"/>
  <c r="AL151" i="38"/>
  <c r="AN151" i="38" s="1"/>
  <c r="AL128" i="38"/>
  <c r="AM128" i="38" s="1"/>
  <c r="AL152" i="38"/>
  <c r="AN152" i="38" s="1"/>
  <c r="AL142" i="38"/>
  <c r="AN142" i="38" s="1"/>
  <c r="AL103" i="38"/>
  <c r="AM103" i="38" s="1"/>
  <c r="AL122" i="38"/>
  <c r="AN122" i="38" s="1"/>
  <c r="AL144" i="38"/>
  <c r="AN144" i="38" s="1"/>
  <c r="AL113" i="38"/>
  <c r="AN113" i="38" s="1"/>
  <c r="AL175" i="38"/>
  <c r="AM175" i="38" s="1"/>
  <c r="AL171" i="38"/>
  <c r="AN171" i="38" s="1"/>
  <c r="AL111" i="38"/>
  <c r="AM111" i="38" s="1"/>
  <c r="AL155" i="38"/>
  <c r="AM155" i="38" s="1"/>
  <c r="AL163" i="38"/>
  <c r="AN163" i="38" s="1"/>
  <c r="AL168" i="38"/>
  <c r="AM168" i="38" s="1"/>
  <c r="AL146" i="38"/>
  <c r="AM146" i="38" s="1"/>
  <c r="V68" i="43" a="1"/>
  <c r="V68" i="43" s="1"/>
  <c r="W68" i="43" s="1" a="1"/>
  <c r="W68" i="43" s="1"/>
  <c r="AA68" i="43" s="1" a="1"/>
  <c r="AA68" i="43" s="1"/>
  <c r="AL49" i="42"/>
  <c r="AL48" i="42"/>
  <c r="AJ63" i="39"/>
  <c r="AK63" i="39"/>
  <c r="AJ20" i="39"/>
  <c r="AK20" i="39"/>
  <c r="AJ24" i="39"/>
  <c r="AK24" i="39"/>
  <c r="AJ71" i="39"/>
  <c r="AK71" i="39"/>
  <c r="AJ72" i="39"/>
  <c r="AK72" i="39"/>
  <c r="AJ44" i="39"/>
  <c r="AK44" i="39"/>
  <c r="AJ27" i="39"/>
  <c r="AK27" i="39"/>
  <c r="AJ35" i="39"/>
  <c r="AK35" i="39"/>
  <c r="AJ54" i="39"/>
  <c r="AK54" i="39"/>
  <c r="AJ23" i="39"/>
  <c r="AK23" i="39"/>
  <c r="AJ51" i="39"/>
  <c r="AK51" i="39"/>
  <c r="AJ49" i="39"/>
  <c r="AK49" i="39"/>
  <c r="AJ76" i="39"/>
  <c r="AK76" i="39"/>
  <c r="AJ82" i="39"/>
  <c r="AK82" i="39"/>
  <c r="AJ16" i="39"/>
  <c r="AK16" i="39"/>
  <c r="AJ18" i="39"/>
  <c r="AK18" i="39"/>
  <c r="AJ84" i="39"/>
  <c r="AK84" i="39"/>
  <c r="AJ64" i="39"/>
  <c r="AK64" i="39"/>
  <c r="AJ87" i="39"/>
  <c r="AK87" i="39"/>
  <c r="AJ77" i="39"/>
  <c r="AK77" i="39"/>
  <c r="AJ42" i="39"/>
  <c r="AK42" i="39"/>
  <c r="AJ55" i="39"/>
  <c r="AK55" i="39"/>
  <c r="AJ62" i="39"/>
  <c r="AK62" i="39"/>
  <c r="AJ81" i="39"/>
  <c r="AK81" i="39"/>
  <c r="AJ53" i="39"/>
  <c r="AK53" i="39"/>
  <c r="AJ78" i="39"/>
  <c r="AK78" i="39"/>
  <c r="AJ68" i="39"/>
  <c r="AK68" i="39"/>
  <c r="AJ34" i="39"/>
  <c r="AK34" i="39"/>
  <c r="AJ43" i="39"/>
  <c r="AK43" i="39"/>
  <c r="AJ47" i="39"/>
  <c r="AK47" i="39"/>
  <c r="AJ37" i="39"/>
  <c r="AK37" i="39"/>
  <c r="AJ85" i="39"/>
  <c r="AK85" i="39"/>
  <c r="AJ26" i="39"/>
  <c r="AK26" i="39"/>
  <c r="AJ29" i="39"/>
  <c r="AK29" i="39"/>
  <c r="AJ17" i="39"/>
  <c r="AK17" i="39"/>
  <c r="AJ25" i="39"/>
  <c r="AK25" i="39"/>
  <c r="AJ73" i="39"/>
  <c r="AK73" i="39"/>
  <c r="AJ41" i="39"/>
  <c r="AK41" i="39"/>
  <c r="AJ40" i="39"/>
  <c r="AK40" i="39"/>
  <c r="AJ67" i="39"/>
  <c r="AK67" i="39"/>
  <c r="AJ74" i="39"/>
  <c r="AK74" i="39"/>
  <c r="AJ45" i="39"/>
  <c r="AK45" i="39"/>
  <c r="AJ70" i="39"/>
  <c r="AK70" i="39"/>
  <c r="AJ75" i="39"/>
  <c r="AK75" i="39"/>
  <c r="AJ61" i="39"/>
  <c r="AK61" i="39"/>
  <c r="AJ32" i="39"/>
  <c r="AK32" i="39"/>
  <c r="AJ31" i="39"/>
  <c r="AK31" i="39"/>
  <c r="AJ48" i="39"/>
  <c r="AK48" i="39"/>
  <c r="AJ66" i="39"/>
  <c r="AK66" i="39"/>
  <c r="AJ83" i="39"/>
  <c r="AK83" i="39"/>
  <c r="AJ80" i="39"/>
  <c r="AK80" i="39"/>
  <c r="AJ33" i="39"/>
  <c r="AK33" i="39"/>
  <c r="AJ50" i="39"/>
  <c r="AK50" i="39"/>
  <c r="AJ52" i="39"/>
  <c r="AK52" i="39"/>
  <c r="AJ36" i="39"/>
  <c r="AK36" i="39"/>
  <c r="AJ56" i="39"/>
  <c r="AK56" i="39"/>
  <c r="AJ19" i="39"/>
  <c r="AK19" i="39"/>
  <c r="AJ65" i="39"/>
  <c r="AK65" i="39"/>
  <c r="AJ69" i="39"/>
  <c r="AK69" i="39"/>
  <c r="AJ59" i="39"/>
  <c r="AK59" i="39"/>
  <c r="AJ90" i="39"/>
  <c r="AK90" i="39"/>
  <c r="AJ28" i="39"/>
  <c r="AK28" i="39"/>
  <c r="AJ15" i="39"/>
  <c r="AK15" i="39"/>
  <c r="AJ60" i="39"/>
  <c r="AK60" i="39"/>
  <c r="AJ79" i="39"/>
  <c r="AK79" i="39"/>
  <c r="AJ46" i="39"/>
  <c r="AK46" i="39"/>
  <c r="AJ22" i="39"/>
  <c r="AK22" i="39"/>
  <c r="AJ21" i="39"/>
  <c r="AK21" i="39"/>
  <c r="AJ39" i="39"/>
  <c r="AK39" i="39"/>
  <c r="AJ58" i="39"/>
  <c r="AK58" i="39"/>
  <c r="AH54" i="39"/>
  <c r="AI54" i="39"/>
  <c r="AH53" i="39"/>
  <c r="AI53" i="39"/>
  <c r="AH41" i="39"/>
  <c r="AI41" i="39"/>
  <c r="AH31" i="39"/>
  <c r="AI31" i="39"/>
  <c r="AH58" i="39"/>
  <c r="AI58" i="39"/>
  <c r="AH47" i="39"/>
  <c r="AI47" i="39"/>
  <c r="AH37" i="39"/>
  <c r="AI37" i="39"/>
  <c r="AH50" i="39"/>
  <c r="AI50" i="39"/>
  <c r="AH48" i="39"/>
  <c r="AI48" i="39"/>
  <c r="AH82" i="39"/>
  <c r="AI82" i="39"/>
  <c r="AH16" i="39"/>
  <c r="AI16" i="39"/>
  <c r="AH44" i="39"/>
  <c r="AI44" i="39"/>
  <c r="AH83" i="39"/>
  <c r="AI83" i="39"/>
  <c r="AH73" i="39"/>
  <c r="AI73" i="39"/>
  <c r="AH60" i="39"/>
  <c r="AI60" i="39"/>
  <c r="AH28" i="39"/>
  <c r="AI28" i="39"/>
  <c r="AH70" i="39"/>
  <c r="AI70" i="39"/>
  <c r="AH61" i="39"/>
  <c r="AI61" i="39"/>
  <c r="AH45" i="39"/>
  <c r="AI45" i="39"/>
  <c r="AH55" i="39"/>
  <c r="AI55" i="39"/>
  <c r="AH35" i="39"/>
  <c r="AI35" i="39"/>
  <c r="AH23" i="39"/>
  <c r="AI23" i="39"/>
  <c r="AH46" i="39"/>
  <c r="AI46" i="39"/>
  <c r="AH22" i="39"/>
  <c r="AI22" i="39"/>
  <c r="AH42" i="39"/>
  <c r="AI42" i="39"/>
  <c r="AH33" i="39"/>
  <c r="AI33" i="39"/>
  <c r="AH27" i="39"/>
  <c r="AI27" i="39"/>
  <c r="AH63" i="39"/>
  <c r="AI63" i="39"/>
  <c r="AH68" i="39"/>
  <c r="AI68" i="39"/>
  <c r="AH29" i="39"/>
  <c r="AI29" i="39"/>
  <c r="AH52" i="39"/>
  <c r="AI52" i="39"/>
  <c r="AH15" i="39"/>
  <c r="AI15" i="39"/>
  <c r="AH71" i="39"/>
  <c r="AI71" i="39"/>
  <c r="AH36" i="39"/>
  <c r="AI36" i="39"/>
  <c r="AH81" i="39"/>
  <c r="AI81" i="39"/>
  <c r="AH80" i="39"/>
  <c r="AI80" i="39"/>
  <c r="AH69" i="39"/>
  <c r="AI69" i="39"/>
  <c r="AH49" i="39"/>
  <c r="AI49" i="39"/>
  <c r="AH39" i="39"/>
  <c r="AI39" i="39"/>
  <c r="AH74" i="39"/>
  <c r="AI74" i="39"/>
  <c r="AH24" i="39"/>
  <c r="AI24" i="39"/>
  <c r="AH62" i="39"/>
  <c r="AI62" i="39"/>
  <c r="AH25" i="39"/>
  <c r="AI25" i="39"/>
  <c r="AH32" i="39"/>
  <c r="AI32" i="39"/>
  <c r="AH21" i="39"/>
  <c r="AI21" i="39"/>
  <c r="AH85" i="39"/>
  <c r="AI85" i="39"/>
  <c r="AH43" i="39"/>
  <c r="AI43" i="39"/>
  <c r="AH79" i="39"/>
  <c r="AI79" i="39"/>
  <c r="AH17" i="39"/>
  <c r="AI17" i="39"/>
  <c r="AH77" i="39"/>
  <c r="AI77" i="39"/>
  <c r="AH76" i="39"/>
  <c r="AI76" i="39"/>
  <c r="AH34" i="39"/>
  <c r="AI34" i="39"/>
  <c r="AH72" i="39"/>
  <c r="AI72" i="39"/>
  <c r="AH87" i="39"/>
  <c r="AI87" i="39"/>
  <c r="AH67" i="39"/>
  <c r="AI67" i="39"/>
  <c r="AH90" i="39"/>
  <c r="AI90" i="39"/>
  <c r="AH26" i="39"/>
  <c r="AI26" i="39"/>
  <c r="AH84" i="39"/>
  <c r="AI84" i="39"/>
  <c r="AH78" i="39"/>
  <c r="AI78" i="39"/>
  <c r="AH59" i="39"/>
  <c r="AI59" i="39"/>
  <c r="AH18" i="39"/>
  <c r="AI18" i="39"/>
  <c r="AH56" i="39"/>
  <c r="AI56" i="39"/>
  <c r="AH19" i="39"/>
  <c r="AI19" i="39"/>
  <c r="AH75" i="39"/>
  <c r="AI75" i="39"/>
  <c r="AH65" i="39"/>
  <c r="AI65" i="39"/>
  <c r="AH64" i="39"/>
  <c r="AI64" i="39"/>
  <c r="AH51" i="39"/>
  <c r="AI51" i="39"/>
  <c r="AH40" i="39"/>
  <c r="AI40" i="39"/>
  <c r="AH20" i="39"/>
  <c r="AI20" i="39"/>
  <c r="AH66" i="39"/>
  <c r="AI66" i="39"/>
  <c r="AF72" i="39"/>
  <c r="AG72" i="39"/>
  <c r="AF33" i="39"/>
  <c r="AG33" i="39"/>
  <c r="AF52" i="39"/>
  <c r="AG52" i="39"/>
  <c r="AF47" i="39"/>
  <c r="AG47" i="39"/>
  <c r="AF53" i="39"/>
  <c r="AG53" i="39"/>
  <c r="AF87" i="39"/>
  <c r="AG87" i="39"/>
  <c r="AF45" i="39"/>
  <c r="AG45" i="39"/>
  <c r="AF37" i="39"/>
  <c r="AG37" i="39"/>
  <c r="AF78" i="39"/>
  <c r="AG78" i="39"/>
  <c r="AF18" i="39"/>
  <c r="AG18" i="39"/>
  <c r="AF83" i="39"/>
  <c r="AG83" i="39"/>
  <c r="AF17" i="39"/>
  <c r="AG17" i="39"/>
  <c r="AF24" i="39"/>
  <c r="AG24" i="39"/>
  <c r="AF70" i="39"/>
  <c r="AG70" i="39"/>
  <c r="AF81" i="39"/>
  <c r="AG81" i="39"/>
  <c r="AF51" i="39"/>
  <c r="AG51" i="39"/>
  <c r="AF21" i="39"/>
  <c r="AG21" i="39"/>
  <c r="AF76" i="39"/>
  <c r="AG76" i="39"/>
  <c r="AF82" i="39"/>
  <c r="AG82" i="39"/>
  <c r="AF16" i="39"/>
  <c r="AG16" i="39"/>
  <c r="AF56" i="39"/>
  <c r="AG56" i="39"/>
  <c r="AF62" i="39"/>
  <c r="AG62" i="39"/>
  <c r="AF60" i="39"/>
  <c r="AG60" i="39"/>
  <c r="AF15" i="39"/>
  <c r="AG15" i="39"/>
  <c r="AF29" i="39"/>
  <c r="AG29" i="39"/>
  <c r="AF28" i="39"/>
  <c r="AG28" i="39"/>
  <c r="AF34" i="39"/>
  <c r="AG34" i="39"/>
  <c r="AF19" i="39"/>
  <c r="AG19" i="39"/>
  <c r="AF23" i="39"/>
  <c r="AG23" i="39"/>
  <c r="AF69" i="39"/>
  <c r="AG69" i="39"/>
  <c r="AF31" i="39"/>
  <c r="AG31" i="39"/>
  <c r="AF85" i="39"/>
  <c r="AG85" i="39"/>
  <c r="AF90" i="39"/>
  <c r="AG90" i="39"/>
  <c r="AF26" i="39"/>
  <c r="AG26" i="39"/>
  <c r="AF55" i="39"/>
  <c r="AG55" i="39"/>
  <c r="AF65" i="39"/>
  <c r="AG65" i="39"/>
  <c r="AF73" i="39"/>
  <c r="AG73" i="39"/>
  <c r="AF41" i="39"/>
  <c r="AG41" i="39"/>
  <c r="AF67" i="39"/>
  <c r="AG67" i="39"/>
  <c r="AF74" i="39"/>
  <c r="AG74" i="39"/>
  <c r="AF64" i="39"/>
  <c r="AG64" i="39"/>
  <c r="AF20" i="39"/>
  <c r="AG20" i="39"/>
  <c r="AF66" i="39"/>
  <c r="AG66" i="39"/>
  <c r="AF63" i="39"/>
  <c r="AG63" i="39"/>
  <c r="AF59" i="39"/>
  <c r="AG59" i="39"/>
  <c r="AF50" i="39"/>
  <c r="AG50" i="39"/>
  <c r="AF44" i="39"/>
  <c r="AG44" i="39"/>
  <c r="AF49" i="39"/>
  <c r="AG49" i="39"/>
  <c r="AF42" i="39"/>
  <c r="AG42" i="39"/>
  <c r="AF36" i="39"/>
  <c r="AG36" i="39"/>
  <c r="AF35" i="39"/>
  <c r="AG35" i="39"/>
  <c r="AF40" i="39"/>
  <c r="AG40" i="39"/>
  <c r="AF84" i="39"/>
  <c r="AG84" i="39"/>
  <c r="AF43" i="39"/>
  <c r="AG43" i="39"/>
  <c r="AF54" i="39"/>
  <c r="AG54" i="39"/>
  <c r="AF61" i="39"/>
  <c r="AG61" i="39"/>
  <c r="AF32" i="39"/>
  <c r="AG32" i="39"/>
  <c r="AF77" i="39"/>
  <c r="AG77" i="39"/>
  <c r="AF48" i="39"/>
  <c r="AG48" i="39"/>
  <c r="AF71" i="39"/>
  <c r="AG71" i="39"/>
  <c r="AF27" i="39"/>
  <c r="AG27" i="39"/>
  <c r="AF79" i="39"/>
  <c r="AG79" i="39"/>
  <c r="AF75" i="39"/>
  <c r="AG75" i="39"/>
  <c r="AF25" i="39"/>
  <c r="AG25" i="39"/>
  <c r="AF80" i="39"/>
  <c r="AG80" i="39"/>
  <c r="AF46" i="39"/>
  <c r="AG46" i="39"/>
  <c r="AF22" i="39"/>
  <c r="AG22" i="39"/>
  <c r="AF68" i="39"/>
  <c r="AG68" i="39"/>
  <c r="AF39" i="39"/>
  <c r="AG39" i="39"/>
  <c r="AF58" i="39"/>
  <c r="AG58" i="39"/>
  <c r="AD89" i="39"/>
  <c r="AD88" i="39"/>
  <c r="AO88" i="39" s="1"/>
  <c r="AD86" i="39"/>
  <c r="AL100" i="38"/>
  <c r="AM100" i="38" s="1"/>
  <c r="AL99" i="38"/>
  <c r="AN99" i="38" s="1"/>
  <c r="AL97" i="38"/>
  <c r="AN97" i="38" s="1"/>
  <c r="AL101" i="38"/>
  <c r="AN101" i="38" s="1"/>
  <c r="AL96" i="38"/>
  <c r="AM96" i="38" s="1"/>
  <c r="AL102" i="38"/>
  <c r="AM102" i="38" s="1"/>
  <c r="AL98" i="38"/>
  <c r="AM98" i="38" s="1"/>
  <c r="AL87" i="38"/>
  <c r="AM87" i="38" s="1"/>
  <c r="AL82" i="38"/>
  <c r="AL81" i="38"/>
  <c r="AL33" i="38"/>
  <c r="AL55" i="38"/>
  <c r="AL77" i="38"/>
  <c r="AL83" i="38"/>
  <c r="AL64" i="38"/>
  <c r="AL84" i="38"/>
  <c r="AL47" i="38"/>
  <c r="AL86" i="38"/>
  <c r="AL88" i="38"/>
  <c r="AL54" i="38"/>
  <c r="AL73" i="38"/>
  <c r="AL37" i="38"/>
  <c r="AL68" i="38"/>
  <c r="AL76" i="38"/>
  <c r="AL35" i="38"/>
  <c r="AL46" i="38"/>
  <c r="AL48" i="38"/>
  <c r="AL80" i="38"/>
  <c r="AL30" i="38"/>
  <c r="AL31" i="38"/>
  <c r="AL53" i="38"/>
  <c r="AL70" i="38"/>
  <c r="AL74" i="38"/>
  <c r="AL29" i="38"/>
  <c r="AL85" i="38"/>
  <c r="AL44" i="38"/>
  <c r="AL67" i="38"/>
  <c r="AL63" i="38"/>
  <c r="AL39" i="38"/>
  <c r="AL72" i="38"/>
  <c r="AL58" i="38"/>
  <c r="AL38" i="38"/>
  <c r="AL56" i="38"/>
  <c r="AL65" i="38"/>
  <c r="AL62" i="38"/>
  <c r="AL78" i="38"/>
  <c r="AL79" i="38"/>
  <c r="AL28" i="38"/>
  <c r="AL91" i="38"/>
  <c r="AL34" i="38"/>
  <c r="AL52" i="38"/>
  <c r="AL92" i="38"/>
  <c r="AL41" i="38"/>
  <c r="AL57" i="38"/>
  <c r="AL89" i="38"/>
  <c r="AL60" i="38"/>
  <c r="AL90" i="38"/>
  <c r="AL61" i="38"/>
  <c r="AL50" i="38"/>
  <c r="AL66" i="38"/>
  <c r="AL40" i="38"/>
  <c r="AL94" i="38"/>
  <c r="AL71" i="38"/>
  <c r="AL59" i="38"/>
  <c r="AL93" i="38"/>
  <c r="AL45" i="38"/>
  <c r="AL36" i="38"/>
  <c r="AL75" i="38"/>
  <c r="AL42" i="38"/>
  <c r="AL32" i="38"/>
  <c r="AL49" i="38"/>
  <c r="AL95" i="38"/>
  <c r="AL43" i="42"/>
  <c r="AL42" i="42"/>
  <c r="AL45" i="42"/>
  <c r="AL46" i="42"/>
  <c r="AL44" i="42"/>
  <c r="AL47" i="42"/>
  <c r="AA71" i="43" a="1"/>
  <c r="AA71" i="43" s="1"/>
  <c r="AA72" i="43" a="1"/>
  <c r="AA72" i="43" s="1"/>
  <c r="AA69" i="43" a="1"/>
  <c r="AA69" i="43" s="1"/>
  <c r="AA82" i="43" a="1"/>
  <c r="AA82" i="43" s="1"/>
  <c r="AA73" i="43" a="1"/>
  <c r="AA73" i="43" s="1"/>
  <c r="AA80" i="43" a="1"/>
  <c r="AA80" i="43" s="1"/>
  <c r="AA78" i="43" a="1"/>
  <c r="AA78" i="43" s="1"/>
  <c r="AA74" i="43" a="1"/>
  <c r="AA74" i="43" s="1"/>
  <c r="AA87" i="43" a="1"/>
  <c r="AA87" i="43" s="1"/>
  <c r="AA85" i="43" a="1"/>
  <c r="AA85" i="43" s="1"/>
  <c r="AA81" i="43" a="1"/>
  <c r="AA81" i="43" s="1"/>
  <c r="AA75" i="43" a="1"/>
  <c r="AA75" i="43" s="1"/>
  <c r="AA79" i="43" a="1"/>
  <c r="AA79" i="43" s="1"/>
  <c r="AA84" i="43" a="1"/>
  <c r="AA84" i="43" s="1"/>
  <c r="AA88" i="43" a="1"/>
  <c r="AA88" i="43" s="1"/>
  <c r="AA83" i="43" a="1"/>
  <c r="AA83" i="43" s="1"/>
  <c r="AA77" i="43" a="1"/>
  <c r="AA77" i="43" s="1"/>
  <c r="AA70" i="43" a="1"/>
  <c r="AA70" i="43" s="1"/>
  <c r="AA76" i="43" a="1"/>
  <c r="AA76" i="43" s="1"/>
  <c r="E9" i="58" a="1"/>
  <c r="E9" i="58" s="1"/>
  <c r="AL41" i="42"/>
  <c r="AL17" i="42"/>
  <c r="AJ160" i="40"/>
  <c r="AO335" i="40"/>
  <c r="AH409" i="40"/>
  <c r="AK335" i="40"/>
  <c r="AG409" i="40"/>
  <c r="AH143" i="40"/>
  <c r="AO464" i="40"/>
  <c r="AK397" i="40"/>
  <c r="AF335" i="40"/>
  <c r="AL335" i="40" s="1"/>
  <c r="AH160" i="40"/>
  <c r="AF22" i="40"/>
  <c r="AG251" i="40"/>
  <c r="AF464" i="40"/>
  <c r="AL464" i="40" s="1"/>
  <c r="AK409" i="40"/>
  <c r="AO22" i="40"/>
  <c r="AG22" i="40"/>
  <c r="AF160" i="40"/>
  <c r="AJ322" i="40"/>
  <c r="AI397" i="40"/>
  <c r="AK143" i="40"/>
  <c r="AJ335" i="40"/>
  <c r="AI160" i="40"/>
  <c r="AF409" i="40"/>
  <c r="AL409" i="40" s="1"/>
  <c r="AH397" i="40"/>
  <c r="AO160" i="40"/>
  <c r="AF397" i="40"/>
  <c r="AL397" i="40" s="1"/>
  <c r="AO251" i="40"/>
  <c r="AH335" i="40"/>
  <c r="AO409" i="40"/>
  <c r="AJ397" i="40"/>
  <c r="AK160" i="40"/>
  <c r="AJ409" i="40"/>
  <c r="AO397" i="40"/>
  <c r="AI335" i="40"/>
  <c r="AH22" i="40"/>
  <c r="AO275" i="40"/>
  <c r="AI464" i="40"/>
  <c r="AJ465" i="40"/>
  <c r="AO45" i="43"/>
  <c r="AG275" i="40"/>
  <c r="AF275" i="40"/>
  <c r="AJ275" i="40"/>
  <c r="AK45" i="43"/>
  <c r="AJ251" i="40"/>
  <c r="AK275" i="40"/>
  <c r="AH464" i="40"/>
  <c r="AO188" i="40"/>
  <c r="AH45" i="43"/>
  <c r="AG464" i="40"/>
  <c r="AI514" i="40"/>
  <c r="AH514" i="40"/>
  <c r="AO299" i="40"/>
  <c r="AJ263" i="40"/>
  <c r="AK464" i="40"/>
  <c r="AH194" i="40"/>
  <c r="AI251" i="40"/>
  <c r="AG45" i="43"/>
  <c r="AK251" i="40"/>
  <c r="AG194" i="40"/>
  <c r="AF251" i="40"/>
  <c r="AH213" i="40"/>
  <c r="AF33" i="40"/>
  <c r="AH297" i="40"/>
  <c r="AK304" i="40"/>
  <c r="AG386" i="40"/>
  <c r="AG213" i="40"/>
  <c r="AK213" i="40"/>
  <c r="AI386" i="40"/>
  <c r="AG127" i="40"/>
  <c r="AF297" i="40"/>
  <c r="AO393" i="40"/>
  <c r="AJ393" i="40"/>
  <c r="AF213" i="40"/>
  <c r="AJ213" i="40"/>
  <c r="AJ386" i="40"/>
  <c r="AN59" i="43"/>
  <c r="AF188" i="40"/>
  <c r="AK337" i="40"/>
  <c r="AG484" i="40"/>
  <c r="AJ381" i="40"/>
  <c r="AJ470" i="40"/>
  <c r="AO33" i="40"/>
  <c r="AJ477" i="40"/>
  <c r="AH33" i="40"/>
  <c r="AO465" i="40"/>
  <c r="AJ297" i="40"/>
  <c r="AH66" i="40"/>
  <c r="AK263" i="40"/>
  <c r="AK299" i="40"/>
  <c r="AJ45" i="43"/>
  <c r="AK297" i="40"/>
  <c r="AG66" i="40"/>
  <c r="AJ299" i="40"/>
  <c r="AK465" i="40"/>
  <c r="AG297" i="40"/>
  <c r="AF66" i="40"/>
  <c r="AJ188" i="40"/>
  <c r="AJ514" i="40"/>
  <c r="AH263" i="40"/>
  <c r="AG299" i="40"/>
  <c r="AI45" i="43"/>
  <c r="AG514" i="40"/>
  <c r="AH275" i="40"/>
  <c r="AI194" i="40"/>
  <c r="AO514" i="40"/>
  <c r="AI299" i="40"/>
  <c r="AG337" i="40"/>
  <c r="AG470" i="40"/>
  <c r="AO484" i="40"/>
  <c r="AI322" i="40"/>
  <c r="AK381" i="40"/>
  <c r="AJ22" i="40"/>
  <c r="AG143" i="40"/>
  <c r="AH322" i="40"/>
  <c r="AF322" i="40"/>
  <c r="AK22" i="40"/>
  <c r="AJ304" i="40"/>
  <c r="AF484" i="40"/>
  <c r="AL484" i="40" s="1"/>
  <c r="AF143" i="40"/>
  <c r="AI127" i="40"/>
  <c r="AG322" i="40"/>
  <c r="AJ143" i="40"/>
  <c r="AO322" i="40"/>
  <c r="AI484" i="40"/>
  <c r="AJ127" i="40"/>
  <c r="AO66" i="40"/>
  <c r="AI477" i="40"/>
  <c r="AI143" i="40"/>
  <c r="AH477" i="40"/>
  <c r="AF514" i="40"/>
  <c r="AL514" i="40" s="1"/>
  <c r="AO263" i="40"/>
  <c r="AI126" i="40"/>
  <c r="AH299" i="40"/>
  <c r="AI30" i="40"/>
  <c r="AH470" i="40"/>
  <c r="AI59" i="43"/>
  <c r="AO51" i="43"/>
  <c r="AG51" i="43"/>
  <c r="AK310" i="40"/>
  <c r="AH30" i="40"/>
  <c r="AG393" i="40"/>
  <c r="AI33" i="40"/>
  <c r="AO304" i="40"/>
  <c r="AG33" i="40"/>
  <c r="AI297" i="40"/>
  <c r="AF386" i="40"/>
  <c r="AL386" i="40" s="1"/>
  <c r="AI66" i="40"/>
  <c r="AK393" i="40"/>
  <c r="AJ33" i="40"/>
  <c r="AG263" i="40"/>
  <c r="AG304" i="40"/>
  <c r="AO337" i="40"/>
  <c r="AK66" i="40"/>
  <c r="AH215" i="40"/>
  <c r="AI213" i="40"/>
  <c r="AI470" i="40"/>
  <c r="AH190" i="40"/>
  <c r="AG477" i="40"/>
  <c r="AG407" i="40"/>
  <c r="AF227" i="40"/>
  <c r="AI263" i="40"/>
  <c r="AH59" i="43"/>
  <c r="AJ125" i="40"/>
  <c r="AK254" i="40"/>
  <c r="AF304" i="40"/>
  <c r="AF127" i="40"/>
  <c r="AJ144" i="40"/>
  <c r="AH450" i="40"/>
  <c r="AF393" i="40"/>
  <c r="AL393" i="40" s="1"/>
  <c r="AK190" i="40"/>
  <c r="AI407" i="40"/>
  <c r="AF407" i="40"/>
  <c r="AL407" i="40" s="1"/>
  <c r="AO477" i="40"/>
  <c r="AK59" i="43"/>
  <c r="AF400" i="40"/>
  <c r="AL400" i="40" s="1"/>
  <c r="AI144" i="40"/>
  <c r="AG125" i="40"/>
  <c r="AJ30" i="40"/>
  <c r="AF47" i="43"/>
  <c r="AL47" i="43" s="1"/>
  <c r="AN47" i="43" s="1"/>
  <c r="AI304" i="40"/>
  <c r="AO407" i="40"/>
  <c r="AO127" i="40"/>
  <c r="AH144" i="40"/>
  <c r="AH386" i="40"/>
  <c r="AJ407" i="40"/>
  <c r="AI393" i="40"/>
  <c r="AI190" i="40"/>
  <c r="AH407" i="40"/>
  <c r="AH227" i="40"/>
  <c r="AF254" i="40"/>
  <c r="AJ51" i="43"/>
  <c r="AF51" i="43"/>
  <c r="AL51" i="43" s="1"/>
  <c r="AM51" i="43" s="1"/>
  <c r="AI271" i="40"/>
  <c r="AF337" i="40"/>
  <c r="AL337" i="40" s="1"/>
  <c r="AK477" i="40"/>
  <c r="AK127" i="40"/>
  <c r="AG144" i="40"/>
  <c r="AO386" i="40"/>
  <c r="AG227" i="40"/>
  <c r="AJ130" i="40"/>
  <c r="AK51" i="43"/>
  <c r="AH51" i="43"/>
  <c r="AG55" i="43"/>
  <c r="AH310" i="40"/>
  <c r="AF55" i="43"/>
  <c r="AL55" i="43" s="1"/>
  <c r="AN55" i="43" s="1"/>
  <c r="AK215" i="40"/>
  <c r="AK126" i="40"/>
  <c r="AO125" i="40"/>
  <c r="AG177" i="40"/>
  <c r="AO398" i="40"/>
  <c r="AK400" i="40"/>
  <c r="AH294" i="40"/>
  <c r="AF177" i="40"/>
  <c r="AH398" i="40"/>
  <c r="AJ400" i="40"/>
  <c r="AI337" i="40"/>
  <c r="AG398" i="40"/>
  <c r="AF470" i="40"/>
  <c r="AL470" i="40" s="1"/>
  <c r="AG258" i="40"/>
  <c r="AO294" i="40"/>
  <c r="AI227" i="40"/>
  <c r="AO215" i="40"/>
  <c r="AF294" i="40"/>
  <c r="AJ382" i="40"/>
  <c r="AK484" i="40"/>
  <c r="AF30" i="40"/>
  <c r="AJ294" i="40"/>
  <c r="AO144" i="40"/>
  <c r="AF258" i="40"/>
  <c r="AH337" i="40"/>
  <c r="AF398" i="40"/>
  <c r="AL398" i="40" s="1"/>
  <c r="AO258" i="40"/>
  <c r="AJ97" i="40"/>
  <c r="AO227" i="40"/>
  <c r="AH79" i="40"/>
  <c r="AH254" i="40"/>
  <c r="AK429" i="40"/>
  <c r="AF382" i="40"/>
  <c r="AL382" i="40" s="1"/>
  <c r="AH484" i="40"/>
  <c r="AI100" i="40"/>
  <c r="AG30" i="40"/>
  <c r="AJ47" i="43"/>
  <c r="AO47" i="43"/>
  <c r="AG254" i="40"/>
  <c r="AH177" i="40"/>
  <c r="AK79" i="40"/>
  <c r="AJ215" i="40"/>
  <c r="AK382" i="40"/>
  <c r="AG324" i="40"/>
  <c r="AO55" i="43"/>
  <c r="AO130" i="40"/>
  <c r="AJ126" i="40"/>
  <c r="AK144" i="40"/>
  <c r="AO470" i="40"/>
  <c r="AH258" i="40"/>
  <c r="AK258" i="40"/>
  <c r="AJ227" i="40"/>
  <c r="AO190" i="40"/>
  <c r="AO429" i="40"/>
  <c r="AI381" i="40"/>
  <c r="AK324" i="40"/>
  <c r="AH271" i="40"/>
  <c r="AO30" i="40"/>
  <c r="AG59" i="43"/>
  <c r="AG47" i="43"/>
  <c r="AG294" i="40"/>
  <c r="AO97" i="40"/>
  <c r="AI450" i="40"/>
  <c r="AJ190" i="40"/>
  <c r="AI258" i="40"/>
  <c r="AF190" i="40"/>
  <c r="AK125" i="40"/>
  <c r="AO254" i="40"/>
  <c r="AH381" i="40"/>
  <c r="AH126" i="40"/>
  <c r="AJ100" i="40"/>
  <c r="AH324" i="40"/>
  <c r="AJ59" i="43"/>
  <c r="AO59" i="43"/>
  <c r="AK177" i="40"/>
  <c r="AK271" i="40"/>
  <c r="AH465" i="40"/>
  <c r="AI400" i="40"/>
  <c r="AK450" i="40"/>
  <c r="AJ79" i="40"/>
  <c r="AK97" i="40"/>
  <c r="AF215" i="40"/>
  <c r="AF125" i="40"/>
  <c r="AG429" i="40"/>
  <c r="AI254" i="40"/>
  <c r="AO382" i="40"/>
  <c r="AG381" i="40"/>
  <c r="AF310" i="40"/>
  <c r="AJ324" i="40"/>
  <c r="AK398" i="40"/>
  <c r="AO100" i="40"/>
  <c r="AJ55" i="43"/>
  <c r="AH55" i="43"/>
  <c r="AG130" i="40"/>
  <c r="AI177" i="40"/>
  <c r="AG465" i="40"/>
  <c r="AG126" i="40"/>
  <c r="AH400" i="40"/>
  <c r="AJ450" i="40"/>
  <c r="AO79" i="40"/>
  <c r="AJ194" i="40"/>
  <c r="AG97" i="40"/>
  <c r="AI79" i="40"/>
  <c r="AH125" i="40"/>
  <c r="AH429" i="40"/>
  <c r="AH130" i="40"/>
  <c r="AI382" i="40"/>
  <c r="AG310" i="40"/>
  <c r="AH100" i="40"/>
  <c r="AJ398" i="40"/>
  <c r="AG271" i="40"/>
  <c r="AI324" i="40"/>
  <c r="AK47" i="43"/>
  <c r="AH47" i="43"/>
  <c r="AF130" i="40"/>
  <c r="AJ177" i="40"/>
  <c r="AF465" i="40"/>
  <c r="AL465" i="40" s="1"/>
  <c r="AF450" i="40"/>
  <c r="AL450" i="40" s="1"/>
  <c r="AG400" i="40"/>
  <c r="AO450" i="40"/>
  <c r="AF194" i="40"/>
  <c r="AG188" i="40"/>
  <c r="AO194" i="40"/>
  <c r="AF97" i="40"/>
  <c r="AO126" i="40"/>
  <c r="AF79" i="40"/>
  <c r="AJ429" i="40"/>
  <c r="AI130" i="40"/>
  <c r="AG382" i="40"/>
  <c r="AJ310" i="40"/>
  <c r="AK100" i="40"/>
  <c r="AO271" i="40"/>
  <c r="AG100" i="40"/>
  <c r="AF271" i="40"/>
  <c r="AG215" i="40"/>
  <c r="AK294" i="40"/>
  <c r="AI188" i="40"/>
  <c r="AH97" i="40"/>
  <c r="AH188" i="40"/>
  <c r="AF429" i="40"/>
  <c r="AL429" i="40" s="1"/>
  <c r="AO381" i="40"/>
  <c r="AI310" i="40"/>
  <c r="AF324" i="40"/>
  <c r="AI55" i="43"/>
  <c r="M17" i="46"/>
  <c r="Q19" i="46"/>
  <c r="M42" i="46"/>
  <c r="H54" i="36" s="1"/>
  <c r="Q43" i="46"/>
  <c r="J54" i="36" s="1" a="1"/>
  <c r="J54" i="36" s="1"/>
  <c r="M128" i="45"/>
  <c r="Q134" i="45"/>
  <c r="J51" i="36" s="1" a="1"/>
  <c r="J51" i="36" s="1"/>
  <c r="AM59" i="43"/>
  <c r="AN226" i="45"/>
  <c r="AM226" i="45"/>
  <c r="AN132" i="45"/>
  <c r="AM132" i="45"/>
  <c r="AN169" i="45"/>
  <c r="AM169" i="45"/>
  <c r="AN151" i="45"/>
  <c r="AM151" i="45"/>
  <c r="AM182" i="45"/>
  <c r="AN182" i="45"/>
  <c r="AM141" i="45"/>
  <c r="AN141" i="45"/>
  <c r="AN203" i="45"/>
  <c r="AM203" i="45"/>
  <c r="AN225" i="45"/>
  <c r="AM225" i="45"/>
  <c r="AN131" i="45"/>
  <c r="AM131" i="45"/>
  <c r="AN155" i="45"/>
  <c r="AM155" i="45"/>
  <c r="AM136" i="45"/>
  <c r="AN136" i="45"/>
  <c r="AM143" i="45"/>
  <c r="AN143" i="45"/>
  <c r="AN238" i="45"/>
  <c r="AM238" i="45"/>
  <c r="AM211" i="45"/>
  <c r="AN211" i="45"/>
  <c r="AN244" i="45"/>
  <c r="AM244" i="45"/>
  <c r="AM154" i="45"/>
  <c r="AN154" i="45"/>
  <c r="AN199" i="45"/>
  <c r="AM199" i="45"/>
  <c r="AN166" i="45"/>
  <c r="AM166" i="45"/>
  <c r="AM189" i="45"/>
  <c r="AN189" i="45"/>
  <c r="AM242" i="45"/>
  <c r="AN242" i="45"/>
  <c r="AN192" i="45"/>
  <c r="AM192" i="45"/>
  <c r="AN188" i="45"/>
  <c r="AM188" i="45"/>
  <c r="AM187" i="45"/>
  <c r="AN187" i="45"/>
  <c r="AN200" i="45"/>
  <c r="AM200" i="45"/>
  <c r="AM210" i="45"/>
  <c r="AN210" i="45"/>
  <c r="AN220" i="45"/>
  <c r="AM220" i="45"/>
  <c r="AN233" i="45"/>
  <c r="AM233" i="45"/>
  <c r="AM243" i="45"/>
  <c r="AN243" i="45"/>
  <c r="AM140" i="45"/>
  <c r="AN140" i="45"/>
  <c r="AM191" i="45"/>
  <c r="AN191" i="45"/>
  <c r="AM222" i="45"/>
  <c r="AN222" i="45"/>
  <c r="AN158" i="45"/>
  <c r="AM158" i="45"/>
  <c r="AM245" i="45"/>
  <c r="AN245" i="45"/>
  <c r="AN181" i="45"/>
  <c r="AM181" i="45"/>
  <c r="AM139" i="45"/>
  <c r="AN139" i="45"/>
  <c r="AN177" i="45"/>
  <c r="AM177" i="45"/>
  <c r="AN176" i="45"/>
  <c r="AM176" i="45"/>
  <c r="AN186" i="45"/>
  <c r="AM186" i="45"/>
  <c r="AN196" i="45"/>
  <c r="AM196" i="45"/>
  <c r="AM209" i="45"/>
  <c r="AN209" i="45"/>
  <c r="AN219" i="45"/>
  <c r="AM219" i="45"/>
  <c r="AN232" i="45"/>
  <c r="AM232" i="45"/>
  <c r="AM247" i="45"/>
  <c r="AN247" i="45"/>
  <c r="AN183" i="45"/>
  <c r="AM183" i="45"/>
  <c r="AN214" i="45"/>
  <c r="AM214" i="45"/>
  <c r="AN150" i="45"/>
  <c r="AM150" i="45"/>
  <c r="AM237" i="45"/>
  <c r="AN237" i="45"/>
  <c r="AN173" i="45"/>
  <c r="AM173" i="45"/>
  <c r="AN228" i="45"/>
  <c r="AM228" i="45"/>
  <c r="AM178" i="45"/>
  <c r="AN178" i="45"/>
  <c r="AM163" i="45"/>
  <c r="AN163" i="45"/>
  <c r="AN162" i="45"/>
  <c r="AM162" i="45"/>
  <c r="AM172" i="45"/>
  <c r="AN172" i="45"/>
  <c r="AM185" i="45"/>
  <c r="AN185" i="45"/>
  <c r="AN195" i="45"/>
  <c r="AM195" i="45"/>
  <c r="AM208" i="45"/>
  <c r="AN208" i="45"/>
  <c r="AM218" i="45"/>
  <c r="AN218" i="45"/>
  <c r="AM239" i="45"/>
  <c r="AN239" i="45"/>
  <c r="AM175" i="45"/>
  <c r="AN175" i="45"/>
  <c r="AN206" i="45"/>
  <c r="AM206" i="45"/>
  <c r="AN142" i="45"/>
  <c r="AM142" i="45"/>
  <c r="AM229" i="45"/>
  <c r="AN229" i="45"/>
  <c r="AM165" i="45"/>
  <c r="AN165" i="45"/>
  <c r="AM227" i="45"/>
  <c r="AN227" i="45"/>
  <c r="AN236" i="45"/>
  <c r="AM236" i="45"/>
  <c r="AM156" i="45"/>
  <c r="AN156" i="45"/>
  <c r="AM179" i="45"/>
  <c r="AN179" i="45"/>
  <c r="AN215" i="45"/>
  <c r="AM215" i="45"/>
  <c r="AN246" i="45"/>
  <c r="AM246" i="45"/>
  <c r="AM205" i="45"/>
  <c r="AN205" i="45"/>
  <c r="AM212" i="45"/>
  <c r="AN212" i="45"/>
  <c r="AN248" i="45"/>
  <c r="AM248" i="45"/>
  <c r="AM168" i="45"/>
  <c r="AN168" i="45"/>
  <c r="AM207" i="45"/>
  <c r="AN207" i="45"/>
  <c r="AN174" i="45"/>
  <c r="AM174" i="45"/>
  <c r="AM133" i="45"/>
  <c r="AN133" i="45"/>
  <c r="AM153" i="45"/>
  <c r="AN153" i="45"/>
  <c r="AN202" i="45"/>
  <c r="AM202" i="45"/>
  <c r="AN224" i="45"/>
  <c r="AM224" i="45"/>
  <c r="AN130" i="45"/>
  <c r="AM130" i="45"/>
  <c r="AM135" i="45"/>
  <c r="AN135" i="45"/>
  <c r="AM152" i="45"/>
  <c r="AN152" i="45"/>
  <c r="AM148" i="45"/>
  <c r="AN148" i="45"/>
  <c r="AM161" i="45"/>
  <c r="AN161" i="45"/>
  <c r="AM171" i="45"/>
  <c r="AN171" i="45"/>
  <c r="AM184" i="45"/>
  <c r="AN184" i="45"/>
  <c r="AN194" i="45"/>
  <c r="AM194" i="45"/>
  <c r="AN204" i="45"/>
  <c r="AM204" i="45"/>
  <c r="AN231" i="45"/>
  <c r="AM231" i="45"/>
  <c r="AN167" i="45"/>
  <c r="AM167" i="45"/>
  <c r="AN198" i="45"/>
  <c r="AM198" i="45"/>
  <c r="AM221" i="45"/>
  <c r="AN221" i="45"/>
  <c r="AM157" i="45"/>
  <c r="AN157" i="45"/>
  <c r="AN146" i="45"/>
  <c r="AM146" i="45"/>
  <c r="AN216" i="45"/>
  <c r="AM216" i="45"/>
  <c r="AM235" i="45"/>
  <c r="AN235" i="45"/>
  <c r="AM145" i="45"/>
  <c r="AN145" i="45"/>
  <c r="AM197" i="45"/>
  <c r="AN197" i="45"/>
  <c r="AM201" i="45"/>
  <c r="AN201" i="45"/>
  <c r="AN234" i="45"/>
  <c r="AM234" i="45"/>
  <c r="AN144" i="45"/>
  <c r="AM144" i="45"/>
  <c r="AN230" i="45"/>
  <c r="AM230" i="45"/>
  <c r="AM217" i="45"/>
  <c r="AN217" i="45"/>
  <c r="AM164" i="45"/>
  <c r="AN164" i="45"/>
  <c r="AM241" i="45"/>
  <c r="AN241" i="45"/>
  <c r="AN138" i="45"/>
  <c r="AM138" i="45"/>
  <c r="AN240" i="45"/>
  <c r="AM240" i="45"/>
  <c r="AM137" i="45"/>
  <c r="AN137" i="45"/>
  <c r="AN147" i="45"/>
  <c r="AM147" i="45"/>
  <c r="AN160" i="45"/>
  <c r="AM160" i="45"/>
  <c r="AM170" i="45"/>
  <c r="AN170" i="45"/>
  <c r="AN180" i="45"/>
  <c r="AM180" i="45"/>
  <c r="AM193" i="45"/>
  <c r="AN193" i="45"/>
  <c r="AM223" i="45"/>
  <c r="AN223" i="45"/>
  <c r="AM159" i="45"/>
  <c r="AN159" i="45"/>
  <c r="AN190" i="45"/>
  <c r="AM190" i="45"/>
  <c r="AM213" i="45"/>
  <c r="AN213" i="45"/>
  <c r="AM149" i="45"/>
  <c r="AN149" i="45"/>
  <c r="AI47" i="44"/>
  <c r="AK59" i="44"/>
  <c r="AI59" i="44"/>
  <c r="AJ47" i="44"/>
  <c r="AG59" i="44"/>
  <c r="AO59" i="44"/>
  <c r="AH59" i="44"/>
  <c r="AF59" i="44"/>
  <c r="AL59" i="44" s="1"/>
  <c r="AH47" i="44"/>
  <c r="AG47" i="44"/>
  <c r="AF47" i="44"/>
  <c r="AL47" i="44" s="1"/>
  <c r="AO47" i="44"/>
  <c r="AJ29" i="43"/>
  <c r="AH435" i="40"/>
  <c r="AH265" i="40"/>
  <c r="AO267" i="40"/>
  <c r="AI298" i="40"/>
  <c r="AG321" i="40"/>
  <c r="AH244" i="40"/>
  <c r="AH234" i="40"/>
  <c r="AG399" i="40"/>
  <c r="AH103" i="40"/>
  <c r="AO296" i="40"/>
  <c r="AF291" i="40"/>
  <c r="AK291" i="40"/>
  <c r="AG93" i="40"/>
  <c r="AF93" i="40"/>
  <c r="AJ182" i="40"/>
  <c r="AO350" i="40"/>
  <c r="AF103" i="40"/>
  <c r="AH368" i="40"/>
  <c r="AI350" i="40"/>
  <c r="AI368" i="40"/>
  <c r="AK408" i="40"/>
  <c r="AO223" i="40"/>
  <c r="AF296" i="40"/>
  <c r="AF399" i="40"/>
  <c r="AL399" i="40" s="1"/>
  <c r="AG103" i="40"/>
  <c r="AI234" i="40"/>
  <c r="AJ93" i="40"/>
  <c r="AG291" i="40"/>
  <c r="AK150" i="40"/>
  <c r="AF84" i="40"/>
  <c r="AO408" i="40"/>
  <c r="AH493" i="40"/>
  <c r="AH201" i="40"/>
  <c r="AG234" i="40"/>
  <c r="AI93" i="40"/>
  <c r="AG182" i="40"/>
  <c r="AH347" i="40"/>
  <c r="AF408" i="40"/>
  <c r="AL408" i="40" s="1"/>
  <c r="AO481" i="40"/>
  <c r="AO84" i="40"/>
  <c r="AF170" i="40"/>
  <c r="AI84" i="40"/>
  <c r="AF182" i="40"/>
  <c r="AK103" i="40"/>
  <c r="AI296" i="40"/>
  <c r="AJ399" i="40"/>
  <c r="AH291" i="40"/>
  <c r="AO399" i="40"/>
  <c r="AI399" i="40"/>
  <c r="AH296" i="40"/>
  <c r="AH93" i="40"/>
  <c r="AF350" i="40"/>
  <c r="AL350" i="40" s="1"/>
  <c r="AJ493" i="40"/>
  <c r="AO493" i="40"/>
  <c r="AK368" i="40"/>
  <c r="AO201" i="40"/>
  <c r="AK439" i="40"/>
  <c r="AJ368" i="40"/>
  <c r="AI201" i="40"/>
  <c r="AH170" i="40"/>
  <c r="AK44" i="43"/>
  <c r="AH481" i="40"/>
  <c r="AK267" i="40"/>
  <c r="AG347" i="40"/>
  <c r="AI44" i="43"/>
  <c r="AO439" i="40"/>
  <c r="AJ170" i="40"/>
  <c r="AI170" i="40"/>
  <c r="AG106" i="40"/>
  <c r="AG439" i="40"/>
  <c r="AG273" i="40"/>
  <c r="AG481" i="40"/>
  <c r="AJ234" i="40"/>
  <c r="AO150" i="40"/>
  <c r="AK175" i="40"/>
  <c r="AI493" i="40"/>
  <c r="AH223" i="40"/>
  <c r="AK493" i="40"/>
  <c r="AO103" i="40"/>
  <c r="AI267" i="40"/>
  <c r="AF368" i="40"/>
  <c r="AL368" i="40" s="1"/>
  <c r="AJ296" i="40"/>
  <c r="AO93" i="40"/>
  <c r="AI182" i="40"/>
  <c r="AI223" i="40"/>
  <c r="AJ291" i="40"/>
  <c r="AG350" i="40"/>
  <c r="AK363" i="40"/>
  <c r="AJ175" i="40"/>
  <c r="AJ325" i="40"/>
  <c r="AF439" i="40"/>
  <c r="AL439" i="40" s="1"/>
  <c r="AF183" i="40"/>
  <c r="AI446" i="40"/>
  <c r="AK481" i="40"/>
  <c r="AG201" i="40"/>
  <c r="AK84" i="40"/>
  <c r="AJ358" i="40"/>
  <c r="AG170" i="40"/>
  <c r="AJ481" i="40"/>
  <c r="AK399" i="40"/>
  <c r="AF223" i="40"/>
  <c r="AH106" i="40"/>
  <c r="AK212" i="40"/>
  <c r="AI183" i="40"/>
  <c r="AO368" i="40"/>
  <c r="AK296" i="40"/>
  <c r="AJ273" i="40"/>
  <c r="AK182" i="40"/>
  <c r="AO234" i="40"/>
  <c r="AH84" i="40"/>
  <c r="AH267" i="40"/>
  <c r="AI291" i="40"/>
  <c r="AJ350" i="40"/>
  <c r="AG67" i="40"/>
  <c r="AO228" i="40"/>
  <c r="AF367" i="40"/>
  <c r="AL367" i="40" s="1"/>
  <c r="AH363" i="40"/>
  <c r="AG358" i="40"/>
  <c r="AO446" i="40"/>
  <c r="AJ32" i="43"/>
  <c r="AI439" i="40"/>
  <c r="AG175" i="40"/>
  <c r="AO358" i="40"/>
  <c r="AJ42" i="40"/>
  <c r="AO367" i="40"/>
  <c r="AI85" i="40"/>
  <c r="AO34" i="43"/>
  <c r="AH408" i="40"/>
  <c r="AO175" i="40"/>
  <c r="AF267" i="40"/>
  <c r="AI363" i="40"/>
  <c r="AG363" i="40"/>
  <c r="AI34" i="43"/>
  <c r="AG408" i="40"/>
  <c r="AH350" i="40"/>
  <c r="AK234" i="40"/>
  <c r="AK223" i="40"/>
  <c r="AF61" i="40"/>
  <c r="AJ439" i="40"/>
  <c r="AI175" i="40"/>
  <c r="AF201" i="40"/>
  <c r="AO182" i="40"/>
  <c r="AG84" i="40"/>
  <c r="AO363" i="40"/>
  <c r="AH358" i="40"/>
  <c r="AI103" i="40"/>
  <c r="AK369" i="40"/>
  <c r="AJ369" i="40"/>
  <c r="AO321" i="40"/>
  <c r="AO32" i="43"/>
  <c r="AH34" i="43"/>
  <c r="AJ435" i="40"/>
  <c r="AJ38" i="40"/>
  <c r="AJ244" i="40"/>
  <c r="AG29" i="43"/>
  <c r="AK34" i="43"/>
  <c r="AF32" i="43"/>
  <c r="AL32" i="43" s="1"/>
  <c r="AG265" i="40"/>
  <c r="AF38" i="40"/>
  <c r="AG298" i="40"/>
  <c r="AF321" i="40"/>
  <c r="AK244" i="40"/>
  <c r="AI29" i="43"/>
  <c r="AO298" i="40"/>
  <c r="AJ321" i="40"/>
  <c r="AO244" i="40"/>
  <c r="AH29" i="43"/>
  <c r="AF369" i="40"/>
  <c r="AL369" i="40" s="1"/>
  <c r="AH298" i="40"/>
  <c r="AI321" i="40"/>
  <c r="AK29" i="43"/>
  <c r="AG34" i="43"/>
  <c r="AJ298" i="40"/>
  <c r="AK67" i="40"/>
  <c r="AK490" i="40"/>
  <c r="AI244" i="40"/>
  <c r="AI67" i="40"/>
  <c r="AO369" i="40"/>
  <c r="AK265" i="40"/>
  <c r="AG279" i="40"/>
  <c r="AH38" i="40"/>
  <c r="AI435" i="40"/>
  <c r="AF298" i="40"/>
  <c r="AK38" i="40"/>
  <c r="AK133" i="40"/>
  <c r="AJ67" i="40"/>
  <c r="AK42" i="40"/>
  <c r="AO67" i="40"/>
  <c r="AF29" i="43"/>
  <c r="AL29" i="43" s="1"/>
  <c r="AG32" i="43"/>
  <c r="AK32" i="43"/>
  <c r="AG369" i="40"/>
  <c r="AJ265" i="40"/>
  <c r="AI38" i="40"/>
  <c r="AG244" i="40"/>
  <c r="AI265" i="40"/>
  <c r="AF435" i="40"/>
  <c r="AL435" i="40" s="1"/>
  <c r="AK435" i="40"/>
  <c r="AO38" i="40"/>
  <c r="AI369" i="40"/>
  <c r="AO265" i="40"/>
  <c r="AK321" i="40"/>
  <c r="AH183" i="40"/>
  <c r="AO435" i="40"/>
  <c r="AF175" i="40"/>
  <c r="AI273" i="40"/>
  <c r="AH85" i="40"/>
  <c r="AO347" i="40"/>
  <c r="AH67" i="40"/>
  <c r="AF446" i="40"/>
  <c r="AL446" i="40" s="1"/>
  <c r="AF34" i="43"/>
  <c r="AL34" i="43" s="1"/>
  <c r="AH32" i="43"/>
  <c r="AG42" i="40"/>
  <c r="AG150" i="40"/>
  <c r="AH325" i="40"/>
  <c r="AO183" i="40"/>
  <c r="AH76" i="40"/>
  <c r="AI68" i="40"/>
  <c r="AG446" i="40"/>
  <c r="AI76" i="40"/>
  <c r="AG133" i="40"/>
  <c r="AI107" i="40"/>
  <c r="AF490" i="40"/>
  <c r="AL490" i="40" s="1"/>
  <c r="AF76" i="40"/>
  <c r="AI73" i="40"/>
  <c r="AK85" i="40"/>
  <c r="AO76" i="40"/>
  <c r="AH68" i="40"/>
  <c r="AG228" i="40"/>
  <c r="AJ347" i="40"/>
  <c r="AF42" i="40"/>
  <c r="AI133" i="40"/>
  <c r="AG490" i="40"/>
  <c r="AJ363" i="40"/>
  <c r="AJ61" i="40"/>
  <c r="AH367" i="40"/>
  <c r="AO273" i="40"/>
  <c r="AI150" i="40"/>
  <c r="AH212" i="40"/>
  <c r="AG212" i="40"/>
  <c r="AO68" i="40"/>
  <c r="AK347" i="40"/>
  <c r="AI92" i="40"/>
  <c r="AG92" i="40"/>
  <c r="AK92" i="40"/>
  <c r="AF92" i="40"/>
  <c r="AO362" i="40"/>
  <c r="AK362" i="40"/>
  <c r="AH362" i="40"/>
  <c r="AJ362" i="40"/>
  <c r="AK443" i="40"/>
  <c r="AJ443" i="40"/>
  <c r="AG443" i="40"/>
  <c r="AI443" i="40"/>
  <c r="AF443" i="40"/>
  <c r="AL443" i="40" s="1"/>
  <c r="AO443" i="40"/>
  <c r="AO102" i="40"/>
  <c r="AH102" i="40"/>
  <c r="AG102" i="40"/>
  <c r="AJ102" i="40"/>
  <c r="AO349" i="40"/>
  <c r="AF349" i="40"/>
  <c r="AL349" i="40" s="1"/>
  <c r="AK349" i="40"/>
  <c r="AO189" i="40"/>
  <c r="AF189" i="40"/>
  <c r="AK189" i="40"/>
  <c r="AG189" i="40"/>
  <c r="AH92" i="40"/>
  <c r="AF362" i="40"/>
  <c r="AL362" i="40" s="1"/>
  <c r="AG349" i="40"/>
  <c r="AJ92" i="40"/>
  <c r="AH432" i="40"/>
  <c r="AI102" i="40"/>
  <c r="AJ189" i="40"/>
  <c r="AF377" i="40"/>
  <c r="AL377" i="40" s="1"/>
  <c r="AG377" i="40"/>
  <c r="AI377" i="40"/>
  <c r="AH377" i="40"/>
  <c r="AJ377" i="40"/>
  <c r="AK377" i="40"/>
  <c r="AK366" i="40"/>
  <c r="AF366" i="40"/>
  <c r="AL366" i="40" s="1"/>
  <c r="AG366" i="40"/>
  <c r="AO366" i="40"/>
  <c r="AI366" i="40"/>
  <c r="AO426" i="40"/>
  <c r="AF426" i="40"/>
  <c r="AL426" i="40" s="1"/>
  <c r="AH426" i="40"/>
  <c r="AI426" i="40"/>
  <c r="AG426" i="40"/>
  <c r="AK426" i="40"/>
  <c r="AK47" i="40"/>
  <c r="AH47" i="40"/>
  <c r="AO47" i="40"/>
  <c r="AF47" i="40"/>
  <c r="AG47" i="40"/>
  <c r="AH195" i="40"/>
  <c r="AK195" i="40"/>
  <c r="AJ195" i="40"/>
  <c r="AI195" i="40"/>
  <c r="AO195" i="40"/>
  <c r="AJ432" i="40"/>
  <c r="AF432" i="40"/>
  <c r="AL432" i="40" s="1"/>
  <c r="AK432" i="40"/>
  <c r="AO432" i="40"/>
  <c r="AF512" i="40"/>
  <c r="AL512" i="40" s="1"/>
  <c r="AK512" i="40"/>
  <c r="AG512" i="40"/>
  <c r="AJ512" i="40"/>
  <c r="AO512" i="40"/>
  <c r="AK405" i="40"/>
  <c r="AG405" i="40"/>
  <c r="AI405" i="40"/>
  <c r="AF405" i="40"/>
  <c r="AL405" i="40" s="1"/>
  <c r="AJ405" i="40"/>
  <c r="AJ47" i="40"/>
  <c r="AH349" i="40"/>
  <c r="AO377" i="40"/>
  <c r="AH405" i="40"/>
  <c r="AI47" i="40"/>
  <c r="AI362" i="40"/>
  <c r="AI432" i="40"/>
  <c r="AG362" i="40"/>
  <c r="AH366" i="40"/>
  <c r="AH189" i="40"/>
  <c r="AH512" i="40"/>
  <c r="AJ349" i="40"/>
  <c r="AH443" i="40"/>
  <c r="AF102" i="40"/>
  <c r="AK102" i="40"/>
  <c r="AG195" i="40"/>
  <c r="AI189" i="40"/>
  <c r="AF73" i="40"/>
  <c r="AI325" i="40"/>
  <c r="AK228" i="40"/>
  <c r="AF325" i="40"/>
  <c r="AO61" i="40"/>
  <c r="AG367" i="40"/>
  <c r="AG85" i="40"/>
  <c r="AK68" i="40"/>
  <c r="AI228" i="40"/>
  <c r="AF212" i="40"/>
  <c r="AF44" i="43"/>
  <c r="AL44" i="43" s="1"/>
  <c r="AN44" i="43" s="1"/>
  <c r="AH73" i="40"/>
  <c r="AG183" i="40"/>
  <c r="AJ228" i="40"/>
  <c r="AJ183" i="40"/>
  <c r="AK279" i="40"/>
  <c r="AF273" i="40"/>
  <c r="AI347" i="40"/>
  <c r="AJ490" i="40"/>
  <c r="AK107" i="40"/>
  <c r="AJ44" i="43"/>
  <c r="AJ408" i="40"/>
  <c r="AF481" i="40"/>
  <c r="AL481" i="40" s="1"/>
  <c r="AG73" i="40"/>
  <c r="AK76" i="40"/>
  <c r="AJ212" i="40"/>
  <c r="AG61" i="40"/>
  <c r="AH279" i="40"/>
  <c r="AF106" i="40"/>
  <c r="AG267" i="40"/>
  <c r="AO106" i="40"/>
  <c r="AO325" i="40"/>
  <c r="AH150" i="40"/>
  <c r="AJ279" i="40"/>
  <c r="AK201" i="40"/>
  <c r="AK273" i="40"/>
  <c r="AF133" i="40"/>
  <c r="AK358" i="40"/>
  <c r="AO107" i="40"/>
  <c r="AI490" i="40"/>
  <c r="AG68" i="40"/>
  <c r="AF228" i="40"/>
  <c r="AJ107" i="40"/>
  <c r="AK170" i="40"/>
  <c r="AF107" i="40"/>
  <c r="AH446" i="40"/>
  <c r="AG44" i="43"/>
  <c r="AH133" i="40"/>
  <c r="AI279" i="40"/>
  <c r="AK61" i="40"/>
  <c r="AJ133" i="40"/>
  <c r="AG76" i="40"/>
  <c r="AK73" i="40"/>
  <c r="AH44" i="43"/>
  <c r="AF85" i="40"/>
  <c r="AJ106" i="40"/>
  <c r="AH61" i="40"/>
  <c r="AF150" i="40"/>
  <c r="AO85" i="40"/>
  <c r="AF358" i="40"/>
  <c r="AL358" i="40" s="1"/>
  <c r="AJ68" i="40"/>
  <c r="AJ73" i="40"/>
  <c r="AO42" i="40"/>
  <c r="AI367" i="40"/>
  <c r="AF493" i="40"/>
  <c r="AL493" i="40" s="1"/>
  <c r="AK106" i="40"/>
  <c r="AK325" i="40"/>
  <c r="AO212" i="40"/>
  <c r="AK367" i="40"/>
  <c r="AO279" i="40"/>
  <c r="AJ446" i="40"/>
  <c r="AI42" i="40"/>
  <c r="AO490" i="40"/>
  <c r="AH107" i="40"/>
  <c r="AG223" i="40"/>
  <c r="AJ33" i="43"/>
  <c r="AI137" i="40"/>
  <c r="AF33" i="43"/>
  <c r="AL33" i="43" s="1"/>
  <c r="AL47" i="46"/>
  <c r="AN47" i="46" s="1"/>
  <c r="AH84" i="44"/>
  <c r="AK119" i="40"/>
  <c r="AJ89" i="40"/>
  <c r="AG305" i="40"/>
  <c r="AO33" i="43"/>
  <c r="AH159" i="40"/>
  <c r="AI360" i="40"/>
  <c r="AH96" i="40"/>
  <c r="AL56" i="46"/>
  <c r="AM56" i="46" s="1"/>
  <c r="AI332" i="40"/>
  <c r="AF159" i="40"/>
  <c r="AF457" i="40"/>
  <c r="AL457" i="40" s="1"/>
  <c r="AO231" i="40"/>
  <c r="AO334" i="40"/>
  <c r="AI455" i="40"/>
  <c r="AO457" i="40"/>
  <c r="AI152" i="40"/>
  <c r="AJ457" i="40"/>
  <c r="AF240" i="40"/>
  <c r="AK231" i="40"/>
  <c r="AL289" i="39"/>
  <c r="AL402" i="39"/>
  <c r="AK373" i="40"/>
  <c r="AO314" i="40"/>
  <c r="AI314" i="40"/>
  <c r="AK374" i="40"/>
  <c r="AO16" i="40"/>
  <c r="AH345" i="40"/>
  <c r="AO456" i="40"/>
  <c r="AO37" i="40"/>
  <c r="AJ412" i="40"/>
  <c r="AF373" i="40"/>
  <c r="AL373" i="40" s="1"/>
  <c r="AG315" i="40"/>
  <c r="AO315" i="40"/>
  <c r="AG286" i="40"/>
  <c r="AI53" i="43"/>
  <c r="AJ16" i="40"/>
  <c r="AG345" i="40"/>
  <c r="AF264" i="40"/>
  <c r="AG332" i="40"/>
  <c r="AK498" i="40"/>
  <c r="AJ508" i="40"/>
  <c r="AF374" i="40"/>
  <c r="AL374" i="40" s="1"/>
  <c r="AK23" i="43"/>
  <c r="AF345" i="40"/>
  <c r="AL345" i="40" s="1"/>
  <c r="AH280" i="40"/>
  <c r="AK340" i="40"/>
  <c r="AI211" i="40"/>
  <c r="AO266" i="40"/>
  <c r="AJ139" i="40"/>
  <c r="AF35" i="43"/>
  <c r="AL35" i="43" s="1"/>
  <c r="AO193" i="40"/>
  <c r="AK314" i="40"/>
  <c r="AO233" i="40"/>
  <c r="AF412" i="40"/>
  <c r="AL412" i="40" s="1"/>
  <c r="AH82" i="40"/>
  <c r="AH388" i="40"/>
  <c r="AI78" i="40"/>
  <c r="AK500" i="40"/>
  <c r="AG257" i="40"/>
  <c r="AG376" i="40"/>
  <c r="AH112" i="40"/>
  <c r="AG456" i="40"/>
  <c r="AL296" i="39"/>
  <c r="AF135" i="40"/>
  <c r="AJ222" i="40"/>
  <c r="AH99" i="40"/>
  <c r="AH203" i="40"/>
  <c r="AJ285" i="40"/>
  <c r="AI58" i="43"/>
  <c r="AO374" i="40"/>
  <c r="AI185" i="40"/>
  <c r="AO26" i="40"/>
  <c r="AO71" i="40"/>
  <c r="AO412" i="40"/>
  <c r="AF233" i="40"/>
  <c r="AH240" i="40"/>
  <c r="AG82" i="40"/>
  <c r="AI500" i="40"/>
  <c r="AF257" i="40"/>
  <c r="AG172" i="40"/>
  <c r="AF376" i="40"/>
  <c r="AL376" i="40" s="1"/>
  <c r="AO388" i="40"/>
  <c r="AH135" i="40"/>
  <c r="AH222" i="40"/>
  <c r="AK99" i="40"/>
  <c r="AO203" i="40"/>
  <c r="AF500" i="40"/>
  <c r="AL500" i="40" s="1"/>
  <c r="AG328" i="40"/>
  <c r="AG314" i="40"/>
  <c r="AL319" i="39"/>
  <c r="AO376" i="40"/>
  <c r="AH266" i="40"/>
  <c r="AG457" i="40"/>
  <c r="AG455" i="40"/>
  <c r="AF172" i="40"/>
  <c r="AI376" i="40"/>
  <c r="AJ37" i="40"/>
  <c r="AK135" i="40"/>
  <c r="AG222" i="40"/>
  <c r="AF35" i="40"/>
  <c r="AG99" i="40"/>
  <c r="AI286" i="40"/>
  <c r="AK476" i="40"/>
  <c r="AK332" i="40"/>
  <c r="AJ491" i="40"/>
  <c r="AH491" i="40"/>
  <c r="AI311" i="40"/>
  <c r="AG311" i="40"/>
  <c r="AJ311" i="40"/>
  <c r="AF117" i="40"/>
  <c r="AJ117" i="40"/>
  <c r="AH232" i="40"/>
  <c r="AK232" i="40"/>
  <c r="AG232" i="40"/>
  <c r="AG277" i="40"/>
  <c r="AH277" i="40"/>
  <c r="AO277" i="40"/>
  <c r="AK378" i="40"/>
  <c r="AO378" i="40"/>
  <c r="AG378" i="40"/>
  <c r="AF378" i="40"/>
  <c r="AL378" i="40" s="1"/>
  <c r="AH378" i="40"/>
  <c r="AJ128" i="40"/>
  <c r="AH128" i="40"/>
  <c r="AI128" i="40"/>
  <c r="AG128" i="40"/>
  <c r="AO104" i="40"/>
  <c r="AI104" i="40"/>
  <c r="AH104" i="40"/>
  <c r="AH167" i="40"/>
  <c r="AK167" i="40"/>
  <c r="AI167" i="40"/>
  <c r="AG96" i="40"/>
  <c r="AL145" i="39"/>
  <c r="AG329" i="40"/>
  <c r="AF329" i="40"/>
  <c r="AK242" i="40"/>
  <c r="AO242" i="40"/>
  <c r="AJ242" i="40"/>
  <c r="AF242" i="40"/>
  <c r="AJ361" i="40"/>
  <c r="AI361" i="40"/>
  <c r="AF361" i="40"/>
  <c r="AL361" i="40" s="1"/>
  <c r="AF124" i="40"/>
  <c r="AI124" i="40"/>
  <c r="AH51" i="40"/>
  <c r="AJ51" i="40"/>
  <c r="AO51" i="40"/>
  <c r="AI51" i="40"/>
  <c r="AK69" i="40"/>
  <c r="AF69" i="40"/>
  <c r="AI69" i="40"/>
  <c r="AJ69" i="40"/>
  <c r="AG454" i="40"/>
  <c r="AK454" i="40"/>
  <c r="AF454" i="40"/>
  <c r="AL454" i="40" s="1"/>
  <c r="AH454" i="40"/>
  <c r="AO454" i="40"/>
  <c r="AF384" i="40"/>
  <c r="AL384" i="40" s="1"/>
  <c r="AH384" i="40"/>
  <c r="AK384" i="40"/>
  <c r="AI384" i="40"/>
  <c r="AJ384" i="40"/>
  <c r="AG384" i="40"/>
  <c r="AO449" i="40"/>
  <c r="AJ449" i="40"/>
  <c r="AG151" i="40"/>
  <c r="AH151" i="40"/>
  <c r="AL230" i="39"/>
  <c r="AO326" i="40"/>
  <c r="AG326" i="40"/>
  <c r="AF326" i="40"/>
  <c r="AH448" i="40"/>
  <c r="AF448" i="40"/>
  <c r="AL448" i="40" s="1"/>
  <c r="AJ448" i="40"/>
  <c r="AG75" i="40"/>
  <c r="AO75" i="40"/>
  <c r="AJ141" i="40"/>
  <c r="AF141" i="40"/>
  <c r="AJ344" i="40"/>
  <c r="AI344" i="40"/>
  <c r="AF306" i="40"/>
  <c r="AK306" i="40"/>
  <c r="AG306" i="40"/>
  <c r="AJ379" i="40"/>
  <c r="AH379" i="40"/>
  <c r="AO379" i="40"/>
  <c r="AG379" i="40"/>
  <c r="AI379" i="40"/>
  <c r="AF379" i="40"/>
  <c r="AL379" i="40" s="1"/>
  <c r="AK379" i="40"/>
  <c r="AG276" i="40"/>
  <c r="AI276" i="40"/>
  <c r="AF276" i="40"/>
  <c r="AH276" i="40"/>
  <c r="AJ276" i="40"/>
  <c r="AO276" i="40"/>
  <c r="AH219" i="40"/>
  <c r="AG219" i="40"/>
  <c r="AI219" i="40"/>
  <c r="AO219" i="40"/>
  <c r="AJ219" i="40"/>
  <c r="AJ506" i="40"/>
  <c r="AO506" i="40"/>
  <c r="AH506" i="40"/>
  <c r="AK506" i="40"/>
  <c r="AI506" i="40"/>
  <c r="AF506" i="40"/>
  <c r="AL506" i="40" s="1"/>
  <c r="AO300" i="40"/>
  <c r="AJ300" i="40"/>
  <c r="AK300" i="40"/>
  <c r="AI300" i="40"/>
  <c r="AG300" i="40"/>
  <c r="AH300" i="40"/>
  <c r="AF380" i="40"/>
  <c r="AL380" i="40" s="1"/>
  <c r="AK380" i="40"/>
  <c r="AJ380" i="40"/>
  <c r="AG380" i="40"/>
  <c r="AH380" i="40"/>
  <c r="AI380" i="40"/>
  <c r="AJ259" i="40"/>
  <c r="AK259" i="40"/>
  <c r="AF259" i="40"/>
  <c r="AO259" i="40"/>
  <c r="AG506" i="40"/>
  <c r="AJ469" i="40"/>
  <c r="AI510" i="40"/>
  <c r="AK361" i="40"/>
  <c r="AJ442" i="40"/>
  <c r="AG361" i="40"/>
  <c r="AF219" i="40"/>
  <c r="AG119" i="40"/>
  <c r="AF134" i="40"/>
  <c r="AH259" i="40"/>
  <c r="AG351" i="40"/>
  <c r="AI306" i="40"/>
  <c r="AJ306" i="40"/>
  <c r="AL173" i="39"/>
  <c r="AG422" i="40"/>
  <c r="AG259" i="40"/>
  <c r="AH469" i="40"/>
  <c r="AI413" i="40"/>
  <c r="AL404" i="39"/>
  <c r="AH178" i="40"/>
  <c r="AF178" i="40"/>
  <c r="AO511" i="40"/>
  <c r="AK511" i="40"/>
  <c r="AJ461" i="40"/>
  <c r="AG461" i="40"/>
  <c r="AF461" i="40"/>
  <c r="AL461" i="40" s="1"/>
  <c r="AK461" i="40"/>
  <c r="AH461" i="40"/>
  <c r="AI461" i="40"/>
  <c r="AH56" i="43"/>
  <c r="AH316" i="40"/>
  <c r="AJ316" i="40"/>
  <c r="AK501" i="40"/>
  <c r="AF501" i="40"/>
  <c r="AL501" i="40" s="1"/>
  <c r="AO501" i="40"/>
  <c r="AI501" i="40"/>
  <c r="AG501" i="40"/>
  <c r="AJ501" i="40"/>
  <c r="AK305" i="40"/>
  <c r="AO305" i="40"/>
  <c r="AH305" i="40"/>
  <c r="AJ305" i="40"/>
  <c r="AH192" i="40"/>
  <c r="AI192" i="40"/>
  <c r="AK192" i="40"/>
  <c r="AF192" i="40"/>
  <c r="AJ192" i="40"/>
  <c r="AG192" i="40"/>
  <c r="AJ348" i="40"/>
  <c r="AO348" i="40"/>
  <c r="AH348" i="40"/>
  <c r="AI31" i="43"/>
  <c r="AG31" i="43"/>
  <c r="AO31" i="43"/>
  <c r="AK31" i="43"/>
  <c r="AF31" i="43"/>
  <c r="AL31" i="43" s="1"/>
  <c r="AH31" i="43"/>
  <c r="AF442" i="40"/>
  <c r="AL442" i="40" s="1"/>
  <c r="AG442" i="40"/>
  <c r="AO442" i="40"/>
  <c r="AH442" i="40"/>
  <c r="AK216" i="40"/>
  <c r="AJ216" i="40"/>
  <c r="AO216" i="40"/>
  <c r="AH216" i="40"/>
  <c r="AF216" i="40"/>
  <c r="AI216" i="40"/>
  <c r="AG248" i="40"/>
  <c r="AI248" i="40"/>
  <c r="AJ248" i="40"/>
  <c r="AF248" i="40"/>
  <c r="AH248" i="40"/>
  <c r="AO361" i="40"/>
  <c r="AK248" i="40"/>
  <c r="AK124" i="40"/>
  <c r="AH134" i="40"/>
  <c r="AJ454" i="40"/>
  <c r="AF338" i="40"/>
  <c r="AL338" i="40" s="1"/>
  <c r="AK338" i="40"/>
  <c r="AG338" i="40"/>
  <c r="AH338" i="40"/>
  <c r="AI338" i="40"/>
  <c r="AF32" i="40"/>
  <c r="AJ32" i="40"/>
  <c r="AK253" i="40"/>
  <c r="AI253" i="40"/>
  <c r="AH346" i="40"/>
  <c r="AJ346" i="40"/>
  <c r="AG375" i="40"/>
  <c r="AH375" i="40"/>
  <c r="AH61" i="43"/>
  <c r="AI61" i="43"/>
  <c r="AG137" i="40"/>
  <c r="AJ137" i="40"/>
  <c r="AH445" i="40"/>
  <c r="AJ445" i="40"/>
  <c r="AI445" i="40"/>
  <c r="AK445" i="40"/>
  <c r="AF445" i="40"/>
  <c r="AL445" i="40" s="1"/>
  <c r="AO445" i="40"/>
  <c r="AK262" i="40"/>
  <c r="AO262" i="40"/>
  <c r="AJ262" i="40"/>
  <c r="AG262" i="40"/>
  <c r="AF262" i="40"/>
  <c r="AH262" i="40"/>
  <c r="AI262" i="40"/>
  <c r="AK89" i="40"/>
  <c r="AF89" i="40"/>
  <c r="AO89" i="40"/>
  <c r="AH89" i="40"/>
  <c r="AG89" i="40"/>
  <c r="AO115" i="40"/>
  <c r="AK115" i="40"/>
  <c r="AF115" i="40"/>
  <c r="AI115" i="40"/>
  <c r="AG115" i="40"/>
  <c r="AJ119" i="40"/>
  <c r="AO119" i="40"/>
  <c r="AF119" i="40"/>
  <c r="AH119" i="40"/>
  <c r="AJ115" i="40"/>
  <c r="AH361" i="40"/>
  <c r="AK128" i="40"/>
  <c r="AO137" i="40"/>
  <c r="AH329" i="40"/>
  <c r="AG253" i="40"/>
  <c r="AI454" i="40"/>
  <c r="AJ134" i="40"/>
  <c r="AI259" i="40"/>
  <c r="AO380" i="40"/>
  <c r="AJ375" i="40"/>
  <c r="AI511" i="40"/>
  <c r="AI442" i="40"/>
  <c r="AF137" i="40"/>
  <c r="AH137" i="40"/>
  <c r="AG167" i="40"/>
  <c r="AG216" i="40"/>
  <c r="AK96" i="40"/>
  <c r="AH306" i="40"/>
  <c r="AI305" i="40"/>
  <c r="AH242" i="40"/>
  <c r="AK469" i="40"/>
  <c r="AI49" i="43"/>
  <c r="AO49" i="43"/>
  <c r="AG49" i="43"/>
  <c r="AK33" i="43"/>
  <c r="AI35" i="43"/>
  <c r="AG35" i="43"/>
  <c r="AO23" i="43"/>
  <c r="AJ23" i="43"/>
  <c r="AH23" i="43"/>
  <c r="AI23" i="43"/>
  <c r="AK35" i="43"/>
  <c r="AG33" i="43"/>
  <c r="AK49" i="43"/>
  <c r="AO35" i="43"/>
  <c r="AF23" i="43"/>
  <c r="AJ35" i="43"/>
  <c r="AI33" i="43"/>
  <c r="AF49" i="43"/>
  <c r="AL49" i="43" s="1"/>
  <c r="AM49" i="43" s="1"/>
  <c r="AH49" i="43"/>
  <c r="AF226" i="40"/>
  <c r="AF53" i="43"/>
  <c r="AL53" i="43" s="1"/>
  <c r="AN53" i="43" s="1"/>
  <c r="AO289" i="40"/>
  <c r="AK289" i="40"/>
  <c r="AK111" i="40"/>
  <c r="AJ198" i="40"/>
  <c r="AI77" i="40"/>
  <c r="AJ172" i="40"/>
  <c r="AI46" i="40"/>
  <c r="AF90" i="40"/>
  <c r="AI217" i="40"/>
  <c r="AK233" i="40"/>
  <c r="AH411" i="40"/>
  <c r="AF50" i="40"/>
  <c r="AJ142" i="40"/>
  <c r="AI264" i="40"/>
  <c r="AO34" i="40"/>
  <c r="AH468" i="40"/>
  <c r="AK331" i="40"/>
  <c r="AF203" i="40"/>
  <c r="AG46" i="40"/>
  <c r="AJ111" i="40"/>
  <c r="AH50" i="40"/>
  <c r="AI174" i="40"/>
  <c r="AJ63" i="40"/>
  <c r="AJ82" i="40"/>
  <c r="AG333" i="40"/>
  <c r="AJ328" i="40"/>
  <c r="AI50" i="40"/>
  <c r="AO78" i="40"/>
  <c r="AK90" i="40"/>
  <c r="AF411" i="40"/>
  <c r="AL411" i="40" s="1"/>
  <c r="AJ233" i="40"/>
  <c r="AK468" i="40"/>
  <c r="AI331" i="40"/>
  <c r="AK365" i="40"/>
  <c r="AG179" i="40"/>
  <c r="AI70" i="40"/>
  <c r="AF63" i="40"/>
  <c r="AO373" i="40"/>
  <c r="AJ162" i="40"/>
  <c r="AH333" i="40"/>
  <c r="AH457" i="40"/>
  <c r="AH314" i="40"/>
  <c r="AK16" i="40"/>
  <c r="AI345" i="40"/>
  <c r="AI280" i="40"/>
  <c r="AO226" i="40"/>
  <c r="AO340" i="40"/>
  <c r="AF331" i="40"/>
  <c r="AO323" i="40"/>
  <c r="AK376" i="40"/>
  <c r="AI179" i="40"/>
  <c r="AL304" i="39"/>
  <c r="AJ135" i="40"/>
  <c r="AJ221" i="40"/>
  <c r="AG165" i="40"/>
  <c r="AJ225" i="40"/>
  <c r="AK225" i="40"/>
  <c r="AH416" i="40"/>
  <c r="AG416" i="40"/>
  <c r="AK416" i="40"/>
  <c r="AH503" i="40"/>
  <c r="AI503" i="40"/>
  <c r="AO503" i="40"/>
  <c r="AG402" i="40"/>
  <c r="AO402" i="40"/>
  <c r="AF402" i="40"/>
  <c r="AL402" i="40" s="1"/>
  <c r="AJ402" i="40"/>
  <c r="AJ235" i="40"/>
  <c r="AG235" i="40"/>
  <c r="AK235" i="40"/>
  <c r="AF94" i="40"/>
  <c r="AO94" i="40"/>
  <c r="AH436" i="40"/>
  <c r="AJ122" i="40"/>
  <c r="AL318" i="39"/>
  <c r="AF416" i="40"/>
  <c r="AL416" i="40" s="1"/>
  <c r="AH417" i="40"/>
  <c r="AK417" i="40"/>
  <c r="AO417" i="40"/>
  <c r="AO187" i="40"/>
  <c r="AF187" i="40"/>
  <c r="AG187" i="40"/>
  <c r="AK404" i="40"/>
  <c r="AG404" i="40"/>
  <c r="AF404" i="40"/>
  <c r="AL404" i="40" s="1"/>
  <c r="AI404" i="40"/>
  <c r="AG49" i="40"/>
  <c r="AI49" i="40"/>
  <c r="AF49" i="40"/>
  <c r="AJ49" i="40"/>
  <c r="AK488" i="40"/>
  <c r="AJ488" i="40"/>
  <c r="AL417" i="39"/>
  <c r="AL124" i="39"/>
  <c r="AL104" i="39"/>
  <c r="AL112" i="39"/>
  <c r="AG155" i="40"/>
  <c r="AF155" i="40"/>
  <c r="AI155" i="40"/>
  <c r="AG57" i="40"/>
  <c r="AO57" i="40"/>
  <c r="AH57" i="40"/>
  <c r="AO410" i="40"/>
  <c r="AF410" i="40"/>
  <c r="AL410" i="40" s="1"/>
  <c r="AG497" i="40"/>
  <c r="AI497" i="40"/>
  <c r="AO497" i="40"/>
  <c r="AH497" i="40"/>
  <c r="AK496" i="40"/>
  <c r="AI496" i="40"/>
  <c r="AG496" i="40"/>
  <c r="AH496" i="40"/>
  <c r="AF460" i="40"/>
  <c r="AL460" i="40" s="1"/>
  <c r="AJ460" i="40"/>
  <c r="AI21" i="40"/>
  <c r="AJ21" i="40"/>
  <c r="AG438" i="40"/>
  <c r="AJ438" i="40"/>
  <c r="AJ287" i="40"/>
  <c r="AF287" i="40"/>
  <c r="AG287" i="40"/>
  <c r="AH287" i="40"/>
  <c r="AO287" i="40"/>
  <c r="AK268" i="40"/>
  <c r="AF268" i="40"/>
  <c r="AI478" i="40"/>
  <c r="AF478" i="40"/>
  <c r="AL478" i="40" s="1"/>
  <c r="AK478" i="40"/>
  <c r="AO478" i="40"/>
  <c r="AK302" i="40"/>
  <c r="AG302" i="40"/>
  <c r="AF302" i="40"/>
  <c r="AH302" i="40"/>
  <c r="AI65" i="40"/>
  <c r="AF65" i="40"/>
  <c r="AO123" i="40"/>
  <c r="AF123" i="40"/>
  <c r="AJ451" i="40"/>
  <c r="AK451" i="40"/>
  <c r="AI451" i="40"/>
  <c r="AH238" i="40"/>
  <c r="AK238" i="40"/>
  <c r="AO238" i="40"/>
  <c r="AF238" i="40"/>
  <c r="AJ238" i="40"/>
  <c r="AI238" i="40"/>
  <c r="AG238" i="40"/>
  <c r="AJ370" i="40"/>
  <c r="AK370" i="40"/>
  <c r="AF370" i="40"/>
  <c r="AL370" i="40" s="1"/>
  <c r="AG370" i="40"/>
  <c r="AI452" i="40"/>
  <c r="AO452" i="40"/>
  <c r="AK452" i="40"/>
  <c r="AF452" i="40"/>
  <c r="AL452" i="40" s="1"/>
  <c r="AG452" i="40"/>
  <c r="AG116" i="40"/>
  <c r="AO116" i="40"/>
  <c r="AJ116" i="40"/>
  <c r="AI116" i="40"/>
  <c r="AH116" i="40"/>
  <c r="AK116" i="40"/>
  <c r="AF116" i="40"/>
  <c r="AG359" i="40"/>
  <c r="AH359" i="40"/>
  <c r="AJ359" i="40"/>
  <c r="AO359" i="40"/>
  <c r="AK359" i="40"/>
  <c r="AI359" i="40"/>
  <c r="AH396" i="40"/>
  <c r="AI396" i="40"/>
  <c r="AF396" i="40"/>
  <c r="AL396" i="40" s="1"/>
  <c r="AJ396" i="40"/>
  <c r="AK396" i="40"/>
  <c r="AO396" i="40"/>
  <c r="AG396" i="40"/>
  <c r="AH431" i="40"/>
  <c r="AI431" i="40"/>
  <c r="AJ431" i="40"/>
  <c r="AO431" i="40"/>
  <c r="AK431" i="40"/>
  <c r="AI473" i="40"/>
  <c r="AK473" i="40"/>
  <c r="AO473" i="40"/>
  <c r="AG473" i="40"/>
  <c r="AH473" i="40"/>
  <c r="AF473" i="40"/>
  <c r="AL473" i="40" s="1"/>
  <c r="AK58" i="40"/>
  <c r="AF58" i="40"/>
  <c r="AO58" i="40"/>
  <c r="AG58" i="40"/>
  <c r="AH58" i="40"/>
  <c r="AH88" i="40"/>
  <c r="AO88" i="40"/>
  <c r="AG88" i="40"/>
  <c r="AJ88" i="40"/>
  <c r="AI88" i="40"/>
  <c r="AF88" i="40"/>
  <c r="AK88" i="40"/>
  <c r="AK204" i="40"/>
  <c r="AG204" i="40"/>
  <c r="AO204" i="40"/>
  <c r="AH204" i="40"/>
  <c r="AF204" i="40"/>
  <c r="AI204" i="40"/>
  <c r="AJ383" i="40"/>
  <c r="AH383" i="40"/>
  <c r="AG383" i="40"/>
  <c r="AI383" i="40"/>
  <c r="AF383" i="40"/>
  <c r="AL383" i="40" s="1"/>
  <c r="AO383" i="40"/>
  <c r="AH261" i="40"/>
  <c r="AK261" i="40"/>
  <c r="AO261" i="40"/>
  <c r="AF261" i="40"/>
  <c r="AI513" i="40"/>
  <c r="AJ513" i="40"/>
  <c r="AK513" i="40"/>
  <c r="AO513" i="40"/>
  <c r="AF513" i="40"/>
  <c r="AL513" i="40" s="1"/>
  <c r="AH307" i="40"/>
  <c r="AF307" i="40"/>
  <c r="AG307" i="40"/>
  <c r="AO307" i="40"/>
  <c r="AJ307" i="40"/>
  <c r="AK307" i="40"/>
  <c r="AG431" i="40"/>
  <c r="AG77" i="40"/>
  <c r="AI58" i="40"/>
  <c r="AI307" i="40"/>
  <c r="AO45" i="40"/>
  <c r="AF45" i="40"/>
  <c r="AH45" i="40"/>
  <c r="AK45" i="40"/>
  <c r="AF260" i="40"/>
  <c r="AG260" i="40"/>
  <c r="AJ309" i="40"/>
  <c r="AK309" i="40"/>
  <c r="AK487" i="40"/>
  <c r="AJ487" i="40"/>
  <c r="AH217" i="40"/>
  <c r="AK217" i="40"/>
  <c r="AO217" i="40"/>
  <c r="AO356" i="40"/>
  <c r="AK356" i="40"/>
  <c r="AH113" i="40"/>
  <c r="AJ113" i="40"/>
  <c r="AF113" i="40"/>
  <c r="AI327" i="40"/>
  <c r="AG327" i="40"/>
  <c r="AL400" i="39"/>
  <c r="AL302" i="39"/>
  <c r="AL216" i="39"/>
  <c r="AL439" i="39"/>
  <c r="AL303" i="39"/>
  <c r="AL315" i="39"/>
  <c r="AL396" i="39"/>
  <c r="AL103" i="39"/>
  <c r="AF83" i="40"/>
  <c r="AG83" i="40"/>
  <c r="AH121" i="40"/>
  <c r="AI121" i="40"/>
  <c r="AJ121" i="40"/>
  <c r="AG121" i="40"/>
  <c r="AH474" i="40"/>
  <c r="AI474" i="40"/>
  <c r="AK474" i="40"/>
  <c r="AO27" i="40"/>
  <c r="AH27" i="40"/>
  <c r="AG72" i="40"/>
  <c r="AH72" i="40"/>
  <c r="AF72" i="40"/>
  <c r="AI72" i="40"/>
  <c r="AJ72" i="40"/>
  <c r="AO245" i="40"/>
  <c r="AF245" i="40"/>
  <c r="AG245" i="40"/>
  <c r="AK245" i="40"/>
  <c r="AG502" i="40"/>
  <c r="AO502" i="40"/>
  <c r="AK502" i="40"/>
  <c r="AJ502" i="40"/>
  <c r="AK129" i="40"/>
  <c r="AJ129" i="40"/>
  <c r="AF129" i="40"/>
  <c r="AI129" i="40"/>
  <c r="AH129" i="40"/>
  <c r="AG433" i="40"/>
  <c r="AI433" i="40"/>
  <c r="AH433" i="40"/>
  <c r="AF436" i="40"/>
  <c r="AL436" i="40" s="1"/>
  <c r="AG436" i="40"/>
  <c r="AO436" i="40"/>
  <c r="AH229" i="40"/>
  <c r="AG229" i="40"/>
  <c r="AG131" i="40"/>
  <c r="AH131" i="40"/>
  <c r="AK131" i="40"/>
  <c r="AF131" i="40"/>
  <c r="AI36" i="43"/>
  <c r="AO36" i="43"/>
  <c r="AH36" i="43"/>
  <c r="AK98" i="40"/>
  <c r="AF98" i="40"/>
  <c r="AH98" i="40"/>
  <c r="AI98" i="40"/>
  <c r="AJ173" i="40"/>
  <c r="AF173" i="40"/>
  <c r="AH173" i="40"/>
  <c r="AK364" i="40"/>
  <c r="AI364" i="40"/>
  <c r="AF364" i="40"/>
  <c r="AL364" i="40" s="1"/>
  <c r="AG17" i="40"/>
  <c r="AO17" i="40"/>
  <c r="AF17" i="40"/>
  <c r="AH17" i="40"/>
  <c r="AK17" i="40"/>
  <c r="AI17" i="40"/>
  <c r="AJ17" i="40"/>
  <c r="AG434" i="40"/>
  <c r="AH434" i="40"/>
  <c r="AJ434" i="40"/>
  <c r="AK434" i="40"/>
  <c r="AI434" i="40"/>
  <c r="AO434" i="40"/>
  <c r="AF434" i="40"/>
  <c r="AL434" i="40" s="1"/>
  <c r="AF59" i="40"/>
  <c r="AI59" i="40"/>
  <c r="AO59" i="40"/>
  <c r="AJ59" i="40"/>
  <c r="AK59" i="40"/>
  <c r="AH59" i="40"/>
  <c r="AG206" i="40"/>
  <c r="AJ206" i="40"/>
  <c r="AI206" i="40"/>
  <c r="AF206" i="40"/>
  <c r="AK206" i="40"/>
  <c r="AH206" i="40"/>
  <c r="AJ444" i="40"/>
  <c r="AO444" i="40"/>
  <c r="AF444" i="40"/>
  <c r="AL444" i="40" s="1"/>
  <c r="AH444" i="40"/>
  <c r="AI444" i="40"/>
  <c r="AK444" i="40"/>
  <c r="AG444" i="40"/>
  <c r="AJ80" i="40"/>
  <c r="AI80" i="40"/>
  <c r="AH80" i="40"/>
  <c r="AK80" i="40"/>
  <c r="AO80" i="40"/>
  <c r="AH136" i="40"/>
  <c r="AK136" i="40"/>
  <c r="AF136" i="40"/>
  <c r="AO136" i="40"/>
  <c r="AJ385" i="40"/>
  <c r="AF385" i="40"/>
  <c r="AL385" i="40" s="1"/>
  <c r="AK385" i="40"/>
  <c r="AH385" i="40"/>
  <c r="AI385" i="40"/>
  <c r="AO385" i="40"/>
  <c r="AG385" i="40"/>
  <c r="AI122" i="40"/>
  <c r="AG122" i="40"/>
  <c r="AF122" i="40"/>
  <c r="AO122" i="40"/>
  <c r="AK122" i="40"/>
  <c r="AI168" i="40"/>
  <c r="AG168" i="40"/>
  <c r="AF168" i="40"/>
  <c r="AH168" i="40"/>
  <c r="AK168" i="40"/>
  <c r="AJ168" i="40"/>
  <c r="AK288" i="40"/>
  <c r="AO288" i="40"/>
  <c r="AH288" i="40"/>
  <c r="AF288" i="40"/>
  <c r="AI288" i="40"/>
  <c r="AJ288" i="40"/>
  <c r="AO467" i="40"/>
  <c r="AG467" i="40"/>
  <c r="AI467" i="40"/>
  <c r="AK467" i="40"/>
  <c r="AF467" i="40"/>
  <c r="AL467" i="40" s="1"/>
  <c r="AF395" i="40"/>
  <c r="AL395" i="40" s="1"/>
  <c r="AG395" i="40"/>
  <c r="AH395" i="40"/>
  <c r="AJ395" i="40"/>
  <c r="AK395" i="40"/>
  <c r="AO395" i="40"/>
  <c r="AI157" i="40"/>
  <c r="AF157" i="40"/>
  <c r="AG157" i="40"/>
  <c r="AO157" i="40"/>
  <c r="AJ157" i="40"/>
  <c r="AH157" i="40"/>
  <c r="AK157" i="40"/>
  <c r="AG288" i="40"/>
  <c r="AF431" i="40"/>
  <c r="AL431" i="40" s="1"/>
  <c r="AF497" i="40"/>
  <c r="AL497" i="40" s="1"/>
  <c r="AF80" i="40"/>
  <c r="AG21" i="40"/>
  <c r="AI395" i="40"/>
  <c r="AJ478" i="40"/>
  <c r="AJ136" i="40"/>
  <c r="AG488" i="40"/>
  <c r="AG261" i="40"/>
  <c r="AI261" i="40"/>
  <c r="AF496" i="40"/>
  <c r="AL496" i="40" s="1"/>
  <c r="AO433" i="40"/>
  <c r="AG513" i="40"/>
  <c r="AJ473" i="40"/>
  <c r="AI136" i="40"/>
  <c r="AO168" i="40"/>
  <c r="AJ261" i="40"/>
  <c r="AG59" i="40"/>
  <c r="AF359" i="40"/>
  <c r="AL359" i="40" s="1"/>
  <c r="AJ155" i="40"/>
  <c r="AF433" i="40"/>
  <c r="AL433" i="40" s="1"/>
  <c r="AH513" i="40"/>
  <c r="AI370" i="40"/>
  <c r="AJ452" i="40"/>
  <c r="AJ433" i="40"/>
  <c r="AO370" i="40"/>
  <c r="AO113" i="40"/>
  <c r="AO416" i="40"/>
  <c r="AH467" i="40"/>
  <c r="AG113" i="40"/>
  <c r="AK383" i="40"/>
  <c r="AO206" i="40"/>
  <c r="AG466" i="40"/>
  <c r="AK266" i="40"/>
  <c r="AJ266" i="40"/>
  <c r="AI427" i="40"/>
  <c r="AG427" i="40"/>
  <c r="AJ427" i="40"/>
  <c r="AG53" i="43"/>
  <c r="AO53" i="43"/>
  <c r="AH53" i="43"/>
  <c r="AG420" i="40"/>
  <c r="AF420" i="40"/>
  <c r="AL420" i="40" s="1"/>
  <c r="AH142" i="40"/>
  <c r="AK142" i="40"/>
  <c r="AO142" i="40"/>
  <c r="AO95" i="40"/>
  <c r="AF95" i="40"/>
  <c r="AK95" i="40"/>
  <c r="AI230" i="40"/>
  <c r="AF230" i="40"/>
  <c r="AK230" i="40"/>
  <c r="AO230" i="40"/>
  <c r="AG230" i="40"/>
  <c r="AO355" i="40"/>
  <c r="AK355" i="40"/>
  <c r="AH355" i="40"/>
  <c r="AI355" i="40"/>
  <c r="AG317" i="40"/>
  <c r="AH317" i="40"/>
  <c r="AI317" i="40"/>
  <c r="AK317" i="40"/>
  <c r="AJ317" i="40"/>
  <c r="AO186" i="40"/>
  <c r="AK186" i="40"/>
  <c r="AG241" i="40"/>
  <c r="AJ241" i="40"/>
  <c r="AO372" i="40"/>
  <c r="AH372" i="40"/>
  <c r="AG372" i="40"/>
  <c r="AJ372" i="40"/>
  <c r="AI112" i="40"/>
  <c r="AK112" i="40"/>
  <c r="AO112" i="40"/>
  <c r="AK145" i="40"/>
  <c r="AH145" i="40"/>
  <c r="AO145" i="40"/>
  <c r="AJ145" i="40"/>
  <c r="AG145" i="40"/>
  <c r="AH340" i="40"/>
  <c r="AI226" i="40"/>
  <c r="AH328" i="40"/>
  <c r="AG142" i="40"/>
  <c r="AH35" i="40"/>
  <c r="AF174" i="40"/>
  <c r="AH186" i="40"/>
  <c r="AI46" i="43"/>
  <c r="AO46" i="43"/>
  <c r="AK46" i="43"/>
  <c r="AK330" i="40"/>
  <c r="AJ330" i="40"/>
  <c r="AG330" i="40"/>
  <c r="AI330" i="40"/>
  <c r="AO330" i="40"/>
  <c r="AH476" i="40"/>
  <c r="AF476" i="40"/>
  <c r="AL476" i="40" s="1"/>
  <c r="AI476" i="40"/>
  <c r="AG476" i="40"/>
  <c r="AH179" i="40"/>
  <c r="AJ179" i="40"/>
  <c r="AO200" i="40"/>
  <c r="AG200" i="40"/>
  <c r="AJ200" i="40"/>
  <c r="AI82" i="40"/>
  <c r="AF82" i="40"/>
  <c r="AH152" i="40"/>
  <c r="AG152" i="40"/>
  <c r="AK152" i="40"/>
  <c r="AJ152" i="40"/>
  <c r="AH485" i="40"/>
  <c r="AI485" i="40"/>
  <c r="AK485" i="40"/>
  <c r="AK459" i="40"/>
  <c r="AO459" i="40"/>
  <c r="AF459" i="40"/>
  <c r="AL459" i="40" s="1"/>
  <c r="AJ52" i="43"/>
  <c r="AG52" i="43"/>
  <c r="AF52" i="43"/>
  <c r="AL52" i="43" s="1"/>
  <c r="AM52" i="43" s="1"/>
  <c r="AI52" i="43"/>
  <c r="AH52" i="43"/>
  <c r="AK52" i="43"/>
  <c r="AI334" i="40"/>
  <c r="AH334" i="40"/>
  <c r="AK78" i="40"/>
  <c r="AG78" i="40"/>
  <c r="AG373" i="40"/>
  <c r="AI373" i="40"/>
  <c r="AH373" i="40"/>
  <c r="AI365" i="40"/>
  <c r="AG365" i="40"/>
  <c r="AO365" i="40"/>
  <c r="AO222" i="40"/>
  <c r="AF222" i="40"/>
  <c r="AI315" i="40"/>
  <c r="AF315" i="40"/>
  <c r="AH315" i="40"/>
  <c r="AJ203" i="40"/>
  <c r="AG203" i="40"/>
  <c r="AK203" i="40"/>
  <c r="AO345" i="40"/>
  <c r="AH241" i="40"/>
  <c r="AI340" i="40"/>
  <c r="AI222" i="40"/>
  <c r="AI420" i="40"/>
  <c r="AI266" i="40"/>
  <c r="AG264" i="40"/>
  <c r="AO264" i="40"/>
  <c r="AH114" i="40"/>
  <c r="AG114" i="40"/>
  <c r="AJ114" i="40"/>
  <c r="AO114" i="40"/>
  <c r="AI114" i="40"/>
  <c r="AJ159" i="40"/>
  <c r="AI159" i="40"/>
  <c r="AG159" i="40"/>
  <c r="AK159" i="40"/>
  <c r="AK193" i="40"/>
  <c r="AH193" i="40"/>
  <c r="AK456" i="40"/>
  <c r="AI456" i="40"/>
  <c r="AJ456" i="40"/>
  <c r="AG500" i="40"/>
  <c r="AJ500" i="40"/>
  <c r="AO500" i="40"/>
  <c r="AI357" i="40"/>
  <c r="AO357" i="40"/>
  <c r="AJ357" i="40"/>
  <c r="AF357" i="40"/>
  <c r="AL357" i="40" s="1"/>
  <c r="AI388" i="40"/>
  <c r="AK388" i="40"/>
  <c r="AF286" i="40"/>
  <c r="AJ286" i="40"/>
  <c r="AO286" i="40"/>
  <c r="AH286" i="40"/>
  <c r="AO411" i="40"/>
  <c r="AG411" i="40"/>
  <c r="AG185" i="40"/>
  <c r="AH185" i="40"/>
  <c r="AK185" i="40"/>
  <c r="AO392" i="40"/>
  <c r="AJ392" i="40"/>
  <c r="AG392" i="40"/>
  <c r="AI28" i="40"/>
  <c r="AO28" i="40"/>
  <c r="AJ28" i="40"/>
  <c r="AH28" i="40"/>
  <c r="AO428" i="40"/>
  <c r="AF428" i="40"/>
  <c r="AL428" i="40" s="1"/>
  <c r="AI36" i="40"/>
  <c r="AJ36" i="40"/>
  <c r="AG231" i="40"/>
  <c r="AI231" i="40"/>
  <c r="AF231" i="40"/>
  <c r="AL231" i="40" s="1"/>
  <c r="AH26" i="40"/>
  <c r="AG26" i="40"/>
  <c r="AK26" i="40"/>
  <c r="AF26" i="40"/>
  <c r="AH46" i="40"/>
  <c r="AJ46" i="40"/>
  <c r="AG111" i="40"/>
  <c r="AO111" i="40"/>
  <c r="AH111" i="40"/>
  <c r="AF111" i="40"/>
  <c r="AI328" i="40"/>
  <c r="AF328" i="40"/>
  <c r="AO211" i="40"/>
  <c r="AH211" i="40"/>
  <c r="AJ211" i="40"/>
  <c r="AG211" i="40"/>
  <c r="AK211" i="40"/>
  <c r="AF483" i="40"/>
  <c r="AL483" i="40" s="1"/>
  <c r="AJ483" i="40"/>
  <c r="AK483" i="40"/>
  <c r="AH483" i="40"/>
  <c r="AG108" i="40"/>
  <c r="AF108" i="40"/>
  <c r="AH108" i="40"/>
  <c r="AI108" i="40"/>
  <c r="AJ34" i="40"/>
  <c r="AH34" i="40"/>
  <c r="AI34" i="40"/>
  <c r="AH37" i="40"/>
  <c r="AF37" i="40"/>
  <c r="AI37" i="40"/>
  <c r="AF70" i="40"/>
  <c r="AG70" i="40"/>
  <c r="AJ70" i="40"/>
  <c r="AJ494" i="40"/>
  <c r="AG494" i="40"/>
  <c r="AO494" i="40"/>
  <c r="AI494" i="40"/>
  <c r="AK494" i="40"/>
  <c r="AK39" i="40"/>
  <c r="AO39" i="40"/>
  <c r="AF39" i="40"/>
  <c r="AK226" i="40"/>
  <c r="AJ226" i="40"/>
  <c r="AG226" i="40"/>
  <c r="AG35" i="40"/>
  <c r="AI35" i="40"/>
  <c r="AO35" i="40"/>
  <c r="AK81" i="40"/>
  <c r="AG81" i="40"/>
  <c r="AF81" i="40"/>
  <c r="AI289" i="40"/>
  <c r="AJ289" i="40"/>
  <c r="AI374" i="40"/>
  <c r="AH374" i="40"/>
  <c r="AI483" i="40"/>
  <c r="AI241" i="40"/>
  <c r="AO46" i="40"/>
  <c r="AG112" i="40"/>
  <c r="AO70" i="40"/>
  <c r="AF494" i="40"/>
  <c r="AL494" i="40" s="1"/>
  <c r="AI333" i="40"/>
  <c r="AJ420" i="40"/>
  <c r="AH498" i="40"/>
  <c r="AF266" i="40"/>
  <c r="AH46" i="43"/>
  <c r="AO148" i="40"/>
  <c r="AG148" i="40"/>
  <c r="AI148" i="40"/>
  <c r="AK148" i="40"/>
  <c r="AJ148" i="40"/>
  <c r="AO468" i="40"/>
  <c r="AG468" i="40"/>
  <c r="AJ468" i="40"/>
  <c r="AI406" i="40"/>
  <c r="AH406" i="40"/>
  <c r="AO406" i="40"/>
  <c r="AJ406" i="40"/>
  <c r="AF406" i="40"/>
  <c r="AL406" i="40" s="1"/>
  <c r="AI139" i="40"/>
  <c r="AK139" i="40"/>
  <c r="AF139" i="40"/>
  <c r="AO63" i="40"/>
  <c r="AI63" i="40"/>
  <c r="AH63" i="40"/>
  <c r="AG285" i="40"/>
  <c r="AI285" i="40"/>
  <c r="AH120" i="40"/>
  <c r="AF120" i="40"/>
  <c r="AG120" i="40"/>
  <c r="AI120" i="40"/>
  <c r="AG331" i="40"/>
  <c r="AJ331" i="40"/>
  <c r="AH165" i="40"/>
  <c r="AK165" i="40"/>
  <c r="AL473" i="39"/>
  <c r="AL279" i="39"/>
  <c r="AL191" i="39"/>
  <c r="AL148" i="39"/>
  <c r="AL293" i="39"/>
  <c r="AL183" i="39"/>
  <c r="AL376" i="39"/>
  <c r="AL102" i="39"/>
  <c r="AL223" i="39"/>
  <c r="AL377" i="39"/>
  <c r="AL231" i="39"/>
  <c r="AL466" i="39"/>
  <c r="AH199" i="40"/>
  <c r="AG199" i="40"/>
  <c r="AJ199" i="40"/>
  <c r="AI199" i="40"/>
  <c r="AH132" i="40"/>
  <c r="AK132" i="40"/>
  <c r="AF132" i="40"/>
  <c r="AG132" i="40"/>
  <c r="AG55" i="40"/>
  <c r="AO55" i="40"/>
  <c r="AH55" i="40"/>
  <c r="AF55" i="40"/>
  <c r="AK55" i="40"/>
  <c r="AJ257" i="40"/>
  <c r="AI257" i="40"/>
  <c r="AK257" i="40"/>
  <c r="AG412" i="40"/>
  <c r="AH412" i="40"/>
  <c r="AI412" i="40"/>
  <c r="AO135" i="40"/>
  <c r="AI135" i="40"/>
  <c r="AK58" i="43"/>
  <c r="AG58" i="43"/>
  <c r="AF58" i="43"/>
  <c r="AL58" i="43" s="1"/>
  <c r="AM58" i="43" s="1"/>
  <c r="AK162" i="40"/>
  <c r="AG162" i="40"/>
  <c r="AI71" i="40"/>
  <c r="AF71" i="40"/>
  <c r="AK71" i="40"/>
  <c r="AK172" i="40"/>
  <c r="AO172" i="40"/>
  <c r="AH172" i="40"/>
  <c r="AF198" i="40"/>
  <c r="AH198" i="40"/>
  <c r="AK198" i="40"/>
  <c r="AF354" i="40"/>
  <c r="AL354" i="40" s="1"/>
  <c r="AG354" i="40"/>
  <c r="AK184" i="40"/>
  <c r="AH184" i="40"/>
  <c r="AO184" i="40"/>
  <c r="AF332" i="40"/>
  <c r="AL332" i="40" s="1"/>
  <c r="AJ332" i="40"/>
  <c r="AO50" i="40"/>
  <c r="AK50" i="40"/>
  <c r="AG50" i="40"/>
  <c r="AJ99" i="40"/>
  <c r="AF99" i="40"/>
  <c r="AI99" i="40"/>
  <c r="AJ243" i="40"/>
  <c r="AI243" i="40"/>
  <c r="AO243" i="40"/>
  <c r="AG243" i="40"/>
  <c r="AO221" i="40"/>
  <c r="AK221" i="40"/>
  <c r="AG221" i="40"/>
  <c r="AH250" i="40"/>
  <c r="AI250" i="40"/>
  <c r="AI240" i="40"/>
  <c r="AJ240" i="40"/>
  <c r="AI145" i="40"/>
  <c r="AK280" i="40"/>
  <c r="AJ186" i="40"/>
  <c r="AH332" i="40"/>
  <c r="AH78" i="40"/>
  <c r="AF200" i="40"/>
  <c r="AG250" i="40"/>
  <c r="AI132" i="40"/>
  <c r="AK354" i="40"/>
  <c r="AH285" i="40"/>
  <c r="AH459" i="40"/>
  <c r="AF392" i="40"/>
  <c r="AL392" i="40" s="1"/>
  <c r="AJ71" i="40"/>
  <c r="AF112" i="40"/>
  <c r="AJ26" i="40"/>
  <c r="AF78" i="40"/>
  <c r="AO179" i="40"/>
  <c r="AH174" i="40"/>
  <c r="AK70" i="40"/>
  <c r="AG355" i="40"/>
  <c r="AL274" i="39"/>
  <c r="AI95" i="40"/>
  <c r="AF186" i="40"/>
  <c r="AG498" i="40"/>
  <c r="AO317" i="40"/>
  <c r="AH139" i="40"/>
  <c r="AI372" i="40"/>
  <c r="AO236" i="40"/>
  <c r="AJ236" i="40"/>
  <c r="AL248" i="39"/>
  <c r="AJ169" i="40"/>
  <c r="AI169" i="40"/>
  <c r="AG256" i="40"/>
  <c r="AH256" i="40"/>
  <c r="AH463" i="40"/>
  <c r="AJ463" i="40"/>
  <c r="AK208" i="40"/>
  <c r="AF208" i="40"/>
  <c r="AF193" i="40"/>
  <c r="AK457" i="40"/>
  <c r="AH16" i="40"/>
  <c r="AK345" i="40"/>
  <c r="AJ280" i="40"/>
  <c r="AL338" i="39"/>
  <c r="AI186" i="40"/>
  <c r="AK241" i="40"/>
  <c r="AJ455" i="40"/>
  <c r="AK46" i="40"/>
  <c r="AK328" i="40"/>
  <c r="AF250" i="40"/>
  <c r="AF468" i="40"/>
  <c r="AL468" i="40" s="1"/>
  <c r="AO132" i="40"/>
  <c r="AJ354" i="40"/>
  <c r="AF285" i="40"/>
  <c r="AI459" i="40"/>
  <c r="AI165" i="40"/>
  <c r="AK392" i="40"/>
  <c r="AH376" i="40"/>
  <c r="AG71" i="40"/>
  <c r="AH162" i="40"/>
  <c r="AF388" i="40"/>
  <c r="AL388" i="40" s="1"/>
  <c r="AF184" i="40"/>
  <c r="AF456" i="40"/>
  <c r="AL456" i="40" s="1"/>
  <c r="AF179" i="40"/>
  <c r="AK174" i="40"/>
  <c r="AI81" i="40"/>
  <c r="AJ355" i="40"/>
  <c r="AF199" i="40"/>
  <c r="AK406" i="40"/>
  <c r="AH148" i="40"/>
  <c r="AJ35" i="40"/>
  <c r="AH90" i="40"/>
  <c r="AH95" i="40"/>
  <c r="AF334" i="40"/>
  <c r="AL334" i="40" s="1"/>
  <c r="AG186" i="40"/>
  <c r="AF221" i="40"/>
  <c r="AO476" i="40"/>
  <c r="AO498" i="40"/>
  <c r="AH243" i="40"/>
  <c r="AO420" i="40"/>
  <c r="AG483" i="40"/>
  <c r="AH330" i="40"/>
  <c r="AH428" i="40"/>
  <c r="AG340" i="40"/>
  <c r="AL210" i="39"/>
  <c r="AO165" i="40"/>
  <c r="AF114" i="40"/>
  <c r="AO58" i="43"/>
  <c r="AG430" i="40"/>
  <c r="AI430" i="40"/>
  <c r="AL160" i="39"/>
  <c r="AH117" i="40"/>
  <c r="AO117" i="40"/>
  <c r="AI117" i="40"/>
  <c r="AI178" i="40"/>
  <c r="AK178" i="40"/>
  <c r="AJ178" i="40"/>
  <c r="AG178" i="40"/>
  <c r="AO232" i="40"/>
  <c r="AI232" i="40"/>
  <c r="AJ232" i="40"/>
  <c r="AJ277" i="40"/>
  <c r="AF277" i="40"/>
  <c r="AI277" i="40"/>
  <c r="AK277" i="40"/>
  <c r="AI96" i="40"/>
  <c r="AJ96" i="40"/>
  <c r="AH511" i="40"/>
  <c r="AG511" i="40"/>
  <c r="AI134" i="40"/>
  <c r="AG134" i="40"/>
  <c r="AK134" i="40"/>
  <c r="AG56" i="43"/>
  <c r="AI56" i="43"/>
  <c r="AF56" i="43"/>
  <c r="AL56" i="43" s="1"/>
  <c r="AM56" i="43" s="1"/>
  <c r="AI469" i="40"/>
  <c r="AO469" i="40"/>
  <c r="AO128" i="40"/>
  <c r="AF128" i="40"/>
  <c r="AJ371" i="40"/>
  <c r="AF371" i="40"/>
  <c r="AL371" i="40" s="1"/>
  <c r="AH371" i="40"/>
  <c r="AG371" i="40"/>
  <c r="AI371" i="40"/>
  <c r="AF104" i="40"/>
  <c r="AG104" i="40"/>
  <c r="AO167" i="40"/>
  <c r="AJ167" i="40"/>
  <c r="AG193" i="40"/>
  <c r="AH81" i="40"/>
  <c r="AF511" i="40"/>
  <c r="AL511" i="40" s="1"/>
  <c r="AO90" i="40"/>
  <c r="AG16" i="40"/>
  <c r="AI233" i="40"/>
  <c r="AO240" i="40"/>
  <c r="AK104" i="40"/>
  <c r="AG280" i="40"/>
  <c r="AL375" i="39"/>
  <c r="AO482" i="40"/>
  <c r="AO41" i="40"/>
  <c r="AH289" i="40"/>
  <c r="AF241" i="40"/>
  <c r="AO483" i="40"/>
  <c r="AJ132" i="40"/>
  <c r="AO461" i="40"/>
  <c r="AF28" i="40"/>
  <c r="AJ55" i="40"/>
  <c r="AI198" i="40"/>
  <c r="AK264" i="40"/>
  <c r="AO250" i="40"/>
  <c r="AK34" i="40"/>
  <c r="AI354" i="40"/>
  <c r="AH392" i="40"/>
  <c r="AK455" i="40"/>
  <c r="AJ39" i="40"/>
  <c r="AI39" i="40"/>
  <c r="AJ378" i="40"/>
  <c r="AF162" i="40"/>
  <c r="AJ365" i="40"/>
  <c r="AJ388" i="40"/>
  <c r="AG184" i="40"/>
  <c r="AL101" i="39"/>
  <c r="AF185" i="40"/>
  <c r="AF455" i="40"/>
  <c r="AL455" i="40" s="1"/>
  <c r="AG28" i="40"/>
  <c r="AJ174" i="40"/>
  <c r="AO81" i="40"/>
  <c r="AJ485" i="40"/>
  <c r="AF355" i="40"/>
  <c r="AL355" i="40" s="1"/>
  <c r="AK199" i="40"/>
  <c r="AG406" i="40"/>
  <c r="AJ95" i="40"/>
  <c r="AF311" i="40"/>
  <c r="AJ90" i="40"/>
  <c r="AG95" i="40"/>
  <c r="AK334" i="40"/>
  <c r="AG117" i="40"/>
  <c r="AO178" i="40"/>
  <c r="AJ498" i="40"/>
  <c r="AK243" i="40"/>
  <c r="AK357" i="40"/>
  <c r="AO427" i="40"/>
  <c r="AF372" i="40"/>
  <c r="AL372" i="40" s="1"/>
  <c r="AK108" i="40"/>
  <c r="AF330" i="40"/>
  <c r="AI428" i="40"/>
  <c r="AF340" i="40"/>
  <c r="AL340" i="40" s="1"/>
  <c r="AF46" i="43"/>
  <c r="AL46" i="43" s="1"/>
  <c r="AM46" i="43" s="1"/>
  <c r="AO56" i="43"/>
  <c r="AJ58" i="43"/>
  <c r="AJ56" i="43"/>
  <c r="AJ193" i="40"/>
  <c r="AF314" i="40"/>
  <c r="AG90" i="40"/>
  <c r="AI16" i="40"/>
  <c r="AG469" i="40"/>
  <c r="AH233" i="40"/>
  <c r="AK240" i="40"/>
  <c r="AJ104" i="40"/>
  <c r="AF280" i="40"/>
  <c r="AO96" i="40"/>
  <c r="AK411" i="40"/>
  <c r="AF289" i="40"/>
  <c r="AO241" i="40"/>
  <c r="AI411" i="40"/>
  <c r="AG39" i="40"/>
  <c r="AL451" i="39"/>
  <c r="AO162" i="40"/>
  <c r="AG198" i="40"/>
  <c r="AJ264" i="40"/>
  <c r="AK250" i="40"/>
  <c r="AG34" i="40"/>
  <c r="AF142" i="40"/>
  <c r="AO257" i="40"/>
  <c r="AH354" i="40"/>
  <c r="AH455" i="40"/>
  <c r="AJ230" i="40"/>
  <c r="AK371" i="40"/>
  <c r="AL369" i="39"/>
  <c r="AF232" i="40"/>
  <c r="AI378" i="40"/>
  <c r="AF365" i="40"/>
  <c r="AL365" i="40" s="1"/>
  <c r="AJ374" i="40"/>
  <c r="AJ184" i="40"/>
  <c r="AJ185" i="40"/>
  <c r="AI221" i="40"/>
  <c r="AO174" i="40"/>
  <c r="AK37" i="40"/>
  <c r="AJ315" i="40"/>
  <c r="AO199" i="40"/>
  <c r="AJ511" i="40"/>
  <c r="AH231" i="40"/>
  <c r="AK63" i="40"/>
  <c r="AG334" i="40"/>
  <c r="AK117" i="40"/>
  <c r="AF498" i="40"/>
  <c r="AL498" i="40" s="1"/>
  <c r="AF243" i="40"/>
  <c r="AG357" i="40"/>
  <c r="AO139" i="40"/>
  <c r="AK372" i="40"/>
  <c r="AH420" i="40"/>
  <c r="AJ108" i="40"/>
  <c r="AK333" i="40"/>
  <c r="AJ428" i="40"/>
  <c r="AK53" i="43"/>
  <c r="AG46" i="43"/>
  <c r="AG242" i="40"/>
  <c r="AI242" i="40"/>
  <c r="AJ124" i="40"/>
  <c r="AO124" i="40"/>
  <c r="AK348" i="40"/>
  <c r="AF348" i="40"/>
  <c r="AL348" i="40" s="1"/>
  <c r="AG51" i="40"/>
  <c r="AK51" i="40"/>
  <c r="AF51" i="40"/>
  <c r="AH69" i="40"/>
  <c r="AO69" i="40"/>
  <c r="AG69" i="40"/>
  <c r="AO192" i="40"/>
  <c r="AI239" i="40"/>
  <c r="AO384" i="40"/>
  <c r="AG124" i="40"/>
  <c r="AH501" i="40"/>
  <c r="AI348" i="40"/>
  <c r="AJ31" i="43"/>
  <c r="AF62" i="43"/>
  <c r="AL62" i="43" s="1"/>
  <c r="AM62" i="43" s="1"/>
  <c r="AH62" i="43"/>
  <c r="AK419" i="40"/>
  <c r="AH419" i="40"/>
  <c r="AK224" i="40"/>
  <c r="AI224" i="40"/>
  <c r="AO224" i="40"/>
  <c r="AI301" i="40"/>
  <c r="AF301" i="40"/>
  <c r="AJ301" i="40"/>
  <c r="AO301" i="40"/>
  <c r="AK60" i="43"/>
  <c r="AJ60" i="43"/>
  <c r="AF60" i="43"/>
  <c r="AL60" i="43" s="1"/>
  <c r="AM60" i="43" s="1"/>
  <c r="AG60" i="43"/>
  <c r="AO60" i="43"/>
  <c r="AO440" i="40"/>
  <c r="AG440" i="40"/>
  <c r="AJ440" i="40"/>
  <c r="AH440" i="40"/>
  <c r="AI440" i="40"/>
  <c r="AF440" i="40"/>
  <c r="AL440" i="40" s="1"/>
  <c r="AG196" i="40"/>
  <c r="AI196" i="40"/>
  <c r="AF196" i="40"/>
  <c r="AO196" i="40"/>
  <c r="AH196" i="40"/>
  <c r="AJ196" i="40"/>
  <c r="AK196" i="40"/>
  <c r="AH414" i="40"/>
  <c r="AO414" i="40"/>
  <c r="AF414" i="40"/>
  <c r="AL414" i="40" s="1"/>
  <c r="AK414" i="40"/>
  <c r="AI414" i="40"/>
  <c r="AI19" i="40"/>
  <c r="AG19" i="40"/>
  <c r="AJ19" i="40"/>
  <c r="AF19" i="40"/>
  <c r="AH19" i="40"/>
  <c r="AL513" i="39"/>
  <c r="AL391" i="39"/>
  <c r="AL96" i="39"/>
  <c r="AL295" i="39"/>
  <c r="AL138" i="39"/>
  <c r="AK154" i="40"/>
  <c r="AH154" i="40"/>
  <c r="AO154" i="40"/>
  <c r="AI154" i="40"/>
  <c r="AF154" i="40"/>
  <c r="AG163" i="40"/>
  <c r="AF163" i="40"/>
  <c r="AH163" i="40"/>
  <c r="AO163" i="40"/>
  <c r="AJ163" i="40"/>
  <c r="AK163" i="40"/>
  <c r="AK495" i="40"/>
  <c r="AG495" i="40"/>
  <c r="AF495" i="40"/>
  <c r="AL495" i="40" s="1"/>
  <c r="AI495" i="40"/>
  <c r="AJ495" i="40"/>
  <c r="AH495" i="40"/>
  <c r="AG480" i="40"/>
  <c r="AI480" i="40"/>
  <c r="AJ480" i="40"/>
  <c r="AF480" i="40"/>
  <c r="AL480" i="40" s="1"/>
  <c r="AK480" i="40"/>
  <c r="AO480" i="40"/>
  <c r="AK353" i="40"/>
  <c r="AG353" i="40"/>
  <c r="AF353" i="40"/>
  <c r="AL353" i="40" s="1"/>
  <c r="AO169" i="40"/>
  <c r="AH482" i="40"/>
  <c r="AJ353" i="40"/>
  <c r="AL368" i="39"/>
  <c r="AJ208" i="40"/>
  <c r="AJ256" i="40"/>
  <c r="AO495" i="40"/>
  <c r="AO57" i="43"/>
  <c r="AK57" i="43"/>
  <c r="AG421" i="40"/>
  <c r="AI421" i="40"/>
  <c r="AJ421" i="40"/>
  <c r="AO421" i="40"/>
  <c r="AH421" i="40"/>
  <c r="AF421" i="40"/>
  <c r="AL421" i="40" s="1"/>
  <c r="AK421" i="40"/>
  <c r="AJ458" i="40"/>
  <c r="AO458" i="40"/>
  <c r="AH91" i="40"/>
  <c r="AJ91" i="40"/>
  <c r="AH308" i="40"/>
  <c r="AI308" i="40"/>
  <c r="AK308" i="40"/>
  <c r="AJ447" i="40"/>
  <c r="AO447" i="40"/>
  <c r="AH447" i="40"/>
  <c r="AG447" i="40"/>
  <c r="AI447" i="40"/>
  <c r="AH54" i="43"/>
  <c r="AO54" i="43"/>
  <c r="AF54" i="43"/>
  <c r="AL54" i="43" s="1"/>
  <c r="AN54" i="43" s="1"/>
  <c r="AI54" i="43"/>
  <c r="AG54" i="43"/>
  <c r="AK491" i="40"/>
  <c r="AF491" i="40"/>
  <c r="AL491" i="40" s="1"/>
  <c r="AG491" i="40"/>
  <c r="AF283" i="40"/>
  <c r="AJ283" i="40"/>
  <c r="AG283" i="40"/>
  <c r="AH283" i="40"/>
  <c r="AK210" i="40"/>
  <c r="AO210" i="40"/>
  <c r="AJ210" i="40"/>
  <c r="AI210" i="40"/>
  <c r="AH210" i="40"/>
  <c r="AJ269" i="40"/>
  <c r="AF269" i="40"/>
  <c r="AI269" i="40"/>
  <c r="AO269" i="40"/>
  <c r="AG269" i="40"/>
  <c r="AF319" i="40"/>
  <c r="AK319" i="40"/>
  <c r="AG319" i="40"/>
  <c r="AI319" i="40"/>
  <c r="AO499" i="40"/>
  <c r="AF499" i="40"/>
  <c r="AL499" i="40" s="1"/>
  <c r="AG499" i="40"/>
  <c r="AO430" i="40"/>
  <c r="AK430" i="40"/>
  <c r="AF430" i="40"/>
  <c r="AL430" i="40" s="1"/>
  <c r="AJ430" i="40"/>
  <c r="AG389" i="40"/>
  <c r="AF389" i="40"/>
  <c r="AL389" i="40" s="1"/>
  <c r="AK389" i="40"/>
  <c r="AO389" i="40"/>
  <c r="AJ389" i="40"/>
  <c r="AI389" i="40"/>
  <c r="AL503" i="39"/>
  <c r="AL152" i="39"/>
  <c r="AL284" i="39"/>
  <c r="AL184" i="39"/>
  <c r="AL343" i="39"/>
  <c r="AL448" i="39"/>
  <c r="AL254" i="39"/>
  <c r="AL156" i="39"/>
  <c r="AL459" i="39"/>
  <c r="AL502" i="39"/>
  <c r="AL501" i="39"/>
  <c r="AL270" i="39"/>
  <c r="AL449" i="39"/>
  <c r="AL157" i="39"/>
  <c r="AL351" i="39"/>
  <c r="AL132" i="39"/>
  <c r="AL505" i="39"/>
  <c r="AL359" i="39"/>
  <c r="AL286" i="39"/>
  <c r="AL213" i="39"/>
  <c r="AL514" i="39"/>
  <c r="AL450" i="39"/>
  <c r="AL386" i="39"/>
  <c r="AL194" i="39"/>
  <c r="AI109" i="40"/>
  <c r="AO109" i="40"/>
  <c r="AF109" i="40"/>
  <c r="AG109" i="40"/>
  <c r="AK218" i="40"/>
  <c r="AJ218" i="40"/>
  <c r="AO218" i="40"/>
  <c r="AF218" i="40"/>
  <c r="AI218" i="40"/>
  <c r="AH218" i="40"/>
  <c r="AH278" i="40"/>
  <c r="AI278" i="40"/>
  <c r="AK278" i="40"/>
  <c r="AG278" i="40"/>
  <c r="AO278" i="40"/>
  <c r="AJ278" i="40"/>
  <c r="AF278" i="40"/>
  <c r="AI246" i="40"/>
  <c r="AG246" i="40"/>
  <c r="AF246" i="40"/>
  <c r="AH246" i="40"/>
  <c r="AJ246" i="40"/>
  <c r="AK246" i="40"/>
  <c r="AG425" i="40"/>
  <c r="AJ425" i="40"/>
  <c r="AF425" i="40"/>
  <c r="AL425" i="40" s="1"/>
  <c r="AK425" i="40"/>
  <c r="AO425" i="40"/>
  <c r="AH425" i="40"/>
  <c r="AI31" i="40"/>
  <c r="AF31" i="40"/>
  <c r="AK31" i="40"/>
  <c r="AG31" i="40"/>
  <c r="AO180" i="40"/>
  <c r="AG180" i="40"/>
  <c r="AH180" i="40"/>
  <c r="AI180" i="40"/>
  <c r="AH23" i="40"/>
  <c r="AJ23" i="40"/>
  <c r="AK23" i="40"/>
  <c r="AK27" i="43"/>
  <c r="AI27" i="43"/>
  <c r="AF27" i="43"/>
  <c r="AG27" i="43"/>
  <c r="AJ27" i="43"/>
  <c r="AH418" i="40"/>
  <c r="AJ418" i="40"/>
  <c r="AI423" i="40"/>
  <c r="AF423" i="40"/>
  <c r="AL423" i="40" s="1"/>
  <c r="AK423" i="40"/>
  <c r="AG423" i="40"/>
  <c r="AH423" i="40"/>
  <c r="AO505" i="40"/>
  <c r="AI505" i="40"/>
  <c r="AG505" i="40"/>
  <c r="AK292" i="40"/>
  <c r="AH292" i="40"/>
  <c r="AI292" i="40"/>
  <c r="AF292" i="40"/>
  <c r="AG292" i="40"/>
  <c r="AJ292" i="40"/>
  <c r="AI303" i="40"/>
  <c r="AJ303" i="40"/>
  <c r="AF303" i="40"/>
  <c r="AH303" i="40"/>
  <c r="AO303" i="40"/>
  <c r="AO214" i="40"/>
  <c r="AJ214" i="40"/>
  <c r="AH214" i="40"/>
  <c r="AI214" i="40"/>
  <c r="AF214" i="40"/>
  <c r="AO255" i="40"/>
  <c r="AF255" i="40"/>
  <c r="AI166" i="40"/>
  <c r="AF166" i="40"/>
  <c r="AG166" i="40"/>
  <c r="AH166" i="40"/>
  <c r="AO19" i="43"/>
  <c r="AK19" i="43"/>
  <c r="AG19" i="43"/>
  <c r="AF19" i="43"/>
  <c r="AJ19" i="43"/>
  <c r="AH19" i="43"/>
  <c r="AL169" i="39"/>
  <c r="AK169" i="40"/>
  <c r="AK482" i="40"/>
  <c r="AH41" i="40"/>
  <c r="AI353" i="40"/>
  <c r="AF23" i="40"/>
  <c r="AH505" i="40"/>
  <c r="AL363" i="39"/>
  <c r="AO31" i="40"/>
  <c r="AI491" i="40"/>
  <c r="AF180" i="40"/>
  <c r="AO292" i="40"/>
  <c r="AH30" i="43"/>
  <c r="AF30" i="43"/>
  <c r="AL30" i="43" s="1"/>
  <c r="AJ147" i="40"/>
  <c r="AG147" i="40"/>
  <c r="AJ28" i="43"/>
  <c r="AK28" i="43"/>
  <c r="AO28" i="43"/>
  <c r="AI28" i="43"/>
  <c r="AF28" i="43"/>
  <c r="AL28" i="43" s="1"/>
  <c r="AF471" i="40"/>
  <c r="AL471" i="40" s="1"/>
  <c r="AK471" i="40"/>
  <c r="AO471" i="40"/>
  <c r="AG471" i="40"/>
  <c r="AO181" i="40"/>
  <c r="AI181" i="40"/>
  <c r="AJ181" i="40"/>
  <c r="AK181" i="40"/>
  <c r="AF181" i="40"/>
  <c r="AG274" i="40"/>
  <c r="AF274" i="40"/>
  <c r="AJ274" i="40"/>
  <c r="AH274" i="40"/>
  <c r="AK274" i="40"/>
  <c r="AI274" i="40"/>
  <c r="AO342" i="40"/>
  <c r="AG342" i="40"/>
  <c r="AK342" i="40"/>
  <c r="AI403" i="40"/>
  <c r="AH403" i="40"/>
  <c r="AJ403" i="40"/>
  <c r="AG40" i="40"/>
  <c r="AK40" i="40"/>
  <c r="AO40" i="40"/>
  <c r="AK441" i="40"/>
  <c r="AO441" i="40"/>
  <c r="AJ441" i="40"/>
  <c r="AH441" i="40"/>
  <c r="AI441" i="40"/>
  <c r="AF239" i="40"/>
  <c r="AG239" i="40"/>
  <c r="AO239" i="40"/>
  <c r="AG156" i="40"/>
  <c r="AI156" i="40"/>
  <c r="AK156" i="40"/>
  <c r="AJ156" i="40"/>
  <c r="AH156" i="40"/>
  <c r="AL455" i="39"/>
  <c r="AL431" i="39"/>
  <c r="AL272" i="39"/>
  <c r="AL392" i="39"/>
  <c r="AL208" i="39"/>
  <c r="AL437" i="39"/>
  <c r="AL339" i="39"/>
  <c r="AL144" i="39"/>
  <c r="AL349" i="39"/>
  <c r="AL253" i="39"/>
  <c r="AL155" i="39"/>
  <c r="AL489" i="39"/>
  <c r="AL366" i="39"/>
  <c r="AL256" i="39"/>
  <c r="AL147" i="39"/>
  <c r="AL438" i="39"/>
  <c r="AL263" i="39"/>
  <c r="AL165" i="39"/>
  <c r="AL488" i="39"/>
  <c r="AL415" i="39"/>
  <c r="AL123" i="39"/>
  <c r="AL496" i="39"/>
  <c r="AL204" i="39"/>
  <c r="AL131" i="39"/>
  <c r="AL506" i="39"/>
  <c r="AL442" i="39"/>
  <c r="AL378" i="39"/>
  <c r="AL314" i="39"/>
  <c r="AL250" i="39"/>
  <c r="AL186" i="39"/>
  <c r="AK387" i="40"/>
  <c r="AO387" i="40"/>
  <c r="AI387" i="40"/>
  <c r="AF282" i="40"/>
  <c r="AK282" i="40"/>
  <c r="AJ282" i="40"/>
  <c r="AH282" i="40"/>
  <c r="AI282" i="40"/>
  <c r="AG282" i="40"/>
  <c r="AO282" i="40"/>
  <c r="AH351" i="40"/>
  <c r="AI351" i="40"/>
  <c r="AK351" i="40"/>
  <c r="AO351" i="40"/>
  <c r="AJ329" i="40"/>
  <c r="AK329" i="40"/>
  <c r="AO329" i="40"/>
  <c r="AG509" i="40"/>
  <c r="AJ509" i="40"/>
  <c r="AI509" i="40"/>
  <c r="AO509" i="40"/>
  <c r="AF191" i="40"/>
  <c r="AJ191" i="40"/>
  <c r="AF313" i="40"/>
  <c r="AJ313" i="40"/>
  <c r="AO313" i="40"/>
  <c r="AF272" i="40"/>
  <c r="AH272" i="40"/>
  <c r="AO272" i="40"/>
  <c r="AK272" i="40"/>
  <c r="AF489" i="40"/>
  <c r="AL489" i="40" s="1"/>
  <c r="AG489" i="40"/>
  <c r="AK489" i="40"/>
  <c r="AO316" i="40"/>
  <c r="AF316" i="40"/>
  <c r="AI316" i="40"/>
  <c r="AG316" i="40"/>
  <c r="AK56" i="40"/>
  <c r="AI56" i="40"/>
  <c r="AG56" i="40"/>
  <c r="AJ56" i="40"/>
  <c r="AG508" i="40"/>
  <c r="AO508" i="40"/>
  <c r="AK508" i="40"/>
  <c r="AF508" i="40"/>
  <c r="AL508" i="40" s="1"/>
  <c r="AI508" i="40"/>
  <c r="AO52" i="40"/>
  <c r="AG52" i="40"/>
  <c r="AH52" i="40"/>
  <c r="AF52" i="40"/>
  <c r="AJ52" i="40"/>
  <c r="AO504" i="40"/>
  <c r="AF504" i="40"/>
  <c r="AL504" i="40" s="1"/>
  <c r="AH504" i="40"/>
  <c r="AK48" i="40"/>
  <c r="AF48" i="40"/>
  <c r="AG48" i="40"/>
  <c r="AI48" i="40"/>
  <c r="AG360" i="40"/>
  <c r="AF360" i="40"/>
  <c r="AL360" i="40" s="1"/>
  <c r="AI422" i="40"/>
  <c r="AH422" i="40"/>
  <c r="AO422" i="40"/>
  <c r="AJ422" i="40"/>
  <c r="AK422" i="40"/>
  <c r="AH64" i="40"/>
  <c r="AJ64" i="40"/>
  <c r="AI64" i="40"/>
  <c r="AG64" i="40"/>
  <c r="AO64" i="40"/>
  <c r="AK64" i="40"/>
  <c r="AK303" i="40"/>
  <c r="AH353" i="40"/>
  <c r="AJ342" i="40"/>
  <c r="AH342" i="40"/>
  <c r="AL423" i="39"/>
  <c r="AH311" i="40"/>
  <c r="AL174" i="39"/>
  <c r="AO419" i="40"/>
  <c r="AF418" i="40"/>
  <c r="AL418" i="40" s="1"/>
  <c r="AJ31" i="40"/>
  <c r="AL278" i="39"/>
  <c r="AL497" i="39"/>
  <c r="AL433" i="39"/>
  <c r="AK180" i="40"/>
  <c r="AJ154" i="40"/>
  <c r="AO166" i="40"/>
  <c r="AJ54" i="43"/>
  <c r="AI57" i="43"/>
  <c r="AG110" i="40"/>
  <c r="AJ110" i="40"/>
  <c r="AL393" i="39"/>
  <c r="AL261" i="39"/>
  <c r="AL239" i="39"/>
  <c r="AH253" i="40"/>
  <c r="AO253" i="40"/>
  <c r="AI346" i="40"/>
  <c r="AK346" i="40"/>
  <c r="AO424" i="40"/>
  <c r="AH424" i="40"/>
  <c r="AG424" i="40"/>
  <c r="AH54" i="40"/>
  <c r="AG54" i="40"/>
  <c r="AO54" i="40"/>
  <c r="AK54" i="40"/>
  <c r="AH149" i="40"/>
  <c r="AI149" i="40"/>
  <c r="AF149" i="40"/>
  <c r="AG149" i="40"/>
  <c r="AO149" i="40"/>
  <c r="AJ149" i="40"/>
  <c r="AK86" i="40"/>
  <c r="AF86" i="40"/>
  <c r="AG86" i="40"/>
  <c r="AO50" i="43"/>
  <c r="AI50" i="43"/>
  <c r="AF50" i="43"/>
  <c r="AL50" i="43" s="1"/>
  <c r="AN50" i="43" s="1"/>
  <c r="AG50" i="43"/>
  <c r="AK50" i="43"/>
  <c r="AH50" i="43"/>
  <c r="AH252" i="40"/>
  <c r="AI252" i="40"/>
  <c r="AO252" i="40"/>
  <c r="AF252" i="40"/>
  <c r="AO507" i="40"/>
  <c r="AI507" i="40"/>
  <c r="AH507" i="40"/>
  <c r="AF507" i="40"/>
  <c r="AL507" i="40" s="1"/>
  <c r="AK507" i="40"/>
  <c r="AK209" i="40"/>
  <c r="AI209" i="40"/>
  <c r="AG209" i="40"/>
  <c r="AH209" i="40"/>
  <c r="AJ209" i="40"/>
  <c r="AI472" i="40"/>
  <c r="AJ472" i="40"/>
  <c r="AG472" i="40"/>
  <c r="AG61" i="43"/>
  <c r="AO61" i="43"/>
  <c r="AF61" i="43"/>
  <c r="AL61" i="43" s="1"/>
  <c r="AM61" i="43" s="1"/>
  <c r="AJ61" i="43"/>
  <c r="AI313" i="40"/>
  <c r="AL340" i="39"/>
  <c r="AG352" i="40"/>
  <c r="AK360" i="40"/>
  <c r="AH499" i="40"/>
  <c r="AJ239" i="40"/>
  <c r="AL477" i="39"/>
  <c r="AK255" i="40"/>
  <c r="AG272" i="40"/>
  <c r="AL190" i="39"/>
  <c r="AG441" i="40"/>
  <c r="AK311" i="40"/>
  <c r="AI326" i="40"/>
  <c r="AK505" i="40"/>
  <c r="AO48" i="40"/>
  <c r="AO19" i="40"/>
  <c r="AF64" i="40"/>
  <c r="AL424" i="39"/>
  <c r="AO62" i="43"/>
  <c r="AG313" i="40"/>
  <c r="AO472" i="40"/>
  <c r="AL271" i="39"/>
  <c r="AG210" i="40"/>
  <c r="AL352" i="39"/>
  <c r="AL328" i="39"/>
  <c r="AJ499" i="40"/>
  <c r="AF156" i="40"/>
  <c r="AO23" i="40"/>
  <c r="AG191" i="40"/>
  <c r="AK394" i="40"/>
  <c r="AF342" i="40"/>
  <c r="AL342" i="40" s="1"/>
  <c r="AI342" i="40"/>
  <c r="AL321" i="39"/>
  <c r="AK326" i="40"/>
  <c r="AO311" i="40"/>
  <c r="AJ505" i="40"/>
  <c r="AK424" i="40"/>
  <c r="AJ48" i="40"/>
  <c r="AF346" i="40"/>
  <c r="AL346" i="40" s="1"/>
  <c r="AK19" i="40"/>
  <c r="AL463" i="39"/>
  <c r="AO418" i="40"/>
  <c r="AF341" i="40"/>
  <c r="AL341" i="40" s="1"/>
  <c r="AL166" i="39"/>
  <c r="AL283" i="39"/>
  <c r="AG181" i="40"/>
  <c r="AI163" i="40"/>
  <c r="AJ507" i="40"/>
  <c r="AJ253" i="40"/>
  <c r="AH489" i="40"/>
  <c r="AO319" i="40"/>
  <c r="AF472" i="40"/>
  <c r="AL472" i="40" s="1"/>
  <c r="AF40" i="40"/>
  <c r="AH32" i="40"/>
  <c r="AF210" i="40"/>
  <c r="AK166" i="40"/>
  <c r="AO246" i="40"/>
  <c r="AG154" i="40"/>
  <c r="AI504" i="40"/>
  <c r="AI499" i="40"/>
  <c r="AK283" i="40"/>
  <c r="AK316" i="40"/>
  <c r="AO86" i="40"/>
  <c r="AJ387" i="40"/>
  <c r="AI191" i="40"/>
  <c r="AJ414" i="40"/>
  <c r="AH471" i="40"/>
  <c r="AI255" i="40"/>
  <c r="AO191" i="40"/>
  <c r="AJ394" i="40"/>
  <c r="AI86" i="40"/>
  <c r="AO423" i="40"/>
  <c r="AJ326" i="40"/>
  <c r="AJ272" i="40"/>
  <c r="AH510" i="40"/>
  <c r="AH480" i="40"/>
  <c r="AO56" i="40"/>
  <c r="AI425" i="40"/>
  <c r="AJ424" i="40"/>
  <c r="AG346" i="40"/>
  <c r="AG252" i="40"/>
  <c r="AF54" i="40"/>
  <c r="AG403" i="40"/>
  <c r="AK153" i="40"/>
  <c r="AK418" i="40"/>
  <c r="AH109" i="40"/>
  <c r="AH319" i="40"/>
  <c r="AJ351" i="40"/>
  <c r="AH181" i="40"/>
  <c r="AF509" i="40"/>
  <c r="AL509" i="40" s="1"/>
  <c r="AK149" i="40"/>
  <c r="AL255" i="39"/>
  <c r="AO27" i="43"/>
  <c r="AK54" i="43"/>
  <c r="AH492" i="40"/>
  <c r="AJ492" i="40"/>
  <c r="AO492" i="40"/>
  <c r="AF44" i="40"/>
  <c r="AG44" i="40"/>
  <c r="AF312" i="40"/>
  <c r="AO312" i="40"/>
  <c r="AH312" i="40"/>
  <c r="AG87" i="40"/>
  <c r="AF87" i="40"/>
  <c r="AO87" i="40"/>
  <c r="AH87" i="40"/>
  <c r="AJ146" i="40"/>
  <c r="AH146" i="40"/>
  <c r="AO146" i="40"/>
  <c r="AG146" i="40"/>
  <c r="AI236" i="40"/>
  <c r="AH236" i="40"/>
  <c r="AG236" i="40"/>
  <c r="AO176" i="40"/>
  <c r="AF176" i="40"/>
  <c r="AG176" i="40"/>
  <c r="AH176" i="40"/>
  <c r="AK295" i="40"/>
  <c r="AI295" i="40"/>
  <c r="AJ295" i="40"/>
  <c r="AH295" i="40"/>
  <c r="AO295" i="40"/>
  <c r="AL199" i="39"/>
  <c r="AL198" i="39"/>
  <c r="AL364" i="39"/>
  <c r="AL276" i="39"/>
  <c r="AL281" i="39"/>
  <c r="AL288" i="39"/>
  <c r="AL394" i="39"/>
  <c r="AF169" i="40"/>
  <c r="AG169" i="40"/>
  <c r="AJ205" i="40"/>
  <c r="AF205" i="40"/>
  <c r="AH205" i="40"/>
  <c r="AK205" i="40"/>
  <c r="AI205" i="40"/>
  <c r="AO205" i="40"/>
  <c r="AI341" i="40"/>
  <c r="AK341" i="40"/>
  <c r="AJ341" i="40"/>
  <c r="AO341" i="40"/>
  <c r="AF290" i="40"/>
  <c r="AG290" i="40"/>
  <c r="AH290" i="40"/>
  <c r="AJ290" i="40"/>
  <c r="AK256" i="40"/>
  <c r="AF256" i="40"/>
  <c r="AO256" i="40"/>
  <c r="AK339" i="40"/>
  <c r="AO339" i="40"/>
  <c r="AH339" i="40"/>
  <c r="AG339" i="40"/>
  <c r="AJ339" i="40"/>
  <c r="AF463" i="40"/>
  <c r="AL463" i="40" s="1"/>
  <c r="AK463" i="40"/>
  <c r="AG463" i="40"/>
  <c r="AO208" i="40"/>
  <c r="AI208" i="40"/>
  <c r="AH208" i="40"/>
  <c r="AF482" i="40"/>
  <c r="AL482" i="40" s="1"/>
  <c r="AJ482" i="40"/>
  <c r="AI352" i="40"/>
  <c r="AJ352" i="40"/>
  <c r="AH62" i="40"/>
  <c r="AG62" i="40"/>
  <c r="AF62" i="40"/>
  <c r="AO62" i="40"/>
  <c r="AJ62" i="40"/>
  <c r="AK62" i="40"/>
  <c r="AI48" i="43"/>
  <c r="AO48" i="43"/>
  <c r="AJ48" i="43"/>
  <c r="AH48" i="43"/>
  <c r="AG48" i="43"/>
  <c r="AF48" i="43"/>
  <c r="AL48" i="43" s="1"/>
  <c r="AN48" i="43" s="1"/>
  <c r="AK48" i="43"/>
  <c r="AL462" i="39"/>
  <c r="AH313" i="40"/>
  <c r="AH352" i="40"/>
  <c r="AO360" i="40"/>
  <c r="AL471" i="39"/>
  <c r="AG504" i="40"/>
  <c r="AI339" i="40"/>
  <c r="AK239" i="40"/>
  <c r="AL130" i="39"/>
  <c r="AI23" i="40"/>
  <c r="AH191" i="40"/>
  <c r="AI394" i="40"/>
  <c r="AH509" i="40"/>
  <c r="AL374" i="39"/>
  <c r="AF441" i="40"/>
  <c r="AL441" i="40" s="1"/>
  <c r="AO290" i="40"/>
  <c r="AF387" i="40"/>
  <c r="AL387" i="40" s="1"/>
  <c r="AF505" i="40"/>
  <c r="AL505" i="40" s="1"/>
  <c r="AH48" i="40"/>
  <c r="AO403" i="40"/>
  <c r="AK415" i="40"/>
  <c r="AI415" i="40"/>
  <c r="AO453" i="40"/>
  <c r="AI453" i="40"/>
  <c r="AF453" i="40"/>
  <c r="AL453" i="40" s="1"/>
  <c r="AL479" i="39"/>
  <c r="AL121" i="39"/>
  <c r="AF171" i="40"/>
  <c r="AK171" i="40"/>
  <c r="AJ171" i="40"/>
  <c r="AG171" i="40"/>
  <c r="AI171" i="40"/>
  <c r="AO171" i="40"/>
  <c r="AF413" i="40"/>
  <c r="AL413" i="40" s="1"/>
  <c r="AH413" i="40"/>
  <c r="AK413" i="40"/>
  <c r="AO413" i="40"/>
  <c r="AG448" i="40"/>
  <c r="AO448" i="40"/>
  <c r="AK448" i="40"/>
  <c r="AK75" i="40"/>
  <c r="AH75" i="40"/>
  <c r="AI75" i="40"/>
  <c r="AF75" i="40"/>
  <c r="AJ75" i="40"/>
  <c r="AH141" i="40"/>
  <c r="AI141" i="40"/>
  <c r="AK141" i="40"/>
  <c r="AG141" i="40"/>
  <c r="AK344" i="40"/>
  <c r="AO344" i="40"/>
  <c r="AH344" i="40"/>
  <c r="AF344" i="40"/>
  <c r="AL344" i="40" s="1"/>
  <c r="AO375" i="40"/>
  <c r="AI375" i="40"/>
  <c r="AK375" i="40"/>
  <c r="AF375" i="40"/>
  <c r="AL375" i="40" s="1"/>
  <c r="AK176" i="40"/>
  <c r="AG303" i="40"/>
  <c r="AL127" i="39"/>
  <c r="AK504" i="40"/>
  <c r="AL287" i="39"/>
  <c r="AG23" i="40"/>
  <c r="AK191" i="40"/>
  <c r="AH86" i="40"/>
  <c r="AK509" i="40"/>
  <c r="AI448" i="40"/>
  <c r="AF209" i="40"/>
  <c r="AH387" i="40"/>
  <c r="AF424" i="40"/>
  <c r="AL424" i="40" s="1"/>
  <c r="AH389" i="40"/>
  <c r="AG418" i="40"/>
  <c r="AK403" i="40"/>
  <c r="AJ180" i="40"/>
  <c r="AH31" i="40"/>
  <c r="AL353" i="39"/>
  <c r="AI52" i="40"/>
  <c r="AK214" i="40"/>
  <c r="AL342" i="39"/>
  <c r="AI19" i="43"/>
  <c r="AH28" i="43"/>
  <c r="AO489" i="40"/>
  <c r="AO352" i="40"/>
  <c r="AJ360" i="40"/>
  <c r="AH40" i="40"/>
  <c r="AL264" i="39"/>
  <c r="AJ504" i="40"/>
  <c r="AO283" i="40"/>
  <c r="AL269" i="39"/>
  <c r="AL275" i="39"/>
  <c r="AJ255" i="40"/>
  <c r="AK87" i="40"/>
  <c r="AJ86" i="40"/>
  <c r="AI479" i="40"/>
  <c r="AJ413" i="40"/>
  <c r="AI272" i="40"/>
  <c r="AK510" i="40"/>
  <c r="AG387" i="40"/>
  <c r="AJ489" i="40"/>
  <c r="AJ319" i="40"/>
  <c r="AJ166" i="40"/>
  <c r="AI329" i="40"/>
  <c r="AF352" i="40"/>
  <c r="AL352" i="40" s="1"/>
  <c r="AJ224" i="40"/>
  <c r="AK449" i="40"/>
  <c r="AH169" i="40"/>
  <c r="AK472" i="40"/>
  <c r="AJ40" i="40"/>
  <c r="AG482" i="40"/>
  <c r="AO274" i="40"/>
  <c r="AF253" i="40"/>
  <c r="AL253" i="40" s="1"/>
  <c r="AK499" i="40"/>
  <c r="AI283" i="40"/>
  <c r="AL441" i="39"/>
  <c r="AL322" i="39"/>
  <c r="AI418" i="40"/>
  <c r="AG510" i="40"/>
  <c r="AI290" i="40"/>
  <c r="AH326" i="40"/>
  <c r="AG255" i="40"/>
  <c r="AL350" i="39"/>
  <c r="AK146" i="40"/>
  <c r="AL384" i="39"/>
  <c r="AJ423" i="40"/>
  <c r="AH430" i="40"/>
  <c r="AG208" i="40"/>
  <c r="AG344" i="40"/>
  <c r="AO463" i="40"/>
  <c r="AI463" i="40"/>
  <c r="AK269" i="40"/>
  <c r="AI256" i="40"/>
  <c r="AF56" i="40"/>
  <c r="AI424" i="40"/>
  <c r="AL447" i="39"/>
  <c r="AO346" i="40"/>
  <c r="AK252" i="40"/>
  <c r="AL383" i="39"/>
  <c r="AI54" i="40"/>
  <c r="AG341" i="40"/>
  <c r="AL432" i="39"/>
  <c r="AJ109" i="40"/>
  <c r="AL472" i="39"/>
  <c r="AO491" i="40"/>
  <c r="AH453" i="40"/>
  <c r="AK236" i="40"/>
  <c r="AJ471" i="40"/>
  <c r="AG507" i="40"/>
  <c r="AF236" i="40"/>
  <c r="AI62" i="40"/>
  <c r="AO141" i="40"/>
  <c r="AO25" i="43"/>
  <c r="AG25" i="43"/>
  <c r="AH25" i="43"/>
  <c r="AI25" i="43"/>
  <c r="AI158" i="40"/>
  <c r="AJ158" i="40"/>
  <c r="AF158" i="40"/>
  <c r="AO158" i="40"/>
  <c r="AK158" i="40"/>
  <c r="AJ343" i="40"/>
  <c r="AF343" i="40"/>
  <c r="AL343" i="40" s="1"/>
  <c r="AK343" i="40"/>
  <c r="AH343" i="40"/>
  <c r="AH94" i="40"/>
  <c r="AK94" i="40"/>
  <c r="AL137" i="39"/>
  <c r="AK155" i="40"/>
  <c r="AH155" i="40"/>
  <c r="AH410" i="40"/>
  <c r="AI410" i="40"/>
  <c r="AK410" i="40"/>
  <c r="AG410" i="40"/>
  <c r="AJ410" i="40"/>
  <c r="AG161" i="40"/>
  <c r="AO161" i="40"/>
  <c r="AF161" i="40"/>
  <c r="AH284" i="40"/>
  <c r="AG284" i="40"/>
  <c r="AJ284" i="40"/>
  <c r="AK284" i="40"/>
  <c r="AF284" i="40"/>
  <c r="AO268" i="40"/>
  <c r="AH268" i="40"/>
  <c r="AJ268" i="40"/>
  <c r="AJ417" i="40"/>
  <c r="AO302" i="40"/>
  <c r="AO404" i="40"/>
  <c r="AJ161" i="40"/>
  <c r="AI225" i="40"/>
  <c r="AH460" i="40"/>
  <c r="AO451" i="40"/>
  <c r="AI284" i="40"/>
  <c r="AJ260" i="40"/>
  <c r="AK260" i="40"/>
  <c r="AG487" i="40"/>
  <c r="AF487" i="40"/>
  <c r="AL487" i="40" s="1"/>
  <c r="AI487" i="40"/>
  <c r="AH487" i="40"/>
  <c r="AI293" i="40"/>
  <c r="AF293" i="40"/>
  <c r="AF207" i="40"/>
  <c r="AH207" i="40"/>
  <c r="AF356" i="40"/>
  <c r="AL356" i="40" s="1"/>
  <c r="AH356" i="40"/>
  <c r="AO164" i="40"/>
  <c r="AJ164" i="40"/>
  <c r="AH164" i="40"/>
  <c r="AL509" i="39"/>
  <c r="AL95" i="39"/>
  <c r="AL469" i="39"/>
  <c r="AJ83" i="40"/>
  <c r="AH83" i="40"/>
  <c r="AO83" i="40"/>
  <c r="AO121" i="40"/>
  <c r="AF121" i="40"/>
  <c r="AO474" i="40"/>
  <c r="AF474" i="40"/>
  <c r="AL474" i="40" s="1"/>
  <c r="AI27" i="40"/>
  <c r="AG27" i="40"/>
  <c r="AK27" i="40"/>
  <c r="AF27" i="40"/>
  <c r="AH245" i="40"/>
  <c r="AJ245" i="40"/>
  <c r="AH53" i="40"/>
  <c r="AF53" i="40"/>
  <c r="AK53" i="40"/>
  <c r="AJ53" i="40"/>
  <c r="AI53" i="40"/>
  <c r="AG53" i="40"/>
  <c r="AJ270" i="40"/>
  <c r="AH270" i="40"/>
  <c r="AO270" i="40"/>
  <c r="AI270" i="40"/>
  <c r="AI502" i="40"/>
  <c r="AH502" i="40"/>
  <c r="AF502" i="40"/>
  <c r="AL502" i="40" s="1"/>
  <c r="AO129" i="40"/>
  <c r="AG129" i="40"/>
  <c r="AJ436" i="40"/>
  <c r="AK436" i="40"/>
  <c r="AO229" i="40"/>
  <c r="AF229" i="40"/>
  <c r="AK229" i="40"/>
  <c r="AJ131" i="40"/>
  <c r="AO131" i="40"/>
  <c r="AJ36" i="43"/>
  <c r="AG36" i="43"/>
  <c r="AF36" i="43"/>
  <c r="AL36" i="43" s="1"/>
  <c r="AG98" i="40"/>
  <c r="AO98" i="40"/>
  <c r="AG173" i="40"/>
  <c r="AK173" i="40"/>
  <c r="AH364" i="40"/>
  <c r="AO364" i="40"/>
  <c r="AG364" i="40"/>
  <c r="AJ364" i="40"/>
  <c r="AO496" i="40"/>
  <c r="AK433" i="40"/>
  <c r="AG217" i="40"/>
  <c r="AG417" i="40"/>
  <c r="AH402" i="40"/>
  <c r="AL401" i="39"/>
  <c r="AG65" i="40"/>
  <c r="AJ497" i="40"/>
  <c r="AI302" i="40"/>
  <c r="AK270" i="40"/>
  <c r="AJ45" i="40"/>
  <c r="AK113" i="40"/>
  <c r="AJ229" i="40"/>
  <c r="AL478" i="39"/>
  <c r="AI161" i="40"/>
  <c r="AJ474" i="40"/>
  <c r="AG225" i="40"/>
  <c r="AO173" i="40"/>
  <c r="AI131" i="40"/>
  <c r="AI113" i="40"/>
  <c r="AO72" i="40"/>
  <c r="AG478" i="40"/>
  <c r="AJ138" i="40"/>
  <c r="AL326" i="39"/>
  <c r="AJ323" i="40"/>
  <c r="AO260" i="40"/>
  <c r="AO466" i="40"/>
  <c r="AI287" i="40"/>
  <c r="AI83" i="40"/>
  <c r="AO284" i="40"/>
  <c r="AO53" i="40"/>
  <c r="AK24" i="43"/>
  <c r="AH24" i="43"/>
  <c r="AO49" i="40"/>
  <c r="AK49" i="40"/>
  <c r="AH49" i="40"/>
  <c r="AJ57" i="40"/>
  <c r="AK57" i="40"/>
  <c r="AO460" i="40"/>
  <c r="AI460" i="40"/>
  <c r="AG460" i="40"/>
  <c r="AF21" i="40"/>
  <c r="AK21" i="40"/>
  <c r="AO21" i="40"/>
  <c r="AH21" i="40"/>
  <c r="AK438" i="40"/>
  <c r="AI438" i="40"/>
  <c r="AH438" i="40"/>
  <c r="AF438" i="40"/>
  <c r="AL438" i="40" s="1"/>
  <c r="AO65" i="40"/>
  <c r="AK65" i="40"/>
  <c r="AJ123" i="40"/>
  <c r="AI123" i="40"/>
  <c r="AK123" i="40"/>
  <c r="AH123" i="40"/>
  <c r="AH77" i="40"/>
  <c r="AF77" i="40"/>
  <c r="AK77" i="40"/>
  <c r="AG451" i="40"/>
  <c r="AF451" i="40"/>
  <c r="AL451" i="40" s="1"/>
  <c r="AJ496" i="40"/>
  <c r="AL217" i="39"/>
  <c r="AL335" i="39"/>
  <c r="AK497" i="40"/>
  <c r="AK287" i="40"/>
  <c r="AJ302" i="40"/>
  <c r="AH478" i="40"/>
  <c r="AG123" i="40"/>
  <c r="AI343" i="40"/>
  <c r="AF57" i="40"/>
  <c r="AO438" i="40"/>
  <c r="AG202" i="40"/>
  <c r="AK202" i="40"/>
  <c r="AJ202" i="40"/>
  <c r="AO202" i="40"/>
  <c r="AH202" i="40"/>
  <c r="AF309" i="40"/>
  <c r="AI309" i="40"/>
  <c r="AI318" i="40"/>
  <c r="AF318" i="40"/>
  <c r="AO318" i="40"/>
  <c r="AI268" i="40"/>
  <c r="AJ217" i="40"/>
  <c r="AI57" i="40"/>
  <c r="AG268" i="40"/>
  <c r="AH65" i="40"/>
  <c r="AI260" i="40"/>
  <c r="AF270" i="40"/>
  <c r="AH187" i="40"/>
  <c r="AK161" i="40"/>
  <c r="AG474" i="40"/>
  <c r="AJ77" i="40"/>
  <c r="AJ27" i="40"/>
  <c r="AF225" i="40"/>
  <c r="AI173" i="40"/>
  <c r="AK72" i="40"/>
  <c r="AI138" i="40"/>
  <c r="AO343" i="40"/>
  <c r="AJ503" i="40"/>
  <c r="AK460" i="40"/>
  <c r="AH451" i="40"/>
  <c r="AH466" i="40"/>
  <c r="AK83" i="40"/>
  <c r="AF202" i="40"/>
  <c r="AH309" i="40"/>
  <c r="AK293" i="40"/>
  <c r="AK25" i="43"/>
  <c r="AF333" i="40"/>
  <c r="AL333" i="40" s="1"/>
  <c r="AJ333" i="40"/>
  <c r="AK428" i="40"/>
  <c r="AG428" i="40"/>
  <c r="AF427" i="40"/>
  <c r="AL427" i="40" s="1"/>
  <c r="AK427" i="40"/>
  <c r="AF81" i="44"/>
  <c r="AL81" i="44" s="1"/>
  <c r="AI81" i="44"/>
  <c r="AG81" i="44"/>
  <c r="AH81" i="44"/>
  <c r="AO81" i="44"/>
  <c r="AK81" i="44"/>
  <c r="AJ81" i="44"/>
  <c r="AI390" i="40"/>
  <c r="AF390" i="40"/>
  <c r="AL390" i="40" s="1"/>
  <c r="AH105" i="40"/>
  <c r="AF105" i="40"/>
  <c r="AI105" i="40"/>
  <c r="AG105" i="40"/>
  <c r="AI237" i="40"/>
  <c r="AJ237" i="40"/>
  <c r="AH237" i="40"/>
  <c r="AG237" i="40"/>
  <c r="AF391" i="40"/>
  <c r="AL391" i="40" s="1"/>
  <c r="AH391" i="40"/>
  <c r="AG391" i="40"/>
  <c r="AK391" i="40"/>
  <c r="AJ391" i="40"/>
  <c r="AO391" i="40"/>
  <c r="AI147" i="40"/>
  <c r="AK147" i="40"/>
  <c r="AF147" i="40"/>
  <c r="AK220" i="40"/>
  <c r="AO220" i="40"/>
  <c r="AH220" i="40"/>
  <c r="AK43" i="40"/>
  <c r="AH43" i="40"/>
  <c r="AO43" i="40"/>
  <c r="AF43" i="40"/>
  <c r="AI43" i="40"/>
  <c r="AG401" i="40"/>
  <c r="AK401" i="40"/>
  <c r="AO401" i="40"/>
  <c r="AO249" i="40"/>
  <c r="AH249" i="40"/>
  <c r="AI249" i="40"/>
  <c r="AL189" i="39"/>
  <c r="AL347" i="39"/>
  <c r="AL485" i="39"/>
  <c r="AL495" i="39"/>
  <c r="AL44" i="46"/>
  <c r="AL197" i="39"/>
  <c r="AL486" i="39"/>
  <c r="AL292" i="39"/>
  <c r="AL508" i="39"/>
  <c r="AL43" i="46"/>
  <c r="AL452" i="39"/>
  <c r="AL232" i="39"/>
  <c r="AL313" i="39"/>
  <c r="AL474" i="39"/>
  <c r="AL282" i="39"/>
  <c r="AK390" i="40"/>
  <c r="AJ249" i="40"/>
  <c r="AG36" i="40"/>
  <c r="AO147" i="40"/>
  <c r="AG30" i="43"/>
  <c r="AJ20" i="40"/>
  <c r="AF20" i="40"/>
  <c r="AI20" i="40"/>
  <c r="AK20" i="40"/>
  <c r="AH20" i="40"/>
  <c r="AI74" i="40"/>
  <c r="AF74" i="40"/>
  <c r="AO74" i="40"/>
  <c r="AK74" i="40"/>
  <c r="AI140" i="40"/>
  <c r="AO140" i="40"/>
  <c r="AK140" i="40"/>
  <c r="AG140" i="40"/>
  <c r="AF140" i="40"/>
  <c r="AG320" i="40"/>
  <c r="AH320" i="40"/>
  <c r="AI320" i="40"/>
  <c r="AI475" i="40"/>
  <c r="AJ475" i="40"/>
  <c r="AO475" i="40"/>
  <c r="AG281" i="40"/>
  <c r="AH281" i="40"/>
  <c r="AI281" i="40"/>
  <c r="AH437" i="40"/>
  <c r="AI437" i="40"/>
  <c r="AG437" i="40"/>
  <c r="AO437" i="40"/>
  <c r="AG29" i="40"/>
  <c r="AO390" i="40"/>
  <c r="AJ336" i="40"/>
  <c r="AF320" i="40"/>
  <c r="AL192" i="39"/>
  <c r="AL389" i="39"/>
  <c r="AF462" i="40"/>
  <c r="AL462" i="40" s="1"/>
  <c r="AG220" i="40"/>
  <c r="AL159" i="39"/>
  <c r="AH390" i="40"/>
  <c r="AO105" i="40"/>
  <c r="AL305" i="39"/>
  <c r="AL167" i="39"/>
  <c r="AI391" i="40"/>
  <c r="AG462" i="40"/>
  <c r="AO237" i="40"/>
  <c r="AI84" i="44"/>
  <c r="AL331" i="39"/>
  <c r="AJ281" i="40"/>
  <c r="AH74" i="40"/>
  <c r="AF237" i="40"/>
  <c r="AL460" i="39"/>
  <c r="AI56" i="44"/>
  <c r="AK56" i="44"/>
  <c r="AJ56" i="44"/>
  <c r="AO56" i="44"/>
  <c r="AG56" i="44"/>
  <c r="AH56" i="44"/>
  <c r="AF56" i="44"/>
  <c r="AL56" i="44" s="1"/>
  <c r="AL225" i="39"/>
  <c r="AL117" i="39"/>
  <c r="AK110" i="40"/>
  <c r="AK237" i="40"/>
  <c r="AJ22" i="43"/>
  <c r="AK22" i="43"/>
  <c r="AI22" i="43"/>
  <c r="AO22" i="43"/>
  <c r="AG22" i="43"/>
  <c r="AF449" i="40"/>
  <c r="AL449" i="40" s="1"/>
  <c r="AI449" i="40"/>
  <c r="AH415" i="40"/>
  <c r="AF415" i="40"/>
  <c r="AL415" i="40" s="1"/>
  <c r="AO415" i="40"/>
  <c r="AJ415" i="40"/>
  <c r="AG415" i="40"/>
  <c r="AG32" i="40"/>
  <c r="AK32" i="40"/>
  <c r="AO32" i="40"/>
  <c r="AL407" i="39"/>
  <c r="AL504" i="39"/>
  <c r="AL430" i="39"/>
  <c r="AL151" i="39"/>
  <c r="AL257" i="39"/>
  <c r="AL59" i="46"/>
  <c r="AL133" i="39"/>
  <c r="AL337" i="39"/>
  <c r="AL143" i="39"/>
  <c r="AL245" i="39"/>
  <c r="AL134" i="39"/>
  <c r="AL446" i="39"/>
  <c r="AL252" i="39"/>
  <c r="AL406" i="39"/>
  <c r="AL260" i="39"/>
  <c r="AL341" i="39"/>
  <c r="AL195" i="39"/>
  <c r="AL498" i="39"/>
  <c r="AL370" i="39"/>
  <c r="AL242" i="39"/>
  <c r="AL178" i="39"/>
  <c r="AH449" i="40"/>
  <c r="AL464" i="39"/>
  <c r="AJ390" i="40"/>
  <c r="AF29" i="40"/>
  <c r="AL113" i="39"/>
  <c r="AL327" i="39"/>
  <c r="AL414" i="39"/>
  <c r="AL416" i="39"/>
  <c r="AJ437" i="40"/>
  <c r="AG62" i="43"/>
  <c r="AJ62" i="43"/>
  <c r="AI62" i="43"/>
  <c r="AK62" i="43"/>
  <c r="AF492" i="40"/>
  <c r="AL492" i="40" s="1"/>
  <c r="AI492" i="40"/>
  <c r="AK492" i="40"/>
  <c r="AF419" i="40"/>
  <c r="AL419" i="40" s="1"/>
  <c r="AJ419" i="40"/>
  <c r="AI419" i="40"/>
  <c r="AO394" i="40"/>
  <c r="AF394" i="40"/>
  <c r="AL394" i="40" s="1"/>
  <c r="AG394" i="40"/>
  <c r="AO479" i="40"/>
  <c r="AJ479" i="40"/>
  <c r="AK479" i="40"/>
  <c r="AH479" i="40"/>
  <c r="AG479" i="40"/>
  <c r="AI44" i="40"/>
  <c r="AO44" i="40"/>
  <c r="AJ44" i="40"/>
  <c r="AH44" i="40"/>
  <c r="AF224" i="40"/>
  <c r="AH224" i="40"/>
  <c r="AG224" i="40"/>
  <c r="AG312" i="40"/>
  <c r="AJ312" i="40"/>
  <c r="AK312" i="40"/>
  <c r="AK301" i="40"/>
  <c r="AG301" i="40"/>
  <c r="AH301" i="40"/>
  <c r="AF24" i="43"/>
  <c r="AI24" i="43"/>
  <c r="AO24" i="43"/>
  <c r="AG24" i="43"/>
  <c r="AF503" i="40"/>
  <c r="AL503" i="40" s="1"/>
  <c r="AG503" i="40"/>
  <c r="AK503" i="40"/>
  <c r="AI402" i="40"/>
  <c r="AK402" i="40"/>
  <c r="AH488" i="40"/>
  <c r="AF488" i="40"/>
  <c r="AL488" i="40" s="1"/>
  <c r="AI488" i="40"/>
  <c r="AO488" i="40"/>
  <c r="AK60" i="40"/>
  <c r="AO60" i="40"/>
  <c r="AH60" i="40"/>
  <c r="AJ60" i="40"/>
  <c r="AF60" i="40"/>
  <c r="AG60" i="40"/>
  <c r="AH235" i="40"/>
  <c r="AI235" i="40"/>
  <c r="AO235" i="40"/>
  <c r="AF235" i="40"/>
  <c r="AI197" i="40"/>
  <c r="AF197" i="40"/>
  <c r="AK197" i="40"/>
  <c r="AJ197" i="40"/>
  <c r="AG197" i="40"/>
  <c r="AO197" i="40"/>
  <c r="AJ94" i="40"/>
  <c r="AG94" i="40"/>
  <c r="AI94" i="40"/>
  <c r="AL357" i="39"/>
  <c r="AL345" i="39"/>
  <c r="AL467" i="39"/>
  <c r="AL456" i="39"/>
  <c r="AL445" i="39"/>
  <c r="AL382" i="39"/>
  <c r="AL247" i="39"/>
  <c r="AL356" i="39"/>
  <c r="AL246" i="39"/>
  <c r="AL136" i="39"/>
  <c r="AF28" i="42"/>
  <c r="AL28" i="42" s="1"/>
  <c r="AL510" i="39"/>
  <c r="AL412" i="39"/>
  <c r="AL316" i="39"/>
  <c r="AL119" i="39"/>
  <c r="AL46" i="46"/>
  <c r="AL422" i="39"/>
  <c r="AL228" i="39"/>
  <c r="AL129" i="39"/>
  <c r="AL453" i="39"/>
  <c r="AL329" i="39"/>
  <c r="AL233" i="39"/>
  <c r="AL511" i="39"/>
  <c r="AL413" i="39"/>
  <c r="AL317" i="39"/>
  <c r="AL219" i="39"/>
  <c r="AL120" i="39"/>
  <c r="AL55" i="46"/>
  <c r="AM55" i="46" s="1"/>
  <c r="AL435" i="39"/>
  <c r="AL336" i="39"/>
  <c r="AL238" i="39"/>
  <c r="AL142" i="39"/>
  <c r="AL470" i="39"/>
  <c r="AL397" i="39"/>
  <c r="AL324" i="39"/>
  <c r="AL251" i="39"/>
  <c r="AL177" i="39"/>
  <c r="AL405" i="39"/>
  <c r="AL332" i="39"/>
  <c r="AL259" i="39"/>
  <c r="AL185" i="39"/>
  <c r="AL490" i="39"/>
  <c r="AL426" i="39"/>
  <c r="AL362" i="39"/>
  <c r="AL298" i="39"/>
  <c r="AL234" i="39"/>
  <c r="AL170" i="39"/>
  <c r="AL106" i="39"/>
  <c r="AJ30" i="43"/>
  <c r="AI30" i="43"/>
  <c r="AO30" i="43"/>
  <c r="AK30" i="43"/>
  <c r="AK336" i="40"/>
  <c r="AI336" i="40"/>
  <c r="AO336" i="40"/>
  <c r="AF336" i="40"/>
  <c r="AL336" i="40" s="1"/>
  <c r="AK36" i="40"/>
  <c r="AH36" i="40"/>
  <c r="AO36" i="40"/>
  <c r="AG247" i="40"/>
  <c r="AF247" i="40"/>
  <c r="AO247" i="40"/>
  <c r="AK247" i="40"/>
  <c r="AJ462" i="40"/>
  <c r="AI462" i="40"/>
  <c r="AO462" i="40"/>
  <c r="AH462" i="40"/>
  <c r="AL372" i="39"/>
  <c r="AL200" i="39"/>
  <c r="AL371" i="39"/>
  <c r="AL115" i="39"/>
  <c r="AL221" i="39"/>
  <c r="AL512" i="39"/>
  <c r="AL291" i="39"/>
  <c r="AL92" i="39"/>
  <c r="AL399" i="39"/>
  <c r="AL301" i="39"/>
  <c r="AL107" i="39"/>
  <c r="AL307" i="39"/>
  <c r="AL97" i="39"/>
  <c r="AL390" i="39"/>
  <c r="AL93" i="39"/>
  <c r="AL409" i="39"/>
  <c r="AL311" i="39"/>
  <c r="AL215" i="39"/>
  <c r="AL379" i="39"/>
  <c r="AL57" i="46"/>
  <c r="AL240" i="39"/>
  <c r="AL94" i="39"/>
  <c r="AL410" i="39"/>
  <c r="AL218" i="39"/>
  <c r="AL154" i="39"/>
  <c r="AJ401" i="40"/>
  <c r="AJ247" i="40"/>
  <c r="AF220" i="40"/>
  <c r="AL224" i="39"/>
  <c r="AG21" i="43"/>
  <c r="AK21" i="43"/>
  <c r="AO21" i="43"/>
  <c r="AF21" i="43"/>
  <c r="AO110" i="40"/>
  <c r="AF110" i="40"/>
  <c r="AJ84" i="44"/>
  <c r="AO84" i="44"/>
  <c r="AF84" i="44"/>
  <c r="AL84" i="44" s="1"/>
  <c r="AK84" i="44"/>
  <c r="AK29" i="40"/>
  <c r="AH401" i="40"/>
  <c r="AF281" i="40"/>
  <c r="AI247" i="40"/>
  <c r="AG249" i="40"/>
  <c r="AF36" i="40"/>
  <c r="AG475" i="40"/>
  <c r="AI401" i="40"/>
  <c r="AK281" i="40"/>
  <c r="AH247" i="40"/>
  <c r="AF249" i="40"/>
  <c r="AO320" i="40"/>
  <c r="AL465" i="39"/>
  <c r="AL358" i="39"/>
  <c r="AI220" i="40"/>
  <c r="AG43" i="40"/>
  <c r="AO20" i="40"/>
  <c r="AI29" i="40"/>
  <c r="AH475" i="40"/>
  <c r="AL273" i="39"/>
  <c r="AL111" i="39"/>
  <c r="AG390" i="40"/>
  <c r="AK105" i="40"/>
  <c r="AG336" i="40"/>
  <c r="AK320" i="40"/>
  <c r="AL193" i="39"/>
  <c r="AJ29" i="40"/>
  <c r="AK475" i="40"/>
  <c r="AH21" i="43"/>
  <c r="AJ105" i="40"/>
  <c r="AJ320" i="40"/>
  <c r="AL346" i="39"/>
  <c r="AJ140" i="40"/>
  <c r="AF475" i="40"/>
  <c r="AL475" i="40" s="1"/>
  <c r="AL203" i="39"/>
  <c r="AK118" i="40"/>
  <c r="AG118" i="40"/>
  <c r="AI118" i="40"/>
  <c r="AJ118" i="40"/>
  <c r="AO118" i="40"/>
  <c r="AH118" i="40"/>
  <c r="AJ338" i="40"/>
  <c r="AO338" i="40"/>
  <c r="AO486" i="40"/>
  <c r="AK486" i="40"/>
  <c r="AI486" i="40"/>
  <c r="AF486" i="40"/>
  <c r="AL486" i="40" s="1"/>
  <c r="AG486" i="40"/>
  <c r="AK151" i="40"/>
  <c r="AO151" i="40"/>
  <c r="AI151" i="40"/>
  <c r="AJ151" i="40"/>
  <c r="AF151" i="40"/>
  <c r="AG453" i="40"/>
  <c r="AK453" i="40"/>
  <c r="AJ453" i="40"/>
  <c r="AL175" i="39"/>
  <c r="AL493" i="39"/>
  <c r="AL367" i="39"/>
  <c r="AL161" i="39"/>
  <c r="AL425" i="39"/>
  <c r="AL229" i="39"/>
  <c r="AL436" i="39"/>
  <c r="AL454" i="39"/>
  <c r="AL355" i="39"/>
  <c r="AL135" i="39"/>
  <c r="AL427" i="39"/>
  <c r="AL348" i="39"/>
  <c r="AL153" i="39"/>
  <c r="AL333" i="39"/>
  <c r="AL187" i="39"/>
  <c r="AL268" i="39"/>
  <c r="AL434" i="39"/>
  <c r="AL306" i="39"/>
  <c r="AL114" i="39"/>
  <c r="AH486" i="40"/>
  <c r="AG449" i="40"/>
  <c r="AH147" i="40"/>
  <c r="AH29" i="40"/>
  <c r="AF437" i="40"/>
  <c r="AL437" i="40" s="1"/>
  <c r="AJ74" i="40"/>
  <c r="AL387" i="39"/>
  <c r="AH110" i="40"/>
  <c r="AL487" i="39"/>
  <c r="AL294" i="39"/>
  <c r="AI110" i="40"/>
  <c r="AJ21" i="43"/>
  <c r="AF22" i="43"/>
  <c r="AG57" i="43"/>
  <c r="AH57" i="43"/>
  <c r="AF57" i="43"/>
  <c r="AL57" i="43" s="1"/>
  <c r="AI41" i="40"/>
  <c r="AK41" i="40"/>
  <c r="AG41" i="40"/>
  <c r="AJ41" i="40"/>
  <c r="AK458" i="40"/>
  <c r="AG458" i="40"/>
  <c r="AH458" i="40"/>
  <c r="AI458" i="40"/>
  <c r="AF458" i="40"/>
  <c r="AL458" i="40" s="1"/>
  <c r="AG91" i="40"/>
  <c r="AO91" i="40"/>
  <c r="AF91" i="40"/>
  <c r="AI91" i="40"/>
  <c r="AO153" i="40"/>
  <c r="AH153" i="40"/>
  <c r="AF153" i="40"/>
  <c r="AI153" i="40"/>
  <c r="AG153" i="40"/>
  <c r="AO308" i="40"/>
  <c r="AG308" i="40"/>
  <c r="AJ308" i="40"/>
  <c r="AF308" i="40"/>
  <c r="AK447" i="40"/>
  <c r="AF447" i="40"/>
  <c r="AL447" i="40" s="1"/>
  <c r="AO510" i="40"/>
  <c r="AF510" i="40"/>
  <c r="AL510" i="40" s="1"/>
  <c r="AI356" i="40"/>
  <c r="AJ356" i="40"/>
  <c r="AG356" i="40"/>
  <c r="AF466" i="40"/>
  <c r="AL466" i="40" s="1"/>
  <c r="AJ466" i="40"/>
  <c r="AI466" i="40"/>
  <c r="AF101" i="40"/>
  <c r="AG101" i="40"/>
  <c r="AK101" i="40"/>
  <c r="AO101" i="40"/>
  <c r="AJ101" i="40"/>
  <c r="AH101" i="40"/>
  <c r="AI101" i="40"/>
  <c r="AK164" i="40"/>
  <c r="AG164" i="40"/>
  <c r="AF164" i="40"/>
  <c r="AH318" i="40"/>
  <c r="AJ318" i="40"/>
  <c r="AG318" i="40"/>
  <c r="AH327" i="40"/>
  <c r="AJ327" i="40"/>
  <c r="AF327" i="40"/>
  <c r="AO327" i="40"/>
  <c r="AK327" i="40"/>
  <c r="AG323" i="40"/>
  <c r="AH323" i="40"/>
  <c r="AK323" i="40"/>
  <c r="AF323" i="40"/>
  <c r="AL323" i="40" s="1"/>
  <c r="AL468" i="39"/>
  <c r="AL309" i="39"/>
  <c r="AL297" i="39"/>
  <c r="AL285" i="39"/>
  <c r="AL419" i="39"/>
  <c r="AL408" i="39"/>
  <c r="AL395" i="39"/>
  <c r="AL334" i="39"/>
  <c r="AL236" i="39"/>
  <c r="AL126" i="39"/>
  <c r="AL491" i="39"/>
  <c r="AL344" i="39"/>
  <c r="AL235" i="39"/>
  <c r="AL125" i="39"/>
  <c r="AL60" i="46"/>
  <c r="AL499" i="39"/>
  <c r="AL206" i="39"/>
  <c r="AL108" i="39"/>
  <c r="AL411" i="39"/>
  <c r="AL312" i="39"/>
  <c r="AL118" i="39"/>
  <c r="AL54" i="46"/>
  <c r="AL381" i="39"/>
  <c r="AL220" i="39"/>
  <c r="AL110" i="39"/>
  <c r="AL500" i="39"/>
  <c r="AL207" i="39"/>
  <c r="AL109" i="39"/>
  <c r="AL48" i="46"/>
  <c r="AL421" i="39"/>
  <c r="AL325" i="39"/>
  <c r="AL227" i="39"/>
  <c r="AL128" i="39"/>
  <c r="AL63" i="46"/>
  <c r="AL461" i="39"/>
  <c r="AL388" i="39"/>
  <c r="AL241" i="39"/>
  <c r="AL168" i="39"/>
  <c r="AL323" i="39"/>
  <c r="AL249" i="39"/>
  <c r="AL176" i="39"/>
  <c r="AL482" i="39"/>
  <c r="AL418" i="39"/>
  <c r="AL354" i="39"/>
  <c r="AL290" i="39"/>
  <c r="AL226" i="39"/>
  <c r="AL162" i="39"/>
  <c r="AL98" i="39"/>
  <c r="AL116" i="39"/>
  <c r="AL100" i="39"/>
  <c r="AL398" i="39"/>
  <c r="AL201" i="39"/>
  <c r="AL443" i="39"/>
  <c r="AL45" i="46"/>
  <c r="AL158" i="39"/>
  <c r="AL320" i="39"/>
  <c r="AJ187" i="40"/>
  <c r="AF165" i="40"/>
  <c r="AG343" i="40"/>
  <c r="AO485" i="40"/>
  <c r="AH331" i="40"/>
  <c r="AF25" i="43"/>
  <c r="AL25" i="43" s="1"/>
  <c r="AL280" i="39"/>
  <c r="AI176" i="40"/>
  <c r="AI417" i="40"/>
  <c r="AJ416" i="40"/>
  <c r="AI87" i="40"/>
  <c r="AL146" i="39"/>
  <c r="AG459" i="40"/>
  <c r="AL91" i="39"/>
  <c r="AO152" i="40"/>
  <c r="AJ87" i="40"/>
  <c r="AK200" i="40"/>
  <c r="AI146" i="40"/>
  <c r="AH404" i="40"/>
  <c r="AO225" i="40"/>
  <c r="AK285" i="40"/>
  <c r="AO138" i="40"/>
  <c r="AG45" i="40"/>
  <c r="AK120" i="40"/>
  <c r="AG207" i="40"/>
  <c r="AL222" i="39"/>
  <c r="AL385" i="39"/>
  <c r="AF485" i="40"/>
  <c r="AL485" i="40" s="1"/>
  <c r="AL484" i="39"/>
  <c r="AO487" i="40"/>
  <c r="AL214" i="39"/>
  <c r="AH293" i="40"/>
  <c r="AO309" i="40"/>
  <c r="AO293" i="40"/>
  <c r="AG295" i="40"/>
  <c r="AG293" i="40"/>
  <c r="AK80" i="44"/>
  <c r="AH80" i="44"/>
  <c r="AJ80" i="44"/>
  <c r="AO80" i="44"/>
  <c r="AI80" i="44"/>
  <c r="AG80" i="44"/>
  <c r="AF80" i="44"/>
  <c r="AL80" i="44" s="1"/>
  <c r="AF48" i="44"/>
  <c r="AL48" i="44" s="1"/>
  <c r="AO48" i="44"/>
  <c r="AI48" i="44"/>
  <c r="AK48" i="44"/>
  <c r="AH48" i="44"/>
  <c r="AG48" i="44"/>
  <c r="AJ48" i="44"/>
  <c r="AL492" i="39"/>
  <c r="AL481" i="39"/>
  <c r="AL420" i="39"/>
  <c r="AL164" i="39"/>
  <c r="AL380" i="39"/>
  <c r="AL373" i="39"/>
  <c r="AL179" i="39"/>
  <c r="AL205" i="39"/>
  <c r="AL140" i="39"/>
  <c r="AL258" i="39"/>
  <c r="AL52" i="46"/>
  <c r="AH79" i="44"/>
  <c r="AK79" i="44"/>
  <c r="AJ79" i="44"/>
  <c r="AI79" i="44"/>
  <c r="AF79" i="44"/>
  <c r="AL79" i="44" s="1"/>
  <c r="AO79" i="44"/>
  <c r="AG79" i="44"/>
  <c r="AI71" i="44"/>
  <c r="AJ71" i="44"/>
  <c r="AO71" i="44"/>
  <c r="AH71" i="44"/>
  <c r="AK71" i="44"/>
  <c r="AF71" i="44"/>
  <c r="AL71" i="44" s="1"/>
  <c r="AG71" i="44"/>
  <c r="AL139" i="39"/>
  <c r="AL310" i="39"/>
  <c r="AL299" i="39"/>
  <c r="AL211" i="39"/>
  <c r="AL99" i="39"/>
  <c r="AL476" i="39"/>
  <c r="AL181" i="39"/>
  <c r="AL61" i="46"/>
  <c r="AL403" i="39"/>
  <c r="AL475" i="39"/>
  <c r="AL182" i="39"/>
  <c r="AL300" i="39"/>
  <c r="AL150" i="39"/>
  <c r="AF417" i="40"/>
  <c r="AL417" i="40" s="1"/>
  <c r="AI416" i="40"/>
  <c r="AH200" i="40"/>
  <c r="AH225" i="40"/>
  <c r="AL440" i="39"/>
  <c r="AL262" i="39"/>
  <c r="AG138" i="40"/>
  <c r="AI187" i="40"/>
  <c r="AO120" i="40"/>
  <c r="AG158" i="40"/>
  <c r="AG72" i="44"/>
  <c r="AI72" i="44"/>
  <c r="AF72" i="44"/>
  <c r="AL72" i="44" s="1"/>
  <c r="AK72" i="44"/>
  <c r="AJ72" i="44"/>
  <c r="AO72" i="44"/>
  <c r="AH72" i="44"/>
  <c r="AL62" i="46"/>
  <c r="AL53" i="46"/>
  <c r="AL237" i="39"/>
  <c r="AL212" i="39"/>
  <c r="AL429" i="39"/>
  <c r="AL308" i="39"/>
  <c r="AL428" i="39"/>
  <c r="AL265" i="39"/>
  <c r="AL180" i="39"/>
  <c r="AL49" i="46"/>
  <c r="AL172" i="39"/>
  <c r="AL365" i="39"/>
  <c r="AL267" i="39"/>
  <c r="AL171" i="39"/>
  <c r="AL483" i="39"/>
  <c r="AL507" i="39"/>
  <c r="AL141" i="39"/>
  <c r="AL51" i="46"/>
  <c r="AL149" i="39"/>
  <c r="AL50" i="46"/>
  <c r="AL458" i="39"/>
  <c r="AL330" i="39"/>
  <c r="AL266" i="39"/>
  <c r="AL202" i="39"/>
  <c r="AL58" i="46"/>
  <c r="AL360" i="39"/>
  <c r="AO82" i="40"/>
  <c r="AF295" i="40"/>
  <c r="AG414" i="40"/>
  <c r="AK187" i="40"/>
  <c r="AL209" i="39"/>
  <c r="AF146" i="40"/>
  <c r="AJ404" i="40"/>
  <c r="AK138" i="40"/>
  <c r="AJ207" i="40"/>
  <c r="AI45" i="40"/>
  <c r="AK207" i="40"/>
  <c r="AO207" i="40"/>
  <c r="AF138" i="40"/>
  <c r="AL494" i="39"/>
  <c r="AG485" i="40"/>
  <c r="AJ293" i="40"/>
  <c r="AG309" i="40"/>
  <c r="AL105" i="39"/>
  <c r="AL188" i="39"/>
  <c r="AI60" i="43"/>
  <c r="AH60" i="43"/>
  <c r="AL444" i="39"/>
  <c r="AL480" i="39"/>
  <c r="AL163" i="39"/>
  <c r="AL243" i="39"/>
  <c r="AL244" i="39"/>
  <c r="AL457" i="39"/>
  <c r="AL361" i="39"/>
  <c r="AL196" i="39"/>
  <c r="AL277" i="39"/>
  <c r="AL122" i="39"/>
  <c r="AF53" i="44"/>
  <c r="AL53" i="44" s="1"/>
  <c r="AJ55" i="44"/>
  <c r="AH86" i="44"/>
  <c r="AF85" i="44"/>
  <c r="AL85" i="44" s="1"/>
  <c r="AM85" i="44" s="1"/>
  <c r="AJ85" i="44"/>
  <c r="AO57" i="44"/>
  <c r="AK77" i="44"/>
  <c r="AK85" i="44"/>
  <c r="AF18" i="46"/>
  <c r="AH75" i="44"/>
  <c r="AF75" i="44"/>
  <c r="AL75" i="44" s="1"/>
  <c r="AN75" i="44" s="1"/>
  <c r="AH67" i="44"/>
  <c r="AJ86" i="44"/>
  <c r="AF67" i="44"/>
  <c r="AL67" i="44" s="1"/>
  <c r="AM67" i="44" s="1"/>
  <c r="AF70" i="44"/>
  <c r="AL70" i="44" s="1"/>
  <c r="AN70" i="44" s="1"/>
  <c r="AF77" i="44"/>
  <c r="AL77" i="44" s="1"/>
  <c r="AM77" i="44" s="1"/>
  <c r="AJ70" i="44"/>
  <c r="AI77" i="44"/>
  <c r="AH70" i="44"/>
  <c r="AG85" i="44"/>
  <c r="AK18" i="46"/>
  <c r="AH18" i="46"/>
  <c r="AJ18" i="46"/>
  <c r="AJ69" i="44"/>
  <c r="AI82" i="44"/>
  <c r="AG18" i="46"/>
  <c r="AI18" i="46"/>
  <c r="AO18" i="46"/>
  <c r="AH78" i="44"/>
  <c r="AG75" i="44"/>
  <c r="AF82" i="44"/>
  <c r="AL82" i="44" s="1"/>
  <c r="AM82" i="44" s="1"/>
  <c r="AK75" i="44"/>
  <c r="AG70" i="44"/>
  <c r="AF78" i="44"/>
  <c r="AL78" i="44" s="1"/>
  <c r="AM78" i="44" s="1"/>
  <c r="AK70" i="44"/>
  <c r="AI75" i="44"/>
  <c r="AJ76" i="44"/>
  <c r="AJ82" i="44"/>
  <c r="AO70" i="44"/>
  <c r="AO76" i="44"/>
  <c r="AI78" i="44"/>
  <c r="AJ75" i="44"/>
  <c r="AG76" i="44"/>
  <c r="AJ78" i="44"/>
  <c r="AH69" i="44"/>
  <c r="AF76" i="44"/>
  <c r="AL76" i="44" s="1"/>
  <c r="AN76" i="44" s="1"/>
  <c r="AJ77" i="44"/>
  <c r="AK73" i="44"/>
  <c r="AO67" i="44"/>
  <c r="AH82" i="44"/>
  <c r="AJ73" i="44"/>
  <c r="AG67" i="44"/>
  <c r="AF74" i="44"/>
  <c r="AL74" i="44" s="1"/>
  <c r="AN74" i="44" s="1"/>
  <c r="AK83" i="44"/>
  <c r="AH68" i="44"/>
  <c r="AJ83" i="44"/>
  <c r="AO68" i="44"/>
  <c r="AH73" i="44"/>
  <c r="AO69" i="44"/>
  <c r="AK74" i="44"/>
  <c r="AO83" i="44"/>
  <c r="AO86" i="44"/>
  <c r="AO78" i="44"/>
  <c r="AK68" i="44"/>
  <c r="AG73" i="44"/>
  <c r="AK76" i="44"/>
  <c r="AO82" i="44"/>
  <c r="AJ43" i="44"/>
  <c r="AO77" i="44"/>
  <c r="AG78" i="44"/>
  <c r="AJ74" i="44"/>
  <c r="AI68" i="44"/>
  <c r="AH83" i="44"/>
  <c r="AF73" i="44"/>
  <c r="AL73" i="44" s="1"/>
  <c r="AM73" i="44" s="1"/>
  <c r="AI86" i="44"/>
  <c r="AI69" i="44"/>
  <c r="AI76" i="44"/>
  <c r="AJ67" i="44"/>
  <c r="AG82" i="44"/>
  <c r="AH85" i="44"/>
  <c r="AJ68" i="44"/>
  <c r="AO74" i="44"/>
  <c r="AG74" i="44"/>
  <c r="AI83" i="44"/>
  <c r="AG86" i="44"/>
  <c r="AF68" i="44"/>
  <c r="AL68" i="44" s="1"/>
  <c r="AN68" i="44" s="1"/>
  <c r="AO73" i="44"/>
  <c r="AG69" i="44"/>
  <c r="AH77" i="44"/>
  <c r="AI74" i="44"/>
  <c r="AG83" i="44"/>
  <c r="AK86" i="44"/>
  <c r="AF69" i="44"/>
  <c r="AL69" i="44" s="1"/>
  <c r="AM69" i="44" s="1"/>
  <c r="AK67" i="44"/>
  <c r="AI85" i="44"/>
  <c r="AH60" i="44"/>
  <c r="AG57" i="44"/>
  <c r="AF45" i="44"/>
  <c r="AL45" i="44" s="1"/>
  <c r="AG46" i="44"/>
  <c r="AF57" i="44"/>
  <c r="AL57" i="44" s="1"/>
  <c r="AF55" i="44"/>
  <c r="AL55" i="44" s="1"/>
  <c r="AO42" i="44"/>
  <c r="AK55" i="44"/>
  <c r="AG50" i="44"/>
  <c r="AJ51" i="44"/>
  <c r="AF41" i="44"/>
  <c r="AK52" i="44"/>
  <c r="AO54" i="44"/>
  <c r="AI52" i="44"/>
  <c r="AG54" i="44"/>
  <c r="AI58" i="44"/>
  <c r="AF49" i="44"/>
  <c r="AL49" i="44" s="1"/>
  <c r="AH44" i="44"/>
  <c r="AH52" i="44"/>
  <c r="AI54" i="44"/>
  <c r="AK45" i="44"/>
  <c r="AK50" i="44"/>
  <c r="AK53" i="44"/>
  <c r="AI51" i="44"/>
  <c r="AI43" i="44"/>
  <c r="AK41" i="44"/>
  <c r="AF58" i="44"/>
  <c r="AL58" i="44" s="1"/>
  <c r="AI42" i="44"/>
  <c r="AH49" i="44"/>
  <c r="AI46" i="44"/>
  <c r="AG44" i="44"/>
  <c r="AG60" i="44"/>
  <c r="AJ45" i="44"/>
  <c r="AF50" i="44"/>
  <c r="AL50" i="44" s="1"/>
  <c r="AJ53" i="44"/>
  <c r="AO51" i="44"/>
  <c r="AO43" i="44"/>
  <c r="AJ41" i="44"/>
  <c r="AO52" i="44"/>
  <c r="AH58" i="44"/>
  <c r="AG42" i="44"/>
  <c r="AI49" i="44"/>
  <c r="AJ46" i="44"/>
  <c r="AF44" i="44"/>
  <c r="AL44" i="44" s="1"/>
  <c r="AF60" i="44"/>
  <c r="AL60" i="44" s="1"/>
  <c r="AH55" i="44"/>
  <c r="AH57" i="44"/>
  <c r="AO58" i="44"/>
  <c r="AO45" i="44"/>
  <c r="AF42" i="44"/>
  <c r="AL42" i="44" s="1"/>
  <c r="AH50" i="44"/>
  <c r="AO49" i="44"/>
  <c r="AO53" i="44"/>
  <c r="AH46" i="44"/>
  <c r="AF51" i="44"/>
  <c r="AL51" i="44" s="1"/>
  <c r="AK44" i="44"/>
  <c r="AG43" i="44"/>
  <c r="AK60" i="44"/>
  <c r="AO41" i="44"/>
  <c r="AO55" i="44"/>
  <c r="AJ52" i="44"/>
  <c r="AJ57" i="44"/>
  <c r="AJ54" i="44"/>
  <c r="AK58" i="44"/>
  <c r="AK42" i="44"/>
  <c r="AK49" i="44"/>
  <c r="AK46" i="44"/>
  <c r="AO44" i="44"/>
  <c r="AO60" i="44"/>
  <c r="AH45" i="44"/>
  <c r="AI50" i="44"/>
  <c r="AH53" i="44"/>
  <c r="AH51" i="44"/>
  <c r="AH43" i="44"/>
  <c r="AH41" i="44"/>
  <c r="AJ58" i="44"/>
  <c r="AH42" i="44"/>
  <c r="AJ49" i="44"/>
  <c r="AF46" i="44"/>
  <c r="AL46" i="44" s="1"/>
  <c r="AJ44" i="44"/>
  <c r="AJ60" i="44"/>
  <c r="AI55" i="44"/>
  <c r="AK57" i="44"/>
  <c r="AK54" i="44"/>
  <c r="AI45" i="44"/>
  <c r="AJ50" i="44"/>
  <c r="AI53" i="44"/>
  <c r="AG51" i="44"/>
  <c r="AK43" i="44"/>
  <c r="AI41" i="44"/>
  <c r="AG52" i="44"/>
  <c r="AF54" i="44"/>
  <c r="AL54" i="44" s="1"/>
  <c r="AD15" i="44"/>
  <c r="AN45" i="43"/>
  <c r="AM45" i="43"/>
  <c r="AH26" i="43"/>
  <c r="AJ26" i="43"/>
  <c r="AF26" i="43"/>
  <c r="AL26" i="43" s="1"/>
  <c r="AG26" i="43"/>
  <c r="AI26" i="43"/>
  <c r="AK26" i="43"/>
  <c r="AO26" i="43"/>
  <c r="AJ20" i="43"/>
  <c r="AO20" i="43"/>
  <c r="AH20" i="43"/>
  <c r="AI20" i="43"/>
  <c r="AK20" i="43"/>
  <c r="AF20" i="43"/>
  <c r="AG20" i="43"/>
  <c r="AI25" i="42"/>
  <c r="AO25" i="42"/>
  <c r="AH25" i="42"/>
  <c r="AJ25" i="42"/>
  <c r="AK25" i="42"/>
  <c r="AF25" i="42"/>
  <c r="AL25" i="42" s="1"/>
  <c r="AG25" i="42"/>
  <c r="AK19" i="42"/>
  <c r="AF19" i="42"/>
  <c r="AL19" i="42" s="1"/>
  <c r="AJ19" i="42"/>
  <c r="AO19" i="42"/>
  <c r="AG19" i="42"/>
  <c r="AH19" i="42"/>
  <c r="AI19" i="42"/>
  <c r="AK24" i="40"/>
  <c r="AH18" i="40"/>
  <c r="AF26" i="42"/>
  <c r="AL26" i="42" s="1"/>
  <c r="AJ26" i="42"/>
  <c r="AO26" i="42"/>
  <c r="AG26" i="42"/>
  <c r="AI26" i="42"/>
  <c r="AH26" i="42"/>
  <c r="AK26" i="42"/>
  <c r="AJ16" i="42"/>
  <c r="AG16" i="42"/>
  <c r="AO16" i="42"/>
  <c r="AK16" i="42"/>
  <c r="AI16" i="42"/>
  <c r="AH16" i="42"/>
  <c r="AF16" i="42"/>
  <c r="AF18" i="40"/>
  <c r="AI18" i="40"/>
  <c r="AJ18" i="40"/>
  <c r="AK18" i="40"/>
  <c r="AO18" i="40"/>
  <c r="AG18" i="40"/>
  <c r="AG24" i="40"/>
  <c r="AH24" i="40"/>
  <c r="AF24" i="40"/>
  <c r="AI24" i="40"/>
  <c r="AJ24" i="40"/>
  <c r="AN83" i="44"/>
  <c r="AM83" i="44"/>
  <c r="AM86" i="44"/>
  <c r="AN86" i="44"/>
  <c r="AL20" i="38"/>
  <c r="AL19" i="38"/>
  <c r="AL21" i="38"/>
  <c r="AL17" i="38"/>
  <c r="AL18" i="38"/>
  <c r="AL15" i="38"/>
  <c r="AL16" i="38"/>
  <c r="AL22" i="38"/>
  <c r="AL14" i="38"/>
  <c r="AL13" i="38"/>
  <c r="AE69" i="43" a="1"/>
  <c r="AE69" i="43" s="1"/>
  <c r="AD69" i="43" s="1"/>
  <c r="AH69" i="43" s="1"/>
  <c r="AE86" i="43" a="1"/>
  <c r="AE86" i="43" s="1"/>
  <c r="AD86" i="43" s="1"/>
  <c r="AI86" i="43" s="1"/>
  <c r="AE79" i="43" a="1"/>
  <c r="AE79" i="43" s="1"/>
  <c r="AD79" i="43" s="1"/>
  <c r="AK79" i="43" s="1"/>
  <c r="AE71" i="43" a="1"/>
  <c r="AE71" i="43" s="1"/>
  <c r="AD71" i="43" s="1"/>
  <c r="AF71" i="43" s="1"/>
  <c r="AL71" i="43" s="1"/>
  <c r="AE85" i="43" a="1"/>
  <c r="AE85" i="43" s="1"/>
  <c r="AD85" i="43" s="1"/>
  <c r="AI85" i="43" s="1"/>
  <c r="AE74" i="43" a="1"/>
  <c r="AE74" i="43" s="1"/>
  <c r="AD74" i="43" s="1"/>
  <c r="AO74" i="43" s="1"/>
  <c r="AE73" i="43" a="1"/>
  <c r="AE73" i="43" s="1"/>
  <c r="AD73" i="43" s="1"/>
  <c r="AI73" i="43" s="1"/>
  <c r="AE88" i="43" a="1"/>
  <c r="AE88" i="43" s="1"/>
  <c r="AD88" i="43" s="1"/>
  <c r="AH88" i="43" s="1"/>
  <c r="AE72" i="43" a="1"/>
  <c r="AE72" i="43" s="1"/>
  <c r="AD72" i="43" s="1"/>
  <c r="AH72" i="43" s="1"/>
  <c r="AE77" i="43" a="1"/>
  <c r="AE77" i="43" s="1"/>
  <c r="AD77" i="43" s="1"/>
  <c r="AF77" i="43" s="1"/>
  <c r="AL77" i="43" s="1"/>
  <c r="AE70" i="43" a="1"/>
  <c r="AE70" i="43" s="1"/>
  <c r="AD70" i="43" s="1"/>
  <c r="AO70" i="43" s="1"/>
  <c r="AE83" i="43" a="1"/>
  <c r="AE83" i="43" s="1"/>
  <c r="AD83" i="43" s="1"/>
  <c r="AI83" i="43" s="1"/>
  <c r="AE78" i="43" a="1"/>
  <c r="AE78" i="43" s="1"/>
  <c r="AD78" i="43" s="1"/>
  <c r="AF78" i="43" s="1"/>
  <c r="AL78" i="43" s="1"/>
  <c r="AE80" i="43" a="1"/>
  <c r="AE80" i="43" s="1"/>
  <c r="AD80" i="43" s="1"/>
  <c r="AG80" i="43" s="1"/>
  <c r="AE81" i="43" a="1"/>
  <c r="AE81" i="43" s="1"/>
  <c r="AD81" i="43" s="1"/>
  <c r="AO81" i="43" s="1"/>
  <c r="AE87" i="43" a="1"/>
  <c r="AE87" i="43" s="1"/>
  <c r="AD87" i="43" s="1"/>
  <c r="AK87" i="43" s="1"/>
  <c r="AE75" i="43" a="1"/>
  <c r="AE75" i="43" s="1"/>
  <c r="AD75" i="43" s="1"/>
  <c r="AG75" i="43" s="1"/>
  <c r="AE76" i="43" a="1"/>
  <c r="AE76" i="43" s="1"/>
  <c r="AD76" i="43" s="1"/>
  <c r="AF76" i="43" s="1"/>
  <c r="AL76" i="43" s="1"/>
  <c r="AE84" i="43" a="1"/>
  <c r="AE84" i="43" s="1"/>
  <c r="AD84" i="43" s="1"/>
  <c r="AI84" i="43" s="1"/>
  <c r="AE82" i="43" a="1"/>
  <c r="AE82" i="43" s="1"/>
  <c r="AD82" i="43" s="1"/>
  <c r="AK82" i="43" s="1"/>
  <c r="O67" i="43"/>
  <c r="O15" i="42"/>
  <c r="AM258" i="38" l="1"/>
  <c r="AM280" i="38"/>
  <c r="AM296" i="38"/>
  <c r="AM182" i="38"/>
  <c r="AM271" i="38"/>
  <c r="AM255" i="38"/>
  <c r="AL151" i="40"/>
  <c r="AM248" i="38"/>
  <c r="AN234" i="38"/>
  <c r="AM213" i="38"/>
  <c r="AN181" i="38"/>
  <c r="AM247" i="38"/>
  <c r="AN232" i="38"/>
  <c r="AM288" i="38"/>
  <c r="AM164" i="38"/>
  <c r="AL241" i="40"/>
  <c r="AL217" i="40"/>
  <c r="AL234" i="40"/>
  <c r="AL215" i="40"/>
  <c r="AM169" i="38"/>
  <c r="AL254" i="40"/>
  <c r="AL118" i="40"/>
  <c r="AL312" i="40"/>
  <c r="AL184" i="40"/>
  <c r="AL208" i="40"/>
  <c r="AL222" i="40"/>
  <c r="AL190" i="40"/>
  <c r="AL294" i="40"/>
  <c r="AL143" i="40"/>
  <c r="AL236" i="40"/>
  <c r="AL112" i="40"/>
  <c r="AL328" i="40"/>
  <c r="AL152" i="40"/>
  <c r="AL203" i="40"/>
  <c r="AL140" i="40"/>
  <c r="AL136" i="40"/>
  <c r="AL96" i="40"/>
  <c r="AL107" i="40"/>
  <c r="AL133" i="40"/>
  <c r="AL106" i="40"/>
  <c r="AL127" i="40"/>
  <c r="AL263" i="40"/>
  <c r="AN117" i="38"/>
  <c r="AN279" i="38"/>
  <c r="AL164" i="40"/>
  <c r="AL220" i="40"/>
  <c r="AL235" i="40"/>
  <c r="AL165" i="40"/>
  <c r="AL251" i="40"/>
  <c r="AL211" i="40"/>
  <c r="AN251" i="38"/>
  <c r="AM210" i="38"/>
  <c r="AL317" i="40"/>
  <c r="AL144" i="40"/>
  <c r="AN275" i="38"/>
  <c r="AL305" i="40"/>
  <c r="AL299" i="40"/>
  <c r="AN224" i="38"/>
  <c r="AL148" i="40"/>
  <c r="AL300" i="40"/>
  <c r="AL126" i="40"/>
  <c r="AL265" i="40"/>
  <c r="AL167" i="40"/>
  <c r="AL100" i="40"/>
  <c r="AM154" i="38"/>
  <c r="AL145" i="40"/>
  <c r="AL279" i="40"/>
  <c r="AM294" i="38"/>
  <c r="AM272" i="38"/>
  <c r="AN242" i="38"/>
  <c r="AM273" i="38"/>
  <c r="AL295" i="40"/>
  <c r="AL224" i="40"/>
  <c r="AL237" i="40"/>
  <c r="AL309" i="40"/>
  <c r="AL284" i="40"/>
  <c r="AL158" i="40"/>
  <c r="AL205" i="40"/>
  <c r="AL128" i="40"/>
  <c r="AL277" i="40"/>
  <c r="AL114" i="40"/>
  <c r="AL193" i="40"/>
  <c r="AL186" i="40"/>
  <c r="AL131" i="40"/>
  <c r="AL260" i="40"/>
  <c r="AL116" i="40"/>
  <c r="AL137" i="40"/>
  <c r="AL248" i="40"/>
  <c r="AL219" i="40"/>
  <c r="AL259" i="40"/>
  <c r="AL172" i="40"/>
  <c r="AL257" i="40"/>
  <c r="AL195" i="40"/>
  <c r="AL244" i="40"/>
  <c r="AL182" i="40"/>
  <c r="AM256" i="38"/>
  <c r="AL209" i="40"/>
  <c r="AL246" i="40"/>
  <c r="AL269" i="40"/>
  <c r="AL200" i="40"/>
  <c r="AL198" i="40"/>
  <c r="AL192" i="40"/>
  <c r="AL174" i="40"/>
  <c r="AL267" i="40"/>
  <c r="AL101" i="40"/>
  <c r="AL110" i="40"/>
  <c r="AL156" i="40"/>
  <c r="AL168" i="40"/>
  <c r="AL123" i="40"/>
  <c r="AL187" i="40"/>
  <c r="AL178" i="40"/>
  <c r="AL102" i="40"/>
  <c r="AL189" i="40"/>
  <c r="AL321" i="40"/>
  <c r="AL170" i="40"/>
  <c r="AL103" i="40"/>
  <c r="AL194" i="40"/>
  <c r="AL297" i="40"/>
  <c r="AL104" i="40"/>
  <c r="AL327" i="40"/>
  <c r="AL153" i="40"/>
  <c r="AL249" i="40"/>
  <c r="AL281" i="40"/>
  <c r="AL247" i="40"/>
  <c r="AL229" i="40"/>
  <c r="AL169" i="40"/>
  <c r="AL283" i="40"/>
  <c r="AL163" i="40"/>
  <c r="AL232" i="40"/>
  <c r="AL221" i="40"/>
  <c r="AL199" i="40"/>
  <c r="AL99" i="40"/>
  <c r="AL132" i="40"/>
  <c r="AL139" i="40"/>
  <c r="AL111" i="40"/>
  <c r="AL286" i="40"/>
  <c r="AL230" i="40"/>
  <c r="AL288" i="40"/>
  <c r="AL206" i="40"/>
  <c r="AL98" i="40"/>
  <c r="AL113" i="40"/>
  <c r="AL238" i="40"/>
  <c r="AL287" i="40"/>
  <c r="AL331" i="40"/>
  <c r="AL90" i="40"/>
  <c r="AL326" i="40"/>
  <c r="AL242" i="40"/>
  <c r="AL325" i="40"/>
  <c r="AL310" i="40"/>
  <c r="AL258" i="40"/>
  <c r="AL177" i="40"/>
  <c r="AL304" i="40"/>
  <c r="AL188" i="40"/>
  <c r="AN115" i="38"/>
  <c r="AN267" i="38"/>
  <c r="AL191" i="40"/>
  <c r="AL181" i="40"/>
  <c r="AL255" i="40"/>
  <c r="AL278" i="40"/>
  <c r="AL289" i="40"/>
  <c r="AL185" i="40"/>
  <c r="AL120" i="40"/>
  <c r="AL266" i="40"/>
  <c r="AL157" i="40"/>
  <c r="AL261" i="40"/>
  <c r="AL94" i="40"/>
  <c r="AL226" i="40"/>
  <c r="AL115" i="40"/>
  <c r="AL141" i="40"/>
  <c r="AL233" i="40"/>
  <c r="AL298" i="40"/>
  <c r="AL296" i="40"/>
  <c r="AL324" i="40"/>
  <c r="AM105" i="38"/>
  <c r="AN269" i="38"/>
  <c r="AM239" i="38"/>
  <c r="AM191" i="38"/>
  <c r="AM167" i="38"/>
  <c r="AL216" i="40"/>
  <c r="AL276" i="40"/>
  <c r="AL240" i="40"/>
  <c r="AL159" i="40"/>
  <c r="AL150" i="40"/>
  <c r="AL228" i="40"/>
  <c r="AL212" i="40"/>
  <c r="AL92" i="40"/>
  <c r="AL93" i="40"/>
  <c r="AL271" i="40"/>
  <c r="AL322" i="40"/>
  <c r="AN243" i="38"/>
  <c r="AL320" i="40"/>
  <c r="AL105" i="40"/>
  <c r="AL171" i="40"/>
  <c r="AL162" i="40"/>
  <c r="AL285" i="40"/>
  <c r="AL155" i="40"/>
  <c r="AL306" i="40"/>
  <c r="AL117" i="40"/>
  <c r="AL264" i="40"/>
  <c r="AL147" i="40"/>
  <c r="AL256" i="40"/>
  <c r="AL166" i="40"/>
  <c r="AL243" i="40"/>
  <c r="AL311" i="40"/>
  <c r="AL138" i="40"/>
  <c r="AL202" i="40"/>
  <c r="AL270" i="40"/>
  <c r="AL293" i="40"/>
  <c r="AL218" i="40"/>
  <c r="AL196" i="40"/>
  <c r="AL250" i="40"/>
  <c r="AL307" i="40"/>
  <c r="AL121" i="40"/>
  <c r="AL210" i="40"/>
  <c r="AL252" i="40"/>
  <c r="AL149" i="40"/>
  <c r="AL282" i="40"/>
  <c r="AL214" i="40"/>
  <c r="AL314" i="40"/>
  <c r="AL330" i="40"/>
  <c r="AL108" i="40"/>
  <c r="AL95" i="40"/>
  <c r="AL129" i="40"/>
  <c r="AL268" i="40"/>
  <c r="AL262" i="40"/>
  <c r="AL134" i="40"/>
  <c r="AL273" i="40"/>
  <c r="AL175" i="40"/>
  <c r="AL201" i="40"/>
  <c r="AL223" i="40"/>
  <c r="AN266" i="38"/>
  <c r="AL176" i="40"/>
  <c r="AL313" i="40"/>
  <c r="AL274" i="40"/>
  <c r="AL292" i="40"/>
  <c r="AL109" i="40"/>
  <c r="AL142" i="40"/>
  <c r="AL146" i="40"/>
  <c r="AL207" i="40"/>
  <c r="AL308" i="40"/>
  <c r="AL318" i="40"/>
  <c r="AL161" i="40"/>
  <c r="AL303" i="40"/>
  <c r="AL319" i="40"/>
  <c r="AL154" i="40"/>
  <c r="AL301" i="40"/>
  <c r="AL91" i="40"/>
  <c r="AL197" i="40"/>
  <c r="AL225" i="40"/>
  <c r="AL290" i="40"/>
  <c r="AL316" i="40"/>
  <c r="AL272" i="40"/>
  <c r="AL239" i="40"/>
  <c r="AL180" i="40"/>
  <c r="AL280" i="40"/>
  <c r="AL179" i="40"/>
  <c r="AL315" i="40"/>
  <c r="AL122" i="40"/>
  <c r="AL173" i="40"/>
  <c r="AL245" i="40"/>
  <c r="AL204" i="40"/>
  <c r="AL302" i="40"/>
  <c r="AL119" i="40"/>
  <c r="AL124" i="40"/>
  <c r="AL329" i="40"/>
  <c r="AL135" i="40"/>
  <c r="AL183" i="40"/>
  <c r="AL97" i="40"/>
  <c r="AL213" i="40"/>
  <c r="AL275" i="40"/>
  <c r="AL160" i="40"/>
  <c r="AM157" i="38"/>
  <c r="AM202" i="38"/>
  <c r="AM215" i="38"/>
  <c r="AN274" i="38"/>
  <c r="AL291" i="40"/>
  <c r="AL130" i="40"/>
  <c r="AL125" i="40"/>
  <c r="AL227" i="40"/>
  <c r="AN199" i="38"/>
  <c r="AN205" i="38"/>
  <c r="AM290" i="38"/>
  <c r="AM259" i="38"/>
  <c r="AN183" i="38"/>
  <c r="AN299" i="38"/>
  <c r="AM231" i="38"/>
  <c r="AM206" i="38"/>
  <c r="AM135" i="38"/>
  <c r="AM194" i="38"/>
  <c r="AN287" i="38"/>
  <c r="AM270" i="38"/>
  <c r="AM214" i="38"/>
  <c r="AN124" i="38"/>
  <c r="AM277" i="38"/>
  <c r="AM201" i="38"/>
  <c r="AM142" i="38"/>
  <c r="AM249" i="38"/>
  <c r="AN268" i="38"/>
  <c r="AN261" i="38"/>
  <c r="AM192" i="38"/>
  <c r="AN245" i="38"/>
  <c r="AN196" i="38"/>
  <c r="AN155" i="38"/>
  <c r="AN125" i="38"/>
  <c r="AM218" i="38"/>
  <c r="AN212" i="38"/>
  <c r="AN285" i="38"/>
  <c r="AN276" i="38"/>
  <c r="AN140" i="38"/>
  <c r="AN236" i="38"/>
  <c r="AM297" i="38"/>
  <c r="AM292" i="38"/>
  <c r="AM289" i="38"/>
  <c r="AM286" i="38"/>
  <c r="AN204" i="38"/>
  <c r="AM127" i="38"/>
  <c r="AN260" i="38"/>
  <c r="AN278" i="38"/>
  <c r="AN227" i="38"/>
  <c r="AN284" i="38"/>
  <c r="AN222" i="38"/>
  <c r="AN189" i="38"/>
  <c r="AM252" i="38"/>
  <c r="AN228" i="38"/>
  <c r="AM250" i="38"/>
  <c r="AM281" i="38"/>
  <c r="AN282" i="38"/>
  <c r="AM184" i="38"/>
  <c r="AM221" i="38"/>
  <c r="AN283" i="38"/>
  <c r="AN134" i="38"/>
  <c r="AN264" i="38"/>
  <c r="AM246" i="38"/>
  <c r="AN298" i="38"/>
  <c r="AN208" i="38"/>
  <c r="AN237" i="38"/>
  <c r="AM193" i="38"/>
  <c r="AN254" i="38"/>
  <c r="AM240" i="38"/>
  <c r="AN207" i="38"/>
  <c r="AN197" i="38"/>
  <c r="AN190" i="38"/>
  <c r="AN211" i="38"/>
  <c r="AM198" i="38"/>
  <c r="AM138" i="38"/>
  <c r="AM265" i="38"/>
  <c r="AN229" i="38"/>
  <c r="AM233" i="38"/>
  <c r="AN174" i="38"/>
  <c r="AN188" i="38"/>
  <c r="AM223" i="38"/>
  <c r="AM241" i="38"/>
  <c r="AN220" i="38"/>
  <c r="AM257" i="38"/>
  <c r="AM216" i="38"/>
  <c r="AN200" i="38"/>
  <c r="AN244" i="38"/>
  <c r="AM219" i="38"/>
  <c r="AN109" i="38"/>
  <c r="AM217" i="38"/>
  <c r="AM173" i="38"/>
  <c r="AN209" i="38"/>
  <c r="AM226" i="38"/>
  <c r="AN235" i="38"/>
  <c r="AM195" i="38"/>
  <c r="AN187" i="38"/>
  <c r="AM230" i="38"/>
  <c r="AM186" i="38"/>
  <c r="AN253" i="38"/>
  <c r="AM225" i="38"/>
  <c r="AN238" i="38"/>
  <c r="AM158" i="38"/>
  <c r="AN149" i="38"/>
  <c r="AN262" i="38"/>
  <c r="AN203" i="38"/>
  <c r="AM185" i="38"/>
  <c r="AM263" i="38"/>
  <c r="AN108" i="38"/>
  <c r="AM165" i="38"/>
  <c r="AN43" i="38"/>
  <c r="AN126" i="38"/>
  <c r="AM160" i="38"/>
  <c r="AN147" i="38"/>
  <c r="AN133" i="38"/>
  <c r="AM120" i="38"/>
  <c r="AM144" i="38"/>
  <c r="AM114" i="38"/>
  <c r="AM137" i="38"/>
  <c r="AN143" i="38"/>
  <c r="AN141" i="38"/>
  <c r="AM122" i="38"/>
  <c r="AN172" i="38"/>
  <c r="AM136" i="38"/>
  <c r="AM163" i="38"/>
  <c r="AN103" i="38"/>
  <c r="AN106" i="38"/>
  <c r="AM118" i="38"/>
  <c r="AM104" i="38"/>
  <c r="AN175" i="38"/>
  <c r="AM119" i="38"/>
  <c r="AM121" i="38"/>
  <c r="AN128" i="38"/>
  <c r="AN139" i="38"/>
  <c r="AN132" i="38"/>
  <c r="AM131" i="38"/>
  <c r="AN168" i="38"/>
  <c r="AN159" i="38"/>
  <c r="AN123" i="38"/>
  <c r="AN293" i="38"/>
  <c r="AM161" i="38"/>
  <c r="AM145" i="38"/>
  <c r="AM150" i="38"/>
  <c r="AM176" i="38"/>
  <c r="AM112" i="38"/>
  <c r="AN170" i="38"/>
  <c r="AM179" i="38"/>
  <c r="AM156" i="38"/>
  <c r="AM171" i="38"/>
  <c r="AN178" i="38"/>
  <c r="AN111" i="38"/>
  <c r="AM110" i="38"/>
  <c r="AM107" i="38"/>
  <c r="AM51" i="38"/>
  <c r="AN162" i="38"/>
  <c r="AM113" i="38"/>
  <c r="AM129" i="38"/>
  <c r="AM177" i="38"/>
  <c r="AM152" i="38"/>
  <c r="AM130" i="38"/>
  <c r="AN180" i="38"/>
  <c r="AM151" i="38"/>
  <c r="AM295" i="38"/>
  <c r="AN148" i="38"/>
  <c r="AN116" i="38"/>
  <c r="AN166" i="38"/>
  <c r="AN146" i="38"/>
  <c r="AM291" i="38"/>
  <c r="AM153" i="38"/>
  <c r="AM69" i="38"/>
  <c r="AM262" i="39"/>
  <c r="AN262" i="39"/>
  <c r="AM94" i="39"/>
  <c r="AN94" i="39"/>
  <c r="AN263" i="39"/>
  <c r="AM263" i="39"/>
  <c r="AM241" i="39"/>
  <c r="AN241" i="39"/>
  <c r="AN229" i="39"/>
  <c r="AM229" i="39"/>
  <c r="AM240" i="39"/>
  <c r="AN240" i="39"/>
  <c r="AM97" i="39"/>
  <c r="AN97" i="39"/>
  <c r="AM221" i="39"/>
  <c r="AN221" i="39"/>
  <c r="AM106" i="39"/>
  <c r="AN106" i="39"/>
  <c r="AN259" i="39"/>
  <c r="AM259" i="39"/>
  <c r="AM142" i="39"/>
  <c r="AN142" i="39"/>
  <c r="AM178" i="39"/>
  <c r="AN178" i="39"/>
  <c r="AM252" i="39"/>
  <c r="AN252" i="39"/>
  <c r="AM257" i="39"/>
  <c r="AN257" i="39"/>
  <c r="AN192" i="39"/>
  <c r="AM192" i="39"/>
  <c r="AN232" i="39"/>
  <c r="AM232" i="39"/>
  <c r="AN131" i="39"/>
  <c r="AM131" i="39"/>
  <c r="AN144" i="39"/>
  <c r="AM144" i="39"/>
  <c r="AN183" i="39"/>
  <c r="AM183" i="39"/>
  <c r="AM172" i="39"/>
  <c r="AN172" i="39"/>
  <c r="AN139" i="39"/>
  <c r="AM139" i="39"/>
  <c r="AN146" i="39"/>
  <c r="AM146" i="39"/>
  <c r="AM201" i="39"/>
  <c r="AN201" i="39"/>
  <c r="AM153" i="39"/>
  <c r="AN153" i="39"/>
  <c r="AN115" i="39"/>
  <c r="AM115" i="39"/>
  <c r="AM170" i="39"/>
  <c r="AN170" i="39"/>
  <c r="AM238" i="39"/>
  <c r="AN238" i="39"/>
  <c r="AN119" i="39"/>
  <c r="AM119" i="39"/>
  <c r="AN247" i="39"/>
  <c r="AM247" i="39"/>
  <c r="AN242" i="39"/>
  <c r="AM242" i="39"/>
  <c r="AM151" i="39"/>
  <c r="AN151" i="39"/>
  <c r="AN127" i="39"/>
  <c r="AM127" i="39"/>
  <c r="AN198" i="39"/>
  <c r="AM198" i="39"/>
  <c r="AN255" i="39"/>
  <c r="AM255" i="39"/>
  <c r="AM166" i="39"/>
  <c r="AN166" i="39"/>
  <c r="AN204" i="39"/>
  <c r="AM204" i="39"/>
  <c r="AN147" i="39"/>
  <c r="AM147" i="39"/>
  <c r="AM169" i="39"/>
  <c r="AN169" i="39"/>
  <c r="AN213" i="39"/>
  <c r="AM213" i="39"/>
  <c r="AM270" i="39"/>
  <c r="AN270" i="39"/>
  <c r="AN184" i="39"/>
  <c r="AM184" i="39"/>
  <c r="AN248" i="39"/>
  <c r="AM248" i="39"/>
  <c r="AN103" i="39"/>
  <c r="AM103" i="39"/>
  <c r="AN173" i="39"/>
  <c r="AM173" i="39"/>
  <c r="AM145" i="39"/>
  <c r="AN145" i="39"/>
  <c r="AM161" i="39"/>
  <c r="AN161" i="39"/>
  <c r="AN107" i="39"/>
  <c r="AM107" i="39"/>
  <c r="AM234" i="39"/>
  <c r="AN234" i="39"/>
  <c r="AN134" i="39"/>
  <c r="AM134" i="39"/>
  <c r="AM121" i="39"/>
  <c r="AN121" i="39"/>
  <c r="AN199" i="39"/>
  <c r="AM199" i="39"/>
  <c r="AN186" i="39"/>
  <c r="AM186" i="39"/>
  <c r="AN256" i="39"/>
  <c r="AM256" i="39"/>
  <c r="AN138" i="39"/>
  <c r="AM138" i="39"/>
  <c r="AM210" i="39"/>
  <c r="AN210" i="39"/>
  <c r="AM148" i="39"/>
  <c r="AN148" i="39"/>
  <c r="AM122" i="39"/>
  <c r="AN122" i="39"/>
  <c r="AM126" i="39"/>
  <c r="AN126" i="39"/>
  <c r="AM110" i="39"/>
  <c r="AN110" i="39"/>
  <c r="AM125" i="39"/>
  <c r="AN125" i="39"/>
  <c r="AN246" i="39"/>
  <c r="AM246" i="39"/>
  <c r="AM244" i="39"/>
  <c r="AN244" i="39"/>
  <c r="AN212" i="39"/>
  <c r="AM212" i="39"/>
  <c r="AN235" i="39"/>
  <c r="AM235" i="39"/>
  <c r="AM167" i="39"/>
  <c r="AN167" i="39"/>
  <c r="AN243" i="39"/>
  <c r="AM243" i="39"/>
  <c r="AN237" i="39"/>
  <c r="AM237" i="39"/>
  <c r="AN258" i="39"/>
  <c r="AM258" i="39"/>
  <c r="AN109" i="39"/>
  <c r="AM109" i="39"/>
  <c r="AN163" i="39"/>
  <c r="AM163" i="39"/>
  <c r="AN140" i="39"/>
  <c r="AM140" i="39"/>
  <c r="AN207" i="39"/>
  <c r="AM207" i="39"/>
  <c r="AN180" i="39"/>
  <c r="AM180" i="39"/>
  <c r="AM181" i="39"/>
  <c r="AN181" i="39"/>
  <c r="AN205" i="39"/>
  <c r="AM205" i="39"/>
  <c r="AN222" i="39"/>
  <c r="AM222" i="39"/>
  <c r="AM108" i="39"/>
  <c r="AN108" i="39"/>
  <c r="AM114" i="39"/>
  <c r="AN114" i="39"/>
  <c r="AN203" i="39"/>
  <c r="AM203" i="39"/>
  <c r="AN200" i="39"/>
  <c r="AM200" i="39"/>
  <c r="AM177" i="39"/>
  <c r="AN177" i="39"/>
  <c r="AM113" i="39"/>
  <c r="AN113" i="39"/>
  <c r="AN245" i="39"/>
  <c r="AM245" i="39"/>
  <c r="AN189" i="39"/>
  <c r="AM189" i="39"/>
  <c r="AN190" i="39"/>
  <c r="AM190" i="39"/>
  <c r="AM250" i="39"/>
  <c r="AN250" i="39"/>
  <c r="AN123" i="39"/>
  <c r="AM123" i="39"/>
  <c r="AM208" i="39"/>
  <c r="AN208" i="39"/>
  <c r="AM152" i="39"/>
  <c r="AN152" i="39"/>
  <c r="AN231" i="39"/>
  <c r="AM231" i="39"/>
  <c r="AN191" i="39"/>
  <c r="AM191" i="39"/>
  <c r="AN112" i="39"/>
  <c r="AM112" i="39"/>
  <c r="AN179" i="39"/>
  <c r="AM179" i="39"/>
  <c r="AN116" i="39"/>
  <c r="AM116" i="39"/>
  <c r="AN128" i="39"/>
  <c r="AM128" i="39"/>
  <c r="AM206" i="39"/>
  <c r="AN206" i="39"/>
  <c r="AM193" i="39"/>
  <c r="AN193" i="39"/>
  <c r="AN251" i="39"/>
  <c r="AM251" i="39"/>
  <c r="AN195" i="39"/>
  <c r="AM195" i="39"/>
  <c r="AN143" i="39"/>
  <c r="AM143" i="39"/>
  <c r="AN159" i="39"/>
  <c r="AM159" i="39"/>
  <c r="AM95" i="39"/>
  <c r="AN95" i="39"/>
  <c r="AM130" i="39"/>
  <c r="AN130" i="39"/>
  <c r="AM239" i="39"/>
  <c r="AN239" i="39"/>
  <c r="AN174" i="39"/>
  <c r="AM174" i="39"/>
  <c r="AM96" i="39"/>
  <c r="AN96" i="39"/>
  <c r="AM160" i="39"/>
  <c r="AN160" i="39"/>
  <c r="AN104" i="39"/>
  <c r="AM104" i="39"/>
  <c r="AM196" i="39"/>
  <c r="AN196" i="39"/>
  <c r="AM209" i="39"/>
  <c r="AN209" i="39"/>
  <c r="AM266" i="39"/>
  <c r="AN266" i="39"/>
  <c r="AN150" i="39"/>
  <c r="AM150" i="39"/>
  <c r="AN99" i="39"/>
  <c r="AM99" i="39"/>
  <c r="AM98" i="39"/>
  <c r="AN98" i="39"/>
  <c r="AM249" i="39"/>
  <c r="AN249" i="39"/>
  <c r="AM220" i="39"/>
  <c r="AN220" i="39"/>
  <c r="AN175" i="39"/>
  <c r="AM175" i="39"/>
  <c r="AN218" i="39"/>
  <c r="AM218" i="39"/>
  <c r="AN92" i="39"/>
  <c r="AM92" i="39"/>
  <c r="AN120" i="39"/>
  <c r="AM120" i="39"/>
  <c r="AM129" i="39"/>
  <c r="AN129" i="39"/>
  <c r="AM261" i="39"/>
  <c r="AN261" i="39"/>
  <c r="AN155" i="39"/>
  <c r="AM155" i="39"/>
  <c r="AN272" i="39"/>
  <c r="AM272" i="39"/>
  <c r="AM194" i="39"/>
  <c r="AN194" i="39"/>
  <c r="AN132" i="39"/>
  <c r="AM132" i="39"/>
  <c r="AN156" i="39"/>
  <c r="AM156" i="39"/>
  <c r="AM101" i="39"/>
  <c r="AN101" i="39"/>
  <c r="AN223" i="39"/>
  <c r="AM223" i="39"/>
  <c r="AM124" i="39"/>
  <c r="AN124" i="39"/>
  <c r="AM188" i="39"/>
  <c r="AN188" i="39"/>
  <c r="AN267" i="39"/>
  <c r="AM267" i="39"/>
  <c r="AN182" i="39"/>
  <c r="AM182" i="39"/>
  <c r="AN164" i="39"/>
  <c r="AM164" i="39"/>
  <c r="AM226" i="39"/>
  <c r="AN226" i="39"/>
  <c r="AM168" i="39"/>
  <c r="AN168" i="39"/>
  <c r="AN187" i="39"/>
  <c r="AM187" i="39"/>
  <c r="AM185" i="39"/>
  <c r="AN185" i="39"/>
  <c r="AM225" i="39"/>
  <c r="AN225" i="39"/>
  <c r="AM217" i="39"/>
  <c r="AN217" i="39"/>
  <c r="AM137" i="39"/>
  <c r="AN137" i="39"/>
  <c r="AN264" i="39"/>
  <c r="AM264" i="39"/>
  <c r="AN271" i="39"/>
  <c r="AM271" i="39"/>
  <c r="AN157" i="39"/>
  <c r="AM157" i="39"/>
  <c r="AM105" i="39"/>
  <c r="AN105" i="39"/>
  <c r="AN118" i="39"/>
  <c r="AM118" i="39"/>
  <c r="AM224" i="39"/>
  <c r="AN224" i="39"/>
  <c r="AN149" i="39"/>
  <c r="AM149" i="39"/>
  <c r="AM111" i="39"/>
  <c r="AN111" i="39"/>
  <c r="AM233" i="39"/>
  <c r="AN233" i="39"/>
  <c r="AM141" i="39"/>
  <c r="AN141" i="39"/>
  <c r="AN100" i="39"/>
  <c r="AM100" i="39"/>
  <c r="AM215" i="39"/>
  <c r="AN215" i="39"/>
  <c r="AM202" i="39"/>
  <c r="AN202" i="39"/>
  <c r="AM265" i="39"/>
  <c r="AN265" i="39"/>
  <c r="AM176" i="39"/>
  <c r="AN176" i="39"/>
  <c r="AM236" i="39"/>
  <c r="AN236" i="39"/>
  <c r="AM135" i="39"/>
  <c r="AN135" i="39"/>
  <c r="AN154" i="39"/>
  <c r="AM154" i="39"/>
  <c r="AN269" i="39"/>
  <c r="AM269" i="39"/>
  <c r="AN227" i="39"/>
  <c r="AM227" i="39"/>
  <c r="AN171" i="39"/>
  <c r="AM171" i="39"/>
  <c r="AN211" i="39"/>
  <c r="AM211" i="39"/>
  <c r="AM214" i="39"/>
  <c r="AN214" i="39"/>
  <c r="AN158" i="39"/>
  <c r="AM158" i="39"/>
  <c r="AM162" i="39"/>
  <c r="AN162" i="39"/>
  <c r="AM93" i="39"/>
  <c r="AN93" i="39"/>
  <c r="AN219" i="39"/>
  <c r="AM219" i="39"/>
  <c r="AN228" i="39"/>
  <c r="AM228" i="39"/>
  <c r="AN136" i="39"/>
  <c r="AM136" i="39"/>
  <c r="AN260" i="39"/>
  <c r="AM260" i="39"/>
  <c r="AM133" i="39"/>
  <c r="AN133" i="39"/>
  <c r="AN117" i="39"/>
  <c r="AM117" i="39"/>
  <c r="AM197" i="39"/>
  <c r="AN197" i="39"/>
  <c r="AM165" i="39"/>
  <c r="AN165" i="39"/>
  <c r="AN253" i="39"/>
  <c r="AM253" i="39"/>
  <c r="AM254" i="39"/>
  <c r="AN254" i="39"/>
  <c r="AM102" i="39"/>
  <c r="AN102" i="39"/>
  <c r="AN216" i="39"/>
  <c r="AM216" i="39"/>
  <c r="AN230" i="39"/>
  <c r="AM230" i="39"/>
  <c r="AN14" i="38"/>
  <c r="AM14" i="38"/>
  <c r="AN15" i="38"/>
  <c r="AM15" i="38"/>
  <c r="AE68" i="43" a="1"/>
  <c r="AE68" i="43" s="1"/>
  <c r="AD68" i="43" s="1"/>
  <c r="AF68" i="43" s="1"/>
  <c r="AL27" i="43"/>
  <c r="AM91" i="39"/>
  <c r="AN91" i="39"/>
  <c r="AL87" i="40"/>
  <c r="AL84" i="40"/>
  <c r="AL85" i="40"/>
  <c r="AL88" i="40"/>
  <c r="AL86" i="40"/>
  <c r="AL89" i="40"/>
  <c r="AK86" i="39"/>
  <c r="AO86" i="39"/>
  <c r="AK89" i="39"/>
  <c r="AO89" i="39"/>
  <c r="AL15" i="39"/>
  <c r="AJ88" i="39"/>
  <c r="AK88" i="39"/>
  <c r="AI89" i="39"/>
  <c r="AJ89" i="39"/>
  <c r="AI86" i="39"/>
  <c r="AJ86" i="39"/>
  <c r="AI88" i="39"/>
  <c r="AG86" i="39"/>
  <c r="AH86" i="39"/>
  <c r="AG89" i="39"/>
  <c r="AH89" i="39"/>
  <c r="AG88" i="39"/>
  <c r="AH88" i="39"/>
  <c r="AF86" i="39"/>
  <c r="AF88" i="39"/>
  <c r="AF89" i="39"/>
  <c r="AM97" i="38"/>
  <c r="AM99" i="38"/>
  <c r="AN100" i="38"/>
  <c r="AM101" i="38"/>
  <c r="AN87" i="38"/>
  <c r="AN102" i="38"/>
  <c r="AL90" i="39"/>
  <c r="AL83" i="40"/>
  <c r="AL87" i="39"/>
  <c r="AL85" i="39"/>
  <c r="AL84" i="39"/>
  <c r="AN96" i="38"/>
  <c r="AN98" i="38"/>
  <c r="AM93" i="38"/>
  <c r="AN93" i="38"/>
  <c r="AM90" i="38"/>
  <c r="AN90" i="38"/>
  <c r="AM91" i="38"/>
  <c r="AN91" i="38"/>
  <c r="AM58" i="38"/>
  <c r="AN58" i="38"/>
  <c r="AM74" i="38"/>
  <c r="AN74" i="38"/>
  <c r="AM49" i="38"/>
  <c r="AN49" i="38"/>
  <c r="AM71" i="38"/>
  <c r="AN71" i="38"/>
  <c r="AM89" i="38"/>
  <c r="AN89" i="38"/>
  <c r="AM79" i="38"/>
  <c r="AN79" i="38"/>
  <c r="AM39" i="38"/>
  <c r="AN39" i="38"/>
  <c r="AM53" i="38"/>
  <c r="AN53" i="38"/>
  <c r="AM68" i="38"/>
  <c r="AN68" i="38"/>
  <c r="AM47" i="38"/>
  <c r="AN47" i="38"/>
  <c r="AM81" i="38"/>
  <c r="AN81" i="38"/>
  <c r="AM32" i="38"/>
  <c r="AN32" i="38"/>
  <c r="AM94" i="38"/>
  <c r="AN94" i="38"/>
  <c r="AM57" i="38"/>
  <c r="AN57" i="38"/>
  <c r="AM78" i="38"/>
  <c r="AN78" i="38"/>
  <c r="AM63" i="38"/>
  <c r="AN63" i="38"/>
  <c r="AM31" i="38"/>
  <c r="AN31" i="38"/>
  <c r="AM37" i="38"/>
  <c r="AN37" i="38"/>
  <c r="AM84" i="38"/>
  <c r="AN84" i="38"/>
  <c r="AM88" i="38"/>
  <c r="AN88" i="38"/>
  <c r="AM95" i="38"/>
  <c r="AN95" i="38"/>
  <c r="AM59" i="38"/>
  <c r="AN59" i="38"/>
  <c r="AM60" i="38"/>
  <c r="AN60" i="38"/>
  <c r="AM28" i="38"/>
  <c r="AN28" i="38"/>
  <c r="AM72" i="38"/>
  <c r="AN72" i="38"/>
  <c r="AM70" i="38"/>
  <c r="AN70" i="38"/>
  <c r="AM76" i="38"/>
  <c r="AN76" i="38"/>
  <c r="AM42" i="38"/>
  <c r="AN42" i="38"/>
  <c r="AM40" i="38"/>
  <c r="AN40" i="38"/>
  <c r="AM41" i="38"/>
  <c r="AN41" i="38"/>
  <c r="AM62" i="38"/>
  <c r="AN62" i="38"/>
  <c r="AM67" i="38"/>
  <c r="AN67" i="38"/>
  <c r="AM30" i="38"/>
  <c r="AN30" i="38"/>
  <c r="AM75" i="38"/>
  <c r="AN75" i="38"/>
  <c r="AM66" i="38"/>
  <c r="AN66" i="38"/>
  <c r="AM92" i="38"/>
  <c r="AN92" i="38"/>
  <c r="AM65" i="38"/>
  <c r="AN65" i="38"/>
  <c r="AM44" i="38"/>
  <c r="AN44" i="38"/>
  <c r="AM80" i="38"/>
  <c r="AN80" i="38"/>
  <c r="AM73" i="38"/>
  <c r="AN73" i="38"/>
  <c r="AM64" i="38"/>
  <c r="AN64" i="38"/>
  <c r="AM82" i="38"/>
  <c r="AN82" i="38"/>
  <c r="AM55" i="38"/>
  <c r="AN55" i="38"/>
  <c r="AM86" i="38"/>
  <c r="AN86" i="38"/>
  <c r="AM36" i="38"/>
  <c r="AN36" i="38"/>
  <c r="AM50" i="38"/>
  <c r="AN50" i="38"/>
  <c r="AM52" i="38"/>
  <c r="AN52" i="38"/>
  <c r="AM56" i="38"/>
  <c r="AN56" i="38"/>
  <c r="AM85" i="38"/>
  <c r="AN85" i="38"/>
  <c r="AM48" i="38"/>
  <c r="AN48" i="38"/>
  <c r="AM54" i="38"/>
  <c r="AN54" i="38"/>
  <c r="AM83" i="38"/>
  <c r="AN83" i="38"/>
  <c r="AM35" i="38"/>
  <c r="AN35" i="38"/>
  <c r="AM33" i="38"/>
  <c r="AN33" i="38"/>
  <c r="AM45" i="38"/>
  <c r="AN45" i="38"/>
  <c r="AM61" i="38"/>
  <c r="AN61" i="38"/>
  <c r="AM34" i="38"/>
  <c r="AN34" i="38"/>
  <c r="AM38" i="38"/>
  <c r="AN38" i="38"/>
  <c r="AM29" i="38"/>
  <c r="AN29" i="38"/>
  <c r="AM46" i="38"/>
  <c r="AN46" i="38"/>
  <c r="AM77" i="38"/>
  <c r="AN77" i="38"/>
  <c r="AM13" i="38"/>
  <c r="AN13" i="38"/>
  <c r="AL21" i="43"/>
  <c r="AL23" i="43"/>
  <c r="AL22" i="43"/>
  <c r="AL20" i="43"/>
  <c r="AL24" i="43"/>
  <c r="AL34" i="40"/>
  <c r="AL41" i="40"/>
  <c r="AL79" i="40"/>
  <c r="AL67" i="40"/>
  <c r="AL68" i="40"/>
  <c r="AL73" i="40"/>
  <c r="AL30" i="40"/>
  <c r="AL29" i="40"/>
  <c r="AL56" i="40"/>
  <c r="AL28" i="40"/>
  <c r="AL46" i="40"/>
  <c r="AL52" i="40"/>
  <c r="AL63" i="40"/>
  <c r="AL31" i="40"/>
  <c r="AL32" i="40"/>
  <c r="AL74" i="40"/>
  <c r="AL62" i="40"/>
  <c r="AL44" i="40"/>
  <c r="AL78" i="40"/>
  <c r="AL71" i="40"/>
  <c r="AL55" i="40"/>
  <c r="AL35" i="40"/>
  <c r="AL61" i="40"/>
  <c r="AL20" i="40"/>
  <c r="AL54" i="40"/>
  <c r="AL70" i="40"/>
  <c r="AL69" i="40"/>
  <c r="AL75" i="40"/>
  <c r="AL48" i="40"/>
  <c r="AL36" i="40"/>
  <c r="AL26" i="40"/>
  <c r="AL80" i="40"/>
  <c r="AL65" i="40"/>
  <c r="AL50" i="40"/>
  <c r="AL33" i="40"/>
  <c r="AL43" i="40"/>
  <c r="AL53" i="40"/>
  <c r="AL37" i="40"/>
  <c r="AL60" i="40"/>
  <c r="AL57" i="40"/>
  <c r="AL21" i="40"/>
  <c r="AL40" i="40"/>
  <c r="AL64" i="40"/>
  <c r="AL23" i="40"/>
  <c r="AL19" i="40"/>
  <c r="AL81" i="40"/>
  <c r="AL82" i="40"/>
  <c r="AL72" i="40"/>
  <c r="AL76" i="40"/>
  <c r="AL22" i="40"/>
  <c r="AL49" i="40"/>
  <c r="AL66" i="40"/>
  <c r="AL24" i="40"/>
  <c r="AL77" i="40"/>
  <c r="AL27" i="40"/>
  <c r="AL51" i="40"/>
  <c r="AL39" i="40"/>
  <c r="AL59" i="40"/>
  <c r="AL45" i="40"/>
  <c r="AL58" i="40"/>
  <c r="AL47" i="40"/>
  <c r="AL42" i="40"/>
  <c r="AL38" i="40"/>
  <c r="F86" i="57"/>
  <c r="F84" i="57"/>
  <c r="G85" i="57"/>
  <c r="F85" i="57"/>
  <c r="G83" i="57"/>
  <c r="G86" i="57"/>
  <c r="F83" i="57"/>
  <c r="G84" i="57"/>
  <c r="AM47" i="43"/>
  <c r="AN51" i="43"/>
  <c r="AM55" i="43"/>
  <c r="H51" i="36"/>
  <c r="J1" i="45"/>
  <c r="H46" i="36"/>
  <c r="J1" i="43"/>
  <c r="H42" i="36"/>
  <c r="J1" i="42"/>
  <c r="J1" i="46"/>
  <c r="H53" i="36"/>
  <c r="AL41" i="44"/>
  <c r="H43" i="36"/>
  <c r="AL18" i="40"/>
  <c r="AL17" i="40"/>
  <c r="AL16" i="40"/>
  <c r="AF15" i="44"/>
  <c r="AM47" i="46"/>
  <c r="AM44" i="43"/>
  <c r="AN56" i="46"/>
  <c r="AN49" i="43"/>
  <c r="AN52" i="43"/>
  <c r="AN46" i="43"/>
  <c r="AM53" i="43"/>
  <c r="AM54" i="43"/>
  <c r="AN56" i="43"/>
  <c r="AN58" i="43"/>
  <c r="AM48" i="43"/>
  <c r="AN62" i="43"/>
  <c r="AM50" i="43"/>
  <c r="AL19" i="43"/>
  <c r="AN55" i="46"/>
  <c r="AM81" i="44"/>
  <c r="AN81" i="44"/>
  <c r="AN60" i="43"/>
  <c r="AN61" i="43"/>
  <c r="AM57" i="43"/>
  <c r="AN57" i="43"/>
  <c r="AN84" i="44"/>
  <c r="AM84" i="44"/>
  <c r="AM59" i="46"/>
  <c r="AN59" i="46"/>
  <c r="AN49" i="46"/>
  <c r="AM49" i="46"/>
  <c r="AM57" i="46"/>
  <c r="AN57" i="46"/>
  <c r="AN51" i="46"/>
  <c r="AM51" i="46"/>
  <c r="AN52" i="46"/>
  <c r="AM52" i="46"/>
  <c r="AN44" i="46"/>
  <c r="AM44" i="46"/>
  <c r="AM58" i="46"/>
  <c r="AN58" i="46"/>
  <c r="AN63" i="46"/>
  <c r="AM63" i="46"/>
  <c r="AN53" i="46"/>
  <c r="AM53" i="46"/>
  <c r="AM61" i="46"/>
  <c r="AN61" i="46"/>
  <c r="AM45" i="46"/>
  <c r="AN45" i="46"/>
  <c r="AM71" i="44"/>
  <c r="AN71" i="44"/>
  <c r="AN80" i="44"/>
  <c r="AM80" i="44"/>
  <c r="AM48" i="46"/>
  <c r="AN48" i="46"/>
  <c r="AM54" i="46"/>
  <c r="AN54" i="46"/>
  <c r="AN62" i="46"/>
  <c r="AM62" i="46"/>
  <c r="AN72" i="44"/>
  <c r="AM72" i="44"/>
  <c r="AN60" i="46"/>
  <c r="AM60" i="46"/>
  <c r="AM50" i="46"/>
  <c r="AN50" i="46"/>
  <c r="AM79" i="44"/>
  <c r="AN79" i="44"/>
  <c r="AM46" i="46"/>
  <c r="AN46" i="46"/>
  <c r="AN85" i="44"/>
  <c r="AM75" i="44"/>
  <c r="AN82" i="44"/>
  <c r="AM70" i="44"/>
  <c r="AN77" i="44"/>
  <c r="AL18" i="46"/>
  <c r="AM18" i="46" s="1"/>
  <c r="AN67" i="44"/>
  <c r="AM74" i="44"/>
  <c r="AN78" i="44"/>
  <c r="AM76" i="44"/>
  <c r="AN73" i="44"/>
  <c r="AM68" i="44"/>
  <c r="AN69" i="44"/>
  <c r="AG15" i="44"/>
  <c r="AJ15" i="44"/>
  <c r="AO15" i="44"/>
  <c r="AH15" i="44"/>
  <c r="AI15" i="44"/>
  <c r="AK15" i="44"/>
  <c r="AG69" i="43"/>
  <c r="AF88" i="43"/>
  <c r="AL88" i="43" s="1"/>
  <c r="AH82" i="43"/>
  <c r="AK78" i="43"/>
  <c r="AJ83" i="43"/>
  <c r="AG85" i="43"/>
  <c r="AI87" i="43"/>
  <c r="AO71" i="43"/>
  <c r="AF82" i="43"/>
  <c r="AL82" i="43" s="1"/>
  <c r="AK83" i="43"/>
  <c r="AO87" i="43"/>
  <c r="AH71" i="43"/>
  <c r="AO83" i="43"/>
  <c r="AJ87" i="43"/>
  <c r="AH83" i="43"/>
  <c r="AH87" i="43"/>
  <c r="AJ86" i="43"/>
  <c r="AG88" i="43"/>
  <c r="AO75" i="43"/>
  <c r="AG78" i="43"/>
  <c r="AK80" i="43"/>
  <c r="AI77" i="43"/>
  <c r="AJ82" i="43"/>
  <c r="AK81" i="43"/>
  <c r="AI82" i="43"/>
  <c r="AJ78" i="43"/>
  <c r="AJ71" i="43"/>
  <c r="AF73" i="43"/>
  <c r="AL73" i="43" s="1"/>
  <c r="AJ85" i="43"/>
  <c r="AF80" i="43"/>
  <c r="AL80" i="43" s="1"/>
  <c r="AO85" i="43"/>
  <c r="AI88" i="43"/>
  <c r="AH85" i="43"/>
  <c r="AG83" i="43"/>
  <c r="AK85" i="43"/>
  <c r="AF83" i="43"/>
  <c r="AL83" i="43" s="1"/>
  <c r="AH78" i="43"/>
  <c r="AF85" i="43"/>
  <c r="AL85" i="43" s="1"/>
  <c r="AJ80" i="43"/>
  <c r="AK88" i="43"/>
  <c r="AG74" i="43"/>
  <c r="AI76" i="43"/>
  <c r="AJ81" i="43"/>
  <c r="AO80" i="43"/>
  <c r="AH81" i="43"/>
  <c r="AG82" i="43"/>
  <c r="AI80" i="43"/>
  <c r="AJ73" i="43"/>
  <c r="AH73" i="43"/>
  <c r="AF81" i="43"/>
  <c r="AL81" i="43" s="1"/>
  <c r="AO72" i="43"/>
  <c r="AO73" i="43"/>
  <c r="AI78" i="43"/>
  <c r="AI74" i="43"/>
  <c r="AK71" i="43"/>
  <c r="AI71" i="43"/>
  <c r="AK86" i="43"/>
  <c r="AG70" i="43"/>
  <c r="AI79" i="43"/>
  <c r="AH75" i="43"/>
  <c r="AF86" i="43"/>
  <c r="AL86" i="43" s="1"/>
  <c r="AH86" i="43"/>
  <c r="AK70" i="43"/>
  <c r="AG72" i="43"/>
  <c r="AK72" i="43"/>
  <c r="AG84" i="43"/>
  <c r="AG76" i="43"/>
  <c r="AO77" i="43"/>
  <c r="AJ70" i="43"/>
  <c r="AH84" i="43"/>
  <c r="AJ88" i="43"/>
  <c r="AF72" i="43"/>
  <c r="AL72" i="43" s="1"/>
  <c r="AI72" i="43"/>
  <c r="AF87" i="43"/>
  <c r="AL87" i="43" s="1"/>
  <c r="AK77" i="43"/>
  <c r="AJ75" i="43"/>
  <c r="AK69" i="43"/>
  <c r="AH79" i="43"/>
  <c r="AI81" i="43"/>
  <c r="AH70" i="43"/>
  <c r="AF70" i="43"/>
  <c r="AL70" i="43" s="1"/>
  <c r="AF75" i="43"/>
  <c r="AL75" i="43" s="1"/>
  <c r="AG87" i="43"/>
  <c r="AJ69" i="43"/>
  <c r="AG71" i="43"/>
  <c r="AH74" i="43"/>
  <c r="AG81" i="43"/>
  <c r="AO69" i="43"/>
  <c r="AO82" i="43"/>
  <c r="AJ76" i="43"/>
  <c r="AI70" i="43"/>
  <c r="AF84" i="43"/>
  <c r="AL84" i="43" s="1"/>
  <c r="AH80" i="43"/>
  <c r="AH77" i="43"/>
  <c r="AO86" i="43"/>
  <c r="AF69" i="43"/>
  <c r="AL69" i="43" s="1"/>
  <c r="AG77" i="43"/>
  <c r="AG79" i="43"/>
  <c r="AO79" i="43"/>
  <c r="AK76" i="43"/>
  <c r="AJ84" i="43"/>
  <c r="AJ72" i="43"/>
  <c r="AO88" i="43"/>
  <c r="AK75" i="43"/>
  <c r="AO76" i="43"/>
  <c r="AO84" i="43"/>
  <c r="AI75" i="43"/>
  <c r="AG86" i="43"/>
  <c r="AF79" i="43"/>
  <c r="AL79" i="43" s="1"/>
  <c r="AH76" i="43"/>
  <c r="AF74" i="43"/>
  <c r="AL74" i="43" s="1"/>
  <c r="AJ79" i="43"/>
  <c r="AI69" i="43"/>
  <c r="AK74" i="43"/>
  <c r="AJ77" i="43"/>
  <c r="AJ74" i="43"/>
  <c r="AG73" i="43"/>
  <c r="AO78" i="43"/>
  <c r="AK84" i="43"/>
  <c r="AK73" i="43"/>
  <c r="AO24" i="40"/>
  <c r="AL16" i="42"/>
  <c r="AO68" i="43" l="1"/>
  <c r="AK68" i="43"/>
  <c r="AJ68" i="43"/>
  <c r="AH68" i="43"/>
  <c r="AG68" i="43"/>
  <c r="AI68" i="43"/>
  <c r="AM84" i="39"/>
  <c r="AN84" i="39"/>
  <c r="AM87" i="39"/>
  <c r="AN87" i="39"/>
  <c r="AM90" i="39"/>
  <c r="AN90" i="39"/>
  <c r="AM85" i="39"/>
  <c r="AN85" i="39"/>
  <c r="AM15" i="39"/>
  <c r="AN15" i="39"/>
  <c r="AL88" i="39"/>
  <c r="AL86" i="39"/>
  <c r="AL89" i="39"/>
  <c r="J53" i="36" a="1"/>
  <c r="J53" i="36" s="1"/>
  <c r="AN18" i="46"/>
  <c r="AL15" i="44"/>
  <c r="Z10" i="48"/>
  <c r="R10" i="48"/>
  <c r="S10" i="48"/>
  <c r="T10" i="48"/>
  <c r="AL68" i="43" l="1"/>
  <c r="AM89" i="39"/>
  <c r="AN89" i="39"/>
  <c r="AM86" i="39"/>
  <c r="AN86" i="39"/>
  <c r="AM88" i="39"/>
  <c r="AN88" i="39"/>
  <c r="AO69" i="46"/>
  <c r="AC43" i="46"/>
  <c r="AE43" i="46" s="1"/>
  <c r="AC44" i="46"/>
  <c r="AE44" i="46" s="1"/>
  <c r="AC51" i="46"/>
  <c r="AE51" i="46" s="1"/>
  <c r="AC52" i="46"/>
  <c r="AE52" i="46" s="1"/>
  <c r="AC59" i="46"/>
  <c r="AE59" i="46" s="1"/>
  <c r="AC60" i="46"/>
  <c r="AE60" i="46" s="1"/>
  <c r="AF89" i="46" l="1"/>
  <c r="AL89" i="46" s="1"/>
  <c r="AO89" i="46"/>
  <c r="AI89" i="46"/>
  <c r="AG89" i="46"/>
  <c r="AK89" i="46"/>
  <c r="AJ89" i="46"/>
  <c r="AH89" i="46"/>
  <c r="AF81" i="46"/>
  <c r="AL81" i="46" s="1"/>
  <c r="AG81" i="46"/>
  <c r="AO81" i="46"/>
  <c r="AI81" i="46"/>
  <c r="AJ81" i="46"/>
  <c r="AH81" i="46"/>
  <c r="AK81" i="46"/>
  <c r="AO73" i="46"/>
  <c r="AG73" i="46"/>
  <c r="AI73" i="46"/>
  <c r="AH73" i="46"/>
  <c r="AJ73" i="46"/>
  <c r="AF73" i="46"/>
  <c r="AL73" i="46" s="1"/>
  <c r="AK73" i="46"/>
  <c r="AH88" i="46"/>
  <c r="AI88" i="46"/>
  <c r="AK88" i="46"/>
  <c r="AO88" i="46"/>
  <c r="AF88" i="46"/>
  <c r="AL88" i="46" s="1"/>
  <c r="AJ88" i="46"/>
  <c r="AG88" i="46"/>
  <c r="AI80" i="46"/>
  <c r="AJ80" i="46"/>
  <c r="AH80" i="46"/>
  <c r="AK80" i="46"/>
  <c r="AG80" i="46"/>
  <c r="AF80" i="46"/>
  <c r="AL80" i="46" s="1"/>
  <c r="AO80" i="46"/>
  <c r="AH72" i="46"/>
  <c r="AI72" i="46"/>
  <c r="AG72" i="46"/>
  <c r="AJ72" i="46"/>
  <c r="AF72" i="46"/>
  <c r="AL72" i="46" s="1"/>
  <c r="AK72" i="46"/>
  <c r="AO72" i="46"/>
  <c r="AI87" i="46"/>
  <c r="AK87" i="46"/>
  <c r="AJ87" i="46"/>
  <c r="AO87" i="46"/>
  <c r="AH87" i="46"/>
  <c r="AF87" i="46"/>
  <c r="AL87" i="46" s="1"/>
  <c r="AG87" i="46"/>
  <c r="AI79" i="46"/>
  <c r="AK79" i="46"/>
  <c r="AJ79" i="46"/>
  <c r="AH79" i="46"/>
  <c r="AO79" i="46"/>
  <c r="AF79" i="46"/>
  <c r="AL79" i="46" s="1"/>
  <c r="AG79" i="46"/>
  <c r="AI71" i="46"/>
  <c r="AJ71" i="46"/>
  <c r="AK71" i="46"/>
  <c r="AG71" i="46"/>
  <c r="AH71" i="46"/>
  <c r="AO71" i="46"/>
  <c r="AF71" i="46"/>
  <c r="AL71" i="46" s="1"/>
  <c r="AK86" i="46"/>
  <c r="AJ86" i="46"/>
  <c r="AH86" i="46"/>
  <c r="AO86" i="46"/>
  <c r="AF86" i="46"/>
  <c r="AL86" i="46" s="1"/>
  <c r="AG86" i="46"/>
  <c r="AI86" i="46"/>
  <c r="AK78" i="46"/>
  <c r="AJ78" i="46"/>
  <c r="AO78" i="46"/>
  <c r="AG78" i="46"/>
  <c r="AI78" i="46"/>
  <c r="AF78" i="46"/>
  <c r="AL78" i="46" s="1"/>
  <c r="AH78" i="46"/>
  <c r="AK70" i="46"/>
  <c r="AI70" i="46"/>
  <c r="AJ70" i="46"/>
  <c r="AF70" i="46"/>
  <c r="AG70" i="46"/>
  <c r="AO70" i="46"/>
  <c r="AH70" i="46"/>
  <c r="AK85" i="46"/>
  <c r="AO85" i="46"/>
  <c r="AG85" i="46"/>
  <c r="AF85" i="46"/>
  <c r="AL85" i="46" s="1"/>
  <c r="AI85" i="46"/>
  <c r="AJ85" i="46"/>
  <c r="AH85" i="46"/>
  <c r="AK77" i="46"/>
  <c r="AO77" i="46"/>
  <c r="AF77" i="46"/>
  <c r="AL77" i="46" s="1"/>
  <c r="AG77" i="46"/>
  <c r="AH77" i="46"/>
  <c r="AI77" i="46"/>
  <c r="AJ77" i="46"/>
  <c r="AO84" i="46"/>
  <c r="AF84" i="46"/>
  <c r="AL84" i="46" s="1"/>
  <c r="AG84" i="46"/>
  <c r="AH84" i="46"/>
  <c r="AI84" i="46"/>
  <c r="AK84" i="46"/>
  <c r="AJ84" i="46"/>
  <c r="AO76" i="46"/>
  <c r="AF76" i="46"/>
  <c r="AL76" i="46" s="1"/>
  <c r="AG76" i="46"/>
  <c r="AH76" i="46"/>
  <c r="AI76" i="46"/>
  <c r="AK76" i="46"/>
  <c r="AJ76" i="46"/>
  <c r="AG83" i="46"/>
  <c r="AF83" i="46"/>
  <c r="AL83" i="46" s="1"/>
  <c r="AH83" i="46"/>
  <c r="AI83" i="46"/>
  <c r="AO83" i="46"/>
  <c r="AJ83" i="46"/>
  <c r="AK83" i="46"/>
  <c r="AG75" i="46"/>
  <c r="AI75" i="46"/>
  <c r="AF75" i="46"/>
  <c r="AL75" i="46" s="1"/>
  <c r="AJ75" i="46"/>
  <c r="AO75" i="46"/>
  <c r="AH75" i="46"/>
  <c r="AK75" i="46"/>
  <c r="AO82" i="46"/>
  <c r="AK82" i="46"/>
  <c r="AH82" i="46"/>
  <c r="AI82" i="46"/>
  <c r="AJ82" i="46"/>
  <c r="AF82" i="46"/>
  <c r="AL82" i="46" s="1"/>
  <c r="AG82" i="46"/>
  <c r="AK74" i="46"/>
  <c r="AG74" i="46"/>
  <c r="AI74" i="46"/>
  <c r="AF74" i="46"/>
  <c r="AL74" i="46" s="1"/>
  <c r="AO74" i="46"/>
  <c r="AH74" i="46"/>
  <c r="AJ74" i="46"/>
  <c r="AJ69" i="46"/>
  <c r="AK69" i="46"/>
  <c r="AH69" i="46"/>
  <c r="AI69" i="46"/>
  <c r="AF69" i="46"/>
  <c r="AG69" i="46"/>
  <c r="AC46" i="46"/>
  <c r="AE46" i="46" s="1"/>
  <c r="AC45" i="46"/>
  <c r="AE45" i="46" s="1"/>
  <c r="AC56" i="46"/>
  <c r="AE56" i="46" s="1"/>
  <c r="AC49" i="46"/>
  <c r="AE49" i="46" s="1"/>
  <c r="AC50" i="46"/>
  <c r="AE50" i="46" s="1"/>
  <c r="AC62" i="46"/>
  <c r="AE62" i="46" s="1"/>
  <c r="AC58" i="46"/>
  <c r="AE58" i="46" s="1"/>
  <c r="AC48" i="46"/>
  <c r="AE48" i="46" s="1"/>
  <c r="AC55" i="46"/>
  <c r="AE55" i="46" s="1"/>
  <c r="AC54" i="46"/>
  <c r="AE54" i="46" s="1"/>
  <c r="AC53" i="46"/>
  <c r="AE53" i="46" s="1"/>
  <c r="AC61" i="46"/>
  <c r="AE61" i="46" s="1"/>
  <c r="AC57" i="46"/>
  <c r="AE57" i="46" s="1"/>
  <c r="AC47" i="46"/>
  <c r="AE47" i="46" s="1"/>
  <c r="AC63" i="46"/>
  <c r="AE63" i="46" s="1"/>
  <c r="AL70" i="46" l="1"/>
  <c r="AM70" i="46" s="1"/>
  <c r="AM85" i="46"/>
  <c r="AN85" i="46"/>
  <c r="AM87" i="46"/>
  <c r="AN87" i="46"/>
  <c r="AM72" i="46"/>
  <c r="AN72" i="46"/>
  <c r="AM81" i="46"/>
  <c r="AN81" i="46"/>
  <c r="AM71" i="46"/>
  <c r="AN71" i="46"/>
  <c r="AM79" i="46"/>
  <c r="AN79" i="46"/>
  <c r="AM77" i="46"/>
  <c r="AN77" i="46"/>
  <c r="AN82" i="46"/>
  <c r="AM82" i="46"/>
  <c r="AM84" i="46"/>
  <c r="AN84" i="46"/>
  <c r="AN78" i="46"/>
  <c r="AM78" i="46"/>
  <c r="AN86" i="46"/>
  <c r="AM86" i="46"/>
  <c r="AM73" i="46"/>
  <c r="AN73" i="46"/>
  <c r="AM76" i="46"/>
  <c r="AN76" i="46"/>
  <c r="AM75" i="46"/>
  <c r="AN75" i="46"/>
  <c r="AM83" i="46"/>
  <c r="AN83" i="46"/>
  <c r="AN80" i="46"/>
  <c r="AM80" i="46"/>
  <c r="AN88" i="46"/>
  <c r="AM88" i="46"/>
  <c r="AN74" i="46"/>
  <c r="AM74" i="46"/>
  <c r="AM89" i="46"/>
  <c r="AN89" i="46"/>
  <c r="AL69" i="46"/>
  <c r="AC19" i="46"/>
  <c r="AD19" i="46" s="1"/>
  <c r="AC20" i="46"/>
  <c r="AD20" i="46" s="1"/>
  <c r="AC21" i="46"/>
  <c r="AD21" i="46" s="1"/>
  <c r="AC22" i="46"/>
  <c r="AD22" i="46" s="1"/>
  <c r="AC23" i="46"/>
  <c r="AD23" i="46" s="1"/>
  <c r="AC24" i="46"/>
  <c r="AD24" i="46" s="1"/>
  <c r="AC25" i="46"/>
  <c r="AD25" i="46" s="1"/>
  <c r="AC26" i="46"/>
  <c r="AD26" i="46" s="1"/>
  <c r="AC27" i="46"/>
  <c r="AD27" i="46" s="1"/>
  <c r="AC28" i="46"/>
  <c r="AD28" i="46" s="1"/>
  <c r="AC29" i="46"/>
  <c r="AD29" i="46" s="1"/>
  <c r="AC30" i="46"/>
  <c r="AD30" i="46" s="1"/>
  <c r="AC31" i="46"/>
  <c r="AD31" i="46" s="1"/>
  <c r="AC32" i="46"/>
  <c r="AD32" i="46" s="1"/>
  <c r="AC33" i="46"/>
  <c r="AD33" i="46" s="1"/>
  <c r="AC34" i="46"/>
  <c r="AD34" i="46" s="1"/>
  <c r="AC35" i="46"/>
  <c r="AD35" i="46" s="1"/>
  <c r="AC36" i="46"/>
  <c r="AD36" i="46" s="1"/>
  <c r="AC37" i="46"/>
  <c r="AD37" i="46" s="1"/>
  <c r="U129" i="45"/>
  <c r="AA129" i="45" s="1" a="1"/>
  <c r="AA129" i="45" s="1"/>
  <c r="AG32" i="46" l="1"/>
  <c r="AI32" i="46"/>
  <c r="AK32" i="46"/>
  <c r="AO32" i="46"/>
  <c r="AH32" i="46"/>
  <c r="AF32" i="46"/>
  <c r="AL32" i="46" s="1"/>
  <c r="AJ32" i="46"/>
  <c r="AO24" i="46"/>
  <c r="AJ24" i="46"/>
  <c r="AF24" i="46"/>
  <c r="AL24" i="46" s="1"/>
  <c r="AG24" i="46"/>
  <c r="AI24" i="46"/>
  <c r="AK24" i="46"/>
  <c r="AH24" i="46"/>
  <c r="AF31" i="46"/>
  <c r="AL31" i="46" s="1"/>
  <c r="AO31" i="46"/>
  <c r="AG31" i="46"/>
  <c r="AJ31" i="46"/>
  <c r="AH31" i="46"/>
  <c r="AI31" i="46"/>
  <c r="AK31" i="46"/>
  <c r="AF23" i="46"/>
  <c r="AL23" i="46" s="1"/>
  <c r="AG23" i="46"/>
  <c r="AH23" i="46"/>
  <c r="AI23" i="46"/>
  <c r="AK23" i="46"/>
  <c r="AO23" i="46"/>
  <c r="AJ23" i="46"/>
  <c r="AK30" i="46"/>
  <c r="AO30" i="46"/>
  <c r="AJ30" i="46"/>
  <c r="AH30" i="46"/>
  <c r="AF30" i="46"/>
  <c r="AL30" i="46" s="1"/>
  <c r="AG30" i="46"/>
  <c r="AI30" i="46"/>
  <c r="AK22" i="46"/>
  <c r="AJ22" i="46"/>
  <c r="AI22" i="46"/>
  <c r="AH22" i="46"/>
  <c r="AG22" i="46"/>
  <c r="AF22" i="46"/>
  <c r="AL22" i="46" s="1"/>
  <c r="AO22" i="46"/>
  <c r="AG37" i="46"/>
  <c r="AJ37" i="46"/>
  <c r="AI37" i="46"/>
  <c r="AH37" i="46"/>
  <c r="AK37" i="46"/>
  <c r="AO37" i="46"/>
  <c r="AF37" i="46"/>
  <c r="AL37" i="46" s="1"/>
  <c r="AJ29" i="46"/>
  <c r="AO29" i="46"/>
  <c r="AF29" i="46"/>
  <c r="AL29" i="46" s="1"/>
  <c r="AK29" i="46"/>
  <c r="AH29" i="46"/>
  <c r="AI29" i="46"/>
  <c r="AG29" i="46"/>
  <c r="AG21" i="46"/>
  <c r="AO21" i="46"/>
  <c r="AJ21" i="46"/>
  <c r="AF21" i="46"/>
  <c r="AL21" i="46" s="1"/>
  <c r="AH21" i="46"/>
  <c r="AK21" i="46"/>
  <c r="AI21" i="46"/>
  <c r="AJ25" i="46"/>
  <c r="AO25" i="46"/>
  <c r="AK25" i="46"/>
  <c r="AI25" i="46"/>
  <c r="AF25" i="46"/>
  <c r="AL25" i="46" s="1"/>
  <c r="AG25" i="46"/>
  <c r="AH25" i="46"/>
  <c r="AO36" i="46"/>
  <c r="AI36" i="46"/>
  <c r="AK36" i="46"/>
  <c r="AJ36" i="46"/>
  <c r="AF36" i="46"/>
  <c r="AL36" i="46" s="1"/>
  <c r="AG36" i="46"/>
  <c r="AH36" i="46"/>
  <c r="AH28" i="46"/>
  <c r="AJ28" i="46"/>
  <c r="AO28" i="46"/>
  <c r="AK28" i="46"/>
  <c r="AI28" i="46"/>
  <c r="AG28" i="46"/>
  <c r="AF28" i="46"/>
  <c r="AL28" i="46" s="1"/>
  <c r="AO20" i="46"/>
  <c r="AK20" i="46"/>
  <c r="AI20" i="46"/>
  <c r="AG20" i="46"/>
  <c r="AF20" i="46"/>
  <c r="AL20" i="46" s="1"/>
  <c r="AH20" i="46"/>
  <c r="AJ20" i="46"/>
  <c r="AK34" i="46"/>
  <c r="AO34" i="46"/>
  <c r="AJ34" i="46"/>
  <c r="AF34" i="46"/>
  <c r="AL34" i="46" s="1"/>
  <c r="AH34" i="46"/>
  <c r="AG34" i="46"/>
  <c r="AI34" i="46"/>
  <c r="AH26" i="46"/>
  <c r="AG26" i="46"/>
  <c r="AF26" i="46"/>
  <c r="AL26" i="46" s="1"/>
  <c r="AI26" i="46"/>
  <c r="AK26" i="46"/>
  <c r="AJ26" i="46"/>
  <c r="AO26" i="46"/>
  <c r="AH33" i="46"/>
  <c r="AI33" i="46"/>
  <c r="AG33" i="46"/>
  <c r="AO33" i="46"/>
  <c r="AJ33" i="46"/>
  <c r="AK33" i="46"/>
  <c r="AF33" i="46"/>
  <c r="AL33" i="46" s="1"/>
  <c r="AI35" i="46"/>
  <c r="AF35" i="46"/>
  <c r="AL35" i="46" s="1"/>
  <c r="AK35" i="46"/>
  <c r="AH35" i="46"/>
  <c r="AG35" i="46"/>
  <c r="AO35" i="46"/>
  <c r="AJ35" i="46"/>
  <c r="AO27" i="46"/>
  <c r="AJ27" i="46"/>
  <c r="AF27" i="46"/>
  <c r="AL27" i="46" s="1"/>
  <c r="AG27" i="46"/>
  <c r="AI27" i="46"/>
  <c r="AH27" i="46"/>
  <c r="AK27" i="46"/>
  <c r="AI19" i="46"/>
  <c r="AJ19" i="46"/>
  <c r="AH19" i="46"/>
  <c r="AG19" i="46"/>
  <c r="AF19" i="46"/>
  <c r="AK19" i="46"/>
  <c r="AO19" i="46"/>
  <c r="AK129" i="45"/>
  <c r="AI129" i="45"/>
  <c r="AG129" i="45"/>
  <c r="AF129" i="45"/>
  <c r="AO129" i="45"/>
  <c r="AJ129" i="45"/>
  <c r="AN70" i="46"/>
  <c r="I51" i="36" a="1"/>
  <c r="I51" i="36" s="1"/>
  <c r="U134" i="45"/>
  <c r="AM84" i="43"/>
  <c r="AN84" i="43"/>
  <c r="AN77" i="43"/>
  <c r="AM77" i="43"/>
  <c r="AM70" i="43"/>
  <c r="AN70" i="43"/>
  <c r="AN86" i="43"/>
  <c r="AM86" i="43"/>
  <c r="AN71" i="43"/>
  <c r="AM71" i="43"/>
  <c r="AM83" i="43"/>
  <c r="AN83" i="43"/>
  <c r="AM75" i="43"/>
  <c r="AN75" i="43"/>
  <c r="AM74" i="43"/>
  <c r="AN74" i="43"/>
  <c r="AM85" i="43"/>
  <c r="AN85" i="43"/>
  <c r="AM69" i="46"/>
  <c r="AN69" i="46"/>
  <c r="AL129" i="45" l="1"/>
  <c r="AN129" i="45" s="1"/>
  <c r="AL19" i="46"/>
  <c r="AM19" i="46" s="1"/>
  <c r="AO48" i="45"/>
  <c r="AK48" i="45"/>
  <c r="AJ48" i="45"/>
  <c r="AF48" i="45"/>
  <c r="AI48" i="45"/>
  <c r="AG48" i="45"/>
  <c r="AH48" i="45"/>
  <c r="AF113" i="45"/>
  <c r="AK113" i="45"/>
  <c r="AJ113" i="45"/>
  <c r="AI113" i="45"/>
  <c r="AG113" i="45"/>
  <c r="AO113" i="45"/>
  <c r="AH113" i="45"/>
  <c r="AG69" i="45"/>
  <c r="AI69" i="45"/>
  <c r="AH69" i="45"/>
  <c r="AJ69" i="45"/>
  <c r="AK69" i="45"/>
  <c r="AF69" i="45"/>
  <c r="AO69" i="45"/>
  <c r="AF59" i="45"/>
  <c r="AO59" i="45"/>
  <c r="AK59" i="45"/>
  <c r="AH59" i="45"/>
  <c r="AI59" i="45"/>
  <c r="AG59" i="45"/>
  <c r="AJ59" i="45"/>
  <c r="AJ107" i="45"/>
  <c r="AH107" i="45"/>
  <c r="AI107" i="45"/>
  <c r="AK107" i="45"/>
  <c r="AF107" i="45"/>
  <c r="AO107" i="45"/>
  <c r="AG107" i="45"/>
  <c r="AO87" i="45"/>
  <c r="AK87" i="45"/>
  <c r="AJ87" i="45"/>
  <c r="AI87" i="45"/>
  <c r="AF87" i="45"/>
  <c r="AG87" i="45"/>
  <c r="AH87" i="45"/>
  <c r="AJ84" i="45"/>
  <c r="AK84" i="45"/>
  <c r="AF84" i="45"/>
  <c r="AI84" i="45"/>
  <c r="AG84" i="45"/>
  <c r="AO84" i="45"/>
  <c r="AH84" i="45"/>
  <c r="AG33" i="45"/>
  <c r="AI33" i="45"/>
  <c r="AF33" i="45"/>
  <c r="AH33" i="45"/>
  <c r="AO33" i="45"/>
  <c r="AK33" i="45"/>
  <c r="AJ33" i="45"/>
  <c r="AH96" i="45"/>
  <c r="AF96" i="45"/>
  <c r="AI96" i="45"/>
  <c r="AJ96" i="45"/>
  <c r="AO96" i="45"/>
  <c r="AK96" i="45"/>
  <c r="AG96" i="45"/>
  <c r="AF32" i="45"/>
  <c r="AK32" i="45"/>
  <c r="AO32" i="45"/>
  <c r="AH32" i="45"/>
  <c r="AG32" i="45"/>
  <c r="AJ32" i="45"/>
  <c r="AI32" i="45"/>
  <c r="AF58" i="45"/>
  <c r="AK58" i="45"/>
  <c r="AO58" i="45"/>
  <c r="AI58" i="45"/>
  <c r="AJ58" i="45"/>
  <c r="AH58" i="45"/>
  <c r="AG58" i="45"/>
  <c r="AJ79" i="45"/>
  <c r="AI79" i="45"/>
  <c r="AF79" i="45"/>
  <c r="AH79" i="45"/>
  <c r="AG79" i="45"/>
  <c r="AK79" i="45"/>
  <c r="AO79" i="45"/>
  <c r="AH53" i="45"/>
  <c r="AO53" i="45"/>
  <c r="AI53" i="45"/>
  <c r="AG53" i="45"/>
  <c r="AK53" i="45"/>
  <c r="AF53" i="45"/>
  <c r="AJ53" i="45"/>
  <c r="AJ115" i="45"/>
  <c r="AG115" i="45"/>
  <c r="AK115" i="45"/>
  <c r="AO115" i="45"/>
  <c r="AH115" i="45"/>
  <c r="AI115" i="45"/>
  <c r="AF115" i="45"/>
  <c r="AO118" i="45"/>
  <c r="AH118" i="45"/>
  <c r="AG118" i="45"/>
  <c r="AK118" i="45"/>
  <c r="AF118" i="45"/>
  <c r="AI118" i="45"/>
  <c r="AJ118" i="45"/>
  <c r="AI24" i="45"/>
  <c r="AO24" i="45"/>
  <c r="AH24" i="45"/>
  <c r="AJ24" i="45"/>
  <c r="AK24" i="45"/>
  <c r="AG24" i="45"/>
  <c r="AF24" i="45"/>
  <c r="AG71" i="45"/>
  <c r="AJ71" i="45"/>
  <c r="AF71" i="45"/>
  <c r="AK71" i="45"/>
  <c r="AH71" i="45"/>
  <c r="AO71" i="45"/>
  <c r="AI71" i="45"/>
  <c r="AG68" i="45"/>
  <c r="AH68" i="45"/>
  <c r="AF68" i="45"/>
  <c r="AO68" i="45"/>
  <c r="AJ68" i="45"/>
  <c r="AK68" i="45"/>
  <c r="AI68" i="45"/>
  <c r="AJ35" i="45"/>
  <c r="AK35" i="45"/>
  <c r="AH35" i="45"/>
  <c r="AI35" i="45"/>
  <c r="AO35" i="45"/>
  <c r="AF35" i="45"/>
  <c r="AG35" i="45"/>
  <c r="AK80" i="45"/>
  <c r="AI80" i="45"/>
  <c r="AH80" i="45"/>
  <c r="AG80" i="45"/>
  <c r="AJ80" i="45"/>
  <c r="AF80" i="45"/>
  <c r="AO80" i="45"/>
  <c r="AO42" i="45"/>
  <c r="AI42" i="45"/>
  <c r="AH42" i="45"/>
  <c r="AG42" i="45"/>
  <c r="AK42" i="45"/>
  <c r="AF42" i="45"/>
  <c r="AJ42" i="45"/>
  <c r="AO109" i="45"/>
  <c r="AF109" i="45"/>
  <c r="AK109" i="45"/>
  <c r="AG109" i="45"/>
  <c r="AJ109" i="45"/>
  <c r="AH109" i="45"/>
  <c r="AI109" i="45"/>
  <c r="AG91" i="45"/>
  <c r="AJ91" i="45"/>
  <c r="AH91" i="45"/>
  <c r="AF91" i="45"/>
  <c r="AO91" i="45"/>
  <c r="AK91" i="45"/>
  <c r="AI91" i="45"/>
  <c r="AJ27" i="45"/>
  <c r="AK27" i="45"/>
  <c r="AI27" i="45"/>
  <c r="AG27" i="45"/>
  <c r="AH27" i="45"/>
  <c r="AF27" i="45"/>
  <c r="AO27" i="45"/>
  <c r="AH41" i="45"/>
  <c r="AO41" i="45"/>
  <c r="AI41" i="45"/>
  <c r="AK41" i="45"/>
  <c r="AJ41" i="45"/>
  <c r="AG41" i="45"/>
  <c r="AF41" i="45"/>
  <c r="AO72" i="45"/>
  <c r="AI72" i="45"/>
  <c r="AJ72" i="45"/>
  <c r="AH72" i="45"/>
  <c r="AF72" i="45"/>
  <c r="AG72" i="45"/>
  <c r="AK72" i="45"/>
  <c r="AH101" i="45"/>
  <c r="AI101" i="45"/>
  <c r="AJ101" i="45"/>
  <c r="AO101" i="45"/>
  <c r="AG101" i="45"/>
  <c r="AF101" i="45"/>
  <c r="AK101" i="45"/>
  <c r="AK98" i="45"/>
  <c r="AF98" i="45"/>
  <c r="AH98" i="45"/>
  <c r="AJ98" i="45"/>
  <c r="AG98" i="45"/>
  <c r="AO98" i="45"/>
  <c r="AI98" i="45"/>
  <c r="AG34" i="45"/>
  <c r="AH34" i="45"/>
  <c r="AK34" i="45"/>
  <c r="AJ34" i="45"/>
  <c r="AF34" i="45"/>
  <c r="AI34" i="45"/>
  <c r="AO34" i="45"/>
  <c r="AF119" i="45"/>
  <c r="AK119" i="45"/>
  <c r="AJ119" i="45"/>
  <c r="AO119" i="45"/>
  <c r="AG119" i="45"/>
  <c r="AH119" i="45"/>
  <c r="AI119" i="45"/>
  <c r="AH55" i="45"/>
  <c r="AI55" i="45"/>
  <c r="AK55" i="45"/>
  <c r="AF55" i="45"/>
  <c r="AO55" i="45"/>
  <c r="AJ55" i="45"/>
  <c r="AG55" i="45"/>
  <c r="AF93" i="45"/>
  <c r="AK93" i="45"/>
  <c r="AH93" i="45"/>
  <c r="AG93" i="45"/>
  <c r="AO93" i="45"/>
  <c r="AI93" i="45"/>
  <c r="AJ93" i="45"/>
  <c r="AJ29" i="45"/>
  <c r="AK29" i="45"/>
  <c r="AF29" i="45"/>
  <c r="AH29" i="45"/>
  <c r="AG29" i="45"/>
  <c r="AI29" i="45"/>
  <c r="AO29" i="45"/>
  <c r="AK52" i="45"/>
  <c r="AI52" i="45"/>
  <c r="AO52" i="45"/>
  <c r="AF52" i="45"/>
  <c r="AJ52" i="45"/>
  <c r="AG52" i="45"/>
  <c r="AH52" i="45"/>
  <c r="AK83" i="45"/>
  <c r="AO83" i="45"/>
  <c r="AH83" i="45"/>
  <c r="AJ83" i="45"/>
  <c r="AI83" i="45"/>
  <c r="AF83" i="45"/>
  <c r="AG83" i="45"/>
  <c r="AH19" i="45"/>
  <c r="AJ19" i="45"/>
  <c r="AI19" i="45"/>
  <c r="AF19" i="45"/>
  <c r="AG19" i="45"/>
  <c r="AK19" i="45"/>
  <c r="AO19" i="45"/>
  <c r="AG94" i="45"/>
  <c r="AJ94" i="45"/>
  <c r="AH94" i="45"/>
  <c r="AO94" i="45"/>
  <c r="AI94" i="45"/>
  <c r="AK94" i="45"/>
  <c r="AF94" i="45"/>
  <c r="AG30" i="45"/>
  <c r="AJ30" i="45"/>
  <c r="AF30" i="45"/>
  <c r="AI30" i="45"/>
  <c r="AK30" i="45"/>
  <c r="AH30" i="45"/>
  <c r="AO30" i="45"/>
  <c r="AJ36" i="45"/>
  <c r="AK36" i="45"/>
  <c r="AF36" i="45"/>
  <c r="AO36" i="45"/>
  <c r="AI36" i="45"/>
  <c r="AG36" i="45"/>
  <c r="AH36" i="45"/>
  <c r="AO95" i="45"/>
  <c r="AI95" i="45"/>
  <c r="AH95" i="45"/>
  <c r="AF95" i="45"/>
  <c r="AK95" i="45"/>
  <c r="AJ95" i="45"/>
  <c r="AG95" i="45"/>
  <c r="AJ100" i="45"/>
  <c r="AF100" i="45"/>
  <c r="AG100" i="45"/>
  <c r="AO100" i="45"/>
  <c r="AK100" i="45"/>
  <c r="AH100" i="45"/>
  <c r="AI100" i="45"/>
  <c r="AK70" i="45"/>
  <c r="AF70" i="45"/>
  <c r="AO70" i="45"/>
  <c r="AI70" i="45"/>
  <c r="AG70" i="45"/>
  <c r="AH70" i="45"/>
  <c r="AJ70" i="45"/>
  <c r="AF40" i="45"/>
  <c r="AG40" i="45"/>
  <c r="AH40" i="45"/>
  <c r="AO40" i="45"/>
  <c r="AJ40" i="45"/>
  <c r="AI40" i="45"/>
  <c r="AK40" i="45"/>
  <c r="AF89" i="45"/>
  <c r="AG89" i="45"/>
  <c r="AI89" i="45"/>
  <c r="AO89" i="45"/>
  <c r="AJ89" i="45"/>
  <c r="AH89" i="45"/>
  <c r="AK89" i="45"/>
  <c r="AJ61" i="45"/>
  <c r="AK61" i="45"/>
  <c r="AH61" i="45"/>
  <c r="AF61" i="45"/>
  <c r="AG61" i="45"/>
  <c r="AO61" i="45"/>
  <c r="AI61" i="45"/>
  <c r="AI51" i="45"/>
  <c r="AF51" i="45"/>
  <c r="AG51" i="45"/>
  <c r="AH51" i="45"/>
  <c r="AO51" i="45"/>
  <c r="AJ51" i="45"/>
  <c r="AK51" i="45"/>
  <c r="AI121" i="45"/>
  <c r="AK121" i="45"/>
  <c r="AO121" i="45"/>
  <c r="AG121" i="45"/>
  <c r="AF121" i="45"/>
  <c r="AJ121" i="45"/>
  <c r="AH121" i="45"/>
  <c r="AJ122" i="45"/>
  <c r="AG122" i="45"/>
  <c r="AO122" i="45"/>
  <c r="AH122" i="45"/>
  <c r="AI122" i="45"/>
  <c r="AF122" i="45"/>
  <c r="AK122" i="45"/>
  <c r="AG73" i="45"/>
  <c r="AI73" i="45"/>
  <c r="AK73" i="45"/>
  <c r="AF73" i="45"/>
  <c r="AO73" i="45"/>
  <c r="AJ73" i="45"/>
  <c r="AH73" i="45"/>
  <c r="AF15" i="45"/>
  <c r="AI15" i="45"/>
  <c r="AG15" i="45"/>
  <c r="AK15" i="45"/>
  <c r="AJ15" i="45"/>
  <c r="AH15" i="45"/>
  <c r="AO15" i="45"/>
  <c r="AJ76" i="45"/>
  <c r="AK76" i="45"/>
  <c r="AO76" i="45"/>
  <c r="AF76" i="45"/>
  <c r="AG76" i="45"/>
  <c r="AH76" i="45"/>
  <c r="AI76" i="45"/>
  <c r="AO43" i="45"/>
  <c r="AJ43" i="45"/>
  <c r="AG43" i="45"/>
  <c r="AF43" i="45"/>
  <c r="AH43" i="45"/>
  <c r="AI43" i="45"/>
  <c r="AK43" i="45"/>
  <c r="AI54" i="45"/>
  <c r="AO54" i="45"/>
  <c r="AK54" i="45"/>
  <c r="AF54" i="45"/>
  <c r="AG54" i="45"/>
  <c r="AH54" i="45"/>
  <c r="AJ54" i="45"/>
  <c r="AH88" i="45"/>
  <c r="AI88" i="45"/>
  <c r="AF88" i="45"/>
  <c r="AO88" i="45"/>
  <c r="AK88" i="45"/>
  <c r="AG88" i="45"/>
  <c r="AJ88" i="45"/>
  <c r="AI50" i="45"/>
  <c r="AH50" i="45"/>
  <c r="AO50" i="45"/>
  <c r="AG50" i="45"/>
  <c r="AJ50" i="45"/>
  <c r="AF50" i="45"/>
  <c r="AK50" i="45"/>
  <c r="AG117" i="45"/>
  <c r="AK117" i="45"/>
  <c r="AH117" i="45"/>
  <c r="AI117" i="45"/>
  <c r="AJ117" i="45"/>
  <c r="AF117" i="45"/>
  <c r="AO117" i="45"/>
  <c r="AG99" i="45"/>
  <c r="AJ99" i="45"/>
  <c r="AO99" i="45"/>
  <c r="AK99" i="45"/>
  <c r="AF99" i="45"/>
  <c r="AH99" i="45"/>
  <c r="AI99" i="45"/>
  <c r="AK110" i="45"/>
  <c r="AG110" i="45"/>
  <c r="AI110" i="45"/>
  <c r="AH110" i="45"/>
  <c r="AJ110" i="45"/>
  <c r="AF110" i="45"/>
  <c r="AO110" i="45"/>
  <c r="AH65" i="45"/>
  <c r="AK65" i="45"/>
  <c r="AJ65" i="45"/>
  <c r="AG65" i="45"/>
  <c r="AI65" i="45"/>
  <c r="AF65" i="45"/>
  <c r="AO65" i="45"/>
  <c r="AK106" i="45"/>
  <c r="AH106" i="45"/>
  <c r="AG106" i="45"/>
  <c r="AI106" i="45"/>
  <c r="AO106" i="45"/>
  <c r="AJ106" i="45"/>
  <c r="AF106" i="45"/>
  <c r="AF63" i="45"/>
  <c r="AI63" i="45"/>
  <c r="AH63" i="45"/>
  <c r="AJ63" i="45"/>
  <c r="AK63" i="45"/>
  <c r="AO63" i="45"/>
  <c r="AG63" i="45"/>
  <c r="AG60" i="45"/>
  <c r="AI60" i="45"/>
  <c r="AO60" i="45"/>
  <c r="AJ60" i="45"/>
  <c r="AH60" i="45"/>
  <c r="AK60" i="45"/>
  <c r="AF60" i="45"/>
  <c r="AJ102" i="45"/>
  <c r="AK102" i="45"/>
  <c r="AH102" i="45"/>
  <c r="AI102" i="45"/>
  <c r="AF102" i="45"/>
  <c r="AO102" i="45"/>
  <c r="AG102" i="45"/>
  <c r="AF25" i="45"/>
  <c r="AO25" i="45"/>
  <c r="AH25" i="45"/>
  <c r="AG25" i="45"/>
  <c r="AI25" i="45"/>
  <c r="AJ25" i="45"/>
  <c r="AK25" i="45"/>
  <c r="AH64" i="45"/>
  <c r="AO64" i="45"/>
  <c r="AF64" i="45"/>
  <c r="AK64" i="45"/>
  <c r="AG64" i="45"/>
  <c r="AJ64" i="45"/>
  <c r="AI64" i="45"/>
  <c r="AF116" i="45"/>
  <c r="AG116" i="45"/>
  <c r="AO116" i="45"/>
  <c r="AH116" i="45"/>
  <c r="AI116" i="45"/>
  <c r="AJ116" i="45"/>
  <c r="AK116" i="45"/>
  <c r="AG90" i="45"/>
  <c r="AF90" i="45"/>
  <c r="AH90" i="45"/>
  <c r="AI90" i="45"/>
  <c r="AJ90" i="45"/>
  <c r="AO90" i="45"/>
  <c r="AK90" i="45"/>
  <c r="AJ26" i="45"/>
  <c r="AH26" i="45"/>
  <c r="AO26" i="45"/>
  <c r="AK26" i="45"/>
  <c r="AF26" i="45"/>
  <c r="AI26" i="45"/>
  <c r="AG26" i="45"/>
  <c r="AF111" i="45"/>
  <c r="AG111" i="45"/>
  <c r="AO111" i="45"/>
  <c r="AK111" i="45"/>
  <c r="AJ111" i="45"/>
  <c r="AI111" i="45"/>
  <c r="AH111" i="45"/>
  <c r="AK47" i="45"/>
  <c r="AF47" i="45"/>
  <c r="AO47" i="45"/>
  <c r="AJ47" i="45"/>
  <c r="AG47" i="45"/>
  <c r="AI47" i="45"/>
  <c r="AH47" i="45"/>
  <c r="AJ85" i="45"/>
  <c r="AO85" i="45"/>
  <c r="AH85" i="45"/>
  <c r="AF85" i="45"/>
  <c r="AI85" i="45"/>
  <c r="AG85" i="45"/>
  <c r="AK85" i="45"/>
  <c r="AI21" i="45"/>
  <c r="AH21" i="45"/>
  <c r="AO21" i="45"/>
  <c r="AG21" i="45"/>
  <c r="AJ21" i="45"/>
  <c r="AK21" i="45"/>
  <c r="AF21" i="45"/>
  <c r="AF44" i="45"/>
  <c r="AH44" i="45"/>
  <c r="AG44" i="45"/>
  <c r="AO44" i="45"/>
  <c r="AJ44" i="45"/>
  <c r="AK44" i="45"/>
  <c r="AI44" i="45"/>
  <c r="AJ75" i="45"/>
  <c r="AI75" i="45"/>
  <c r="AH75" i="45"/>
  <c r="AK75" i="45"/>
  <c r="AF75" i="45"/>
  <c r="AG75" i="45"/>
  <c r="AO75" i="45"/>
  <c r="AH105" i="45"/>
  <c r="AG105" i="45"/>
  <c r="AI105" i="45"/>
  <c r="AK105" i="45"/>
  <c r="AJ105" i="45"/>
  <c r="AO105" i="45"/>
  <c r="AF105" i="45"/>
  <c r="AI86" i="45"/>
  <c r="AJ86" i="45"/>
  <c r="AH86" i="45"/>
  <c r="AO86" i="45"/>
  <c r="AK86" i="45"/>
  <c r="AG86" i="45"/>
  <c r="AF86" i="45"/>
  <c r="AI22" i="45"/>
  <c r="AO22" i="45"/>
  <c r="AG22" i="45"/>
  <c r="AF22" i="45"/>
  <c r="AH22" i="45"/>
  <c r="AJ22" i="45"/>
  <c r="AK22" i="45"/>
  <c r="AJ112" i="45"/>
  <c r="AI112" i="45"/>
  <c r="AK112" i="45"/>
  <c r="AF112" i="45"/>
  <c r="AH112" i="45"/>
  <c r="AO112" i="45"/>
  <c r="AG112" i="45"/>
  <c r="AH74" i="45"/>
  <c r="AJ74" i="45"/>
  <c r="AI74" i="45"/>
  <c r="AF74" i="45"/>
  <c r="AO74" i="45"/>
  <c r="AG74" i="45"/>
  <c r="AK74" i="45"/>
  <c r="AK31" i="45"/>
  <c r="AG31" i="45"/>
  <c r="AJ31" i="45"/>
  <c r="AI31" i="45"/>
  <c r="AH31" i="45"/>
  <c r="AO31" i="45"/>
  <c r="AF31" i="45"/>
  <c r="AH20" i="45"/>
  <c r="AF20" i="45"/>
  <c r="AG20" i="45"/>
  <c r="AJ20" i="45"/>
  <c r="AK20" i="45"/>
  <c r="AI20" i="45"/>
  <c r="AO20" i="45"/>
  <c r="AF57" i="45"/>
  <c r="AJ57" i="45"/>
  <c r="AH57" i="45"/>
  <c r="AI57" i="45"/>
  <c r="AG57" i="45"/>
  <c r="AK57" i="45"/>
  <c r="AO57" i="45"/>
  <c r="AI104" i="45"/>
  <c r="AJ104" i="45"/>
  <c r="AO104" i="45"/>
  <c r="AG104" i="45"/>
  <c r="AF104" i="45"/>
  <c r="AH104" i="45"/>
  <c r="AK104" i="45"/>
  <c r="AI66" i="45"/>
  <c r="AO66" i="45"/>
  <c r="AG66" i="45"/>
  <c r="AJ66" i="45"/>
  <c r="AF66" i="45"/>
  <c r="AH66" i="45"/>
  <c r="AK66" i="45"/>
  <c r="AF23" i="45"/>
  <c r="AH23" i="45"/>
  <c r="AI23" i="45"/>
  <c r="AO23" i="45"/>
  <c r="AJ23" i="45"/>
  <c r="AK23" i="45"/>
  <c r="AG23" i="45"/>
  <c r="AF123" i="45"/>
  <c r="AG123" i="45"/>
  <c r="AK123" i="45"/>
  <c r="AH123" i="45"/>
  <c r="AJ123" i="45"/>
  <c r="AI123" i="45"/>
  <c r="AO123" i="45"/>
  <c r="AO62" i="45"/>
  <c r="AG62" i="45"/>
  <c r="AK62" i="45"/>
  <c r="AF62" i="45"/>
  <c r="AI62" i="45"/>
  <c r="AJ62" i="45"/>
  <c r="AH62" i="45"/>
  <c r="AH97" i="45"/>
  <c r="AO97" i="45"/>
  <c r="AG97" i="45"/>
  <c r="AI97" i="45"/>
  <c r="AK97" i="45"/>
  <c r="AF97" i="45"/>
  <c r="AJ97" i="45"/>
  <c r="AH114" i="45"/>
  <c r="AK114" i="45"/>
  <c r="AG114" i="45"/>
  <c r="AI114" i="45"/>
  <c r="AO114" i="45"/>
  <c r="AF114" i="45"/>
  <c r="AJ114" i="45"/>
  <c r="AI49" i="45"/>
  <c r="AK49" i="45"/>
  <c r="AJ49" i="45"/>
  <c r="AO49" i="45"/>
  <c r="AH49" i="45"/>
  <c r="AF49" i="45"/>
  <c r="AG49" i="45"/>
  <c r="AK45" i="45"/>
  <c r="AF45" i="45"/>
  <c r="AH45" i="45"/>
  <c r="AG45" i="45"/>
  <c r="AJ45" i="45"/>
  <c r="AO45" i="45"/>
  <c r="AI45" i="45"/>
  <c r="AF46" i="45"/>
  <c r="AH46" i="45"/>
  <c r="AI46" i="45"/>
  <c r="AK46" i="45"/>
  <c r="AJ46" i="45"/>
  <c r="AG46" i="45"/>
  <c r="AO46" i="45"/>
  <c r="AG16" i="45"/>
  <c r="AI16" i="45"/>
  <c r="AO16" i="45"/>
  <c r="AK16" i="45"/>
  <c r="AJ16" i="45"/>
  <c r="AF16" i="45"/>
  <c r="AH16" i="45"/>
  <c r="AH17" i="45"/>
  <c r="AF17" i="45"/>
  <c r="AK17" i="45"/>
  <c r="AJ17" i="45"/>
  <c r="AO17" i="45"/>
  <c r="AG17" i="45"/>
  <c r="AI17" i="45"/>
  <c r="AI37" i="45"/>
  <c r="AK37" i="45"/>
  <c r="AO37" i="45"/>
  <c r="AG37" i="45"/>
  <c r="AH37" i="45"/>
  <c r="AJ37" i="45"/>
  <c r="AF37" i="45"/>
  <c r="AF38" i="45"/>
  <c r="AO38" i="45"/>
  <c r="AI38" i="45"/>
  <c r="AH38" i="45"/>
  <c r="AG38" i="45"/>
  <c r="AJ38" i="45"/>
  <c r="AK38" i="45"/>
  <c r="AO120" i="45"/>
  <c r="AH120" i="45"/>
  <c r="AF120" i="45"/>
  <c r="AI120" i="45"/>
  <c r="AK120" i="45"/>
  <c r="AG120" i="45"/>
  <c r="AJ120" i="45"/>
  <c r="AF56" i="45"/>
  <c r="AI56" i="45"/>
  <c r="AK56" i="45"/>
  <c r="AO56" i="45"/>
  <c r="AG56" i="45"/>
  <c r="AJ56" i="45"/>
  <c r="AH56" i="45"/>
  <c r="AG92" i="45"/>
  <c r="AJ92" i="45"/>
  <c r="AI92" i="45"/>
  <c r="AK92" i="45"/>
  <c r="AH92" i="45"/>
  <c r="AO92" i="45"/>
  <c r="AF92" i="45"/>
  <c r="AH82" i="45"/>
  <c r="AK82" i="45"/>
  <c r="AO82" i="45"/>
  <c r="AF82" i="45"/>
  <c r="AI82" i="45"/>
  <c r="AG82" i="45"/>
  <c r="AJ82" i="45"/>
  <c r="AJ18" i="45"/>
  <c r="AG18" i="45"/>
  <c r="AI18" i="45"/>
  <c r="AK18" i="45"/>
  <c r="AF18" i="45"/>
  <c r="AH18" i="45"/>
  <c r="AO18" i="45"/>
  <c r="AO103" i="45"/>
  <c r="AI103" i="45"/>
  <c r="AF103" i="45"/>
  <c r="AJ103" i="45"/>
  <c r="AK103" i="45"/>
  <c r="AH103" i="45"/>
  <c r="AG103" i="45"/>
  <c r="AF39" i="45"/>
  <c r="AI39" i="45"/>
  <c r="AO39" i="45"/>
  <c r="AJ39" i="45"/>
  <c r="AH39" i="45"/>
  <c r="AG39" i="45"/>
  <c r="AK39" i="45"/>
  <c r="AK77" i="45"/>
  <c r="AF77" i="45"/>
  <c r="AG77" i="45"/>
  <c r="AH77" i="45"/>
  <c r="AJ77" i="45"/>
  <c r="AO77" i="45"/>
  <c r="AI77" i="45"/>
  <c r="AF108" i="45"/>
  <c r="AO108" i="45"/>
  <c r="AI108" i="45"/>
  <c r="AJ108" i="45"/>
  <c r="AG108" i="45"/>
  <c r="AK108" i="45"/>
  <c r="AH108" i="45"/>
  <c r="AF28" i="45"/>
  <c r="AH28" i="45"/>
  <c r="AG28" i="45"/>
  <c r="AO28" i="45"/>
  <c r="AI28" i="45"/>
  <c r="AJ28" i="45"/>
  <c r="AK28" i="45"/>
  <c r="AK67" i="45"/>
  <c r="AI67" i="45"/>
  <c r="AH67" i="45"/>
  <c r="AF67" i="45"/>
  <c r="AJ67" i="45"/>
  <c r="AG67" i="45"/>
  <c r="AO67" i="45"/>
  <c r="AG81" i="45"/>
  <c r="AK81" i="45"/>
  <c r="AF81" i="45"/>
  <c r="AJ81" i="45"/>
  <c r="AI81" i="45"/>
  <c r="AH81" i="45"/>
  <c r="AO81" i="45"/>
  <c r="AI78" i="45"/>
  <c r="AG78" i="45"/>
  <c r="AH78" i="45"/>
  <c r="AF78" i="45"/>
  <c r="AO78" i="45"/>
  <c r="AK78" i="45"/>
  <c r="AJ78" i="45"/>
  <c r="AG14" i="45"/>
  <c r="AO14" i="45"/>
  <c r="AH14" i="45"/>
  <c r="AK14" i="45"/>
  <c r="AJ14" i="45"/>
  <c r="AI14" i="45"/>
  <c r="AM34" i="46"/>
  <c r="AN34" i="46"/>
  <c r="AN31" i="46"/>
  <c r="AM31" i="46"/>
  <c r="AM26" i="46"/>
  <c r="AN26" i="46"/>
  <c r="AN21" i="46"/>
  <c r="AM21" i="46"/>
  <c r="AM36" i="46"/>
  <c r="AN36" i="46"/>
  <c r="AN27" i="46"/>
  <c r="AM27" i="46"/>
  <c r="AM24" i="46"/>
  <c r="AN24" i="46"/>
  <c r="AM33" i="46"/>
  <c r="AN33" i="46"/>
  <c r="AM23" i="46"/>
  <c r="AN23" i="46"/>
  <c r="AM32" i="46"/>
  <c r="AN32" i="46"/>
  <c r="AM28" i="46"/>
  <c r="AN28" i="46"/>
  <c r="AN25" i="46"/>
  <c r="AM25" i="46"/>
  <c r="AM29" i="46"/>
  <c r="AN29" i="46"/>
  <c r="AN35" i="46"/>
  <c r="AM35" i="46"/>
  <c r="AN20" i="46"/>
  <c r="AM20" i="46"/>
  <c r="AM37" i="46"/>
  <c r="AN37" i="46"/>
  <c r="AM22" i="46"/>
  <c r="AN22" i="46"/>
  <c r="AN30" i="46"/>
  <c r="AM30" i="46"/>
  <c r="AM129" i="45"/>
  <c r="AJ134" i="45"/>
  <c r="AF134" i="45"/>
  <c r="AL134" i="45" s="1"/>
  <c r="AG134" i="45"/>
  <c r="AK134" i="45"/>
  <c r="AO134" i="45"/>
  <c r="AI134" i="45"/>
  <c r="AN79" i="43"/>
  <c r="AM79" i="43"/>
  <c r="AN81" i="43"/>
  <c r="AM81" i="43"/>
  <c r="AM76" i="43"/>
  <c r="AN76" i="43"/>
  <c r="AN80" i="43"/>
  <c r="AM80" i="43"/>
  <c r="AN69" i="43"/>
  <c r="AM69" i="43"/>
  <c r="AM82" i="43"/>
  <c r="AN82" i="43"/>
  <c r="AM78" i="43"/>
  <c r="AN78" i="43"/>
  <c r="AM87" i="43"/>
  <c r="AN87" i="43"/>
  <c r="AN72" i="43"/>
  <c r="AM72" i="43"/>
  <c r="AM88" i="43"/>
  <c r="AN88" i="43"/>
  <c r="AM73" i="43"/>
  <c r="AN73" i="43"/>
  <c r="AL69" i="45" l="1"/>
  <c r="AN69" i="45" s="1"/>
  <c r="AL65" i="45"/>
  <c r="AM65" i="45" s="1"/>
  <c r="AL103" i="45"/>
  <c r="AM103" i="45" s="1"/>
  <c r="AL46" i="45"/>
  <c r="AM46" i="45" s="1"/>
  <c r="AL114" i="45"/>
  <c r="AM114" i="45" s="1"/>
  <c r="AL62" i="45"/>
  <c r="AM62" i="45" s="1"/>
  <c r="AL74" i="45"/>
  <c r="AM74" i="45" s="1"/>
  <c r="AL85" i="45"/>
  <c r="AN85" i="45" s="1"/>
  <c r="AL88" i="45"/>
  <c r="AM88" i="45" s="1"/>
  <c r="AL89" i="45"/>
  <c r="AN89" i="45" s="1"/>
  <c r="AL30" i="45"/>
  <c r="AM30" i="45" s="1"/>
  <c r="AL55" i="45"/>
  <c r="AM55" i="45" s="1"/>
  <c r="AL91" i="45"/>
  <c r="AN91" i="45" s="1"/>
  <c r="AL92" i="45"/>
  <c r="AN92" i="45" s="1"/>
  <c r="AL105" i="45"/>
  <c r="AN105" i="45" s="1"/>
  <c r="AL47" i="45"/>
  <c r="AN47" i="45" s="1"/>
  <c r="AL110" i="45"/>
  <c r="AM110" i="45" s="1"/>
  <c r="AL36" i="45"/>
  <c r="AM36" i="45" s="1"/>
  <c r="AL59" i="45"/>
  <c r="AM59" i="45" s="1"/>
  <c r="AL17" i="45"/>
  <c r="AL111" i="45"/>
  <c r="AL95" i="45"/>
  <c r="AL109" i="45"/>
  <c r="AL86" i="45"/>
  <c r="AL73" i="45"/>
  <c r="AL83" i="45"/>
  <c r="AL101" i="45"/>
  <c r="AL39" i="45"/>
  <c r="AL94" i="45"/>
  <c r="AL29" i="45"/>
  <c r="AL80" i="45"/>
  <c r="AL67" i="45"/>
  <c r="AL38" i="45"/>
  <c r="AL16" i="45"/>
  <c r="AL66" i="45"/>
  <c r="AL20" i="45"/>
  <c r="AL26" i="45"/>
  <c r="AL25" i="45"/>
  <c r="AL60" i="45"/>
  <c r="AL76" i="45"/>
  <c r="AL100" i="45"/>
  <c r="AL93" i="45"/>
  <c r="AL42" i="45"/>
  <c r="AL68" i="45"/>
  <c r="AL115" i="45"/>
  <c r="AL96" i="45"/>
  <c r="AL51" i="45"/>
  <c r="AL123" i="45"/>
  <c r="AL106" i="45"/>
  <c r="AL35" i="45"/>
  <c r="AL52" i="45"/>
  <c r="AL71" i="45"/>
  <c r="AL108" i="45"/>
  <c r="AL18" i="45"/>
  <c r="AL82" i="45"/>
  <c r="AL37" i="45"/>
  <c r="AL44" i="45"/>
  <c r="AL43" i="45"/>
  <c r="AL70" i="45"/>
  <c r="AL19" i="45"/>
  <c r="AL34" i="45"/>
  <c r="AL107" i="45"/>
  <c r="AL49" i="45"/>
  <c r="AL23" i="45"/>
  <c r="AL63" i="45"/>
  <c r="AL84" i="45"/>
  <c r="AL75" i="45"/>
  <c r="AL72" i="45"/>
  <c r="AL77" i="45"/>
  <c r="AL78" i="45"/>
  <c r="AL81" i="45"/>
  <c r="AL28" i="45"/>
  <c r="AL56" i="45"/>
  <c r="AL45" i="45"/>
  <c r="AL57" i="45"/>
  <c r="AL31" i="45"/>
  <c r="AL22" i="45"/>
  <c r="AL21" i="45"/>
  <c r="AL90" i="45"/>
  <c r="AL116" i="45"/>
  <c r="AL50" i="45"/>
  <c r="AL15" i="45"/>
  <c r="AL61" i="45"/>
  <c r="AL24" i="45"/>
  <c r="AL79" i="45"/>
  <c r="AL32" i="45"/>
  <c r="AL87" i="45"/>
  <c r="AL113" i="45"/>
  <c r="AL99" i="45"/>
  <c r="AL119" i="45"/>
  <c r="AL33" i="45"/>
  <c r="AL48" i="45"/>
  <c r="AL120" i="45"/>
  <c r="AL104" i="45"/>
  <c r="AL64" i="45"/>
  <c r="AL97" i="45"/>
  <c r="AL112" i="45"/>
  <c r="AL102" i="45"/>
  <c r="AL117" i="45"/>
  <c r="AL122" i="45"/>
  <c r="AL121" i="45"/>
  <c r="AL40" i="45"/>
  <c r="AL98" i="45"/>
  <c r="AL41" i="45"/>
  <c r="AL27" i="45"/>
  <c r="AL118" i="45"/>
  <c r="AL58" i="45"/>
  <c r="AL14" i="45"/>
  <c r="AL54" i="45"/>
  <c r="AL53" i="45"/>
  <c r="AN19" i="46"/>
  <c r="AN134" i="45"/>
  <c r="AM134" i="45"/>
  <c r="AN68" i="43"/>
  <c r="AM68" i="43"/>
  <c r="AO17" i="43"/>
  <c r="J46" i="36" l="1" a="1"/>
  <c r="J46" i="36" s="1"/>
  <c r="AN59" i="45"/>
  <c r="AN55" i="45"/>
  <c r="AM69" i="45"/>
  <c r="AN103" i="45"/>
  <c r="AN65" i="45"/>
  <c r="AM91" i="45"/>
  <c r="AN62" i="45"/>
  <c r="AN30" i="45"/>
  <c r="AN46" i="45"/>
  <c r="AN74" i="45"/>
  <c r="AN114" i="45"/>
  <c r="AM47" i="45"/>
  <c r="AM85" i="45"/>
  <c r="AM92" i="45"/>
  <c r="AM89" i="45"/>
  <c r="AN36" i="45"/>
  <c r="AN110" i="45"/>
  <c r="AM105" i="45"/>
  <c r="AN88" i="45"/>
  <c r="AM120" i="45"/>
  <c r="AN120" i="45"/>
  <c r="AN57" i="45"/>
  <c r="AM57" i="45"/>
  <c r="AM63" i="45"/>
  <c r="AN63" i="45"/>
  <c r="AN108" i="45"/>
  <c r="AM108" i="45"/>
  <c r="AN42" i="45"/>
  <c r="AM42" i="45"/>
  <c r="AM111" i="45"/>
  <c r="AN111" i="45"/>
  <c r="AN122" i="45"/>
  <c r="AM122" i="45"/>
  <c r="AN15" i="45"/>
  <c r="AM15" i="45"/>
  <c r="AN93" i="45"/>
  <c r="AM93" i="45"/>
  <c r="AN83" i="45"/>
  <c r="AM83" i="45"/>
  <c r="AM70" i="45"/>
  <c r="AN70" i="45"/>
  <c r="AM38" i="45"/>
  <c r="AN38" i="45"/>
  <c r="AM118" i="45"/>
  <c r="AN118" i="45"/>
  <c r="AN113" i="45"/>
  <c r="AM113" i="45"/>
  <c r="AN23" i="45"/>
  <c r="AM23" i="45"/>
  <c r="AM86" i="45"/>
  <c r="AN86" i="45"/>
  <c r="AN27" i="45"/>
  <c r="AM27" i="45"/>
  <c r="AM87" i="45"/>
  <c r="AN87" i="45"/>
  <c r="AN81" i="45"/>
  <c r="AM81" i="45"/>
  <c r="AM44" i="45"/>
  <c r="AN44" i="45"/>
  <c r="AM80" i="45"/>
  <c r="AN80" i="45"/>
  <c r="AN32" i="45"/>
  <c r="AM32" i="45"/>
  <c r="AN84" i="45"/>
  <c r="AM84" i="45"/>
  <c r="AM37" i="45"/>
  <c r="AN37" i="45"/>
  <c r="AN123" i="45"/>
  <c r="AM123" i="45"/>
  <c r="AM96" i="45"/>
  <c r="AN96" i="45"/>
  <c r="AN25" i="45"/>
  <c r="AM25" i="45"/>
  <c r="AM29" i="45"/>
  <c r="AN29" i="45"/>
  <c r="AM95" i="45"/>
  <c r="AN95" i="45"/>
  <c r="AN121" i="45"/>
  <c r="AM121" i="45"/>
  <c r="AN61" i="45"/>
  <c r="AM61" i="45"/>
  <c r="AN101" i="45"/>
  <c r="AM101" i="45"/>
  <c r="AN48" i="45"/>
  <c r="AM48" i="45"/>
  <c r="AM45" i="45"/>
  <c r="AN45" i="45"/>
  <c r="AN19" i="45"/>
  <c r="AM19" i="45"/>
  <c r="AN16" i="45"/>
  <c r="AM16" i="45"/>
  <c r="AN33" i="45"/>
  <c r="AM33" i="45"/>
  <c r="AM56" i="45"/>
  <c r="AN56" i="45"/>
  <c r="AN73" i="45"/>
  <c r="AM73" i="45"/>
  <c r="AM102" i="45"/>
  <c r="AN102" i="45"/>
  <c r="AN116" i="45"/>
  <c r="AM116" i="45"/>
  <c r="AN67" i="45"/>
  <c r="AM67" i="45"/>
  <c r="AM112" i="45"/>
  <c r="AN112" i="45"/>
  <c r="AN49" i="45"/>
  <c r="AM49" i="45"/>
  <c r="AN109" i="45"/>
  <c r="AM109" i="45"/>
  <c r="AN97" i="45"/>
  <c r="AM97" i="45"/>
  <c r="AN98" i="45"/>
  <c r="AM98" i="45"/>
  <c r="AM64" i="45"/>
  <c r="AN64" i="45"/>
  <c r="AM79" i="45"/>
  <c r="AN79" i="45"/>
  <c r="AM22" i="45"/>
  <c r="AN22" i="45"/>
  <c r="AN77" i="45"/>
  <c r="AM77" i="45"/>
  <c r="AN82" i="45"/>
  <c r="AM82" i="45"/>
  <c r="AN51" i="45"/>
  <c r="AM51" i="45"/>
  <c r="AN115" i="45"/>
  <c r="AM115" i="45"/>
  <c r="AN26" i="45"/>
  <c r="AM26" i="45"/>
  <c r="AM94" i="45"/>
  <c r="AN94" i="45"/>
  <c r="AN34" i="45"/>
  <c r="AM34" i="45"/>
  <c r="AN66" i="45"/>
  <c r="AM66" i="45"/>
  <c r="AM72" i="45"/>
  <c r="AN72" i="45"/>
  <c r="AM71" i="45"/>
  <c r="AN71" i="45"/>
  <c r="AM17" i="45"/>
  <c r="AN17" i="45"/>
  <c r="AM58" i="45"/>
  <c r="AN58" i="45"/>
  <c r="AN117" i="45"/>
  <c r="AM117" i="45"/>
  <c r="AN50" i="45"/>
  <c r="AM50" i="45"/>
  <c r="AM52" i="45"/>
  <c r="AN52" i="45"/>
  <c r="AN100" i="45"/>
  <c r="AM100" i="45"/>
  <c r="AM119" i="45"/>
  <c r="AN119" i="45"/>
  <c r="AM28" i="45"/>
  <c r="AN28" i="45"/>
  <c r="AN43" i="45"/>
  <c r="AM43" i="45"/>
  <c r="AN35" i="45"/>
  <c r="AM35" i="45"/>
  <c r="AN76" i="45"/>
  <c r="AM76" i="45"/>
  <c r="AN99" i="45"/>
  <c r="AM99" i="45"/>
  <c r="AM90" i="45"/>
  <c r="AN90" i="45"/>
  <c r="AN75" i="45"/>
  <c r="AM75" i="45"/>
  <c r="AN106" i="45"/>
  <c r="AM106" i="45"/>
  <c r="AN60" i="45"/>
  <c r="AM60" i="45"/>
  <c r="AN41" i="45"/>
  <c r="AM41" i="45"/>
  <c r="AM21" i="45"/>
  <c r="AN21" i="45"/>
  <c r="AM78" i="45"/>
  <c r="AN78" i="45"/>
  <c r="AM40" i="45"/>
  <c r="AN40" i="45"/>
  <c r="AM104" i="45"/>
  <c r="AN104" i="45"/>
  <c r="AM24" i="45"/>
  <c r="AN24" i="45"/>
  <c r="AN31" i="45"/>
  <c r="AM31" i="45"/>
  <c r="AN107" i="45"/>
  <c r="AM107" i="45"/>
  <c r="AN18" i="45"/>
  <c r="AM18" i="45"/>
  <c r="AN68" i="45"/>
  <c r="AM68" i="45"/>
  <c r="AM20" i="45"/>
  <c r="AN20" i="45"/>
  <c r="AN39" i="45"/>
  <c r="AM39" i="45"/>
  <c r="AN54" i="45"/>
  <c r="AM54" i="45"/>
  <c r="AM53" i="45"/>
  <c r="AN53" i="45"/>
  <c r="AM14" i="45"/>
  <c r="J50" i="36" s="1" a="1"/>
  <c r="J50" i="36" s="1"/>
  <c r="AN14" i="45"/>
  <c r="AM35" i="43"/>
  <c r="AN35" i="43"/>
  <c r="AM27" i="43"/>
  <c r="AN27" i="43"/>
  <c r="AM19" i="43"/>
  <c r="AN19" i="43"/>
  <c r="AM34" i="43"/>
  <c r="AN34" i="43"/>
  <c r="AN26" i="43"/>
  <c r="AM26" i="43"/>
  <c r="AN30" i="43"/>
  <c r="AM30" i="43"/>
  <c r="AM22" i="43"/>
  <c r="AN22" i="43"/>
  <c r="AN29" i="43"/>
  <c r="AM29" i="43"/>
  <c r="AN21" i="43"/>
  <c r="AM21" i="43"/>
  <c r="AN33" i="43"/>
  <c r="AM33" i="43"/>
  <c r="AM25" i="43"/>
  <c r="AN25" i="43"/>
  <c r="AN32" i="43"/>
  <c r="AM32" i="43"/>
  <c r="AN24" i="43"/>
  <c r="AM24" i="43"/>
  <c r="AM31" i="43"/>
  <c r="AN31" i="43"/>
  <c r="AM23" i="43"/>
  <c r="AN23" i="43"/>
  <c r="AN36" i="43"/>
  <c r="AM36" i="43"/>
  <c r="AN28" i="43"/>
  <c r="AM28" i="43"/>
  <c r="AN20" i="43"/>
  <c r="AM20" i="43"/>
  <c r="AF43" i="43"/>
  <c r="AO43" i="43"/>
  <c r="AG43" i="43"/>
  <c r="AH43" i="43"/>
  <c r="AI43" i="43"/>
  <c r="AJ43" i="43"/>
  <c r="AK43" i="43"/>
  <c r="AJ42" i="43"/>
  <c r="AI42" i="43"/>
  <c r="AF42" i="43"/>
  <c r="AH42" i="43"/>
  <c r="AG42" i="43"/>
  <c r="AO42" i="43"/>
  <c r="AK42" i="43"/>
  <c r="AF18" i="43"/>
  <c r="AG18" i="43"/>
  <c r="AH18" i="43"/>
  <c r="AO18" i="43"/>
  <c r="AI18" i="43"/>
  <c r="AJ18" i="43"/>
  <c r="AK18" i="43"/>
  <c r="AJ17" i="43"/>
  <c r="AK17" i="43"/>
  <c r="AH17" i="43"/>
  <c r="AI17" i="43"/>
  <c r="AF17" i="43"/>
  <c r="AG17" i="43"/>
  <c r="AL43" i="43" l="1"/>
  <c r="AL42" i="43"/>
  <c r="AL18" i="43"/>
  <c r="AM18" i="43" s="1"/>
  <c r="AL17" i="43"/>
  <c r="AN43" i="43" l="1"/>
  <c r="AM43" i="43"/>
  <c r="AM42" i="43"/>
  <c r="J45" i="36" s="1" a="1"/>
  <c r="J45" i="36" s="1"/>
  <c r="AN42" i="43"/>
  <c r="AN18" i="43"/>
  <c r="AM17" i="43"/>
  <c r="AN17" i="43"/>
  <c r="J44" i="36" l="1" a="1"/>
  <c r="J44" i="36" s="1"/>
  <c r="AD38" i="44"/>
  <c r="AM55" i="44" l="1"/>
  <c r="AN55" i="44"/>
  <c r="AN47" i="44"/>
  <c r="AM47" i="44"/>
  <c r="AM54" i="44"/>
  <c r="AN54" i="44"/>
  <c r="AN46" i="44"/>
  <c r="AM46" i="44"/>
  <c r="AM60" i="44"/>
  <c r="AN60" i="44"/>
  <c r="AN52" i="44"/>
  <c r="AM52" i="44"/>
  <c r="AN44" i="44"/>
  <c r="AM44" i="44"/>
  <c r="AM35" i="42"/>
  <c r="AN35" i="42"/>
  <c r="AN27" i="42"/>
  <c r="AM27" i="42"/>
  <c r="AM19" i="42"/>
  <c r="AN19" i="42"/>
  <c r="AN54" i="42"/>
  <c r="AM54" i="42"/>
  <c r="AN59" i="44"/>
  <c r="AM59" i="44"/>
  <c r="AM51" i="44"/>
  <c r="AN51" i="44"/>
  <c r="AM43" i="44"/>
  <c r="AN43" i="44"/>
  <c r="AN34" i="42"/>
  <c r="AM34" i="42"/>
  <c r="AN26" i="42"/>
  <c r="AM26" i="42"/>
  <c r="AN18" i="42"/>
  <c r="AM18" i="42"/>
  <c r="AM61" i="42"/>
  <c r="AN61" i="42"/>
  <c r="AM53" i="42"/>
  <c r="AN53" i="42"/>
  <c r="AN45" i="42"/>
  <c r="AM45" i="42"/>
  <c r="AM58" i="44"/>
  <c r="AN58" i="44"/>
  <c r="AN50" i="44"/>
  <c r="AM50" i="44"/>
  <c r="AN42" i="44"/>
  <c r="AM42" i="44"/>
  <c r="AN33" i="42"/>
  <c r="AM33" i="42"/>
  <c r="AN25" i="42"/>
  <c r="AM25" i="42"/>
  <c r="AN17" i="42"/>
  <c r="AM17" i="42"/>
  <c r="AM60" i="42"/>
  <c r="AN60" i="42"/>
  <c r="AM52" i="42"/>
  <c r="AN52" i="42"/>
  <c r="AM44" i="42"/>
  <c r="AN44" i="42"/>
  <c r="AN57" i="44"/>
  <c r="AM57" i="44"/>
  <c r="AN49" i="44"/>
  <c r="AM49" i="44"/>
  <c r="AN32" i="42"/>
  <c r="AM32" i="42"/>
  <c r="AM24" i="42"/>
  <c r="AN24" i="42"/>
  <c r="AN59" i="42"/>
  <c r="AM59" i="42"/>
  <c r="AM51" i="42"/>
  <c r="AN51" i="42"/>
  <c r="AM43" i="42"/>
  <c r="AN43" i="42"/>
  <c r="AN30" i="42"/>
  <c r="AM30" i="42"/>
  <c r="AM22" i="42"/>
  <c r="AN22" i="42"/>
  <c r="AN57" i="42"/>
  <c r="AM57" i="42"/>
  <c r="AM49" i="42"/>
  <c r="AN49" i="42"/>
  <c r="AN29" i="42"/>
  <c r="AM29" i="42"/>
  <c r="AN21" i="42"/>
  <c r="AM21" i="42"/>
  <c r="AM56" i="42"/>
  <c r="AN56" i="42"/>
  <c r="AM48" i="42"/>
  <c r="AN48" i="42"/>
  <c r="AN53" i="44"/>
  <c r="AM53" i="44"/>
  <c r="AM45" i="44"/>
  <c r="AN45" i="44"/>
  <c r="AM16" i="42"/>
  <c r="AN16" i="42"/>
  <c r="AM28" i="42"/>
  <c r="AN28" i="42"/>
  <c r="AN20" i="42"/>
  <c r="AM20" i="42"/>
  <c r="AM55" i="42"/>
  <c r="AN55" i="42"/>
  <c r="AN47" i="42"/>
  <c r="AM47" i="42"/>
  <c r="AN41" i="42"/>
  <c r="AM41" i="42"/>
  <c r="AN46" i="42"/>
  <c r="AM46" i="42"/>
  <c r="AM56" i="44"/>
  <c r="AN56" i="44"/>
  <c r="AM48" i="44"/>
  <c r="AN48" i="44"/>
  <c r="AN31" i="42"/>
  <c r="AM31" i="42"/>
  <c r="AN23" i="42"/>
  <c r="AM23" i="42"/>
  <c r="AM58" i="42"/>
  <c r="AN58" i="42"/>
  <c r="AN50" i="42"/>
  <c r="AM50" i="42"/>
  <c r="AM42" i="42"/>
  <c r="AN42" i="42"/>
  <c r="AJ21" i="44"/>
  <c r="AF21" i="44"/>
  <c r="AL21" i="44" s="1"/>
  <c r="AO21" i="44"/>
  <c r="AI21" i="44"/>
  <c r="AG21" i="44"/>
  <c r="AH21" i="44"/>
  <c r="AK21" i="44"/>
  <c r="AK28" i="44"/>
  <c r="AF28" i="44"/>
  <c r="AL28" i="44" s="1"/>
  <c r="AG28" i="44"/>
  <c r="AH28" i="44"/>
  <c r="AO28" i="44"/>
  <c r="AI28" i="44"/>
  <c r="AJ28" i="44"/>
  <c r="AH27" i="44"/>
  <c r="AJ27" i="44"/>
  <c r="AK27" i="44"/>
  <c r="AI27" i="44"/>
  <c r="AF27" i="44"/>
  <c r="AL27" i="44" s="1"/>
  <c r="AG27" i="44"/>
  <c r="AO27" i="44"/>
  <c r="AH19" i="44"/>
  <c r="AI19" i="44"/>
  <c r="AK19" i="44"/>
  <c r="AJ19" i="44"/>
  <c r="AO19" i="44"/>
  <c r="AG19" i="44"/>
  <c r="AF19" i="44"/>
  <c r="AL19" i="44" s="1"/>
  <c r="AJ26" i="44"/>
  <c r="AK26" i="44"/>
  <c r="AO26" i="44"/>
  <c r="AF26" i="44"/>
  <c r="AL26" i="44" s="1"/>
  <c r="AI26" i="44"/>
  <c r="AG26" i="44"/>
  <c r="AH26" i="44"/>
  <c r="AJ18" i="44"/>
  <c r="AK18" i="44"/>
  <c r="AH18" i="44"/>
  <c r="AF18" i="44"/>
  <c r="AI18" i="44"/>
  <c r="AG18" i="44"/>
  <c r="AO18" i="44"/>
  <c r="AG33" i="44"/>
  <c r="AO33" i="44"/>
  <c r="AH33" i="44"/>
  <c r="AI33" i="44"/>
  <c r="AJ33" i="44"/>
  <c r="AK33" i="44"/>
  <c r="AF33" i="44"/>
  <c r="AL33" i="44" s="1"/>
  <c r="AF25" i="44"/>
  <c r="AL25" i="44" s="1"/>
  <c r="AG25" i="44"/>
  <c r="AH25" i="44"/>
  <c r="AO25" i="44"/>
  <c r="AI25" i="44"/>
  <c r="AJ25" i="44"/>
  <c r="AK25" i="44"/>
  <c r="AJ17" i="44"/>
  <c r="AF17" i="44"/>
  <c r="AL17" i="44" s="1"/>
  <c r="AG17" i="44"/>
  <c r="AH17" i="44"/>
  <c r="AO17" i="44"/>
  <c r="AK17" i="44"/>
  <c r="AI17" i="44"/>
  <c r="AF32" i="44"/>
  <c r="AL32" i="44" s="1"/>
  <c r="AG32" i="44"/>
  <c r="AH32" i="44"/>
  <c r="AO32" i="44"/>
  <c r="AI32" i="44"/>
  <c r="AJ32" i="44"/>
  <c r="AK32" i="44"/>
  <c r="AF24" i="44"/>
  <c r="AL24" i="44" s="1"/>
  <c r="AG24" i="44"/>
  <c r="AH24" i="44"/>
  <c r="AO24" i="44"/>
  <c r="AI24" i="44"/>
  <c r="AJ24" i="44"/>
  <c r="AK24" i="44"/>
  <c r="AF16" i="44"/>
  <c r="AL16" i="44" s="1"/>
  <c r="AI16" i="44"/>
  <c r="AO16" i="44"/>
  <c r="AG16" i="44"/>
  <c r="AH16" i="44"/>
  <c r="AJ16" i="44"/>
  <c r="AK16" i="44"/>
  <c r="AH31" i="44"/>
  <c r="AJ31" i="44"/>
  <c r="AK31" i="44"/>
  <c r="AI31" i="44"/>
  <c r="AF31" i="44"/>
  <c r="AL31" i="44" s="1"/>
  <c r="AG31" i="44"/>
  <c r="AO31" i="44"/>
  <c r="AH23" i="44"/>
  <c r="AJ23" i="44"/>
  <c r="AK23" i="44"/>
  <c r="AI23" i="44"/>
  <c r="AF23" i="44"/>
  <c r="AL23" i="44" s="1"/>
  <c r="AG23" i="44"/>
  <c r="AO23" i="44"/>
  <c r="AH29" i="44"/>
  <c r="AJ29" i="44"/>
  <c r="AK29" i="44"/>
  <c r="AF29" i="44"/>
  <c r="AL29" i="44" s="1"/>
  <c r="AG29" i="44"/>
  <c r="AO29" i="44"/>
  <c r="AI29" i="44"/>
  <c r="AF20" i="44"/>
  <c r="AL20" i="44" s="1"/>
  <c r="AH20" i="44"/>
  <c r="AO20" i="44"/>
  <c r="AG20" i="44"/>
  <c r="AI20" i="44"/>
  <c r="AJ20" i="44"/>
  <c r="AK20" i="44"/>
  <c r="AF34" i="44"/>
  <c r="AL34" i="44" s="1"/>
  <c r="AG34" i="44"/>
  <c r="AH34" i="44"/>
  <c r="AI34" i="44"/>
  <c r="AO34" i="44"/>
  <c r="AK34" i="44"/>
  <c r="AJ34" i="44"/>
  <c r="AO30" i="44"/>
  <c r="AI30" i="44"/>
  <c r="AG30" i="44"/>
  <c r="AH30" i="44"/>
  <c r="AJ30" i="44"/>
  <c r="AK30" i="44"/>
  <c r="AF30" i="44"/>
  <c r="AL30" i="44" s="1"/>
  <c r="AG22" i="44"/>
  <c r="AH22" i="44"/>
  <c r="AO22" i="44"/>
  <c r="AJ22" i="44"/>
  <c r="AK22" i="44"/>
  <c r="AF22" i="44"/>
  <c r="AL22" i="44" s="1"/>
  <c r="AI22" i="44"/>
  <c r="AO40" i="44"/>
  <c r="AO66" i="44"/>
  <c r="J43" i="36" l="1" a="1"/>
  <c r="J43" i="36" s="1"/>
  <c r="J42" i="36" a="1"/>
  <c r="J42" i="36" s="1"/>
  <c r="AL18" i="44"/>
  <c r="AM18" i="44" s="1"/>
  <c r="AN41" i="44"/>
  <c r="AM41" i="44"/>
  <c r="AN15" i="44"/>
  <c r="AM15" i="44"/>
  <c r="AJ66" i="44"/>
  <c r="AK66" i="44"/>
  <c r="AH66" i="44"/>
  <c r="AI66" i="44"/>
  <c r="AF66" i="44"/>
  <c r="AG66" i="44"/>
  <c r="AJ40" i="44"/>
  <c r="AK40" i="44"/>
  <c r="AH40" i="44"/>
  <c r="AI40" i="44"/>
  <c r="AF40" i="44"/>
  <c r="AG40" i="44"/>
  <c r="AN32" i="44"/>
  <c r="AM32" i="44"/>
  <c r="AM26" i="44"/>
  <c r="AN26" i="44"/>
  <c r="AN24" i="44"/>
  <c r="AM24" i="44"/>
  <c r="AM30" i="44"/>
  <c r="AN30" i="44"/>
  <c r="AM29" i="44"/>
  <c r="AN29" i="44"/>
  <c r="AN16" i="44"/>
  <c r="AM16" i="44"/>
  <c r="AM22" i="44"/>
  <c r="AN22" i="44"/>
  <c r="AM19" i="44"/>
  <c r="AN19" i="44"/>
  <c r="AM27" i="44"/>
  <c r="AN27" i="44"/>
  <c r="AN20" i="44"/>
  <c r="AM20" i="44"/>
  <c r="AM17" i="44"/>
  <c r="AN17" i="44"/>
  <c r="AM25" i="44"/>
  <c r="AN25" i="44"/>
  <c r="AN21" i="44"/>
  <c r="AM21" i="44"/>
  <c r="AM23" i="44"/>
  <c r="AN23" i="44"/>
  <c r="AM34" i="44"/>
  <c r="AN34" i="44"/>
  <c r="AM31" i="44"/>
  <c r="AN31" i="44"/>
  <c r="AM33" i="44"/>
  <c r="AN33" i="44"/>
  <c r="AN28" i="44"/>
  <c r="AM28" i="44"/>
  <c r="AN18" i="44" l="1"/>
  <c r="AL66" i="44"/>
  <c r="AL40" i="44"/>
  <c r="AM66" i="44" l="1"/>
  <c r="AN66" i="44"/>
  <c r="AM40" i="44"/>
  <c r="AN40" i="44"/>
  <c r="AO54" i="41" l="1"/>
  <c r="AF54" i="41"/>
  <c r="AL54" i="41" s="1"/>
  <c r="AJ54" i="41"/>
  <c r="AI54" i="41"/>
  <c r="AH54" i="41"/>
  <c r="AK54" i="41"/>
  <c r="AG54" i="41"/>
  <c r="AJ46" i="41"/>
  <c r="AF46" i="41"/>
  <c r="AL46" i="41" s="1"/>
  <c r="AO46" i="41"/>
  <c r="AH46" i="41"/>
  <c r="AI46" i="41"/>
  <c r="AG46" i="41"/>
  <c r="AK46" i="41"/>
  <c r="AJ61" i="41"/>
  <c r="AK61" i="41"/>
  <c r="AF61" i="41"/>
  <c r="AL61" i="41" s="1"/>
  <c r="AH61" i="41"/>
  <c r="AI61" i="41"/>
  <c r="AO61" i="41"/>
  <c r="AG61" i="41"/>
  <c r="AI53" i="41"/>
  <c r="AO53" i="41"/>
  <c r="AG53" i="41"/>
  <c r="AH53" i="41"/>
  <c r="AJ53" i="41"/>
  <c r="AF53" i="41"/>
  <c r="AL53" i="41" s="1"/>
  <c r="AK53" i="41"/>
  <c r="AG45" i="41"/>
  <c r="AH45" i="41"/>
  <c r="AJ45" i="41"/>
  <c r="AK45" i="41"/>
  <c r="AF45" i="41"/>
  <c r="AO45" i="41"/>
  <c r="AI45" i="41"/>
  <c r="AG60" i="41"/>
  <c r="AJ60" i="41"/>
  <c r="AF60" i="41"/>
  <c r="AL60" i="41" s="1"/>
  <c r="AH60" i="41"/>
  <c r="AO60" i="41"/>
  <c r="AK60" i="41"/>
  <c r="AI60" i="41"/>
  <c r="AO52" i="41"/>
  <c r="AF52" i="41"/>
  <c r="AL52" i="41" s="1"/>
  <c r="AH52" i="41"/>
  <c r="AK52" i="41"/>
  <c r="AI52" i="41"/>
  <c r="AJ52" i="41"/>
  <c r="AG52" i="41"/>
  <c r="AH44" i="41"/>
  <c r="AF44" i="41"/>
  <c r="AI44" i="41"/>
  <c r="AK44" i="41"/>
  <c r="AG44" i="41"/>
  <c r="AJ44" i="41"/>
  <c r="AO44" i="41"/>
  <c r="AH59" i="41"/>
  <c r="AI59" i="41"/>
  <c r="AJ59" i="41"/>
  <c r="AG59" i="41"/>
  <c r="AK59" i="41"/>
  <c r="AF59" i="41"/>
  <c r="AL59" i="41" s="1"/>
  <c r="AO59" i="41"/>
  <c r="AH51" i="41"/>
  <c r="AF51" i="41"/>
  <c r="AL51" i="41" s="1"/>
  <c r="AK51" i="41"/>
  <c r="AG51" i="41"/>
  <c r="AI51" i="41"/>
  <c r="AJ51" i="41"/>
  <c r="AO51" i="41"/>
  <c r="AH43" i="41"/>
  <c r="AF43" i="41"/>
  <c r="AI43" i="41"/>
  <c r="AK43" i="41"/>
  <c r="AO43" i="41"/>
  <c r="AG43" i="41"/>
  <c r="AJ43" i="41"/>
  <c r="AF58" i="41"/>
  <c r="AL58" i="41" s="1"/>
  <c r="AH58" i="41"/>
  <c r="AI58" i="41"/>
  <c r="AJ58" i="41"/>
  <c r="AK58" i="41"/>
  <c r="AG58" i="41"/>
  <c r="AO58" i="41"/>
  <c r="AI50" i="41"/>
  <c r="AK50" i="41"/>
  <c r="AG50" i="41"/>
  <c r="AH50" i="41"/>
  <c r="AO50" i="41"/>
  <c r="AJ50" i="41"/>
  <c r="AF50" i="41"/>
  <c r="AL50" i="41" s="1"/>
  <c r="AO42" i="41"/>
  <c r="AF42" i="41"/>
  <c r="AJ42" i="41"/>
  <c r="AI42" i="41"/>
  <c r="AH42" i="41"/>
  <c r="AK42" i="41"/>
  <c r="AG42" i="41"/>
  <c r="AH57" i="41"/>
  <c r="AF57" i="41"/>
  <c r="AL57" i="41" s="1"/>
  <c r="AK57" i="41"/>
  <c r="AJ57" i="41"/>
  <c r="AG57" i="41"/>
  <c r="AI57" i="41"/>
  <c r="AO57" i="41"/>
  <c r="AG49" i="41"/>
  <c r="AI49" i="41"/>
  <c r="AO49" i="41"/>
  <c r="AJ49" i="41"/>
  <c r="AH49" i="41"/>
  <c r="AK49" i="41"/>
  <c r="AF49" i="41"/>
  <c r="AL49" i="41" s="1"/>
  <c r="AO56" i="41"/>
  <c r="AH56" i="41"/>
  <c r="AK56" i="41"/>
  <c r="AG56" i="41"/>
  <c r="AF56" i="41"/>
  <c r="AL56" i="41" s="1"/>
  <c r="AI56" i="41"/>
  <c r="AJ56" i="41"/>
  <c r="AK48" i="41"/>
  <c r="AF48" i="41"/>
  <c r="AL48" i="41" s="1"/>
  <c r="AO48" i="41"/>
  <c r="AH48" i="41"/>
  <c r="AI48" i="41"/>
  <c r="AG48" i="41"/>
  <c r="AJ48" i="41"/>
  <c r="AK55" i="41"/>
  <c r="AF55" i="41"/>
  <c r="AL55" i="41" s="1"/>
  <c r="AH55" i="41"/>
  <c r="AI55" i="41"/>
  <c r="AG55" i="41"/>
  <c r="AO55" i="41"/>
  <c r="AJ55" i="41"/>
  <c r="AI47" i="41"/>
  <c r="AO47" i="41"/>
  <c r="AJ47" i="41"/>
  <c r="AG47" i="41"/>
  <c r="AH47" i="41"/>
  <c r="AK47" i="41"/>
  <c r="AF47" i="41"/>
  <c r="AL47" i="41" s="1"/>
  <c r="AH28" i="41"/>
  <c r="AK28" i="41"/>
  <c r="AG28" i="41"/>
  <c r="AI28" i="41"/>
  <c r="AJ28" i="41"/>
  <c r="AO28" i="41"/>
  <c r="AF28" i="41"/>
  <c r="AL28" i="41" s="1"/>
  <c r="AG26" i="41"/>
  <c r="AO26" i="41"/>
  <c r="AH26" i="41"/>
  <c r="AI26" i="41"/>
  <c r="AF26" i="41"/>
  <c r="AL26" i="41" s="1"/>
  <c r="AK26" i="41"/>
  <c r="AJ26" i="41"/>
  <c r="AF25" i="41"/>
  <c r="AL25" i="41" s="1"/>
  <c r="AI25" i="41"/>
  <c r="AK25" i="41"/>
  <c r="AG25" i="41"/>
  <c r="AO25" i="41"/>
  <c r="AH25" i="41"/>
  <c r="AJ25" i="41"/>
  <c r="AO16" i="41"/>
  <c r="AO41" i="41"/>
  <c r="AL43" i="41" l="1"/>
  <c r="AN43" i="41" s="1"/>
  <c r="AL44" i="41"/>
  <c r="AM44" i="41" s="1"/>
  <c r="AL42" i="41"/>
  <c r="AN42" i="41" s="1"/>
  <c r="AL45" i="41"/>
  <c r="AM45" i="41" s="1"/>
  <c r="AN58" i="41"/>
  <c r="AM58" i="41"/>
  <c r="AM59" i="41"/>
  <c r="AN59" i="41"/>
  <c r="AM60" i="41"/>
  <c r="AN60" i="41"/>
  <c r="AM56" i="41"/>
  <c r="AN56" i="41"/>
  <c r="AM47" i="41"/>
  <c r="AN47" i="41"/>
  <c r="AM57" i="41"/>
  <c r="AN57" i="41"/>
  <c r="AM52" i="41"/>
  <c r="AN52" i="41"/>
  <c r="AN50" i="41"/>
  <c r="AM50" i="41"/>
  <c r="AM53" i="41"/>
  <c r="AN53" i="41"/>
  <c r="AN54" i="41"/>
  <c r="AM54" i="41"/>
  <c r="AM55" i="41"/>
  <c r="AN55" i="41"/>
  <c r="AM49" i="41"/>
  <c r="AN49" i="41"/>
  <c r="AM48" i="41"/>
  <c r="AN48" i="41"/>
  <c r="AM51" i="41"/>
  <c r="AN51" i="41"/>
  <c r="AM61" i="41"/>
  <c r="AN61" i="41"/>
  <c r="AN46" i="41"/>
  <c r="AM46" i="41"/>
  <c r="AJ41" i="41"/>
  <c r="AK41" i="41"/>
  <c r="AH41" i="41"/>
  <c r="AI41" i="41"/>
  <c r="AF41" i="41"/>
  <c r="AG41" i="41"/>
  <c r="AG22" i="41"/>
  <c r="AO22" i="41"/>
  <c r="AI22" i="41"/>
  <c r="AK22" i="41"/>
  <c r="AF22" i="41"/>
  <c r="AL22" i="41" s="1"/>
  <c r="AH22" i="41"/>
  <c r="AJ22" i="41"/>
  <c r="AF29" i="41"/>
  <c r="AL29" i="41" s="1"/>
  <c r="AI29" i="41"/>
  <c r="AJ29" i="41"/>
  <c r="AK29" i="41"/>
  <c r="AG29" i="41"/>
  <c r="AO29" i="41"/>
  <c r="AH29" i="41"/>
  <c r="AG34" i="41"/>
  <c r="AO34" i="41"/>
  <c r="AH34" i="41"/>
  <c r="AI34" i="41"/>
  <c r="AF34" i="41"/>
  <c r="AL34" i="41" s="1"/>
  <c r="AK34" i="41"/>
  <c r="AJ34" i="41"/>
  <c r="AJ31" i="41"/>
  <c r="AG31" i="41"/>
  <c r="AO31" i="41"/>
  <c r="AK31" i="41"/>
  <c r="AI31" i="41"/>
  <c r="AF31" i="41"/>
  <c r="AL31" i="41" s="1"/>
  <c r="AH31" i="41"/>
  <c r="AN25" i="41"/>
  <c r="AM25" i="41"/>
  <c r="AM28" i="41"/>
  <c r="AN28" i="41"/>
  <c r="AF33" i="41"/>
  <c r="AL33" i="41" s="1"/>
  <c r="AI33" i="41"/>
  <c r="AK33" i="41"/>
  <c r="AG33" i="41"/>
  <c r="AO33" i="41"/>
  <c r="AH33" i="41"/>
  <c r="AJ33" i="41"/>
  <c r="AH20" i="41"/>
  <c r="AK20" i="41"/>
  <c r="AG20" i="41"/>
  <c r="AI20" i="41"/>
  <c r="AJ20" i="41"/>
  <c r="AF20" i="41"/>
  <c r="AL20" i="41" s="1"/>
  <c r="AO20" i="41"/>
  <c r="AJ18" i="41"/>
  <c r="AK18" i="41"/>
  <c r="AF18" i="41"/>
  <c r="AL18" i="41" s="1"/>
  <c r="AO18" i="41"/>
  <c r="AI18" i="41"/>
  <c r="AG18" i="41"/>
  <c r="AH18" i="41"/>
  <c r="AF21" i="41"/>
  <c r="AL21" i="41" s="1"/>
  <c r="AI21" i="41"/>
  <c r="AK21" i="41"/>
  <c r="AG21" i="41"/>
  <c r="AO21" i="41"/>
  <c r="AH21" i="41"/>
  <c r="AJ21" i="41"/>
  <c r="AF17" i="41"/>
  <c r="AL17" i="41" s="1"/>
  <c r="AI17" i="41"/>
  <c r="AJ17" i="41"/>
  <c r="AK17" i="41"/>
  <c r="AG17" i="41"/>
  <c r="AO17" i="41"/>
  <c r="AH17" i="41"/>
  <c r="AJ27" i="41"/>
  <c r="AG27" i="41"/>
  <c r="AO27" i="41"/>
  <c r="AK27" i="41"/>
  <c r="AF27" i="41"/>
  <c r="AL27" i="41" s="1"/>
  <c r="AH27" i="41"/>
  <c r="AI27" i="41"/>
  <c r="AG30" i="41"/>
  <c r="AO30" i="41"/>
  <c r="AI30" i="41"/>
  <c r="AK30" i="41"/>
  <c r="AF30" i="41"/>
  <c r="AL30" i="41" s="1"/>
  <c r="AH30" i="41"/>
  <c r="AJ30" i="41"/>
  <c r="AM26" i="41"/>
  <c r="AN26" i="41"/>
  <c r="AJ35" i="41"/>
  <c r="AG35" i="41"/>
  <c r="AO35" i="41"/>
  <c r="AK35" i="41"/>
  <c r="AF35" i="41"/>
  <c r="AL35" i="41" s="1"/>
  <c r="AH35" i="41"/>
  <c r="AI35" i="41"/>
  <c r="AH32" i="41"/>
  <c r="AK32" i="41"/>
  <c r="AO32" i="41"/>
  <c r="AI32" i="41"/>
  <c r="AJ32" i="41"/>
  <c r="AF32" i="41"/>
  <c r="AL32" i="41" s="1"/>
  <c r="AG32" i="41"/>
  <c r="AJ23" i="41"/>
  <c r="AF23" i="41"/>
  <c r="AL23" i="41" s="1"/>
  <c r="AG23" i="41"/>
  <c r="AO23" i="41"/>
  <c r="AK23" i="41"/>
  <c r="AI23" i="41"/>
  <c r="AH23" i="41"/>
  <c r="AJ19" i="41"/>
  <c r="AG19" i="41"/>
  <c r="AO19" i="41"/>
  <c r="AK19" i="41"/>
  <c r="AF19" i="41"/>
  <c r="AL19" i="41" s="1"/>
  <c r="AH19" i="41"/>
  <c r="AI19" i="41"/>
  <c r="AH24" i="41"/>
  <c r="AK24" i="41"/>
  <c r="AO24" i="41"/>
  <c r="AI24" i="41"/>
  <c r="AJ24" i="41"/>
  <c r="AF24" i="41"/>
  <c r="AL24" i="41" s="1"/>
  <c r="AG24" i="41"/>
  <c r="AJ16" i="41"/>
  <c r="AK16" i="41"/>
  <c r="AH16" i="41"/>
  <c r="AI16" i="41"/>
  <c r="AF16" i="41"/>
  <c r="AG16" i="41"/>
  <c r="AM42" i="41" l="1"/>
  <c r="AN45" i="41"/>
  <c r="AM43" i="41"/>
  <c r="AN44" i="41"/>
  <c r="AL41" i="41"/>
  <c r="AM35" i="41"/>
  <c r="AN35" i="41"/>
  <c r="AM27" i="41"/>
  <c r="AN27" i="41"/>
  <c r="AN29" i="41"/>
  <c r="AM29" i="41"/>
  <c r="AM30" i="41"/>
  <c r="AN30" i="41"/>
  <c r="AN21" i="41"/>
  <c r="AM21" i="41"/>
  <c r="AM24" i="41"/>
  <c r="AN24" i="41"/>
  <c r="AM19" i="41"/>
  <c r="AN19" i="41"/>
  <c r="AN17" i="41"/>
  <c r="AM17" i="41"/>
  <c r="AM20" i="41"/>
  <c r="AN20" i="41"/>
  <c r="AM22" i="41"/>
  <c r="AN22" i="41"/>
  <c r="AM23" i="41"/>
  <c r="AN23" i="41"/>
  <c r="AM31" i="41"/>
  <c r="AN31" i="41"/>
  <c r="AM34" i="41"/>
  <c r="AN34" i="41"/>
  <c r="AM32" i="41"/>
  <c r="AN32" i="41"/>
  <c r="AM18" i="41"/>
  <c r="AN18" i="41"/>
  <c r="AN33" i="41"/>
  <c r="AM33" i="41"/>
  <c r="AL16" i="41"/>
  <c r="AM41" i="41" l="1"/>
  <c r="AN41" i="41"/>
  <c r="AM16" i="41"/>
  <c r="AN16" i="41"/>
  <c r="AO15" i="40"/>
  <c r="AB16" i="39"/>
  <c r="AB17" i="39"/>
  <c r="AB18" i="39"/>
  <c r="AB19" i="39"/>
  <c r="AB20" i="39"/>
  <c r="AB21" i="39"/>
  <c r="AB22" i="39"/>
  <c r="AB23" i="39"/>
  <c r="AB24" i="39"/>
  <c r="AB25" i="39"/>
  <c r="AB26" i="39"/>
  <c r="AB27" i="39"/>
  <c r="AB28" i="39"/>
  <c r="AB29" i="39"/>
  <c r="AB30" i="39"/>
  <c r="AB31" i="39"/>
  <c r="AB32" i="39"/>
  <c r="AB33" i="39"/>
  <c r="AB34" i="39"/>
  <c r="AB35" i="39"/>
  <c r="AB36" i="39"/>
  <c r="AB37" i="39"/>
  <c r="AB38" i="39"/>
  <c r="AB39" i="39"/>
  <c r="AB40" i="39"/>
  <c r="AB41" i="39"/>
  <c r="AB42" i="39"/>
  <c r="AB43" i="39"/>
  <c r="AB44" i="39"/>
  <c r="AB45" i="39"/>
  <c r="AB46" i="39"/>
  <c r="AB47" i="39"/>
  <c r="AB48" i="39"/>
  <c r="AB49" i="39"/>
  <c r="AB50" i="39"/>
  <c r="AB51" i="39"/>
  <c r="AB52" i="39"/>
  <c r="AB53" i="39"/>
  <c r="AB54" i="39"/>
  <c r="AB55" i="39"/>
  <c r="AB56" i="39"/>
  <c r="AB57" i="39"/>
  <c r="AB58" i="39"/>
  <c r="AB59" i="39"/>
  <c r="AB60" i="39"/>
  <c r="AB61" i="39"/>
  <c r="AB62" i="39"/>
  <c r="AB63" i="39"/>
  <c r="AB64" i="39"/>
  <c r="AB65" i="39"/>
  <c r="AB66" i="39"/>
  <c r="AB67" i="39"/>
  <c r="AB68" i="39"/>
  <c r="AB69" i="39"/>
  <c r="AB70" i="39"/>
  <c r="AB71" i="39"/>
  <c r="AB72" i="39"/>
  <c r="AB73" i="39"/>
  <c r="AB74" i="39"/>
  <c r="AB75" i="39"/>
  <c r="AB76" i="39"/>
  <c r="AB77" i="39"/>
  <c r="AB78" i="39"/>
  <c r="AB79" i="39"/>
  <c r="AB80" i="39"/>
  <c r="AB81" i="39"/>
  <c r="AB82" i="39"/>
  <c r="AB83" i="39"/>
  <c r="AB84" i="39"/>
  <c r="AB85" i="39"/>
  <c r="AB86" i="39"/>
  <c r="AB87" i="39"/>
  <c r="AB88" i="39"/>
  <c r="AB89" i="39"/>
  <c r="AB90" i="39"/>
  <c r="AB91" i="39"/>
  <c r="AB92" i="39"/>
  <c r="AB93" i="39"/>
  <c r="AB94" i="39"/>
  <c r="AB95" i="39"/>
  <c r="AB96" i="39"/>
  <c r="AB97" i="39"/>
  <c r="AB98" i="39"/>
  <c r="AB99" i="39"/>
  <c r="AB100" i="39"/>
  <c r="AB101" i="39"/>
  <c r="AB102" i="39"/>
  <c r="AB103" i="39"/>
  <c r="AB104" i="39"/>
  <c r="AB105" i="39"/>
  <c r="AB106" i="39"/>
  <c r="AB107" i="39"/>
  <c r="AB108" i="39"/>
  <c r="AB109" i="39"/>
  <c r="AB110" i="39"/>
  <c r="AB111" i="39"/>
  <c r="AB112" i="39"/>
  <c r="AB113" i="39"/>
  <c r="AB114" i="39"/>
  <c r="AB115" i="39"/>
  <c r="AB116" i="39"/>
  <c r="AB117" i="39"/>
  <c r="AB118" i="39"/>
  <c r="AB119" i="39"/>
  <c r="AB120" i="39"/>
  <c r="AB121" i="39"/>
  <c r="AB122" i="39"/>
  <c r="AB123" i="39"/>
  <c r="AB124" i="39"/>
  <c r="AB125" i="39"/>
  <c r="AB126" i="39"/>
  <c r="AB127" i="39"/>
  <c r="AB128" i="39"/>
  <c r="AB129" i="39"/>
  <c r="AB130" i="39"/>
  <c r="AB131" i="39"/>
  <c r="AB132" i="39"/>
  <c r="AB133" i="39"/>
  <c r="AB134" i="39"/>
  <c r="AB135" i="39"/>
  <c r="AB136" i="39"/>
  <c r="AB137" i="39"/>
  <c r="AB138" i="39"/>
  <c r="AB139" i="39"/>
  <c r="AB140" i="39"/>
  <c r="AB141" i="39"/>
  <c r="AB142" i="39"/>
  <c r="AB143" i="39"/>
  <c r="AB144" i="39"/>
  <c r="AB145" i="39"/>
  <c r="AB146" i="39"/>
  <c r="AB147" i="39"/>
  <c r="AB148" i="39"/>
  <c r="AB149" i="39"/>
  <c r="AB150" i="39"/>
  <c r="AB151" i="39"/>
  <c r="AB152" i="39"/>
  <c r="AB153" i="39"/>
  <c r="AB154" i="39"/>
  <c r="AB155" i="39"/>
  <c r="AB156" i="39"/>
  <c r="AB157" i="39"/>
  <c r="AB158" i="39"/>
  <c r="AB159" i="39"/>
  <c r="AB160" i="39"/>
  <c r="AB161" i="39"/>
  <c r="AB162" i="39"/>
  <c r="AB163" i="39"/>
  <c r="AB164" i="39"/>
  <c r="AB165" i="39"/>
  <c r="AB166" i="39"/>
  <c r="AB167" i="39"/>
  <c r="AB168" i="39"/>
  <c r="AB169" i="39"/>
  <c r="AB170" i="39"/>
  <c r="AB171" i="39"/>
  <c r="AB172" i="39"/>
  <c r="AB173" i="39"/>
  <c r="AB174" i="39"/>
  <c r="AB175" i="39"/>
  <c r="AB176" i="39"/>
  <c r="AB177" i="39"/>
  <c r="AB178" i="39"/>
  <c r="AB179" i="39"/>
  <c r="AB180" i="39"/>
  <c r="AB181" i="39"/>
  <c r="AB182" i="39"/>
  <c r="AB183" i="39"/>
  <c r="AB184" i="39"/>
  <c r="AB185" i="39"/>
  <c r="AB186" i="39"/>
  <c r="AB187" i="39"/>
  <c r="AB188" i="39"/>
  <c r="AB189" i="39"/>
  <c r="AB190" i="39"/>
  <c r="AB191" i="39"/>
  <c r="AB192" i="39"/>
  <c r="AB193" i="39"/>
  <c r="AB194" i="39"/>
  <c r="AB195" i="39"/>
  <c r="AB196" i="39"/>
  <c r="AB197" i="39"/>
  <c r="AB198" i="39"/>
  <c r="AB199" i="39"/>
  <c r="AB200" i="39"/>
  <c r="AB201" i="39"/>
  <c r="AB202" i="39"/>
  <c r="AB203" i="39"/>
  <c r="AB204" i="39"/>
  <c r="AB205" i="39"/>
  <c r="AB206" i="39"/>
  <c r="AB207" i="39"/>
  <c r="AB208" i="39"/>
  <c r="AB209" i="39"/>
  <c r="AB210" i="39"/>
  <c r="AB211" i="39"/>
  <c r="AB212" i="39"/>
  <c r="AB213" i="39"/>
  <c r="AB214" i="39"/>
  <c r="AB215" i="39"/>
  <c r="AB216" i="39"/>
  <c r="AB217" i="39"/>
  <c r="AB218" i="39"/>
  <c r="AB219" i="39"/>
  <c r="AB220" i="39"/>
  <c r="AB221" i="39"/>
  <c r="AB222" i="39"/>
  <c r="AB223" i="39"/>
  <c r="AB224" i="39"/>
  <c r="AB225" i="39"/>
  <c r="AB226" i="39"/>
  <c r="AB227" i="39"/>
  <c r="AB228" i="39"/>
  <c r="AB229" i="39"/>
  <c r="AB230" i="39"/>
  <c r="AB231" i="39"/>
  <c r="AB232" i="39"/>
  <c r="AB233" i="39"/>
  <c r="AB234" i="39"/>
  <c r="AB235" i="39"/>
  <c r="AB236" i="39"/>
  <c r="AB237" i="39"/>
  <c r="AB238" i="39"/>
  <c r="AB239" i="39"/>
  <c r="AB240" i="39"/>
  <c r="AB241" i="39"/>
  <c r="AB242" i="39"/>
  <c r="AB243" i="39"/>
  <c r="AB244" i="39"/>
  <c r="AB245" i="39"/>
  <c r="AB246" i="39"/>
  <c r="AB247" i="39"/>
  <c r="AB248" i="39"/>
  <c r="AB249" i="39"/>
  <c r="AB250" i="39"/>
  <c r="AB251" i="39"/>
  <c r="AB252" i="39"/>
  <c r="AB253" i="39"/>
  <c r="AB254" i="39"/>
  <c r="AB255" i="39"/>
  <c r="AB256" i="39"/>
  <c r="AB257" i="39"/>
  <c r="AB258" i="39"/>
  <c r="AB259" i="39"/>
  <c r="AB260" i="39"/>
  <c r="AB261" i="39"/>
  <c r="AB262" i="39"/>
  <c r="AB263" i="39"/>
  <c r="AB264" i="39"/>
  <c r="AB265" i="39"/>
  <c r="AB266" i="39"/>
  <c r="AB267" i="39"/>
  <c r="AB268" i="39"/>
  <c r="AB269" i="39"/>
  <c r="AB270" i="39"/>
  <c r="AB271" i="39"/>
  <c r="AB272" i="39"/>
  <c r="AB273" i="39"/>
  <c r="AB274" i="39"/>
  <c r="AB275" i="39"/>
  <c r="AB276" i="39"/>
  <c r="AB277" i="39"/>
  <c r="AB278" i="39"/>
  <c r="AB279" i="39"/>
  <c r="AB280" i="39"/>
  <c r="AB281" i="39"/>
  <c r="AB282" i="39"/>
  <c r="AB283" i="39"/>
  <c r="AB284" i="39"/>
  <c r="AB285" i="39"/>
  <c r="AB286" i="39"/>
  <c r="AB287" i="39"/>
  <c r="AB288" i="39"/>
  <c r="AB289" i="39"/>
  <c r="AB290" i="39"/>
  <c r="AB291" i="39"/>
  <c r="AB292" i="39"/>
  <c r="AB293" i="39"/>
  <c r="AB294" i="39"/>
  <c r="AB295" i="39"/>
  <c r="AB296" i="39"/>
  <c r="AB297" i="39"/>
  <c r="AB298" i="39"/>
  <c r="AB299" i="39"/>
  <c r="AB300" i="39"/>
  <c r="AB301" i="39"/>
  <c r="AB302" i="39"/>
  <c r="AB303" i="39"/>
  <c r="AB304" i="39"/>
  <c r="AB305" i="39"/>
  <c r="AB306" i="39"/>
  <c r="AB307" i="39"/>
  <c r="AB308" i="39"/>
  <c r="AB309" i="39"/>
  <c r="AB310" i="39"/>
  <c r="AB311" i="39"/>
  <c r="AB312" i="39"/>
  <c r="AB313" i="39"/>
  <c r="AB314" i="39"/>
  <c r="AB315" i="39"/>
  <c r="AB316" i="39"/>
  <c r="AB317" i="39"/>
  <c r="AB318" i="39"/>
  <c r="AB319" i="39"/>
  <c r="AB320" i="39"/>
  <c r="AB321" i="39"/>
  <c r="AB322" i="39"/>
  <c r="AB323" i="39"/>
  <c r="AB324" i="39"/>
  <c r="AB325" i="39"/>
  <c r="AB326" i="39"/>
  <c r="AB327" i="39"/>
  <c r="AB328" i="39"/>
  <c r="AB329" i="39"/>
  <c r="AB330" i="39"/>
  <c r="AB331" i="39"/>
  <c r="AB332" i="39"/>
  <c r="AB333" i="39"/>
  <c r="AB334" i="39"/>
  <c r="AB335" i="39"/>
  <c r="AB336" i="39"/>
  <c r="AB337" i="39"/>
  <c r="AB338" i="39"/>
  <c r="AB339" i="39"/>
  <c r="AB340" i="39"/>
  <c r="AB341" i="39"/>
  <c r="AB342" i="39"/>
  <c r="AB343" i="39"/>
  <c r="AB344" i="39"/>
  <c r="AB345" i="39"/>
  <c r="AB346" i="39"/>
  <c r="AB347" i="39"/>
  <c r="AB348" i="39"/>
  <c r="AB349" i="39"/>
  <c r="AB350" i="39"/>
  <c r="AB351" i="39"/>
  <c r="AB352" i="39"/>
  <c r="AB353" i="39"/>
  <c r="AB354" i="39"/>
  <c r="AB355" i="39"/>
  <c r="AB356" i="39"/>
  <c r="AB357" i="39"/>
  <c r="AB358" i="39"/>
  <c r="AB359" i="39"/>
  <c r="AB360" i="39"/>
  <c r="AB361" i="39"/>
  <c r="AB362" i="39"/>
  <c r="AB363" i="39"/>
  <c r="AB364" i="39"/>
  <c r="AB365" i="39"/>
  <c r="AB366" i="39"/>
  <c r="AB367" i="39"/>
  <c r="AB368" i="39"/>
  <c r="AB369" i="39"/>
  <c r="AB370" i="39"/>
  <c r="AB371" i="39"/>
  <c r="AB372" i="39"/>
  <c r="AB373" i="39"/>
  <c r="AB374" i="39"/>
  <c r="AB375" i="39"/>
  <c r="AB376" i="39"/>
  <c r="AB377" i="39"/>
  <c r="AB378" i="39"/>
  <c r="AB379" i="39"/>
  <c r="AB380" i="39"/>
  <c r="AB381" i="39"/>
  <c r="AB382" i="39"/>
  <c r="AB383" i="39"/>
  <c r="AB384" i="39"/>
  <c r="AB385" i="39"/>
  <c r="AB386" i="39"/>
  <c r="AB387" i="39"/>
  <c r="AB388" i="39"/>
  <c r="AB389" i="39"/>
  <c r="AB390" i="39"/>
  <c r="AB391" i="39"/>
  <c r="AB392" i="39"/>
  <c r="AB393" i="39"/>
  <c r="AB394" i="39"/>
  <c r="AB395" i="39"/>
  <c r="AB396" i="39"/>
  <c r="AB397" i="39"/>
  <c r="AB398" i="39"/>
  <c r="AB399" i="39"/>
  <c r="AB400" i="39"/>
  <c r="AB401" i="39"/>
  <c r="AB402" i="39"/>
  <c r="AB403" i="39"/>
  <c r="AB404" i="39"/>
  <c r="AB405" i="39"/>
  <c r="AB406" i="39"/>
  <c r="AB407" i="39"/>
  <c r="AB408" i="39"/>
  <c r="AB409" i="39"/>
  <c r="AB410" i="39"/>
  <c r="AB411" i="39"/>
  <c r="AB412" i="39"/>
  <c r="AB413" i="39"/>
  <c r="AB414" i="39"/>
  <c r="AB415" i="39"/>
  <c r="AB416" i="39"/>
  <c r="AB417" i="39"/>
  <c r="AB418" i="39"/>
  <c r="AB419" i="39"/>
  <c r="AB420" i="39"/>
  <c r="AB421" i="39"/>
  <c r="AB422" i="39"/>
  <c r="AB423" i="39"/>
  <c r="AB424" i="39"/>
  <c r="AB425" i="39"/>
  <c r="AB426" i="39"/>
  <c r="AB427" i="39"/>
  <c r="AB428" i="39"/>
  <c r="AB429" i="39"/>
  <c r="AB430" i="39"/>
  <c r="AB431" i="39"/>
  <c r="AB432" i="39"/>
  <c r="AB433" i="39"/>
  <c r="AB434" i="39"/>
  <c r="AB435" i="39"/>
  <c r="AB436" i="39"/>
  <c r="AB437" i="39"/>
  <c r="AB438" i="39"/>
  <c r="AB439" i="39"/>
  <c r="AB440" i="39"/>
  <c r="AB441" i="39"/>
  <c r="AB442" i="39"/>
  <c r="AB443" i="39"/>
  <c r="AB444" i="39"/>
  <c r="AB445" i="39"/>
  <c r="AB446" i="39"/>
  <c r="AB447" i="39"/>
  <c r="AB448" i="39"/>
  <c r="AB449" i="39"/>
  <c r="AB450" i="39"/>
  <c r="AB451" i="39"/>
  <c r="AB452" i="39"/>
  <c r="AB453" i="39"/>
  <c r="AB454" i="39"/>
  <c r="AB455" i="39"/>
  <c r="AB456" i="39"/>
  <c r="AB457" i="39"/>
  <c r="AB458" i="39"/>
  <c r="AB459" i="39"/>
  <c r="AB460" i="39"/>
  <c r="AB461" i="39"/>
  <c r="AB462" i="39"/>
  <c r="AB463" i="39"/>
  <c r="AB464" i="39"/>
  <c r="AB465" i="39"/>
  <c r="AB466" i="39"/>
  <c r="AB467" i="39"/>
  <c r="AB468" i="39"/>
  <c r="AB469" i="39"/>
  <c r="AB470" i="39"/>
  <c r="AB471" i="39"/>
  <c r="AB472" i="39"/>
  <c r="AB473" i="39"/>
  <c r="AB474" i="39"/>
  <c r="AB475" i="39"/>
  <c r="AB476" i="39"/>
  <c r="AB477" i="39"/>
  <c r="AB478" i="39"/>
  <c r="AB479" i="39"/>
  <c r="AB480" i="39"/>
  <c r="AB481" i="39"/>
  <c r="AB482" i="39"/>
  <c r="AB483" i="39"/>
  <c r="AB484" i="39"/>
  <c r="AB485" i="39"/>
  <c r="AB486" i="39"/>
  <c r="AB487" i="39"/>
  <c r="AB488" i="39"/>
  <c r="AB489" i="39"/>
  <c r="AB490" i="39"/>
  <c r="AB491" i="39"/>
  <c r="AB492" i="39"/>
  <c r="AB493" i="39"/>
  <c r="AB494" i="39"/>
  <c r="AB495" i="39"/>
  <c r="AB496" i="39"/>
  <c r="AB497" i="39"/>
  <c r="AB498" i="39"/>
  <c r="AB499" i="39"/>
  <c r="AB500" i="39"/>
  <c r="AB501" i="39"/>
  <c r="AB502" i="39"/>
  <c r="AB503" i="39"/>
  <c r="AB504" i="39"/>
  <c r="AB505" i="39"/>
  <c r="AB506" i="39"/>
  <c r="AB507" i="39"/>
  <c r="AB508" i="39"/>
  <c r="AB509" i="39"/>
  <c r="AB510" i="39"/>
  <c r="AB511" i="39"/>
  <c r="AB512" i="39"/>
  <c r="AB513" i="39"/>
  <c r="AB514" i="39"/>
  <c r="AB15" i="39"/>
  <c r="AL38" i="39" l="1"/>
  <c r="AL30" i="39"/>
  <c r="AL57" i="39"/>
  <c r="AM507" i="40"/>
  <c r="AN507" i="40"/>
  <c r="AM491" i="40"/>
  <c r="AN491" i="40"/>
  <c r="AN475" i="40"/>
  <c r="AM475" i="40"/>
  <c r="AN467" i="40"/>
  <c r="AM467" i="40"/>
  <c r="AN451" i="40"/>
  <c r="AM451" i="40"/>
  <c r="AM435" i="40"/>
  <c r="AN435" i="40"/>
  <c r="AN419" i="40"/>
  <c r="AM419" i="40"/>
  <c r="AM403" i="40"/>
  <c r="AN403" i="40"/>
  <c r="AN387" i="40"/>
  <c r="AM387" i="40"/>
  <c r="AN371" i="40"/>
  <c r="AM371" i="40"/>
  <c r="AM355" i="40"/>
  <c r="AN355" i="40"/>
  <c r="AN339" i="40"/>
  <c r="AM339" i="40"/>
  <c r="AN323" i="40"/>
  <c r="AM323" i="40"/>
  <c r="AM307" i="40"/>
  <c r="AN307" i="40"/>
  <c r="AN291" i="40"/>
  <c r="AM291" i="40"/>
  <c r="AM275" i="40"/>
  <c r="AN275" i="40"/>
  <c r="AM259" i="40"/>
  <c r="AN259" i="40"/>
  <c r="AN251" i="40"/>
  <c r="AM251" i="40"/>
  <c r="AM235" i="40"/>
  <c r="AN235" i="40"/>
  <c r="AN227" i="40"/>
  <c r="AM227" i="40"/>
  <c r="AN211" i="40"/>
  <c r="AM211" i="40"/>
  <c r="AN195" i="40"/>
  <c r="AM195" i="40"/>
  <c r="AM179" i="40"/>
  <c r="AN179" i="40"/>
  <c r="AM163" i="40"/>
  <c r="AN163" i="40"/>
  <c r="AN139" i="40"/>
  <c r="AM139" i="40"/>
  <c r="AM123" i="40"/>
  <c r="AN123" i="40"/>
  <c r="AN99" i="40"/>
  <c r="AM99" i="40"/>
  <c r="AN27" i="40"/>
  <c r="AM27" i="40"/>
  <c r="AM514" i="40"/>
  <c r="AN514" i="40"/>
  <c r="AN498" i="40"/>
  <c r="AM498" i="40"/>
  <c r="AM482" i="40"/>
  <c r="AN482" i="40"/>
  <c r="AN466" i="40"/>
  <c r="AM466" i="40"/>
  <c r="AN450" i="40"/>
  <c r="AM450" i="40"/>
  <c r="AN434" i="40"/>
  <c r="AM434" i="40"/>
  <c r="AM418" i="40"/>
  <c r="AN418" i="40"/>
  <c r="AN402" i="40"/>
  <c r="AM402" i="40"/>
  <c r="AM394" i="40"/>
  <c r="AN394" i="40"/>
  <c r="AN378" i="40"/>
  <c r="AM378" i="40"/>
  <c r="AM362" i="40"/>
  <c r="AN362" i="40"/>
  <c r="AM346" i="40"/>
  <c r="AN346" i="40"/>
  <c r="AM330" i="40"/>
  <c r="AN330" i="40"/>
  <c r="AN314" i="40"/>
  <c r="AM314" i="40"/>
  <c r="AM298" i="40"/>
  <c r="AN298" i="40"/>
  <c r="AN282" i="40"/>
  <c r="AM282" i="40"/>
  <c r="AN258" i="40"/>
  <c r="AM258" i="40"/>
  <c r="AM250" i="40"/>
  <c r="AN250" i="40"/>
  <c r="AM234" i="40"/>
  <c r="AN234" i="40"/>
  <c r="AM218" i="40"/>
  <c r="AN218" i="40"/>
  <c r="AN210" i="40"/>
  <c r="AM210" i="40"/>
  <c r="AN194" i="40"/>
  <c r="AM194" i="40"/>
  <c r="AM178" i="40"/>
  <c r="AN178" i="40"/>
  <c r="AM154" i="40"/>
  <c r="AN154" i="40"/>
  <c r="AN138" i="40"/>
  <c r="AM138" i="40"/>
  <c r="AM130" i="40"/>
  <c r="AN130" i="40"/>
  <c r="AN114" i="40"/>
  <c r="AM114" i="40"/>
  <c r="AN90" i="40"/>
  <c r="AM90" i="40"/>
  <c r="AM26" i="40"/>
  <c r="AN26" i="40"/>
  <c r="AN505" i="40"/>
  <c r="AM505" i="40"/>
  <c r="AM489" i="40"/>
  <c r="AN489" i="40"/>
  <c r="AN481" i="40"/>
  <c r="AM481" i="40"/>
  <c r="AN465" i="40"/>
  <c r="AM465" i="40"/>
  <c r="AN457" i="40"/>
  <c r="AM457" i="40"/>
  <c r="AM441" i="40"/>
  <c r="AN441" i="40"/>
  <c r="AM425" i="40"/>
  <c r="AN425" i="40"/>
  <c r="AN409" i="40"/>
  <c r="AM409" i="40"/>
  <c r="AM385" i="40"/>
  <c r="AN385" i="40"/>
  <c r="AM369" i="40"/>
  <c r="AN369" i="40"/>
  <c r="AN353" i="40"/>
  <c r="AM353" i="40"/>
  <c r="AM337" i="40"/>
  <c r="AN337" i="40"/>
  <c r="AM321" i="40"/>
  <c r="AN321" i="40"/>
  <c r="AN305" i="40"/>
  <c r="AM305" i="40"/>
  <c r="AM297" i="40"/>
  <c r="AN297" i="40"/>
  <c r="AM281" i="40"/>
  <c r="AN281" i="40"/>
  <c r="AM273" i="40"/>
  <c r="AN273" i="40"/>
  <c r="AN265" i="40"/>
  <c r="AM265" i="40"/>
  <c r="AM257" i="40"/>
  <c r="AN257" i="40"/>
  <c r="AM249" i="40"/>
  <c r="AN249" i="40"/>
  <c r="AM241" i="40"/>
  <c r="AN241" i="40"/>
  <c r="AN233" i="40"/>
  <c r="AM233" i="40"/>
  <c r="AN225" i="40"/>
  <c r="AM225" i="40"/>
  <c r="AN217" i="40"/>
  <c r="AM217" i="40"/>
  <c r="AM201" i="40"/>
  <c r="AN201" i="40"/>
  <c r="AN193" i="40"/>
  <c r="AM193" i="40"/>
  <c r="AN185" i="40"/>
  <c r="AM185" i="40"/>
  <c r="AM177" i="40"/>
  <c r="AN177" i="40"/>
  <c r="AM169" i="40"/>
  <c r="AN169" i="40"/>
  <c r="AN161" i="40"/>
  <c r="AM161" i="40"/>
  <c r="AM153" i="40"/>
  <c r="AN153" i="40"/>
  <c r="AM145" i="40"/>
  <c r="AN145" i="40"/>
  <c r="AM137" i="40"/>
  <c r="AN137" i="40"/>
  <c r="AN129" i="40"/>
  <c r="AM129" i="40"/>
  <c r="AM121" i="40"/>
  <c r="AN121" i="40"/>
  <c r="AN113" i="40"/>
  <c r="AM113" i="40"/>
  <c r="AN105" i="40"/>
  <c r="AM105" i="40"/>
  <c r="AM97" i="40"/>
  <c r="AN97" i="40"/>
  <c r="AN89" i="40"/>
  <c r="AM89" i="40"/>
  <c r="AM81" i="40"/>
  <c r="AN81" i="40"/>
  <c r="AM73" i="40"/>
  <c r="AN73" i="40"/>
  <c r="AM65" i="40"/>
  <c r="AN65" i="40"/>
  <c r="AM57" i="40"/>
  <c r="AN57" i="40"/>
  <c r="AN49" i="40"/>
  <c r="AM49" i="40"/>
  <c r="AM41" i="40"/>
  <c r="AN41" i="40"/>
  <c r="AM33" i="40"/>
  <c r="AN33" i="40"/>
  <c r="AN17" i="40"/>
  <c r="AM17" i="40"/>
  <c r="AM512" i="40"/>
  <c r="AN512" i="40"/>
  <c r="AM496" i="40"/>
  <c r="AN496" i="40"/>
  <c r="AN480" i="40"/>
  <c r="AM480" i="40"/>
  <c r="AM464" i="40"/>
  <c r="AN464" i="40"/>
  <c r="AM440" i="40"/>
  <c r="AN440" i="40"/>
  <c r="AN424" i="40"/>
  <c r="AM424" i="40"/>
  <c r="AM408" i="40"/>
  <c r="AN408" i="40"/>
  <c r="AN392" i="40"/>
  <c r="AM392" i="40"/>
  <c r="AM376" i="40"/>
  <c r="AN376" i="40"/>
  <c r="AM360" i="40"/>
  <c r="AN360" i="40"/>
  <c r="AN344" i="40"/>
  <c r="AM344" i="40"/>
  <c r="AN328" i="40"/>
  <c r="AM328" i="40"/>
  <c r="AM304" i="40"/>
  <c r="AN304" i="40"/>
  <c r="AM280" i="40"/>
  <c r="AN280" i="40"/>
  <c r="AM264" i="40"/>
  <c r="AN264" i="40"/>
  <c r="AN248" i="40"/>
  <c r="AM248" i="40"/>
  <c r="AN216" i="40"/>
  <c r="AM216" i="40"/>
  <c r="AM200" i="40"/>
  <c r="AN200" i="40"/>
  <c r="AN184" i="40"/>
  <c r="AM184" i="40"/>
  <c r="AM168" i="40"/>
  <c r="AN168" i="40"/>
  <c r="AN144" i="40"/>
  <c r="AM144" i="40"/>
  <c r="AN128" i="40"/>
  <c r="AM128" i="40"/>
  <c r="AN112" i="40"/>
  <c r="AM112" i="40"/>
  <c r="AM96" i="40"/>
  <c r="AN96" i="40"/>
  <c r="AM80" i="40"/>
  <c r="AN80" i="40"/>
  <c r="AM72" i="40"/>
  <c r="AN72" i="40"/>
  <c r="AN64" i="40"/>
  <c r="AM64" i="40"/>
  <c r="AM56" i="40"/>
  <c r="AN56" i="40"/>
  <c r="AM48" i="40"/>
  <c r="AN48" i="40"/>
  <c r="AN40" i="40"/>
  <c r="AM40" i="40"/>
  <c r="AN32" i="40"/>
  <c r="AM32" i="40"/>
  <c r="AN16" i="40"/>
  <c r="AM16" i="40"/>
  <c r="AN511" i="40"/>
  <c r="AM511" i="40"/>
  <c r="AM495" i="40"/>
  <c r="AN495" i="40"/>
  <c r="AM487" i="40"/>
  <c r="AN487" i="40"/>
  <c r="AN471" i="40"/>
  <c r="AM471" i="40"/>
  <c r="AN455" i="40"/>
  <c r="AM455" i="40"/>
  <c r="AM439" i="40"/>
  <c r="AN439" i="40"/>
  <c r="AM423" i="40"/>
  <c r="AN423" i="40"/>
  <c r="AM415" i="40"/>
  <c r="AN415" i="40"/>
  <c r="AM399" i="40"/>
  <c r="AN399" i="40"/>
  <c r="AM383" i="40"/>
  <c r="AN383" i="40"/>
  <c r="AM367" i="40"/>
  <c r="AN367" i="40"/>
  <c r="AN351" i="40"/>
  <c r="AM351" i="40"/>
  <c r="AM335" i="40"/>
  <c r="AN335" i="40"/>
  <c r="AN311" i="40"/>
  <c r="AM311" i="40"/>
  <c r="AN295" i="40"/>
  <c r="AM295" i="40"/>
  <c r="AM279" i="40"/>
  <c r="AN279" i="40"/>
  <c r="AN255" i="40"/>
  <c r="AM255" i="40"/>
  <c r="AM231" i="40"/>
  <c r="AN231" i="40"/>
  <c r="AN215" i="40"/>
  <c r="AM215" i="40"/>
  <c r="AN199" i="40"/>
  <c r="AM199" i="40"/>
  <c r="AN183" i="40"/>
  <c r="AM183" i="40"/>
  <c r="AN167" i="40"/>
  <c r="AM167" i="40"/>
  <c r="AN151" i="40"/>
  <c r="AM151" i="40"/>
  <c r="AN127" i="40"/>
  <c r="AM127" i="40"/>
  <c r="AM119" i="40"/>
  <c r="AN119" i="40"/>
  <c r="AN111" i="40"/>
  <c r="AM111" i="40"/>
  <c r="AM103" i="40"/>
  <c r="AN103" i="40"/>
  <c r="AN95" i="40"/>
  <c r="AM95" i="40"/>
  <c r="AN87" i="40"/>
  <c r="AM87" i="40"/>
  <c r="AN79" i="40"/>
  <c r="AM79" i="40"/>
  <c r="AN71" i="40"/>
  <c r="AM71" i="40"/>
  <c r="AN63" i="40"/>
  <c r="AM63" i="40"/>
  <c r="AM55" i="40"/>
  <c r="AN55" i="40"/>
  <c r="AN47" i="40"/>
  <c r="AM47" i="40"/>
  <c r="AN39" i="40"/>
  <c r="AM39" i="40"/>
  <c r="AN31" i="40"/>
  <c r="AM31" i="40"/>
  <c r="AN510" i="40"/>
  <c r="AM510" i="40"/>
  <c r="AN494" i="40"/>
  <c r="AM494" i="40"/>
  <c r="AM478" i="40"/>
  <c r="AN478" i="40"/>
  <c r="AN454" i="40"/>
  <c r="AM454" i="40"/>
  <c r="AN374" i="40"/>
  <c r="AM374" i="40"/>
  <c r="AM22" i="40"/>
  <c r="AN22" i="40"/>
  <c r="AN509" i="40"/>
  <c r="AM509" i="40"/>
  <c r="AM501" i="40"/>
  <c r="AN501" i="40"/>
  <c r="AM493" i="40"/>
  <c r="AN493" i="40"/>
  <c r="AM485" i="40"/>
  <c r="AN485" i="40"/>
  <c r="AM477" i="40"/>
  <c r="AN477" i="40"/>
  <c r="AM469" i="40"/>
  <c r="AN469" i="40"/>
  <c r="AN461" i="40"/>
  <c r="AM461" i="40"/>
  <c r="AM453" i="40"/>
  <c r="AN453" i="40"/>
  <c r="AN445" i="40"/>
  <c r="AM445" i="40"/>
  <c r="AN437" i="40"/>
  <c r="AM437" i="40"/>
  <c r="AM429" i="40"/>
  <c r="AN429" i="40"/>
  <c r="AM421" i="40"/>
  <c r="AN421" i="40"/>
  <c r="AM413" i="40"/>
  <c r="AN413" i="40"/>
  <c r="AM405" i="40"/>
  <c r="AN405" i="40"/>
  <c r="AM397" i="40"/>
  <c r="AN397" i="40"/>
  <c r="AM389" i="40"/>
  <c r="AN389" i="40"/>
  <c r="AM381" i="40"/>
  <c r="AN381" i="40"/>
  <c r="AN373" i="40"/>
  <c r="AM373" i="40"/>
  <c r="AN365" i="40"/>
  <c r="AM365" i="40"/>
  <c r="AM357" i="40"/>
  <c r="AN357" i="40"/>
  <c r="AM349" i="40"/>
  <c r="AN349" i="40"/>
  <c r="AN341" i="40"/>
  <c r="AM341" i="40"/>
  <c r="AN333" i="40"/>
  <c r="AM333" i="40"/>
  <c r="AN325" i="40"/>
  <c r="AM325" i="40"/>
  <c r="AM317" i="40"/>
  <c r="AN317" i="40"/>
  <c r="AN309" i="40"/>
  <c r="AM309" i="40"/>
  <c r="AN301" i="40"/>
  <c r="AM301" i="40"/>
  <c r="AM293" i="40"/>
  <c r="AN293" i="40"/>
  <c r="AN285" i="40"/>
  <c r="AM285" i="40"/>
  <c r="AM277" i="40"/>
  <c r="AN277" i="40"/>
  <c r="AN269" i="40"/>
  <c r="AM269" i="40"/>
  <c r="AM261" i="40"/>
  <c r="AN261" i="40"/>
  <c r="AN253" i="40"/>
  <c r="AM253" i="40"/>
  <c r="AN245" i="40"/>
  <c r="AM245" i="40"/>
  <c r="AM237" i="40"/>
  <c r="AN237" i="40"/>
  <c r="AN229" i="40"/>
  <c r="AM229" i="40"/>
  <c r="AN221" i="40"/>
  <c r="AM221" i="40"/>
  <c r="AN213" i="40"/>
  <c r="AM213" i="40"/>
  <c r="AM205" i="40"/>
  <c r="AN205" i="40"/>
  <c r="AM197" i="40"/>
  <c r="AN197" i="40"/>
  <c r="AN189" i="40"/>
  <c r="AM189" i="40"/>
  <c r="AN181" i="40"/>
  <c r="AM181" i="40"/>
  <c r="AM173" i="40"/>
  <c r="AN173" i="40"/>
  <c r="AN165" i="40"/>
  <c r="AM165" i="40"/>
  <c r="AM157" i="40"/>
  <c r="AN157" i="40"/>
  <c r="AN149" i="40"/>
  <c r="AM149" i="40"/>
  <c r="AN141" i="40"/>
  <c r="AM141" i="40"/>
  <c r="AN133" i="40"/>
  <c r="AM133" i="40"/>
  <c r="AN125" i="40"/>
  <c r="AM125" i="40"/>
  <c r="AM117" i="40"/>
  <c r="AN117" i="40"/>
  <c r="AM109" i="40"/>
  <c r="AN109" i="40"/>
  <c r="AN101" i="40"/>
  <c r="AM101" i="40"/>
  <c r="AM93" i="40"/>
  <c r="AN93" i="40"/>
  <c r="AM85" i="40"/>
  <c r="AN85" i="40"/>
  <c r="AN77" i="40"/>
  <c r="AM77" i="40"/>
  <c r="AN69" i="40"/>
  <c r="AM69" i="40"/>
  <c r="AN61" i="40"/>
  <c r="AM61" i="40"/>
  <c r="AN53" i="40"/>
  <c r="AM53" i="40"/>
  <c r="AN45" i="40"/>
  <c r="AM45" i="40"/>
  <c r="AN37" i="40"/>
  <c r="AM37" i="40"/>
  <c r="AM29" i="40"/>
  <c r="AN29" i="40"/>
  <c r="AM21" i="40"/>
  <c r="AN21" i="40"/>
  <c r="AN499" i="40"/>
  <c r="AM499" i="40"/>
  <c r="AM483" i="40"/>
  <c r="AN483" i="40"/>
  <c r="AN459" i="40"/>
  <c r="AM459" i="40"/>
  <c r="AN443" i="40"/>
  <c r="AM443" i="40"/>
  <c r="AN427" i="40"/>
  <c r="AM427" i="40"/>
  <c r="AM411" i="40"/>
  <c r="AN411" i="40"/>
  <c r="AN395" i="40"/>
  <c r="AM395" i="40"/>
  <c r="AM379" i="40"/>
  <c r="AN379" i="40"/>
  <c r="AN363" i="40"/>
  <c r="AM363" i="40"/>
  <c r="AN347" i="40"/>
  <c r="AM347" i="40"/>
  <c r="AM331" i="40"/>
  <c r="AN331" i="40"/>
  <c r="AM315" i="40"/>
  <c r="AN315" i="40"/>
  <c r="AN299" i="40"/>
  <c r="AM299" i="40"/>
  <c r="AN283" i="40"/>
  <c r="AM283" i="40"/>
  <c r="AN267" i="40"/>
  <c r="AM267" i="40"/>
  <c r="AM243" i="40"/>
  <c r="AN243" i="40"/>
  <c r="AN219" i="40"/>
  <c r="AM219" i="40"/>
  <c r="AM203" i="40"/>
  <c r="AN203" i="40"/>
  <c r="AN187" i="40"/>
  <c r="AM187" i="40"/>
  <c r="AN171" i="40"/>
  <c r="AM171" i="40"/>
  <c r="AN155" i="40"/>
  <c r="AM155" i="40"/>
  <c r="AN147" i="40"/>
  <c r="AM147" i="40"/>
  <c r="AN131" i="40"/>
  <c r="AM131" i="40"/>
  <c r="AN115" i="40"/>
  <c r="AM115" i="40"/>
  <c r="AN107" i="40"/>
  <c r="AM107" i="40"/>
  <c r="AN91" i="40"/>
  <c r="AM91" i="40"/>
  <c r="AM83" i="40"/>
  <c r="AN83" i="40"/>
  <c r="AN75" i="40"/>
  <c r="AM75" i="40"/>
  <c r="AN67" i="40"/>
  <c r="AM67" i="40"/>
  <c r="AM59" i="40"/>
  <c r="AN59" i="40"/>
  <c r="AM51" i="40"/>
  <c r="AN51" i="40"/>
  <c r="AN43" i="40"/>
  <c r="AM43" i="40"/>
  <c r="AM35" i="40"/>
  <c r="AN35" i="40"/>
  <c r="AM19" i="40"/>
  <c r="AN19" i="40"/>
  <c r="AN506" i="40"/>
  <c r="AM506" i="40"/>
  <c r="AM490" i="40"/>
  <c r="AN490" i="40"/>
  <c r="AM474" i="40"/>
  <c r="AN474" i="40"/>
  <c r="AN458" i="40"/>
  <c r="AM458" i="40"/>
  <c r="AN442" i="40"/>
  <c r="AM442" i="40"/>
  <c r="AN426" i="40"/>
  <c r="AM426" i="40"/>
  <c r="AM410" i="40"/>
  <c r="AN410" i="40"/>
  <c r="AM386" i="40"/>
  <c r="AN386" i="40"/>
  <c r="AM370" i="40"/>
  <c r="AN370" i="40"/>
  <c r="AM354" i="40"/>
  <c r="AN354" i="40"/>
  <c r="AM338" i="40"/>
  <c r="AN338" i="40"/>
  <c r="AN322" i="40"/>
  <c r="AM322" i="40"/>
  <c r="AN306" i="40"/>
  <c r="AM306" i="40"/>
  <c r="AM290" i="40"/>
  <c r="AN290" i="40"/>
  <c r="AN274" i="40"/>
  <c r="AM274" i="40"/>
  <c r="AM266" i="40"/>
  <c r="AN266" i="40"/>
  <c r="AN242" i="40"/>
  <c r="AM242" i="40"/>
  <c r="AN226" i="40"/>
  <c r="AM226" i="40"/>
  <c r="AM202" i="40"/>
  <c r="AN202" i="40"/>
  <c r="AN186" i="40"/>
  <c r="AM186" i="40"/>
  <c r="AN170" i="40"/>
  <c r="AM170" i="40"/>
  <c r="AN162" i="40"/>
  <c r="AM162" i="40"/>
  <c r="AM146" i="40"/>
  <c r="AN146" i="40"/>
  <c r="AM122" i="40"/>
  <c r="AN122" i="40"/>
  <c r="AN106" i="40"/>
  <c r="AM106" i="40"/>
  <c r="AN98" i="40"/>
  <c r="AM98" i="40"/>
  <c r="AM82" i="40"/>
  <c r="AN82" i="40"/>
  <c r="AM74" i="40"/>
  <c r="AN74" i="40"/>
  <c r="AM66" i="40"/>
  <c r="AN66" i="40"/>
  <c r="AM58" i="40"/>
  <c r="AN58" i="40"/>
  <c r="AM50" i="40"/>
  <c r="AN50" i="40"/>
  <c r="AN42" i="40"/>
  <c r="AM42" i="40"/>
  <c r="AM34" i="40"/>
  <c r="AN34" i="40"/>
  <c r="AM18" i="40"/>
  <c r="AN18" i="40"/>
  <c r="AM513" i="40"/>
  <c r="AN513" i="40"/>
  <c r="AN497" i="40"/>
  <c r="AM497" i="40"/>
  <c r="AM473" i="40"/>
  <c r="AN473" i="40"/>
  <c r="AN449" i="40"/>
  <c r="AM449" i="40"/>
  <c r="AM433" i="40"/>
  <c r="AN433" i="40"/>
  <c r="AM417" i="40"/>
  <c r="AN417" i="40"/>
  <c r="AM401" i="40"/>
  <c r="AN401" i="40"/>
  <c r="AN393" i="40"/>
  <c r="AM393" i="40"/>
  <c r="AM377" i="40"/>
  <c r="AN377" i="40"/>
  <c r="AM361" i="40"/>
  <c r="AN361" i="40"/>
  <c r="AM345" i="40"/>
  <c r="AN345" i="40"/>
  <c r="AM329" i="40"/>
  <c r="AN329" i="40"/>
  <c r="AM313" i="40"/>
  <c r="AN313" i="40"/>
  <c r="AM289" i="40"/>
  <c r="AN289" i="40"/>
  <c r="AM209" i="40"/>
  <c r="AN209" i="40"/>
  <c r="AM504" i="40"/>
  <c r="AN504" i="40"/>
  <c r="AN488" i="40"/>
  <c r="AM488" i="40"/>
  <c r="AM472" i="40"/>
  <c r="AN472" i="40"/>
  <c r="AN456" i="40"/>
  <c r="AM456" i="40"/>
  <c r="AM448" i="40"/>
  <c r="AN448" i="40"/>
  <c r="AM432" i="40"/>
  <c r="AN432" i="40"/>
  <c r="AM416" i="40"/>
  <c r="AN416" i="40"/>
  <c r="AM400" i="40"/>
  <c r="AN400" i="40"/>
  <c r="AM384" i="40"/>
  <c r="AN384" i="40"/>
  <c r="AN368" i="40"/>
  <c r="AM368" i="40"/>
  <c r="AM352" i="40"/>
  <c r="AN352" i="40"/>
  <c r="AN336" i="40"/>
  <c r="AM336" i="40"/>
  <c r="AM320" i="40"/>
  <c r="AN320" i="40"/>
  <c r="AN312" i="40"/>
  <c r="AM312" i="40"/>
  <c r="AM296" i="40"/>
  <c r="AN296" i="40"/>
  <c r="AN288" i="40"/>
  <c r="AM288" i="40"/>
  <c r="AN272" i="40"/>
  <c r="AM272" i="40"/>
  <c r="AN256" i="40"/>
  <c r="AM256" i="40"/>
  <c r="AN240" i="40"/>
  <c r="AM240" i="40"/>
  <c r="AM232" i="40"/>
  <c r="AN232" i="40"/>
  <c r="AN224" i="40"/>
  <c r="AM224" i="40"/>
  <c r="AN208" i="40"/>
  <c r="AM208" i="40"/>
  <c r="AN192" i="40"/>
  <c r="AM192" i="40"/>
  <c r="AM176" i="40"/>
  <c r="AN176" i="40"/>
  <c r="AN160" i="40"/>
  <c r="AM160" i="40"/>
  <c r="AM152" i="40"/>
  <c r="AN152" i="40"/>
  <c r="AN136" i="40"/>
  <c r="AM136" i="40"/>
  <c r="AN120" i="40"/>
  <c r="AM120" i="40"/>
  <c r="AM104" i="40"/>
  <c r="AN104" i="40"/>
  <c r="AM88" i="40"/>
  <c r="AN88" i="40"/>
  <c r="AN24" i="40"/>
  <c r="AM24" i="40"/>
  <c r="AN503" i="40"/>
  <c r="AM503" i="40"/>
  <c r="AN479" i="40"/>
  <c r="AM479" i="40"/>
  <c r="AM463" i="40"/>
  <c r="AN463" i="40"/>
  <c r="AN447" i="40"/>
  <c r="AM447" i="40"/>
  <c r="AM431" i="40"/>
  <c r="AN431" i="40"/>
  <c r="AN407" i="40"/>
  <c r="AM407" i="40"/>
  <c r="AN391" i="40"/>
  <c r="AM391" i="40"/>
  <c r="AM375" i="40"/>
  <c r="AN375" i="40"/>
  <c r="AM359" i="40"/>
  <c r="AN359" i="40"/>
  <c r="AM343" i="40"/>
  <c r="AN343" i="40"/>
  <c r="AM327" i="40"/>
  <c r="AN327" i="40"/>
  <c r="AN319" i="40"/>
  <c r="AM319" i="40"/>
  <c r="AM303" i="40"/>
  <c r="AN303" i="40"/>
  <c r="AN287" i="40"/>
  <c r="AM287" i="40"/>
  <c r="AM271" i="40"/>
  <c r="AN271" i="40"/>
  <c r="AN263" i="40"/>
  <c r="AM263" i="40"/>
  <c r="AN247" i="40"/>
  <c r="AM247" i="40"/>
  <c r="AN239" i="40"/>
  <c r="AM239" i="40"/>
  <c r="AN223" i="40"/>
  <c r="AM223" i="40"/>
  <c r="AN207" i="40"/>
  <c r="AM207" i="40"/>
  <c r="AM191" i="40"/>
  <c r="AN191" i="40"/>
  <c r="AN175" i="40"/>
  <c r="AM175" i="40"/>
  <c r="AN159" i="40"/>
  <c r="AM159" i="40"/>
  <c r="AM143" i="40"/>
  <c r="AN143" i="40"/>
  <c r="AM135" i="40"/>
  <c r="AN135" i="40"/>
  <c r="AN23" i="40"/>
  <c r="AM23" i="40"/>
  <c r="AN502" i="40"/>
  <c r="AM502" i="40"/>
  <c r="AM486" i="40"/>
  <c r="AN486" i="40"/>
  <c r="AN470" i="40"/>
  <c r="AM470" i="40"/>
  <c r="AN462" i="40"/>
  <c r="AM462" i="40"/>
  <c r="AN446" i="40"/>
  <c r="AM446" i="40"/>
  <c r="AM438" i="40"/>
  <c r="AN438" i="40"/>
  <c r="AN430" i="40"/>
  <c r="AM430" i="40"/>
  <c r="AN422" i="40"/>
  <c r="AM422" i="40"/>
  <c r="AM414" i="40"/>
  <c r="AN414" i="40"/>
  <c r="AM406" i="40"/>
  <c r="AN406" i="40"/>
  <c r="AM398" i="40"/>
  <c r="AN398" i="40"/>
  <c r="AN390" i="40"/>
  <c r="AM390" i="40"/>
  <c r="AM382" i="40"/>
  <c r="AN382" i="40"/>
  <c r="AN366" i="40"/>
  <c r="AM366" i="40"/>
  <c r="AN358" i="40"/>
  <c r="AM358" i="40"/>
  <c r="AM350" i="40"/>
  <c r="AN350" i="40"/>
  <c r="AM342" i="40"/>
  <c r="AN342" i="40"/>
  <c r="AM334" i="40"/>
  <c r="AN334" i="40"/>
  <c r="AN326" i="40"/>
  <c r="AM326" i="40"/>
  <c r="AN318" i="40"/>
  <c r="AM318" i="40"/>
  <c r="AM310" i="40"/>
  <c r="AN310" i="40"/>
  <c r="AM302" i="40"/>
  <c r="AN302" i="40"/>
  <c r="AN294" i="40"/>
  <c r="AM294" i="40"/>
  <c r="AN286" i="40"/>
  <c r="AM286" i="40"/>
  <c r="AM278" i="40"/>
  <c r="AN278" i="40"/>
  <c r="AN270" i="40"/>
  <c r="AM270" i="40"/>
  <c r="AM262" i="40"/>
  <c r="AN262" i="40"/>
  <c r="AM254" i="40"/>
  <c r="AN254" i="40"/>
  <c r="AM246" i="40"/>
  <c r="AN246" i="40"/>
  <c r="AN238" i="40"/>
  <c r="AM238" i="40"/>
  <c r="AM230" i="40"/>
  <c r="AN230" i="40"/>
  <c r="AM222" i="40"/>
  <c r="AN222" i="40"/>
  <c r="AN214" i="40"/>
  <c r="AM214" i="40"/>
  <c r="AN206" i="40"/>
  <c r="AM206" i="40"/>
  <c r="AM198" i="40"/>
  <c r="AN198" i="40"/>
  <c r="AM190" i="40"/>
  <c r="AN190" i="40"/>
  <c r="AN182" i="40"/>
  <c r="AM182" i="40"/>
  <c r="AN174" i="40"/>
  <c r="AM174" i="40"/>
  <c r="AM166" i="40"/>
  <c r="AN166" i="40"/>
  <c r="AM158" i="40"/>
  <c r="AN158" i="40"/>
  <c r="AM150" i="40"/>
  <c r="AN150" i="40"/>
  <c r="AN142" i="40"/>
  <c r="AM142" i="40"/>
  <c r="AN134" i="40"/>
  <c r="AM134" i="40"/>
  <c r="AN126" i="40"/>
  <c r="AM126" i="40"/>
  <c r="AM118" i="40"/>
  <c r="AN118" i="40"/>
  <c r="AM110" i="40"/>
  <c r="AN110" i="40"/>
  <c r="AN102" i="40"/>
  <c r="AM102" i="40"/>
  <c r="AM94" i="40"/>
  <c r="AN94" i="40"/>
  <c r="AN86" i="40"/>
  <c r="AM86" i="40"/>
  <c r="AN78" i="40"/>
  <c r="AM78" i="40"/>
  <c r="AN70" i="40"/>
  <c r="AM70" i="40"/>
  <c r="AM62" i="40"/>
  <c r="AN62" i="40"/>
  <c r="AM54" i="40"/>
  <c r="AN54" i="40"/>
  <c r="AN46" i="40"/>
  <c r="AM46" i="40"/>
  <c r="AM38" i="40"/>
  <c r="AN38" i="40"/>
  <c r="AN30" i="40"/>
  <c r="AM30" i="40"/>
  <c r="AM508" i="40"/>
  <c r="AN508" i="40"/>
  <c r="AM500" i="40"/>
  <c r="AN500" i="40"/>
  <c r="AN492" i="40"/>
  <c r="AM492" i="40"/>
  <c r="AN484" i="40"/>
  <c r="AM484" i="40"/>
  <c r="AM476" i="40"/>
  <c r="AN476" i="40"/>
  <c r="AN468" i="40"/>
  <c r="AM468" i="40"/>
  <c r="AN460" i="40"/>
  <c r="AM460" i="40"/>
  <c r="AN452" i="40"/>
  <c r="AM452" i="40"/>
  <c r="AM444" i="40"/>
  <c r="AN444" i="40"/>
  <c r="AM436" i="40"/>
  <c r="AN436" i="40"/>
  <c r="AM428" i="40"/>
  <c r="AN428" i="40"/>
  <c r="AM420" i="40"/>
  <c r="AN420" i="40"/>
  <c r="AM412" i="40"/>
  <c r="AN412" i="40"/>
  <c r="AN404" i="40"/>
  <c r="AM404" i="40"/>
  <c r="AN396" i="40"/>
  <c r="AM396" i="40"/>
  <c r="AN388" i="40"/>
  <c r="AM388" i="40"/>
  <c r="AM380" i="40"/>
  <c r="AN380" i="40"/>
  <c r="AN372" i="40"/>
  <c r="AM372" i="40"/>
  <c r="AM364" i="40"/>
  <c r="AN364" i="40"/>
  <c r="AM356" i="40"/>
  <c r="AN356" i="40"/>
  <c r="AM348" i="40"/>
  <c r="AN348" i="40"/>
  <c r="AN340" i="40"/>
  <c r="AM340" i="40"/>
  <c r="AN332" i="40"/>
  <c r="AM332" i="40"/>
  <c r="AM324" i="40"/>
  <c r="AN324" i="40"/>
  <c r="AM316" i="40"/>
  <c r="AN316" i="40"/>
  <c r="AM308" i="40"/>
  <c r="AN308" i="40"/>
  <c r="AN300" i="40"/>
  <c r="AM300" i="40"/>
  <c r="AM292" i="40"/>
  <c r="AN292" i="40"/>
  <c r="AM284" i="40"/>
  <c r="AN284" i="40"/>
  <c r="AM276" i="40"/>
  <c r="AN276" i="40"/>
  <c r="AN268" i="40"/>
  <c r="AM268" i="40"/>
  <c r="AM260" i="40"/>
  <c r="AN260" i="40"/>
  <c r="AM252" i="40"/>
  <c r="AN252" i="40"/>
  <c r="AN244" i="40"/>
  <c r="AM244" i="40"/>
  <c r="AM236" i="40"/>
  <c r="AN236" i="40"/>
  <c r="AM228" i="40"/>
  <c r="AN228" i="40"/>
  <c r="AM220" i="40"/>
  <c r="AN220" i="40"/>
  <c r="AM212" i="40"/>
  <c r="AN212" i="40"/>
  <c r="AN204" i="40"/>
  <c r="AM204" i="40"/>
  <c r="AM196" i="40"/>
  <c r="AN196" i="40"/>
  <c r="AM188" i="40"/>
  <c r="AN188" i="40"/>
  <c r="AM180" i="40"/>
  <c r="AN180" i="40"/>
  <c r="AN172" i="40"/>
  <c r="AM172" i="40"/>
  <c r="AN164" i="40"/>
  <c r="AM164" i="40"/>
  <c r="AM156" i="40"/>
  <c r="AN156" i="40"/>
  <c r="AN148" i="40"/>
  <c r="AM148" i="40"/>
  <c r="AN140" i="40"/>
  <c r="AM140" i="40"/>
  <c r="AM132" i="40"/>
  <c r="AN132" i="40"/>
  <c r="AM124" i="40"/>
  <c r="AN124" i="40"/>
  <c r="AN116" i="40"/>
  <c r="AM116" i="40"/>
  <c r="AN108" i="40"/>
  <c r="AM108" i="40"/>
  <c r="AN100" i="40"/>
  <c r="AM100" i="40"/>
  <c r="AM92" i="40"/>
  <c r="AN92" i="40"/>
  <c r="AN84" i="40"/>
  <c r="AM84" i="40"/>
  <c r="AN76" i="40"/>
  <c r="AM76" i="40"/>
  <c r="AN68" i="40"/>
  <c r="AM68" i="40"/>
  <c r="AM60" i="40"/>
  <c r="AN60" i="40"/>
  <c r="AN52" i="40"/>
  <c r="AM52" i="40"/>
  <c r="AN44" i="40"/>
  <c r="AM44" i="40"/>
  <c r="AM36" i="40"/>
  <c r="AN36" i="40"/>
  <c r="AM28" i="40"/>
  <c r="AN28" i="40"/>
  <c r="AN20" i="40"/>
  <c r="AM20" i="40"/>
  <c r="AI25" i="40"/>
  <c r="AO25" i="40"/>
  <c r="AK25" i="40"/>
  <c r="AH25" i="40"/>
  <c r="AG25" i="40"/>
  <c r="AF25" i="40"/>
  <c r="AJ25" i="40"/>
  <c r="AJ15" i="40"/>
  <c r="AK15" i="40"/>
  <c r="AH15" i="40"/>
  <c r="AI15" i="40"/>
  <c r="AF15" i="40"/>
  <c r="AG15" i="40"/>
  <c r="AN57" i="39" l="1"/>
  <c r="AM57" i="39"/>
  <c r="AM30" i="39"/>
  <c r="AN30" i="39"/>
  <c r="AN38" i="39"/>
  <c r="AM38" i="39"/>
  <c r="AL41" i="39"/>
  <c r="AN41" i="39" s="1"/>
  <c r="AL45" i="39"/>
  <c r="AN45" i="39" s="1"/>
  <c r="AL46" i="39"/>
  <c r="AL39" i="39"/>
  <c r="AL68" i="39"/>
  <c r="AN68" i="39" s="1"/>
  <c r="AL83" i="39"/>
  <c r="AL55" i="39"/>
  <c r="AL28" i="39"/>
  <c r="AL22" i="39"/>
  <c r="AL35" i="39"/>
  <c r="AL59" i="39"/>
  <c r="AL67" i="39"/>
  <c r="AL60" i="39"/>
  <c r="AL29" i="39"/>
  <c r="AL48" i="39"/>
  <c r="AL54" i="39"/>
  <c r="AL65" i="39"/>
  <c r="AL80" i="39"/>
  <c r="AL63" i="39"/>
  <c r="AL19" i="39"/>
  <c r="AL49" i="39"/>
  <c r="AL78" i="39"/>
  <c r="AL42" i="39"/>
  <c r="AL44" i="39"/>
  <c r="AL51" i="39"/>
  <c r="AL75" i="39"/>
  <c r="AL72" i="39"/>
  <c r="AL34" i="39"/>
  <c r="AL52" i="39"/>
  <c r="AL23" i="39"/>
  <c r="AL32" i="39"/>
  <c r="AL50" i="39"/>
  <c r="AL74" i="39"/>
  <c r="AL37" i="39"/>
  <c r="AL61" i="39"/>
  <c r="AL25" i="39"/>
  <c r="AL81" i="39"/>
  <c r="AL71" i="39"/>
  <c r="AL40" i="39"/>
  <c r="AL36" i="39"/>
  <c r="AL64" i="39"/>
  <c r="AL31" i="39"/>
  <c r="AL82" i="39"/>
  <c r="AL53" i="39"/>
  <c r="AL43" i="39"/>
  <c r="AL33" i="39"/>
  <c r="AL58" i="39"/>
  <c r="AL62" i="39"/>
  <c r="AL70" i="39"/>
  <c r="AL27" i="39"/>
  <c r="AL20" i="39"/>
  <c r="AL66" i="39"/>
  <c r="AL26" i="39"/>
  <c r="AL77" i="39"/>
  <c r="AL56" i="39"/>
  <c r="AL79" i="39"/>
  <c r="AL73" i="39"/>
  <c r="AL76" i="39"/>
  <c r="AL21" i="39"/>
  <c r="AL69" i="39"/>
  <c r="AL47" i="39"/>
  <c r="AL17" i="39"/>
  <c r="AL16" i="39"/>
  <c r="AL25" i="40"/>
  <c r="AM25" i="40" s="1"/>
  <c r="AL24" i="39"/>
  <c r="AN24" i="39" s="1"/>
  <c r="AL15" i="40"/>
  <c r="AL18" i="39"/>
  <c r="AM64" i="39" l="1"/>
  <c r="AN64" i="39"/>
  <c r="AM36" i="39"/>
  <c r="AN36" i="39"/>
  <c r="AM28" i="39"/>
  <c r="AN28" i="39"/>
  <c r="AM58" i="39"/>
  <c r="AN58" i="39"/>
  <c r="AM48" i="39"/>
  <c r="AN48" i="39"/>
  <c r="AM77" i="39"/>
  <c r="AN77" i="39"/>
  <c r="AM78" i="39"/>
  <c r="AN78" i="39"/>
  <c r="AM47" i="39"/>
  <c r="AN47" i="39"/>
  <c r="AM43" i="39"/>
  <c r="AN43" i="39"/>
  <c r="AM81" i="39"/>
  <c r="AN81" i="39"/>
  <c r="AM52" i="39"/>
  <c r="AN52" i="39"/>
  <c r="AM49" i="39"/>
  <c r="AN49" i="39"/>
  <c r="AM60" i="39"/>
  <c r="AN60" i="39"/>
  <c r="AM70" i="39"/>
  <c r="AN70" i="39"/>
  <c r="AM51" i="39"/>
  <c r="AN51" i="39"/>
  <c r="AM22" i="39"/>
  <c r="AN22" i="39"/>
  <c r="AM79" i="39"/>
  <c r="AN79" i="39"/>
  <c r="AM44" i="39"/>
  <c r="AN44" i="39"/>
  <c r="AM16" i="39"/>
  <c r="AN16" i="39"/>
  <c r="AM40" i="39"/>
  <c r="AN40" i="39"/>
  <c r="AM32" i="39"/>
  <c r="AN32" i="39"/>
  <c r="AM55" i="39"/>
  <c r="AN55" i="39"/>
  <c r="AM33" i="39"/>
  <c r="AN33" i="39"/>
  <c r="AM71" i="39"/>
  <c r="AN71" i="39"/>
  <c r="AM29" i="39"/>
  <c r="AN29" i="39"/>
  <c r="AM26" i="39"/>
  <c r="AN26" i="39"/>
  <c r="AM69" i="39"/>
  <c r="AN69" i="39"/>
  <c r="AM66" i="39"/>
  <c r="AN66" i="39"/>
  <c r="AM53" i="39"/>
  <c r="AN53" i="39"/>
  <c r="AM25" i="39"/>
  <c r="AN25" i="39"/>
  <c r="AM34" i="39"/>
  <c r="AN34" i="39"/>
  <c r="AM19" i="39"/>
  <c r="AN19" i="39"/>
  <c r="AM67" i="39"/>
  <c r="AN67" i="39"/>
  <c r="AM39" i="39"/>
  <c r="AN39" i="39"/>
  <c r="AM73" i="39"/>
  <c r="AN73" i="39"/>
  <c r="AM74" i="39"/>
  <c r="AN74" i="39"/>
  <c r="AM65" i="39"/>
  <c r="AN65" i="39"/>
  <c r="AM62" i="39"/>
  <c r="AN62" i="39"/>
  <c r="AM50" i="39"/>
  <c r="AN50" i="39"/>
  <c r="AM54" i="39"/>
  <c r="AN54" i="39"/>
  <c r="AM56" i="39"/>
  <c r="AN56" i="39"/>
  <c r="AM42" i="39"/>
  <c r="AN42" i="39"/>
  <c r="AM17" i="39"/>
  <c r="AN17" i="39"/>
  <c r="AM23" i="39"/>
  <c r="AN23" i="39"/>
  <c r="AM83" i="39"/>
  <c r="AN83" i="39"/>
  <c r="AM18" i="39"/>
  <c r="AN18" i="39"/>
  <c r="AM21" i="39"/>
  <c r="AN21" i="39"/>
  <c r="AM20" i="39"/>
  <c r="AN20" i="39"/>
  <c r="AM82" i="39"/>
  <c r="AN82" i="39"/>
  <c r="AM61" i="39"/>
  <c r="AN61" i="39"/>
  <c r="AM72" i="39"/>
  <c r="AN72" i="39"/>
  <c r="AM63" i="39"/>
  <c r="AN63" i="39"/>
  <c r="AM59" i="39"/>
  <c r="AN59" i="39"/>
  <c r="AM46" i="39"/>
  <c r="AN46" i="39"/>
  <c r="AM76" i="39"/>
  <c r="AN76" i="39"/>
  <c r="AM27" i="39"/>
  <c r="AN27" i="39"/>
  <c r="AM31" i="39"/>
  <c r="AN31" i="39"/>
  <c r="AM37" i="39"/>
  <c r="AN37" i="39"/>
  <c r="AM75" i="39"/>
  <c r="AN75" i="39"/>
  <c r="AM80" i="39"/>
  <c r="AN80" i="39"/>
  <c r="AM35" i="39"/>
  <c r="AN35" i="39"/>
  <c r="AM68" i="39"/>
  <c r="AM45" i="39"/>
  <c r="AM24" i="39"/>
  <c r="AM41" i="39"/>
  <c r="J52" i="36" a="1"/>
  <c r="J52" i="36" s="1"/>
  <c r="J36" i="36" a="1"/>
  <c r="J36" i="36" s="1"/>
  <c r="AN25" i="40"/>
  <c r="AM15" i="40"/>
  <c r="AN15" i="40"/>
  <c r="L10" i="48" l="1"/>
  <c r="G2" i="50" l="1"/>
  <c r="G1" i="50"/>
  <c r="I42" i="35"/>
  <c r="I48" i="35"/>
  <c r="I47" i="35"/>
  <c r="I46" i="35"/>
  <c r="I45" i="35"/>
  <c r="I44" i="35"/>
  <c r="I43" i="35"/>
  <c r="Q61" i="41"/>
  <c r="F10" i="48"/>
  <c r="G10" i="48"/>
  <c r="H10" i="48"/>
  <c r="I10" i="48"/>
  <c r="J10" i="48"/>
  <c r="K10" i="48"/>
  <c r="M10" i="48"/>
  <c r="N10" i="48"/>
  <c r="O10" i="48"/>
  <c r="P10" i="48"/>
  <c r="Q10" i="48"/>
  <c r="U10" i="48"/>
  <c r="W10" i="48"/>
  <c r="X10" i="48"/>
  <c r="Y10" i="48"/>
  <c r="AA10" i="48"/>
  <c r="AB10" i="48"/>
  <c r="AC10" i="48"/>
  <c r="AD10" i="48"/>
  <c r="AH10" i="48"/>
  <c r="E10" i="48"/>
  <c r="L7" i="28" a="1"/>
  <c r="L7" i="28" s="1"/>
  <c r="Q60" i="41"/>
  <c r="Q59" i="41"/>
  <c r="Q58" i="41"/>
  <c r="Q57" i="41"/>
  <c r="Q56" i="41"/>
  <c r="Q55" i="41"/>
  <c r="Q54" i="41"/>
  <c r="Q53" i="41"/>
  <c r="Q52" i="41"/>
  <c r="Q51" i="41"/>
  <c r="Q50" i="41"/>
  <c r="Q49" i="41"/>
  <c r="Q48" i="41"/>
  <c r="Q47" i="41"/>
  <c r="Q46" i="41"/>
  <c r="Q45" i="41"/>
  <c r="Q44" i="41"/>
  <c r="Q43" i="41"/>
  <c r="Q42" i="41"/>
  <c r="Q17" i="41"/>
  <c r="Q18" i="41"/>
  <c r="Q19" i="41"/>
  <c r="Q20" i="41"/>
  <c r="Q21" i="41"/>
  <c r="Q22" i="41"/>
  <c r="Q23" i="41"/>
  <c r="Q24" i="41"/>
  <c r="Q25" i="41"/>
  <c r="Q26" i="41"/>
  <c r="Q27" i="41"/>
  <c r="Q28" i="41"/>
  <c r="Q29" i="41"/>
  <c r="Q30" i="41"/>
  <c r="Q31" i="41"/>
  <c r="Q32" i="41"/>
  <c r="Q33" i="41"/>
  <c r="Q34" i="41"/>
  <c r="Q35" i="41"/>
  <c r="Q16" i="41"/>
  <c r="Q16" i="40"/>
  <c r="Q17" i="40"/>
  <c r="Q18" i="40"/>
  <c r="Q19" i="40"/>
  <c r="Q20" i="40"/>
  <c r="Q21" i="40"/>
  <c r="Q22" i="40"/>
  <c r="Q23" i="40"/>
  <c r="Q24" i="40"/>
  <c r="Q25" i="40"/>
  <c r="Q26" i="40"/>
  <c r="Q27" i="40"/>
  <c r="Q28" i="40"/>
  <c r="Q29" i="40"/>
  <c r="Q30" i="40"/>
  <c r="Q31" i="40"/>
  <c r="Q32" i="40"/>
  <c r="Q33" i="40"/>
  <c r="Q34" i="40"/>
  <c r="Q35" i="40"/>
  <c r="Q36" i="40"/>
  <c r="Q37" i="40"/>
  <c r="Q38" i="40"/>
  <c r="Q39" i="40"/>
  <c r="Q40" i="40"/>
  <c r="Q41" i="40"/>
  <c r="Q42" i="40"/>
  <c r="Q43" i="40"/>
  <c r="Q44" i="40"/>
  <c r="Q45" i="40"/>
  <c r="Q46" i="40"/>
  <c r="Q47" i="40"/>
  <c r="Q48" i="40"/>
  <c r="Q49" i="40"/>
  <c r="Q50" i="40"/>
  <c r="Q51" i="40"/>
  <c r="Q52" i="40"/>
  <c r="Q53" i="40"/>
  <c r="Q54" i="40"/>
  <c r="Q55" i="40"/>
  <c r="Q56" i="40"/>
  <c r="Q57" i="40"/>
  <c r="Q58" i="40"/>
  <c r="Q59" i="40"/>
  <c r="Q60" i="40"/>
  <c r="Q61" i="40"/>
  <c r="Q62" i="40"/>
  <c r="Q63" i="40"/>
  <c r="Q64" i="40"/>
  <c r="Q65" i="40"/>
  <c r="Q66" i="40"/>
  <c r="Q67" i="40"/>
  <c r="Q68" i="40"/>
  <c r="Q69" i="40"/>
  <c r="Q70" i="40"/>
  <c r="Q71" i="40"/>
  <c r="Q72" i="40"/>
  <c r="Q73" i="40"/>
  <c r="Q74" i="40"/>
  <c r="Q75" i="40"/>
  <c r="Q76" i="40"/>
  <c r="Q77" i="40"/>
  <c r="Q78" i="40"/>
  <c r="Q79" i="40"/>
  <c r="Q80" i="40"/>
  <c r="Q81" i="40"/>
  <c r="Q82" i="40"/>
  <c r="Q83" i="40"/>
  <c r="Q84" i="40"/>
  <c r="Q85" i="40"/>
  <c r="Q86" i="40"/>
  <c r="Q87" i="40"/>
  <c r="Q88" i="40"/>
  <c r="Q89" i="40"/>
  <c r="Q90" i="40"/>
  <c r="Q91" i="40"/>
  <c r="Q92" i="40"/>
  <c r="Q93" i="40"/>
  <c r="Q94" i="40"/>
  <c r="Q95" i="40"/>
  <c r="Q96" i="40"/>
  <c r="Q97" i="40"/>
  <c r="Q98" i="40"/>
  <c r="Q99" i="40"/>
  <c r="Q100" i="40"/>
  <c r="Q101" i="40"/>
  <c r="Q102" i="40"/>
  <c r="Q103" i="40"/>
  <c r="Q104" i="40"/>
  <c r="Q105" i="40"/>
  <c r="Q106" i="40"/>
  <c r="Q107" i="40"/>
  <c r="Q108" i="40"/>
  <c r="Q109" i="40"/>
  <c r="Q110" i="40"/>
  <c r="Q111" i="40"/>
  <c r="Q112" i="40"/>
  <c r="Q113" i="40"/>
  <c r="Q114" i="40"/>
  <c r="Q115" i="40"/>
  <c r="Q116" i="40"/>
  <c r="Q117" i="40"/>
  <c r="Q118" i="40"/>
  <c r="Q119" i="40"/>
  <c r="Q120" i="40"/>
  <c r="Q121" i="40"/>
  <c r="Q122" i="40"/>
  <c r="Q123" i="40"/>
  <c r="Q124" i="40"/>
  <c r="Q125" i="40"/>
  <c r="Q126" i="40"/>
  <c r="Q127" i="40"/>
  <c r="Q128" i="40"/>
  <c r="Q129" i="40"/>
  <c r="Q130" i="40"/>
  <c r="Q131" i="40"/>
  <c r="Q132" i="40"/>
  <c r="Q133" i="40"/>
  <c r="Q134" i="40"/>
  <c r="Q135" i="40"/>
  <c r="Q136" i="40"/>
  <c r="Q137" i="40"/>
  <c r="Q138" i="40"/>
  <c r="Q139" i="40"/>
  <c r="Q140" i="40"/>
  <c r="Q141" i="40"/>
  <c r="Q142" i="40"/>
  <c r="Q143" i="40"/>
  <c r="Q144" i="40"/>
  <c r="Q145" i="40"/>
  <c r="Q146" i="40"/>
  <c r="Q147" i="40"/>
  <c r="Q148" i="40"/>
  <c r="Q149" i="40"/>
  <c r="Q150" i="40"/>
  <c r="Q151" i="40"/>
  <c r="Q152" i="40"/>
  <c r="Q153" i="40"/>
  <c r="Q154" i="40"/>
  <c r="Q155" i="40"/>
  <c r="Q156" i="40"/>
  <c r="Q157" i="40"/>
  <c r="Q158" i="40"/>
  <c r="Q159" i="40"/>
  <c r="Q160" i="40"/>
  <c r="Q161" i="40"/>
  <c r="Q162" i="40"/>
  <c r="Q163" i="40"/>
  <c r="Q164" i="40"/>
  <c r="Q165" i="40"/>
  <c r="Q166" i="40"/>
  <c r="Q167" i="40"/>
  <c r="Q168" i="40"/>
  <c r="Q169" i="40"/>
  <c r="Q170" i="40"/>
  <c r="Q171" i="40"/>
  <c r="Q172" i="40"/>
  <c r="Q173" i="40"/>
  <c r="Q174" i="40"/>
  <c r="Q175" i="40"/>
  <c r="Q176" i="40"/>
  <c r="Q177" i="40"/>
  <c r="Q178" i="40"/>
  <c r="Q179" i="40"/>
  <c r="Q180" i="40"/>
  <c r="Q181" i="40"/>
  <c r="Q182" i="40"/>
  <c r="Q183" i="40"/>
  <c r="Q184" i="40"/>
  <c r="Q185" i="40"/>
  <c r="Q186" i="40"/>
  <c r="Q187" i="40"/>
  <c r="Q188" i="40"/>
  <c r="Q189" i="40"/>
  <c r="Q190" i="40"/>
  <c r="Q191" i="40"/>
  <c r="Q192" i="40"/>
  <c r="Q193" i="40"/>
  <c r="Q194" i="40"/>
  <c r="Q195" i="40"/>
  <c r="Q196" i="40"/>
  <c r="Q197" i="40"/>
  <c r="Q198" i="40"/>
  <c r="Q199" i="40"/>
  <c r="Q200" i="40"/>
  <c r="Q201" i="40"/>
  <c r="Q202" i="40"/>
  <c r="Q203" i="40"/>
  <c r="Q204" i="40"/>
  <c r="Q205" i="40"/>
  <c r="Q206" i="40"/>
  <c r="Q207" i="40"/>
  <c r="Q208" i="40"/>
  <c r="Q209" i="40"/>
  <c r="Q210" i="40"/>
  <c r="Q211" i="40"/>
  <c r="Q212" i="40"/>
  <c r="Q213" i="40"/>
  <c r="Q214" i="40"/>
  <c r="Q215" i="40"/>
  <c r="Q216" i="40"/>
  <c r="Q217" i="40"/>
  <c r="Q218" i="40"/>
  <c r="Q219" i="40"/>
  <c r="Q220" i="40"/>
  <c r="Q221" i="40"/>
  <c r="Q222" i="40"/>
  <c r="Q223" i="40"/>
  <c r="Q224" i="40"/>
  <c r="Q225" i="40"/>
  <c r="Q226" i="40"/>
  <c r="Q227" i="40"/>
  <c r="Q228" i="40"/>
  <c r="Q229" i="40"/>
  <c r="Q230" i="40"/>
  <c r="Q231" i="40"/>
  <c r="Q232" i="40"/>
  <c r="Q233" i="40"/>
  <c r="Q234" i="40"/>
  <c r="Q235" i="40"/>
  <c r="Q236" i="40"/>
  <c r="Q237" i="40"/>
  <c r="Q238" i="40"/>
  <c r="Q239" i="40"/>
  <c r="Q240" i="40"/>
  <c r="Q241" i="40"/>
  <c r="Q242" i="40"/>
  <c r="Q243" i="40"/>
  <c r="Q244" i="40"/>
  <c r="Q245" i="40"/>
  <c r="Q246" i="40"/>
  <c r="Q247" i="40"/>
  <c r="Q248" i="40"/>
  <c r="Q249" i="40"/>
  <c r="Q250" i="40"/>
  <c r="Q251" i="40"/>
  <c r="Q252" i="40"/>
  <c r="Q253" i="40"/>
  <c r="Q254" i="40"/>
  <c r="Q255" i="40"/>
  <c r="Q256" i="40"/>
  <c r="Q257" i="40"/>
  <c r="Q258" i="40"/>
  <c r="Q259" i="40"/>
  <c r="Q260" i="40"/>
  <c r="Q261" i="40"/>
  <c r="Q262" i="40"/>
  <c r="Q263" i="40"/>
  <c r="Q264" i="40"/>
  <c r="Q265" i="40"/>
  <c r="Q266" i="40"/>
  <c r="Q267" i="40"/>
  <c r="Q268" i="40"/>
  <c r="Q269" i="40"/>
  <c r="Q270" i="40"/>
  <c r="Q271" i="40"/>
  <c r="Q272" i="40"/>
  <c r="Q273" i="40"/>
  <c r="Q274" i="40"/>
  <c r="Q275" i="40"/>
  <c r="Q276" i="40"/>
  <c r="Q277" i="40"/>
  <c r="Q278" i="40"/>
  <c r="Q279" i="40"/>
  <c r="Q280" i="40"/>
  <c r="Q281" i="40"/>
  <c r="Q282" i="40"/>
  <c r="Q283" i="40"/>
  <c r="Q284" i="40"/>
  <c r="Q285" i="40"/>
  <c r="Q286" i="40"/>
  <c r="Q287" i="40"/>
  <c r="Q288" i="40"/>
  <c r="Q289" i="40"/>
  <c r="Q290" i="40"/>
  <c r="Q291" i="40"/>
  <c r="Q292" i="40"/>
  <c r="Q293" i="40"/>
  <c r="Q294" i="40"/>
  <c r="Q295" i="40"/>
  <c r="Q296" i="40"/>
  <c r="Q297" i="40"/>
  <c r="Q298" i="40"/>
  <c r="Q299" i="40"/>
  <c r="Q300" i="40"/>
  <c r="Q301" i="40"/>
  <c r="Q302" i="40"/>
  <c r="Q303" i="40"/>
  <c r="Q304" i="40"/>
  <c r="Q305" i="40"/>
  <c r="Q306" i="40"/>
  <c r="Q307" i="40"/>
  <c r="Q308" i="40"/>
  <c r="Q309" i="40"/>
  <c r="Q310" i="40"/>
  <c r="Q311" i="40"/>
  <c r="Q312" i="40"/>
  <c r="Q313" i="40"/>
  <c r="Q314" i="40"/>
  <c r="Q315" i="40"/>
  <c r="Q316" i="40"/>
  <c r="Q317" i="40"/>
  <c r="Q318" i="40"/>
  <c r="Q319" i="40"/>
  <c r="Q320" i="40"/>
  <c r="Q321" i="40"/>
  <c r="Q322" i="40"/>
  <c r="Q323" i="40"/>
  <c r="Q324" i="40"/>
  <c r="Q325" i="40"/>
  <c r="Q326" i="40"/>
  <c r="Q327" i="40"/>
  <c r="Q328" i="40"/>
  <c r="Q329" i="40"/>
  <c r="Q330" i="40"/>
  <c r="Q331" i="40"/>
  <c r="Q332" i="40"/>
  <c r="Q333" i="40"/>
  <c r="Q334" i="40"/>
  <c r="Q335" i="40"/>
  <c r="Q336" i="40"/>
  <c r="Q337" i="40"/>
  <c r="Q338" i="40"/>
  <c r="Q339" i="40"/>
  <c r="Q340" i="40"/>
  <c r="Q341" i="40"/>
  <c r="Q342" i="40"/>
  <c r="Q343" i="40"/>
  <c r="Q344" i="40"/>
  <c r="Q345" i="40"/>
  <c r="Q346" i="40"/>
  <c r="Q347" i="40"/>
  <c r="Q348" i="40"/>
  <c r="Q349" i="40"/>
  <c r="Q350" i="40"/>
  <c r="Q351" i="40"/>
  <c r="Q352" i="40"/>
  <c r="Q353" i="40"/>
  <c r="Q354" i="40"/>
  <c r="Q355" i="40"/>
  <c r="Q356" i="40"/>
  <c r="Q357" i="40"/>
  <c r="Q358" i="40"/>
  <c r="Q359" i="40"/>
  <c r="Q360" i="40"/>
  <c r="Q361" i="40"/>
  <c r="Q362" i="40"/>
  <c r="Q363" i="40"/>
  <c r="Q364" i="40"/>
  <c r="Q365" i="40"/>
  <c r="Q366" i="40"/>
  <c r="Q367" i="40"/>
  <c r="Q368" i="40"/>
  <c r="Q369" i="40"/>
  <c r="Q370" i="40"/>
  <c r="Q371" i="40"/>
  <c r="Q372" i="40"/>
  <c r="Q373" i="40"/>
  <c r="Q374" i="40"/>
  <c r="Q375" i="40"/>
  <c r="Q376" i="40"/>
  <c r="Q377" i="40"/>
  <c r="Q378" i="40"/>
  <c r="Q379" i="40"/>
  <c r="Q380" i="40"/>
  <c r="Q381" i="40"/>
  <c r="Q382" i="40"/>
  <c r="Q383" i="40"/>
  <c r="Q384" i="40"/>
  <c r="Q385" i="40"/>
  <c r="Q386" i="40"/>
  <c r="Q387" i="40"/>
  <c r="Q388" i="40"/>
  <c r="Q389" i="40"/>
  <c r="Q390" i="40"/>
  <c r="Q391" i="40"/>
  <c r="Q392" i="40"/>
  <c r="Q393" i="40"/>
  <c r="Q394" i="40"/>
  <c r="Q395" i="40"/>
  <c r="Q396" i="40"/>
  <c r="Q397" i="40"/>
  <c r="Q398" i="40"/>
  <c r="Q399" i="40"/>
  <c r="Q400" i="40"/>
  <c r="Q401" i="40"/>
  <c r="Q402" i="40"/>
  <c r="Q403" i="40"/>
  <c r="Q404" i="40"/>
  <c r="Q405" i="40"/>
  <c r="Q406" i="40"/>
  <c r="Q407" i="40"/>
  <c r="Q408" i="40"/>
  <c r="Q409" i="40"/>
  <c r="Q410" i="40"/>
  <c r="Q411" i="40"/>
  <c r="Q412" i="40"/>
  <c r="Q413" i="40"/>
  <c r="Q414" i="40"/>
  <c r="Q415" i="40"/>
  <c r="Q416" i="40"/>
  <c r="Q417" i="40"/>
  <c r="Q418" i="40"/>
  <c r="Q419" i="40"/>
  <c r="Q420" i="40"/>
  <c r="Q421" i="40"/>
  <c r="Q422" i="40"/>
  <c r="Q423" i="40"/>
  <c r="Q424" i="40"/>
  <c r="Q425" i="40"/>
  <c r="Q426" i="40"/>
  <c r="Q427" i="40"/>
  <c r="Q428" i="40"/>
  <c r="Q429" i="40"/>
  <c r="Q430" i="40"/>
  <c r="Q431" i="40"/>
  <c r="Q432" i="40"/>
  <c r="Q433" i="40"/>
  <c r="Q434" i="40"/>
  <c r="Q435" i="40"/>
  <c r="Q436" i="40"/>
  <c r="Q437" i="40"/>
  <c r="Q438" i="40"/>
  <c r="Q439" i="40"/>
  <c r="Q440" i="40"/>
  <c r="Q441" i="40"/>
  <c r="Q442" i="40"/>
  <c r="Q443" i="40"/>
  <c r="Q444" i="40"/>
  <c r="Q445" i="40"/>
  <c r="Q446" i="40"/>
  <c r="Q447" i="40"/>
  <c r="Q448" i="40"/>
  <c r="Q449" i="40"/>
  <c r="Q450" i="40"/>
  <c r="Q451" i="40"/>
  <c r="Q452" i="40"/>
  <c r="Q453" i="40"/>
  <c r="Q454" i="40"/>
  <c r="Q455" i="40"/>
  <c r="Q456" i="40"/>
  <c r="Q457" i="40"/>
  <c r="Q458" i="40"/>
  <c r="Q459" i="40"/>
  <c r="Q460" i="40"/>
  <c r="Q461" i="40"/>
  <c r="Q462" i="40"/>
  <c r="Q463" i="40"/>
  <c r="Q464" i="40"/>
  <c r="Q465" i="40"/>
  <c r="Q466" i="40"/>
  <c r="Q467" i="40"/>
  <c r="Q468" i="40"/>
  <c r="Q469" i="40"/>
  <c r="Q470" i="40"/>
  <c r="Q471" i="40"/>
  <c r="Q472" i="40"/>
  <c r="Q473" i="40"/>
  <c r="Q474" i="40"/>
  <c r="Q475" i="40"/>
  <c r="Q476" i="40"/>
  <c r="Q477" i="40"/>
  <c r="Q478" i="40"/>
  <c r="Q479" i="40"/>
  <c r="Q480" i="40"/>
  <c r="Q481" i="40"/>
  <c r="Q482" i="40"/>
  <c r="Q483" i="40"/>
  <c r="Q484" i="40"/>
  <c r="Q485" i="40"/>
  <c r="Q486" i="40"/>
  <c r="Q487" i="40"/>
  <c r="Q488" i="40"/>
  <c r="Q489" i="40"/>
  <c r="Q490" i="40"/>
  <c r="Q491" i="40"/>
  <c r="Q492" i="40"/>
  <c r="Q493" i="40"/>
  <c r="Q494" i="40"/>
  <c r="Q495" i="40"/>
  <c r="Q496" i="40"/>
  <c r="Q497" i="40"/>
  <c r="Q498" i="40"/>
  <c r="Q499" i="40"/>
  <c r="Q500" i="40"/>
  <c r="Q501" i="40"/>
  <c r="Q502" i="40"/>
  <c r="Q503" i="40"/>
  <c r="Q504" i="40"/>
  <c r="Q505" i="40"/>
  <c r="Q506" i="40"/>
  <c r="Q507" i="40"/>
  <c r="Q508" i="40"/>
  <c r="Q509" i="40"/>
  <c r="Q510" i="40"/>
  <c r="Q511" i="40"/>
  <c r="Q512" i="40"/>
  <c r="Q513" i="40"/>
  <c r="Q514" i="40"/>
  <c r="Q15" i="40"/>
  <c r="Q16" i="39"/>
  <c r="Q17" i="39"/>
  <c r="Q18" i="39"/>
  <c r="Q19" i="39"/>
  <c r="Q20" i="39"/>
  <c r="Q21" i="39"/>
  <c r="Q22" i="39"/>
  <c r="Q23" i="39"/>
  <c r="Q24" i="39"/>
  <c r="Q25" i="39"/>
  <c r="Q26" i="39"/>
  <c r="Q27" i="39"/>
  <c r="Q28" i="39"/>
  <c r="Q29" i="39"/>
  <c r="Q30" i="39"/>
  <c r="Q31" i="39"/>
  <c r="Q32" i="39"/>
  <c r="Q33" i="39"/>
  <c r="Q34" i="39"/>
  <c r="Q35" i="39"/>
  <c r="Q36" i="39"/>
  <c r="Q37" i="39"/>
  <c r="Q38" i="39"/>
  <c r="Q39" i="39"/>
  <c r="Q40" i="39"/>
  <c r="Q41" i="39"/>
  <c r="Q42" i="39"/>
  <c r="Q43" i="39"/>
  <c r="Q44" i="39"/>
  <c r="Q45" i="39"/>
  <c r="Q46" i="39"/>
  <c r="Q47" i="39"/>
  <c r="Q48" i="39"/>
  <c r="Q49" i="39"/>
  <c r="Q50" i="39"/>
  <c r="Q51" i="39"/>
  <c r="Q52" i="39"/>
  <c r="Q53" i="39"/>
  <c r="Q54" i="39"/>
  <c r="Q55" i="39"/>
  <c r="Q56" i="39"/>
  <c r="Q57" i="39"/>
  <c r="Q58" i="39"/>
  <c r="Q59" i="39"/>
  <c r="Q60" i="39"/>
  <c r="Q61" i="39"/>
  <c r="Q62" i="39"/>
  <c r="Q63" i="39"/>
  <c r="Q64" i="39"/>
  <c r="Q65" i="39"/>
  <c r="Q66" i="39"/>
  <c r="Q67" i="39"/>
  <c r="Q68" i="39"/>
  <c r="Q69" i="39"/>
  <c r="Q70" i="39"/>
  <c r="Q71" i="39"/>
  <c r="Q72" i="39"/>
  <c r="Q73" i="39"/>
  <c r="Q74" i="39"/>
  <c r="Q75" i="39"/>
  <c r="Q76" i="39"/>
  <c r="Q77" i="39"/>
  <c r="Q78" i="39"/>
  <c r="Q79" i="39"/>
  <c r="Q80" i="39"/>
  <c r="Q81" i="39"/>
  <c r="Q82" i="39"/>
  <c r="Q83" i="39"/>
  <c r="Q84" i="39"/>
  <c r="Q85" i="39"/>
  <c r="Q86" i="39"/>
  <c r="Q87" i="39"/>
  <c r="Q88" i="39"/>
  <c r="Q89" i="39"/>
  <c r="Q90" i="39"/>
  <c r="Q91" i="39"/>
  <c r="Q92" i="39"/>
  <c r="Q93" i="39"/>
  <c r="Q94" i="39"/>
  <c r="Q95" i="39"/>
  <c r="Q96" i="39"/>
  <c r="Q97" i="39"/>
  <c r="Q98" i="39"/>
  <c r="Q99" i="39"/>
  <c r="Q100" i="39"/>
  <c r="Q101" i="39"/>
  <c r="Q102" i="39"/>
  <c r="Q103" i="39"/>
  <c r="Q104" i="39"/>
  <c r="Q105" i="39"/>
  <c r="Q106" i="39"/>
  <c r="Q107" i="39"/>
  <c r="Q108" i="39"/>
  <c r="Q109" i="39"/>
  <c r="Q110" i="39"/>
  <c r="Q111" i="39"/>
  <c r="Q112" i="39"/>
  <c r="Q113" i="39"/>
  <c r="Q114" i="39"/>
  <c r="Q115" i="39"/>
  <c r="Q116" i="39"/>
  <c r="Q117" i="39"/>
  <c r="Q118" i="39"/>
  <c r="Q119" i="39"/>
  <c r="Q120" i="39"/>
  <c r="Q121" i="39"/>
  <c r="Q122" i="39"/>
  <c r="Q123" i="39"/>
  <c r="Q124" i="39"/>
  <c r="Q125" i="39"/>
  <c r="Q126" i="39"/>
  <c r="Q127" i="39"/>
  <c r="Q128" i="39"/>
  <c r="Q129" i="39"/>
  <c r="Q130" i="39"/>
  <c r="Q131" i="39"/>
  <c r="Q132" i="39"/>
  <c r="Q133" i="39"/>
  <c r="Q134" i="39"/>
  <c r="Q135" i="39"/>
  <c r="Q136" i="39"/>
  <c r="Q137" i="39"/>
  <c r="Q138" i="39"/>
  <c r="Q139" i="39"/>
  <c r="Q140" i="39"/>
  <c r="Q141" i="39"/>
  <c r="Q142" i="39"/>
  <c r="Q143" i="39"/>
  <c r="Q144" i="39"/>
  <c r="Q145" i="39"/>
  <c r="Q146" i="39"/>
  <c r="Q147" i="39"/>
  <c r="Q148" i="39"/>
  <c r="Q149" i="39"/>
  <c r="Q150" i="39"/>
  <c r="Q151" i="39"/>
  <c r="Q152" i="39"/>
  <c r="Q153" i="39"/>
  <c r="Q154" i="39"/>
  <c r="Q155" i="39"/>
  <c r="Q156" i="39"/>
  <c r="Q157" i="39"/>
  <c r="Q158" i="39"/>
  <c r="Q159" i="39"/>
  <c r="Q160" i="39"/>
  <c r="Q161" i="39"/>
  <c r="Q162" i="39"/>
  <c r="Q163" i="39"/>
  <c r="Q164" i="39"/>
  <c r="Q165" i="39"/>
  <c r="Q166" i="39"/>
  <c r="Q167" i="39"/>
  <c r="Q168" i="39"/>
  <c r="Q169" i="39"/>
  <c r="Q170" i="39"/>
  <c r="Q171" i="39"/>
  <c r="Q172" i="39"/>
  <c r="Q173" i="39"/>
  <c r="Q174" i="39"/>
  <c r="Q175" i="39"/>
  <c r="Q176" i="39"/>
  <c r="Q177" i="39"/>
  <c r="Q178" i="39"/>
  <c r="Q179" i="39"/>
  <c r="Q180" i="39"/>
  <c r="Q181" i="39"/>
  <c r="Q182" i="39"/>
  <c r="Q183" i="39"/>
  <c r="Q184" i="39"/>
  <c r="Q185" i="39"/>
  <c r="Q186" i="39"/>
  <c r="Q187" i="39"/>
  <c r="Q188" i="39"/>
  <c r="Q189" i="39"/>
  <c r="Q190" i="39"/>
  <c r="Q191" i="39"/>
  <c r="Q192" i="39"/>
  <c r="Q193" i="39"/>
  <c r="Q194" i="39"/>
  <c r="Q195" i="39"/>
  <c r="Q196" i="39"/>
  <c r="Q197" i="39"/>
  <c r="Q198" i="39"/>
  <c r="Q199" i="39"/>
  <c r="Q200" i="39"/>
  <c r="Q201" i="39"/>
  <c r="Q202" i="39"/>
  <c r="Q203" i="39"/>
  <c r="Q204" i="39"/>
  <c r="Q205" i="39"/>
  <c r="Q206" i="39"/>
  <c r="Q207" i="39"/>
  <c r="Q208" i="39"/>
  <c r="Q209" i="39"/>
  <c r="Q210" i="39"/>
  <c r="Q211" i="39"/>
  <c r="Q212" i="39"/>
  <c r="Q213" i="39"/>
  <c r="Q214" i="39"/>
  <c r="Q215" i="39"/>
  <c r="Q216" i="39"/>
  <c r="Q217" i="39"/>
  <c r="Q218" i="39"/>
  <c r="Q219" i="39"/>
  <c r="Q220" i="39"/>
  <c r="Q221" i="39"/>
  <c r="Q222" i="39"/>
  <c r="Q223" i="39"/>
  <c r="Q224" i="39"/>
  <c r="Q225" i="39"/>
  <c r="Q226" i="39"/>
  <c r="Q227" i="39"/>
  <c r="Q228" i="39"/>
  <c r="Q229" i="39"/>
  <c r="Q230" i="39"/>
  <c r="Q231" i="39"/>
  <c r="Q232" i="39"/>
  <c r="Q233" i="39"/>
  <c r="Q234" i="39"/>
  <c r="Q235" i="39"/>
  <c r="Q236" i="39"/>
  <c r="Q237" i="39"/>
  <c r="Q238" i="39"/>
  <c r="Q239" i="39"/>
  <c r="Q240" i="39"/>
  <c r="Q241" i="39"/>
  <c r="Q242" i="39"/>
  <c r="Q243" i="39"/>
  <c r="Q244" i="39"/>
  <c r="Q245" i="39"/>
  <c r="Q246" i="39"/>
  <c r="Q247" i="39"/>
  <c r="Q248" i="39"/>
  <c r="Q249" i="39"/>
  <c r="Q250" i="39"/>
  <c r="Q251" i="39"/>
  <c r="Q252" i="39"/>
  <c r="Q253" i="39"/>
  <c r="Q254" i="39"/>
  <c r="Q255" i="39"/>
  <c r="Q256" i="39"/>
  <c r="Q257" i="39"/>
  <c r="Q258" i="39"/>
  <c r="Q259" i="39"/>
  <c r="Q260" i="39"/>
  <c r="Q261" i="39"/>
  <c r="Q262" i="39"/>
  <c r="Q263" i="39"/>
  <c r="Q264" i="39"/>
  <c r="Q265" i="39"/>
  <c r="Q266" i="39"/>
  <c r="Q267" i="39"/>
  <c r="Q268" i="39"/>
  <c r="Q269" i="39"/>
  <c r="Q270" i="39"/>
  <c r="Q271" i="39"/>
  <c r="Q272" i="39"/>
  <c r="Q273" i="39"/>
  <c r="Q274" i="39"/>
  <c r="Q275" i="39"/>
  <c r="Q276" i="39"/>
  <c r="Q277" i="39"/>
  <c r="Q278" i="39"/>
  <c r="Q279" i="39"/>
  <c r="Q280" i="39"/>
  <c r="Q281" i="39"/>
  <c r="Q282" i="39"/>
  <c r="Q283" i="39"/>
  <c r="Q284" i="39"/>
  <c r="Q285" i="39"/>
  <c r="Q286" i="39"/>
  <c r="Q287" i="39"/>
  <c r="Q288" i="39"/>
  <c r="Q289" i="39"/>
  <c r="Q290" i="39"/>
  <c r="Q291" i="39"/>
  <c r="Q292" i="39"/>
  <c r="Q293" i="39"/>
  <c r="Q294" i="39"/>
  <c r="Q295" i="39"/>
  <c r="Q296" i="39"/>
  <c r="Q297" i="39"/>
  <c r="Q298" i="39"/>
  <c r="Q299" i="39"/>
  <c r="Q300" i="39"/>
  <c r="Q301" i="39"/>
  <c r="Q302" i="39"/>
  <c r="Q303" i="39"/>
  <c r="Q304" i="39"/>
  <c r="Q305" i="39"/>
  <c r="Q306" i="39"/>
  <c r="Q307" i="39"/>
  <c r="Q308" i="39"/>
  <c r="Q309" i="39"/>
  <c r="Q310" i="39"/>
  <c r="Q311" i="39"/>
  <c r="Q312" i="39"/>
  <c r="Q313" i="39"/>
  <c r="Q314" i="39"/>
  <c r="Q315" i="39"/>
  <c r="Q316" i="39"/>
  <c r="Q317" i="39"/>
  <c r="Q318" i="39"/>
  <c r="Q319" i="39"/>
  <c r="Q320" i="39"/>
  <c r="Q321" i="39"/>
  <c r="Q322" i="39"/>
  <c r="Q323" i="39"/>
  <c r="Q324" i="39"/>
  <c r="Q325" i="39"/>
  <c r="Q326" i="39"/>
  <c r="Q327" i="39"/>
  <c r="Q328" i="39"/>
  <c r="Q329" i="39"/>
  <c r="Q330" i="39"/>
  <c r="Q331" i="39"/>
  <c r="Q332" i="39"/>
  <c r="Q333" i="39"/>
  <c r="Q334" i="39"/>
  <c r="Q335" i="39"/>
  <c r="Q336" i="39"/>
  <c r="Q337" i="39"/>
  <c r="Q338" i="39"/>
  <c r="Q339" i="39"/>
  <c r="Q340" i="39"/>
  <c r="Q341" i="39"/>
  <c r="Q342" i="39"/>
  <c r="Q343" i="39"/>
  <c r="Q344" i="39"/>
  <c r="Q345" i="39"/>
  <c r="Q346" i="39"/>
  <c r="Q347" i="39"/>
  <c r="Q348" i="39"/>
  <c r="Q349" i="39"/>
  <c r="Q350" i="39"/>
  <c r="Q351" i="39"/>
  <c r="Q352" i="39"/>
  <c r="Q353" i="39"/>
  <c r="Q354" i="39"/>
  <c r="Q355" i="39"/>
  <c r="Q356" i="39"/>
  <c r="Q357" i="39"/>
  <c r="Q358" i="39"/>
  <c r="Q359" i="39"/>
  <c r="Q360" i="39"/>
  <c r="Q361" i="39"/>
  <c r="Q362" i="39"/>
  <c r="Q363" i="39"/>
  <c r="Q364" i="39"/>
  <c r="Q365" i="39"/>
  <c r="Q366" i="39"/>
  <c r="Q367" i="39"/>
  <c r="Q368" i="39"/>
  <c r="Q369" i="39"/>
  <c r="Q370" i="39"/>
  <c r="Q371" i="39"/>
  <c r="Q372" i="39"/>
  <c r="Q373" i="39"/>
  <c r="Q374" i="39"/>
  <c r="Q375" i="39"/>
  <c r="Q376" i="39"/>
  <c r="Q377" i="39"/>
  <c r="Q378" i="39"/>
  <c r="Q379" i="39"/>
  <c r="Q380" i="39"/>
  <c r="Q381" i="39"/>
  <c r="Q382" i="39"/>
  <c r="Q383" i="39"/>
  <c r="Q384" i="39"/>
  <c r="Q385" i="39"/>
  <c r="Q386" i="39"/>
  <c r="Q387" i="39"/>
  <c r="Q388" i="39"/>
  <c r="Q389" i="39"/>
  <c r="Q390" i="39"/>
  <c r="Q391" i="39"/>
  <c r="Q392" i="39"/>
  <c r="Q393" i="39"/>
  <c r="Q394" i="39"/>
  <c r="Q395" i="39"/>
  <c r="Q396" i="39"/>
  <c r="Q397" i="39"/>
  <c r="Q398" i="39"/>
  <c r="Q399" i="39"/>
  <c r="Q400" i="39"/>
  <c r="Q401" i="39"/>
  <c r="Q402" i="39"/>
  <c r="Q403" i="39"/>
  <c r="Q404" i="39"/>
  <c r="Q405" i="39"/>
  <c r="Q406" i="39"/>
  <c r="Q407" i="39"/>
  <c r="Q408" i="39"/>
  <c r="Q409" i="39"/>
  <c r="Q410" i="39"/>
  <c r="Q411" i="39"/>
  <c r="Q412" i="39"/>
  <c r="Q413" i="39"/>
  <c r="Q414" i="39"/>
  <c r="Q415" i="39"/>
  <c r="Q416" i="39"/>
  <c r="Q417" i="39"/>
  <c r="Q418" i="39"/>
  <c r="Q419" i="39"/>
  <c r="Q420" i="39"/>
  <c r="Q421" i="39"/>
  <c r="Q422" i="39"/>
  <c r="Q423" i="39"/>
  <c r="Q424" i="39"/>
  <c r="Q425" i="39"/>
  <c r="Q426" i="39"/>
  <c r="Q427" i="39"/>
  <c r="Q428" i="39"/>
  <c r="Q429" i="39"/>
  <c r="Q430" i="39"/>
  <c r="Q431" i="39"/>
  <c r="Q432" i="39"/>
  <c r="Q433" i="39"/>
  <c r="Q434" i="39"/>
  <c r="Q435" i="39"/>
  <c r="Q436" i="39"/>
  <c r="Q437" i="39"/>
  <c r="Q438" i="39"/>
  <c r="Q439" i="39"/>
  <c r="Q440" i="39"/>
  <c r="Q441" i="39"/>
  <c r="Q442" i="39"/>
  <c r="Q443" i="39"/>
  <c r="Q444" i="39"/>
  <c r="Q445" i="39"/>
  <c r="Q446" i="39"/>
  <c r="Q447" i="39"/>
  <c r="Q448" i="39"/>
  <c r="Q449" i="39"/>
  <c r="Q450" i="39"/>
  <c r="Q451" i="39"/>
  <c r="Q452" i="39"/>
  <c r="Q453" i="39"/>
  <c r="Q454" i="39"/>
  <c r="Q455" i="39"/>
  <c r="Q456" i="39"/>
  <c r="Q457" i="39"/>
  <c r="Q458" i="39"/>
  <c r="Q459" i="39"/>
  <c r="Q460" i="39"/>
  <c r="Q461" i="39"/>
  <c r="Q462" i="39"/>
  <c r="Q463" i="39"/>
  <c r="Q464" i="39"/>
  <c r="Q465" i="39"/>
  <c r="Q466" i="39"/>
  <c r="Q467" i="39"/>
  <c r="Q468" i="39"/>
  <c r="Q469" i="39"/>
  <c r="Q470" i="39"/>
  <c r="Q471" i="39"/>
  <c r="Q472" i="39"/>
  <c r="Q473" i="39"/>
  <c r="Q474" i="39"/>
  <c r="Q475" i="39"/>
  <c r="Q476" i="39"/>
  <c r="Q477" i="39"/>
  <c r="Q478" i="39"/>
  <c r="Q479" i="39"/>
  <c r="Q480" i="39"/>
  <c r="Q481" i="39"/>
  <c r="Q482" i="39"/>
  <c r="Q483" i="39"/>
  <c r="Q484" i="39"/>
  <c r="Q485" i="39"/>
  <c r="Q486" i="39"/>
  <c r="Q487" i="39"/>
  <c r="Q488" i="39"/>
  <c r="Q489" i="39"/>
  <c r="Q490" i="39"/>
  <c r="Q491" i="39"/>
  <c r="Q492" i="39"/>
  <c r="Q493" i="39"/>
  <c r="Q494" i="39"/>
  <c r="Q495" i="39"/>
  <c r="Q496" i="39"/>
  <c r="Q497" i="39"/>
  <c r="Q498" i="39"/>
  <c r="Q499" i="39"/>
  <c r="Q500" i="39"/>
  <c r="Q501" i="39"/>
  <c r="Q502" i="39"/>
  <c r="Q503" i="39"/>
  <c r="Q504" i="39"/>
  <c r="Q505" i="39"/>
  <c r="Q506" i="39"/>
  <c r="Q507" i="39"/>
  <c r="Q508" i="39"/>
  <c r="Q509" i="39"/>
  <c r="Q510" i="39"/>
  <c r="Q511" i="39"/>
  <c r="Q512" i="39"/>
  <c r="Q513" i="39"/>
  <c r="Q514" i="39"/>
  <c r="O15" i="39"/>
  <c r="Q15" i="39" s="1"/>
  <c r="V11" i="48" a="1"/>
  <c r="V11" i="48" s="1"/>
  <c r="V10" i="48" s="1"/>
  <c r="Q31" i="38"/>
  <c r="Q30" i="38"/>
  <c r="Q29" i="38"/>
  <c r="Q28" i="38"/>
  <c r="E10" i="36"/>
  <c r="F2" i="46"/>
  <c r="F1" i="46"/>
  <c r="F2" i="45"/>
  <c r="F1" i="45"/>
  <c r="F2" i="44"/>
  <c r="F1" i="44"/>
  <c r="F2" i="43"/>
  <c r="F1" i="43"/>
  <c r="F2" i="42"/>
  <c r="F1" i="42"/>
  <c r="F2" i="41"/>
  <c r="F1" i="41"/>
  <c r="F2" i="40"/>
  <c r="F1" i="40"/>
  <c r="F2" i="39"/>
  <c r="F1" i="39"/>
  <c r="F2" i="38"/>
  <c r="F1" i="38"/>
  <c r="F2" i="37"/>
  <c r="F1" i="37"/>
  <c r="F2" i="36"/>
  <c r="F1" i="36"/>
  <c r="F2" i="35"/>
  <c r="F1" i="35"/>
  <c r="I14" i="35"/>
  <c r="I23" i="35"/>
  <c r="I24" i="35"/>
  <c r="I25" i="35"/>
  <c r="I26" i="35"/>
  <c r="I27" i="35"/>
  <c r="I28" i="35"/>
  <c r="I29" i="35"/>
  <c r="I30" i="35"/>
  <c r="I31" i="35"/>
  <c r="I32" i="35"/>
  <c r="I33" i="35"/>
  <c r="I34" i="35"/>
  <c r="I35" i="35"/>
  <c r="I36" i="35"/>
  <c r="I37" i="35"/>
  <c r="I38" i="35"/>
  <c r="I39" i="35"/>
  <c r="I22" i="35"/>
  <c r="I12" i="35"/>
  <c r="I13" i="35"/>
  <c r="I15" i="35"/>
  <c r="I16" i="35"/>
  <c r="I17" i="35"/>
  <c r="I18" i="35"/>
  <c r="J40" i="36" l="1" a="1"/>
  <c r="J40" i="36" s="1"/>
  <c r="J38" i="36" a="1"/>
  <c r="J38" i="36" s="1"/>
  <c r="J39" i="36" a="1"/>
  <c r="J39" i="36" s="1"/>
  <c r="M40" i="41"/>
  <c r="Q41" i="41"/>
  <c r="J41" i="36" s="1" a="1"/>
  <c r="J41" i="36" s="1"/>
  <c r="N14" i="40"/>
  <c r="H39" i="36" s="1"/>
  <c r="N27" i="38"/>
  <c r="H37" i="36" s="1"/>
  <c r="M15" i="41"/>
  <c r="O14" i="39"/>
  <c r="N12" i="38"/>
  <c r="H36" i="36" s="1"/>
  <c r="I21" i="35"/>
  <c r="I11" i="35"/>
  <c r="J37" i="36" l="1" a="1"/>
  <c r="J37" i="36" s="1"/>
  <c r="E9" i="25" a="1"/>
  <c r="E9" i="25" s="1"/>
  <c r="H41" i="36"/>
  <c r="J1" i="41"/>
  <c r="H40" i="36"/>
  <c r="H38" i="36"/>
  <c r="I1" i="38"/>
  <c r="J1" i="40"/>
  <c r="J1" i="39"/>
  <c r="M12" i="37"/>
  <c r="H1" i="35"/>
  <c r="I71" i="57" l="1"/>
  <c r="H68" i="57"/>
  <c r="I65" i="57"/>
  <c r="H59" i="57"/>
  <c r="I56" i="57"/>
  <c r="H54" i="57"/>
  <c r="H70" i="57"/>
  <c r="I67" i="57"/>
  <c r="H61" i="57"/>
  <c r="I58" i="57"/>
  <c r="H56" i="57"/>
  <c r="I53" i="57"/>
  <c r="I69" i="57"/>
  <c r="H55" i="57"/>
  <c r="I51" i="57"/>
  <c r="I60" i="57"/>
  <c r="I68" i="57"/>
  <c r="H58" i="57"/>
  <c r="H66" i="57"/>
  <c r="I55" i="57"/>
  <c r="I63" i="57"/>
  <c r="H71" i="57"/>
  <c r="H60" i="57"/>
  <c r="I57" i="57"/>
  <c r="H51" i="57"/>
  <c r="H67" i="57"/>
  <c r="I64" i="57"/>
  <c r="H62" i="57"/>
  <c r="I59" i="57"/>
  <c r="H52" i="57"/>
  <c r="H69" i="57"/>
  <c r="I66" i="57"/>
  <c r="H64" i="57"/>
  <c r="I61" i="57"/>
  <c r="H63" i="57"/>
  <c r="H57" i="57"/>
  <c r="H65" i="57"/>
  <c r="I54" i="57"/>
  <c r="I62" i="57"/>
  <c r="I70" i="57"/>
  <c r="H53" i="57"/>
  <c r="F71" i="57"/>
  <c r="G71" i="57"/>
  <c r="F77" i="57"/>
  <c r="F76" i="57"/>
  <c r="F44" i="57"/>
  <c r="H45" i="57"/>
  <c r="F52" i="57"/>
  <c r="G57" i="57"/>
  <c r="G63" i="57"/>
  <c r="F66" i="57"/>
  <c r="G51" i="57"/>
  <c r="F46" i="57"/>
  <c r="I45" i="57"/>
  <c r="F53" i="57"/>
  <c r="G58" i="57"/>
  <c r="G60" i="57"/>
  <c r="F63" i="57"/>
  <c r="G68" i="57"/>
  <c r="I52" i="57"/>
  <c r="F45" i="57"/>
  <c r="I44" i="57"/>
  <c r="G55" i="57"/>
  <c r="F58" i="57"/>
  <c r="G61" i="57"/>
  <c r="F64" i="57"/>
  <c r="G69" i="57"/>
  <c r="G45" i="57"/>
  <c r="I46" i="57"/>
  <c r="G56" i="57"/>
  <c r="F59" i="57"/>
  <c r="F61" i="57"/>
  <c r="G66" i="57"/>
  <c r="F69" i="57"/>
  <c r="G44" i="57"/>
  <c r="G53" i="57"/>
  <c r="F56" i="57"/>
  <c r="F62" i="57"/>
  <c r="G67" i="57"/>
  <c r="F70" i="57"/>
  <c r="G46" i="57"/>
  <c r="F51" i="57"/>
  <c r="G54" i="57"/>
  <c r="F57" i="57"/>
  <c r="G59" i="57"/>
  <c r="G64" i="57"/>
  <c r="F67" i="57"/>
  <c r="H44" i="57"/>
  <c r="F54" i="57"/>
  <c r="F60" i="57"/>
  <c r="G65" i="57"/>
  <c r="F68" i="57"/>
  <c r="F78" i="57"/>
  <c r="H46" i="57"/>
  <c r="G52" i="57"/>
  <c r="F55" i="57"/>
  <c r="G62" i="57"/>
  <c r="F65" i="57"/>
  <c r="G70" i="57"/>
  <c r="H39" i="57"/>
  <c r="I39" i="57"/>
  <c r="F39" i="57"/>
  <c r="G39" i="57"/>
  <c r="H38" i="57"/>
  <c r="I38" i="57"/>
  <c r="F38" i="57"/>
  <c r="G38" i="57"/>
  <c r="H37" i="57"/>
  <c r="I37" i="57"/>
  <c r="F37" i="57"/>
  <c r="G37" i="57"/>
  <c r="H36" i="57"/>
  <c r="I36" i="57"/>
  <c r="F36" i="57"/>
  <c r="G36" i="57"/>
  <c r="I31" i="57"/>
  <c r="I29" i="57"/>
  <c r="I30" i="57"/>
  <c r="I27" i="57"/>
  <c r="I28" i="57" a="1"/>
  <c r="I28" i="57" s="1"/>
  <c r="H28" i="57" a="1"/>
  <c r="H28" i="57" s="1"/>
  <c r="H30" i="57"/>
  <c r="H31" i="57"/>
  <c r="H29" i="57"/>
  <c r="H27" i="57"/>
  <c r="G31" i="57"/>
  <c r="G28" i="57" a="1"/>
  <c r="G28" i="57" s="1"/>
  <c r="G29" i="57"/>
  <c r="G30" i="57"/>
  <c r="G27" i="57"/>
  <c r="F31" i="57"/>
  <c r="F29" i="57"/>
  <c r="F30" i="57"/>
  <c r="F28" i="57" a="1"/>
  <c r="F28" i="57" s="1"/>
  <c r="H18" i="57"/>
  <c r="H19" i="57"/>
  <c r="H20" i="57"/>
  <c r="H21" i="57"/>
  <c r="H22" i="57"/>
  <c r="F27" i="57"/>
  <c r="H1" i="37"/>
  <c r="H35" i="36"/>
  <c r="I18" i="57"/>
  <c r="F19" i="57"/>
  <c r="F21" i="57"/>
  <c r="I21" i="57"/>
  <c r="F22" i="57"/>
  <c r="G22" i="57"/>
  <c r="I20" i="57"/>
  <c r="G19" i="57"/>
  <c r="G21" i="57"/>
  <c r="I19" i="57"/>
  <c r="F20" i="57"/>
  <c r="G20" i="57"/>
  <c r="I22" i="57"/>
  <c r="G18" i="57"/>
  <c r="F18" i="57"/>
  <c r="I13" i="57"/>
  <c r="G13" i="57"/>
  <c r="H13" i="57"/>
  <c r="F13" i="57"/>
  <c r="L8" i="14" l="1"/>
  <c r="U32" i="14"/>
  <c r="U31" i="14"/>
  <c r="U30" i="14"/>
  <c r="U29" i="14"/>
  <c r="U28" i="14"/>
  <c r="U27" i="14"/>
  <c r="U26" i="14"/>
  <c r="U25" i="14"/>
  <c r="U24" i="14"/>
  <c r="U23" i="14"/>
  <c r="U22" i="14"/>
  <c r="U21" i="14"/>
  <c r="U20" i="14"/>
  <c r="U19" i="14"/>
  <c r="U18" i="14"/>
  <c r="U17" i="14"/>
  <c r="U16" i="14"/>
  <c r="U15" i="14"/>
  <c r="U14" i="14"/>
  <c r="U13" i="14"/>
  <c r="U12" i="14"/>
  <c r="U11" i="14"/>
  <c r="U10" i="14"/>
  <c r="U9" i="14"/>
  <c r="U8" i="14"/>
  <c r="D80" i="18"/>
  <c r="D79" i="18"/>
  <c r="B17" i="18"/>
  <c r="B16" i="18"/>
  <c r="I32" i="14"/>
  <c r="L32" i="14"/>
  <c r="I37" i="14"/>
  <c r="L37" i="14"/>
  <c r="U37" i="14"/>
  <c r="L65" i="14"/>
  <c r="U65" i="14"/>
  <c r="L66" i="14"/>
  <c r="L67" i="14"/>
  <c r="L68" i="14"/>
  <c r="L69" i="14"/>
  <c r="L70" i="14"/>
  <c r="L71" i="14"/>
  <c r="L72" i="14"/>
  <c r="L73" i="14"/>
  <c r="L74" i="14"/>
  <c r="L75" i="14"/>
  <c r="L76" i="14"/>
  <c r="L77" i="14"/>
  <c r="L78" i="14"/>
  <c r="L79" i="14"/>
  <c r="L80" i="14"/>
  <c r="L81" i="14"/>
  <c r="L82" i="14"/>
  <c r="L83" i="14"/>
  <c r="L84" i="14"/>
  <c r="L85" i="14"/>
  <c r="L86" i="14"/>
  <c r="L87" i="14"/>
  <c r="L88" i="14"/>
  <c r="L38" i="14"/>
  <c r="L39" i="14"/>
  <c r="L40" i="14"/>
  <c r="L41" i="14"/>
  <c r="L42" i="14"/>
  <c r="L43" i="14"/>
  <c r="L44" i="14"/>
  <c r="L45" i="14"/>
  <c r="L46" i="14"/>
  <c r="L47" i="14"/>
  <c r="L48" i="14"/>
  <c r="L49" i="14"/>
  <c r="L50" i="14"/>
  <c r="L51" i="14"/>
  <c r="L52" i="14"/>
  <c r="L53" i="14"/>
  <c r="L54" i="14"/>
  <c r="L55" i="14"/>
  <c r="L56" i="14"/>
  <c r="L57" i="14"/>
  <c r="L58" i="14"/>
  <c r="L59" i="14"/>
  <c r="L60" i="14"/>
  <c r="L9" i="14"/>
  <c r="L10" i="14"/>
  <c r="L11" i="14"/>
  <c r="L12" i="14"/>
  <c r="L13" i="14"/>
  <c r="L14" i="14"/>
  <c r="L15" i="14"/>
  <c r="L16" i="14"/>
  <c r="L17" i="14"/>
  <c r="L18" i="14"/>
  <c r="L19" i="14"/>
  <c r="L20" i="14"/>
  <c r="L21" i="14"/>
  <c r="L22" i="14"/>
  <c r="L23" i="14"/>
  <c r="L24" i="14"/>
  <c r="L25" i="14"/>
  <c r="L26" i="14"/>
  <c r="L27" i="14"/>
  <c r="L28" i="14"/>
  <c r="L29" i="14"/>
  <c r="L30" i="14"/>
  <c r="L31" i="14"/>
  <c r="C82" i="18" l="1"/>
  <c r="C80" i="18"/>
  <c r="U7" i="14"/>
  <c r="T32" i="14" a="1"/>
  <c r="T32" i="14" s="1"/>
  <c r="T37" i="14" a="1"/>
  <c r="T37" i="14" s="1"/>
  <c r="C79" i="18"/>
  <c r="I8" i="28" l="1"/>
  <c r="I9" i="28"/>
  <c r="I10" i="28"/>
  <c r="I11" i="28"/>
  <c r="I12" i="28"/>
  <c r="I13" i="28"/>
  <c r="I14" i="28"/>
  <c r="I15" i="28"/>
  <c r="I16" i="28"/>
  <c r="I17" i="28"/>
  <c r="I18" i="28"/>
  <c r="I19" i="28"/>
  <c r="I20" i="28"/>
  <c r="I21" i="28"/>
  <c r="I22" i="28"/>
  <c r="I23" i="28"/>
  <c r="I24" i="28"/>
  <c r="I25" i="28"/>
  <c r="I26" i="28"/>
  <c r="I27" i="28"/>
  <c r="I28" i="28"/>
  <c r="I29" i="28"/>
  <c r="I30" i="28"/>
  <c r="I31" i="28"/>
  <c r="I32" i="28"/>
  <c r="I7" i="28"/>
  <c r="H7" i="28" a="1"/>
  <c r="H7" i="28" s="1"/>
  <c r="H13" i="28" a="1"/>
  <c r="H13" i="28" s="1"/>
  <c r="H20" i="28" a="1"/>
  <c r="H20" i="28" s="1"/>
  <c r="H21" i="28" a="1"/>
  <c r="H21" i="28" s="1"/>
  <c r="H28" i="28" a="1"/>
  <c r="H28" i="28" s="1"/>
  <c r="H29" i="28" a="1"/>
  <c r="H29" i="28" s="1"/>
  <c r="H8" i="28" a="1"/>
  <c r="H8" i="28" s="1"/>
  <c r="H9" i="28" a="1"/>
  <c r="H9" i="28" s="1"/>
  <c r="H10" i="28" a="1"/>
  <c r="H10" i="28" s="1"/>
  <c r="H11" i="28" a="1"/>
  <c r="H11" i="28" s="1"/>
  <c r="H12" i="28" a="1"/>
  <c r="H12" i="28" s="1"/>
  <c r="H15" i="28" a="1"/>
  <c r="H15" i="28" s="1"/>
  <c r="H16" i="28" a="1"/>
  <c r="H16" i="28" s="1"/>
  <c r="H17" i="28" a="1"/>
  <c r="H17" i="28" s="1"/>
  <c r="H18" i="28" a="1"/>
  <c r="H18" i="28" s="1"/>
  <c r="H19" i="28" a="1"/>
  <c r="H19" i="28" s="1"/>
  <c r="H23" i="28" a="1"/>
  <c r="H23" i="28" s="1"/>
  <c r="H24" i="28" a="1"/>
  <c r="H24" i="28" s="1"/>
  <c r="H25" i="28" a="1"/>
  <c r="H25" i="28" s="1"/>
  <c r="H26" i="28" a="1"/>
  <c r="H26" i="28" s="1"/>
  <c r="H27" i="28" a="1"/>
  <c r="H27" i="28" s="1"/>
  <c r="H31" i="28" a="1"/>
  <c r="H31" i="28" s="1"/>
  <c r="H32" i="28"/>
  <c r="I6" i="28" l="1"/>
  <c r="H22" i="28" a="1"/>
  <c r="H22" i="28" s="1"/>
  <c r="H14" i="28" a="1"/>
  <c r="H14" i="28" s="1"/>
  <c r="H30" i="28" a="1"/>
  <c r="H30" i="28" s="1"/>
  <c r="I31" i="14" l="1"/>
  <c r="I30" i="14"/>
  <c r="I29" i="14"/>
  <c r="I28" i="14"/>
  <c r="I27" i="14"/>
  <c r="I26" i="14"/>
  <c r="I25" i="14"/>
  <c r="I24" i="14"/>
  <c r="I23" i="14"/>
  <c r="I22" i="14"/>
  <c r="I21" i="14"/>
  <c r="I20" i="14"/>
  <c r="I19" i="14"/>
  <c r="I18" i="14"/>
  <c r="I17" i="14"/>
  <c r="I16" i="14"/>
  <c r="I15" i="14"/>
  <c r="I14" i="14"/>
  <c r="I13" i="14"/>
  <c r="I12" i="14"/>
  <c r="I11" i="14"/>
  <c r="I10" i="14"/>
  <c r="I9" i="14"/>
  <c r="I8" i="14"/>
  <c r="T14" i="14" l="1" a="1"/>
  <c r="T14" i="14" s="1"/>
  <c r="T23" i="14" a="1"/>
  <c r="T23" i="14" s="1"/>
  <c r="T24" i="14" a="1"/>
  <c r="T24" i="14" s="1"/>
  <c r="T22" i="14" a="1"/>
  <c r="T22" i="14" s="1"/>
  <c r="T15" i="14" a="1"/>
  <c r="T15" i="14" s="1"/>
  <c r="T26" i="14" a="1"/>
  <c r="T26" i="14" s="1"/>
  <c r="T30" i="14" a="1"/>
  <c r="T30" i="14" s="1"/>
  <c r="T31" i="14" a="1"/>
  <c r="T31" i="14" s="1"/>
  <c r="T16" i="14" a="1"/>
  <c r="T16" i="14" s="1"/>
  <c r="T17" i="14" a="1"/>
  <c r="T17" i="14" s="1"/>
  <c r="T25" i="14" a="1"/>
  <c r="T25" i="14" s="1"/>
  <c r="T10" i="14" a="1"/>
  <c r="T10" i="14" s="1"/>
  <c r="T18" i="14" a="1"/>
  <c r="T18" i="14" s="1"/>
  <c r="T11" i="14" a="1"/>
  <c r="T11" i="14" s="1"/>
  <c r="T19" i="14" a="1"/>
  <c r="T19" i="14" s="1"/>
  <c r="T27" i="14" a="1"/>
  <c r="T27" i="14" s="1"/>
  <c r="T12" i="14" a="1"/>
  <c r="T12" i="14" s="1"/>
  <c r="T20" i="14" a="1"/>
  <c r="T20" i="14" s="1"/>
  <c r="T28" i="14" a="1"/>
  <c r="T28" i="14" s="1"/>
  <c r="T8" i="14" a="1"/>
  <c r="T8" i="14" s="1"/>
  <c r="T9" i="14" a="1"/>
  <c r="T9" i="14" s="1"/>
  <c r="T13" i="14" a="1"/>
  <c r="T13" i="14" s="1"/>
  <c r="T21" i="14" a="1"/>
  <c r="T21" i="14" s="1"/>
  <c r="T29" i="14" a="1"/>
  <c r="T29" i="14" s="1"/>
  <c r="U88" i="14"/>
  <c r="U87" i="14"/>
  <c r="U86" i="14"/>
  <c r="U85" i="14"/>
  <c r="U84" i="14"/>
  <c r="U83" i="14"/>
  <c r="U82" i="14"/>
  <c r="U81" i="14"/>
  <c r="U80" i="14"/>
  <c r="U79" i="14"/>
  <c r="U78" i="14"/>
  <c r="U77" i="14"/>
  <c r="U76" i="14"/>
  <c r="U75" i="14"/>
  <c r="U74" i="14"/>
  <c r="U73" i="14"/>
  <c r="U72" i="14"/>
  <c r="U71" i="14"/>
  <c r="U70" i="14"/>
  <c r="U69" i="14"/>
  <c r="U68" i="14"/>
  <c r="U67" i="14"/>
  <c r="U66" i="14"/>
  <c r="T7" i="14" l="1"/>
  <c r="U64" i="14"/>
  <c r="D84" i="18"/>
  <c r="C84" i="18"/>
  <c r="D82" i="18"/>
  <c r="C81" i="18"/>
  <c r="U38" i="14"/>
  <c r="U39" i="14"/>
  <c r="U40" i="14"/>
  <c r="U41" i="14"/>
  <c r="U42" i="14"/>
  <c r="U43" i="14"/>
  <c r="U44" i="14"/>
  <c r="U45" i="14"/>
  <c r="U46" i="14"/>
  <c r="U47" i="14"/>
  <c r="U48" i="14"/>
  <c r="U49" i="14"/>
  <c r="U50" i="14"/>
  <c r="U51" i="14"/>
  <c r="U52" i="14"/>
  <c r="U53" i="14"/>
  <c r="U54" i="14"/>
  <c r="U55" i="14"/>
  <c r="U56" i="14"/>
  <c r="U57" i="14"/>
  <c r="U58" i="14"/>
  <c r="U59" i="14"/>
  <c r="U60" i="14"/>
  <c r="I88" i="14"/>
  <c r="I87" i="14"/>
  <c r="I86" i="14"/>
  <c r="I85" i="14"/>
  <c r="I84" i="14"/>
  <c r="I83" i="14"/>
  <c r="I82" i="14"/>
  <c r="I81" i="14"/>
  <c r="I80" i="14"/>
  <c r="I79" i="14"/>
  <c r="I78" i="14"/>
  <c r="I77" i="14"/>
  <c r="I76" i="14"/>
  <c r="I75" i="14"/>
  <c r="I74" i="14"/>
  <c r="I73" i="14"/>
  <c r="I72" i="14"/>
  <c r="I71" i="14"/>
  <c r="I70" i="14"/>
  <c r="I69" i="14"/>
  <c r="I68" i="14"/>
  <c r="I67" i="14"/>
  <c r="I66" i="14"/>
  <c r="I65" i="14"/>
  <c r="D19" i="18" l="1"/>
  <c r="C19" i="18"/>
  <c r="I19" i="18"/>
  <c r="E19" i="18"/>
  <c r="T78" i="14" a="1"/>
  <c r="T78" i="14" s="1"/>
  <c r="T72" i="14" a="1"/>
  <c r="T72" i="14" s="1"/>
  <c r="T80" i="14" a="1"/>
  <c r="T80" i="14" s="1"/>
  <c r="T88" i="14" a="1"/>
  <c r="T88" i="14" s="1"/>
  <c r="T65" i="14" a="1"/>
  <c r="T65" i="14" s="1"/>
  <c r="T73" i="14" a="1"/>
  <c r="T73" i="14" s="1"/>
  <c r="T81" i="14" a="1"/>
  <c r="T81" i="14" s="1"/>
  <c r="T67" i="14" a="1"/>
  <c r="T67" i="14" s="1"/>
  <c r="T70" i="14" a="1"/>
  <c r="T70" i="14" s="1"/>
  <c r="T74" i="14" a="1"/>
  <c r="T74" i="14" s="1"/>
  <c r="T66" i="14" a="1"/>
  <c r="T66" i="14" s="1"/>
  <c r="T82" i="14" a="1"/>
  <c r="T82" i="14" s="1"/>
  <c r="T75" i="14" a="1"/>
  <c r="T75" i="14" s="1"/>
  <c r="T83" i="14" a="1"/>
  <c r="T83" i="14" s="1"/>
  <c r="T68" i="14" a="1"/>
  <c r="T68" i="14" s="1"/>
  <c r="T76" i="14" a="1"/>
  <c r="T76" i="14" s="1"/>
  <c r="T84" i="14" a="1"/>
  <c r="T84" i="14" s="1"/>
  <c r="T69" i="14" a="1"/>
  <c r="T69" i="14" s="1"/>
  <c r="T77" i="14" a="1"/>
  <c r="T77" i="14" s="1"/>
  <c r="T85" i="14" a="1"/>
  <c r="T85" i="14" s="1"/>
  <c r="T86" i="14" a="1"/>
  <c r="T86" i="14" s="1"/>
  <c r="T71" i="14" a="1"/>
  <c r="T71" i="14" s="1"/>
  <c r="T79" i="14" a="1"/>
  <c r="T79" i="14" s="1"/>
  <c r="T87" i="14" a="1"/>
  <c r="T87" i="14" s="1"/>
  <c r="U36" i="14"/>
  <c r="C17" i="18" l="1"/>
  <c r="F19" i="18"/>
  <c r="H19" i="18"/>
  <c r="D17" i="18"/>
  <c r="T64" i="14"/>
  <c r="G19" i="18"/>
  <c r="D83" i="18"/>
  <c r="D81" i="18"/>
  <c r="E17" i="18" l="1"/>
  <c r="F17" i="18" s="1"/>
  <c r="D16" i="18"/>
  <c r="C16" i="18"/>
  <c r="E16" i="18"/>
  <c r="D87" i="18"/>
  <c r="F16" i="18" l="1"/>
  <c r="I39" i="14" l="1"/>
  <c r="I40" i="14"/>
  <c r="I41" i="14"/>
  <c r="I42" i="14"/>
  <c r="I43" i="14"/>
  <c r="I44" i="14"/>
  <c r="I45" i="14"/>
  <c r="I46" i="14"/>
  <c r="I47" i="14"/>
  <c r="I48" i="14"/>
  <c r="T41" i="14" l="1" a="1"/>
  <c r="T41" i="14" s="1"/>
  <c r="T48" i="14" a="1"/>
  <c r="T48" i="14" s="1"/>
  <c r="T40" i="14" a="1"/>
  <c r="T40" i="14" s="1"/>
  <c r="T47" i="14" a="1"/>
  <c r="T47" i="14" s="1"/>
  <c r="T39" i="14" a="1"/>
  <c r="T39" i="14" s="1"/>
  <c r="T46" i="14" a="1"/>
  <c r="T46" i="14" s="1"/>
  <c r="T42" i="14" a="1"/>
  <c r="T42" i="14" s="1"/>
  <c r="T45" i="14" a="1"/>
  <c r="T45" i="14" s="1"/>
  <c r="T44" i="14" a="1"/>
  <c r="T44" i="14" s="1"/>
  <c r="T43" i="14" a="1"/>
  <c r="T43" i="14" s="1"/>
  <c r="E71" i="18"/>
  <c r="E70" i="18"/>
  <c r="D71" i="18"/>
  <c r="D70" i="18"/>
  <c r="C71" i="18"/>
  <c r="C70" i="18"/>
  <c r="I20" i="18"/>
  <c r="E20" i="18"/>
  <c r="D20" i="18"/>
  <c r="F70" i="18" l="1"/>
  <c r="F71" i="18"/>
  <c r="C72" i="18" l="1"/>
  <c r="C73" i="18" s="1"/>
  <c r="I72" i="18"/>
  <c r="D72" i="18"/>
  <c r="D73" i="18" s="1"/>
  <c r="E72" i="18"/>
  <c r="E73" i="18" s="1"/>
  <c r="C20" i="18" l="1"/>
  <c r="C26" i="18"/>
  <c r="E26" i="18"/>
  <c r="I26" i="18"/>
  <c r="D26" i="18"/>
  <c r="F72" i="18"/>
  <c r="F73" i="18" s="1"/>
  <c r="H72" i="18"/>
  <c r="F20" i="18"/>
  <c r="G72" i="18" l="1"/>
  <c r="G20" i="18"/>
  <c r="H20" i="18"/>
  <c r="G58" i="18" l="1"/>
  <c r="H58" i="18"/>
  <c r="G59" i="18"/>
  <c r="H59" i="18"/>
  <c r="G52" i="18" l="1"/>
  <c r="G54" i="18"/>
  <c r="G50" i="18"/>
  <c r="G47" i="18"/>
  <c r="H60" i="18"/>
  <c r="H47" i="18"/>
  <c r="G60" i="18"/>
  <c r="G53" i="18"/>
  <c r="G51" i="18"/>
  <c r="H62" i="18"/>
  <c r="E63" i="18"/>
  <c r="F63" i="18" s="1"/>
  <c r="G62" i="18"/>
  <c r="H54" i="18"/>
  <c r="H52" i="18"/>
  <c r="H49" i="18"/>
  <c r="H48" i="18"/>
  <c r="G49" i="18"/>
  <c r="G48" i="18"/>
  <c r="H55" i="18"/>
  <c r="H50" i="18"/>
  <c r="G55" i="18"/>
  <c r="H53" i="18"/>
  <c r="H51" i="18"/>
  <c r="H56" i="18"/>
  <c r="G56" i="18"/>
  <c r="B3" i="18"/>
  <c r="G70" i="18" l="1"/>
  <c r="I71" i="18"/>
  <c r="I70" i="18"/>
  <c r="H70" i="18"/>
  <c r="H71" i="18"/>
  <c r="G71" i="18" l="1"/>
  <c r="G73" i="18" s="1"/>
  <c r="H73" i="18"/>
  <c r="I73" i="18"/>
  <c r="I35" i="18" l="1"/>
  <c r="E55" i="18" l="1"/>
  <c r="F55" i="18" s="1"/>
  <c r="E59" i="18"/>
  <c r="F59" i="18" s="1"/>
  <c r="E58" i="18"/>
  <c r="F58" i="18" s="1"/>
  <c r="E47" i="18"/>
  <c r="F47" i="18" s="1"/>
  <c r="E53" i="18"/>
  <c r="F53" i="18" s="1"/>
  <c r="E51" i="18"/>
  <c r="F51" i="18" s="1"/>
  <c r="E46" i="18"/>
  <c r="F46" i="18" s="1"/>
  <c r="E62" i="18"/>
  <c r="F62" i="18" s="1"/>
  <c r="E54" i="18"/>
  <c r="F54" i="18" s="1"/>
  <c r="E52" i="18"/>
  <c r="F52" i="18" s="1"/>
  <c r="E48" i="18"/>
  <c r="F48" i="18" s="1"/>
  <c r="E50" i="18"/>
  <c r="F50" i="18" s="1"/>
  <c r="E56" i="18"/>
  <c r="F56" i="18" s="1"/>
  <c r="E45" i="18"/>
  <c r="F45" i="18" s="1"/>
  <c r="E61" i="18"/>
  <c r="F61" i="18" s="1"/>
  <c r="E57" i="18"/>
  <c r="F57" i="18" s="1"/>
  <c r="E60" i="18"/>
  <c r="F60" i="18" s="1"/>
  <c r="E49" i="18"/>
  <c r="F49" i="18" s="1"/>
  <c r="E44" i="18"/>
  <c r="H46" i="18"/>
  <c r="H61" i="18"/>
  <c r="G46" i="18"/>
  <c r="G61" i="18"/>
  <c r="C86" i="18"/>
  <c r="C85" i="18"/>
  <c r="H57" i="18" l="1"/>
  <c r="G45" i="18"/>
  <c r="G57" i="18"/>
  <c r="H63" i="18"/>
  <c r="H45" i="18"/>
  <c r="G63" i="18"/>
  <c r="F44" i="18"/>
  <c r="F64" i="18" s="1"/>
  <c r="E64" i="18"/>
  <c r="I37" i="18" l="1"/>
  <c r="I36" i="18"/>
  <c r="G44" i="18"/>
  <c r="G64" i="18" s="1"/>
  <c r="H44" i="18"/>
  <c r="H64" i="18" s="1"/>
  <c r="I38" i="14"/>
  <c r="I49" i="14"/>
  <c r="I50" i="14"/>
  <c r="I51" i="14"/>
  <c r="I52" i="14"/>
  <c r="I53" i="14"/>
  <c r="I54" i="14"/>
  <c r="I55" i="14"/>
  <c r="I56" i="14"/>
  <c r="I57" i="14"/>
  <c r="I58" i="14"/>
  <c r="I59" i="14"/>
  <c r="I60" i="14"/>
  <c r="E93" i="14"/>
  <c r="E94" i="14"/>
  <c r="E95" i="14"/>
  <c r="E96" i="14"/>
  <c r="E97" i="14"/>
  <c r="E98" i="14"/>
  <c r="E99" i="14"/>
  <c r="E100" i="14"/>
  <c r="E101" i="14"/>
  <c r="E102" i="14"/>
  <c r="E103" i="14"/>
  <c r="E104" i="14"/>
  <c r="E105" i="14"/>
  <c r="E92" i="14"/>
  <c r="T53" i="14" l="1" a="1"/>
  <c r="T53" i="14" s="1"/>
  <c r="T49" i="14" a="1"/>
  <c r="T49" i="14" s="1"/>
  <c r="T60" i="14" a="1"/>
  <c r="T60" i="14" s="1"/>
  <c r="T52" i="14" a="1"/>
  <c r="T52" i="14" s="1"/>
  <c r="T59" i="14" a="1"/>
  <c r="T59" i="14" s="1"/>
  <c r="T51" i="14" a="1"/>
  <c r="T51" i="14" s="1"/>
  <c r="T57" i="14" a="1"/>
  <c r="T57" i="14" s="1"/>
  <c r="T58" i="14" a="1"/>
  <c r="T58" i="14" s="1"/>
  <c r="T50" i="14" a="1"/>
  <c r="T50" i="14" s="1"/>
  <c r="T56" i="14" a="1"/>
  <c r="T56" i="14" s="1"/>
  <c r="T55" i="14" a="1"/>
  <c r="T55" i="14" s="1"/>
  <c r="T54" i="14" a="1"/>
  <c r="T54" i="14" s="1"/>
  <c r="H26" i="18"/>
  <c r="G26" i="18"/>
  <c r="T38" i="14" a="1"/>
  <c r="T38" i="14" s="1"/>
  <c r="T36" i="14" l="1"/>
  <c r="H36" i="18"/>
  <c r="G36" i="18"/>
  <c r="C83" i="18" l="1"/>
  <c r="C87" i="18" s="1"/>
  <c r="B87" i="18" l="1"/>
  <c r="H37" i="18" l="1"/>
  <c r="G37" i="18"/>
  <c r="G35" i="18"/>
  <c r="H35" i="18"/>
  <c r="D37" i="18"/>
  <c r="E37" i="18"/>
  <c r="C37" i="18"/>
  <c r="I29" i="18" l="1"/>
  <c r="F37" i="18"/>
  <c r="D36" i="18" l="1"/>
  <c r="C36" i="18"/>
  <c r="E36" i="18" l="1"/>
  <c r="F36" i="18" s="1"/>
  <c r="B64" i="18"/>
  <c r="B38" i="18"/>
  <c r="C35" i="18" l="1"/>
  <c r="B18" i="18" l="1"/>
  <c r="B15" i="18"/>
  <c r="C29" i="18" l="1"/>
  <c r="D29" i="18"/>
  <c r="D15" i="18" l="1"/>
  <c r="I18" i="18"/>
  <c r="I15" i="18"/>
  <c r="I27" i="18"/>
  <c r="D35" i="18"/>
  <c r="C38" i="18"/>
  <c r="C27" i="18"/>
  <c r="E27" i="18"/>
  <c r="D27" i="18"/>
  <c r="D18" i="18"/>
  <c r="E35" i="18"/>
  <c r="C18" i="18"/>
  <c r="C28" i="18" l="1"/>
  <c r="C30" i="18" s="1"/>
  <c r="I28" i="18"/>
  <c r="I30" i="18" s="1"/>
  <c r="E28" i="18"/>
  <c r="D28" i="18"/>
  <c r="D30" i="18" s="1"/>
  <c r="F27" i="18"/>
  <c r="F35" i="18"/>
  <c r="F38" i="18" s="1"/>
  <c r="F26" i="18"/>
  <c r="D38" i="18"/>
  <c r="E38" i="18"/>
  <c r="E18" i="18" l="1"/>
  <c r="F18" i="18" s="1"/>
  <c r="F28" i="18"/>
  <c r="G27" i="18"/>
  <c r="H28" i="18" l="1"/>
  <c r="G28" i="18"/>
  <c r="H27" i="18"/>
  <c r="G38" i="18"/>
  <c r="I38" i="18"/>
  <c r="H38" i="18"/>
  <c r="E29" i="18" l="1"/>
  <c r="F29" i="18" s="1"/>
  <c r="F30" i="18" s="1"/>
  <c r="E30" i="18" l="1"/>
  <c r="G18" i="18"/>
  <c r="H18" i="18"/>
  <c r="G15" i="18"/>
  <c r="H15" i="18"/>
  <c r="D21" i="18"/>
  <c r="D9" i="18" s="1"/>
  <c r="E15" i="18"/>
  <c r="E21" i="18" s="1"/>
  <c r="C15" i="18"/>
  <c r="C21" i="18" s="1"/>
  <c r="C9" i="18" l="1"/>
  <c r="E9" i="18"/>
  <c r="G21" i="18"/>
  <c r="F15" i="18"/>
  <c r="F21" i="18" s="1"/>
  <c r="F9" i="18" s="1"/>
  <c r="H21" i="18"/>
  <c r="G29" i="18" l="1"/>
  <c r="G30" i="18" s="1"/>
  <c r="G9" i="18" s="1"/>
  <c r="H29" i="18"/>
  <c r="H30" i="18" s="1"/>
  <c r="H9" i="18" s="1"/>
  <c r="I21" i="18"/>
  <c r="I9" i="18" s="1"/>
  <c r="H6" i="28" l="1"/>
  <c r="F5" i="28"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<sst xmlns="http://schemas.openxmlformats.org/spreadsheetml/2006/main" count="24028" uniqueCount="1913">
  <si>
    <t xml:space="preserve">Colour code   </t>
  </si>
  <si>
    <t>Drop down</t>
  </si>
  <si>
    <t>Calculation/Formula Cell - locked</t>
  </si>
  <si>
    <t>Text/Number input</t>
  </si>
  <si>
    <t>Guidance</t>
  </si>
  <si>
    <t>Not used</t>
  </si>
  <si>
    <t>Page Title</t>
  </si>
  <si>
    <t>Reporting year</t>
  </si>
  <si>
    <t>Page Subtitle</t>
  </si>
  <si>
    <t>Organisation name</t>
  </si>
  <si>
    <t>Guidance Notes</t>
  </si>
  <si>
    <t>Text</t>
  </si>
  <si>
    <t>Instructions</t>
  </si>
  <si>
    <t>Table Title</t>
  </si>
  <si>
    <t>Net Zero reporting</t>
  </si>
  <si>
    <t>Version Number</t>
  </si>
  <si>
    <t>About</t>
  </si>
  <si>
    <t>Last Updated</t>
  </si>
  <si>
    <t>About this tool</t>
  </si>
  <si>
    <t>This tab provides information about this data collection form, instructions to complete it, and contact details.</t>
  </si>
  <si>
    <t>This tool is to be used by Welsh Public Sector Bodies (PSB) to collect and record their activity data related to emissions sources that are reported within the Welsh Public Sector Net Zero reporting. The Net Zero reporting data collection form also collects information on renewable electricity generation, estate details, and broader decarbonisation. This all provides the evidence base for understanding progress towards the Welsh Public Sector ambitions.</t>
  </si>
  <si>
    <t>Contact</t>
  </si>
  <si>
    <t>If any issues are found with the data collection form, or help is required to complete it then please contact the Net Zero reporting team:</t>
  </si>
  <si>
    <t>NetZeroReporting@EnergyService.Wales</t>
  </si>
  <si>
    <t>How to use this tool</t>
  </si>
  <si>
    <t>This tool should be filled out one tab at a time.</t>
  </si>
  <si>
    <t>The tabs are organised and color coded in the following way:</t>
  </si>
  <si>
    <t>Introduction, supporting information, and sign off - all these tabs should be completed or reviewed</t>
  </si>
  <si>
    <r>
      <t xml:space="preserve">Summary results - highlighting the overview emissions. </t>
    </r>
    <r>
      <rPr>
        <b/>
        <sz val="11"/>
        <color theme="1"/>
        <rFont val="Arial"/>
        <family val="2"/>
      </rPr>
      <t>Note these are draft, and may differ from the final results</t>
    </r>
    <r>
      <rPr>
        <sz val="11"/>
        <color theme="1"/>
        <rFont val="Arial"/>
        <family val="2"/>
      </rPr>
      <t>.</t>
    </r>
  </si>
  <si>
    <t>Tabs for data collection from stationary assets (site info, electricity, heat, water, fugitive gases)</t>
  </si>
  <si>
    <t>Tabs for data collection from transport (fleet and equipment, business tarvel, commuting, homeworking)</t>
  </si>
  <si>
    <t>Tabs for data collection from supply chain (spend based, supplier provided details)</t>
  </si>
  <si>
    <t>Tabs for data collection for broader NZ reporting (land, renewables)</t>
  </si>
  <si>
    <r>
      <t xml:space="preserve">Tabs containing 'back end' data (emission factors, range names, summary tables). </t>
    </r>
    <r>
      <rPr>
        <b/>
        <sz val="11"/>
        <color theme="1"/>
        <rFont val="Arial"/>
        <family val="2"/>
      </rPr>
      <t>These are not for edit by reporting organisations</t>
    </r>
    <r>
      <rPr>
        <sz val="11"/>
        <color theme="1"/>
        <rFont val="Arial"/>
        <family val="2"/>
      </rPr>
      <t>.</t>
    </r>
  </si>
  <si>
    <t>The tool has been set up to support data collection and provide guidance as best as possible. Within each tab there is an information pane to the left hand side. This provides details about the tab and then for each individual table within the tab. For example:</t>
  </si>
  <si>
    <t>In addition to the guidance and instructions provided to the side of each tab, clicking within the header of each table column will provide further information on the data required. For example:</t>
  </si>
  <si>
    <t>In addition each tab uses the same cell colours to determine whether data is mandatory (dropdown), mandatory (free entry), optional, or a calculation/no data entry.</t>
  </si>
  <si>
    <t>Mandatory input</t>
  </si>
  <si>
    <t>Optional input</t>
  </si>
  <si>
    <t>Calculation</t>
  </si>
  <si>
    <t>Each table has an accompanying traffic light system to determine whether data entry is complete or not. Green light indicates all required fields have been completed; red indicates some mandatory fields have not been completed; grey light indicates and empty row. For example:</t>
  </si>
  <si>
    <t>Within each tab, the data collection table has been simlpified from previous years to only contain the column headers where data needs to be submitted. This has been done to simplify the layout, remove distractions,and  remove the possibility of calculations being overridden. The calculations, lookups, emissions factors, and emissions can still be seen; these are now in a locked table to the right of every data entry table</t>
  </si>
  <si>
    <t>The data collection form is also supported by the guidance document which is published alngside the collection form every year.</t>
  </si>
  <si>
    <t>Disclaimer</t>
  </si>
  <si>
    <t>Version Log</t>
  </si>
  <si>
    <t>Version table</t>
  </si>
  <si>
    <r>
      <t xml:space="preserve">This version log should be </t>
    </r>
    <r>
      <rPr>
        <b/>
        <sz val="11"/>
        <color theme="1"/>
        <rFont val="Arial"/>
        <family val="2"/>
      </rPr>
      <t>completed by the Energy Service NZ reporting team</t>
    </r>
    <r>
      <rPr>
        <sz val="11"/>
        <color theme="1"/>
        <rFont val="Arial"/>
        <family val="2"/>
      </rPr>
      <t xml:space="preserve"> whenever any changes are made that require a reissuance of the log.
The version number should be of the format v</t>
    </r>
    <r>
      <rPr>
        <b/>
        <sz val="11"/>
        <color theme="1"/>
        <rFont val="Arial"/>
        <family val="2"/>
      </rPr>
      <t>X.Y</t>
    </r>
    <r>
      <rPr>
        <sz val="11"/>
        <color theme="1"/>
        <rFont val="Arial"/>
        <family val="2"/>
      </rPr>
      <t xml:space="preserve">. Where </t>
    </r>
    <r>
      <rPr>
        <b/>
        <sz val="11"/>
        <color theme="1"/>
        <rFont val="Arial"/>
        <family val="2"/>
      </rPr>
      <t>X</t>
    </r>
    <r>
      <rPr>
        <sz val="11"/>
        <color theme="1"/>
        <rFont val="Arial"/>
        <family val="2"/>
      </rPr>
      <t xml:space="preserve"> increases by +1 for every major reissuance, and </t>
    </r>
    <r>
      <rPr>
        <b/>
        <sz val="11"/>
        <color theme="1"/>
        <rFont val="Arial"/>
        <family val="2"/>
      </rPr>
      <t>Y</t>
    </r>
    <r>
      <rPr>
        <sz val="11"/>
        <color theme="1"/>
        <rFont val="Arial"/>
        <family val="2"/>
      </rPr>
      <t xml:space="preserve"> increases by +1 for every minor reissuance.
Every update must be reviewed and approved by another member of the team.
The file name should be of the format:
WGES_Lot2_yyyy_Data-Collection_vX.Y</t>
    </r>
  </si>
  <si>
    <t>Version #</t>
  </si>
  <si>
    <t>Changes made</t>
  </si>
  <si>
    <t>Made by (initials)</t>
  </si>
  <si>
    <t>Date made</t>
  </si>
  <si>
    <t>Reviewed by (initials)</t>
  </si>
  <si>
    <t>Review date</t>
  </si>
  <si>
    <t>Issue date</t>
  </si>
  <si>
    <t>File name</t>
  </si>
  <si>
    <t>v0.0</t>
  </si>
  <si>
    <t>Complete rebrand and reformat of the collection form</t>
  </si>
  <si>
    <t>ML</t>
  </si>
  <si>
    <t>HW</t>
  </si>
  <si>
    <t>v0.1</t>
  </si>
  <si>
    <t>Organisation information</t>
  </si>
  <si>
    <t xml:space="preserve">Reporting year: </t>
  </si>
  <si>
    <t xml:space="preserve">Missing data? </t>
  </si>
  <si>
    <t>About you</t>
  </si>
  <si>
    <t xml:space="preserve">Organisation name: </t>
  </si>
  <si>
    <r>
      <t xml:space="preserve">This section allows you to enter important information about your organisation and footprint. There are </t>
    </r>
    <r>
      <rPr>
        <b/>
        <sz val="11"/>
        <color theme="1"/>
        <rFont val="Arial"/>
        <family val="2"/>
      </rPr>
      <t>three tables</t>
    </r>
    <r>
      <rPr>
        <sz val="11"/>
        <color theme="1"/>
        <rFont val="Arial"/>
        <family val="2"/>
      </rPr>
      <t xml:space="preserve"> to complete on this tab.</t>
    </r>
  </si>
  <si>
    <t>Organisational information</t>
  </si>
  <si>
    <t>This table must be filled in in its entirety. If data is unknown around for finance, FTE or floor area then it may be worth consulting your annual reports. If still unknown then enter 0.</t>
  </si>
  <si>
    <t>Organisation type</t>
  </si>
  <si>
    <t>Financial year period for reporting</t>
  </si>
  <si>
    <t>Total financial budget /spend/ turnover (£)</t>
  </si>
  <si>
    <t>Number of Full Time Equivalent employees (FTE)</t>
  </si>
  <si>
    <t>Building internal floor area equivalent to the energy data reported (m2)</t>
  </si>
  <si>
    <t xml:space="preserve">Region of Wales </t>
  </si>
  <si>
    <t>Boundary information</t>
  </si>
  <si>
    <t>This table should be filled in to provide an overview of the boundary of your organisation's emissions. This does not impact any calculations, but provides the Net Zero Reporting team an understanding of your carbon footprint for review purposes.</t>
  </si>
  <si>
    <t>Do you own buildings that you occupy?</t>
  </si>
  <si>
    <t>Do you lease buildings that you occupy?</t>
  </si>
  <si>
    <t>Do you lease out buildings that you own to organisations to deliver public services on your behalf?</t>
  </si>
  <si>
    <t>Do you lease out buildings that you own to other public bodies?</t>
  </si>
  <si>
    <t>Do you lease out buildings that you own to private organisations for their own purposes?</t>
  </si>
  <si>
    <t>Do you own and operate streetlighting or signage</t>
  </si>
  <si>
    <t>Do you own or lease fleet and equipment?</t>
  </si>
  <si>
    <t>Do you have farms with livestock (not leased out)?</t>
  </si>
  <si>
    <t>Do you have air conditioning or refrigeration systems that require refrigerant gas top-ups, or do you use anaesthetic gases?</t>
  </si>
  <si>
    <t>Do staff travel for work using their own cars or other transport modes (not fleet vehicles)</t>
  </si>
  <si>
    <t>Do staff commute to offices or other sites?</t>
  </si>
  <si>
    <t>Do any staff work from home?</t>
  </si>
  <si>
    <t>Do you purchase goods and services?</t>
  </si>
  <si>
    <t>Do you own and manage land for providing public services, with a total of more than 10 hectares?</t>
  </si>
  <si>
    <t>Does your organisation produce waste from operations that is collected from your premises by a third party organisation?</t>
  </si>
  <si>
    <t>Does your organisation produce waste from operations and also operate the collection service of this waste?</t>
  </si>
  <si>
    <t>Do you run waste collection services that collect and dispose of municipal waste?</t>
  </si>
  <si>
    <t>Do you contract out a waste collection service that collect and dispose of municipal waste?</t>
  </si>
  <si>
    <t>Net Zero information</t>
  </si>
  <si>
    <t>Do you have a Net Zero target?</t>
  </si>
  <si>
    <t>What is your baseline year?</t>
  </si>
  <si>
    <t>What is your target year?</t>
  </si>
  <si>
    <t>What is you target reduction (%)?</t>
  </si>
  <si>
    <t>Do you have an organisational decarbonistion action plan or similar?</t>
  </si>
  <si>
    <t>Please provide the link to the action plan if online and public</t>
  </si>
  <si>
    <t>end</t>
  </si>
  <si>
    <t>Sign Off</t>
  </si>
  <si>
    <t>To be filled out once the data collection is complete, and ready to be returned.</t>
  </si>
  <si>
    <t>Please enter information about the person responsible for completing this report within the reporting organisation.</t>
  </si>
  <si>
    <t>Person responsible for this report</t>
  </si>
  <si>
    <t>Email of person responsible for this report</t>
  </si>
  <si>
    <t>Date submitted</t>
  </si>
  <si>
    <t>Reporting comments</t>
  </si>
  <si>
    <t>Please provide any additional details or comments that the NZ reporting team should be aware of.</t>
  </si>
  <si>
    <t>Please provide comments on the completeness of data</t>
  </si>
  <si>
    <t>Please provide comments on the general ease of collection</t>
  </si>
  <si>
    <t>Please provide comments on any methodological changes</t>
  </si>
  <si>
    <t>Peer review</t>
  </si>
  <si>
    <t>If a peer review has been completed then please enter the details of the reviewer and any comments here.</t>
  </si>
  <si>
    <t>Peer review organisation</t>
  </si>
  <si>
    <t>Date of peer review</t>
  </si>
  <si>
    <t>Name of reviewer</t>
  </si>
  <si>
    <t>Brief comments of the review outcomes</t>
  </si>
  <si>
    <t>Data review</t>
  </si>
  <si>
    <r>
      <t xml:space="preserve">This is an automated table and highlights the completeness of the submission, as well as whether there are any errors present.
Where data is incomplete or errors are present, then please return to the relevant tab and update/amend any issues.
</t>
    </r>
    <r>
      <rPr>
        <b/>
        <sz val="11"/>
        <color theme="1"/>
        <rFont val="Arial"/>
        <family val="2"/>
      </rPr>
      <t>Do not edit any of the formulae in this section</t>
    </r>
    <r>
      <rPr>
        <sz val="11"/>
        <color theme="1"/>
        <rFont val="Arial"/>
        <family val="2"/>
      </rPr>
      <t>.</t>
    </r>
  </si>
  <si>
    <t>Data entered?</t>
  </si>
  <si>
    <t>Data complete?</t>
  </si>
  <si>
    <t>Errors in data?</t>
  </si>
  <si>
    <t>Errors in emissions?</t>
  </si>
  <si>
    <t>Organisational info</t>
  </si>
  <si>
    <t>Boundary info</t>
  </si>
  <si>
    <t>Net Zero info</t>
  </si>
  <si>
    <t>Buildings Site Info</t>
  </si>
  <si>
    <t>Buildings - Streetlighting</t>
  </si>
  <si>
    <t>Buildings - Electricity</t>
  </si>
  <si>
    <t>Buildings - Fuels</t>
  </si>
  <si>
    <t>Buildings - Water</t>
  </si>
  <si>
    <t>F-gases</t>
  </si>
  <si>
    <t>Medical gases</t>
  </si>
  <si>
    <t>Transport - Fleet - Fuel</t>
  </si>
  <si>
    <t>Transport - Fleet - Distance</t>
  </si>
  <si>
    <t>Transport - Business Travel</t>
  </si>
  <si>
    <t>Transport - Commuting</t>
  </si>
  <si>
    <t>Transport - Homeworking</t>
  </si>
  <si>
    <t>Waste - Organisational</t>
  </si>
  <si>
    <t>Waste - Municipal</t>
  </si>
  <si>
    <t>Waste - Project</t>
  </si>
  <si>
    <t>Supply chain - Tier 1</t>
  </si>
  <si>
    <t>Supply chain - Tier 2</t>
  </si>
  <si>
    <t>Supply chain - Supplier Collection</t>
  </si>
  <si>
    <t>Land use - Tier 1</t>
  </si>
  <si>
    <t>Land use - Tier 2</t>
  </si>
  <si>
    <t>Agriculture</t>
  </si>
  <si>
    <t>Renewables</t>
  </si>
  <si>
    <t>WGES Sign Off</t>
  </si>
  <si>
    <r>
      <t xml:space="preserve">This section is to be completed by the NZ Reporting team of the Welsh Government Energy Service.
</t>
    </r>
    <r>
      <rPr>
        <b/>
        <sz val="11"/>
        <color theme="1"/>
        <rFont val="Arial"/>
        <family val="2"/>
      </rPr>
      <t>No input is required here from the reporting organisation</t>
    </r>
    <r>
      <rPr>
        <sz val="11"/>
        <color theme="1"/>
        <rFont val="Arial"/>
        <family val="2"/>
      </rPr>
      <t>.</t>
    </r>
  </si>
  <si>
    <t>Reviewer</t>
  </si>
  <si>
    <t>Data reviewed</t>
  </si>
  <si>
    <t>Errors reviewed</t>
  </si>
  <si>
    <t>Double counting reviewed</t>
  </si>
  <si>
    <t>Totals reviewed</t>
  </si>
  <si>
    <t>Comments reviewed</t>
  </si>
  <si>
    <t>Queries issued</t>
  </si>
  <si>
    <t>Queries issued date</t>
  </si>
  <si>
    <t>Query response received</t>
  </si>
  <si>
    <t>Query response received date</t>
  </si>
  <si>
    <t>Query response implemented</t>
  </si>
  <si>
    <t>Query response implemented date</t>
  </si>
  <si>
    <t>Query response implemented by</t>
  </si>
  <si>
    <t>Ready for Power BI upload</t>
  </si>
  <si>
    <t>Cell colour codes:</t>
  </si>
  <si>
    <t>Information cell or question</t>
  </si>
  <si>
    <t>Activity data. Numeric data entry</t>
  </si>
  <si>
    <t>Building Information</t>
  </si>
  <si>
    <t>Information entry. Some cells have drop down lists</t>
  </si>
  <si>
    <t>Calculated data</t>
  </si>
  <si>
    <r>
      <rPr>
        <b/>
        <sz val="12"/>
        <color theme="1" tint="0.499984740745262"/>
        <rFont val="Calibri"/>
        <family val="2"/>
        <scheme val="minor"/>
      </rPr>
      <t>Guidance for users</t>
    </r>
    <r>
      <rPr>
        <sz val="11"/>
        <color theme="1" tint="0.499984740745262"/>
        <rFont val="Calibri"/>
        <family val="2"/>
        <scheme val="minor"/>
      </rPr>
      <t xml:space="preserve">
This sheet contains one table - Site Information (buildings and standalone renewable energy assets). 
</t>
    </r>
    <r>
      <rPr>
        <b/>
        <sz val="11"/>
        <color theme="1" tint="0.499984740745262"/>
        <rFont val="Calibri"/>
        <family val="2"/>
        <scheme val="minor"/>
      </rPr>
      <t xml:space="preserve">Please see </t>
    </r>
    <r>
      <rPr>
        <b/>
        <sz val="11"/>
        <color theme="1"/>
        <rFont val="Calibri"/>
        <family val="2"/>
        <scheme val="minor"/>
      </rPr>
      <t>Section 7</t>
    </r>
    <r>
      <rPr>
        <b/>
        <sz val="11"/>
        <color theme="1" tint="0.499984740745262"/>
        <rFont val="Calibri"/>
        <family val="2"/>
        <scheme val="minor"/>
      </rPr>
      <t xml:space="preserve"> of the Welsh Net Zero Public Sector Reporting Guide for further guidance.</t>
    </r>
    <r>
      <rPr>
        <sz val="11"/>
        <color theme="1" tint="0.499984740745262"/>
        <rFont val="Calibri"/>
        <family val="2"/>
        <scheme val="minor"/>
      </rPr>
      <t xml:space="preserve">
</t>
    </r>
  </si>
  <si>
    <r>
      <rPr>
        <b/>
        <sz val="12"/>
        <color rgb="FF808080"/>
        <rFont val="Calibri"/>
        <family val="2"/>
      </rPr>
      <t xml:space="preserve">Instructions for users
</t>
    </r>
    <r>
      <rPr>
        <sz val="11"/>
        <color rgb="FF808080"/>
        <rFont val="Calibri"/>
        <family val="2"/>
      </rPr>
      <t>• Input information into the orange and blue cells. 
• For a building, please fill in all five columns. 
• For a standalone renewable energy asset, please fill in the</t>
    </r>
    <r>
      <rPr>
        <b/>
        <sz val="11"/>
        <color rgb="FF808080"/>
        <rFont val="Calibri"/>
        <family val="2"/>
      </rPr>
      <t xml:space="preserve"> first two columns only </t>
    </r>
    <r>
      <rPr>
        <sz val="11"/>
        <color rgb="FF808080"/>
        <rFont val="Calibri"/>
        <family val="2"/>
      </rPr>
      <t xml:space="preserve">(site name and site type). 
• Activity data entered in the 'Floor area (m2)' column should only be in m2. If your data is not in m2, you must convert it before entering it into this sheet.
• When completing a row, fill in the columns from left to right. The drop down lists in later columns will change to provide valid combinations based on your previous selections. 
• You can copy and paste between rows but please avoid copying data from one column to another, as this is likely to break the drop down lists. 
</t>
    </r>
  </si>
  <si>
    <t>Site Information (buildings and standalone renewable energy assets)</t>
  </si>
  <si>
    <t>Missing Data Test</t>
  </si>
  <si>
    <t>Blank Test</t>
  </si>
  <si>
    <t>Site name</t>
  </si>
  <si>
    <t>Site type</t>
  </si>
  <si>
    <t>Building Category</t>
  </si>
  <si>
    <t>Building type</t>
  </si>
  <si>
    <t>Occupied floor area (m2)</t>
  </si>
  <si>
    <t>fsfsfs</t>
  </si>
  <si>
    <t>Buildings we own and occupy</t>
  </si>
  <si>
    <t>Domestic</t>
  </si>
  <si>
    <t>Semi-Detached House (elec-heated)</t>
  </si>
  <si>
    <t>Overview</t>
  </si>
  <si>
    <t>Streetlighting</t>
  </si>
  <si>
    <t>Fugitive Gases</t>
  </si>
  <si>
    <t>Fleet &amp; Equipment</t>
  </si>
  <si>
    <t>Fleet - distance</t>
  </si>
  <si>
    <t>Business travel</t>
  </si>
  <si>
    <t>Commuting</t>
  </si>
  <si>
    <t>Homeworking</t>
  </si>
  <si>
    <t>Waste</t>
  </si>
  <si>
    <t>Organisational waste</t>
  </si>
  <si>
    <t>Municipal waste</t>
  </si>
  <si>
    <t>Project waste</t>
  </si>
  <si>
    <t>Tier 1</t>
  </si>
  <si>
    <t>Tier 2</t>
  </si>
  <si>
    <t>FLAG</t>
  </si>
  <si>
    <t>End</t>
  </si>
  <si>
    <t>Summary of results</t>
  </si>
  <si>
    <t xml:space="preserve">You do not need to input any information into this sheet. Please note, 'Outside of scopes' emissions are not included in 'Total' emissions or 'High' and 'Low' estimates. </t>
  </si>
  <si>
    <r>
      <t>Units of kgCO</t>
    </r>
    <r>
      <rPr>
        <b/>
        <vertAlign val="subscript"/>
        <sz val="10"/>
        <color rgb="FFFFFFFF"/>
        <rFont val="Calibri"/>
        <family val="2"/>
        <scheme val="minor"/>
      </rPr>
      <t>2</t>
    </r>
    <r>
      <rPr>
        <b/>
        <sz val="10"/>
        <color rgb="FFFFFFFF"/>
        <rFont val="Calibri"/>
        <family val="2"/>
        <scheme val="minor"/>
      </rPr>
      <t>e</t>
    </r>
  </si>
  <si>
    <t>Total emissions</t>
  </si>
  <si>
    <t>Direct</t>
  </si>
  <si>
    <t>Indirect</t>
  </si>
  <si>
    <t>Total</t>
  </si>
  <si>
    <t>Estimated range</t>
  </si>
  <si>
    <t>Outside of scopes</t>
  </si>
  <si>
    <t>Scope 1</t>
  </si>
  <si>
    <t>Scope 2</t>
  </si>
  <si>
    <t>Scope 3</t>
  </si>
  <si>
    <t>High</t>
  </si>
  <si>
    <t>Low</t>
  </si>
  <si>
    <t>Buildings &amp; stationary assets</t>
  </si>
  <si>
    <t>Categories</t>
  </si>
  <si>
    <t>F gases</t>
  </si>
  <si>
    <t>Buildings &amp; stationary assets total</t>
  </si>
  <si>
    <t>Transport</t>
  </si>
  <si>
    <t>Fleet and equipment</t>
  </si>
  <si>
    <t>Transport total</t>
  </si>
  <si>
    <t>Supply chain - Tier 1 and Tier 2 combined</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</si>
  <si>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</si>
  <si>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</si>
  <si>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</si>
  <si>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</si>
  <si>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</si>
  <si>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</si>
  <si>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</si>
  <si>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</si>
  <si>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</si>
  <si>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</si>
  <si>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</si>
  <si>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</si>
  <si>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</si>
  <si>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</si>
  <si>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</si>
  <si>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</si>
  <si>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</si>
  <si>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</si>
  <si>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</si>
  <si>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undifferentiated goods- and services-producing activities of households for own use</t>
  </si>
  <si>
    <t>Land based and agriculture</t>
  </si>
  <si>
    <t>Land based emissions</t>
  </si>
  <si>
    <t>Land based removals</t>
  </si>
  <si>
    <t>Total land based and agriculture</t>
  </si>
  <si>
    <t>Units of kWh</t>
  </si>
  <si>
    <t>Total generated</t>
  </si>
  <si>
    <t>Total exported</t>
  </si>
  <si>
    <t>Onsite renewables - electricity</t>
  </si>
  <si>
    <t>Offsite renewables - electricity</t>
  </si>
  <si>
    <t>Onsite renewables - heat</t>
  </si>
  <si>
    <t>Offsite renewables - heat</t>
  </si>
  <si>
    <t>Onsite renewables - CHP</t>
  </si>
  <si>
    <t>Offsite renewables - CHP</t>
  </si>
  <si>
    <t>Purchased renewables - heat</t>
  </si>
  <si>
    <t>Purchased renewables - electricity</t>
  </si>
  <si>
    <t>Initial Results</t>
  </si>
  <si>
    <r>
      <t xml:space="preserve">This section presents the </t>
    </r>
    <r>
      <rPr>
        <b/>
        <sz val="11"/>
        <color theme="1"/>
        <rFont val="Arial"/>
        <family val="2"/>
      </rPr>
      <t>initial draft</t>
    </r>
    <r>
      <rPr>
        <sz val="11"/>
        <color theme="1"/>
        <rFont val="Arial"/>
        <family val="2"/>
      </rPr>
      <t xml:space="preserve"> results for the footprint for this reporting year. This section will automatically populate once data is entered in to the rest of the collection form.
These results may be updated based on quality assurance and reviews by the NZ reportnig team, and therefore should not be used externally until the final Welsh Public Sector Results are published in April.</t>
    </r>
  </si>
  <si>
    <t>Initial Results (tCO2e)</t>
  </si>
  <si>
    <t>Source</t>
  </si>
  <si>
    <t>Totals</t>
  </si>
  <si>
    <t>Sector Totals (tCO2e)</t>
  </si>
  <si>
    <t>Stationary Assets</t>
  </si>
  <si>
    <t>Medical Gases</t>
  </si>
  <si>
    <t>Supply Chain</t>
  </si>
  <si>
    <t>Stationary Asset Totals (tCO2e)</t>
  </si>
  <si>
    <t>Buildings - Heat &amp; Fuels</t>
  </si>
  <si>
    <t>Buildings - F Gases</t>
  </si>
  <si>
    <t>Transport Totals (tCO2e)</t>
  </si>
  <si>
    <t>Business Travel</t>
  </si>
  <si>
    <t>Buildings</t>
  </si>
  <si>
    <t>Missing data?</t>
  </si>
  <si>
    <t>Site information</t>
  </si>
  <si>
    <r>
      <t xml:space="preserve">There is </t>
    </r>
    <r>
      <rPr>
        <b/>
        <sz val="11"/>
        <color theme="1"/>
        <rFont val="Arial"/>
        <family val="2"/>
      </rPr>
      <t>one table</t>
    </r>
    <r>
      <rPr>
        <sz val="11"/>
        <color theme="1"/>
        <rFont val="Arial"/>
        <family val="2"/>
      </rPr>
      <t xml:space="preserve"> on this page.
This page is about your built estate and assets.</t>
    </r>
  </si>
  <si>
    <t>Building category</t>
  </si>
  <si>
    <t>Main heating type</t>
  </si>
  <si>
    <t>Heating system size (kW thermal)</t>
  </si>
  <si>
    <t>Postcode</t>
  </si>
  <si>
    <t>Electricity</t>
  </si>
  <si>
    <r>
      <t>There are</t>
    </r>
    <r>
      <rPr>
        <b/>
        <sz val="11"/>
        <color theme="1"/>
        <rFont val="Arial"/>
        <family val="2"/>
      </rPr>
      <t xml:space="preserve"> two tables</t>
    </r>
    <r>
      <rPr>
        <sz val="11"/>
        <color theme="1"/>
        <rFont val="Arial"/>
        <family val="2"/>
      </rPr>
      <t xml:space="preserve"> on this page.
This page is for inputting electricity consumed by your buildings or assets. It relates to Section 7.3. of the guidance document.</t>
    </r>
  </si>
  <si>
    <t>Calculation or locked</t>
  </si>
  <si>
    <r>
      <t xml:space="preserve">This table will likely only need to be filled in by </t>
    </r>
    <r>
      <rPr>
        <b/>
        <sz val="11"/>
        <color theme="1"/>
        <rFont val="Arial"/>
        <family val="2"/>
      </rPr>
      <t>Local Authorities</t>
    </r>
    <r>
      <rPr>
        <sz val="11"/>
        <color theme="1"/>
        <rFont val="Arial"/>
        <family val="2"/>
      </rPr>
      <t>. Here, we would like to know the amount of electricity consumed by streetlights, traffic signals and street signage.</t>
    </r>
  </si>
  <si>
    <t>Name</t>
  </si>
  <si>
    <t>Type of lighting</t>
  </si>
  <si>
    <t>Methodology</t>
  </si>
  <si>
    <t>Data</t>
  </si>
  <si>
    <t>Units</t>
  </si>
  <si>
    <t>Contracting</t>
  </si>
  <si>
    <t>Ease of collection</t>
  </si>
  <si>
    <t>Completeness</t>
  </si>
  <si>
    <t>Notes</t>
  </si>
  <si>
    <t>ID</t>
  </si>
  <si>
    <t>Level 1</t>
  </si>
  <si>
    <t>Level 2</t>
  </si>
  <si>
    <t>Level 3</t>
  </si>
  <si>
    <t>Level 4</t>
  </si>
  <si>
    <t>Level 5</t>
  </si>
  <si>
    <t>Level 6</t>
  </si>
  <si>
    <t>Info 1</t>
  </si>
  <si>
    <t>Info 2</t>
  </si>
  <si>
    <t>RSD</t>
  </si>
  <si>
    <t>Converted data</t>
  </si>
  <si>
    <t>Standard units</t>
  </si>
  <si>
    <t>Scope 1 (tCO2e)</t>
  </si>
  <si>
    <t>Scope 2 (tCO2e)</t>
  </si>
  <si>
    <t>Scope 3 (tCO2e)</t>
  </si>
  <si>
    <t>Scope 3 WTT (tCO2e)</t>
  </si>
  <si>
    <t>Scope 3 T&amp;D (tCO2e)</t>
  </si>
  <si>
    <t>Scope 3 WTT T&amp;D (tCO2e)</t>
  </si>
  <si>
    <t>Total (tCO2e)</t>
  </si>
  <si>
    <t>Low (tCO2e)</t>
  </si>
  <si>
    <t>High (tCO2e)</t>
  </si>
  <si>
    <t>OOS (tCO2e)</t>
  </si>
  <si>
    <t>kWh</t>
  </si>
  <si>
    <t>Buildings - Grid Electricity</t>
  </si>
  <si>
    <t xml:space="preserve">This table if for all public sector bodies to fill in the amount of electricity consumed by buildings and assets from the electricity grid.
The site name drop down is based on the site information tab, please update this if the site name is not appearing in this table.
Energy consumed via renewable energy assets, owned and operated by the organisation, should be reported in the renewables tab. 
</t>
  </si>
  <si>
    <t>Site Name</t>
  </si>
  <si>
    <t>MPAN</t>
  </si>
  <si>
    <t>Fuels</t>
  </si>
  <si>
    <r>
      <t xml:space="preserve">There is </t>
    </r>
    <r>
      <rPr>
        <b/>
        <sz val="11"/>
        <color theme="1"/>
        <rFont val="Arial"/>
        <family val="2"/>
      </rPr>
      <t>one table</t>
    </r>
    <r>
      <rPr>
        <sz val="11"/>
        <color theme="1"/>
        <rFont val="Arial"/>
        <family val="2"/>
      </rPr>
      <t xml:space="preserve"> on this page.
The page is for inputting the fuel consumed by your buildings or assets. It relates to Section 7.4. of the guidance document.</t>
    </r>
  </si>
  <si>
    <t>MPRN</t>
  </si>
  <si>
    <t>Heating Type</t>
  </si>
  <si>
    <t>Fuel</t>
  </si>
  <si>
    <t>Bioenergy</t>
  </si>
  <si>
    <t>Water</t>
  </si>
  <si>
    <r>
      <t xml:space="preserve">There is </t>
    </r>
    <r>
      <rPr>
        <b/>
        <sz val="11"/>
        <color theme="1"/>
        <rFont val="Arial"/>
        <family val="2"/>
      </rPr>
      <t>one table</t>
    </r>
    <r>
      <rPr>
        <sz val="11"/>
        <color theme="1"/>
        <rFont val="Arial"/>
        <family val="2"/>
      </rPr>
      <t xml:space="preserve"> on this page.
The page is for inputting the water consumed by your buildings or assets. It relates to Section 7.5. of the guidance document.</t>
    </r>
  </si>
  <si>
    <t>This section is for all public sector bodies to enter data relating to their consumption of water. Here, upstream emissions for the supply of water to the site and the downstream emissions for the treatment of wastewater are calculated.
Under the 'Type' header, most public sector bodies should enter 'Supply &amp; Treatment'.
The site name drop down is based on the site information tab, please update this if the site name is not appearing in this table.</t>
  </si>
  <si>
    <t>Meter Reference</t>
  </si>
  <si>
    <t>Type</t>
  </si>
  <si>
    <r>
      <t xml:space="preserve">There are </t>
    </r>
    <r>
      <rPr>
        <b/>
        <sz val="11"/>
        <color theme="1"/>
        <rFont val="Arial"/>
        <family val="2"/>
      </rPr>
      <t>two tables</t>
    </r>
    <r>
      <rPr>
        <sz val="11"/>
        <color theme="1"/>
        <rFont val="Arial"/>
        <family val="2"/>
      </rPr>
      <t xml:space="preserve"> on this page.
The page is for inputting the f-gases and medical gases consumed by your buildings and assets. It relates to Section 7.6. of the guidance document.</t>
    </r>
  </si>
  <si>
    <t>F-Gases</t>
  </si>
  <si>
    <t>This section is for all public sector bodies to enter data relating to their consumption of f-gases.</t>
  </si>
  <si>
    <t>Gas</t>
  </si>
  <si>
    <t>Tier 3</t>
  </si>
  <si>
    <t>kg</t>
  </si>
  <si>
    <t>Refrigerants</t>
  </si>
  <si>
    <t>NaN</t>
  </si>
  <si>
    <t>Medical Gases (NHS only)</t>
  </si>
  <si>
    <r>
      <t xml:space="preserve">This section </t>
    </r>
    <r>
      <rPr>
        <b/>
        <sz val="11"/>
        <color theme="1"/>
        <rFont val="Arial"/>
        <family val="2"/>
      </rPr>
      <t>only</t>
    </r>
    <r>
      <rPr>
        <sz val="11"/>
        <color theme="1"/>
        <rFont val="Arial"/>
        <family val="2"/>
      </rPr>
      <t xml:space="preserve"> needs to be completed by </t>
    </r>
    <r>
      <rPr>
        <b/>
        <sz val="11"/>
        <color theme="1"/>
        <rFont val="Arial"/>
        <family val="2"/>
      </rPr>
      <t>NHS</t>
    </r>
    <r>
      <rPr>
        <sz val="11"/>
        <color theme="1"/>
        <rFont val="Arial"/>
        <family val="2"/>
      </rPr>
      <t xml:space="preserve"> </t>
    </r>
    <r>
      <rPr>
        <b/>
        <sz val="11"/>
        <color theme="1"/>
        <rFont val="Arial"/>
        <family val="2"/>
      </rPr>
      <t>Health Boards</t>
    </r>
    <r>
      <rPr>
        <sz val="11"/>
        <color theme="1"/>
        <rFont val="Arial"/>
        <family val="2"/>
      </rPr>
      <t xml:space="preserve"> and </t>
    </r>
    <r>
      <rPr>
        <b/>
        <sz val="11"/>
        <color theme="1"/>
        <rFont val="Arial"/>
        <family val="2"/>
      </rPr>
      <t>WAST</t>
    </r>
    <r>
      <rPr>
        <sz val="11"/>
        <color theme="1"/>
        <rFont val="Arial"/>
        <family val="2"/>
      </rPr>
      <t>.</t>
    </r>
  </si>
  <si>
    <t xml:space="preserve">Info1 </t>
  </si>
  <si>
    <t>litres</t>
  </si>
  <si>
    <t>Medical Gas</t>
  </si>
  <si>
    <r>
      <t xml:space="preserve">There are </t>
    </r>
    <r>
      <rPr>
        <b/>
        <sz val="11"/>
        <color theme="1"/>
        <rFont val="Arial"/>
        <family val="2"/>
      </rPr>
      <t>two tables</t>
    </r>
    <r>
      <rPr>
        <sz val="11"/>
        <color theme="1"/>
        <rFont val="Arial"/>
        <family val="2"/>
      </rPr>
      <t xml:space="preserve"> on this page.
The page is for inputting fleet and data, either fuel consumed or distance travelled. It relates to Section 8.2. of the guidance document.</t>
    </r>
  </si>
  <si>
    <t>Fleet and equipment - fuel</t>
  </si>
  <si>
    <t>This section is for all public sector bodies to enter regarding fuel consumption for their fleet, equipment and generators.
If you're fleet data is not available in litres or kWh of fuel, but only available in terms of km or miles driven, then please enter your data in the table below.
Do not enter the same vehicles in both this table and the table below as that will result in double counting of emissions.</t>
  </si>
  <si>
    <t>Fleet type</t>
  </si>
  <si>
    <t>Number of units</t>
  </si>
  <si>
    <t>Vehicle</t>
  </si>
  <si>
    <t>Petrol</t>
  </si>
  <si>
    <t>Fleet</t>
  </si>
  <si>
    <t>Average</t>
  </si>
  <si>
    <t xml:space="preserve">This section is for all public sector bodies to enter distance travelled by their fleet.
If your fleet data is not available in km or miles, and only available in terms of litres or kWh of fuel consumed, then please enter your data in the table above. Do not enter the same vehicles in both this table and the table above as that will result in double counting of emissions.
If you are unsure about your vehicle size then please select 'Average'. Do not leave the 'Size' field blank.
</t>
  </si>
  <si>
    <t>Size</t>
  </si>
  <si>
    <t>km</t>
  </si>
  <si>
    <t>Business Travel, Commuting and Homeworking</t>
  </si>
  <si>
    <r>
      <t xml:space="preserve">There are </t>
    </r>
    <r>
      <rPr>
        <b/>
        <sz val="11"/>
        <color theme="1"/>
        <rFont val="Arial"/>
        <family val="2"/>
      </rPr>
      <t>three tables</t>
    </r>
    <r>
      <rPr>
        <sz val="11"/>
        <color theme="1"/>
        <rFont val="Arial"/>
        <family val="2"/>
      </rPr>
      <t xml:space="preserve"> on this page.
The page is for inputting fleet and data, either fuel consumed or distance travelled. It relates to Section 8.3-5 of the guidance document.
</t>
    </r>
  </si>
  <si>
    <t>This section is for all Public Sector Bodies to enter data regarding their business travel.
This is distance data for all journeys and trips that are undertaken as a result of business activities.
Data can be aggregated by travel mode and type.</t>
  </si>
  <si>
    <t>Travel mode</t>
  </si>
  <si>
    <t>Category</t>
  </si>
  <si>
    <t>Details</t>
  </si>
  <si>
    <t xml:space="preserve">This section is for all Public Sector Bodies to enter relating to staff commuting.
Data can be aggregated by travel mode and type.
</t>
  </si>
  <si>
    <t xml:space="preserve">This table is for all Public Sector Bodies to enter relating to staff homeworking. </t>
  </si>
  <si>
    <t>Blank</t>
  </si>
  <si>
    <t>Number of FTE</t>
  </si>
  <si>
    <t>% Working hours at home</t>
  </si>
  <si>
    <t>FTE.hrs</t>
  </si>
  <si>
    <r>
      <t xml:space="preserve">There are </t>
    </r>
    <r>
      <rPr>
        <b/>
        <sz val="11"/>
        <color theme="1"/>
        <rFont val="Arial"/>
        <family val="2"/>
      </rPr>
      <t>three tables</t>
    </r>
    <r>
      <rPr>
        <sz val="11"/>
        <color theme="1"/>
        <rFont val="Arial"/>
        <family val="2"/>
      </rPr>
      <t xml:space="preserve"> on this page.
The page is for inputting waste data. It relates to Section 9 of the guidance document.</t>
    </r>
  </si>
  <si>
    <t>This section is for all public sector bodies to enter data about operational waste they produce as an organisation.
This data should typically be available from your waste removal provider.</t>
  </si>
  <si>
    <t>Disposal Method</t>
  </si>
  <si>
    <t>Waste Type</t>
  </si>
  <si>
    <t>Organisational</t>
  </si>
  <si>
    <t>Yes</t>
  </si>
  <si>
    <r>
      <t xml:space="preserve">This section is for </t>
    </r>
    <r>
      <rPr>
        <b/>
        <sz val="11"/>
        <color theme="1"/>
        <rFont val="Arial"/>
        <family val="2"/>
      </rPr>
      <t>Local Authorities</t>
    </r>
    <r>
      <rPr>
        <sz val="11"/>
        <color theme="1"/>
        <rFont val="Arial"/>
        <family val="2"/>
      </rPr>
      <t xml:space="preserve"> to enter data about municipal waste. This is household and non-household waste that is collected as part of Local Authority-run waste collection services.
If the Local Authority runs the waste collection fleet, cell J35 should be set to 'Yes'. The fuel consumed by the waste collection fleet should be included in the 'Fleet' tab. This avoids double counting of transport of waste emissions.</t>
    </r>
  </si>
  <si>
    <t>Municipal</t>
  </si>
  <si>
    <t>If your organisation has undertaken a construction or retrofit project, or regularly collects information on construction waste for delivery of public services, this data can be entered here.</t>
  </si>
  <si>
    <t>Project</t>
  </si>
  <si>
    <r>
      <t xml:space="preserve">There are </t>
    </r>
    <r>
      <rPr>
        <b/>
        <sz val="11"/>
        <color theme="1"/>
        <rFont val="Arial"/>
        <family val="2"/>
      </rPr>
      <t>two tables</t>
    </r>
    <r>
      <rPr>
        <sz val="11"/>
        <color theme="1"/>
        <rFont val="Arial"/>
        <family val="2"/>
      </rPr>
      <t xml:space="preserve"> on this page.
The page is for inputting Supply Chain data. It relates to Section 10.1-2 of the guidance document.</t>
    </r>
  </si>
  <si>
    <t>Supply chain - tier 1</t>
  </si>
  <si>
    <t>Product Category</t>
  </si>
  <si>
    <t>Data type</t>
  </si>
  <si>
    <t>£</t>
  </si>
  <si>
    <t>Spend-based EF</t>
  </si>
  <si>
    <t>Supply chain</t>
  </si>
  <si>
    <t>Wood and of products of wood and cork, except furniture; articles of straw and plaiting materials</t>
  </si>
  <si>
    <t>Electricity, transmission and distribution</t>
  </si>
  <si>
    <t>Owner-Occupiers' Housing Services</t>
  </si>
  <si>
    <t>Supply chain - tier 2</t>
  </si>
  <si>
    <t>If you have calculated emissions using Tier 2 methods, without using the supplier forms, you can record these emissions in this table. 
Include notes about your method and the amount of spend that these emissions account for. DO NOT subtract this spend from the data reported in the table above.</t>
  </si>
  <si>
    <t>Spend (£)</t>
  </si>
  <si>
    <t>Emissions (kgCO2e)</t>
  </si>
  <si>
    <t>Organisation-based EF</t>
  </si>
  <si>
    <t>This sheet collates returns from suppliers who have completed the Welsh Public Sector supplier data collection form.</t>
  </si>
  <si>
    <t>Supply chain - supplier data</t>
  </si>
  <si>
    <t>Supplier</t>
  </si>
  <si>
    <t>Product category</t>
  </si>
  <si>
    <t>&gt;</t>
  </si>
  <si>
    <t>Electrical equipment</t>
  </si>
  <si>
    <t>Computer, electronic and optical products</t>
  </si>
  <si>
    <r>
      <t xml:space="preserve">Select the cell in column F adjacent to the numbered cells (e.g., 1️⃣), and paste the </t>
    </r>
    <r>
      <rPr>
        <b/>
        <sz val="11"/>
        <color theme="1"/>
        <rFont val="Arial"/>
        <family val="2"/>
      </rPr>
      <t xml:space="preserve">values </t>
    </r>
    <r>
      <rPr>
        <sz val="11"/>
        <color theme="1"/>
        <rFont val="Arial"/>
        <family val="2"/>
      </rPr>
      <t>from the 'Export to NZ reporting' into this table. 
To paste values only, right click on the call and select 'Paste Values':
The numbers ascend to 20, but you are not restricted on the number of supplier returns that can be submitted.</t>
    </r>
  </si>
  <si>
    <t>Outside of Scope</t>
  </si>
  <si>
    <t>Forestry, Land Use and Agriculture (FLAG)</t>
  </si>
  <si>
    <r>
      <t xml:space="preserve">There are </t>
    </r>
    <r>
      <rPr>
        <b/>
        <sz val="11"/>
        <color theme="1"/>
        <rFont val="Arial"/>
        <family val="2"/>
      </rPr>
      <t>three tables</t>
    </r>
    <r>
      <rPr>
        <sz val="11"/>
        <color theme="1"/>
        <rFont val="Arial"/>
        <family val="2"/>
      </rPr>
      <t xml:space="preserve"> on this page.
The page is for inputting data on land use and land use change. It relates to Section 11 of the guidance document. </t>
    </r>
    <r>
      <rPr>
        <u/>
        <sz val="11"/>
        <color theme="1"/>
        <rFont val="Arial"/>
        <family val="2"/>
      </rPr>
      <t>Data should be inputted if your organisation has &gt;10 hectares of land</t>
    </r>
    <r>
      <rPr>
        <sz val="11"/>
        <color theme="1"/>
        <rFont val="Arial"/>
        <family val="2"/>
      </rPr>
      <t>.</t>
    </r>
  </si>
  <si>
    <t>Land use and land use change (LULUC) - Tier 1</t>
  </si>
  <si>
    <t xml:space="preserve">Complete the Tier 1 table with available information.
Data needs to be in land area (hectares). </t>
  </si>
  <si>
    <t>Current land use type</t>
  </si>
  <si>
    <t>Soil type</t>
  </si>
  <si>
    <t>Previous land use type</t>
  </si>
  <si>
    <t>Ha</t>
  </si>
  <si>
    <t>Land use</t>
  </si>
  <si>
    <t>Land use and land use change (LULUC) - Tier 2</t>
  </si>
  <si>
    <t>If you have used a Tier 2 method to report your emissions, complete the Tier 2 table, providing notes about data sources and methods used. 
Data needs to be in land area (hectares).</t>
  </si>
  <si>
    <t>Land use type</t>
  </si>
  <si>
    <t>Methodology used (IPCC equivalent Tier)</t>
  </si>
  <si>
    <t>Emissions removed (tCO2e)</t>
  </si>
  <si>
    <t>Unknown</t>
  </si>
  <si>
    <t>Public Sector bodies can enter data here about arable land that they own and operate, as well as owned livestock.
Data does not need to be entered for farmland and agricultural activies if they are leased out. Only report here if you own and operate the agricultural assets.</t>
  </si>
  <si>
    <t>Agriculture emission source</t>
  </si>
  <si>
    <t>Electricity Generation</t>
  </si>
  <si>
    <r>
      <t xml:space="preserve">There are </t>
    </r>
    <r>
      <rPr>
        <b/>
        <sz val="11"/>
        <color theme="1"/>
        <rFont val="Arial"/>
        <family val="2"/>
      </rPr>
      <t>two tables</t>
    </r>
    <r>
      <rPr>
        <sz val="11"/>
        <color theme="1"/>
        <rFont val="Arial"/>
        <family val="2"/>
      </rPr>
      <t xml:space="preserve"> on this page.
The page is for inputting data on renewable energy generation. It relates to Section 12 of the guidance document.</t>
    </r>
  </si>
  <si>
    <t xml:space="preserve">Use this table to submit the amount of renewable electricity generated by assets owned and operated by your organisation. 
Here are some quick checks to ensure the data your submit is accurate:
- Time check: Is generation based on a continous 12-month dataset?
- Unit check: Have you kept kW (capacity) separate from kWh (generation/flows)?
- Ballpark check: Does annual kWh look plausible for the stated kW capacity?
- Certificate check: Is measured generation broadly consistent with the estimated annual generation on the installation document?
- Availability sense-check: Do availability and generation contradict (e.g., 0% availability with generation; 100% with very low output)?
- Completeness: Any missing data (outages, gaps) recorded via completeness and notes?
- Capacity validity: For solar PV, is the capacity consistent with inverted limitations/ installation certification values?
- Has the asset manager/energy manager reviewed the row for issues? 
</t>
  </si>
  <si>
    <t>Generating site name</t>
  </si>
  <si>
    <t>Location</t>
  </si>
  <si>
    <t>Renewable Type</t>
  </si>
  <si>
    <t>Technology</t>
  </si>
  <si>
    <t>Methodology used</t>
  </si>
  <si>
    <t>Type of ownership</t>
  </si>
  <si>
    <t>Age (years)</t>
  </si>
  <si>
    <t>Availability</t>
  </si>
  <si>
    <t>Total kW capacity</t>
  </si>
  <si>
    <t>Total kWh generated</t>
  </si>
  <si>
    <t>kWh consumed by reporting organisation</t>
  </si>
  <si>
    <t>kWh exported to grid</t>
  </si>
  <si>
    <t>kWh exported to other PSB</t>
  </si>
  <si>
    <t>Name of other PSB</t>
  </si>
  <si>
    <t>Onsite</t>
  </si>
  <si>
    <t>Renewable electricity</t>
  </si>
  <si>
    <t>Wind</t>
  </si>
  <si>
    <t>Public</t>
  </si>
  <si>
    <t>Automated collection process</t>
  </si>
  <si>
    <t>Complete</t>
  </si>
  <si>
    <t>Total MW capacity</t>
  </si>
  <si>
    <t>Renewable heat</t>
  </si>
  <si>
    <t>Air source heat pump</t>
  </si>
  <si>
    <t>General Ranges</t>
  </si>
  <si>
    <t>Organisation Info Ranges</t>
  </si>
  <si>
    <t>Site Info Ranges</t>
  </si>
  <si>
    <t>Building Ranges</t>
  </si>
  <si>
    <t>Supply Chain Ranges</t>
  </si>
  <si>
    <t>Renewable ranges</t>
  </si>
  <si>
    <t>All Levels</t>
  </si>
  <si>
    <t>Drop down feeders</t>
  </si>
  <si>
    <t>Range Name</t>
  </si>
  <si>
    <t>rng_yes_no</t>
  </si>
  <si>
    <t>rng_yes_no_na</t>
  </si>
  <si>
    <t>rng_data_completeness</t>
  </si>
  <si>
    <t>rng_data_ease</t>
  </si>
  <si>
    <t>rng_year</t>
  </si>
  <si>
    <t>rng_methodology</t>
  </si>
  <si>
    <t>rng_org_type</t>
  </si>
  <si>
    <t>rng_org_type_long</t>
  </si>
  <si>
    <t>rng_org_name</t>
  </si>
  <si>
    <t>rng_region</t>
  </si>
  <si>
    <t>rng_heating_type</t>
  </si>
  <si>
    <t>rng_bldg_ownership</t>
  </si>
  <si>
    <t>rng_sitename</t>
  </si>
  <si>
    <t>rng_building_cat</t>
  </si>
  <si>
    <t>rng_building_cat_long</t>
  </si>
  <si>
    <t>rng_building_type</t>
  </si>
  <si>
    <t>rng_electricity_contract</t>
  </si>
  <si>
    <t>rng_supply_chain_tier2_rsd</t>
  </si>
  <si>
    <t>rng_supply_chain_data_type</t>
  </si>
  <si>
    <t>rng_location</t>
  </si>
  <si>
    <t>rng_electricity_type</t>
  </si>
  <si>
    <t>rng_electricity_technology</t>
  </si>
  <si>
    <t>rng_renewables_ownership</t>
  </si>
  <si>
    <t>rng_heat_type</t>
  </si>
  <si>
    <t>rng_heat_technology</t>
  </si>
  <si>
    <t>rng_Level1Long</t>
  </si>
  <si>
    <t>rng_Level2Long</t>
  </si>
  <si>
    <t>rng_Level3Long</t>
  </si>
  <si>
    <t>rng_Level4Long</t>
  </si>
  <si>
    <t>rng_Level5Long</t>
  </si>
  <si>
    <t>rng_Level6Long</t>
  </si>
  <si>
    <t>rng_LevelsConcat</t>
  </si>
  <si>
    <t>rng_UnitsLong</t>
  </si>
  <si>
    <t>rng_AltUnitsLong</t>
  </si>
  <si>
    <t>rng_RSD1</t>
  </si>
  <si>
    <t>rng_RSD2</t>
  </si>
  <si>
    <t>rng_RSD3</t>
  </si>
  <si>
    <t>rng_Level1Unique</t>
  </si>
  <si>
    <t>rng_Level1</t>
  </si>
  <si>
    <t>cl_Level2Target</t>
  </si>
  <si>
    <t>rng_Level2</t>
  </si>
  <si>
    <t>cl_Level3Target</t>
  </si>
  <si>
    <t>rng_Level3</t>
  </si>
  <si>
    <t>cl_Level4Target</t>
  </si>
  <si>
    <t>rng_Level4</t>
  </si>
  <si>
    <t>cl_Level5Target</t>
  </si>
  <si>
    <t>rng_Level46</t>
  </si>
  <si>
    <t>cl_Level6Target</t>
  </si>
  <si>
    <t>Description</t>
  </si>
  <si>
    <t>Yes or no choice</t>
  </si>
  <si>
    <t>Data completeness</t>
  </si>
  <si>
    <t>Data ease</t>
  </si>
  <si>
    <t>Year selection</t>
  </si>
  <si>
    <t>Mehtodology tier</t>
  </si>
  <si>
    <t>Organisation types</t>
  </si>
  <si>
    <t>Organisation names</t>
  </si>
  <si>
    <t>Region of Wales</t>
  </si>
  <si>
    <t>Building ownership</t>
  </si>
  <si>
    <t>Unique site names</t>
  </si>
  <si>
    <t>Renewables location</t>
  </si>
  <si>
    <t>Renewable electricity type</t>
  </si>
  <si>
    <t>Renewable electricity technology</t>
  </si>
  <si>
    <t>Renewable ownership</t>
  </si>
  <si>
    <t>Renewable heat type</t>
  </si>
  <si>
    <t>Renewable heat technology</t>
  </si>
  <si>
    <t>LevelsConcat</t>
  </si>
  <si>
    <t>Standard Unit</t>
  </si>
  <si>
    <t>Alternative Unit</t>
  </si>
  <si>
    <t>Tier 1 RSD</t>
  </si>
  <si>
    <t>Tier 2 RSD</t>
  </si>
  <si>
    <t>Tier 3 RSD</t>
  </si>
  <si>
    <t>Level 1 Unique</t>
  </si>
  <si>
    <t>Level 1&amp;2 Unique</t>
  </si>
  <si>
    <t>Level 2&amp;3 Unique</t>
  </si>
  <si>
    <t>Level 3&amp;4 Unique</t>
  </si>
  <si>
    <t>Level 4&amp;5 Unique</t>
  </si>
  <si>
    <t>Level 4&amp;6 Unique</t>
  </si>
  <si>
    <t>Count</t>
  </si>
  <si>
    <t>FY 25/26</t>
  </si>
  <si>
    <t>College</t>
  </si>
  <si>
    <t>Bridgend College</t>
  </si>
  <si>
    <t>North Wales</t>
  </si>
  <si>
    <t>Boiler</t>
  </si>
  <si>
    <t>Catering</t>
  </si>
  <si>
    <t>Fast food restaurants</t>
  </si>
  <si>
    <t>Standard tariff</t>
  </si>
  <si>
    <t>Our Estate</t>
  </si>
  <si>
    <t>HFC-23</t>
  </si>
  <si>
    <t>No</t>
  </si>
  <si>
    <t>Incomplete</t>
  </si>
  <si>
    <t>Easy manual collection process</t>
  </si>
  <si>
    <t>Corporate Joint Committee</t>
  </si>
  <si>
    <t>Cardiff and Vale College</t>
  </si>
  <si>
    <t>Mid and South West Wales</t>
  </si>
  <si>
    <t>Combi boiler</t>
  </si>
  <si>
    <t>Buildings we lease in from other organisations</t>
  </si>
  <si>
    <t>Public houses</t>
  </si>
  <si>
    <t>Green tariff</t>
  </si>
  <si>
    <t>Offsite</t>
  </si>
  <si>
    <t>Rooftop Solar PV</t>
  </si>
  <si>
    <t>Shared</t>
  </si>
  <si>
    <t>Water source heat pump</t>
  </si>
  <si>
    <t>HFC-32</t>
  </si>
  <si>
    <t>N/A</t>
  </si>
  <si>
    <t>Unavailable</t>
  </si>
  <si>
    <t>Hard manual collection process</t>
  </si>
  <si>
    <t>Fire and Rescue Service</t>
  </si>
  <si>
    <t>Coleg Cambria</t>
  </si>
  <si>
    <t>South East Wales</t>
  </si>
  <si>
    <t xml:space="preserve">Air source heat pump </t>
  </si>
  <si>
    <t>Buildings we lease out to deliver services</t>
  </si>
  <si>
    <t>Education (further and higher)</t>
  </si>
  <si>
    <t>Restaurants (in public houses)</t>
  </si>
  <si>
    <t>PPA</t>
  </si>
  <si>
    <t>Ground Solar PV</t>
  </si>
  <si>
    <t>Community</t>
  </si>
  <si>
    <t>Ground source heat pump</t>
  </si>
  <si>
    <t>HFC-41</t>
  </si>
  <si>
    <t>Local Authority</t>
  </si>
  <si>
    <t>Coleg Ceredigion</t>
  </si>
  <si>
    <t>All Wales</t>
  </si>
  <si>
    <t>Buildings we lease out to another public body</t>
  </si>
  <si>
    <t>Education (Higher)</t>
  </si>
  <si>
    <t>Restaurants (with bar)</t>
  </si>
  <si>
    <t>Solar Canopy</t>
  </si>
  <si>
    <t>Private (Welsh)</t>
  </si>
  <si>
    <t>Solar thermal</t>
  </si>
  <si>
    <t>HFC-125</t>
  </si>
  <si>
    <t>National Park Authority</t>
  </si>
  <si>
    <t>Coleg Gwent</t>
  </si>
  <si>
    <t xml:space="preserve">Electric </t>
  </si>
  <si>
    <t>Buildings - all our estate</t>
  </si>
  <si>
    <t>Education (schools)</t>
  </si>
  <si>
    <t>Detached House (gas-heated)</t>
  </si>
  <si>
    <t>Hydro</t>
  </si>
  <si>
    <t>Private (Non-Welsh)</t>
  </si>
  <si>
    <t>Biomass boiler</t>
  </si>
  <si>
    <t>HFC-134</t>
  </si>
  <si>
    <t>NHS Wales</t>
  </si>
  <si>
    <t>Coleg Sir Gâr</t>
  </si>
  <si>
    <t>CHP</t>
  </si>
  <si>
    <t>Renewable electricity generation site</t>
  </si>
  <si>
    <t>Entertainment</t>
  </si>
  <si>
    <t>Detached House (elec-heated)</t>
  </si>
  <si>
    <t>Renewable electricity CHP</t>
  </si>
  <si>
    <t>Biomass CHP</t>
  </si>
  <si>
    <t>Biogas boiler</t>
  </si>
  <si>
    <t>HFC-134a</t>
  </si>
  <si>
    <t>Other Public Sector Body</t>
  </si>
  <si>
    <t>Coleg y Cymoedd</t>
  </si>
  <si>
    <t>Hospitals</t>
  </si>
  <si>
    <t>Semi-Detached House (gas-heated)</t>
  </si>
  <si>
    <t>Biogas CHP</t>
  </si>
  <si>
    <t>Renewable CHP heat</t>
  </si>
  <si>
    <t>HFC-143</t>
  </si>
  <si>
    <t>University</t>
  </si>
  <si>
    <t>Gower College Swansea</t>
  </si>
  <si>
    <t>Hotels</t>
  </si>
  <si>
    <t>HFC-143a</t>
  </si>
  <si>
    <t>Welsh Government</t>
  </si>
  <si>
    <t>Grwp Llandrillo Menai</t>
  </si>
  <si>
    <t>Industrial buildings</t>
  </si>
  <si>
    <t>End Terrace House (gas-heated)</t>
  </si>
  <si>
    <t>HFC-152a</t>
  </si>
  <si>
    <t>Merthyr Tydfil College</t>
  </si>
  <si>
    <t>Local authority buildings</t>
  </si>
  <si>
    <t>End Terrace House (elec-heated)</t>
  </si>
  <si>
    <t>HFC-227ea</t>
  </si>
  <si>
    <t>NPTC Group</t>
  </si>
  <si>
    <t>Ministry of Defence buildings</t>
  </si>
  <si>
    <t>Mid Terrace House (gas-heated)</t>
  </si>
  <si>
    <t>HFC-236fa</t>
  </si>
  <si>
    <t>Pembrokeshire College</t>
  </si>
  <si>
    <t>Offices</t>
  </si>
  <si>
    <t>Mid Terrace House (elec-heated)</t>
  </si>
  <si>
    <t>HFC-245fa</t>
  </si>
  <si>
    <t>St David's Catholic College</t>
  </si>
  <si>
    <t>Primary health care (GP Pactice/Dentist)</t>
  </si>
  <si>
    <t>Bungalow (gas-heated)</t>
  </si>
  <si>
    <t>HFC-43-I0mee</t>
  </si>
  <si>
    <t>Mid Wales CJC</t>
  </si>
  <si>
    <t>Public buildings</t>
  </si>
  <si>
    <t>Bungalow (elec-heated)</t>
  </si>
  <si>
    <t>Perfluoromethane (PFC-14)</t>
  </si>
  <si>
    <t>North Wales CJC</t>
  </si>
  <si>
    <t>Retail</t>
  </si>
  <si>
    <t>Flat (gas-heated)</t>
  </si>
  <si>
    <t>Perfluoroethane (PFC-116)</t>
  </si>
  <si>
    <t>South East Wales CJC</t>
  </si>
  <si>
    <t>Sports and recreation</t>
  </si>
  <si>
    <t>Flat (elec-heated)</t>
  </si>
  <si>
    <t>Perfluoropropane (PFC-218)</t>
  </si>
  <si>
    <t>South Wales CJC</t>
  </si>
  <si>
    <t>Other</t>
  </si>
  <si>
    <t>Catering, bar/restaurant</t>
  </si>
  <si>
    <t>Perfluorocyclobutane (PFC-318)</t>
  </si>
  <si>
    <t>Mid and West Wales Fire and Rescue Service</t>
  </si>
  <si>
    <t>Catering, fast food</t>
  </si>
  <si>
    <t>Perfluorobutane (PFC-3-1-10)</t>
  </si>
  <si>
    <t>North Wales Fire and Rescue Service</t>
  </si>
  <si>
    <t>Lecture room, arts</t>
  </si>
  <si>
    <t>Perfluoropentane (PFC-4-1-12)</t>
  </si>
  <si>
    <t>South Wales Fire and Rescue Service</t>
  </si>
  <si>
    <t>Lecture room, science</t>
  </si>
  <si>
    <t>Perfluorohexane (PFC-5-1-14)</t>
  </si>
  <si>
    <t>Blaenau Gwent County Borough Council</t>
  </si>
  <si>
    <t>Library, air conditioned</t>
  </si>
  <si>
    <t>PFC-9-1-18</t>
  </si>
  <si>
    <t>Bridgend County Borough Council</t>
  </si>
  <si>
    <t>Library, naturally ventilated</t>
  </si>
  <si>
    <t>Perfluorocyclopropane</t>
  </si>
  <si>
    <t>Caerphilly County Borough Council</t>
  </si>
  <si>
    <t>Residential, halls of residence</t>
  </si>
  <si>
    <t>Sulphur hexafluoride (SF6)</t>
  </si>
  <si>
    <t>Cardiff Council</t>
  </si>
  <si>
    <t>Residential, self catering/flats</t>
  </si>
  <si>
    <t>HFC-152</t>
  </si>
  <si>
    <t>Carmarthenshire County Council</t>
  </si>
  <si>
    <t>Science laboratory</t>
  </si>
  <si>
    <t>HFC-161</t>
  </si>
  <si>
    <t>Ceredigion County Council</t>
  </si>
  <si>
    <t>Academic - art and design</t>
  </si>
  <si>
    <t>HFC-236cb</t>
  </si>
  <si>
    <t>Conwy County Borough Council</t>
  </si>
  <si>
    <t>Academic - biology/medicine</t>
  </si>
  <si>
    <t>HFC-236ea</t>
  </si>
  <si>
    <t>Denbighshire County Council</t>
  </si>
  <si>
    <t>Academic - chemistry/physics</t>
  </si>
  <si>
    <t>HFC-245ca</t>
  </si>
  <si>
    <t>Flintshire County Council</t>
  </si>
  <si>
    <t>Academic - engineering</t>
  </si>
  <si>
    <t>HFC-365mfc</t>
  </si>
  <si>
    <t>Gwynedd Council</t>
  </si>
  <si>
    <t>Academic - other, non-laboratory/workshop based</t>
  </si>
  <si>
    <t>Nitrogen trifluoride</t>
  </si>
  <si>
    <t>Isle of Anglesey County Council</t>
  </si>
  <si>
    <t>Administration</t>
  </si>
  <si>
    <t>R401A</t>
  </si>
  <si>
    <t>Merthyr Tydfil County Borough Council</t>
  </si>
  <si>
    <t>Catering / bar</t>
  </si>
  <si>
    <t>R401B</t>
  </si>
  <si>
    <t>Monmouthshire County Council</t>
  </si>
  <si>
    <t>Hospital or clinic</t>
  </si>
  <si>
    <t>R401C</t>
  </si>
  <si>
    <t>Neath Port Talbot County Borough Council</t>
  </si>
  <si>
    <t>Lecture theatre / conference facility</t>
  </si>
  <si>
    <t>R402A</t>
  </si>
  <si>
    <t>Newport City Council</t>
  </si>
  <si>
    <t>Library or learning centre</t>
  </si>
  <si>
    <t>R402B</t>
  </si>
  <si>
    <t>Pembrokeshire County Council</t>
  </si>
  <si>
    <t>Residential</t>
  </si>
  <si>
    <t>R403A</t>
  </si>
  <si>
    <t>Powys County Council</t>
  </si>
  <si>
    <t>Sports</t>
  </si>
  <si>
    <t>R403B</t>
  </si>
  <si>
    <t>Rhondda Cynon Taf County Borough Council</t>
  </si>
  <si>
    <t>Primary School</t>
  </si>
  <si>
    <t>R404A</t>
  </si>
  <si>
    <t>Swansea Council</t>
  </si>
  <si>
    <t>Secondary School</t>
  </si>
  <si>
    <t>R405A</t>
  </si>
  <si>
    <t>Torfaen County Borough Council</t>
  </si>
  <si>
    <t>Special School</t>
  </si>
  <si>
    <t>R406A</t>
  </si>
  <si>
    <t>Vale of Glamorgan Council</t>
  </si>
  <si>
    <t>Secondary (with swimming pool)</t>
  </si>
  <si>
    <t>R407A</t>
  </si>
  <si>
    <t>Wrexham County Borough Council</t>
  </si>
  <si>
    <t>Theatres</t>
  </si>
  <si>
    <t>R407B</t>
  </si>
  <si>
    <t>Brecon Beacons National Park Authority</t>
  </si>
  <si>
    <t>Bingo clubs</t>
  </si>
  <si>
    <t>R407C</t>
  </si>
  <si>
    <t>Pembrokeshire Coast National Park Authority</t>
  </si>
  <si>
    <t>Cinemas</t>
  </si>
  <si>
    <t>R407D</t>
  </si>
  <si>
    <t>Snowdonia National Park Authority</t>
  </si>
  <si>
    <t>Social clubs</t>
  </si>
  <si>
    <t>R407E</t>
  </si>
  <si>
    <t>Aneurin Bevan University Health Board</t>
  </si>
  <si>
    <t>General Acute Hospital</t>
  </si>
  <si>
    <t>R407F</t>
  </si>
  <si>
    <t>Betsi Cadwaladr University Health Board</t>
  </si>
  <si>
    <t>Teaching/Specialist Hospital</t>
  </si>
  <si>
    <t>R408A</t>
  </si>
  <si>
    <t>Cardiff and Vale University Health Board</t>
  </si>
  <si>
    <t>Cottage</t>
  </si>
  <si>
    <t>R409A</t>
  </si>
  <si>
    <t>Cwm Taf Morgannwg University Health Board</t>
  </si>
  <si>
    <t>Long stay</t>
  </si>
  <si>
    <t>R409B</t>
  </si>
  <si>
    <t>Digital Health and Care Wales</t>
  </si>
  <si>
    <t>Holiday</t>
  </si>
  <si>
    <t>R410A</t>
  </si>
  <si>
    <t>Health Education and Improvement Wales</t>
  </si>
  <si>
    <t>Luxury</t>
  </si>
  <si>
    <t>R410B</t>
  </si>
  <si>
    <t>Hywel Dda University Health Board</t>
  </si>
  <si>
    <t>Small</t>
  </si>
  <si>
    <t>R411A</t>
  </si>
  <si>
    <t>NWSSP</t>
  </si>
  <si>
    <t>Post-1995; &gt;5000 m2</t>
  </si>
  <si>
    <t>R411B</t>
  </si>
  <si>
    <t>Powys Teaching Health Board</t>
  </si>
  <si>
    <t>Post-1995; =5000 m2</t>
  </si>
  <si>
    <t>R412A</t>
  </si>
  <si>
    <t>Public Health Wales NHS Trust</t>
  </si>
  <si>
    <t>Pre-1995; &gt;5000 m2</t>
  </si>
  <si>
    <t>R413A</t>
  </si>
  <si>
    <t>Swansea Bay University Health Board</t>
  </si>
  <si>
    <t>Pre-1995; =5000 m2</t>
  </si>
  <si>
    <t>R414A</t>
  </si>
  <si>
    <t>Velindre University NHS Trust</t>
  </si>
  <si>
    <t>Town hall</t>
  </si>
  <si>
    <t>R414B</t>
  </si>
  <si>
    <t>Welsh Ambulance Services NHS Trust</t>
  </si>
  <si>
    <t>Community centres</t>
  </si>
  <si>
    <t>R415A</t>
  </si>
  <si>
    <t>Arts Council for Wales</t>
  </si>
  <si>
    <t>Day centre</t>
  </si>
  <si>
    <t>R415B</t>
  </si>
  <si>
    <t>Audit Wales</t>
  </si>
  <si>
    <t>Residential care homes</t>
  </si>
  <si>
    <t>R416A</t>
  </si>
  <si>
    <t>Boundary Commission for Wales</t>
  </si>
  <si>
    <t>Car park (enclosed)</t>
  </si>
  <si>
    <t>R417A</t>
  </si>
  <si>
    <t>Careers Wales</t>
  </si>
  <si>
    <t>Car park (open)</t>
  </si>
  <si>
    <t>R417B</t>
  </si>
  <si>
    <t>Centre for Digital Public Services</t>
  </si>
  <si>
    <t>Depots</t>
  </si>
  <si>
    <t>R417C</t>
  </si>
  <si>
    <t>Development Bank of Wales</t>
  </si>
  <si>
    <t>Sheltered housing</t>
  </si>
  <si>
    <t>R418A</t>
  </si>
  <si>
    <t>Estyn</t>
  </si>
  <si>
    <t>Temporary homeless units</t>
  </si>
  <si>
    <t>R419A</t>
  </si>
  <si>
    <t>Higher Education Funding Council for Wales</t>
  </si>
  <si>
    <t>Aircraft hangars (heated)</t>
  </si>
  <si>
    <t>R419B</t>
  </si>
  <si>
    <t>Life Sciences Hub Wales</t>
  </si>
  <si>
    <t>Junior mess</t>
  </si>
  <si>
    <t>R420A</t>
  </si>
  <si>
    <t>National Library of Wales</t>
  </si>
  <si>
    <t>Motor transport facilities</t>
  </si>
  <si>
    <t>R421A</t>
  </si>
  <si>
    <t>National Museum of Wales</t>
  </si>
  <si>
    <t>Multi-occupancy accommodation</t>
  </si>
  <si>
    <t>R421B</t>
  </si>
  <si>
    <t>National Resilience Wales</t>
  </si>
  <si>
    <t>Officers’ mess</t>
  </si>
  <si>
    <t>R422A</t>
  </si>
  <si>
    <t>Natural Resources Wales</t>
  </si>
  <si>
    <t>Stores/warehouses (occupied)</t>
  </si>
  <si>
    <t>R422B</t>
  </si>
  <si>
    <t>Qualifications Wales</t>
  </si>
  <si>
    <t>Stores/warehouses (unoccupied</t>
  </si>
  <si>
    <t>R422C</t>
  </si>
  <si>
    <t>Royal Commission</t>
  </si>
  <si>
    <t>Workshops</t>
  </si>
  <si>
    <t>R422D</t>
  </si>
  <si>
    <t>Social care Wales</t>
  </si>
  <si>
    <t>Central government office</t>
  </si>
  <si>
    <t>R422E</t>
  </si>
  <si>
    <t>Sports Council for Wales</t>
  </si>
  <si>
    <t>Local government office</t>
  </si>
  <si>
    <t>R423A</t>
  </si>
  <si>
    <t>Transport for Wales</t>
  </si>
  <si>
    <t>Air conditioned, prestige</t>
  </si>
  <si>
    <t>R424A</t>
  </si>
  <si>
    <t>Welsh Revenue Authority</t>
  </si>
  <si>
    <t>Air conditioned, standard</t>
  </si>
  <si>
    <t>R425A</t>
  </si>
  <si>
    <t>Aberystwyth University</t>
  </si>
  <si>
    <t>Naturally ventilated, cellular</t>
  </si>
  <si>
    <t>R426A</t>
  </si>
  <si>
    <t>Bangor University</t>
  </si>
  <si>
    <t>Naturally ventilated, open plan</t>
  </si>
  <si>
    <t>R427A</t>
  </si>
  <si>
    <t>Cardiff Metropolitan University</t>
  </si>
  <si>
    <t>Health Centres and Clinics</t>
  </si>
  <si>
    <t>R428A</t>
  </si>
  <si>
    <t>Cardiff University</t>
  </si>
  <si>
    <t>Primary health care buildings</t>
  </si>
  <si>
    <t>R429A</t>
  </si>
  <si>
    <t>Glyndwr Wrexham University</t>
  </si>
  <si>
    <t>Courts (combined County/Crown)</t>
  </si>
  <si>
    <t>R430A</t>
  </si>
  <si>
    <t>Swansea University</t>
  </si>
  <si>
    <t>Library</t>
  </si>
  <si>
    <t>R431A</t>
  </si>
  <si>
    <t>University of South Wales</t>
  </si>
  <si>
    <t>Museum</t>
  </si>
  <si>
    <t>R432A</t>
  </si>
  <si>
    <t>University of Wales Trinity Saint David</t>
  </si>
  <si>
    <t>Fire station</t>
  </si>
  <si>
    <t>R433A</t>
  </si>
  <si>
    <t>Police station</t>
  </si>
  <si>
    <t>R433B</t>
  </si>
  <si>
    <t>Ambulance stations</t>
  </si>
  <si>
    <t>R433C</t>
  </si>
  <si>
    <t>Churches</t>
  </si>
  <si>
    <t>R434A</t>
  </si>
  <si>
    <t>Courts (County)</t>
  </si>
  <si>
    <t>R435A</t>
  </si>
  <si>
    <t>Courts (Crown)</t>
  </si>
  <si>
    <t>R436A</t>
  </si>
  <si>
    <t>Courts (Magistrates)</t>
  </si>
  <si>
    <t>R436B</t>
  </si>
  <si>
    <t>Prisons</t>
  </si>
  <si>
    <t>R437A</t>
  </si>
  <si>
    <t>Prisons (high security)</t>
  </si>
  <si>
    <t>R438A</t>
  </si>
  <si>
    <t>Banks and building societies</t>
  </si>
  <si>
    <t>R439A</t>
  </si>
  <si>
    <t>Banks and building societies (all electric)</t>
  </si>
  <si>
    <t>R440A</t>
  </si>
  <si>
    <t>Book stores (all electric)</t>
  </si>
  <si>
    <t>R441A</t>
  </si>
  <si>
    <t>Catalogue stores</t>
  </si>
  <si>
    <t>R442A</t>
  </si>
  <si>
    <t>Catalogue stores (all electric)</t>
  </si>
  <si>
    <t>R443A</t>
  </si>
  <si>
    <t>Clothes shops</t>
  </si>
  <si>
    <t>R444A</t>
  </si>
  <si>
    <t>Clothes shops (all electric)</t>
  </si>
  <si>
    <t>R445A</t>
  </si>
  <si>
    <t>Department stores</t>
  </si>
  <si>
    <t>R500</t>
  </si>
  <si>
    <t>Department stores (all electric)</t>
  </si>
  <si>
    <t>R501</t>
  </si>
  <si>
    <t>Distribution warehouses</t>
  </si>
  <si>
    <t>R502</t>
  </si>
  <si>
    <t>Distribution warehouses (all electric)</t>
  </si>
  <si>
    <t>R503</t>
  </si>
  <si>
    <t>DIY stores</t>
  </si>
  <si>
    <t>R504</t>
  </si>
  <si>
    <t>Electrical goods rental</t>
  </si>
  <si>
    <t>R505</t>
  </si>
  <si>
    <t>Electrical goods retail</t>
  </si>
  <si>
    <t>R506</t>
  </si>
  <si>
    <t>Frozen food centres</t>
  </si>
  <si>
    <t>R507A</t>
  </si>
  <si>
    <t>High street agencies</t>
  </si>
  <si>
    <t>R508A</t>
  </si>
  <si>
    <t>High street agencies (all electric)</t>
  </si>
  <si>
    <t>R508B</t>
  </si>
  <si>
    <t>Meat butchers (all electric)</t>
  </si>
  <si>
    <t>R509A</t>
  </si>
  <si>
    <t>Off licences (all electric)</t>
  </si>
  <si>
    <t>R510A</t>
  </si>
  <si>
    <t>Post office (all electric)</t>
  </si>
  <si>
    <t>R511A</t>
  </si>
  <si>
    <t>Post offices</t>
  </si>
  <si>
    <t>R512A</t>
  </si>
  <si>
    <t>Shoe shops (all electric)</t>
  </si>
  <si>
    <t>CFC-11/R11 = trichlorofluoromethane</t>
  </si>
  <si>
    <t>Small food shops</t>
  </si>
  <si>
    <t>CFC-12/R12 = dichlorodifluoromethane</t>
  </si>
  <si>
    <t>Small food shops (all electric)</t>
  </si>
  <si>
    <t>CFC-13</t>
  </si>
  <si>
    <t>Supermarket</t>
  </si>
  <si>
    <t>CFC-113</t>
  </si>
  <si>
    <t>Supermarket (all electric)</t>
  </si>
  <si>
    <t>CFC-114</t>
  </si>
  <si>
    <t>Swimming pool</t>
  </si>
  <si>
    <t>CFC-115</t>
  </si>
  <si>
    <t>Combined centre</t>
  </si>
  <si>
    <t>Halon-1211</t>
  </si>
  <si>
    <t>Dry sports centre (local)</t>
  </si>
  <si>
    <t>Halon-1301</t>
  </si>
  <si>
    <t>Fitness centre</t>
  </si>
  <si>
    <t>Halon-2402</t>
  </si>
  <si>
    <t>Ice rink</t>
  </si>
  <si>
    <t>Carbon tetrachloride</t>
  </si>
  <si>
    <t>Leisure pool centre</t>
  </si>
  <si>
    <t>Methyl bromide</t>
  </si>
  <si>
    <t>Sports ground changing facility</t>
  </si>
  <si>
    <t>Methyl chloroform</t>
  </si>
  <si>
    <t>HCFC-22/R22 = chlorodifluoromethane</t>
  </si>
  <si>
    <t>HCFC-123</t>
  </si>
  <si>
    <t>HCFC-124</t>
  </si>
  <si>
    <t>HCFC-141b</t>
  </si>
  <si>
    <t>HCFC-142b</t>
  </si>
  <si>
    <t>HCFC-225ca</t>
  </si>
  <si>
    <t>HCFC-225cb</t>
  </si>
  <si>
    <t>HCFC-21</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</si>
  <si>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</si>
  <si>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</si>
  <si>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</si>
  <si>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</si>
  <si>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</si>
  <si>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</si>
  <si>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</si>
  <si>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</si>
  <si>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</si>
  <si>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</si>
  <si>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</si>
  <si>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</si>
  <si>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</si>
  <si>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</si>
  <si>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</si>
  <si>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Trifluoromethyl sulphur pentafluoride</t>
  </si>
  <si>
    <t>PFPMIE</t>
  </si>
  <si>
    <t>Dimethylether</t>
  </si>
  <si>
    <t>Methylene chloride</t>
  </si>
  <si>
    <t>Methyl chloride</t>
  </si>
  <si>
    <t>R290 = propane</t>
  </si>
  <si>
    <t>R600A = isobutane</t>
  </si>
  <si>
    <t>R600 = butane</t>
  </si>
  <si>
    <t>R601 = pentane</t>
  </si>
  <si>
    <t>R601A = isopentane</t>
  </si>
  <si>
    <t>R170 = ethane</t>
  </si>
  <si>
    <t>R1270 = propene</t>
  </si>
  <si>
    <t>R1234yf</t>
  </si>
  <si>
    <t>R1234ze</t>
  </si>
  <si>
    <t>Fossil Fuels</t>
  </si>
  <si>
    <t>Coal</t>
  </si>
  <si>
    <t>tonnes</t>
  </si>
  <si>
    <t>Gas oil</t>
  </si>
  <si>
    <t>Natural gas</t>
  </si>
  <si>
    <t>m3</t>
  </si>
  <si>
    <t>Kerosene</t>
  </si>
  <si>
    <t>LPG</t>
  </si>
  <si>
    <t>Lessee</t>
  </si>
  <si>
    <t>Lessor</t>
  </si>
  <si>
    <t>Lessor (to PSB)</t>
  </si>
  <si>
    <t>HVO</t>
  </si>
  <si>
    <t>Wood pellets</t>
  </si>
  <si>
    <t>Wood chips</t>
  </si>
  <si>
    <t>Biogas</t>
  </si>
  <si>
    <t>Other public lighting</t>
  </si>
  <si>
    <t>Traffic signs</t>
  </si>
  <si>
    <t>Heat &amp; Steam</t>
  </si>
  <si>
    <t>Onsite Heat &amp; Steam</t>
  </si>
  <si>
    <t>District Heat &amp; Steam</t>
  </si>
  <si>
    <t>Supply</t>
  </si>
  <si>
    <t>Treatment</t>
  </si>
  <si>
    <t>Supply &amp; Treatment</t>
  </si>
  <si>
    <t>Desflurane</t>
  </si>
  <si>
    <t>Entonox</t>
  </si>
  <si>
    <t>Isoflurane</t>
  </si>
  <si>
    <t>Nitrous oxide</t>
  </si>
  <si>
    <t>Penthrox</t>
  </si>
  <si>
    <t>Sevoflurane</t>
  </si>
  <si>
    <t>miles</t>
  </si>
  <si>
    <t>Medium</t>
  </si>
  <si>
    <t>Large</t>
  </si>
  <si>
    <t>Diesel</t>
  </si>
  <si>
    <t>Battery Electric Vehicle</t>
  </si>
  <si>
    <t>Hybrid</t>
  </si>
  <si>
    <t>Plug-in Hybrid Electric Vehicle</t>
  </si>
  <si>
    <t>Unknown fuel</t>
  </si>
  <si>
    <t>Van</t>
  </si>
  <si>
    <t>HGV</t>
  </si>
  <si>
    <t>Average rigid</t>
  </si>
  <si>
    <t>Average articulated</t>
  </si>
  <si>
    <t>Motorbike</t>
  </si>
  <si>
    <t>Petrol - 100% mineral</t>
  </si>
  <si>
    <t>Diesel - 100% mineral</t>
  </si>
  <si>
    <t>ME</t>
  </si>
  <si>
    <t>100% Biopetrol</t>
  </si>
  <si>
    <t>Stationary fleet</t>
  </si>
  <si>
    <t>Generator</t>
  </si>
  <si>
    <t>Equipment</t>
  </si>
  <si>
    <t>Private car</t>
  </si>
  <si>
    <t>Hire car</t>
  </si>
  <si>
    <t>Flight</t>
  </si>
  <si>
    <t>passenger km</t>
  </si>
  <si>
    <t>passenger miles</t>
  </si>
  <si>
    <t>Long haul</t>
  </si>
  <si>
    <t>Business</t>
  </si>
  <si>
    <t>Economy</t>
  </si>
  <si>
    <t>Short haul</t>
  </si>
  <si>
    <t>Public transport</t>
  </si>
  <si>
    <t>Bus</t>
  </si>
  <si>
    <t>Average local bus</t>
  </si>
  <si>
    <t>Coach</t>
  </si>
  <si>
    <t>Ferry</t>
  </si>
  <si>
    <t>Rail</t>
  </si>
  <si>
    <t>National rail</t>
  </si>
  <si>
    <t>International rail</t>
  </si>
  <si>
    <t>Light rail and tram</t>
  </si>
  <si>
    <t>London Underground</t>
  </si>
  <si>
    <t>Taxi</t>
  </si>
  <si>
    <t>Taxi - Regular</t>
  </si>
  <si>
    <t>Taxi - Black cab</t>
  </si>
  <si>
    <t>Forest land</t>
  </si>
  <si>
    <t>Mineral</t>
  </si>
  <si>
    <t>Removals</t>
  </si>
  <si>
    <t>km2</t>
  </si>
  <si>
    <t>Cropland</t>
  </si>
  <si>
    <t>Grassland</t>
  </si>
  <si>
    <t>Settlements</t>
  </si>
  <si>
    <t>Emissions</t>
  </si>
  <si>
    <t>Organic</t>
  </si>
  <si>
    <t>Farmland Soils</t>
  </si>
  <si>
    <t>Arable land</t>
  </si>
  <si>
    <t>Improved grassland</t>
  </si>
  <si>
    <t>Livestock</t>
  </si>
  <si>
    <t>Dairy cattle</t>
  </si>
  <si>
    <t>Head</t>
  </si>
  <si>
    <t>Horses</t>
  </si>
  <si>
    <t>Non-dairy cattle</t>
  </si>
  <si>
    <t>Pigs</t>
  </si>
  <si>
    <t>Poultry</t>
  </si>
  <si>
    <t>Sheep and goats</t>
  </si>
  <si>
    <t>Organic food and drink</t>
  </si>
  <si>
    <t>Organic mixed</t>
  </si>
  <si>
    <t>Commercial and industrial</t>
  </si>
  <si>
    <t>Commercial and industrial waste</t>
  </si>
  <si>
    <t>Household residual waste</t>
  </si>
  <si>
    <t>Non infectious offensive waste</t>
  </si>
  <si>
    <t>Organic garden</t>
  </si>
  <si>
    <t>Clothing</t>
  </si>
  <si>
    <t>Batteries</t>
  </si>
  <si>
    <t>Mixed glass</t>
  </si>
  <si>
    <t>Mixed metal cans</t>
  </si>
  <si>
    <t>Mixed paper</t>
  </si>
  <si>
    <t>Mixed plastics</t>
  </si>
  <si>
    <t>Mixed recycling</t>
  </si>
  <si>
    <t>Mixed WEEE</t>
  </si>
  <si>
    <t>Clinical waste</t>
  </si>
  <si>
    <t>Infectious waste</t>
  </si>
  <si>
    <t>Anatomical waste</t>
  </si>
  <si>
    <t>Medical contaminated sharps waste</t>
  </si>
  <si>
    <t>Medicinal waste</t>
  </si>
  <si>
    <t>Asbestos</t>
  </si>
  <si>
    <t>Average construction</t>
  </si>
  <si>
    <t>Waste Soils</t>
  </si>
  <si>
    <t>Metals</t>
  </si>
  <si>
    <t>Mineral oil</t>
  </si>
  <si>
    <t>Wood</t>
  </si>
  <si>
    <t>Aggregates</t>
  </si>
  <si>
    <t>Bricks</t>
  </si>
  <si>
    <t>Plasterboard</t>
  </si>
  <si>
    <t>Soils</t>
  </si>
  <si>
    <t>Asphalt</t>
  </si>
  <si>
    <t>Concrete</t>
  </si>
  <si>
    <t>Insulation</t>
  </si>
  <si>
    <t>Tyres</t>
  </si>
  <si>
    <t>All Emissions Categories</t>
  </si>
  <si>
    <t>Totals table automatically pulls together all emissions table where data is not missing and ID is present</t>
  </si>
  <si>
    <t>Totals Table</t>
  </si>
  <si>
    <t>Tables in the VSTACK:</t>
  </si>
  <si>
    <t>Buildings_Electricity_Streetlighting_Backend</t>
  </si>
  <si>
    <t>Buildings_GridElectricity_Backend</t>
  </si>
  <si>
    <t>Buildings_Heat_Backend</t>
  </si>
  <si>
    <t>Buildings_Water_Backend</t>
  </si>
  <si>
    <t>FGases_Backend</t>
  </si>
  <si>
    <t>MedicalGases_Backend</t>
  </si>
  <si>
    <t>Fleet_Fuel_Backend</t>
  </si>
  <si>
    <t>Fleet_Distance_Backend</t>
  </si>
  <si>
    <t>BusinessTravel_Backend</t>
  </si>
  <si>
    <t>Commuting_Backend</t>
  </si>
  <si>
    <t>Homeworking_Backend</t>
  </si>
  <si>
    <t>Waste_Org_Backend</t>
  </si>
  <si>
    <t>Waste_Mun_Backend</t>
  </si>
  <si>
    <t>Waste_Proj_Backend</t>
  </si>
  <si>
    <t>SupplyChain_Tier1_Backend</t>
  </si>
  <si>
    <t>FLAG_Tier1_Backend</t>
  </si>
  <si>
    <t>FLAG_Tier2_Backend</t>
  </si>
  <si>
    <t>Agriculture_Backend</t>
  </si>
  <si>
    <t>Emission Factors</t>
  </si>
  <si>
    <t>All factors</t>
  </si>
  <si>
    <t>Emission Factor Table</t>
  </si>
  <si>
    <t>Level ID</t>
  </si>
  <si>
    <t>Concat</t>
  </si>
  <si>
    <t>Other Unit</t>
  </si>
  <si>
    <t>Conversion to standard</t>
  </si>
  <si>
    <t>Scope 1 EF</t>
  </si>
  <si>
    <t>Scope 2 EF</t>
  </si>
  <si>
    <t>Scope 3 EF</t>
  </si>
  <si>
    <t>Scope 3 WTT EF</t>
  </si>
  <si>
    <t>Scope 3 T&amp;D EF</t>
  </si>
  <si>
    <t>Scope 3 WTT T&amp;D EF</t>
  </si>
  <si>
    <t>OOS EF</t>
  </si>
  <si>
    <t>Scope 1 ID</t>
  </si>
  <si>
    <t>Scope 2 ID</t>
  </si>
  <si>
    <t>Scope 3 ID</t>
  </si>
  <si>
    <t>Scope 3 WTT ID</t>
  </si>
  <si>
    <t>Scope 3 T&amp;D ID</t>
  </si>
  <si>
    <t>Scope 3 WTT T&amp;D ID</t>
  </si>
  <si>
    <t>OOS ID</t>
  </si>
  <si>
    <t>DESNZ</t>
  </si>
  <si>
    <t>3_200_2011_3_1</t>
  </si>
  <si>
    <t>3_200_2014_3_1</t>
  </si>
  <si>
    <t>3_200_2017_3_1</t>
  </si>
  <si>
    <t>3_200_2020_3_1</t>
  </si>
  <si>
    <t>3_200_2023_3_1</t>
  </si>
  <si>
    <t>3_200_2026_3_1</t>
  </si>
  <si>
    <t>3_200_2029_3_1</t>
  </si>
  <si>
    <t>3_200_2032_3_1</t>
  </si>
  <si>
    <t>3_200_2035_3_1</t>
  </si>
  <si>
    <t>3_200_2038_3_1</t>
  </si>
  <si>
    <t>3_200_2041_3_1</t>
  </si>
  <si>
    <t>3_200_2044_3_1</t>
  </si>
  <si>
    <t>3_200_2047_3_1</t>
  </si>
  <si>
    <t>3_200_2050_3_1</t>
  </si>
  <si>
    <t>3_200_2053_3_1</t>
  </si>
  <si>
    <t>3_200_2056_3_1</t>
  </si>
  <si>
    <t>3_200_2059_3_1</t>
  </si>
  <si>
    <t>3_200_2062_3_1</t>
  </si>
  <si>
    <t>3_200_2065_3_1</t>
  </si>
  <si>
    <t>3_200_2068_3_1</t>
  </si>
  <si>
    <t>3_200_2071_3_1</t>
  </si>
  <si>
    <t>3_200_2074_3_1</t>
  </si>
  <si>
    <t>3_200_2077_3_1</t>
  </si>
  <si>
    <t>3_200_2080_3_1</t>
  </si>
  <si>
    <t>3_200_2083_3_1</t>
  </si>
  <si>
    <t>3_200_2086_3_1</t>
  </si>
  <si>
    <t>3_200_2089_3_1</t>
  </si>
  <si>
    <t>3_200_2092_3_1</t>
  </si>
  <si>
    <t>3_200_2095_3_1</t>
  </si>
  <si>
    <t>3_200_2098_3_1</t>
  </si>
  <si>
    <t>3_201_2101_3_1</t>
  </si>
  <si>
    <t>3_201_2104_3_1</t>
  </si>
  <si>
    <t>3_201_2107_3_1</t>
  </si>
  <si>
    <t>3_201_2110_3_1</t>
  </si>
  <si>
    <t>3_201_2113_3_1</t>
  </si>
  <si>
    <t>3_201_2116_3_1</t>
  </si>
  <si>
    <t>3_201_2119_3_1</t>
  </si>
  <si>
    <t>3_201_2122_3_1</t>
  </si>
  <si>
    <t>3_201_2125_3_1</t>
  </si>
  <si>
    <t>3_201_2128_3_1</t>
  </si>
  <si>
    <t>3_201_2131_3_1</t>
  </si>
  <si>
    <t>3_201_2134_3_1</t>
  </si>
  <si>
    <t>3_201_2137_3_1</t>
  </si>
  <si>
    <t>3_201_2140_3_1</t>
  </si>
  <si>
    <t>3_201_2143_3_1</t>
  </si>
  <si>
    <t>3_201_2146_3_1</t>
  </si>
  <si>
    <t>3_201_2149_3_1</t>
  </si>
  <si>
    <t>3_201_2152_3_1</t>
  </si>
  <si>
    <t>3_201_2155_3_1</t>
  </si>
  <si>
    <t>3_201_2158_3_1</t>
  </si>
  <si>
    <t>3_201_2161_3_1</t>
  </si>
  <si>
    <t>3_201_2164_3_1</t>
  </si>
  <si>
    <t>3_201_2167_3_1</t>
  </si>
  <si>
    <t>3_201_2170_3_1</t>
  </si>
  <si>
    <t>3_201_2173_3_1</t>
  </si>
  <si>
    <t>3_201_2176_3_1</t>
  </si>
  <si>
    <t>3_201_2179_3_1</t>
  </si>
  <si>
    <t>3_201_2182_3_1</t>
  </si>
  <si>
    <t>3_201_2185_3_1</t>
  </si>
  <si>
    <t>3_201_2188_3_1</t>
  </si>
  <si>
    <t>3_201_2191_3_1</t>
  </si>
  <si>
    <t>3_201_2194_3_1</t>
  </si>
  <si>
    <t>3_201_2197_3_1</t>
  </si>
  <si>
    <t>3_201_2200_3_1</t>
  </si>
  <si>
    <t>3_201_2203_3_1</t>
  </si>
  <si>
    <t>3_201_2206_3_1</t>
  </si>
  <si>
    <t>3_201_2209_3_1</t>
  </si>
  <si>
    <t>3_201_2212_3_1</t>
  </si>
  <si>
    <t>3_201_2215_3_1</t>
  </si>
  <si>
    <t>3_201_2218_3_1</t>
  </si>
  <si>
    <t>3_201_2221_3_1</t>
  </si>
  <si>
    <t>3_201_2224_3_1</t>
  </si>
  <si>
    <t>3_201_2227_3_1</t>
  </si>
  <si>
    <t>3_201_2230_3_1</t>
  </si>
  <si>
    <t>3_201_2233_3_1</t>
  </si>
  <si>
    <t>3_201_2236_3_1</t>
  </si>
  <si>
    <t>3_201_2239_3_1</t>
  </si>
  <si>
    <t>3_201_2242_3_1</t>
  </si>
  <si>
    <t>3_201_2245_3_1</t>
  </si>
  <si>
    <t>3_201_2248_3_1</t>
  </si>
  <si>
    <t>3_201_2251_3_1</t>
  </si>
  <si>
    <t>3_201_2254_3_1</t>
  </si>
  <si>
    <t>3_201_2257_3_1</t>
  </si>
  <si>
    <t>3_201_2260_3_1</t>
  </si>
  <si>
    <t>3_201_2263_3_1</t>
  </si>
  <si>
    <t>3_201_2266_3_1</t>
  </si>
  <si>
    <t>3_201_2269_3_1</t>
  </si>
  <si>
    <t>3_201_2272_3_1</t>
  </si>
  <si>
    <t>3_201_2275_3_1</t>
  </si>
  <si>
    <t>3_201_2278_3_1</t>
  </si>
  <si>
    <t>3_201_2281_3_1</t>
  </si>
  <si>
    <t>3_201_2284_3_1</t>
  </si>
  <si>
    <t>3_201_2287_3_1</t>
  </si>
  <si>
    <t>3_201_2290_3_1</t>
  </si>
  <si>
    <t>3_201_2293_3_1</t>
  </si>
  <si>
    <t>3_201_2296_3_1</t>
  </si>
  <si>
    <t>3_201_2299_3_1</t>
  </si>
  <si>
    <t>3_201_2302_3_1</t>
  </si>
  <si>
    <t>3_201_2305_3_1</t>
  </si>
  <si>
    <t>3_201_2308_3_1</t>
  </si>
  <si>
    <t>3_201_2311_3_1</t>
  </si>
  <si>
    <t>3_201_2314_3_1</t>
  </si>
  <si>
    <t>3_201_2317_3_1</t>
  </si>
  <si>
    <t>3_201_2320_3_1</t>
  </si>
  <si>
    <t>3_201_2323_3_1</t>
  </si>
  <si>
    <t>3_201_2326_3_1</t>
  </si>
  <si>
    <t>3_201_2329_3_1</t>
  </si>
  <si>
    <t>3_201_2332_3_1</t>
  </si>
  <si>
    <t>3_201_2335_3_1</t>
  </si>
  <si>
    <t>3_201_2338_3_1</t>
  </si>
  <si>
    <t>3_201_2341_3_1</t>
  </si>
  <si>
    <t>3_201_2344_3_1</t>
  </si>
  <si>
    <t>3_201_2347_3_1</t>
  </si>
  <si>
    <t>3_201_2350_3_1</t>
  </si>
  <si>
    <t>3_202_2353_3_1</t>
  </si>
  <si>
    <t>3_202_2356_3_1</t>
  </si>
  <si>
    <t>3_202_2359_3_1</t>
  </si>
  <si>
    <t>3_202_2362_3_1</t>
  </si>
  <si>
    <t>3_202_2365_3_1</t>
  </si>
  <si>
    <t>3_202_2368_3_1</t>
  </si>
  <si>
    <t>3_202_2371_3_1</t>
  </si>
  <si>
    <t>3_202_2374_3_1</t>
  </si>
  <si>
    <t>3_202_2377_3_1</t>
  </si>
  <si>
    <t>3_202_2380_3_1</t>
  </si>
  <si>
    <t>3_202_2383_3_1</t>
  </si>
  <si>
    <t>3_202_2386_3_1</t>
  </si>
  <si>
    <t>3_202_2389_3_1</t>
  </si>
  <si>
    <t>3_202_2392_3_1</t>
  </si>
  <si>
    <t>3_202_2395_3_1</t>
  </si>
  <si>
    <t>3_202_2398_3_1</t>
  </si>
  <si>
    <t>3_202_2401_3_1</t>
  </si>
  <si>
    <t>3_202_2404_3_1</t>
  </si>
  <si>
    <t>3_202_2407_3_1</t>
  </si>
  <si>
    <t>3_202_2410_3_1</t>
  </si>
  <si>
    <t>3_203_2413_3_1</t>
  </si>
  <si>
    <t>3_203_2416_3_1</t>
  </si>
  <si>
    <t>3_203_2419_3_1</t>
  </si>
  <si>
    <t>3_203_2422_3_1</t>
  </si>
  <si>
    <t>3_203_2425_3_1</t>
  </si>
  <si>
    <t>3_203_2428_3_1</t>
  </si>
  <si>
    <t>3_203_2431_3_1</t>
  </si>
  <si>
    <t>3_203_2434_3_1</t>
  </si>
  <si>
    <t>3_203_2437_3_1</t>
  </si>
  <si>
    <t>3_203_2440_3_1</t>
  </si>
  <si>
    <t>3_203_2443_3_1</t>
  </si>
  <si>
    <t>3_203_2446_3_1</t>
  </si>
  <si>
    <t>3_203_2449_3_1</t>
  </si>
  <si>
    <t>3_203_2452_3_1</t>
  </si>
  <si>
    <t>3_203_2455_3_1</t>
  </si>
  <si>
    <t>3_204_2458_3_1</t>
  </si>
  <si>
    <t>3_204_2461_3_1</t>
  </si>
  <si>
    <t>3_204_2464_3_1</t>
  </si>
  <si>
    <t>3_204_2467_3_1</t>
  </si>
  <si>
    <t>3_204_2470_3_1</t>
  </si>
  <si>
    <t>3_204_2473_3_1</t>
  </si>
  <si>
    <t>3_204_2476_3_1</t>
  </si>
  <si>
    <t>3_204_2479_3_1</t>
  </si>
  <si>
    <t>3_204_2482_3_1</t>
  </si>
  <si>
    <t>3_204_2485_3_1</t>
  </si>
  <si>
    <t>3_204_2488_3_1</t>
  </si>
  <si>
    <t>3_204_2491_3_1</t>
  </si>
  <si>
    <t>3_204_2494_3_1</t>
  </si>
  <si>
    <t>3_204_2497_3_1</t>
  </si>
  <si>
    <t>1_102_1027_6_1</t>
  </si>
  <si>
    <t>11_102_1027_6_1</t>
  </si>
  <si>
    <t>1_101_1014_6_1</t>
  </si>
  <si>
    <t>11_101_1014_6_1</t>
  </si>
  <si>
    <t>1_100_1004_6_1</t>
  </si>
  <si>
    <t>11_100_1004_6_1</t>
  </si>
  <si>
    <t>1_101_1010_6_1</t>
  </si>
  <si>
    <t>11_101_1010_6_1</t>
  </si>
  <si>
    <t>1_100_1003_6_1</t>
  </si>
  <si>
    <t>11_100_1003_6_1</t>
  </si>
  <si>
    <t>2_103_1036_8_1</t>
  </si>
  <si>
    <t>12_900_1036_8_1</t>
  </si>
  <si>
    <t>2_104_1045_5_1</t>
  </si>
  <si>
    <t>12_901_1045_5_1</t>
  </si>
  <si>
    <t>2_104_1044_5_1</t>
  </si>
  <si>
    <t>12_901_1044_5_1</t>
  </si>
  <si>
    <t>2_105_1047_5_1</t>
  </si>
  <si>
    <t>12_902_1047_5_1</t>
  </si>
  <si>
    <t>7_400_4000_5_1</t>
  </si>
  <si>
    <t>15_917_4000_5_1</t>
  </si>
  <si>
    <t>13_402_4000_5_1</t>
  </si>
  <si>
    <t>15_918_4000_5_1</t>
  </si>
  <si>
    <t>7_400_4000_5_2</t>
  </si>
  <si>
    <t>15_917_4000_5_2</t>
  </si>
  <si>
    <t>13_402_4000_5_2</t>
  </si>
  <si>
    <t>15_918_4000_5_2</t>
  </si>
  <si>
    <t>7_400_4000_5_3</t>
  </si>
  <si>
    <t>15_917_4000_5_3</t>
  </si>
  <si>
    <t>13_402_4000_5_3</t>
  </si>
  <si>
    <t>15_918_4000_5_3</t>
  </si>
  <si>
    <t>7_400_4000_5_4</t>
  </si>
  <si>
    <t>15_917_4000_5_4</t>
  </si>
  <si>
    <t>13_402_4000_5_4</t>
  </si>
  <si>
    <t>15_918_4000_5_4</t>
  </si>
  <si>
    <t>7_400_4000_5_5</t>
  </si>
  <si>
    <t>15_917_4000_5_5</t>
  </si>
  <si>
    <t>13_402_4000_5_5</t>
  </si>
  <si>
    <t>15_918_4000_5_5</t>
  </si>
  <si>
    <t>7_400_4000_5_6</t>
  </si>
  <si>
    <t>15_917_4000_5_6</t>
  </si>
  <si>
    <t>13_402_4000_5_6</t>
  </si>
  <si>
    <t>15_918_4000_5_6</t>
  </si>
  <si>
    <t>10_401_4002_5_1</t>
  </si>
  <si>
    <t>16_919_4002_5_1</t>
  </si>
  <si>
    <t>10_401_4003_5_1</t>
  </si>
  <si>
    <t>16_919_4003_5_1</t>
  </si>
  <si>
    <t>13_403_4004_5_1</t>
  </si>
  <si>
    <t>16_920_4004_5_1</t>
  </si>
  <si>
    <t>17_404_4005_1_1</t>
  </si>
  <si>
    <t>18_405_4006_1_1</t>
  </si>
  <si>
    <t>NHS</t>
  </si>
  <si>
    <t>4_301_3046_4_1</t>
  </si>
  <si>
    <t>26_904_3046_4_1</t>
  </si>
  <si>
    <t>4_301_3054_4_1</t>
  </si>
  <si>
    <t>26_904_3054_4_1</t>
  </si>
  <si>
    <t>4_301_3062_4_1</t>
  </si>
  <si>
    <t>26_904_3062_4_1</t>
  </si>
  <si>
    <t>4_301_3070_4_1</t>
  </si>
  <si>
    <t>26_904_3070_4_1</t>
  </si>
  <si>
    <t>4_301_3045_4_1</t>
  </si>
  <si>
    <t>26_904_3045_4_1</t>
  </si>
  <si>
    <t>4_301_3053_4_1</t>
  </si>
  <si>
    <t>26_904_3053_4_1</t>
  </si>
  <si>
    <t>4_301_3061_4_1</t>
  </si>
  <si>
    <t>26_904_3061_4_1</t>
  </si>
  <si>
    <t>4_301_3069_4_1</t>
  </si>
  <si>
    <t>26_904_3069_4_1</t>
  </si>
  <si>
    <t>8_301_3052_4_1</t>
  </si>
  <si>
    <t>26_904_3052_4_1</t>
  </si>
  <si>
    <t>14_301_3052_4_1</t>
  </si>
  <si>
    <t>8_301_3060_4_1</t>
  </si>
  <si>
    <t>26_904_3060_4_1</t>
  </si>
  <si>
    <t>14_301_3060_4_1</t>
  </si>
  <si>
    <t>8_301_3068_4_1</t>
  </si>
  <si>
    <t>26_904_3068_4_1</t>
  </si>
  <si>
    <t>14_301_3068_4_1</t>
  </si>
  <si>
    <t>8_301_3076_4_1</t>
  </si>
  <si>
    <t>26_904_3076_4_1</t>
  </si>
  <si>
    <t>14_301_3076_4_1</t>
  </si>
  <si>
    <t>4_301_3047_4_1</t>
  </si>
  <si>
    <t>26_904_3047_4_1</t>
  </si>
  <si>
    <t>4_301_3055_4_1</t>
  </si>
  <si>
    <t>26_904_3055_4_1</t>
  </si>
  <si>
    <t>4_301_3063_4_1</t>
  </si>
  <si>
    <t>26_904_3063_4_1</t>
  </si>
  <si>
    <t>4_301_3071_4_1</t>
  </si>
  <si>
    <t>26_904_3071_4_1</t>
  </si>
  <si>
    <t>4_301_3051_4_1</t>
  </si>
  <si>
    <t>8_301_3051_4_1</t>
  </si>
  <si>
    <t>26_904_3051_4_1</t>
  </si>
  <si>
    <t>14_301_3051_4_1</t>
  </si>
  <si>
    <t>4_301_3059_4_1</t>
  </si>
  <si>
    <t>8_301_3059_4_1</t>
  </si>
  <si>
    <t>26_904_3059_4_1</t>
  </si>
  <si>
    <t>14_301_3059_4_1</t>
  </si>
  <si>
    <t>4_301_3067_4_1</t>
  </si>
  <si>
    <t>8_301_3067_4_1</t>
  </si>
  <si>
    <t>26_904_3067_4_1</t>
  </si>
  <si>
    <t>14_301_3067_4_1</t>
  </si>
  <si>
    <t>4_301_3075_4_1</t>
  </si>
  <si>
    <t>8_301_3075_4_1</t>
  </si>
  <si>
    <t>26_904_3075_4_1</t>
  </si>
  <si>
    <t>14_301_3075_4_1</t>
  </si>
  <si>
    <t>4_301_3050_4_1</t>
  </si>
  <si>
    <t>26_904_3050_4_1</t>
  </si>
  <si>
    <t>4_301_3058_4_1</t>
  </si>
  <si>
    <t>26_904_3058_4_1</t>
  </si>
  <si>
    <t>4_301_3066_4_1</t>
  </si>
  <si>
    <t>26_904_3066_4_1</t>
  </si>
  <si>
    <t>4_301_3074_4_1</t>
  </si>
  <si>
    <t>26_904_3074_4_1</t>
  </si>
  <si>
    <t>5_303_3102_4_1</t>
  </si>
  <si>
    <t>28_906_3102_4_1</t>
  </si>
  <si>
    <t>5_303_3103_4_1</t>
  </si>
  <si>
    <t>28_906_3103_4_1</t>
  </si>
  <si>
    <t>5_303_3105_4_1</t>
  </si>
  <si>
    <t>28_906_3105_4_1</t>
  </si>
  <si>
    <t>8_303_3108_4_1</t>
  </si>
  <si>
    <t>28_906_3108_4_1</t>
  </si>
  <si>
    <t>14_303_3108_4_1</t>
  </si>
  <si>
    <t>5_303_3106_4_1</t>
  </si>
  <si>
    <t>28_906_3106_4_1</t>
  </si>
  <si>
    <t>5_304_3124_4_1</t>
  </si>
  <si>
    <t>28_907_3124_4_1</t>
  </si>
  <si>
    <t>5_304_3136_4_1</t>
  </si>
  <si>
    <t>28_907_3136_4_1</t>
  </si>
  <si>
    <t>5_304_3140_4_1</t>
  </si>
  <si>
    <t>28_907_3140_4_1</t>
  </si>
  <si>
    <t>4_302_3077_4_1</t>
  </si>
  <si>
    <t>26_905_3077_4_1</t>
  </si>
  <si>
    <t>4_302_3078_4_1</t>
  </si>
  <si>
    <t>26_905_3078_4_1</t>
  </si>
  <si>
    <t>4_302_3079_4_1</t>
  </si>
  <si>
    <t>26_905_3079_4_1</t>
  </si>
  <si>
    <t>4_302_3080_4_1</t>
  </si>
  <si>
    <t>26_905_3080_4_1</t>
  </si>
  <si>
    <t>1_101_1017_6_1</t>
  </si>
  <si>
    <t>11_101_1017_6_1</t>
  </si>
  <si>
    <t>1_101_1018_6_1</t>
  </si>
  <si>
    <t>11_101_1018_6_1</t>
  </si>
  <si>
    <t>1_101_1011_6_1</t>
  </si>
  <si>
    <t>11_101_1011_6_1</t>
  </si>
  <si>
    <t>1_101_1012_6_1</t>
  </si>
  <si>
    <t>11_101_1012_6_1</t>
  </si>
  <si>
    <t>99_103_1036_8_2</t>
  </si>
  <si>
    <t>2_103_1032_8_1</t>
  </si>
  <si>
    <t>12_900_1032_8_1</t>
  </si>
  <si>
    <t>99_103_1032_8_2</t>
  </si>
  <si>
    <t>2_103_1031_2_1</t>
  </si>
  <si>
    <t>12_900_1031_2_1</t>
  </si>
  <si>
    <t>99_103_1031_2_2</t>
  </si>
  <si>
    <t>25_301_3046_4_1</t>
  </si>
  <si>
    <t>25_301_3054_4_1</t>
  </si>
  <si>
    <t>25_301_3062_4_1</t>
  </si>
  <si>
    <t>25_301_3070_4_1</t>
  </si>
  <si>
    <t>25_301_3045_4_1</t>
  </si>
  <si>
    <t>25_301_3053_4_1</t>
  </si>
  <si>
    <t>25_301_3061_4_1</t>
  </si>
  <si>
    <t>25_301_3069_4_1</t>
  </si>
  <si>
    <t>25_301_3052_4_1</t>
  </si>
  <si>
    <t>25_301_3060_4_1</t>
  </si>
  <si>
    <t>25_301_3068_4_1</t>
  </si>
  <si>
    <t>25_301_3076_4_1</t>
  </si>
  <si>
    <t>25_301_3047_4_1</t>
  </si>
  <si>
    <t>25_301_3055_4_1</t>
  </si>
  <si>
    <t>25_301_3063_4_1</t>
  </si>
  <si>
    <t>25_301_3071_4_1</t>
  </si>
  <si>
    <t>25_301_3051_4_1</t>
  </si>
  <si>
    <t>25_301_3059_4_1</t>
  </si>
  <si>
    <t>25_301_3067_4_1</t>
  </si>
  <si>
    <t>25_301_3075_4_1</t>
  </si>
  <si>
    <t>25_301_3050_4_1</t>
  </si>
  <si>
    <t>25_301_3058_4_1</t>
  </si>
  <si>
    <t>25_301_3066_4_1</t>
  </si>
  <si>
    <t>25_301_3074_4_1</t>
  </si>
  <si>
    <t>5_303_3105_9_1</t>
  </si>
  <si>
    <t>28_906_3105_9_1</t>
  </si>
  <si>
    <t>21_316_3160_11_1</t>
  </si>
  <si>
    <t>22_912_3160_11_1</t>
  </si>
  <si>
    <t>21_316_3168_11_1</t>
  </si>
  <si>
    <t>22_912_3168_11_1</t>
  </si>
  <si>
    <t>21_316_3174_11_1</t>
  </si>
  <si>
    <t>22_912_3174_11_1</t>
  </si>
  <si>
    <t>21_316_3170_11_1</t>
  </si>
  <si>
    <t>22_912_3170_11_1</t>
  </si>
  <si>
    <t>21_316_3162_11_1</t>
  </si>
  <si>
    <t>22_912_3162_11_1</t>
  </si>
  <si>
    <t>21_316_3166_11_1</t>
  </si>
  <si>
    <t>22_912_3166_11_1</t>
  </si>
  <si>
    <t>21_316_3164_11_1</t>
  </si>
  <si>
    <t>22_912_3164_11_1</t>
  </si>
  <si>
    <t>25_314_3145_11_1</t>
  </si>
  <si>
    <t>26_910_3145_11_1</t>
  </si>
  <si>
    <t>25_314_3146_11_1</t>
  </si>
  <si>
    <t>26_910_3146_11_1</t>
  </si>
  <si>
    <t>23_318_3190_11_1</t>
  </si>
  <si>
    <t>24_914_3190_11_1</t>
  </si>
  <si>
    <t>25_315_3147_11_1</t>
  </si>
  <si>
    <t>26_911_3147_11_1</t>
  </si>
  <si>
    <t>25_315_3148_11_1</t>
  </si>
  <si>
    <t>26_911_3148_11_1</t>
  </si>
  <si>
    <t>25_315_3149_11_1</t>
  </si>
  <si>
    <t>26_911_3149_11_1</t>
  </si>
  <si>
    <t>25_315_3150_11_1</t>
  </si>
  <si>
    <t>26_911_3150_11_1</t>
  </si>
  <si>
    <t>25_313_3141_11_1</t>
  </si>
  <si>
    <t>26_909_3141_11_1</t>
  </si>
  <si>
    <t>25_313_3142_11_1</t>
  </si>
  <si>
    <t>26_909_3142_11_1</t>
  </si>
  <si>
    <t>FTE.hr</t>
  </si>
  <si>
    <t>32_603_9999_12_1</t>
  </si>
  <si>
    <t>Defra</t>
  </si>
  <si>
    <t>01</t>
  </si>
  <si>
    <t>02</t>
  </si>
  <si>
    <t>03</t>
  </si>
  <si>
    <t>05</t>
  </si>
  <si>
    <t>06</t>
  </si>
  <si>
    <t>08</t>
  </si>
  <si>
    <t>09</t>
  </si>
  <si>
    <t>10.1</t>
  </si>
  <si>
    <t>10.2 -3</t>
  </si>
  <si>
    <t>10.4</t>
  </si>
  <si>
    <t>10.5</t>
  </si>
  <si>
    <t>10.6</t>
  </si>
  <si>
    <t>10.7</t>
  </si>
  <si>
    <t>10.8</t>
  </si>
  <si>
    <t>11.01-6</t>
  </si>
  <si>
    <t>20.5</t>
  </si>
  <si>
    <t>20A</t>
  </si>
  <si>
    <t>20B</t>
  </si>
  <si>
    <t>20C</t>
  </si>
  <si>
    <t>23.5-6</t>
  </si>
  <si>
    <t>23OTHER</t>
  </si>
  <si>
    <t>24.1-3</t>
  </si>
  <si>
    <t>24.4-5</t>
  </si>
  <si>
    <t>25OTHER</t>
  </si>
  <si>
    <t>30OTHER</t>
  </si>
  <si>
    <t>33OTHER</t>
  </si>
  <si>
    <t>35.2-3</t>
  </si>
  <si>
    <t>42.1-2</t>
  </si>
  <si>
    <t>49.1-2</t>
  </si>
  <si>
    <t>49.3-5</t>
  </si>
  <si>
    <t>65.1-2</t>
  </si>
  <si>
    <t>68.2IMP</t>
  </si>
  <si>
    <t>WGES</t>
  </si>
  <si>
    <t>NAEI</t>
  </si>
  <si>
    <t>20_507_5293_15_1</t>
  </si>
  <si>
    <t>20_507_5307_15_1</t>
  </si>
  <si>
    <t>20_507_5311_15_1</t>
  </si>
  <si>
    <t>20_507_5283_15_1</t>
  </si>
  <si>
    <t>20_507_5290_15_1</t>
  </si>
  <si>
    <t>20_507_5304_15_1</t>
  </si>
  <si>
    <t>20_507_5291_15_1</t>
  </si>
  <si>
    <t>20_507_5298_15_1</t>
  </si>
  <si>
    <t>20_507_5305_15_1</t>
  </si>
  <si>
    <t>20_501_5278_15_1</t>
  </si>
  <si>
    <t>20_507_5313_15_1</t>
  </si>
  <si>
    <t>20_507_5285_15_1</t>
  </si>
  <si>
    <t>20_507_5292_15_1</t>
  </si>
  <si>
    <t>20_503_5344_15_1</t>
  </si>
  <si>
    <t>20_501_5275_15_1</t>
  </si>
  <si>
    <t>20_501_5268_15_1</t>
  </si>
  <si>
    <t>20_504_5359_15_1</t>
  </si>
  <si>
    <t>20_506_5450_15_1</t>
  </si>
  <si>
    <t>20_505_5380_15_1</t>
  </si>
  <si>
    <t>20_503_5330_15_1</t>
  </si>
  <si>
    <t>20_507_5300_15_1</t>
  </si>
  <si>
    <t>20_503_5332_15_1</t>
  </si>
  <si>
    <t>20_507_5297_15_1</t>
  </si>
  <si>
    <t>20_506_5452_15_1</t>
  </si>
  <si>
    <t>20_500_5187_15_1</t>
  </si>
  <si>
    <t>20_503_5334_15_1</t>
  </si>
  <si>
    <t>20_507_5306_15_1</t>
  </si>
  <si>
    <t>20_500_5229_15_1</t>
  </si>
  <si>
    <t>20_500_5176_15_1</t>
  </si>
  <si>
    <t>20_504_5351_15_1</t>
  </si>
  <si>
    <t>20_500_5233_15_1</t>
  </si>
  <si>
    <t>20_501_5267_15_1</t>
  </si>
  <si>
    <t>20_504_5358_15_1</t>
  </si>
  <si>
    <t>20_505_5379_15_1</t>
  </si>
  <si>
    <t>20_500_5255_15_1</t>
  </si>
  <si>
    <t>20_500_5173_15_1</t>
  </si>
  <si>
    <t>20_500_5201_15_1</t>
  </si>
  <si>
    <t>20_504_5355_15_1</t>
  </si>
  <si>
    <t>20_500_5243_15_1</t>
  </si>
  <si>
    <t>20_500_5169_15_1</t>
  </si>
  <si>
    <t>20_500_5190_15_1</t>
  </si>
  <si>
    <t>20_500_5197_15_1</t>
  </si>
  <si>
    <t>20_500_5204_15_1</t>
  </si>
  <si>
    <t>20_500_5212_15_1</t>
  </si>
  <si>
    <t>20_500_5219_15_1</t>
  </si>
  <si>
    <t>20_500_5240_15_1</t>
  </si>
  <si>
    <t>20_500_5226_15_1</t>
  </si>
  <si>
    <t>20_500_5247_15_1</t>
  </si>
  <si>
    <t>20_500_5254_15_1</t>
  </si>
  <si>
    <r>
      <rPr>
        <b/>
        <sz val="10"/>
        <color rgb="FF636363"/>
        <rFont val="Calibri"/>
        <family val="2"/>
        <scheme val="minor"/>
      </rPr>
      <t>Guidance for users</t>
    </r>
    <r>
      <rPr>
        <sz val="10"/>
        <color rgb="FF636363"/>
        <rFont val="Calibri"/>
        <family val="2"/>
        <scheme val="minor"/>
      </rPr>
      <t xml:space="preserve">
This sheet allows users to provide information about any renewable energy that an organisation generates or purchases. It has two tables, one for renewables generated onsite/offsite by your organisation, and one for any renewable electricity or heat that your organisation purchases. 
If your organisation purchases renewable electricity (e.g. through a green tariff) which is reported in this sheet, the activity data should also be included in the 'Buildings' table in the 'Buildings, fleet &amp;other assets' sheet. This is because the Welsh Public Sector has agreed to use a locational based approach to accounting; all the renewable electricity in the grid is already accounted for in the average grid factor. If individual organisations account for this green electricity as zero carbon and the grid average also includes it as a zero carbon component, the benefit is being double counted. 
</t>
    </r>
    <r>
      <rPr>
        <b/>
        <sz val="10"/>
        <color rgb="FF636363"/>
        <rFont val="Calibri"/>
        <family val="2"/>
        <scheme val="minor"/>
      </rPr>
      <t>Please see Section 12 of the Welsh Net Zero Public Sector Reporting Guide for further guidance.</t>
    </r>
    <r>
      <rPr>
        <sz val="10"/>
        <color rgb="FF636363"/>
        <rFont val="Calibri"/>
        <family val="2"/>
        <scheme val="minor"/>
      </rPr>
      <t xml:space="preserve">
</t>
    </r>
  </si>
  <si>
    <r>
      <rPr>
        <b/>
        <sz val="10"/>
        <color rgb="FF636363"/>
        <rFont val="Calibri"/>
        <family val="2"/>
        <scheme val="minor"/>
      </rPr>
      <t>Instructions for users</t>
    </r>
    <r>
      <rPr>
        <sz val="10"/>
        <color rgb="FF636363"/>
        <rFont val="Calibri"/>
        <family val="2"/>
        <scheme val="minor"/>
      </rPr>
      <t xml:space="preserve">
• Input information into the orange and blue cells. Grey cells should not be edited.
• Activity data should only be in kWh unit.  If your data is in other units, you will need to convert it before entering it into this sheet (see conversion sheet).
• When completing a row, fill in the columns from left to right. The drop down lists in later columns will change to provide valid combinations based on your previous selections. 
• You can copy and paste between rows but please avoid copying data from one column to another, as this is likely to break the drop down lists. 
• Fill in the notes column with a description of the method and data source used.
• Note that we now ask for Total capacity tobe submitted in kW. Previously we asked for submission in MW.</t>
    </r>
  </si>
  <si>
    <t>Onsite and offsite electricity</t>
  </si>
  <si>
    <t>Error test</t>
  </si>
  <si>
    <t>Blank test</t>
  </si>
  <si>
    <r>
      <t xml:space="preserve">Total </t>
    </r>
    <r>
      <rPr>
        <b/>
        <u/>
        <sz val="11"/>
        <color rgb="FFFFFFFF"/>
        <rFont val="Calibri"/>
        <family val="2"/>
        <scheme val="minor"/>
      </rPr>
      <t>kW</t>
    </r>
    <r>
      <rPr>
        <b/>
        <sz val="11"/>
        <color rgb="FFFFFFFF"/>
        <rFont val="Calibri"/>
        <family val="2"/>
        <scheme val="minor"/>
      </rPr>
      <t xml:space="preserve"> capacity</t>
    </r>
  </si>
  <si>
    <t>Name of other Public Sector Body</t>
  </si>
  <si>
    <t>Onsite heat</t>
  </si>
  <si>
    <t>Only applicable to heat networks</t>
  </si>
  <si>
    <t>Total MW capacity (thermal)</t>
  </si>
  <si>
    <t>kWh exported to a heat network</t>
  </si>
  <si>
    <t>Offsite heat</t>
  </si>
  <si>
    <t>Purchased renewables</t>
  </si>
  <si>
    <t>If you purchase renewable electricity that is supplied through the UK grid, you must also include this electricity in the buildings table.</t>
  </si>
  <si>
    <t>Agreement</t>
  </si>
  <si>
    <t>Total kWh purchased</t>
  </si>
  <si>
    <t>Not used2</t>
  </si>
  <si>
    <t>Benchmarking data</t>
  </si>
  <si>
    <t>This sheet contains the following tables:</t>
  </si>
  <si>
    <t>Energy use in building benchmarks</t>
  </si>
  <si>
    <t>Water use and waste benchmarks</t>
  </si>
  <si>
    <t>Commuting benchmarks</t>
  </si>
  <si>
    <t>Public transport £/passenger km benchmarks</t>
  </si>
  <si>
    <t>Waste density factors</t>
  </si>
  <si>
    <t xml:space="preserve">The source of building energy benchmarks is the Chartered Institution of Building Services (CIBSE) Energy Benchmarking tool. Organisations are free to use alternative sources of benchmark energy data but any data sources should be carefully documented, along with rationale for selection. Benchmarks for other building types are available through the tool, which can be accessed via the link below:
</t>
  </si>
  <si>
    <t>The source of building water benchmarks is a publication by the Better Buildings Partnership (2017 Real Estate Environmental Benchmarks: January 2018 ). Organisations are free to use alternative sources of benchmark water data but any data sources should be carefully documented, along with rationale for selection.</t>
  </si>
  <si>
    <t xml:space="preserve">The average commuting distance in Wales average is 9.5 miles/ 15.3 km and the modal split is shown in the table below. Data source: ‘The Car and the Commute: The journey to work in England and Wales’ report by the RAC Foundation </t>
  </si>
  <si>
    <t>https://www.cibse.org/Knowledge/Benchmarking</t>
  </si>
  <si>
    <t>Note: Values are correct as of 20/05/2022</t>
  </si>
  <si>
    <t>Fossil-thermal typical benchmark (kWh/m2)</t>
  </si>
  <si>
    <t>Electricity typical benchmark (kWh/m2)</t>
  </si>
  <si>
    <t>Good practice benchmark (litre/person/working day)</t>
  </si>
  <si>
    <t>Typical practice benchmark (litre/person/working day)</t>
  </si>
  <si>
    <t>% split</t>
  </si>
  <si>
    <t>Town Hall</t>
  </si>
  <si>
    <t>Car</t>
  </si>
  <si>
    <t>https://www.racfoundation.org/assets/rac_foundation/content/downloadables/car-and-the-commute-web-version.pdf</t>
  </si>
  <si>
    <t>Community Centres</t>
  </si>
  <si>
    <t>Car passenger</t>
  </si>
  <si>
    <t>Waste benchmarks have been taken from WRAP (Waste &amp; Resources Action Programme) Green Office: A Guide to Running a More Cost-effective and Environmentally Sustainable Office .</t>
  </si>
  <si>
    <t>Taxi/ mini cab</t>
  </si>
  <si>
    <t>Good practice benchmark (quantity per person per year)</t>
  </si>
  <si>
    <t>Walking</t>
  </si>
  <si>
    <t>less than 200kg</t>
  </si>
  <si>
    <t>Moped/ Motorbike</t>
  </si>
  <si>
    <t xml:space="preserve">Where only data on total cost by travel mode is available, and in the absence of any more accurate local estimates, the following estimates of £/passenger km can be used to estimate kilometres travelled from spend. </t>
  </si>
  <si>
    <t>Cycling</t>
  </si>
  <si>
    <t>Work from home</t>
  </si>
  <si>
    <t>Local Government office</t>
  </si>
  <si>
    <t>£/passenger km</t>
  </si>
  <si>
    <t>Table 12.10 Revenue per passenger kilometre and revenue per passenger journey. Office of Rail and Road. UK Government</t>
  </si>
  <si>
    <t>Schools</t>
  </si>
  <si>
    <t>Primary</t>
  </si>
  <si>
    <t>https://www.gov.uk/government/statistical-data-sets/bus-statistics-data-tables - Number of journeys (BUS01a)</t>
  </si>
  <si>
    <t>Secondary</t>
  </si>
  <si>
    <t>https://www.walesonline.co.uk/news/wales-news/dragon-taxis-cardiff-cost-fares-17767633</t>
  </si>
  <si>
    <t>Special</t>
  </si>
  <si>
    <t>Air</t>
  </si>
  <si>
    <t>-</t>
  </si>
  <si>
    <t>http://www.webflyer.com/travel/mileage_calculator/</t>
  </si>
  <si>
    <t>Secondary, with swimming pool</t>
  </si>
  <si>
    <t xml:space="preserve">Calculate distance travelled for each of the journeys taken. Option to choose top ten frequent trips and work out an average £/passenger km to apply to remainder. </t>
  </si>
  <si>
    <t>Hospital</t>
  </si>
  <si>
    <t>General Acute</t>
  </si>
  <si>
    <t>Teaching/specialist</t>
  </si>
  <si>
    <t>Cottage hospital</t>
  </si>
  <si>
    <t>Lecture room/conference facility</t>
  </si>
  <si>
    <t>Waste density table</t>
  </si>
  <si>
    <t xml:space="preserve">Where your organisation has information on the estimated volume of waste collected rather than the weight, the following density factors can be used to estimate the weight.
These density conversion factors were developed by the Environment Agency for the 1998/99 commercial and industrial waste survey in England and have since been used across the UK by all of the Agencies including SEPA. The factors were derived from a number of different sources including published research, advice from the waste management industry and some original research at the time (source: https://www.sepa.org.uk/media/163323/uk-conversion-factors-for-waste.xlsx). 		</t>
  </si>
  <si>
    <t>Density factors for waste</t>
  </si>
  <si>
    <t>Waste type</t>
  </si>
  <si>
    <t>EWC code</t>
  </si>
  <si>
    <t>Waste Description</t>
  </si>
  <si>
    <t>Density conversion factor (kg per litre)</t>
  </si>
  <si>
    <t>17 01 07</t>
  </si>
  <si>
    <t xml:space="preserve">mixtures of concrete, bricks, tiles and ceramics other than those mentioned in 17 01 06 </t>
  </si>
  <si>
    <t>18 01 02</t>
  </si>
  <si>
    <t>Body parts and organs including blood bags and blood preserves (except 18 01 03)</t>
  </si>
  <si>
    <t>17 06 01*</t>
  </si>
  <si>
    <t>insulation materials containing asbestos</t>
  </si>
  <si>
    <t>17 03 02</t>
  </si>
  <si>
    <t>bituminous mixtures other than those mentioned in 17 03 01</t>
  </si>
  <si>
    <t>17 09 04</t>
  </si>
  <si>
    <t>mixed construction and demolition wastes other than those mentioned in 17 09 01, 17 09 02 and 17 09 03</t>
  </si>
  <si>
    <t>20 01 33*</t>
  </si>
  <si>
    <t>batteries and accumulators included in 16 06 01, 16 06 02 or 16 06 03 and unsorted batteries and accumulators containing these batteries</t>
  </si>
  <si>
    <t>17 01 02</t>
  </si>
  <si>
    <t>bricks</t>
  </si>
  <si>
    <t>18 01 03*</t>
  </si>
  <si>
    <t>wastes whose collection and disposal is subject to special requirements in order to prevent infection</t>
  </si>
  <si>
    <t>20 01 10</t>
  </si>
  <si>
    <t>clothes</t>
  </si>
  <si>
    <t>20 03 01</t>
  </si>
  <si>
    <t>mixed municipal waste</t>
  </si>
  <si>
    <t>17 01 01</t>
  </si>
  <si>
    <t>concrete</t>
  </si>
  <si>
    <t>17 06 04</t>
  </si>
  <si>
    <t>insulation materials other than those mentioned in 17 06 01 and 17 06 03</t>
  </si>
  <si>
    <t>18 01 01</t>
  </si>
  <si>
    <t>sharps (except 18 01 03)</t>
  </si>
  <si>
    <t>20 01 32</t>
  </si>
  <si>
    <t>medicines other than those mentioned in 20 01 31</t>
  </si>
  <si>
    <t>17 04 07</t>
  </si>
  <si>
    <t>mixed metals</t>
  </si>
  <si>
    <t>13 03 10*</t>
  </si>
  <si>
    <t>other insulating and heat transmission oils</t>
  </si>
  <si>
    <t>20 01 02</t>
  </si>
  <si>
    <t>glass</t>
  </si>
  <si>
    <t>20 01 40</t>
  </si>
  <si>
    <t>metals</t>
  </si>
  <si>
    <t>20 01 01</t>
  </si>
  <si>
    <t>paper and cardboard</t>
  </si>
  <si>
    <t>20 01 39</t>
  </si>
  <si>
    <t>plastics</t>
  </si>
  <si>
    <t>20 01 36</t>
  </si>
  <si>
    <t>discarded electrical and electronic equipment other than those mentioned in 20 01 21, 20 01 23 and 20 01 35</t>
  </si>
  <si>
    <t>18 01 04</t>
  </si>
  <si>
    <t>wastes whose collection and disposal is not subject to special requirements in order to prevent infection(for example dressings, plaster casts, linen, disposable clothing, diapers)</t>
  </si>
  <si>
    <t>20 01 08</t>
  </si>
  <si>
    <t>biodegradable kitchen and canteen waste</t>
  </si>
  <si>
    <t>20 02 01</t>
  </si>
  <si>
    <t>biodegradable waste</t>
  </si>
  <si>
    <t>19 12 07</t>
  </si>
  <si>
    <t>wood other than that mentioned in 19 12 06</t>
  </si>
  <si>
    <t>20 02 02</t>
  </si>
  <si>
    <t>soil and stones</t>
  </si>
  <si>
    <t>16 01 03</t>
  </si>
  <si>
    <t>end-of-life tyres</t>
  </si>
  <si>
    <t>20 01 38</t>
  </si>
  <si>
    <t>wood other than that mentioned in 20 01 37</t>
  </si>
  <si>
    <t>Kerosene is listed as burning oil in the conversion factors dataset</t>
  </si>
  <si>
    <t>Emission factor unit is litres rather than kWh. Converted to kWh using gross CV kWh/litre from fuel properties sheet</t>
  </si>
  <si>
    <t>AKA Bioethanol. Emission factor unit is GJ rather than kWh. Converted to kWh using factor of 278. No conversion unit for litres so used relationship between emission factor for kWh and litres</t>
  </si>
  <si>
    <t>BEIS factor multiplied by 7.5 working hours per day, working 5 days per week for 52 weeks less 28 days of leave.</t>
  </si>
  <si>
    <t>Table 52, Methodology Paper for Conversion factors 2024. Transport distances and vehicles assumptions for waste transport. Landfill - 10km (1 way) distance, average HGV tonne km 50% laden factor</t>
  </si>
  <si>
    <t>Products of agriculture, hunting and related services</t>
  </si>
  <si>
    <t>Products of forestry, logging and related services</t>
  </si>
  <si>
    <t>Fish and other fishing products; aquaculture products; support services to fishing</t>
  </si>
  <si>
    <t>Coal and lignite</t>
  </si>
  <si>
    <t>Crude petroleum and natural gas</t>
  </si>
  <si>
    <t>Other mining and quarrying products</t>
  </si>
  <si>
    <t>Mining support services</t>
  </si>
  <si>
    <t>Preserved meat and meat products</t>
  </si>
  <si>
    <t>Processed and preserved fish, crustaceans, molluscs, fruit and vegetables</t>
  </si>
  <si>
    <t>Vegetable and animal oils and fats</t>
  </si>
  <si>
    <t>Dairy products</t>
  </si>
  <si>
    <t>Grain mill products, starches and starch products</t>
  </si>
  <si>
    <t>Bakery and farinaceous products</t>
  </si>
  <si>
    <t>Other food products</t>
  </si>
  <si>
    <t>Prepared animal feeds</t>
  </si>
  <si>
    <t>Alcoholic beverages</t>
  </si>
  <si>
    <t>Soft drinks</t>
  </si>
  <si>
    <t>Tobacco products</t>
  </si>
  <si>
    <t>Textiles</t>
  </si>
  <si>
    <t>Wearing apparel</t>
  </si>
  <si>
    <t>Leather and related products</t>
  </si>
  <si>
    <t>Paper and paper products</t>
  </si>
  <si>
    <t>Printing and recording services</t>
  </si>
  <si>
    <t>Coke and refined petroleum products</t>
  </si>
  <si>
    <t>Paints, varnishes and similar coatings, printing ink and mastics</t>
  </si>
  <si>
    <t>Soap and detergents, cleaning and polishing preparations, perfumes and toilet preparations</t>
  </si>
  <si>
    <t>Other chemical products</t>
  </si>
  <si>
    <t>Industrial gases, inorganics and fertilisers (all inorganic chemicals) - 20.11/13/15</t>
  </si>
  <si>
    <t>Petrochemicals - 20.14/16/17/60</t>
  </si>
  <si>
    <t>Dyestuffs, agro-chemicals - 20.12/20</t>
  </si>
  <si>
    <t>Basic pharmaceutical products and pharmaceutical preparations</t>
  </si>
  <si>
    <t>Rubber and plastic products</t>
  </si>
  <si>
    <t>Cement, lime, plaster and articles of concrete, cement and plaster</t>
  </si>
  <si>
    <t>Glass, refractory, clay, other porcelain and ceramic, stone and abrasive products - 23.1-4/7-9</t>
  </si>
  <si>
    <t>Basic iron and steel</t>
  </si>
  <si>
    <t>Other basic metals and casting</t>
  </si>
  <si>
    <t>Weapons and ammunition</t>
  </si>
  <si>
    <t>Fabricated metal products, excl. machinery and equipment and weapons &amp; ammunition - 25.1-3/25.5-9</t>
  </si>
  <si>
    <t>Machinery and equipment n.e.c.</t>
  </si>
  <si>
    <t>Motor vehicles, trailers and semi-trailers</t>
  </si>
  <si>
    <t>Ships and boats</t>
  </si>
  <si>
    <t>Air and spacecraft and related machinery</t>
  </si>
  <si>
    <t>Other transport equipment - 30.2/4/9</t>
  </si>
  <si>
    <t>Furniture</t>
  </si>
  <si>
    <t>Other manufactured goods</t>
  </si>
  <si>
    <t>Repair and maintenance of ships and boats</t>
  </si>
  <si>
    <t>Repair and maintenance of aircraft and spacecraft</t>
  </si>
  <si>
    <t>Rest of repair; Installation - 33.11-14/17/19/20</t>
  </si>
  <si>
    <t>Gas; distribution of gaseous fuels through mains; steam and air conditioning supply</t>
  </si>
  <si>
    <t>Natural water; water treatment and supply services</t>
  </si>
  <si>
    <t>Sewerage services; sewage sludge</t>
  </si>
  <si>
    <t>Waste collection, treatment and disposal services; materials recovery services</t>
  </si>
  <si>
    <t>Remediation services and other waste management services</t>
  </si>
  <si>
    <t>Buildings and building construction works</t>
  </si>
  <si>
    <t>Constructions and construction works for civil engineering</t>
  </si>
  <si>
    <t>Specialised construction works</t>
  </si>
  <si>
    <t>Wholesale and retail trade and repair services of motor vehicles and motorcycles</t>
  </si>
  <si>
    <t>Wholesale trade services, except of motor vehicles and motorcycles</t>
  </si>
  <si>
    <t>Retail trade services, except of motor vehicles and motorcycles</t>
  </si>
  <si>
    <t>Rail transport services</t>
  </si>
  <si>
    <t>Land transport services and transport services via pipelines, excluding rail transport</t>
  </si>
  <si>
    <t>Water transport services</t>
  </si>
  <si>
    <t>Air transport services</t>
  </si>
  <si>
    <t>Warehousing and support services for transportation</t>
  </si>
  <si>
    <t>Postal and courier services</t>
  </si>
  <si>
    <t>Accommodation services</t>
  </si>
  <si>
    <t>Food and beverage serving services</t>
  </si>
  <si>
    <t>Publishing services</t>
  </si>
  <si>
    <t>Motion picture, video and TV programme production services, sound recording &amp; music publishing</t>
  </si>
  <si>
    <t>Programming and broadcasting services</t>
  </si>
  <si>
    <t>Telecommunications services</t>
  </si>
  <si>
    <t>Computer programming, consultancy and related services</t>
  </si>
  <si>
    <t>Information services</t>
  </si>
  <si>
    <t>Financial services, except insurance and pension funding</t>
  </si>
  <si>
    <t>Insurance and reinsurance services, except compulsory social security</t>
  </si>
  <si>
    <t>Services auxiliary to financial services and insurance services</t>
  </si>
  <si>
    <t>Real estate services, excluding on a fee or contract basis and imputed rent</t>
  </si>
  <si>
    <t>Real estate services on a fee or contract basis</t>
  </si>
  <si>
    <t>Legal services</t>
  </si>
  <si>
    <t>Accounting, bookkeeping and auditing services; tax consulting services</t>
  </si>
  <si>
    <t>Services of head offices; management consulting services</t>
  </si>
  <si>
    <t>Architectural and engineering services; technical testing and analysis services</t>
  </si>
  <si>
    <t>Scientific research and development services</t>
  </si>
  <si>
    <t>Advertising and market research services</t>
  </si>
  <si>
    <t>Other professional, scientific and technical services</t>
  </si>
  <si>
    <t>Veterinary services</t>
  </si>
  <si>
    <t>Rental and leasing services</t>
  </si>
  <si>
    <t>Employment services</t>
  </si>
  <si>
    <t>Travel agency, tour operator and other reservation services and related services</t>
  </si>
  <si>
    <t>Security and investigation services</t>
  </si>
  <si>
    <t>Services to buildings and landscape</t>
  </si>
  <si>
    <t>Office administrative, office support and other business support services</t>
  </si>
  <si>
    <t>Public administration and defence services; compulsory social security services</t>
  </si>
  <si>
    <t>Education services</t>
  </si>
  <si>
    <t>Human health services</t>
  </si>
  <si>
    <t>Residential care services</t>
  </si>
  <si>
    <t>Social work services without accommodation</t>
  </si>
  <si>
    <t>Creative, arts and entertainment services</t>
  </si>
  <si>
    <t>Libraries, archives, museums and other cultural services</t>
  </si>
  <si>
    <t>Gambling and betting services</t>
  </si>
  <si>
    <t>Sports services and amusement and recreation services</t>
  </si>
  <si>
    <t>Services furnished by membership organisations</t>
  </si>
  <si>
    <t>Repair services of computers and personal and household goods</t>
  </si>
  <si>
    <t>Other personal services</t>
  </si>
  <si>
    <t>Services of households as employers of domestic personnel</t>
  </si>
  <si>
    <t>Rizan et al. (2021), The carbon footprint of waste streams in a UK hospital</t>
  </si>
  <si>
    <t>Waste Totals (tCO2e)</t>
  </si>
  <si>
    <t xml:space="preserve">Organisational </t>
  </si>
  <si>
    <t>Supply Chain Totals - Tier 1, Tier 2 and Supplier Forms combined (tCO2e)</t>
  </si>
  <si>
    <t>FLAG Totals (tCO2e)</t>
  </si>
  <si>
    <t xml:space="preserve">Land based removals </t>
  </si>
  <si>
    <t>Out of scope</t>
  </si>
  <si>
    <t>NA</t>
  </si>
  <si>
    <t>Renewables Totals (kWh)</t>
  </si>
  <si>
    <t>Renewable heat CHP</t>
  </si>
  <si>
    <t>Generated</t>
  </si>
  <si>
    <t>Exported</t>
  </si>
  <si>
    <r>
      <t xml:space="preserve">Spend with supplier </t>
    </r>
    <r>
      <rPr>
        <sz val="11"/>
        <color theme="0"/>
        <rFont val="Arial"/>
        <family val="2"/>
      </rPr>
      <t>GBP</t>
    </r>
  </si>
  <si>
    <r>
      <t xml:space="preserve">Emissions </t>
    </r>
    <r>
      <rPr>
        <sz val="11"/>
        <color theme="0"/>
        <rFont val="Arial"/>
        <family val="2"/>
      </rPr>
      <t>kgCO2e</t>
    </r>
  </si>
  <si>
    <t>Override?</t>
  </si>
  <si>
    <t>Data assessment score</t>
  </si>
  <si>
    <t>Not including transport</t>
  </si>
  <si>
    <t>EF for waste only includes transport (Conversion Factors 2025: Methodology, pg.121).</t>
  </si>
  <si>
    <t>Fleet vehicle - distance</t>
  </si>
  <si>
    <t>Fleet vehicle - fuel</t>
  </si>
  <si>
    <r>
      <t xml:space="preserve">PLEASE PASTE VALUES </t>
    </r>
    <r>
      <rPr>
        <sz val="11"/>
        <color theme="8"/>
        <rFont val="Arial"/>
        <family val="2"/>
      </rPr>
      <t>(SEE INSTRUCTIONS)</t>
    </r>
  </si>
  <si>
    <t>Do you collect this waste and include the associated vehicle fuel in the fleet section?</t>
  </si>
  <si>
    <r>
      <t xml:space="preserve">This table is for all public sector bodies to enter data with regards to non-electric energy consumption. This will generally be fuels for heating.
The site name drop down is based on the site information tab, please update this if the site name is not appearing in this table. The units dropdown will not work if a site name is not selected </t>
    </r>
    <r>
      <rPr>
        <b/>
        <sz val="11"/>
        <color theme="1"/>
        <rFont val="Arial"/>
        <family val="2"/>
      </rPr>
      <t xml:space="preserve">or </t>
    </r>
    <r>
      <rPr>
        <sz val="11"/>
        <color theme="1"/>
        <rFont val="Arial"/>
        <family val="2"/>
      </rPr>
      <t>if a site type is not assigned in the 'Buildings - Site Info' tab</t>
    </r>
  </si>
  <si>
    <t>SupplyChain_Tier2_Backend</t>
  </si>
  <si>
    <t>SupplyChain_Supplierdata_Backend</t>
  </si>
  <si>
    <t>DROPDOWN(rng_Level3,$T66,cl_Level4Target)</t>
  </si>
  <si>
    <t>Combustion (municipal)</t>
  </si>
  <si>
    <t>Anaerobic digestion (municipal)</t>
  </si>
  <si>
    <t>Composting (municipal)</t>
  </si>
  <si>
    <t>High temperature incineration (municipal)</t>
  </si>
  <si>
    <t>Landfill (municipal)</t>
  </si>
  <si>
    <t>Recycling (municipal)</t>
  </si>
  <si>
    <t>Anaerobic digestion (organisational)</t>
  </si>
  <si>
    <t>Autoclave treatment and combustion (organisational)</t>
  </si>
  <si>
    <t>Combustion (organisational)</t>
  </si>
  <si>
    <t>High temperature incineration (organisational)</t>
  </si>
  <si>
    <t>Landfill (organisational)</t>
  </si>
  <si>
    <t>Recycling (organisational)</t>
  </si>
  <si>
    <t>Combustion (project)</t>
  </si>
  <si>
    <t>Landfill (project)</t>
  </si>
  <si>
    <t>Recycling (project)</t>
  </si>
  <si>
    <t>Composting (organisational)</t>
  </si>
  <si>
    <t>AY 24/25</t>
  </si>
  <si>
    <t>Industry benchmark EF</t>
  </si>
  <si>
    <t>Streetlights</t>
  </si>
  <si>
    <t xml:space="preserve">The Welsh Government Energy Service (“Energy Service”) is funded by the Welsh Government with the aim of developing energy efficiency and renewable energy projects that contribute to public sector decarbonisation and national energy targets.  The Energy Service Lot 2 Net Zero Reporting is delivered by the Carbon Trust (the “Delivery Partner”).
This model has been developed for Client Welsh Government by the Delivery Partner for Welsh Public Sector organisations. The use of the model and any results generated by it are the sole responsibility of each user. Any information and results derived from the use of this model are subject to the accuracy of data inputs supplied during the modelling process. This model has not been subject to any external independent audit. All results should be checked and challenged before reliance, publication or use.
While the model has been prepared in good faith, no representation or warranty, assurance or undertaking (express or implied) is or will be made, and no responsibility is or will be accepted by the Energy Service or by any of their respective officers, employees or agents in relation to the adequacy, accuracy completeness or reasonableness of the model or of any information or results derived from it. All and any such responsibilities and liability (including in the case of negligence) is expressly disclaimed to the fullest extent permitted by law. 
</t>
  </si>
  <si>
    <t>FLAGLand useForest landMineralForest landRemovals</t>
  </si>
  <si>
    <t>Pool car - distance</t>
  </si>
  <si>
    <t>Van - distance</t>
  </si>
  <si>
    <t>HGV - distance</t>
  </si>
  <si>
    <t>Motorbike - distance</t>
  </si>
  <si>
    <t>Pool car - fuel</t>
  </si>
  <si>
    <t>Van - fuel</t>
  </si>
  <si>
    <t>HGV - fuel</t>
  </si>
  <si>
    <t>Motorbike - fuel</t>
  </si>
  <si>
    <t>Rolling stock - fuel</t>
  </si>
  <si>
    <t>Renewables - electricity</t>
  </si>
  <si>
    <t>Renewables - heat</t>
  </si>
  <si>
    <t>Product-based EF</t>
  </si>
  <si>
    <t>OP</t>
  </si>
  <si>
    <t>Final sheet for 2026 issue</t>
  </si>
  <si>
    <t>v0.2</t>
  </si>
  <si>
    <t>ML/HW</t>
  </si>
  <si>
    <t>Protection restrictions updated</t>
  </si>
  <si>
    <r>
      <t xml:space="preserve">Identify the amount spent on different product and service groups (in actual prices in £s, including VAT). </t>
    </r>
    <r>
      <rPr>
        <b/>
        <u/>
        <sz val="11"/>
        <color theme="1"/>
        <rFont val="Arial"/>
        <family val="2"/>
      </rPr>
      <t>It is required to fill this in with ALL your supply chain spend data, regardless of whether you also fill in Tier 2 data table or provide data from supplier forms</t>
    </r>
    <r>
      <rPr>
        <sz val="11"/>
        <color theme="1"/>
        <rFont val="Arial"/>
        <family val="2"/>
      </rPr>
      <t>. Spend from the Tier 2 data table and supplier forms data table are separately removed in the backend calculations to prevent double counting and provide a complete supply chain footprint.</t>
    </r>
  </si>
  <si>
    <t>R449A</t>
  </si>
  <si>
    <t>https://www.climatiq.io/data/emission-factor/6951bf25-0dd0-4a77-a05b-287e05fec724</t>
  </si>
  <si>
    <t>Mid and West Wales</t>
  </si>
  <si>
    <t>v0.3</t>
  </si>
  <si>
    <t>Update to homeworking EF; addition of R449A F-gas; update to medical gas table</t>
  </si>
  <si>
    <t>LS</t>
  </si>
  <si>
    <r>
      <t xml:space="preserve">Within this table please provide details for all buildings, sites and assets that consume energy (heat and electric) or water, or host renewable generation assets.
-
</t>
    </r>
    <r>
      <rPr>
        <b/>
        <u/>
        <sz val="11"/>
        <color theme="8"/>
        <rFont val="Arial"/>
        <family val="2"/>
      </rPr>
      <t>Site type categorisations have been updated. Use the below mapping to update categorisation:</t>
    </r>
    <r>
      <rPr>
        <b/>
        <sz val="11"/>
        <color theme="8"/>
        <rFont val="Arial"/>
        <family val="2"/>
      </rPr>
      <t xml:space="preserve">
</t>
    </r>
    <r>
      <rPr>
        <b/>
        <sz val="11"/>
        <color theme="1"/>
        <rFont val="Arial"/>
        <family val="2"/>
      </rPr>
      <t xml:space="preserve">
</t>
    </r>
    <r>
      <rPr>
        <sz val="11"/>
        <color theme="1"/>
        <rFont val="Arial"/>
        <family val="2"/>
      </rPr>
      <t xml:space="preserve">Buildings we own and occupy &gt; Our Estate
Buildings we lease in from other organisations &gt; Lessee
Buildings we lease out to deliver services &gt; Lessor
Buildings we lease out to another public body &gt; Lessor to PSB
-
The various categorisations and floor area data fields allow us to undertake energy benchmarking analysis, providing you with an understanding of the energy performance of your estate.
The postcode data field allows us to undertake analysis of heat network and renewable generation/offtake potential. </t>
    </r>
    <r>
      <rPr>
        <b/>
        <sz val="11"/>
        <color theme="1"/>
        <rFont val="Arial"/>
        <family val="2"/>
      </rPr>
      <t>Only provide postcode data if locational data is not sensitive or confidential</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</si>
</sst>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 #,##0_-;\-* #,##0_-;_-* &quot;-&quot;??_-;_-@_-"/>
    <numFmt numFmtId="165" formatCode="0.000"/>
    <numFmt numFmtId="166" formatCode="0.0%"/>
    <numFmt numFmtId="167" formatCode="0.00000"/>
    <numFmt numFmtId="168" formatCode="#,##0_ ;\-#,##0\ "/>
    <numFmt numFmtId="169" formatCode="_-[$£-809]* #,##0.00_-;\-[$£-809]* #,##0.00_-;_-[$£-809]* &quot;-&quot;??_-;_-@_-"/>
    <numFmt numFmtId="170" formatCode="dd/mm/yy"/>
    <numFmt numFmtId="171" formatCode="#,##0.0"/>
  </numFmts>
  <fonts count="76" x14ac:knownFonts="1">
    <font>
      <sz val="11"/>
      <color theme="1"/>
      <name val="Calibri"/>
      <family val="2"/>
      <scheme val="minor"/>
    </font>
    <font>
      <sz val="11"/>
      <color theme="1"/>
      <name val="Calibri"/>
      <family val="2"/>
      <scheme val="minor"/>
    </font>
    <font>
      <b/>
      <sz val="10"/>
      <color rgb="FFFFFFFF"/>
      <name val="Calibri"/>
      <family val="2"/>
      <scheme val="minor"/>
    </font>
    <font>
      <sz val="10"/>
      <color rgb="FF636363"/>
      <name val="Calibri"/>
      <family val="2"/>
      <scheme val="minor"/>
    </font>
    <font>
      <b/>
      <vertAlign val="subscript"/>
      <sz val="10"/>
      <color rgb="FFFFFFFF"/>
      <name val="Calibri"/>
      <family val="2"/>
      <scheme val="minor"/>
    </font>
    <font>
      <sz val="10"/>
      <name val="Arial"/>
      <family val="2"/>
    </font>
    <font>
      <b/>
      <sz val="10"/>
      <color rgb="FF636363"/>
      <name val="Calibri"/>
      <family val="2"/>
      <scheme val="minor"/>
    </font>
    <font>
      <sz val="10"/>
      <name val="Calibri"/>
      <family val="2"/>
      <scheme val="minor"/>
    </font>
    <font>
      <sz val="11"/>
      <color rgb="FF636363"/>
      <name val="Calibri"/>
      <family val="2"/>
      <scheme val="minor"/>
    </font>
    <font>
      <i/>
      <sz val="10"/>
      <color rgb="FF0599C7"/>
      <name val="Calibri"/>
      <family val="2"/>
      <scheme val="minor"/>
    </font>
    <font>
      <b/>
      <sz val="12"/>
      <color rgb="FF636363"/>
      <name val="Calibri"/>
      <family val="2"/>
      <scheme val="minor"/>
    </font>
    <font>
      <b/>
      <sz val="11"/>
      <color theme="1"/>
      <name val="Calibri"/>
      <family val="2"/>
      <scheme val="minor"/>
    </font>
    <font>
      <sz val="11"/>
      <color theme="1" tint="0.499984740745262"/>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
      <sz val="8"/>
      <name val="Calibri"/>
      <family val="2"/>
      <scheme val="minor"/>
    </font>
    <font>
      <b/>
      <sz val="14"/>
      <color theme="1"/>
      <name val="Calibri"/>
      <family val="2"/>
      <scheme val="minor"/>
    </font>
    <font>
      <b/>
      <sz val="10"/>
      <name val="Calibri"/>
      <family val="2"/>
      <scheme val="minor"/>
    </font>
    <font>
      <sz val="11"/>
      <color theme="0"/>
      <name val="Calibri"/>
      <family val="2"/>
      <scheme val="minor"/>
    </font>
    <font>
      <b/>
      <sz val="14"/>
      <color rgb="FF636363"/>
      <name val="Calibri"/>
      <family val="2"/>
      <scheme val="minor"/>
    </font>
    <font>
      <b/>
      <sz val="16"/>
      <color rgb="FF636363"/>
      <name val="Calibri"/>
      <family val="2"/>
      <scheme val="minor"/>
    </font>
    <font>
      <b/>
      <i/>
      <sz val="14"/>
      <color rgb="FF0599C7"/>
      <name val="Calibri"/>
      <family val="2"/>
      <scheme val="minor"/>
    </font>
    <font>
      <sz val="10"/>
      <color theme="1"/>
      <name val="Arial"/>
      <family val="2"/>
    </font>
    <font>
      <u/>
      <sz val="11"/>
      <color indexed="12"/>
      <name val="Calibri"/>
      <family val="2"/>
    </font>
    <font>
      <u/>
      <sz val="10"/>
      <color indexed="12"/>
      <name val="Arial"/>
      <family val="2"/>
    </font>
    <font>
      <i/>
      <sz val="10"/>
      <name val="Calibri"/>
      <family val="2"/>
      <scheme val="minor"/>
    </font>
    <font>
      <b/>
      <i/>
      <sz val="10"/>
      <name val="Calibri"/>
      <family val="2"/>
      <scheme val="minor"/>
    </font>
    <font>
      <b/>
      <sz val="11"/>
      <color theme="0"/>
      <name val="Calibri"/>
      <family val="2"/>
      <scheme val="minor"/>
    </font>
    <font>
      <sz val="10"/>
      <color theme="0" tint="-0.249977111117893"/>
      <name val="Calibri"/>
      <family val="2"/>
      <scheme val="minor"/>
    </font>
    <font>
      <b/>
      <sz val="12"/>
      <color theme="1" tint="0.499984740745262"/>
      <name val="Calibri"/>
      <family val="2"/>
      <scheme val="minor"/>
    </font>
    <font>
      <sz val="11"/>
      <color theme="2" tint="-0.499984740745262"/>
      <name val="Calibri"/>
      <family val="2"/>
      <scheme val="minor"/>
    </font>
    <font>
      <i/>
      <sz val="11"/>
      <color theme="1"/>
      <name val="Calibri"/>
      <family val="2"/>
      <scheme val="minor"/>
    </font>
    <font>
      <u/>
      <sz val="11"/>
      <color theme="10"/>
      <name val="Calibri"/>
      <family val="2"/>
      <scheme val="minor"/>
    </font>
    <font>
      <b/>
      <sz val="11"/>
      <color theme="2" tint="-0.499984740745262"/>
      <name val="Calibri"/>
      <family val="2"/>
      <scheme val="minor"/>
    </font>
    <font>
      <sz val="11"/>
      <color theme="1" tint="0.34998626667073579"/>
      <name val="Calibri"/>
      <family val="2"/>
      <scheme val="minor"/>
    </font>
    <font>
      <b/>
      <sz val="11"/>
      <color theme="1" tint="0.499984740745262"/>
      <name val="Calibri"/>
      <family val="2"/>
      <scheme val="minor"/>
    </font>
    <font>
      <b/>
      <sz val="11"/>
      <name val="Calibri"/>
      <family val="2"/>
      <scheme val="minor"/>
    </font>
    <font>
      <b/>
      <sz val="14"/>
      <color theme="1" tint="0.499984740745262"/>
      <name val="Calibri"/>
      <family val="2"/>
      <scheme val="minor"/>
    </font>
    <font>
      <b/>
      <sz val="20"/>
      <color theme="1" tint="0.499984740745262"/>
      <name val="Calibri"/>
      <family val="2"/>
      <scheme val="minor"/>
    </font>
    <font>
      <u/>
      <sz val="14"/>
      <color theme="10"/>
      <name val="Calibri"/>
      <family val="2"/>
      <scheme val="minor"/>
    </font>
    <font>
      <b/>
      <sz val="10"/>
      <color theme="0"/>
      <name val="Arial"/>
      <family val="2"/>
    </font>
    <font>
      <sz val="18"/>
      <color theme="3"/>
      <name val="Calibri Light"/>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0"/>
      <color theme="9" tint="-0.499984740745262"/>
      <name val="Arial"/>
      <family val="2"/>
    </font>
    <font>
      <i/>
      <sz val="10"/>
      <color rgb="FFFF0000"/>
      <name val="Arial"/>
      <family val="2"/>
    </font>
    <font>
      <u/>
      <sz val="10"/>
      <color theme="11"/>
      <name val="Arial"/>
      <family val="2"/>
    </font>
    <font>
      <sz val="11"/>
      <color theme="1"/>
      <name val="Arial"/>
      <family val="2"/>
    </font>
    <font>
      <sz val="11"/>
      <color theme="2" tint="-0.249977111117893"/>
      <name val="Calibri"/>
      <family val="2"/>
      <scheme val="minor"/>
    </font>
    <font>
      <b/>
      <sz val="12"/>
      <color rgb="FF808080"/>
      <name val="Calibri"/>
      <family val="2"/>
    </font>
    <font>
      <sz val="11"/>
      <color rgb="FF808080"/>
      <name val="Calibri"/>
      <family val="2"/>
    </font>
    <font>
      <b/>
      <sz val="11"/>
      <color rgb="FF808080"/>
      <name val="Calibri"/>
      <family val="2"/>
    </font>
    <font>
      <b/>
      <u/>
      <sz val="11"/>
      <color rgb="FFFFFFFF"/>
      <name val="Calibri"/>
      <family val="2"/>
      <scheme val="minor"/>
    </font>
    <font>
      <b/>
      <sz val="11"/>
      <color theme="1"/>
      <name val="Arial"/>
      <family val="2"/>
    </font>
    <font>
      <sz val="11"/>
      <color theme="2"/>
      <name val="Arial"/>
      <family val="2"/>
    </font>
    <font>
      <b/>
      <sz val="11"/>
      <color theme="2"/>
      <name val="Arial"/>
      <family val="2"/>
    </font>
    <font>
      <b/>
      <sz val="12"/>
      <color theme="2"/>
      <name val="Arial"/>
      <family val="2"/>
    </font>
    <font>
      <b/>
      <sz val="11"/>
      <color theme="5"/>
      <name val="Arial"/>
      <family val="2"/>
    </font>
    <font>
      <sz val="11"/>
      <name val="Arial"/>
      <family val="2"/>
    </font>
    <font>
      <sz val="11"/>
      <color theme="0"/>
      <name val="Arial"/>
      <family val="2"/>
    </font>
    <font>
      <i/>
      <sz val="11"/>
      <color theme="1"/>
      <name val="Arial"/>
      <family val="2"/>
    </font>
    <font>
      <b/>
      <sz val="11"/>
      <color theme="0"/>
      <name val="Arial"/>
      <family val="2"/>
    </font>
    <font>
      <b/>
      <sz val="12"/>
      <color theme="0"/>
      <name val="Arial"/>
      <family val="2"/>
    </font>
    <font>
      <b/>
      <sz val="11"/>
      <color theme="8" tint="0.59999389629810485"/>
      <name val="Arial"/>
      <family val="2"/>
    </font>
    <font>
      <sz val="11"/>
      <color theme="9"/>
      <name val="Arial"/>
      <family val="2"/>
    </font>
    <font>
      <b/>
      <sz val="11"/>
      <color theme="9"/>
      <name val="Calibri"/>
      <family val="2"/>
      <scheme val="minor"/>
    </font>
    <font>
      <sz val="11"/>
      <color theme="9"/>
      <name val="Calibri"/>
      <family val="2"/>
      <scheme val="minor"/>
    </font>
    <font>
      <u/>
      <sz val="11"/>
      <color theme="10"/>
      <name val="Arial"/>
      <family val="2"/>
    </font>
    <font>
      <sz val="11"/>
      <color theme="6" tint="-0.499984740745262"/>
      <name val="Arial"/>
      <family val="2"/>
    </font>
    <font>
      <u/>
      <sz val="11"/>
      <color theme="1"/>
      <name val="Arial"/>
      <family val="2"/>
    </font>
    <font>
      <b/>
      <sz val="11"/>
      <color theme="8"/>
      <name val="Arial"/>
      <family val="2"/>
    </font>
    <font>
      <sz val="11"/>
      <color theme="8"/>
      <name val="Arial"/>
      <family val="2"/>
    </font>
    <font>
      <b/>
      <u/>
      <sz val="11"/>
      <color theme="1"/>
      <name val="Arial"/>
      <family val="2"/>
    </font>
    <font>
      <b/>
      <u/>
      <sz val="11"/>
      <color theme="8"/>
      <name val="Arial"/>
      <family val="2"/>
    </font>
  </fonts>
  <fills count="70">
    <fill>
      <patternFill patternType="none"/>
    </fill>
    <fill>
      <patternFill patternType="gray125"/>
    </fill>
    <fill>
      <patternFill patternType="solid">
        <fgColor rgb="FF0599C7"/>
        <bgColor indexed="64"/>
      </patternFill>
    </fill>
    <fill>
      <patternFill patternType="solid">
        <fgColor rgb="FFF2F2F2"/>
        <bgColor indexed="64"/>
      </patternFill>
    </fill>
    <fill>
      <patternFill patternType="darkUp">
        <bgColor rgb="FFF2F2F2"/>
      </patternFill>
    </fill>
    <fill>
      <patternFill patternType="solid">
        <fgColor rgb="FF70DBFC"/>
        <bgColor indexed="64"/>
      </patternFill>
    </fill>
    <fill>
      <patternFill patternType="solid">
        <fgColor rgb="FF9FC3CD"/>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0.249977111117893"/>
        <bgColor indexed="64"/>
      </patternFill>
    </fill>
    <fill>
      <patternFill patternType="solid">
        <fgColor theme="7"/>
        <bgColor indexed="64"/>
      </patternFill>
    </fill>
    <fill>
      <patternFill patternType="solid">
        <fgColor rgb="FFA6A6A6"/>
        <bgColor indexed="64"/>
      </patternFill>
    </fill>
    <fill>
      <patternFill patternType="darkUp">
        <bgColor theme="2" tint="-0.249977111117893"/>
      </patternFill>
    </fill>
    <fill>
      <patternFill patternType="darkUp">
        <bgColor rgb="FF9FC3CD"/>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CC99FF"/>
        <bgColor indexed="64"/>
      </patternFill>
    </fill>
    <fill>
      <patternFill patternType="solid">
        <fgColor theme="7" tint="0.39997558519241921"/>
        <bgColor rgb="FF000000"/>
      </patternFill>
    </fill>
    <fill>
      <patternFill patternType="solid">
        <fgColor rgb="FFFFFF99"/>
        <bgColor indexed="64"/>
      </patternFill>
    </fill>
    <fill>
      <patternFill patternType="solid">
        <fgColor rgb="FFFFFF99"/>
        <bgColor rgb="FF000000"/>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2"/>
        <bgColor indexed="64"/>
      </patternFill>
    </fill>
    <fill>
      <patternFill patternType="solid">
        <fgColor theme="3"/>
        <bgColor indexed="64"/>
      </patternFill>
    </fill>
    <fill>
      <patternFill patternType="solid">
        <fgColor theme="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6"/>
        <bgColor indexed="64"/>
      </patternFill>
    </fill>
    <fill>
      <patternFill patternType="lightUp">
        <fgColor theme="1" tint="0.499984740745262"/>
        <bgColor theme="0" tint="-4.9989318521683403E-2"/>
      </patternFill>
    </fill>
    <fill>
      <patternFill patternType="lightUp">
        <fgColor theme="0" tint="-0.499984740745262"/>
        <bgColor theme="0" tint="-4.9989318521683403E-2"/>
      </patternFill>
    </fill>
    <fill>
      <patternFill patternType="lightUp">
        <fgColor theme="0" tint="-0.499984740745262"/>
        <bgColor theme="2"/>
      </patternFill>
    </fill>
    <fill>
      <patternFill patternType="lightUp">
        <fgColor theme="1" tint="0.499984740745262"/>
        <bgColor rgb="FFF2F2F2"/>
      </patternFill>
    </fill>
    <fill>
      <patternFill patternType="solid">
        <fgColor theme="3" tint="0.79998168889431442"/>
        <bgColor indexed="64"/>
      </patternFill>
    </fill>
  </fills>
  <borders count="133">
    <border>
      <left/>
      <right/>
      <top/>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style="medium">
        <color theme="0" tint="-0.34998626667073579"/>
      </top>
      <bottom style="thin">
        <color theme="0"/>
      </bottom>
      <diagonal/>
    </border>
    <border>
      <left/>
      <right/>
      <top style="medium">
        <color theme="0" tint="-0.34998626667073579"/>
      </top>
      <bottom style="thin">
        <color theme="0"/>
      </bottom>
      <diagonal/>
    </border>
    <border>
      <left/>
      <right style="thin">
        <color theme="0"/>
      </right>
      <top style="medium">
        <color theme="0" tint="-0.34998626667073579"/>
      </top>
      <bottom style="thin">
        <color theme="0"/>
      </bottom>
      <diagonal/>
    </border>
    <border>
      <left style="thin">
        <color theme="0"/>
      </left>
      <right/>
      <top style="thin">
        <color theme="0"/>
      </top>
      <bottom style="medium">
        <color theme="0" tint="-0.34998626667073579"/>
      </bottom>
      <diagonal/>
    </border>
    <border>
      <left/>
      <right/>
      <top style="thin">
        <color theme="0"/>
      </top>
      <bottom style="medium">
        <color theme="0" tint="-0.34998626667073579"/>
      </bottom>
      <diagonal/>
    </border>
    <border>
      <left style="medium">
        <color rgb="FFFFFFFF"/>
      </left>
      <right/>
      <top/>
      <bottom/>
      <diagonal/>
    </border>
    <border>
      <left style="medium">
        <color rgb="FFFFFFFF"/>
      </left>
      <right/>
      <top/>
      <bottom style="medium">
        <color rgb="FFFFFFFF"/>
      </bottom>
      <diagonal/>
    </border>
    <border>
      <left style="medium">
        <color rgb="FFFFFFFF"/>
      </left>
      <right/>
      <top style="medium">
        <color rgb="FFFFFFFF"/>
      </top>
      <bottom/>
      <diagonal/>
    </border>
    <border>
      <left/>
      <right/>
      <top style="medium">
        <color rgb="FFFFFFFF"/>
      </top>
      <bottom/>
      <diagonal/>
    </border>
    <border>
      <left/>
      <right/>
      <top/>
      <bottom style="medium">
        <color rgb="FFFFFFFF"/>
      </bottom>
      <diagonal/>
    </border>
    <border>
      <left/>
      <right/>
      <top style="thin">
        <color theme="0"/>
      </top>
      <bottom/>
      <diagonal/>
    </border>
    <border>
      <left style="medium">
        <color rgb="FFFFFFFF"/>
      </left>
      <right style="medium">
        <color theme="0"/>
      </right>
      <top style="medium">
        <color rgb="FFFFFFFF"/>
      </top>
      <bottom style="medium">
        <color rgb="FFFFFFFF"/>
      </bottom>
      <diagonal/>
    </border>
    <border>
      <left style="medium">
        <color theme="0"/>
      </left>
      <right/>
      <top style="medium">
        <color rgb="FFFFFFFF"/>
      </top>
      <bottom style="medium">
        <color rgb="FFFFFFFF"/>
      </bottom>
      <diagonal/>
    </border>
    <border>
      <left/>
      <right style="medium">
        <color rgb="FFFFFFFF"/>
      </right>
      <top/>
      <bottom/>
      <diagonal/>
    </border>
    <border>
      <left style="thin">
        <color theme="0"/>
      </left>
      <right style="medium">
        <color theme="0"/>
      </right>
      <top style="medium">
        <color theme="1" tint="0.34998626667073579"/>
      </top>
      <bottom/>
      <diagonal/>
    </border>
    <border>
      <left style="medium">
        <color rgb="FFFFFFFF"/>
      </left>
      <right style="medium">
        <color theme="0"/>
      </right>
      <top style="medium">
        <color theme="1" tint="0.34998626667073579"/>
      </top>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rgb="FFFFFFFF"/>
      </left>
      <right/>
      <top style="thin">
        <color theme="0"/>
      </top>
      <bottom style="medium">
        <color rgb="FFFFFFFF"/>
      </bottom>
      <diagonal/>
    </border>
    <border>
      <left/>
      <right/>
      <top style="thin">
        <color theme="0"/>
      </top>
      <bottom style="medium">
        <color rgb="FFFFFFFF"/>
      </bottom>
      <diagonal/>
    </border>
    <border>
      <left/>
      <right style="thin">
        <color theme="0"/>
      </right>
      <top style="thin">
        <color theme="0"/>
      </top>
      <bottom style="medium">
        <color rgb="FFFFFFFF"/>
      </bottom>
      <diagonal/>
    </border>
    <border>
      <left/>
      <right style="medium">
        <color theme="0"/>
      </right>
      <top style="medium">
        <color theme="0"/>
      </top>
      <bottom style="medium">
        <color theme="0"/>
      </bottom>
      <diagonal/>
    </border>
    <border>
      <left/>
      <right style="medium">
        <color rgb="FFFFFFFF"/>
      </right>
      <top style="medium">
        <color rgb="FFFFFFFF"/>
      </top>
      <bottom/>
      <diagonal/>
    </border>
    <border>
      <left style="medium">
        <color rgb="FFFFFFFF"/>
      </left>
      <right/>
      <top style="medium">
        <color theme="1" tint="0.34998626667073579"/>
      </top>
      <bottom/>
      <diagonal/>
    </border>
    <border>
      <left style="medium">
        <color rgb="FFFFFFFF"/>
      </left>
      <right style="medium">
        <color theme="0"/>
      </right>
      <top style="medium">
        <color rgb="FFFFFFFF"/>
      </top>
      <bottom/>
      <diagonal/>
    </border>
    <border>
      <left style="medium">
        <color theme="0"/>
      </left>
      <right/>
      <top style="medium">
        <color rgb="FFFFFFFF"/>
      </top>
      <bottom/>
      <diagonal/>
    </border>
    <border>
      <left style="medium">
        <color rgb="FFFFFFFF"/>
      </left>
      <right style="medium">
        <color theme="0"/>
      </right>
      <top/>
      <bottom/>
      <diagonal/>
    </border>
    <border>
      <left style="medium">
        <color rgb="FFFFFFFF"/>
      </left>
      <right style="medium">
        <color rgb="FFFFFFFF"/>
      </right>
      <top/>
      <bottom/>
      <diagonal/>
    </border>
    <border>
      <left/>
      <right style="thin">
        <color theme="0"/>
      </right>
      <top/>
      <bottom style="medium">
        <color rgb="FFFFFFFF"/>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3"/>
      </bottom>
      <diagonal/>
    </border>
    <border>
      <left/>
      <right style="medium">
        <color theme="0"/>
      </right>
      <top style="thin">
        <color theme="0"/>
      </top>
      <bottom style="medium">
        <color theme="0" tint="-0.34998626667073579"/>
      </bottom>
      <diagonal/>
    </border>
    <border>
      <left style="thin">
        <color theme="0"/>
      </left>
      <right/>
      <top/>
      <bottom style="medium">
        <color theme="0" tint="-0.34998626667073579"/>
      </bottom>
      <diagonal/>
    </border>
    <border>
      <left/>
      <right/>
      <top/>
      <bottom style="medium">
        <color theme="0" tint="-0.34998626667073579"/>
      </bottom>
      <diagonal/>
    </border>
    <border>
      <left style="thin">
        <color theme="0"/>
      </left>
      <right style="thin">
        <color theme="0"/>
      </right>
      <top/>
      <bottom/>
      <diagonal/>
    </border>
    <border>
      <left style="thin">
        <color theme="0"/>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left>
      <right style="medium">
        <color rgb="FFFFFFFF"/>
      </right>
      <top style="medium">
        <color rgb="FFFFFFFF"/>
      </top>
      <bottom style="medium">
        <color rgb="FFFFFFFF"/>
      </bottom>
      <diagonal/>
    </border>
    <border>
      <left style="medium">
        <color theme="0"/>
      </left>
      <right style="medium">
        <color theme="0"/>
      </right>
      <top style="medium">
        <color rgb="FFFFFFFF"/>
      </top>
      <bottom style="medium">
        <color rgb="FFFFFFFF"/>
      </bottom>
      <diagonal/>
    </border>
    <border>
      <left style="medium">
        <color theme="0"/>
      </left>
      <right style="medium">
        <color rgb="FFFFFFFF"/>
      </right>
      <top style="medium">
        <color rgb="FFFFFFFF"/>
      </top>
      <bottom style="medium">
        <color theme="1" tint="0.34998626667073579"/>
      </bottom>
      <diagonal/>
    </border>
    <border>
      <left style="medium">
        <color rgb="FFFFFFFF"/>
      </left>
      <right style="medium">
        <color theme="0"/>
      </right>
      <top style="medium">
        <color rgb="FFFFFFFF"/>
      </top>
      <bottom style="medium">
        <color theme="1" tint="0.34998626667073579"/>
      </bottom>
      <diagonal/>
    </border>
    <border>
      <left style="medium">
        <color theme="0"/>
      </left>
      <right style="medium">
        <color rgb="FFFFFFFF"/>
      </right>
      <top/>
      <bottom style="medium">
        <color rgb="FFFFFFF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theme="0"/>
      </left>
      <right style="thin">
        <color theme="0"/>
      </right>
      <top style="thin">
        <color theme="0"/>
      </top>
      <bottom style="thin">
        <color theme="0"/>
      </bottom>
      <diagonal/>
    </border>
    <border>
      <left style="medium">
        <color theme="0"/>
      </left>
      <right style="medium">
        <color theme="0"/>
      </right>
      <top style="medium">
        <color theme="0"/>
      </top>
      <bottom style="medium">
        <color theme="1" tint="0.249977111117893"/>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right style="medium">
        <color theme="0"/>
      </right>
      <top/>
      <bottom style="medium">
        <color theme="0"/>
      </bottom>
      <diagonal/>
    </border>
    <border>
      <left/>
      <right style="medium">
        <color theme="0"/>
      </right>
      <top style="medium">
        <color theme="0"/>
      </top>
      <bottom/>
      <diagonal/>
    </border>
    <border>
      <left/>
      <right/>
      <top/>
      <bottom style="medium">
        <color theme="0"/>
      </bottom>
      <diagonal/>
    </border>
    <border>
      <left/>
      <right style="medium">
        <color theme="0"/>
      </right>
      <top style="thin">
        <color theme="4" tint="0.39997558519241921"/>
      </top>
      <bottom style="medium">
        <color theme="0"/>
      </bottom>
      <diagonal/>
    </border>
    <border>
      <left style="thin">
        <color theme="0"/>
      </left>
      <right/>
      <top style="medium">
        <color theme="0" tint="-0.34998626667073579"/>
      </top>
      <bottom/>
      <diagonal/>
    </border>
    <border>
      <left/>
      <right/>
      <top style="medium">
        <color theme="0" tint="-0.34998626667073579"/>
      </top>
      <bottom/>
      <diagonal/>
    </border>
    <border>
      <left style="medium">
        <color theme="0"/>
      </left>
      <right style="thin">
        <color theme="0"/>
      </right>
      <top style="medium">
        <color rgb="FFFFFFFF"/>
      </top>
      <bottom style="medium">
        <color rgb="FFFFFFFF"/>
      </bottom>
      <diagonal/>
    </border>
    <border>
      <left style="thin">
        <color theme="0"/>
      </left>
      <right/>
      <top/>
      <bottom/>
      <diagonal/>
    </border>
    <border>
      <left/>
      <right/>
      <top/>
      <bottom style="thin">
        <color theme="3"/>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diagonal/>
    </border>
    <border>
      <left style="thin">
        <color theme="5" tint="-0.499984740745262"/>
      </left>
      <right/>
      <top/>
      <bottom/>
      <diagonal/>
    </border>
    <border>
      <left/>
      <right/>
      <top/>
      <bottom style="medium">
        <color theme="6"/>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bottom style="medium">
        <color theme="7"/>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0"/>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5" tint="-0.499984740745262"/>
      </left>
      <right style="thin">
        <color theme="5" tint="-0.499984740745262"/>
      </right>
      <top/>
      <bottom style="thin">
        <color theme="5" tint="-0.499984740745262"/>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5" tint="-0.499984740745262"/>
      </right>
      <top/>
      <bottom style="thin">
        <color theme="5" tint="-0.499984740745262"/>
      </bottom>
      <diagonal/>
    </border>
    <border>
      <left style="thin">
        <color theme="5" tint="-0.499984740745262"/>
      </left>
      <right/>
      <top/>
      <bottom style="thin">
        <color theme="5" tint="-0.499984740745262"/>
      </bottom>
      <diagonal/>
    </border>
    <border>
      <left/>
      <right style="thin">
        <color theme="5" tint="-0.499984740745262"/>
      </right>
      <top style="thin">
        <color theme="5" tint="-0.499984740745262"/>
      </top>
      <bottom/>
      <diagonal/>
    </border>
    <border>
      <left/>
      <right/>
      <top style="thin">
        <color theme="5" tint="-0.499984740745262"/>
      </top>
      <bottom/>
      <diagonal/>
    </border>
    <border>
      <left style="thin">
        <color theme="5" tint="-0.499984740745262"/>
      </left>
      <right style="thin">
        <color theme="5" tint="-0.499984740745262"/>
      </right>
      <top style="thin">
        <color theme="5" tint="-0.499984740745262"/>
      </top>
      <bottom style="thin">
        <color indexed="64"/>
      </bottom>
      <diagonal/>
    </border>
    <border>
      <left style="thin">
        <color theme="1" tint="0.34998626667073579"/>
      </left>
      <right/>
      <top style="thin">
        <color theme="1" tint="0.34998626667073579"/>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499984740745262"/>
      </left>
      <right/>
      <top/>
      <bottom/>
      <diagonal/>
    </border>
    <border>
      <left style="thin">
        <color theme="1" tint="0.34998626667073579"/>
      </left>
      <right style="thin">
        <color theme="1" tint="0.34998626667073579"/>
      </right>
      <top style="thin">
        <color theme="4" tint="0.39997558519241921"/>
      </top>
      <bottom style="thin">
        <color theme="1" tint="0.34998626667073579"/>
      </bottom>
      <diagonal/>
    </border>
    <border>
      <left style="thin">
        <color theme="5" tint="-0.499984740745262"/>
      </left>
      <right style="thin">
        <color indexed="64"/>
      </right>
      <top style="thin">
        <color theme="5" tint="-0.499984740745262"/>
      </top>
      <bottom style="thin">
        <color theme="5" tint="-0.499984740745262"/>
      </bottom>
      <diagonal/>
    </border>
    <border>
      <left style="thin">
        <color rgb="FF162532"/>
      </left>
      <right/>
      <top style="thin">
        <color rgb="FF162532"/>
      </top>
      <bottom/>
      <diagonal/>
    </border>
    <border>
      <left style="thin">
        <color theme="5" tint="-0.499984740745262"/>
      </left>
      <right/>
      <top style="thin">
        <color rgb="FF162532"/>
      </top>
      <bottom/>
      <diagonal/>
    </border>
    <border>
      <left/>
      <right/>
      <top style="thick">
        <color theme="3"/>
      </top>
      <bottom/>
      <diagonal/>
    </border>
    <border>
      <left/>
      <right/>
      <top style="thick">
        <color theme="6"/>
      </top>
      <bottom/>
      <diagonal/>
    </border>
    <border>
      <left/>
      <right/>
      <top style="thick">
        <color theme="7"/>
      </top>
      <bottom/>
      <diagonal/>
    </border>
    <border>
      <left style="thin">
        <color theme="5" tint="-0.499984740745262"/>
      </left>
      <right style="thin">
        <color theme="5" tint="-0.499984740745262"/>
      </right>
      <top style="thin">
        <color theme="5" tint="-0.499984740745262"/>
      </top>
      <bottom style="thin">
        <color theme="4" tint="0.399975585192419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6"/>
      </top>
      <bottom/>
      <diagonal/>
    </border>
    <border>
      <left style="thin">
        <color theme="5" tint="-0.499984740745262"/>
      </left>
      <right style="thin">
        <color theme="5" tint="-0.499984740745262"/>
      </right>
      <top/>
      <bottom/>
      <diagonal/>
    </border>
    <border>
      <left style="medium">
        <color indexed="64"/>
      </left>
      <right style="thin">
        <color theme="5" tint="-0.499984740745262"/>
      </right>
      <top style="thin">
        <color theme="5" tint="-0.499984740745262"/>
      </top>
      <bottom style="thin">
        <color theme="5" tint="-0.499984740745262"/>
      </bottom>
      <diagonal/>
    </border>
    <border>
      <left style="medium">
        <color indexed="64"/>
      </left>
      <right style="thin">
        <color theme="5" tint="-0.499984740745262"/>
      </right>
      <top style="thin">
        <color theme="5" tint="-0.499984740745262"/>
      </top>
      <bottom/>
      <diagonal/>
    </border>
    <border>
      <left style="thin">
        <color indexed="64"/>
      </left>
      <right style="thin">
        <color indexed="64"/>
      </right>
      <top style="thin">
        <color theme="1" tint="0.499984740745262"/>
      </top>
      <bottom/>
      <diagonal/>
    </border>
    <border>
      <left style="thin">
        <color indexed="64"/>
      </left>
      <right style="thin">
        <color indexed="64"/>
      </right>
      <top/>
      <bottom/>
      <diagonal/>
    </border>
    <border>
      <left style="thin">
        <color theme="5" tint="-0.499984740745262"/>
      </left>
      <right style="thin">
        <color indexed="64"/>
      </right>
      <top style="thin">
        <color rgb="FF162532"/>
      </top>
      <bottom/>
      <diagonal/>
    </border>
    <border>
      <left/>
      <right/>
      <top/>
      <bottom style="thin">
        <color theme="5"/>
      </bottom>
      <diagonal/>
    </border>
  </borders>
  <cellStyleXfs count="66">
    <xf numFmtId="0" fontId="0" fillId="0" borderId="0"/>
    <xf numFmtId="9" fontId="1" fillId="0" borderId="0" applyFont="0" applyFill="0" applyBorder="0" applyAlignment="0" applyProtection="0"/>
    <xf numFmtId="0" fontId="5" fillId="0" borderId="0"/>
    <xf numFmtId="43" fontId="1" fillId="0" borderId="0" applyFont="0" applyFill="0" applyBorder="0" applyAlignment="0" applyProtection="0"/>
    <xf numFmtId="0" fontId="23" fillId="0" borderId="0"/>
    <xf numFmtId="0" fontId="24" fillId="0" borderId="0" applyNumberFormat="0" applyFill="0" applyBorder="0" applyAlignment="0" applyProtection="0">
      <alignment vertical="top"/>
      <protection locked="0"/>
    </xf>
    <xf numFmtId="44"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28" fillId="21" borderId="60" applyNumberFormat="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9"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9"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9"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 fillId="48" borderId="62" applyNumberFormat="0" applyAlignment="0" applyProtection="0"/>
    <xf numFmtId="0" fontId="46" fillId="49" borderId="63" applyNumberFormat="0" applyProtection="0">
      <alignment vertical="center"/>
    </xf>
    <xf numFmtId="43" fontId="23" fillId="0" borderId="0" applyFont="0" applyFill="0" applyBorder="0" applyAlignment="0" applyProtection="0"/>
    <xf numFmtId="43" fontId="23"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5" fillId="50" borderId="59" applyNumberFormat="0" applyBorder="0" applyAlignment="0" applyProtection="0"/>
    <xf numFmtId="0" fontId="5" fillId="51" borderId="0">
      <alignment vertical="center"/>
    </xf>
    <xf numFmtId="0" fontId="5" fillId="47" borderId="64" applyNumberFormat="0" applyAlignment="0" applyProtection="0"/>
    <xf numFmtId="0" fontId="49" fillId="0" borderId="0"/>
    <xf numFmtId="0" fontId="23" fillId="22" borderId="61" applyNumberFormat="0" applyFont="0" applyAlignment="0" applyProtection="0"/>
    <xf numFmtId="0" fontId="41" fillId="52" borderId="65" applyNumberFormat="0" applyAlignment="0" applyProtection="0"/>
    <xf numFmtId="9" fontId="49" fillId="0" borderId="0" applyFont="0" applyFill="0" applyBorder="0" applyAlignment="0" applyProtection="0"/>
    <xf numFmtId="0" fontId="5" fillId="53" borderId="66" applyNumberFormat="0" applyProtection="0">
      <alignment vertical="center"/>
    </xf>
    <xf numFmtId="0" fontId="41" fillId="54"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cellStyleXfs>
  <cellXfs count="528">
    <xf numFmtId="0" fontId="0" fillId="0" borderId="0" xfId="0"/>
    <xf numFmtId="0" fontId="0" fillId="0" borderId="1" xfId="0" applyBorder="1"/>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3" fillId="3" borderId="4" xfId="0" applyFont="1" applyFill="1" applyBorder="1" applyAlignment="1">
      <alignment vertical="center" wrapText="1"/>
    </xf>
    <xf numFmtId="0" fontId="3" fillId="3" borderId="5" xfId="0" applyFont="1" applyFill="1" applyBorder="1" applyAlignment="1">
      <alignment vertical="center" wrapText="1"/>
    </xf>
    <xf numFmtId="0" fontId="3" fillId="4" borderId="4" xfId="0" applyFont="1" applyFill="1" applyBorder="1" applyAlignment="1">
      <alignment vertical="center" wrapText="1"/>
    </xf>
    <xf numFmtId="0" fontId="0" fillId="0" borderId="15" xfId="0" applyBorder="1"/>
    <xf numFmtId="0" fontId="11" fillId="0" borderId="1" xfId="0" applyFont="1" applyBorder="1"/>
    <xf numFmtId="0" fontId="14" fillId="0" borderId="1" xfId="0" applyFont="1" applyBorder="1"/>
    <xf numFmtId="0" fontId="2" fillId="2" borderId="3" xfId="0" applyFont="1" applyFill="1" applyBorder="1" applyAlignment="1">
      <alignment horizontal="center" vertical="center" wrapText="1"/>
    </xf>
    <xf numFmtId="0" fontId="0" fillId="0" borderId="11" xfId="0" applyBorder="1"/>
    <xf numFmtId="0" fontId="0" fillId="0" borderId="32" xfId="0" applyBorder="1"/>
    <xf numFmtId="0" fontId="22" fillId="0" borderId="0" xfId="0" applyFont="1" applyAlignment="1">
      <alignment vertical="center"/>
    </xf>
    <xf numFmtId="0" fontId="0" fillId="12" borderId="1" xfId="0" applyFill="1" applyBorder="1"/>
    <xf numFmtId="0" fontId="0" fillId="12" borderId="32" xfId="0" applyFill="1" applyBorder="1"/>
    <xf numFmtId="0" fontId="14" fillId="0" borderId="15" xfId="0" applyFont="1" applyBorder="1"/>
    <xf numFmtId="0" fontId="0" fillId="0" borderId="13" xfId="0" applyBorder="1"/>
    <xf numFmtId="0" fontId="0" fillId="12" borderId="0" xfId="0" applyFill="1"/>
    <xf numFmtId="0" fontId="0" fillId="0" borderId="12" xfId="0" applyBorder="1"/>
    <xf numFmtId="0" fontId="14" fillId="12" borderId="0" xfId="0" applyFont="1" applyFill="1"/>
    <xf numFmtId="0" fontId="13" fillId="2" borderId="5"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7" fillId="4" borderId="4" xfId="0" applyFont="1" applyFill="1" applyBorder="1" applyAlignment="1">
      <alignment vertical="center" wrapText="1"/>
    </xf>
    <xf numFmtId="0" fontId="34" fillId="12" borderId="0" xfId="0" applyFont="1" applyFill="1"/>
    <xf numFmtId="8" fontId="3" fillId="3" borderId="5" xfId="0" applyNumberFormat="1" applyFont="1" applyFill="1" applyBorder="1" applyAlignment="1">
      <alignment vertical="center" wrapText="1"/>
    </xf>
    <xf numFmtId="0" fontId="33" fillId="3" borderId="29" xfId="10" applyFill="1" applyBorder="1" applyAlignment="1">
      <alignment vertical="center" wrapText="1"/>
    </xf>
    <xf numFmtId="9" fontId="3" fillId="3" borderId="5" xfId="0" applyNumberFormat="1" applyFont="1" applyFill="1" applyBorder="1" applyAlignment="1">
      <alignment vertical="center" wrapText="1"/>
    </xf>
    <xf numFmtId="10" fontId="3" fillId="3" borderId="5" xfId="0" applyNumberFormat="1" applyFont="1" applyFill="1" applyBorder="1" applyAlignment="1">
      <alignment vertical="center" wrapText="1"/>
    </xf>
    <xf numFmtId="0" fontId="0" fillId="0" borderId="10" xfId="0" applyBorder="1"/>
    <xf numFmtId="0" fontId="3" fillId="12" borderId="0" xfId="0" applyFont="1" applyFill="1" applyAlignment="1">
      <alignment vertical="top" wrapText="1"/>
    </xf>
    <xf numFmtId="0" fontId="10" fillId="12" borderId="0" xfId="0" applyFont="1" applyFill="1" applyAlignment="1">
      <alignment horizontal="left" vertical="center" indent="5"/>
    </xf>
    <xf numFmtId="0" fontId="9" fillId="12" borderId="0" xfId="0" applyFont="1" applyFill="1" applyAlignment="1">
      <alignment vertical="center"/>
    </xf>
    <xf numFmtId="0" fontId="0" fillId="7" borderId="37" xfId="0" applyFill="1" applyBorder="1" applyProtection="1">
      <protection locked="0"/>
    </xf>
    <xf numFmtId="0" fontId="18" fillId="7" borderId="45" xfId="0" applyFont="1" applyFill="1" applyBorder="1" applyAlignment="1">
      <alignment vertical="center"/>
    </xf>
    <xf numFmtId="0" fontId="18" fillId="3" borderId="45" xfId="0" applyFont="1" applyFill="1" applyBorder="1" applyAlignment="1">
      <alignment vertical="center"/>
    </xf>
    <xf numFmtId="0" fontId="18" fillId="5" borderId="45" xfId="0" applyFont="1" applyFill="1" applyBorder="1"/>
    <xf numFmtId="1" fontId="18" fillId="15" borderId="45" xfId="0" applyNumberFormat="1" applyFont="1" applyFill="1" applyBorder="1" applyAlignment="1">
      <alignment vertical="center" wrapText="1"/>
    </xf>
    <xf numFmtId="0" fontId="11" fillId="12" borderId="11" xfId="0" applyFont="1" applyFill="1" applyBorder="1" applyAlignment="1" applyProtection="1">
      <alignment horizontal="right"/>
      <protection locked="0"/>
    </xf>
    <xf numFmtId="0" fontId="21" fillId="12" borderId="48" xfId="0" applyFont="1" applyFill="1" applyBorder="1" applyAlignment="1">
      <alignment vertical="top"/>
    </xf>
    <xf numFmtId="0" fontId="0" fillId="0" borderId="51" xfId="0" applyBorder="1"/>
    <xf numFmtId="0" fontId="10" fillId="12" borderId="0" xfId="0" applyFont="1" applyFill="1" applyAlignment="1">
      <alignment vertical="top"/>
    </xf>
    <xf numFmtId="0" fontId="14" fillId="0" borderId="10" xfId="0" applyFont="1" applyBorder="1"/>
    <xf numFmtId="9" fontId="15" fillId="8" borderId="2" xfId="1" applyFont="1" applyFill="1" applyBorder="1" applyAlignment="1">
      <alignment horizontal="center"/>
    </xf>
    <xf numFmtId="164" fontId="15" fillId="16" borderId="2" xfId="3" applyNumberFormat="1" applyFont="1" applyFill="1" applyBorder="1" applyAlignment="1">
      <alignment vertical="center" wrapText="1"/>
    </xf>
    <xf numFmtId="0" fontId="13" fillId="13" borderId="4" xfId="0" applyFont="1" applyFill="1" applyBorder="1" applyAlignment="1">
      <alignment horizontal="center" vertical="center" wrapText="1"/>
    </xf>
    <xf numFmtId="0" fontId="22" fillId="0" borderId="0" xfId="0" applyFont="1"/>
    <xf numFmtId="0" fontId="15" fillId="7" borderId="3" xfId="0" applyFont="1" applyFill="1" applyBorder="1" applyProtection="1">
      <protection locked="0"/>
    </xf>
    <xf numFmtId="0" fontId="15" fillId="7" borderId="2" xfId="0" applyFont="1" applyFill="1" applyBorder="1" applyProtection="1">
      <protection locked="0"/>
    </xf>
    <xf numFmtId="0" fontId="15" fillId="7" borderId="38" xfId="0" applyFont="1" applyFill="1" applyBorder="1" applyProtection="1">
      <protection locked="0"/>
    </xf>
    <xf numFmtId="0" fontId="15" fillId="7" borderId="8" xfId="0" applyFont="1" applyFill="1" applyBorder="1" applyProtection="1">
      <protection locked="0"/>
    </xf>
    <xf numFmtId="164" fontId="15" fillId="5" borderId="2" xfId="3" applyNumberFormat="1" applyFont="1" applyFill="1" applyBorder="1" applyAlignment="1" applyProtection="1">
      <alignment vertical="center" wrapText="1"/>
      <protection locked="0"/>
    </xf>
    <xf numFmtId="164" fontId="15" fillId="5" borderId="8" xfId="3" applyNumberFormat="1" applyFont="1" applyFill="1" applyBorder="1" applyAlignment="1" applyProtection="1">
      <alignment vertical="center" wrapText="1"/>
      <protection locked="0"/>
    </xf>
    <xf numFmtId="0" fontId="15" fillId="7" borderId="6" xfId="0" applyFont="1" applyFill="1" applyBorder="1" applyProtection="1">
      <protection locked="0"/>
    </xf>
    <xf numFmtId="0" fontId="15" fillId="7" borderId="23" xfId="0" applyFont="1" applyFill="1" applyBorder="1" applyProtection="1">
      <protection locked="0"/>
    </xf>
    <xf numFmtId="0" fontId="3" fillId="3" borderId="0" xfId="0" applyFont="1" applyFill="1" applyAlignment="1">
      <alignment vertical="center" wrapText="1"/>
    </xf>
    <xf numFmtId="0" fontId="3" fillId="3" borderId="0" xfId="0" applyFont="1" applyFill="1" applyAlignment="1">
      <alignment horizontal="left" vertical="center" wrapText="1"/>
    </xf>
    <xf numFmtId="0" fontId="12" fillId="12" borderId="0" xfId="0" applyFont="1" applyFill="1"/>
    <xf numFmtId="0" fontId="32" fillId="12" borderId="0" xfId="0" applyFont="1" applyFill="1"/>
    <xf numFmtId="0" fontId="33" fillId="12" borderId="0" xfId="10" applyFill="1" applyAlignment="1">
      <alignment vertical="top"/>
    </xf>
    <xf numFmtId="0" fontId="38" fillId="12" borderId="0" xfId="0" applyFont="1" applyFill="1"/>
    <xf numFmtId="0" fontId="40" fillId="12" borderId="0" xfId="10" applyFont="1" applyFill="1" applyBorder="1"/>
    <xf numFmtId="0" fontId="40" fillId="12" borderId="0" xfId="10" applyFont="1" applyFill="1"/>
    <xf numFmtId="0" fontId="0" fillId="0" borderId="67" xfId="0" applyBorder="1"/>
    <xf numFmtId="0" fontId="0" fillId="0" borderId="14" xfId="0" applyBorder="1"/>
    <xf numFmtId="0" fontId="0" fillId="0" borderId="9" xfId="0" applyBorder="1"/>
    <xf numFmtId="164" fontId="50" fillId="16" borderId="2" xfId="3" applyNumberFormat="1" applyFont="1" applyFill="1" applyBorder="1" applyAlignment="1">
      <alignment vertical="center" wrapText="1"/>
    </xf>
    <xf numFmtId="9" fontId="15" fillId="15" borderId="2" xfId="1" applyFont="1" applyFill="1" applyBorder="1" applyAlignment="1">
      <alignment horizontal="center"/>
    </xf>
    <xf numFmtId="0" fontId="33" fillId="3" borderId="5" xfId="10" applyFill="1" applyBorder="1" applyAlignment="1">
      <alignment vertical="center" wrapText="1"/>
    </xf>
    <xf numFmtId="49" fontId="15" fillId="7" borderId="37" xfId="3" applyNumberFormat="1" applyFont="1" applyFill="1" applyBorder="1" applyAlignment="1" applyProtection="1">
      <alignment vertical="center" wrapText="1"/>
      <protection locked="0"/>
    </xf>
    <xf numFmtId="49" fontId="15" fillId="7" borderId="72" xfId="3" applyNumberFormat="1" applyFont="1" applyFill="1" applyBorder="1" applyAlignment="1" applyProtection="1">
      <alignment vertical="center" wrapText="1"/>
      <protection locked="0"/>
    </xf>
    <xf numFmtId="0" fontId="15" fillId="8" borderId="3" xfId="0" applyFont="1" applyFill="1" applyBorder="1" applyProtection="1">
      <protection locked="0"/>
    </xf>
    <xf numFmtId="10" fontId="15" fillId="5" borderId="2" xfId="3" applyNumberFormat="1" applyFont="1" applyFill="1" applyBorder="1" applyAlignment="1" applyProtection="1">
      <alignment vertical="center" wrapText="1"/>
      <protection locked="0"/>
    </xf>
    <xf numFmtId="10" fontId="15" fillId="5" borderId="8" xfId="3" applyNumberFormat="1" applyFont="1" applyFill="1" applyBorder="1" applyAlignment="1" applyProtection="1">
      <alignment vertical="center" wrapText="1"/>
      <protection locked="0"/>
    </xf>
    <xf numFmtId="168" fontId="15" fillId="5" borderId="2" xfId="3" applyNumberFormat="1" applyFont="1" applyFill="1" applyBorder="1" applyAlignment="1" applyProtection="1">
      <alignment vertical="center" wrapText="1"/>
      <protection locked="0"/>
    </xf>
    <xf numFmtId="2" fontId="15" fillId="15" borderId="2" xfId="3" applyNumberFormat="1" applyFont="1" applyFill="1" applyBorder="1" applyAlignment="1" applyProtection="1">
      <alignment vertical="center" wrapText="1"/>
      <protection locked="0"/>
    </xf>
    <xf numFmtId="2" fontId="15" fillId="15" borderId="8" xfId="3" applyNumberFormat="1" applyFont="1" applyFill="1" applyBorder="1" applyAlignment="1" applyProtection="1">
      <alignment vertical="center" wrapText="1"/>
      <protection locked="0"/>
    </xf>
    <xf numFmtId="2" fontId="15" fillId="5" borderId="2" xfId="3" applyNumberFormat="1" applyFont="1" applyFill="1" applyBorder="1" applyAlignment="1" applyProtection="1">
      <alignment vertical="center" wrapText="1"/>
      <protection locked="0"/>
    </xf>
    <xf numFmtId="2" fontId="15" fillId="5" borderId="8" xfId="3" applyNumberFormat="1" applyFont="1" applyFill="1" applyBorder="1" applyAlignment="1" applyProtection="1">
      <alignment vertical="center" wrapText="1"/>
      <protection locked="0"/>
    </xf>
    <xf numFmtId="49" fontId="15" fillId="7" borderId="74" xfId="3" applyNumberFormat="1" applyFont="1" applyFill="1" applyBorder="1" applyAlignment="1" applyProtection="1">
      <alignment vertical="center" wrapText="1"/>
      <protection locked="0"/>
    </xf>
    <xf numFmtId="0" fontId="15" fillId="5" borderId="6" xfId="0" applyFont="1" applyFill="1" applyBorder="1" applyProtection="1">
      <protection locked="0"/>
    </xf>
    <xf numFmtId="164" fontId="15" fillId="5" borderId="6" xfId="3" applyNumberFormat="1" applyFont="1" applyFill="1" applyBorder="1" applyAlignment="1" applyProtection="1">
      <alignment vertical="center" wrapText="1"/>
      <protection locked="0"/>
    </xf>
    <xf numFmtId="0" fontId="0" fillId="5" borderId="46" xfId="0" applyFill="1" applyBorder="1" applyProtection="1">
      <protection locked="0"/>
    </xf>
    <xf numFmtId="0" fontId="0" fillId="7" borderId="72" xfId="0" applyFill="1" applyBorder="1" applyProtection="1">
      <protection locked="0"/>
    </xf>
    <xf numFmtId="0" fontId="11" fillId="0" borderId="11" xfId="0" applyFont="1" applyBorder="1" applyAlignment="1">
      <alignment horizontal="right"/>
    </xf>
    <xf numFmtId="0" fontId="37" fillId="12" borderId="0" xfId="0" applyFont="1" applyFill="1" applyAlignment="1">
      <alignment horizontal="center" vertical="top"/>
    </xf>
    <xf numFmtId="0" fontId="22" fillId="12" borderId="0" xfId="0" applyFont="1" applyFill="1" applyAlignment="1">
      <alignment vertical="top" wrapText="1"/>
    </xf>
    <xf numFmtId="0" fontId="11" fillId="12" borderId="0" xfId="0" applyFont="1" applyFill="1"/>
    <xf numFmtId="0" fontId="22" fillId="0" borderId="0" xfId="0" applyFont="1" applyAlignment="1">
      <alignment vertical="top" wrapText="1"/>
    </xf>
    <xf numFmtId="0" fontId="13" fillId="2" borderId="71" xfId="0" applyFont="1" applyFill="1" applyBorder="1" applyAlignment="1">
      <alignment horizontal="center" vertical="center" wrapText="1"/>
    </xf>
    <xf numFmtId="0" fontId="13" fillId="2" borderId="73" xfId="0" applyFont="1" applyFill="1" applyBorder="1" applyAlignment="1">
      <alignment horizontal="center" vertical="center" wrapText="1"/>
    </xf>
    <xf numFmtId="0" fontId="20" fillId="0" borderId="1" xfId="0" applyFont="1" applyBorder="1"/>
    <xf numFmtId="0" fontId="31" fillId="0" borderId="15" xfId="0" applyFont="1" applyBorder="1"/>
    <xf numFmtId="0" fontId="35" fillId="12" borderId="13" xfId="0" applyFont="1" applyFill="1" applyBorder="1"/>
    <xf numFmtId="0" fontId="6" fillId="3" borderId="3" xfId="0" applyFont="1" applyFill="1" applyBorder="1" applyAlignment="1">
      <alignment vertical="center" wrapText="1"/>
    </xf>
    <xf numFmtId="164" fontId="18" fillId="6" borderId="3" xfId="3" applyNumberFormat="1" applyFont="1" applyFill="1" applyBorder="1" applyAlignment="1" applyProtection="1">
      <alignment vertical="center" wrapText="1"/>
    </xf>
    <xf numFmtId="0" fontId="3" fillId="3" borderId="3" xfId="0" applyFont="1" applyFill="1" applyBorder="1" applyAlignment="1">
      <alignment vertical="center" wrapText="1"/>
    </xf>
    <xf numFmtId="164" fontId="7" fillId="6" borderId="3" xfId="3" applyNumberFormat="1" applyFont="1" applyFill="1" applyBorder="1" applyAlignment="1" applyProtection="1">
      <alignment vertical="center" wrapText="1"/>
    </xf>
    <xf numFmtId="164" fontId="18" fillId="6" borderId="7" xfId="3" applyNumberFormat="1" applyFont="1" applyFill="1" applyBorder="1" applyAlignment="1" applyProtection="1">
      <alignment vertical="center" wrapText="1"/>
    </xf>
    <xf numFmtId="164" fontId="26" fillId="6" borderId="28" xfId="3" applyNumberFormat="1" applyFont="1" applyFill="1" applyBorder="1" applyAlignment="1" applyProtection="1">
      <alignment horizontal="center" vertical="center" wrapText="1"/>
    </xf>
    <xf numFmtId="164" fontId="7" fillId="6" borderId="27" xfId="3" applyNumberFormat="1" applyFont="1" applyFill="1" applyBorder="1" applyAlignment="1" applyProtection="1">
      <alignment vertical="center" wrapText="1"/>
    </xf>
    <xf numFmtId="164" fontId="7" fillId="6" borderId="77" xfId="3" applyNumberFormat="1" applyFont="1" applyFill="1" applyBorder="1" applyAlignment="1" applyProtection="1">
      <alignment vertical="center" wrapText="1"/>
    </xf>
    <xf numFmtId="164" fontId="7" fillId="6" borderId="54" xfId="3" applyNumberFormat="1" applyFont="1" applyFill="1" applyBorder="1" applyAlignment="1" applyProtection="1">
      <alignment vertical="center" wrapText="1"/>
    </xf>
    <xf numFmtId="164" fontId="7" fillId="6" borderId="38" xfId="3" applyNumberFormat="1" applyFont="1" applyFill="1" applyBorder="1" applyAlignment="1" applyProtection="1">
      <alignment vertical="center" wrapText="1"/>
    </xf>
    <xf numFmtId="164" fontId="18" fillId="6" borderId="38" xfId="3" applyNumberFormat="1" applyFont="1" applyFill="1" applyBorder="1" applyAlignment="1" applyProtection="1">
      <alignment vertical="center" wrapText="1"/>
    </xf>
    <xf numFmtId="0" fontId="3" fillId="3" borderId="33" xfId="0" applyFont="1" applyFill="1" applyBorder="1" applyAlignment="1">
      <alignment vertical="center" wrapText="1"/>
    </xf>
    <xf numFmtId="164" fontId="7" fillId="6" borderId="68" xfId="3" applyNumberFormat="1" applyFont="1" applyFill="1" applyBorder="1" applyAlignment="1" applyProtection="1">
      <alignment vertical="center" wrapText="1"/>
    </xf>
    <xf numFmtId="164" fontId="18" fillId="6" borderId="68" xfId="3" applyNumberFormat="1" applyFont="1" applyFill="1" applyBorder="1" applyAlignment="1" applyProtection="1">
      <alignment vertical="center" wrapText="1"/>
    </xf>
    <xf numFmtId="0" fontId="6" fillId="3" borderId="30" xfId="0" applyFont="1" applyFill="1" applyBorder="1" applyAlignment="1">
      <alignment vertical="center" wrapText="1"/>
    </xf>
    <xf numFmtId="164" fontId="27" fillId="6" borderId="42" xfId="3" applyNumberFormat="1" applyFont="1" applyFill="1" applyBorder="1" applyAlignment="1" applyProtection="1">
      <alignment vertical="center" wrapText="1"/>
    </xf>
    <xf numFmtId="164" fontId="26" fillId="6" borderId="55" xfId="3" applyNumberFormat="1" applyFont="1" applyFill="1" applyBorder="1" applyAlignment="1" applyProtection="1">
      <alignment horizontal="center" vertical="center" wrapText="1"/>
    </xf>
    <xf numFmtId="164" fontId="18" fillId="6" borderId="40" xfId="3" applyNumberFormat="1" applyFont="1" applyFill="1" applyBorder="1" applyAlignment="1" applyProtection="1">
      <alignment vertical="center" wrapText="1"/>
    </xf>
    <xf numFmtId="164" fontId="7" fillId="6" borderId="56" xfId="3" applyNumberFormat="1" applyFont="1" applyFill="1" applyBorder="1" applyAlignment="1" applyProtection="1">
      <alignment vertical="center" wrapText="1"/>
    </xf>
    <xf numFmtId="164" fontId="18" fillId="6" borderId="31" xfId="3" applyNumberFormat="1" applyFont="1" applyFill="1" applyBorder="1" applyAlignment="1" applyProtection="1">
      <alignment vertical="center" wrapText="1"/>
    </xf>
    <xf numFmtId="164" fontId="18" fillId="6" borderId="57" xfId="3" applyNumberFormat="1" applyFont="1" applyFill="1" applyBorder="1" applyAlignment="1" applyProtection="1">
      <alignment vertical="center" wrapText="1"/>
    </xf>
    <xf numFmtId="164" fontId="18" fillId="6" borderId="58" xfId="3" applyNumberFormat="1" applyFont="1" applyFill="1" applyBorder="1" applyAlignment="1" applyProtection="1">
      <alignment vertical="center" wrapText="1"/>
    </xf>
    <xf numFmtId="164" fontId="27" fillId="6" borderId="31" xfId="3" applyNumberFormat="1" applyFont="1" applyFill="1" applyBorder="1" applyAlignment="1" applyProtection="1">
      <alignment vertical="center" wrapText="1"/>
    </xf>
    <xf numFmtId="0" fontId="2" fillId="12" borderId="35" xfId="0" applyFont="1" applyFill="1" applyBorder="1" applyAlignment="1">
      <alignment horizontal="center" vertical="center" wrapText="1"/>
    </xf>
    <xf numFmtId="0" fontId="2" fillId="12" borderId="3" xfId="0" applyFont="1" applyFill="1" applyBorder="1" applyAlignment="1">
      <alignment horizontal="center" vertical="center" wrapText="1"/>
    </xf>
    <xf numFmtId="43" fontId="7" fillId="6" borderId="3" xfId="3" applyFont="1" applyFill="1" applyBorder="1" applyAlignment="1" applyProtection="1">
      <alignment vertical="center" wrapText="1"/>
    </xf>
    <xf numFmtId="164" fontId="7" fillId="12" borderId="3" xfId="3" applyNumberFormat="1" applyFont="1" applyFill="1" applyBorder="1" applyAlignment="1" applyProtection="1">
      <alignment vertical="center" wrapText="1"/>
    </xf>
    <xf numFmtId="0" fontId="3" fillId="12" borderId="3" xfId="0" applyFont="1" applyFill="1" applyBorder="1" applyAlignment="1">
      <alignment vertical="center" wrapText="1"/>
    </xf>
    <xf numFmtId="43" fontId="0" fillId="0" borderId="1" xfId="0" applyNumberFormat="1" applyBorder="1"/>
    <xf numFmtId="0" fontId="3" fillId="12" borderId="38" xfId="0" applyFont="1" applyFill="1" applyBorder="1" applyAlignment="1">
      <alignment vertical="center" wrapText="1"/>
    </xf>
    <xf numFmtId="164" fontId="7" fillId="12" borderId="38" xfId="3" applyNumberFormat="1" applyFont="1" applyFill="1" applyBorder="1" applyAlignment="1" applyProtection="1">
      <alignment vertical="center" wrapText="1"/>
    </xf>
    <xf numFmtId="0" fontId="3" fillId="4" borderId="69" xfId="0" applyFont="1" applyFill="1" applyBorder="1" applyAlignment="1">
      <alignment vertical="center" wrapText="1"/>
    </xf>
    <xf numFmtId="0" fontId="3" fillId="4" borderId="70" xfId="0" applyFont="1" applyFill="1" applyBorder="1" applyAlignment="1">
      <alignment vertical="center" wrapText="1"/>
    </xf>
    <xf numFmtId="0" fontId="3" fillId="12" borderId="0" xfId="0" applyFont="1" applyFill="1" applyAlignment="1">
      <alignment vertical="center" wrapText="1"/>
    </xf>
    <xf numFmtId="164" fontId="7" fillId="12" borderId="0" xfId="3" applyNumberFormat="1" applyFont="1" applyFill="1" applyBorder="1" applyAlignment="1" applyProtection="1">
      <alignment vertical="center" wrapText="1"/>
    </xf>
    <xf numFmtId="0" fontId="3" fillId="4" borderId="22" xfId="0" applyFont="1" applyFill="1" applyBorder="1" applyAlignment="1">
      <alignment vertical="center" wrapText="1"/>
    </xf>
    <xf numFmtId="0" fontId="6" fillId="12" borderId="0" xfId="0" applyFont="1" applyFill="1" applyAlignment="1">
      <alignment vertical="center" wrapText="1"/>
    </xf>
    <xf numFmtId="164" fontId="18" fillId="12" borderId="0" xfId="3" applyNumberFormat="1" applyFont="1" applyFill="1" applyBorder="1" applyAlignment="1" applyProtection="1">
      <alignment vertical="center" wrapText="1"/>
    </xf>
    <xf numFmtId="0" fontId="2" fillId="12" borderId="7" xfId="0" applyFont="1" applyFill="1" applyBorder="1" applyAlignment="1">
      <alignment horizontal="center" vertical="center" wrapText="1"/>
    </xf>
    <xf numFmtId="164" fontId="29" fillId="12" borderId="3" xfId="3" applyNumberFormat="1" applyFont="1" applyFill="1" applyBorder="1" applyAlignment="1" applyProtection="1">
      <alignment vertical="center"/>
    </xf>
    <xf numFmtId="164" fontId="7" fillId="12" borderId="27" xfId="3" applyNumberFormat="1" applyFont="1" applyFill="1" applyBorder="1" applyAlignment="1" applyProtection="1">
      <alignment vertical="center" wrapText="1"/>
    </xf>
    <xf numFmtId="164" fontId="18" fillId="12" borderId="7" xfId="3" applyNumberFormat="1" applyFont="1" applyFill="1" applyBorder="1" applyAlignment="1" applyProtection="1">
      <alignment vertical="center" wrapText="1"/>
    </xf>
    <xf numFmtId="164" fontId="26" fillId="12" borderId="28" xfId="3" applyNumberFormat="1" applyFont="1" applyFill="1" applyBorder="1" applyAlignment="1" applyProtection="1">
      <alignment horizontal="center" vertical="center" wrapText="1"/>
    </xf>
    <xf numFmtId="164" fontId="7" fillId="12" borderId="40" xfId="3" applyNumberFormat="1" applyFont="1" applyFill="1" applyBorder="1" applyAlignment="1" applyProtection="1">
      <alignment vertical="center" wrapText="1"/>
    </xf>
    <xf numFmtId="164" fontId="18" fillId="12" borderId="24" xfId="3" applyNumberFormat="1" applyFont="1" applyFill="1" applyBorder="1" applyAlignment="1" applyProtection="1">
      <alignment vertical="center" wrapText="1"/>
    </xf>
    <xf numFmtId="164" fontId="26" fillId="12" borderId="41" xfId="3" applyNumberFormat="1" applyFont="1" applyFill="1" applyBorder="1" applyAlignment="1" applyProtection="1">
      <alignment horizontal="center" vertical="center" wrapText="1"/>
    </xf>
    <xf numFmtId="0" fontId="0" fillId="12" borderId="15" xfId="0" applyFill="1" applyBorder="1"/>
    <xf numFmtId="164" fontId="26" fillId="12" borderId="0" xfId="3" applyNumberFormat="1" applyFont="1" applyFill="1" applyBorder="1" applyAlignment="1" applyProtection="1">
      <alignment horizontal="center" vertical="center" wrapText="1"/>
    </xf>
    <xf numFmtId="164" fontId="7" fillId="17" borderId="3" xfId="3" applyNumberFormat="1" applyFont="1" applyFill="1" applyBorder="1" applyAlignment="1" applyProtection="1">
      <alignment vertical="center" wrapText="1"/>
    </xf>
    <xf numFmtId="164" fontId="18" fillId="6" borderId="39" xfId="3" applyNumberFormat="1" applyFont="1" applyFill="1" applyBorder="1" applyAlignment="1" applyProtection="1">
      <alignment vertical="center" wrapText="1"/>
    </xf>
    <xf numFmtId="43" fontId="15" fillId="7" borderId="2" xfId="3" applyFont="1" applyFill="1" applyBorder="1" applyAlignment="1" applyProtection="1">
      <alignment vertical="center" wrapText="1"/>
      <protection locked="0"/>
    </xf>
    <xf numFmtId="0" fontId="49" fillId="58" borderId="0" xfId="0" applyFont="1" applyFill="1"/>
    <xf numFmtId="0" fontId="49" fillId="0" borderId="0" xfId="0" applyFont="1"/>
    <xf numFmtId="0" fontId="55" fillId="0" borderId="13" xfId="0" applyFont="1" applyBorder="1"/>
    <xf numFmtId="0" fontId="49" fillId="4" borderId="0" xfId="0" applyFont="1" applyFill="1" applyAlignment="1">
      <alignment vertical="center"/>
    </xf>
    <xf numFmtId="0" fontId="49" fillId="59" borderId="0" xfId="0" applyFont="1" applyFill="1"/>
    <xf numFmtId="0" fontId="55" fillId="0" borderId="0" xfId="0" applyFont="1"/>
    <xf numFmtId="0" fontId="56" fillId="59" borderId="0" xfId="0" applyFont="1" applyFill="1"/>
    <xf numFmtId="0" fontId="49" fillId="59" borderId="79" xfId="0" applyFont="1" applyFill="1" applyBorder="1"/>
    <xf numFmtId="0" fontId="56" fillId="59" borderId="79" xfId="0" applyFont="1" applyFill="1" applyBorder="1"/>
    <xf numFmtId="0" fontId="57" fillId="59" borderId="79" xfId="0" applyFont="1" applyFill="1" applyBorder="1" applyAlignment="1">
      <alignment horizontal="left"/>
    </xf>
    <xf numFmtId="0" fontId="58" fillId="59" borderId="0" xfId="0" applyFont="1" applyFill="1"/>
    <xf numFmtId="0" fontId="55" fillId="0" borderId="79" xfId="0" applyFont="1" applyBorder="1"/>
    <xf numFmtId="0" fontId="49" fillId="0" borderId="79" xfId="0" applyFont="1" applyBorder="1"/>
    <xf numFmtId="0" fontId="55" fillId="58" borderId="0" xfId="0" applyFont="1" applyFill="1"/>
    <xf numFmtId="0" fontId="59" fillId="0" borderId="0" xfId="0" applyFont="1"/>
    <xf numFmtId="0" fontId="49" fillId="58" borderId="0" xfId="0" applyFont="1" applyFill="1" applyAlignment="1">
      <alignment vertical="top"/>
    </xf>
    <xf numFmtId="0" fontId="49" fillId="57" borderId="80" xfId="0" applyFont="1" applyFill="1" applyBorder="1"/>
    <xf numFmtId="0" fontId="49" fillId="0" borderId="0" xfId="0" applyFont="1" applyAlignment="1">
      <alignment horizontal="right"/>
    </xf>
    <xf numFmtId="0" fontId="49" fillId="57" borderId="0" xfId="0" applyFont="1" applyFill="1"/>
    <xf numFmtId="0" fontId="49" fillId="61" borderId="0" xfId="0" applyFont="1" applyFill="1" applyAlignment="1">
      <alignment vertical="center"/>
    </xf>
    <xf numFmtId="0" fontId="49" fillId="56" borderId="0" xfId="0" applyFont="1" applyFill="1" applyAlignment="1">
      <alignment vertical="center"/>
    </xf>
    <xf numFmtId="1" fontId="49" fillId="58" borderId="0" xfId="0" applyNumberFormat="1" applyFont="1" applyFill="1" applyAlignment="1">
      <alignment vertical="center"/>
    </xf>
    <xf numFmtId="0" fontId="49" fillId="62" borderId="0" xfId="0" applyFont="1" applyFill="1"/>
    <xf numFmtId="0" fontId="49" fillId="58" borderId="0" xfId="0" applyFont="1" applyFill="1" applyAlignment="1">
      <alignment vertical="top" wrapText="1"/>
    </xf>
    <xf numFmtId="0" fontId="49" fillId="62" borderId="80" xfId="0" applyFont="1" applyFill="1" applyBorder="1"/>
    <xf numFmtId="0" fontId="49" fillId="0" borderId="87" xfId="0" applyFont="1" applyBorder="1"/>
    <xf numFmtId="0" fontId="49" fillId="11" borderId="80" xfId="0" applyFont="1" applyFill="1" applyBorder="1"/>
    <xf numFmtId="0" fontId="0" fillId="11" borderId="88" xfId="0" applyFill="1" applyBorder="1"/>
    <xf numFmtId="0" fontId="49" fillId="11" borderId="88" xfId="0" applyFont="1" applyFill="1" applyBorder="1"/>
    <xf numFmtId="0" fontId="49" fillId="0" borderId="89" xfId="0" applyFont="1" applyBorder="1"/>
    <xf numFmtId="0" fontId="49" fillId="0" borderId="47" xfId="0" applyFont="1" applyBorder="1"/>
    <xf numFmtId="0" fontId="55" fillId="0" borderId="47" xfId="0" applyFont="1" applyBorder="1"/>
    <xf numFmtId="0" fontId="49" fillId="11" borderId="80" xfId="0" applyFont="1" applyFill="1" applyBorder="1" applyAlignment="1">
      <alignment wrapText="1"/>
    </xf>
    <xf numFmtId="0" fontId="49" fillId="58" borderId="0" xfId="0" applyFont="1" applyFill="1" applyAlignment="1">
      <alignment horizontal="right"/>
    </xf>
    <xf numFmtId="0" fontId="62" fillId="0" borderId="0" xfId="0" applyFont="1"/>
    <xf numFmtId="0" fontId="62" fillId="0" borderId="90" xfId="0" applyFont="1" applyBorder="1"/>
    <xf numFmtId="0" fontId="49" fillId="0" borderId="90" xfId="0" applyFont="1" applyBorder="1"/>
    <xf numFmtId="0" fontId="49" fillId="0" borderId="90" xfId="0" applyFont="1" applyBorder="1" applyAlignment="1">
      <alignment wrapText="1"/>
    </xf>
    <xf numFmtId="0" fontId="49" fillId="0" borderId="91" xfId="0" applyFont="1" applyBorder="1" applyAlignment="1">
      <alignment wrapText="1"/>
    </xf>
    <xf numFmtId="0" fontId="49" fillId="0" borderId="92" xfId="0" applyFont="1" applyBorder="1"/>
    <xf numFmtId="0" fontId="62" fillId="0" borderId="91" xfId="0" applyFont="1" applyBorder="1"/>
    <xf numFmtId="0" fontId="49" fillId="58" borderId="0" xfId="0" applyFont="1" applyFill="1" applyAlignment="1">
      <alignment horizontal="right" vertical="top"/>
    </xf>
    <xf numFmtId="0" fontId="49" fillId="0" borderId="0" xfId="0" applyFont="1" applyAlignment="1">
      <alignment horizontal="center" vertical="center"/>
    </xf>
    <xf numFmtId="0" fontId="49" fillId="0" borderId="0" xfId="0" applyFont="1" applyAlignment="1">
      <alignment horizontal="left" vertical="center"/>
    </xf>
    <xf numFmtId="0" fontId="56" fillId="59" borderId="0" xfId="0" applyFont="1" applyFill="1" applyAlignment="1">
      <alignment horizontal="right"/>
    </xf>
    <xf numFmtId="0" fontId="49" fillId="61" borderId="80" xfId="0" applyFont="1" applyFill="1" applyBorder="1" applyAlignment="1">
      <alignment vertical="center"/>
    </xf>
    <xf numFmtId="1" fontId="49" fillId="11" borderId="80" xfId="0" applyNumberFormat="1" applyFont="1" applyFill="1" applyBorder="1" applyAlignment="1">
      <alignment vertical="center"/>
    </xf>
    <xf numFmtId="0" fontId="49" fillId="0" borderId="0" xfId="0" applyFont="1" applyAlignment="1">
      <alignment horizontal="left"/>
    </xf>
    <xf numFmtId="0" fontId="49" fillId="58" borderId="0" xfId="0" applyFont="1" applyFill="1" applyAlignment="1">
      <alignment horizontal="left" vertical="top" wrapText="1"/>
    </xf>
    <xf numFmtId="0" fontId="0" fillId="0" borderId="0" xfId="0" applyAlignment="1">
      <alignment horizontal="center" vertical="center"/>
    </xf>
    <xf numFmtId="0" fontId="64" fillId="59" borderId="0" xfId="0" applyFont="1" applyFill="1"/>
    <xf numFmtId="0" fontId="63" fillId="59" borderId="79" xfId="0" applyFont="1" applyFill="1" applyBorder="1" applyAlignment="1">
      <alignment horizontal="left"/>
    </xf>
    <xf numFmtId="0" fontId="63" fillId="59" borderId="79" xfId="0" applyFont="1" applyFill="1" applyBorder="1" applyAlignment="1">
      <alignment horizontal="left" wrapText="1"/>
    </xf>
    <xf numFmtId="0" fontId="65" fillId="59" borderId="0" xfId="0" applyFont="1" applyFill="1"/>
    <xf numFmtId="0" fontId="61" fillId="59" borderId="0" xfId="0" applyFont="1" applyFill="1" applyAlignment="1">
      <alignment horizontal="right"/>
    </xf>
    <xf numFmtId="0" fontId="61" fillId="59" borderId="0" xfId="0" applyFont="1" applyFill="1"/>
    <xf numFmtId="0" fontId="61" fillId="59" borderId="79" xfId="0" applyFont="1" applyFill="1" applyBorder="1" applyAlignment="1">
      <alignment horizontal="right"/>
    </xf>
    <xf numFmtId="0" fontId="61" fillId="59" borderId="79" xfId="0" applyFont="1" applyFill="1" applyBorder="1"/>
    <xf numFmtId="0" fontId="63" fillId="10" borderId="0" xfId="0" applyFont="1" applyFill="1" applyAlignment="1">
      <alignment horizontal="center" vertical="center"/>
    </xf>
    <xf numFmtId="0" fontId="66" fillId="0" borderId="0" xfId="0" applyFont="1"/>
    <xf numFmtId="0" fontId="67" fillId="0" borderId="0" xfId="0" applyFont="1"/>
    <xf numFmtId="0" fontId="68" fillId="0" borderId="0" xfId="0" applyFont="1"/>
    <xf numFmtId="166" fontId="49" fillId="0" borderId="90" xfId="1" applyNumberFormat="1" applyFont="1" applyBorder="1"/>
    <xf numFmtId="0" fontId="49" fillId="11" borderId="0" xfId="0" applyFont="1" applyFill="1"/>
    <xf numFmtId="165" fontId="49" fillId="11" borderId="88" xfId="0" applyNumberFormat="1" applyFont="1" applyFill="1" applyBorder="1"/>
    <xf numFmtId="0" fontId="0" fillId="11" borderId="94" xfId="0" applyFill="1" applyBorder="1"/>
    <xf numFmtId="0" fontId="49" fillId="11" borderId="94" xfId="0" applyFont="1" applyFill="1" applyBorder="1"/>
    <xf numFmtId="0" fontId="49" fillId="11" borderId="95" xfId="0" applyFont="1" applyFill="1" applyBorder="1"/>
    <xf numFmtId="0" fontId="49" fillId="11" borderId="99" xfId="0" applyFont="1" applyFill="1" applyBorder="1"/>
    <xf numFmtId="0" fontId="0" fillId="11" borderId="100" xfId="0" applyFill="1" applyBorder="1"/>
    <xf numFmtId="0" fontId="49" fillId="11" borderId="100" xfId="0" applyFont="1" applyFill="1" applyBorder="1"/>
    <xf numFmtId="165" fontId="49" fillId="11" borderId="100" xfId="0" applyNumberFormat="1" applyFont="1" applyFill="1" applyBorder="1"/>
    <xf numFmtId="3" fontId="49" fillId="11" borderId="88" xfId="0" applyNumberFormat="1" applyFont="1" applyFill="1" applyBorder="1"/>
    <xf numFmtId="3" fontId="49" fillId="11" borderId="100" xfId="0" applyNumberFormat="1" applyFont="1" applyFill="1" applyBorder="1"/>
    <xf numFmtId="4" fontId="49" fillId="11" borderId="88" xfId="0" applyNumberFormat="1" applyFont="1" applyFill="1" applyBorder="1"/>
    <xf numFmtId="4" fontId="49" fillId="11" borderId="100" xfId="0" applyNumberFormat="1" applyFont="1" applyFill="1" applyBorder="1"/>
    <xf numFmtId="0" fontId="49" fillId="11" borderId="81" xfId="0" applyFont="1" applyFill="1" applyBorder="1"/>
    <xf numFmtId="0" fontId="0" fillId="11" borderId="99" xfId="0" applyFill="1" applyBorder="1"/>
    <xf numFmtId="4" fontId="49" fillId="11" borderId="97" xfId="0" applyNumberFormat="1" applyFont="1" applyFill="1" applyBorder="1"/>
    <xf numFmtId="0" fontId="61" fillId="63" borderId="96" xfId="0" applyFont="1" applyFill="1" applyBorder="1"/>
    <xf numFmtId="0" fontId="61" fillId="63" borderId="97" xfId="0" applyFont="1" applyFill="1" applyBorder="1"/>
    <xf numFmtId="0" fontId="61" fillId="63" borderId="98" xfId="0" applyFont="1" applyFill="1" applyBorder="1"/>
    <xf numFmtId="0" fontId="49" fillId="11" borderId="106" xfId="0" applyFont="1" applyFill="1" applyBorder="1"/>
    <xf numFmtId="166" fontId="49" fillId="11" borderId="88" xfId="1" applyNumberFormat="1" applyFont="1" applyFill="1" applyBorder="1"/>
    <xf numFmtId="0" fontId="49" fillId="0" borderId="0" xfId="0" applyFont="1" applyAlignment="1">
      <alignment horizontal="center"/>
    </xf>
    <xf numFmtId="0" fontId="61" fillId="0" borderId="0" xfId="0" applyFont="1"/>
    <xf numFmtId="0" fontId="49" fillId="0" borderId="112" xfId="0" applyFont="1" applyBorder="1"/>
    <xf numFmtId="0" fontId="62" fillId="0" borderId="112" xfId="0" applyFont="1" applyBorder="1"/>
    <xf numFmtId="4" fontId="49" fillId="0" borderId="0" xfId="0" applyNumberFormat="1" applyFont="1"/>
    <xf numFmtId="0" fontId="49" fillId="11" borderId="113" xfId="0" applyFont="1" applyFill="1" applyBorder="1"/>
    <xf numFmtId="0" fontId="49" fillId="11" borderId="84" xfId="0" applyFont="1" applyFill="1" applyBorder="1"/>
    <xf numFmtId="0" fontId="49" fillId="11" borderId="103" xfId="0" applyFont="1" applyFill="1" applyBorder="1"/>
    <xf numFmtId="0" fontId="49" fillId="11" borderId="81" xfId="0" applyFont="1" applyFill="1" applyBorder="1" applyAlignment="1">
      <alignment wrapText="1"/>
    </xf>
    <xf numFmtId="9" fontId="49" fillId="0" borderId="90" xfId="0" applyNumberFormat="1" applyFont="1" applyBorder="1"/>
    <xf numFmtId="0" fontId="49" fillId="58" borderId="93" xfId="0" applyFont="1" applyFill="1" applyBorder="1"/>
    <xf numFmtId="0" fontId="14" fillId="0" borderId="0" xfId="0" applyFont="1"/>
    <xf numFmtId="4" fontId="49" fillId="0" borderId="0" xfId="0" applyNumberFormat="1" applyFont="1" applyAlignment="1">
      <alignment horizontal="center"/>
    </xf>
    <xf numFmtId="0" fontId="49" fillId="57" borderId="80" xfId="0" applyFont="1" applyFill="1" applyBorder="1" applyAlignment="1">
      <alignment vertical="top" wrapText="1"/>
    </xf>
    <xf numFmtId="170" fontId="49" fillId="57" borderId="80" xfId="0" applyNumberFormat="1" applyFont="1" applyFill="1" applyBorder="1"/>
    <xf numFmtId="0" fontId="49" fillId="0" borderId="0" xfId="0" applyFont="1" applyAlignment="1">
      <alignment horizontal="left" vertical="top" wrapText="1"/>
    </xf>
    <xf numFmtId="0" fontId="49" fillId="9" borderId="0" xfId="0" applyFont="1" applyFill="1"/>
    <xf numFmtId="0" fontId="49" fillId="60" borderId="0" xfId="0" applyFont="1" applyFill="1"/>
    <xf numFmtId="0" fontId="49" fillId="64" borderId="0" xfId="0" applyFont="1" applyFill="1"/>
    <xf numFmtId="0" fontId="49" fillId="14" borderId="0" xfId="0" applyFont="1" applyFill="1"/>
    <xf numFmtId="0" fontId="49" fillId="10" borderId="0" xfId="0" applyFont="1" applyFill="1"/>
    <xf numFmtId="0" fontId="55" fillId="58" borderId="0" xfId="0" applyFont="1" applyFill="1" applyAlignment="1">
      <alignment vertical="top"/>
    </xf>
    <xf numFmtId="0" fontId="49" fillId="0" borderId="117" xfId="0" applyFont="1" applyBorder="1"/>
    <xf numFmtId="0" fontId="55" fillId="0" borderId="117" xfId="0" applyFont="1" applyBorder="1"/>
    <xf numFmtId="0" fontId="49" fillId="0" borderId="118" xfId="0" applyFont="1" applyBorder="1"/>
    <xf numFmtId="0" fontId="55" fillId="0" borderId="118" xfId="0" applyFont="1" applyBorder="1"/>
    <xf numFmtId="0" fontId="49" fillId="0" borderId="119" xfId="0" applyFont="1" applyBorder="1"/>
    <xf numFmtId="0" fontId="61" fillId="60" borderId="101" xfId="0" applyFont="1" applyFill="1" applyBorder="1" applyAlignment="1">
      <alignment wrapText="1"/>
    </xf>
    <xf numFmtId="0" fontId="61" fillId="60" borderId="93" xfId="0" applyFont="1" applyFill="1" applyBorder="1" applyAlignment="1">
      <alignment wrapText="1"/>
    </xf>
    <xf numFmtId="0" fontId="61" fillId="60" borderId="102" xfId="0" applyFont="1" applyFill="1" applyBorder="1" applyAlignment="1">
      <alignment wrapText="1"/>
    </xf>
    <xf numFmtId="0" fontId="61" fillId="60" borderId="101" xfId="0" applyFont="1" applyFill="1" applyBorder="1" applyAlignment="1">
      <alignment vertical="top" wrapText="1"/>
    </xf>
    <xf numFmtId="0" fontId="61" fillId="60" borderId="93" xfId="0" applyFont="1" applyFill="1" applyBorder="1" applyAlignment="1">
      <alignment vertical="top" wrapText="1"/>
    </xf>
    <xf numFmtId="0" fontId="61" fillId="60" borderId="102" xfId="0" applyFont="1" applyFill="1" applyBorder="1" applyAlignment="1">
      <alignment vertical="top" wrapText="1"/>
    </xf>
    <xf numFmtId="0" fontId="63" fillId="60" borderId="0" xfId="0" applyFont="1" applyFill="1" applyAlignment="1">
      <alignment vertical="top" wrapText="1"/>
    </xf>
    <xf numFmtId="0" fontId="63" fillId="60" borderId="86" xfId="0" applyFont="1" applyFill="1" applyBorder="1" applyAlignment="1">
      <alignment vertical="top" wrapText="1"/>
    </xf>
    <xf numFmtId="0" fontId="49" fillId="0" borderId="0" xfId="0" applyFont="1" applyAlignment="1">
      <alignment vertical="top"/>
    </xf>
    <xf numFmtId="0" fontId="49" fillId="0" borderId="0" xfId="0" applyFont="1" applyAlignment="1">
      <alignment horizontal="center" vertical="top"/>
    </xf>
    <xf numFmtId="9" fontId="49" fillId="0" borderId="0" xfId="0" applyNumberFormat="1" applyFont="1" applyAlignment="1">
      <alignment horizontal="center"/>
    </xf>
    <xf numFmtId="0" fontId="49" fillId="61" borderId="107" xfId="0" applyFont="1" applyFill="1" applyBorder="1" applyAlignment="1">
      <alignment wrapText="1"/>
    </xf>
    <xf numFmtId="0" fontId="49" fillId="57" borderId="107" xfId="0" applyFont="1" applyFill="1" applyBorder="1" applyAlignment="1">
      <alignment wrapText="1"/>
    </xf>
    <xf numFmtId="0" fontId="49" fillId="61" borderId="121" xfId="0" applyFont="1" applyFill="1" applyBorder="1" applyAlignment="1">
      <alignment wrapText="1"/>
    </xf>
    <xf numFmtId="0" fontId="49" fillId="62" borderId="122" xfId="0" applyFont="1" applyFill="1" applyBorder="1" applyAlignment="1">
      <alignment wrapText="1"/>
    </xf>
    <xf numFmtId="0" fontId="56" fillId="60" borderId="111" xfId="0" applyFont="1" applyFill="1" applyBorder="1" applyAlignment="1">
      <alignment wrapText="1"/>
    </xf>
    <xf numFmtId="0" fontId="56" fillId="60" borderId="123" xfId="0" applyFont="1" applyFill="1" applyBorder="1" applyAlignment="1">
      <alignment wrapText="1"/>
    </xf>
    <xf numFmtId="4" fontId="49" fillId="57" borderId="107" xfId="0" applyNumberFormat="1" applyFont="1" applyFill="1" applyBorder="1" applyAlignment="1">
      <alignment wrapText="1"/>
    </xf>
    <xf numFmtId="4" fontId="49" fillId="62" borderId="107" xfId="0" applyNumberFormat="1" applyFont="1" applyFill="1" applyBorder="1" applyAlignment="1">
      <alignment wrapText="1"/>
    </xf>
    <xf numFmtId="4" fontId="49" fillId="11" borderId="107" xfId="0" applyNumberFormat="1" applyFont="1" applyFill="1" applyBorder="1" applyAlignment="1">
      <alignment wrapText="1"/>
    </xf>
    <xf numFmtId="4" fontId="49" fillId="11" borderId="124" xfId="0" applyNumberFormat="1" applyFont="1" applyFill="1" applyBorder="1" applyAlignment="1">
      <alignment wrapText="1"/>
    </xf>
    <xf numFmtId="0" fontId="49" fillId="0" borderId="125" xfId="0" applyFont="1" applyBorder="1"/>
    <xf numFmtId="0" fontId="0" fillId="0" borderId="125" xfId="0" applyBorder="1"/>
    <xf numFmtId="4" fontId="49" fillId="11" borderId="123" xfId="0" applyNumberFormat="1" applyFont="1" applyFill="1" applyBorder="1" applyAlignment="1">
      <alignment wrapText="1"/>
    </xf>
    <xf numFmtId="4" fontId="49" fillId="57" borderId="123" xfId="0" applyNumberFormat="1" applyFont="1" applyFill="1" applyBorder="1" applyAlignment="1">
      <alignment wrapText="1"/>
    </xf>
    <xf numFmtId="4" fontId="49" fillId="62" borderId="123" xfId="0" applyNumberFormat="1" applyFont="1" applyFill="1" applyBorder="1" applyAlignment="1">
      <alignment wrapText="1"/>
    </xf>
    <xf numFmtId="0" fontId="49" fillId="61" borderId="81" xfId="0" applyFont="1" applyFill="1" applyBorder="1" applyAlignment="1">
      <alignment wrapText="1"/>
    </xf>
    <xf numFmtId="0" fontId="49" fillId="61" borderId="93" xfId="0" applyFont="1" applyFill="1" applyBorder="1" applyAlignment="1">
      <alignment wrapText="1"/>
    </xf>
    <xf numFmtId="0" fontId="49" fillId="62" borderId="110" xfId="0" applyFont="1" applyFill="1" applyBorder="1" applyAlignment="1">
      <alignment wrapText="1"/>
    </xf>
    <xf numFmtId="0" fontId="61" fillId="63" borderId="97" xfId="0" applyFont="1" applyFill="1" applyBorder="1" applyAlignment="1">
      <alignment wrapText="1"/>
    </xf>
    <xf numFmtId="0" fontId="61" fillId="63" borderId="96" xfId="0" applyFont="1" applyFill="1" applyBorder="1" applyAlignment="1">
      <alignment wrapText="1"/>
    </xf>
    <xf numFmtId="0" fontId="61" fillId="63" borderId="98" xfId="0" applyFont="1" applyFill="1" applyBorder="1" applyAlignment="1">
      <alignment wrapText="1"/>
    </xf>
    <xf numFmtId="0" fontId="49" fillId="58" borderId="0" xfId="0" applyFont="1" applyFill="1" applyAlignment="1">
      <alignment wrapText="1"/>
    </xf>
    <xf numFmtId="0" fontId="61" fillId="63" borderId="96" xfId="0" applyFont="1" applyFill="1" applyBorder="1" applyAlignment="1">
      <alignment vertical="top" wrapText="1"/>
    </xf>
    <xf numFmtId="0" fontId="61" fillId="63" borderId="97" xfId="0" applyFont="1" applyFill="1" applyBorder="1" applyAlignment="1">
      <alignment vertical="top" wrapText="1"/>
    </xf>
    <xf numFmtId="0" fontId="61" fillId="63" borderId="98" xfId="0" applyFont="1" applyFill="1" applyBorder="1" applyAlignment="1">
      <alignment vertical="top" wrapText="1"/>
    </xf>
    <xf numFmtId="0" fontId="63" fillId="60" borderId="81" xfId="0" applyFont="1" applyFill="1" applyBorder="1" applyAlignment="1">
      <alignment wrapText="1"/>
    </xf>
    <xf numFmtId="0" fontId="63" fillId="60" borderId="81" xfId="0" applyFont="1" applyFill="1" applyBorder="1" applyAlignment="1">
      <alignment textRotation="90" wrapText="1"/>
    </xf>
    <xf numFmtId="0" fontId="61" fillId="60" borderId="111" xfId="0" applyFont="1" applyFill="1" applyBorder="1" applyAlignment="1">
      <alignment wrapText="1"/>
    </xf>
    <xf numFmtId="0" fontId="61" fillId="60" borderId="123" xfId="0" applyFont="1" applyFill="1" applyBorder="1" applyAlignment="1">
      <alignment wrapText="1"/>
    </xf>
    <xf numFmtId="0" fontId="61" fillId="60" borderId="110" xfId="0" applyFont="1" applyFill="1" applyBorder="1" applyAlignment="1">
      <alignment wrapText="1"/>
    </xf>
    <xf numFmtId="0" fontId="63" fillId="60" borderId="126" xfId="0" applyFont="1" applyFill="1" applyBorder="1" applyAlignment="1">
      <alignment textRotation="90" wrapText="1"/>
    </xf>
    <xf numFmtId="165" fontId="49" fillId="59" borderId="0" xfId="0" applyNumberFormat="1" applyFont="1" applyFill="1"/>
    <xf numFmtId="165" fontId="49" fillId="59" borderId="79" xfId="0" applyNumberFormat="1" applyFont="1" applyFill="1" applyBorder="1"/>
    <xf numFmtId="165" fontId="49" fillId="0" borderId="0" xfId="0" applyNumberFormat="1" applyFont="1"/>
    <xf numFmtId="165" fontId="0" fillId="0" borderId="0" xfId="0" applyNumberFormat="1"/>
    <xf numFmtId="165" fontId="63" fillId="60" borderId="81" xfId="0" applyNumberFormat="1" applyFont="1" applyFill="1" applyBorder="1" applyAlignment="1">
      <alignment textRotation="90" wrapText="1"/>
    </xf>
    <xf numFmtId="165" fontId="49" fillId="11" borderId="80" xfId="0" applyNumberFormat="1" applyFont="1" applyFill="1" applyBorder="1" applyAlignment="1">
      <alignment vertical="center"/>
    </xf>
    <xf numFmtId="1" fontId="49" fillId="65" borderId="80" xfId="0" applyNumberFormat="1" applyFont="1" applyFill="1" applyBorder="1" applyAlignment="1">
      <alignment vertical="center"/>
    </xf>
    <xf numFmtId="165" fontId="63" fillId="60" borderId="81" xfId="0" applyNumberFormat="1" applyFont="1" applyFill="1" applyBorder="1" applyAlignment="1">
      <alignment wrapText="1"/>
    </xf>
    <xf numFmtId="0" fontId="63" fillId="60" borderId="126" xfId="0" applyFont="1" applyFill="1" applyBorder="1" applyAlignment="1">
      <alignment wrapText="1"/>
    </xf>
    <xf numFmtId="4" fontId="0" fillId="0" borderId="0" xfId="0" applyNumberFormat="1"/>
    <xf numFmtId="43" fontId="49" fillId="0" borderId="0" xfId="0" applyNumberFormat="1" applyFont="1" applyAlignment="1">
      <alignment horizontal="center"/>
    </xf>
    <xf numFmtId="166" fontId="49" fillId="0" borderId="0" xfId="1" applyNumberFormat="1" applyFont="1"/>
    <xf numFmtId="166" fontId="49" fillId="0" borderId="112" xfId="1" applyNumberFormat="1" applyFont="1" applyBorder="1"/>
    <xf numFmtId="0" fontId="63" fillId="60" borderId="115" xfId="0" applyFont="1" applyFill="1" applyBorder="1" applyAlignment="1">
      <alignment wrapText="1"/>
    </xf>
    <xf numFmtId="0" fontId="63" fillId="60" borderId="116" xfId="0" applyFont="1" applyFill="1" applyBorder="1" applyAlignment="1">
      <alignment wrapText="1"/>
    </xf>
    <xf numFmtId="0" fontId="0" fillId="0" borderId="107" xfId="0" applyBorder="1"/>
    <xf numFmtId="171" fontId="49" fillId="0" borderId="0" xfId="0" applyNumberFormat="1" applyFont="1"/>
    <xf numFmtId="171" fontId="55" fillId="0" borderId="0" xfId="0" applyNumberFormat="1" applyFont="1"/>
    <xf numFmtId="1" fontId="55" fillId="11" borderId="80" xfId="0" applyNumberFormat="1" applyFont="1" applyFill="1" applyBorder="1" applyAlignment="1">
      <alignment vertical="center"/>
    </xf>
    <xf numFmtId="171" fontId="49" fillId="11" borderId="80" xfId="0" applyNumberFormat="1" applyFont="1" applyFill="1" applyBorder="1" applyAlignment="1">
      <alignment vertical="center"/>
    </xf>
    <xf numFmtId="171" fontId="55" fillId="11" borderId="80" xfId="0" applyNumberFormat="1" applyFont="1" applyFill="1" applyBorder="1" applyAlignment="1">
      <alignment vertical="center"/>
    </xf>
    <xf numFmtId="0" fontId="63" fillId="60" borderId="101" xfId="0" applyFont="1" applyFill="1" applyBorder="1" applyAlignment="1">
      <alignment wrapText="1"/>
    </xf>
    <xf numFmtId="0" fontId="63" fillId="60" borderId="93" xfId="0" applyFont="1" applyFill="1" applyBorder="1" applyAlignment="1">
      <alignment wrapText="1"/>
    </xf>
    <xf numFmtId="0" fontId="61" fillId="60" borderId="82" xfId="0" applyFont="1" applyFill="1" applyBorder="1" applyAlignment="1">
      <alignment horizontal="left"/>
    </xf>
    <xf numFmtId="0" fontId="61" fillId="60" borderId="84" xfId="0" applyFont="1" applyFill="1" applyBorder="1" applyAlignment="1">
      <alignment horizontal="left"/>
    </xf>
    <xf numFmtId="0" fontId="61" fillId="60" borderId="80" xfId="0" applyFont="1" applyFill="1" applyBorder="1"/>
    <xf numFmtId="0" fontId="60" fillId="11" borderId="80" xfId="0" applyFont="1" applyFill="1" applyBorder="1" applyAlignment="1">
      <alignment horizontal="center"/>
    </xf>
    <xf numFmtId="0" fontId="70" fillId="57" borderId="80" xfId="0" applyFont="1" applyFill="1" applyBorder="1"/>
    <xf numFmtId="0" fontId="61" fillId="60" borderId="80" xfId="0" applyFont="1" applyFill="1" applyBorder="1" applyAlignment="1">
      <alignment wrapText="1"/>
    </xf>
    <xf numFmtId="0" fontId="70" fillId="66" borderId="80" xfId="0" applyFont="1" applyFill="1" applyBorder="1"/>
    <xf numFmtId="4" fontId="49" fillId="67" borderId="80" xfId="0" applyNumberFormat="1" applyFont="1" applyFill="1" applyBorder="1"/>
    <xf numFmtId="4" fontId="49" fillId="67" borderId="120" xfId="0" applyNumberFormat="1" applyFont="1" applyFill="1" applyBorder="1"/>
    <xf numFmtId="0" fontId="61" fillId="60" borderId="93" xfId="0" applyFont="1" applyFill="1" applyBorder="1" applyAlignment="1">
      <alignment horizontal="left" wrapText="1"/>
    </xf>
    <xf numFmtId="4" fontId="49" fillId="11" borderId="80" xfId="0" applyNumberFormat="1" applyFont="1" applyFill="1" applyBorder="1"/>
    <xf numFmtId="4" fontId="49" fillId="11" borderId="81" xfId="0" applyNumberFormat="1" applyFont="1" applyFill="1" applyBorder="1"/>
    <xf numFmtId="4" fontId="49" fillId="57" borderId="80" xfId="0" applyNumberFormat="1" applyFont="1" applyFill="1" applyBorder="1" applyProtection="1">
      <protection locked="0"/>
    </xf>
    <xf numFmtId="4" fontId="49" fillId="57" borderId="81" xfId="0" applyNumberFormat="1" applyFont="1" applyFill="1" applyBorder="1" applyProtection="1">
      <protection locked="0"/>
    </xf>
    <xf numFmtId="0" fontId="49" fillId="61" borderId="80" xfId="0" applyFont="1" applyFill="1" applyBorder="1" applyProtection="1">
      <protection locked="0"/>
    </xf>
    <xf numFmtId="0" fontId="49" fillId="62" borderId="82" xfId="0" applyFont="1" applyFill="1" applyBorder="1" applyProtection="1">
      <protection locked="0"/>
    </xf>
    <xf numFmtId="0" fontId="49" fillId="61" borderId="81" xfId="0" applyFont="1" applyFill="1" applyBorder="1" applyProtection="1">
      <protection locked="0"/>
    </xf>
    <xf numFmtId="0" fontId="49" fillId="62" borderId="85" xfId="0" applyFont="1" applyFill="1" applyBorder="1" applyProtection="1">
      <protection locked="0"/>
    </xf>
    <xf numFmtId="0" fontId="49" fillId="61" borderId="114" xfId="0" applyFont="1" applyFill="1" applyBorder="1" applyProtection="1">
      <protection locked="0"/>
    </xf>
    <xf numFmtId="4" fontId="49" fillId="57" borderId="84" xfId="0" applyNumberFormat="1" applyFont="1" applyFill="1" applyBorder="1" applyProtection="1">
      <protection locked="0"/>
    </xf>
    <xf numFmtId="0" fontId="49" fillId="57" borderId="84" xfId="0" applyFont="1" applyFill="1" applyBorder="1" applyProtection="1">
      <protection locked="0"/>
    </xf>
    <xf numFmtId="43" fontId="49" fillId="57" borderId="80" xfId="3" applyFont="1" applyFill="1" applyBorder="1" applyProtection="1">
      <protection locked="0"/>
    </xf>
    <xf numFmtId="0" fontId="49" fillId="57" borderId="103" xfId="0" applyFont="1" applyFill="1" applyBorder="1" applyProtection="1">
      <protection locked="0"/>
    </xf>
    <xf numFmtId="43" fontId="49" fillId="57" borderId="81" xfId="3" applyFont="1" applyFill="1" applyBorder="1" applyProtection="1">
      <protection locked="0"/>
    </xf>
    <xf numFmtId="0" fontId="49" fillId="61" borderId="84" xfId="0" applyFont="1" applyFill="1" applyBorder="1" applyProtection="1">
      <protection locked="0"/>
    </xf>
    <xf numFmtId="0" fontId="49" fillId="57" borderId="80" xfId="0" applyFont="1" applyFill="1" applyBorder="1" applyProtection="1">
      <protection locked="0"/>
    </xf>
    <xf numFmtId="0" fontId="49" fillId="61" borderId="103" xfId="0" applyFont="1" applyFill="1" applyBorder="1" applyProtection="1">
      <protection locked="0"/>
    </xf>
    <xf numFmtId="0" fontId="49" fillId="57" borderId="81" xfId="0" applyFont="1" applyFill="1" applyBorder="1" applyProtection="1">
      <protection locked="0"/>
    </xf>
    <xf numFmtId="0" fontId="49" fillId="62" borderId="82" xfId="0" applyFont="1" applyFill="1" applyBorder="1" applyAlignment="1" applyProtection="1">
      <alignment wrapText="1"/>
      <protection locked="0"/>
    </xf>
    <xf numFmtId="0" fontId="49" fillId="62" borderId="85" xfId="0" applyFont="1" applyFill="1" applyBorder="1" applyAlignment="1" applyProtection="1">
      <alignment wrapText="1"/>
      <protection locked="0"/>
    </xf>
    <xf numFmtId="0" fontId="60" fillId="62" borderId="82" xfId="0" applyFont="1" applyFill="1" applyBorder="1" applyProtection="1">
      <protection locked="0"/>
    </xf>
    <xf numFmtId="0" fontId="60" fillId="62" borderId="85" xfId="0" applyFont="1" applyFill="1" applyBorder="1" applyProtection="1">
      <protection locked="0"/>
    </xf>
    <xf numFmtId="0" fontId="49" fillId="57" borderId="104" xfId="0" applyFont="1" applyFill="1" applyBorder="1" applyProtection="1">
      <protection locked="0"/>
    </xf>
    <xf numFmtId="0" fontId="49" fillId="61" borderId="85" xfId="0" applyFont="1" applyFill="1" applyBorder="1" applyProtection="1">
      <protection locked="0"/>
    </xf>
    <xf numFmtId="0" fontId="49" fillId="57" borderId="85" xfId="0" applyFont="1" applyFill="1" applyBorder="1" applyProtection="1">
      <protection locked="0"/>
    </xf>
    <xf numFmtId="0" fontId="49" fillId="57" borderId="83" xfId="0" applyFont="1" applyFill="1" applyBorder="1" applyProtection="1">
      <protection locked="0"/>
    </xf>
    <xf numFmtId="0" fontId="49" fillId="61" borderId="82" xfId="0" applyFont="1" applyFill="1" applyBorder="1" applyProtection="1">
      <protection locked="0"/>
    </xf>
    <xf numFmtId="0" fontId="49" fillId="61" borderId="105" xfId="0" applyFont="1" applyFill="1" applyBorder="1" applyProtection="1">
      <protection locked="0"/>
    </xf>
    <xf numFmtId="0" fontId="49" fillId="57" borderId="82" xfId="0" applyFont="1" applyFill="1" applyBorder="1" applyProtection="1">
      <protection locked="0"/>
    </xf>
    <xf numFmtId="0" fontId="49" fillId="62" borderId="102" xfId="0" applyFont="1" applyFill="1" applyBorder="1" applyProtection="1">
      <protection locked="0"/>
    </xf>
    <xf numFmtId="9" fontId="49" fillId="57" borderId="80" xfId="1" applyFont="1" applyFill="1" applyBorder="1" applyProtection="1">
      <protection locked="0"/>
    </xf>
    <xf numFmtId="9" fontId="49" fillId="57" borderId="81" xfId="1" applyFont="1" applyFill="1" applyBorder="1" applyProtection="1">
      <protection locked="0"/>
    </xf>
    <xf numFmtId="0" fontId="49" fillId="62" borderId="80" xfId="0" applyFont="1" applyFill="1" applyBorder="1" applyProtection="1">
      <protection locked="0"/>
    </xf>
    <xf numFmtId="0" fontId="49" fillId="62" borderId="81" xfId="0" applyFont="1" applyFill="1" applyBorder="1" applyProtection="1">
      <protection locked="0"/>
    </xf>
    <xf numFmtId="0" fontId="49" fillId="61" borderId="107" xfId="0" applyFont="1" applyFill="1" applyBorder="1" applyProtection="1">
      <protection locked="0"/>
    </xf>
    <xf numFmtId="0" fontId="61" fillId="60" borderId="93" xfId="0" applyFont="1" applyFill="1" applyBorder="1" applyAlignment="1">
      <alignment vertical="center" wrapText="1"/>
    </xf>
    <xf numFmtId="0" fontId="63" fillId="60" borderId="80" xfId="0" applyFont="1" applyFill="1" applyBorder="1" applyAlignment="1">
      <alignment wrapText="1"/>
    </xf>
    <xf numFmtId="0" fontId="61" fillId="60" borderId="84" xfId="0" applyFont="1" applyFill="1" applyBorder="1" applyAlignment="1">
      <alignment wrapText="1"/>
    </xf>
    <xf numFmtId="1" fontId="49" fillId="0" borderId="0" xfId="0" applyNumberFormat="1" applyFont="1" applyAlignment="1">
      <alignment vertical="center"/>
    </xf>
    <xf numFmtId="0" fontId="63" fillId="60" borderId="85" xfId="0" applyFont="1" applyFill="1" applyBorder="1" applyAlignment="1">
      <alignment textRotation="90" wrapText="1"/>
    </xf>
    <xf numFmtId="1" fontId="49" fillId="65" borderId="82" xfId="0" applyNumberFormat="1" applyFont="1" applyFill="1" applyBorder="1" applyAlignment="1">
      <alignment vertical="center"/>
    </xf>
    <xf numFmtId="165" fontId="49" fillId="65" borderId="82" xfId="0" applyNumberFormat="1" applyFont="1" applyFill="1" applyBorder="1" applyAlignment="1">
      <alignment vertical="center"/>
    </xf>
    <xf numFmtId="165" fontId="49" fillId="11" borderId="82" xfId="0" applyNumberFormat="1" applyFont="1" applyFill="1" applyBorder="1" applyAlignment="1">
      <alignment vertical="center"/>
    </xf>
    <xf numFmtId="165" fontId="63" fillId="60" borderId="128" xfId="0" applyNumberFormat="1" applyFont="1" applyFill="1" applyBorder="1" applyAlignment="1">
      <alignment textRotation="90" wrapText="1"/>
    </xf>
    <xf numFmtId="165" fontId="49" fillId="11" borderId="127" xfId="0" applyNumberFormat="1" applyFont="1" applyFill="1" applyBorder="1" applyAlignment="1">
      <alignment vertical="center"/>
    </xf>
    <xf numFmtId="1" fontId="49" fillId="65" borderId="127" xfId="0" applyNumberFormat="1" applyFont="1" applyFill="1" applyBorder="1" applyAlignment="1">
      <alignment vertical="center"/>
    </xf>
    <xf numFmtId="0" fontId="0" fillId="11" borderId="107" xfId="0" applyFill="1" applyBorder="1" applyAlignment="1">
      <alignment wrapText="1"/>
    </xf>
    <xf numFmtId="165" fontId="15" fillId="11" borderId="107" xfId="3" applyNumberFormat="1" applyFont="1" applyFill="1" applyBorder="1" applyAlignment="1">
      <alignment horizontal="center" wrapText="1"/>
    </xf>
    <xf numFmtId="167" fontId="15" fillId="11" borderId="107" xfId="3" applyNumberFormat="1" applyFont="1" applyFill="1" applyBorder="1" applyAlignment="1">
      <alignment horizontal="center" wrapText="1"/>
    </xf>
    <xf numFmtId="1" fontId="49" fillId="68" borderId="80" xfId="0" applyNumberFormat="1" applyFont="1" applyFill="1" applyBorder="1" applyAlignment="1">
      <alignment vertical="center"/>
    </xf>
    <xf numFmtId="1" fontId="49" fillId="68" borderId="127" xfId="0" applyNumberFormat="1" applyFont="1" applyFill="1" applyBorder="1" applyAlignment="1">
      <alignment vertical="center"/>
    </xf>
    <xf numFmtId="0" fontId="0" fillId="3" borderId="107" xfId="0" applyFill="1" applyBorder="1" applyAlignment="1">
      <alignment wrapText="1"/>
    </xf>
    <xf numFmtId="0" fontId="49" fillId="11" borderId="80" xfId="0" applyFont="1" applyFill="1" applyBorder="1" applyAlignment="1">
      <alignment vertical="center"/>
    </xf>
    <xf numFmtId="0" fontId="0" fillId="0" borderId="107" xfId="0" applyBorder="1" applyAlignment="1">
      <alignment wrapText="1"/>
    </xf>
    <xf numFmtId="165" fontId="15" fillId="11" borderId="107" xfId="3" applyNumberFormat="1" applyFont="1" applyFill="1" applyBorder="1" applyAlignment="1">
      <alignment horizontal="right" wrapText="1"/>
    </xf>
    <xf numFmtId="0" fontId="49" fillId="61" borderId="80" xfId="0" applyFont="1" applyFill="1" applyBorder="1" applyAlignment="1" applyProtection="1">
      <alignment horizontal="left"/>
      <protection locked="0"/>
    </xf>
    <xf numFmtId="0" fontId="49" fillId="62" borderId="80" xfId="0" applyFont="1" applyFill="1" applyBorder="1" applyAlignment="1" applyProtection="1">
      <alignment horizontal="left"/>
      <protection locked="0"/>
    </xf>
    <xf numFmtId="0" fontId="49" fillId="0" borderId="0" xfId="0" applyFont="1" applyAlignment="1">
      <alignment vertical="center"/>
    </xf>
    <xf numFmtId="0" fontId="55" fillId="58" borderId="0" xfId="0" applyFont="1" applyFill="1" applyAlignment="1">
      <alignment vertical="center"/>
    </xf>
    <xf numFmtId="0" fontId="66" fillId="0" borderId="0" xfId="0" applyFont="1" applyAlignment="1">
      <alignment vertical="center"/>
    </xf>
    <xf numFmtId="0" fontId="63" fillId="63" borderId="96" xfId="0" applyFont="1" applyFill="1" applyBorder="1" applyAlignment="1">
      <alignment vertical="center"/>
    </xf>
    <xf numFmtId="0" fontId="63" fillId="63" borderId="97" xfId="0" applyFont="1" applyFill="1" applyBorder="1" applyAlignment="1">
      <alignment vertical="center"/>
    </xf>
    <xf numFmtId="0" fontId="63" fillId="63" borderId="97" xfId="0" applyFont="1" applyFill="1" applyBorder="1" applyAlignment="1">
      <alignment vertical="center" wrapText="1"/>
    </xf>
    <xf numFmtId="0" fontId="63" fillId="63" borderId="98" xfId="0" applyFont="1" applyFill="1" applyBorder="1" applyAlignment="1">
      <alignment vertical="center" wrapText="1"/>
    </xf>
    <xf numFmtId="166" fontId="49" fillId="11" borderId="100" xfId="1" applyNumberFormat="1" applyFont="1" applyFill="1" applyBorder="1"/>
    <xf numFmtId="0" fontId="49" fillId="0" borderId="129" xfId="0" applyFont="1" applyBorder="1"/>
    <xf numFmtId="0" fontId="49" fillId="0" borderId="130" xfId="0" applyFont="1" applyBorder="1"/>
    <xf numFmtId="1" fontId="33" fillId="11" borderId="80" xfId="10" applyNumberFormat="1" applyFill="1" applyBorder="1" applyAlignment="1">
      <alignment vertical="center"/>
    </xf>
    <xf numFmtId="1" fontId="49" fillId="11" borderId="81" xfId="0" applyNumberFormat="1" applyFont="1" applyFill="1" applyBorder="1" applyAlignment="1">
      <alignment vertical="center"/>
    </xf>
    <xf numFmtId="171" fontId="49" fillId="11" borderId="81" xfId="0" applyNumberFormat="1" applyFont="1" applyFill="1" applyBorder="1" applyAlignment="1">
      <alignment vertical="center"/>
    </xf>
    <xf numFmtId="1" fontId="49" fillId="11" borderId="107" xfId="0" applyNumberFormat="1" applyFont="1" applyFill="1" applyBorder="1" applyAlignment="1">
      <alignment vertical="center"/>
    </xf>
    <xf numFmtId="171" fontId="49" fillId="11" borderId="107" xfId="0" applyNumberFormat="1" applyFont="1" applyFill="1" applyBorder="1" applyAlignment="1">
      <alignment vertical="center"/>
    </xf>
    <xf numFmtId="0" fontId="49" fillId="11" borderId="107" xfId="0" applyFont="1" applyFill="1" applyBorder="1"/>
    <xf numFmtId="0" fontId="49" fillId="11" borderId="124" xfId="0" applyFont="1" applyFill="1" applyBorder="1"/>
    <xf numFmtId="0" fontId="63" fillId="0" borderId="0" xfId="0" applyFont="1" applyAlignment="1">
      <alignment wrapText="1"/>
    </xf>
    <xf numFmtId="171" fontId="49" fillId="0" borderId="0" xfId="0" applyNumberFormat="1" applyFont="1" applyAlignment="1">
      <alignment vertical="center"/>
    </xf>
    <xf numFmtId="171" fontId="55" fillId="0" borderId="0" xfId="0" applyNumberFormat="1" applyFont="1" applyAlignment="1">
      <alignment vertical="center"/>
    </xf>
    <xf numFmtId="0" fontId="63" fillId="60" borderId="131" xfId="0" applyFont="1" applyFill="1" applyBorder="1" applyAlignment="1">
      <alignment wrapText="1"/>
    </xf>
    <xf numFmtId="9" fontId="49" fillId="0" borderId="0" xfId="1" applyFont="1"/>
    <xf numFmtId="0" fontId="49" fillId="11" borderId="97" xfId="0" applyFont="1" applyFill="1" applyBorder="1"/>
    <xf numFmtId="2" fontId="49" fillId="11" borderId="88" xfId="0" applyNumberFormat="1" applyFont="1" applyFill="1" applyBorder="1"/>
    <xf numFmtId="2" fontId="49" fillId="11" borderId="100" xfId="0" applyNumberFormat="1" applyFont="1" applyFill="1" applyBorder="1"/>
    <xf numFmtId="9" fontId="49" fillId="11" borderId="88" xfId="0" applyNumberFormat="1" applyFont="1" applyFill="1" applyBorder="1"/>
    <xf numFmtId="44" fontId="49" fillId="0" borderId="0" xfId="0" applyNumberFormat="1" applyFont="1"/>
    <xf numFmtId="0" fontId="72" fillId="0" borderId="0" xfId="0" applyFont="1"/>
    <xf numFmtId="171" fontId="55" fillId="11" borderId="81" xfId="0" applyNumberFormat="1" applyFont="1" applyFill="1" applyBorder="1" applyAlignment="1">
      <alignment vertical="center"/>
    </xf>
    <xf numFmtId="171" fontId="55" fillId="11" borderId="107" xfId="0" applyNumberFormat="1" applyFont="1" applyFill="1" applyBorder="1" applyAlignment="1">
      <alignment vertical="center"/>
    </xf>
    <xf numFmtId="0" fontId="55" fillId="11" borderId="107" xfId="0" applyFont="1" applyFill="1" applyBorder="1"/>
    <xf numFmtId="0" fontId="2" fillId="60" borderId="2" xfId="0" applyFont="1" applyFill="1" applyBorder="1" applyAlignment="1">
      <alignment vertical="center" wrapText="1"/>
    </xf>
    <xf numFmtId="0" fontId="2" fillId="60" borderId="3" xfId="0" applyFont="1" applyFill="1" applyBorder="1" applyAlignment="1">
      <alignment vertical="center" wrapText="1"/>
    </xf>
    <xf numFmtId="0" fontId="39" fillId="12" borderId="132" xfId="0" applyFont="1" applyFill="1" applyBorder="1"/>
    <xf numFmtId="0" fontId="32" fillId="12" borderId="132" xfId="0" applyFont="1" applyFill="1" applyBorder="1"/>
    <xf numFmtId="1" fontId="49" fillId="69" borderId="80" xfId="0" applyNumberFormat="1" applyFont="1" applyFill="1" applyBorder="1" applyAlignment="1">
      <alignment vertical="center"/>
    </xf>
    <xf numFmtId="0" fontId="49" fillId="57" borderId="80" xfId="0" applyFont="1" applyFill="1" applyBorder="1" applyAlignment="1" applyProtection="1">
      <alignment horizontal="left"/>
      <protection locked="0"/>
    </xf>
    <xf numFmtId="42" fontId="49" fillId="57" borderId="80" xfId="0" applyNumberFormat="1" applyFont="1" applyFill="1" applyBorder="1" applyAlignment="1" applyProtection="1">
      <alignment horizontal="left"/>
      <protection locked="0"/>
    </xf>
    <xf numFmtId="3" fontId="49" fillId="57" borderId="80" xfId="0" applyNumberFormat="1" applyFont="1" applyFill="1" applyBorder="1" applyAlignment="1" applyProtection="1">
      <alignment horizontal="left"/>
      <protection locked="0"/>
    </xf>
    <xf numFmtId="9" fontId="49" fillId="57" borderId="80" xfId="0" applyNumberFormat="1" applyFont="1" applyFill="1" applyBorder="1" applyAlignment="1" applyProtection="1">
      <alignment horizontal="left"/>
      <protection locked="0"/>
    </xf>
    <xf numFmtId="0" fontId="49" fillId="57" borderId="80" xfId="0" quotePrefix="1" applyFont="1" applyFill="1" applyBorder="1" applyAlignment="1" applyProtection="1">
      <alignment horizontal="left"/>
      <protection locked="0"/>
    </xf>
    <xf numFmtId="9" fontId="49" fillId="57" borderId="80" xfId="0" quotePrefix="1" applyNumberFormat="1" applyFont="1" applyFill="1" applyBorder="1" applyAlignment="1" applyProtection="1">
      <alignment horizontal="left"/>
      <protection locked="0"/>
    </xf>
    <xf numFmtId="0" fontId="49" fillId="61" borderId="121" xfId="0" applyFont="1" applyFill="1" applyBorder="1" applyAlignment="1" applyProtection="1">
      <alignment wrapText="1"/>
      <protection locked="0"/>
    </xf>
    <xf numFmtId="0" fontId="49" fillId="61" borderId="107" xfId="0" applyFont="1" applyFill="1" applyBorder="1" applyAlignment="1" applyProtection="1">
      <alignment wrapText="1"/>
      <protection locked="0"/>
    </xf>
    <xf numFmtId="0" fontId="49" fillId="57" borderId="107" xfId="0" applyFont="1" applyFill="1" applyBorder="1" applyAlignment="1" applyProtection="1">
      <alignment wrapText="1"/>
      <protection locked="0"/>
    </xf>
    <xf numFmtId="9" fontId="49" fillId="57" borderId="107" xfId="1" applyFont="1" applyFill="1" applyBorder="1" applyAlignment="1" applyProtection="1">
      <alignment wrapText="1"/>
      <protection locked="0"/>
    </xf>
    <xf numFmtId="0" fontId="49" fillId="61" borderId="109" xfId="0" applyFont="1" applyFill="1" applyBorder="1" applyAlignment="1" applyProtection="1">
      <alignment wrapText="1"/>
      <protection locked="0"/>
    </xf>
    <xf numFmtId="0" fontId="49" fillId="61" borderId="124" xfId="0" applyFont="1" applyFill="1" applyBorder="1" applyAlignment="1" applyProtection="1">
      <alignment wrapText="1"/>
      <protection locked="0"/>
    </xf>
    <xf numFmtId="0" fontId="49" fillId="57" borderId="124" xfId="0" applyFont="1" applyFill="1" applyBorder="1" applyAlignment="1" applyProtection="1">
      <alignment wrapText="1"/>
      <protection locked="0"/>
    </xf>
    <xf numFmtId="9" fontId="49" fillId="57" borderId="124" xfId="1" applyFont="1" applyFill="1" applyBorder="1" applyAlignment="1" applyProtection="1">
      <alignment wrapText="1"/>
      <protection locked="0"/>
    </xf>
    <xf numFmtId="4" fontId="49" fillId="57" borderId="107" xfId="0" applyNumberFormat="1" applyFont="1" applyFill="1" applyBorder="1" applyAlignment="1" applyProtection="1">
      <alignment wrapText="1"/>
      <protection locked="0"/>
    </xf>
    <xf numFmtId="4" fontId="49" fillId="62" borderId="107" xfId="0" applyNumberFormat="1" applyFont="1" applyFill="1" applyBorder="1" applyAlignment="1" applyProtection="1">
      <alignment wrapText="1"/>
      <protection locked="0"/>
    </xf>
    <xf numFmtId="0" fontId="49" fillId="62" borderId="107" xfId="0" applyFont="1" applyFill="1" applyBorder="1" applyAlignment="1" applyProtection="1">
      <alignment wrapText="1"/>
      <protection locked="0"/>
    </xf>
    <xf numFmtId="0" fontId="49" fillId="62" borderId="122" xfId="0" applyFont="1" applyFill="1" applyBorder="1" applyAlignment="1" applyProtection="1">
      <alignment wrapText="1"/>
      <protection locked="0"/>
    </xf>
    <xf numFmtId="4" fontId="49" fillId="57" borderId="124" xfId="0" applyNumberFormat="1" applyFont="1" applyFill="1" applyBorder="1" applyAlignment="1" applyProtection="1">
      <alignment wrapText="1"/>
      <protection locked="0"/>
    </xf>
    <xf numFmtId="4" fontId="49" fillId="62" borderId="124" xfId="0" applyNumberFormat="1" applyFont="1" applyFill="1" applyBorder="1" applyAlignment="1" applyProtection="1">
      <alignment wrapText="1"/>
      <protection locked="0"/>
    </xf>
    <xf numFmtId="0" fontId="49" fillId="62" borderId="124" xfId="0" applyFont="1" applyFill="1" applyBorder="1" applyAlignment="1" applyProtection="1">
      <alignment wrapText="1"/>
      <protection locked="0"/>
    </xf>
    <xf numFmtId="0" fontId="49" fillId="62" borderId="108" xfId="0" applyFont="1" applyFill="1" applyBorder="1" applyAlignment="1" applyProtection="1">
      <alignment wrapText="1"/>
      <protection locked="0"/>
    </xf>
    <xf numFmtId="169" fontId="49" fillId="57" borderId="80" xfId="0" applyNumberFormat="1" applyFont="1" applyFill="1" applyBorder="1" applyProtection="1">
      <protection locked="0"/>
    </xf>
    <xf numFmtId="2" fontId="49" fillId="57" borderId="80" xfId="0" applyNumberFormat="1" applyFont="1" applyFill="1" applyBorder="1" applyProtection="1">
      <protection locked="0"/>
    </xf>
    <xf numFmtId="1" fontId="49" fillId="62" borderId="80" xfId="0" applyNumberFormat="1" applyFont="1" applyFill="1" applyBorder="1" applyProtection="1">
      <protection locked="0"/>
    </xf>
    <xf numFmtId="1" fontId="49" fillId="62" borderId="81" xfId="0" applyNumberFormat="1" applyFont="1" applyFill="1" applyBorder="1" applyProtection="1">
      <protection locked="0"/>
    </xf>
    <xf numFmtId="0" fontId="49" fillId="58" borderId="0" xfId="0" applyFont="1" applyFill="1" applyAlignment="1">
      <alignment horizontal="left" vertical="top"/>
    </xf>
    <xf numFmtId="0" fontId="49" fillId="0" borderId="0" xfId="0" applyFont="1" applyAlignment="1">
      <alignment horizontal="left" vertical="top" wrapText="1"/>
    </xf>
    <xf numFmtId="0" fontId="69" fillId="0" borderId="0" xfId="10" applyFont="1" applyAlignment="1">
      <alignment horizontal="left" vertical="top"/>
    </xf>
    <xf numFmtId="0" fontId="49" fillId="0" borderId="0" xfId="0" applyFont="1" applyAlignment="1">
      <alignment horizontal="left" vertical="top"/>
    </xf>
    <xf numFmtId="0" fontId="49" fillId="58" borderId="0" xfId="0" applyFont="1" applyFill="1" applyAlignment="1">
      <alignment horizontal="left" vertical="top" wrapText="1"/>
    </xf>
    <xf numFmtId="0" fontId="61" fillId="60" borderId="82" xfId="0" applyFont="1" applyFill="1" applyBorder="1" applyAlignment="1">
      <alignment horizontal="left"/>
    </xf>
    <xf numFmtId="0" fontId="61" fillId="60" borderId="83" xfId="0" applyFont="1" applyFill="1" applyBorder="1" applyAlignment="1">
      <alignment horizontal="left"/>
    </xf>
    <xf numFmtId="0" fontId="61" fillId="60" borderId="84" xfId="0" applyFont="1" applyFill="1" applyBorder="1" applyAlignment="1">
      <alignment horizontal="left"/>
    </xf>
    <xf numFmtId="0" fontId="61" fillId="60" borderId="82" xfId="10" applyFont="1" applyFill="1" applyBorder="1" applyAlignment="1">
      <alignment horizontal="left"/>
    </xf>
    <xf numFmtId="0" fontId="61" fillId="60" borderId="84" xfId="10" applyFont="1" applyFill="1" applyBorder="1" applyAlignment="1">
      <alignment horizontal="left"/>
    </xf>
    <xf numFmtId="0" fontId="49" fillId="57" borderId="82" xfId="0" applyFont="1" applyFill="1" applyBorder="1" applyAlignment="1" applyProtection="1">
      <alignment horizontal="left" wrapText="1"/>
      <protection locked="0"/>
    </xf>
    <xf numFmtId="0" fontId="49" fillId="57" borderId="83" xfId="0" applyFont="1" applyFill="1" applyBorder="1" applyAlignment="1" applyProtection="1">
      <alignment horizontal="left" wrapText="1"/>
      <protection locked="0"/>
    </xf>
    <xf numFmtId="0" fontId="49" fillId="57" borderId="84" xfId="0" applyFont="1" applyFill="1" applyBorder="1" applyAlignment="1" applyProtection="1">
      <alignment horizontal="left" wrapText="1"/>
      <protection locked="0"/>
    </xf>
    <xf numFmtId="0" fontId="49" fillId="61" borderId="82" xfId="0" applyFont="1" applyFill="1" applyBorder="1" applyAlignment="1" applyProtection="1">
      <alignment horizontal="left"/>
      <protection locked="0"/>
    </xf>
    <xf numFmtId="0" fontId="49" fillId="61" borderId="83" xfId="0" applyFont="1" applyFill="1" applyBorder="1" applyAlignment="1" applyProtection="1">
      <alignment horizontal="left"/>
      <protection locked="0"/>
    </xf>
    <xf numFmtId="0" fontId="49" fillId="61" borderId="84" xfId="0" applyFont="1" applyFill="1" applyBorder="1" applyAlignment="1" applyProtection="1">
      <alignment horizontal="left"/>
      <protection locked="0"/>
    </xf>
    <xf numFmtId="0" fontId="49" fillId="57" borderId="82" xfId="0" applyFont="1" applyFill="1" applyBorder="1" applyAlignment="1" applyProtection="1">
      <alignment horizontal="center"/>
      <protection locked="0"/>
    </xf>
    <xf numFmtId="0" fontId="49" fillId="57" borderId="83" xfId="0" applyFont="1" applyFill="1" applyBorder="1" applyAlignment="1" applyProtection="1">
      <alignment horizontal="center"/>
      <protection locked="0"/>
    </xf>
    <xf numFmtId="0" fontId="49" fillId="57" borderId="84" xfId="0" applyFont="1" applyFill="1" applyBorder="1" applyAlignment="1" applyProtection="1">
      <alignment horizontal="center"/>
      <protection locked="0"/>
    </xf>
    <xf numFmtId="0" fontId="49" fillId="57" borderId="82" xfId="0" applyFont="1" applyFill="1" applyBorder="1" applyAlignment="1" applyProtection="1">
      <alignment horizontal="left"/>
      <protection locked="0"/>
    </xf>
    <xf numFmtId="0" fontId="49" fillId="57" borderId="83" xfId="0" applyFont="1" applyFill="1" applyBorder="1" applyAlignment="1" applyProtection="1">
      <alignment horizontal="left"/>
      <protection locked="0"/>
    </xf>
    <xf numFmtId="0" fontId="49" fillId="57" borderId="84" xfId="0" applyFont="1" applyFill="1" applyBorder="1" applyAlignment="1" applyProtection="1">
      <alignment horizontal="left"/>
      <protection locked="0"/>
    </xf>
    <xf numFmtId="14" fontId="49" fillId="57" borderId="82" xfId="0" applyNumberFormat="1" applyFont="1" applyFill="1" applyBorder="1" applyAlignment="1" applyProtection="1">
      <alignment horizontal="left"/>
      <protection locked="0"/>
    </xf>
    <xf numFmtId="14" fontId="49" fillId="57" borderId="83" xfId="0" applyNumberFormat="1" applyFont="1" applyFill="1" applyBorder="1" applyAlignment="1" applyProtection="1">
      <alignment horizontal="left"/>
      <protection locked="0"/>
    </xf>
    <xf numFmtId="14" fontId="49" fillId="57" borderId="84" xfId="0" applyNumberFormat="1" applyFont="1" applyFill="1" applyBorder="1" applyAlignment="1" applyProtection="1">
      <alignment horizontal="left"/>
      <protection locked="0"/>
    </xf>
    <xf numFmtId="0" fontId="22" fillId="12" borderId="0" xfId="0" applyFont="1" applyFill="1" applyAlignment="1">
      <alignment horizontal="left" vertical="top" wrapText="1"/>
    </xf>
    <xf numFmtId="0" fontId="12" fillId="0" borderId="52" xfId="0" applyFont="1" applyBorder="1" applyAlignment="1">
      <alignment horizontal="left" vertical="top" wrapText="1"/>
    </xf>
    <xf numFmtId="0" fontId="12" fillId="0" borderId="53" xfId="0" applyFont="1" applyBorder="1" applyAlignment="1">
      <alignment horizontal="left" vertical="top" wrapText="1"/>
    </xf>
    <xf numFmtId="0" fontId="52" fillId="0" borderId="75" xfId="0" applyFont="1" applyBorder="1" applyAlignment="1">
      <alignment horizontal="left" vertical="top" wrapText="1"/>
    </xf>
    <xf numFmtId="0" fontId="12" fillId="0" borderId="76" xfId="0" applyFont="1" applyBorder="1" applyAlignment="1">
      <alignment horizontal="left" vertical="top" wrapText="1"/>
    </xf>
    <xf numFmtId="0" fontId="18" fillId="3" borderId="45" xfId="0" applyFont="1" applyFill="1" applyBorder="1" applyAlignment="1">
      <alignment horizontal="left" vertical="center"/>
    </xf>
    <xf numFmtId="0" fontId="18" fillId="3" borderId="37" xfId="0" applyFont="1" applyFill="1" applyBorder="1" applyAlignment="1">
      <alignment horizontal="left" vertical="center"/>
    </xf>
    <xf numFmtId="0" fontId="18" fillId="5" borderId="45" xfId="0" applyFont="1" applyFill="1" applyBorder="1" applyAlignment="1">
      <alignment horizontal="left"/>
    </xf>
    <xf numFmtId="0" fontId="18" fillId="5" borderId="37" xfId="0" applyFont="1" applyFill="1" applyBorder="1" applyAlignment="1">
      <alignment horizontal="left"/>
    </xf>
    <xf numFmtId="0" fontId="18" fillId="7" borderId="45" xfId="0" applyFont="1" applyFill="1" applyBorder="1" applyAlignment="1">
      <alignment vertical="center"/>
    </xf>
    <xf numFmtId="0" fontId="18" fillId="7" borderId="37" xfId="0" applyFont="1" applyFill="1" applyBorder="1" applyAlignment="1">
      <alignment vertical="center"/>
    </xf>
    <xf numFmtId="1" fontId="18" fillId="15" borderId="45" xfId="0" applyNumberFormat="1" applyFont="1" applyFill="1" applyBorder="1" applyAlignment="1">
      <alignment horizontal="left" vertical="center" wrapText="1"/>
    </xf>
    <xf numFmtId="1" fontId="18" fillId="15" borderId="37" xfId="0" applyNumberFormat="1" applyFont="1" applyFill="1" applyBorder="1" applyAlignment="1">
      <alignment horizontal="left" vertical="center" wrapText="1"/>
    </xf>
    <xf numFmtId="0" fontId="20" fillId="0" borderId="19" xfId="0" applyFont="1" applyBorder="1" applyAlignment="1">
      <alignment horizontal="left" vertical="top"/>
    </xf>
    <xf numFmtId="0" fontId="20" fillId="0" borderId="20" xfId="0" applyFont="1" applyBorder="1" applyAlignment="1">
      <alignment horizontal="left" vertical="top"/>
    </xf>
    <xf numFmtId="0" fontId="2" fillId="2" borderId="7"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8" fillId="0" borderId="16"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2" fillId="2" borderId="22"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17" fillId="55" borderId="78" xfId="0" applyFont="1" applyFill="1" applyBorder="1" applyAlignment="1">
      <alignment horizontal="center" vertical="center"/>
    </xf>
    <xf numFmtId="0" fontId="17" fillId="55" borderId="0" xfId="0" applyFont="1" applyFill="1" applyAlignment="1">
      <alignment horizontal="center" vertical="center"/>
    </xf>
    <xf numFmtId="0" fontId="3" fillId="0" borderId="16" xfId="0" applyFont="1" applyBorder="1" applyAlignment="1">
      <alignment horizontal="left" vertical="top" wrapText="1"/>
    </xf>
    <xf numFmtId="0" fontId="12" fillId="0" borderId="17" xfId="0" applyFont="1" applyBorder="1" applyAlignment="1">
      <alignment horizontal="left" vertical="top" wrapText="1"/>
    </xf>
    <xf numFmtId="0" fontId="20" fillId="12" borderId="14" xfId="0" applyFont="1" applyFill="1" applyBorder="1" applyAlignment="1">
      <alignment horizontal="left"/>
    </xf>
    <xf numFmtId="0" fontId="20" fillId="12" borderId="26" xfId="0" applyFont="1" applyFill="1" applyBorder="1" applyAlignment="1">
      <alignment horizontal="left"/>
    </xf>
    <xf numFmtId="0" fontId="20" fillId="12" borderId="49" xfId="0" applyFont="1" applyFill="1" applyBorder="1" applyAlignment="1">
      <alignment horizontal="left"/>
    </xf>
    <xf numFmtId="0" fontId="20" fillId="12" borderId="50" xfId="0" applyFont="1" applyFill="1" applyBorder="1" applyAlignment="1">
      <alignment horizontal="left"/>
    </xf>
    <xf numFmtId="0" fontId="17" fillId="55" borderId="11" xfId="0" applyFont="1" applyFill="1" applyBorder="1" applyAlignment="1">
      <alignment horizontal="center" vertical="center"/>
    </xf>
    <xf numFmtId="0" fontId="17" fillId="55" borderId="12" xfId="0" applyFont="1" applyFill="1" applyBorder="1" applyAlignment="1">
      <alignment horizontal="center" vertical="center"/>
    </xf>
    <xf numFmtId="0" fontId="17" fillId="55" borderId="13" xfId="0" applyFont="1" applyFill="1" applyBorder="1" applyAlignment="1">
      <alignment horizontal="center" vertical="center"/>
    </xf>
    <xf numFmtId="0" fontId="49" fillId="0" borderId="0" xfId="0" applyFont="1" applyAlignment="1">
      <alignment horizontal="left"/>
    </xf>
    <xf numFmtId="0" fontId="3" fillId="3" borderId="8" xfId="0" applyFont="1" applyFill="1" applyBorder="1" applyAlignment="1">
      <alignment vertical="center" wrapText="1"/>
    </xf>
    <xf numFmtId="0" fontId="3" fillId="3" borderId="43" xfId="0" applyFont="1" applyFill="1" applyBorder="1" applyAlignment="1">
      <alignment vertical="center" wrapText="1"/>
    </xf>
    <xf numFmtId="0" fontId="3" fillId="3" borderId="4" xfId="0" applyFont="1" applyFill="1" applyBorder="1" applyAlignment="1">
      <alignment vertical="center" wrapText="1"/>
    </xf>
    <xf numFmtId="0" fontId="3" fillId="3" borderId="43" xfId="0" applyFont="1" applyFill="1" applyBorder="1" applyAlignment="1">
      <alignment horizontal="left" vertical="center" wrapText="1"/>
    </xf>
    <xf numFmtId="0" fontId="3" fillId="3" borderId="4" xfId="0" applyFont="1" applyFill="1" applyBorder="1" applyAlignment="1">
      <alignment horizontal="left" vertical="center" wrapText="1"/>
    </xf>
    <xf numFmtId="0" fontId="8" fillId="0" borderId="0" xfId="0" applyFont="1" applyAlignment="1">
      <alignment horizontal="left" vertical="center" wrapText="1"/>
    </xf>
    <xf numFmtId="0" fontId="31" fillId="12" borderId="0" xfId="0" applyFont="1" applyFill="1" applyAlignment="1">
      <alignment horizontal="left" vertical="top" wrapText="1"/>
    </xf>
    <xf numFmtId="0" fontId="33" fillId="3" borderId="8" xfId="10" applyFill="1" applyBorder="1" applyAlignment="1">
      <alignment vertical="center" wrapText="1"/>
    </xf>
    <xf numFmtId="0" fontId="33" fillId="3" borderId="43" xfId="10" applyFill="1" applyBorder="1" applyAlignment="1">
      <alignment vertical="center" wrapText="1"/>
    </xf>
    <xf numFmtId="0" fontId="33" fillId="3" borderId="4" xfId="10" applyFill="1" applyBorder="1" applyAlignment="1">
      <alignment vertical="center" wrapText="1"/>
    </xf>
    <xf numFmtId="0" fontId="14" fillId="12" borderId="21" xfId="0" applyFont="1" applyFill="1" applyBorder="1" applyAlignment="1">
      <alignment horizontal="left" vertical="top" wrapText="1"/>
    </xf>
    <xf numFmtId="0" fontId="14" fillId="12" borderId="0" xfId="0" applyFont="1" applyFill="1" applyAlignment="1">
      <alignment horizontal="left" vertical="top" wrapText="1"/>
    </xf>
    <xf numFmtId="0" fontId="12" fillId="12" borderId="0" xfId="0" applyFont="1" applyFill="1" applyAlignment="1">
      <alignment horizontal="left" vertical="top" wrapText="1"/>
    </xf>
    <xf numFmtId="0" fontId="31" fillId="12" borderId="0" xfId="0" applyFont="1" applyFill="1" applyAlignment="1">
      <alignment horizontal="left" wrapText="1"/>
    </xf>
  </cellXfs>
  <cellStyles count="66">
    <cellStyle name="20% - Accent1" xfId="17" builtinId="30" customBuiltin="1"/>
    <cellStyle name="20% - Accent2" xfId="21" builtinId="34" customBuiltin="1"/>
    <cellStyle name="20% - Accent3" xfId="25" builtinId="38" customBuiltin="1"/>
    <cellStyle name="20% - Accent4" xfId="29" builtinId="42" customBuiltin="1"/>
    <cellStyle name="20% - Accent5" xfId="33" builtinId="46" customBuiltin="1"/>
    <cellStyle name="20% - Accent6" xfId="37" builtinId="50" customBuiltin="1"/>
    <cellStyle name="40% - Accent1" xfId="18" builtinId="31" customBuiltin="1"/>
    <cellStyle name="40% - Accent2" xfId="22" builtinId="35" customBuiltin="1"/>
    <cellStyle name="40% - Accent3" xfId="26" builtinId="39" customBuiltin="1"/>
    <cellStyle name="40% - Accent4" xfId="30" builtinId="43" customBuiltin="1"/>
    <cellStyle name="40% - Accent5" xfId="34" builtinId="47" customBuiltin="1"/>
    <cellStyle name="40% - Accent6" xfId="38" builtinId="51" customBuiltin="1"/>
    <cellStyle name="60% - Accent1" xfId="19" builtinId="32" customBuiltin="1"/>
    <cellStyle name="60% - Accent2" xfId="23" builtinId="36" customBuiltin="1"/>
    <cellStyle name="60% - Accent3" xfId="27" builtinId="40" customBuiltin="1"/>
    <cellStyle name="60% - Accent4" xfId="31" builtinId="44" customBuiltin="1"/>
    <cellStyle name="60% - Accent5" xfId="35" builtinId="48" customBuiltin="1"/>
    <cellStyle name="60% - Accent6" xfId="39" builtinId="52" customBuiltin="1"/>
    <cellStyle name="Accent1" xfId="16" builtinId="29" customBuiltin="1"/>
    <cellStyle name="Accent2" xfId="20" builtinId="33" customBuiltin="1"/>
    <cellStyle name="Accent3" xfId="24" builtinId="37" customBuiltin="1"/>
    <cellStyle name="Accent4" xfId="28" builtinId="41" customBuiltin="1"/>
    <cellStyle name="Accent5" xfId="32" builtinId="45" customBuiltin="1"/>
    <cellStyle name="Accent6" xfId="36" builtinId="49" customBuiltin="1"/>
    <cellStyle name="Bad" xfId="13" builtinId="27" customBuiltin="1"/>
    <cellStyle name="Calculation 2" xfId="41" xr:uid="{98DB768E-EE81-4D4E-9E42-7B4668F4B34C}"/>
    <cellStyle name="Calculation 3" xfId="40" xr:uid="{6847C07E-56BF-4696-999C-5A2A3A0B4B27}"/>
    <cellStyle name="Check Cell" xfId="15" builtinId="23" customBuiltin="1"/>
    <cellStyle name="Comma" xfId="3" builtinId="3"/>
    <cellStyle name="Comma 2" xfId="7" xr:uid="{00000000-0005-0000-0000-000001000000}"/>
    <cellStyle name="Comma 2 2" xfId="43" xr:uid="{FB3494EE-AEB8-4B9E-B213-D385815B75CA}"/>
    <cellStyle name="Comma 2 2 2" xfId="62" xr:uid="{2CE0F312-E076-48EF-AB8C-1ABF28346A06}"/>
    <cellStyle name="Comma 2 3" xfId="55" xr:uid="{F27A9DDC-3FB2-489E-A6D8-68CAAF7DEBE5}"/>
    <cellStyle name="Comma 2 3 2" xfId="63" xr:uid="{67069500-9B74-470F-A892-CE1B051D28B5}"/>
    <cellStyle name="Comma 2 4" xfId="56" xr:uid="{AF4DF22D-7883-4F34-8D8D-08D38A8AC477}"/>
    <cellStyle name="Comma 2 4 2" xfId="64" xr:uid="{1330F815-919F-4BD8-A4EE-837BF37A5FCA}"/>
    <cellStyle name="Comma 2 5" xfId="59" xr:uid="{215DF10A-A9D8-4266-AB0F-ECBE9BBE30C8}"/>
    <cellStyle name="Comma 2 6" xfId="65" xr:uid="{9732FC91-D5F9-40E2-AFC0-238AD39CE220}"/>
    <cellStyle name="Comma 3" xfId="42" xr:uid="{5CA42CEF-5220-4362-87EA-4B1221EE5EEE}"/>
    <cellStyle name="Comma 3 2" xfId="61" xr:uid="{8CBE1463-95B7-426E-AA09-328518B5F701}"/>
    <cellStyle name="Comma 3 4" xfId="9" xr:uid="{00000000-0005-0000-0000-000002000000}"/>
    <cellStyle name="Comma 3 4 2" xfId="60" xr:uid="{37D894FE-341D-481B-84DB-6C0FE94098AA}"/>
    <cellStyle name="Comma 4" xfId="57" xr:uid="{72B88C68-BA45-4E4F-A8D2-17BD0C50CC6A}"/>
    <cellStyle name="Currency 2" xfId="6" xr:uid="{00000000-0005-0000-0000-000003000000}"/>
    <cellStyle name="Currency 2 2" xfId="58" xr:uid="{06A8C101-06BB-48B8-8718-03F67186ABB9}"/>
    <cellStyle name="Explanatory Text 2" xfId="44" xr:uid="{322823DF-C0E5-46B4-A9B3-8864C4A3EEF6}"/>
    <cellStyle name="Followed Hyperlink 2" xfId="45" xr:uid="{501F25EE-B867-4599-9845-A21B4B68FAAF}"/>
    <cellStyle name="Good" xfId="12" builtinId="26" customBuiltin="1"/>
    <cellStyle name="Hyperlink" xfId="10" builtinId="8"/>
    <cellStyle name="Hyperlink 2" xfId="5" xr:uid="{00000000-0005-0000-0000-000004000000}"/>
    <cellStyle name="Hyperlink 3" xfId="8" xr:uid="{00000000-0005-0000-0000-000005000000}"/>
    <cellStyle name="Input 2" xfId="46" xr:uid="{52EB0932-F7F0-4DE6-83CC-B006CEAFE712}"/>
    <cellStyle name="Input data" xfId="47" xr:uid="{D095E434-C0CC-407E-B2FE-982CE0168E5B}"/>
    <cellStyle name="Linked Cell 2" xfId="48" xr:uid="{4BBDCEE4-F2DA-4927-A115-2203AC357684}"/>
    <cellStyle name="Neutral" xfId="14" builtinId="28" customBuiltin="1"/>
    <cellStyle name="Normal" xfId="0" builtinId="0"/>
    <cellStyle name="Normal 2" xfId="2" xr:uid="{00000000-0005-0000-0000-000007000000}"/>
    <cellStyle name="Normal 2 2" xfId="4" xr:uid="{00000000-0005-0000-0000-000008000000}"/>
    <cellStyle name="Normal 2 2 2" xfId="49" xr:uid="{22788DEC-FFDF-48B7-9D3E-FBB6F0F83278}"/>
    <cellStyle name="Note 2" xfId="50" xr:uid="{D311C217-CC2E-4404-8E2B-310C4350D832}"/>
    <cellStyle name="Output 2" xfId="51" xr:uid="{851BAE96-6D43-439E-B977-D45F4BA37697}"/>
    <cellStyle name="Percent" xfId="1" builtinId="5"/>
    <cellStyle name="Percent 2" xfId="52" xr:uid="{ACDC07C5-3B24-4388-A9BB-0D8E425A3F44}"/>
    <cellStyle name="Selection" xfId="53" xr:uid="{F4793A2C-6B3E-49D8-86C3-92EBBEA76192}"/>
    <cellStyle name="Title" xfId="11" builtinId="15" customBuiltin="1"/>
    <cellStyle name="Warning Text 2" xfId="54" xr:uid="{9CDE6EA5-CD1D-4AC7-8208-C3289544CC15}"/>
  </cellStyles>
  <dxfs count="1155">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strike val="0"/>
        <color theme="6"/>
      </font>
      <fill>
        <patternFill patternType="solid">
          <bgColor theme="3"/>
        </patternFill>
      </fill>
      <border>
        <left/>
        <right/>
        <top/>
        <bottom/>
      </border>
    </dxf>
    <dxf>
      <font>
        <color theme="8"/>
      </font>
      <fill>
        <patternFill>
          <bgColor theme="8" tint="0.79998168889431442"/>
        </patternFill>
      </fill>
    </dxf>
    <dxf>
      <font>
        <color theme="8"/>
      </font>
      <fill>
        <patternFill>
          <bgColor theme="8" tint="0.79998168889431442"/>
        </patternFill>
      </fill>
    </dxf>
    <dxf>
      <font>
        <strike val="0"/>
        <color theme="6"/>
      </font>
      <fill>
        <patternFill patternType="solid">
          <bgColor theme="3"/>
        </patternFill>
      </fill>
      <border>
        <left/>
        <right/>
        <top/>
        <bottom/>
      </border>
    </dxf>
    <dxf>
      <font>
        <color rgb="FFFF0000"/>
      </font>
      <fill>
        <patternFill>
          <bgColor rgb="FFFFCCCC"/>
        </patternFill>
      </fill>
    </dxf>
    <dxf>
      <font>
        <color rgb="FFFF0000"/>
      </font>
      <fill>
        <patternFill>
          <bgColor rgb="FFFFCCCC"/>
        </patternFill>
      </fill>
    </dxf>
    <dxf>
      <font>
        <color rgb="FF9C0006"/>
      </font>
      <fill>
        <patternFill>
          <bgColor rgb="FFFFC7CE"/>
        </patternFill>
      </fill>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strike val="0"/>
        <color theme="6"/>
      </font>
      <fill>
        <patternFill patternType="solid">
          <bgColor theme="3"/>
        </patternFill>
      </fill>
      <border>
        <left/>
        <right/>
        <top/>
        <bottom/>
      </border>
    </dxf>
    <dxf>
      <font>
        <b/>
        <i val="0"/>
        <color rgb="FFC00000"/>
      </font>
      <fill>
        <patternFill>
          <bgColor rgb="FFFFC7CE"/>
        </patternFill>
      </fill>
    </dxf>
    <dxf>
      <font>
        <b/>
        <i val="0"/>
        <color theme="9" tint="-0.499984740745262"/>
      </font>
      <fill>
        <patternFill>
          <bgColor theme="9" tint="0.79998168889431442"/>
        </patternFill>
      </fill>
    </dxf>
    <dxf>
      <font>
        <b/>
        <i val="0"/>
      </font>
      <fill>
        <patternFill>
          <bgColor theme="6" tint="0.39994506668294322"/>
        </patternFill>
      </fill>
    </dxf>
    <dxf>
      <font>
        <color rgb="FFFF0000"/>
      </font>
      <fill>
        <patternFill>
          <bgColor rgb="FFFFCCCC"/>
        </patternFill>
      </fill>
    </dxf>
    <dxf>
      <font>
        <color rgb="FFFF0000"/>
      </font>
      <fill>
        <patternFill>
          <bgColor rgb="FFFFCCCC"/>
        </patternFill>
      </fill>
    </dxf>
    <dxf>
      <fill>
        <patternFill>
          <bgColor theme="0" tint="-0.34998626667073579"/>
        </patternFill>
      </fill>
    </dxf>
    <dxf>
      <font>
        <color rgb="FFFF0000"/>
      </font>
      <fill>
        <patternFill>
          <bgColor rgb="FFFFCCCC"/>
        </patternFill>
      </fill>
    </dxf>
    <dxf>
      <font>
        <color theme="8"/>
      </font>
      <fill>
        <patternFill>
          <bgColor theme="8" tint="0.79998168889431442"/>
        </patternFill>
      </fill>
    </dxf>
    <dxf>
      <font>
        <strike val="0"/>
        <color theme="6"/>
      </font>
      <fill>
        <patternFill patternType="solid">
          <bgColor theme="3"/>
        </patternFill>
      </fill>
      <border>
        <left/>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theme="5" tint="-0.499984740745262"/>
        </left>
        <right style="thin">
          <color theme="5" tint="-0.499984740745262"/>
        </right>
        <top style="thin">
          <color theme="5" tint="-0.499984740745262"/>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theme="5" tint="-0.499984740745262"/>
        </left>
        <right style="thin">
          <color theme="5" tint="-0.499984740745262"/>
        </right>
        <top style="thin">
          <color theme="5" tint="-0.499984740745262"/>
        </top>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2"/>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top style="thin">
          <color theme="1" tint="0.34998626667073579"/>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166" formatCode="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border>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outline="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0"/>
        <color auto="1"/>
        <name val="Calibri"/>
        <scheme val="minor"/>
      </font>
      <fill>
        <patternFill patternType="solid">
          <fgColor indexed="64"/>
          <bgColor rgb="FFF2F2F2"/>
        </patternFill>
      </fill>
      <alignment horizontal="general" vertical="center" textRotation="0" wrapText="1" indent="0" justifyLastLine="0" shrinkToFit="0" readingOrder="0"/>
      <border diagonalUp="0" diagonalDown="0" outline="0">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rgb="FFA6A6A6"/>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14"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168" formatCode="#,##0_ ;\-#,##0\ "/>
      <fill>
        <patternFill patternType="solid">
          <fgColor indexed="64"/>
          <bgColor rgb="FF70DBFC"/>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13" formatCode="0%"/>
      <fill>
        <patternFill patternType="solid">
          <fgColor indexed="64"/>
          <bgColor rgb="FFA6A6A6"/>
        </patternFill>
      </fill>
      <alignment horizontal="center" vertical="bottom" textRotation="0" wrapText="0" indent="0" justifyLastLine="0" shrinkToFit="0" readingOrder="0"/>
      <border diagonalUp="0" diagonalDown="0"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vertical/>
        <horizontal/>
      </border>
      <protection locked="0" hidden="0"/>
    </dxf>
    <dxf>
      <border outline="0">
        <top style="medium">
          <color rgb="FFFFFFFF"/>
        </top>
      </border>
    </dxf>
    <dxf>
      <border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fill>
        <patternFill patternType="solid">
          <fgColor indexed="64"/>
          <bgColor rgb="FF70DBFC"/>
        </patternFill>
      </fill>
      <alignment horizontal="general" vertical="center" textRotation="0" wrapText="1" indent="0" justifyLastLine="0" shrinkToFit="0" readingOrder="0"/>
    </dxf>
    <dxf>
      <border outline="0">
        <bottom style="medium">
          <color rgb="FFFFFFFF"/>
        </bottom>
      </border>
    </dxf>
    <dxf>
      <font>
        <b/>
        <i val="0"/>
        <strike val="0"/>
        <condense val="0"/>
        <extend val="0"/>
        <outline val="0"/>
        <shadow val="0"/>
        <u val="none"/>
        <vertAlign val="baseline"/>
        <sz val="11"/>
        <color rgb="FFFFFFFF"/>
        <name val="Calibri"/>
        <scheme val="minor"/>
      </font>
      <fill>
        <patternFill patternType="solid">
          <fgColor indexed="64"/>
          <bgColor rgb="FF0599C7"/>
        </patternFill>
      </fill>
      <alignment horizontal="center" vertical="center" textRotation="0" wrapText="1" indent="0" justifyLastLine="0" shrinkToFit="0" readingOrder="0"/>
      <border diagonalUp="0" diagonalDown="0" outline="0">
        <left style="medium">
          <color rgb="FFFFFFFF"/>
        </left>
        <right style="medium">
          <color rgb="FFFFFFFF"/>
        </right>
        <top/>
        <bottom/>
      </border>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0"/>
        <color auto="1"/>
        <name val="Calibri"/>
        <scheme val="minor"/>
      </font>
      <fill>
        <patternFill patternType="solid">
          <fgColor indexed="64"/>
          <bgColor rgb="FFF2F2F2"/>
        </patternFill>
      </fill>
      <alignment horizontal="general" vertical="center" textRotation="0" wrapText="1" indent="0" justifyLastLine="0" shrinkToFit="0" readingOrder="0"/>
      <border diagonalUp="0" diagonalDown="0" outline="0">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A6A6A6"/>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0"/>
        <color auto="1"/>
        <name val="Calibri"/>
        <family val="2"/>
        <scheme val="minor"/>
      </font>
      <numFmt numFmtId="164" formatCode="_-* #,##0_-;\-* #,##0_-;_-* &quot;-&quot;??_-;_-@_-"/>
      <fill>
        <patternFill patternType="darkUp">
          <fgColor indexed="64"/>
          <bgColor rgb="FFF2F2F2"/>
        </patternFill>
      </fill>
      <alignment horizontal="general" vertical="center" textRotation="0" wrapText="1" indent="0" justifyLastLine="0" shrinkToFit="0" readingOrder="0"/>
      <border diagonalUp="0" diagonalDown="0">
        <left style="medium">
          <color rgb="FFFFFFFF"/>
        </left>
        <right style="medium">
          <color rgb="FFFFFFFF"/>
        </right>
        <top/>
        <bottom style="medium">
          <color rgb="FFFFFFFF"/>
        </bottom>
        <vertical/>
        <horizontal/>
      </border>
      <protection locked="0" hidden="0"/>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scheme val="minor"/>
      </font>
      <numFmt numFmtId="13" formatCode="0%"/>
      <fill>
        <patternFill patternType="solid">
          <fgColor indexed="64"/>
          <bgColor rgb="FFA6A6A6"/>
        </patternFill>
      </fill>
      <alignment horizontal="center" vertical="bottom" textRotation="0" wrapText="0" indent="0" justifyLastLine="0" shrinkToFit="0" readingOrder="0"/>
      <border diagonalUp="0" diagonalDown="0"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border diagonalUp="0" diagonalDown="0" outline="0">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general" vertical="center" textRotation="0" wrapText="1" indent="0" justifyLastLine="0" shrinkToFit="0" readingOrder="0"/>
      <border diagonalUp="0" diagonalDown="0" outline="0">
        <left style="medium">
          <color rgb="FFFFFFFF"/>
        </left>
        <right/>
        <top style="medium">
          <color rgb="FFFFFFFF"/>
        </top>
        <bottom style="medium">
          <color rgb="FFFFFFFF"/>
        </bottom>
      </border>
      <protection locked="0" hidden="0"/>
    </dxf>
    <dxf>
      <border outline="0">
        <top style="medium">
          <color rgb="FFFFFFFF"/>
        </top>
      </border>
    </dxf>
    <dxf>
      <border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fill>
        <patternFill patternType="solid">
          <fgColor indexed="64"/>
          <bgColor rgb="FF70DBFC"/>
        </patternFill>
      </fill>
      <alignment horizontal="general" vertical="center" textRotation="0" wrapText="1" indent="0" justifyLastLine="0" shrinkToFit="0" readingOrder="0"/>
    </dxf>
    <dxf>
      <border outline="0">
        <bottom style="medium">
          <color rgb="FFFFFFFF"/>
        </bottom>
      </border>
    </dxf>
    <dxf>
      <font>
        <b/>
        <i val="0"/>
        <strike val="0"/>
        <condense val="0"/>
        <extend val="0"/>
        <outline val="0"/>
        <shadow val="0"/>
        <u val="none"/>
        <vertAlign val="baseline"/>
        <sz val="11"/>
        <color rgb="FFFFFFFF"/>
        <name val="Calibri"/>
        <scheme val="minor"/>
      </font>
      <fill>
        <patternFill patternType="solid">
          <fgColor indexed="64"/>
          <bgColor rgb="FF0599C7"/>
        </patternFill>
      </fill>
      <alignment horizontal="center" vertical="center" textRotation="0" wrapText="1" indent="0" justifyLastLine="0" shrinkToFit="0" readingOrder="0"/>
      <border diagonalUp="0" diagonalDown="0" outline="0">
        <left style="medium">
          <color rgb="FFFFFFFF"/>
        </left>
        <right style="medium">
          <color rgb="FFFFFFFF"/>
        </right>
        <top/>
        <bottom/>
      </border>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0"/>
        <color auto="1"/>
        <name val="Calibri"/>
        <scheme val="minor"/>
      </font>
      <fill>
        <patternFill patternType="solid">
          <fgColor indexed="64"/>
          <bgColor rgb="FFF2F2F2"/>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border diagonalUp="0" diagonalDown="0"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numFmt numFmtId="164" formatCode="_-* #,##0_-;\-* #,##0_-;_-* &quot;-&quot;??_-;_-@_-"/>
      <fill>
        <patternFill patternType="solid">
          <fgColor indexed="64"/>
          <bgColor theme="2" tint="-0.249977111117893"/>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right style="medium">
          <color rgb="FFFFFFFF"/>
        </right>
        <top style="medium">
          <color rgb="FFFFFFFF"/>
        </top>
        <bottom style="medium">
          <color rgb="FFFFFFFF"/>
        </bottom>
      </border>
      <protection locked="0" hidden="0"/>
    </dxf>
    <dxf>
      <border outline="0">
        <top style="medium">
          <color rgb="FFFFFFFF"/>
        </top>
      </border>
    </dxf>
    <dxf>
      <border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fill>
        <patternFill patternType="solid">
          <fgColor indexed="64"/>
          <bgColor rgb="FF70DBFC"/>
        </patternFill>
      </fill>
      <alignment horizontal="general" vertical="center" textRotation="0" wrapText="1" indent="0" justifyLastLine="0" shrinkToFit="0" readingOrder="0"/>
    </dxf>
    <dxf>
      <border outline="0">
        <bottom style="medium">
          <color rgb="FFFFFFFF"/>
        </bottom>
      </border>
    </dxf>
    <dxf>
      <font>
        <b/>
        <i val="0"/>
        <strike val="0"/>
        <condense val="0"/>
        <extend val="0"/>
        <outline val="0"/>
        <shadow val="0"/>
        <u val="none"/>
        <vertAlign val="baseline"/>
        <sz val="11"/>
        <color rgb="FFFFFFFF"/>
        <name val="Calibri"/>
        <scheme val="minor"/>
      </font>
      <fill>
        <patternFill patternType="solid">
          <fgColor indexed="64"/>
          <bgColor rgb="FF0599C7"/>
        </patternFill>
      </fill>
      <alignment horizontal="center" vertical="center" textRotation="0" wrapText="1" indent="0" justifyLastLine="0" shrinkToFit="0" readingOrder="0"/>
      <border diagonalUp="0" diagonalDown="0" outline="0">
        <left style="medium">
          <color rgb="FFFFFFFF"/>
        </left>
        <right style="medium">
          <color rgb="FFFFFFFF"/>
        </right>
        <top/>
        <bottom/>
      </border>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0"/>
        <color auto="1"/>
        <name val="Calibri"/>
        <scheme val="minor"/>
      </font>
      <fill>
        <patternFill patternType="solid">
          <fgColor indexed="64"/>
          <bgColor rgb="FFF2F2F2"/>
        </patternFill>
      </fill>
      <alignment horizontal="general" vertical="center" textRotation="0" wrapText="1" indent="0" justifyLastLine="0" shrinkToFit="0" readingOrder="0"/>
      <border diagonalUp="0" diagonalDown="0" outline="0">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numFmt numFmtId="2" formatCode="0.00"/>
      <fill>
        <patternFill patternType="solid">
          <fgColor indexed="64"/>
          <bgColor rgb="FFA6A6A6"/>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numFmt numFmtId="164" formatCode="_-* #,##0_-;\-* #,##0_-;_-* &quot;-&quot;??_-;_-@_-"/>
      <fill>
        <patternFill patternType="solid">
          <fgColor indexed="64"/>
          <bgColor rgb="FF70DBFC"/>
        </patternFill>
      </fill>
      <alignment horizontal="general" vertical="center" textRotation="0" wrapText="1" indent="0" justifyLastLine="0" shrinkToFit="0" readingOrder="0"/>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scheme val="minor"/>
      </font>
      <numFmt numFmtId="13" formatCode="0%"/>
      <fill>
        <patternFill patternType="solid">
          <fgColor indexed="64"/>
          <bgColor rgb="FFA6A6A6"/>
        </patternFill>
      </fill>
      <alignment horizontal="center" vertical="bottom" textRotation="0" wrapText="0" indent="0" justifyLastLine="0" shrinkToFit="0" readingOrder="0"/>
      <border diagonalUp="0" diagonalDown="0"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border diagonalUp="0" diagonalDown="0" outline="0">
        <left style="medium">
          <color rgb="FFFFFFFF"/>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border diagonalUp="0" diagonalDown="0" outline="0">
        <left/>
        <right style="medium">
          <color rgb="FFFFFFFF"/>
        </right>
        <top style="medium">
          <color rgb="FFFFFFFF"/>
        </top>
        <bottom style="medium">
          <color rgb="FFFFFFFF"/>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general" vertical="center" textRotation="0" wrapText="1" indent="0" justifyLastLine="0" shrinkToFit="0" readingOrder="0"/>
      <border diagonalUp="0" diagonalDown="0" outline="0">
        <left style="medium">
          <color rgb="FFFFFFFF"/>
        </left>
        <right/>
        <top style="medium">
          <color rgb="FFFFFFFF"/>
        </top>
        <bottom style="medium">
          <color rgb="FFFFFFFF"/>
        </bottom>
      </border>
      <protection locked="0" hidden="0"/>
    </dxf>
    <dxf>
      <border outline="0">
        <top style="medium">
          <color rgb="FFFFFFFF"/>
        </top>
      </border>
    </dxf>
    <dxf>
      <border outline="0">
        <left style="medium">
          <color rgb="FFFFFFFF"/>
        </left>
        <right style="medium">
          <color rgb="FFFFFFFF"/>
        </right>
        <top style="medium">
          <color rgb="FFFFFFFF"/>
        </top>
        <bottom style="medium">
          <color rgb="FFFFFFFF"/>
        </bottom>
      </border>
    </dxf>
    <dxf>
      <font>
        <b val="0"/>
        <i val="0"/>
        <strike val="0"/>
        <condense val="0"/>
        <extend val="0"/>
        <outline val="0"/>
        <shadow val="0"/>
        <u val="none"/>
        <vertAlign val="baseline"/>
        <sz val="11"/>
        <color auto="1"/>
        <name val="Calibri"/>
        <scheme val="minor"/>
      </font>
      <fill>
        <patternFill patternType="solid">
          <fgColor indexed="64"/>
          <bgColor rgb="FF70DBFC"/>
        </patternFill>
      </fill>
      <alignment horizontal="general" vertical="center" textRotation="0" wrapText="1" indent="0" justifyLastLine="0" shrinkToFit="0" readingOrder="0"/>
    </dxf>
    <dxf>
      <border outline="0">
        <bottom style="medium">
          <color rgb="FFFFFFFF"/>
        </bottom>
      </border>
    </dxf>
    <dxf>
      <font>
        <b/>
        <i val="0"/>
        <strike val="0"/>
        <condense val="0"/>
        <extend val="0"/>
        <outline val="0"/>
        <shadow val="0"/>
        <u val="none"/>
        <vertAlign val="baseline"/>
        <sz val="11"/>
        <color rgb="FFFFFFFF"/>
        <name val="Calibri"/>
        <scheme val="minor"/>
      </font>
      <fill>
        <patternFill patternType="solid">
          <fgColor indexed="64"/>
          <bgColor rgb="FF0599C7"/>
        </patternFill>
      </fill>
      <alignment horizontal="center" vertical="center" textRotation="0" wrapText="1" indent="0" justifyLastLine="0" shrinkToFit="0" readingOrder="0"/>
      <border diagonalUp="0" diagonalDown="0" outline="0">
        <left style="medium">
          <color rgb="FFFFFFFF"/>
        </left>
        <right style="medium">
          <color rgb="FFFFFFFF"/>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numFmt numFmtId="13" formatCode="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right style="thin">
          <color theme="1" tint="0.34998626667073579"/>
        </right>
        <top style="thin">
          <color theme="1" tint="0.34998626667073579"/>
        </top>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border outline="0">
        <bottom style="thin">
          <color theme="1" tint="0.34998626667073579"/>
        </bottom>
      </border>
    </dxf>
    <dxf>
      <font>
        <b/>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center" textRotation="0" wrapText="1" indent="0" justifyLastLine="0" shrinkToFit="0" readingOrder="0"/>
    </dxf>
    <dxf>
      <font>
        <name val="Arial"/>
        <family val="2"/>
        <scheme val="none"/>
      </font>
      <fill>
        <patternFill patternType="solid">
          <fgColor indexed="64"/>
          <bgColor theme="7"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bottom/>
        <vertical/>
        <horizontal/>
      </border>
      <protection locked="0" hidden="0"/>
    </dxf>
    <dxf>
      <font>
        <name val="Arial"/>
        <family val="2"/>
        <scheme val="none"/>
      </font>
      <fill>
        <patternFill patternType="solid">
          <fgColor indexed="64"/>
          <bgColor theme="5"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name val="Arial"/>
        <family val="2"/>
        <scheme val="none"/>
      </font>
      <fill>
        <patternFill patternType="solid">
          <fgColor indexed="64"/>
          <bgColor theme="5"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13" formatCode="0%"/>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name val="Arial"/>
        <family val="2"/>
        <scheme val="none"/>
      </font>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name val="Arial"/>
        <family val="2"/>
        <scheme val="none"/>
      </font>
      <numFmt numFmtId="3" formatCode="#,##0"/>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32" formatCode="_-&quot;£&quot;* #,##0_-;\-&quot;£&quot;* #,##0_-;_-&quot;£&quot;* &quot;-&quot;_-;_-@_-"/>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name val="Arial"/>
        <family val="2"/>
        <scheme val="none"/>
      </font>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name val="Arial"/>
        <family val="2"/>
        <scheme val="none"/>
      </font>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name val="Arial"/>
        <family val="2"/>
        <scheme val="none"/>
      </font>
      <fill>
        <patternFill patternType="solid">
          <fgColor indexed="64"/>
          <bgColor theme="6" tint="0.79998168889431442"/>
        </patternFill>
      </fill>
      <alignment horizontal="left"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font>
        <name val="Arial"/>
        <family val="2"/>
        <scheme val="none"/>
      </font>
      <fill>
        <patternFill patternType="solid">
          <fgColor indexed="64"/>
          <bgColor theme="6" tint="0.79998168889431442"/>
        </patternFill>
      </fill>
      <alignment horizontal="left" vertical="bottom" textRotation="0" wrapText="0" indent="0" justifyLastLine="0" shrinkToFit="0" readingOrder="0"/>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center"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right style="thin">
          <color theme="5" tint="-0.499984740745262"/>
        </right>
        <top style="thin">
          <color theme="5" tint="-0.499984740745262"/>
        </top>
        <bottom style="thin">
          <color theme="5" tint="-0.499984740745262"/>
        </bottom>
        <vertical/>
        <horizontal/>
      </border>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top"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right style="thin">
          <color theme="5" tint="-0.499984740745262"/>
        </right>
        <top style="thin">
          <color theme="5" tint="-0.499984740745262"/>
        </top>
        <bottom style="thin">
          <color theme="5" tint="-0.499984740745262"/>
        </bottom>
        <vertical/>
        <horizontal/>
      </border>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sz val="1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style="thin">
          <color theme="5" tint="-0.499984740745262"/>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center"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center" vertical="bottom" textRotation="0" wrapText="0" indent="0" justifyLastLine="0" shrinkToFit="0" readingOrder="0"/>
      <border diagonalUp="0" diagonalDown="0">
        <left style="thin">
          <color theme="5" tint="-0.499984740745262"/>
        </left>
        <right style="thin">
          <color theme="5" tint="-0.499984740745262"/>
        </right>
        <top style="thin">
          <color theme="5" tint="-0.499984740745262"/>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lightUp">
          <fgColor theme="0" tint="-0.499984740745262"/>
          <bgColor theme="2"/>
        </patternFill>
      </fill>
      <border diagonalUp="0" diagonalDown="0">
        <left/>
        <right style="thin">
          <color theme="5" tint="-0.499984740745262"/>
        </right>
        <top style="thin">
          <color theme="5" tint="-0.499984740745262"/>
        </top>
        <bottom style="thin">
          <color theme="5" tint="-0.499984740745262"/>
        </bottom>
        <vertical/>
        <horizontal/>
      </border>
    </dxf>
    <dxf>
      <border outline="0">
        <left style="thin">
          <color theme="5" tint="-0.499984740745262"/>
        </left>
        <bottom style="thin">
          <color theme="5" tint="-0.499984740745262"/>
        </bottom>
      </border>
    </dxf>
    <dxf>
      <font>
        <strike val="0"/>
        <outline val="0"/>
        <shadow val="0"/>
        <u val="none"/>
        <vertAlign val="baseline"/>
        <sz val="11"/>
        <color theme="0"/>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style="thin">
          <color theme="1" tint="0.34998626667073579"/>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horizontal style="thin">
          <color theme="1" tint="0.34998626667073579"/>
        </horizontal>
      </border>
    </dxf>
    <dxf>
      <font>
        <strike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horizontal style="thin">
          <color theme="1" tint="0.34998626667073579"/>
        </horizontal>
      </border>
    </dxf>
    <dxf>
      <border>
        <top style="thin">
          <color theme="1" tint="0.34998626667073579"/>
        </top>
      </border>
    </dxf>
    <dxf>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vertical/>
        <horizontal/>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right style="thin">
          <color theme="5" tint="-0.499984740745262"/>
        </right>
        <top style="thin">
          <color theme="5" tint="-0.499984740745262"/>
        </top>
        <bottom style="thin">
          <color theme="5" tint="-0.499984740745262"/>
        </bottom>
        <vertical/>
        <horizontal/>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top" textRotation="0" wrapText="1" indent="0" justifyLastLine="0" shrinkToFit="0" readingOrder="0"/>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strike val="0"/>
        <outline val="0"/>
        <shadow val="0"/>
        <u val="none"/>
        <vertAlign val="baseline"/>
        <name val="Arial"/>
        <family val="2"/>
        <scheme val="none"/>
      </font>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alignment horizontal="general" vertical="bottom" textRotation="0" wrapText="1" indent="0" justifyLastLine="0" shrinkToFit="0" readingOrder="0"/>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strike val="0"/>
        <outline val="0"/>
        <shadow val="0"/>
        <u val="none"/>
        <vertAlign val="baseline"/>
        <name val="Arial"/>
        <family val="2"/>
        <scheme val="none"/>
      </font>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top style="thin">
          <color theme="1" tint="0.34998626667073579"/>
        </top>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auto="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protection locked="0" hidden="0"/>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bottom" textRotation="0" wrapText="0" indent="0" justifyLastLine="0" shrinkToFit="0" readingOrder="0"/>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7"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outline="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strike val="0"/>
        <outline val="0"/>
        <shadow val="0"/>
        <u val="none"/>
        <vertAlign val="baseline"/>
        <name val="Arial"/>
        <family val="2"/>
        <scheme val="none"/>
      </font>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border diagonalUp="0" diagonalDown="0" outline="0">
        <left style="thin">
          <color theme="5" tint="-0.499984740745262"/>
        </left>
        <right style="thin">
          <color theme="5" tint="-0.499984740745262"/>
        </right>
        <top style="thin">
          <color theme="5" tint="-0.499984740745262"/>
        </top>
        <bottom style="thin">
          <color theme="5" tint="-0.499984740745262"/>
        </bottom>
      </border>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right style="thin">
          <color theme="5" tint="-0.499984740745262"/>
        </right>
        <top style="thin">
          <color theme="5" tint="-0.499984740745262"/>
        </top>
        <bottom style="thin">
          <color theme="5" tint="-0.499984740745262"/>
        </bottom>
      </border>
      <protection locked="0" hidden="0"/>
    </dxf>
    <dxf>
      <border outline="0">
        <top style="thin">
          <color theme="5" tint="-0.499984740745262"/>
        </top>
      </border>
    </dxf>
    <dxf>
      <border outline="0">
        <left style="thin">
          <color theme="5" tint="-0.499984740745262"/>
        </left>
        <right style="thin">
          <color theme="5" tint="-0.499984740745262"/>
        </right>
        <top style="thin">
          <color theme="5" tint="-0.499984740745262"/>
        </top>
        <bottom style="thin">
          <color theme="5" tint="-0.499984740745262"/>
        </bottom>
      </border>
    </dxf>
    <dxf>
      <font>
        <strike val="0"/>
        <outline val="0"/>
        <shadow val="0"/>
        <u val="none"/>
        <vertAlign val="baseline"/>
        <name val="Arial"/>
        <family val="2"/>
        <scheme val="none"/>
      </font>
    </dxf>
    <dxf>
      <border outline="0">
        <bottom style="thin">
          <color theme="5" tint="-0.499984740745262"/>
        </bottom>
      </border>
    </dxf>
    <dxf>
      <font>
        <b val="0"/>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bottom" textRotation="0" wrapText="1"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5" formatCode="0.000"/>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vertical/>
        <horizontal/>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strike val="0"/>
        <outline val="0"/>
        <shadow val="0"/>
        <u val="none"/>
        <vertAlign val="baseline"/>
        <name val="Arial"/>
        <family val="2"/>
        <scheme val="none"/>
      </font>
      <numFmt numFmtId="0" formatCode="General"/>
      <fill>
        <patternFill patternType="solid">
          <fgColor indexed="64"/>
          <bgColor theme="0" tint="-4.9989318521683403E-2"/>
        </patternFill>
      </fill>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border diagonalUp="0" diagonalDown="0">
        <left/>
        <right style="thin">
          <color theme="1" tint="0.34998626667073579"/>
        </right>
        <top style="thin">
          <color theme="1" tint="0.34998626667073579"/>
        </top>
        <bottom style="thin">
          <color theme="1" tint="0.34998626667073579"/>
        </bottom>
      </border>
    </dxf>
    <dxf>
      <border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border outline="0">
        <bottom style="thin">
          <color theme="1" tint="0.34998626667073579"/>
        </bottom>
      </border>
    </dxf>
    <dxf>
      <font>
        <b val="0"/>
        <i val="0"/>
        <strike val="0"/>
        <condense val="0"/>
        <extend val="0"/>
        <outline val="0"/>
        <shadow val="0"/>
        <u val="none"/>
        <vertAlign val="baseline"/>
        <sz val="11"/>
        <color theme="0"/>
        <name val="Arial"/>
        <family val="2"/>
        <scheme val="none"/>
      </font>
      <fill>
        <patternFill patternType="solid">
          <fgColor indexed="64"/>
          <bgColor theme="0" tint="-0.499984740745262"/>
        </patternFill>
      </fill>
      <alignment horizontal="general" vertical="bottom" textRotation="0" wrapText="1" indent="0" justifyLastLine="0" shrinkToFit="0" readingOrder="0"/>
      <border diagonalUp="0" diagonalDown="0" outline="0">
        <left style="thin">
          <color theme="1" tint="0.34998626667073579"/>
        </left>
        <right style="thin">
          <color theme="1" tint="0.34998626667073579"/>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7" tint="0.79998168889431442"/>
        </patternFill>
      </fill>
      <border diagonalUp="0" diagonalDown="0">
        <left style="thin">
          <color theme="5" tint="-0.499984740745262"/>
        </left>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style="thin">
          <color theme="5" tint="-0.499984740745262"/>
        </left>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border diagonalUp="0" diagonalDown="0">
        <left style="thin">
          <color theme="5" tint="-0.499984740745262"/>
        </left>
        <right/>
        <top style="thin">
          <color theme="5" tint="-0.499984740745262"/>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6" tint="0.79998168889431442"/>
        </patternFill>
      </fill>
      <border diagonalUp="0" diagonalDown="0">
        <left/>
        <right/>
        <top style="thin">
          <color theme="5" tint="-0.499984740745262"/>
        </top>
        <bottom/>
        <vertical/>
        <horizontal/>
      </border>
      <protection locked="0" hidden="0"/>
    </dxf>
    <dxf>
      <border outline="0">
        <left style="thin">
          <color theme="5" tint="-0.499984740745262"/>
        </left>
        <right style="thin">
          <color theme="5" tint="-0.499984740745262"/>
        </right>
        <top style="thin">
          <color theme="5" tint="-0.499984740745262"/>
        </top>
      </border>
    </dxf>
    <dxf>
      <protection locked="0" hidden="0"/>
    </dxf>
    <dxf>
      <font>
        <b/>
        <i val="0"/>
        <strike val="0"/>
        <condense val="0"/>
        <extend val="0"/>
        <outline val="0"/>
        <shadow val="0"/>
        <u val="none"/>
        <vertAlign val="baseline"/>
        <sz val="11"/>
        <color theme="0"/>
        <name val="Arial"/>
        <family val="2"/>
        <scheme val="none"/>
      </font>
      <fill>
        <patternFill patternType="solid">
          <fgColor indexed="64"/>
          <bgColor theme="5"/>
        </patternFill>
      </fill>
      <alignment horizontal="general" vertical="top" textRotation="0" wrapText="1" indent="0" justifyLastLine="0" shrinkToFit="0" readingOrder="0"/>
    </dxf>
    <dxf>
      <font>
        <strike val="0"/>
        <outline val="0"/>
        <shadow val="0"/>
        <u val="none"/>
        <vertAlign val="baseline"/>
        <sz val="11"/>
        <color theme="1"/>
        <name val="Calibri"/>
        <family val="2"/>
        <scheme val="minor"/>
      </font>
      <fill>
        <patternFill patternType="solid">
          <fgColor indexed="64"/>
          <bgColor rgb="FF70DBFC"/>
        </patternFill>
      </fill>
      <border diagonalUp="0" diagonalDown="0">
        <left/>
        <right/>
        <top style="medium">
          <color theme="0"/>
        </top>
        <bottom style="medium">
          <color theme="0"/>
        </bottom>
      </border>
      <protection locked="0" hidden="0"/>
    </dxf>
    <dxf>
      <fill>
        <patternFill patternType="solid">
          <fgColor indexed="64"/>
          <bgColor theme="5" tint="0.59999389629810485"/>
        </patternFill>
      </fill>
      <border diagonalUp="0" diagonalDown="0">
        <left/>
        <right/>
        <top style="medium">
          <color theme="0"/>
        </top>
        <bottom style="medium">
          <color theme="0"/>
        </bottom>
      </border>
      <protection locked="0" hidden="0"/>
    </dxf>
    <dxf>
      <fill>
        <patternFill patternType="solid">
          <fgColor indexed="64"/>
          <bgColor theme="5" tint="0.59999389629810485"/>
        </patternFill>
      </fill>
      <border diagonalUp="0" diagonalDown="0">
        <left/>
        <right style="medium">
          <color theme="0"/>
        </right>
        <top style="medium">
          <color theme="0"/>
        </top>
        <bottom style="medium">
          <color theme="0"/>
        </bottom>
        <vertical/>
        <horizontal/>
      </border>
      <protection locked="0" hidden="0"/>
    </dxf>
    <dxf>
      <fill>
        <patternFill patternType="solid">
          <fgColor indexed="64"/>
          <bgColor theme="5" tint="0.59999389629810485"/>
        </patternFill>
      </fill>
      <border diagonalUp="0" diagonalDown="0">
        <left/>
        <right style="medium">
          <color theme="0"/>
        </right>
        <top style="medium">
          <color theme="0"/>
        </top>
        <bottom style="medium">
          <color theme="0"/>
        </bottom>
        <vertical/>
        <horizontal/>
      </border>
      <protection locked="0" hidden="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5" tint="0.59999389629810485"/>
        </patternFill>
      </fill>
      <alignment horizontal="general" vertical="center" textRotation="0" wrapText="1" indent="0" justifyLastLine="0" shrinkToFit="0" readingOrder="0"/>
      <border diagonalUp="0" diagonalDown="0">
        <left/>
        <right style="medium">
          <color theme="0"/>
        </right>
        <top style="medium">
          <color theme="0"/>
        </top>
        <bottom style="medium">
          <color theme="0"/>
        </bottom>
        <vertical/>
        <horizontal/>
      </border>
      <protection locked="0" hidden="0"/>
    </dxf>
    <dxf>
      <border outline="0">
        <left style="medium">
          <color theme="0"/>
        </left>
        <right style="medium">
          <color theme="0"/>
        </right>
        <top style="medium">
          <color theme="0"/>
        </top>
        <bottom style="medium">
          <color theme="0"/>
        </bottom>
      </border>
    </dxf>
    <dxf>
      <fill>
        <patternFill patternType="solid">
          <fgColor indexed="64"/>
          <bgColor theme="5" tint="0.59999389629810485"/>
        </patternFill>
      </fill>
      <protection locked="0" hidden="0"/>
    </dxf>
    <dxf>
      <border outline="0">
        <bottom style="medium">
          <color theme="0"/>
        </bottom>
      </border>
    </dxf>
    <dxf>
      <font>
        <b/>
        <i val="0"/>
        <strike val="0"/>
        <condense val="0"/>
        <extend val="0"/>
        <outline val="0"/>
        <shadow val="0"/>
        <u val="none"/>
        <vertAlign val="baseline"/>
        <sz val="11"/>
        <color rgb="FFFFFFFF"/>
        <name val="Calibri"/>
        <family val="2"/>
        <scheme val="minor"/>
      </font>
      <fill>
        <patternFill patternType="solid">
          <fgColor indexed="64"/>
          <bgColor rgb="FF0599C7"/>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F2F2F2"/>
      <color rgb="FF636363"/>
      <color rgb="FF70DBFC"/>
      <color rgb="FF27CCF9"/>
      <color rgb="FFA6A6A6"/>
      <color rgb="FF9FC3CD"/>
      <color rgb="FF0599C7"/>
      <color rgb="FFFFCCCC"/>
      <color rgb="FFFFC7CE"/>
      <color rgb="FFCBCB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microsoft.com/office/2017/06/relationships/rdRichValueStructure" Target="richData/rdrichvaluestructur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microsoft.com/office/2017/06/relationships/rdRichValueTypes" Target="richData/rdRichValueTyp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 Target="richData/rdrichvalue.xml"/><Relationship Id="rId3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59962</xdr:colOff>
      <xdr:row>0</xdr:row>
      <xdr:rowOff>63500</xdr:rowOff>
    </xdr:from>
    <xdr:to>
      <xdr:col>4</xdr:col>
      <xdr:colOff>1438275</xdr:colOff>
      <xdr:row>3</xdr:row>
      <xdr:rowOff>34925</xdr:rowOff>
    </xdr:to>
    <xdr:pic>
      <xdr:nvPicPr>
        <xdr:cNvPr id="2" name="Picture 1">
          <a:extLst>
            <a:ext uri="{FF2B5EF4-FFF2-40B4-BE49-F238E27FC236}">
              <a16:creationId xmlns:a16="http://schemas.microsoft.com/office/drawing/2014/main" id="{68756342-B3F3-4CB9-A3FD-5D348E13DC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24" r="8872" b="30136"/>
        <a:stretch/>
      </xdr:blipFill>
      <xdr:spPr>
        <a:xfrm>
          <a:off x="3107962" y="63500"/>
          <a:ext cx="1375138" cy="514350"/>
        </a:xfrm>
        <a:prstGeom prst="rect">
          <a:avLst/>
        </a:prstGeom>
      </xdr:spPr>
    </xdr:pic>
    <xdr:clientData/>
  </xdr:twoCellAnchor>
  <xdr:twoCellAnchor>
    <xdr:from>
      <xdr:col>0</xdr:col>
      <xdr:colOff>0</xdr:colOff>
      <xdr:row>0</xdr:row>
      <xdr:rowOff>0</xdr:rowOff>
    </xdr:from>
    <xdr:to>
      <xdr:col>1</xdr:col>
      <xdr:colOff>530959</xdr:colOff>
      <xdr:row>3</xdr:row>
      <xdr:rowOff>57150</xdr:rowOff>
    </xdr:to>
    <xdr:grpSp>
      <xdr:nvGrpSpPr>
        <xdr:cNvPr id="12" name="Group 11">
          <a:extLst>
            <a:ext uri="{FF2B5EF4-FFF2-40B4-BE49-F238E27FC236}">
              <a16:creationId xmlns:a16="http://schemas.microsoft.com/office/drawing/2014/main" id="{55662029-ABED-44E9-B9D0-DF5C7F0600B6}"/>
            </a:ext>
          </a:extLst>
        </xdr:cNvPr>
        <xdr:cNvGrpSpPr/>
      </xdr:nvGrpSpPr>
      <xdr:grpSpPr>
        <a:xfrm flipH="1">
          <a:off x="0" y="0"/>
          <a:ext cx="778609" cy="590550"/>
          <a:chOff x="6081533" y="0"/>
          <a:chExt cx="3062465" cy="2331720"/>
        </a:xfrm>
        <a:solidFill>
          <a:srgbClr val="2D4D66"/>
        </a:solidFill>
      </xdr:grpSpPr>
      <xdr:pic>
        <xdr:nvPicPr>
          <xdr:cNvPr id="13" name="Graphic 27">
            <a:extLst>
              <a:ext uri="{FF2B5EF4-FFF2-40B4-BE49-F238E27FC236}">
                <a16:creationId xmlns:a16="http://schemas.microsoft.com/office/drawing/2014/main" id="{F6834FBD-061F-42C1-AAC0-357E94227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114152" y="0"/>
            <a:ext cx="2029846" cy="2331720"/>
          </a:xfrm>
          <a:prstGeom prst="rect">
            <a:avLst/>
          </a:prstGeom>
        </xdr:spPr>
      </xdr:pic>
      <xdr:pic>
        <xdr:nvPicPr>
          <xdr:cNvPr id="14" name="Graphic 28">
            <a:extLst>
              <a:ext uri="{FF2B5EF4-FFF2-40B4-BE49-F238E27FC236}">
                <a16:creationId xmlns:a16="http://schemas.microsoft.com/office/drawing/2014/main" id="{DB7FCECE-FE77-4A10-A6DF-AA8ABA1672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81533" y="0"/>
            <a:ext cx="2029846" cy="233172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9072</xdr:colOff>
      <xdr:row>29</xdr:row>
      <xdr:rowOff>63502</xdr:rowOff>
    </xdr:from>
    <xdr:to>
      <xdr:col>5</xdr:col>
      <xdr:colOff>825501</xdr:colOff>
      <xdr:row>41</xdr:row>
      <xdr:rowOff>45921</xdr:rowOff>
    </xdr:to>
    <xdr:pic>
      <xdr:nvPicPr>
        <xdr:cNvPr id="2" name="Picture 1">
          <a:extLst>
            <a:ext uri="{FF2B5EF4-FFF2-40B4-BE49-F238E27FC236}">
              <a16:creationId xmlns:a16="http://schemas.microsoft.com/office/drawing/2014/main" id="{46BFBB07-731B-7B4B-737D-1B2EF2AFCB5A}"/>
            </a:ext>
          </a:extLst>
        </xdr:cNvPr>
        <xdr:cNvPicPr>
          <a:picLocks noChangeAspect="1"/>
        </xdr:cNvPicPr>
      </xdr:nvPicPr>
      <xdr:blipFill>
        <a:blip xmlns:r="http://schemas.openxmlformats.org/officeDocument/2006/relationships" r:embed="rId1"/>
        <a:stretch>
          <a:fillRect/>
        </a:stretch>
      </xdr:blipFill>
      <xdr:spPr>
        <a:xfrm>
          <a:off x="2775858" y="4871359"/>
          <a:ext cx="1977572" cy="2165912"/>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0</xdr:colOff>
      <xdr:row>43</xdr:row>
      <xdr:rowOff>90717</xdr:rowOff>
    </xdr:from>
    <xdr:to>
      <xdr:col>5</xdr:col>
      <xdr:colOff>1454150</xdr:colOff>
      <xdr:row>54</xdr:row>
      <xdr:rowOff>112141</xdr:rowOff>
    </xdr:to>
    <xdr:pic>
      <xdr:nvPicPr>
        <xdr:cNvPr id="3" name="Picture 2">
          <a:extLst>
            <a:ext uri="{FF2B5EF4-FFF2-40B4-BE49-F238E27FC236}">
              <a16:creationId xmlns:a16="http://schemas.microsoft.com/office/drawing/2014/main" id="{23A50C16-D3D6-A530-2C80-16B827A2D007}"/>
            </a:ext>
          </a:extLst>
        </xdr:cNvPr>
        <xdr:cNvPicPr>
          <a:picLocks noChangeAspect="1"/>
        </xdr:cNvPicPr>
      </xdr:nvPicPr>
      <xdr:blipFill>
        <a:blip xmlns:r="http://schemas.openxmlformats.org/officeDocument/2006/relationships" r:embed="rId2"/>
        <a:stretch>
          <a:fillRect/>
        </a:stretch>
      </xdr:blipFill>
      <xdr:spPr>
        <a:xfrm>
          <a:off x="2754313" y="7432905"/>
          <a:ext cx="2619375" cy="1942299"/>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222250</xdr:colOff>
      <xdr:row>63</xdr:row>
      <xdr:rowOff>103188</xdr:rowOff>
    </xdr:from>
    <xdr:to>
      <xdr:col>15</xdr:col>
      <xdr:colOff>180975</xdr:colOff>
      <xdr:row>69</xdr:row>
      <xdr:rowOff>95224</xdr:rowOff>
    </xdr:to>
    <xdr:pic>
      <xdr:nvPicPr>
        <xdr:cNvPr id="4" name="Picture 3">
          <a:extLst>
            <a:ext uri="{FF2B5EF4-FFF2-40B4-BE49-F238E27FC236}">
              <a16:creationId xmlns:a16="http://schemas.microsoft.com/office/drawing/2014/main" id="{A87C0DF4-D722-DF52-5D03-8AC0A02C915B}"/>
            </a:ext>
          </a:extLst>
        </xdr:cNvPr>
        <xdr:cNvPicPr>
          <a:picLocks noChangeAspect="1"/>
        </xdr:cNvPicPr>
      </xdr:nvPicPr>
      <xdr:blipFill>
        <a:blip xmlns:r="http://schemas.openxmlformats.org/officeDocument/2006/relationships" r:embed="rId3"/>
        <a:stretch>
          <a:fillRect/>
        </a:stretch>
      </xdr:blipFill>
      <xdr:spPr>
        <a:xfrm>
          <a:off x="2722563" y="12700001"/>
          <a:ext cx="9144000" cy="1039786"/>
        </a:xfrm>
        <a:prstGeom prst="rect">
          <a:avLst/>
        </a:prstGeom>
        <a:effectLst>
          <a:outerShdw blurRad="50800" dist="381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22224</xdr:colOff>
      <xdr:row>22</xdr:row>
      <xdr:rowOff>133537</xdr:rowOff>
    </xdr:from>
    <xdr:to>
      <xdr:col>2</xdr:col>
      <xdr:colOff>2234</xdr:colOff>
      <xdr:row>27</xdr:row>
      <xdr:rowOff>200478</xdr:rowOff>
    </xdr:to>
    <xdr:pic>
      <xdr:nvPicPr>
        <xdr:cNvPr id="2" name="Picture 1">
          <a:extLst>
            <a:ext uri="{FF2B5EF4-FFF2-40B4-BE49-F238E27FC236}">
              <a16:creationId xmlns:a16="http://schemas.microsoft.com/office/drawing/2014/main" id="{086748C3-CF35-69FA-65D4-F0D87F00830C}"/>
            </a:ext>
          </a:extLst>
        </xdr:cNvPr>
        <xdr:cNvPicPr>
          <a:picLocks noChangeAspect="1"/>
        </xdr:cNvPicPr>
      </xdr:nvPicPr>
      <xdr:blipFill rotWithShape="1">
        <a:blip xmlns:r="http://schemas.openxmlformats.org/officeDocument/2006/relationships" r:embed="rId1"/>
        <a:srcRect l="4112"/>
        <a:stretch>
          <a:fillRect/>
        </a:stretch>
      </xdr:blipFill>
      <xdr:spPr>
        <a:xfrm>
          <a:off x="136524" y="3619687"/>
          <a:ext cx="2189810" cy="11840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440962</xdr:colOff>
      <xdr:row>0</xdr:row>
      <xdr:rowOff>123825</xdr:rowOff>
    </xdr:from>
    <xdr:to>
      <xdr:col>1</xdr:col>
      <xdr:colOff>1816100</xdr:colOff>
      <xdr:row>3</xdr:row>
      <xdr:rowOff>92075</xdr:rowOff>
    </xdr:to>
    <xdr:pic>
      <xdr:nvPicPr>
        <xdr:cNvPr id="2" name="Picture 1">
          <a:extLst>
            <a:ext uri="{FF2B5EF4-FFF2-40B4-BE49-F238E27FC236}">
              <a16:creationId xmlns:a16="http://schemas.microsoft.com/office/drawing/2014/main" id="{A436B20A-1634-4743-A13C-ABD819560A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24" r="8872" b="30136"/>
        <a:stretch/>
      </xdr:blipFill>
      <xdr:spPr>
        <a:xfrm>
          <a:off x="698137" y="123825"/>
          <a:ext cx="1375138" cy="511175"/>
        </a:xfrm>
        <a:prstGeom prst="rect">
          <a:avLst/>
        </a:prstGeom>
      </xdr:spPr>
    </xdr:pic>
    <xdr:clientData/>
  </xdr:twoCellAnchor>
  <xdr:twoCellAnchor>
    <xdr:from>
      <xdr:col>0</xdr:col>
      <xdr:colOff>0</xdr:colOff>
      <xdr:row>0</xdr:row>
      <xdr:rowOff>0</xdr:rowOff>
    </xdr:from>
    <xdr:to>
      <xdr:col>1</xdr:col>
      <xdr:colOff>530959</xdr:colOff>
      <xdr:row>3</xdr:row>
      <xdr:rowOff>57150</xdr:rowOff>
    </xdr:to>
    <xdr:grpSp>
      <xdr:nvGrpSpPr>
        <xdr:cNvPr id="3" name="Group 2">
          <a:extLst>
            <a:ext uri="{FF2B5EF4-FFF2-40B4-BE49-F238E27FC236}">
              <a16:creationId xmlns:a16="http://schemas.microsoft.com/office/drawing/2014/main" id="{CAF2F9C3-4899-4AEF-B3AF-5EA71F58BAD6}"/>
            </a:ext>
          </a:extLst>
        </xdr:cNvPr>
        <xdr:cNvGrpSpPr/>
      </xdr:nvGrpSpPr>
      <xdr:grpSpPr>
        <a:xfrm flipH="1">
          <a:off x="0" y="0"/>
          <a:ext cx="780906" cy="590820"/>
          <a:chOff x="6081533" y="0"/>
          <a:chExt cx="3062465" cy="2331720"/>
        </a:xfrm>
        <a:solidFill>
          <a:srgbClr val="2D4D66"/>
        </a:solidFill>
      </xdr:grpSpPr>
      <xdr:pic>
        <xdr:nvPicPr>
          <xdr:cNvPr id="4" name="Graphic 27">
            <a:extLst>
              <a:ext uri="{FF2B5EF4-FFF2-40B4-BE49-F238E27FC236}">
                <a16:creationId xmlns:a16="http://schemas.microsoft.com/office/drawing/2014/main" id="{E67DBA9E-C065-3A40-3132-BC4F44ACC2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114152" y="0"/>
            <a:ext cx="2029846" cy="2331720"/>
          </a:xfrm>
          <a:prstGeom prst="rect">
            <a:avLst/>
          </a:prstGeom>
        </xdr:spPr>
      </xdr:pic>
      <xdr:pic>
        <xdr:nvPicPr>
          <xdr:cNvPr id="5" name="Graphic 28">
            <a:extLst>
              <a:ext uri="{FF2B5EF4-FFF2-40B4-BE49-F238E27FC236}">
                <a16:creationId xmlns:a16="http://schemas.microsoft.com/office/drawing/2014/main" id="{E38FC175-B2DA-D7D9-FEA2-D1CF635448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81533" y="0"/>
            <a:ext cx="2029846" cy="233172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Supply%20chain/Spreadsheet%20Development/WGES_Lot-2-supplier-data-collection-sheet_v2.0(dummy%20data).xlsx" TargetMode="External"/><Relationship Id="rId2" Type="http://schemas.openxmlformats.org/officeDocument/2006/relationships/externalLinkPath" Target="https://carbontrust.sharepoint.com/sites/WGES2-Lot2CarbonReporting/Shared%20Documents/Supply%20chain/Spreadsheet%20Development/WGES_Lot-2-supplier-data-collection-sheet_v2.0(dummy%20data).xlsx" TargetMode="External"/><Relationship Id="rId1" Type="http://schemas.openxmlformats.org/officeDocument/2006/relationships/externalLinkPath" Target="/sites/WGES2-Lot2CarbonReporting/Shared%20Documents/Supply%20chain/Spreadsheet%20Development/WGES_Lot-2-supplier-data-collection-sheet_v2.0(dummy%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ver page"/>
      <sheetName val="Instructions"/>
      <sheetName val="Guidance notes"/>
      <sheetName val="Checklist"/>
      <sheetName val="1. Organisational information"/>
      <sheetName val="2. Cost breakdown"/>
      <sheetName val="3. Product carbon data"/>
      <sheetName val="3.a. Industry benchmark lookup"/>
      <sheetName val="Export to NZ reporting"/>
      <sheetName val="Lists"/>
      <sheetName val="Data assessment"/>
      <sheetName val="Quality Scoring"/>
      <sheetName val="SIC codes"/>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973EE4D-70FB-487C-8A8D-D19BE843EB50}" name="BuildingInformationTable" displayName="BuildingInformationTable" ref="B6:F1000" totalsRowShown="0" headerRowDxfId="1154" dataDxfId="1152" headerRowBorderDxfId="1153" tableBorderDxfId="1151">
  <autoFilter ref="B6:F1000" xr:uid="{F973EE4D-70FB-487C-8A8D-D19BE843EB50}"/>
  <tableColumns count="5">
    <tableColumn id="1" xr3:uid="{CACAF8F9-B83B-456B-B3F0-A64974225304}" name="Site name" dataDxfId="1150" dataCellStyle="Comma"/>
    <tableColumn id="2" xr3:uid="{D22CF403-2E00-4684-8EEA-41441AAF21B8}" name="Site type" dataDxfId="1149"/>
    <tableColumn id="3" xr3:uid="{B2BE1EF9-8A62-4695-B373-62B08B1FE333}" name="Building Category" dataDxfId="1148"/>
    <tableColumn id="4" xr3:uid="{3C738424-082F-4078-9159-FD5477CD28AD}" name="Building type" dataDxfId="1147"/>
    <tableColumn id="5" xr3:uid="{98985BEA-C619-4A6A-BA2D-9E4821DD78BA}" name="Occupied floor area (m2)" dataDxfId="114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270191F-71AF-434E-ADC2-CF0B66002EBA}" name="Buildings_Water_Backend" displayName="Buildings_Water_Backend" ref="Q14:AR514" totalsRowShown="0" headerRowDxfId="980" dataDxfId="978" headerRowBorderDxfId="979" tableBorderDxfId="977" totalsRowBorderDxfId="976">
  <autoFilter ref="Q14:AR514" xr:uid="{3270191F-71AF-434E-ADC2-CF0B66002E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C4092152-4FE4-4CAD-A4FC-F1509DBBDBCF}" name="ID" dataDxfId="975">
      <calculatedColumnFormula>IF(N15=0,SUBSTITUTE(2025&amp;TRIM(cl_org_name_select)&amp;TRIM($E$12)&amp;(ROW(N15)-ROW($N$15))," ",""),"")</calculatedColumnFormula>
    </tableColumn>
    <tableColumn id="2" xr3:uid="{736FCDFB-E9A5-4FC6-8C6D-09664198E395}" name="Level 1" dataDxfId="974">
      <calculatedColumnFormula>IF($H15="", "", "Buildings")</calculatedColumnFormula>
    </tableColumn>
    <tableColumn id="3" xr3:uid="{FB51011D-A587-492C-B706-6E5B1C34F9E1}" name="Level 2" dataDxfId="973">
      <calculatedColumnFormula>IF($H15="", "", "Buildings")</calculatedColumnFormula>
    </tableColumn>
    <tableColumn id="4" xr3:uid="{720445E3-591A-4054-8B06-65DC80EDD2D4}" name="Level 3" dataDxfId="972">
      <calculatedColumnFormula>_xlfn.XLOOKUP(Buildings_Water_Backend[[#This Row],[Info 1]],Buildings_SiteInfo[Site name],Buildings_SiteInfo[Site type])</calculatedColumnFormula>
    </tableColumn>
    <tableColumn id="5" xr3:uid="{44086397-00B9-4A4F-B0D4-D4F56874BA73}" name="Level 4" dataDxfId="971">
      <calculatedColumnFormula>Buildings_Heat_Frontend[[#This Row],[Heating Type]]</calculatedColumnFormula>
    </tableColumn>
    <tableColumn id="6" xr3:uid="{98EEABA0-41FD-4C8C-9C77-DAD0275E2CA5}" name="Level 5" dataDxfId="970">
      <calculatedColumnFormula>Buildings_Water_Frontend[[#This Row],[Type]]</calculatedColumnFormula>
    </tableColumn>
    <tableColumn id="7" xr3:uid="{A8141F55-E56E-48F1-A5CF-5C477AFA3A7E}" name="Level 6" dataDxfId="969">
      <calculatedColumnFormula array="1">_xlfn.XLOOKUP(Buildings_Water_Backend[[#This Row],[Level 5]],rng_Level5Long,rng_Level6Long)</calculatedColumnFormula>
    </tableColumn>
    <tableColumn id="27" xr3:uid="{8F35AE5F-49D2-4C08-87F5-5E2D9A6DF9B6}" name="Info 1" dataDxfId="968">
      <calculatedColumnFormula>Buildings_Water_Frontend[[#This Row],[Site Name]]</calculatedColumnFormula>
    </tableColumn>
    <tableColumn id="26" xr3:uid="{BDEF81DE-BA38-4C2B-AF22-D6241F68AC3A}" name="Info 2" dataDxfId="967">
      <calculatedColumnFormula>Buildings_Water_Frontend[[#This Row],[Meter Reference]]</calculatedColumnFormula>
    </tableColumn>
    <tableColumn id="8" xr3:uid="{C97EC5A4-2A91-4CCF-A89B-D29AF01CC85C}" name="Methodology" dataDxfId="966">
      <calculatedColumnFormula>Buildings_Water_Frontend[[#This Row],[Methodology]]</calculatedColumnFormula>
    </tableColumn>
    <tableColumn id="9" xr3:uid="{E3D94146-C5D6-4DEE-A97F-8C4E7C4ED139}" name="RSD" dataDxfId="965">
      <calculatedColumnFormula array="1">INDEX(_xlfn.SWITCH(Buildings_Water_Backend[[#This Row],[Methodology]],"Tier 1",rng_RSD1,"Tier 2",rng_RSD2,"Tier 3",rng_RSD3),MATCH(_xlfn.CONCAT(Buildings_Water_Backend[[#This Row],[Level 1]:[Level 6]]),rng_LevelsConcat,0))</calculatedColumnFormula>
    </tableColumn>
    <tableColumn id="10" xr3:uid="{0CFF6FB4-873A-4635-93D9-851417E629E9}" name="Data" dataDxfId="964">
      <calculatedColumnFormula>Buildings_Water_Frontend[[#This Row],[Data]]</calculatedColumnFormula>
    </tableColumn>
    <tableColumn id="11" xr3:uid="{2C5BC8EC-BDAE-4E73-BF3F-5B1F88AE9CFD}" name="Units" dataDxfId="963">
      <calculatedColumnFormula>Buildings_Water_Frontend[[#This Row],[Units]]</calculatedColumnFormula>
    </tableColumn>
    <tableColumn id="12" xr3:uid="{A8E01755-0898-4FB5-A0E8-4D4E466FE330}" name="Converted data" dataDxfId="962">
      <calculatedColumnFormula>IF(Buildings_Water_Backend[[#This Row],[Units]]=Buildings_Water_Backend[[#This Row],[Standard units]],Buildings_Water_Backend[[#This Row],[Data]],Buildings_Water_Backend[[#This Row],[Data]]*_xlfn.XLOOKUP(_xlfn.CONCAT(Buildings_Water_Backend[[#This Row],[Level 1]:[Level 6]]),rng_EFConcat,rng_EFConversion))</calculatedColumnFormula>
    </tableColumn>
    <tableColumn id="13" xr3:uid="{3A4E35DE-717A-4CF7-900F-CF329D17AF06}" name="Standard units" dataDxfId="961">
      <calculatedColumnFormula array="1">_xlfn.XLOOKUP(_xlfn.CONCAT(Buildings_Water_Backend[[#This Row],[Level 1]:[Level 6]]),rng_LevelsConcat,rng_UnitsLong)</calculatedColumnFormula>
    </tableColumn>
    <tableColumn id="14" xr3:uid="{07BF62C9-C242-4EDC-9444-CA585DC70E68}" name="Scope 1 (tCO2e)" dataDxfId="960">
      <calculatedColumnFormula>_xlfn.XLOOKUP(_xlfn.CONCAT(Buildings_Water_Backend[[#This Row],[Level 1]:[Level 6]]),rng_EFConcat,rng_EF1)*Buildings_Water_Backend[[#This Row],[Converted data]]/1000</calculatedColumnFormula>
    </tableColumn>
    <tableColumn id="15" xr3:uid="{2A39C6BE-0FFB-4D9D-9E6C-E9FC00B078AF}" name="Scope 2 (tCO2e)" dataDxfId="959">
      <calculatedColumnFormula>_xlfn.XLOOKUP(_xlfn.CONCAT(Buildings_Water_Backend[[#This Row],[Level 1]:[Level 6]]),rng_EFConcat,rng_EF2)*Buildings_Water_Backend[[#This Row],[Converted data]]/1000</calculatedColumnFormula>
    </tableColumn>
    <tableColumn id="16" xr3:uid="{54769A27-F9F3-40CE-B82D-680D149BB24F}" name="Scope 3 (tCO2e)" dataDxfId="958">
      <calculatedColumnFormula>_xlfn.XLOOKUP(_xlfn.CONCAT(Buildings_Water_Backend[[#This Row],[Level 1]:[Level 6]]),rng_EFConcat,rng_EF3)*Buildings_Water_Backend[[#This Row],[Converted data]]/1000</calculatedColumnFormula>
    </tableColumn>
    <tableColumn id="17" xr3:uid="{DD7D295F-9D71-4A8C-A4C0-47F2873D4219}" name="Scope 3 WTT (tCO2e)" dataDxfId="957">
      <calculatedColumnFormula>_xlfn.XLOOKUP(_xlfn.CONCAT(Buildings_Water_Backend[[#This Row],[Level 1]:[Level 6]]),rng_EFConcat,rng_EF3WTT)*Buildings_Water_Backend[[#This Row],[Converted data]]/1000</calculatedColumnFormula>
    </tableColumn>
    <tableColumn id="18" xr3:uid="{D0FD492F-73AC-4EA1-8F0A-C9BEABA36CD9}" name="Scope 3 T&amp;D (tCO2e)" dataDxfId="956">
      <calculatedColumnFormula>_xlfn.XLOOKUP(_xlfn.CONCAT(Buildings_Water_Backend[[#This Row],[Level 1]:[Level 6]]),rng_EFConcat,rng_EF3TD)*Buildings_Water_Backend[[#This Row],[Converted data]]/1000</calculatedColumnFormula>
    </tableColumn>
    <tableColumn id="19" xr3:uid="{1504C917-055E-4FA5-B976-121F336CCAB0}" name="Scope 3 WTT T&amp;D (tCO2e)" dataDxfId="955">
      <calculatedColumnFormula>_xlfn.XLOOKUP(_xlfn.CONCAT(Buildings_Water_Backend[[#This Row],[Level 1]:[Level 6]]),rng_EFConcat,rng_EF3WTTTD)*Buildings_Water_Backend[[#This Row],[Converted data]]/1000</calculatedColumnFormula>
    </tableColumn>
    <tableColumn id="20" xr3:uid="{C7E4367B-B0BA-4867-B52D-F2318E036795}" name="Total (tCO2e)" dataDxfId="954">
      <calculatedColumnFormula>SUM(Buildings_Water_Backend[[#This Row],[Scope 1 (tCO2e)]:[Scope 3 WTT T&amp;D (tCO2e)]])</calculatedColumnFormula>
    </tableColumn>
    <tableColumn id="21" xr3:uid="{8A1AEC40-FB42-469D-B7A0-61E4FE099175}" name="Low (tCO2e)" dataDxfId="953">
      <calculatedColumnFormula>Buildings_Water_Backend[[#This Row],[Total (tCO2e)]]*(1-Buildings_Water_Backend[[#This Row],[RSD]])</calculatedColumnFormula>
    </tableColumn>
    <tableColumn id="22" xr3:uid="{5E36C453-93F4-4402-A4CA-9FABB9278B9C}" name="High (tCO2e)" dataDxfId="952">
      <calculatedColumnFormula>Buildings_Water_Backend[[#This Row],[Total (tCO2e)]]*(1+Buildings_Water_Backend[[#This Row],[RSD]])</calculatedColumnFormula>
    </tableColumn>
    <tableColumn id="23" xr3:uid="{FAD7E018-4559-49BA-A172-2652DB25DC21}" name="OOS (tCO2e)" dataDxfId="951">
      <calculatedColumnFormula>_xlfn.XLOOKUP(_xlfn.CONCAT(Buildings_Water_Backend[[#This Row],[Level 1]:[Level 6]]),rng_EFConcat,rng_EFOOS)*Buildings_Water_Backend[[#This Row],[Converted data]]/1000</calculatedColumnFormula>
    </tableColumn>
    <tableColumn id="24" xr3:uid="{C3450360-A0F4-46D9-8397-2CEFD2D5F8F1}" name="Ease of collection" dataDxfId="950">
      <calculatedColumnFormula>Buildings_Water_Frontend[[#This Row],[Ease of collection]]</calculatedColumnFormula>
    </tableColumn>
    <tableColumn id="28" xr3:uid="{AA5EED8C-ED75-4C92-9AB0-201A7BAA0DF1}" name="Completeness" dataDxfId="949">
      <calculatedColumnFormula>Buildings_Water_Frontend[[#This Row],[Completeness]]</calculatedColumnFormula>
    </tableColumn>
    <tableColumn id="25" xr3:uid="{AA31963F-A324-4914-83E5-7BC11F882706}" name="Notes" dataDxfId="948">
      <calculatedColumnFormula>Buildings_Water_Frontend[[#This Row],[Notes]]</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EC7F4C6-118E-437A-B384-B03BB4A66838}" name="FGases_Frontend" displayName="FGases_Frontend" ref="E15:L35" totalsRowShown="0" headerRowDxfId="947" dataDxfId="945" headerRowBorderDxfId="946" tableBorderDxfId="944" totalsRowBorderDxfId="943">
  <autoFilter ref="E15:L35" xr:uid="{5EC7F4C6-118E-437A-B384-B03BB4A668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E7C23E8-2A6F-471F-8258-FED93F0C63CF}" name="Site Name" dataDxfId="942"/>
    <tableColumn id="2" xr3:uid="{EDAF3A5C-7730-4F22-9C7D-CB04B7D4DA08}" name="Gas" dataDxfId="941"/>
    <tableColumn id="3" xr3:uid="{3B097F43-9C71-4F15-879C-63D6D5DD5942}" name="Methodology" dataDxfId="940"/>
    <tableColumn id="4" xr3:uid="{5821A184-EDEE-482E-BEBA-60D24E4A8B97}" name="Data" dataDxfId="939"/>
    <tableColumn id="5" xr3:uid="{00B6489C-9DCC-4B63-B490-79ABB6FBAEF8}" name="Units" dataDxfId="938"/>
    <tableColumn id="6" xr3:uid="{8DB041D5-174C-47E6-A9C7-8511FE88EA37}" name="Ease of collection" dataDxfId="937"/>
    <tableColumn id="7" xr3:uid="{C032DA6C-51D0-491D-9A4F-95D9924AFEED}" name="Completeness" dataDxfId="936"/>
    <tableColumn id="8" xr3:uid="{22B82EAA-EF35-4E98-AB65-954789F0ACFF}" name="Notes" dataDxfId="93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13DD4EF-D030-4F09-A964-117375EABC38}" name="MedicalGases_Frontend" displayName="MedicalGases_Frontend" ref="E40:L61" totalsRowShown="0" headerRowDxfId="934" dataDxfId="932" headerRowBorderDxfId="933" tableBorderDxfId="931" totalsRowBorderDxfId="930">
  <autoFilter ref="E40:L61" xr:uid="{813DD4EF-D030-4F09-A964-117375EABC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83AE7E-10A7-44E5-B533-01572E48D034}" name="Site Name" dataDxfId="929"/>
    <tableColumn id="2" xr3:uid="{93BA24B2-A5CF-49EA-A355-9C06631488CE}" name="Gas" dataDxfId="928"/>
    <tableColumn id="3" xr3:uid="{A4B0D0F2-9DF5-4DBB-BC13-38456A28C464}" name="Methodology" dataDxfId="927"/>
    <tableColumn id="4" xr3:uid="{8C6FC226-3465-4711-BF29-AE310B357CEA}" name="Data" dataDxfId="926"/>
    <tableColumn id="5" xr3:uid="{331D456A-DE0E-4B00-8389-752FAB97D537}" name="Units" dataDxfId="925"/>
    <tableColumn id="6" xr3:uid="{5F13447E-3B3D-43D6-9C87-FF7153FA2EE0}" name="Ease of collection" dataDxfId="924"/>
    <tableColumn id="7" xr3:uid="{3BD17634-EADC-4007-82AE-5E1D6A5ABC1C}" name="Completeness" dataDxfId="923"/>
    <tableColumn id="8" xr3:uid="{62B9A242-0677-46ED-A62B-088A2911DA74}" name="Notes" dataDxfId="92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952FE2E-DC49-4CAC-B0AD-2735996AD4A5}" name="FGases_Backend" displayName="FGases_Backend" ref="Q15:AR35" totalsRowShown="0" headerRowDxfId="921" dataDxfId="919" headerRowBorderDxfId="920" tableBorderDxfId="918" totalsRowBorderDxfId="917">
  <autoFilter ref="Q15:AR35" xr:uid="{3952FE2E-DC49-4CAC-B0AD-2735996AD4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78EDDE6B-7EBD-4345-BE65-B81081FE3534}" name="ID" dataDxfId="916">
      <calculatedColumnFormula>IF(M16=0,SUBSTITUTE(2025&amp;TRIM(cl_org_name_select)&amp;TRIM($E$13)&amp;(ROW(M16)-ROW($M$16))," ",""),"")</calculatedColumnFormula>
    </tableColumn>
    <tableColumn id="2" xr3:uid="{C97A638D-0CAF-4442-9CB1-D77B67AA7CF4}" name="Level 1" dataDxfId="915">
      <calculatedColumnFormula>IF($H16="", "", "Buildings")</calculatedColumnFormula>
    </tableColumn>
    <tableColumn id="3" xr3:uid="{5CFA5C07-CB18-465F-ABB2-20B4B74ECFAF}" name="Level 2" dataDxfId="914">
      <calculatedColumnFormula>IF($H16="", "", "Refrigerants")</calculatedColumnFormula>
    </tableColumn>
    <tableColumn id="4" xr3:uid="{46929715-DBC0-42C1-98A7-ACA976511519}" name="Level 3" dataDxfId="913">
      <calculatedColumnFormula>_xlfn.XLOOKUP(FGases_Backend[[#This Row],[Info 1]],Buildings_SiteInfo[Site name],Buildings_SiteInfo[Site type])</calculatedColumnFormula>
    </tableColumn>
    <tableColumn id="5" xr3:uid="{031AF641-7172-4B37-AE77-DB0EB7550735}" name="Level 4" dataDxfId="912">
      <calculatedColumnFormula>IF($H16="", "", "F gas")</calculatedColumnFormula>
    </tableColumn>
    <tableColumn id="6" xr3:uid="{59D3B903-0ECB-47DA-B6BF-49E5D4F3E9FE}" name="Level 5" dataDxfId="911">
      <calculatedColumnFormula>FGases_Frontend[[#This Row],[Gas]]</calculatedColumnFormula>
    </tableColumn>
    <tableColumn id="7" xr3:uid="{1A1F9FBF-60C9-4C2C-9EE0-F8B0DE12CD9F}" name="Level 6" dataDxfId="910">
      <calculatedColumnFormula array="1">_xlfn.XLOOKUP(FGases_Backend[[#This Row],[Level 5]],rng_Level5Long,rng_Level6Long)</calculatedColumnFormula>
    </tableColumn>
    <tableColumn id="27" xr3:uid="{76FCD245-86A6-4D25-AEC7-B0BD5B410426}" name="Info 1" dataDxfId="909">
      <calculatedColumnFormula>FGases_Frontend[[#This Row],[Site Name]]</calculatedColumnFormula>
    </tableColumn>
    <tableColumn id="26" xr3:uid="{589EA896-D7C1-4362-881F-D3FAAC65CAA4}" name="Info 2" dataDxfId="908"/>
    <tableColumn id="8" xr3:uid="{C123E71C-413F-44B4-A761-035DDC7EA952}" name="Methodology" dataDxfId="907">
      <calculatedColumnFormula>FGases_Frontend[[#This Row],[Methodology]]</calculatedColumnFormula>
    </tableColumn>
    <tableColumn id="9" xr3:uid="{061EC061-DB34-4F06-BEBA-25620D8545E8}" name="RSD" dataDxfId="906">
      <calculatedColumnFormula array="1">INDEX(_xlfn.SWITCH(FGases_Backend[[#This Row],[Methodology]],"Tier 1",rng_RSD1,"Tier 2",rng_RSD2,"Tier 3",rng_RSD3),MATCH(_xlfn.CONCAT(FGases_Backend[[#This Row],[Level 1]:[Level 6]]),rng_LevelsConcat,0))</calculatedColumnFormula>
    </tableColumn>
    <tableColumn id="10" xr3:uid="{2442D7BF-7811-40CA-BC7A-06255D6ACE92}" name="Data" dataDxfId="905">
      <calculatedColumnFormula>FGases_Frontend[[#This Row],[Data]]</calculatedColumnFormula>
    </tableColumn>
    <tableColumn id="11" xr3:uid="{B9107ED5-FCBC-4296-A832-2ACC91A70308}" name="Units" dataDxfId="904">
      <calculatedColumnFormula>FGases_Frontend[[#This Row],[Units]]</calculatedColumnFormula>
    </tableColumn>
    <tableColumn id="12" xr3:uid="{D1FE601B-067A-4E5D-BF9A-FC5FE690292E}" name="Converted data" dataDxfId="903">
      <calculatedColumnFormula>FGases_Backend[[#This Row],[Data]]</calculatedColumnFormula>
    </tableColumn>
    <tableColumn id="13" xr3:uid="{0A230B4E-E867-42B3-817B-94DBDAFA5C66}" name="Standard units" dataDxfId="902">
      <calculatedColumnFormula>FGases_Frontend[[#This Row],[Units]]</calculatedColumnFormula>
    </tableColumn>
    <tableColumn id="14" xr3:uid="{2709431F-C1EC-43CF-89D4-4958C76C086B}" name="Scope 1 (tCO2e)" dataDxfId="901">
      <calculatedColumnFormula>_xlfn.XLOOKUP(_xlfn.CONCAT(FGases_Backend[[#This Row],[Level 1]:[Level 6]]),rng_EFConcat,rng_EF1)*FGases_Backend[[#This Row],[Converted data]]/1000</calculatedColumnFormula>
    </tableColumn>
    <tableColumn id="15" xr3:uid="{887640AC-2C56-4C3C-8961-D89157C138C3}" name="Scope 2 (tCO2e)" dataDxfId="900">
      <calculatedColumnFormula>_xlfn.XLOOKUP(_xlfn.CONCAT(FGases_Backend[[#This Row],[Level 1]:[Level 6]]),rng_EFConcat,rng_EF2)*FGases_Backend[[#This Row],[Converted data]]/1000</calculatedColumnFormula>
    </tableColumn>
    <tableColumn id="16" xr3:uid="{07773BBE-D1EA-4259-97B3-D5225F0D1FE3}" name="Scope 3 (tCO2e)" dataDxfId="899">
      <calculatedColumnFormula>_xlfn.XLOOKUP(_xlfn.CONCAT(FGases_Backend[[#This Row],[Level 1]:[Level 6]]),rng_EFConcat,rng_EF3)*FGases_Backend[[#This Row],[Converted data]]/1000</calculatedColumnFormula>
    </tableColumn>
    <tableColumn id="17" xr3:uid="{BF44B9CD-079E-4E2B-93E6-03F5DA4E83C9}" name="Scope 3 WTT (tCO2e)" dataDxfId="898">
      <calculatedColumnFormula>_xlfn.XLOOKUP(_xlfn.CONCAT(FGases_Backend[[#This Row],[Level 1]:[Level 6]]),rng_EFConcat,rng_EF3WTT)*FGases_Backend[[#This Row],[Converted data]]/1000</calculatedColumnFormula>
    </tableColumn>
    <tableColumn id="18" xr3:uid="{512BC8D5-3105-4495-A364-E87E90C23AF0}" name="Scope 3 T&amp;D (tCO2e)" dataDxfId="897">
      <calculatedColumnFormula>_xlfn.XLOOKUP(_xlfn.CONCAT(FGases_Backend[[#This Row],[Level 1]:[Level 6]]),rng_EFConcat,rng_EF3TD)*FGases_Backend[[#This Row],[Converted data]]/1000</calculatedColumnFormula>
    </tableColumn>
    <tableColumn id="19" xr3:uid="{7CAE53D9-0F82-48A0-8048-700A33B7AE4E}" name="Scope 3 WTT T&amp;D (tCO2e)" dataDxfId="896">
      <calculatedColumnFormula>_xlfn.XLOOKUP(_xlfn.CONCAT(FGases_Backend[[#This Row],[Level 1]:[Level 6]]),rng_EFConcat,rng_EF3WTTTD)*FGases_Backend[[#This Row],[Converted data]]/1000</calculatedColumnFormula>
    </tableColumn>
    <tableColumn id="20" xr3:uid="{E2E54CEE-7D69-4AF2-BE1B-0FD2DEF23B43}" name="Total (tCO2e)" dataDxfId="895">
      <calculatedColumnFormula>SUM(FGases_Backend[[#This Row],[Scope 1 (tCO2e)]:[Scope 3 WTT T&amp;D (tCO2e)]])</calculatedColumnFormula>
    </tableColumn>
    <tableColumn id="21" xr3:uid="{F524D642-0BBA-41CC-ADA0-08D7241DADB4}" name="Low (tCO2e)" dataDxfId="894">
      <calculatedColumnFormula>FGases_Backend[[#This Row],[Total (tCO2e)]]*(1-FGases_Backend[[#This Row],[RSD]])</calculatedColumnFormula>
    </tableColumn>
    <tableColumn id="22" xr3:uid="{228A6D44-E7F5-43D6-85FC-F162236CA8C9}" name="High (tCO2e)" dataDxfId="893">
      <calculatedColumnFormula>FGases_Backend[[#This Row],[Total (tCO2e)]]*(1+FGases_Backend[[#This Row],[RSD]])</calculatedColumnFormula>
    </tableColumn>
    <tableColumn id="23" xr3:uid="{CBA1BE48-DC57-470D-8E89-9FC4B2DC2E56}" name="OOS (tCO2e)" dataDxfId="892">
      <calculatedColumnFormula>_xlfn.XLOOKUP(_xlfn.CONCAT(FGases_Backend[[#This Row],[Level 1]:[Level 6]]),rng_EFConcat,rng_EFOOS)*FGases_Backend[[#This Row],[Converted data]]/1000</calculatedColumnFormula>
    </tableColumn>
    <tableColumn id="24" xr3:uid="{181D94A6-A734-4B52-81D0-A8F234D83090}" name="Ease of collection" dataDxfId="891">
      <calculatedColumnFormula>FGases_Frontend[[#This Row],[Ease of collection]]</calculatedColumnFormula>
    </tableColumn>
    <tableColumn id="28" xr3:uid="{DF100522-3CF9-49FA-B34F-EC9F2E6B5870}" name="Completeness" dataDxfId="890">
      <calculatedColumnFormula>FGases_Frontend[[#This Row],[Completeness]]</calculatedColumnFormula>
    </tableColumn>
    <tableColumn id="25" xr3:uid="{AD01AAE2-05E3-4D89-997F-A3D59BA6D0F8}" name="Notes" dataDxfId="889">
      <calculatedColumnFormula>FGases_Frontend[[#This Row],[Notes]]</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FA487EC-BFD0-4660-BA01-1223E823F056}" name="MedicalGases_Backend" displayName="MedicalGases_Backend" ref="Q40:AR61" totalsRowShown="0" headerRowDxfId="888" dataDxfId="886" headerRowBorderDxfId="887" tableBorderDxfId="885" totalsRowBorderDxfId="884">
  <autoFilter ref="Q40:AR61" xr:uid="{CFA487EC-BFD0-4660-BA01-1223E823F05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731B9CE9-6BB8-43AC-AFD1-FCC1240F264D}" name="ID" dataDxfId="883">
      <calculatedColumnFormula>IF(M41=0,SUBSTITUTE(2025&amp;TRIM(cl_org_name_select)&amp;TRIM($E$38)&amp;(ROW(M41)-ROW($M$41))," ",""),"")</calculatedColumnFormula>
    </tableColumn>
    <tableColumn id="2" xr3:uid="{7E825BD7-BC15-47DA-B693-322A9C42686A}" name="Level 1" dataDxfId="882">
      <calculatedColumnFormula>IF($H41="", "", "Medical gases")</calculatedColumnFormula>
    </tableColumn>
    <tableColumn id="3" xr3:uid="{63C2600F-23E0-4759-BA6A-499F9C47BCD6}" name="Level 2" dataDxfId="881">
      <calculatedColumnFormula>IF($H41="", "", "Medical gases")</calculatedColumnFormula>
    </tableColumn>
    <tableColumn id="4" xr3:uid="{EDCF647D-B96B-4A43-92D6-0D2E82CA440B}" name="Level 3" dataDxfId="880"/>
    <tableColumn id="5" xr3:uid="{48D1F6BB-36F4-4369-AE22-4C33A24CDE0D}" name="Level 4" dataDxfId="879">
      <calculatedColumnFormula>IF($H41="", "", "Medical gas")</calculatedColumnFormula>
    </tableColumn>
    <tableColumn id="6" xr3:uid="{354A574A-E0BA-4414-8187-154926F4EF62}" name="Level 5" dataDxfId="878">
      <calculatedColumnFormula>MedicalGases_Frontend[[#This Row],[Gas]]</calculatedColumnFormula>
    </tableColumn>
    <tableColumn id="7" xr3:uid="{5BE35023-FD0B-416B-8F06-BF41E7C73E8A}" name="Level 6" dataDxfId="877">
      <calculatedColumnFormula array="1">_xlfn.XLOOKUP(MedicalGases_Backend[[#This Row],[Level 5]],rng_Level5Long,rng_Level6Long)</calculatedColumnFormula>
    </tableColumn>
    <tableColumn id="27" xr3:uid="{B9BB8370-370E-4D7C-9466-3DD853D7CB8D}" name="Info1 " dataDxfId="876">
      <calculatedColumnFormula>MedicalGases_Frontend[[#This Row],[Site Name]]</calculatedColumnFormula>
    </tableColumn>
    <tableColumn id="26" xr3:uid="{A1323F25-C884-423B-8F54-557737317ED4}" name="Info 2" dataDxfId="875"/>
    <tableColumn id="8" xr3:uid="{9D7EFF68-F7A7-4775-941B-41E86E8EC605}" name="Methodology" dataDxfId="874">
      <calculatedColumnFormula>MedicalGases_Frontend[[#This Row],[Methodology]]</calculatedColumnFormula>
    </tableColumn>
    <tableColumn id="9" xr3:uid="{68FEC98B-59FF-4630-8E0B-8AF760AC76A3}" name="RSD" dataDxfId="873">
      <calculatedColumnFormula array="1">INDEX(_xlfn.SWITCH(MedicalGases_Backend[[#This Row],[Methodology]],"Tier 1",rng_RSD1,"Tier 2",rng_RSD2,"Tier 3",rng_RSD3),MATCH(_xlfn.CONCAT(MedicalGases_Backend[[#This Row],[Level 1]:[Level 6]]),rng_LevelsConcat,0))</calculatedColumnFormula>
    </tableColumn>
    <tableColumn id="10" xr3:uid="{FDEE6AA5-3CA1-4A4B-9C1A-11D9748BEF95}" name="Data" dataDxfId="872">
      <calculatedColumnFormula>MedicalGases_Frontend[[#This Row],[Data]]</calculatedColumnFormula>
    </tableColumn>
    <tableColumn id="11" xr3:uid="{BE5ABCAF-046A-49B6-84B8-415D55BEE86D}" name="Units" dataDxfId="871">
      <calculatedColumnFormula>MedicalGases_Frontend[[#This Row],[Units]]</calculatedColumnFormula>
    </tableColumn>
    <tableColumn id="12" xr3:uid="{99A8970A-96BE-4C85-B536-E4B2C3AE9874}" name="Converted data" dataDxfId="870">
      <calculatedColumnFormula>MedicalGases_Backend[[#This Row],[Data]]</calculatedColumnFormula>
    </tableColumn>
    <tableColumn id="13" xr3:uid="{B47A48E4-DE9B-4453-A1C3-B81FB1D26517}" name="Standard units" dataDxfId="869">
      <calculatedColumnFormula>MedicalGases_Frontend[[#This Row],[Units]]</calculatedColumnFormula>
    </tableColumn>
    <tableColumn id="14" xr3:uid="{95D341EA-67D0-424A-B8FE-1C6752B81B99}" name="Scope 1 (tCO2e)" dataDxfId="868">
      <calculatedColumnFormula>_xlfn.XLOOKUP(_xlfn.CONCAT(MedicalGases_Backend[[#This Row],[Level 1]:[Level 6]]),rng_EFConcat,rng_EF1)*MedicalGases_Backend[[#This Row],[Converted data]]/1000</calculatedColumnFormula>
    </tableColumn>
    <tableColumn id="15" xr3:uid="{2C4CCB07-B1FF-4CAE-A08F-22C44884A417}" name="Scope 2 (tCO2e)" dataDxfId="867">
      <calculatedColumnFormula>_xlfn.XLOOKUP(_xlfn.CONCAT(MedicalGases_Backend[[#This Row],[Level 1]:[Level 6]]),rng_EFConcat,rng_EF2)*MedicalGases_Backend[[#This Row],[Converted data]]/1000</calculatedColumnFormula>
    </tableColumn>
    <tableColumn id="16" xr3:uid="{323C6345-5C41-4364-984A-3174FDC1C826}" name="Scope 3 (tCO2e)" dataDxfId="866">
      <calculatedColumnFormula>_xlfn.XLOOKUP(_xlfn.CONCAT(MedicalGases_Backend[[#This Row],[Level 1]:[Level 6]]),rng_EFConcat,rng_EF3)*MedicalGases_Backend[[#This Row],[Converted data]]/1000</calculatedColumnFormula>
    </tableColumn>
    <tableColumn id="17" xr3:uid="{44732B9B-93BA-4A2F-96FB-CF8908A2043A}" name="Scope 3 WTT (tCO2e)" dataDxfId="865">
      <calculatedColumnFormula>_xlfn.XLOOKUP(_xlfn.CONCAT(MedicalGases_Backend[[#This Row],[Level 1]:[Level 6]]),rng_EFConcat,rng_EF3WTT)*MedicalGases_Backend[[#This Row],[Converted data]]/1000</calculatedColumnFormula>
    </tableColumn>
    <tableColumn id="18" xr3:uid="{A21BA626-8FBB-4992-B0C0-353F640B84C4}" name="Scope 3 T&amp;D (tCO2e)" dataDxfId="864">
      <calculatedColumnFormula>_xlfn.XLOOKUP(_xlfn.CONCAT(MedicalGases_Backend[[#This Row],[Level 1]:[Level 6]]),rng_EFConcat,rng_EF3TD)*MedicalGases_Backend[[#This Row],[Converted data]]/1000</calculatedColumnFormula>
    </tableColumn>
    <tableColumn id="19" xr3:uid="{12EEEF2F-38F4-4D9C-B440-2712811BE3CF}" name="Scope 3 WTT T&amp;D (tCO2e)" dataDxfId="863">
      <calculatedColumnFormula>_xlfn.XLOOKUP(_xlfn.CONCAT(MedicalGases_Backend[[#This Row],[Level 1]:[Level 6]]),rng_EFConcat,rng_EF3WTTTD)*MedicalGases_Backend[[#This Row],[Converted data]]/1000</calculatedColumnFormula>
    </tableColumn>
    <tableColumn id="20" xr3:uid="{11DDA71A-F2C1-42FC-A6C8-7A7EE1800BFD}" name="Total (tCO2e)" dataDxfId="862">
      <calculatedColumnFormula>SUM(MedicalGases_Backend[[#This Row],[Scope 1 (tCO2e)]:[Scope 3 WTT T&amp;D (tCO2e)]])</calculatedColumnFormula>
    </tableColumn>
    <tableColumn id="21" xr3:uid="{D9C5B9BC-33E7-4A66-A8A6-43C8142F8B86}" name="Low (tCO2e)" dataDxfId="861">
      <calculatedColumnFormula>MedicalGases_Backend[[#This Row],[Total (tCO2e)]]*(1-MedicalGases_Backend[[#This Row],[RSD]])</calculatedColumnFormula>
    </tableColumn>
    <tableColumn id="22" xr3:uid="{BA8E290C-1946-44A0-94C1-B0D4306FB6F1}" name="High (tCO2e)" dataDxfId="860">
      <calculatedColumnFormula>MedicalGases_Backend[[#This Row],[Total (tCO2e)]]*(1+MedicalGases_Backend[[#This Row],[RSD]])</calculatedColumnFormula>
    </tableColumn>
    <tableColumn id="23" xr3:uid="{F2F9CD7C-14F6-439E-9C73-DAD2E7298FF3}" name="OOS (tCO2e)" dataDxfId="859">
      <calculatedColumnFormula>_xlfn.XLOOKUP(_xlfn.CONCAT(MedicalGases_Backend[[#This Row],[Level 1]:[Level 6]]),rng_EFConcat,rng_EFOOS)*MedicalGases_Backend[[#This Row],[Converted data]]/1000</calculatedColumnFormula>
    </tableColumn>
    <tableColumn id="24" xr3:uid="{2EABFAE5-4D50-44E4-80DE-E417322F4422}" name="Ease of collection" dataDxfId="858">
      <calculatedColumnFormula>MedicalGases_Frontend[[#This Row],[Ease of collection]]</calculatedColumnFormula>
    </tableColumn>
    <tableColumn id="28" xr3:uid="{1EE94557-4FC0-41D0-ABC2-93BD2AC75424}" name="Completeness" dataDxfId="857">
      <calculatedColumnFormula>MedicalGases_Frontend[[#This Row],[Completeness]]</calculatedColumnFormula>
    </tableColumn>
    <tableColumn id="25" xr3:uid="{C1DE0B2B-CAA8-447E-9ECB-D9A74CBB97DC}" name="Notes" dataDxfId="856">
      <calculatedColumnFormula>MedicalGases_Frontend[[#This Row],[Notes]]</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CDCA899B-E75D-4FC6-ACF0-B6C7C8ABED10}" name="Fleet_Fuel_Frontend" displayName="Fleet_Fuel_Frontend" ref="E15:N35" totalsRowShown="0" headerRowDxfId="855" dataDxfId="853" headerRowBorderDxfId="854" tableBorderDxfId="852" totalsRowBorderDxfId="851">
  <autoFilter ref="E15:N35" xr:uid="{CDCA899B-E75D-4FC6-ACF0-B6C7C8ABED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FDD179A-9369-46B0-AE70-9E3749A3252A}" name="Type" dataDxfId="850"/>
    <tableColumn id="2" xr3:uid="{8366C21C-C589-4BAA-9F02-0F6A3626FA44}" name="Fleet type" dataDxfId="849"/>
    <tableColumn id="3" xr3:uid="{5D5CD565-D632-4FB3-A729-FE313DBB800B}" name="Fuel" dataDxfId="848"/>
    <tableColumn id="4" xr3:uid="{FEE66825-577B-4326-AFA8-68E14042BA8D}" name="Number of units" dataDxfId="847"/>
    <tableColumn id="5" xr3:uid="{86A6A85D-A5B7-4AAE-94EA-8FD09EF1E073}" name="Methodology" dataDxfId="846"/>
    <tableColumn id="6" xr3:uid="{A4DC67A5-0301-4C59-A7BE-228A515E3E5D}" name="Data" dataDxfId="845"/>
    <tableColumn id="7" xr3:uid="{D97C0968-3E3D-4E9D-995C-1AD98D22AC52}" name="Units" dataDxfId="844"/>
    <tableColumn id="8" xr3:uid="{F755A797-1E9A-4DF5-BB24-C7C553FD5853}" name="Ease of collection" dataDxfId="843"/>
    <tableColumn id="9" xr3:uid="{F87C1AE7-BB5D-4E10-96CE-6ED32E9D54DC}" name="Completeness" dataDxfId="842"/>
    <tableColumn id="10" xr3:uid="{6CAFB879-5C4F-40D3-ABD0-B64E4CE72B00}" name="Notes" dataDxfId="84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66F0DA0-204D-477C-8463-65356DAADD8F}" name="Fleet_Distance_Frontend" displayName="Fleet_Distance_Frontend" ref="E40:N61" totalsRowShown="0" headerRowDxfId="840" dataDxfId="838" headerRowBorderDxfId="839" tableBorderDxfId="837" totalsRowBorderDxfId="836">
  <autoFilter ref="E40:N61" xr:uid="{D66F0DA0-204D-477C-8463-65356DAADD8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F0B6039-9643-4803-8122-F2373187B878}" name="Fleet type" dataDxfId="835"/>
    <tableColumn id="2" xr3:uid="{E77F114E-8313-4331-865D-532FC9F510C7}" name="Fuel" dataDxfId="834"/>
    <tableColumn id="3" xr3:uid="{2D3EBD84-217F-426B-BFEB-492C5AB19236}" name="Size" dataDxfId="833"/>
    <tableColumn id="4" xr3:uid="{4CA1B5B3-5E5D-44F7-AAE7-6C332337DC5D}" name="Number of units" dataDxfId="832"/>
    <tableColumn id="5" xr3:uid="{1FCA85A2-B64C-4BB4-A5DF-2722754B47F6}" name="Methodology" dataDxfId="831"/>
    <tableColumn id="6" xr3:uid="{B50664A5-1DEE-47C0-801C-8DF27367FBE8}" name="Data" dataDxfId="830"/>
    <tableColumn id="7" xr3:uid="{053DBFFC-2D91-4E93-9631-BF13728679D8}" name="Units" dataDxfId="829"/>
    <tableColumn id="8" xr3:uid="{C7FD66F9-06CB-423B-B8F3-352C8C62AD1F}" name="Ease of collection" dataDxfId="828"/>
    <tableColumn id="9" xr3:uid="{28E85FFD-91F2-4F08-AAEE-B63953903B78}" name="Completeness" dataDxfId="827"/>
    <tableColumn id="10" xr3:uid="{CFA2A263-5A63-4287-AAE4-C47E99E7B50C}" name="Notes" dataDxfId="82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1ABFAEE-AF14-4D94-B78A-E9F947739352}" name="Fleet_Fuel_Backend" displayName="Fleet_Fuel_Backend" ref="Q15:AR35" totalsRowShown="0" headerRowDxfId="825" dataDxfId="823" headerRowBorderDxfId="824" tableBorderDxfId="822" totalsRowBorderDxfId="821">
  <autoFilter ref="Q15:AR35" xr:uid="{21ABFAEE-AF14-4D94-B78A-E9F9477393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F5BEB48F-4C5A-4DB3-B452-506116DE2809}" name="ID" dataDxfId="820">
      <calculatedColumnFormula>IF(O16=0,SUBSTITUTE(2025&amp;TRIM(cl_org_name_select)&amp;TRIM($E$13)&amp;(ROW(O16)-ROW($O$16))," ",""),"")</calculatedColumnFormula>
    </tableColumn>
    <tableColumn id="2" xr3:uid="{1A064543-55C2-4A0C-8B99-8F05F23CBA0E}" name="Level 1" dataDxfId="819">
      <calculatedColumnFormula>IF($J16="", "", "Transport")</calculatedColumnFormula>
    </tableColumn>
    <tableColumn id="3" xr3:uid="{400432FA-D5F5-4287-9FCF-09C0E4E47A0F}" name="Level 2" dataDxfId="818">
      <calculatedColumnFormula>IF($J16="", "", "Fleet")</calculatedColumnFormula>
    </tableColumn>
    <tableColumn id="4" xr3:uid="{5187F6DF-73D4-4AD0-931C-67254A37D966}" name="Level 3" dataDxfId="817">
      <calculatedColumnFormula>Fleet_Fuel_Frontend[[#This Row],[Type]]</calculatedColumnFormula>
    </tableColumn>
    <tableColumn id="5" xr3:uid="{87BB05F2-4CBC-4062-907F-D66582BAC6CB}" name="Level 4" dataDxfId="816">
      <calculatedColumnFormula>Fleet_Fuel_Frontend[[#This Row],[Fleet type]]</calculatedColumnFormula>
    </tableColumn>
    <tableColumn id="6" xr3:uid="{27CF391E-548F-4268-B371-B62382A21EF6}" name="Level 5" dataDxfId="815">
      <calculatedColumnFormula>Fleet_Fuel_Frontend[[#This Row],[Fuel]]</calculatedColumnFormula>
    </tableColumn>
    <tableColumn id="7" xr3:uid="{2366075E-B59F-4953-B514-17C615FC7BF2}" name="Level 6" dataDxfId="814">
      <calculatedColumnFormula array="1">_xlfn.XLOOKUP(Fleet_Fuel_Backend[[#This Row],[Level 5]],_xlfn._xlws.FILTER(rng_Level5Long,rng_Level4Long=Fleet_Fuel_Backend[[#This Row],[Level 4]]),_xlfn._xlws.FILTER(rng_Level6Long,rng_Level4Long=Fleet_Fuel_Backend[[#This Row],[Level 4]]))</calculatedColumnFormula>
    </tableColumn>
    <tableColumn id="26" xr3:uid="{EF02133D-87EB-4054-A94D-36915A27B2BA}" name="Info 1" dataDxfId="813">
      <calculatedColumnFormula>Fleet_Fuel_Frontend[[#This Row],[Number of units]]</calculatedColumnFormula>
    </tableColumn>
    <tableColumn id="27" xr3:uid="{69867831-985D-462D-9E67-F1BA745F9C45}" name="Info 2" dataDxfId="812"/>
    <tableColumn id="8" xr3:uid="{5A9DC632-B952-4657-8C7A-F80FDE8A37F4}" name="Methodology" dataDxfId="811">
      <calculatedColumnFormula>Fleet_Fuel_Frontend[[#This Row],[Methodology]]</calculatedColumnFormula>
    </tableColumn>
    <tableColumn id="9" xr3:uid="{4BD5058C-713F-467E-9476-BB98CE073BAE}" name="RSD" dataDxfId="810">
      <calculatedColumnFormula array="1">INDEX(_xlfn.SWITCH(Fleet_Fuel_Backend[[#This Row],[Methodology]],"Tier 1",rng_RSD1,"Tier 2",rng_RSD2,"Tier 3",rng_RSD3),MATCH(_xlfn.CONCAT(Fleet_Fuel_Backend[[#This Row],[Level 1]:[Level 6]]),rng_LevelsConcat,0))</calculatedColumnFormula>
    </tableColumn>
    <tableColumn id="10" xr3:uid="{7AC86480-46BD-47A7-97AC-B084A951F25C}" name="Data" dataDxfId="809">
      <calculatedColumnFormula>Fleet_Fuel_Frontend[[#This Row],[Data]]</calculatedColumnFormula>
    </tableColumn>
    <tableColumn id="11" xr3:uid="{1469A62F-BCD9-44F7-94AB-D8DC767B5CBF}" name="Units" dataDxfId="808">
      <calculatedColumnFormula>Fleet_Fuel_Frontend[[#This Row],[Units]]</calculatedColumnFormula>
    </tableColumn>
    <tableColumn id="12" xr3:uid="{8704E635-F776-42EF-871A-A5DD71123BA1}" name="Converted data" dataDxfId="807">
      <calculatedColumnFormula>IF(Fleet_Fuel_Backend[[#This Row],[Units]]=Fleet_Fuel_Backend[[#This Row],[Standard units]],Fleet_Fuel_Backend[[#This Row],[Data]],Fleet_Fuel_Backend[[#This Row],[Data]]*_xlfn.XLOOKUP(_xlfn.CONCAT(Fleet_Fuel_Backend[[#This Row],[Level 1]:[Level 6]]),rng_EFConcat,rng_EFConversion))</calculatedColumnFormula>
    </tableColumn>
    <tableColumn id="13" xr3:uid="{7A8F8C82-A63F-4D39-9221-3C71252C9D0D}" name="Standard units" dataDxfId="806">
      <calculatedColumnFormula array="1">IF(OR($G16="",$J16="",$K16=""),"",INDEX(#REF!, MATCH($F16&amp;$G16,#REF!&amp;#REF!,0),MATCH($AE$15,#REF!,0)))</calculatedColumnFormula>
    </tableColumn>
    <tableColumn id="14" xr3:uid="{EA7D840F-A895-43F4-BC80-E7AFE253FD9F}" name="Scope 1 (tCO2e)" dataDxfId="805">
      <calculatedColumnFormula>_xlfn.XLOOKUP(_xlfn.CONCAT(Fleet_Fuel_Backend[[#This Row],[Level 1]:[Level 6]]),rng_EFConcat,rng_EF1)*Fleet_Fuel_Backend[[#This Row],[Converted data]]/1000</calculatedColumnFormula>
    </tableColumn>
    <tableColumn id="15" xr3:uid="{AB8D300D-7A78-4ACB-9D37-96B388E36C14}" name="Scope 2 (tCO2e)" dataDxfId="804">
      <calculatedColumnFormula>_xlfn.XLOOKUP(_xlfn.CONCAT(Fleet_Fuel_Backend[[#This Row],[Level 1]:[Level 6]]),rng_EFConcat,rng_EF2)*Fleet_Fuel_Backend[[#This Row],[Converted data]]/1000</calculatedColumnFormula>
    </tableColumn>
    <tableColumn id="16" xr3:uid="{4A423A8B-1F06-4452-A961-C4AE4445DAC3}" name="Scope 3 (tCO2e)" dataDxfId="803">
      <calculatedColumnFormula>_xlfn.XLOOKUP(_xlfn.CONCAT(Fleet_Fuel_Backend[[#This Row],[Level 1]:[Level 6]]),rng_EFConcat,rng_EF3)*Fleet_Fuel_Backend[[#This Row],[Converted data]]/1000</calculatedColumnFormula>
    </tableColumn>
    <tableColumn id="17" xr3:uid="{2C873809-84F2-4AE6-9EBE-E94BEB50E970}" name="Scope 3 WTT (tCO2e)" dataDxfId="802">
      <calculatedColumnFormula>_xlfn.XLOOKUP(_xlfn.CONCAT(Fleet_Fuel_Backend[[#This Row],[Level 1]:[Level 6]]),rng_EFConcat,rng_EF3WTT)*Fleet_Fuel_Backend[[#This Row],[Converted data]]/1000</calculatedColumnFormula>
    </tableColumn>
    <tableColumn id="18" xr3:uid="{DE7B1914-AD2D-452F-AB96-6FC78C6589A3}" name="Scope 3 T&amp;D (tCO2e)" dataDxfId="801">
      <calculatedColumnFormula>_xlfn.XLOOKUP(_xlfn.CONCAT(Fleet_Fuel_Backend[[#This Row],[Level 1]:[Level 6]]),rng_EFConcat,rng_EF3TD)*Fleet_Fuel_Backend[[#This Row],[Converted data]]/1000</calculatedColumnFormula>
    </tableColumn>
    <tableColumn id="19" xr3:uid="{B57B373B-9360-4A5C-8C11-26BF8B76F847}" name="Scope 3 WTT T&amp;D (tCO2e)" dataDxfId="800">
      <calculatedColumnFormula>_xlfn.XLOOKUP(_xlfn.CONCAT(Fleet_Fuel_Backend[[#This Row],[Level 1]:[Level 6]]),rng_EFConcat,rng_EF3WTTTD)*Fleet_Fuel_Backend[[#This Row],[Converted data]]/1000</calculatedColumnFormula>
    </tableColumn>
    <tableColumn id="20" xr3:uid="{A0169491-071B-4A72-9CDA-F649E7DF28C5}" name="Total (tCO2e)" dataDxfId="799">
      <calculatedColumnFormula>SUM(Fleet_Fuel_Backend[[#This Row],[Scope 1 (tCO2e)]:[Scope 3 WTT T&amp;D (tCO2e)]])</calculatedColumnFormula>
    </tableColumn>
    <tableColumn id="21" xr3:uid="{667372D1-8B24-4532-95CB-C3FC93A3FF90}" name="Low (tCO2e)" dataDxfId="798">
      <calculatedColumnFormula>Fleet_Fuel_Backend[[#This Row],[Total (tCO2e)]]*(1-Fleet_Fuel_Backend[[#This Row],[RSD]])</calculatedColumnFormula>
    </tableColumn>
    <tableColumn id="22" xr3:uid="{72F85AE2-3646-4E6E-AD52-A320D8FD7066}" name="High (tCO2e)" dataDxfId="797">
      <calculatedColumnFormula>Fleet_Fuel_Backend[[#This Row],[Total (tCO2e)]]*(1+Fleet_Fuel_Backend[[#This Row],[RSD]])</calculatedColumnFormula>
    </tableColumn>
    <tableColumn id="23" xr3:uid="{95ABF86C-5FF4-45BC-AEAD-B0F3F3195403}" name="OOS (tCO2e)" dataDxfId="796">
      <calculatedColumnFormula>_xlfn.XLOOKUP(_xlfn.CONCAT(Fleet_Fuel_Backend[[#This Row],[Level 1]:[Level 6]]),rng_EFConcat,rng_EFOOS)*Fleet_Fuel_Backend[[#This Row],[Converted data]]/1000</calculatedColumnFormula>
    </tableColumn>
    <tableColumn id="24" xr3:uid="{93B713C4-36CB-4D1F-9E0A-946DC2BAE7F9}" name="Ease of collection" dataDxfId="795">
      <calculatedColumnFormula>Fleet_Fuel_Frontend[[#This Row],[Ease of collection]]</calculatedColumnFormula>
    </tableColumn>
    <tableColumn id="28" xr3:uid="{0427B410-D453-4B37-AC5F-BF1EEB7CCB0A}" name="Completeness" dataDxfId="794">
      <calculatedColumnFormula>Fleet_Fuel_Frontend[[#This Row],[Completeness]]</calculatedColumnFormula>
    </tableColumn>
    <tableColumn id="25" xr3:uid="{BE63CADB-32B6-4F34-8672-BE16BF010271}" name="Notes" dataDxfId="793">
      <calculatedColumnFormula>Fleet_Fuel_Frontend[[#This Row],[Notes]]</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32D2CCE-7E07-4CA1-B043-720DDBF5B335}" name="Fleet_Distance_Backend" displayName="Fleet_Distance_Backend" ref="Q40:AR61" totalsRowShown="0" headerRowDxfId="792" dataDxfId="790" headerRowBorderDxfId="791" tableBorderDxfId="789" totalsRowBorderDxfId="788">
  <autoFilter ref="Q40:AR61" xr:uid="{F32D2CCE-7E07-4CA1-B043-720DDBF5B3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4BDB9E2A-6EA7-491F-B705-7DEF5E0C710B}" name="ID" dataDxfId="787">
      <calculatedColumnFormula>IF(O41=0,SUBSTITUTE(2025&amp;TRIM(cl_org_name_select)&amp;TRIM($E$38)&amp;(ROW(O41)-ROW($O$41))," ",""),"")</calculatedColumnFormula>
    </tableColumn>
    <tableColumn id="2" xr3:uid="{C4ED20E4-F489-4B8C-8AD6-3044876161A1}" name="Level 1" dataDxfId="786">
      <calculatedColumnFormula>IF($J41="", "", "Transport")</calculatedColumnFormula>
    </tableColumn>
    <tableColumn id="3" xr3:uid="{A2B6C098-6386-427B-B5BD-91BC8E40DB25}" name="Level 2" dataDxfId="785">
      <calculatedColumnFormula>IF($J41="", "", "Fleet")</calculatedColumnFormula>
    </tableColumn>
    <tableColumn id="4" xr3:uid="{F61BD0D3-68E2-408E-855F-7C6439A86D44}" name="Level 3" dataDxfId="784"/>
    <tableColumn id="5" xr3:uid="{AA4AC6B0-DF80-4AE9-8982-67C4A1B77D1F}" name="Level 4" dataDxfId="783">
      <calculatedColumnFormula>Fleet_Distance_Frontend[[#This Row],[Fleet type]]</calculatedColumnFormula>
    </tableColumn>
    <tableColumn id="6" xr3:uid="{E9DA1610-7D12-42E0-A958-D13D31851D48}" name="Level 5" dataDxfId="782">
      <calculatedColumnFormula>Fleet_Distance_Frontend[[#This Row],[Fuel]]</calculatedColumnFormula>
    </tableColumn>
    <tableColumn id="7" xr3:uid="{4A925938-76F6-4020-9E51-56E30A81AA1B}" name="Level 6" dataDxfId="781">
      <calculatedColumnFormula>Fleet_Distance_Frontend[[#This Row],[Size]]</calculatedColumnFormula>
    </tableColumn>
    <tableColumn id="27" xr3:uid="{00BD80FC-0AEE-47C6-8C1C-8EEA4C1B0F60}" name="Info 1" dataDxfId="780">
      <calculatedColumnFormula>Fleet_Distance_Frontend[[#This Row],[Number of units]]</calculatedColumnFormula>
    </tableColumn>
    <tableColumn id="26" xr3:uid="{B06BC98B-6BFA-4D1F-A6B3-AF350B88AAFD}" name="Info 2" dataDxfId="779"/>
    <tableColumn id="8" xr3:uid="{3118A5B3-1EBB-4049-86BC-641E8FE602AC}" name="Methodology" dataDxfId="778">
      <calculatedColumnFormula>Fleet_Distance_Frontend[[#This Row],[Methodology]]</calculatedColumnFormula>
    </tableColumn>
    <tableColumn id="9" xr3:uid="{C0F2B8B0-2B33-4FC2-820D-BADD0E5A828B}" name="RSD" dataDxfId="777">
      <calculatedColumnFormula array="1">INDEX(_xlfn.SWITCH(Fleet_Distance_Backend[[#This Row],[Methodology]],"Tier 1",rng_RSD1,"Tier 2",rng_RSD2,"Tier 3",rng_RSD3),MATCH(_xlfn.CONCAT(Fleet_Distance_Backend[[#This Row],[Level 1]:[Level 6]]),rng_LevelsConcat,0))</calculatedColumnFormula>
    </tableColumn>
    <tableColumn id="10" xr3:uid="{15C542D1-0C7A-4BD9-9662-A55AA02785EB}" name="Data" dataDxfId="776">
      <calculatedColumnFormula>Fleet_Distance_Frontend[[#This Row],[Data]]</calculatedColumnFormula>
    </tableColumn>
    <tableColumn id="11" xr3:uid="{74EAC673-7CC9-439E-9D45-FB759E346F1C}" name="Units" dataDxfId="775">
      <calculatedColumnFormula>Fleet_Distance_Frontend[[#This Row],[Units]]</calculatedColumnFormula>
    </tableColumn>
    <tableColumn id="12" xr3:uid="{56F21E35-6A9F-44B2-BDCB-F41EAFDD6E0F}" name="Converted data" dataDxfId="774">
      <calculatedColumnFormula>IF(Fleet_Distance_Backend[[#This Row],[Units]]=Fleet_Distance_Backend[[#This Row],[Standard units]],Fleet_Distance_Backend[[#This Row],[Data]],Fleet_Distance_Backend[[#This Row],[Data]]*_xlfn.XLOOKUP(_xlfn.CONCAT(Fleet_Distance_Backend[[#This Row],[Level 1]:[Level 6]]),rng_EFConcat,rng_EFConversion))</calculatedColumnFormula>
    </tableColumn>
    <tableColumn id="13" xr3:uid="{E89CBB24-7567-42DF-A735-FD1F07DC361B}" name="Standard units" dataDxfId="773">
      <calculatedColumnFormula array="1">IF(OR($G41="",$J41="",$K41=""),"",INDEX(#REF!, MATCH(E41&amp;$F41&amp;$G41,#REF!&amp;#REF!&amp;#REF!,0),MATCH($AE$15,#REF!,0)))</calculatedColumnFormula>
    </tableColumn>
    <tableColumn id="14" xr3:uid="{5D71BED4-AAD6-473D-A40D-18F8332E57AB}" name="Scope 1 (tCO2e)" dataDxfId="772">
      <calculatedColumnFormula>_xlfn.XLOOKUP(_xlfn.CONCAT(Fleet_Distance_Backend[[#This Row],[Level 1]:[Level 6]]),rng_EFConcat,rng_EF1)*Fleet_Distance_Backend[[#This Row],[Converted data]]/1000</calculatedColumnFormula>
    </tableColumn>
    <tableColumn id="15" xr3:uid="{13E877C7-85AD-43DA-880C-C0F176B4F1D4}" name="Scope 2 (tCO2e)" dataDxfId="771">
      <calculatedColumnFormula>_xlfn.XLOOKUP(_xlfn.CONCAT(Fleet_Distance_Backend[[#This Row],[Level 1]:[Level 6]]),rng_EFConcat,rng_EF2)*Fleet_Distance_Backend[[#This Row],[Converted data]]/1000</calculatedColumnFormula>
    </tableColumn>
    <tableColumn id="16" xr3:uid="{6B75FB9E-D6B5-430A-94B2-814A185D7E99}" name="Scope 3 (tCO2e)" dataDxfId="770">
      <calculatedColumnFormula>_xlfn.XLOOKUP(_xlfn.CONCAT(Fleet_Distance_Backend[[#This Row],[Level 1]:[Level 6]]),rng_EFConcat,rng_EF3)*Fleet_Distance_Backend[[#This Row],[Converted data]]/1000</calculatedColumnFormula>
    </tableColumn>
    <tableColumn id="17" xr3:uid="{D58DF9FB-FDFC-4BA1-94D2-A02A88E27C14}" name="Scope 3 WTT (tCO2e)" dataDxfId="769">
      <calculatedColumnFormula>_xlfn.XLOOKUP(_xlfn.CONCAT(Fleet_Distance_Backend[[#This Row],[Level 1]:[Level 6]]),rng_EFConcat,rng_EF3WTT)*Fleet_Distance_Backend[[#This Row],[Converted data]]/1000</calculatedColumnFormula>
    </tableColumn>
    <tableColumn id="18" xr3:uid="{245165D9-0DFB-4DD8-B16F-0CAF2E3E9E68}" name="Scope 3 T&amp;D (tCO2e)" dataDxfId="768">
      <calculatedColumnFormula>_xlfn.XLOOKUP(_xlfn.CONCAT(Fleet_Distance_Backend[[#This Row],[Level 1]:[Level 6]]),rng_EFConcat,rng_EF3TD)*Fleet_Distance_Backend[[#This Row],[Converted data]]/1000</calculatedColumnFormula>
    </tableColumn>
    <tableColumn id="19" xr3:uid="{A1598BA7-438F-4519-86DC-5B3BA1A302D7}" name="Scope 3 WTT T&amp;D (tCO2e)" dataDxfId="767">
      <calculatedColumnFormula>_xlfn.XLOOKUP(_xlfn.CONCAT(Fleet_Distance_Backend[[#This Row],[Level 1]:[Level 6]]),rng_EFConcat,rng_EF3WTTTD)*Fleet_Distance_Backend[[#This Row],[Converted data]]/1000</calculatedColumnFormula>
    </tableColumn>
    <tableColumn id="20" xr3:uid="{CCF4753D-528D-4773-95F9-8D33E21E065B}" name="Total (tCO2e)" dataDxfId="766">
      <calculatedColumnFormula>SUM(Fleet_Distance_Backend[[#This Row],[Scope 1 (tCO2e)]:[Scope 3 WTT T&amp;D (tCO2e)]])</calculatedColumnFormula>
    </tableColumn>
    <tableColumn id="21" xr3:uid="{EFFEDF10-482C-461D-B17B-18F6ABFFCB4B}" name="Low (tCO2e)" dataDxfId="765">
      <calculatedColumnFormula>Fleet_Distance_Backend[[#This Row],[Total (tCO2e)]]*(1-Fleet_Distance_Backend[[#This Row],[RSD]])</calculatedColumnFormula>
    </tableColumn>
    <tableColumn id="22" xr3:uid="{15AA1DB4-74CA-4206-A897-781D011FD734}" name="High (tCO2e)" dataDxfId="764">
      <calculatedColumnFormula>Fleet_Distance_Backend[[#This Row],[Total (tCO2e)]]*(1+Fleet_Distance_Backend[[#This Row],[RSD]])</calculatedColumnFormula>
    </tableColumn>
    <tableColumn id="23" xr3:uid="{3E50CBCA-B8E5-45C6-B99C-CBBF4BBCE509}" name="OOS (tCO2e)" dataDxfId="763">
      <calculatedColumnFormula>_xlfn.XLOOKUP(_xlfn.CONCAT(Fleet_Distance_Backend[[#This Row],[Level 1]:[Level 6]]),rng_EFConcat,rng_EFOOS)*Fleet_Distance_Backend[[#This Row],[Converted data]]/1000</calculatedColumnFormula>
    </tableColumn>
    <tableColumn id="24" xr3:uid="{1D575B60-20F9-478E-B115-710F095B39C1}" name="Ease of collection" dataDxfId="762">
      <calculatedColumnFormula>Fleet_Distance_Frontend[[#This Row],[Ease of collection]]</calculatedColumnFormula>
    </tableColumn>
    <tableColumn id="28" xr3:uid="{0B88A25E-1ECC-4723-958F-30210ED1192D}" name="Completeness" dataDxfId="761">
      <calculatedColumnFormula>Fleet_Distance_Frontend[[#This Row],[Completeness]]</calculatedColumnFormula>
    </tableColumn>
    <tableColumn id="25" xr3:uid="{B36BFDA0-1425-4CEA-BEEC-C05815D30FD6}" name="Notes" dataDxfId="760">
      <calculatedColumnFormula>Fleet_Distance_Frontend[[#This Row],[Notes]]</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7B1A229-1377-4910-9C8B-4E44C11D65E9}" name="BusinessTravel_Frontend" displayName="BusinessTravel_Frontend" ref="E16:N36" totalsRowShown="0" headerRowDxfId="759" dataDxfId="757" headerRowBorderDxfId="758" tableBorderDxfId="756" totalsRowBorderDxfId="755">
  <autoFilter ref="E16:N36" xr:uid="{B7B1A229-1377-4910-9C8B-4E44C11D65E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E48C8BF-3263-4466-99B0-EAEA87BF76AD}" name="Travel mode" dataDxfId="754"/>
    <tableColumn id="2" xr3:uid="{8E392B7D-1958-4A0F-953F-70963D222F28}" name="Category" dataDxfId="753"/>
    <tableColumn id="3" xr3:uid="{59D109FF-D7AD-4795-91B3-975521E742B7}" name="Type" dataDxfId="752"/>
    <tableColumn id="4" xr3:uid="{3A31FB5C-E78F-4F43-B242-6322C18E7696}" name="Details" dataDxfId="751"/>
    <tableColumn id="5" xr3:uid="{48D949F4-3C65-4F9A-8E51-634774D10D1A}" name="Methodology" dataDxfId="750"/>
    <tableColumn id="6" xr3:uid="{4E9529D4-67E5-41EF-8F2C-A1908EFC7F2A}" name="Data" dataDxfId="749"/>
    <tableColumn id="7" xr3:uid="{DD0E737A-B13A-4E6A-B3CD-A21C1E6DEC18}" name="Units" dataDxfId="748"/>
    <tableColumn id="8" xr3:uid="{84B748BA-5F9C-4DAC-8A29-EB638FA59F7D}" name="Ease of collection" dataDxfId="747"/>
    <tableColumn id="9" xr3:uid="{E4ABE89C-BC64-49C4-B153-E8355A8A37C0}" name="Completeness" dataDxfId="746"/>
    <tableColumn id="10" xr3:uid="{B6795162-8416-4A5C-B371-C862941DFF81}" name="Notes" dataDxfId="74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68CF828-7AA2-44AF-B4E1-8E870180DFB8}" name="Buildings_SiteInfo" displayName="Buildings_SiteInfo" ref="E12:L512" totalsRowShown="0" headerRowDxfId="1145" dataDxfId="1144" tableBorderDxfId="1143">
  <autoFilter ref="E12:L512" xr:uid="{668CF828-7AA2-44AF-B4E1-8E870180DFB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0C83A6F-DEBE-4A2A-BA69-4A7FD5F23884}" name="Site name" dataDxfId="1142"/>
    <tableColumn id="2" xr3:uid="{9E2C7CA9-ED97-4EF0-8A19-EE516140F279}" name="Site type" dataDxfId="1141"/>
    <tableColumn id="3" xr3:uid="{B5AD8CB7-BAFB-4B9B-A4CE-CFE38539FD61}" name="Building category" dataDxfId="1140"/>
    <tableColumn id="4" xr3:uid="{4706FB92-5D24-4FF6-B4FD-C889F1DDC65B}" name="Building type" dataDxfId="1139"/>
    <tableColumn id="5" xr3:uid="{D92F876A-D2AA-4C1F-8D88-C6AA75EB3BBF}" name="Occupied floor area (m2)" dataDxfId="1138"/>
    <tableColumn id="6" xr3:uid="{C24DA8DD-AEAA-4079-9C56-BD5A5E410831}" name="Main heating type" dataDxfId="1137"/>
    <tableColumn id="8" xr3:uid="{7F71DBE3-D7DD-4AD7-9C51-F65BC7D5630B}" name="Heating system size (kW thermal)" dataDxfId="1136"/>
    <tableColumn id="7" xr3:uid="{6485120F-ABFF-4040-BAFD-9985406B4EDF}" name="Postcode" dataDxfId="1135"/>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441DDD0-7825-4876-AFDD-E5285C2980C8}" name="BusinessTravel_Backend" displayName="BusinessTravel_Backend" ref="Q16:AR36" totalsRowShown="0" headerRowDxfId="744" dataDxfId="742" headerRowBorderDxfId="743" tableBorderDxfId="741" totalsRowBorderDxfId="740">
  <autoFilter ref="Q16:AR36" xr:uid="{9441DDD0-7825-4876-AFDD-E5285C2980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AFB26DFB-70F1-48A1-B09C-D724221D85EF}" name="ID" dataDxfId="739">
      <calculatedColumnFormula>IF(O17=0,SUBSTITUTE(2025&amp;TRIM(cl_org_name_select)&amp;TRIM($E$14)&amp;(ROW(O17)-ROW($O$17))," ",""),"")</calculatedColumnFormula>
    </tableColumn>
    <tableColumn id="2" xr3:uid="{F682404A-C791-4796-93E6-015DFA588BA8}" name="Level 1" dataDxfId="738">
      <calculatedColumnFormula>IF($K17="", "", "Transport")</calculatedColumnFormula>
    </tableColumn>
    <tableColumn id="3" xr3:uid="{E41E2810-8E8B-4D3B-92A8-2C14A8CCA753}" name="Level 2" dataDxfId="737">
      <calculatedColumnFormula>IF($K17="", "", "Business travel")</calculatedColumnFormula>
    </tableColumn>
    <tableColumn id="4" xr3:uid="{1E9C5692-CCF1-492F-8C8B-5DB56A94FFAA}" name="Level 3" dataDxfId="736">
      <calculatedColumnFormula>BusinessTravel_Frontend[[#This Row],[Travel mode]]</calculatedColumnFormula>
    </tableColumn>
    <tableColumn id="5" xr3:uid="{5E506413-70E0-4C2A-B3EF-8B53A4A5DFFA}" name="Level 4" dataDxfId="735">
      <calculatedColumnFormula>BusinessTravel_Frontend[[#This Row],[Category]]</calculatedColumnFormula>
    </tableColumn>
    <tableColumn id="6" xr3:uid="{801F0282-3615-461E-A169-52B89161D6F4}" name="Level 5" dataDxfId="734">
      <calculatedColumnFormula>BusinessTravel_Frontend[[#This Row],[Type]]</calculatedColumnFormula>
    </tableColumn>
    <tableColumn id="7" xr3:uid="{04CB04B9-BC90-4792-AB78-46486B06C72B}" name="Level 6" dataDxfId="733">
      <calculatedColumnFormula>BusinessTravel_Frontend[[#This Row],[Details]]</calculatedColumnFormula>
    </tableColumn>
    <tableColumn id="27" xr3:uid="{9679916A-8BFD-4979-8FF0-D5A878C92E98}" name="Info 1" dataDxfId="732"/>
    <tableColumn id="26" xr3:uid="{891D6776-9BAF-4F09-ABD2-84FEC7527D90}" name="Info 2" dataDxfId="731"/>
    <tableColumn id="8" xr3:uid="{45309DEC-E622-417B-B2DC-EDBBAD51C00E}" name="Methodology" dataDxfId="730">
      <calculatedColumnFormula>BusinessTravel_Frontend[[#This Row],[Methodology]]</calculatedColumnFormula>
    </tableColumn>
    <tableColumn id="9" xr3:uid="{B01F8875-E07B-4228-A03D-A887C28CD02E}" name="RSD" dataDxfId="729">
      <calculatedColumnFormula array="1">INDEX(_xlfn.SWITCH(BusinessTravel_Backend[[#This Row],[Methodology]],"Tier 1",rng_RSD1,"Tier 2",rng_RSD2,"Tier 3",rng_RSD3),MATCH(_xlfn.CONCAT(BusinessTravel_Backend[[#This Row],[Level 1]:[Level 6]]),rng_LevelsConcat,0))</calculatedColumnFormula>
    </tableColumn>
    <tableColumn id="10" xr3:uid="{4AB71A04-7CC8-4A63-8885-721496D849A7}" name="Data" dataDxfId="728">
      <calculatedColumnFormula>BusinessTravel_Frontend[[#This Row],[Data]]</calculatedColumnFormula>
    </tableColumn>
    <tableColumn id="11" xr3:uid="{13BC5BA7-DA21-479C-ACAC-D926E09E0EA0}" name="Units" dataDxfId="727">
      <calculatedColumnFormula>BusinessTravel_Frontend[[#This Row],[Units]]</calculatedColumnFormula>
    </tableColumn>
    <tableColumn id="12" xr3:uid="{D52E0C3E-66C3-40EB-B60E-A665AF405B23}" name="Converted data" dataDxfId="726">
      <calculatedColumnFormula>IF(BusinessTravel_Backend[[#This Row],[Units]]=BusinessTravel_Backend[[#This Row],[Standard units]],BusinessTravel_Backend[[#This Row],[Data]],BusinessTravel_Backend[[#This Row],[Data]]*_xlfn.XLOOKUP(_xlfn.CONCAT(BusinessTravel_Backend[[#This Row],[Level 1]:[Level 6]]),rng_EFConcat,rng_EFConversion))</calculatedColumnFormula>
    </tableColumn>
    <tableColumn id="13" xr3:uid="{D257B0C8-CD3D-4D15-B69D-AFA1865BC392}" name="Standard units" dataDxfId="725">
      <calculatedColumnFormula array="1">_xlfn.XLOOKUP(_xlfn.CONCAT(BusinessTravel_Backend[[#This Row],[Level 1]:[Level 6]]),rng_LevelsConcat,rng_UnitsLong)</calculatedColumnFormula>
    </tableColumn>
    <tableColumn id="14" xr3:uid="{1EFFC648-0CCF-402B-9659-D287D3301EBF}" name="Scope 1 (tCO2e)" dataDxfId="724">
      <calculatedColumnFormula>_xlfn.XLOOKUP(_xlfn.CONCAT(BusinessTravel_Backend[[#This Row],[Level 1]:[Level 6]]),rng_EFConcat,rng_EF1)*BusinessTravel_Backend[[#This Row],[Converted data]]/1000</calculatedColumnFormula>
    </tableColumn>
    <tableColumn id="15" xr3:uid="{4E8F3A17-809D-4B64-83D2-11B900AD8ABC}" name="Scope 2 (tCO2e)" dataDxfId="723">
      <calculatedColumnFormula>_xlfn.XLOOKUP(_xlfn.CONCAT(BusinessTravel_Backend[[#This Row],[Level 1]:[Level 6]]),rng_EFConcat,rng_EF2)*BusinessTravel_Backend[[#This Row],[Converted data]]/1000</calculatedColumnFormula>
    </tableColumn>
    <tableColumn id="16" xr3:uid="{EA314A3A-599A-4828-8FB4-7E6310C7221E}" name="Scope 3 (tCO2e)" dataDxfId="722">
      <calculatedColumnFormula>_xlfn.XLOOKUP(_xlfn.CONCAT(BusinessTravel_Backend[[#This Row],[Level 1]:[Level 6]]),rng_EFConcat,rng_EF3)*BusinessTravel_Backend[[#This Row],[Converted data]]/1000</calculatedColumnFormula>
    </tableColumn>
    <tableColumn id="17" xr3:uid="{530E91F7-4B02-4467-B163-5C41A258D83D}" name="Scope 3 WTT (tCO2e)" dataDxfId="721">
      <calculatedColumnFormula>_xlfn.XLOOKUP(_xlfn.CONCAT(BusinessTravel_Backend[[#This Row],[Level 1]:[Level 6]]),rng_EFConcat,rng_EF3WTT)*BusinessTravel_Backend[[#This Row],[Converted data]]/1000</calculatedColumnFormula>
    </tableColumn>
    <tableColumn id="18" xr3:uid="{D9100830-A9D7-428C-98C1-CC489730C43D}" name="Scope 3 T&amp;D (tCO2e)" dataDxfId="720">
      <calculatedColumnFormula>_xlfn.XLOOKUP(_xlfn.CONCAT(BusinessTravel_Backend[[#This Row],[Level 1]:[Level 6]]),rng_EFConcat,rng_EF3TD)*BusinessTravel_Backend[[#This Row],[Converted data]]/1000</calculatedColumnFormula>
    </tableColumn>
    <tableColumn id="19" xr3:uid="{0E00427B-33EA-46D0-AFEA-ED3DB66B9081}" name="Scope 3 WTT T&amp;D (tCO2e)" dataDxfId="719">
      <calculatedColumnFormula>_xlfn.XLOOKUP(_xlfn.CONCAT(BusinessTravel_Backend[[#This Row],[Level 1]:[Level 6]]),rng_EFConcat,rng_EF3WTTTD)*BusinessTravel_Backend[[#This Row],[Converted data]]/1000</calculatedColumnFormula>
    </tableColumn>
    <tableColumn id="20" xr3:uid="{AA0FBBBC-5B13-4685-8742-824BF6843349}" name="Total (tCO2e)" dataDxfId="718">
      <calculatedColumnFormula>SUM(BusinessTravel_Backend[[#This Row],[Scope 1 (tCO2e)]:[Scope 3 WTT T&amp;D (tCO2e)]])</calculatedColumnFormula>
    </tableColumn>
    <tableColumn id="21" xr3:uid="{97C878B5-6A8F-4617-B3D3-2F961F7A57E3}" name="Low (tCO2e)" dataDxfId="717">
      <calculatedColumnFormula>BusinessTravel_Backend[[#This Row],[Total (tCO2e)]]*(1-BusinessTravel_Backend[[#This Row],[RSD]])</calculatedColumnFormula>
    </tableColumn>
    <tableColumn id="22" xr3:uid="{1BDE460A-BBFC-4826-8A6F-B144BEADE132}" name="High (tCO2e)" dataDxfId="716">
      <calculatedColumnFormula>BusinessTravel_Backend[[#This Row],[Total (tCO2e)]]*(1+BusinessTravel_Backend[[#This Row],[RSD]])</calculatedColumnFormula>
    </tableColumn>
    <tableColumn id="23" xr3:uid="{5B74A16C-D36C-4826-8E82-F73E739F75CA}" name="OOS (tCO2e)" dataDxfId="715">
      <calculatedColumnFormula>_xlfn.XLOOKUP(_xlfn.CONCAT(BusinessTravel_Backend[[#This Row],[Level 1]:[Level 6]]),rng_EFConcat,rng_EFOOS)*BusinessTravel_Backend[[#This Row],[Converted data]]/1000</calculatedColumnFormula>
    </tableColumn>
    <tableColumn id="24" xr3:uid="{82A69856-8E4A-4F9D-8009-795F43691929}" name="Ease of collection" dataDxfId="714">
      <calculatedColumnFormula>BusinessTravel_Frontend[[#This Row],[Ease of collection]]</calculatedColumnFormula>
    </tableColumn>
    <tableColumn id="28" xr3:uid="{884AF1FE-EA3C-4772-88A3-9BEA2303EFCC}" name="Completeness" dataDxfId="713">
      <calculatedColumnFormula>BusinessTravel_Frontend[[#This Row],[Completeness]]</calculatedColumnFormula>
    </tableColumn>
    <tableColumn id="25" xr3:uid="{AC0695B9-518F-46E4-B66F-410B527CFAC6}" name="Notes" dataDxfId="712">
      <calculatedColumnFormula>BusinessTravel_Frontend[[#This Row],[Notes]]</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CAE1C9-2742-467A-92AD-0A227C34832A}" name="Commuting_Frontend" displayName="Commuting_Frontend" ref="E41:N62" totalsRowShown="0" headerRowDxfId="711" dataDxfId="709" headerRowBorderDxfId="710" tableBorderDxfId="708" totalsRowBorderDxfId="707">
  <autoFilter ref="E41:N62" xr:uid="{E5CAE1C9-2742-467A-92AD-0A227C3483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3A0BD14-DA84-4572-9376-D167CA905B01}" name="Travel mode" dataDxfId="706"/>
    <tableColumn id="2" xr3:uid="{8852E24F-7B12-46D9-89DD-E0DDCA61F249}" name="Category" dataDxfId="705"/>
    <tableColumn id="3" xr3:uid="{01C2B965-5BF5-4964-87F5-A9CF767F8D8B}" name="Type" dataDxfId="704"/>
    <tableColumn id="4" xr3:uid="{E3F78812-5729-4D47-8831-EDFAAF6D2D91}" name="Details" dataDxfId="703"/>
    <tableColumn id="5" xr3:uid="{6D1E0AA6-336C-4C49-8946-63805CF9151F}" name="Methodology" dataDxfId="702"/>
    <tableColumn id="6" xr3:uid="{3CCF9841-6458-409C-8E4C-33C55568FBC8}" name="Data" dataDxfId="701"/>
    <tableColumn id="7" xr3:uid="{1144C3F5-A850-4E4B-A713-2CB1B4830D19}" name="Units" dataDxfId="700"/>
    <tableColumn id="8" xr3:uid="{42A3EA34-A299-43B5-9F50-C3AA959CDBFA}" name="Ease of collection" dataDxfId="699"/>
    <tableColumn id="9" xr3:uid="{8E5F9BA5-459E-4076-998D-917EEB22446C}" name="Completeness" dataDxfId="698"/>
    <tableColumn id="10" xr3:uid="{B6973DA7-F258-47D5-87D9-809847F49719}" name="Notes" dataDxfId="697"/>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7E45339-5EB6-4D76-B344-AE1A32500B0C}" name="Commuting_Backend" displayName="Commuting_Backend" ref="Q41:AR62" totalsRowShown="0" headerRowDxfId="696" dataDxfId="694" headerRowBorderDxfId="695" tableBorderDxfId="693" totalsRowBorderDxfId="692">
  <autoFilter ref="Q41:AR62" xr:uid="{67E45339-5EB6-4D76-B344-AE1A32500B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41D81F83-974B-4FF3-9043-3F9692209845}" name="ID" dataDxfId="691">
      <calculatedColumnFormula>IF(O42=0,SUBSTITUTE(2025&amp;TRIM(cl_org_name_select)&amp;TRIM($E$39)&amp;(ROW(O42)-ROW($O$42))," ",""),"")</calculatedColumnFormula>
    </tableColumn>
    <tableColumn id="2" xr3:uid="{69B02B9E-821F-4751-B7E6-9B02347A9DF9}" name="Level 1" dataDxfId="690">
      <calculatedColumnFormula>IF($K42="", "", "Transport")</calculatedColumnFormula>
    </tableColumn>
    <tableColumn id="3" xr3:uid="{5389DB9F-53D8-4337-9A91-CD9FCDA6E418}" name="Level 2" dataDxfId="689">
      <calculatedColumnFormula>IF($J42&amp;$K42="", "", "Commuting")</calculatedColumnFormula>
    </tableColumn>
    <tableColumn id="4" xr3:uid="{AD517CC5-59DE-42F1-A3ED-41D7CB8D0929}" name="Level 3" dataDxfId="688">
      <calculatedColumnFormula>Commuting_Frontend[[#This Row],[Travel mode]]</calculatedColumnFormula>
    </tableColumn>
    <tableColumn id="5" xr3:uid="{4FDF7EAD-B4F4-4544-A1C5-5DA51D321D2D}" name="Level 4" dataDxfId="687">
      <calculatedColumnFormula>Commuting_Frontend[[#This Row],[Category]]</calculatedColumnFormula>
    </tableColumn>
    <tableColumn id="6" xr3:uid="{678C6E7A-D30C-42ED-867B-115195F02645}" name="Level 5" dataDxfId="686">
      <calculatedColumnFormula>Commuting_Frontend[[#This Row],[Type]]</calculatedColumnFormula>
    </tableColumn>
    <tableColumn id="7" xr3:uid="{9F21733B-7716-4487-9FAE-E8763C98CD0D}" name="Level 6" dataDxfId="685">
      <calculatedColumnFormula>Commuting_Frontend[[#This Row],[Details]]</calculatedColumnFormula>
    </tableColumn>
    <tableColumn id="27" xr3:uid="{6DA91092-F2EB-4E93-ADCF-F14659475F88}" name="Info 1" dataDxfId="684"/>
    <tableColumn id="26" xr3:uid="{7694EC91-BACB-4191-8DEF-8E7E036CB850}" name="Info 2" dataDxfId="683"/>
    <tableColumn id="8" xr3:uid="{90E77903-93A5-4225-8CF9-019D68F8229B}" name="Methodology" dataDxfId="682">
      <calculatedColumnFormula>Commuting_Frontend[[#This Row],[Methodology]]</calculatedColumnFormula>
    </tableColumn>
    <tableColumn id="9" xr3:uid="{5760751E-31CA-4BE0-B79E-52F8A386E920}" name="RSD" dataDxfId="681">
      <calculatedColumnFormula array="1">INDEX(_xlfn.SWITCH(Commuting_Backend[[#This Row],[Methodology]],"Tier 1",rng_RSD1,"Tier 2",rng_RSD2,"Tier 3",rng_RSD3),MATCH(_xlfn.CONCAT(Commuting_Backend[[#This Row],[Level 1]:[Level 6]]),rng_LevelsConcat,0))</calculatedColumnFormula>
    </tableColumn>
    <tableColumn id="10" xr3:uid="{A14C0113-F57E-4A33-92E5-8C690F92E1A9}" name="Data" dataDxfId="680">
      <calculatedColumnFormula>Commuting_Frontend[[#This Row],[Data]]</calculatedColumnFormula>
    </tableColumn>
    <tableColumn id="11" xr3:uid="{C55731B8-BF70-4699-9445-992868650C56}" name="Units" dataDxfId="679">
      <calculatedColumnFormula>Commuting_Frontend[[#This Row],[Units]]</calculatedColumnFormula>
    </tableColumn>
    <tableColumn id="12" xr3:uid="{9FFE4B84-6910-4BC9-8529-546E42FD50F0}" name="Converted data" dataDxfId="678">
      <calculatedColumnFormula>IF(Commuting_Backend[[#This Row],[Units]]=Commuting_Backend[[#This Row],[Standard units]],Commuting_Backend[[#This Row],[Data]],Commuting_Backend[[#This Row],[Data]]*_xlfn.XLOOKUP(_xlfn.CONCAT(Commuting_Backend[[#This Row],[Level 1]:[Level 6]]),rng_EFConcat,rng_EFConversion))</calculatedColumnFormula>
    </tableColumn>
    <tableColumn id="13" xr3:uid="{8D240B55-6A93-4B6D-B67B-29AD3AE63745}" name="Standard units" dataDxfId="677">
      <calculatedColumnFormula array="1">_xlfn.XLOOKUP(_xlfn.CONCAT(Commuting_Backend[[#This Row],[Level 1]:[Level 6]]),rng_LevelsConcat,rng_UnitsLong)</calculatedColumnFormula>
    </tableColumn>
    <tableColumn id="14" xr3:uid="{3ECA3BFD-A5ED-4090-9233-98F83F0B5D2E}" name="Scope 1 (tCO2e)" dataDxfId="676">
      <calculatedColumnFormula>_xlfn.XLOOKUP(_xlfn.CONCAT(Commuting_Backend[[#This Row],[Level 1]:[Level 6]]),rng_EFConcat,rng_EF1)*Commuting_Backend[[#This Row],[Converted data]]/1000</calculatedColumnFormula>
    </tableColumn>
    <tableColumn id="15" xr3:uid="{DD33FA7A-4C64-40D6-8199-AD91A04D2C55}" name="Scope 2 (tCO2e)" dataDxfId="675">
      <calculatedColumnFormula>_xlfn.XLOOKUP(_xlfn.CONCAT(Commuting_Backend[[#This Row],[Level 1]:[Level 6]]),rng_EFConcat,rng_EF2)*Commuting_Backend[[#This Row],[Converted data]]/1000</calculatedColumnFormula>
    </tableColumn>
    <tableColumn id="16" xr3:uid="{F9C56530-42D7-40E1-8E37-12D0EBC23127}" name="Scope 3 (tCO2e)" dataDxfId="674">
      <calculatedColumnFormula>_xlfn.XLOOKUP(_xlfn.CONCAT(Commuting_Backend[[#This Row],[Level 1]:[Level 6]]),rng_EFConcat,rng_EF3)*Commuting_Backend[[#This Row],[Converted data]]/1000</calculatedColumnFormula>
    </tableColumn>
    <tableColumn id="17" xr3:uid="{485C3576-92EC-4ECE-A513-5EC132020F29}" name="Scope 3 WTT (tCO2e)" dataDxfId="673">
      <calculatedColumnFormula>_xlfn.XLOOKUP(_xlfn.CONCAT(Commuting_Backend[[#This Row],[Level 1]:[Level 6]]),rng_EFConcat,rng_EF3WTT)*Commuting_Backend[[#This Row],[Converted data]]/1000</calculatedColumnFormula>
    </tableColumn>
    <tableColumn id="18" xr3:uid="{843D08D8-D50D-4F74-B3D3-6FAD0AFB40C6}" name="Scope 3 T&amp;D (tCO2e)" dataDxfId="672">
      <calculatedColumnFormula>_xlfn.XLOOKUP(_xlfn.CONCAT(Commuting_Backend[[#This Row],[Level 1]:[Level 6]]),rng_EFConcat,rng_EF3TD)*Commuting_Backend[[#This Row],[Converted data]]/1000</calculatedColumnFormula>
    </tableColumn>
    <tableColumn id="19" xr3:uid="{0A18C735-779B-49AC-8531-44FCD49D2F20}" name="Scope 3 WTT T&amp;D (tCO2e)" dataDxfId="671">
      <calculatedColumnFormula>_xlfn.XLOOKUP(_xlfn.CONCAT(Commuting_Backend[[#This Row],[Level 1]:[Level 6]]),rng_EFConcat,rng_EF3WTTTD)*Commuting_Backend[[#This Row],[Converted data]]/1000</calculatedColumnFormula>
    </tableColumn>
    <tableColumn id="20" xr3:uid="{70457446-BEB1-4566-90FF-ED19334414FE}" name="Total (tCO2e)" dataDxfId="670">
      <calculatedColumnFormula>SUM(Commuting_Backend[[#This Row],[Scope 1 (tCO2e)]:[Scope 3 WTT T&amp;D (tCO2e)]])</calculatedColumnFormula>
    </tableColumn>
    <tableColumn id="21" xr3:uid="{C1C53610-782D-4A7E-93D7-EBF76FDBA929}" name="Low (tCO2e)" dataDxfId="669">
      <calculatedColumnFormula>Commuting_Backend[[#This Row],[Total (tCO2e)]]*(1-Commuting_Backend[[#This Row],[RSD]])</calculatedColumnFormula>
    </tableColumn>
    <tableColumn id="22" xr3:uid="{D52C94BF-C9EF-4239-8D00-5EED4CC95629}" name="High (tCO2e)" dataDxfId="668">
      <calculatedColumnFormula>Commuting_Backend[[#This Row],[Total (tCO2e)]]*(1+Commuting_Backend[[#This Row],[RSD]])</calculatedColumnFormula>
    </tableColumn>
    <tableColumn id="23" xr3:uid="{A0B43CD4-929C-43AF-B96D-0519CCCC513F}" name="OOS (tCO2e)" dataDxfId="667">
      <calculatedColumnFormula>_xlfn.XLOOKUP(_xlfn.CONCAT(Commuting_Backend[[#This Row],[Level 1]:[Level 6]]),rng_EFConcat,rng_EFOOS)*Commuting_Backend[[#This Row],[Converted data]]/1000</calculatedColumnFormula>
    </tableColumn>
    <tableColumn id="24" xr3:uid="{0DB24D40-A437-4F40-8B6D-63AC525C4977}" name="Ease of collection" dataDxfId="666">
      <calculatedColumnFormula>Commuting_Frontend[[#This Row],[Ease of collection]]</calculatedColumnFormula>
    </tableColumn>
    <tableColumn id="28" xr3:uid="{EB1166CD-3C93-4D6B-90DC-C8B49DFECD00}" name="Completeness" dataDxfId="665">
      <calculatedColumnFormula>Commuting_Frontend[[#This Row],[Completeness]]</calculatedColumnFormula>
    </tableColumn>
    <tableColumn id="25" xr3:uid="{06321482-2400-4B16-88FD-F56F2839A755}" name="Notes" dataDxfId="664">
      <calculatedColumnFormula>Commuting_Frontend[[#This Row],[Notes]]</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C0BDC56-BFD3-4A57-A8FA-C89D30278A3E}" name="Homeworking_Frontend" displayName="Homeworking_Frontend" ref="F67:N88" totalsRowShown="0" headerRowDxfId="663" tableBorderDxfId="662">
  <autoFilter ref="F67:N88" xr:uid="{5C0BDC56-BFD3-4A57-A8FA-C89D30278A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5EB589A-51A0-48B4-9B03-8F5BF01ADD21}" name="Blank" dataDxfId="661"/>
    <tableColumn id="2" xr3:uid="{5C0224B3-A1B0-43FC-AEF6-873A0F60C849}" name="Number of FTE" dataDxfId="660"/>
    <tableColumn id="3" xr3:uid="{D24EC169-29E0-4321-A5E8-675FCB97191A}" name="% Working hours at home" dataDxfId="659"/>
    <tableColumn id="4" xr3:uid="{7FC62773-DB71-49F6-A4B0-C7C12FC6B3C7}" name="Methodology" dataDxfId="658"/>
    <tableColumn id="5" xr3:uid="{3FFE148F-3970-4640-A4AB-2E3463EEDACA}" name="Data" dataDxfId="657">
      <calculatedColumnFormula>IF($G68="","",Homeworking_Frontend[[#This Row],[Number of FTE]]*Homeworking_Frontend[[#This Row],[% Working hours at home]]*37.5*46.4)</calculatedColumnFormula>
    </tableColumn>
    <tableColumn id="6" xr3:uid="{94C97B15-A632-4AC6-8575-224B83BE901E}" name="Units" dataDxfId="656"/>
    <tableColumn id="7" xr3:uid="{B1C2D225-F440-4F69-AA52-09774C3D1284}" name="Ease of collection" dataDxfId="655"/>
    <tableColumn id="8" xr3:uid="{29E6085B-E717-43D0-B449-B71E28BC8E5F}" name="Completeness" dataDxfId="654"/>
    <tableColumn id="9" xr3:uid="{46888C7D-BC0E-44EB-84D3-41864916A72D}" name="Notes" dataDxfId="653"/>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2FFF477-2962-4D61-82B8-20243220B3B4}" name="Homeworking_Backend" displayName="Homeworking_Backend" ref="Q67:AR88" totalsRowShown="0" headerRowDxfId="652" dataDxfId="650" headerRowBorderDxfId="651" tableBorderDxfId="649" totalsRowBorderDxfId="648">
  <autoFilter ref="Q67:AR88" xr:uid="{F2FFF477-2962-4D61-82B8-20243220B3B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C84F4809-5130-4F62-81F9-A9B9EAE73D44}" name="ID" dataDxfId="647">
      <calculatedColumnFormula>IF(O68=0,SUBSTITUTE(2025&amp;TRIM(cl_org_name_select)&amp;TRIM($E$65)&amp;(ROW(O68)-ROW($O$68))," ",""),"")</calculatedColumnFormula>
    </tableColumn>
    <tableColumn id="2" xr3:uid="{B71A2E76-3E79-4C17-A21A-D8FAB5881A12}" name="Level 1" dataDxfId="646">
      <calculatedColumnFormula>IF(I42="", "", "Transport")</calculatedColumnFormula>
    </tableColumn>
    <tableColumn id="3" xr3:uid="{0EBE057D-C183-44FA-A499-965DAE2BD4EE}" name="Level 2" dataDxfId="645">
      <calculatedColumnFormula>IF($I68="", "", "Homeworking")</calculatedColumnFormula>
    </tableColumn>
    <tableColumn id="4" xr3:uid="{40DFDBDE-AD7B-4C47-920B-C63FEC4A4DBE}" name="Level 3" dataDxfId="644">
      <calculatedColumnFormula array="1">_xlfn.XLOOKUP(Homeworking_Backend[[#This Row],[Level 2]],rng_Level2Long,rng_Level3Long)</calculatedColumnFormula>
    </tableColumn>
    <tableColumn id="5" xr3:uid="{994A3236-D0F1-4C43-809F-5E07B54EA50D}" name="Level 4" dataDxfId="643">
      <calculatedColumnFormula array="1">_xlfn.XLOOKUP(Homeworking_Backend[[#This Row],[Level 3]],rng_Level3Long,rng_Level4Long)</calculatedColumnFormula>
    </tableColumn>
    <tableColumn id="6" xr3:uid="{BB90A344-8670-4009-9470-C9FE54A3CFA3}" name="Level 5" dataDxfId="642">
      <calculatedColumnFormula array="1">_xlfn.XLOOKUP(Homeworking_Backend[[#This Row],[Level 4]],rng_Level4Long,rng_Level5Long)</calculatedColumnFormula>
    </tableColumn>
    <tableColumn id="7" xr3:uid="{591B8729-4AE3-4217-B1FB-220415AF1691}" name="Level 6" dataDxfId="641">
      <calculatedColumnFormula array="1">_xlfn.XLOOKUP(Homeworking_Backend[[#This Row],[Level 5]],rng_Level5Long,rng_Level6Long)</calculatedColumnFormula>
    </tableColumn>
    <tableColumn id="26" xr3:uid="{1229F7A8-B500-44D5-B1E1-E028D34B8F23}" name="Info 1" dataDxfId="640"/>
    <tableColumn id="27" xr3:uid="{580AB211-4111-441A-BE02-06C989054829}" name="Info 2" dataDxfId="639"/>
    <tableColumn id="8" xr3:uid="{5648DE36-800A-407F-9E5B-224EEF727119}" name="Methodology" dataDxfId="638">
      <calculatedColumnFormula>Homeworking_Frontend[[#This Row],[Methodology]]</calculatedColumnFormula>
    </tableColumn>
    <tableColumn id="9" xr3:uid="{415C4580-95D1-4BD0-9C66-2F8258F2D0D1}" name="RSD" dataDxfId="637">
      <calculatedColumnFormula array="1">INDEX(_xlfn.SWITCH(Homeworking_Backend[[#This Row],[Methodology]],"Tier 1",rng_RSD1,"Tier 2",rng_RSD2,"Tier 3",rng_RSD3),MATCH(_xlfn.CONCAT(Homeworking_Backend[[#This Row],[Level 1]:[Level 6]]),rng_LevelsConcat,0))</calculatedColumnFormula>
    </tableColumn>
    <tableColumn id="10" xr3:uid="{7D9BE180-9356-4AAE-87E3-EEBDA12F12E3}" name="Data" dataDxfId="636">
      <calculatedColumnFormula>Homeworking_Frontend[[#This Row],[Data]]</calculatedColumnFormula>
    </tableColumn>
    <tableColumn id="11" xr3:uid="{81351A4F-F8D4-4487-A9F8-87134F10BB97}" name="Units" dataDxfId="635">
      <calculatedColumnFormula>Homeworking_Frontend[[#This Row],[Units]]</calculatedColumnFormula>
    </tableColumn>
    <tableColumn id="12" xr3:uid="{F5C8296F-3393-438F-8324-1816E0BE317C}" name="Converted data" dataDxfId="634">
      <calculatedColumnFormula>IF(Homeworking_Backend[[#This Row],[Units]]=Homeworking_Backend[[#This Row],[Standard units]],Homeworking_Backend[[#This Row],[Data]],Homeworking_Backend[[#This Row],[Data]]*_xlfn.XLOOKUP(_xlfn.CONCAT(Homeworking_Backend[[#This Row],[Level 1]:[Level 6]]),rng_EFConcat,rng_EFConversion))</calculatedColumnFormula>
    </tableColumn>
    <tableColumn id="13" xr3:uid="{41BC96F8-7900-454C-8971-19F7ED682171}" name="Standard units" dataDxfId="633">
      <calculatedColumnFormula array="1">_xlfn.XLOOKUP(_xlfn.CONCAT(Homeworking_Backend[[#This Row],[Level 1]:[Level 6]]),rng_LevelsConcat,rng_UnitsLong)</calculatedColumnFormula>
    </tableColumn>
    <tableColumn id="14" xr3:uid="{57394BB1-D722-4B0D-A7C5-71AE6EAA7A05}" name="Scope 1 (tCO2e)" dataDxfId="632">
      <calculatedColumnFormula>_xlfn.XLOOKUP(_xlfn.CONCAT(Homeworking_Backend[[#This Row],[Level 1]:[Level 6]]),rng_EFConcat,rng_EF1)*Homeworking_Backend[[#This Row],[Converted data]]/1000</calculatedColumnFormula>
    </tableColumn>
    <tableColumn id="15" xr3:uid="{34C0A0A1-252F-467D-89A4-7E4A7F98428C}" name="Scope 2 (tCO2e)" dataDxfId="631">
      <calculatedColumnFormula>_xlfn.XLOOKUP(_xlfn.CONCAT(Homeworking_Backend[[#This Row],[Level 1]:[Level 6]]),rng_EFConcat,rng_EF2)*Homeworking_Backend[[#This Row],[Converted data]]/1000</calculatedColumnFormula>
    </tableColumn>
    <tableColumn id="16" xr3:uid="{636CDE3F-9B0A-4A07-A058-9D33D86E2927}" name="Scope 3 (tCO2e)" dataDxfId="630">
      <calculatedColumnFormula>_xlfn.XLOOKUP(_xlfn.CONCAT(Homeworking_Backend[[#This Row],[Level 1]:[Level 6]]),rng_EFConcat,rng_EF3)*Homeworking_Backend[[#This Row],[Converted data]]/1000</calculatedColumnFormula>
    </tableColumn>
    <tableColumn id="17" xr3:uid="{4703B1A2-1C3B-4FBF-B3C5-EE0EC01C0130}" name="Scope 3 WTT (tCO2e)" dataDxfId="629">
      <calculatedColumnFormula>_xlfn.XLOOKUP(_xlfn.CONCAT(Homeworking_Backend[[#This Row],[Level 1]:[Level 6]]),rng_EFConcat,rng_EF3WTT)*Homeworking_Backend[[#This Row],[Converted data]]/1000</calculatedColumnFormula>
    </tableColumn>
    <tableColumn id="18" xr3:uid="{B8431814-09C3-4289-9B32-E155E4D97871}" name="Scope 3 T&amp;D (tCO2e)" dataDxfId="628">
      <calculatedColumnFormula>_xlfn.XLOOKUP(_xlfn.CONCAT(Homeworking_Backend[[#This Row],[Level 1]:[Level 6]]),rng_EFConcat,rng_EF3TD)*Homeworking_Backend[[#This Row],[Converted data]]/1000</calculatedColumnFormula>
    </tableColumn>
    <tableColumn id="19" xr3:uid="{EF533CCF-1551-4467-B5AD-5EDC1F6B4C6D}" name="Scope 3 WTT T&amp;D (tCO2e)" dataDxfId="627">
      <calculatedColumnFormula>_xlfn.XLOOKUP(_xlfn.CONCAT(Homeworking_Backend[[#This Row],[Level 1]:[Level 6]]),rng_EFConcat,rng_EF3WTTTD)*Homeworking_Backend[[#This Row],[Converted data]]/1000</calculatedColumnFormula>
    </tableColumn>
    <tableColumn id="20" xr3:uid="{0E446C92-622E-4239-AFCD-19340293C91A}" name="Total (tCO2e)" dataDxfId="626">
      <calculatedColumnFormula>SUM(Homeworking_Backend[[#This Row],[Scope 1 (tCO2e)]:[Scope 3 WTT T&amp;D (tCO2e)]])</calculatedColumnFormula>
    </tableColumn>
    <tableColumn id="21" xr3:uid="{38B0CC01-1955-419F-A05D-08B76F4F8B5E}" name="Low (tCO2e)" dataDxfId="625">
      <calculatedColumnFormula>Homeworking_Backend[[#This Row],[Total (tCO2e)]]*(1-Homeworking_Backend[[#This Row],[RSD]])</calculatedColumnFormula>
    </tableColumn>
    <tableColumn id="22" xr3:uid="{DFB45B23-7DA1-42FD-B6FB-54DB6C9FA48A}" name="High (tCO2e)" dataDxfId="624">
      <calculatedColumnFormula>Homeworking_Backend[[#This Row],[Total (tCO2e)]]*(1+Homeworking_Backend[[#This Row],[RSD]])</calculatedColumnFormula>
    </tableColumn>
    <tableColumn id="23" xr3:uid="{CFD654CF-B87E-47B3-BC35-5E3BB2D01490}" name="OOS (tCO2e)" dataDxfId="623">
      <calculatedColumnFormula>_xlfn.XLOOKUP(_xlfn.CONCAT(Homeworking_Backend[[#This Row],[Level 1]:[Level 6]]),rng_EFConcat,rng_EFOOS)*Homeworking_Backend[[#This Row],[Converted data]]/1000</calculatedColumnFormula>
    </tableColumn>
    <tableColumn id="24" xr3:uid="{6EE4C46C-341E-4B49-BC5A-0AB55C7F6F1B}" name="Ease of collection" dataDxfId="622">
      <calculatedColumnFormula>Homeworking_Frontend[[#This Row],[Ease of collection]]</calculatedColumnFormula>
    </tableColumn>
    <tableColumn id="28" xr3:uid="{D2413E4F-29DC-4CA5-A380-FC12FFB2FCD7}" name="Completeness" dataDxfId="621">
      <calculatedColumnFormula>Homeworking_Frontend[[#This Row],[Completeness]]</calculatedColumnFormula>
    </tableColumn>
    <tableColumn id="25" xr3:uid="{C69DA606-C868-4C12-AAA9-91CAE0B4B4EE}" name="Notes" dataDxfId="620">
      <calculatedColumnFormula>Homeworking_Frontend[[#This Row],[Notes]]</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9AE5E72-8632-4BC4-98BD-43D052B549E3}" name="Waste_Org_Frontend" displayName="Waste_Org_Frontend" ref="E14:L34" totalsRowShown="0" headerRowDxfId="619" dataDxfId="617" headerRowBorderDxfId="618" tableBorderDxfId="616" totalsRowBorderDxfId="615">
  <autoFilter ref="E14:L34" xr:uid="{19AE5E72-8632-4BC4-98BD-43D052B549E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D3AA6C-C51D-429F-AE5D-235DC8F3D04D}" name="Disposal Method" dataDxfId="614"/>
    <tableColumn id="2" xr3:uid="{4DC4F2E6-877E-48BB-A27F-5C943F66CC02}" name="Waste Type" dataDxfId="613"/>
    <tableColumn id="3" xr3:uid="{CC376AF8-5DFE-4663-870D-B6B7B00F9AAF}" name="Methodology" dataDxfId="612"/>
    <tableColumn id="4" xr3:uid="{7140D22F-93A2-412A-9CFF-0928B20B84B6}" name="Data" dataDxfId="611"/>
    <tableColumn id="5" xr3:uid="{4B765282-372A-4423-AB05-BA7133121536}" name="Units" dataDxfId="610"/>
    <tableColumn id="6" xr3:uid="{6BE2B5FA-FA24-4D11-AA70-E470A6EFE05C}" name="Ease of collection" dataDxfId="609"/>
    <tableColumn id="7" xr3:uid="{4E8BB98F-9478-4DB3-A795-EE2D3DD742DB}" name="Completeness" dataDxfId="608"/>
    <tableColumn id="8" xr3:uid="{F22D59D2-34ED-4FA5-A97B-9D877D9A56DD}" name="Notes" dataDxfId="60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78F7645-B561-47D6-BFE3-D76E6B59C3EE}" name="Waste_Org_Backend" displayName="Waste_Org_Backend" ref="Q14:AR34" totalsRowShown="0" headerRowDxfId="606" dataDxfId="604" headerRowBorderDxfId="605" tableBorderDxfId="603" totalsRowBorderDxfId="602">
  <autoFilter ref="Q14:AR34" xr:uid="{078F7645-B561-47D6-BFE3-D76E6B59C3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C9966D20-619F-4F6A-B292-D0D14E52E250}" name="ID" dataDxfId="601">
      <calculatedColumnFormula>IF(M15=0,SUBSTITUTE(2025&amp;TRIM(cl_org_name_select)&amp;TRIM($E$12)&amp;(ROW(M15)-ROW($M$15))," ",""),"")</calculatedColumnFormula>
    </tableColumn>
    <tableColumn id="2" xr3:uid="{50CB8288-27FF-4B10-800D-79BFF5A569A8}" name="Level 1" dataDxfId="600">
      <calculatedColumnFormula>IF($H15="", "", "Waste")</calculatedColumnFormula>
    </tableColumn>
    <tableColumn id="3" xr3:uid="{387B3434-830E-464B-AF06-EA5C9123A2D5}" name="Level 2" dataDxfId="599">
      <calculatedColumnFormula>IF($H15="", "", "Organisational")</calculatedColumnFormula>
    </tableColumn>
    <tableColumn id="4" xr3:uid="{917628B0-C90B-4611-B1F2-D2FC673CAF4A}" name="Level 3" dataDxfId="598">
      <calculatedColumnFormula>BusinessTravel_Frontend[[#This Row],[Travel mode]]</calculatedColumnFormula>
    </tableColumn>
    <tableColumn id="5" xr3:uid="{7CABFFDF-60EB-461B-A4E1-75619CDA1998}" name="Level 4" dataDxfId="597">
      <calculatedColumnFormula>Waste_Org_Frontend[[#This Row],[Disposal Method]]</calculatedColumnFormula>
    </tableColumn>
    <tableColumn id="6" xr3:uid="{94CF0311-EF26-4F30-AC7F-482C76D2072E}" name="Level 5" dataDxfId="596">
      <calculatedColumnFormula>Waste_Org_Frontend[[#This Row],[Waste Type]]</calculatedColumnFormula>
    </tableColumn>
    <tableColumn id="7" xr3:uid="{07D34442-D497-4C98-8559-AE353F33A81D}" name="Level 6" dataDxfId="595">
      <calculatedColumnFormula array="1">_xlfn.XLOOKUP(Waste_Org_Backend[[#This Row],[Level 5]],rng_Level5Long,rng_Level6Long)</calculatedColumnFormula>
    </tableColumn>
    <tableColumn id="28" xr3:uid="{0E3950E6-3A60-46F4-8CC4-EFBA5A8D2831}" name="Info 1" dataDxfId="594"/>
    <tableColumn id="27" xr3:uid="{C9C211AF-D997-4E7B-89AB-2F980AA44057}" name="Info 2" dataDxfId="593"/>
    <tableColumn id="8" xr3:uid="{DCBF6A2E-8758-4DCF-95CB-D391C59AA967}" name="Methodology" dataDxfId="592">
      <calculatedColumnFormula>Waste_Org_Frontend[[#This Row],[Methodology]]</calculatedColumnFormula>
    </tableColumn>
    <tableColumn id="9" xr3:uid="{4C7489E6-77B5-4E8F-91E5-0D025D11F38D}" name="RSD" dataDxfId="591">
      <calculatedColumnFormula array="1">INDEX(_xlfn.SWITCH(Waste_Org_Backend[[#This Row],[Methodology]],"Tier 1",rng_RSD1,"Tier 2",rng_RSD2,"Tier 3",rng_RSD3),MATCH(_xlfn.CONCAT(Waste_Org_Backend[[#This Row],[Level 1]:[Level 6]]),rng_LevelsConcat,0))</calculatedColumnFormula>
    </tableColumn>
    <tableColumn id="10" xr3:uid="{63ED1F46-381F-4830-A43A-D7898FE17A2A}" name="Data" dataDxfId="590">
      <calculatedColumnFormula>Waste_Org_Frontend[[#This Row],[Data]]</calculatedColumnFormula>
    </tableColumn>
    <tableColumn id="11" xr3:uid="{17F1C904-BE37-4DDC-AAA4-45F084DEDD0E}" name="Units" dataDxfId="589">
      <calculatedColumnFormula>Waste_Org_Frontend[[#This Row],[Units]]</calculatedColumnFormula>
    </tableColumn>
    <tableColumn id="12" xr3:uid="{8D060A70-448F-4939-B7CF-E2750D9EDD90}" name="Converted data" dataDxfId="588">
      <calculatedColumnFormula>IF(Waste_Org_Backend[[#This Row],[Units]]=Waste_Org_Backend[[#This Row],[Standard units]],Waste_Org_Backend[[#This Row],[Data]],Waste_Org_Backend[[#This Row],[Data]]*_xlfn.XLOOKUP(_xlfn.CONCAT(Waste_Org_Backend[[#This Row],[Level 1]:[Level 6]]),rng_EFConcat,rng_EFConversion))</calculatedColumnFormula>
    </tableColumn>
    <tableColumn id="13" xr3:uid="{F520181D-1ADF-4835-8134-B3BACE50BBDC}" name="Standard units" dataDxfId="587">
      <calculatedColumnFormula array="1">_xlfn.XLOOKUP(_xlfn.CONCAT(Waste_Org_Backend[[#This Row],[Level 1]:[Level 6]]),rng_LevelsConcat,rng_UnitsLong)</calculatedColumnFormula>
    </tableColumn>
    <tableColumn id="14" xr3:uid="{7C6EDFDC-C073-41B2-B61F-069B5C890A1E}" name="Scope 1 (tCO2e)" dataDxfId="586">
      <calculatedColumnFormula>_xlfn.XLOOKUP(_xlfn.CONCAT(Waste_Org_Backend[[#This Row],[Level 1]:[Level 6]]),rng_EFConcat,rng_EF1)*Waste_Org_Backend[[#This Row],[Converted data]]/1000</calculatedColumnFormula>
    </tableColumn>
    <tableColumn id="15" xr3:uid="{4C8092D9-34E5-4190-9E7F-CB976A6B007A}" name="Scope 2 (tCO2e)" dataDxfId="585">
      <calculatedColumnFormula>_xlfn.XLOOKUP(_xlfn.CONCAT(Waste_Org_Backend[[#This Row],[Level 1]:[Level 6]]),rng_EFConcat,rng_EF2)*Waste_Org_Backend[[#This Row],[Converted data]]/1000</calculatedColumnFormula>
    </tableColumn>
    <tableColumn id="16" xr3:uid="{9BFA6D17-BEDA-4650-B0D9-861998605C36}" name="Scope 3 (tCO2e)" dataDxfId="584">
      <calculatedColumnFormula>_xlfn.XLOOKUP(_xlfn.CONCAT(Waste_Org_Backend[[#This Row],[Level 1]:[Level 6]]),rng_EFConcat,rng_EF3)*Waste_Org_Backend[[#This Row],[Converted data]]/1000</calculatedColumnFormula>
    </tableColumn>
    <tableColumn id="17" xr3:uid="{643D42D7-EF92-43EF-A9CC-8239DBFB189C}" name="Scope 3 WTT (tCO2e)" dataDxfId="583">
      <calculatedColumnFormula>_xlfn.XLOOKUP(_xlfn.CONCAT(Waste_Org_Backend[[#This Row],[Level 1]:[Level 6]]),rng_EFConcat,rng_EF3WTT)*Waste_Org_Backend[[#This Row],[Converted data]]/1000</calculatedColumnFormula>
    </tableColumn>
    <tableColumn id="18" xr3:uid="{8CB0E420-9885-465F-A2F7-8EEBE6186A7A}" name="Scope 3 T&amp;D (tCO2e)" dataDxfId="582">
      <calculatedColumnFormula>_xlfn.XLOOKUP(_xlfn.CONCAT(Waste_Org_Backend[[#This Row],[Level 1]:[Level 6]]),rng_EFConcat,rng_EF3TD)*Waste_Org_Backend[[#This Row],[Converted data]]/1000</calculatedColumnFormula>
    </tableColumn>
    <tableColumn id="19" xr3:uid="{DE55AC18-FC81-4098-8EDE-C20DDFD3C5F9}" name="Scope 3 WTT T&amp;D (tCO2e)" dataDxfId="581">
      <calculatedColumnFormula>_xlfn.XLOOKUP(_xlfn.CONCAT(Waste_Org_Backend[[#This Row],[Level 1]:[Level 6]]),rng_EFConcat,rng_EF3WTTTD)*Waste_Org_Backend[[#This Row],[Converted data]]/1000</calculatedColumnFormula>
    </tableColumn>
    <tableColumn id="20" xr3:uid="{944E5ACF-D951-4722-8147-8EE63BFB5B72}" name="Total (tCO2e)" dataDxfId="580">
      <calculatedColumnFormula>SUM(Waste_Org_Backend[[#This Row],[Scope 1 (tCO2e)]:[Scope 3 WTT T&amp;D (tCO2e)]])</calculatedColumnFormula>
    </tableColumn>
    <tableColumn id="21" xr3:uid="{CA2013C8-7D7C-4307-9268-8EB341A2FECB}" name="Low (tCO2e)" dataDxfId="579">
      <calculatedColumnFormula>Waste_Org_Backend[[#This Row],[Total (tCO2e)]]*(1-Waste_Org_Backend[[#This Row],[RSD]])</calculatedColumnFormula>
    </tableColumn>
    <tableColumn id="22" xr3:uid="{E23B1BD9-BA75-424F-8346-9CF98739CDAF}" name="High (tCO2e)" dataDxfId="578">
      <calculatedColumnFormula>Waste_Org_Backend[[#This Row],[Total (tCO2e)]]*(1+Waste_Org_Backend[[#This Row],[RSD]])</calculatedColumnFormula>
    </tableColumn>
    <tableColumn id="23" xr3:uid="{D4D3F76F-A1E6-4EBF-97B5-E00097B1D9B7}" name="OOS (tCO2e)" dataDxfId="577">
      <calculatedColumnFormula>_xlfn.XLOOKUP(_xlfn.CONCAT(Waste_Org_Backend[[#This Row],[Level 1]:[Level 6]]),rng_EFConcat,rng_EFOOS)*Waste_Org_Backend[[#This Row],[Converted data]]/1000</calculatedColumnFormula>
    </tableColumn>
    <tableColumn id="24" xr3:uid="{2EE66F54-B4E3-47C2-AC85-3FD29491F869}" name="Ease of collection" dataDxfId="576">
      <calculatedColumnFormula>Waste_Org_Frontend[[#This Row],[Ease of collection]]</calculatedColumnFormula>
    </tableColumn>
    <tableColumn id="26" xr3:uid="{BAA43177-B514-4572-9FA1-D06D28115D31}" name="Completeness" dataDxfId="575">
      <calculatedColumnFormula>Waste_Org_Frontend[[#This Row],[Completeness]]</calculatedColumnFormula>
    </tableColumn>
    <tableColumn id="25" xr3:uid="{26451D11-EC8B-470E-9F65-DDE1AFE98937}" name="Notes" dataDxfId="574">
      <calculatedColumnFormula>Waste_Org_Frontend[[#This Row],[Notes]]</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AC2EAFC-D17A-426B-A7E3-296C33A69DD5}" name="Waste_Mun_Frontend" displayName="Waste_Mun_Frontend" ref="E39:L60" totalsRowShown="0" headerRowDxfId="573" dataDxfId="571" headerRowBorderDxfId="572" tableBorderDxfId="570" totalsRowBorderDxfId="569">
  <autoFilter ref="E39:L60" xr:uid="{2AC2EAFC-D17A-426B-A7E3-296C33A69DD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6191D08-510E-42D5-9177-08B4FD9511B0}" name="Disposal Method" dataDxfId="568"/>
    <tableColumn id="2" xr3:uid="{E6A69BBF-AB75-4C8B-9882-E902BA3B2AB7}" name="Waste Type" dataDxfId="567"/>
    <tableColumn id="3" xr3:uid="{335896E4-3967-4441-9234-166EB0AF99A0}" name="Methodology" dataDxfId="566"/>
    <tableColumn id="4" xr3:uid="{F6F9A177-1A22-4514-B38E-0131F301FDA3}" name="Data" dataDxfId="565"/>
    <tableColumn id="5" xr3:uid="{2787E80B-4701-4534-8A48-3963C1E4701E}" name="Units" dataDxfId="564"/>
    <tableColumn id="6" xr3:uid="{C067260E-98E5-4284-9BA9-7B1D3AEE00E0}" name="Ease of collection" dataDxfId="563"/>
    <tableColumn id="7" xr3:uid="{5AD06D13-E2D7-479F-BCB8-1C7AF80E0CCA}" name="Completeness" dataDxfId="562"/>
    <tableColumn id="8" xr3:uid="{CABBABA7-8A73-4A3D-B915-E44FA968E18E}" name="Notes" dataDxfId="561"/>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3CD23E2-8BA2-411D-8D0C-CBC190A422A2}" name="Waste_Mun_Backend" displayName="Waste_Mun_Backend" ref="Q39:AR60" totalsRowShown="0" headerRowDxfId="560" dataDxfId="558" headerRowBorderDxfId="559" tableBorderDxfId="557">
  <autoFilter ref="Q39:AR60" xr:uid="{73CD23E2-8BA2-411D-8D0C-CBC190A422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3960668C-3A22-4314-97B8-B67E973B54E7}" name="ID" dataDxfId="556">
      <calculatedColumnFormula>IF(M40=0,SUBSTITUTE(2025&amp;TRIM(cl_org_name_select)&amp;TRIM($E$37)&amp;(ROW(M40)-ROW($M$40))," ",""),"")</calculatedColumnFormula>
    </tableColumn>
    <tableColumn id="2" xr3:uid="{8F89B012-EE7F-48DA-B746-315D0D2FC579}" name="Level 1" dataDxfId="555">
      <calculatedColumnFormula>IF($H40="", "", "Waste")</calculatedColumnFormula>
    </tableColumn>
    <tableColumn id="3" xr3:uid="{5E26130F-A63F-4E4E-8C0A-A102B7E4F20B}" name="Level 2" dataDxfId="554">
      <calculatedColumnFormula>IF($H40="", "", "Municipal")</calculatedColumnFormula>
    </tableColumn>
    <tableColumn id="4" xr3:uid="{44A96AD2-2E24-480F-A7AD-0510995A2419}" name="Level 3" dataDxfId="553"/>
    <tableColumn id="5" xr3:uid="{0D8D0FEA-9CAC-466B-A206-FC6E5AE32E97}" name="Level 4" dataDxfId="552">
      <calculatedColumnFormula>Waste_Mun_Frontend[[#This Row],[Disposal Method]]</calculatedColumnFormula>
    </tableColumn>
    <tableColumn id="6" xr3:uid="{01E0EA86-9788-41C2-8A46-8074B0588D97}" name="Level 5" dataDxfId="551">
      <calculatedColumnFormula>Waste_Mun_Frontend[[#This Row],[Waste Type]]</calculatedColumnFormula>
    </tableColumn>
    <tableColumn id="7" xr3:uid="{719D69DB-F3E5-4A6E-9C12-C102088E7970}" name="Level 6" dataDxfId="550">
      <calculatedColumnFormula>IF($J$37="Yes", "Not including transport", "NaN")</calculatedColumnFormula>
    </tableColumn>
    <tableColumn id="27" xr3:uid="{8558E31C-61D9-4FF6-A856-62D055918A50}" name="Info 1" dataDxfId="549"/>
    <tableColumn id="26" xr3:uid="{8B75DB19-859F-4E02-A63C-A870D1FEA1A5}" name="Info 2" dataDxfId="548"/>
    <tableColumn id="8" xr3:uid="{29E167E2-7B4E-4691-AAFA-8665B3941DA6}" name="Methodology" dataDxfId="547">
      <calculatedColumnFormula>Waste_Mun_Frontend[[#This Row],[Methodology]]</calculatedColumnFormula>
    </tableColumn>
    <tableColumn id="9" xr3:uid="{64E5ED51-D48D-4415-8B2D-683469A50C60}" name="RSD" dataDxfId="546">
      <calculatedColumnFormula array="1">INDEX(_xlfn.SWITCH(Waste_Mun_Backend[[#This Row],[Methodology]],"Tier 1",rng_RSD1,"Tier 2",rng_RSD2,"Tier 3",rng_RSD3),MATCH(_xlfn.CONCAT(Waste_Mun_Backend[[#This Row],[Level 1]:[Level 6]]),rng_LevelsConcat,0))</calculatedColumnFormula>
    </tableColumn>
    <tableColumn id="10" xr3:uid="{20398521-F4CD-4755-B7FD-FCD95DD456AD}" name="Data" dataDxfId="545">
      <calculatedColumnFormula>Waste_Mun_Frontend[[#This Row],[Data]]</calculatedColumnFormula>
    </tableColumn>
    <tableColumn id="11" xr3:uid="{C4E6D22C-D719-427F-BC2C-554AC6584C00}" name="Units" dataDxfId="544">
      <calculatedColumnFormula>Waste_Mun_Frontend[[#This Row],[Units]]</calculatedColumnFormula>
    </tableColumn>
    <tableColumn id="12" xr3:uid="{79E021AB-E17C-4E4F-9D52-2DBDEFFD8F47}" name="Converted data" dataDxfId="543">
      <calculatedColumnFormula>IF(Waste_Mun_Backend[[#This Row],[Units]]=Waste_Mun_Backend[[#This Row],[Standard units]],Waste_Mun_Backend[[#This Row],[Data]],Waste_Mun_Backend[[#This Row],[Data]]*_xlfn.XLOOKUP(_xlfn.CONCAT(Waste_Mun_Backend[[#This Row],[Level 1]:[Level 6]]),rng_EFConcat,rng_EFConversion))</calculatedColumnFormula>
    </tableColumn>
    <tableColumn id="13" xr3:uid="{C7D1B12B-4A63-4472-97E0-11BB9882F3F6}" name="Standard units" dataDxfId="542">
      <calculatedColumnFormula array="1">_xlfn.XLOOKUP(_xlfn.CONCAT(Waste_Mun_Backend[[#This Row],[Level 1]:[Level 6]]),rng_LevelsConcat,rng_UnitsLong)</calculatedColumnFormula>
    </tableColumn>
    <tableColumn id="14" xr3:uid="{60A1ECF5-57A7-46B5-BAD7-50460F41CEDF}" name="Scope 1 (tCO2e)" dataDxfId="541">
      <calculatedColumnFormula>_xlfn.XLOOKUP(_xlfn.CONCAT(Waste_Mun_Backend[[#This Row],[Level 1]:[Level 6]]),rng_EFConcat,rng_EF1)*Waste_Mun_Backend[[#This Row],[Converted data]]/1000</calculatedColumnFormula>
    </tableColumn>
    <tableColumn id="15" xr3:uid="{B75B8AC7-CA5A-485F-9E6F-1A2C436ABC1C}" name="Scope 2 (tCO2e)" dataDxfId="540">
      <calculatedColumnFormula>_xlfn.XLOOKUP(_xlfn.CONCAT(Waste_Mun_Backend[[#This Row],[Level 1]:[Level 6]]),rng_EFConcat,rng_EF2)*Waste_Mun_Backend[[#This Row],[Converted data]]/1000</calculatedColumnFormula>
    </tableColumn>
    <tableColumn id="16" xr3:uid="{52AF39BC-4C2A-461F-B017-4383EA09D8A1}" name="Scope 3 (tCO2e)" dataDxfId="539">
      <calculatedColumnFormula>_xlfn.XLOOKUP(_xlfn.CONCAT(Waste_Mun_Backend[[#This Row],[Level 1]:[Level 6]]),rng_EFConcat,rng_EF3)*Waste_Mun_Backend[[#This Row],[Converted data]]/1000</calculatedColumnFormula>
    </tableColumn>
    <tableColumn id="17" xr3:uid="{E2592C68-010D-4C58-AE21-CAD8D6BA5FB1}" name="Scope 3 WTT (tCO2e)" dataDxfId="538">
      <calculatedColumnFormula>_xlfn.XLOOKUP(_xlfn.CONCAT(Waste_Mun_Backend[[#This Row],[Level 1]:[Level 6]]),rng_EFConcat,rng_EF3WTT)*Waste_Mun_Backend[[#This Row],[Converted data]]/1000</calculatedColumnFormula>
    </tableColumn>
    <tableColumn id="18" xr3:uid="{82896BE4-1E7B-4312-AD86-117AE3A3FB55}" name="Scope 3 T&amp;D (tCO2e)" dataDxfId="537">
      <calculatedColumnFormula>_xlfn.XLOOKUP(_xlfn.CONCAT(Waste_Mun_Backend[[#This Row],[Level 1]:[Level 6]]),rng_EFConcat,rng_EF3TD)*Waste_Mun_Backend[[#This Row],[Converted data]]/1000</calculatedColumnFormula>
    </tableColumn>
    <tableColumn id="19" xr3:uid="{C1B43663-9E70-409F-82B6-097DAF7FA867}" name="Scope 3 WTT T&amp;D (tCO2e)" dataDxfId="536">
      <calculatedColumnFormula>_xlfn.XLOOKUP(_xlfn.CONCAT(Waste_Mun_Backend[[#This Row],[Level 1]:[Level 6]]),rng_EFConcat,rng_EF3WTTTD)*Waste_Mun_Backend[[#This Row],[Converted data]]/1000</calculatedColumnFormula>
    </tableColumn>
    <tableColumn id="20" xr3:uid="{EFC99FC2-102E-49DF-B4D2-921B9C854676}" name="Total (tCO2e)" dataDxfId="535">
      <calculatedColumnFormula>SUM(Waste_Mun_Backend[[#This Row],[Scope 1 (tCO2e)]:[Scope 3 WTT T&amp;D (tCO2e)]])</calculatedColumnFormula>
    </tableColumn>
    <tableColumn id="21" xr3:uid="{5399A652-931A-455E-A2FD-77BCC0F42EC8}" name="Low (tCO2e)" dataDxfId="534">
      <calculatedColumnFormula>Waste_Mun_Backend[[#This Row],[Total (tCO2e)]]*(1-Waste_Mun_Backend[[#This Row],[RSD]])</calculatedColumnFormula>
    </tableColumn>
    <tableColumn id="22" xr3:uid="{629C57C9-1B12-40F0-81CF-B87A43D4EB66}" name="High (tCO2e)" dataDxfId="533">
      <calculatedColumnFormula>Waste_Mun_Backend[[#This Row],[Total (tCO2e)]]*(1+Waste_Mun_Backend[[#This Row],[RSD]])</calculatedColumnFormula>
    </tableColumn>
    <tableColumn id="23" xr3:uid="{E5125DD2-27DF-4E98-84F0-652B31F621D4}" name="OOS (tCO2e)" dataDxfId="532">
      <calculatedColumnFormula>_xlfn.XLOOKUP(_xlfn.CONCAT(Waste_Mun_Backend[[#This Row],[Level 1]:[Level 6]]),rng_EFConcat,rng_EFOOS)*Waste_Mun_Backend[[#This Row],[Converted data]]/1000</calculatedColumnFormula>
    </tableColumn>
    <tableColumn id="24" xr3:uid="{FA9DEB97-EB12-4F07-BE2C-9C13E27604F2}" name="Ease of collection" dataDxfId="531">
      <calculatedColumnFormula>Waste_Mun_Frontend[[#This Row],[Ease of collection]]</calculatedColumnFormula>
    </tableColumn>
    <tableColumn id="28" xr3:uid="{D88FD73F-53B3-4F4A-98C2-92252FD39BD3}" name="Completeness" dataDxfId="530">
      <calculatedColumnFormula>Waste_Mun_Frontend[[#This Row],[Completeness]]</calculatedColumnFormula>
    </tableColumn>
    <tableColumn id="25" xr3:uid="{0AD5F92E-3192-4CCC-9BEB-C67B22DF3504}" name="Notes" dataDxfId="529">
      <calculatedColumnFormula>Waste_Mun_Frontend[[#This Row],[Notes]]</calculatedColumnFormula>
    </tableColumn>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C6A8BDC-A388-450F-BBFE-7763E40EAA5D}" name="Waste_Proj_Frontend" displayName="Waste_Proj_Frontend" ref="E65:L86" totalsRowShown="0" headerRowDxfId="528" dataDxfId="526" headerRowBorderDxfId="527" tableBorderDxfId="525" totalsRowBorderDxfId="524">
  <autoFilter ref="E65:L86" xr:uid="{DC6A8BDC-A388-450F-BBFE-7763E40EAA5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0EC72F3-EFD0-4DBC-8123-0ECF7419CCB5}" name="Disposal Method" dataDxfId="523"/>
    <tableColumn id="2" xr3:uid="{C6444535-14E1-4E02-BE9F-9E1622F00BA2}" name="Waste Type" dataDxfId="522"/>
    <tableColumn id="3" xr3:uid="{ACE90F83-004C-4EE7-A601-46561CCF2FD0}" name="Methodology" dataDxfId="521"/>
    <tableColumn id="4" xr3:uid="{1D04C89F-C972-4764-813E-A096CE7CB3A9}" name="Data" dataDxfId="520"/>
    <tableColumn id="5" xr3:uid="{6243F3FC-672E-445E-93F1-BFBFFB9AFA03}" name="Units" dataDxfId="519"/>
    <tableColumn id="6" xr3:uid="{9F6314D7-F78D-49DE-B9A8-C1550AF8D277}" name="Ease of collection" dataDxfId="518"/>
    <tableColumn id="7" xr3:uid="{079F578A-F9CD-4AD5-A0D0-95B3563103A4}" name="Completeness" dataDxfId="517"/>
    <tableColumn id="8" xr3:uid="{D4850C04-A835-4FE9-8240-2EB8CAC86DBA}" name="Notes" dataDxfId="5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287CB01-5644-4583-8983-38612FBA7594}" name="Buildings_Electricity_Streetlighting_Backend" displayName="Buildings_Electricity_Streetlighting_Backend" ref="Q12:AR22" totalsRowShown="0" headerRowDxfId="1134" dataDxfId="1132" headerRowBorderDxfId="1133" tableBorderDxfId="1131">
  <tableColumns count="28">
    <tableColumn id="1" xr3:uid="{CEBE1326-028F-4D43-8238-6B24ED0343D6}" name="ID" dataDxfId="1130">
      <calculatedColumnFormula>IF(N13=0,SUBSTITUTE(2025&amp;TRIM(cl_org_name_select)&amp;TRIM($E$10)&amp;(ROW(N13)-ROW($N$13))," ",""),"")</calculatedColumnFormula>
    </tableColumn>
    <tableColumn id="2" xr3:uid="{13AEC569-789A-45D6-9BC4-D7B07FFA26A7}" name="Level 1" dataDxfId="1129">
      <calculatedColumnFormula>IF($H13="", "", "Buildings")</calculatedColumnFormula>
    </tableColumn>
    <tableColumn id="3" xr3:uid="{D56E677D-4D30-4CCC-81EA-7778F8BC78C1}" name="Level 2" dataDxfId="1128">
      <calculatedColumnFormula>IF($H13="", "", "Buildings")</calculatedColumnFormula>
    </tableColumn>
    <tableColumn id="4" xr3:uid="{19AAFC0E-A5CF-4081-8B22-A5F340FC13E7}" name="Level 3" dataDxfId="1127">
      <calculatedColumnFormula>Buildings_Electricity_Streetlighting_Frontend[[#This Row],[Type of lighting]]</calculatedColumnFormula>
    </tableColumn>
    <tableColumn id="5" xr3:uid="{A6DDB34E-AD58-4C89-90F2-4978AD47A018}" name="Level 4" dataDxfId="1126">
      <calculatedColumnFormula array="1">IF(Buildings_Electricity_Streetlighting_Frontend[[#This Row],[Data]]="","",_xlfn.XLOOKUP(Buildings_Electricity_Streetlighting_Backend[[#This Row],[Level 3]],rng_Level3Long,rng_Level4Long))</calculatedColumnFormula>
    </tableColumn>
    <tableColumn id="6" xr3:uid="{01A6AB37-A6B7-41E3-ABBE-93A51FF9F7E9}" name="Level 5" dataDxfId="1125">
      <calculatedColumnFormula array="1">IF(Buildings_Electricity_Streetlighting_Frontend[[#This Row],[Data]]="","",_xlfn.XLOOKUP(Buildings_Electricity_Streetlighting_Backend[[#This Row],[Level 3]],rng_Level3Long,rng_Level5Long))</calculatedColumnFormula>
    </tableColumn>
    <tableColumn id="7" xr3:uid="{92CF5E53-0A86-41FE-84CC-BEAB049BB201}" name="Level 6" dataDxfId="1124">
      <calculatedColumnFormula array="1">IF(Buildings_Electricity_Streetlighting_Frontend[[#This Row],[Data]]="","",_xlfn.XLOOKUP(Buildings_Electricity_Streetlighting_Backend[[#This Row],[Level 3]],rng_Level3Long,rng_Level6Long))</calculatedColumnFormula>
    </tableColumn>
    <tableColumn id="28" xr3:uid="{D1223ACA-15C3-4C2D-9D47-AF7328ECD29F}" name="Info 1" dataDxfId="1123">
      <calculatedColumnFormula>Buildings_Electricity_Streetlighting_Frontend[[#This Row],[Name]]</calculatedColumnFormula>
    </tableColumn>
    <tableColumn id="27" xr3:uid="{57A333A4-A1C7-49FF-AE7C-B059B6A2DF23}" name="Info 2" dataDxfId="1122">
      <calculatedColumnFormula>Buildings_Electricity_Streetlighting_Frontend[[#This Row],[Contracting]]</calculatedColumnFormula>
    </tableColumn>
    <tableColumn id="8" xr3:uid="{45E7D803-21C6-45F5-8F85-B96AC57B1859}" name="Methodology" dataDxfId="1121">
      <calculatedColumnFormula>Buildings_Electricity_Streetlighting_Frontend[[#This Row],[Methodology]]</calculatedColumnFormula>
    </tableColumn>
    <tableColumn id="9" xr3:uid="{BE3E22E8-64A3-463F-8122-1F3FED7903C1}" name="RSD" dataDxfId="1120">
      <calculatedColumnFormula array="1">IF(Buildings_Electricity_Streetlighting_Frontend[[#This Row],[Data]]="","",INDEX(_xlfn.SWITCH(Buildings_Electricity_Streetlighting_Backend[[#This Row],[Methodology]],"Tier 1",rng_RSD1,"Tier 2",rng_RSD2,"Tier 3",rng_RSD3),MATCH(_xlfn.CONCAT(Buildings_Electricity_Streetlighting_Backend[[#This Row],[Level 1]:[Level 6]]),rng_LevelsConcat,0)))</calculatedColumnFormula>
    </tableColumn>
    <tableColumn id="10" xr3:uid="{AB31B807-8F83-42FA-881C-E57E902A5577}" name="Data" dataDxfId="1119">
      <calculatedColumnFormula>Buildings_Electricity_Streetlighting_Frontend[[#This Row],[Data]]</calculatedColumnFormula>
    </tableColumn>
    <tableColumn id="11" xr3:uid="{F8D5A853-78B4-4628-971B-C9685FDB57FE}" name="Units" dataDxfId="1118">
      <calculatedColumnFormula>Buildings_Electricity_Streetlighting_Frontend[[#This Row],[Units]]</calculatedColumnFormula>
    </tableColumn>
    <tableColumn id="12" xr3:uid="{7FA33C98-74D8-43EA-8DED-089264C21437}" name="Converted data" dataDxfId="1117">
      <calculatedColumnFormula>Buildings_Electricity_Streetlighting_Frontend[[#This Row],[Data]]</calculatedColumnFormula>
    </tableColumn>
    <tableColumn id="13" xr3:uid="{8FD1EC2A-3A47-451E-919B-4AA31E403FE5}" name="Standard units" dataDxfId="1116">
      <calculatedColumnFormula>Buildings_Electricity_Streetlighting_Frontend[[#This Row],[Units]]</calculatedColumnFormula>
    </tableColumn>
    <tableColumn id="14" xr3:uid="{97F60CE8-9BDA-46D9-B03A-103263C57CE9}" name="Scope 1 (tCO2e)" dataDxfId="1115">
      <calculatedColumnFormula>IF(Buildings_Electricity_Streetlighting_Frontend[[#This Row],[Data]]="","",_xlfn.XLOOKUP(_xlfn.CONCAT(Buildings_Electricity_Streetlighting_Backend[[#This Row],[Level 1]:[Level 6]]),rng_EFConcat,rng_EF1)*Buildings_Electricity_Streetlighting_Backend[[#This Row],[Converted data]]/1000)</calculatedColumnFormula>
    </tableColumn>
    <tableColumn id="15" xr3:uid="{21DB05B5-54DF-4AF7-9298-D90F93138B22}" name="Scope 2 (tCO2e)" dataDxfId="1114">
      <calculatedColumnFormula>IF(Buildings_Electricity_Streetlighting_Frontend[[#This Row],[Data]]="","",_xlfn.XLOOKUP(_xlfn.CONCAT(Buildings_Electricity_Streetlighting_Backend[[#This Row],[Level 1]:[Level 6]]),rng_EFConcat,rng_EF2)*Buildings_Electricity_Streetlighting_Backend[[#This Row],[Converted data]]/1000)</calculatedColumnFormula>
    </tableColumn>
    <tableColumn id="16" xr3:uid="{A2113319-86D9-47AB-9900-C035AEF2A6E7}" name="Scope 3 (tCO2e)" dataDxfId="1113">
      <calculatedColumnFormula>IF(Buildings_Electricity_Streetlighting_Frontend[[#This Row],[Data]]="","",_xlfn.XLOOKUP(_xlfn.CONCAT(Buildings_Electricity_Streetlighting_Backend[[#This Row],[Level 1]:[Level 6]]),rng_EFConcat,rng_EF3)*Buildings_Electricity_Streetlighting_Backend[[#This Row],[Converted data]]/1000)</calculatedColumnFormula>
    </tableColumn>
    <tableColumn id="17" xr3:uid="{48CFF7F5-EF43-484D-890B-1ECC45724034}" name="Scope 3 WTT (tCO2e)" dataDxfId="1112">
      <calculatedColumnFormula>IF(Buildings_Electricity_Streetlighting_Frontend[[#This Row],[Data]]="","",_xlfn.XLOOKUP(_xlfn.CONCAT(Buildings_Electricity_Streetlighting_Backend[[#This Row],[Level 1]:[Level 6]]),rng_EFConcat,rng_EF3WTT)*Buildings_Electricity_Streetlighting_Backend[[#This Row],[Converted data]]/1000)</calculatedColumnFormula>
    </tableColumn>
    <tableColumn id="18" xr3:uid="{8145EF9E-C918-46EE-BF06-00852852DD3B}" name="Scope 3 T&amp;D (tCO2e)" dataDxfId="1111">
      <calculatedColumnFormula>IF(Buildings_Electricity_Streetlighting_Frontend[[#This Row],[Data]]="","",_xlfn.XLOOKUP(_xlfn.CONCAT(Buildings_Electricity_Streetlighting_Backend[[#This Row],[Level 1]:[Level 6]]),rng_EFConcat,rng_EF3TD)*Buildings_Electricity_Streetlighting_Backend[[#This Row],[Converted data]]/1000)</calculatedColumnFormula>
    </tableColumn>
    <tableColumn id="19" xr3:uid="{FF34C941-4857-4AA9-8FCC-542907DD18F6}" name="Scope 3 WTT T&amp;D (tCO2e)" dataDxfId="1110">
      <calculatedColumnFormula>IF(Buildings_Electricity_Streetlighting_Frontend[[#This Row],[Data]]="","",_xlfn.XLOOKUP(_xlfn.CONCAT(Buildings_Electricity_Streetlighting_Backend[[#This Row],[Level 1]:[Level 6]]),rng_EFConcat,rng_EF3WTTTD)*Buildings_Electricity_Streetlighting_Backend[[#This Row],[Converted data]]/1000)</calculatedColumnFormula>
    </tableColumn>
    <tableColumn id="20" xr3:uid="{3FC00636-E63A-47A2-8647-15DCA832DE44}" name="Total (tCO2e)" dataDxfId="1109">
      <calculatedColumnFormula>SUM(Buildings_Electricity_Streetlighting_Backend[[#This Row],[Scope 1 (tCO2e)]:[Scope 3 WTT T&amp;D (tCO2e)]])</calculatedColumnFormula>
    </tableColumn>
    <tableColumn id="21" xr3:uid="{74C4275A-6B1E-4F5D-928D-C464D1BAA3A4}" name="Low (tCO2e)" dataDxfId="1108">
      <calculatedColumnFormula>IF(Buildings_Electricity_Streetlighting_Frontend[[#This Row],[Data]]="","",Buildings_Electricity_Streetlighting_Backend[[#This Row],[Total (tCO2e)]]*(1-Buildings_Electricity_Streetlighting_Backend[[#This Row],[RSD]]))</calculatedColumnFormula>
    </tableColumn>
    <tableColumn id="22" xr3:uid="{5A2ABF4F-64BD-4B15-82DD-110D7DDFA719}" name="High (tCO2e)" dataDxfId="1107">
      <calculatedColumnFormula>IF(Buildings_Electricity_Streetlighting_Frontend[[#This Row],[Data]]="","",Buildings_Electricity_Streetlighting_Backend[[#This Row],[Total (tCO2e)]]*(1+Buildings_Electricity_Streetlighting_Backend[[#This Row],[RSD]]))</calculatedColumnFormula>
    </tableColumn>
    <tableColumn id="23" xr3:uid="{326415D9-E40A-4A6A-BCD9-6A84CF9A2D64}" name="OOS (tCO2e)" dataDxfId="1106">
      <calculatedColumnFormula>IF(Buildings_Electricity_Streetlighting_Frontend[[#This Row],[Data]]="","",_xlfn.XLOOKUP(_xlfn.CONCAT(Buildings_Electricity_Streetlighting_Backend[[#This Row],[Level 1]:[Level 6]]),rng_EFConcat,rng_EFOOS)*Buildings_Electricity_Streetlighting_Backend[[#This Row],[Converted data]]/1000)</calculatedColumnFormula>
    </tableColumn>
    <tableColumn id="24" xr3:uid="{66889550-4EE5-42A3-B2D0-D09DF6DB09AB}" name="Ease of collection" dataDxfId="1105">
      <calculatedColumnFormula>Buildings_Electricity_Streetlighting_Frontend[[#This Row],[Ease of collection]]</calculatedColumnFormula>
    </tableColumn>
    <tableColumn id="25" xr3:uid="{437A24EE-56F2-43DC-97F9-290CC8C2D5CF}" name="Completeness" dataDxfId="1104">
      <calculatedColumnFormula>Buildings_Electricity_Streetlighting_Frontend[[#This Row],[Completeness]]</calculatedColumnFormula>
    </tableColumn>
    <tableColumn id="26" xr3:uid="{442C07BA-252F-448D-B643-39F1AD3390C6}" name="Notes" dataDxfId="1103">
      <calculatedColumnFormula>Buildings_Electricity_Streetlighting_Frontend[[#This Row],[Notes]]</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868A4C2-3845-4DA1-95F8-7D8F045C6E3E}" name="Waste_Proj_Backend" displayName="Waste_Proj_Backend" ref="Q65:AR86" totalsRowShown="0" headerRowDxfId="515" dataDxfId="513" headerRowBorderDxfId="514" tableBorderDxfId="512">
  <autoFilter ref="Q65:AR86" xr:uid="{1868A4C2-3845-4DA1-95F8-7D8F045C6E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3876B31D-FB2E-4BB1-A6B8-CD39443BD001}" name="ID" dataDxfId="511">
      <calculatedColumnFormula>IF(M66=0,SUBSTITUTE(2025&amp;TRIM(cl_org_name_select)&amp;TRIM($E$63)&amp;(ROW(M66)-ROW($M$66))," ",""),"")</calculatedColumnFormula>
    </tableColumn>
    <tableColumn id="2" xr3:uid="{838B7E93-A33D-44F2-A27D-04A153F603AF}" name="Level 1" dataDxfId="510"/>
    <tableColumn id="3" xr3:uid="{D15183C8-9EB0-4532-9A25-0DD16A061CD2}" name="Level 2" dataDxfId="509"/>
    <tableColumn id="4" xr3:uid="{1CE82F7F-741A-4867-9FB0-289AEDA8131F}" name="Level 3" dataDxfId="508"/>
    <tableColumn id="5" xr3:uid="{C5111F3B-CCF6-4BC6-9DE5-772EFD6329E8}" name="Level 4" dataDxfId="507">
      <calculatedColumnFormula>Waste_Proj_Frontend[[#This Row],[Disposal Method]]</calculatedColumnFormula>
    </tableColumn>
    <tableColumn id="6" xr3:uid="{0C045852-1B73-4291-B632-1FD1548E4A0E}" name="Level 5" dataDxfId="506">
      <calculatedColumnFormula>Waste_Proj_Frontend[[#This Row],[Waste Type]]</calculatedColumnFormula>
    </tableColumn>
    <tableColumn id="7" xr3:uid="{59151718-A77D-47B4-8B24-B9BFD90D0C4E}" name="Level 6" dataDxfId="505">
      <calculatedColumnFormula array="1">_xlfn.XLOOKUP(Waste_Proj_Backend[[#This Row],[Level 5]],rng_Level5Long,rng_Level6Long)</calculatedColumnFormula>
    </tableColumn>
    <tableColumn id="27" xr3:uid="{FE6F17DA-CA52-49C0-A769-6C9C01233F96}" name="Info 1" dataDxfId="504"/>
    <tableColumn id="26" xr3:uid="{3FFF95B9-A5BA-4B03-8A01-7C237497FB31}" name="Info 2" dataDxfId="503"/>
    <tableColumn id="8" xr3:uid="{A61F93A9-99A7-49C9-BDF8-6D0C6D4BA102}" name="Methodology" dataDxfId="502">
      <calculatedColumnFormula>Waste_Proj_Frontend[[#This Row],[Methodology]]</calculatedColumnFormula>
    </tableColumn>
    <tableColumn id="9" xr3:uid="{44412CF0-8500-41E1-B54D-46F1B010349E}" name="RSD" dataDxfId="501">
      <calculatedColumnFormula array="1">INDEX(_xlfn.SWITCH(Waste_Proj_Backend[[#This Row],[Methodology]],"Tier 1",rng_RSD1,"Tier 2",rng_RSD2,"Tier 3",rng_RSD3),MATCH(_xlfn.CONCAT(Waste_Proj_Backend[[#This Row],[Level 1]:[Level 6]]),rng_LevelsConcat,0))</calculatedColumnFormula>
    </tableColumn>
    <tableColumn id="10" xr3:uid="{E482CB72-4A9C-430A-8425-0A236E2C261C}" name="Data" dataDxfId="500">
      <calculatedColumnFormula>Waste_Proj_Frontend[[#This Row],[Data]]</calculatedColumnFormula>
    </tableColumn>
    <tableColumn id="11" xr3:uid="{31D21A2F-9D64-485D-A176-2D8E9E4CCDFC}" name="Units" dataDxfId="499">
      <calculatedColumnFormula>Waste_Proj_Frontend[[#This Row],[Units]]</calculatedColumnFormula>
    </tableColumn>
    <tableColumn id="12" xr3:uid="{EC02C94B-5CF0-4CA3-9ED4-53F45E667195}" name="Converted data" dataDxfId="498">
      <calculatedColumnFormula>IF(Waste_Proj_Backend[[#This Row],[Units]]=Waste_Proj_Backend[[#This Row],[Standard units]],Waste_Proj_Backend[[#This Row],[Data]],Waste_Proj_Backend[[#This Row],[Data]]*_xlfn.XLOOKUP(_xlfn.CONCAT(Waste_Proj_Backend[[#This Row],[Level 1]:[Level 6]]),rng_EFConcat,rng_EFConversion))</calculatedColumnFormula>
    </tableColumn>
    <tableColumn id="13" xr3:uid="{FD882C62-8FD4-45CA-82F0-8AE841699B20}" name="Standard units" dataDxfId="497">
      <calculatedColumnFormula array="1">_xlfn.XLOOKUP(_xlfn.CONCAT(Waste_Proj_Backend[[#This Row],[Level 1]:[Level 6]]),rng_LevelsConcat,rng_UnitsLong)</calculatedColumnFormula>
    </tableColumn>
    <tableColumn id="14" xr3:uid="{0AF50AFA-13B5-48A1-B06C-F81C76C8721E}" name="Scope 1 (tCO2e)" dataDxfId="496">
      <calculatedColumnFormula>_xlfn.XLOOKUP(_xlfn.CONCAT(Waste_Proj_Backend[[#This Row],[Level 1]:[Level 6]]),rng_EFConcat,rng_EF1)*Waste_Proj_Backend[[#This Row],[Converted data]]/1000</calculatedColumnFormula>
    </tableColumn>
    <tableColumn id="15" xr3:uid="{1CC2860D-579B-4990-9D8A-49F5DC195F57}" name="Scope 2 (tCO2e)" dataDxfId="495">
      <calculatedColumnFormula>_xlfn.XLOOKUP(_xlfn.CONCAT(Waste_Proj_Backend[[#This Row],[Level 1]:[Level 6]]),rng_EFConcat,rng_EF2)*Waste_Proj_Backend[[#This Row],[Converted data]]/1000</calculatedColumnFormula>
    </tableColumn>
    <tableColumn id="16" xr3:uid="{69A66854-238F-4228-9B99-5A633FC5BDF7}" name="Scope 3 (tCO2e)" dataDxfId="494">
      <calculatedColumnFormula>_xlfn.XLOOKUP(_xlfn.CONCAT(Waste_Proj_Backend[[#This Row],[Level 1]:[Level 6]]),rng_EFConcat,rng_EF3)*Waste_Proj_Backend[[#This Row],[Converted data]]/1000</calculatedColumnFormula>
    </tableColumn>
    <tableColumn id="17" xr3:uid="{30B844DE-0F6F-4F46-A202-19694F11DBAB}" name="Scope 3 WTT (tCO2e)" dataDxfId="493">
      <calculatedColumnFormula>_xlfn.XLOOKUP(_xlfn.CONCAT(Waste_Proj_Backend[[#This Row],[Level 1]:[Level 6]]),rng_EFConcat,rng_EF3WTT)*Waste_Proj_Backend[[#This Row],[Converted data]]/1000</calculatedColumnFormula>
    </tableColumn>
    <tableColumn id="18" xr3:uid="{C5E5E3C7-18C2-4C23-A001-7F02ED7E38AA}" name="Scope 3 T&amp;D (tCO2e)" dataDxfId="492">
      <calculatedColumnFormula>_xlfn.XLOOKUP(_xlfn.CONCAT(Waste_Proj_Backend[[#This Row],[Level 1]:[Level 6]]),rng_EFConcat,rng_EF3TD)*Waste_Proj_Backend[[#This Row],[Converted data]]/1000</calculatedColumnFormula>
    </tableColumn>
    <tableColumn id="19" xr3:uid="{43CCED37-C5DE-4067-B3E7-B7CD80E7486F}" name="Scope 3 WTT T&amp;D (tCO2e)" dataDxfId="491">
      <calculatedColumnFormula>_xlfn.XLOOKUP(_xlfn.CONCAT(Waste_Proj_Backend[[#This Row],[Level 1]:[Level 6]]),rng_EFConcat,rng_EF3WTTTD)*Waste_Proj_Backend[[#This Row],[Converted data]]/1000</calculatedColumnFormula>
    </tableColumn>
    <tableColumn id="20" xr3:uid="{76440EFD-0249-40C7-A5DD-9E64F824AE8C}" name="Total (tCO2e)" dataDxfId="490">
      <calculatedColumnFormula>SUM(Waste_Proj_Backend[[#This Row],[Scope 1 (tCO2e)]:[Scope 3 WTT T&amp;D (tCO2e)]])</calculatedColumnFormula>
    </tableColumn>
    <tableColumn id="21" xr3:uid="{A81FF947-A7EC-48BD-BCDC-ABA1186ABD4B}" name="Low (tCO2e)" dataDxfId="489">
      <calculatedColumnFormula>Waste_Proj_Backend[[#This Row],[Total (tCO2e)]]*(1-Waste_Proj_Backend[[#This Row],[RSD]])</calculatedColumnFormula>
    </tableColumn>
    <tableColumn id="22" xr3:uid="{B3D9FF85-23B5-416A-8B24-F77EBEC7DB8C}" name="High (tCO2e)" dataDxfId="488">
      <calculatedColumnFormula>Waste_Proj_Backend[[#This Row],[Total (tCO2e)]]*(1+Waste_Proj_Backend[[#This Row],[RSD]])</calculatedColumnFormula>
    </tableColumn>
    <tableColumn id="23" xr3:uid="{D3AE4CEE-52AA-4A2E-A516-96D71B61CF8F}" name="OOS (tCO2e)" dataDxfId="487">
      <calculatedColumnFormula>_xlfn.XLOOKUP(_xlfn.CONCAT(Waste_Proj_Backend[[#This Row],[Level 1]:[Level 6]]),rng_EFConcat,rng_EFOOS)*Waste_Proj_Backend[[#This Row],[Converted data]]/1000</calculatedColumnFormula>
    </tableColumn>
    <tableColumn id="24" xr3:uid="{6BA34215-BAAF-402B-85D6-6573197A705C}" name="Ease of collection" dataDxfId="486">
      <calculatedColumnFormula>Waste_Proj_Frontend[[#This Row],[Ease of collection]]</calculatedColumnFormula>
    </tableColumn>
    <tableColumn id="28" xr3:uid="{7DC7F406-ECD7-4B93-AC6C-43DA55E66CA7}" name="Completeness" dataDxfId="485">
      <calculatedColumnFormula>Waste_Proj_Frontend[[#This Row],[Completeness]]</calculatedColumnFormula>
    </tableColumn>
    <tableColumn id="25" xr3:uid="{11CECE11-A45C-4516-8077-727262BBB80E}" name="Notes" dataDxfId="484">
      <calculatedColumnFormula>Waste_Proj_Frontend[[#This Row],[Notes]]</calculatedColumnFormula>
    </tableColumn>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597C7CC-EE4A-4DFA-8DFA-253741B3B06F}" name="SupplyChain_Tier1_Frontend" displayName="SupplyChain_Tier1_Frontend" ref="E13:L123" totalsRowShown="0" headerRowDxfId="483" headerRowBorderDxfId="482" tableBorderDxfId="481" totalsRowBorderDxfId="480">
  <autoFilter ref="E13:L123" xr:uid="{A597C7CC-EE4A-4DFA-8DFA-253741B3B06F}"/>
  <tableColumns count="8">
    <tableColumn id="1" xr3:uid="{715A8869-4097-43A2-8485-477B099A5A37}" name="Category" dataDxfId="479"/>
    <tableColumn id="2" xr3:uid="{4C5E853C-0C5A-4A65-B3DC-21BA4DB41EA8}" name="Product Category" dataDxfId="478"/>
    <tableColumn id="3" xr3:uid="{21637CAA-B500-46D7-8EAF-B309BF69D337}" name="Data" dataDxfId="477"/>
    <tableColumn id="4" xr3:uid="{020E49D4-D6F2-4D62-8A54-A3168992CAAB}" name="Units" dataDxfId="476"/>
    <tableColumn id="8" xr3:uid="{20577703-034D-482C-AC48-7C1B351A6EE1}" name="Data type" dataDxfId="475"/>
    <tableColumn id="5" xr3:uid="{08D5F75D-930A-4C30-884C-8949DFBA8A2A}" name="Ease of collection" dataDxfId="474"/>
    <tableColumn id="6" xr3:uid="{35109B52-B64C-4AAE-99E9-06C448490AC0}" name="Completeness" dataDxfId="473"/>
    <tableColumn id="7" xr3:uid="{AB494374-2EE6-4768-98FB-DFAF6D1C20F2}" name="Notes" dataDxfId="47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1760C47B-C289-4592-A701-9F948E0230A5}" name="SupplyChain_Tier1_Backend" displayName="SupplyChain_Tier1_Backend" ref="Q13:AR123" totalsRowShown="0" headerRowDxfId="471" dataDxfId="469" headerRowBorderDxfId="470" tableBorderDxfId="468">
  <autoFilter ref="Q13:AR123" xr:uid="{1760C47B-C289-4592-A701-9F948E0230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79DFD6A0-22AB-41DA-A81E-972A38D8BF6C}" name="ID" dataDxfId="467">
      <calculatedColumnFormula>IF(M14=1,SUBSTITUTE(2025&amp;TRIM(cl_org_name_select)&amp;TRIM($E$11)&amp;(ROW(M14)-ROW($M$14))," ",""),"")</calculatedColumnFormula>
    </tableColumn>
    <tableColumn id="2" xr3:uid="{9C16A64A-AE08-4B71-BF4C-F5FB17D659BC}" name="Level 1" dataDxfId="466">
      <calculatedColumnFormula>IF($G14="", "", "Supply chain")</calculatedColumnFormula>
    </tableColumn>
    <tableColumn id="3" xr3:uid="{48F7A253-4DDF-4EEE-B172-E7C78030B47D}" name="Level 2" dataDxfId="465">
      <calculatedColumnFormula>IF($G14="", "", "Supply chain")</calculatedColumnFormula>
    </tableColumn>
    <tableColumn id="4" xr3:uid="{3CE0FD7B-F836-469E-8B0C-AD262A85515F}" name="Level 3" dataDxfId="464">
      <calculatedColumnFormula array="1">_xlfn.XLOOKUP(SupplyChain_Tier1_Backend[[#This Row],[Level 2]],rng_Level2Long,rng_Level3Long)</calculatedColumnFormula>
    </tableColumn>
    <tableColumn id="5" xr3:uid="{122A6F67-165A-4177-A74B-5DCE4E095A54}" name="Level 4" dataDxfId="463">
      <calculatedColumnFormula>SupplyChain_Tier1_Frontend[[#This Row],[Category]]</calculatedColumnFormula>
    </tableColumn>
    <tableColumn id="6" xr3:uid="{DC751D72-2A0E-4CEB-875A-8FECFD765703}" name="Level 5" dataDxfId="462">
      <calculatedColumnFormula>SupplyChain_Tier1_Frontend[[#This Row],[Product Category]]</calculatedColumnFormula>
    </tableColumn>
    <tableColumn id="7" xr3:uid="{009ABA3D-E8E6-453F-99AB-7B728300F1BC}" name="Level 6" dataDxfId="461">
      <calculatedColumnFormula array="1">_xlfn.XLOOKUP(SupplyChain_Tier1_Backend[[#This Row],[Level 5]],rng_Level5Long,rng_Level6Long)</calculatedColumnFormula>
    </tableColumn>
    <tableColumn id="27" xr3:uid="{3B3CBB9A-43D7-48C8-8644-5351185C0D79}" name="Info 1" dataDxfId="460">
      <calculatedColumnFormula>SupplyChain_Tier1_Frontend[[#This Row],[Data type]]</calculatedColumnFormula>
    </tableColumn>
    <tableColumn id="26" xr3:uid="{332EAA6F-6D3D-492D-BCC8-16420FE4057A}" name="Info 2" dataDxfId="459"/>
    <tableColumn id="8" xr3:uid="{A5F4FA90-3A23-4FB2-BC6A-2794F9BCA0C8}" name="Methodology" dataDxfId="458">
      <calculatedColumnFormula>IF($G14="","", "Tier 1")</calculatedColumnFormula>
    </tableColumn>
    <tableColumn id="9" xr3:uid="{79BFF468-EB0B-4528-9D5E-5F0084AEF873}" name="RSD" dataDxfId="457">
      <calculatedColumnFormula array="1">INDEX(_xlfn.SWITCH(SupplyChain_Tier1_Backend[[#This Row],[Methodology]],"Tier 1",rng_RSD1,"Tier 2",rng_RSD2,"Tier 3",rng_RSD3),MATCH(_xlfn.CONCAT(SupplyChain_Tier1_Backend[[#This Row],[Level 1]:[Level 6]]),rng_LevelsConcat,0))</calculatedColumnFormula>
    </tableColumn>
    <tableColumn id="10" xr3:uid="{7B62FCD8-83BF-433A-9D69-6F91748BDAF8}" name="Data" dataDxfId="456">
      <calculatedColumnFormula>SupplyChain_Tier1_Frontend[[#This Row],[Data]]</calculatedColumnFormula>
    </tableColumn>
    <tableColumn id="11" xr3:uid="{416ABA99-63AD-4F76-A552-CEE2AD651B9D}" name="Units" dataDxfId="455">
      <calculatedColumnFormula>SupplyChain_Tier1_Frontend[[#This Row],[Units]]</calculatedColumnFormula>
    </tableColumn>
    <tableColumn id="12" xr3:uid="{4543D077-FF31-439B-B027-2F0FA3AF3D5F}" name="Converted data" dataDxfId="454">
      <calculatedColumnFormula>SUM(SupplyChain_Tier1_Backend[[#This Row],[Data]],
- SUMIFS(SupplyChain_Tier2_Backend[Data],SupplyChain_Tier2_Backend[Level 5],SupplyChain_Tier1_Backend[[#This Row],[Level 5]]),
- SUMIFS(SupplyChain_SupplierData_Backend[Data],SupplyChain_SupplierData_Backend[Level 5],SupplyChain_Tier1_Backend[[#This Row],[Level 5]])*0.25)</calculatedColumnFormula>
    </tableColumn>
    <tableColumn id="13" xr3:uid="{A9DFBE55-8228-440B-97B2-D66059AD7BA2}" name="Standard units" dataDxfId="453">
      <calculatedColumnFormula>SupplyChain_Tier1_Frontend[[#This Row],[Units]]</calculatedColumnFormula>
    </tableColumn>
    <tableColumn id="14" xr3:uid="{0BD804CA-6E86-4AF0-8A2E-67173E4A6604}" name="Scope 1 (tCO2e)" dataDxfId="452">
      <calculatedColumnFormula>_xlfn.XLOOKUP(_xlfn.CONCAT(SupplyChain_Tier1_Backend[[#This Row],[Level 1]:[Level 6]]),rng_EFConcat,rng_EF1)*SupplyChain_Tier1_Backend[[#This Row],[Converted data]]/1000</calculatedColumnFormula>
    </tableColumn>
    <tableColumn id="15" xr3:uid="{B45085A3-325B-4FA5-B312-0F67ECCC4360}" name="Scope 2 (tCO2e)" dataDxfId="451">
      <calculatedColumnFormula>_xlfn.XLOOKUP(_xlfn.CONCAT(SupplyChain_Tier1_Backend[[#This Row],[Level 1]:[Level 6]]),rng_EFConcat,rng_EF2)*SupplyChain_Tier1_Backend[[#This Row],[Converted data]]/1000</calculatedColumnFormula>
    </tableColumn>
    <tableColumn id="16" xr3:uid="{BD72DC14-44A7-490E-B7AF-879DFFDBB47A}" name="Scope 3 (tCO2e)" dataDxfId="450">
      <calculatedColumnFormula>_xlfn.XLOOKUP(_xlfn.CONCAT(SupplyChain_Tier1_Backend[[#This Row],[Level 1]:[Level 6]]),rng_EFConcat,rng_EF3)*SupplyChain_Tier1_Backend[[#This Row],[Converted data]]/1000</calculatedColumnFormula>
    </tableColumn>
    <tableColumn id="17" xr3:uid="{AB4FAE79-C8D5-4E0A-9D68-99FBDBB620C4}" name="Scope 3 WTT (tCO2e)" dataDxfId="449">
      <calculatedColumnFormula>_xlfn.XLOOKUP(_xlfn.CONCAT(SupplyChain_Tier1_Backend[[#This Row],[Level 1]:[Level 6]]),rng_EFConcat,rng_EF3WTT)*SupplyChain_Tier1_Backend[[#This Row],[Converted data]]/1000</calculatedColumnFormula>
    </tableColumn>
    <tableColumn id="18" xr3:uid="{62CE5DD2-C23F-4AE3-8300-6E3B7AF0796E}" name="Scope 3 T&amp;D (tCO2e)" dataDxfId="448">
      <calculatedColumnFormula>_xlfn.XLOOKUP(_xlfn.CONCAT(SupplyChain_Tier1_Backend[[#This Row],[Level 1]:[Level 6]]),rng_EFConcat,rng_EF3TD)*SupplyChain_Tier1_Backend[[#This Row],[Converted data]]/1000</calculatedColumnFormula>
    </tableColumn>
    <tableColumn id="19" xr3:uid="{78ADE64B-47E9-4864-BFAE-1EF43D7C3BE3}" name="Scope 3 WTT T&amp;D (tCO2e)" dataDxfId="447">
      <calculatedColumnFormula>_xlfn.XLOOKUP(_xlfn.CONCAT(SupplyChain_Tier1_Backend[[#This Row],[Level 1]:[Level 6]]),rng_EFConcat,rng_EF3WTTTD)*SupplyChain_Tier1_Backend[[#This Row],[Converted data]]/1000</calculatedColumnFormula>
    </tableColumn>
    <tableColumn id="20" xr3:uid="{D64792E3-1EDF-4CE9-9C6D-4AB6F4D6A50F}" name="Total (tCO2e)" dataDxfId="446">
      <calculatedColumnFormula>IF($G14="","", SUM(SupplyChain_Tier1_Backend[[#This Row],[Scope 1 (tCO2e)]:[Scope 3 WTT T&amp;D (tCO2e)]]))</calculatedColumnFormula>
    </tableColumn>
    <tableColumn id="21" xr3:uid="{DE8D53BF-0C1C-4463-A4FF-E0930EA85CA0}" name="Low (tCO2e)" dataDxfId="445">
      <calculatedColumnFormula>IF($G14="","", SupplyChain_Tier1_Backend[[#This Row],[Total (tCO2e)]]*(1-SupplyChain_Tier1_Backend[[#This Row],[RSD]]))</calculatedColumnFormula>
    </tableColumn>
    <tableColumn id="22" xr3:uid="{155BF055-A2A4-4725-85F4-4077699797FA}" name="High (tCO2e)" dataDxfId="444">
      <calculatedColumnFormula>IF($G14="","", SupplyChain_Tier1_Backend[[#This Row],[Total (tCO2e)]]*(1+SupplyChain_Tier1_Backend[[#This Row],[RSD]]))</calculatedColumnFormula>
    </tableColumn>
    <tableColumn id="23" xr3:uid="{F43FE606-DDF3-4982-BD5F-D415D394671E}" name="OOS (tCO2e)" dataDxfId="443">
      <calculatedColumnFormula>_xlfn.XLOOKUP(_xlfn.CONCAT(SupplyChain_Tier1_Backend[[#This Row],[Level 1]:[Level 6]]),rng_EFConcat,rng_EFOOS)*SupplyChain_Tier1_Backend[[#This Row],[Converted data]]/1000</calculatedColumnFormula>
    </tableColumn>
    <tableColumn id="24" xr3:uid="{D7C10193-8EF2-4FBB-8511-50664BD7E2B0}" name="Ease of collection" dataDxfId="442">
      <calculatedColumnFormula>SupplyChain_Tier1_Frontend[[#This Row],[Ease of collection]]</calculatedColumnFormula>
    </tableColumn>
    <tableColumn id="28" xr3:uid="{AA7520EF-1F3B-4DD3-8772-AC6580892C83}" name="Completeness" dataDxfId="441">
      <calculatedColumnFormula>SupplyChain_Tier1_Frontend[[#This Row],[Completeness]]</calculatedColumnFormula>
    </tableColumn>
    <tableColumn id="25" xr3:uid="{ADEA28FF-D3E7-42C9-9F2E-C8E7E94DAB69}" name="Notes" dataDxfId="440">
      <calculatedColumnFormula>SupplyChain_Tier1_Frontend[[#This Row],[Notes]]</calculatedColumnFormula>
    </tableColumn>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CECD33C-BC3D-46DB-88D2-37C4001D60C6}" name="SupplyChain_Tier2_Frontend" displayName="SupplyChain_Tier2_Frontend" ref="E128:L248" totalsRowShown="0" headerRowDxfId="439" headerRowBorderDxfId="438" tableBorderDxfId="437" totalsRowBorderDxfId="436">
  <tableColumns count="8">
    <tableColumn id="1" xr3:uid="{CC4C7D31-1540-47D7-86D1-149EF47DC52A}" name="Category" dataDxfId="435">
      <calculatedColumnFormula>_xlfn.XLOOKUP($F129, $F$14:$F$123, $E$14:$E$123, "")</calculatedColumnFormula>
    </tableColumn>
    <tableColumn id="2" xr3:uid="{B3C2D7D1-C219-48CC-8C45-2D1E5A2BE230}" name="Product Category" dataDxfId="434"/>
    <tableColumn id="3" xr3:uid="{E4A1B61F-445C-4BD5-AD33-ABD1511B6314}" name="Spend (£)" dataDxfId="433"/>
    <tableColumn id="4" xr3:uid="{5B5853BB-B896-43E2-8BFE-444E6F9F61A3}" name="Emissions (kgCO2e)" dataDxfId="432"/>
    <tableColumn id="8" xr3:uid="{F12920DE-2EFC-4AFB-88B6-9F46E1C21424}" name="Data type" dataDxfId="431"/>
    <tableColumn id="5" xr3:uid="{A27134CE-82EA-40F2-8461-50A1DE9AEE4D}" name="Ease of collection" dataDxfId="430"/>
    <tableColumn id="6" xr3:uid="{3E0E6951-59B3-4892-82D5-0B87CCEB5D94}" name="Completeness" dataDxfId="429"/>
    <tableColumn id="7" xr3:uid="{3578C980-994C-4995-9A4D-1DFA50B5D08E}" name="Notes" dataDxfId="428"/>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B8BB8F58-E32D-45B5-90A3-B073D9F49476}" name="SupplyChain_Tier2_Backend" displayName="SupplyChain_Tier2_Backend" ref="Q128:AR248" totalsRowShown="0" headerRowDxfId="427" dataDxfId="425" headerRowBorderDxfId="426" tableBorderDxfId="424" totalsRowBorderDxfId="423">
  <autoFilter ref="Q128:AR248" xr:uid="{B8BB8F58-E32D-45B5-90A3-B073D9F4947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5A58012C-6C8C-418B-BD88-CBEECCF8FD2A}" name="ID" dataDxfId="422">
      <calculatedColumnFormula>IF(M129=0,SUBSTITUTE(2025&amp;TRIM(cl_org_name_select)&amp;TRIM($E$126)&amp;(ROW(M129)-ROW($M$129))," ",""),"")</calculatedColumnFormula>
    </tableColumn>
    <tableColumn id="2" xr3:uid="{D2772A3D-362D-4F15-AD93-FA613A39C76D}" name="Level 1" dataDxfId="421">
      <calculatedColumnFormula>IF($H129="", "", "Supply chain")</calculatedColumnFormula>
    </tableColumn>
    <tableColumn id="3" xr3:uid="{87C91BA2-6147-4D5F-A946-AEA6BFFF151C}" name="Level 2" dataDxfId="420">
      <calculatedColumnFormula>IF($H129="", "", "Supply chain")</calculatedColumnFormula>
    </tableColumn>
    <tableColumn id="4" xr3:uid="{9405C14F-31B7-40B8-893E-054E5DA8BE8D}" name="Level 3" dataDxfId="419"/>
    <tableColumn id="5" xr3:uid="{B55793FF-BB0D-4488-A22E-4AEDF5D21901}" name="Level 4" dataDxfId="418">
      <calculatedColumnFormula>SupplyChain_Tier2_Frontend[[#This Row],[Category]]</calculatedColumnFormula>
    </tableColumn>
    <tableColumn id="6" xr3:uid="{835E3CA7-90B4-4952-A8F4-1943D1DB63D0}" name="Level 5" dataDxfId="417">
      <calculatedColumnFormula>SupplyChain_Tier2_Frontend[[#This Row],[Product Category]]</calculatedColumnFormula>
    </tableColumn>
    <tableColumn id="7" xr3:uid="{4EE27718-B6C5-4E66-931A-5C129D83F747}" name="Level 6" dataDxfId="416">
      <calculatedColumnFormula>IF($G129="", "", $I129)</calculatedColumnFormula>
    </tableColumn>
    <tableColumn id="27" xr3:uid="{50F867B6-5FBB-4B81-9C5F-551180C39443}" name="Info 1" dataDxfId="415">
      <calculatedColumnFormula>SupplyChain_Tier2_Frontend[[#This Row],[Data type]]</calculatedColumnFormula>
    </tableColumn>
    <tableColumn id="26" xr3:uid="{19CEFD0E-6472-4ED2-92CC-7692F52D2A58}" name="Info 2" dataDxfId="414"/>
    <tableColumn id="8" xr3:uid="{7EE502C2-7B9B-49FD-8D8F-FF0F7EFF456E}" name="Methodology" dataDxfId="413">
      <calculatedColumnFormula>IF($G129="","", "Tier 2")</calculatedColumnFormula>
    </tableColumn>
    <tableColumn id="9" xr3:uid="{86DB49B4-E5D3-4F13-95BB-456EDE682C4A}" name="RSD" dataDxfId="412">
      <calculatedColumnFormula array="1">INDEX(_xlfn.SWITCH(SupplyChain_Tier2_Backend[[#This Row],[Methodology]],"Tier 1",rng_RSD1,"Tier 2",rng_RSD2,"Tier 3",rng_RSD3),MATCH(_xlfn.CONCAT(SupplyChain_Tier2_Backend[[#This Row],[Level 1]:[Level 6]]),rng_LevelsConcat,0))</calculatedColumnFormula>
    </tableColumn>
    <tableColumn id="10" xr3:uid="{56B83AE8-EE8A-450D-AC12-7A4B12B17429}" name="Data" dataDxfId="411">
      <calculatedColumnFormula>SupplyChain_Tier2_Frontend[[#This Row],[Spend (£)]]</calculatedColumnFormula>
    </tableColumn>
    <tableColumn id="11" xr3:uid="{820F6E12-3861-4775-AD89-9D20D69A0EEF}" name="Units" dataDxfId="410">
      <calculatedColumnFormula>IF($G129="","",$H129)</calculatedColumnFormula>
    </tableColumn>
    <tableColumn id="12" xr3:uid="{2C887F98-96EC-42D7-B7DA-24077ABA1FAE}" name="Converted data" dataDxfId="409">
      <calculatedColumnFormula>SupplyChain_Tier2_Frontend[[#This Row],[Spend (£)]]</calculatedColumnFormula>
    </tableColumn>
    <tableColumn id="13" xr3:uid="{55CA3544-4080-44D0-AC2A-F2F5FEB8E037}" name="Standard units" dataDxfId="408">
      <calculatedColumnFormula array="1">IF(OR($G129=""),"",INDEX(#REF!, MATCH($E129&amp;$F129,#REF!&amp;#REF!,0),MATCH($AE$13,#REF!,0)))</calculatedColumnFormula>
    </tableColumn>
    <tableColumn id="14" xr3:uid="{B765385E-75F1-4B6C-87F5-804075325CC1}" name="Scope 1 (tCO2e)" dataDxfId="407">
      <calculatedColumnFormula>_xlfn.XLOOKUP(_xlfn.CONCAT(SupplyChain_Tier2_Backend[[#This Row],[Level 1]:[Level 6]]),rng_EFConcat,rng_EF1)*SupplyChain_Tier2_Backend[[#This Row],[Converted data]]/1000</calculatedColumnFormula>
    </tableColumn>
    <tableColumn id="15" xr3:uid="{D75CEE0E-6274-48F4-8AFE-949ECECD532D}" name="Scope 2 (tCO2e)" dataDxfId="406">
      <calculatedColumnFormula>_xlfn.XLOOKUP(_xlfn.CONCAT(SupplyChain_Tier2_Backend[[#This Row],[Level 1]:[Level 6]]),rng_EFConcat,rng_EF2)*SupplyChain_Tier2_Backend[[#This Row],[Converted data]]/1000</calculatedColumnFormula>
    </tableColumn>
    <tableColumn id="16" xr3:uid="{E5CFF7F8-3E2A-41F3-A4E6-46087A5687B0}" name="Scope 3 (tCO2e)" dataDxfId="405">
      <calculatedColumnFormula>SupplyChain_Tier2_Frontend[[#This Row],[Emissions (kgCO2e)]]/1000</calculatedColumnFormula>
    </tableColumn>
    <tableColumn id="17" xr3:uid="{33E9D44E-106A-41AC-B2C8-EAB33858870E}" name="Scope 3 WTT (tCO2e)" dataDxfId="404">
      <calculatedColumnFormula>_xlfn.XLOOKUP(_xlfn.CONCAT(SupplyChain_Tier2_Backend[[#This Row],[Level 1]:[Level 6]]),rng_EFConcat,rng_EF3WTT)*SupplyChain_Tier2_Backend[[#This Row],[Converted data]]/1000</calculatedColumnFormula>
    </tableColumn>
    <tableColumn id="18" xr3:uid="{79629BB5-3F0F-4D7F-93B0-2A3349D7B305}" name="Scope 3 T&amp;D (tCO2e)" dataDxfId="403">
      <calculatedColumnFormula>_xlfn.XLOOKUP(_xlfn.CONCAT(SupplyChain_Tier2_Backend[[#This Row],[Level 1]:[Level 6]]),rng_EFConcat,rng_EF3TD)*SupplyChain_Tier2_Backend[[#This Row],[Converted data]]/1000</calculatedColumnFormula>
    </tableColumn>
    <tableColumn id="19" xr3:uid="{9FE7389F-11D1-4388-ADA3-413AECE5EED3}" name="Scope 3 WTT T&amp;D (tCO2e)" dataDxfId="402">
      <calculatedColumnFormula>_xlfn.XLOOKUP(_xlfn.CONCAT(SupplyChain_Tier2_Backend[[#This Row],[Level 1]:[Level 6]]),rng_EFConcat,rng_EF3WTTTD)*SupplyChain_Tier2_Backend[[#This Row],[Converted data]]/1000</calculatedColumnFormula>
    </tableColumn>
    <tableColumn id="20" xr3:uid="{A48C7620-4F48-40E0-ABF7-48B6C5C646E9}" name="Total (tCO2e)" dataDxfId="401">
      <calculatedColumnFormula>SUM(SupplyChain_Tier2_Backend[[#This Row],[Scope 1 (tCO2e)]:[Scope 3 WTT T&amp;D (tCO2e)]])</calculatedColumnFormula>
    </tableColumn>
    <tableColumn id="21" xr3:uid="{C5AABD2C-D5A1-49EB-8A7C-56A9C538A6C8}" name="Low (tCO2e)" dataDxfId="400">
      <calculatedColumnFormula>SupplyChain_Tier2_Backend[[#This Row],[Total (tCO2e)]]*(1-SupplyChain_Tier2_Backend[[#This Row],[RSD]])</calculatedColumnFormula>
    </tableColumn>
    <tableColumn id="22" xr3:uid="{53E0A351-7621-436E-9F4B-75E89C4A70BA}" name="High (tCO2e)" dataDxfId="399">
      <calculatedColumnFormula>SupplyChain_Tier2_Backend[[#This Row],[Total (tCO2e)]]*(1+SupplyChain_Tier2_Backend[[#This Row],[RSD]])</calculatedColumnFormula>
    </tableColumn>
    <tableColumn id="23" xr3:uid="{174BFE05-CADB-4F72-A8B0-456782F8393E}" name="OOS (tCO2e)" dataDxfId="398">
      <calculatedColumnFormula>_xlfn.XLOOKUP(_xlfn.CONCAT(SupplyChain_Tier2_Backend[[#This Row],[Level 1]:[Level 6]]),rng_EFConcat,rng_EFOOS)*SupplyChain_Tier2_Backend[[#This Row],[Converted data]]/1000</calculatedColumnFormula>
    </tableColumn>
    <tableColumn id="24" xr3:uid="{1B274DF7-C84A-4FF8-AB67-2FA8BE8E07A4}" name="Ease of collection" dataDxfId="397">
      <calculatedColumnFormula>SupplyChain_Tier2_Frontend[[#This Row],[Ease of collection]]</calculatedColumnFormula>
    </tableColumn>
    <tableColumn id="28" xr3:uid="{0F6237C7-6486-4C9C-BE18-70EA27DF1CC4}" name="Completeness" dataDxfId="396">
      <calculatedColumnFormula>SupplyChain_Tier2_Frontend[[#This Row],[Completeness]]</calculatedColumnFormula>
    </tableColumn>
    <tableColumn id="25" xr3:uid="{14D2B936-76C9-4924-B4A0-E10E394A7B3A}" name="Notes" dataDxfId="395">
      <calculatedColumnFormula>SupplyChain_Tier2_Frontend[[#This Row],[Notes]]</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3763BAA-B10F-4D69-8002-2C4D3544AB30}" name="SupplyChain_SupplierData_Frontend" displayName="SupplyChain_SupplierData_Frontend" ref="F13:Q94" totalsRowShown="0" headerRowDxfId="394" dataDxfId="392" headerRowBorderDxfId="393" tableBorderDxfId="391">
  <autoFilter ref="F13:Q94" xr:uid="{E3763BAA-B10F-4D69-8002-2C4D3544AB30}"/>
  <tableColumns count="12">
    <tableColumn id="1" xr3:uid="{D8F194E0-D401-45A4-8227-4E2C51167D64}" name="Supplier" dataDxfId="390"/>
    <tableColumn id="2" xr3:uid="{E16D4312-BF23-462E-8FEE-A08AC4ED2553}" name="Category" dataDxfId="389"/>
    <tableColumn id="3" xr3:uid="{CDE6EFF5-8E8F-49DD-AD4B-8B4E149CC9A2}" name="Product category" dataDxfId="388"/>
    <tableColumn id="10" xr3:uid="{2B56E276-AA2B-4E1C-A5D7-19BDCFE6089A}" name="Spend with supplier GBP" dataDxfId="387"/>
    <tableColumn id="4" xr3:uid="{862B8AD2-14A3-4267-A59F-F1FA90068017}" name="Emissions kgCO2e" dataDxfId="386"/>
    <tableColumn id="5" xr3:uid="{1FF51613-8631-4944-8C94-7CF0E7E51ACD}" name="Methodology" dataDxfId="385"/>
    <tableColumn id="12" xr3:uid="{7AE6BAF9-E694-4DB2-998C-AD3ABFAD283B}" name="Data assessment score" dataDxfId="384"/>
    <tableColumn id="11" xr3:uid="{76D6D3D8-1372-413E-8C00-0397CEEDAE21}" name="Override?" dataDxfId="383"/>
    <tableColumn id="9" xr3:uid="{65A061E0-6548-4333-9DA8-5A38F5D7D979}" name="Data type" dataDxfId="382"/>
    <tableColumn id="6" xr3:uid="{0CB75916-B28B-485F-BE99-97C36EBA655D}" name="Ease of collection" dataDxfId="381"/>
    <tableColumn id="7" xr3:uid="{09595FA4-BC6F-4B96-91A9-0541C0FE1F4F}" name="Completeness" dataDxfId="380"/>
    <tableColumn id="8" xr3:uid="{803E5E8A-F0AD-4C91-BE79-D1E46E4B56F1}" name="Notes" dataDxfId="379"/>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B5C854-E948-4062-8CA5-21F9246DE1CB}" name="SupplyChain_SupplierData_Backend" displayName="SupplyChain_SupplierData_Backend" ref="U13:AV94" totalsRowShown="0" headerRowDxfId="378" headerRowBorderDxfId="377" tableBorderDxfId="376" totalsRowBorderDxfId="375">
  <autoFilter ref="U13:AV94" xr:uid="{A7B5C854-E948-4062-8CA5-21F9246DE1CB}"/>
  <tableColumns count="28">
    <tableColumn id="1" xr3:uid="{E90F989F-5D5F-4383-ACD9-7A425E9B0689}" name="ID" dataDxfId="374">
      <calculatedColumnFormula>IF(R14=0,SUBSTITUTE(2025&amp;TRIM(cl_org_name_select)&amp;TRIM($F$10)&amp;(ROW(R14)-ROW($R$14))," ",""),"")</calculatedColumnFormula>
    </tableColumn>
    <tableColumn id="2" xr3:uid="{E0CCA98A-B0DF-452F-A5BF-E909B470F895}" name="Level 1" dataDxfId="373"/>
    <tableColumn id="3" xr3:uid="{C15782BE-26E3-41B0-A639-365AC0F954C1}" name="Level 2" dataDxfId="372"/>
    <tableColumn id="4" xr3:uid="{136CD803-4F58-43BC-949E-DD65F7BD4A59}" name="Level 3" dataDxfId="371">
      <calculatedColumnFormula array="1">_xlfn.XLOOKUP(SupplyChain_SupplierData_Backend[[#This Row],[Level 2]],rng_Level2Long,rng_Level3Long)</calculatedColumnFormula>
    </tableColumn>
    <tableColumn id="5" xr3:uid="{9A65530C-6C3B-4610-B7EE-3C1A8D5217E3}" name="Level 4" dataDxfId="370">
      <calculatedColumnFormula>SupplyChain_SupplierData_Frontend[[#This Row],[Category]]</calculatedColumnFormula>
    </tableColumn>
    <tableColumn id="6" xr3:uid="{73514B7A-CFAC-41F1-AA3F-089641CCCA79}" name="Level 5" dataDxfId="369">
      <calculatedColumnFormula>SupplyChain_SupplierData_Frontend[[#This Row],[Product category]]</calculatedColumnFormula>
    </tableColumn>
    <tableColumn id="7" xr3:uid="{F033D39C-03AD-4BF4-A710-08F701D60940}" name="Level 6" dataDxfId="368">
      <calculatedColumnFormula array="1">_xlfn.XLOOKUP(SupplyChain_SupplierData_Backend[[#This Row],[Level 5]],rng_Level5Long,rng_Level6Long)</calculatedColumnFormula>
    </tableColumn>
    <tableColumn id="8" xr3:uid="{BC123BC6-9F12-441D-97A1-801622AD85AA}" name="Info 1" dataDxfId="367">
      <calculatedColumnFormula>SupplyChain_SupplierData_Frontend[[#This Row],[Data type]]</calculatedColumnFormula>
    </tableColumn>
    <tableColumn id="9" xr3:uid="{314F1CB8-BBB8-43E0-99A7-82EC29FB3B27}" name="Info 2" dataDxfId="366">
      <calculatedColumnFormula>SupplyChain_SupplierData_Frontend[[#This Row],[Data assessment score]]</calculatedColumnFormula>
    </tableColumn>
    <tableColumn id="10" xr3:uid="{C084EEE1-2CB8-4894-8F1F-5B0132F8FA01}" name="Methodology" dataDxfId="365">
      <calculatedColumnFormula>SupplyChain_SupplierData_Frontend[[#This Row],[Methodology]]</calculatedColumnFormula>
    </tableColumn>
    <tableColumn id="11" xr3:uid="{41C852CB-CB69-41FD-9CCC-BC75E868AC2B}" name="RSD" dataDxfId="364">
      <calculatedColumnFormula array="1">INDEX(_xlfn.SWITCH(SupplyChain_SupplierData_Backend[[#This Row],[Methodology]],"Tier 1",rng_RSD1,"Tier 2",rng_RSD2,"Tier 3",rng_RSD3),MATCH(SupplyChain_SupplierData_Backend[[#This Row],[Level 2]],rng_Level2Long,0))</calculatedColumnFormula>
    </tableColumn>
    <tableColumn id="12" xr3:uid="{B72D1DA8-837D-4044-8ECE-267789A14C6B}" name="Data" dataDxfId="363">
      <calculatedColumnFormula>SupplyChain_SupplierData_Frontend[[#This Row],[Spend with supplier GBP]]</calculatedColumnFormula>
    </tableColumn>
    <tableColumn id="13" xr3:uid="{D72D6C3A-3815-4485-9C87-D79B2799B769}" name="Units" dataDxfId="362"/>
    <tableColumn id="14" xr3:uid="{D4A2E619-0391-4153-A612-0C1C94421CCA}" name="Converted data" dataDxfId="361">
      <calculatedColumnFormula>SupplyChain_SupplierData_Backend[[#This Row],[Data]]</calculatedColumnFormula>
    </tableColumn>
    <tableColumn id="15" xr3:uid="{2EFF1437-1566-441E-A4BB-F7972274200F}" name="Standard units" dataDxfId="360"/>
    <tableColumn id="16" xr3:uid="{CB6EC729-A04A-4F62-B8F5-6C3453CF8479}" name="Scope 1 (tCO2e)" dataDxfId="359"/>
    <tableColumn id="17" xr3:uid="{E842E9A7-C0D3-4949-BF62-CA7F315379E3}" name="Scope 2 (tCO2e)" dataDxfId="358"/>
    <tableColumn id="18" xr3:uid="{4F7E7729-6E71-44FE-B3AC-3AC6193E94A0}" name="Scope 3 (tCO2e)" dataDxfId="357">
      <calculatedColumnFormula>SupplyChain_SupplierData_Frontend[[#This Row],[Emissions kgCO2e]]/1000</calculatedColumnFormula>
    </tableColumn>
    <tableColumn id="19" xr3:uid="{CBC836C6-F4D8-4D20-BC4A-8970B99F1875}" name="Scope 3 WTT (tCO2e)" dataDxfId="356"/>
    <tableColumn id="20" xr3:uid="{8DBFBC79-3EB9-4753-981B-E440863FF2EA}" name="Scope 3 T&amp;D (tCO2e)" dataDxfId="355"/>
    <tableColumn id="21" xr3:uid="{6457E131-D85C-4CF5-A12E-FA6993378980}" name="Scope 3 WTT T&amp;D (tCO2e)" dataDxfId="354"/>
    <tableColumn id="22" xr3:uid="{232B9A60-CFB2-44BC-8C32-A0D8D1532938}" name="Total (tCO2e)" dataDxfId="353">
      <calculatedColumnFormula>SUM(SupplyChain_SupplierData_Backend[[#This Row],[Scope 1 (tCO2e)]:[Scope 3 WTT T&amp;D (tCO2e)]])</calculatedColumnFormula>
    </tableColumn>
    <tableColumn id="23" xr3:uid="{8D85AE09-3F61-4893-9B12-3E6F45DEDCB6}" name="Low (tCO2e)" dataDxfId="352">
      <calculatedColumnFormula>SupplyChain_SupplierData_Backend[[#This Row],[Total (tCO2e)]]*(1-SupplyChain_SupplierData_Backend[[#This Row],[RSD]])</calculatedColumnFormula>
    </tableColumn>
    <tableColumn id="24" xr3:uid="{92A2B6B4-6045-471C-84DD-5012342DFF3B}" name="High (tCO2e)" dataDxfId="351">
      <calculatedColumnFormula>SupplyChain_SupplierData_Backend[[#This Row],[Total (tCO2e)]]*(1+SupplyChain_SupplierData_Backend[[#This Row],[RSD]])</calculatedColumnFormula>
    </tableColumn>
    <tableColumn id="25" xr3:uid="{E8FD7AC9-533F-4BBD-8B4B-AAB24D743BBC}" name="OOS (tCO2e)" dataDxfId="350"/>
    <tableColumn id="26" xr3:uid="{F44ECE1A-4A28-4C06-A429-61624145697A}" name="Ease of collection" dataDxfId="349">
      <calculatedColumnFormula>SupplyChain_SupplierData_Frontend[[#This Row],[Ease of collection]]</calculatedColumnFormula>
    </tableColumn>
    <tableColumn id="27" xr3:uid="{10FDD778-149E-48B9-BD53-429C3FB8DC69}" name="Completeness" dataDxfId="348">
      <calculatedColumnFormula>SupplyChain_SupplierData_Frontend[[#This Row],[Completeness]]</calculatedColumnFormula>
    </tableColumn>
    <tableColumn id="28" xr3:uid="{4473E8E9-3D75-4A18-9916-CF565765CE41}" name="Notes" dataDxfId="347">
      <calculatedColumnFormula>SupplyChain_SupplierData_Frontend[[#This Row],[Notes]]</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F000000}" name="OnsiteHeatTable" displayName="OnsiteHeatTable" ref="B36:R60" totalsRowShown="0" headerRowDxfId="346" dataDxfId="344" headerRowBorderDxfId="345" tableBorderDxfId="343" totalsRowBorderDxfId="342" dataCellStyle="Comma">
  <autoFilter ref="B36:R60" xr:uid="{00000000-0009-0000-0100-00000C000000}"/>
  <tableColumns count="17">
    <tableColumn id="14" xr3:uid="{3C17BAE0-FB93-4192-AF72-04B9CD0FCAEC}" name="Generating site name" dataDxfId="341" dataCellStyle="Comma"/>
    <tableColumn id="15" xr3:uid="{2B82AFB9-5017-4BFF-B8C0-CBEC9A6BFBBA}" name="Location" dataDxfId="340"/>
    <tableColumn id="1" xr3:uid="{00000000-0010-0000-0F00-000001000000}" name="Renewable Type" dataDxfId="339"/>
    <tableColumn id="2" xr3:uid="{00000000-0010-0000-0F00-000002000000}" name="Technology" dataDxfId="338"/>
    <tableColumn id="3" xr3:uid="{00000000-0010-0000-0F00-000003000000}" name="Methodology used" dataDxfId="337"/>
    <tableColumn id="10" xr3:uid="{2C3DD388-D73E-4BF0-B601-EE2AD575A0EC}" name="Type of ownership" dataDxfId="336"/>
    <tableColumn id="16" xr3:uid="{B50FBE4A-C047-4588-AC56-2030EDC88DC8}" name="Age (years)" dataDxfId="335"/>
    <tableColumn id="4" xr3:uid="{00000000-0010-0000-0F00-000004000000}" name="RSD" dataDxfId="334">
      <calculatedColumnFormula>IF(F37="","",INDEX(#REF!,MATCH(OnsiteHeatTable[[#This Row],[Renewable Type]],#REF!,0),MATCH(OnsiteHeatTable[[#This Row],[Methodology used]],#REF!,0)))</calculatedColumnFormula>
    </tableColumn>
    <tableColumn id="12" xr3:uid="{EFCAD6AB-B3A7-4660-A3E1-0F0D52A6D23A}" name="Total MW capacity (thermal)" dataDxfId="333" dataCellStyle="Comma"/>
    <tableColumn id="17" xr3:uid="{E068251D-6B96-4C2C-80FB-3BA0EDC92A80}" name="Not used" dataDxfId="332" dataCellStyle="Comma"/>
    <tableColumn id="5" xr3:uid="{00000000-0010-0000-0F00-000005000000}" name="Total kWh generated" dataDxfId="331" dataCellStyle="Comma">
      <calculatedColumnFormula>SUM(OnsiteHeatTable[[#This Row],[kWh consumed by reporting organisation]:[kWh exported to other PSB]])</calculatedColumnFormula>
    </tableColumn>
    <tableColumn id="6" xr3:uid="{00000000-0010-0000-0F00-000006000000}" name="kWh consumed by reporting organisation" dataDxfId="330" dataCellStyle="Comma"/>
    <tableColumn id="11" xr3:uid="{CF2CDA7D-1CD5-4D10-9DE3-722D7E285EED}" name="kWh exported to a heat network" dataDxfId="329" dataCellStyle="Comma"/>
    <tableColumn id="7" xr3:uid="{00000000-0010-0000-0F00-000007000000}" name="kWh exported to other PSB" dataDxfId="328" dataCellStyle="Comma"/>
    <tableColumn id="13" xr3:uid="{2275ED76-3F23-4F9C-A4DE-8471E6B8F491}" name="Name of other Public Sector Body" dataDxfId="327" dataCellStyle="Comma"/>
    <tableColumn id="8" xr3:uid="{00000000-0010-0000-0F00-000008000000}" name="Notes" dataDxfId="326"/>
    <tableColumn id="9" xr3:uid="{00000000-0010-0000-0F00-000009000000}" name="Ease of collection" dataDxfId="325"/>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PurchasedRenewablesTable" displayName="PurchasedRenewablesTable" ref="B91:J105" totalsRowShown="0" headerRowDxfId="324" dataDxfId="322" headerRowBorderDxfId="323" tableBorderDxfId="321" totalsRowBorderDxfId="320" dataCellStyle="Comma">
  <autoFilter ref="B91:J105" xr:uid="{00000000-0009-0000-0100-00000D000000}"/>
  <tableColumns count="9">
    <tableColumn id="1" xr3:uid="{00000000-0010-0000-1000-000001000000}" name="Renewable Type" dataDxfId="319"/>
    <tableColumn id="2" xr3:uid="{00000000-0010-0000-1000-000002000000}" name="Agreement" dataDxfId="318"/>
    <tableColumn id="3" xr3:uid="{00000000-0010-0000-1000-000003000000}" name="Methodology used" dataDxfId="317"/>
    <tableColumn id="4" xr3:uid="{00000000-0010-0000-1000-000004000000}" name="RSD" dataDxfId="316">
      <calculatedColumnFormula>IF(D92="","",INDEX(#REF!,MATCH(PurchasedRenewablesTable[[#This Row],[Renewable Type]],#REF!,0),MATCH(PurchasedRenewablesTable[[#This Row],[Methodology used]],#REF!,0)))</calculatedColumnFormula>
    </tableColumn>
    <tableColumn id="5" xr3:uid="{00000000-0010-0000-1000-000005000000}" name="Total kWh purchased" dataDxfId="315" dataCellStyle="Comma"/>
    <tableColumn id="6" xr3:uid="{00000000-0010-0000-1000-000006000000}" name="Not used" dataDxfId="314" dataCellStyle="Comma"/>
    <tableColumn id="7" xr3:uid="{00000000-0010-0000-1000-000007000000}" name="Not used2" dataDxfId="313" dataCellStyle="Comma">
      <calculatedColumnFormula>IF(OR(PurchasedRenewablesTable[[#This Row],[Total kWh purchased]]="",PurchasedRenewablesTable[[#This Row],[Not used]]=""),"",PurchasedRenewablesTable[[#This Row],[Total kWh purchased]]*PurchasedRenewablesTable[[#This Row],[Not used]])</calculatedColumnFormula>
    </tableColumn>
    <tableColumn id="8" xr3:uid="{00000000-0010-0000-1000-000008000000}" name="Notes" dataDxfId="312"/>
    <tableColumn id="9" xr3:uid="{00000000-0010-0000-1000-000009000000}" name="Ease of collection" dataDxfId="311"/>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64E0F3E-84BF-4830-B82A-EC64C2A41178}" name="OffsiteHeatTable" displayName="OffsiteHeatTable" ref="B64:R88" totalsRowShown="0" headerRowDxfId="310" dataDxfId="308" headerRowBorderDxfId="309" tableBorderDxfId="307" totalsRowBorderDxfId="306" dataCellStyle="Comma">
  <autoFilter ref="B64:R88" xr:uid="{764E0F3E-84BF-4830-B82A-EC64C2A41178}"/>
  <tableColumns count="17">
    <tableColumn id="14" xr3:uid="{BA9D6C2B-7966-4998-8D20-5C024C2A489F}" name="Generating site name" dataDxfId="305" dataCellStyle="Comma"/>
    <tableColumn id="15" xr3:uid="{ED166569-E5B2-441B-AD6C-EC5F772FFDBA}" name="Location" dataDxfId="304"/>
    <tableColumn id="1" xr3:uid="{C29407F2-0A62-4354-80BA-5056A09BEAA7}" name="Renewable Type" dataDxfId="303"/>
    <tableColumn id="2" xr3:uid="{2F6529AC-D446-4E9C-B97F-BB362CEC8592}" name="Technology" dataDxfId="302"/>
    <tableColumn id="3" xr3:uid="{D2C1B3C3-A324-48BE-8EE5-19050610D6B3}" name="Methodology used" dataDxfId="301"/>
    <tableColumn id="10" xr3:uid="{84752AFB-8F6C-4143-8031-1FDCE9C99CF9}" name="Type of ownership" dataDxfId="300"/>
    <tableColumn id="16" xr3:uid="{62F527E3-2E9D-40F7-9D0C-850EABA126C1}" name="Age (years)" dataDxfId="299"/>
    <tableColumn id="4" xr3:uid="{3972D508-6324-4C0E-A8FA-12ED40B84DFF}" name="RSD" dataDxfId="298">
      <calculatedColumnFormula>IF(F65="","",INDEX(#REF!,MATCH(OffsiteHeatTable[[#This Row],[Renewable Type]],#REF!,0),MATCH(OffsiteHeatTable[[#This Row],[Methodology used]],#REF!,0)))</calculatedColumnFormula>
    </tableColumn>
    <tableColumn id="12" xr3:uid="{21479890-534E-44C4-B1AE-667B412F4C15}" name="Total MW capacity (thermal)" dataDxfId="297" dataCellStyle="Comma"/>
    <tableColumn id="17" xr3:uid="{C111B898-CA98-4B6B-9F46-FCE2B297FC24}" name="Not used" dataDxfId="296" dataCellStyle="Comma"/>
    <tableColumn id="5" xr3:uid="{48164FB4-C0ED-4251-9CCB-6A72D5D2C264}" name="Total kWh generated" dataDxfId="295" dataCellStyle="Comma">
      <calculatedColumnFormula>SUM(OffsiteHeatTable[[#This Row],[kWh consumed by reporting organisation]:[kWh exported to other PSB]])</calculatedColumnFormula>
    </tableColumn>
    <tableColumn id="6" xr3:uid="{B3C2304F-3D6E-4777-8023-98FEA7C2E295}" name="kWh consumed by reporting organisation" dataDxfId="294" dataCellStyle="Comma"/>
    <tableColumn id="11" xr3:uid="{DBC180D4-51B2-41D1-85E9-A1EA53009B5F}" name="kWh exported to grid" dataDxfId="293" dataCellStyle="Comma"/>
    <tableColumn id="7" xr3:uid="{7AA5FCB4-4D6F-4E94-B295-5A73A0CF308C}" name="kWh exported to other PSB" dataDxfId="292" dataCellStyle="Comma"/>
    <tableColumn id="13" xr3:uid="{1A5FF9C2-586C-42E2-961C-48A9CE04E694}" name="Name of other Public Sector Body" dataDxfId="291" dataCellStyle="Comma"/>
    <tableColumn id="8" xr3:uid="{128EA696-1363-4BF0-A0C2-F6CE278938AF}" name="Notes" dataDxfId="290"/>
    <tableColumn id="9" xr3:uid="{0C2B2E26-2181-4B1E-BB45-52500F6372BE}" name="Ease of collection" dataDxfId="28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012B348-B117-4091-B9B8-09A77748E07B}" name="Buildings_Electricity_Streetlighting_Frontend" displayName="Buildings_Electricity_Streetlighting_Frontend" ref="E12:M22" totalsRowShown="0" headerRowDxfId="1102" dataDxfId="1100" headerRowBorderDxfId="1101" tableBorderDxfId="1099" totalsRowBorderDxfId="1098">
  <autoFilter ref="E12:M22" xr:uid="{4012B348-B117-4091-B9B8-09A77748E0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850AF7F-0D48-4B6F-B68A-F68B3CFB3C55}" name="Name" dataDxfId="1097"/>
    <tableColumn id="2" xr3:uid="{076CAB9D-EB64-4885-8BA9-C6F18735B2FC}" name="Type of lighting" dataDxfId="1096"/>
    <tableColumn id="3" xr3:uid="{4AA91263-BA8D-4019-B38B-4E17C09636FD}" name="Methodology" dataDxfId="1095"/>
    <tableColumn id="4" xr3:uid="{A74143F8-E22D-43DE-861E-7E8B0348B266}" name="Data" dataDxfId="1094" dataCellStyle="Comma"/>
    <tableColumn id="5" xr3:uid="{E84E50E8-C286-4D59-BC89-751D3DB72E39}" name="Units" dataDxfId="1093"/>
    <tableColumn id="10" xr3:uid="{17F8F39D-8C19-4871-8790-45EC5691C3B2}" name="Contracting" dataDxfId="1092"/>
    <tableColumn id="6" xr3:uid="{0EB2E414-E283-4033-BC39-AF1FF0780E2E}" name="Ease of collection" dataDxfId="1091"/>
    <tableColumn id="7" xr3:uid="{8A123D11-42B7-4208-8770-B20F061806B5}" name="Completeness" dataDxfId="1090"/>
    <tableColumn id="8" xr3:uid="{0CBE738B-4E28-4C9C-B211-414B2767AC71}" name="Notes" dataDxfId="1089"/>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A364FF0-977E-4124-AC65-D4A8296BDDDD}" name="RenewableElectricityTable" displayName="RenewableElectricityTable" ref="B7:R32" totalsRowShown="0" headerRowDxfId="288" dataDxfId="286" headerRowBorderDxfId="287" tableBorderDxfId="285" totalsRowBorderDxfId="284" dataCellStyle="Comma">
  <autoFilter ref="B7:R32" xr:uid="{DA364FF0-977E-4124-AC65-D4A8296BDDDD}"/>
  <tableColumns count="17">
    <tableColumn id="14" xr3:uid="{091825E7-91B1-41C6-9747-3D032F371318}" name="Generating site name" dataDxfId="283" dataCellStyle="Comma"/>
    <tableColumn id="15" xr3:uid="{FDBA1996-C7A6-4E8F-93CC-67E2D3E80833}" name="Location" dataDxfId="282"/>
    <tableColumn id="1" xr3:uid="{17013B9A-444C-4040-BCA3-3D6C6CAADDDC}" name="Renewable Type" dataDxfId="281"/>
    <tableColumn id="2" xr3:uid="{D3158FD1-8DB0-4ED3-9A5E-9E44BFA93D1F}" name="Technology" dataDxfId="280"/>
    <tableColumn id="3" xr3:uid="{D66D5451-0AFB-4412-A191-72CFB58D5F30}" name="Methodology used" dataDxfId="279"/>
    <tableColumn id="10" xr3:uid="{59381296-4B35-4C0B-B092-994E26E1B12F}" name="Type of ownership" dataDxfId="278"/>
    <tableColumn id="16" xr3:uid="{C48158E3-94DC-459C-8505-9C12B5438E79}" name="Age (years)" dataDxfId="277"/>
    <tableColumn id="4" xr3:uid="{9A3D44FD-39CD-41B0-9064-B93B6954156B}" name="RSD" dataDxfId="276">
      <calculatedColumnFormula>IF(F8="","",INDEX(#REF!,MATCH(RenewableElectricityTable[[#This Row],[Renewable Type]],#REF!,0),MATCH(RenewableElectricityTable[[#This Row],[Methodology used]],#REF!,0)))</calculatedColumnFormula>
    </tableColumn>
    <tableColumn id="12" xr3:uid="{4C182F35-7B3F-4FD2-AFC0-38BFADD57C85}" name="Total kW capacity" dataDxfId="275" dataCellStyle="Comma"/>
    <tableColumn id="5" xr3:uid="{E4AB552F-E265-4415-A10F-FEC8D2716D1B}" name="Availability" dataDxfId="274" dataCellStyle="Comma"/>
    <tableColumn id="17" xr3:uid="{51756C68-432C-438F-8E9F-B55957BE0BE8}" name="Total kWh generated" dataDxfId="273" dataCellStyle="Comma">
      <calculatedColumnFormula>SUM(RenewableElectricityTable[[#This Row],[kWh consumed by reporting organisation]:[kWh exported to other PSB]])</calculatedColumnFormula>
    </tableColumn>
    <tableColumn id="6" xr3:uid="{C636AA47-8581-4759-B0F6-704555F8A251}" name="kWh consumed by reporting organisation" dataDxfId="272" dataCellStyle="Comma"/>
    <tableColumn id="11" xr3:uid="{5E83BA18-A4F8-43D0-842C-75B7CDC4B1C4}" name="kWh exported to grid" dataDxfId="271" dataCellStyle="Comma"/>
    <tableColumn id="7" xr3:uid="{05D83C50-D0AE-45F0-BDC5-3E467D22B07B}" name="kWh exported to other PSB" dataDxfId="270" dataCellStyle="Comma"/>
    <tableColumn id="13" xr3:uid="{8C973951-A453-4B7C-8807-9213F87D5AFD}" name="Name of other Public Sector Body" dataDxfId="269" dataCellStyle="Comma"/>
    <tableColumn id="8" xr3:uid="{DEF53444-9329-4C96-9DAA-8AECE36A123A}" name="Notes" dataDxfId="268"/>
    <tableColumn id="9" xr3:uid="{F8328B95-DE43-43D7-A153-BC4D53716181}" name="Ease of collection" dataDxfId="267"/>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3E4C8681-9CCA-4310-9A06-A82BD7DF1559}" name="FLAG_Tier1_Frontend" displayName="FLAG_Tier1_Frontend" ref="E17:L37" totalsRowShown="0" headerRowDxfId="266" dataDxfId="264" headerRowBorderDxfId="265" tableBorderDxfId="263" totalsRowBorderDxfId="262">
  <autoFilter ref="E17:L37" xr:uid="{3E4C8681-9CCA-4310-9A06-A82BD7DF155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479FE0C-971E-4B13-9290-AF9D6FE53703}" name="Current land use type" dataDxfId="261"/>
    <tableColumn id="2" xr3:uid="{635E62D7-18F9-4664-8175-5C6A6D397FAD}" name="Soil type" dataDxfId="260"/>
    <tableColumn id="3" xr3:uid="{87DD9C97-9DE0-4C63-B0DF-5A0A5AA50732}" name="Previous land use type" dataDxfId="259"/>
    <tableColumn id="4" xr3:uid="{D328BF62-B954-4D19-AABF-74E3B598C2D6}" name="Data" dataDxfId="258"/>
    <tableColumn id="5" xr3:uid="{CB7B3B13-39C8-4F88-ABEC-8813CFC1E88B}" name="Units" dataDxfId="257">
      <calculatedColumnFormula>IF($H18="","","ha")</calculatedColumnFormula>
    </tableColumn>
    <tableColumn id="6" xr3:uid="{5CE1A252-A3A1-4349-999C-E6AC4DF9F20A}" name="Ease of collection" dataDxfId="256"/>
    <tableColumn id="7" xr3:uid="{83AF3083-55B9-424E-8AE1-2AFAD878C2D1}" name="Completeness" dataDxfId="255"/>
    <tableColumn id="8" xr3:uid="{06ADAB2C-8ECC-46C2-A371-2124C5351DD8}" name="Notes" dataDxfId="254"/>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D2F930E-C6C3-48B9-AEB0-9FB216447010}" name="FLAG_Tier1_Backend" displayName="FLAG_Tier1_Backend" ref="Q17:AR37" totalsRowShown="0" headerRowDxfId="253" dataDxfId="251" headerRowBorderDxfId="252" tableBorderDxfId="250" totalsRowBorderDxfId="249">
  <autoFilter ref="Q17:AR37" xr:uid="{4D2F930E-C6C3-48B9-AEB0-9FB2164470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3A85AF6B-A88D-4B8F-888D-AE6DDA9EB8B9}" name="ID" dataDxfId="248">
      <calculatedColumnFormula>IF(M18=0,SUBSTITUTE(2025&amp;TRIM(cl_org_name_select)&amp;TRIM($E$15)&amp;(ROW(M18)-ROW($M$18))," ",""),"")</calculatedColumnFormula>
    </tableColumn>
    <tableColumn id="2" xr3:uid="{BF1578DB-BABE-4DDD-BB1C-C678BD8176CF}" name="Level 1" dataDxfId="247">
      <calculatedColumnFormula>IF($H18="", "", "Land")</calculatedColumnFormula>
    </tableColumn>
    <tableColumn id="3" xr3:uid="{FE287264-C0B4-42EA-9A11-DEC10E46C43A}" name="Level 2" dataDxfId="246">
      <calculatedColumnFormula>IF($H18="", "", "Land")</calculatedColumnFormula>
    </tableColumn>
    <tableColumn id="4" xr3:uid="{714440B5-696B-400D-8356-4FF5499C9D8C}" name="Level 3" dataDxfId="245">
      <calculatedColumnFormula>FLAG_Tier1_Frontend[[#This Row],[Current land use type]]</calculatedColumnFormula>
    </tableColumn>
    <tableColumn id="5" xr3:uid="{30B39DFA-0898-4EA7-A3A4-A8DB54CB87E2}" name="Level 4" dataDxfId="244">
      <calculatedColumnFormula>FLAG_Tier1_Frontend[[#This Row],[Soil type]]</calculatedColumnFormula>
    </tableColumn>
    <tableColumn id="6" xr3:uid="{59B590C0-9FB8-40AB-B6E8-B0C7125C164E}" name="Level 5" dataDxfId="243">
      <calculatedColumnFormula>FLAG_Tier1_Frontend[[#This Row],[Previous land use type]]</calculatedColumnFormula>
    </tableColumn>
    <tableColumn id="7" xr3:uid="{7EE5F1A2-57C5-4AE7-9EC8-DD1DDC572C27}" name="Level 6" dataDxfId="242">
      <calculatedColumnFormula array="1">_xlfn._xlws.FILTER(rng_Level6Long,(rng_Level3Long=FLAG_Tier1_Backend[[#This Row],[Level 3]])*(rng_Level4Long=FLAG_Tier1_Backend[[#This Row],[Level 4]])*(rng_Level5Long=FLAG_Tier1_Backend[[#This Row],[Level 5]]))</calculatedColumnFormula>
    </tableColumn>
    <tableColumn id="27" xr3:uid="{1CD8004F-4BF3-4290-837A-595615D3DC3B}" name="Info 1" dataDxfId="241"/>
    <tableColumn id="26" xr3:uid="{9D92AA70-95A1-4017-85BD-2A15191D7C8A}" name="Info 2" dataDxfId="240"/>
    <tableColumn id="8" xr3:uid="{B646B51D-8151-48CC-BF57-2D38E647D489}" name="Methodology" dataDxfId="239">
      <calculatedColumnFormula>IF($G18="","", "Tier 1")</calculatedColumnFormula>
    </tableColumn>
    <tableColumn id="9" xr3:uid="{5BF609FE-57F6-4AAA-BB1A-080EB9B7AC50}" name="RSD" dataDxfId="238">
      <calculatedColumnFormula array="1">INDEX(_xlfn.SWITCH(FLAG_Tier1_Backend[[#This Row],[Methodology]],"Tier 1",rng_RSD1,"Tier 2",rng_RSD2,"Tier 3",rng_RSD3),MATCH(_xlfn.CONCAT(FLAG_Tier1_Backend[[#This Row],[Level 1]:[Level 6]]),rng_LevelsConcat,0))</calculatedColumnFormula>
    </tableColumn>
    <tableColumn id="10" xr3:uid="{6C5EBE03-3707-40FE-AD68-77DC141254D5}" name="Data" dataDxfId="237">
      <calculatedColumnFormula>FLAG_Tier1_Frontend[[#This Row],[Data]]</calculatedColumnFormula>
    </tableColumn>
    <tableColumn id="11" xr3:uid="{2843581D-046F-4472-93B7-E3D98F30F6B4}" name="Units" dataDxfId="236">
      <calculatedColumnFormula>FLAG_Tier1_Frontend[[#This Row],[Units]]</calculatedColumnFormula>
    </tableColumn>
    <tableColumn id="12" xr3:uid="{53653132-0C04-4D0A-B18F-2A2E4A744D56}" name="Converted data" dataDxfId="235">
      <calculatedColumnFormula>IF(FLAG_Tier1_Backend[[#This Row],[Units]]=FLAG_Tier1_Backend[[#This Row],[Standard units]],FLAG_Tier1_Backend[[#This Row],[Data]],FLAG_Tier1_Backend[[#This Row],[Data]]*_xlfn.XLOOKUP(_xlfn.CONCAT(FLAG_Tier1_Backend[[#This Row],[Level 1]:[Level 6]]),rng_EFConcat,rng_EFConversion))</calculatedColumnFormula>
    </tableColumn>
    <tableColumn id="13" xr3:uid="{1A538BA3-96EA-4FC1-BB58-2FAC74AC4A4E}" name="Standard units" dataDxfId="234">
      <calculatedColumnFormula array="1">_xlfn.XLOOKUP(_xlfn.CONCAT(FLAG_Tier1_Backend[[#This Row],[Level 1]:[Level 6]]),rng_LevelsConcat,rng_UnitsLong)</calculatedColumnFormula>
    </tableColumn>
    <tableColumn id="14" xr3:uid="{535938D9-A6F8-445F-B400-C5C8B57176C9}" name="Scope 1 (tCO2e)" dataDxfId="233">
      <calculatedColumnFormula>_xlfn.XLOOKUP(_xlfn.CONCAT(FLAG_Tier1_Backend[[#This Row],[Level 1]:[Level 6]]),rng_EFConcat,rng_EF1)*FLAG_Tier1_Backend[[#This Row],[Converted data]]/1000</calculatedColumnFormula>
    </tableColumn>
    <tableColumn id="15" xr3:uid="{0487482F-A4F4-4CDF-9104-B1E0EA9062F4}" name="Scope 2 (tCO2e)" dataDxfId="232">
      <calculatedColumnFormula>_xlfn.XLOOKUP(_xlfn.CONCAT(FLAG_Tier1_Backend[[#This Row],[Level 1]:[Level 6]]),rng_EFConcat,rng_EF2)*FLAG_Tier1_Backend[[#This Row],[Converted data]]/1000</calculatedColumnFormula>
    </tableColumn>
    <tableColumn id="16" xr3:uid="{CAD73CA4-DDFE-4CD5-B032-045A49055127}" name="Scope 3 (tCO2e)" dataDxfId="231">
      <calculatedColumnFormula>_xlfn.XLOOKUP(_xlfn.CONCAT(FLAG_Tier1_Backend[[#This Row],[Level 1]:[Level 6]]),rng_EFConcat,rng_EF3)*FLAG_Tier1_Backend[[#This Row],[Converted data]]/1000</calculatedColumnFormula>
    </tableColumn>
    <tableColumn id="17" xr3:uid="{944D2329-6B0C-4AD4-BAD0-B17A3CE73ABE}" name="Scope 3 WTT (tCO2e)" dataDxfId="230">
      <calculatedColumnFormula>_xlfn.XLOOKUP(_xlfn.CONCAT(FLAG_Tier1_Backend[[#This Row],[Level 1]:[Level 6]]),rng_EFConcat,rng_EF3WTT)*FLAG_Tier1_Backend[[#This Row],[Converted data]]/1000</calculatedColumnFormula>
    </tableColumn>
    <tableColumn id="18" xr3:uid="{91BBD0F9-16BA-40E1-A4E3-B9DEDC1DFD45}" name="Scope 3 T&amp;D (tCO2e)" dataDxfId="229">
      <calculatedColumnFormula>_xlfn.XLOOKUP(_xlfn.CONCAT(FLAG_Tier1_Backend[[#This Row],[Level 1]:[Level 6]]),rng_EFConcat,rng_EF3TD)*FLAG_Tier1_Backend[[#This Row],[Converted data]]/1000</calculatedColumnFormula>
    </tableColumn>
    <tableColumn id="19" xr3:uid="{AE4210AA-0F73-435F-9942-1EDB6531D26A}" name="Scope 3 WTT T&amp;D (tCO2e)" dataDxfId="228">
      <calculatedColumnFormula>_xlfn.XLOOKUP(_xlfn.CONCAT(FLAG_Tier1_Backend[[#This Row],[Level 1]:[Level 6]]),rng_EFConcat,rng_EF3WTTTD)*FLAG_Tier1_Backend[[#This Row],[Converted data]]/1000</calculatedColumnFormula>
    </tableColumn>
    <tableColumn id="20" xr3:uid="{A1CF3876-B4AA-43B5-83CB-86B3A9D1865B}" name="Total (tCO2e)" dataDxfId="227">
      <calculatedColumnFormula>SUM(FLAG_Tier1_Backend[[#This Row],[Scope 1 (tCO2e)]:[Scope 3 WTT T&amp;D (tCO2e)]])</calculatedColumnFormula>
    </tableColumn>
    <tableColumn id="21" xr3:uid="{D35A8366-5D2E-4101-8C68-944481F41EEB}" name="Low (tCO2e)" dataDxfId="226">
      <calculatedColumnFormula>FLAG_Tier1_Backend[[#This Row],[Total (tCO2e)]]*(1-FLAG_Tier1_Backend[[#This Row],[RSD]])</calculatedColumnFormula>
    </tableColumn>
    <tableColumn id="22" xr3:uid="{56E7F202-5FC4-4D4F-B6EC-0DE3A479DD8D}" name="High (tCO2e)" dataDxfId="225">
      <calculatedColumnFormula>FLAG_Tier1_Backend[[#This Row],[Total (tCO2e)]]*(1+FLAG_Tier1_Backend[[#This Row],[RSD]])</calculatedColumnFormula>
    </tableColumn>
    <tableColumn id="23" xr3:uid="{142F8DC9-2CE1-4629-BA06-510D477301D6}" name="OOS (tCO2e)" dataDxfId="224">
      <calculatedColumnFormula>_xlfn.XLOOKUP(_xlfn.CONCAT(FLAG_Tier1_Backend[[#This Row],[Level 1]:[Level 6]]),rng_EFConcat,rng_EFOOS)*FLAG_Tier1_Backend[[#This Row],[Converted data]]/1000</calculatedColumnFormula>
    </tableColumn>
    <tableColumn id="24" xr3:uid="{507DDF1D-C6A5-414D-BD0A-F75584B3FC2C}" name="Ease of collection" dataDxfId="223">
      <calculatedColumnFormula>FLAG_Tier1_Frontend[[#This Row],[Ease of collection]]</calculatedColumnFormula>
    </tableColumn>
    <tableColumn id="28" xr3:uid="{757BB4A3-696B-4F2D-93D1-D8FD712F28CD}" name="Completeness" dataDxfId="222">
      <calculatedColumnFormula>FLAG_Tier1_Frontend[[#This Row],[Completeness]]</calculatedColumnFormula>
    </tableColumn>
    <tableColumn id="25" xr3:uid="{055CB467-0079-4C58-9AF3-BD079A84528F}" name="Notes" dataDxfId="221">
      <calculatedColumnFormula>FLAG_Tier1_Frontend[[#This Row],[Notes]]</calculatedColumnFormula>
    </tableColumn>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AF498B9D-BC97-4142-8B51-73354A96328F}" name="FLAG_Tier2_Frontend" displayName="FLAG_Tier2_Frontend" ref="E42:L63" totalsRowShown="0" headerRowDxfId="220" dataDxfId="218" headerRowBorderDxfId="219" tableBorderDxfId="217" totalsRowBorderDxfId="216">
  <autoFilter ref="E42:L63" xr:uid="{AF498B9D-BC97-4142-8B51-73354A96328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56714D1-670E-4BCF-A798-9ED556F6220D}" name="Land use type" dataDxfId="215"/>
    <tableColumn id="2" xr3:uid="{15BCFD90-60D3-4C21-98F5-08C983C23E88}" name="Soil type" dataDxfId="214"/>
    <tableColumn id="3" xr3:uid="{0578F574-D86B-4818-9DD7-6E5B829E2DB8}" name="Methodology used (IPCC equivalent Tier)" dataDxfId="213"/>
    <tableColumn id="4" xr3:uid="{20D4D4FD-561F-4042-8F68-1E15776C26D4}" name="Data" dataDxfId="212"/>
    <tableColumn id="13" xr3:uid="{1CD85A73-95A4-4283-8D88-FF3DD162BB45}" name="Units" dataDxfId="211">
      <calculatedColumnFormula>IF($H43="","","ha")</calculatedColumnFormula>
    </tableColumn>
    <tableColumn id="5" xr3:uid="{BEC5A312-ACE0-438C-AFE8-A02937EEC64C}" name="Emissions removed (tCO2e)" dataDxfId="210"/>
    <tableColumn id="6" xr3:uid="{1812403D-FFAF-412F-B3C8-B1C515E28E3E}" name="Ease of collection" dataDxfId="209"/>
    <tableColumn id="7" xr3:uid="{13F4785E-5995-4671-8349-2BB204FEF3FE}" name="Notes" dataDxfId="208"/>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416C8107-8EC2-4251-A6F2-5CB26904B9E3}" name="FLAG_Tier2_Backend" displayName="FLAG_Tier2_Backend" ref="Q42:AR63" totalsRowShown="0" headerRowDxfId="207" dataDxfId="205" headerRowBorderDxfId="206" tableBorderDxfId="204" totalsRowBorderDxfId="203">
  <autoFilter ref="Q42:AR63" xr:uid="{416C8107-8EC2-4251-A6F2-5CB26904B9E3}"/>
  <tableColumns count="28">
    <tableColumn id="1" xr3:uid="{9F1FC4AC-63A8-468B-BF9A-AD078157E3B9}" name="ID" dataDxfId="202">
      <calculatedColumnFormula>IF(M43=0,SUBSTITUTE(2025&amp;TRIM(cl_org_name_select)&amp;TRIM($E$40)&amp;(ROW(M43)-ROW($M$43))," ",""),"")</calculatedColumnFormula>
    </tableColumn>
    <tableColumn id="2" xr3:uid="{EC71C028-166F-43F5-8A45-607AD928D435}" name="Level 1" dataDxfId="201">
      <calculatedColumnFormula>IF($H43="", "", "Land")</calculatedColumnFormula>
    </tableColumn>
    <tableColumn id="3" xr3:uid="{5CAD5380-E64F-4CBE-A5BD-8DE86AFE873A}" name="Level 2" dataDxfId="200">
      <calculatedColumnFormula>IF($H43="", "", "Land")</calculatedColumnFormula>
    </tableColumn>
    <tableColumn id="4" xr3:uid="{F678AF1B-98DE-4400-A4CC-2FD4C448A10F}" name="Level 3" dataDxfId="199"/>
    <tableColumn id="5" xr3:uid="{FA228124-14E1-434A-A578-F6200E0A44B1}" name="Level 4" dataDxfId="198">
      <calculatedColumnFormula>FLAG_Tier2_Frontend[[#This Row],[Soil type]]</calculatedColumnFormula>
    </tableColumn>
    <tableColumn id="6" xr3:uid="{737993A1-0F2A-42A4-B6E3-4A5E5D45F90C}" name="Level 5" dataDxfId="197">
      <calculatedColumnFormula>FLAG_Tier2_Frontend[[#This Row],[Land use type]]</calculatedColumnFormula>
    </tableColumn>
    <tableColumn id="7" xr3:uid="{DC9DDE43-BD6D-4231-910B-2304788957C1}" name="Level 6" dataDxfId="196">
      <calculatedColumnFormula>IF(FLAG_Tier2_Frontend[[#This Row],[Emissions removed (tCO2e)]]&gt;=0,"Removals","Emissions")</calculatedColumnFormula>
    </tableColumn>
    <tableColumn id="27" xr3:uid="{DF2C08B1-A77E-4802-B963-04ECE9879940}" name="Info 1" dataDxfId="195"/>
    <tableColumn id="26" xr3:uid="{39596E35-E5A6-4C7E-BD58-03948F6D59DC}" name="Info 2" dataDxfId="194"/>
    <tableColumn id="8" xr3:uid="{8621039A-5DE1-4892-8339-528F6DC02D49}" name="Methodology" dataDxfId="193">
      <calculatedColumnFormula>FLAG_Tier2_Frontend[[#This Row],[Methodology used (IPCC equivalent Tier)]]</calculatedColumnFormula>
    </tableColumn>
    <tableColumn id="9" xr3:uid="{EF2D71DB-4C8D-4D5C-80C0-C8824DE59065}" name="RSD" dataDxfId="192">
      <calculatedColumnFormula array="1">INDEX(_xlfn.SWITCH(FLAG_Tier2_Backend[[#This Row],[Methodology]],"Tier 1",rng_RSD1,"Tier 2",rng_RSD2,"Tier 3",rng_RSD3),MATCH(FLAG_Tier2_Backend[[#This Row],[Level 2]],rng_Level2Long,0))</calculatedColumnFormula>
    </tableColumn>
    <tableColumn id="10" xr3:uid="{E30C4081-05A8-4C1A-95CE-439D5C0E189B}" name="Data" dataDxfId="191">
      <calculatedColumnFormula>FLAG_Tier2_Frontend[[#This Row],[Data]]</calculatedColumnFormula>
    </tableColumn>
    <tableColumn id="11" xr3:uid="{93F8E2F3-46C5-4B76-AC4A-8217765D9AE8}" name="Units" dataDxfId="190">
      <calculatedColumnFormula>IF($I43="","",$I43)</calculatedColumnFormula>
    </tableColumn>
    <tableColumn id="12" xr3:uid="{A28BABE5-017C-4E7A-A87B-5287F2D5BBC0}" name="Converted data" dataDxfId="189">
      <calculatedColumnFormula>FLAG_Tier2_Backend[[#This Row],[Data]]</calculatedColumnFormula>
    </tableColumn>
    <tableColumn id="13" xr3:uid="{68544E67-711A-4019-B297-EAE1E395D3A5}" name="Standard units" dataDxfId="188">
      <calculatedColumnFormula>FLAG_Tier2_Backend[[#This Row],[Units]]</calculatedColumnFormula>
    </tableColumn>
    <tableColumn id="14" xr3:uid="{0077CF73-5714-4EDA-A3A3-171E769696EA}" name="Scope 1 (tCO2e)" dataDxfId="187">
      <calculatedColumnFormula>_xlfn.XLOOKUP(_xlfn.CONCAT(FLAG_Tier2_Backend[[#This Row],[Level 1]:[Level 6]]),rng_EFConcat,rng_EF1)*FLAG_Tier2_Backend[[#This Row],[Converted data]]/1000</calculatedColumnFormula>
    </tableColumn>
    <tableColumn id="15" xr3:uid="{8DAFF5A2-391B-4F21-9416-7DE66ED5A113}" name="Scope 2 (tCO2e)" dataDxfId="186">
      <calculatedColumnFormula>_xlfn.XLOOKUP(_xlfn.CONCAT(FLAG_Tier2_Backend[[#This Row],[Level 1]:[Level 6]]),rng_EFConcat,rng_EF2)*FLAG_Tier2_Backend[[#This Row],[Converted data]]/1000</calculatedColumnFormula>
    </tableColumn>
    <tableColumn id="16" xr3:uid="{A35A8A13-F6FC-4AB1-ACAE-74FEB99C0AB5}" name="Scope 3 (tCO2e)" dataDxfId="185">
      <calculatedColumnFormula>_xlfn.XLOOKUP(_xlfn.CONCAT(FLAG_Tier2_Backend[[#This Row],[Level 1]:[Level 6]]),rng_EFConcat,rng_EF3)*FLAG_Tier2_Backend[[#This Row],[Converted data]]/1000</calculatedColumnFormula>
    </tableColumn>
    <tableColumn id="17" xr3:uid="{508BE594-492E-45BB-B578-A21B9BA48E60}" name="Scope 3 WTT (tCO2e)" dataDxfId="184">
      <calculatedColumnFormula>_xlfn.XLOOKUP(_xlfn.CONCAT(FLAG_Tier2_Backend[[#This Row],[Level 1]:[Level 6]]),rng_EFConcat,rng_EF3WTT)*FLAG_Tier2_Backend[[#This Row],[Converted data]]/1000</calculatedColumnFormula>
    </tableColumn>
    <tableColumn id="18" xr3:uid="{03C8D6E7-040A-4F44-A6D3-C1CB6398C3DC}" name="Scope 3 T&amp;D (tCO2e)" dataDxfId="183">
      <calculatedColumnFormula>_xlfn.XLOOKUP(_xlfn.CONCAT(FLAG_Tier2_Backend[[#This Row],[Level 1]:[Level 6]]),rng_EFConcat,rng_EF3TD)*FLAG_Tier2_Backend[[#This Row],[Converted data]]/1000</calculatedColumnFormula>
    </tableColumn>
    <tableColumn id="19" xr3:uid="{BEB88A2C-097E-41EC-8140-A031D4D7D88F}" name="Scope 3 WTT T&amp;D (tCO2e)" dataDxfId="182">
      <calculatedColumnFormula>_xlfn.XLOOKUP(_xlfn.CONCAT(FLAG_Tier2_Backend[[#This Row],[Level 1]:[Level 6]]),rng_EFConcat,rng_EF3WTTTD)*FLAG_Tier2_Backend[[#This Row],[Converted data]]/1000</calculatedColumnFormula>
    </tableColumn>
    <tableColumn id="20" xr3:uid="{272C0A28-1936-4AC5-B395-C7A68355396F}" name="Total (tCO2e)" dataDxfId="181">
      <calculatedColumnFormula>SUM(FLAG_Tier2_Backend[[#This Row],[Scope 1 (tCO2e)]:[Scope 3 WTT T&amp;D (tCO2e)]])</calculatedColumnFormula>
    </tableColumn>
    <tableColumn id="21" xr3:uid="{3B8FA62C-35B3-4433-9DA6-518B91C7EF6F}" name="Low (tCO2e)" dataDxfId="180">
      <calculatedColumnFormula>FLAG_Tier2_Backend[[#This Row],[Total (tCO2e)]]*(1-FLAG_Tier2_Backend[[#This Row],[RSD]])</calculatedColumnFormula>
    </tableColumn>
    <tableColumn id="22" xr3:uid="{23BD9660-2E19-49FC-988A-88EDB792F4D9}" name="High (tCO2e)" dataDxfId="179">
      <calculatedColumnFormula>FLAG_Tier2_Backend[[#This Row],[Total (tCO2e)]]*(1+FLAG_Tier2_Backend[[#This Row],[RSD]])</calculatedColumnFormula>
    </tableColumn>
    <tableColumn id="23" xr3:uid="{A50D3A3A-7AE1-4DA3-954D-59417C2EFC54}" name="OOS (tCO2e)" dataDxfId="178">
      <calculatedColumnFormula>FLAG_Tier2_Frontend[[#This Row],[Emissions removed (tCO2e)]]</calculatedColumnFormula>
    </tableColumn>
    <tableColumn id="24" xr3:uid="{983325A6-69DF-4A4B-ADCB-452E19015843}" name="Ease of collection" dataDxfId="177">
      <calculatedColumnFormula>FLAG_Tier2_Frontend[[#This Row],[Ease of collection]]</calculatedColumnFormula>
    </tableColumn>
    <tableColumn id="28" xr3:uid="{A5BB63DD-E1E0-4185-9EE6-4A30FF3B4329}" name="Completeness" dataDxfId="176"/>
    <tableColumn id="25" xr3:uid="{36FA5D59-F7F8-46CE-B51E-83CCD2AAF433}" name="Notes" dataDxfId="175">
      <calculatedColumnFormula>FLAG_Tier2_Frontend[[#This Row],[Notes]]</calculatedColumnFormula>
    </tableColumn>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BC36E38-1FE6-4F2E-943F-473595C40062}" name="Agriculture_Frontend" displayName="Agriculture_Frontend" ref="E68:L89" totalsRowShown="0" headerRowDxfId="174" dataDxfId="172" headerRowBorderDxfId="173" tableBorderDxfId="171" totalsRowBorderDxfId="170">
  <autoFilter ref="E68:L89" xr:uid="{ABC36E38-1FE6-4F2E-943F-473595C4006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74D08CE-5A2D-4FC6-ACB2-C3CCA0E8C534}" name="Agriculture emission source" dataDxfId="169"/>
    <tableColumn id="2" xr3:uid="{E83ED76F-713F-4568-9A31-37227FC2B913}" name="Type" dataDxfId="168"/>
    <tableColumn id="3" xr3:uid="{56050379-594A-446F-9767-17248AB51646}" name="Methodology" dataDxfId="167">
      <calculatedColumnFormula>IF($F69="","","Tier 1")</calculatedColumnFormula>
    </tableColumn>
    <tableColumn id="4" xr3:uid="{BE3C0BC7-EDAD-42C1-A254-CB4B222FC538}" name="Data" dataDxfId="166"/>
    <tableColumn id="5" xr3:uid="{891911C2-AAFC-44BE-9674-20BC1C94C84E}" name="Units" dataDxfId="165"/>
    <tableColumn id="6" xr3:uid="{BDC64FCF-B41B-4E0E-BAD0-B3D3E0072CCB}" name="Ease of collection" dataDxfId="164"/>
    <tableColumn id="7" xr3:uid="{ADD3AD94-3699-41BB-BFA0-A12BF4134B89}" name="Completeness" dataDxfId="163"/>
    <tableColumn id="8" xr3:uid="{9C2AA8ED-BD3A-4E3A-8280-1A4F905580BF}" name="Notes" dataDxfId="162"/>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42343534-BB42-43A0-8420-6070C42E7450}" name="Agriculture_Backend" displayName="Agriculture_Backend" ref="Q68:AR89" totalsRowShown="0" headerRowDxfId="161" dataDxfId="159" headerRowBorderDxfId="160" tableBorderDxfId="158" totalsRowBorderDxfId="157">
  <autoFilter ref="Q68:AR89" xr:uid="{42343534-BB42-43A0-8420-6070C42E7450}"/>
  <tableColumns count="28">
    <tableColumn id="1" xr3:uid="{33B54BD9-CD62-41C2-ADB8-F07BC4A53476}" name="ID" dataDxfId="156">
      <calculatedColumnFormula>IF(M69=0,SUBSTITUTE(2025&amp;TRIM(cl_org_name_select)&amp;TRIM($E$66)&amp;(ROW(M69)-ROW($M$69))," ",""),"")</calculatedColumnFormula>
    </tableColumn>
    <tableColumn id="2" xr3:uid="{FE956BA5-1AE8-4649-BF7D-A2B4F3D3AFD9}" name="Level 1" dataDxfId="155">
      <calculatedColumnFormula>IF($H69="", "", "Agriculture")</calculatedColumnFormula>
    </tableColumn>
    <tableColumn id="3" xr3:uid="{262B59E9-D9CB-47CA-A492-27454F1C2A57}" name="Level 2" dataDxfId="154">
      <calculatedColumnFormula>IF($H69="", "", "Agriculture")</calculatedColumnFormula>
    </tableColumn>
    <tableColumn id="4" xr3:uid="{54D9268F-5502-4B37-87C0-1129DC6A8ABF}" name="Level 3" dataDxfId="153"/>
    <tableColumn id="5" xr3:uid="{6791D414-1CF0-4818-889A-6179912AAC66}" name="Level 4" dataDxfId="152">
      <calculatedColumnFormula>Agriculture_Frontend[[#This Row],[Agriculture emission source]]</calculatedColumnFormula>
    </tableColumn>
    <tableColumn id="6" xr3:uid="{FBB7A8A9-2C0B-4876-8BD4-C6B82A749089}" name="Level 5" dataDxfId="151">
      <calculatedColumnFormula>Agriculture_Frontend[[#This Row],[Type]]</calculatedColumnFormula>
    </tableColumn>
    <tableColumn id="7" xr3:uid="{7E1DAA1F-3DCE-476A-AC84-3FAA56014133}" name="Level 6" dataDxfId="150">
      <calculatedColumnFormula array="1">_xlfn.XLOOKUP(Agriculture_Backend[[#This Row],[Level 5]],rng_Level5Long,rng_Level6Long)</calculatedColumnFormula>
    </tableColumn>
    <tableColumn id="27" xr3:uid="{2E93143E-C787-463A-B5C7-7992E6E8939D}" name="Info 1" dataDxfId="149"/>
    <tableColumn id="26" xr3:uid="{DD0F6FB8-23AD-4CE7-B332-3CA8C8C6A1F1}" name="Info 2" dataDxfId="148"/>
    <tableColumn id="8" xr3:uid="{BDF9CCA0-02D2-44B9-9294-3E4A5C47F7D5}" name="Methodology" dataDxfId="147">
      <calculatedColumnFormula>IF($H69="", "", $G69)</calculatedColumnFormula>
    </tableColumn>
    <tableColumn id="9" xr3:uid="{E7630E4A-CA75-4EBD-AC07-45BD35D57EB3}" name="RSD" dataDxfId="146">
      <calculatedColumnFormula array="1">_xlfn.LET(_xlpm.LookupConcat,_xlfn.CONCAT(Agriculture_Backend[[#This Row],[Level 1]:[Level 6]]),_xlfn.XLOOKUP(_xlpm.LookupConcat,rng_LevelsConcat,_xlfn.SWITCH(Agriculture_Backend[[#This Row],[Methodology]],"Tier 1",rng_RSD1,"Tier 2",rng_RSD2,"Tier 3",rng_RSD3)))</calculatedColumnFormula>
    </tableColumn>
    <tableColumn id="10" xr3:uid="{C92CCD3F-0B58-4E54-B2AC-7A0456DD3199}" name="Data" dataDxfId="145">
      <calculatedColumnFormula>Agriculture_Frontend[[#This Row],[Data]]</calculatedColumnFormula>
    </tableColumn>
    <tableColumn id="11" xr3:uid="{DF96291A-075B-4710-9577-FAA75BAA3169}" name="Units" dataDxfId="144">
      <calculatedColumnFormula>Agriculture_Frontend[[#This Row],[Units]]</calculatedColumnFormula>
    </tableColumn>
    <tableColumn id="12" xr3:uid="{7227CD00-F39F-4223-9C31-4D6D78CDD724}" name="Converted data" dataDxfId="143">
      <calculatedColumnFormula>IF(Agriculture_Backend[[#This Row],[Units]]=Agriculture_Backend[[#This Row],[Standard units]],Agriculture_Backend[[#This Row],[Data]],Agriculture_Backend[[#This Row],[Data]]*_xlfn.XLOOKUP(_xlfn.CONCAT(Agriculture_Backend[[#This Row],[Level 1]:[Level 6]]),rng_EFConcat,rng_EFConversion))</calculatedColumnFormula>
    </tableColumn>
    <tableColumn id="13" xr3:uid="{5C235E4F-CBAD-43CE-B57F-3877D1A77C27}" name="Standard units" dataDxfId="142">
      <calculatedColumnFormula array="1">_xlfn.XLOOKUP(_xlfn.CONCAT(Agriculture_Backend[[#This Row],[Level 1]:[Level 6]]),rng_LevelsConcat,rng_UnitsLong)</calculatedColumnFormula>
    </tableColumn>
    <tableColumn id="14" xr3:uid="{4981A28A-6E52-4134-997A-94A49E680910}" name="Scope 1 (tCO2e)" dataDxfId="141">
      <calculatedColumnFormula>_xlfn.XLOOKUP(_xlfn.CONCAT(Agriculture_Backend[[#This Row],[Level 1]:[Level 6]]),rng_EFConcat,rng_EF1)*Agriculture_Backend[[#This Row],[Converted data]]/1000</calculatedColumnFormula>
    </tableColumn>
    <tableColumn id="15" xr3:uid="{037AFB41-65E7-4A2B-BF87-8692DF5FE176}" name="Scope 2 (tCO2e)" dataDxfId="140">
      <calculatedColumnFormula>_xlfn.XLOOKUP(_xlfn.CONCAT(Agriculture_Backend[[#This Row],[Level 1]:[Level 6]]),rng_EFConcat,rng_EF2)*Agriculture_Backend[[#This Row],[Converted data]]/1000</calculatedColumnFormula>
    </tableColumn>
    <tableColumn id="16" xr3:uid="{A32B5C7E-D8DF-46CD-9F19-355F30AA7354}" name="Scope 3 (tCO2e)" dataDxfId="139">
      <calculatedColumnFormula>_xlfn.XLOOKUP(_xlfn.CONCAT(Agriculture_Backend[[#This Row],[Level 1]:[Level 6]]),rng_EFConcat,rng_EF3)*Agriculture_Backend[[#This Row],[Converted data]]/1000</calculatedColumnFormula>
    </tableColumn>
    <tableColumn id="17" xr3:uid="{56AF1561-84F6-4932-931E-CC258D12551B}" name="Scope 3 WTT (tCO2e)" dataDxfId="138">
      <calculatedColumnFormula>_xlfn.XLOOKUP(_xlfn.CONCAT(Agriculture_Backend[[#This Row],[Level 1]:[Level 6]]),rng_EFConcat,rng_EF3WTT)*Agriculture_Backend[[#This Row],[Converted data]]/1000</calculatedColumnFormula>
    </tableColumn>
    <tableColumn id="18" xr3:uid="{E6491602-364B-4050-9AE0-B5C27CF030F7}" name="Scope 3 T&amp;D (tCO2e)" dataDxfId="137">
      <calculatedColumnFormula>_xlfn.XLOOKUP(_xlfn.CONCAT(Agriculture_Backend[[#This Row],[Level 1]:[Level 6]]),rng_EFConcat,rng_EF3TD)*Agriculture_Backend[[#This Row],[Converted data]]/1000</calculatedColumnFormula>
    </tableColumn>
    <tableColumn id="19" xr3:uid="{0E7BC25B-E851-4154-A485-3DB625453BBF}" name="Scope 3 WTT T&amp;D (tCO2e)" dataDxfId="136">
      <calculatedColumnFormula>_xlfn.XLOOKUP(_xlfn.CONCAT(Agriculture_Backend[[#This Row],[Level 1]:[Level 6]]),rng_EFConcat,rng_EF3WTTTD)*Agriculture_Backend[[#This Row],[Converted data]]/1000</calculatedColumnFormula>
    </tableColumn>
    <tableColumn id="20" xr3:uid="{62167CA7-3EEF-4265-B794-60DC0AD1D34D}" name="Total (tCO2e)" dataDxfId="135">
      <calculatedColumnFormula>SUM(Agriculture_Backend[[#This Row],[Scope 1 (tCO2e)]:[Scope 3 WTT T&amp;D (tCO2e)]])</calculatedColumnFormula>
    </tableColumn>
    <tableColumn id="21" xr3:uid="{A2550CC1-4B6C-45FC-B3C5-9EA611E9A570}" name="Low (tCO2e)" dataDxfId="134">
      <calculatedColumnFormula>Agriculture_Backend[[#This Row],[Total (tCO2e)]]*(1-Agriculture_Backend[[#This Row],[RSD]])</calculatedColumnFormula>
    </tableColumn>
    <tableColumn id="22" xr3:uid="{9E62918B-EA83-47B0-896C-621A00D82282}" name="High (tCO2e)" dataDxfId="133">
      <calculatedColumnFormula>Agriculture_Backend[[#This Row],[Total (tCO2e)]]*(1+Agriculture_Backend[[#This Row],[RSD]])</calculatedColumnFormula>
    </tableColumn>
    <tableColumn id="23" xr3:uid="{59B850BC-2D59-44DB-9148-FCBB9CBCB691}" name="OOS (tCO2e)" dataDxfId="132">
      <calculatedColumnFormula>_xlfn.XLOOKUP(_xlfn.CONCAT(Agriculture_Backend[[#This Row],[Level 1]:[Level 6]]),rng_EFConcat,rng_EFOOS)*Agriculture_Backend[[#This Row],[Converted data]]/1000</calculatedColumnFormula>
    </tableColumn>
    <tableColumn id="24" xr3:uid="{094F76BA-F756-4B02-AD42-AD77B34CF369}" name="Ease of collection" dataDxfId="131">
      <calculatedColumnFormula>Agriculture_Frontend[[#This Row],[Ease of collection]]</calculatedColumnFormula>
    </tableColumn>
    <tableColumn id="28" xr3:uid="{2C4A2048-2394-4DD1-BD90-CF47FAB69289}" name="Completeness" dataDxfId="130">
      <calculatedColumnFormula>Agriculture_Frontend[[#This Row],[Completeness]]</calculatedColumnFormula>
    </tableColumn>
    <tableColumn id="25" xr3:uid="{B2A1D36D-7C32-4F84-99DE-35D312BAEA4F}" name="Notes" dataDxfId="129">
      <calculatedColumnFormula>Agriculture_Frontend[[#This Row],[Notes]]</calculatedColumnFormula>
    </tableColumn>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ACE9CB-22A5-4BA7-9EB6-F412DD9F3D09}" name="Renewables_Electricity_Frontend" displayName="Renewables_Electricity_Frontend" ref="E14:U115" totalsRowShown="0" headerRowDxfId="128" dataDxfId="126" headerRowBorderDxfId="127" tableBorderDxfId="125" totalsRowBorderDxfId="124">
  <autoFilter ref="E14:U115" xr:uid="{CCACE9CB-22A5-4BA7-9EB6-F412DD9F3D09}"/>
  <tableColumns count="17">
    <tableColumn id="1" xr3:uid="{ACC7C00E-4B0C-4028-A8A1-E6573A559B56}" name="Generating site name" dataDxfId="123"/>
    <tableColumn id="2" xr3:uid="{C1DCEAD8-C344-459D-8CDD-9466DA19E30B}" name="Location" dataDxfId="122"/>
    <tableColumn id="3" xr3:uid="{E55B7C3A-5E37-4906-9B76-BE3F7BD5B3B4}" name="Renewable Type" dataDxfId="121"/>
    <tableColumn id="4" xr3:uid="{A2AA5288-C455-4215-BF42-8A6B888BC2A0}" name="Technology" dataDxfId="120"/>
    <tableColumn id="5" xr3:uid="{8A1057B9-6E62-413E-BE60-8CA54C8C80EA}" name="Methodology used" dataDxfId="119"/>
    <tableColumn id="6" xr3:uid="{AE796D1F-F83A-4EFB-A397-18B8E64E146E}" name="Type of ownership" dataDxfId="118"/>
    <tableColumn id="7" xr3:uid="{213262EC-31F7-4A39-B5CC-0E8538530C05}" name="Age (years)" dataDxfId="117"/>
    <tableColumn id="8" xr3:uid="{E9BE773B-CE46-4711-943F-2F2C22A42943}" name="Availability" dataDxfId="116"/>
    <tableColumn id="9" xr3:uid="{AF61F9D6-D79B-4D38-9FD7-ED74C6EBAD47}" name="Total kW capacity" dataDxfId="115"/>
    <tableColumn id="10" xr3:uid="{3239BFCC-FBE0-4901-AEBA-762FD8E025EE}" name="Total kWh generated" dataDxfId="114">
      <calculatedColumnFormula>Renewables_Electricity_Frontend[[#This Row],[kWh consumed by reporting organisation]]+Renewables_Electricity_Frontend[[#This Row],[kWh exported to grid]]+Renewables_Electricity_Frontend[[#This Row],[kWh exported to other PSB]]</calculatedColumnFormula>
    </tableColumn>
    <tableColumn id="11" xr3:uid="{904F345A-A9BF-49C1-96C7-3F0BFA099837}" name="kWh consumed by reporting organisation" dataDxfId="113"/>
    <tableColumn id="12" xr3:uid="{FB77A40B-A625-431A-A3AC-97FDCE2A5DD1}" name="kWh exported to grid" dataDxfId="112"/>
    <tableColumn id="13" xr3:uid="{EEFE1189-3D2A-4206-8169-6B8FA20D4E4B}" name="kWh exported to other PSB" dataDxfId="111"/>
    <tableColumn id="14" xr3:uid="{386565BE-3D58-4006-A1A9-F8DFBFA9E5F0}" name="Name of other PSB" dataDxfId="110"/>
    <tableColumn id="15" xr3:uid="{417B766A-8BC3-479E-94B3-749F70F442FB}" name="Ease of collection" dataDxfId="109"/>
    <tableColumn id="16" xr3:uid="{47747CFF-6C34-45A2-9C21-9AB9581C2337}" name="Completeness" dataDxfId="108"/>
    <tableColumn id="17" xr3:uid="{EB4B1193-0D07-4C87-A3FD-B4311C88AAA9}" name="Notes" dataDxfId="10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4B0D3A2-C303-4ED1-AA06-69AF7AFB84DF}" name="Renewables_Heat_Frontend" displayName="Renewables_Heat_Frontend" ref="E120:U221" totalsRowShown="0" headerRowDxfId="106" dataDxfId="104" headerRowBorderDxfId="105" tableBorderDxfId="103" totalsRowBorderDxfId="102">
  <autoFilter ref="E120:U221" xr:uid="{24B0D3A2-C303-4ED1-AA06-69AF7AFB84DF}"/>
  <tableColumns count="17">
    <tableColumn id="1" xr3:uid="{10E0867B-EA87-4827-A487-83C69AA9C7D6}" name="Generating site name" dataDxfId="101"/>
    <tableColumn id="2" xr3:uid="{A3796D68-0FB7-42F5-971C-3B05D139E9AC}" name="Location" dataDxfId="100"/>
    <tableColumn id="3" xr3:uid="{F7EE625C-2520-4DD4-92EC-FFFE0E9D570E}" name="Renewable Type" dataDxfId="99"/>
    <tableColumn id="4" xr3:uid="{D7265629-FBB8-49A3-8AA3-40E1797518C4}" name="Technology" dataDxfId="98"/>
    <tableColumn id="5" xr3:uid="{E0848A7D-0E61-44F1-841B-D6598C4A793F}" name="Methodology used" dataDxfId="97"/>
    <tableColumn id="6" xr3:uid="{58413D5E-3089-4437-BC52-BC6A6D9B3E5A}" name="Type of ownership" dataDxfId="96"/>
    <tableColumn id="7" xr3:uid="{89D4F740-F286-4271-8968-66E616AE75A7}" name="Age (years)" dataDxfId="95"/>
    <tableColumn id="8" xr3:uid="{99331A78-E2DB-478E-BA95-B1ECC8954896}" name="Total MW capacity" dataDxfId="94"/>
    <tableColumn id="9" xr3:uid="{A2E0E7C5-AC9B-4DD8-9F26-74CCCA199605}" name="Total kWh generated" dataDxfId="93">
      <calculatedColumnFormula>Renewables_Heat_Frontend[[#This Row],[kWh consumed by reporting organisation]]+Renewables_Heat_Frontend[[#This Row],[kWh exported to grid]]+Renewables_Heat_Frontend[[#This Row],[kWh exported to other PSB]]</calculatedColumnFormula>
    </tableColumn>
    <tableColumn id="10" xr3:uid="{D8352A82-C014-4872-B55B-B94F84C37367}" name="kWh consumed by reporting organisation" dataDxfId="92"/>
    <tableColumn id="11" xr3:uid="{A66DF481-9BF0-4B0D-B229-773754F24459}" name="kWh exported to grid" dataDxfId="91"/>
    <tableColumn id="12" xr3:uid="{4577F4ED-ADEE-4A67-A395-FE57CA9E377B}" name="kWh exported to other PSB" dataDxfId="90"/>
    <tableColumn id="13" xr3:uid="{FD85069F-F2DF-41FC-9F4D-546389915BBC}" name="Name of other PSB" dataDxfId="89"/>
    <tableColumn id="14" xr3:uid="{37A8C913-0765-4651-97F5-40360456CC79}" name="Ease of collection" dataDxfId="88"/>
    <tableColumn id="15" xr3:uid="{160EEAFF-7953-429D-B447-91DE211DEF50}" name="Completeness" dataDxfId="87"/>
    <tableColumn id="16" xr3:uid="{BC73340D-E051-4F75-80B4-272A2DD24BDE}" name="Notes" dataDxfId="86"/>
    <tableColumn id="17" xr3:uid="{D7B765E9-204F-4322-B80D-29349360FF56}" name="Blank" dataDxfId="85"/>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865160F-D1EC-4C6F-B21E-688833B652BA}" name="Renewables_Electricity_Backend" displayName="Renewables_Electricity_Backend" ref="Z14:AU115" totalsRowShown="0" headerRowDxfId="84" dataDxfId="82" headerRowBorderDxfId="83" tableBorderDxfId="81" totalsRowBorderDxfId="80">
  <autoFilter ref="Z14:AU115" xr:uid="{7865160F-D1EC-4C6F-B21E-688833B652BA}"/>
  <tableColumns count="22">
    <tableColumn id="1" xr3:uid="{1849648B-3720-4B9B-9DCA-2C320B8B7139}" name="ID" dataDxfId="79">
      <calculatedColumnFormula>IF(V15=0,SUBSTITUTE(2025&amp;TRIM(cl_org_name_select)&amp;TRIM($E$12)&amp;(ROW(V15)-ROW(V15))," ",""),"")</calculatedColumnFormula>
    </tableColumn>
    <tableColumn id="2" xr3:uid="{9EC7FB4D-F3F0-4CEB-9DC5-93FE4418F3E3}" name="Level 1" dataDxfId="78"/>
    <tableColumn id="3" xr3:uid="{DF90A0C3-07E4-4A53-A6DE-87C1A21E84F9}" name="Level 2" dataDxfId="77"/>
    <tableColumn id="4" xr3:uid="{927E9260-B989-4BEB-AD4E-B0CE1359A093}" name="Level 3" dataDxfId="76">
      <calculatedColumnFormula>Renewables_Electricity_Frontend[[#This Row],[Renewable Type]]</calculatedColumnFormula>
    </tableColumn>
    <tableColumn id="5" xr3:uid="{08D23B36-1ADB-44D2-A5FB-3044A24060F8}" name="Level 4" dataDxfId="75">
      <calculatedColumnFormula array="1">_xlfn.XLOOKUP(Renewables_Electricity_Backend[[#This Row],[Level 3]],rng_Level3Long,rng_Level4Long)</calculatedColumnFormula>
    </tableColumn>
    <tableColumn id="6" xr3:uid="{8BA62D8A-2D83-4839-B431-F138FF0C2E84}" name="Level 5" dataDxfId="74">
      <calculatedColumnFormula array="1">_xlfn.XLOOKUP(Renewables_Electricity_Backend[[#This Row],[Level 3]],rng_Level3Long,rng_Level5Long)</calculatedColumnFormula>
    </tableColumn>
    <tableColumn id="7" xr3:uid="{1425E19A-2FA8-4D30-8E73-E759E0179EBE}" name="Level 6" dataDxfId="73">
      <calculatedColumnFormula array="1">_xlfn.XLOOKUP(Renewables_Electricity_Backend[[#This Row],[Level 3]],rng_Level3Long,rng_Level6Long)</calculatedColumnFormula>
    </tableColumn>
    <tableColumn id="8" xr3:uid="{F0130DE4-575E-4CC9-8BFC-3FCFB45325C1}" name="Info 1" dataDxfId="72">
      <calculatedColumnFormula>Renewables_Electricity_Frontend[[#This Row],[Generating site name]]</calculatedColumnFormula>
    </tableColumn>
    <tableColumn id="9" xr3:uid="{098CE834-D7AB-4DE1-83BE-09CA24BB284C}" name="Info 2" dataDxfId="71">
      <calculatedColumnFormula>Buildings_Electricity_Streetlighting_Frontend[[#This Row],[Contracting]]</calculatedColumnFormula>
    </tableColumn>
    <tableColumn id="10" xr3:uid="{FEEEF3CC-AED5-47F5-82A2-1E7CA1E52BB6}" name="Methodology" dataDxfId="70">
      <calculatedColumnFormula>Renewables_Electricity_Frontend[[#This Row],[Methodology used]]</calculatedColumnFormula>
    </tableColumn>
    <tableColumn id="11" xr3:uid="{483ADD2A-2301-457B-9FC1-7E4D1CD7EE71}" name="RSD" dataDxfId="69">
      <calculatedColumnFormula array="1">INDEX(_xlfn.SWITCH(Renewables_Electricity_Backend[[#This Row],[Methodology]],"Tier 1",rng_RSD1,"Tier 2",rng_RSD2,"Tier 3",rng_RSD3),MATCH(_xlfn.CONCAT(Renewables_Electricity_Backend[[#This Row],[Level 1]:[Level 6]]),rng_LevelsConcat,0))</calculatedColumnFormula>
    </tableColumn>
    <tableColumn id="13" xr3:uid="{CE01C2AA-68ED-4AA6-A0B6-52B7425E18AE}" name="Age (years)" dataDxfId="68">
      <calculatedColumnFormula>Renewables_Electricity_Frontend[[#This Row],[Age (years)]]</calculatedColumnFormula>
    </tableColumn>
    <tableColumn id="14" xr3:uid="{B01EBEB6-EC57-482D-9805-DB48875FB9C6}" name="Availability" dataDxfId="67">
      <calculatedColumnFormula>Renewables_Electricity_Frontend[[#This Row],[Availability]]</calculatedColumnFormula>
    </tableColumn>
    <tableColumn id="15" xr3:uid="{70D03080-F893-470E-BCD9-2EE40B12BA1A}" name="Total kW capacity" dataDxfId="66">
      <calculatedColumnFormula>Renewables_Electricity_Frontend[[#This Row],[Total kW capacity]]</calculatedColumnFormula>
    </tableColumn>
    <tableColumn id="16" xr3:uid="{37F77BA7-445B-42DF-8014-D6B6484D0D3F}" name="Total kWh generated" dataDxfId="65">
      <calculatedColumnFormula>Renewables_Electricity_Frontend[[#This Row],[Total kWh generated]]</calculatedColumnFormula>
    </tableColumn>
    <tableColumn id="17" xr3:uid="{69ED7F6D-56C6-47B5-A307-BA4C882F42AD}" name="kWh consumed by reporting organisation" dataDxfId="64">
      <calculatedColumnFormula>Renewables_Electricity_Frontend[[#This Row],[kWh consumed by reporting organisation]]</calculatedColumnFormula>
    </tableColumn>
    <tableColumn id="18" xr3:uid="{3EC97372-E255-4F6B-938D-78C7E2242898}" name="kWh exported to grid" dataDxfId="63">
      <calculatedColumnFormula>Renewables_Electricity_Frontend[[#This Row],[kWh exported to grid]]</calculatedColumnFormula>
    </tableColumn>
    <tableColumn id="19" xr3:uid="{ADBF152D-0293-4A6D-BFEA-0E71D0442877}" name="kWh exported to other PSB" dataDxfId="62">
      <calculatedColumnFormula>Renewables_Electricity_Frontend[[#This Row],[kWh exported to other PSB]]</calculatedColumnFormula>
    </tableColumn>
    <tableColumn id="20" xr3:uid="{3379259E-7982-49D7-8BA1-A84CB8CA3116}" name="Name of other PSB" dataDxfId="61">
      <calculatedColumnFormula>Renewables_Electricity_Frontend[[#This Row],[Name of other PSB]]</calculatedColumnFormula>
    </tableColumn>
    <tableColumn id="29" xr3:uid="{CA8C1E30-ED47-48DA-9892-C61ADDE09D2C}" name="Ease of collection" dataDxfId="60">
      <calculatedColumnFormula>Renewables_Electricity_Frontend[[#This Row],[Ease of collection]]</calculatedColumnFormula>
    </tableColumn>
    <tableColumn id="27" xr3:uid="{0CDE7647-C8D9-4DA9-B0B5-F169800962FC}" name="Completeness" dataDxfId="59">
      <calculatedColumnFormula>Renewables_Electricity_Frontend[[#This Row],[Ease of collection]]</calculatedColumnFormula>
    </tableColumn>
    <tableColumn id="28" xr3:uid="{31005459-F56A-452C-9212-29191216A242}" name="Notes" dataDxfId="58">
      <calculatedColumnFormula>Renewables_Electricity_Frontend[[#This Row],[Completeness]]</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DDCE628-731E-4B32-8099-383D582CA90A}" name="Buildings_GridElectricity_Frontend" displayName="Buildings_GridElectricity_Frontend" ref="E27:M527" totalsRowShown="0" headerRowDxfId="1088" dataDxfId="1086" headerRowBorderDxfId="1087" tableBorderDxfId="1085" totalsRowBorderDxfId="1084">
  <autoFilter ref="E27:M527" xr:uid="{4DDCE628-731E-4B32-8099-383D582CA9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C761402-7C92-4A90-B27D-4FF398F76C6D}" name="Site Name" dataDxfId="1083"/>
    <tableColumn id="2" xr3:uid="{E5821D25-95DF-4AEA-8E78-CB3DBE2AC163}" name="MPAN" dataDxfId="1082"/>
    <tableColumn id="3" xr3:uid="{CF8266C5-3C66-4EBA-B398-71727F5364FC}" name="Methodology" dataDxfId="1081"/>
    <tableColumn id="4" xr3:uid="{9F939C5D-EB35-4054-B2A2-BF20DBBF26DB}" name="Data" dataDxfId="1080"/>
    <tableColumn id="5" xr3:uid="{312CBCCC-F224-4944-AC0C-740EE039D8D7}" name="Units" dataDxfId="1079"/>
    <tableColumn id="10" xr3:uid="{CFDA1A57-F1A2-47F5-B3AB-2C2FC81629E3}" name="Contracting" dataDxfId="1078"/>
    <tableColumn id="6" xr3:uid="{45F099D7-99D6-4BE0-97B3-3F769B336FBC}" name="Ease of collection" dataDxfId="1077"/>
    <tableColumn id="7" xr3:uid="{C9733D2F-77B3-4BF0-ACFF-652307C534B0}" name="Completeness" dataDxfId="1076"/>
    <tableColumn id="8" xr3:uid="{22D733E4-1863-4038-9D66-FB3A2B2CC546}" name="Notes" dataDxfId="1075"/>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96DFC85-E79E-4C60-A7F5-B42FE6A29076}" name="Renewables_Heat_Backend" displayName="Renewables_Heat_Backend" ref="Z120:AU221" totalsRowShown="0" headerRowDxfId="57" dataDxfId="55" headerRowBorderDxfId="56" tableBorderDxfId="54" totalsRowBorderDxfId="53">
  <autoFilter ref="Z120:AU221" xr:uid="{696DFC85-E79E-4C60-A7F5-B42FE6A29076}"/>
  <tableColumns count="22">
    <tableColumn id="1" xr3:uid="{B6A547C5-48C1-4852-9017-819B9A1D099B}" name="ID" dataDxfId="52">
      <calculatedColumnFormula>IF($V121=0,SUBSTITUTE(2025&amp;TRIM(cl_org_name_select)&amp;TRIM($E$118)&amp;(ROW(V121)-ROW($V$1121))," ",""),"")</calculatedColumnFormula>
    </tableColumn>
    <tableColumn id="2" xr3:uid="{5C724E2C-3BF8-4EB6-8170-5D76C9D29CE9}" name="Level 1" dataDxfId="51"/>
    <tableColumn id="3" xr3:uid="{A2A8290B-5033-4E35-AA3D-79C5DBDD7030}" name="Level 2" dataDxfId="50"/>
    <tableColumn id="4" xr3:uid="{5952F9A5-5F90-4DA3-9762-239417A3AB17}" name="Level 3" dataDxfId="49">
      <calculatedColumnFormula>Renewables_Heat_Frontend[[#This Row],[Renewable Type]]</calculatedColumnFormula>
    </tableColumn>
    <tableColumn id="5" xr3:uid="{3F972912-8D50-4847-9EC6-5D7EC79172A5}" name="Level 4" dataDxfId="48">
      <calculatedColumnFormula array="1">_xlfn.XLOOKUP(Renewables_Heat_Backend[[#This Row],[Level 3]],rng_Level3Long,rng_Level4Long)</calculatedColumnFormula>
    </tableColumn>
    <tableColumn id="6" xr3:uid="{E495152E-DB60-48E7-82F4-58C98E7E5352}" name="Level 5" dataDxfId="47">
      <calculatedColumnFormula array="1">_xlfn.XLOOKUP(Renewables_Heat_Backend[[#This Row],[Level 3]],rng_Level3Long,rng_Level5Long)</calculatedColumnFormula>
    </tableColumn>
    <tableColumn id="7" xr3:uid="{10205F33-1CE6-4BCB-A87D-B2B843D0D91E}" name="Level 6" dataDxfId="46">
      <calculatedColumnFormula array="1">_xlfn.XLOOKUP(Renewables_Heat_Backend[[#This Row],[Level 3]],rng_Level3Long,rng_Level6Long)</calculatedColumnFormula>
    </tableColumn>
    <tableColumn id="8" xr3:uid="{621284E2-E14C-4B52-BCE3-7BF63F04D7BE}" name="Info 1" dataDxfId="45">
      <calculatedColumnFormula>Renewables_Heat_Frontend[[#This Row],[Generating site name]]</calculatedColumnFormula>
    </tableColumn>
    <tableColumn id="9" xr3:uid="{F3B2DA30-B6DE-476D-AFC3-0941D76E658F}" name="Info 2" dataDxfId="44">
      <calculatedColumnFormula>Buildings_Electricity_Streetlighting_Frontend[[#This Row],[Contracting]]</calculatedColumnFormula>
    </tableColumn>
    <tableColumn id="10" xr3:uid="{570685AC-7521-49D4-BC1E-2E68B90B155B}" name="Methodology" dataDxfId="43">
      <calculatedColumnFormula>Renewables_Heat_Frontend[[#This Row],[Methodology used]]</calculatedColumnFormula>
    </tableColumn>
    <tableColumn id="11" xr3:uid="{219D8933-44CB-4AFB-874E-B4E0F1B0532F}" name="RSD" dataDxfId="42">
      <calculatedColumnFormula array="1">_xlfn.LET(_xlpm.LookupConcat,_xlfn.CONCAT(Renewables_Heat_Backend[[#This Row],[Level 1]:[Level 6]]), _xlfn.XLOOKUP(_xlpm.LookupConcat,rng_LevelsConcat,_xlfn.SWITCH(Renewables_Heat_Backend[[#This Row],[Methodology]],"Tier 1",rng_RSD1,"Tier 2",rng_RSD2,"Tier 3",rng_RSD3)))</calculatedColumnFormula>
    </tableColumn>
    <tableColumn id="13" xr3:uid="{F300A791-BE4E-4240-A0D4-ED95626A141D}" name="Age (years)" dataDxfId="41">
      <calculatedColumnFormula>Renewables_Heat_Frontend[[#This Row],[Age (years)]]</calculatedColumnFormula>
    </tableColumn>
    <tableColumn id="14" xr3:uid="{08C6B31D-6C81-4393-8FA5-04B6D0732E0F}" name="Availability" dataDxfId="40"/>
    <tableColumn id="15" xr3:uid="{39C3DCF5-DC79-485B-B42B-3E8C39EAE397}" name="Total kW capacity" dataDxfId="39">
      <calculatedColumnFormula>Renewables_Heat_Frontend[[#This Row],[Total MW capacity]]</calculatedColumnFormula>
    </tableColumn>
    <tableColumn id="16" xr3:uid="{69D26EAC-4DAE-4B90-8FBF-56D08A4C44EF}" name="Total kWh generated" dataDxfId="38">
      <calculatedColumnFormula>Renewables_Heat_Frontend[[#This Row],[Total kWh generated]]</calculatedColumnFormula>
    </tableColumn>
    <tableColumn id="17" xr3:uid="{B1C520D0-0153-4861-8DD1-FA2BB884DC7E}" name="kWh consumed by reporting organisation" dataDxfId="37">
      <calculatedColumnFormula>Renewables_Heat_Frontend[[#This Row],[kWh consumed by reporting organisation]]</calculatedColumnFormula>
    </tableColumn>
    <tableColumn id="18" xr3:uid="{343E4F47-A29F-46B7-90FA-CB62D646C4DE}" name="kWh exported to grid" dataDxfId="36">
      <calculatedColumnFormula>Renewables_Heat_Frontend[[#This Row],[kWh exported to grid]]</calculatedColumnFormula>
    </tableColumn>
    <tableColumn id="19" xr3:uid="{1A046CF5-C364-43B0-8B13-C23EB9A0F698}" name="kWh exported to other PSB" dataDxfId="35">
      <calculatedColumnFormula>Renewables_Heat_Frontend[[#This Row],[kWh exported to other PSB]]</calculatedColumnFormula>
    </tableColumn>
    <tableColumn id="20" xr3:uid="{490E9697-2D4C-4D1C-8A90-0B07D5C89301}" name="Name of other PSB" dataDxfId="34">
      <calculatedColumnFormula>Renewables_Heat_Frontend[[#This Row],[Name of other PSB]]</calculatedColumnFormula>
    </tableColumn>
    <tableColumn id="29" xr3:uid="{08DC82AD-3981-4C73-87AE-154F44A95C8B}" name="Ease of collection" dataDxfId="33">
      <calculatedColumnFormula>Renewables_Heat_Frontend[[#This Row],[Ease of collection]]</calculatedColumnFormula>
    </tableColumn>
    <tableColumn id="27" xr3:uid="{8A6F954A-AD20-43A3-ADA1-5E4B94549AAC}" name="Completeness" dataDxfId="32">
      <calculatedColumnFormula>Renewables_Heat_Frontend[[#This Row],[Completeness]]</calculatedColumnFormula>
    </tableColumn>
    <tableColumn id="28" xr3:uid="{4AC175AB-58E8-489F-A6D3-69566E2A3162}" name="Notes" dataDxfId="31">
      <calculatedColumnFormula>Renewables_Heat_Frontend[[#This Row],[Notes]]</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DACB616-50B4-4CCD-914A-7946688F602B}" name="Buildings_GridElectricity_Backend" displayName="Buildings_GridElectricity_Backend" ref="Q27:AR527" totalsRowShown="0" headerRowDxfId="1074" dataDxfId="1072" headerRowBorderDxfId="1073" tableBorderDxfId="1071">
  <tableColumns count="28">
    <tableColumn id="1" xr3:uid="{D308DAFD-249C-48E1-815E-68CE9D6711DB}" name="ID" dataDxfId="1070">
      <calculatedColumnFormula>IF(N28=0,SUBSTITUTE(2025&amp;TRIM(cl_org_name_select)&amp;TRIM($E$25)&amp;(ROW(N28)-ROW($N$28))," ",""),"")</calculatedColumnFormula>
    </tableColumn>
    <tableColumn id="2" xr3:uid="{8CFB7E46-D714-4CB9-A163-CC566EFF287E}" name="Level 1" dataDxfId="1069">
      <calculatedColumnFormula>IF($H28="", "", "Buildings")</calculatedColumnFormula>
    </tableColumn>
    <tableColumn id="3" xr3:uid="{F9DB9834-8332-474F-931E-1004A1F67F7D}" name="Level 2" dataDxfId="1068">
      <calculatedColumnFormula>IF($H28="", "", "Buildings")</calculatedColumnFormula>
    </tableColumn>
    <tableColumn id="4" xr3:uid="{0481D714-42CD-4F65-8029-3FE46197F99A}" name="Level 3" dataDxfId="1067">
      <calculatedColumnFormula>_xlfn.XLOOKUP(Buildings_GridElectricity_Backend[[#This Row],[Info 1]],Buildings_SiteInfo[Site name],Buildings_SiteInfo[Site type], "")</calculatedColumnFormula>
    </tableColumn>
    <tableColumn id="5" xr3:uid="{E1435287-D4AC-46D0-A1DC-D2F3E8CD16E6}" name="Level 4" dataDxfId="1066"/>
    <tableColumn id="6" xr3:uid="{A9A6C145-5533-4132-8A40-019FED882C1D}" name="Level 5" dataDxfId="1065">
      <calculatedColumnFormula array="1">_xlfn.XLOOKUP(Buildings_GridElectricity_Backend[[#This Row],[Level 4]],rng_Level4Long,rng_Level5Long)</calculatedColumnFormula>
    </tableColumn>
    <tableColumn id="7" xr3:uid="{ED918F06-6E88-40AA-AE39-88880AFCBBF2}" name="Level 6" dataDxfId="1064">
      <calculatedColumnFormula array="1">_xlfn.XLOOKUP(Buildings_GridElectricity_Backend[[#This Row],[Level 4]],rng_Level4Long,rng_Level6Long)</calculatedColumnFormula>
    </tableColumn>
    <tableColumn id="28" xr3:uid="{96010223-EAD2-45BB-9874-2C2C59B4FC9C}" name="Info 1" dataDxfId="1063">
      <calculatedColumnFormula>Buildings_GridElectricity_Frontend[[#This Row],[Site Name]]</calculatedColumnFormula>
    </tableColumn>
    <tableColumn id="27" xr3:uid="{A7D645C8-E22E-4026-8560-C1842AB13C3D}" name="Info 2" dataDxfId="1062">
      <calculatedColumnFormula>Buildings_GridElectricity_Frontend[[#This Row],[Contracting]]</calculatedColumnFormula>
    </tableColumn>
    <tableColumn id="8" xr3:uid="{1E6D8FDB-B777-4463-9D7B-870BCF9C1F32}" name="Methodology" dataDxfId="1061">
      <calculatedColumnFormula>Buildings_GridElectricity_Frontend[[#This Row],[Methodology]]</calculatedColumnFormula>
    </tableColumn>
    <tableColumn id="9" xr3:uid="{449202AC-4AEB-4FC9-A365-36905EE4423D}" name="RSD" dataDxfId="1060">
      <calculatedColumnFormula array="1">IF(Buildings_GridElectricity_Frontend[[#This Row],[Data]]="","",INDEX(_xlfn.SWITCH(Buildings_GridElectricity_Backend[[#This Row],[Methodology]],"Tier 1",rng_RSD1,"Tier 2",rng_RSD2,"Tier 3",rng_RSD3),MATCH(_xlfn.CONCAT(Buildings_GridElectricity_Backend[[#This Row],[Level 1]:[Level 6]]),rng_LevelsConcat,0)))</calculatedColumnFormula>
    </tableColumn>
    <tableColumn id="10" xr3:uid="{86EC8BA8-5182-427F-8B83-E1EA2BBD4000}" name="Data" dataDxfId="1059">
      <calculatedColumnFormula>Buildings_GridElectricity_Frontend[[#This Row],[Data]]</calculatedColumnFormula>
    </tableColumn>
    <tableColumn id="11" xr3:uid="{68CD3428-0436-4DDF-9010-8CBB7B6515D7}" name="Units" dataDxfId="1058">
      <calculatedColumnFormula>Buildings_GridElectricity_Frontend[[#This Row],[Units]]</calculatedColumnFormula>
    </tableColumn>
    <tableColumn id="12" xr3:uid="{EC57FC6A-2510-4F4F-81AC-9F0E36426817}" name="Converted data" dataDxfId="1057">
      <calculatedColumnFormula>Buildings_GridElectricity_Frontend[[#This Row],[Data]]</calculatedColumnFormula>
    </tableColumn>
    <tableColumn id="13" xr3:uid="{DC914F10-C405-4C56-A0CB-79C842B41CF0}" name="Standard units" dataDxfId="1056">
      <calculatedColumnFormula>Buildings_GridElectricity_Frontend[[#This Row],[Units]]</calculatedColumnFormula>
    </tableColumn>
    <tableColumn id="14" xr3:uid="{B535ABD4-0ACD-43E8-8681-AF3B1FB5827E}" name="Scope 1 (tCO2e)" dataDxfId="1055">
      <calculatedColumnFormula>IF(Buildings_GridElectricity_Frontend[[#This Row],[Data]]="","",_xlfn.XLOOKUP(_xlfn.CONCAT(Buildings_GridElectricity_Backend[[#This Row],[Level 1]:[Level 6]]),rng_EFConcat,rng_EF1)*Buildings_GridElectricity_Backend[[#This Row],[Converted data]]/1000)</calculatedColumnFormula>
    </tableColumn>
    <tableColumn id="15" xr3:uid="{F17AD9EB-227A-44E2-BC79-8F336BF36E02}" name="Scope 2 (tCO2e)" dataDxfId="1054">
      <calculatedColumnFormula>IF(Buildings_GridElectricity_Frontend[[#This Row],[Data]]="","",_xlfn.XLOOKUP(_xlfn.CONCAT(Buildings_GridElectricity_Backend[[#This Row],[Level 1]:[Level 6]]),rng_EFConcat,rng_EF2)*Buildings_GridElectricity_Backend[[#This Row],[Converted data]]/1000)</calculatedColumnFormula>
    </tableColumn>
    <tableColumn id="16" xr3:uid="{F0038A61-B107-40CC-AF50-7B9ECBEC2286}" name="Scope 3 (tCO2e)" dataDxfId="1053">
      <calculatedColumnFormula>IF(Buildings_GridElectricity_Frontend[[#This Row],[Data]]="","",_xlfn.XLOOKUP(_xlfn.CONCAT(Buildings_GridElectricity_Backend[[#This Row],[Level 1]:[Level 6]]),rng_EFConcat,rng_EF3)*Buildings_GridElectricity_Backend[[#This Row],[Converted data]]/1000)</calculatedColumnFormula>
    </tableColumn>
    <tableColumn id="17" xr3:uid="{C3B619FE-041B-4F0A-AECB-C56B856E6149}" name="Scope 3 WTT (tCO2e)" dataDxfId="1052">
      <calculatedColumnFormula>IF(Buildings_GridElectricity_Frontend[[#This Row],[Data]]="","",_xlfn.XLOOKUP(_xlfn.CONCAT(Buildings_GridElectricity_Backend[[#This Row],[Level 1]:[Level 6]]),rng_EFConcat,rng_EF3WTT)*Buildings_GridElectricity_Backend[[#This Row],[Converted data]]/1000)</calculatedColumnFormula>
    </tableColumn>
    <tableColumn id="18" xr3:uid="{113BFC2C-AD08-4DFB-B965-B80BC91C4499}" name="Scope 3 T&amp;D (tCO2e)" dataDxfId="1051">
      <calculatedColumnFormula>IF(Buildings_GridElectricity_Frontend[[#This Row],[Data]]="","",_xlfn.XLOOKUP(_xlfn.CONCAT(Buildings_GridElectricity_Backend[[#This Row],[Level 1]:[Level 6]]),rng_EFConcat,rng_EF3TD)*Buildings_GridElectricity_Backend[[#This Row],[Converted data]]/1000)</calculatedColumnFormula>
    </tableColumn>
    <tableColumn id="19" xr3:uid="{7C604EFE-390A-4DE1-A42B-A2F4F754518F}" name="Scope 3 WTT T&amp;D (tCO2e)" dataDxfId="1050">
      <calculatedColumnFormula>IF(Buildings_GridElectricity_Frontend[[#This Row],[Data]]="","",_xlfn.XLOOKUP(_xlfn.CONCAT(Buildings_GridElectricity_Backend[[#This Row],[Level 1]:[Level 6]]),rng_EFConcat,rng_EF3WTTTD)*Buildings_GridElectricity_Backend[[#This Row],[Converted data]]/1000)</calculatedColumnFormula>
    </tableColumn>
    <tableColumn id="20" xr3:uid="{E00053D5-AB1A-45ED-A9F9-B9A062C41306}" name="Total (tCO2e)" dataDxfId="1049">
      <calculatedColumnFormula>IF(Buildings_GridElectricity_Frontend[[#This Row],[Data]]="","",SUM(Buildings_GridElectricity_Backend[[#This Row],[Scope 1 (tCO2e)]:[Scope 3 WTT T&amp;D (tCO2e)]]))</calculatedColumnFormula>
    </tableColumn>
    <tableColumn id="21" xr3:uid="{D0B86A1A-70E7-45E4-B99C-FD9EC9DA1F2D}" name="Low (tCO2e)" dataDxfId="1048">
      <calculatedColumnFormula>IF(Buildings_GridElectricity_Frontend[[#This Row],[Data]]="","",Buildings_GridElectricity_Backend[[#This Row],[Total (tCO2e)]]*(1-Buildings_GridElectricity_Backend[[#This Row],[RSD]]))</calculatedColumnFormula>
    </tableColumn>
    <tableColumn id="22" xr3:uid="{2CB0201F-C05B-4185-8D72-D150DCD279C9}" name="High (tCO2e)" dataDxfId="1047">
      <calculatedColumnFormula>IF(Buildings_GridElectricity_Frontend[[#This Row],[Data]]="","",Buildings_GridElectricity_Backend[[#This Row],[Total (tCO2e)]]*(1+Buildings_GridElectricity_Backend[[#This Row],[RSD]]))</calculatedColumnFormula>
    </tableColumn>
    <tableColumn id="23" xr3:uid="{4AD433FB-D747-4E88-AC72-52FEB49C5EF0}" name="OOS (tCO2e)" dataDxfId="1046">
      <calculatedColumnFormula>IF(Buildings_GridElectricity_Frontend[[#This Row],[Data]]="","",_xlfn.XLOOKUP(_xlfn.CONCAT(Buildings_GridElectricity_Backend[[#This Row],[Level 1]:[Level 6]]),rng_EFConcat,rng_EFOOS)*Buildings_GridElectricity_Backend[[#This Row],[Converted data]]/1000)</calculatedColumnFormula>
    </tableColumn>
    <tableColumn id="24" xr3:uid="{9DE98BEE-E075-4859-8EF1-6992A6072079}" name="Ease of collection" dataDxfId="1045">
      <calculatedColumnFormula>Buildings_GridElectricity_Frontend[[#This Row],[Ease of collection]]</calculatedColumnFormula>
    </tableColumn>
    <tableColumn id="25" xr3:uid="{01FFF00C-9AFD-460C-92A9-AF3D69C8A419}" name="Completeness" dataDxfId="1044">
      <calculatedColumnFormula>Buildings_GridElectricity_Frontend[[#This Row],[Completeness]]</calculatedColumnFormula>
    </tableColumn>
    <tableColumn id="26" xr3:uid="{A69717CA-22CE-44B5-B90B-7E602943CB3E}" name="Notes" dataDxfId="1043">
      <calculatedColumnFormula>Buildings_GridElectricity_Frontend[[#This Row],[Notes]]</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B999E4F-E94D-474F-BF14-0676DF0518B2}" name="Buildings_Heat_Frontend" displayName="Buildings_Heat_Frontend" ref="E14:N514" totalsRowShown="0" headerRowDxfId="1042" dataDxfId="1040" headerRowBorderDxfId="1041" tableBorderDxfId="1039" totalsRowBorderDxfId="1038">
  <autoFilter ref="E14:N514" xr:uid="{BB999E4F-E94D-474F-BF14-0676DF0518B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E77FF18-7E62-4758-A38C-A73A389C950B}" name="Site Name" dataDxfId="1037"/>
    <tableColumn id="2" xr3:uid="{DEB571D9-156F-43D1-A74B-3534125FEEB9}" name="MPRN" dataDxfId="1036"/>
    <tableColumn id="3" xr3:uid="{F48AAA06-6084-4631-A97D-5F7583BEB40E}" name="Heating Type" dataDxfId="1035"/>
    <tableColumn id="4" xr3:uid="{4E7DFD59-D62A-4C48-B3CB-D66D5A64B318}" name="Fuel" dataDxfId="1034"/>
    <tableColumn id="5" xr3:uid="{5B4D6CE4-3C8B-4274-B8F9-BB15D60FC737}" name="Methodology" dataDxfId="1033"/>
    <tableColumn id="6" xr3:uid="{36CF218E-4F3A-45DD-BE8E-F2D149F05FD7}" name="Data" dataDxfId="1032"/>
    <tableColumn id="7" xr3:uid="{3A3A078F-7015-4D07-BD20-4593BEA78DBE}" name="Units" dataDxfId="1031"/>
    <tableColumn id="8" xr3:uid="{8C4D3880-E189-4A0D-BA17-E21BAABF85DD}" name="Ease of collection" dataDxfId="1030"/>
    <tableColumn id="9" xr3:uid="{7DF4C4D3-A134-4B40-B332-97210F9F4FFD}" name="Completeness" dataDxfId="1029"/>
    <tableColumn id="10" xr3:uid="{5CFEC09D-B56F-40EC-959A-27337D10FB32}" name="Notes" dataDxfId="102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6038C7B-C981-475D-831F-8A88BC93228C}" name="Buildings_Heat_Backend" displayName="Buildings_Heat_Backend" ref="Q14:AR514" totalsRowShown="0" headerRowDxfId="1027" dataDxfId="1025" headerRowBorderDxfId="1026" tableBorderDxfId="1024" totalsRowBorderDxfId="1023">
  <autoFilter ref="Q14:AR514" xr:uid="{06038C7B-C981-475D-831F-8A88BC9322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95B9071A-AEBE-41B0-A5BD-36A2AD32275E}" name="ID" dataDxfId="1022">
      <calculatedColumnFormula>IF(O15=0,SUBSTITUTE(2025&amp;TRIM(cl_org_name_select)&amp;TRIM($E$12)&amp;(ROW(O15)-ROW($O$15))," ",""),"")</calculatedColumnFormula>
    </tableColumn>
    <tableColumn id="2" xr3:uid="{203F363C-CA7B-408E-956E-A17C83DB1050}" name="Level 1" dataDxfId="1021">
      <calculatedColumnFormula>IF($H15="", "", "Buildings")</calculatedColumnFormula>
    </tableColumn>
    <tableColumn id="3" xr3:uid="{B83C2203-1309-482A-9619-24913BF72C2C}" name="Level 2" dataDxfId="1020">
      <calculatedColumnFormula>IF($H15="", "", "Buildings")</calculatedColumnFormula>
    </tableColumn>
    <tableColumn id="4" xr3:uid="{40DB118F-07B2-457E-AB5F-1ED773540E41}" name="Level 3" dataDxfId="1019">
      <calculatedColumnFormula>IF(Buildings_Heat_Frontend[[#This Row],[Data]]="","", _xlfn.XLOOKUP(Buildings_Heat_Backend[[#This Row],[Info 1]],Buildings_SiteInfo[Site name],Buildings_SiteInfo[Site type]))</calculatedColumnFormula>
    </tableColumn>
    <tableColumn id="5" xr3:uid="{5B8D8D90-980A-4629-94B2-36E3FE420095}" name="Level 4" dataDxfId="1018">
      <calculatedColumnFormula>IF(Buildings_Heat_Frontend[[#This Row],[Data]]="","", Buildings_Heat_Frontend[[#This Row],[Heating Type]])</calculatedColumnFormula>
    </tableColumn>
    <tableColumn id="6" xr3:uid="{EEB5D0E3-55E4-405A-AF1F-6957A0AF8529}" name="Level 5" dataDxfId="1017">
      <calculatedColumnFormula>IF(Buildings_Heat_Frontend[[#This Row],[Data]]="","", Buildings_Heat_Frontend[[#This Row],[Fuel]])</calculatedColumnFormula>
    </tableColumn>
    <tableColumn id="7" xr3:uid="{B4B0EABC-F72C-4E5B-BD24-B52F8B49692B}" name="Level 6" dataDxfId="1016">
      <calculatedColumnFormula array="1">IF(Buildings_Heat_Frontend[[#This Row],[Data]]="","", _xlfn.XLOOKUP(Buildings_Heat_Backend[[#This Row],[Level 5]],rng_Level5Long,rng_Level6Long))</calculatedColumnFormula>
    </tableColumn>
    <tableColumn id="27" xr3:uid="{CE69857F-7BFC-4A83-8D31-06E6362DCFED}" name="Info 1" dataDxfId="1015">
      <calculatedColumnFormula>IF(Buildings_Heat_Frontend[[#This Row],[Data]]="","", Buildings_Heat_Frontend[[#This Row],[Site Name]])</calculatedColumnFormula>
    </tableColumn>
    <tableColumn id="26" xr3:uid="{C4459160-8AEB-4598-85CC-78AD09FC385B}" name="Info 2" dataDxfId="1014">
      <calculatedColumnFormula>IF(Buildings_Heat_Frontend[[#This Row],[Data]]="","", Buildings_Heat_Frontend[[#This Row],[MPRN]])</calculatedColumnFormula>
    </tableColumn>
    <tableColumn id="8" xr3:uid="{C8A65493-3A95-4874-BD77-11CEC4DA4A63}" name="Methodology" dataDxfId="1013">
      <calculatedColumnFormula>IF(Buildings_Heat_Frontend[[#This Row],[Data]]="","", IF($I15="","",$I15))</calculatedColumnFormula>
    </tableColumn>
    <tableColumn id="9" xr3:uid="{BB74C3F6-D8D0-4A96-92BB-3518E4084948}" name="RSD" dataDxfId="1012">
      <calculatedColumnFormula array="1">IF(Buildings_Heat_Frontend[[#This Row],[Data]]="","", INDEX(_xlfn.SWITCH(Buildings_Heat_Backend[[#This Row],[Methodology]],"Tier 1",rng_RSD1,"Tier 2",rng_RSD2,"Tier 3",rng_RSD3),MATCH(_xlfn.CONCAT(Buildings_Heat_Backend[[#This Row],[Level 1]:[Level 6]]),rng_LevelsConcat,0)))</calculatedColumnFormula>
    </tableColumn>
    <tableColumn id="10" xr3:uid="{ED83F902-377A-4C67-B065-F34F2FA1311A}" name="Data" dataDxfId="1011">
      <calculatedColumnFormula>IF($J15="","",$J15)</calculatedColumnFormula>
    </tableColumn>
    <tableColumn id="11" xr3:uid="{D80B77A3-1A7A-455F-A4B1-9EE4A880F440}" name="Units" dataDxfId="1010">
      <calculatedColumnFormula>Buildings_Heat_Frontend[[#This Row],[Units]]</calculatedColumnFormula>
    </tableColumn>
    <tableColumn id="12" xr3:uid="{4CEE9D74-FE3E-4329-82E6-ADD8577F93C6}" name="Converted data" dataDxfId="1009">
      <calculatedColumnFormula>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calculatedColumnFormula>
    </tableColumn>
    <tableColumn id="13" xr3:uid="{E83C7911-8DA4-420E-B1D7-86EB338A59A5}" name="Standard units" dataDxfId="1008">
      <calculatedColumnFormula>IF(Buildings_Heat_Frontend[[#This Row],[Data]]="","", _xlfn.XLOOKUP(_xlfn.CONCAT(Buildings_Heat_Backend[[#This Row],[Level 1]:[Level 6]]),rng_LevelsConcat,rng_UnitsLong))</calculatedColumnFormula>
    </tableColumn>
    <tableColumn id="14" xr3:uid="{4459FFBB-6FA4-4A42-B96D-42E4B2DD49E8}" name="Scope 1 (tCO2e)" dataDxfId="1007">
      <calculatedColumnFormula>IF(Buildings_Heat_Frontend[[#This Row],[Data]]="","", _xlfn.XLOOKUP(_xlfn.CONCAT(Buildings_Heat_Backend[[#This Row],[Level 1]:[Level 6]]),rng_EFConcat,rng_EF1)*Buildings_Heat_Backend[[#This Row],[Converted data]]/1000)</calculatedColumnFormula>
    </tableColumn>
    <tableColumn id="15" xr3:uid="{398B38AC-164E-4E3E-A28B-6F288592B06F}" name="Scope 2 (tCO2e)" dataDxfId="1006">
      <calculatedColumnFormula>IF(Buildings_Heat_Frontend[[#This Row],[Data]]="","", _xlfn.XLOOKUP(_xlfn.CONCAT(Buildings_Heat_Backend[[#This Row],[Level 1]:[Level 6]]),rng_EFConcat,rng_EF2)*Buildings_Heat_Backend[[#This Row],[Converted data]]/1000)</calculatedColumnFormula>
    </tableColumn>
    <tableColumn id="16" xr3:uid="{93AE9B17-F109-43E1-8CF3-7A24C9434391}" name="Scope 3 (tCO2e)" dataDxfId="1005">
      <calculatedColumnFormula>IF(Buildings_Heat_Frontend[[#This Row],[Data]]="","", _xlfn.XLOOKUP(_xlfn.CONCAT(Buildings_Heat_Backend[[#This Row],[Level 1]:[Level 6]]),rng_EFConcat,rng_EF3)*Buildings_Heat_Backend[[#This Row],[Converted data]]/1000)</calculatedColumnFormula>
    </tableColumn>
    <tableColumn id="17" xr3:uid="{B2CB3B0C-35FC-4446-89B0-578AA328332A}" name="Scope 3 WTT (tCO2e)" dataDxfId="1004">
      <calculatedColumnFormula>IF(Buildings_Heat_Frontend[[#This Row],[Data]]="","", _xlfn.XLOOKUP(_xlfn.CONCAT(Buildings_Heat_Backend[[#This Row],[Level 1]:[Level 6]]),rng_EFConcat,rng_EF3WTT)*Buildings_Heat_Backend[[#This Row],[Converted data]]/1000)</calculatedColumnFormula>
    </tableColumn>
    <tableColumn id="18" xr3:uid="{BF09D631-B538-443E-AE4C-DFCEF9439873}" name="Scope 3 T&amp;D (tCO2e)" dataDxfId="1003">
      <calculatedColumnFormula>IF(Buildings_Heat_Frontend[[#This Row],[Data]]="","", _xlfn.XLOOKUP(_xlfn.CONCAT(Buildings_Heat_Backend[[#This Row],[Level 1]:[Level 6]]),rng_EFConcat,rng_EF3TD)*Buildings_Heat_Backend[[#This Row],[Converted data]]/1000)</calculatedColumnFormula>
    </tableColumn>
    <tableColumn id="19" xr3:uid="{2BD42EE1-6567-424A-8D7E-1209C36F190D}" name="Scope 3 WTT T&amp;D (tCO2e)" dataDxfId="1002">
      <calculatedColumnFormula>IF(Buildings_Heat_Frontend[[#This Row],[Data]]="","", _xlfn.XLOOKUP(_xlfn.CONCAT(Buildings_Heat_Backend[[#This Row],[Level 1]:[Level 6]]),rng_EFConcat,rng_EF3WTTTD)*Buildings_Heat_Backend[[#This Row],[Converted data]]/1000)</calculatedColumnFormula>
    </tableColumn>
    <tableColumn id="20" xr3:uid="{23268710-6528-400C-890E-E138C44672A2}" name="Total (tCO2e)" dataDxfId="1001">
      <calculatedColumnFormula>SUM(Buildings_Heat_Backend[[#This Row],[Scope 1 (tCO2e)]:[Scope 3 WTT T&amp;D (tCO2e)]])</calculatedColumnFormula>
    </tableColumn>
    <tableColumn id="21" xr3:uid="{A93A899E-B8D1-4561-9348-B6C3A8AE65EA}" name="Low (tCO2e)" dataDxfId="1000">
      <calculatedColumnFormula>IF(Buildings_Heat_Frontend[[#This Row],[Data]]="","", Buildings_Heat_Backend[[#This Row],[Total (tCO2e)]]*(1-Buildings_Heat_Backend[[#This Row],[RSD]]))</calculatedColumnFormula>
    </tableColumn>
    <tableColumn id="22" xr3:uid="{CB0BBE4C-813F-4693-9CFE-D57513DFF08E}" name="High (tCO2e)" dataDxfId="999">
      <calculatedColumnFormula>IF(Buildings_Heat_Frontend[[#This Row],[Data]]="","", Buildings_Heat_Backend[[#This Row],[Total (tCO2e)]]*(1+Buildings_Heat_Backend[[#This Row],[RSD]]))</calculatedColumnFormula>
    </tableColumn>
    <tableColumn id="23" xr3:uid="{9606445E-6760-4DA7-AA84-1001DDB0F101}" name="OOS (tCO2e)" dataDxfId="998">
      <calculatedColumnFormula>IF(Buildings_Heat_Frontend[[#This Row],[Data]]="","", _xlfn.XLOOKUP(_xlfn.CONCAT(Buildings_Heat_Backend[[#This Row],[Level 1]:[Level 6]]),rng_EFConcat,rng_EFOOS)*Buildings_Heat_Backend[[#This Row],[Converted data]]/1000)</calculatedColumnFormula>
    </tableColumn>
    <tableColumn id="24" xr3:uid="{883E53FC-C833-43EB-AD1D-F1A9A7A0A93E}" name="Ease of collection" dataDxfId="997">
      <calculatedColumnFormula>Buildings_Heat_Frontend[[#This Row],[Ease of collection]]</calculatedColumnFormula>
    </tableColumn>
    <tableColumn id="28" xr3:uid="{96AA59D0-6C03-4345-BB4E-42C0E7D7CB2C}" name="Completeness" dataDxfId="996">
      <calculatedColumnFormula>Buildings_Heat_Frontend[[#This Row],[Completeness]]</calculatedColumnFormula>
    </tableColumn>
    <tableColumn id="25" xr3:uid="{B7EDA56C-9D6C-44C3-BC1D-2D0828978EE9}" name="Notes" dataDxfId="995">
      <calculatedColumnFormula>Buildings_Heat_Frontend[[#This Row],[Notes]]</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A71D1FE-0E03-4987-ADA2-7CE0493485CD}" name="Buildings_Water_Frontend" displayName="Buildings_Water_Frontend" ref="E14:M514" totalsRowShown="0" headerRowDxfId="994" dataDxfId="992" headerRowBorderDxfId="993" tableBorderDxfId="991" totalsRowBorderDxfId="990">
  <autoFilter ref="E14:M514" xr:uid="{EA71D1FE-0E03-4987-ADA2-7CE0493485CD}"/>
  <tableColumns count="9">
    <tableColumn id="1" xr3:uid="{236E26DA-159A-4E82-B299-497C91025E18}" name="Site Name" dataDxfId="989"/>
    <tableColumn id="2" xr3:uid="{0108E647-9164-4AD3-8EF1-BA2BB730138C}" name="Meter Reference" dataDxfId="988"/>
    <tableColumn id="3" xr3:uid="{0C173C5B-791B-425B-A994-208A61A96D69}" name="Type" dataDxfId="987"/>
    <tableColumn id="4" xr3:uid="{10A25A50-2B65-456F-9A23-7DC1CC44A3B2}" name="Methodology" dataDxfId="986"/>
    <tableColumn id="5" xr3:uid="{A1C947B7-67DB-44E4-800C-8FDAA5A0B892}" name="Data" dataDxfId="985"/>
    <tableColumn id="6" xr3:uid="{673E013B-F181-444C-A75A-F180FC3D5C62}" name="Units" dataDxfId="984"/>
    <tableColumn id="7" xr3:uid="{638DE79E-F176-46DC-BDA2-585E88FE1D22}" name="Ease of collection" dataDxfId="983"/>
    <tableColumn id="8" xr3:uid="{EB6CC893-BD5B-4F45-977B-8905B2EDE769}" name="Completeness" dataDxfId="982"/>
    <tableColumn id="9" xr3:uid="{9C8CA2C8-11AE-4F01-8DE7-6C68879AA1C8}" name="Notes" dataDxfId="98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WGES">
      <a:dk1>
        <a:sysClr val="windowText" lastClr="000000"/>
      </a:dk1>
      <a:lt1>
        <a:sysClr val="window" lastClr="FFFFFF"/>
      </a:lt1>
      <a:dk2>
        <a:srgbClr val="4A7EA6"/>
      </a:dk2>
      <a:lt2>
        <a:srgbClr val="E8E7E8"/>
      </a:lt2>
      <a:accent1>
        <a:srgbClr val="BDC8DB"/>
      </a:accent1>
      <a:accent2>
        <a:srgbClr val="2D4D66"/>
      </a:accent2>
      <a:accent3>
        <a:srgbClr val="A4D65E"/>
      </a:accent3>
      <a:accent4>
        <a:srgbClr val="E1D555"/>
      </a:accent4>
      <a:accent5>
        <a:srgbClr val="CF3F3E"/>
      </a:accent5>
      <a:accent6>
        <a:srgbClr val="694969"/>
      </a:accent6>
      <a:hlink>
        <a:srgbClr val="4A7EA6"/>
      </a:hlink>
      <a:folHlink>
        <a:srgbClr val="2D4D66"/>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5" Type="http://schemas.openxmlformats.org/officeDocument/2006/relationships/table" Target="../tables/table6.xml"/><Relationship Id="rId4"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table" Target="../tables/table11.xml"/><Relationship Id="rId4"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table" Target="../tables/table15.xml"/><Relationship Id="rId4"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table" Target="../tables/table25.xml"/><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4.bin"/><Relationship Id="rId5" Type="http://schemas.openxmlformats.org/officeDocument/2006/relationships/table" Target="../tables/table34.xml"/><Relationship Id="rId4" Type="http://schemas.openxmlformats.org/officeDocument/2006/relationships/table" Target="../tables/table3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table" Target="../tables/table35.xml"/><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printerSettings" Target="../printerSettings/printerSettings5.bin"/><Relationship Id="rId5" Type="http://schemas.openxmlformats.org/officeDocument/2006/relationships/table" Target="../tables/table40.xml"/><Relationship Id="rId4" Type="http://schemas.openxmlformats.org/officeDocument/2006/relationships/table" Target="../tables/table3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table" Target="../tables/table41.xml"/><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table" Target="../tables/table47.xml"/><Relationship Id="rId4" Type="http://schemas.openxmlformats.org/officeDocument/2006/relationships/table" Target="../tables/table5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8" Type="http://schemas.openxmlformats.org/officeDocument/2006/relationships/hyperlink" Target="https://rcem.ac.uk/wp-content/uploads/2023/03/Rizan-Hospital-Waste-2021.pdf" TargetMode="External"/><Relationship Id="rId3" Type="http://schemas.openxmlformats.org/officeDocument/2006/relationships/hyperlink" Target="https://rcem.ac.uk/wp-content/uploads/2023/03/Rizan-Hospital-Waste-2021.pdf" TargetMode="External"/><Relationship Id="rId7" Type="http://schemas.openxmlformats.org/officeDocument/2006/relationships/hyperlink" Target="https://rcem.ac.uk/wp-content/uploads/2023/03/Rizan-Hospital-Waste-2021.pdf" TargetMode="External"/><Relationship Id="rId2" Type="http://schemas.openxmlformats.org/officeDocument/2006/relationships/hyperlink" Target="https://rcem.ac.uk/wp-content/uploads/2023/03/Rizan-Hospital-Waste-2021.pdf" TargetMode="External"/><Relationship Id="rId1" Type="http://schemas.openxmlformats.org/officeDocument/2006/relationships/hyperlink" Target="https://rcem.ac.uk/wp-content/uploads/2023/03/Rizan-Hospital-Waste-2021.pdf" TargetMode="External"/><Relationship Id="rId6" Type="http://schemas.openxmlformats.org/officeDocument/2006/relationships/hyperlink" Target="https://rcem.ac.uk/wp-content/uploads/2023/03/Rizan-Hospital-Waste-2021.pdf" TargetMode="External"/><Relationship Id="rId11" Type="http://schemas.openxmlformats.org/officeDocument/2006/relationships/printerSettings" Target="../printerSettings/printerSettings7.bin"/><Relationship Id="rId5" Type="http://schemas.openxmlformats.org/officeDocument/2006/relationships/hyperlink" Target="https://rcem.ac.uk/wp-content/uploads/2023/03/Rizan-Hospital-Waste-2021.pdf" TargetMode="External"/><Relationship Id="rId10" Type="http://schemas.openxmlformats.org/officeDocument/2006/relationships/hyperlink" Target="https://www.climatiq.io/data/emission-factor/6951bf25-0dd0-4a77-a05b-287e05fec724" TargetMode="External"/><Relationship Id="rId4" Type="http://schemas.openxmlformats.org/officeDocument/2006/relationships/hyperlink" Target="https://rcem.ac.uk/wp-content/uploads/2023/03/Rizan-Hospital-Waste-2021.pdf" TargetMode="External"/><Relationship Id="rId9" Type="http://schemas.openxmlformats.org/officeDocument/2006/relationships/hyperlink" Target="https://rcem.ac.uk/wp-content/uploads/2023/03/Rizan-Hospital-Waste-2021.pdf"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cibse.org/Knowledge/Benchmarking" TargetMode="External"/><Relationship Id="rId2" Type="http://schemas.openxmlformats.org/officeDocument/2006/relationships/hyperlink" Target="https://www.racfoundation.org/assets/rac_foundation/content/downloadables/car-and-the-commute-web-version.pdf" TargetMode="External"/><Relationship Id="rId1" Type="http://schemas.openxmlformats.org/officeDocument/2006/relationships/hyperlink" Target="http://www.webflyer.com/travel/mileage_calculator/" TargetMode="External"/><Relationship Id="rId6" Type="http://schemas.openxmlformats.org/officeDocument/2006/relationships/printerSettings" Target="../printerSettings/printerSettings9.bin"/><Relationship Id="rId5" Type="http://schemas.openxmlformats.org/officeDocument/2006/relationships/hyperlink" Target="https://www.walesonline.co.uk/news/wales-news/dragon-taxis-cardiff-cost-fares-17767633" TargetMode="External"/><Relationship Id="rId4" Type="http://schemas.openxmlformats.org/officeDocument/2006/relationships/hyperlink" Target="https://www.gov.uk/government/statistical-data-sets/bus-statistics-data-tables%20-%20Number%20of%20journeys%20(BUS01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etZeroReporting@EnergyService.Wales"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33604-45E7-43C0-80EF-CE8795363BC5}">
  <sheetPr codeName="Sheet1"/>
  <dimension ref="B8:G13"/>
  <sheetViews>
    <sheetView workbookViewId="0"/>
  </sheetViews>
  <sheetFormatPr defaultColWidth="8.7265625" defaultRowHeight="14" x14ac:dyDescent="0.3"/>
  <cols>
    <col min="1" max="1" width="3.54296875" style="147" customWidth="1"/>
    <col min="2" max="2" width="32.54296875" style="146" customWidth="1"/>
    <col min="3" max="4" width="3.54296875" style="147" customWidth="1"/>
    <col min="5" max="5" width="25.54296875" style="147" customWidth="1"/>
    <col min="6" max="6" width="32.54296875" style="147" customWidth="1"/>
    <col min="7" max="16384" width="8.7265625" style="147"/>
  </cols>
  <sheetData>
    <row r="8" spans="5:7" x14ac:dyDescent="0.3">
      <c r="E8" s="163" t="s">
        <v>0</v>
      </c>
      <c r="F8" s="165" t="s">
        <v>1</v>
      </c>
      <c r="G8" s="148"/>
    </row>
    <row r="9" spans="5:7" x14ac:dyDescent="0.3">
      <c r="F9" s="166" t="s">
        <v>2</v>
      </c>
      <c r="G9" s="148"/>
    </row>
    <row r="10" spans="5:7" x14ac:dyDescent="0.3">
      <c r="F10" s="164" t="s">
        <v>3</v>
      </c>
      <c r="G10" s="148"/>
    </row>
    <row r="11" spans="5:7" x14ac:dyDescent="0.3">
      <c r="F11" s="167" t="s">
        <v>4</v>
      </c>
      <c r="G11" s="148"/>
    </row>
    <row r="12" spans="5:7" x14ac:dyDescent="0.3">
      <c r="F12" s="168"/>
      <c r="G12" s="148"/>
    </row>
    <row r="13" spans="5:7" x14ac:dyDescent="0.3">
      <c r="F13" s="149" t="s">
        <v>5</v>
      </c>
      <c r="G13" s="14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9F77B-B009-4139-940B-DABAFCD352C6}">
  <sheetPr codeName="Sheet11">
    <tabColor theme="6"/>
  </sheetPr>
  <dimension ref="B1:AC520"/>
  <sheetViews>
    <sheetView showGridLines="0" zoomScale="90" zoomScaleNormal="90" workbookViewId="0">
      <selection activeCell="E13" sqref="E13"/>
    </sheetView>
  </sheetViews>
  <sheetFormatPr defaultColWidth="8.7265625" defaultRowHeight="14" zeroHeight="1" x14ac:dyDescent="0.3"/>
  <cols>
    <col min="1" max="1" width="1.54296875" style="147" customWidth="1"/>
    <col min="2" max="2" width="32.54296875" style="146" customWidth="1"/>
    <col min="3" max="3" width="1.54296875" style="147" customWidth="1"/>
    <col min="4" max="4" width="3.54296875" style="147" customWidth="1"/>
    <col min="5" max="5" width="39.7265625" style="147" customWidth="1"/>
    <col min="6" max="6" width="28.26953125" style="147" customWidth="1"/>
    <col min="7" max="7" width="25.54296875" style="147" customWidth="1"/>
    <col min="8" max="8" width="26" style="147" customWidth="1"/>
    <col min="9" max="9" width="26.54296875" style="147" customWidth="1"/>
    <col min="10" max="11" width="20.81640625" style="147" customWidth="1"/>
    <col min="12" max="12" width="19.7265625" style="147" customWidth="1"/>
    <col min="13" max="13" width="4.1796875" style="147" customWidth="1"/>
    <col min="14" max="15" width="8.7265625" style="147"/>
    <col min="16" max="16" width="8.81640625" style="147" bestFit="1" customWidth="1"/>
    <col min="17" max="16384" width="8.7265625" style="147"/>
  </cols>
  <sheetData>
    <row r="1" spans="2:29" s="150" customFormat="1" ht="15.5" x14ac:dyDescent="0.35">
      <c r="B1" s="196" t="s">
        <v>273</v>
      </c>
      <c r="E1" s="200" t="s">
        <v>61</v>
      </c>
      <c r="F1" s="201">
        <f>cl_year_select</f>
        <v>0</v>
      </c>
      <c r="G1" s="200" t="s">
        <v>274</v>
      </c>
      <c r="H1" s="199" t="str">
        <f>IF($M$12=5,"No data missing","Data missing, see traffic lights")</f>
        <v>No data missing</v>
      </c>
    </row>
    <row r="2" spans="2:29" s="153" customFormat="1" x14ac:dyDescent="0.3">
      <c r="B2" s="197" t="s">
        <v>275</v>
      </c>
      <c r="E2" s="202" t="s">
        <v>64</v>
      </c>
      <c r="F2" s="203">
        <f>cl_org_name_select</f>
        <v>0</v>
      </c>
      <c r="G2" s="203"/>
    </row>
    <row r="3" spans="2:29" x14ac:dyDescent="0.3"/>
    <row r="4" spans="2:29" ht="14.5" x14ac:dyDescent="0.35">
      <c r="B4" s="159" t="s">
        <v>10</v>
      </c>
      <c r="E4" s="191" t="s">
        <v>1</v>
      </c>
      <c r="F4"/>
    </row>
    <row r="5" spans="2:29" ht="14.5" x14ac:dyDescent="0.35">
      <c r="B5" s="455" t="s">
        <v>276</v>
      </c>
      <c r="E5" s="162" t="s">
        <v>37</v>
      </c>
      <c r="F5"/>
    </row>
    <row r="6" spans="2:29" ht="14.5" x14ac:dyDescent="0.35">
      <c r="B6" s="455"/>
      <c r="E6" s="170" t="s">
        <v>38</v>
      </c>
      <c r="F6"/>
      <c r="G6" s="151"/>
    </row>
    <row r="7" spans="2:29" ht="14.5" x14ac:dyDescent="0.35">
      <c r="B7" s="455"/>
      <c r="E7" s="192" t="s">
        <v>39</v>
      </c>
      <c r="F7"/>
    </row>
    <row r="8" spans="2:29" ht="16" customHeight="1" thickBot="1" x14ac:dyDescent="0.35">
      <c r="B8" s="455"/>
      <c r="E8" s="176"/>
      <c r="F8" s="176"/>
      <c r="G8" s="177"/>
      <c r="H8" s="176"/>
      <c r="I8" s="176"/>
      <c r="J8" s="176"/>
      <c r="K8" s="176"/>
      <c r="L8" s="176"/>
      <c r="M8" s="176"/>
      <c r="N8" s="176"/>
      <c r="O8" s="176"/>
      <c r="P8" s="176"/>
      <c r="Q8" s="176"/>
      <c r="R8" s="176"/>
      <c r="S8" s="176"/>
      <c r="T8" s="176"/>
      <c r="U8" s="176"/>
      <c r="V8" s="176"/>
      <c r="W8" s="176"/>
      <c r="X8" s="176"/>
      <c r="Y8" s="176"/>
      <c r="Z8" s="176"/>
    </row>
    <row r="9" spans="2:29" x14ac:dyDescent="0.3">
      <c r="G9" s="151"/>
    </row>
    <row r="10" spans="2:29" x14ac:dyDescent="0.3">
      <c r="B10" s="159" t="s">
        <v>12</v>
      </c>
      <c r="E10" s="160" t="s">
        <v>174</v>
      </c>
    </row>
    <row r="11" spans="2:29" x14ac:dyDescent="0.3"/>
    <row r="12" spans="2:29" ht="32.15" customHeight="1" x14ac:dyDescent="0.35">
      <c r="B12" s="455" t="s">
        <v>1912</v>
      </c>
      <c r="E12" s="263" t="s">
        <v>177</v>
      </c>
      <c r="F12" s="264" t="s">
        <v>178</v>
      </c>
      <c r="G12" s="264" t="s">
        <v>277</v>
      </c>
      <c r="H12" s="264" t="s">
        <v>180</v>
      </c>
      <c r="I12" s="264" t="s">
        <v>181</v>
      </c>
      <c r="J12" s="264" t="s">
        <v>278</v>
      </c>
      <c r="K12" s="264" t="s">
        <v>279</v>
      </c>
      <c r="L12" s="264" t="s">
        <v>280</v>
      </c>
      <c r="M12" s="188">
        <f>AVERAGEIF($M$13:$M$512,"&lt;&gt;0",$M$13:$M$512)</f>
        <v>5</v>
      </c>
      <c r="AB12"/>
      <c r="AC12"/>
    </row>
    <row r="13" spans="2:29" ht="14.5" x14ac:dyDescent="0.35">
      <c r="B13" s="455"/>
      <c r="E13" s="354"/>
      <c r="F13" s="355"/>
      <c r="G13" s="355"/>
      <c r="H13" s="355"/>
      <c r="I13" s="356"/>
      <c r="J13" s="339"/>
      <c r="K13" s="339"/>
      <c r="L13" s="337"/>
      <c r="M13" s="195">
        <f>ISBLANK(E13)+ISBLANK(F13)+ISBLANK(G13)+ISBLANK(H13)+ISBLANK(I13)</f>
        <v>5</v>
      </c>
      <c r="N13" s="195"/>
      <c r="AB13"/>
      <c r="AC13"/>
    </row>
    <row r="14" spans="2:29" ht="14.5" x14ac:dyDescent="0.3">
      <c r="B14" s="455"/>
      <c r="E14" s="354"/>
      <c r="F14" s="355"/>
      <c r="G14" s="355"/>
      <c r="H14" s="355"/>
      <c r="I14" s="356"/>
      <c r="J14" s="339"/>
      <c r="K14" s="339"/>
      <c r="L14" s="337"/>
      <c r="M14" s="195">
        <f t="shared" ref="M14:M77" si="0">ISBLANK(E14)+ISBLANK(F14)+ISBLANK(G14)+ISBLANK(H14)+ISBLANK(I14)</f>
        <v>5</v>
      </c>
    </row>
    <row r="15" spans="2:29" ht="14.5" x14ac:dyDescent="0.3">
      <c r="B15" s="455"/>
      <c r="E15" s="354"/>
      <c r="F15" s="355"/>
      <c r="G15" s="355"/>
      <c r="H15" s="355"/>
      <c r="I15" s="356"/>
      <c r="J15" s="339"/>
      <c r="K15" s="339"/>
      <c r="L15" s="337"/>
      <c r="M15" s="195">
        <f t="shared" si="0"/>
        <v>5</v>
      </c>
    </row>
    <row r="16" spans="2:29" ht="14.5" x14ac:dyDescent="0.3">
      <c r="B16" s="455"/>
      <c r="E16" s="354"/>
      <c r="F16" s="355"/>
      <c r="G16" s="355"/>
      <c r="H16" s="355"/>
      <c r="I16" s="356"/>
      <c r="J16" s="339"/>
      <c r="K16" s="339"/>
      <c r="L16" s="337"/>
      <c r="M16" s="195">
        <f t="shared" si="0"/>
        <v>5</v>
      </c>
    </row>
    <row r="17" spans="2:13" ht="14.5" x14ac:dyDescent="0.3">
      <c r="B17" s="455"/>
      <c r="E17" s="354"/>
      <c r="F17" s="355"/>
      <c r="G17" s="355"/>
      <c r="H17" s="355"/>
      <c r="I17" s="356"/>
      <c r="J17" s="339"/>
      <c r="K17" s="339"/>
      <c r="L17" s="337"/>
      <c r="M17" s="195">
        <f t="shared" si="0"/>
        <v>5</v>
      </c>
    </row>
    <row r="18" spans="2:13" ht="14.5" x14ac:dyDescent="0.3">
      <c r="B18" s="455"/>
      <c r="E18" s="354"/>
      <c r="F18" s="355"/>
      <c r="G18" s="355"/>
      <c r="H18" s="355"/>
      <c r="I18" s="356"/>
      <c r="J18" s="339"/>
      <c r="K18" s="339"/>
      <c r="L18" s="337"/>
      <c r="M18" s="195">
        <f t="shared" si="0"/>
        <v>5</v>
      </c>
    </row>
    <row r="19" spans="2:13" ht="14.5" x14ac:dyDescent="0.3">
      <c r="B19" s="455"/>
      <c r="E19" s="354"/>
      <c r="F19" s="355"/>
      <c r="G19" s="355"/>
      <c r="H19" s="355"/>
      <c r="I19" s="356"/>
      <c r="J19" s="339"/>
      <c r="K19" s="339"/>
      <c r="L19" s="337"/>
      <c r="M19" s="195">
        <f t="shared" si="0"/>
        <v>5</v>
      </c>
    </row>
    <row r="20" spans="2:13" ht="14.5" x14ac:dyDescent="0.3">
      <c r="B20" s="455"/>
      <c r="E20" s="354"/>
      <c r="F20" s="355"/>
      <c r="G20" s="355"/>
      <c r="H20" s="355"/>
      <c r="I20" s="356"/>
      <c r="J20" s="339"/>
      <c r="K20" s="339"/>
      <c r="L20" s="337"/>
      <c r="M20" s="195">
        <f t="shared" si="0"/>
        <v>5</v>
      </c>
    </row>
    <row r="21" spans="2:13" ht="14.5" x14ac:dyDescent="0.3">
      <c r="B21" s="455"/>
      <c r="E21" s="354"/>
      <c r="F21" s="355"/>
      <c r="G21" s="355"/>
      <c r="H21" s="355"/>
      <c r="I21" s="356"/>
      <c r="J21" s="339"/>
      <c r="K21" s="339"/>
      <c r="L21" s="337"/>
      <c r="M21" s="195">
        <f t="shared" si="0"/>
        <v>5</v>
      </c>
    </row>
    <row r="22" spans="2:13" ht="14.5" x14ac:dyDescent="0.3">
      <c r="B22" s="455"/>
      <c r="E22" s="354"/>
      <c r="F22" s="355"/>
      <c r="G22" s="355"/>
      <c r="H22" s="355"/>
      <c r="I22" s="356"/>
      <c r="J22" s="339"/>
      <c r="K22" s="339"/>
      <c r="L22" s="337"/>
      <c r="M22" s="195">
        <f t="shared" si="0"/>
        <v>5</v>
      </c>
    </row>
    <row r="23" spans="2:13" ht="14.5" x14ac:dyDescent="0.3">
      <c r="B23" s="455"/>
      <c r="E23" s="354"/>
      <c r="F23" s="355"/>
      <c r="G23" s="355"/>
      <c r="H23" s="355"/>
      <c r="I23" s="356"/>
      <c r="J23" s="339"/>
      <c r="K23" s="339"/>
      <c r="L23" s="337"/>
      <c r="M23" s="195">
        <f t="shared" si="0"/>
        <v>5</v>
      </c>
    </row>
    <row r="24" spans="2:13" ht="14.5" x14ac:dyDescent="0.3">
      <c r="B24" s="455"/>
      <c r="E24" s="354"/>
      <c r="F24" s="355"/>
      <c r="G24" s="355"/>
      <c r="H24" s="355"/>
      <c r="I24" s="356"/>
      <c r="J24" s="339"/>
      <c r="K24" s="339"/>
      <c r="L24" s="337"/>
      <c r="M24" s="195">
        <f t="shared" si="0"/>
        <v>5</v>
      </c>
    </row>
    <row r="25" spans="2:13" ht="14.5" x14ac:dyDescent="0.3">
      <c r="B25" s="455"/>
      <c r="E25" s="354"/>
      <c r="F25" s="355"/>
      <c r="G25" s="355"/>
      <c r="H25" s="355"/>
      <c r="I25" s="356"/>
      <c r="J25" s="339"/>
      <c r="K25" s="339"/>
      <c r="L25" s="337"/>
      <c r="M25" s="195">
        <f t="shared" si="0"/>
        <v>5</v>
      </c>
    </row>
    <row r="26" spans="2:13" ht="14.5" x14ac:dyDescent="0.3">
      <c r="B26" s="455"/>
      <c r="E26" s="354"/>
      <c r="F26" s="355"/>
      <c r="G26" s="355"/>
      <c r="H26" s="355"/>
      <c r="I26" s="356"/>
      <c r="J26" s="339"/>
      <c r="K26" s="339"/>
      <c r="L26" s="337"/>
      <c r="M26" s="195">
        <f t="shared" si="0"/>
        <v>5</v>
      </c>
    </row>
    <row r="27" spans="2:13" ht="14.5" x14ac:dyDescent="0.3">
      <c r="B27" s="455"/>
      <c r="E27" s="354"/>
      <c r="F27" s="355"/>
      <c r="G27" s="355"/>
      <c r="H27" s="355"/>
      <c r="I27" s="356"/>
      <c r="J27" s="339"/>
      <c r="K27" s="339"/>
      <c r="L27" s="337"/>
      <c r="M27" s="195">
        <f t="shared" si="0"/>
        <v>5</v>
      </c>
    </row>
    <row r="28" spans="2:13" ht="14.5" x14ac:dyDescent="0.3">
      <c r="B28" s="455"/>
      <c r="E28" s="354"/>
      <c r="F28" s="355"/>
      <c r="G28" s="355"/>
      <c r="H28" s="355"/>
      <c r="I28" s="356"/>
      <c r="J28" s="339"/>
      <c r="K28" s="339"/>
      <c r="L28" s="337"/>
      <c r="M28" s="195">
        <f t="shared" si="0"/>
        <v>5</v>
      </c>
    </row>
    <row r="29" spans="2:13" ht="14.5" x14ac:dyDescent="0.3">
      <c r="B29" s="455"/>
      <c r="E29" s="354"/>
      <c r="F29" s="355"/>
      <c r="G29" s="355"/>
      <c r="H29" s="355"/>
      <c r="I29" s="356"/>
      <c r="J29" s="339"/>
      <c r="K29" s="339"/>
      <c r="L29" s="337"/>
      <c r="M29" s="195">
        <f t="shared" si="0"/>
        <v>5</v>
      </c>
    </row>
    <row r="30" spans="2:13" ht="14.5" x14ac:dyDescent="0.3">
      <c r="B30" s="455"/>
      <c r="E30" s="354"/>
      <c r="F30" s="355"/>
      <c r="G30" s="355"/>
      <c r="H30" s="355"/>
      <c r="I30" s="356"/>
      <c r="J30" s="339"/>
      <c r="K30" s="339"/>
      <c r="L30" s="337"/>
      <c r="M30" s="195">
        <f t="shared" si="0"/>
        <v>5</v>
      </c>
    </row>
    <row r="31" spans="2:13" ht="14.5" x14ac:dyDescent="0.3">
      <c r="B31" s="455"/>
      <c r="E31" s="354"/>
      <c r="F31" s="355"/>
      <c r="G31" s="355"/>
      <c r="H31" s="355"/>
      <c r="I31" s="356"/>
      <c r="J31" s="339"/>
      <c r="K31" s="339"/>
      <c r="L31" s="337"/>
      <c r="M31" s="195">
        <f t="shared" si="0"/>
        <v>5</v>
      </c>
    </row>
    <row r="32" spans="2:13" ht="14.5" x14ac:dyDescent="0.3">
      <c r="B32" s="455"/>
      <c r="E32" s="354"/>
      <c r="F32" s="355"/>
      <c r="G32" s="355"/>
      <c r="H32" s="355"/>
      <c r="I32" s="356"/>
      <c r="J32" s="339"/>
      <c r="K32" s="339"/>
      <c r="L32" s="337"/>
      <c r="M32" s="195">
        <f t="shared" si="0"/>
        <v>5</v>
      </c>
    </row>
    <row r="33" spans="2:13" ht="14.5" x14ac:dyDescent="0.3">
      <c r="B33" s="455"/>
      <c r="E33" s="354"/>
      <c r="F33" s="355"/>
      <c r="G33" s="355"/>
      <c r="H33" s="355"/>
      <c r="I33" s="356"/>
      <c r="J33" s="339"/>
      <c r="K33" s="339"/>
      <c r="L33" s="337"/>
      <c r="M33" s="195">
        <f t="shared" si="0"/>
        <v>5</v>
      </c>
    </row>
    <row r="34" spans="2:13" ht="14.5" x14ac:dyDescent="0.3">
      <c r="B34" s="455"/>
      <c r="E34" s="354"/>
      <c r="F34" s="355"/>
      <c r="G34" s="355"/>
      <c r="H34" s="355"/>
      <c r="I34" s="356"/>
      <c r="J34" s="339"/>
      <c r="K34" s="339"/>
      <c r="L34" s="337"/>
      <c r="M34" s="195">
        <f t="shared" si="0"/>
        <v>5</v>
      </c>
    </row>
    <row r="35" spans="2:13" ht="14.5" x14ac:dyDescent="0.3">
      <c r="B35" s="455"/>
      <c r="E35" s="354"/>
      <c r="F35" s="355"/>
      <c r="G35" s="355"/>
      <c r="H35" s="355"/>
      <c r="I35" s="356"/>
      <c r="J35" s="339"/>
      <c r="K35" s="339"/>
      <c r="L35" s="337"/>
      <c r="M35" s="195">
        <f t="shared" si="0"/>
        <v>5</v>
      </c>
    </row>
    <row r="36" spans="2:13" ht="14.5" x14ac:dyDescent="0.3">
      <c r="B36" s="455"/>
      <c r="E36" s="354"/>
      <c r="F36" s="355"/>
      <c r="G36" s="355"/>
      <c r="H36" s="355"/>
      <c r="I36" s="356"/>
      <c r="J36" s="339"/>
      <c r="K36" s="339"/>
      <c r="L36" s="337"/>
      <c r="M36" s="195">
        <f t="shared" si="0"/>
        <v>5</v>
      </c>
    </row>
    <row r="37" spans="2:13" ht="14.5" x14ac:dyDescent="0.3">
      <c r="B37" s="455"/>
      <c r="E37" s="354"/>
      <c r="F37" s="355"/>
      <c r="G37" s="355"/>
      <c r="H37" s="355"/>
      <c r="I37" s="356"/>
      <c r="J37" s="339"/>
      <c r="K37" s="339"/>
      <c r="L37" s="337"/>
      <c r="M37" s="195">
        <f t="shared" si="0"/>
        <v>5</v>
      </c>
    </row>
    <row r="38" spans="2:13" ht="14.5" x14ac:dyDescent="0.3">
      <c r="B38" s="455"/>
      <c r="E38" s="354"/>
      <c r="F38" s="355"/>
      <c r="G38" s="355"/>
      <c r="H38" s="355"/>
      <c r="I38" s="356"/>
      <c r="J38" s="339"/>
      <c r="K38" s="339"/>
      <c r="L38" s="337"/>
      <c r="M38" s="195">
        <f t="shared" si="0"/>
        <v>5</v>
      </c>
    </row>
    <row r="39" spans="2:13" ht="14.5" x14ac:dyDescent="0.3">
      <c r="B39" s="455"/>
      <c r="E39" s="354"/>
      <c r="F39" s="355"/>
      <c r="G39" s="355"/>
      <c r="H39" s="355"/>
      <c r="I39" s="356"/>
      <c r="J39" s="339"/>
      <c r="K39" s="339"/>
      <c r="L39" s="337"/>
      <c r="M39" s="195">
        <f t="shared" si="0"/>
        <v>5</v>
      </c>
    </row>
    <row r="40" spans="2:13" ht="14.5" x14ac:dyDescent="0.3">
      <c r="B40" s="455"/>
      <c r="E40" s="354"/>
      <c r="F40" s="355"/>
      <c r="G40" s="355"/>
      <c r="H40" s="355"/>
      <c r="I40" s="356"/>
      <c r="J40" s="339"/>
      <c r="K40" s="339"/>
      <c r="L40" s="337"/>
      <c r="M40" s="195">
        <f t="shared" si="0"/>
        <v>5</v>
      </c>
    </row>
    <row r="41" spans="2:13" ht="14.5" x14ac:dyDescent="0.3">
      <c r="B41" s="455"/>
      <c r="E41" s="354"/>
      <c r="F41" s="355"/>
      <c r="G41" s="355"/>
      <c r="H41" s="355"/>
      <c r="I41" s="356"/>
      <c r="J41" s="339"/>
      <c r="K41" s="339"/>
      <c r="L41" s="337"/>
      <c r="M41" s="195">
        <f t="shared" si="0"/>
        <v>5</v>
      </c>
    </row>
    <row r="42" spans="2:13" ht="14.5" x14ac:dyDescent="0.3">
      <c r="B42" s="455"/>
      <c r="E42" s="354"/>
      <c r="F42" s="355"/>
      <c r="G42" s="355"/>
      <c r="H42" s="355"/>
      <c r="I42" s="356"/>
      <c r="J42" s="339"/>
      <c r="K42" s="339"/>
      <c r="L42" s="337"/>
      <c r="M42" s="195">
        <f t="shared" si="0"/>
        <v>5</v>
      </c>
    </row>
    <row r="43" spans="2:13" ht="14.5" x14ac:dyDescent="0.3">
      <c r="B43" s="455"/>
      <c r="E43" s="354"/>
      <c r="F43" s="355"/>
      <c r="G43" s="355"/>
      <c r="H43" s="355"/>
      <c r="I43" s="356"/>
      <c r="J43" s="339"/>
      <c r="K43" s="339"/>
      <c r="L43" s="337"/>
      <c r="M43" s="195">
        <f t="shared" si="0"/>
        <v>5</v>
      </c>
    </row>
    <row r="44" spans="2:13" ht="14.5" x14ac:dyDescent="0.3">
      <c r="B44" s="455"/>
      <c r="E44" s="354"/>
      <c r="F44" s="355"/>
      <c r="G44" s="355"/>
      <c r="H44" s="355"/>
      <c r="I44" s="356"/>
      <c r="J44" s="339"/>
      <c r="K44" s="339"/>
      <c r="L44" s="337"/>
      <c r="M44" s="195">
        <f t="shared" si="0"/>
        <v>5</v>
      </c>
    </row>
    <row r="45" spans="2:13" ht="14.5" x14ac:dyDescent="0.3">
      <c r="B45" s="455"/>
      <c r="E45" s="354"/>
      <c r="F45" s="355"/>
      <c r="G45" s="355"/>
      <c r="H45" s="355"/>
      <c r="I45" s="356"/>
      <c r="J45" s="339"/>
      <c r="K45" s="339"/>
      <c r="L45" s="337"/>
      <c r="M45" s="195">
        <f t="shared" si="0"/>
        <v>5</v>
      </c>
    </row>
    <row r="46" spans="2:13" ht="14.5" x14ac:dyDescent="0.3">
      <c r="B46" s="455"/>
      <c r="E46" s="354"/>
      <c r="F46" s="355"/>
      <c r="G46" s="355"/>
      <c r="H46" s="355"/>
      <c r="I46" s="356"/>
      <c r="J46" s="339"/>
      <c r="K46" s="339"/>
      <c r="L46" s="337"/>
      <c r="M46" s="195">
        <f t="shared" si="0"/>
        <v>5</v>
      </c>
    </row>
    <row r="47" spans="2:13" ht="14.5" x14ac:dyDescent="0.3">
      <c r="B47" s="455"/>
      <c r="E47" s="354"/>
      <c r="F47" s="355"/>
      <c r="G47" s="355"/>
      <c r="H47" s="355"/>
      <c r="I47" s="356"/>
      <c r="J47" s="339"/>
      <c r="K47" s="339"/>
      <c r="L47" s="337"/>
      <c r="M47" s="195">
        <f t="shared" si="0"/>
        <v>5</v>
      </c>
    </row>
    <row r="48" spans="2:13" ht="14.5" x14ac:dyDescent="0.3">
      <c r="B48" s="455"/>
      <c r="E48" s="354"/>
      <c r="F48" s="355"/>
      <c r="G48" s="355"/>
      <c r="H48" s="355"/>
      <c r="I48" s="356"/>
      <c r="J48" s="339"/>
      <c r="K48" s="339"/>
      <c r="L48" s="337"/>
      <c r="M48" s="195">
        <f t="shared" si="0"/>
        <v>5</v>
      </c>
    </row>
    <row r="49" spans="2:13" ht="14.5" x14ac:dyDescent="0.3">
      <c r="B49" s="455"/>
      <c r="E49" s="354"/>
      <c r="F49" s="355"/>
      <c r="G49" s="355"/>
      <c r="H49" s="355"/>
      <c r="I49" s="356"/>
      <c r="J49" s="339"/>
      <c r="K49" s="339"/>
      <c r="L49" s="337"/>
      <c r="M49" s="195">
        <f t="shared" si="0"/>
        <v>5</v>
      </c>
    </row>
    <row r="50" spans="2:13" ht="14.5" x14ac:dyDescent="0.3">
      <c r="B50" s="455"/>
      <c r="E50" s="354"/>
      <c r="F50" s="355"/>
      <c r="G50" s="355"/>
      <c r="H50" s="355"/>
      <c r="I50" s="356"/>
      <c r="J50" s="339"/>
      <c r="K50" s="339"/>
      <c r="L50" s="337"/>
      <c r="M50" s="195">
        <f t="shared" si="0"/>
        <v>5</v>
      </c>
    </row>
    <row r="51" spans="2:13" ht="14.5" x14ac:dyDescent="0.3">
      <c r="B51" s="455"/>
      <c r="E51" s="354"/>
      <c r="F51" s="355"/>
      <c r="G51" s="355"/>
      <c r="H51" s="355"/>
      <c r="I51" s="356"/>
      <c r="J51" s="339"/>
      <c r="K51" s="339"/>
      <c r="L51" s="337"/>
      <c r="M51" s="195">
        <f t="shared" si="0"/>
        <v>5</v>
      </c>
    </row>
    <row r="52" spans="2:13" ht="14.5" x14ac:dyDescent="0.3">
      <c r="E52" s="354"/>
      <c r="F52" s="355"/>
      <c r="G52" s="355"/>
      <c r="H52" s="355"/>
      <c r="I52" s="356"/>
      <c r="J52" s="339"/>
      <c r="K52" s="339"/>
      <c r="L52" s="337"/>
      <c r="M52" s="195">
        <f t="shared" si="0"/>
        <v>5</v>
      </c>
    </row>
    <row r="53" spans="2:13" ht="14.5" x14ac:dyDescent="0.3">
      <c r="E53" s="354"/>
      <c r="F53" s="355"/>
      <c r="G53" s="355"/>
      <c r="H53" s="355"/>
      <c r="I53" s="356"/>
      <c r="J53" s="339"/>
      <c r="K53" s="339"/>
      <c r="L53" s="337"/>
      <c r="M53" s="195">
        <f t="shared" si="0"/>
        <v>5</v>
      </c>
    </row>
    <row r="54" spans="2:13" ht="14.5" x14ac:dyDescent="0.3">
      <c r="E54" s="354"/>
      <c r="F54" s="355"/>
      <c r="G54" s="355"/>
      <c r="H54" s="355"/>
      <c r="I54" s="356"/>
      <c r="J54" s="339"/>
      <c r="K54" s="339"/>
      <c r="L54" s="337"/>
      <c r="M54" s="195">
        <f t="shared" si="0"/>
        <v>5</v>
      </c>
    </row>
    <row r="55" spans="2:13" ht="14.5" x14ac:dyDescent="0.3">
      <c r="E55" s="354"/>
      <c r="F55" s="355"/>
      <c r="G55" s="355"/>
      <c r="H55" s="355"/>
      <c r="I55" s="356"/>
      <c r="J55" s="339"/>
      <c r="K55" s="339"/>
      <c r="L55" s="337"/>
      <c r="M55" s="195">
        <f t="shared" si="0"/>
        <v>5</v>
      </c>
    </row>
    <row r="56" spans="2:13" ht="14.5" x14ac:dyDescent="0.3">
      <c r="E56" s="354"/>
      <c r="F56" s="355"/>
      <c r="G56" s="355"/>
      <c r="H56" s="355"/>
      <c r="I56" s="356"/>
      <c r="J56" s="339"/>
      <c r="K56" s="339"/>
      <c r="L56" s="337"/>
      <c r="M56" s="195">
        <f t="shared" si="0"/>
        <v>5</v>
      </c>
    </row>
    <row r="57" spans="2:13" ht="14.5" x14ac:dyDescent="0.3">
      <c r="E57" s="354"/>
      <c r="F57" s="355"/>
      <c r="G57" s="355"/>
      <c r="H57" s="355"/>
      <c r="I57" s="356"/>
      <c r="J57" s="339"/>
      <c r="K57" s="339"/>
      <c r="L57" s="337"/>
      <c r="M57" s="195">
        <f t="shared" si="0"/>
        <v>5</v>
      </c>
    </row>
    <row r="58" spans="2:13" ht="14.5" x14ac:dyDescent="0.3">
      <c r="E58" s="354"/>
      <c r="F58" s="355"/>
      <c r="G58" s="355"/>
      <c r="H58" s="355"/>
      <c r="I58" s="356"/>
      <c r="J58" s="339"/>
      <c r="K58" s="339"/>
      <c r="L58" s="337"/>
      <c r="M58" s="195">
        <f t="shared" si="0"/>
        <v>5</v>
      </c>
    </row>
    <row r="59" spans="2:13" ht="14.5" x14ac:dyDescent="0.3">
      <c r="E59" s="354"/>
      <c r="F59" s="355"/>
      <c r="G59" s="355"/>
      <c r="H59" s="355"/>
      <c r="I59" s="356"/>
      <c r="J59" s="339"/>
      <c r="K59" s="339"/>
      <c r="L59" s="337"/>
      <c r="M59" s="195">
        <f t="shared" si="0"/>
        <v>5</v>
      </c>
    </row>
    <row r="60" spans="2:13" ht="14.5" x14ac:dyDescent="0.3">
      <c r="E60" s="354"/>
      <c r="F60" s="355"/>
      <c r="G60" s="355"/>
      <c r="H60" s="355"/>
      <c r="I60" s="356"/>
      <c r="J60" s="339"/>
      <c r="K60" s="339"/>
      <c r="L60" s="337"/>
      <c r="M60" s="195">
        <f t="shared" si="0"/>
        <v>5</v>
      </c>
    </row>
    <row r="61" spans="2:13" ht="14.5" x14ac:dyDescent="0.3">
      <c r="E61" s="354"/>
      <c r="F61" s="355"/>
      <c r="G61" s="355"/>
      <c r="H61" s="355"/>
      <c r="I61" s="356"/>
      <c r="J61" s="339"/>
      <c r="K61" s="339"/>
      <c r="L61" s="337"/>
      <c r="M61" s="195">
        <f t="shared" si="0"/>
        <v>5</v>
      </c>
    </row>
    <row r="62" spans="2:13" ht="14.5" x14ac:dyDescent="0.3">
      <c r="E62" s="354"/>
      <c r="F62" s="355"/>
      <c r="G62" s="355"/>
      <c r="H62" s="355"/>
      <c r="I62" s="356"/>
      <c r="J62" s="339"/>
      <c r="K62" s="339"/>
      <c r="L62" s="337"/>
      <c r="M62" s="195">
        <f t="shared" si="0"/>
        <v>5</v>
      </c>
    </row>
    <row r="63" spans="2:13" ht="14.5" x14ac:dyDescent="0.3">
      <c r="E63" s="354"/>
      <c r="F63" s="355"/>
      <c r="G63" s="355"/>
      <c r="H63" s="355"/>
      <c r="I63" s="356"/>
      <c r="J63" s="339"/>
      <c r="K63" s="339"/>
      <c r="L63" s="337"/>
      <c r="M63" s="195">
        <f t="shared" si="0"/>
        <v>5</v>
      </c>
    </row>
    <row r="64" spans="2:13" ht="14.5" x14ac:dyDescent="0.3">
      <c r="E64" s="354"/>
      <c r="F64" s="355"/>
      <c r="G64" s="355"/>
      <c r="H64" s="355"/>
      <c r="I64" s="356"/>
      <c r="J64" s="339"/>
      <c r="K64" s="339"/>
      <c r="L64" s="337"/>
      <c r="M64" s="195">
        <f t="shared" si="0"/>
        <v>5</v>
      </c>
    </row>
    <row r="65" spans="5:13" ht="14.5" x14ac:dyDescent="0.3">
      <c r="E65" s="354"/>
      <c r="F65" s="355"/>
      <c r="G65" s="355"/>
      <c r="H65" s="355"/>
      <c r="I65" s="356"/>
      <c r="J65" s="339"/>
      <c r="K65" s="339"/>
      <c r="L65" s="337"/>
      <c r="M65" s="195">
        <f t="shared" si="0"/>
        <v>5</v>
      </c>
    </row>
    <row r="66" spans="5:13" ht="14.5" x14ac:dyDescent="0.3">
      <c r="E66" s="354"/>
      <c r="F66" s="355"/>
      <c r="G66" s="355"/>
      <c r="H66" s="355"/>
      <c r="I66" s="356"/>
      <c r="J66" s="339"/>
      <c r="K66" s="339"/>
      <c r="L66" s="337"/>
      <c r="M66" s="195">
        <f t="shared" si="0"/>
        <v>5</v>
      </c>
    </row>
    <row r="67" spans="5:13" ht="14.5" x14ac:dyDescent="0.3">
      <c r="E67" s="354"/>
      <c r="F67" s="355"/>
      <c r="G67" s="355"/>
      <c r="H67" s="355"/>
      <c r="I67" s="356"/>
      <c r="J67" s="339"/>
      <c r="K67" s="339"/>
      <c r="L67" s="337"/>
      <c r="M67" s="195">
        <f t="shared" si="0"/>
        <v>5</v>
      </c>
    </row>
    <row r="68" spans="5:13" ht="14.5" x14ac:dyDescent="0.3">
      <c r="E68" s="354"/>
      <c r="F68" s="355"/>
      <c r="G68" s="355"/>
      <c r="H68" s="355"/>
      <c r="I68" s="356"/>
      <c r="J68" s="339"/>
      <c r="K68" s="339"/>
      <c r="L68" s="337"/>
      <c r="M68" s="195">
        <f t="shared" si="0"/>
        <v>5</v>
      </c>
    </row>
    <row r="69" spans="5:13" ht="14.5" x14ac:dyDescent="0.3">
      <c r="E69" s="354"/>
      <c r="F69" s="355"/>
      <c r="G69" s="355"/>
      <c r="H69" s="355"/>
      <c r="I69" s="356"/>
      <c r="J69" s="339"/>
      <c r="K69" s="339"/>
      <c r="L69" s="337"/>
      <c r="M69" s="195">
        <f t="shared" si="0"/>
        <v>5</v>
      </c>
    </row>
    <row r="70" spans="5:13" ht="14.5" x14ac:dyDescent="0.3">
      <c r="E70" s="354"/>
      <c r="F70" s="355"/>
      <c r="G70" s="355"/>
      <c r="H70" s="355"/>
      <c r="I70" s="356"/>
      <c r="J70" s="339"/>
      <c r="K70" s="339"/>
      <c r="L70" s="337"/>
      <c r="M70" s="195">
        <f t="shared" si="0"/>
        <v>5</v>
      </c>
    </row>
    <row r="71" spans="5:13" ht="14.5" x14ac:dyDescent="0.3">
      <c r="E71" s="354"/>
      <c r="F71" s="355"/>
      <c r="G71" s="355"/>
      <c r="H71" s="355"/>
      <c r="I71" s="356"/>
      <c r="J71" s="339"/>
      <c r="K71" s="339"/>
      <c r="L71" s="337"/>
      <c r="M71" s="195">
        <f t="shared" si="0"/>
        <v>5</v>
      </c>
    </row>
    <row r="72" spans="5:13" ht="14.5" x14ac:dyDescent="0.3">
      <c r="E72" s="354"/>
      <c r="F72" s="355"/>
      <c r="G72" s="355"/>
      <c r="H72" s="355"/>
      <c r="I72" s="356"/>
      <c r="J72" s="339"/>
      <c r="K72" s="339"/>
      <c r="L72" s="337"/>
      <c r="M72" s="195">
        <f t="shared" si="0"/>
        <v>5</v>
      </c>
    </row>
    <row r="73" spans="5:13" ht="14.5" x14ac:dyDescent="0.3">
      <c r="E73" s="354"/>
      <c r="F73" s="355"/>
      <c r="G73" s="355"/>
      <c r="H73" s="355"/>
      <c r="I73" s="356"/>
      <c r="J73" s="339"/>
      <c r="K73" s="339"/>
      <c r="L73" s="337"/>
      <c r="M73" s="195">
        <f t="shared" si="0"/>
        <v>5</v>
      </c>
    </row>
    <row r="74" spans="5:13" ht="14.5" x14ac:dyDescent="0.3">
      <c r="E74" s="354"/>
      <c r="F74" s="355"/>
      <c r="G74" s="355"/>
      <c r="H74" s="355"/>
      <c r="I74" s="356"/>
      <c r="J74" s="339"/>
      <c r="K74" s="339"/>
      <c r="L74" s="337"/>
      <c r="M74" s="195">
        <f t="shared" si="0"/>
        <v>5</v>
      </c>
    </row>
    <row r="75" spans="5:13" ht="14.5" x14ac:dyDescent="0.3">
      <c r="E75" s="354"/>
      <c r="F75" s="355"/>
      <c r="G75" s="355"/>
      <c r="H75" s="355"/>
      <c r="I75" s="356"/>
      <c r="J75" s="339"/>
      <c r="K75" s="339"/>
      <c r="L75" s="337"/>
      <c r="M75" s="195">
        <f t="shared" si="0"/>
        <v>5</v>
      </c>
    </row>
    <row r="76" spans="5:13" ht="14.5" x14ac:dyDescent="0.3">
      <c r="E76" s="354"/>
      <c r="F76" s="355"/>
      <c r="G76" s="355"/>
      <c r="H76" s="355"/>
      <c r="I76" s="356"/>
      <c r="J76" s="339"/>
      <c r="K76" s="339"/>
      <c r="L76" s="337"/>
      <c r="M76" s="195">
        <f t="shared" si="0"/>
        <v>5</v>
      </c>
    </row>
    <row r="77" spans="5:13" ht="14.5" x14ac:dyDescent="0.3">
      <c r="E77" s="354"/>
      <c r="F77" s="355"/>
      <c r="G77" s="355"/>
      <c r="H77" s="355"/>
      <c r="I77" s="356"/>
      <c r="J77" s="339"/>
      <c r="K77" s="339"/>
      <c r="L77" s="337"/>
      <c r="M77" s="195">
        <f t="shared" si="0"/>
        <v>5</v>
      </c>
    </row>
    <row r="78" spans="5:13" ht="14.5" x14ac:dyDescent="0.3">
      <c r="E78" s="354"/>
      <c r="F78" s="355"/>
      <c r="G78" s="355"/>
      <c r="H78" s="355"/>
      <c r="I78" s="356"/>
      <c r="J78" s="339"/>
      <c r="K78" s="339"/>
      <c r="L78" s="337"/>
      <c r="M78" s="195">
        <f t="shared" ref="M78:M141" si="1">ISBLANK(E78)+ISBLANK(F78)+ISBLANK(G78)+ISBLANK(H78)+ISBLANK(I78)</f>
        <v>5</v>
      </c>
    </row>
    <row r="79" spans="5:13" ht="14.5" x14ac:dyDescent="0.3">
      <c r="E79" s="354"/>
      <c r="F79" s="355"/>
      <c r="G79" s="355"/>
      <c r="H79" s="355"/>
      <c r="I79" s="356"/>
      <c r="J79" s="339"/>
      <c r="K79" s="339"/>
      <c r="L79" s="337"/>
      <c r="M79" s="195">
        <f t="shared" si="1"/>
        <v>5</v>
      </c>
    </row>
    <row r="80" spans="5:13" ht="14.5" x14ac:dyDescent="0.3">
      <c r="E80" s="354"/>
      <c r="F80" s="355"/>
      <c r="G80" s="355"/>
      <c r="H80" s="355"/>
      <c r="I80" s="356"/>
      <c r="J80" s="339"/>
      <c r="K80" s="339"/>
      <c r="L80" s="337"/>
      <c r="M80" s="195">
        <f t="shared" si="1"/>
        <v>5</v>
      </c>
    </row>
    <row r="81" spans="5:13" ht="14.5" x14ac:dyDescent="0.3">
      <c r="E81" s="354"/>
      <c r="F81" s="355"/>
      <c r="G81" s="355"/>
      <c r="H81" s="355"/>
      <c r="I81" s="356"/>
      <c r="J81" s="339"/>
      <c r="K81" s="339"/>
      <c r="L81" s="337"/>
      <c r="M81" s="195">
        <f t="shared" si="1"/>
        <v>5</v>
      </c>
    </row>
    <row r="82" spans="5:13" ht="14.5" x14ac:dyDescent="0.3">
      <c r="E82" s="354"/>
      <c r="F82" s="355"/>
      <c r="G82" s="355"/>
      <c r="H82" s="355"/>
      <c r="I82" s="356"/>
      <c r="J82" s="339"/>
      <c r="K82" s="339"/>
      <c r="L82" s="337"/>
      <c r="M82" s="195">
        <f t="shared" si="1"/>
        <v>5</v>
      </c>
    </row>
    <row r="83" spans="5:13" ht="14.5" x14ac:dyDescent="0.3">
      <c r="E83" s="354"/>
      <c r="F83" s="355"/>
      <c r="G83" s="355"/>
      <c r="H83" s="355"/>
      <c r="I83" s="356"/>
      <c r="J83" s="339"/>
      <c r="K83" s="339"/>
      <c r="L83" s="337"/>
      <c r="M83" s="195">
        <f t="shared" si="1"/>
        <v>5</v>
      </c>
    </row>
    <row r="84" spans="5:13" ht="14.5" x14ac:dyDescent="0.3">
      <c r="E84" s="354"/>
      <c r="F84" s="355"/>
      <c r="G84" s="355"/>
      <c r="H84" s="355"/>
      <c r="I84" s="356"/>
      <c r="J84" s="339"/>
      <c r="K84" s="339"/>
      <c r="L84" s="337"/>
      <c r="M84" s="195">
        <f t="shared" si="1"/>
        <v>5</v>
      </c>
    </row>
    <row r="85" spans="5:13" ht="14.5" x14ac:dyDescent="0.3">
      <c r="E85" s="354"/>
      <c r="F85" s="355"/>
      <c r="G85" s="355"/>
      <c r="H85" s="355"/>
      <c r="I85" s="356"/>
      <c r="J85" s="339"/>
      <c r="K85" s="339"/>
      <c r="L85" s="337"/>
      <c r="M85" s="195">
        <f t="shared" si="1"/>
        <v>5</v>
      </c>
    </row>
    <row r="86" spans="5:13" ht="14.5" x14ac:dyDescent="0.3">
      <c r="E86" s="354"/>
      <c r="F86" s="355"/>
      <c r="G86" s="355"/>
      <c r="H86" s="355"/>
      <c r="I86" s="356"/>
      <c r="J86" s="339"/>
      <c r="K86" s="339"/>
      <c r="L86" s="337"/>
      <c r="M86" s="195">
        <f t="shared" si="1"/>
        <v>5</v>
      </c>
    </row>
    <row r="87" spans="5:13" ht="14.5" x14ac:dyDescent="0.3">
      <c r="E87" s="354"/>
      <c r="F87" s="355"/>
      <c r="G87" s="355"/>
      <c r="H87" s="355"/>
      <c r="I87" s="356"/>
      <c r="J87" s="339"/>
      <c r="K87" s="339"/>
      <c r="L87" s="337"/>
      <c r="M87" s="195">
        <f t="shared" si="1"/>
        <v>5</v>
      </c>
    </row>
    <row r="88" spans="5:13" ht="14.5" x14ac:dyDescent="0.3">
      <c r="E88" s="354"/>
      <c r="F88" s="355"/>
      <c r="G88" s="355"/>
      <c r="H88" s="355"/>
      <c r="I88" s="356"/>
      <c r="J88" s="339"/>
      <c r="K88" s="339"/>
      <c r="L88" s="337"/>
      <c r="M88" s="195">
        <f t="shared" si="1"/>
        <v>5</v>
      </c>
    </row>
    <row r="89" spans="5:13" ht="14.5" x14ac:dyDescent="0.3">
      <c r="E89" s="354"/>
      <c r="F89" s="355"/>
      <c r="G89" s="355"/>
      <c r="H89" s="355"/>
      <c r="I89" s="356"/>
      <c r="J89" s="339"/>
      <c r="K89" s="339"/>
      <c r="L89" s="337"/>
      <c r="M89" s="195">
        <f t="shared" si="1"/>
        <v>5</v>
      </c>
    </row>
    <row r="90" spans="5:13" ht="14.5" x14ac:dyDescent="0.3">
      <c r="E90" s="354"/>
      <c r="F90" s="355"/>
      <c r="G90" s="355"/>
      <c r="H90" s="355"/>
      <c r="I90" s="356"/>
      <c r="J90" s="339"/>
      <c r="K90" s="339"/>
      <c r="L90" s="337"/>
      <c r="M90" s="195">
        <f t="shared" si="1"/>
        <v>5</v>
      </c>
    </row>
    <row r="91" spans="5:13" ht="14.5" x14ac:dyDescent="0.3">
      <c r="E91" s="354"/>
      <c r="F91" s="355"/>
      <c r="G91" s="355"/>
      <c r="H91" s="355"/>
      <c r="I91" s="356"/>
      <c r="J91" s="339"/>
      <c r="K91" s="339"/>
      <c r="L91" s="337"/>
      <c r="M91" s="195">
        <f t="shared" si="1"/>
        <v>5</v>
      </c>
    </row>
    <row r="92" spans="5:13" ht="14.5" x14ac:dyDescent="0.3">
      <c r="E92" s="354"/>
      <c r="F92" s="355"/>
      <c r="G92" s="355"/>
      <c r="H92" s="355"/>
      <c r="I92" s="356"/>
      <c r="J92" s="339"/>
      <c r="K92" s="339"/>
      <c r="L92" s="337"/>
      <c r="M92" s="195">
        <f t="shared" si="1"/>
        <v>5</v>
      </c>
    </row>
    <row r="93" spans="5:13" ht="14.5" x14ac:dyDescent="0.3">
      <c r="E93" s="354"/>
      <c r="F93" s="355"/>
      <c r="G93" s="355"/>
      <c r="H93" s="355"/>
      <c r="I93" s="356"/>
      <c r="J93" s="339"/>
      <c r="K93" s="339"/>
      <c r="L93" s="337"/>
      <c r="M93" s="195">
        <f t="shared" si="1"/>
        <v>5</v>
      </c>
    </row>
    <row r="94" spans="5:13" ht="14.5" x14ac:dyDescent="0.3">
      <c r="E94" s="354"/>
      <c r="F94" s="355"/>
      <c r="G94" s="355"/>
      <c r="H94" s="355"/>
      <c r="I94" s="356"/>
      <c r="J94" s="339"/>
      <c r="K94" s="339"/>
      <c r="L94" s="337"/>
      <c r="M94" s="195">
        <f t="shared" si="1"/>
        <v>5</v>
      </c>
    </row>
    <row r="95" spans="5:13" ht="14.5" x14ac:dyDescent="0.3">
      <c r="E95" s="354"/>
      <c r="F95" s="355"/>
      <c r="G95" s="355"/>
      <c r="H95" s="355"/>
      <c r="I95" s="356"/>
      <c r="J95" s="339"/>
      <c r="K95" s="339"/>
      <c r="L95" s="337"/>
      <c r="M95" s="195">
        <f t="shared" si="1"/>
        <v>5</v>
      </c>
    </row>
    <row r="96" spans="5:13" ht="14.5" x14ac:dyDescent="0.3">
      <c r="E96" s="354"/>
      <c r="F96" s="355"/>
      <c r="G96" s="355"/>
      <c r="H96" s="355"/>
      <c r="I96" s="356"/>
      <c r="J96" s="339"/>
      <c r="K96" s="339"/>
      <c r="L96" s="337"/>
      <c r="M96" s="195">
        <f t="shared" si="1"/>
        <v>5</v>
      </c>
    </row>
    <row r="97" spans="5:13" ht="14.5" x14ac:dyDescent="0.3">
      <c r="E97" s="354"/>
      <c r="F97" s="355"/>
      <c r="G97" s="355"/>
      <c r="H97" s="355"/>
      <c r="I97" s="356"/>
      <c r="J97" s="339"/>
      <c r="K97" s="339"/>
      <c r="L97" s="337"/>
      <c r="M97" s="195">
        <f t="shared" si="1"/>
        <v>5</v>
      </c>
    </row>
    <row r="98" spans="5:13" ht="14.5" x14ac:dyDescent="0.3">
      <c r="E98" s="354"/>
      <c r="F98" s="355"/>
      <c r="G98" s="355"/>
      <c r="H98" s="355"/>
      <c r="I98" s="356"/>
      <c r="J98" s="339"/>
      <c r="K98" s="339"/>
      <c r="L98" s="337"/>
      <c r="M98" s="195">
        <f t="shared" si="1"/>
        <v>5</v>
      </c>
    </row>
    <row r="99" spans="5:13" ht="14.5" x14ac:dyDescent="0.3">
      <c r="E99" s="354"/>
      <c r="F99" s="355"/>
      <c r="G99" s="355"/>
      <c r="H99" s="355"/>
      <c r="I99" s="356"/>
      <c r="J99" s="339"/>
      <c r="K99" s="339"/>
      <c r="L99" s="337"/>
      <c r="M99" s="195">
        <f t="shared" si="1"/>
        <v>5</v>
      </c>
    </row>
    <row r="100" spans="5:13" ht="14.5" x14ac:dyDescent="0.3">
      <c r="E100" s="354"/>
      <c r="F100" s="355"/>
      <c r="G100" s="355"/>
      <c r="H100" s="355"/>
      <c r="I100" s="356"/>
      <c r="J100" s="339"/>
      <c r="K100" s="339"/>
      <c r="L100" s="337"/>
      <c r="M100" s="195">
        <f t="shared" si="1"/>
        <v>5</v>
      </c>
    </row>
    <row r="101" spans="5:13" ht="14.5" x14ac:dyDescent="0.3">
      <c r="E101" s="354"/>
      <c r="F101" s="355"/>
      <c r="G101" s="355"/>
      <c r="H101" s="355"/>
      <c r="I101" s="356"/>
      <c r="J101" s="339"/>
      <c r="K101" s="339"/>
      <c r="L101" s="337"/>
      <c r="M101" s="195">
        <f t="shared" si="1"/>
        <v>5</v>
      </c>
    </row>
    <row r="102" spans="5:13" ht="14.5" x14ac:dyDescent="0.3">
      <c r="E102" s="354"/>
      <c r="F102" s="355"/>
      <c r="G102" s="355"/>
      <c r="H102" s="355"/>
      <c r="I102" s="356"/>
      <c r="J102" s="339"/>
      <c r="K102" s="339"/>
      <c r="L102" s="337"/>
      <c r="M102" s="195">
        <f t="shared" si="1"/>
        <v>5</v>
      </c>
    </row>
    <row r="103" spans="5:13" ht="14.5" x14ac:dyDescent="0.3">
      <c r="E103" s="354"/>
      <c r="F103" s="355"/>
      <c r="G103" s="355"/>
      <c r="H103" s="355"/>
      <c r="I103" s="356"/>
      <c r="J103" s="339"/>
      <c r="K103" s="339"/>
      <c r="L103" s="337"/>
      <c r="M103" s="195">
        <f t="shared" si="1"/>
        <v>5</v>
      </c>
    </row>
    <row r="104" spans="5:13" ht="14.5" x14ac:dyDescent="0.3">
      <c r="E104" s="354"/>
      <c r="F104" s="355"/>
      <c r="G104" s="355"/>
      <c r="H104" s="355"/>
      <c r="I104" s="356"/>
      <c r="J104" s="339"/>
      <c r="K104" s="339"/>
      <c r="L104" s="337"/>
      <c r="M104" s="195">
        <f t="shared" si="1"/>
        <v>5</v>
      </c>
    </row>
    <row r="105" spans="5:13" ht="14.5" x14ac:dyDescent="0.3">
      <c r="E105" s="354"/>
      <c r="F105" s="355"/>
      <c r="G105" s="355"/>
      <c r="H105" s="355"/>
      <c r="I105" s="356"/>
      <c r="J105" s="339"/>
      <c r="K105" s="339"/>
      <c r="L105" s="337"/>
      <c r="M105" s="195">
        <f t="shared" si="1"/>
        <v>5</v>
      </c>
    </row>
    <row r="106" spans="5:13" ht="14.5" x14ac:dyDescent="0.3">
      <c r="E106" s="354"/>
      <c r="F106" s="355"/>
      <c r="G106" s="355"/>
      <c r="H106" s="355"/>
      <c r="I106" s="356"/>
      <c r="J106" s="339"/>
      <c r="K106" s="339"/>
      <c r="L106" s="337"/>
      <c r="M106" s="195">
        <f t="shared" si="1"/>
        <v>5</v>
      </c>
    </row>
    <row r="107" spans="5:13" ht="14.5" x14ac:dyDescent="0.3">
      <c r="E107" s="354"/>
      <c r="F107" s="355"/>
      <c r="G107" s="355"/>
      <c r="H107" s="355"/>
      <c r="I107" s="356"/>
      <c r="J107" s="339"/>
      <c r="K107" s="339"/>
      <c r="L107" s="337"/>
      <c r="M107" s="195">
        <f t="shared" si="1"/>
        <v>5</v>
      </c>
    </row>
    <row r="108" spans="5:13" ht="14.5" x14ac:dyDescent="0.3">
      <c r="E108" s="354"/>
      <c r="F108" s="355"/>
      <c r="G108" s="355"/>
      <c r="H108" s="355"/>
      <c r="I108" s="356"/>
      <c r="J108" s="339"/>
      <c r="K108" s="339"/>
      <c r="L108" s="337"/>
      <c r="M108" s="195">
        <f t="shared" si="1"/>
        <v>5</v>
      </c>
    </row>
    <row r="109" spans="5:13" ht="14.5" x14ac:dyDescent="0.3">
      <c r="E109" s="354"/>
      <c r="F109" s="355"/>
      <c r="G109" s="355"/>
      <c r="H109" s="355"/>
      <c r="I109" s="356"/>
      <c r="J109" s="339"/>
      <c r="K109" s="339"/>
      <c r="L109" s="337"/>
      <c r="M109" s="195">
        <f t="shared" si="1"/>
        <v>5</v>
      </c>
    </row>
    <row r="110" spans="5:13" ht="14.5" x14ac:dyDescent="0.3">
      <c r="E110" s="354"/>
      <c r="F110" s="355"/>
      <c r="G110" s="355"/>
      <c r="H110" s="355"/>
      <c r="I110" s="356"/>
      <c r="J110" s="339"/>
      <c r="K110" s="339"/>
      <c r="L110" s="337"/>
      <c r="M110" s="195">
        <f t="shared" si="1"/>
        <v>5</v>
      </c>
    </row>
    <row r="111" spans="5:13" ht="14.5" x14ac:dyDescent="0.3">
      <c r="E111" s="354"/>
      <c r="F111" s="355"/>
      <c r="G111" s="355"/>
      <c r="H111" s="355"/>
      <c r="I111" s="356"/>
      <c r="J111" s="339"/>
      <c r="K111" s="339"/>
      <c r="L111" s="337"/>
      <c r="M111" s="195">
        <f t="shared" si="1"/>
        <v>5</v>
      </c>
    </row>
    <row r="112" spans="5:13" ht="14.5" x14ac:dyDescent="0.3">
      <c r="E112" s="354"/>
      <c r="F112" s="355"/>
      <c r="G112" s="355"/>
      <c r="H112" s="355"/>
      <c r="I112" s="356"/>
      <c r="J112" s="339"/>
      <c r="K112" s="339"/>
      <c r="L112" s="337"/>
      <c r="M112" s="195">
        <f t="shared" si="1"/>
        <v>5</v>
      </c>
    </row>
    <row r="113" spans="5:13" ht="14.5" x14ac:dyDescent="0.3">
      <c r="E113" s="354"/>
      <c r="F113" s="355"/>
      <c r="G113" s="355"/>
      <c r="H113" s="355"/>
      <c r="I113" s="356"/>
      <c r="J113" s="339"/>
      <c r="K113" s="339"/>
      <c r="L113" s="337"/>
      <c r="M113" s="195">
        <f t="shared" si="1"/>
        <v>5</v>
      </c>
    </row>
    <row r="114" spans="5:13" ht="14.5" x14ac:dyDescent="0.3">
      <c r="E114" s="354"/>
      <c r="F114" s="355"/>
      <c r="G114" s="355"/>
      <c r="H114" s="355"/>
      <c r="I114" s="356"/>
      <c r="J114" s="339"/>
      <c r="K114" s="339"/>
      <c r="L114" s="337"/>
      <c r="M114" s="195">
        <f t="shared" si="1"/>
        <v>5</v>
      </c>
    </row>
    <row r="115" spans="5:13" ht="14.5" x14ac:dyDescent="0.3">
      <c r="E115" s="354"/>
      <c r="F115" s="355"/>
      <c r="G115" s="355"/>
      <c r="H115" s="355"/>
      <c r="I115" s="356"/>
      <c r="J115" s="339"/>
      <c r="K115" s="339"/>
      <c r="L115" s="337"/>
      <c r="M115" s="195">
        <f t="shared" si="1"/>
        <v>5</v>
      </c>
    </row>
    <row r="116" spans="5:13" ht="14.5" x14ac:dyDescent="0.3">
      <c r="E116" s="354"/>
      <c r="F116" s="355"/>
      <c r="G116" s="355"/>
      <c r="H116" s="355"/>
      <c r="I116" s="356"/>
      <c r="J116" s="339"/>
      <c r="K116" s="339"/>
      <c r="L116" s="337"/>
      <c r="M116" s="195">
        <f t="shared" si="1"/>
        <v>5</v>
      </c>
    </row>
    <row r="117" spans="5:13" ht="14.5" x14ac:dyDescent="0.3">
      <c r="E117" s="354"/>
      <c r="F117" s="355"/>
      <c r="G117" s="355"/>
      <c r="H117" s="355"/>
      <c r="I117" s="356"/>
      <c r="J117" s="339"/>
      <c r="K117" s="339"/>
      <c r="L117" s="337"/>
      <c r="M117" s="195">
        <f t="shared" si="1"/>
        <v>5</v>
      </c>
    </row>
    <row r="118" spans="5:13" ht="14.5" x14ac:dyDescent="0.3">
      <c r="E118" s="354"/>
      <c r="F118" s="355"/>
      <c r="G118" s="355"/>
      <c r="H118" s="355"/>
      <c r="I118" s="356"/>
      <c r="J118" s="339"/>
      <c r="K118" s="339"/>
      <c r="L118" s="337"/>
      <c r="M118" s="195">
        <f t="shared" si="1"/>
        <v>5</v>
      </c>
    </row>
    <row r="119" spans="5:13" ht="14.5" x14ac:dyDescent="0.3">
      <c r="E119" s="354"/>
      <c r="F119" s="355"/>
      <c r="G119" s="355"/>
      <c r="H119" s="355"/>
      <c r="I119" s="356"/>
      <c r="J119" s="339"/>
      <c r="K119" s="339"/>
      <c r="L119" s="337"/>
      <c r="M119" s="195">
        <f t="shared" si="1"/>
        <v>5</v>
      </c>
    </row>
    <row r="120" spans="5:13" ht="14.5" x14ac:dyDescent="0.3">
      <c r="E120" s="354"/>
      <c r="F120" s="355"/>
      <c r="G120" s="355"/>
      <c r="H120" s="355"/>
      <c r="I120" s="356"/>
      <c r="J120" s="339"/>
      <c r="K120" s="339"/>
      <c r="L120" s="337"/>
      <c r="M120" s="195">
        <f t="shared" si="1"/>
        <v>5</v>
      </c>
    </row>
    <row r="121" spans="5:13" ht="14.5" x14ac:dyDescent="0.3">
      <c r="E121" s="354"/>
      <c r="F121" s="355"/>
      <c r="G121" s="355"/>
      <c r="H121" s="355"/>
      <c r="I121" s="356"/>
      <c r="J121" s="339"/>
      <c r="K121" s="339"/>
      <c r="L121" s="337"/>
      <c r="M121" s="195">
        <f t="shared" si="1"/>
        <v>5</v>
      </c>
    </row>
    <row r="122" spans="5:13" ht="14.5" x14ac:dyDescent="0.3">
      <c r="E122" s="354"/>
      <c r="F122" s="355"/>
      <c r="G122" s="355"/>
      <c r="H122" s="355"/>
      <c r="I122" s="356"/>
      <c r="J122" s="339"/>
      <c r="K122" s="339"/>
      <c r="L122" s="337"/>
      <c r="M122" s="195">
        <f t="shared" si="1"/>
        <v>5</v>
      </c>
    </row>
    <row r="123" spans="5:13" ht="14.5" x14ac:dyDescent="0.3">
      <c r="E123" s="354"/>
      <c r="F123" s="355"/>
      <c r="G123" s="355"/>
      <c r="H123" s="355"/>
      <c r="I123" s="356"/>
      <c r="J123" s="339"/>
      <c r="K123" s="339"/>
      <c r="L123" s="337"/>
      <c r="M123" s="195">
        <f t="shared" si="1"/>
        <v>5</v>
      </c>
    </row>
    <row r="124" spans="5:13" ht="14.5" x14ac:dyDescent="0.3">
      <c r="E124" s="354"/>
      <c r="F124" s="355"/>
      <c r="G124" s="355"/>
      <c r="H124" s="355"/>
      <c r="I124" s="356"/>
      <c r="J124" s="339"/>
      <c r="K124" s="339"/>
      <c r="L124" s="337"/>
      <c r="M124" s="195">
        <f t="shared" si="1"/>
        <v>5</v>
      </c>
    </row>
    <row r="125" spans="5:13" ht="14.5" x14ac:dyDescent="0.3">
      <c r="E125" s="354"/>
      <c r="F125" s="355"/>
      <c r="G125" s="355"/>
      <c r="H125" s="355"/>
      <c r="I125" s="356"/>
      <c r="J125" s="339"/>
      <c r="K125" s="339"/>
      <c r="L125" s="337"/>
      <c r="M125" s="195">
        <f t="shared" si="1"/>
        <v>5</v>
      </c>
    </row>
    <row r="126" spans="5:13" ht="14.5" x14ac:dyDescent="0.3">
      <c r="E126" s="354"/>
      <c r="F126" s="355"/>
      <c r="G126" s="355"/>
      <c r="H126" s="355"/>
      <c r="I126" s="356"/>
      <c r="J126" s="339"/>
      <c r="K126" s="339"/>
      <c r="L126" s="337"/>
      <c r="M126" s="195">
        <f t="shared" si="1"/>
        <v>5</v>
      </c>
    </row>
    <row r="127" spans="5:13" ht="14.5" x14ac:dyDescent="0.3">
      <c r="E127" s="354"/>
      <c r="F127" s="355"/>
      <c r="G127" s="355"/>
      <c r="H127" s="355"/>
      <c r="I127" s="356"/>
      <c r="J127" s="339"/>
      <c r="K127" s="339"/>
      <c r="L127" s="337"/>
      <c r="M127" s="195">
        <f t="shared" si="1"/>
        <v>5</v>
      </c>
    </row>
    <row r="128" spans="5:13" ht="14.5" x14ac:dyDescent="0.3">
      <c r="E128" s="354"/>
      <c r="F128" s="355"/>
      <c r="G128" s="355"/>
      <c r="H128" s="355"/>
      <c r="I128" s="356"/>
      <c r="J128" s="339"/>
      <c r="K128" s="339"/>
      <c r="L128" s="337"/>
      <c r="M128" s="195">
        <f t="shared" si="1"/>
        <v>5</v>
      </c>
    </row>
    <row r="129" spans="5:13" ht="14.5" x14ac:dyDescent="0.3">
      <c r="E129" s="354"/>
      <c r="F129" s="355"/>
      <c r="G129" s="355"/>
      <c r="H129" s="355"/>
      <c r="I129" s="356"/>
      <c r="J129" s="339"/>
      <c r="K129" s="339"/>
      <c r="L129" s="337"/>
      <c r="M129" s="195">
        <f t="shared" si="1"/>
        <v>5</v>
      </c>
    </row>
    <row r="130" spans="5:13" ht="14.5" x14ac:dyDescent="0.3">
      <c r="E130" s="354"/>
      <c r="F130" s="355"/>
      <c r="G130" s="355"/>
      <c r="H130" s="355"/>
      <c r="I130" s="356"/>
      <c r="J130" s="339"/>
      <c r="K130" s="339"/>
      <c r="L130" s="337"/>
      <c r="M130" s="195">
        <f t="shared" si="1"/>
        <v>5</v>
      </c>
    </row>
    <row r="131" spans="5:13" ht="14.5" x14ac:dyDescent="0.3">
      <c r="E131" s="354"/>
      <c r="F131" s="355"/>
      <c r="G131" s="355"/>
      <c r="H131" s="355"/>
      <c r="I131" s="356"/>
      <c r="J131" s="339"/>
      <c r="K131" s="339"/>
      <c r="L131" s="337"/>
      <c r="M131" s="195">
        <f t="shared" si="1"/>
        <v>5</v>
      </c>
    </row>
    <row r="132" spans="5:13" ht="14.5" x14ac:dyDescent="0.3">
      <c r="E132" s="354"/>
      <c r="F132" s="355"/>
      <c r="G132" s="355"/>
      <c r="H132" s="355"/>
      <c r="I132" s="356"/>
      <c r="J132" s="339"/>
      <c r="K132" s="339"/>
      <c r="L132" s="337"/>
      <c r="M132" s="195">
        <f t="shared" si="1"/>
        <v>5</v>
      </c>
    </row>
    <row r="133" spans="5:13" ht="14.5" x14ac:dyDescent="0.3">
      <c r="E133" s="354"/>
      <c r="F133" s="355"/>
      <c r="G133" s="355"/>
      <c r="H133" s="355"/>
      <c r="I133" s="356"/>
      <c r="J133" s="339"/>
      <c r="K133" s="339"/>
      <c r="L133" s="337"/>
      <c r="M133" s="195">
        <f t="shared" si="1"/>
        <v>5</v>
      </c>
    </row>
    <row r="134" spans="5:13" ht="14.5" x14ac:dyDescent="0.3">
      <c r="E134" s="354"/>
      <c r="F134" s="355"/>
      <c r="G134" s="355"/>
      <c r="H134" s="355"/>
      <c r="I134" s="356"/>
      <c r="J134" s="339"/>
      <c r="K134" s="339"/>
      <c r="L134" s="337"/>
      <c r="M134" s="195">
        <f t="shared" si="1"/>
        <v>5</v>
      </c>
    </row>
    <row r="135" spans="5:13" ht="14.5" x14ac:dyDescent="0.3">
      <c r="E135" s="354"/>
      <c r="F135" s="355"/>
      <c r="G135" s="355"/>
      <c r="H135" s="355"/>
      <c r="I135" s="356"/>
      <c r="J135" s="339"/>
      <c r="K135" s="339"/>
      <c r="L135" s="337"/>
      <c r="M135" s="195">
        <f t="shared" si="1"/>
        <v>5</v>
      </c>
    </row>
    <row r="136" spans="5:13" ht="14.5" x14ac:dyDescent="0.3">
      <c r="E136" s="354"/>
      <c r="F136" s="355"/>
      <c r="G136" s="355"/>
      <c r="H136" s="355"/>
      <c r="I136" s="356"/>
      <c r="J136" s="339"/>
      <c r="K136" s="339"/>
      <c r="L136" s="337"/>
      <c r="M136" s="195">
        <f t="shared" si="1"/>
        <v>5</v>
      </c>
    </row>
    <row r="137" spans="5:13" ht="14.5" x14ac:dyDescent="0.3">
      <c r="E137" s="354"/>
      <c r="F137" s="355"/>
      <c r="G137" s="355"/>
      <c r="H137" s="355"/>
      <c r="I137" s="356"/>
      <c r="J137" s="339"/>
      <c r="K137" s="339"/>
      <c r="L137" s="337"/>
      <c r="M137" s="195">
        <f t="shared" si="1"/>
        <v>5</v>
      </c>
    </row>
    <row r="138" spans="5:13" ht="14.5" x14ac:dyDescent="0.3">
      <c r="E138" s="354"/>
      <c r="F138" s="355"/>
      <c r="G138" s="355"/>
      <c r="H138" s="355"/>
      <c r="I138" s="356"/>
      <c r="J138" s="339"/>
      <c r="K138" s="339"/>
      <c r="L138" s="337"/>
      <c r="M138" s="195">
        <f t="shared" si="1"/>
        <v>5</v>
      </c>
    </row>
    <row r="139" spans="5:13" ht="14.5" x14ac:dyDescent="0.3">
      <c r="E139" s="354"/>
      <c r="F139" s="355"/>
      <c r="G139" s="355"/>
      <c r="H139" s="355"/>
      <c r="I139" s="356"/>
      <c r="J139" s="339"/>
      <c r="K139" s="339"/>
      <c r="L139" s="337"/>
      <c r="M139" s="195">
        <f t="shared" si="1"/>
        <v>5</v>
      </c>
    </row>
    <row r="140" spans="5:13" ht="14.5" x14ac:dyDescent="0.3">
      <c r="E140" s="354"/>
      <c r="F140" s="355"/>
      <c r="G140" s="355"/>
      <c r="H140" s="355"/>
      <c r="I140" s="356"/>
      <c r="J140" s="339"/>
      <c r="K140" s="339"/>
      <c r="L140" s="337"/>
      <c r="M140" s="195">
        <f t="shared" si="1"/>
        <v>5</v>
      </c>
    </row>
    <row r="141" spans="5:13" ht="14.5" x14ac:dyDescent="0.3">
      <c r="E141" s="354"/>
      <c r="F141" s="355"/>
      <c r="G141" s="355"/>
      <c r="H141" s="355"/>
      <c r="I141" s="356"/>
      <c r="J141" s="339"/>
      <c r="K141" s="339"/>
      <c r="L141" s="337"/>
      <c r="M141" s="195">
        <f t="shared" si="1"/>
        <v>5</v>
      </c>
    </row>
    <row r="142" spans="5:13" ht="14.5" x14ac:dyDescent="0.3">
      <c r="E142" s="354"/>
      <c r="F142" s="355"/>
      <c r="G142" s="355"/>
      <c r="H142" s="355"/>
      <c r="I142" s="356"/>
      <c r="J142" s="339"/>
      <c r="K142" s="339"/>
      <c r="L142" s="337"/>
      <c r="M142" s="195">
        <f t="shared" ref="M142:M205" si="2">ISBLANK(E142)+ISBLANK(F142)+ISBLANK(G142)+ISBLANK(H142)+ISBLANK(I142)</f>
        <v>5</v>
      </c>
    </row>
    <row r="143" spans="5:13" ht="14.5" x14ac:dyDescent="0.3">
      <c r="E143" s="354"/>
      <c r="F143" s="355"/>
      <c r="G143" s="355"/>
      <c r="H143" s="355"/>
      <c r="I143" s="356"/>
      <c r="J143" s="339"/>
      <c r="K143" s="339"/>
      <c r="L143" s="337"/>
      <c r="M143" s="195">
        <f t="shared" si="2"/>
        <v>5</v>
      </c>
    </row>
    <row r="144" spans="5:13" ht="14.5" x14ac:dyDescent="0.3">
      <c r="E144" s="354"/>
      <c r="F144" s="355"/>
      <c r="G144" s="355"/>
      <c r="H144" s="355"/>
      <c r="I144" s="356"/>
      <c r="J144" s="339"/>
      <c r="K144" s="339"/>
      <c r="L144" s="337"/>
      <c r="M144" s="195">
        <f t="shared" si="2"/>
        <v>5</v>
      </c>
    </row>
    <row r="145" spans="5:13" ht="14.5" x14ac:dyDescent="0.3">
      <c r="E145" s="354"/>
      <c r="F145" s="355"/>
      <c r="G145" s="355"/>
      <c r="H145" s="355"/>
      <c r="I145" s="356"/>
      <c r="J145" s="339"/>
      <c r="K145" s="339"/>
      <c r="L145" s="337"/>
      <c r="M145" s="195">
        <f t="shared" si="2"/>
        <v>5</v>
      </c>
    </row>
    <row r="146" spans="5:13" ht="14.5" x14ac:dyDescent="0.3">
      <c r="E146" s="354"/>
      <c r="F146" s="355"/>
      <c r="G146" s="355"/>
      <c r="H146" s="355"/>
      <c r="I146" s="356"/>
      <c r="J146" s="339"/>
      <c r="K146" s="339"/>
      <c r="L146" s="337"/>
      <c r="M146" s="195">
        <f t="shared" si="2"/>
        <v>5</v>
      </c>
    </row>
    <row r="147" spans="5:13" ht="14.5" x14ac:dyDescent="0.3">
      <c r="E147" s="354"/>
      <c r="F147" s="355"/>
      <c r="G147" s="355"/>
      <c r="H147" s="355"/>
      <c r="I147" s="356"/>
      <c r="J147" s="339"/>
      <c r="K147" s="339"/>
      <c r="L147" s="337"/>
      <c r="M147" s="195">
        <f t="shared" si="2"/>
        <v>5</v>
      </c>
    </row>
    <row r="148" spans="5:13" ht="14.5" x14ac:dyDescent="0.3">
      <c r="E148" s="354"/>
      <c r="F148" s="355"/>
      <c r="G148" s="355"/>
      <c r="H148" s="355"/>
      <c r="I148" s="356"/>
      <c r="J148" s="339"/>
      <c r="K148" s="339"/>
      <c r="L148" s="337"/>
      <c r="M148" s="195">
        <f t="shared" si="2"/>
        <v>5</v>
      </c>
    </row>
    <row r="149" spans="5:13" ht="14.5" x14ac:dyDescent="0.3">
      <c r="E149" s="354"/>
      <c r="F149" s="355"/>
      <c r="G149" s="355"/>
      <c r="H149" s="355"/>
      <c r="I149" s="356"/>
      <c r="J149" s="339"/>
      <c r="K149" s="339"/>
      <c r="L149" s="337"/>
      <c r="M149" s="195">
        <f t="shared" si="2"/>
        <v>5</v>
      </c>
    </row>
    <row r="150" spans="5:13" ht="14.5" x14ac:dyDescent="0.3">
      <c r="E150" s="354"/>
      <c r="F150" s="355"/>
      <c r="G150" s="355"/>
      <c r="H150" s="355"/>
      <c r="I150" s="356"/>
      <c r="J150" s="339"/>
      <c r="K150" s="339"/>
      <c r="L150" s="337"/>
      <c r="M150" s="195">
        <f t="shared" si="2"/>
        <v>5</v>
      </c>
    </row>
    <row r="151" spans="5:13" ht="14.5" x14ac:dyDescent="0.3">
      <c r="E151" s="354"/>
      <c r="F151" s="355"/>
      <c r="G151" s="355"/>
      <c r="H151" s="355"/>
      <c r="I151" s="356"/>
      <c r="J151" s="339"/>
      <c r="K151" s="339"/>
      <c r="L151" s="337"/>
      <c r="M151" s="195">
        <f t="shared" si="2"/>
        <v>5</v>
      </c>
    </row>
    <row r="152" spans="5:13" ht="14.5" x14ac:dyDescent="0.3">
      <c r="E152" s="354"/>
      <c r="F152" s="355"/>
      <c r="G152" s="355"/>
      <c r="H152" s="355"/>
      <c r="I152" s="356"/>
      <c r="J152" s="339"/>
      <c r="K152" s="339"/>
      <c r="L152" s="337"/>
      <c r="M152" s="195">
        <f t="shared" si="2"/>
        <v>5</v>
      </c>
    </row>
    <row r="153" spans="5:13" ht="14.5" x14ac:dyDescent="0.3">
      <c r="E153" s="354"/>
      <c r="F153" s="355"/>
      <c r="G153" s="355"/>
      <c r="H153" s="355"/>
      <c r="I153" s="356"/>
      <c r="J153" s="339"/>
      <c r="K153" s="339"/>
      <c r="L153" s="337"/>
      <c r="M153" s="195">
        <f t="shared" si="2"/>
        <v>5</v>
      </c>
    </row>
    <row r="154" spans="5:13" ht="14.5" x14ac:dyDescent="0.3">
      <c r="E154" s="354"/>
      <c r="F154" s="355"/>
      <c r="G154" s="355"/>
      <c r="H154" s="355"/>
      <c r="I154" s="356"/>
      <c r="J154" s="339"/>
      <c r="K154" s="339"/>
      <c r="L154" s="337"/>
      <c r="M154" s="195">
        <f t="shared" si="2"/>
        <v>5</v>
      </c>
    </row>
    <row r="155" spans="5:13" ht="14.5" x14ac:dyDescent="0.3">
      <c r="E155" s="354"/>
      <c r="F155" s="355"/>
      <c r="G155" s="355"/>
      <c r="H155" s="355"/>
      <c r="I155" s="356"/>
      <c r="J155" s="339"/>
      <c r="K155" s="339"/>
      <c r="L155" s="337"/>
      <c r="M155" s="195">
        <f t="shared" si="2"/>
        <v>5</v>
      </c>
    </row>
    <row r="156" spans="5:13" ht="14.5" x14ac:dyDescent="0.3">
      <c r="E156" s="354"/>
      <c r="F156" s="355"/>
      <c r="G156" s="355"/>
      <c r="H156" s="355"/>
      <c r="I156" s="356"/>
      <c r="J156" s="339"/>
      <c r="K156" s="339"/>
      <c r="L156" s="337"/>
      <c r="M156" s="195">
        <f t="shared" si="2"/>
        <v>5</v>
      </c>
    </row>
    <row r="157" spans="5:13" ht="14.5" x14ac:dyDescent="0.3">
      <c r="E157" s="354"/>
      <c r="F157" s="355"/>
      <c r="G157" s="355"/>
      <c r="H157" s="355"/>
      <c r="I157" s="356"/>
      <c r="J157" s="339"/>
      <c r="K157" s="339"/>
      <c r="L157" s="337"/>
      <c r="M157" s="195">
        <f t="shared" si="2"/>
        <v>5</v>
      </c>
    </row>
    <row r="158" spans="5:13" ht="14.5" x14ac:dyDescent="0.3">
      <c r="E158" s="354"/>
      <c r="F158" s="355"/>
      <c r="G158" s="355"/>
      <c r="H158" s="355"/>
      <c r="I158" s="356"/>
      <c r="J158" s="339"/>
      <c r="K158" s="339"/>
      <c r="L158" s="337"/>
      <c r="M158" s="195">
        <f t="shared" si="2"/>
        <v>5</v>
      </c>
    </row>
    <row r="159" spans="5:13" ht="14.5" x14ac:dyDescent="0.3">
      <c r="E159" s="354"/>
      <c r="F159" s="355"/>
      <c r="G159" s="355"/>
      <c r="H159" s="355"/>
      <c r="I159" s="356"/>
      <c r="J159" s="339"/>
      <c r="K159" s="339"/>
      <c r="L159" s="337"/>
      <c r="M159" s="195">
        <f t="shared" si="2"/>
        <v>5</v>
      </c>
    </row>
    <row r="160" spans="5:13" ht="14.5" x14ac:dyDescent="0.3">
      <c r="E160" s="354"/>
      <c r="F160" s="355"/>
      <c r="G160" s="355"/>
      <c r="H160" s="355"/>
      <c r="I160" s="356"/>
      <c r="J160" s="339"/>
      <c r="K160" s="339"/>
      <c r="L160" s="337"/>
      <c r="M160" s="195">
        <f t="shared" si="2"/>
        <v>5</v>
      </c>
    </row>
    <row r="161" spans="5:13" ht="14.5" x14ac:dyDescent="0.3">
      <c r="E161" s="354"/>
      <c r="F161" s="355"/>
      <c r="G161" s="355"/>
      <c r="H161" s="355"/>
      <c r="I161" s="356"/>
      <c r="J161" s="339"/>
      <c r="K161" s="339"/>
      <c r="L161" s="337"/>
      <c r="M161" s="195">
        <f t="shared" si="2"/>
        <v>5</v>
      </c>
    </row>
    <row r="162" spans="5:13" ht="14.5" x14ac:dyDescent="0.3">
      <c r="E162" s="354"/>
      <c r="F162" s="355"/>
      <c r="G162" s="355"/>
      <c r="H162" s="355"/>
      <c r="I162" s="356"/>
      <c r="J162" s="339"/>
      <c r="K162" s="339"/>
      <c r="L162" s="337"/>
      <c r="M162" s="195">
        <f t="shared" si="2"/>
        <v>5</v>
      </c>
    </row>
    <row r="163" spans="5:13" ht="14.5" x14ac:dyDescent="0.3">
      <c r="E163" s="354"/>
      <c r="F163" s="355"/>
      <c r="G163" s="355"/>
      <c r="H163" s="355"/>
      <c r="I163" s="356"/>
      <c r="J163" s="339"/>
      <c r="K163" s="339"/>
      <c r="L163" s="337"/>
      <c r="M163" s="195">
        <f t="shared" si="2"/>
        <v>5</v>
      </c>
    </row>
    <row r="164" spans="5:13" ht="14.5" x14ac:dyDescent="0.3">
      <c r="E164" s="354"/>
      <c r="F164" s="355"/>
      <c r="G164" s="355"/>
      <c r="H164" s="355"/>
      <c r="I164" s="356"/>
      <c r="J164" s="339"/>
      <c r="K164" s="339"/>
      <c r="L164" s="337"/>
      <c r="M164" s="195">
        <f t="shared" si="2"/>
        <v>5</v>
      </c>
    </row>
    <row r="165" spans="5:13" ht="14.5" x14ac:dyDescent="0.3">
      <c r="E165" s="354"/>
      <c r="F165" s="355"/>
      <c r="G165" s="355"/>
      <c r="H165" s="355"/>
      <c r="I165" s="356"/>
      <c r="J165" s="339"/>
      <c r="K165" s="339"/>
      <c r="L165" s="337"/>
      <c r="M165" s="195">
        <f t="shared" si="2"/>
        <v>5</v>
      </c>
    </row>
    <row r="166" spans="5:13" ht="14.5" x14ac:dyDescent="0.3">
      <c r="E166" s="354"/>
      <c r="F166" s="355"/>
      <c r="G166" s="355"/>
      <c r="H166" s="355"/>
      <c r="I166" s="356"/>
      <c r="J166" s="339"/>
      <c r="K166" s="339"/>
      <c r="L166" s="337"/>
      <c r="M166" s="195">
        <f t="shared" si="2"/>
        <v>5</v>
      </c>
    </row>
    <row r="167" spans="5:13" ht="14.5" x14ac:dyDescent="0.3">
      <c r="E167" s="354"/>
      <c r="F167" s="355"/>
      <c r="G167" s="355"/>
      <c r="H167" s="355"/>
      <c r="I167" s="356"/>
      <c r="J167" s="339"/>
      <c r="K167" s="339"/>
      <c r="L167" s="337"/>
      <c r="M167" s="195">
        <f t="shared" si="2"/>
        <v>5</v>
      </c>
    </row>
    <row r="168" spans="5:13" ht="14.5" x14ac:dyDescent="0.3">
      <c r="E168" s="354"/>
      <c r="F168" s="355"/>
      <c r="G168" s="355"/>
      <c r="H168" s="355"/>
      <c r="I168" s="356"/>
      <c r="J168" s="339"/>
      <c r="K168" s="339"/>
      <c r="L168" s="337"/>
      <c r="M168" s="195">
        <f t="shared" si="2"/>
        <v>5</v>
      </c>
    </row>
    <row r="169" spans="5:13" ht="14.5" x14ac:dyDescent="0.3">
      <c r="E169" s="354"/>
      <c r="F169" s="355"/>
      <c r="G169" s="355"/>
      <c r="H169" s="355"/>
      <c r="I169" s="356"/>
      <c r="J169" s="339"/>
      <c r="K169" s="339"/>
      <c r="L169" s="337"/>
      <c r="M169" s="195">
        <f t="shared" si="2"/>
        <v>5</v>
      </c>
    </row>
    <row r="170" spans="5:13" ht="14.5" x14ac:dyDescent="0.3">
      <c r="E170" s="354"/>
      <c r="F170" s="355"/>
      <c r="G170" s="355"/>
      <c r="H170" s="355"/>
      <c r="I170" s="356"/>
      <c r="J170" s="339"/>
      <c r="K170" s="339"/>
      <c r="L170" s="337"/>
      <c r="M170" s="195">
        <f t="shared" si="2"/>
        <v>5</v>
      </c>
    </row>
    <row r="171" spans="5:13" ht="14.5" x14ac:dyDescent="0.3">
      <c r="E171" s="354"/>
      <c r="F171" s="355"/>
      <c r="G171" s="355"/>
      <c r="H171" s="355"/>
      <c r="I171" s="356"/>
      <c r="J171" s="339"/>
      <c r="K171" s="339"/>
      <c r="L171" s="337"/>
      <c r="M171" s="195">
        <f t="shared" si="2"/>
        <v>5</v>
      </c>
    </row>
    <row r="172" spans="5:13" ht="14.5" x14ac:dyDescent="0.3">
      <c r="E172" s="354"/>
      <c r="F172" s="355"/>
      <c r="G172" s="355"/>
      <c r="H172" s="355"/>
      <c r="I172" s="356"/>
      <c r="J172" s="339"/>
      <c r="K172" s="339"/>
      <c r="L172" s="337"/>
      <c r="M172" s="195">
        <f t="shared" si="2"/>
        <v>5</v>
      </c>
    </row>
    <row r="173" spans="5:13" ht="14.5" x14ac:dyDescent="0.3">
      <c r="E173" s="354"/>
      <c r="F173" s="355"/>
      <c r="G173" s="355"/>
      <c r="H173" s="355"/>
      <c r="I173" s="356"/>
      <c r="J173" s="339"/>
      <c r="K173" s="339"/>
      <c r="L173" s="337"/>
      <c r="M173" s="195">
        <f t="shared" si="2"/>
        <v>5</v>
      </c>
    </row>
    <row r="174" spans="5:13" ht="14.5" x14ac:dyDescent="0.3">
      <c r="E174" s="354"/>
      <c r="F174" s="355"/>
      <c r="G174" s="355"/>
      <c r="H174" s="355"/>
      <c r="I174" s="356"/>
      <c r="J174" s="339"/>
      <c r="K174" s="339"/>
      <c r="L174" s="337"/>
      <c r="M174" s="195">
        <f t="shared" si="2"/>
        <v>5</v>
      </c>
    </row>
    <row r="175" spans="5:13" ht="14.5" x14ac:dyDescent="0.3">
      <c r="E175" s="354"/>
      <c r="F175" s="355"/>
      <c r="G175" s="355"/>
      <c r="H175" s="355"/>
      <c r="I175" s="356"/>
      <c r="J175" s="339"/>
      <c r="K175" s="339"/>
      <c r="L175" s="337"/>
      <c r="M175" s="195">
        <f t="shared" si="2"/>
        <v>5</v>
      </c>
    </row>
    <row r="176" spans="5:13" ht="14.5" x14ac:dyDescent="0.3">
      <c r="E176" s="354"/>
      <c r="F176" s="355"/>
      <c r="G176" s="355"/>
      <c r="H176" s="355"/>
      <c r="I176" s="356"/>
      <c r="J176" s="339"/>
      <c r="K176" s="339"/>
      <c r="L176" s="337"/>
      <c r="M176" s="195">
        <f t="shared" si="2"/>
        <v>5</v>
      </c>
    </row>
    <row r="177" spans="5:13" ht="14.5" x14ac:dyDescent="0.3">
      <c r="E177" s="354"/>
      <c r="F177" s="355"/>
      <c r="G177" s="355"/>
      <c r="H177" s="355"/>
      <c r="I177" s="356"/>
      <c r="J177" s="339"/>
      <c r="K177" s="339"/>
      <c r="L177" s="337"/>
      <c r="M177" s="195">
        <f t="shared" si="2"/>
        <v>5</v>
      </c>
    </row>
    <row r="178" spans="5:13" ht="14.5" x14ac:dyDescent="0.3">
      <c r="E178" s="354"/>
      <c r="F178" s="355"/>
      <c r="G178" s="355"/>
      <c r="H178" s="355"/>
      <c r="I178" s="356"/>
      <c r="J178" s="339"/>
      <c r="K178" s="339"/>
      <c r="L178" s="337"/>
      <c r="M178" s="195">
        <f t="shared" si="2"/>
        <v>5</v>
      </c>
    </row>
    <row r="179" spans="5:13" ht="14.5" x14ac:dyDescent="0.3">
      <c r="E179" s="354"/>
      <c r="F179" s="355"/>
      <c r="G179" s="355"/>
      <c r="H179" s="355"/>
      <c r="I179" s="356"/>
      <c r="J179" s="339"/>
      <c r="K179" s="339"/>
      <c r="L179" s="337"/>
      <c r="M179" s="195">
        <f t="shared" si="2"/>
        <v>5</v>
      </c>
    </row>
    <row r="180" spans="5:13" ht="14.5" x14ac:dyDescent="0.3">
      <c r="E180" s="354"/>
      <c r="F180" s="355"/>
      <c r="G180" s="355"/>
      <c r="H180" s="355"/>
      <c r="I180" s="356"/>
      <c r="J180" s="339"/>
      <c r="K180" s="339"/>
      <c r="L180" s="337"/>
      <c r="M180" s="195">
        <f t="shared" si="2"/>
        <v>5</v>
      </c>
    </row>
    <row r="181" spans="5:13" ht="14.5" x14ac:dyDescent="0.3">
      <c r="E181" s="354"/>
      <c r="F181" s="355"/>
      <c r="G181" s="355"/>
      <c r="H181" s="355"/>
      <c r="I181" s="356"/>
      <c r="J181" s="339"/>
      <c r="K181" s="339"/>
      <c r="L181" s="337"/>
      <c r="M181" s="195">
        <f t="shared" si="2"/>
        <v>5</v>
      </c>
    </row>
    <row r="182" spans="5:13" ht="14.5" x14ac:dyDescent="0.3">
      <c r="E182" s="354"/>
      <c r="F182" s="355"/>
      <c r="G182" s="355"/>
      <c r="H182" s="355"/>
      <c r="I182" s="356"/>
      <c r="J182" s="339"/>
      <c r="K182" s="339"/>
      <c r="L182" s="337"/>
      <c r="M182" s="195">
        <f t="shared" si="2"/>
        <v>5</v>
      </c>
    </row>
    <row r="183" spans="5:13" ht="14.5" x14ac:dyDescent="0.3">
      <c r="E183" s="354"/>
      <c r="F183" s="355"/>
      <c r="G183" s="355"/>
      <c r="H183" s="355"/>
      <c r="I183" s="356"/>
      <c r="J183" s="339"/>
      <c r="K183" s="339"/>
      <c r="L183" s="337"/>
      <c r="M183" s="195">
        <f t="shared" si="2"/>
        <v>5</v>
      </c>
    </row>
    <row r="184" spans="5:13" ht="14.5" x14ac:dyDescent="0.3">
      <c r="E184" s="354"/>
      <c r="F184" s="355"/>
      <c r="G184" s="355"/>
      <c r="H184" s="355"/>
      <c r="I184" s="356"/>
      <c r="J184" s="339"/>
      <c r="K184" s="339"/>
      <c r="L184" s="337"/>
      <c r="M184" s="195">
        <f t="shared" si="2"/>
        <v>5</v>
      </c>
    </row>
    <row r="185" spans="5:13" ht="14.5" x14ac:dyDescent="0.3">
      <c r="E185" s="354"/>
      <c r="F185" s="355"/>
      <c r="G185" s="355"/>
      <c r="H185" s="355"/>
      <c r="I185" s="356"/>
      <c r="J185" s="339"/>
      <c r="K185" s="339"/>
      <c r="L185" s="337"/>
      <c r="M185" s="195">
        <f t="shared" si="2"/>
        <v>5</v>
      </c>
    </row>
    <row r="186" spans="5:13" ht="14.5" x14ac:dyDescent="0.3">
      <c r="E186" s="354"/>
      <c r="F186" s="355"/>
      <c r="G186" s="355"/>
      <c r="H186" s="355"/>
      <c r="I186" s="356"/>
      <c r="J186" s="339"/>
      <c r="K186" s="339"/>
      <c r="L186" s="337"/>
      <c r="M186" s="195">
        <f t="shared" si="2"/>
        <v>5</v>
      </c>
    </row>
    <row r="187" spans="5:13" ht="14.5" x14ac:dyDescent="0.3">
      <c r="E187" s="354"/>
      <c r="F187" s="355"/>
      <c r="G187" s="355"/>
      <c r="H187" s="355"/>
      <c r="I187" s="356"/>
      <c r="J187" s="339"/>
      <c r="K187" s="339"/>
      <c r="L187" s="337"/>
      <c r="M187" s="195">
        <f t="shared" si="2"/>
        <v>5</v>
      </c>
    </row>
    <row r="188" spans="5:13" ht="14.5" x14ac:dyDescent="0.3">
      <c r="E188" s="354"/>
      <c r="F188" s="355"/>
      <c r="G188" s="355"/>
      <c r="H188" s="355"/>
      <c r="I188" s="356"/>
      <c r="J188" s="339"/>
      <c r="K188" s="339"/>
      <c r="L188" s="337"/>
      <c r="M188" s="195">
        <f t="shared" si="2"/>
        <v>5</v>
      </c>
    </row>
    <row r="189" spans="5:13" ht="14.5" x14ac:dyDescent="0.3">
      <c r="E189" s="354"/>
      <c r="F189" s="355"/>
      <c r="G189" s="355"/>
      <c r="H189" s="355"/>
      <c r="I189" s="356"/>
      <c r="J189" s="339"/>
      <c r="K189" s="339"/>
      <c r="L189" s="337"/>
      <c r="M189" s="195">
        <f t="shared" si="2"/>
        <v>5</v>
      </c>
    </row>
    <row r="190" spans="5:13" ht="14.5" x14ac:dyDescent="0.3">
      <c r="E190" s="354"/>
      <c r="F190" s="355"/>
      <c r="G190" s="355"/>
      <c r="H190" s="355"/>
      <c r="I190" s="356"/>
      <c r="J190" s="339"/>
      <c r="K190" s="339"/>
      <c r="L190" s="337"/>
      <c r="M190" s="195">
        <f t="shared" si="2"/>
        <v>5</v>
      </c>
    </row>
    <row r="191" spans="5:13" ht="14.5" x14ac:dyDescent="0.3">
      <c r="E191" s="354"/>
      <c r="F191" s="355"/>
      <c r="G191" s="355"/>
      <c r="H191" s="355"/>
      <c r="I191" s="356"/>
      <c r="J191" s="339"/>
      <c r="K191" s="339"/>
      <c r="L191" s="337"/>
      <c r="M191" s="195">
        <f t="shared" si="2"/>
        <v>5</v>
      </c>
    </row>
    <row r="192" spans="5:13" ht="14.5" x14ac:dyDescent="0.3">
      <c r="E192" s="354"/>
      <c r="F192" s="355"/>
      <c r="G192" s="355"/>
      <c r="H192" s="355"/>
      <c r="I192" s="356"/>
      <c r="J192" s="339"/>
      <c r="K192" s="339"/>
      <c r="L192" s="337"/>
      <c r="M192" s="195">
        <f t="shared" si="2"/>
        <v>5</v>
      </c>
    </row>
    <row r="193" spans="5:13" ht="14.5" x14ac:dyDescent="0.3">
      <c r="E193" s="354"/>
      <c r="F193" s="355"/>
      <c r="G193" s="355"/>
      <c r="H193" s="355"/>
      <c r="I193" s="356"/>
      <c r="J193" s="339"/>
      <c r="K193" s="339"/>
      <c r="L193" s="337"/>
      <c r="M193" s="195">
        <f t="shared" si="2"/>
        <v>5</v>
      </c>
    </row>
    <row r="194" spans="5:13" ht="14.5" x14ac:dyDescent="0.3">
      <c r="E194" s="354"/>
      <c r="F194" s="355"/>
      <c r="G194" s="355"/>
      <c r="H194" s="355"/>
      <c r="I194" s="356"/>
      <c r="J194" s="339"/>
      <c r="K194" s="339"/>
      <c r="L194" s="337"/>
      <c r="M194" s="195">
        <f t="shared" si="2"/>
        <v>5</v>
      </c>
    </row>
    <row r="195" spans="5:13" ht="14.5" x14ac:dyDescent="0.3">
      <c r="E195" s="354"/>
      <c r="F195" s="355"/>
      <c r="G195" s="355"/>
      <c r="H195" s="355"/>
      <c r="I195" s="356"/>
      <c r="J195" s="339"/>
      <c r="K195" s="339"/>
      <c r="L195" s="337"/>
      <c r="M195" s="195">
        <f t="shared" si="2"/>
        <v>5</v>
      </c>
    </row>
    <row r="196" spans="5:13" ht="14.5" x14ac:dyDescent="0.3">
      <c r="E196" s="354"/>
      <c r="F196" s="355"/>
      <c r="G196" s="355"/>
      <c r="H196" s="355"/>
      <c r="I196" s="356"/>
      <c r="J196" s="339"/>
      <c r="K196" s="339"/>
      <c r="L196" s="337"/>
      <c r="M196" s="195">
        <f t="shared" si="2"/>
        <v>5</v>
      </c>
    </row>
    <row r="197" spans="5:13" ht="14.5" x14ac:dyDescent="0.3">
      <c r="E197" s="354"/>
      <c r="F197" s="355"/>
      <c r="G197" s="355"/>
      <c r="H197" s="355"/>
      <c r="I197" s="356"/>
      <c r="J197" s="339"/>
      <c r="K197" s="339"/>
      <c r="L197" s="337"/>
      <c r="M197" s="195">
        <f t="shared" si="2"/>
        <v>5</v>
      </c>
    </row>
    <row r="198" spans="5:13" ht="14.5" x14ac:dyDescent="0.3">
      <c r="E198" s="354"/>
      <c r="F198" s="355"/>
      <c r="G198" s="355"/>
      <c r="H198" s="355"/>
      <c r="I198" s="356"/>
      <c r="J198" s="339"/>
      <c r="K198" s="339"/>
      <c r="L198" s="337"/>
      <c r="M198" s="195">
        <f t="shared" si="2"/>
        <v>5</v>
      </c>
    </row>
    <row r="199" spans="5:13" ht="14.5" x14ac:dyDescent="0.3">
      <c r="E199" s="354"/>
      <c r="F199" s="355"/>
      <c r="G199" s="355"/>
      <c r="H199" s="355"/>
      <c r="I199" s="356"/>
      <c r="J199" s="339"/>
      <c r="K199" s="339"/>
      <c r="L199" s="337"/>
      <c r="M199" s="195">
        <f t="shared" si="2"/>
        <v>5</v>
      </c>
    </row>
    <row r="200" spans="5:13" ht="14.5" x14ac:dyDescent="0.3">
      <c r="E200" s="354"/>
      <c r="F200" s="355"/>
      <c r="G200" s="355"/>
      <c r="H200" s="355"/>
      <c r="I200" s="356"/>
      <c r="J200" s="339"/>
      <c r="K200" s="339"/>
      <c r="L200" s="337"/>
      <c r="M200" s="195">
        <f t="shared" si="2"/>
        <v>5</v>
      </c>
    </row>
    <row r="201" spans="5:13" ht="14.5" x14ac:dyDescent="0.3">
      <c r="E201" s="354"/>
      <c r="F201" s="355"/>
      <c r="G201" s="355"/>
      <c r="H201" s="355"/>
      <c r="I201" s="356"/>
      <c r="J201" s="339"/>
      <c r="K201" s="339"/>
      <c r="L201" s="337"/>
      <c r="M201" s="195">
        <f t="shared" si="2"/>
        <v>5</v>
      </c>
    </row>
    <row r="202" spans="5:13" ht="14.5" x14ac:dyDescent="0.3">
      <c r="E202" s="354"/>
      <c r="F202" s="355"/>
      <c r="G202" s="355"/>
      <c r="H202" s="355"/>
      <c r="I202" s="356"/>
      <c r="J202" s="339"/>
      <c r="K202" s="339"/>
      <c r="L202" s="337"/>
      <c r="M202" s="195">
        <f t="shared" si="2"/>
        <v>5</v>
      </c>
    </row>
    <row r="203" spans="5:13" ht="14.5" x14ac:dyDescent="0.3">
      <c r="E203" s="354"/>
      <c r="F203" s="355"/>
      <c r="G203" s="355"/>
      <c r="H203" s="355"/>
      <c r="I203" s="356"/>
      <c r="J203" s="339"/>
      <c r="K203" s="339"/>
      <c r="L203" s="337"/>
      <c r="M203" s="195">
        <f t="shared" si="2"/>
        <v>5</v>
      </c>
    </row>
    <row r="204" spans="5:13" ht="14.5" x14ac:dyDescent="0.3">
      <c r="E204" s="354"/>
      <c r="F204" s="355"/>
      <c r="G204" s="355"/>
      <c r="H204" s="355"/>
      <c r="I204" s="356"/>
      <c r="J204" s="339"/>
      <c r="K204" s="339"/>
      <c r="L204" s="337"/>
      <c r="M204" s="195">
        <f t="shared" si="2"/>
        <v>5</v>
      </c>
    </row>
    <row r="205" spans="5:13" ht="14.5" x14ac:dyDescent="0.3">
      <c r="E205" s="354"/>
      <c r="F205" s="355"/>
      <c r="G205" s="355"/>
      <c r="H205" s="355"/>
      <c r="I205" s="356"/>
      <c r="J205" s="339"/>
      <c r="K205" s="339"/>
      <c r="L205" s="337"/>
      <c r="M205" s="195">
        <f t="shared" si="2"/>
        <v>5</v>
      </c>
    </row>
    <row r="206" spans="5:13" ht="14.5" x14ac:dyDescent="0.3">
      <c r="E206" s="354"/>
      <c r="F206" s="355"/>
      <c r="G206" s="355"/>
      <c r="H206" s="355"/>
      <c r="I206" s="356"/>
      <c r="J206" s="339"/>
      <c r="K206" s="339"/>
      <c r="L206" s="337"/>
      <c r="M206" s="195">
        <f t="shared" ref="M206:M269" si="3">ISBLANK(E206)+ISBLANK(F206)+ISBLANK(G206)+ISBLANK(H206)+ISBLANK(I206)</f>
        <v>5</v>
      </c>
    </row>
    <row r="207" spans="5:13" ht="14.5" x14ac:dyDescent="0.3">
      <c r="E207" s="354"/>
      <c r="F207" s="355"/>
      <c r="G207" s="355"/>
      <c r="H207" s="355"/>
      <c r="I207" s="356"/>
      <c r="J207" s="339"/>
      <c r="K207" s="339"/>
      <c r="L207" s="337"/>
      <c r="M207" s="195">
        <f t="shared" si="3"/>
        <v>5</v>
      </c>
    </row>
    <row r="208" spans="5:13" ht="14.5" x14ac:dyDescent="0.3">
      <c r="E208" s="354"/>
      <c r="F208" s="355"/>
      <c r="G208" s="355"/>
      <c r="H208" s="355"/>
      <c r="I208" s="356"/>
      <c r="J208" s="339"/>
      <c r="K208" s="339"/>
      <c r="L208" s="337"/>
      <c r="M208" s="195">
        <f t="shared" si="3"/>
        <v>5</v>
      </c>
    </row>
    <row r="209" spans="5:13" ht="14.5" x14ac:dyDescent="0.3">
      <c r="E209" s="354"/>
      <c r="F209" s="355"/>
      <c r="G209" s="355"/>
      <c r="H209" s="355"/>
      <c r="I209" s="356"/>
      <c r="J209" s="339"/>
      <c r="K209" s="339"/>
      <c r="L209" s="337"/>
      <c r="M209" s="195">
        <f t="shared" si="3"/>
        <v>5</v>
      </c>
    </row>
    <row r="210" spans="5:13" ht="14.5" x14ac:dyDescent="0.3">
      <c r="E210" s="354"/>
      <c r="F210" s="355"/>
      <c r="G210" s="355"/>
      <c r="H210" s="355"/>
      <c r="I210" s="356"/>
      <c r="J210" s="339"/>
      <c r="K210" s="339"/>
      <c r="L210" s="337"/>
      <c r="M210" s="195">
        <f t="shared" si="3"/>
        <v>5</v>
      </c>
    </row>
    <row r="211" spans="5:13" ht="14.5" x14ac:dyDescent="0.3">
      <c r="E211" s="354"/>
      <c r="F211" s="355"/>
      <c r="G211" s="355"/>
      <c r="H211" s="355"/>
      <c r="I211" s="356"/>
      <c r="J211" s="339"/>
      <c r="K211" s="339"/>
      <c r="L211" s="337"/>
      <c r="M211" s="195">
        <f t="shared" si="3"/>
        <v>5</v>
      </c>
    </row>
    <row r="212" spans="5:13" ht="14.5" x14ac:dyDescent="0.3">
      <c r="E212" s="354"/>
      <c r="F212" s="355"/>
      <c r="G212" s="355"/>
      <c r="H212" s="355"/>
      <c r="I212" s="356"/>
      <c r="J212" s="339"/>
      <c r="K212" s="339"/>
      <c r="L212" s="337"/>
      <c r="M212" s="195">
        <f t="shared" si="3"/>
        <v>5</v>
      </c>
    </row>
    <row r="213" spans="5:13" ht="14.5" x14ac:dyDescent="0.3">
      <c r="E213" s="354"/>
      <c r="F213" s="355"/>
      <c r="G213" s="355"/>
      <c r="H213" s="355"/>
      <c r="I213" s="356"/>
      <c r="J213" s="339"/>
      <c r="K213" s="339"/>
      <c r="L213" s="337"/>
      <c r="M213" s="195">
        <f t="shared" si="3"/>
        <v>5</v>
      </c>
    </row>
    <row r="214" spans="5:13" ht="14.5" x14ac:dyDescent="0.3">
      <c r="E214" s="354"/>
      <c r="F214" s="355"/>
      <c r="G214" s="355"/>
      <c r="H214" s="355"/>
      <c r="I214" s="356"/>
      <c r="J214" s="339"/>
      <c r="K214" s="339"/>
      <c r="L214" s="337"/>
      <c r="M214" s="195">
        <f t="shared" si="3"/>
        <v>5</v>
      </c>
    </row>
    <row r="215" spans="5:13" ht="14.5" x14ac:dyDescent="0.3">
      <c r="E215" s="354"/>
      <c r="F215" s="355"/>
      <c r="G215" s="355"/>
      <c r="H215" s="355"/>
      <c r="I215" s="356"/>
      <c r="J215" s="339"/>
      <c r="K215" s="339"/>
      <c r="L215" s="337"/>
      <c r="M215" s="195">
        <f t="shared" si="3"/>
        <v>5</v>
      </c>
    </row>
    <row r="216" spans="5:13" ht="14.5" x14ac:dyDescent="0.3">
      <c r="E216" s="354"/>
      <c r="F216" s="355"/>
      <c r="G216" s="355"/>
      <c r="H216" s="355"/>
      <c r="I216" s="356"/>
      <c r="J216" s="339"/>
      <c r="K216" s="339"/>
      <c r="L216" s="337"/>
      <c r="M216" s="195">
        <f t="shared" si="3"/>
        <v>5</v>
      </c>
    </row>
    <row r="217" spans="5:13" ht="14.5" x14ac:dyDescent="0.3">
      <c r="E217" s="354"/>
      <c r="F217" s="355"/>
      <c r="G217" s="355"/>
      <c r="H217" s="355"/>
      <c r="I217" s="356"/>
      <c r="J217" s="339"/>
      <c r="K217" s="339"/>
      <c r="L217" s="337"/>
      <c r="M217" s="195">
        <f t="shared" si="3"/>
        <v>5</v>
      </c>
    </row>
    <row r="218" spans="5:13" ht="14.5" x14ac:dyDescent="0.3">
      <c r="E218" s="354"/>
      <c r="F218" s="355"/>
      <c r="G218" s="355"/>
      <c r="H218" s="355"/>
      <c r="I218" s="356"/>
      <c r="J218" s="339"/>
      <c r="K218" s="339"/>
      <c r="L218" s="337"/>
      <c r="M218" s="195">
        <f t="shared" si="3"/>
        <v>5</v>
      </c>
    </row>
    <row r="219" spans="5:13" ht="14.5" x14ac:dyDescent="0.3">
      <c r="E219" s="354"/>
      <c r="F219" s="355"/>
      <c r="G219" s="355"/>
      <c r="H219" s="355"/>
      <c r="I219" s="356"/>
      <c r="J219" s="339"/>
      <c r="K219" s="339"/>
      <c r="L219" s="337"/>
      <c r="M219" s="195">
        <f t="shared" si="3"/>
        <v>5</v>
      </c>
    </row>
    <row r="220" spans="5:13" ht="14.5" x14ac:dyDescent="0.3">
      <c r="E220" s="354"/>
      <c r="F220" s="355"/>
      <c r="G220" s="355"/>
      <c r="H220" s="355"/>
      <c r="I220" s="356"/>
      <c r="J220" s="339"/>
      <c r="K220" s="339"/>
      <c r="L220" s="337"/>
      <c r="M220" s="195">
        <f t="shared" si="3"/>
        <v>5</v>
      </c>
    </row>
    <row r="221" spans="5:13" ht="14.5" x14ac:dyDescent="0.3">
      <c r="E221" s="354"/>
      <c r="F221" s="355"/>
      <c r="G221" s="355"/>
      <c r="H221" s="355"/>
      <c r="I221" s="356"/>
      <c r="J221" s="339"/>
      <c r="K221" s="339"/>
      <c r="L221" s="337"/>
      <c r="M221" s="195">
        <f t="shared" si="3"/>
        <v>5</v>
      </c>
    </row>
    <row r="222" spans="5:13" ht="14.5" x14ac:dyDescent="0.3">
      <c r="E222" s="354"/>
      <c r="F222" s="355"/>
      <c r="G222" s="355"/>
      <c r="H222" s="355"/>
      <c r="I222" s="356"/>
      <c r="J222" s="339"/>
      <c r="K222" s="339"/>
      <c r="L222" s="337"/>
      <c r="M222" s="195">
        <f t="shared" si="3"/>
        <v>5</v>
      </c>
    </row>
    <row r="223" spans="5:13" ht="14.5" x14ac:dyDescent="0.3">
      <c r="E223" s="354"/>
      <c r="F223" s="355"/>
      <c r="G223" s="355"/>
      <c r="H223" s="355"/>
      <c r="I223" s="356"/>
      <c r="J223" s="339"/>
      <c r="K223" s="339"/>
      <c r="L223" s="337"/>
      <c r="M223" s="195">
        <f t="shared" si="3"/>
        <v>5</v>
      </c>
    </row>
    <row r="224" spans="5:13" ht="14.5" x14ac:dyDescent="0.3">
      <c r="E224" s="354"/>
      <c r="F224" s="355"/>
      <c r="G224" s="355"/>
      <c r="H224" s="355"/>
      <c r="I224" s="356"/>
      <c r="J224" s="339"/>
      <c r="K224" s="339"/>
      <c r="L224" s="337"/>
      <c r="M224" s="195">
        <f t="shared" si="3"/>
        <v>5</v>
      </c>
    </row>
    <row r="225" spans="5:13" ht="14.5" x14ac:dyDescent="0.3">
      <c r="E225" s="354"/>
      <c r="F225" s="355"/>
      <c r="G225" s="355"/>
      <c r="H225" s="355"/>
      <c r="I225" s="356"/>
      <c r="J225" s="339"/>
      <c r="K225" s="339"/>
      <c r="L225" s="337"/>
      <c r="M225" s="195">
        <f t="shared" si="3"/>
        <v>5</v>
      </c>
    </row>
    <row r="226" spans="5:13" ht="14.5" x14ac:dyDescent="0.3">
      <c r="E226" s="354"/>
      <c r="F226" s="355"/>
      <c r="G226" s="355"/>
      <c r="H226" s="355"/>
      <c r="I226" s="356"/>
      <c r="J226" s="339"/>
      <c r="K226" s="339"/>
      <c r="L226" s="337"/>
      <c r="M226" s="195">
        <f t="shared" si="3"/>
        <v>5</v>
      </c>
    </row>
    <row r="227" spans="5:13" ht="14.5" x14ac:dyDescent="0.3">
      <c r="E227" s="354"/>
      <c r="F227" s="355"/>
      <c r="G227" s="355"/>
      <c r="H227" s="355"/>
      <c r="I227" s="356"/>
      <c r="J227" s="339"/>
      <c r="K227" s="339"/>
      <c r="L227" s="337"/>
      <c r="M227" s="195">
        <f t="shared" si="3"/>
        <v>5</v>
      </c>
    </row>
    <row r="228" spans="5:13" ht="14.5" x14ac:dyDescent="0.3">
      <c r="E228" s="354"/>
      <c r="F228" s="355"/>
      <c r="G228" s="355"/>
      <c r="H228" s="355"/>
      <c r="I228" s="356"/>
      <c r="J228" s="339"/>
      <c r="K228" s="339"/>
      <c r="L228" s="337"/>
      <c r="M228" s="195">
        <f t="shared" si="3"/>
        <v>5</v>
      </c>
    </row>
    <row r="229" spans="5:13" ht="14.5" x14ac:dyDescent="0.3">
      <c r="E229" s="354"/>
      <c r="F229" s="355"/>
      <c r="G229" s="355"/>
      <c r="H229" s="355"/>
      <c r="I229" s="356"/>
      <c r="J229" s="339"/>
      <c r="K229" s="339"/>
      <c r="L229" s="337"/>
      <c r="M229" s="195">
        <f t="shared" si="3"/>
        <v>5</v>
      </c>
    </row>
    <row r="230" spans="5:13" ht="14.5" x14ac:dyDescent="0.3">
      <c r="E230" s="354"/>
      <c r="F230" s="355"/>
      <c r="G230" s="355"/>
      <c r="H230" s="355"/>
      <c r="I230" s="356"/>
      <c r="J230" s="339"/>
      <c r="K230" s="339"/>
      <c r="L230" s="337"/>
      <c r="M230" s="195">
        <f t="shared" si="3"/>
        <v>5</v>
      </c>
    </row>
    <row r="231" spans="5:13" ht="14.5" x14ac:dyDescent="0.3">
      <c r="E231" s="354"/>
      <c r="F231" s="355"/>
      <c r="G231" s="355"/>
      <c r="H231" s="355"/>
      <c r="I231" s="356"/>
      <c r="J231" s="339"/>
      <c r="K231" s="339"/>
      <c r="L231" s="337"/>
      <c r="M231" s="195">
        <f t="shared" si="3"/>
        <v>5</v>
      </c>
    </row>
    <row r="232" spans="5:13" ht="14.5" x14ac:dyDescent="0.3">
      <c r="E232" s="354"/>
      <c r="F232" s="355"/>
      <c r="G232" s="355"/>
      <c r="H232" s="355"/>
      <c r="I232" s="356"/>
      <c r="J232" s="339"/>
      <c r="K232" s="339"/>
      <c r="L232" s="337"/>
      <c r="M232" s="195">
        <f t="shared" si="3"/>
        <v>5</v>
      </c>
    </row>
    <row r="233" spans="5:13" ht="14.5" x14ac:dyDescent="0.3">
      <c r="E233" s="354"/>
      <c r="F233" s="355"/>
      <c r="G233" s="355"/>
      <c r="H233" s="355"/>
      <c r="I233" s="356"/>
      <c r="J233" s="339"/>
      <c r="K233" s="339"/>
      <c r="L233" s="337"/>
      <c r="M233" s="195">
        <f t="shared" si="3"/>
        <v>5</v>
      </c>
    </row>
    <row r="234" spans="5:13" ht="14.5" x14ac:dyDescent="0.3">
      <c r="E234" s="354"/>
      <c r="F234" s="355"/>
      <c r="G234" s="355"/>
      <c r="H234" s="355"/>
      <c r="I234" s="356"/>
      <c r="J234" s="339"/>
      <c r="K234" s="339"/>
      <c r="L234" s="337"/>
      <c r="M234" s="195">
        <f t="shared" si="3"/>
        <v>5</v>
      </c>
    </row>
    <row r="235" spans="5:13" ht="14.5" x14ac:dyDescent="0.3">
      <c r="E235" s="354"/>
      <c r="F235" s="355"/>
      <c r="G235" s="355"/>
      <c r="H235" s="355"/>
      <c r="I235" s="356"/>
      <c r="J235" s="339"/>
      <c r="K235" s="339"/>
      <c r="L235" s="337"/>
      <c r="M235" s="195">
        <f t="shared" si="3"/>
        <v>5</v>
      </c>
    </row>
    <row r="236" spans="5:13" ht="14.5" x14ac:dyDescent="0.3">
      <c r="E236" s="354"/>
      <c r="F236" s="355"/>
      <c r="G236" s="355"/>
      <c r="H236" s="355"/>
      <c r="I236" s="356"/>
      <c r="J236" s="339"/>
      <c r="K236" s="339"/>
      <c r="L236" s="337"/>
      <c r="M236" s="195">
        <f t="shared" si="3"/>
        <v>5</v>
      </c>
    </row>
    <row r="237" spans="5:13" ht="14.5" x14ac:dyDescent="0.3">
      <c r="E237" s="354"/>
      <c r="F237" s="355"/>
      <c r="G237" s="355"/>
      <c r="H237" s="355"/>
      <c r="I237" s="356"/>
      <c r="J237" s="339"/>
      <c r="K237" s="339"/>
      <c r="L237" s="337"/>
      <c r="M237" s="195">
        <f t="shared" si="3"/>
        <v>5</v>
      </c>
    </row>
    <row r="238" spans="5:13" ht="14.5" x14ac:dyDescent="0.3">
      <c r="E238" s="354"/>
      <c r="F238" s="355"/>
      <c r="G238" s="355"/>
      <c r="H238" s="355"/>
      <c r="I238" s="356"/>
      <c r="J238" s="339"/>
      <c r="K238" s="339"/>
      <c r="L238" s="337"/>
      <c r="M238" s="195">
        <f t="shared" si="3"/>
        <v>5</v>
      </c>
    </row>
    <row r="239" spans="5:13" ht="14.5" x14ac:dyDescent="0.3">
      <c r="E239" s="354"/>
      <c r="F239" s="355"/>
      <c r="G239" s="355"/>
      <c r="H239" s="355"/>
      <c r="I239" s="356"/>
      <c r="J239" s="339"/>
      <c r="K239" s="339"/>
      <c r="L239" s="337"/>
      <c r="M239" s="195">
        <f t="shared" si="3"/>
        <v>5</v>
      </c>
    </row>
    <row r="240" spans="5:13" ht="14.5" x14ac:dyDescent="0.3">
      <c r="E240" s="354"/>
      <c r="F240" s="355"/>
      <c r="G240" s="355"/>
      <c r="H240" s="355"/>
      <c r="I240" s="356"/>
      <c r="J240" s="339"/>
      <c r="K240" s="339"/>
      <c r="L240" s="337"/>
      <c r="M240" s="195">
        <f t="shared" si="3"/>
        <v>5</v>
      </c>
    </row>
    <row r="241" spans="5:13" ht="14.5" x14ac:dyDescent="0.3">
      <c r="E241" s="354"/>
      <c r="F241" s="355"/>
      <c r="G241" s="355"/>
      <c r="H241" s="355"/>
      <c r="I241" s="356"/>
      <c r="J241" s="339"/>
      <c r="K241" s="339"/>
      <c r="L241" s="337"/>
      <c r="M241" s="195">
        <f t="shared" si="3"/>
        <v>5</v>
      </c>
    </row>
    <row r="242" spans="5:13" ht="14.5" x14ac:dyDescent="0.3">
      <c r="E242" s="354"/>
      <c r="F242" s="355"/>
      <c r="G242" s="355"/>
      <c r="H242" s="355"/>
      <c r="I242" s="356"/>
      <c r="J242" s="339"/>
      <c r="K242" s="339"/>
      <c r="L242" s="337"/>
      <c r="M242" s="195">
        <f t="shared" si="3"/>
        <v>5</v>
      </c>
    </row>
    <row r="243" spans="5:13" ht="14.5" x14ac:dyDescent="0.3">
      <c r="E243" s="354"/>
      <c r="F243" s="355"/>
      <c r="G243" s="355"/>
      <c r="H243" s="355"/>
      <c r="I243" s="356"/>
      <c r="J243" s="339"/>
      <c r="K243" s="339"/>
      <c r="L243" s="337"/>
      <c r="M243" s="195">
        <f t="shared" si="3"/>
        <v>5</v>
      </c>
    </row>
    <row r="244" spans="5:13" ht="14.5" x14ac:dyDescent="0.3">
      <c r="E244" s="354"/>
      <c r="F244" s="355"/>
      <c r="G244" s="355"/>
      <c r="H244" s="355"/>
      <c r="I244" s="356"/>
      <c r="J244" s="339"/>
      <c r="K244" s="339"/>
      <c r="L244" s="337"/>
      <c r="M244" s="195">
        <f t="shared" si="3"/>
        <v>5</v>
      </c>
    </row>
    <row r="245" spans="5:13" ht="14.5" x14ac:dyDescent="0.3">
      <c r="E245" s="354"/>
      <c r="F245" s="355"/>
      <c r="G245" s="355"/>
      <c r="H245" s="355"/>
      <c r="I245" s="356"/>
      <c r="J245" s="339"/>
      <c r="K245" s="339"/>
      <c r="L245" s="337"/>
      <c r="M245" s="195">
        <f t="shared" si="3"/>
        <v>5</v>
      </c>
    </row>
    <row r="246" spans="5:13" ht="14.5" x14ac:dyDescent="0.3">
      <c r="E246" s="354"/>
      <c r="F246" s="355"/>
      <c r="G246" s="355"/>
      <c r="H246" s="355"/>
      <c r="I246" s="356"/>
      <c r="J246" s="339"/>
      <c r="K246" s="339"/>
      <c r="L246" s="337"/>
      <c r="M246" s="195">
        <f t="shared" si="3"/>
        <v>5</v>
      </c>
    </row>
    <row r="247" spans="5:13" ht="14.5" x14ac:dyDescent="0.3">
      <c r="E247" s="354"/>
      <c r="F247" s="355"/>
      <c r="G247" s="355"/>
      <c r="H247" s="355"/>
      <c r="I247" s="356"/>
      <c r="J247" s="339"/>
      <c r="K247" s="339"/>
      <c r="L247" s="337"/>
      <c r="M247" s="195">
        <f t="shared" si="3"/>
        <v>5</v>
      </c>
    </row>
    <row r="248" spans="5:13" ht="14.5" x14ac:dyDescent="0.3">
      <c r="E248" s="354"/>
      <c r="F248" s="355"/>
      <c r="G248" s="355"/>
      <c r="H248" s="355"/>
      <c r="I248" s="356"/>
      <c r="J248" s="339"/>
      <c r="K248" s="339"/>
      <c r="L248" s="337"/>
      <c r="M248" s="195">
        <f t="shared" si="3"/>
        <v>5</v>
      </c>
    </row>
    <row r="249" spans="5:13" ht="14.5" x14ac:dyDescent="0.3">
      <c r="E249" s="354"/>
      <c r="F249" s="355"/>
      <c r="G249" s="355"/>
      <c r="H249" s="355"/>
      <c r="I249" s="356"/>
      <c r="J249" s="339"/>
      <c r="K249" s="339"/>
      <c r="L249" s="337"/>
      <c r="M249" s="195">
        <f t="shared" si="3"/>
        <v>5</v>
      </c>
    </row>
    <row r="250" spans="5:13" ht="14.5" x14ac:dyDescent="0.3">
      <c r="E250" s="354"/>
      <c r="F250" s="355"/>
      <c r="G250" s="355"/>
      <c r="H250" s="355"/>
      <c r="I250" s="356"/>
      <c r="J250" s="339"/>
      <c r="K250" s="339"/>
      <c r="L250" s="337"/>
      <c r="M250" s="195">
        <f t="shared" si="3"/>
        <v>5</v>
      </c>
    </row>
    <row r="251" spans="5:13" ht="14.5" x14ac:dyDescent="0.3">
      <c r="E251" s="354"/>
      <c r="F251" s="355"/>
      <c r="G251" s="355"/>
      <c r="H251" s="355"/>
      <c r="I251" s="356"/>
      <c r="J251" s="339"/>
      <c r="K251" s="339"/>
      <c r="L251" s="337"/>
      <c r="M251" s="195">
        <f t="shared" si="3"/>
        <v>5</v>
      </c>
    </row>
    <row r="252" spans="5:13" ht="14.5" x14ac:dyDescent="0.3">
      <c r="E252" s="354"/>
      <c r="F252" s="355"/>
      <c r="G252" s="355"/>
      <c r="H252" s="355"/>
      <c r="I252" s="356"/>
      <c r="J252" s="339"/>
      <c r="K252" s="339"/>
      <c r="L252" s="337"/>
      <c r="M252" s="195">
        <f t="shared" si="3"/>
        <v>5</v>
      </c>
    </row>
    <row r="253" spans="5:13" ht="14.5" x14ac:dyDescent="0.3">
      <c r="E253" s="354"/>
      <c r="F253" s="355"/>
      <c r="G253" s="355"/>
      <c r="H253" s="355"/>
      <c r="I253" s="356"/>
      <c r="J253" s="339"/>
      <c r="K253" s="339"/>
      <c r="L253" s="337"/>
      <c r="M253" s="195">
        <f t="shared" si="3"/>
        <v>5</v>
      </c>
    </row>
    <row r="254" spans="5:13" ht="14.5" x14ac:dyDescent="0.3">
      <c r="E254" s="354"/>
      <c r="F254" s="355"/>
      <c r="G254" s="355"/>
      <c r="H254" s="355"/>
      <c r="I254" s="356"/>
      <c r="J254" s="339"/>
      <c r="K254" s="339"/>
      <c r="L254" s="337"/>
      <c r="M254" s="195">
        <f t="shared" si="3"/>
        <v>5</v>
      </c>
    </row>
    <row r="255" spans="5:13" ht="14.5" x14ac:dyDescent="0.3">
      <c r="E255" s="354"/>
      <c r="F255" s="355"/>
      <c r="G255" s="355"/>
      <c r="H255" s="355"/>
      <c r="I255" s="356"/>
      <c r="J255" s="339"/>
      <c r="K255" s="339"/>
      <c r="L255" s="337"/>
      <c r="M255" s="195">
        <f t="shared" si="3"/>
        <v>5</v>
      </c>
    </row>
    <row r="256" spans="5:13" ht="14.5" x14ac:dyDescent="0.3">
      <c r="E256" s="354"/>
      <c r="F256" s="355"/>
      <c r="G256" s="355"/>
      <c r="H256" s="355"/>
      <c r="I256" s="356"/>
      <c r="J256" s="339"/>
      <c r="K256" s="339"/>
      <c r="L256" s="337"/>
      <c r="M256" s="195">
        <f t="shared" si="3"/>
        <v>5</v>
      </c>
    </row>
    <row r="257" spans="5:13" ht="14.5" x14ac:dyDescent="0.3">
      <c r="E257" s="354"/>
      <c r="F257" s="355"/>
      <c r="G257" s="355"/>
      <c r="H257" s="355"/>
      <c r="I257" s="356"/>
      <c r="J257" s="339"/>
      <c r="K257" s="339"/>
      <c r="L257" s="337"/>
      <c r="M257" s="195">
        <f t="shared" si="3"/>
        <v>5</v>
      </c>
    </row>
    <row r="258" spans="5:13" ht="14.5" x14ac:dyDescent="0.3">
      <c r="E258" s="354"/>
      <c r="F258" s="355"/>
      <c r="G258" s="355"/>
      <c r="H258" s="355"/>
      <c r="I258" s="356"/>
      <c r="J258" s="339"/>
      <c r="K258" s="339"/>
      <c r="L258" s="337"/>
      <c r="M258" s="195">
        <f t="shared" si="3"/>
        <v>5</v>
      </c>
    </row>
    <row r="259" spans="5:13" ht="14.5" x14ac:dyDescent="0.3">
      <c r="E259" s="354"/>
      <c r="F259" s="355"/>
      <c r="G259" s="355"/>
      <c r="H259" s="355"/>
      <c r="I259" s="356"/>
      <c r="J259" s="339"/>
      <c r="K259" s="339"/>
      <c r="L259" s="337"/>
      <c r="M259" s="195">
        <f t="shared" si="3"/>
        <v>5</v>
      </c>
    </row>
    <row r="260" spans="5:13" ht="14.5" x14ac:dyDescent="0.3">
      <c r="E260" s="354"/>
      <c r="F260" s="355"/>
      <c r="G260" s="355"/>
      <c r="H260" s="355"/>
      <c r="I260" s="356"/>
      <c r="J260" s="339"/>
      <c r="K260" s="339"/>
      <c r="L260" s="337"/>
      <c r="M260" s="195">
        <f t="shared" si="3"/>
        <v>5</v>
      </c>
    </row>
    <row r="261" spans="5:13" ht="14.5" x14ac:dyDescent="0.3">
      <c r="E261" s="354"/>
      <c r="F261" s="355"/>
      <c r="G261" s="355"/>
      <c r="H261" s="355"/>
      <c r="I261" s="356"/>
      <c r="J261" s="339"/>
      <c r="K261" s="339"/>
      <c r="L261" s="337"/>
      <c r="M261" s="195">
        <f t="shared" si="3"/>
        <v>5</v>
      </c>
    </row>
    <row r="262" spans="5:13" ht="14.5" x14ac:dyDescent="0.3">
      <c r="E262" s="354"/>
      <c r="F262" s="355"/>
      <c r="G262" s="355"/>
      <c r="H262" s="355"/>
      <c r="I262" s="356"/>
      <c r="J262" s="339"/>
      <c r="K262" s="339"/>
      <c r="L262" s="337"/>
      <c r="M262" s="195">
        <f t="shared" si="3"/>
        <v>5</v>
      </c>
    </row>
    <row r="263" spans="5:13" ht="14.5" x14ac:dyDescent="0.3">
      <c r="E263" s="354"/>
      <c r="F263" s="355"/>
      <c r="G263" s="355"/>
      <c r="H263" s="355"/>
      <c r="I263" s="356"/>
      <c r="J263" s="339"/>
      <c r="K263" s="339"/>
      <c r="L263" s="337"/>
      <c r="M263" s="195">
        <f t="shared" si="3"/>
        <v>5</v>
      </c>
    </row>
    <row r="264" spans="5:13" ht="14.5" x14ac:dyDescent="0.3">
      <c r="E264" s="354"/>
      <c r="F264" s="355"/>
      <c r="G264" s="355"/>
      <c r="H264" s="355"/>
      <c r="I264" s="356"/>
      <c r="J264" s="339"/>
      <c r="K264" s="339"/>
      <c r="L264" s="337"/>
      <c r="M264" s="195">
        <f t="shared" si="3"/>
        <v>5</v>
      </c>
    </row>
    <row r="265" spans="5:13" ht="14.5" x14ac:dyDescent="0.3">
      <c r="E265" s="354"/>
      <c r="F265" s="355"/>
      <c r="G265" s="355"/>
      <c r="H265" s="355"/>
      <c r="I265" s="356"/>
      <c r="J265" s="339"/>
      <c r="K265" s="339"/>
      <c r="L265" s="337"/>
      <c r="M265" s="195">
        <f t="shared" si="3"/>
        <v>5</v>
      </c>
    </row>
    <row r="266" spans="5:13" ht="14.5" x14ac:dyDescent="0.3">
      <c r="E266" s="354"/>
      <c r="F266" s="355"/>
      <c r="G266" s="355"/>
      <c r="H266" s="355"/>
      <c r="I266" s="356"/>
      <c r="J266" s="339"/>
      <c r="K266" s="339"/>
      <c r="L266" s="337"/>
      <c r="M266" s="195">
        <f t="shared" si="3"/>
        <v>5</v>
      </c>
    </row>
    <row r="267" spans="5:13" ht="14.5" x14ac:dyDescent="0.3">
      <c r="E267" s="354"/>
      <c r="F267" s="355"/>
      <c r="G267" s="355"/>
      <c r="H267" s="355"/>
      <c r="I267" s="356"/>
      <c r="J267" s="339"/>
      <c r="K267" s="339"/>
      <c r="L267" s="337"/>
      <c r="M267" s="195">
        <f t="shared" si="3"/>
        <v>5</v>
      </c>
    </row>
    <row r="268" spans="5:13" ht="14.5" x14ac:dyDescent="0.3">
      <c r="E268" s="354"/>
      <c r="F268" s="355"/>
      <c r="G268" s="355"/>
      <c r="H268" s="355"/>
      <c r="I268" s="356"/>
      <c r="J268" s="339"/>
      <c r="K268" s="339"/>
      <c r="L268" s="337"/>
      <c r="M268" s="195">
        <f t="shared" si="3"/>
        <v>5</v>
      </c>
    </row>
    <row r="269" spans="5:13" ht="14.5" x14ac:dyDescent="0.3">
      <c r="E269" s="354"/>
      <c r="F269" s="355"/>
      <c r="G269" s="355"/>
      <c r="H269" s="355"/>
      <c r="I269" s="356"/>
      <c r="J269" s="339"/>
      <c r="K269" s="339"/>
      <c r="L269" s="337"/>
      <c r="M269" s="195">
        <f t="shared" si="3"/>
        <v>5</v>
      </c>
    </row>
    <row r="270" spans="5:13" ht="14.5" x14ac:dyDescent="0.3">
      <c r="E270" s="354"/>
      <c r="F270" s="355"/>
      <c r="G270" s="355"/>
      <c r="H270" s="355"/>
      <c r="I270" s="356"/>
      <c r="J270" s="339"/>
      <c r="K270" s="339"/>
      <c r="L270" s="337"/>
      <c r="M270" s="195">
        <f t="shared" ref="M270:M333" si="4">ISBLANK(E270)+ISBLANK(F270)+ISBLANK(G270)+ISBLANK(H270)+ISBLANK(I270)</f>
        <v>5</v>
      </c>
    </row>
    <row r="271" spans="5:13" ht="14.5" x14ac:dyDescent="0.3">
      <c r="E271" s="354"/>
      <c r="F271" s="355"/>
      <c r="G271" s="355"/>
      <c r="H271" s="355"/>
      <c r="I271" s="356"/>
      <c r="J271" s="339"/>
      <c r="K271" s="339"/>
      <c r="L271" s="337"/>
      <c r="M271" s="195">
        <f t="shared" si="4"/>
        <v>5</v>
      </c>
    </row>
    <row r="272" spans="5:13" ht="14.5" x14ac:dyDescent="0.3">
      <c r="E272" s="354"/>
      <c r="F272" s="355"/>
      <c r="G272" s="355"/>
      <c r="H272" s="355"/>
      <c r="I272" s="356"/>
      <c r="J272" s="339"/>
      <c r="K272" s="339"/>
      <c r="L272" s="337"/>
      <c r="M272" s="195">
        <f t="shared" si="4"/>
        <v>5</v>
      </c>
    </row>
    <row r="273" spans="5:13" ht="14.5" x14ac:dyDescent="0.3">
      <c r="E273" s="354"/>
      <c r="F273" s="355"/>
      <c r="G273" s="355"/>
      <c r="H273" s="355"/>
      <c r="I273" s="356"/>
      <c r="J273" s="339"/>
      <c r="K273" s="339"/>
      <c r="L273" s="337"/>
      <c r="M273" s="195">
        <f t="shared" si="4"/>
        <v>5</v>
      </c>
    </row>
    <row r="274" spans="5:13" ht="14.5" x14ac:dyDescent="0.3">
      <c r="E274" s="354"/>
      <c r="F274" s="355"/>
      <c r="G274" s="355"/>
      <c r="H274" s="355"/>
      <c r="I274" s="356"/>
      <c r="J274" s="339"/>
      <c r="K274" s="339"/>
      <c r="L274" s="337"/>
      <c r="M274" s="195">
        <f t="shared" si="4"/>
        <v>5</v>
      </c>
    </row>
    <row r="275" spans="5:13" ht="14.5" x14ac:dyDescent="0.3">
      <c r="E275" s="354"/>
      <c r="F275" s="355"/>
      <c r="G275" s="355"/>
      <c r="H275" s="355"/>
      <c r="I275" s="356"/>
      <c r="J275" s="339"/>
      <c r="K275" s="339"/>
      <c r="L275" s="337"/>
      <c r="M275" s="195">
        <f t="shared" si="4"/>
        <v>5</v>
      </c>
    </row>
    <row r="276" spans="5:13" ht="14.5" x14ac:dyDescent="0.3">
      <c r="E276" s="354"/>
      <c r="F276" s="355"/>
      <c r="G276" s="355"/>
      <c r="H276" s="355"/>
      <c r="I276" s="356"/>
      <c r="J276" s="339"/>
      <c r="K276" s="339"/>
      <c r="L276" s="337"/>
      <c r="M276" s="195">
        <f t="shared" si="4"/>
        <v>5</v>
      </c>
    </row>
    <row r="277" spans="5:13" ht="14.5" x14ac:dyDescent="0.3">
      <c r="E277" s="354"/>
      <c r="F277" s="355"/>
      <c r="G277" s="355"/>
      <c r="H277" s="355"/>
      <c r="I277" s="356"/>
      <c r="J277" s="339"/>
      <c r="K277" s="339"/>
      <c r="L277" s="337"/>
      <c r="M277" s="195">
        <f t="shared" si="4"/>
        <v>5</v>
      </c>
    </row>
    <row r="278" spans="5:13" ht="14.5" x14ac:dyDescent="0.3">
      <c r="E278" s="354"/>
      <c r="F278" s="355"/>
      <c r="G278" s="355"/>
      <c r="H278" s="355"/>
      <c r="I278" s="356"/>
      <c r="J278" s="339"/>
      <c r="K278" s="339"/>
      <c r="L278" s="337"/>
      <c r="M278" s="195">
        <f t="shared" si="4"/>
        <v>5</v>
      </c>
    </row>
    <row r="279" spans="5:13" ht="14.5" x14ac:dyDescent="0.3">
      <c r="E279" s="354"/>
      <c r="F279" s="355"/>
      <c r="G279" s="355"/>
      <c r="H279" s="355"/>
      <c r="I279" s="356"/>
      <c r="J279" s="339"/>
      <c r="K279" s="339"/>
      <c r="L279" s="337"/>
      <c r="M279" s="195">
        <f t="shared" si="4"/>
        <v>5</v>
      </c>
    </row>
    <row r="280" spans="5:13" ht="14.5" x14ac:dyDescent="0.3">
      <c r="E280" s="354"/>
      <c r="F280" s="355"/>
      <c r="G280" s="355"/>
      <c r="H280" s="355"/>
      <c r="I280" s="356"/>
      <c r="J280" s="339"/>
      <c r="K280" s="339"/>
      <c r="L280" s="337"/>
      <c r="M280" s="195">
        <f t="shared" si="4"/>
        <v>5</v>
      </c>
    </row>
    <row r="281" spans="5:13" ht="14.5" x14ac:dyDescent="0.3">
      <c r="E281" s="354"/>
      <c r="F281" s="355"/>
      <c r="G281" s="355"/>
      <c r="H281" s="355"/>
      <c r="I281" s="356"/>
      <c r="J281" s="339"/>
      <c r="K281" s="339"/>
      <c r="L281" s="337"/>
      <c r="M281" s="195">
        <f t="shared" si="4"/>
        <v>5</v>
      </c>
    </row>
    <row r="282" spans="5:13" ht="14.5" x14ac:dyDescent="0.3">
      <c r="E282" s="354"/>
      <c r="F282" s="355"/>
      <c r="G282" s="355"/>
      <c r="H282" s="355"/>
      <c r="I282" s="356"/>
      <c r="J282" s="339"/>
      <c r="K282" s="339"/>
      <c r="L282" s="337"/>
      <c r="M282" s="195">
        <f t="shared" si="4"/>
        <v>5</v>
      </c>
    </row>
    <row r="283" spans="5:13" ht="14.5" x14ac:dyDescent="0.3">
      <c r="E283" s="354"/>
      <c r="F283" s="355"/>
      <c r="G283" s="355"/>
      <c r="H283" s="355"/>
      <c r="I283" s="356"/>
      <c r="J283" s="339"/>
      <c r="K283" s="339"/>
      <c r="L283" s="337"/>
      <c r="M283" s="195">
        <f t="shared" si="4"/>
        <v>5</v>
      </c>
    </row>
    <row r="284" spans="5:13" ht="14.5" x14ac:dyDescent="0.3">
      <c r="E284" s="354"/>
      <c r="F284" s="355"/>
      <c r="G284" s="355"/>
      <c r="H284" s="355"/>
      <c r="I284" s="356"/>
      <c r="J284" s="339"/>
      <c r="K284" s="339"/>
      <c r="L284" s="337"/>
      <c r="M284" s="195">
        <f t="shared" si="4"/>
        <v>5</v>
      </c>
    </row>
    <row r="285" spans="5:13" ht="14.5" x14ac:dyDescent="0.3">
      <c r="E285" s="354"/>
      <c r="F285" s="355"/>
      <c r="G285" s="355"/>
      <c r="H285" s="355"/>
      <c r="I285" s="356"/>
      <c r="J285" s="339"/>
      <c r="K285" s="339"/>
      <c r="L285" s="337"/>
      <c r="M285" s="195">
        <f t="shared" si="4"/>
        <v>5</v>
      </c>
    </row>
    <row r="286" spans="5:13" ht="14.5" x14ac:dyDescent="0.3">
      <c r="E286" s="354"/>
      <c r="F286" s="355"/>
      <c r="G286" s="355"/>
      <c r="H286" s="355"/>
      <c r="I286" s="356"/>
      <c r="J286" s="339"/>
      <c r="K286" s="339"/>
      <c r="L286" s="337"/>
      <c r="M286" s="195">
        <f t="shared" si="4"/>
        <v>5</v>
      </c>
    </row>
    <row r="287" spans="5:13" ht="14.5" x14ac:dyDescent="0.3">
      <c r="E287" s="354"/>
      <c r="F287" s="355"/>
      <c r="G287" s="355"/>
      <c r="H287" s="355"/>
      <c r="I287" s="356"/>
      <c r="J287" s="339"/>
      <c r="K287" s="339"/>
      <c r="L287" s="337"/>
      <c r="M287" s="195">
        <f t="shared" si="4"/>
        <v>5</v>
      </c>
    </row>
    <row r="288" spans="5:13" ht="14.5" x14ac:dyDescent="0.3">
      <c r="E288" s="354"/>
      <c r="F288" s="355"/>
      <c r="G288" s="355"/>
      <c r="H288" s="355"/>
      <c r="I288" s="356"/>
      <c r="J288" s="339"/>
      <c r="K288" s="339"/>
      <c r="L288" s="337"/>
      <c r="M288" s="195">
        <f t="shared" si="4"/>
        <v>5</v>
      </c>
    </row>
    <row r="289" spans="5:13" ht="14.5" x14ac:dyDescent="0.3">
      <c r="E289" s="354"/>
      <c r="F289" s="355"/>
      <c r="G289" s="355"/>
      <c r="H289" s="355"/>
      <c r="I289" s="356"/>
      <c r="J289" s="339"/>
      <c r="K289" s="339"/>
      <c r="L289" s="337"/>
      <c r="M289" s="195">
        <f t="shared" si="4"/>
        <v>5</v>
      </c>
    </row>
    <row r="290" spans="5:13" ht="14.5" x14ac:dyDescent="0.3">
      <c r="E290" s="354"/>
      <c r="F290" s="355"/>
      <c r="G290" s="355"/>
      <c r="H290" s="355"/>
      <c r="I290" s="356"/>
      <c r="J290" s="339"/>
      <c r="K290" s="339"/>
      <c r="L290" s="337"/>
      <c r="M290" s="195">
        <f t="shared" si="4"/>
        <v>5</v>
      </c>
    </row>
    <row r="291" spans="5:13" ht="14.5" x14ac:dyDescent="0.3">
      <c r="E291" s="354"/>
      <c r="F291" s="355"/>
      <c r="G291" s="355"/>
      <c r="H291" s="355"/>
      <c r="I291" s="356"/>
      <c r="J291" s="339"/>
      <c r="K291" s="339"/>
      <c r="L291" s="337"/>
      <c r="M291" s="195">
        <f t="shared" si="4"/>
        <v>5</v>
      </c>
    </row>
    <row r="292" spans="5:13" ht="14.5" x14ac:dyDescent="0.3">
      <c r="E292" s="354"/>
      <c r="F292" s="355"/>
      <c r="G292" s="355"/>
      <c r="H292" s="355"/>
      <c r="I292" s="356"/>
      <c r="J292" s="339"/>
      <c r="K292" s="339"/>
      <c r="L292" s="337"/>
      <c r="M292" s="195">
        <f t="shared" si="4"/>
        <v>5</v>
      </c>
    </row>
    <row r="293" spans="5:13" ht="14.5" x14ac:dyDescent="0.3">
      <c r="E293" s="354"/>
      <c r="F293" s="355"/>
      <c r="G293" s="355"/>
      <c r="H293" s="355"/>
      <c r="I293" s="356"/>
      <c r="J293" s="339"/>
      <c r="K293" s="339"/>
      <c r="L293" s="337"/>
      <c r="M293" s="195">
        <f t="shared" si="4"/>
        <v>5</v>
      </c>
    </row>
    <row r="294" spans="5:13" ht="14.5" x14ac:dyDescent="0.3">
      <c r="E294" s="354"/>
      <c r="F294" s="355"/>
      <c r="G294" s="355"/>
      <c r="H294" s="355"/>
      <c r="I294" s="356"/>
      <c r="J294" s="339"/>
      <c r="K294" s="339"/>
      <c r="L294" s="337"/>
      <c r="M294" s="195">
        <f t="shared" si="4"/>
        <v>5</v>
      </c>
    </row>
    <row r="295" spans="5:13" ht="14.5" x14ac:dyDescent="0.3">
      <c r="E295" s="354"/>
      <c r="F295" s="355"/>
      <c r="G295" s="355"/>
      <c r="H295" s="355"/>
      <c r="I295" s="356"/>
      <c r="J295" s="339"/>
      <c r="K295" s="339"/>
      <c r="L295" s="337"/>
      <c r="M295" s="195">
        <f t="shared" si="4"/>
        <v>5</v>
      </c>
    </row>
    <row r="296" spans="5:13" ht="14.5" x14ac:dyDescent="0.3">
      <c r="E296" s="354"/>
      <c r="F296" s="355"/>
      <c r="G296" s="355"/>
      <c r="H296" s="355"/>
      <c r="I296" s="356"/>
      <c r="J296" s="339"/>
      <c r="K296" s="339"/>
      <c r="L296" s="337"/>
      <c r="M296" s="195">
        <f t="shared" si="4"/>
        <v>5</v>
      </c>
    </row>
    <row r="297" spans="5:13" ht="14.5" x14ac:dyDescent="0.3">
      <c r="E297" s="354"/>
      <c r="F297" s="355"/>
      <c r="G297" s="355"/>
      <c r="H297" s="355"/>
      <c r="I297" s="356"/>
      <c r="J297" s="339"/>
      <c r="K297" s="339"/>
      <c r="L297" s="337"/>
      <c r="M297" s="195">
        <f t="shared" si="4"/>
        <v>5</v>
      </c>
    </row>
    <row r="298" spans="5:13" ht="14.5" x14ac:dyDescent="0.3">
      <c r="E298" s="354"/>
      <c r="F298" s="355"/>
      <c r="G298" s="355"/>
      <c r="H298" s="355"/>
      <c r="I298" s="356"/>
      <c r="J298" s="339"/>
      <c r="K298" s="339"/>
      <c r="L298" s="337"/>
      <c r="M298" s="195">
        <f t="shared" si="4"/>
        <v>5</v>
      </c>
    </row>
    <row r="299" spans="5:13" ht="14.5" x14ac:dyDescent="0.3">
      <c r="E299" s="354"/>
      <c r="F299" s="355"/>
      <c r="G299" s="355"/>
      <c r="H299" s="355"/>
      <c r="I299" s="356"/>
      <c r="J299" s="339"/>
      <c r="K299" s="339"/>
      <c r="L299" s="337"/>
      <c r="M299" s="195">
        <f t="shared" si="4"/>
        <v>5</v>
      </c>
    </row>
    <row r="300" spans="5:13" ht="14.5" x14ac:dyDescent="0.3">
      <c r="E300" s="354"/>
      <c r="F300" s="355"/>
      <c r="G300" s="355"/>
      <c r="H300" s="355"/>
      <c r="I300" s="356"/>
      <c r="J300" s="339"/>
      <c r="K300" s="339"/>
      <c r="L300" s="337"/>
      <c r="M300" s="195">
        <f t="shared" si="4"/>
        <v>5</v>
      </c>
    </row>
    <row r="301" spans="5:13" ht="14.5" x14ac:dyDescent="0.3">
      <c r="E301" s="354"/>
      <c r="F301" s="355"/>
      <c r="G301" s="355"/>
      <c r="H301" s="355"/>
      <c r="I301" s="356"/>
      <c r="J301" s="339"/>
      <c r="K301" s="339"/>
      <c r="L301" s="337"/>
      <c r="M301" s="195">
        <f t="shared" si="4"/>
        <v>5</v>
      </c>
    </row>
    <row r="302" spans="5:13" ht="14.5" x14ac:dyDescent="0.3">
      <c r="E302" s="354"/>
      <c r="F302" s="355"/>
      <c r="G302" s="355"/>
      <c r="H302" s="355"/>
      <c r="I302" s="356"/>
      <c r="J302" s="339"/>
      <c r="K302" s="339"/>
      <c r="L302" s="337"/>
      <c r="M302" s="195">
        <f t="shared" si="4"/>
        <v>5</v>
      </c>
    </row>
    <row r="303" spans="5:13" ht="14.5" x14ac:dyDescent="0.3">
      <c r="E303" s="354"/>
      <c r="F303" s="355"/>
      <c r="G303" s="355"/>
      <c r="H303" s="355"/>
      <c r="I303" s="356"/>
      <c r="J303" s="339"/>
      <c r="K303" s="339"/>
      <c r="L303" s="337"/>
      <c r="M303" s="195">
        <f t="shared" si="4"/>
        <v>5</v>
      </c>
    </row>
    <row r="304" spans="5:13" ht="14.5" x14ac:dyDescent="0.3">
      <c r="E304" s="354"/>
      <c r="F304" s="355"/>
      <c r="G304" s="355"/>
      <c r="H304" s="355"/>
      <c r="I304" s="356"/>
      <c r="J304" s="339"/>
      <c r="K304" s="339"/>
      <c r="L304" s="337"/>
      <c r="M304" s="195">
        <f t="shared" si="4"/>
        <v>5</v>
      </c>
    </row>
    <row r="305" spans="5:13" ht="14.5" x14ac:dyDescent="0.3">
      <c r="E305" s="354"/>
      <c r="F305" s="355"/>
      <c r="G305" s="355"/>
      <c r="H305" s="355"/>
      <c r="I305" s="356"/>
      <c r="J305" s="339"/>
      <c r="K305" s="339"/>
      <c r="L305" s="337"/>
      <c r="M305" s="195">
        <f t="shared" si="4"/>
        <v>5</v>
      </c>
    </row>
    <row r="306" spans="5:13" ht="14.5" x14ac:dyDescent="0.3">
      <c r="E306" s="354"/>
      <c r="F306" s="355"/>
      <c r="G306" s="355"/>
      <c r="H306" s="355"/>
      <c r="I306" s="356"/>
      <c r="J306" s="339"/>
      <c r="K306" s="339"/>
      <c r="L306" s="337"/>
      <c r="M306" s="195">
        <f t="shared" si="4"/>
        <v>5</v>
      </c>
    </row>
    <row r="307" spans="5:13" ht="14.5" x14ac:dyDescent="0.3">
      <c r="E307" s="354"/>
      <c r="F307" s="355"/>
      <c r="G307" s="355"/>
      <c r="H307" s="355"/>
      <c r="I307" s="356"/>
      <c r="J307" s="339"/>
      <c r="K307" s="339"/>
      <c r="L307" s="337"/>
      <c r="M307" s="195">
        <f t="shared" si="4"/>
        <v>5</v>
      </c>
    </row>
    <row r="308" spans="5:13" ht="14.5" x14ac:dyDescent="0.3">
      <c r="E308" s="354"/>
      <c r="F308" s="355"/>
      <c r="G308" s="355"/>
      <c r="H308" s="355"/>
      <c r="I308" s="356"/>
      <c r="J308" s="339"/>
      <c r="K308" s="339"/>
      <c r="L308" s="337"/>
      <c r="M308" s="195">
        <f t="shared" si="4"/>
        <v>5</v>
      </c>
    </row>
    <row r="309" spans="5:13" ht="14.5" x14ac:dyDescent="0.3">
      <c r="E309" s="354"/>
      <c r="F309" s="355"/>
      <c r="G309" s="355"/>
      <c r="H309" s="355"/>
      <c r="I309" s="356"/>
      <c r="J309" s="339"/>
      <c r="K309" s="339"/>
      <c r="L309" s="337"/>
      <c r="M309" s="195">
        <f t="shared" si="4"/>
        <v>5</v>
      </c>
    </row>
    <row r="310" spans="5:13" ht="14.5" x14ac:dyDescent="0.3">
      <c r="E310" s="354"/>
      <c r="F310" s="355"/>
      <c r="G310" s="355"/>
      <c r="H310" s="355"/>
      <c r="I310" s="356"/>
      <c r="J310" s="339"/>
      <c r="K310" s="339"/>
      <c r="L310" s="337"/>
      <c r="M310" s="195">
        <f t="shared" si="4"/>
        <v>5</v>
      </c>
    </row>
    <row r="311" spans="5:13" ht="14.5" x14ac:dyDescent="0.3">
      <c r="E311" s="354"/>
      <c r="F311" s="355"/>
      <c r="G311" s="355"/>
      <c r="H311" s="355"/>
      <c r="I311" s="356"/>
      <c r="J311" s="339"/>
      <c r="K311" s="339"/>
      <c r="L311" s="337"/>
      <c r="M311" s="195">
        <f t="shared" si="4"/>
        <v>5</v>
      </c>
    </row>
    <row r="312" spans="5:13" ht="14.5" x14ac:dyDescent="0.3">
      <c r="E312" s="354"/>
      <c r="F312" s="355"/>
      <c r="G312" s="355"/>
      <c r="H312" s="355"/>
      <c r="I312" s="356"/>
      <c r="J312" s="339"/>
      <c r="K312" s="339"/>
      <c r="L312" s="337"/>
      <c r="M312" s="195">
        <f t="shared" si="4"/>
        <v>5</v>
      </c>
    </row>
    <row r="313" spans="5:13" ht="14.5" x14ac:dyDescent="0.3">
      <c r="E313" s="354"/>
      <c r="F313" s="355"/>
      <c r="G313" s="355"/>
      <c r="H313" s="355"/>
      <c r="I313" s="356"/>
      <c r="J313" s="339"/>
      <c r="K313" s="339"/>
      <c r="L313" s="337"/>
      <c r="M313" s="195">
        <f t="shared" si="4"/>
        <v>5</v>
      </c>
    </row>
    <row r="314" spans="5:13" ht="14.5" x14ac:dyDescent="0.3">
      <c r="E314" s="354"/>
      <c r="F314" s="355"/>
      <c r="G314" s="355"/>
      <c r="H314" s="355"/>
      <c r="I314" s="356"/>
      <c r="J314" s="339"/>
      <c r="K314" s="339"/>
      <c r="L314" s="337"/>
      <c r="M314" s="195">
        <f t="shared" si="4"/>
        <v>5</v>
      </c>
    </row>
    <row r="315" spans="5:13" ht="14.5" x14ac:dyDescent="0.3">
      <c r="E315" s="354"/>
      <c r="F315" s="355"/>
      <c r="G315" s="355"/>
      <c r="H315" s="355"/>
      <c r="I315" s="356"/>
      <c r="J315" s="339"/>
      <c r="K315" s="339"/>
      <c r="L315" s="337"/>
      <c r="M315" s="195">
        <f t="shared" si="4"/>
        <v>5</v>
      </c>
    </row>
    <row r="316" spans="5:13" ht="14.5" x14ac:dyDescent="0.3">
      <c r="E316" s="354"/>
      <c r="F316" s="355"/>
      <c r="G316" s="355"/>
      <c r="H316" s="355"/>
      <c r="I316" s="356"/>
      <c r="J316" s="339"/>
      <c r="K316" s="339"/>
      <c r="L316" s="337"/>
      <c r="M316" s="195">
        <f t="shared" si="4"/>
        <v>5</v>
      </c>
    </row>
    <row r="317" spans="5:13" ht="14.5" x14ac:dyDescent="0.3">
      <c r="E317" s="354"/>
      <c r="F317" s="355"/>
      <c r="G317" s="355"/>
      <c r="H317" s="355"/>
      <c r="I317" s="356"/>
      <c r="J317" s="339"/>
      <c r="K317" s="339"/>
      <c r="L317" s="337"/>
      <c r="M317" s="195">
        <f t="shared" si="4"/>
        <v>5</v>
      </c>
    </row>
    <row r="318" spans="5:13" ht="14.5" x14ac:dyDescent="0.3">
      <c r="E318" s="354"/>
      <c r="F318" s="355"/>
      <c r="G318" s="355"/>
      <c r="H318" s="355"/>
      <c r="I318" s="356"/>
      <c r="J318" s="339"/>
      <c r="K318" s="339"/>
      <c r="L318" s="337"/>
      <c r="M318" s="195">
        <f t="shared" si="4"/>
        <v>5</v>
      </c>
    </row>
    <row r="319" spans="5:13" ht="14.5" x14ac:dyDescent="0.3">
      <c r="E319" s="354"/>
      <c r="F319" s="355"/>
      <c r="G319" s="355"/>
      <c r="H319" s="355"/>
      <c r="I319" s="356"/>
      <c r="J319" s="339"/>
      <c r="K319" s="339"/>
      <c r="L319" s="337"/>
      <c r="M319" s="195">
        <f t="shared" si="4"/>
        <v>5</v>
      </c>
    </row>
    <row r="320" spans="5:13" ht="14.5" x14ac:dyDescent="0.3">
      <c r="E320" s="354"/>
      <c r="F320" s="355"/>
      <c r="G320" s="355"/>
      <c r="H320" s="355"/>
      <c r="I320" s="356"/>
      <c r="J320" s="339"/>
      <c r="K320" s="339"/>
      <c r="L320" s="337"/>
      <c r="M320" s="195">
        <f t="shared" si="4"/>
        <v>5</v>
      </c>
    </row>
    <row r="321" spans="5:13" ht="14.5" x14ac:dyDescent="0.3">
      <c r="E321" s="354"/>
      <c r="F321" s="355"/>
      <c r="G321" s="355"/>
      <c r="H321" s="355"/>
      <c r="I321" s="356"/>
      <c r="J321" s="339"/>
      <c r="K321" s="339"/>
      <c r="L321" s="337"/>
      <c r="M321" s="195">
        <f t="shared" si="4"/>
        <v>5</v>
      </c>
    </row>
    <row r="322" spans="5:13" ht="14.5" x14ac:dyDescent="0.3">
      <c r="E322" s="354"/>
      <c r="F322" s="355"/>
      <c r="G322" s="355"/>
      <c r="H322" s="355"/>
      <c r="I322" s="356"/>
      <c r="J322" s="339"/>
      <c r="K322" s="339"/>
      <c r="L322" s="337"/>
      <c r="M322" s="195">
        <f t="shared" si="4"/>
        <v>5</v>
      </c>
    </row>
    <row r="323" spans="5:13" ht="14.5" x14ac:dyDescent="0.3">
      <c r="E323" s="354"/>
      <c r="F323" s="355"/>
      <c r="G323" s="355"/>
      <c r="H323" s="355"/>
      <c r="I323" s="356"/>
      <c r="J323" s="339"/>
      <c r="K323" s="339"/>
      <c r="L323" s="337"/>
      <c r="M323" s="195">
        <f t="shared" si="4"/>
        <v>5</v>
      </c>
    </row>
    <row r="324" spans="5:13" ht="14.5" x14ac:dyDescent="0.3">
      <c r="E324" s="354"/>
      <c r="F324" s="355"/>
      <c r="G324" s="355"/>
      <c r="H324" s="355"/>
      <c r="I324" s="356"/>
      <c r="J324" s="339"/>
      <c r="K324" s="339"/>
      <c r="L324" s="337"/>
      <c r="M324" s="195">
        <f t="shared" si="4"/>
        <v>5</v>
      </c>
    </row>
    <row r="325" spans="5:13" ht="14.5" x14ac:dyDescent="0.3">
      <c r="E325" s="354"/>
      <c r="F325" s="355"/>
      <c r="G325" s="355"/>
      <c r="H325" s="355"/>
      <c r="I325" s="356"/>
      <c r="J325" s="339"/>
      <c r="K325" s="339"/>
      <c r="L325" s="337"/>
      <c r="M325" s="195">
        <f t="shared" si="4"/>
        <v>5</v>
      </c>
    </row>
    <row r="326" spans="5:13" ht="14.5" x14ac:dyDescent="0.3">
      <c r="E326" s="354"/>
      <c r="F326" s="355"/>
      <c r="G326" s="355"/>
      <c r="H326" s="355"/>
      <c r="I326" s="356"/>
      <c r="J326" s="339"/>
      <c r="K326" s="339"/>
      <c r="L326" s="337"/>
      <c r="M326" s="195">
        <f t="shared" si="4"/>
        <v>5</v>
      </c>
    </row>
    <row r="327" spans="5:13" ht="14.5" x14ac:dyDescent="0.3">
      <c r="E327" s="354"/>
      <c r="F327" s="355"/>
      <c r="G327" s="355"/>
      <c r="H327" s="355"/>
      <c r="I327" s="356"/>
      <c r="J327" s="339"/>
      <c r="K327" s="339"/>
      <c r="L327" s="337"/>
      <c r="M327" s="195">
        <f t="shared" si="4"/>
        <v>5</v>
      </c>
    </row>
    <row r="328" spans="5:13" ht="14.5" x14ac:dyDescent="0.3">
      <c r="E328" s="354"/>
      <c r="F328" s="355"/>
      <c r="G328" s="355"/>
      <c r="H328" s="355"/>
      <c r="I328" s="356"/>
      <c r="J328" s="339"/>
      <c r="K328" s="339"/>
      <c r="L328" s="337"/>
      <c r="M328" s="195">
        <f t="shared" si="4"/>
        <v>5</v>
      </c>
    </row>
    <row r="329" spans="5:13" ht="14.5" x14ac:dyDescent="0.3">
      <c r="E329" s="354"/>
      <c r="F329" s="355"/>
      <c r="G329" s="355"/>
      <c r="H329" s="355"/>
      <c r="I329" s="356"/>
      <c r="J329" s="339"/>
      <c r="K329" s="339"/>
      <c r="L329" s="337"/>
      <c r="M329" s="195">
        <f t="shared" si="4"/>
        <v>5</v>
      </c>
    </row>
    <row r="330" spans="5:13" ht="14.5" x14ac:dyDescent="0.3">
      <c r="E330" s="354"/>
      <c r="F330" s="355"/>
      <c r="G330" s="355"/>
      <c r="H330" s="355"/>
      <c r="I330" s="356"/>
      <c r="J330" s="339"/>
      <c r="K330" s="339"/>
      <c r="L330" s="337"/>
      <c r="M330" s="195">
        <f t="shared" si="4"/>
        <v>5</v>
      </c>
    </row>
    <row r="331" spans="5:13" ht="14.5" x14ac:dyDescent="0.3">
      <c r="E331" s="354"/>
      <c r="F331" s="355"/>
      <c r="G331" s="355"/>
      <c r="H331" s="355"/>
      <c r="I331" s="356"/>
      <c r="J331" s="339"/>
      <c r="K331" s="339"/>
      <c r="L331" s="337"/>
      <c r="M331" s="195">
        <f t="shared" si="4"/>
        <v>5</v>
      </c>
    </row>
    <row r="332" spans="5:13" ht="14.5" x14ac:dyDescent="0.3">
      <c r="E332" s="354"/>
      <c r="F332" s="355"/>
      <c r="G332" s="355"/>
      <c r="H332" s="355"/>
      <c r="I332" s="356"/>
      <c r="J332" s="339"/>
      <c r="K332" s="339"/>
      <c r="L332" s="337"/>
      <c r="M332" s="195">
        <f t="shared" si="4"/>
        <v>5</v>
      </c>
    </row>
    <row r="333" spans="5:13" ht="14.5" x14ac:dyDescent="0.3">
      <c r="E333" s="354"/>
      <c r="F333" s="355"/>
      <c r="G333" s="355"/>
      <c r="H333" s="355"/>
      <c r="I333" s="356"/>
      <c r="J333" s="339"/>
      <c r="K333" s="339"/>
      <c r="L333" s="337"/>
      <c r="M333" s="195">
        <f t="shared" si="4"/>
        <v>5</v>
      </c>
    </row>
    <row r="334" spans="5:13" ht="14.5" x14ac:dyDescent="0.3">
      <c r="E334" s="354"/>
      <c r="F334" s="355"/>
      <c r="G334" s="355"/>
      <c r="H334" s="355"/>
      <c r="I334" s="356"/>
      <c r="J334" s="339"/>
      <c r="K334" s="339"/>
      <c r="L334" s="337"/>
      <c r="M334" s="195">
        <f t="shared" ref="M334:M397" si="5">ISBLANK(E334)+ISBLANK(F334)+ISBLANK(G334)+ISBLANK(H334)+ISBLANK(I334)</f>
        <v>5</v>
      </c>
    </row>
    <row r="335" spans="5:13" ht="14.5" x14ac:dyDescent="0.3">
      <c r="E335" s="354"/>
      <c r="F335" s="355"/>
      <c r="G335" s="355"/>
      <c r="H335" s="355"/>
      <c r="I335" s="356"/>
      <c r="J335" s="339"/>
      <c r="K335" s="339"/>
      <c r="L335" s="337"/>
      <c r="M335" s="195">
        <f t="shared" si="5"/>
        <v>5</v>
      </c>
    </row>
    <row r="336" spans="5:13" ht="14.5" x14ac:dyDescent="0.3">
      <c r="E336" s="354"/>
      <c r="F336" s="355"/>
      <c r="G336" s="355"/>
      <c r="H336" s="355"/>
      <c r="I336" s="356"/>
      <c r="J336" s="339"/>
      <c r="K336" s="339"/>
      <c r="L336" s="337"/>
      <c r="M336" s="195">
        <f t="shared" si="5"/>
        <v>5</v>
      </c>
    </row>
    <row r="337" spans="5:13" ht="14.5" x14ac:dyDescent="0.3">
      <c r="E337" s="354"/>
      <c r="F337" s="355"/>
      <c r="G337" s="355"/>
      <c r="H337" s="355"/>
      <c r="I337" s="356"/>
      <c r="J337" s="339"/>
      <c r="K337" s="339"/>
      <c r="L337" s="337"/>
      <c r="M337" s="195">
        <f t="shared" si="5"/>
        <v>5</v>
      </c>
    </row>
    <row r="338" spans="5:13" ht="14.5" x14ac:dyDescent="0.3">
      <c r="E338" s="354"/>
      <c r="F338" s="355"/>
      <c r="G338" s="355"/>
      <c r="H338" s="355"/>
      <c r="I338" s="356"/>
      <c r="J338" s="339"/>
      <c r="K338" s="339"/>
      <c r="L338" s="337"/>
      <c r="M338" s="195">
        <f t="shared" si="5"/>
        <v>5</v>
      </c>
    </row>
    <row r="339" spans="5:13" ht="14.5" x14ac:dyDescent="0.3">
      <c r="E339" s="354"/>
      <c r="F339" s="355"/>
      <c r="G339" s="355"/>
      <c r="H339" s="355"/>
      <c r="I339" s="356"/>
      <c r="J339" s="339"/>
      <c r="K339" s="339"/>
      <c r="L339" s="337"/>
      <c r="M339" s="195">
        <f t="shared" si="5"/>
        <v>5</v>
      </c>
    </row>
    <row r="340" spans="5:13" ht="14.5" x14ac:dyDescent="0.3">
      <c r="E340" s="354"/>
      <c r="F340" s="355"/>
      <c r="G340" s="355"/>
      <c r="H340" s="355"/>
      <c r="I340" s="356"/>
      <c r="J340" s="339"/>
      <c r="K340" s="339"/>
      <c r="L340" s="337"/>
      <c r="M340" s="195">
        <f t="shared" si="5"/>
        <v>5</v>
      </c>
    </row>
    <row r="341" spans="5:13" ht="14.5" x14ac:dyDescent="0.3">
      <c r="E341" s="354"/>
      <c r="F341" s="355"/>
      <c r="G341" s="355"/>
      <c r="H341" s="355"/>
      <c r="I341" s="356"/>
      <c r="J341" s="339"/>
      <c r="K341" s="339"/>
      <c r="L341" s="337"/>
      <c r="M341" s="195">
        <f t="shared" si="5"/>
        <v>5</v>
      </c>
    </row>
    <row r="342" spans="5:13" ht="14.5" x14ac:dyDescent="0.3">
      <c r="E342" s="354"/>
      <c r="F342" s="355"/>
      <c r="G342" s="355"/>
      <c r="H342" s="355"/>
      <c r="I342" s="356"/>
      <c r="J342" s="339"/>
      <c r="K342" s="339"/>
      <c r="L342" s="337"/>
      <c r="M342" s="195">
        <f t="shared" si="5"/>
        <v>5</v>
      </c>
    </row>
    <row r="343" spans="5:13" ht="14.5" x14ac:dyDescent="0.3">
      <c r="E343" s="354"/>
      <c r="F343" s="355"/>
      <c r="G343" s="355"/>
      <c r="H343" s="355"/>
      <c r="I343" s="356"/>
      <c r="J343" s="339"/>
      <c r="K343" s="339"/>
      <c r="L343" s="337"/>
      <c r="M343" s="195">
        <f t="shared" si="5"/>
        <v>5</v>
      </c>
    </row>
    <row r="344" spans="5:13" ht="14.5" x14ac:dyDescent="0.3">
      <c r="E344" s="354"/>
      <c r="F344" s="355"/>
      <c r="G344" s="355"/>
      <c r="H344" s="355"/>
      <c r="I344" s="356"/>
      <c r="J344" s="339"/>
      <c r="K344" s="339"/>
      <c r="L344" s="337"/>
      <c r="M344" s="195">
        <f t="shared" si="5"/>
        <v>5</v>
      </c>
    </row>
    <row r="345" spans="5:13" ht="14.5" x14ac:dyDescent="0.3">
      <c r="E345" s="354"/>
      <c r="F345" s="355"/>
      <c r="G345" s="355"/>
      <c r="H345" s="355"/>
      <c r="I345" s="356"/>
      <c r="J345" s="339"/>
      <c r="K345" s="339"/>
      <c r="L345" s="337"/>
      <c r="M345" s="195">
        <f t="shared" si="5"/>
        <v>5</v>
      </c>
    </row>
    <row r="346" spans="5:13" ht="14.5" x14ac:dyDescent="0.3">
      <c r="E346" s="354"/>
      <c r="F346" s="355"/>
      <c r="G346" s="355"/>
      <c r="H346" s="355"/>
      <c r="I346" s="356"/>
      <c r="J346" s="339"/>
      <c r="K346" s="339"/>
      <c r="L346" s="337"/>
      <c r="M346" s="195">
        <f t="shared" si="5"/>
        <v>5</v>
      </c>
    </row>
    <row r="347" spans="5:13" ht="14.5" x14ac:dyDescent="0.3">
      <c r="E347" s="354"/>
      <c r="F347" s="355"/>
      <c r="G347" s="355"/>
      <c r="H347" s="355"/>
      <c r="I347" s="356"/>
      <c r="J347" s="339"/>
      <c r="K347" s="339"/>
      <c r="L347" s="337"/>
      <c r="M347" s="195">
        <f t="shared" si="5"/>
        <v>5</v>
      </c>
    </row>
    <row r="348" spans="5:13" ht="14.5" x14ac:dyDescent="0.3">
      <c r="E348" s="354"/>
      <c r="F348" s="355"/>
      <c r="G348" s="355"/>
      <c r="H348" s="355"/>
      <c r="I348" s="356"/>
      <c r="J348" s="339"/>
      <c r="K348" s="339"/>
      <c r="L348" s="337"/>
      <c r="M348" s="195">
        <f t="shared" si="5"/>
        <v>5</v>
      </c>
    </row>
    <row r="349" spans="5:13" ht="14.5" x14ac:dyDescent="0.3">
      <c r="E349" s="354"/>
      <c r="F349" s="355"/>
      <c r="G349" s="355"/>
      <c r="H349" s="355"/>
      <c r="I349" s="356"/>
      <c r="J349" s="339"/>
      <c r="K349" s="339"/>
      <c r="L349" s="337"/>
      <c r="M349" s="195">
        <f t="shared" si="5"/>
        <v>5</v>
      </c>
    </row>
    <row r="350" spans="5:13" ht="14.5" x14ac:dyDescent="0.3">
      <c r="E350" s="354"/>
      <c r="F350" s="355"/>
      <c r="G350" s="355"/>
      <c r="H350" s="355"/>
      <c r="I350" s="356"/>
      <c r="J350" s="339"/>
      <c r="K350" s="339"/>
      <c r="L350" s="337"/>
      <c r="M350" s="195">
        <f t="shared" si="5"/>
        <v>5</v>
      </c>
    </row>
    <row r="351" spans="5:13" ht="14.5" x14ac:dyDescent="0.3">
      <c r="E351" s="354"/>
      <c r="F351" s="355"/>
      <c r="G351" s="355"/>
      <c r="H351" s="355"/>
      <c r="I351" s="356"/>
      <c r="J351" s="339"/>
      <c r="K351" s="339"/>
      <c r="L351" s="337"/>
      <c r="M351" s="195">
        <f t="shared" si="5"/>
        <v>5</v>
      </c>
    </row>
    <row r="352" spans="5:13" ht="14.5" x14ac:dyDescent="0.3">
      <c r="E352" s="354"/>
      <c r="F352" s="355"/>
      <c r="G352" s="355"/>
      <c r="H352" s="355"/>
      <c r="I352" s="356"/>
      <c r="J352" s="339"/>
      <c r="K352" s="339"/>
      <c r="L352" s="337"/>
      <c r="M352" s="195">
        <f t="shared" si="5"/>
        <v>5</v>
      </c>
    </row>
    <row r="353" spans="5:13" ht="14.5" x14ac:dyDescent="0.3">
      <c r="E353" s="354"/>
      <c r="F353" s="355"/>
      <c r="G353" s="355"/>
      <c r="H353" s="355"/>
      <c r="I353" s="356"/>
      <c r="J353" s="339"/>
      <c r="K353" s="339"/>
      <c r="L353" s="337"/>
      <c r="M353" s="195">
        <f t="shared" si="5"/>
        <v>5</v>
      </c>
    </row>
    <row r="354" spans="5:13" ht="14.5" x14ac:dyDescent="0.3">
      <c r="E354" s="354"/>
      <c r="F354" s="355"/>
      <c r="G354" s="355"/>
      <c r="H354" s="355"/>
      <c r="I354" s="356"/>
      <c r="J354" s="339"/>
      <c r="K354" s="339"/>
      <c r="L354" s="337"/>
      <c r="M354" s="195">
        <f t="shared" si="5"/>
        <v>5</v>
      </c>
    </row>
    <row r="355" spans="5:13" ht="14.5" x14ac:dyDescent="0.3">
      <c r="E355" s="354"/>
      <c r="F355" s="355"/>
      <c r="G355" s="355"/>
      <c r="H355" s="355"/>
      <c r="I355" s="356"/>
      <c r="J355" s="339"/>
      <c r="K355" s="339"/>
      <c r="L355" s="337"/>
      <c r="M355" s="195">
        <f t="shared" si="5"/>
        <v>5</v>
      </c>
    </row>
    <row r="356" spans="5:13" ht="14.5" x14ac:dyDescent="0.3">
      <c r="E356" s="354"/>
      <c r="F356" s="355"/>
      <c r="G356" s="355"/>
      <c r="H356" s="355"/>
      <c r="I356" s="356"/>
      <c r="J356" s="339"/>
      <c r="K356" s="339"/>
      <c r="L356" s="337"/>
      <c r="M356" s="195">
        <f t="shared" si="5"/>
        <v>5</v>
      </c>
    </row>
    <row r="357" spans="5:13" ht="14.5" x14ac:dyDescent="0.3">
      <c r="E357" s="354"/>
      <c r="F357" s="355"/>
      <c r="G357" s="355"/>
      <c r="H357" s="355"/>
      <c r="I357" s="356"/>
      <c r="J357" s="339"/>
      <c r="K357" s="339"/>
      <c r="L357" s="337"/>
      <c r="M357" s="195">
        <f t="shared" si="5"/>
        <v>5</v>
      </c>
    </row>
    <row r="358" spans="5:13" ht="14.5" x14ac:dyDescent="0.3">
      <c r="E358" s="354"/>
      <c r="F358" s="355"/>
      <c r="G358" s="355"/>
      <c r="H358" s="355"/>
      <c r="I358" s="356"/>
      <c r="J358" s="339"/>
      <c r="K358" s="339"/>
      <c r="L358" s="337"/>
      <c r="M358" s="195">
        <f t="shared" si="5"/>
        <v>5</v>
      </c>
    </row>
    <row r="359" spans="5:13" ht="14.5" x14ac:dyDescent="0.3">
      <c r="E359" s="354"/>
      <c r="F359" s="355"/>
      <c r="G359" s="355"/>
      <c r="H359" s="355"/>
      <c r="I359" s="356"/>
      <c r="J359" s="339"/>
      <c r="K359" s="339"/>
      <c r="L359" s="337"/>
      <c r="M359" s="195">
        <f t="shared" si="5"/>
        <v>5</v>
      </c>
    </row>
    <row r="360" spans="5:13" ht="14.5" x14ac:dyDescent="0.3">
      <c r="E360" s="354"/>
      <c r="F360" s="355"/>
      <c r="G360" s="355"/>
      <c r="H360" s="355"/>
      <c r="I360" s="356"/>
      <c r="J360" s="339"/>
      <c r="K360" s="339"/>
      <c r="L360" s="337"/>
      <c r="M360" s="195">
        <f t="shared" si="5"/>
        <v>5</v>
      </c>
    </row>
    <row r="361" spans="5:13" ht="14.5" x14ac:dyDescent="0.3">
      <c r="E361" s="354"/>
      <c r="F361" s="355"/>
      <c r="G361" s="355"/>
      <c r="H361" s="355"/>
      <c r="I361" s="356"/>
      <c r="J361" s="339"/>
      <c r="K361" s="339"/>
      <c r="L361" s="337"/>
      <c r="M361" s="195">
        <f t="shared" si="5"/>
        <v>5</v>
      </c>
    </row>
    <row r="362" spans="5:13" ht="14.5" x14ac:dyDescent="0.3">
      <c r="E362" s="354"/>
      <c r="F362" s="355"/>
      <c r="G362" s="355"/>
      <c r="H362" s="355"/>
      <c r="I362" s="356"/>
      <c r="J362" s="339"/>
      <c r="K362" s="339"/>
      <c r="L362" s="337"/>
      <c r="M362" s="195">
        <f t="shared" si="5"/>
        <v>5</v>
      </c>
    </row>
    <row r="363" spans="5:13" ht="14.5" x14ac:dyDescent="0.3">
      <c r="E363" s="354"/>
      <c r="F363" s="355"/>
      <c r="G363" s="355"/>
      <c r="H363" s="355"/>
      <c r="I363" s="356"/>
      <c r="J363" s="339"/>
      <c r="K363" s="339"/>
      <c r="L363" s="337"/>
      <c r="M363" s="195">
        <f t="shared" si="5"/>
        <v>5</v>
      </c>
    </row>
    <row r="364" spans="5:13" ht="14.5" x14ac:dyDescent="0.3">
      <c r="E364" s="354"/>
      <c r="F364" s="355"/>
      <c r="G364" s="355"/>
      <c r="H364" s="355"/>
      <c r="I364" s="356"/>
      <c r="J364" s="339"/>
      <c r="K364" s="339"/>
      <c r="L364" s="337"/>
      <c r="M364" s="195">
        <f t="shared" si="5"/>
        <v>5</v>
      </c>
    </row>
    <row r="365" spans="5:13" ht="14.5" x14ac:dyDescent="0.3">
      <c r="E365" s="354"/>
      <c r="F365" s="355"/>
      <c r="G365" s="355"/>
      <c r="H365" s="355"/>
      <c r="I365" s="356"/>
      <c r="J365" s="339"/>
      <c r="K365" s="339"/>
      <c r="L365" s="337"/>
      <c r="M365" s="195">
        <f t="shared" si="5"/>
        <v>5</v>
      </c>
    </row>
    <row r="366" spans="5:13" ht="14.5" x14ac:dyDescent="0.3">
      <c r="E366" s="354"/>
      <c r="F366" s="355"/>
      <c r="G366" s="355"/>
      <c r="H366" s="355"/>
      <c r="I366" s="356"/>
      <c r="J366" s="339"/>
      <c r="K366" s="339"/>
      <c r="L366" s="337"/>
      <c r="M366" s="195">
        <f t="shared" si="5"/>
        <v>5</v>
      </c>
    </row>
    <row r="367" spans="5:13" ht="14.5" x14ac:dyDescent="0.3">
      <c r="E367" s="354"/>
      <c r="F367" s="355"/>
      <c r="G367" s="355"/>
      <c r="H367" s="355"/>
      <c r="I367" s="356"/>
      <c r="J367" s="339"/>
      <c r="K367" s="339"/>
      <c r="L367" s="337"/>
      <c r="M367" s="195">
        <f t="shared" si="5"/>
        <v>5</v>
      </c>
    </row>
    <row r="368" spans="5:13" ht="14.5" x14ac:dyDescent="0.3">
      <c r="E368" s="354"/>
      <c r="F368" s="355"/>
      <c r="G368" s="355"/>
      <c r="H368" s="355"/>
      <c r="I368" s="356"/>
      <c r="J368" s="339"/>
      <c r="K368" s="339"/>
      <c r="L368" s="337"/>
      <c r="M368" s="195">
        <f t="shared" si="5"/>
        <v>5</v>
      </c>
    </row>
    <row r="369" spans="5:13" ht="14.5" x14ac:dyDescent="0.3">
      <c r="E369" s="354"/>
      <c r="F369" s="355"/>
      <c r="G369" s="355"/>
      <c r="H369" s="355"/>
      <c r="I369" s="356"/>
      <c r="J369" s="339"/>
      <c r="K369" s="339"/>
      <c r="L369" s="337"/>
      <c r="M369" s="195">
        <f t="shared" si="5"/>
        <v>5</v>
      </c>
    </row>
    <row r="370" spans="5:13" ht="14.5" x14ac:dyDescent="0.3">
      <c r="E370" s="354"/>
      <c r="F370" s="355"/>
      <c r="G370" s="355"/>
      <c r="H370" s="355"/>
      <c r="I370" s="356"/>
      <c r="J370" s="339"/>
      <c r="K370" s="339"/>
      <c r="L370" s="337"/>
      <c r="M370" s="195">
        <f t="shared" si="5"/>
        <v>5</v>
      </c>
    </row>
    <row r="371" spans="5:13" ht="14.5" x14ac:dyDescent="0.3">
      <c r="E371" s="354"/>
      <c r="F371" s="355"/>
      <c r="G371" s="355"/>
      <c r="H371" s="355"/>
      <c r="I371" s="356"/>
      <c r="J371" s="339"/>
      <c r="K371" s="339"/>
      <c r="L371" s="337"/>
      <c r="M371" s="195">
        <f t="shared" si="5"/>
        <v>5</v>
      </c>
    </row>
    <row r="372" spans="5:13" ht="14.5" x14ac:dyDescent="0.3">
      <c r="E372" s="354"/>
      <c r="F372" s="355"/>
      <c r="G372" s="355"/>
      <c r="H372" s="355"/>
      <c r="I372" s="356"/>
      <c r="J372" s="339"/>
      <c r="K372" s="339"/>
      <c r="L372" s="337"/>
      <c r="M372" s="195">
        <f t="shared" si="5"/>
        <v>5</v>
      </c>
    </row>
    <row r="373" spans="5:13" ht="14.5" x14ac:dyDescent="0.3">
      <c r="E373" s="354"/>
      <c r="F373" s="355"/>
      <c r="G373" s="355"/>
      <c r="H373" s="355"/>
      <c r="I373" s="356"/>
      <c r="J373" s="339"/>
      <c r="K373" s="339"/>
      <c r="L373" s="337"/>
      <c r="M373" s="195">
        <f t="shared" si="5"/>
        <v>5</v>
      </c>
    </row>
    <row r="374" spans="5:13" ht="14.5" x14ac:dyDescent="0.3">
      <c r="E374" s="354"/>
      <c r="F374" s="355"/>
      <c r="G374" s="355"/>
      <c r="H374" s="355"/>
      <c r="I374" s="356"/>
      <c r="J374" s="339"/>
      <c r="K374" s="339"/>
      <c r="L374" s="337"/>
      <c r="M374" s="195">
        <f t="shared" si="5"/>
        <v>5</v>
      </c>
    </row>
    <row r="375" spans="5:13" ht="14.5" x14ac:dyDescent="0.3">
      <c r="E375" s="354"/>
      <c r="F375" s="355"/>
      <c r="G375" s="355"/>
      <c r="H375" s="355"/>
      <c r="I375" s="356"/>
      <c r="J375" s="339"/>
      <c r="K375" s="339"/>
      <c r="L375" s="337"/>
      <c r="M375" s="195">
        <f t="shared" si="5"/>
        <v>5</v>
      </c>
    </row>
    <row r="376" spans="5:13" ht="14.5" x14ac:dyDescent="0.3">
      <c r="E376" s="354"/>
      <c r="F376" s="355"/>
      <c r="G376" s="355"/>
      <c r="H376" s="355"/>
      <c r="I376" s="356"/>
      <c r="J376" s="339"/>
      <c r="K376" s="339"/>
      <c r="L376" s="337"/>
      <c r="M376" s="195">
        <f t="shared" si="5"/>
        <v>5</v>
      </c>
    </row>
    <row r="377" spans="5:13" ht="14.5" x14ac:dyDescent="0.3">
      <c r="E377" s="354"/>
      <c r="F377" s="355"/>
      <c r="G377" s="355"/>
      <c r="H377" s="355"/>
      <c r="I377" s="356"/>
      <c r="J377" s="339"/>
      <c r="K377" s="339"/>
      <c r="L377" s="337"/>
      <c r="M377" s="195">
        <f t="shared" si="5"/>
        <v>5</v>
      </c>
    </row>
    <row r="378" spans="5:13" ht="14.5" x14ac:dyDescent="0.3">
      <c r="E378" s="354"/>
      <c r="F378" s="355"/>
      <c r="G378" s="355"/>
      <c r="H378" s="355"/>
      <c r="I378" s="356"/>
      <c r="J378" s="339"/>
      <c r="K378" s="339"/>
      <c r="L378" s="337"/>
      <c r="M378" s="195">
        <f t="shared" si="5"/>
        <v>5</v>
      </c>
    </row>
    <row r="379" spans="5:13" ht="14.5" x14ac:dyDescent="0.3">
      <c r="E379" s="354"/>
      <c r="F379" s="355"/>
      <c r="G379" s="355"/>
      <c r="H379" s="355"/>
      <c r="I379" s="356"/>
      <c r="J379" s="339"/>
      <c r="K379" s="339"/>
      <c r="L379" s="337"/>
      <c r="M379" s="195">
        <f t="shared" si="5"/>
        <v>5</v>
      </c>
    </row>
    <row r="380" spans="5:13" ht="14.5" x14ac:dyDescent="0.3">
      <c r="E380" s="354"/>
      <c r="F380" s="355"/>
      <c r="G380" s="355"/>
      <c r="H380" s="355"/>
      <c r="I380" s="356"/>
      <c r="J380" s="339"/>
      <c r="K380" s="339"/>
      <c r="L380" s="337"/>
      <c r="M380" s="195">
        <f t="shared" si="5"/>
        <v>5</v>
      </c>
    </row>
    <row r="381" spans="5:13" ht="14.5" x14ac:dyDescent="0.3">
      <c r="E381" s="354"/>
      <c r="F381" s="355"/>
      <c r="G381" s="355"/>
      <c r="H381" s="355"/>
      <c r="I381" s="356"/>
      <c r="J381" s="339"/>
      <c r="K381" s="339"/>
      <c r="L381" s="337"/>
      <c r="M381" s="195">
        <f t="shared" si="5"/>
        <v>5</v>
      </c>
    </row>
    <row r="382" spans="5:13" ht="14.5" x14ac:dyDescent="0.3">
      <c r="E382" s="354"/>
      <c r="F382" s="355"/>
      <c r="G382" s="355"/>
      <c r="H382" s="355"/>
      <c r="I382" s="356"/>
      <c r="J382" s="339"/>
      <c r="K382" s="339"/>
      <c r="L382" s="337"/>
      <c r="M382" s="195">
        <f t="shared" si="5"/>
        <v>5</v>
      </c>
    </row>
    <row r="383" spans="5:13" ht="14.5" x14ac:dyDescent="0.3">
      <c r="E383" s="354"/>
      <c r="F383" s="355"/>
      <c r="G383" s="355"/>
      <c r="H383" s="355"/>
      <c r="I383" s="356"/>
      <c r="J383" s="339"/>
      <c r="K383" s="339"/>
      <c r="L383" s="337"/>
      <c r="M383" s="195">
        <f t="shared" si="5"/>
        <v>5</v>
      </c>
    </row>
    <row r="384" spans="5:13" ht="14.5" x14ac:dyDescent="0.3">
      <c r="E384" s="354"/>
      <c r="F384" s="355"/>
      <c r="G384" s="355"/>
      <c r="H384" s="355"/>
      <c r="I384" s="356"/>
      <c r="J384" s="339"/>
      <c r="K384" s="339"/>
      <c r="L384" s="337"/>
      <c r="M384" s="195">
        <f t="shared" si="5"/>
        <v>5</v>
      </c>
    </row>
    <row r="385" spans="5:13" ht="14.5" x14ac:dyDescent="0.3">
      <c r="E385" s="354"/>
      <c r="F385" s="355"/>
      <c r="G385" s="355"/>
      <c r="H385" s="355"/>
      <c r="I385" s="356"/>
      <c r="J385" s="339"/>
      <c r="K385" s="339"/>
      <c r="L385" s="337"/>
      <c r="M385" s="195">
        <f t="shared" si="5"/>
        <v>5</v>
      </c>
    </row>
    <row r="386" spans="5:13" ht="14.5" x14ac:dyDescent="0.3">
      <c r="E386" s="354"/>
      <c r="F386" s="355"/>
      <c r="G386" s="355"/>
      <c r="H386" s="355"/>
      <c r="I386" s="356"/>
      <c r="J386" s="339"/>
      <c r="K386" s="339"/>
      <c r="L386" s="337"/>
      <c r="M386" s="195">
        <f t="shared" si="5"/>
        <v>5</v>
      </c>
    </row>
    <row r="387" spans="5:13" ht="14.5" x14ac:dyDescent="0.3">
      <c r="E387" s="354"/>
      <c r="F387" s="355"/>
      <c r="G387" s="355"/>
      <c r="H387" s="355"/>
      <c r="I387" s="356"/>
      <c r="J387" s="339"/>
      <c r="K387" s="339"/>
      <c r="L387" s="337"/>
      <c r="M387" s="195">
        <f t="shared" si="5"/>
        <v>5</v>
      </c>
    </row>
    <row r="388" spans="5:13" ht="14.5" x14ac:dyDescent="0.3">
      <c r="E388" s="354"/>
      <c r="F388" s="355"/>
      <c r="G388" s="355"/>
      <c r="H388" s="355"/>
      <c r="I388" s="356"/>
      <c r="J388" s="339"/>
      <c r="K388" s="339"/>
      <c r="L388" s="337"/>
      <c r="M388" s="195">
        <f t="shared" si="5"/>
        <v>5</v>
      </c>
    </row>
    <row r="389" spans="5:13" ht="14.5" x14ac:dyDescent="0.3">
      <c r="E389" s="354"/>
      <c r="F389" s="355"/>
      <c r="G389" s="355"/>
      <c r="H389" s="355"/>
      <c r="I389" s="356"/>
      <c r="J389" s="339"/>
      <c r="K389" s="339"/>
      <c r="L389" s="337"/>
      <c r="M389" s="195">
        <f t="shared" si="5"/>
        <v>5</v>
      </c>
    </row>
    <row r="390" spans="5:13" ht="14.5" x14ac:dyDescent="0.3">
      <c r="E390" s="354"/>
      <c r="F390" s="355"/>
      <c r="G390" s="355"/>
      <c r="H390" s="355"/>
      <c r="I390" s="356"/>
      <c r="J390" s="339"/>
      <c r="K390" s="339"/>
      <c r="L390" s="337"/>
      <c r="M390" s="195">
        <f t="shared" si="5"/>
        <v>5</v>
      </c>
    </row>
    <row r="391" spans="5:13" ht="14.5" x14ac:dyDescent="0.3">
      <c r="E391" s="354"/>
      <c r="F391" s="355"/>
      <c r="G391" s="355"/>
      <c r="H391" s="355"/>
      <c r="I391" s="356"/>
      <c r="J391" s="339"/>
      <c r="K391" s="339"/>
      <c r="L391" s="337"/>
      <c r="M391" s="195">
        <f t="shared" si="5"/>
        <v>5</v>
      </c>
    </row>
    <row r="392" spans="5:13" ht="14.5" x14ac:dyDescent="0.3">
      <c r="E392" s="354"/>
      <c r="F392" s="355"/>
      <c r="G392" s="355"/>
      <c r="H392" s="355"/>
      <c r="I392" s="356"/>
      <c r="J392" s="339"/>
      <c r="K392" s="339"/>
      <c r="L392" s="337"/>
      <c r="M392" s="195">
        <f t="shared" si="5"/>
        <v>5</v>
      </c>
    </row>
    <row r="393" spans="5:13" ht="14.5" x14ac:dyDescent="0.3">
      <c r="E393" s="354"/>
      <c r="F393" s="355"/>
      <c r="G393" s="355"/>
      <c r="H393" s="355"/>
      <c r="I393" s="356"/>
      <c r="J393" s="339"/>
      <c r="K393" s="339"/>
      <c r="L393" s="337"/>
      <c r="M393" s="195">
        <f t="shared" si="5"/>
        <v>5</v>
      </c>
    </row>
    <row r="394" spans="5:13" ht="14.5" x14ac:dyDescent="0.3">
      <c r="E394" s="354"/>
      <c r="F394" s="355"/>
      <c r="G394" s="355"/>
      <c r="H394" s="355"/>
      <c r="I394" s="356"/>
      <c r="J394" s="339"/>
      <c r="K394" s="339"/>
      <c r="L394" s="337"/>
      <c r="M394" s="195">
        <f t="shared" si="5"/>
        <v>5</v>
      </c>
    </row>
    <row r="395" spans="5:13" ht="14.5" x14ac:dyDescent="0.3">
      <c r="E395" s="354"/>
      <c r="F395" s="355"/>
      <c r="G395" s="355"/>
      <c r="H395" s="355"/>
      <c r="I395" s="356"/>
      <c r="J395" s="339"/>
      <c r="K395" s="339"/>
      <c r="L395" s="337"/>
      <c r="M395" s="195">
        <f t="shared" si="5"/>
        <v>5</v>
      </c>
    </row>
    <row r="396" spans="5:13" ht="14.5" x14ac:dyDescent="0.3">
      <c r="E396" s="354"/>
      <c r="F396" s="355"/>
      <c r="G396" s="355"/>
      <c r="H396" s="355"/>
      <c r="I396" s="356"/>
      <c r="J396" s="339"/>
      <c r="K396" s="339"/>
      <c r="L396" s="337"/>
      <c r="M396" s="195">
        <f t="shared" si="5"/>
        <v>5</v>
      </c>
    </row>
    <row r="397" spans="5:13" ht="14.5" x14ac:dyDescent="0.3">
      <c r="E397" s="354"/>
      <c r="F397" s="355"/>
      <c r="G397" s="355"/>
      <c r="H397" s="355"/>
      <c r="I397" s="356"/>
      <c r="J397" s="339"/>
      <c r="K397" s="339"/>
      <c r="L397" s="337"/>
      <c r="M397" s="195">
        <f t="shared" si="5"/>
        <v>5</v>
      </c>
    </row>
    <row r="398" spans="5:13" ht="14.5" x14ac:dyDescent="0.3">
      <c r="E398" s="354"/>
      <c r="F398" s="355"/>
      <c r="G398" s="355"/>
      <c r="H398" s="355"/>
      <c r="I398" s="356"/>
      <c r="J398" s="339"/>
      <c r="K398" s="339"/>
      <c r="L398" s="337"/>
      <c r="M398" s="195">
        <f t="shared" ref="M398:M461" si="6">ISBLANK(E398)+ISBLANK(F398)+ISBLANK(G398)+ISBLANK(H398)+ISBLANK(I398)</f>
        <v>5</v>
      </c>
    </row>
    <row r="399" spans="5:13" ht="14.5" x14ac:dyDescent="0.3">
      <c r="E399" s="354"/>
      <c r="F399" s="355"/>
      <c r="G399" s="355"/>
      <c r="H399" s="355"/>
      <c r="I399" s="356"/>
      <c r="J399" s="339"/>
      <c r="K399" s="339"/>
      <c r="L399" s="337"/>
      <c r="M399" s="195">
        <f t="shared" si="6"/>
        <v>5</v>
      </c>
    </row>
    <row r="400" spans="5:13" ht="14.5" x14ac:dyDescent="0.3">
      <c r="E400" s="354"/>
      <c r="F400" s="355"/>
      <c r="G400" s="355"/>
      <c r="H400" s="355"/>
      <c r="I400" s="356"/>
      <c r="J400" s="339"/>
      <c r="K400" s="339"/>
      <c r="L400" s="337"/>
      <c r="M400" s="195">
        <f t="shared" si="6"/>
        <v>5</v>
      </c>
    </row>
    <row r="401" spans="5:13" ht="14.5" x14ac:dyDescent="0.3">
      <c r="E401" s="354"/>
      <c r="F401" s="355"/>
      <c r="G401" s="355"/>
      <c r="H401" s="355"/>
      <c r="I401" s="356"/>
      <c r="J401" s="339"/>
      <c r="K401" s="339"/>
      <c r="L401" s="337"/>
      <c r="M401" s="195">
        <f t="shared" si="6"/>
        <v>5</v>
      </c>
    </row>
    <row r="402" spans="5:13" ht="14.5" x14ac:dyDescent="0.3">
      <c r="E402" s="354"/>
      <c r="F402" s="355"/>
      <c r="G402" s="355"/>
      <c r="H402" s="355"/>
      <c r="I402" s="356"/>
      <c r="J402" s="339"/>
      <c r="K402" s="339"/>
      <c r="L402" s="337"/>
      <c r="M402" s="195">
        <f t="shared" si="6"/>
        <v>5</v>
      </c>
    </row>
    <row r="403" spans="5:13" ht="14.5" x14ac:dyDescent="0.3">
      <c r="E403" s="354"/>
      <c r="F403" s="355"/>
      <c r="G403" s="355"/>
      <c r="H403" s="355"/>
      <c r="I403" s="356"/>
      <c r="J403" s="339"/>
      <c r="K403" s="339"/>
      <c r="L403" s="337"/>
      <c r="M403" s="195">
        <f t="shared" si="6"/>
        <v>5</v>
      </c>
    </row>
    <row r="404" spans="5:13" ht="14.5" x14ac:dyDescent="0.3">
      <c r="E404" s="354"/>
      <c r="F404" s="355"/>
      <c r="G404" s="355"/>
      <c r="H404" s="355"/>
      <c r="I404" s="356"/>
      <c r="J404" s="339"/>
      <c r="K404" s="339"/>
      <c r="L404" s="337"/>
      <c r="M404" s="195">
        <f t="shared" si="6"/>
        <v>5</v>
      </c>
    </row>
    <row r="405" spans="5:13" ht="14.5" x14ac:dyDescent="0.3">
      <c r="E405" s="354"/>
      <c r="F405" s="355"/>
      <c r="G405" s="355"/>
      <c r="H405" s="355"/>
      <c r="I405" s="356"/>
      <c r="J405" s="339"/>
      <c r="K405" s="339"/>
      <c r="L405" s="337"/>
      <c r="M405" s="195">
        <f t="shared" si="6"/>
        <v>5</v>
      </c>
    </row>
    <row r="406" spans="5:13" ht="14.5" x14ac:dyDescent="0.3">
      <c r="E406" s="354"/>
      <c r="F406" s="355"/>
      <c r="G406" s="355"/>
      <c r="H406" s="355"/>
      <c r="I406" s="356"/>
      <c r="J406" s="339"/>
      <c r="K406" s="339"/>
      <c r="L406" s="337"/>
      <c r="M406" s="195">
        <f t="shared" si="6"/>
        <v>5</v>
      </c>
    </row>
    <row r="407" spans="5:13" ht="14.5" x14ac:dyDescent="0.3">
      <c r="E407" s="354"/>
      <c r="F407" s="355"/>
      <c r="G407" s="355"/>
      <c r="H407" s="355"/>
      <c r="I407" s="356"/>
      <c r="J407" s="339"/>
      <c r="K407" s="339"/>
      <c r="L407" s="337"/>
      <c r="M407" s="195">
        <f t="shared" si="6"/>
        <v>5</v>
      </c>
    </row>
    <row r="408" spans="5:13" ht="14.5" x14ac:dyDescent="0.3">
      <c r="E408" s="354"/>
      <c r="F408" s="355"/>
      <c r="G408" s="355"/>
      <c r="H408" s="355"/>
      <c r="I408" s="356"/>
      <c r="J408" s="339"/>
      <c r="K408" s="339"/>
      <c r="L408" s="337"/>
      <c r="M408" s="195">
        <f t="shared" si="6"/>
        <v>5</v>
      </c>
    </row>
    <row r="409" spans="5:13" ht="14.5" x14ac:dyDescent="0.3">
      <c r="E409" s="354"/>
      <c r="F409" s="355"/>
      <c r="G409" s="355"/>
      <c r="H409" s="355"/>
      <c r="I409" s="356"/>
      <c r="J409" s="339"/>
      <c r="K409" s="339"/>
      <c r="L409" s="337"/>
      <c r="M409" s="195">
        <f t="shared" si="6"/>
        <v>5</v>
      </c>
    </row>
    <row r="410" spans="5:13" ht="14.5" x14ac:dyDescent="0.3">
      <c r="E410" s="354"/>
      <c r="F410" s="355"/>
      <c r="G410" s="355"/>
      <c r="H410" s="355"/>
      <c r="I410" s="356"/>
      <c r="J410" s="339"/>
      <c r="K410" s="339"/>
      <c r="L410" s="337"/>
      <c r="M410" s="195">
        <f t="shared" si="6"/>
        <v>5</v>
      </c>
    </row>
    <row r="411" spans="5:13" ht="14.5" x14ac:dyDescent="0.3">
      <c r="E411" s="354"/>
      <c r="F411" s="355"/>
      <c r="G411" s="355"/>
      <c r="H411" s="355"/>
      <c r="I411" s="356"/>
      <c r="J411" s="339"/>
      <c r="K411" s="339"/>
      <c r="L411" s="337"/>
      <c r="M411" s="195">
        <f t="shared" si="6"/>
        <v>5</v>
      </c>
    </row>
    <row r="412" spans="5:13" ht="14.5" x14ac:dyDescent="0.3">
      <c r="E412" s="354"/>
      <c r="F412" s="355"/>
      <c r="G412" s="355"/>
      <c r="H412" s="355"/>
      <c r="I412" s="356"/>
      <c r="J412" s="339"/>
      <c r="K412" s="339"/>
      <c r="L412" s="337"/>
      <c r="M412" s="195">
        <f t="shared" si="6"/>
        <v>5</v>
      </c>
    </row>
    <row r="413" spans="5:13" ht="14.5" x14ac:dyDescent="0.3">
      <c r="E413" s="354"/>
      <c r="F413" s="355"/>
      <c r="G413" s="355"/>
      <c r="H413" s="355"/>
      <c r="I413" s="356"/>
      <c r="J413" s="339"/>
      <c r="K413" s="339"/>
      <c r="L413" s="337"/>
      <c r="M413" s="195">
        <f t="shared" si="6"/>
        <v>5</v>
      </c>
    </row>
    <row r="414" spans="5:13" ht="14.5" x14ac:dyDescent="0.3">
      <c r="E414" s="354"/>
      <c r="F414" s="355"/>
      <c r="G414" s="355"/>
      <c r="H414" s="355"/>
      <c r="I414" s="356"/>
      <c r="J414" s="339"/>
      <c r="K414" s="339"/>
      <c r="L414" s="337"/>
      <c r="M414" s="195">
        <f t="shared" si="6"/>
        <v>5</v>
      </c>
    </row>
    <row r="415" spans="5:13" ht="14.5" x14ac:dyDescent="0.3">
      <c r="E415" s="354"/>
      <c r="F415" s="355"/>
      <c r="G415" s="355"/>
      <c r="H415" s="355"/>
      <c r="I415" s="356"/>
      <c r="J415" s="339"/>
      <c r="K415" s="339"/>
      <c r="L415" s="337"/>
      <c r="M415" s="195">
        <f t="shared" si="6"/>
        <v>5</v>
      </c>
    </row>
    <row r="416" spans="5:13" ht="14.5" x14ac:dyDescent="0.3">
      <c r="E416" s="354"/>
      <c r="F416" s="355"/>
      <c r="G416" s="355"/>
      <c r="H416" s="355"/>
      <c r="I416" s="356"/>
      <c r="J416" s="339"/>
      <c r="K416" s="339"/>
      <c r="L416" s="337"/>
      <c r="M416" s="195">
        <f t="shared" si="6"/>
        <v>5</v>
      </c>
    </row>
    <row r="417" spans="5:13" ht="14.5" x14ac:dyDescent="0.3">
      <c r="E417" s="354"/>
      <c r="F417" s="355"/>
      <c r="G417" s="355"/>
      <c r="H417" s="355"/>
      <c r="I417" s="356"/>
      <c r="J417" s="339"/>
      <c r="K417" s="339"/>
      <c r="L417" s="337"/>
      <c r="M417" s="195">
        <f t="shared" si="6"/>
        <v>5</v>
      </c>
    </row>
    <row r="418" spans="5:13" ht="14.5" x14ac:dyDescent="0.3">
      <c r="E418" s="354"/>
      <c r="F418" s="355"/>
      <c r="G418" s="355"/>
      <c r="H418" s="355"/>
      <c r="I418" s="356"/>
      <c r="J418" s="339"/>
      <c r="K418" s="339"/>
      <c r="L418" s="337"/>
      <c r="M418" s="195">
        <f t="shared" si="6"/>
        <v>5</v>
      </c>
    </row>
    <row r="419" spans="5:13" ht="14.5" x14ac:dyDescent="0.3">
      <c r="E419" s="354"/>
      <c r="F419" s="355"/>
      <c r="G419" s="355"/>
      <c r="H419" s="355"/>
      <c r="I419" s="356"/>
      <c r="J419" s="339"/>
      <c r="K419" s="339"/>
      <c r="L419" s="337"/>
      <c r="M419" s="195">
        <f t="shared" si="6"/>
        <v>5</v>
      </c>
    </row>
    <row r="420" spans="5:13" ht="14.5" x14ac:dyDescent="0.3">
      <c r="E420" s="354"/>
      <c r="F420" s="355"/>
      <c r="G420" s="355"/>
      <c r="H420" s="355"/>
      <c r="I420" s="356"/>
      <c r="J420" s="339"/>
      <c r="K420" s="339"/>
      <c r="L420" s="337"/>
      <c r="M420" s="195">
        <f t="shared" si="6"/>
        <v>5</v>
      </c>
    </row>
    <row r="421" spans="5:13" ht="14.5" x14ac:dyDescent="0.3">
      <c r="E421" s="354"/>
      <c r="F421" s="355"/>
      <c r="G421" s="355"/>
      <c r="H421" s="355"/>
      <c r="I421" s="356"/>
      <c r="J421" s="339"/>
      <c r="K421" s="339"/>
      <c r="L421" s="337"/>
      <c r="M421" s="195">
        <f t="shared" si="6"/>
        <v>5</v>
      </c>
    </row>
    <row r="422" spans="5:13" ht="14.5" x14ac:dyDescent="0.3">
      <c r="E422" s="354"/>
      <c r="F422" s="355"/>
      <c r="G422" s="355"/>
      <c r="H422" s="355"/>
      <c r="I422" s="356"/>
      <c r="J422" s="339"/>
      <c r="K422" s="339"/>
      <c r="L422" s="337"/>
      <c r="M422" s="195">
        <f t="shared" si="6"/>
        <v>5</v>
      </c>
    </row>
    <row r="423" spans="5:13" ht="14.5" x14ac:dyDescent="0.3">
      <c r="E423" s="354"/>
      <c r="F423" s="355"/>
      <c r="G423" s="355"/>
      <c r="H423" s="355"/>
      <c r="I423" s="356"/>
      <c r="J423" s="339"/>
      <c r="K423" s="339"/>
      <c r="L423" s="337"/>
      <c r="M423" s="195">
        <f t="shared" si="6"/>
        <v>5</v>
      </c>
    </row>
    <row r="424" spans="5:13" ht="14.5" x14ac:dyDescent="0.3">
      <c r="E424" s="354"/>
      <c r="F424" s="355"/>
      <c r="G424" s="355"/>
      <c r="H424" s="355"/>
      <c r="I424" s="356"/>
      <c r="J424" s="339"/>
      <c r="K424" s="339"/>
      <c r="L424" s="337"/>
      <c r="M424" s="195">
        <f t="shared" si="6"/>
        <v>5</v>
      </c>
    </row>
    <row r="425" spans="5:13" ht="14.5" x14ac:dyDescent="0.3">
      <c r="E425" s="354"/>
      <c r="F425" s="355"/>
      <c r="G425" s="355"/>
      <c r="H425" s="355"/>
      <c r="I425" s="356"/>
      <c r="J425" s="339"/>
      <c r="K425" s="339"/>
      <c r="L425" s="337"/>
      <c r="M425" s="195">
        <f t="shared" si="6"/>
        <v>5</v>
      </c>
    </row>
    <row r="426" spans="5:13" ht="14.5" x14ac:dyDescent="0.3">
      <c r="E426" s="354"/>
      <c r="F426" s="355"/>
      <c r="G426" s="355"/>
      <c r="H426" s="355"/>
      <c r="I426" s="356"/>
      <c r="J426" s="339"/>
      <c r="K426" s="339"/>
      <c r="L426" s="337"/>
      <c r="M426" s="195">
        <f t="shared" si="6"/>
        <v>5</v>
      </c>
    </row>
    <row r="427" spans="5:13" ht="14.5" x14ac:dyDescent="0.3">
      <c r="E427" s="354"/>
      <c r="F427" s="355"/>
      <c r="G427" s="355"/>
      <c r="H427" s="355"/>
      <c r="I427" s="356"/>
      <c r="J427" s="339"/>
      <c r="K427" s="339"/>
      <c r="L427" s="337"/>
      <c r="M427" s="195">
        <f t="shared" si="6"/>
        <v>5</v>
      </c>
    </row>
    <row r="428" spans="5:13" ht="14.5" x14ac:dyDescent="0.3">
      <c r="E428" s="354"/>
      <c r="F428" s="355"/>
      <c r="G428" s="355"/>
      <c r="H428" s="355"/>
      <c r="I428" s="356"/>
      <c r="J428" s="339"/>
      <c r="K428" s="339"/>
      <c r="L428" s="337"/>
      <c r="M428" s="195">
        <f t="shared" si="6"/>
        <v>5</v>
      </c>
    </row>
    <row r="429" spans="5:13" ht="14.5" x14ac:dyDescent="0.3">
      <c r="E429" s="354"/>
      <c r="F429" s="355"/>
      <c r="G429" s="355"/>
      <c r="H429" s="355"/>
      <c r="I429" s="356"/>
      <c r="J429" s="339"/>
      <c r="K429" s="339"/>
      <c r="L429" s="337"/>
      <c r="M429" s="195">
        <f t="shared" si="6"/>
        <v>5</v>
      </c>
    </row>
    <row r="430" spans="5:13" ht="14.5" x14ac:dyDescent="0.3">
      <c r="E430" s="354"/>
      <c r="F430" s="355"/>
      <c r="G430" s="355"/>
      <c r="H430" s="355"/>
      <c r="I430" s="356"/>
      <c r="J430" s="339"/>
      <c r="K430" s="339"/>
      <c r="L430" s="337"/>
      <c r="M430" s="195">
        <f t="shared" si="6"/>
        <v>5</v>
      </c>
    </row>
    <row r="431" spans="5:13" ht="14.5" x14ac:dyDescent="0.3">
      <c r="E431" s="354"/>
      <c r="F431" s="355"/>
      <c r="G431" s="355"/>
      <c r="H431" s="355"/>
      <c r="I431" s="356"/>
      <c r="J431" s="339"/>
      <c r="K431" s="339"/>
      <c r="L431" s="337"/>
      <c r="M431" s="195">
        <f t="shared" si="6"/>
        <v>5</v>
      </c>
    </row>
    <row r="432" spans="5:13" ht="14.5" x14ac:dyDescent="0.3">
      <c r="E432" s="354"/>
      <c r="F432" s="355"/>
      <c r="G432" s="355"/>
      <c r="H432" s="355"/>
      <c r="I432" s="356"/>
      <c r="J432" s="339"/>
      <c r="K432" s="339"/>
      <c r="L432" s="337"/>
      <c r="M432" s="195">
        <f t="shared" si="6"/>
        <v>5</v>
      </c>
    </row>
    <row r="433" spans="5:13" ht="14.5" x14ac:dyDescent="0.3">
      <c r="E433" s="354"/>
      <c r="F433" s="355"/>
      <c r="G433" s="355"/>
      <c r="H433" s="355"/>
      <c r="I433" s="356"/>
      <c r="J433" s="339"/>
      <c r="K433" s="339"/>
      <c r="L433" s="337"/>
      <c r="M433" s="195">
        <f t="shared" si="6"/>
        <v>5</v>
      </c>
    </row>
    <row r="434" spans="5:13" ht="14.5" x14ac:dyDescent="0.3">
      <c r="E434" s="354"/>
      <c r="F434" s="355"/>
      <c r="G434" s="355"/>
      <c r="H434" s="355"/>
      <c r="I434" s="356"/>
      <c r="J434" s="339"/>
      <c r="K434" s="339"/>
      <c r="L434" s="337"/>
      <c r="M434" s="195">
        <f t="shared" si="6"/>
        <v>5</v>
      </c>
    </row>
    <row r="435" spans="5:13" ht="14.5" x14ac:dyDescent="0.3">
      <c r="E435" s="354"/>
      <c r="F435" s="355"/>
      <c r="G435" s="355"/>
      <c r="H435" s="355"/>
      <c r="I435" s="356"/>
      <c r="J435" s="339"/>
      <c r="K435" s="339"/>
      <c r="L435" s="337"/>
      <c r="M435" s="195">
        <f t="shared" si="6"/>
        <v>5</v>
      </c>
    </row>
    <row r="436" spans="5:13" ht="14.5" x14ac:dyDescent="0.3">
      <c r="E436" s="354"/>
      <c r="F436" s="355"/>
      <c r="G436" s="355"/>
      <c r="H436" s="355"/>
      <c r="I436" s="356"/>
      <c r="J436" s="339"/>
      <c r="K436" s="339"/>
      <c r="L436" s="337"/>
      <c r="M436" s="195">
        <f t="shared" si="6"/>
        <v>5</v>
      </c>
    </row>
    <row r="437" spans="5:13" ht="14.5" x14ac:dyDescent="0.3">
      <c r="E437" s="354"/>
      <c r="F437" s="355"/>
      <c r="G437" s="355"/>
      <c r="H437" s="355"/>
      <c r="I437" s="356"/>
      <c r="J437" s="339"/>
      <c r="K437" s="339"/>
      <c r="L437" s="337"/>
      <c r="M437" s="195">
        <f t="shared" si="6"/>
        <v>5</v>
      </c>
    </row>
    <row r="438" spans="5:13" ht="14.5" x14ac:dyDescent="0.3">
      <c r="E438" s="354"/>
      <c r="F438" s="355"/>
      <c r="G438" s="355"/>
      <c r="H438" s="355"/>
      <c r="I438" s="356"/>
      <c r="J438" s="339"/>
      <c r="K438" s="339"/>
      <c r="L438" s="337"/>
      <c r="M438" s="195">
        <f t="shared" si="6"/>
        <v>5</v>
      </c>
    </row>
    <row r="439" spans="5:13" ht="14.5" x14ac:dyDescent="0.3">
      <c r="E439" s="354"/>
      <c r="F439" s="355"/>
      <c r="G439" s="355"/>
      <c r="H439" s="355"/>
      <c r="I439" s="356"/>
      <c r="J439" s="339"/>
      <c r="K439" s="339"/>
      <c r="L439" s="337"/>
      <c r="M439" s="195">
        <f t="shared" si="6"/>
        <v>5</v>
      </c>
    </row>
    <row r="440" spans="5:13" ht="14.5" x14ac:dyDescent="0.3">
      <c r="E440" s="354"/>
      <c r="F440" s="355"/>
      <c r="G440" s="355"/>
      <c r="H440" s="355"/>
      <c r="I440" s="356"/>
      <c r="J440" s="339"/>
      <c r="K440" s="339"/>
      <c r="L440" s="337"/>
      <c r="M440" s="195">
        <f t="shared" si="6"/>
        <v>5</v>
      </c>
    </row>
    <row r="441" spans="5:13" ht="14.5" x14ac:dyDescent="0.3">
      <c r="E441" s="354"/>
      <c r="F441" s="355"/>
      <c r="G441" s="355"/>
      <c r="H441" s="355"/>
      <c r="I441" s="356"/>
      <c r="J441" s="339"/>
      <c r="K441" s="339"/>
      <c r="L441" s="337"/>
      <c r="M441" s="195">
        <f t="shared" si="6"/>
        <v>5</v>
      </c>
    </row>
    <row r="442" spans="5:13" ht="14.5" x14ac:dyDescent="0.3">
      <c r="E442" s="354"/>
      <c r="F442" s="355"/>
      <c r="G442" s="355"/>
      <c r="H442" s="355"/>
      <c r="I442" s="356"/>
      <c r="J442" s="339"/>
      <c r="K442" s="339"/>
      <c r="L442" s="337"/>
      <c r="M442" s="195">
        <f t="shared" si="6"/>
        <v>5</v>
      </c>
    </row>
    <row r="443" spans="5:13" ht="14.5" x14ac:dyDescent="0.3">
      <c r="E443" s="354"/>
      <c r="F443" s="355"/>
      <c r="G443" s="355"/>
      <c r="H443" s="355"/>
      <c r="I443" s="356"/>
      <c r="J443" s="339"/>
      <c r="K443" s="339"/>
      <c r="L443" s="337"/>
      <c r="M443" s="195">
        <f t="shared" si="6"/>
        <v>5</v>
      </c>
    </row>
    <row r="444" spans="5:13" ht="14.5" x14ac:dyDescent="0.3">
      <c r="E444" s="354"/>
      <c r="F444" s="355"/>
      <c r="G444" s="355"/>
      <c r="H444" s="355"/>
      <c r="I444" s="356"/>
      <c r="J444" s="339"/>
      <c r="K444" s="339"/>
      <c r="L444" s="337"/>
      <c r="M444" s="195">
        <f t="shared" si="6"/>
        <v>5</v>
      </c>
    </row>
    <row r="445" spans="5:13" ht="14.5" x14ac:dyDescent="0.3">
      <c r="E445" s="354"/>
      <c r="F445" s="355"/>
      <c r="G445" s="355"/>
      <c r="H445" s="355"/>
      <c r="I445" s="356"/>
      <c r="J445" s="339"/>
      <c r="K445" s="339"/>
      <c r="L445" s="337"/>
      <c r="M445" s="195">
        <f t="shared" si="6"/>
        <v>5</v>
      </c>
    </row>
    <row r="446" spans="5:13" ht="14.5" x14ac:dyDescent="0.3">
      <c r="E446" s="354"/>
      <c r="F446" s="355"/>
      <c r="G446" s="355"/>
      <c r="H446" s="355"/>
      <c r="I446" s="356"/>
      <c r="J446" s="339"/>
      <c r="K446" s="339"/>
      <c r="L446" s="337"/>
      <c r="M446" s="195">
        <f t="shared" si="6"/>
        <v>5</v>
      </c>
    </row>
    <row r="447" spans="5:13" ht="14.5" x14ac:dyDescent="0.3">
      <c r="E447" s="354"/>
      <c r="F447" s="355"/>
      <c r="G447" s="355"/>
      <c r="H447" s="355"/>
      <c r="I447" s="356"/>
      <c r="J447" s="339"/>
      <c r="K447" s="339"/>
      <c r="L447" s="337"/>
      <c r="M447" s="195">
        <f t="shared" si="6"/>
        <v>5</v>
      </c>
    </row>
    <row r="448" spans="5:13" ht="14.5" x14ac:dyDescent="0.3">
      <c r="E448" s="354"/>
      <c r="F448" s="355"/>
      <c r="G448" s="355"/>
      <c r="H448" s="355"/>
      <c r="I448" s="356"/>
      <c r="J448" s="339"/>
      <c r="K448" s="339"/>
      <c r="L448" s="337"/>
      <c r="M448" s="195">
        <f t="shared" si="6"/>
        <v>5</v>
      </c>
    </row>
    <row r="449" spans="5:13" ht="14.5" x14ac:dyDescent="0.3">
      <c r="E449" s="354"/>
      <c r="F449" s="355"/>
      <c r="G449" s="355"/>
      <c r="H449" s="355"/>
      <c r="I449" s="356"/>
      <c r="J449" s="339"/>
      <c r="K449" s="339"/>
      <c r="L449" s="337"/>
      <c r="M449" s="195">
        <f t="shared" si="6"/>
        <v>5</v>
      </c>
    </row>
    <row r="450" spans="5:13" ht="14.5" x14ac:dyDescent="0.3">
      <c r="E450" s="354"/>
      <c r="F450" s="355"/>
      <c r="G450" s="355"/>
      <c r="H450" s="355"/>
      <c r="I450" s="356"/>
      <c r="J450" s="339"/>
      <c r="K450" s="339"/>
      <c r="L450" s="337"/>
      <c r="M450" s="195">
        <f t="shared" si="6"/>
        <v>5</v>
      </c>
    </row>
    <row r="451" spans="5:13" ht="14.5" x14ac:dyDescent="0.3">
      <c r="E451" s="354"/>
      <c r="F451" s="355"/>
      <c r="G451" s="355"/>
      <c r="H451" s="355"/>
      <c r="I451" s="356"/>
      <c r="J451" s="339"/>
      <c r="K451" s="339"/>
      <c r="L451" s="337"/>
      <c r="M451" s="195">
        <f t="shared" si="6"/>
        <v>5</v>
      </c>
    </row>
    <row r="452" spans="5:13" ht="14.5" x14ac:dyDescent="0.3">
      <c r="E452" s="354"/>
      <c r="F452" s="355"/>
      <c r="G452" s="355"/>
      <c r="H452" s="355"/>
      <c r="I452" s="356"/>
      <c r="J452" s="339"/>
      <c r="K452" s="339"/>
      <c r="L452" s="337"/>
      <c r="M452" s="195">
        <f t="shared" si="6"/>
        <v>5</v>
      </c>
    </row>
    <row r="453" spans="5:13" ht="14.5" x14ac:dyDescent="0.3">
      <c r="E453" s="354"/>
      <c r="F453" s="355"/>
      <c r="G453" s="355"/>
      <c r="H453" s="355"/>
      <c r="I453" s="356"/>
      <c r="J453" s="339"/>
      <c r="K453" s="339"/>
      <c r="L453" s="337"/>
      <c r="M453" s="195">
        <f t="shared" si="6"/>
        <v>5</v>
      </c>
    </row>
    <row r="454" spans="5:13" ht="14.5" x14ac:dyDescent="0.3">
      <c r="E454" s="354"/>
      <c r="F454" s="355"/>
      <c r="G454" s="355"/>
      <c r="H454" s="355"/>
      <c r="I454" s="356"/>
      <c r="J454" s="339"/>
      <c r="K454" s="339"/>
      <c r="L454" s="337"/>
      <c r="M454" s="195">
        <f t="shared" si="6"/>
        <v>5</v>
      </c>
    </row>
    <row r="455" spans="5:13" ht="14.5" x14ac:dyDescent="0.3">
      <c r="E455" s="354"/>
      <c r="F455" s="355"/>
      <c r="G455" s="355"/>
      <c r="H455" s="355"/>
      <c r="I455" s="356"/>
      <c r="J455" s="339"/>
      <c r="K455" s="339"/>
      <c r="L455" s="337"/>
      <c r="M455" s="195">
        <f t="shared" si="6"/>
        <v>5</v>
      </c>
    </row>
    <row r="456" spans="5:13" ht="14.5" x14ac:dyDescent="0.3">
      <c r="E456" s="354"/>
      <c r="F456" s="355"/>
      <c r="G456" s="355"/>
      <c r="H456" s="355"/>
      <c r="I456" s="356"/>
      <c r="J456" s="339"/>
      <c r="K456" s="339"/>
      <c r="L456" s="337"/>
      <c r="M456" s="195">
        <f t="shared" si="6"/>
        <v>5</v>
      </c>
    </row>
    <row r="457" spans="5:13" ht="14.5" x14ac:dyDescent="0.3">
      <c r="E457" s="354"/>
      <c r="F457" s="355"/>
      <c r="G457" s="355"/>
      <c r="H457" s="355"/>
      <c r="I457" s="356"/>
      <c r="J457" s="339"/>
      <c r="K457" s="339"/>
      <c r="L457" s="337"/>
      <c r="M457" s="195">
        <f t="shared" si="6"/>
        <v>5</v>
      </c>
    </row>
    <row r="458" spans="5:13" ht="14.5" x14ac:dyDescent="0.3">
      <c r="E458" s="354"/>
      <c r="F458" s="355"/>
      <c r="G458" s="355"/>
      <c r="H458" s="355"/>
      <c r="I458" s="356"/>
      <c r="J458" s="339"/>
      <c r="K458" s="339"/>
      <c r="L458" s="337"/>
      <c r="M458" s="195">
        <f t="shared" si="6"/>
        <v>5</v>
      </c>
    </row>
    <row r="459" spans="5:13" ht="14.5" x14ac:dyDescent="0.3">
      <c r="E459" s="354"/>
      <c r="F459" s="355"/>
      <c r="G459" s="355"/>
      <c r="H459" s="355"/>
      <c r="I459" s="356"/>
      <c r="J459" s="339"/>
      <c r="K459" s="339"/>
      <c r="L459" s="337"/>
      <c r="M459" s="195">
        <f t="shared" si="6"/>
        <v>5</v>
      </c>
    </row>
    <row r="460" spans="5:13" ht="14.5" x14ac:dyDescent="0.3">
      <c r="E460" s="354"/>
      <c r="F460" s="355"/>
      <c r="G460" s="355"/>
      <c r="H460" s="355"/>
      <c r="I460" s="356"/>
      <c r="J460" s="339"/>
      <c r="K460" s="339"/>
      <c r="L460" s="337"/>
      <c r="M460" s="195">
        <f t="shared" si="6"/>
        <v>5</v>
      </c>
    </row>
    <row r="461" spans="5:13" ht="14.5" x14ac:dyDescent="0.3">
      <c r="E461" s="354"/>
      <c r="F461" s="355"/>
      <c r="G461" s="355"/>
      <c r="H461" s="355"/>
      <c r="I461" s="356"/>
      <c r="J461" s="339"/>
      <c r="K461" s="339"/>
      <c r="L461" s="337"/>
      <c r="M461" s="195">
        <f t="shared" si="6"/>
        <v>5</v>
      </c>
    </row>
    <row r="462" spans="5:13" ht="14.5" x14ac:dyDescent="0.3">
      <c r="E462" s="354"/>
      <c r="F462" s="355"/>
      <c r="G462" s="355"/>
      <c r="H462" s="355"/>
      <c r="I462" s="356"/>
      <c r="J462" s="339"/>
      <c r="K462" s="339"/>
      <c r="L462" s="337"/>
      <c r="M462" s="195">
        <f t="shared" ref="M462:M512" si="7">ISBLANK(E462)+ISBLANK(F462)+ISBLANK(G462)+ISBLANK(H462)+ISBLANK(I462)</f>
        <v>5</v>
      </c>
    </row>
    <row r="463" spans="5:13" ht="14.5" x14ac:dyDescent="0.3">
      <c r="E463" s="354"/>
      <c r="F463" s="355"/>
      <c r="G463" s="355"/>
      <c r="H463" s="355"/>
      <c r="I463" s="356"/>
      <c r="J463" s="339"/>
      <c r="K463" s="339"/>
      <c r="L463" s="337"/>
      <c r="M463" s="195">
        <f t="shared" si="7"/>
        <v>5</v>
      </c>
    </row>
    <row r="464" spans="5:13" ht="14.5" x14ac:dyDescent="0.3">
      <c r="E464" s="354"/>
      <c r="F464" s="355"/>
      <c r="G464" s="355"/>
      <c r="H464" s="355"/>
      <c r="I464" s="356"/>
      <c r="J464" s="339"/>
      <c r="K464" s="339"/>
      <c r="L464" s="337"/>
      <c r="M464" s="195">
        <f t="shared" si="7"/>
        <v>5</v>
      </c>
    </row>
    <row r="465" spans="5:13" ht="14.5" x14ac:dyDescent="0.3">
      <c r="E465" s="354"/>
      <c r="F465" s="355"/>
      <c r="G465" s="355"/>
      <c r="H465" s="355"/>
      <c r="I465" s="356"/>
      <c r="J465" s="339"/>
      <c r="K465" s="339"/>
      <c r="L465" s="337"/>
      <c r="M465" s="195">
        <f t="shared" si="7"/>
        <v>5</v>
      </c>
    </row>
    <row r="466" spans="5:13" ht="14.5" x14ac:dyDescent="0.3">
      <c r="E466" s="354"/>
      <c r="F466" s="355"/>
      <c r="G466" s="355"/>
      <c r="H466" s="355"/>
      <c r="I466" s="356"/>
      <c r="J466" s="339"/>
      <c r="K466" s="339"/>
      <c r="L466" s="337"/>
      <c r="M466" s="195">
        <f t="shared" si="7"/>
        <v>5</v>
      </c>
    </row>
    <row r="467" spans="5:13" ht="14.5" x14ac:dyDescent="0.3">
      <c r="E467" s="354"/>
      <c r="F467" s="355"/>
      <c r="G467" s="355"/>
      <c r="H467" s="355"/>
      <c r="I467" s="356"/>
      <c r="J467" s="339"/>
      <c r="K467" s="339"/>
      <c r="L467" s="337"/>
      <c r="M467" s="195">
        <f t="shared" si="7"/>
        <v>5</v>
      </c>
    </row>
    <row r="468" spans="5:13" ht="14.5" x14ac:dyDescent="0.3">
      <c r="E468" s="354"/>
      <c r="F468" s="355"/>
      <c r="G468" s="355"/>
      <c r="H468" s="355"/>
      <c r="I468" s="356"/>
      <c r="J468" s="339"/>
      <c r="K468" s="339"/>
      <c r="L468" s="337"/>
      <c r="M468" s="195">
        <f t="shared" si="7"/>
        <v>5</v>
      </c>
    </row>
    <row r="469" spans="5:13" ht="14.5" x14ac:dyDescent="0.3">
      <c r="E469" s="354"/>
      <c r="F469" s="355"/>
      <c r="G469" s="355"/>
      <c r="H469" s="355"/>
      <c r="I469" s="356"/>
      <c r="J469" s="339"/>
      <c r="K469" s="339"/>
      <c r="L469" s="337"/>
      <c r="M469" s="195">
        <f t="shared" si="7"/>
        <v>5</v>
      </c>
    </row>
    <row r="470" spans="5:13" ht="14.5" x14ac:dyDescent="0.3">
      <c r="E470" s="354"/>
      <c r="F470" s="355"/>
      <c r="G470" s="355"/>
      <c r="H470" s="355"/>
      <c r="I470" s="356"/>
      <c r="J470" s="339"/>
      <c r="K470" s="339"/>
      <c r="L470" s="337"/>
      <c r="M470" s="195">
        <f t="shared" si="7"/>
        <v>5</v>
      </c>
    </row>
    <row r="471" spans="5:13" ht="14.5" x14ac:dyDescent="0.3">
      <c r="E471" s="354"/>
      <c r="F471" s="355"/>
      <c r="G471" s="355"/>
      <c r="H471" s="355"/>
      <c r="I471" s="356"/>
      <c r="J471" s="339"/>
      <c r="K471" s="339"/>
      <c r="L471" s="337"/>
      <c r="M471" s="195">
        <f t="shared" si="7"/>
        <v>5</v>
      </c>
    </row>
    <row r="472" spans="5:13" ht="14.5" x14ac:dyDescent="0.3">
      <c r="E472" s="354"/>
      <c r="F472" s="355"/>
      <c r="G472" s="355"/>
      <c r="H472" s="355"/>
      <c r="I472" s="356"/>
      <c r="J472" s="339"/>
      <c r="K472" s="339"/>
      <c r="L472" s="337"/>
      <c r="M472" s="195">
        <f t="shared" si="7"/>
        <v>5</v>
      </c>
    </row>
    <row r="473" spans="5:13" ht="14.5" x14ac:dyDescent="0.3">
      <c r="E473" s="354"/>
      <c r="F473" s="355"/>
      <c r="G473" s="355"/>
      <c r="H473" s="355"/>
      <c r="I473" s="356"/>
      <c r="J473" s="339"/>
      <c r="K473" s="339"/>
      <c r="L473" s="337"/>
      <c r="M473" s="195">
        <f t="shared" si="7"/>
        <v>5</v>
      </c>
    </row>
    <row r="474" spans="5:13" ht="14.5" x14ac:dyDescent="0.3">
      <c r="E474" s="354"/>
      <c r="F474" s="355"/>
      <c r="G474" s="355"/>
      <c r="H474" s="355"/>
      <c r="I474" s="356"/>
      <c r="J474" s="339"/>
      <c r="K474" s="339"/>
      <c r="L474" s="337"/>
      <c r="M474" s="195">
        <f t="shared" si="7"/>
        <v>5</v>
      </c>
    </row>
    <row r="475" spans="5:13" ht="14.5" x14ac:dyDescent="0.3">
      <c r="E475" s="354"/>
      <c r="F475" s="355"/>
      <c r="G475" s="355"/>
      <c r="H475" s="355"/>
      <c r="I475" s="356"/>
      <c r="J475" s="339"/>
      <c r="K475" s="339"/>
      <c r="L475" s="337"/>
      <c r="M475" s="195">
        <f t="shared" si="7"/>
        <v>5</v>
      </c>
    </row>
    <row r="476" spans="5:13" ht="14.5" x14ac:dyDescent="0.3">
      <c r="E476" s="354"/>
      <c r="F476" s="355"/>
      <c r="G476" s="355"/>
      <c r="H476" s="355"/>
      <c r="I476" s="356"/>
      <c r="J476" s="339"/>
      <c r="K476" s="339"/>
      <c r="L476" s="337"/>
      <c r="M476" s="195">
        <f t="shared" si="7"/>
        <v>5</v>
      </c>
    </row>
    <row r="477" spans="5:13" ht="14.5" x14ac:dyDescent="0.3">
      <c r="E477" s="354"/>
      <c r="F477" s="355"/>
      <c r="G477" s="355"/>
      <c r="H477" s="355"/>
      <c r="I477" s="356"/>
      <c r="J477" s="339"/>
      <c r="K477" s="339"/>
      <c r="L477" s="337"/>
      <c r="M477" s="195">
        <f t="shared" si="7"/>
        <v>5</v>
      </c>
    </row>
    <row r="478" spans="5:13" ht="14.5" x14ac:dyDescent="0.3">
      <c r="E478" s="354"/>
      <c r="F478" s="355"/>
      <c r="G478" s="355"/>
      <c r="H478" s="355"/>
      <c r="I478" s="356"/>
      <c r="J478" s="339"/>
      <c r="K478" s="339"/>
      <c r="L478" s="337"/>
      <c r="M478" s="195">
        <f t="shared" si="7"/>
        <v>5</v>
      </c>
    </row>
    <row r="479" spans="5:13" ht="14.5" x14ac:dyDescent="0.3">
      <c r="E479" s="354"/>
      <c r="F479" s="355"/>
      <c r="G479" s="355"/>
      <c r="H479" s="355"/>
      <c r="I479" s="356"/>
      <c r="J479" s="339"/>
      <c r="K479" s="339"/>
      <c r="L479" s="337"/>
      <c r="M479" s="195">
        <f t="shared" si="7"/>
        <v>5</v>
      </c>
    </row>
    <row r="480" spans="5:13" ht="14.5" x14ac:dyDescent="0.3">
      <c r="E480" s="354"/>
      <c r="F480" s="355"/>
      <c r="G480" s="355"/>
      <c r="H480" s="355"/>
      <c r="I480" s="356"/>
      <c r="J480" s="339"/>
      <c r="K480" s="339"/>
      <c r="L480" s="337"/>
      <c r="M480" s="195">
        <f t="shared" si="7"/>
        <v>5</v>
      </c>
    </row>
    <row r="481" spans="5:13" ht="14.5" x14ac:dyDescent="0.3">
      <c r="E481" s="354"/>
      <c r="F481" s="355"/>
      <c r="G481" s="355"/>
      <c r="H481" s="355"/>
      <c r="I481" s="356"/>
      <c r="J481" s="339"/>
      <c r="K481" s="339"/>
      <c r="L481" s="337"/>
      <c r="M481" s="195">
        <f t="shared" si="7"/>
        <v>5</v>
      </c>
    </row>
    <row r="482" spans="5:13" ht="14.5" x14ac:dyDescent="0.3">
      <c r="E482" s="354"/>
      <c r="F482" s="355"/>
      <c r="G482" s="355"/>
      <c r="H482" s="355"/>
      <c r="I482" s="356"/>
      <c r="J482" s="339"/>
      <c r="K482" s="339"/>
      <c r="L482" s="337"/>
      <c r="M482" s="195">
        <f t="shared" si="7"/>
        <v>5</v>
      </c>
    </row>
    <row r="483" spans="5:13" ht="14.5" x14ac:dyDescent="0.3">
      <c r="E483" s="354"/>
      <c r="F483" s="355"/>
      <c r="G483" s="355"/>
      <c r="H483" s="355"/>
      <c r="I483" s="356"/>
      <c r="J483" s="339"/>
      <c r="K483" s="339"/>
      <c r="L483" s="337"/>
      <c r="M483" s="195">
        <f t="shared" si="7"/>
        <v>5</v>
      </c>
    </row>
    <row r="484" spans="5:13" ht="14.5" x14ac:dyDescent="0.3">
      <c r="E484" s="354"/>
      <c r="F484" s="355"/>
      <c r="G484" s="355"/>
      <c r="H484" s="355"/>
      <c r="I484" s="356"/>
      <c r="J484" s="339"/>
      <c r="K484" s="339"/>
      <c r="L484" s="337"/>
      <c r="M484" s="195">
        <f t="shared" si="7"/>
        <v>5</v>
      </c>
    </row>
    <row r="485" spans="5:13" ht="14.5" x14ac:dyDescent="0.3">
      <c r="E485" s="354"/>
      <c r="F485" s="355"/>
      <c r="G485" s="355"/>
      <c r="H485" s="355"/>
      <c r="I485" s="356"/>
      <c r="J485" s="339"/>
      <c r="K485" s="339"/>
      <c r="L485" s="337"/>
      <c r="M485" s="195">
        <f t="shared" si="7"/>
        <v>5</v>
      </c>
    </row>
    <row r="486" spans="5:13" ht="14.5" x14ac:dyDescent="0.3">
      <c r="E486" s="354"/>
      <c r="F486" s="355"/>
      <c r="G486" s="355"/>
      <c r="H486" s="355"/>
      <c r="I486" s="356"/>
      <c r="J486" s="339"/>
      <c r="K486" s="339"/>
      <c r="L486" s="337"/>
      <c r="M486" s="195">
        <f t="shared" si="7"/>
        <v>5</v>
      </c>
    </row>
    <row r="487" spans="5:13" ht="14.5" x14ac:dyDescent="0.3">
      <c r="E487" s="354"/>
      <c r="F487" s="355"/>
      <c r="G487" s="355"/>
      <c r="H487" s="355"/>
      <c r="I487" s="356"/>
      <c r="J487" s="339"/>
      <c r="K487" s="339"/>
      <c r="L487" s="337"/>
      <c r="M487" s="195">
        <f t="shared" si="7"/>
        <v>5</v>
      </c>
    </row>
    <row r="488" spans="5:13" ht="14.5" x14ac:dyDescent="0.3">
      <c r="E488" s="354"/>
      <c r="F488" s="355"/>
      <c r="G488" s="355"/>
      <c r="H488" s="355"/>
      <c r="I488" s="356"/>
      <c r="J488" s="339"/>
      <c r="K488" s="339"/>
      <c r="L488" s="337"/>
      <c r="M488" s="195">
        <f t="shared" si="7"/>
        <v>5</v>
      </c>
    </row>
    <row r="489" spans="5:13" ht="14.5" x14ac:dyDescent="0.3">
      <c r="E489" s="354"/>
      <c r="F489" s="355"/>
      <c r="G489" s="355"/>
      <c r="H489" s="355"/>
      <c r="I489" s="356"/>
      <c r="J489" s="339"/>
      <c r="K489" s="339"/>
      <c r="L489" s="337"/>
      <c r="M489" s="195">
        <f t="shared" si="7"/>
        <v>5</v>
      </c>
    </row>
    <row r="490" spans="5:13" ht="14.5" x14ac:dyDescent="0.3">
      <c r="E490" s="354"/>
      <c r="F490" s="355"/>
      <c r="G490" s="355"/>
      <c r="H490" s="355"/>
      <c r="I490" s="356"/>
      <c r="J490" s="339"/>
      <c r="K490" s="339"/>
      <c r="L490" s="337"/>
      <c r="M490" s="195">
        <f t="shared" si="7"/>
        <v>5</v>
      </c>
    </row>
    <row r="491" spans="5:13" ht="14.5" x14ac:dyDescent="0.3">
      <c r="E491" s="354"/>
      <c r="F491" s="355"/>
      <c r="G491" s="355"/>
      <c r="H491" s="355"/>
      <c r="I491" s="356"/>
      <c r="J491" s="339"/>
      <c r="K491" s="339"/>
      <c r="L491" s="337"/>
      <c r="M491" s="195">
        <f t="shared" si="7"/>
        <v>5</v>
      </c>
    </row>
    <row r="492" spans="5:13" ht="14.5" x14ac:dyDescent="0.3">
      <c r="E492" s="354"/>
      <c r="F492" s="355"/>
      <c r="G492" s="355"/>
      <c r="H492" s="355"/>
      <c r="I492" s="356"/>
      <c r="J492" s="339"/>
      <c r="K492" s="339"/>
      <c r="L492" s="337"/>
      <c r="M492" s="195">
        <f t="shared" si="7"/>
        <v>5</v>
      </c>
    </row>
    <row r="493" spans="5:13" ht="14.5" x14ac:dyDescent="0.3">
      <c r="E493" s="354"/>
      <c r="F493" s="355"/>
      <c r="G493" s="355"/>
      <c r="H493" s="355"/>
      <c r="I493" s="356"/>
      <c r="J493" s="339"/>
      <c r="K493" s="339"/>
      <c r="L493" s="337"/>
      <c r="M493" s="195">
        <f t="shared" si="7"/>
        <v>5</v>
      </c>
    </row>
    <row r="494" spans="5:13" ht="14.5" x14ac:dyDescent="0.3">
      <c r="E494" s="354"/>
      <c r="F494" s="355"/>
      <c r="G494" s="355"/>
      <c r="H494" s="355"/>
      <c r="I494" s="356"/>
      <c r="J494" s="339"/>
      <c r="K494" s="339"/>
      <c r="L494" s="337"/>
      <c r="M494" s="195">
        <f t="shared" si="7"/>
        <v>5</v>
      </c>
    </row>
    <row r="495" spans="5:13" ht="14.5" x14ac:dyDescent="0.3">
      <c r="E495" s="354"/>
      <c r="F495" s="355"/>
      <c r="G495" s="355"/>
      <c r="H495" s="355"/>
      <c r="I495" s="356"/>
      <c r="J495" s="339"/>
      <c r="K495" s="339"/>
      <c r="L495" s="337"/>
      <c r="M495" s="195">
        <f t="shared" si="7"/>
        <v>5</v>
      </c>
    </row>
    <row r="496" spans="5:13" ht="14.5" x14ac:dyDescent="0.3">
      <c r="E496" s="354"/>
      <c r="F496" s="355"/>
      <c r="G496" s="355"/>
      <c r="H496" s="355"/>
      <c r="I496" s="356"/>
      <c r="J496" s="339"/>
      <c r="K496" s="339"/>
      <c r="L496" s="337"/>
      <c r="M496" s="195">
        <f t="shared" si="7"/>
        <v>5</v>
      </c>
    </row>
    <row r="497" spans="5:13" ht="14.5" x14ac:dyDescent="0.3">
      <c r="E497" s="354"/>
      <c r="F497" s="355"/>
      <c r="G497" s="355"/>
      <c r="H497" s="355"/>
      <c r="I497" s="356"/>
      <c r="J497" s="339"/>
      <c r="K497" s="339"/>
      <c r="L497" s="337"/>
      <c r="M497" s="195">
        <f t="shared" si="7"/>
        <v>5</v>
      </c>
    </row>
    <row r="498" spans="5:13" ht="14.5" x14ac:dyDescent="0.3">
      <c r="E498" s="354"/>
      <c r="F498" s="355"/>
      <c r="G498" s="355"/>
      <c r="H498" s="355"/>
      <c r="I498" s="356"/>
      <c r="J498" s="339"/>
      <c r="K498" s="339"/>
      <c r="L498" s="337"/>
      <c r="M498" s="195">
        <f t="shared" si="7"/>
        <v>5</v>
      </c>
    </row>
    <row r="499" spans="5:13" ht="14.5" x14ac:dyDescent="0.3">
      <c r="E499" s="354"/>
      <c r="F499" s="355"/>
      <c r="G499" s="355"/>
      <c r="H499" s="355"/>
      <c r="I499" s="356"/>
      <c r="J499" s="339"/>
      <c r="K499" s="339"/>
      <c r="L499" s="337"/>
      <c r="M499" s="195">
        <f t="shared" si="7"/>
        <v>5</v>
      </c>
    </row>
    <row r="500" spans="5:13" ht="14.5" x14ac:dyDescent="0.3">
      <c r="E500" s="354"/>
      <c r="F500" s="355"/>
      <c r="G500" s="355"/>
      <c r="H500" s="355"/>
      <c r="I500" s="356"/>
      <c r="J500" s="339"/>
      <c r="K500" s="339"/>
      <c r="L500" s="337"/>
      <c r="M500" s="195">
        <f t="shared" si="7"/>
        <v>5</v>
      </c>
    </row>
    <row r="501" spans="5:13" ht="14.5" x14ac:dyDescent="0.3">
      <c r="E501" s="354"/>
      <c r="F501" s="355"/>
      <c r="G501" s="355"/>
      <c r="H501" s="355"/>
      <c r="I501" s="356"/>
      <c r="J501" s="339"/>
      <c r="K501" s="339"/>
      <c r="L501" s="337"/>
      <c r="M501" s="195">
        <f t="shared" si="7"/>
        <v>5</v>
      </c>
    </row>
    <row r="502" spans="5:13" ht="14.5" x14ac:dyDescent="0.3">
      <c r="E502" s="354"/>
      <c r="F502" s="355"/>
      <c r="G502" s="355"/>
      <c r="H502" s="355"/>
      <c r="I502" s="356"/>
      <c r="J502" s="339"/>
      <c r="K502" s="339"/>
      <c r="L502" s="337"/>
      <c r="M502" s="195">
        <f t="shared" si="7"/>
        <v>5</v>
      </c>
    </row>
    <row r="503" spans="5:13" ht="14.5" x14ac:dyDescent="0.3">
      <c r="E503" s="354"/>
      <c r="F503" s="355"/>
      <c r="G503" s="355"/>
      <c r="H503" s="355"/>
      <c r="I503" s="356"/>
      <c r="J503" s="339"/>
      <c r="K503" s="339"/>
      <c r="L503" s="337"/>
      <c r="M503" s="195">
        <f t="shared" si="7"/>
        <v>5</v>
      </c>
    </row>
    <row r="504" spans="5:13" ht="14.5" x14ac:dyDescent="0.3">
      <c r="E504" s="354"/>
      <c r="F504" s="355"/>
      <c r="G504" s="355"/>
      <c r="H504" s="355"/>
      <c r="I504" s="356"/>
      <c r="J504" s="339"/>
      <c r="K504" s="339"/>
      <c r="L504" s="337"/>
      <c r="M504" s="195">
        <f t="shared" si="7"/>
        <v>5</v>
      </c>
    </row>
    <row r="505" spans="5:13" ht="14.5" x14ac:dyDescent="0.3">
      <c r="E505" s="354"/>
      <c r="F505" s="355"/>
      <c r="G505" s="355"/>
      <c r="H505" s="355"/>
      <c r="I505" s="356"/>
      <c r="J505" s="339"/>
      <c r="K505" s="339"/>
      <c r="L505" s="337"/>
      <c r="M505" s="195">
        <f t="shared" si="7"/>
        <v>5</v>
      </c>
    </row>
    <row r="506" spans="5:13" ht="14.5" x14ac:dyDescent="0.3">
      <c r="E506" s="354"/>
      <c r="F506" s="355"/>
      <c r="G506" s="355"/>
      <c r="H506" s="355"/>
      <c r="I506" s="356"/>
      <c r="J506" s="339"/>
      <c r="K506" s="339"/>
      <c r="L506" s="337"/>
      <c r="M506" s="195">
        <f t="shared" si="7"/>
        <v>5</v>
      </c>
    </row>
    <row r="507" spans="5:13" ht="14.5" x14ac:dyDescent="0.3">
      <c r="E507" s="354"/>
      <c r="F507" s="355"/>
      <c r="G507" s="355"/>
      <c r="H507" s="355"/>
      <c r="I507" s="356"/>
      <c r="J507" s="339"/>
      <c r="K507" s="339"/>
      <c r="L507" s="337"/>
      <c r="M507" s="195">
        <f t="shared" si="7"/>
        <v>5</v>
      </c>
    </row>
    <row r="508" spans="5:13" ht="14.5" x14ac:dyDescent="0.3">
      <c r="E508" s="354"/>
      <c r="F508" s="355"/>
      <c r="G508" s="355"/>
      <c r="H508" s="355"/>
      <c r="I508" s="356"/>
      <c r="J508" s="339"/>
      <c r="K508" s="339"/>
      <c r="L508" s="337"/>
      <c r="M508" s="195">
        <f t="shared" si="7"/>
        <v>5</v>
      </c>
    </row>
    <row r="509" spans="5:13" ht="14.5" x14ac:dyDescent="0.3">
      <c r="E509" s="354"/>
      <c r="F509" s="355"/>
      <c r="G509" s="355"/>
      <c r="H509" s="355"/>
      <c r="I509" s="356"/>
      <c r="J509" s="339"/>
      <c r="K509" s="339"/>
      <c r="L509" s="337"/>
      <c r="M509" s="195">
        <f t="shared" si="7"/>
        <v>5</v>
      </c>
    </row>
    <row r="510" spans="5:13" ht="14.5" x14ac:dyDescent="0.3">
      <c r="E510" s="354"/>
      <c r="F510" s="355"/>
      <c r="G510" s="355"/>
      <c r="H510" s="355"/>
      <c r="I510" s="356"/>
      <c r="J510" s="339"/>
      <c r="K510" s="339"/>
      <c r="L510" s="337"/>
      <c r="M510" s="195">
        <f t="shared" si="7"/>
        <v>5</v>
      </c>
    </row>
    <row r="511" spans="5:13" ht="14.5" x14ac:dyDescent="0.3">
      <c r="E511" s="354"/>
      <c r="F511" s="355"/>
      <c r="G511" s="355"/>
      <c r="H511" s="355"/>
      <c r="I511" s="356"/>
      <c r="J511" s="339"/>
      <c r="K511" s="339"/>
      <c r="L511" s="337"/>
      <c r="M511" s="195">
        <f t="shared" si="7"/>
        <v>5</v>
      </c>
    </row>
    <row r="512" spans="5:13" ht="14.5" x14ac:dyDescent="0.3">
      <c r="E512" s="357"/>
      <c r="F512" s="358"/>
      <c r="G512" s="336"/>
      <c r="H512" s="359"/>
      <c r="I512" s="360"/>
      <c r="J512" s="337"/>
      <c r="K512" s="337"/>
      <c r="L512" s="337"/>
      <c r="M512" s="195">
        <f t="shared" si="7"/>
        <v>5</v>
      </c>
    </row>
    <row r="513" spans="2:2" x14ac:dyDescent="0.3"/>
    <row r="514" spans="2:2" x14ac:dyDescent="0.3"/>
    <row r="515" spans="2:2" x14ac:dyDescent="0.3"/>
    <row r="516" spans="2:2" x14ac:dyDescent="0.3"/>
    <row r="517" spans="2:2" x14ac:dyDescent="0.3"/>
    <row r="518" spans="2:2" x14ac:dyDescent="0.3">
      <c r="B518" s="146" t="s">
        <v>201</v>
      </c>
    </row>
    <row r="520" spans="2:2" x14ac:dyDescent="0.3"/>
  </sheetData>
  <sheetProtection algorithmName="SHA-512" hashValue="kO6vWEm13Q4mq1EpyQQ2x/oFbz5Q/PgM3S5mSJ1VGBAlsmnsFlWtZvWEDCC/J8YSEUKgHrIyva+UbmtqCPDZAw==" saltValue="8Smrmwn1wRqZ1Ab2XSiBEw==" spinCount="100000" sheet="1"/>
  <mergeCells count="2">
    <mergeCell ref="B5:B8"/>
    <mergeCell ref="B12:B51"/>
  </mergeCells>
  <conditionalFormatting sqref="H1">
    <cfRule type="containsText" dxfId="21" priority="2" operator="containsText" text="No data missing">
      <formula>NOT(ISERROR(SEARCH("No data missing",H1)))</formula>
    </cfRule>
  </conditionalFormatting>
  <conditionalFormatting sqref="M12">
    <cfRule type="iconSet" priority="1">
      <iconSet showValue="0">
        <cfvo type="percent" val="0"/>
        <cfvo type="num" val="0.01"/>
        <cfvo type="num" val="5"/>
      </iconSet>
    </cfRule>
  </conditionalFormatting>
  <dataValidations count="15">
    <dataValidation type="decimal" operator="greaterThanOrEqual" allowBlank="1" showInputMessage="1" showErrorMessage="1" sqref="I13:I512" xr:uid="{AA6292F7-FD6A-4A4C-BBDB-F03EFE3ED070}">
      <formula1>0</formula1>
    </dataValidation>
    <dataValidation type="textLength" errorStyle="information" allowBlank="1" showInputMessage="1" showErrorMessage="1" errorTitle="Info" error="The value enterd must be a postcode" sqref="L13:L512" xr:uid="{DB982D27-C719-4902-8B2B-EBE013ABA1C1}">
      <formula1>6</formula1>
      <formula2>8</formula2>
    </dataValidation>
    <dataValidation type="list" showInputMessage="1" showErrorMessage="1" sqref="G13:G512" xr:uid="{E5D9156B-22D9-4B05-BE88-FA941407C5EA}">
      <formula1>rng_building_cat</formula1>
    </dataValidation>
    <dataValidation type="list" showInputMessage="1" showErrorMessage="1" sqref="H13:H512" xr:uid="{417C0CDE-8A79-44DC-A177-28E049F8635D}">
      <formula1>OFFSET(rng_building_type,MATCH($G13,rng_building_cat_long,0)-1,,COUNTIF(rng_building_cat_long,$G13))</formula1>
    </dataValidation>
    <dataValidation type="list" showInputMessage="1" showErrorMessage="1" sqref="F13:F20 F22:F512 F21" xr:uid="{A87063E5-30D0-4051-B343-DFB52C6297FB}">
      <formula1>DROPDOWN(rng_Level2,"Buildings",cl_Level3Target)</formula1>
    </dataValidation>
    <dataValidation type="list" operator="greaterThanOrEqual" allowBlank="1" showInputMessage="1" showErrorMessage="1" sqref="J13:J512" xr:uid="{CB828702-B2FF-44B7-970A-14F3D9F424EC}">
      <formula1>rng_heating_type</formula1>
    </dataValidation>
    <dataValidation type="decimal" errorStyle="information" operator="greaterThanOrEqual" allowBlank="1" showInputMessage="1" showErrorMessage="1" errorTitle="Info" error="The value entered must be a number" sqref="K13:K512" xr:uid="{C5E51D09-552A-45A1-AAE2-5EC030683DB8}">
      <formula1>0</formula1>
    </dataValidation>
    <dataValidation allowBlank="1" showInputMessage="1" showErrorMessage="1" promptTitle="Information:" prompt="Enter the name of individual sites in your organisation's estate" sqref="E12" xr:uid="{F2ACD6CD-5076-4ACF-A58C-9DF86277D57C}"/>
    <dataValidation allowBlank="1" showInputMessage="1" showErrorMessage="1" promptTitle="Information:" prompt="Select a site type:_x000a_Our Estate (the site is owned and operated by your organisation)_x000a_Lessee (you lease the site as a tenant)_x000a_Lessor (you lease the site to another as a landlord)_x000a_Lessor - to PSB (you lease the site to another PSB as a landlord)" sqref="F12" xr:uid="{34ABAE03-51CD-43E7-B92B-47044E83290F}"/>
    <dataValidation allowBlank="1" showInputMessage="1" showErrorMessage="1" promptTitle="Information:" prompt="Select the building category of the site based on the function of the site" sqref="G12" xr:uid="{72241A69-3224-4526-9410-9519474E2183}"/>
    <dataValidation allowBlank="1" showInputMessage="1" showErrorMessage="1" promptTitle="Information" prompt="Select the building type of the site based on the function of the site" sqref="H12" xr:uid="{F8641FD4-5D2D-4FBB-9F94-A2D31955D267}"/>
    <dataValidation allowBlank="1" showInputMessage="1" showErrorMessage="1" promptTitle="Information:" prompt="Select the primary heating system for the site (optional)" sqref="J12" xr:uid="{93EA9953-CC81-4CC9-9EDE-9B4ACFBA531A}"/>
    <dataValidation allowBlank="1" showInputMessage="1" showErrorMessage="1" promptTitle="Information:" prompt="In kW thermal, provide the size of the installed heating system on the site (optional)" sqref="K12" xr:uid="{9F50D7D0-9942-4414-A6B3-D62E48B83027}"/>
    <dataValidation allowBlank="1" showInputMessage="1" showErrorMessage="1" promptTitle="Information:" prompt="Provide the GIA floor area (m2) of the site" sqref="I12" xr:uid="{7BFA65DE-2BB8-4CCF-A96F-EE95EA96824B}"/>
    <dataValidation allowBlank="1" showInputMessage="1" showErrorMessage="1" promptTitle="Information:" prompt="Provide the postcode of the site (optional)" sqref="L12" xr:uid="{DC03CB32-53E6-437A-930F-AC486058D716}"/>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iconSet" priority="3" id="{9A619D22-FBEB-479C-AB43-B6C06EAB7B87}">
            <x14:iconSet showValue="0" custom="1">
              <x14:cfvo type="percent">
                <xm:f>0</xm:f>
              </x14:cfvo>
              <x14:cfvo type="num">
                <xm:f>1</xm:f>
              </x14:cfvo>
              <x14:cfvo type="num">
                <xm:f>5</xm:f>
              </x14:cfvo>
              <x14:cfIcon iconSet="3TrafficLights1" iconId="2"/>
              <x14:cfIcon iconSet="3TrafficLights1" iconId="0"/>
              <x14:cfIcon iconSet="4TrafficLights" iconId="0"/>
            </x14:iconSet>
          </x14:cfRule>
          <xm:sqref>N13 M13:M512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A45B-7B49-4082-9F5E-8F5B5997319A}">
  <sheetPr codeName="Sheet12">
    <tabColor theme="6"/>
  </sheetPr>
  <dimension ref="B1:AR530"/>
  <sheetViews>
    <sheetView showGridLines="0" topLeftCell="A9" zoomScale="80" zoomScaleNormal="80" workbookViewId="0">
      <selection activeCell="G36" sqref="G36"/>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31" style="147" customWidth="1"/>
    <col min="6" max="6" width="20.81640625" style="147" customWidth="1"/>
    <col min="7" max="7" width="18.453125" style="147" customWidth="1"/>
    <col min="8" max="8" width="15.26953125" style="147" customWidth="1"/>
    <col min="9" max="9" width="14.1796875" style="147" customWidth="1"/>
    <col min="10" max="10" width="24.26953125" style="147" customWidth="1"/>
    <col min="11" max="11" width="19.81640625" style="147" customWidth="1"/>
    <col min="12" max="12" width="19.08984375" style="147" customWidth="1"/>
    <col min="13" max="13" width="30.54296875" style="147" customWidth="1"/>
    <col min="14" max="15" width="5.54296875" style="147" customWidth="1"/>
    <col min="16" max="16" width="5.7265625" style="147" customWidth="1" outlineLevel="1"/>
    <col min="17" max="17" width="28.7265625" style="147" customWidth="1" outlineLevel="1"/>
    <col min="18" max="18" width="18.7265625" style="147" customWidth="1" outlineLevel="1"/>
    <col min="19" max="19" width="17.1796875" style="147" customWidth="1" outlineLevel="1"/>
    <col min="20" max="22" width="17.453125" style="147" customWidth="1" outlineLevel="1"/>
    <col min="23" max="23" width="18.453125" style="147" customWidth="1" outlineLevel="1"/>
    <col min="24" max="24" width="9" style="147" customWidth="1" outlineLevel="1"/>
    <col min="25" max="25" width="8.54296875" style="147" customWidth="1" outlineLevel="1"/>
    <col min="26" max="26" width="9.1796875" style="147" customWidth="1" outlineLevel="1"/>
    <col min="27" max="27" width="14.6328125" style="147" customWidth="1" outlineLevel="1"/>
    <col min="28" max="28" width="8.54296875" style="147" customWidth="1" outlineLevel="1"/>
    <col min="29" max="29" width="8.1796875" style="147" customWidth="1" outlineLevel="1"/>
    <col min="30" max="30" width="13.453125" style="147" customWidth="1" outlineLevel="1"/>
    <col min="31" max="31" width="10.26953125" style="147" customWidth="1" outlineLevel="1"/>
    <col min="32" max="32" width="10.453125" style="147" customWidth="1" outlineLevel="1"/>
    <col min="33" max="33" width="10.81640625" style="147" customWidth="1" outlineLevel="1"/>
    <col min="34" max="34" width="10.1796875" style="147" customWidth="1" outlineLevel="1"/>
    <col min="35" max="35" width="14.81640625" style="147" customWidth="1" outlineLevel="1"/>
    <col min="36" max="36" width="14.54296875" style="147" customWidth="1" outlineLevel="1"/>
    <col min="37" max="37" width="14.81640625" style="147" customWidth="1" outlineLevel="1"/>
    <col min="38" max="38" width="11.1796875" style="147" customWidth="1" outlineLevel="1"/>
    <col min="39" max="39" width="11.54296875" style="147" customWidth="1" outlineLevel="1"/>
    <col min="40" max="40" width="10.26953125" style="147" customWidth="1" outlineLevel="1"/>
    <col min="41" max="44" width="8.7265625" style="147" customWidth="1" outlineLevel="1"/>
    <col min="45" max="16384" width="8.7265625" style="147"/>
  </cols>
  <sheetData>
    <row r="1" spans="2:44" s="150" customFormat="1" ht="15.5" x14ac:dyDescent="0.35">
      <c r="B1" s="196" t="s">
        <v>273</v>
      </c>
      <c r="E1" s="200" t="s">
        <v>61</v>
      </c>
      <c r="F1" s="201">
        <f>cl_year_select</f>
        <v>0</v>
      </c>
      <c r="H1" s="200" t="s">
        <v>274</v>
      </c>
      <c r="I1" s="199" t="str">
        <f>IF(AVERAGE($N$12,$N$27)=2,"No data missing","Data missing, see traffic lights")</f>
        <v>Data missing, see traffic lights</v>
      </c>
    </row>
    <row r="2" spans="2:44" s="153" customFormat="1" x14ac:dyDescent="0.3">
      <c r="B2" s="197" t="s">
        <v>281</v>
      </c>
      <c r="E2" s="202" t="s">
        <v>64</v>
      </c>
      <c r="F2" s="203">
        <f>cl_org_name_select</f>
        <v>0</v>
      </c>
    </row>
    <row r="3" spans="2:44" x14ac:dyDescent="0.3"/>
    <row r="4" spans="2:44" x14ac:dyDescent="0.3">
      <c r="B4" s="159" t="s">
        <v>10</v>
      </c>
      <c r="E4" s="191" t="s">
        <v>1</v>
      </c>
    </row>
    <row r="5" spans="2:44" x14ac:dyDescent="0.3">
      <c r="B5" s="455" t="s">
        <v>282</v>
      </c>
      <c r="E5" s="162" t="s">
        <v>37</v>
      </c>
    </row>
    <row r="6" spans="2:44" x14ac:dyDescent="0.3">
      <c r="B6" s="455"/>
      <c r="E6" s="170" t="s">
        <v>38</v>
      </c>
      <c r="G6" s="151"/>
    </row>
    <row r="7" spans="2:44" x14ac:dyDescent="0.3">
      <c r="B7" s="455"/>
      <c r="E7" s="192" t="s">
        <v>283</v>
      </c>
      <c r="G7" s="151"/>
    </row>
    <row r="8" spans="2:44" ht="50.15" customHeight="1" thickBot="1" x14ac:dyDescent="0.35">
      <c r="B8" s="455"/>
      <c r="E8" s="176"/>
      <c r="F8" s="176"/>
      <c r="G8" s="177"/>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row>
    <row r="9" spans="2:44" x14ac:dyDescent="0.3">
      <c r="G9" s="151"/>
    </row>
    <row r="10" spans="2:44" ht="14.5" x14ac:dyDescent="0.35">
      <c r="B10" s="159" t="s">
        <v>12</v>
      </c>
      <c r="E10" s="160" t="s">
        <v>187</v>
      </c>
      <c r="N10"/>
      <c r="O10"/>
    </row>
    <row r="11" spans="2:44" x14ac:dyDescent="0.3"/>
    <row r="12" spans="2:44" ht="27" customHeight="1" x14ac:dyDescent="0.3">
      <c r="B12" s="455" t="s">
        <v>284</v>
      </c>
      <c r="E12" s="257" t="s">
        <v>285</v>
      </c>
      <c r="F12" s="258" t="s">
        <v>286</v>
      </c>
      <c r="G12" s="258" t="s">
        <v>287</v>
      </c>
      <c r="H12" s="258" t="s">
        <v>288</v>
      </c>
      <c r="I12" s="258" t="s">
        <v>289</v>
      </c>
      <c r="J12" s="258" t="s">
        <v>290</v>
      </c>
      <c r="K12" s="331" t="s">
        <v>291</v>
      </c>
      <c r="L12" s="258" t="s">
        <v>292</v>
      </c>
      <c r="M12" s="259" t="s">
        <v>293</v>
      </c>
      <c r="N12" s="188">
        <f>AVERAGEIF($N$13:$N$22,"&lt;&gt;0",$N$13:$N$22)</f>
        <v>4</v>
      </c>
      <c r="Q12" s="225" t="s">
        <v>294</v>
      </c>
      <c r="R12" s="226" t="s">
        <v>295</v>
      </c>
      <c r="S12" s="226" t="s">
        <v>296</v>
      </c>
      <c r="T12" s="226" t="s">
        <v>297</v>
      </c>
      <c r="U12" s="226" t="s">
        <v>298</v>
      </c>
      <c r="V12" s="226" t="s">
        <v>299</v>
      </c>
      <c r="W12" s="226" t="s">
        <v>300</v>
      </c>
      <c r="X12" s="226" t="s">
        <v>301</v>
      </c>
      <c r="Y12" s="226" t="s">
        <v>302</v>
      </c>
      <c r="Z12" s="226" t="s">
        <v>287</v>
      </c>
      <c r="AA12" s="226" t="s">
        <v>303</v>
      </c>
      <c r="AB12" s="226" t="s">
        <v>288</v>
      </c>
      <c r="AC12" s="226" t="s">
        <v>289</v>
      </c>
      <c r="AD12" s="286" t="s">
        <v>304</v>
      </c>
      <c r="AE12" s="286" t="s">
        <v>305</v>
      </c>
      <c r="AF12" s="286" t="s">
        <v>306</v>
      </c>
      <c r="AG12" s="286" t="s">
        <v>307</v>
      </c>
      <c r="AH12" s="286" t="s">
        <v>308</v>
      </c>
      <c r="AI12" s="286" t="s">
        <v>309</v>
      </c>
      <c r="AJ12" s="286" t="s">
        <v>310</v>
      </c>
      <c r="AK12" s="286" t="s">
        <v>311</v>
      </c>
      <c r="AL12" s="286" t="s">
        <v>312</v>
      </c>
      <c r="AM12" s="286" t="s">
        <v>313</v>
      </c>
      <c r="AN12" s="286" t="s">
        <v>314</v>
      </c>
      <c r="AO12" s="286" t="s">
        <v>315</v>
      </c>
      <c r="AP12" s="286" t="s">
        <v>291</v>
      </c>
      <c r="AQ12" s="227" t="s">
        <v>292</v>
      </c>
      <c r="AR12" s="286" t="s">
        <v>293</v>
      </c>
    </row>
    <row r="13" spans="2:44" x14ac:dyDescent="0.3">
      <c r="B13" s="455"/>
      <c r="E13" s="342"/>
      <c r="F13" s="336"/>
      <c r="G13" s="336"/>
      <c r="H13" s="343"/>
      <c r="I13" s="172" t="s">
        <v>316</v>
      </c>
      <c r="J13" s="337"/>
      <c r="K13" s="336"/>
      <c r="L13" s="336"/>
      <c r="M13" s="337"/>
      <c r="N13" s="309">
        <f>ISBLANK(E13)+ISBLANK(F13)+ISBLANK(G13)+ISBLANK(H13)</f>
        <v>4</v>
      </c>
      <c r="Q13" s="212" t="str">
        <f t="shared" ref="Q13:Q22" si="0">IF(N13=0,SUBSTITUTE(2025&amp;TRIM(cl_org_name_select)&amp;TRIM($E$10)&amp;(ROW(N13)-ROW($N$13))," ",""),"")</f>
        <v/>
      </c>
      <c r="R13" s="174" t="s">
        <v>265</v>
      </c>
      <c r="S13" s="174" t="s">
        <v>187</v>
      </c>
      <c r="T13" s="209">
        <f>Buildings_Electricity_Streetlighting_Frontend[[#This Row],[Type of lighting]]</f>
        <v>0</v>
      </c>
      <c r="U13" s="174" t="str" cm="1">
        <f t="array" ref="U13">IF(Buildings_Electricity_Streetlighting_Frontend[[#This Row],[Data]]="","",_xlfn.XLOOKUP(Buildings_Electricity_Streetlighting_Backend[[#This Row],[Level 3]],rng_Level3Long,rng_Level4Long))</f>
        <v/>
      </c>
      <c r="V13" s="174" t="str" cm="1">
        <f t="array" ref="V13">IF(Buildings_Electricity_Streetlighting_Frontend[[#This Row],[Data]]="","",_xlfn.XLOOKUP(Buildings_Electricity_Streetlighting_Backend[[#This Row],[Level 3]],rng_Level3Long,rng_Level5Long))</f>
        <v/>
      </c>
      <c r="W13" s="174" t="str" cm="1">
        <f t="array" ref="W13">IF(Buildings_Electricity_Streetlighting_Frontend[[#This Row],[Data]]="","",_xlfn.XLOOKUP(Buildings_Electricity_Streetlighting_Backend[[#This Row],[Level 3]],rng_Level3Long,rng_Level6Long))</f>
        <v/>
      </c>
      <c r="X13" s="174">
        <f>Buildings_Electricity_Streetlighting_Frontend[[#This Row],[Name]]</f>
        <v>0</v>
      </c>
      <c r="Y13" s="174">
        <f>Buildings_Electricity_Streetlighting_Frontend[[#This Row],[Contracting]]</f>
        <v>0</v>
      </c>
      <c r="Z13" s="174">
        <f>Buildings_Electricity_Streetlighting_Frontend[[#This Row],[Methodology]]</f>
        <v>0</v>
      </c>
      <c r="AA13" s="229" t="str" cm="1">
        <f t="array" ref="AA13">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3" s="220">
        <f>Buildings_Electricity_Streetlighting_Frontend[[#This Row],[Data]]</f>
        <v>0</v>
      </c>
      <c r="AC13" s="174" t="str">
        <f>Buildings_Electricity_Streetlighting_Frontend[[#This Row],[Units]]</f>
        <v>kWh</v>
      </c>
      <c r="AD13" s="218">
        <f>Buildings_Electricity_Streetlighting_Frontend[[#This Row],[Data]]</f>
        <v>0</v>
      </c>
      <c r="AE13" s="174" t="str">
        <f>Buildings_Electricity_Streetlighting_Frontend[[#This Row],[Units]]</f>
        <v>kWh</v>
      </c>
      <c r="AF13" s="210" t="str">
        <f>IF(Buildings_Electricity_Streetlighting_Frontend[[#This Row],[Data]]="","",_xlfn.XLOOKUP(_xlfn.CONCAT(Buildings_Electricity_Streetlighting_Backend[[#This Row],[Level 1]:[Level 6]]),rng_EFConcat,rng_EF1)*Buildings_Electricity_Streetlighting_Backend[[#This Row],[Converted data]]/1000)</f>
        <v/>
      </c>
      <c r="AG13" s="210" t="str">
        <f>IF(Buildings_Electricity_Streetlighting_Frontend[[#This Row],[Data]]="","",_xlfn.XLOOKUP(_xlfn.CONCAT(Buildings_Electricity_Streetlighting_Backend[[#This Row],[Level 1]:[Level 6]]),rng_EFConcat,rng_EF2)*Buildings_Electricity_Streetlighting_Backend[[#This Row],[Converted data]]/1000)</f>
        <v/>
      </c>
      <c r="AH13" s="210" t="str">
        <f>IF(Buildings_Electricity_Streetlighting_Frontend[[#This Row],[Data]]="","",_xlfn.XLOOKUP(_xlfn.CONCAT(Buildings_Electricity_Streetlighting_Backend[[#This Row],[Level 1]:[Level 6]]),rng_EFConcat,rng_EF3)*Buildings_Electricity_Streetlighting_Backend[[#This Row],[Converted data]]/1000)</f>
        <v/>
      </c>
      <c r="AI13" s="210" t="str">
        <f>IF(Buildings_Electricity_Streetlighting_Frontend[[#This Row],[Data]]="","",_xlfn.XLOOKUP(_xlfn.CONCAT(Buildings_Electricity_Streetlighting_Backend[[#This Row],[Level 1]:[Level 6]]),rng_EFConcat,rng_EF3WTT)*Buildings_Electricity_Streetlighting_Backend[[#This Row],[Converted data]]/1000)</f>
        <v/>
      </c>
      <c r="AJ13" s="210" t="str">
        <f>IF(Buildings_Electricity_Streetlighting_Frontend[[#This Row],[Data]]="","",_xlfn.XLOOKUP(_xlfn.CONCAT(Buildings_Electricity_Streetlighting_Backend[[#This Row],[Level 1]:[Level 6]]),rng_EFConcat,rng_EF3TD)*Buildings_Electricity_Streetlighting_Backend[[#This Row],[Converted data]]/1000)</f>
        <v/>
      </c>
      <c r="AK13" s="210" t="str">
        <f>IF(Buildings_Electricity_Streetlighting_Frontend[[#This Row],[Data]]="","",_xlfn.XLOOKUP(_xlfn.CONCAT(Buildings_Electricity_Streetlighting_Backend[[#This Row],[Level 1]:[Level 6]]),rng_EFConcat,rng_EF3WTTTD)*Buildings_Electricity_Streetlighting_Backend[[#This Row],[Converted data]]/1000)</f>
        <v/>
      </c>
      <c r="AL13" s="220">
        <f>SUM(Buildings_Electricity_Streetlighting_Backend[[#This Row],[Scope 1 (tCO2e)]:[Scope 3 WTT T&amp;D (tCO2e)]])</f>
        <v>0</v>
      </c>
      <c r="AM13" s="220" t="str">
        <f>IF(Buildings_Electricity_Streetlighting_Frontend[[#This Row],[Data]]="","",Buildings_Electricity_Streetlighting_Backend[[#This Row],[Total (tCO2e)]]*(1-Buildings_Electricity_Streetlighting_Backend[[#This Row],[RSD]]))</f>
        <v/>
      </c>
      <c r="AN13" s="220" t="str">
        <f>IF(Buildings_Electricity_Streetlighting_Frontend[[#This Row],[Data]]="","",Buildings_Electricity_Streetlighting_Backend[[#This Row],[Total (tCO2e)]]*(1+Buildings_Electricity_Streetlighting_Backend[[#This Row],[RSD]]))</f>
        <v/>
      </c>
      <c r="AO13" s="210" t="str">
        <f>IF(Buildings_Electricity_Streetlighting_Frontend[[#This Row],[Data]]="","",_xlfn.XLOOKUP(_xlfn.CONCAT(Buildings_Electricity_Streetlighting_Backend[[#This Row],[Level 1]:[Level 6]]),rng_EFConcat,rng_EFOOS)*Buildings_Electricity_Streetlighting_Backend[[#This Row],[Converted data]]/1000)</f>
        <v/>
      </c>
      <c r="AP13" s="174">
        <f>Buildings_Electricity_Streetlighting_Frontend[[#This Row],[Ease of collection]]</f>
        <v>0</v>
      </c>
      <c r="AQ13" s="174">
        <f>Buildings_Electricity_Streetlighting_Frontend[[#This Row],[Completeness]]</f>
        <v>0</v>
      </c>
      <c r="AR13" s="224">
        <f>Buildings_Electricity_Streetlighting_Frontend[[#This Row],[Notes]]</f>
        <v>0</v>
      </c>
    </row>
    <row r="14" spans="2:44" x14ac:dyDescent="0.3">
      <c r="B14" s="455"/>
      <c r="E14" s="342"/>
      <c r="F14" s="336"/>
      <c r="G14" s="336"/>
      <c r="H14" s="343"/>
      <c r="I14" s="172" t="s">
        <v>316</v>
      </c>
      <c r="J14" s="337"/>
      <c r="K14" s="336"/>
      <c r="L14" s="336"/>
      <c r="M14" s="337"/>
      <c r="N14" s="309">
        <f t="shared" ref="N14:N22" si="1">ISBLANK(E14)+ISBLANK(F14)+ISBLANK(G14)+ISBLANK(H14)</f>
        <v>4</v>
      </c>
      <c r="Q14" s="212" t="str">
        <f t="shared" si="0"/>
        <v/>
      </c>
      <c r="R14" s="174" t="s">
        <v>265</v>
      </c>
      <c r="S14" s="174" t="s">
        <v>187</v>
      </c>
      <c r="T14" s="174">
        <f>Buildings_Electricity_Streetlighting_Frontend[[#This Row],[Type of lighting]]</f>
        <v>0</v>
      </c>
      <c r="U14" s="174" t="str" cm="1">
        <f t="array" ref="U14">IF(Buildings_Electricity_Streetlighting_Frontend[[#This Row],[Data]]="","",_xlfn.XLOOKUP(Buildings_Electricity_Streetlighting_Backend[[#This Row],[Level 3]],rng_Level3Long,rng_Level4Long))</f>
        <v/>
      </c>
      <c r="V14" s="174" t="str" cm="1">
        <f t="array" ref="V14">IF(Buildings_Electricity_Streetlighting_Frontend[[#This Row],[Data]]="","",_xlfn.XLOOKUP(Buildings_Electricity_Streetlighting_Backend[[#This Row],[Level 3]],rng_Level3Long,rng_Level5Long))</f>
        <v/>
      </c>
      <c r="W14" s="174" t="str" cm="1">
        <f t="array" ref="W14">IF(Buildings_Electricity_Streetlighting_Frontend[[#This Row],[Data]]="","",_xlfn.XLOOKUP(Buildings_Electricity_Streetlighting_Backend[[#This Row],[Level 3]],rng_Level3Long,rng_Level6Long))</f>
        <v/>
      </c>
      <c r="X14" s="174">
        <f>Buildings_Electricity_Streetlighting_Frontend[[#This Row],[Name]]</f>
        <v>0</v>
      </c>
      <c r="Y14" s="174">
        <f>Buildings_Electricity_Streetlighting_Frontend[[#This Row],[Contracting]]</f>
        <v>0</v>
      </c>
      <c r="Z14" s="174">
        <f>Buildings_Electricity_Streetlighting_Frontend[[#This Row],[Methodology]]</f>
        <v>0</v>
      </c>
      <c r="AA14" s="229" t="str" cm="1">
        <f t="array" ref="AA14">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4" s="220">
        <f>Buildings_Electricity_Streetlighting_Frontend[[#This Row],[Data]]</f>
        <v>0</v>
      </c>
      <c r="AC14" s="174" t="str">
        <f>Buildings_Electricity_Streetlighting_Frontend[[#This Row],[Units]]</f>
        <v>kWh</v>
      </c>
      <c r="AD14" s="218">
        <f>Buildings_Electricity_Streetlighting_Frontend[[#This Row],[Data]]</f>
        <v>0</v>
      </c>
      <c r="AE14" s="174" t="str">
        <f>Buildings_Electricity_Streetlighting_Frontend[[#This Row],[Units]]</f>
        <v>kWh</v>
      </c>
      <c r="AF14" s="210" t="str">
        <f>IF(Buildings_Electricity_Streetlighting_Frontend[[#This Row],[Data]]="","",_xlfn.XLOOKUP(_xlfn.CONCAT(Buildings_Electricity_Streetlighting_Backend[[#This Row],[Level 1]:[Level 6]]),rng_EFConcat,rng_EF1)*Buildings_Electricity_Streetlighting_Backend[[#This Row],[Converted data]]/1000)</f>
        <v/>
      </c>
      <c r="AG14" s="220" t="str">
        <f>IF(Buildings_Electricity_Streetlighting_Frontend[[#This Row],[Data]]="","",_xlfn.XLOOKUP(_xlfn.CONCAT(Buildings_Electricity_Streetlighting_Backend[[#This Row],[Level 1]:[Level 6]]),rng_EFConcat,rng_EF2)*Buildings_Electricity_Streetlighting_Backend[[#This Row],[Converted data]]/1000)</f>
        <v/>
      </c>
      <c r="AH14" s="220" t="str">
        <f>IF(Buildings_Electricity_Streetlighting_Frontend[[#This Row],[Data]]="","",_xlfn.XLOOKUP(_xlfn.CONCAT(Buildings_Electricity_Streetlighting_Backend[[#This Row],[Level 1]:[Level 6]]),rng_EFConcat,rng_EF3)*Buildings_Electricity_Streetlighting_Backend[[#This Row],[Converted data]]/1000)</f>
        <v/>
      </c>
      <c r="AI14" s="220" t="str">
        <f>IF(Buildings_Electricity_Streetlighting_Frontend[[#This Row],[Data]]="","",_xlfn.XLOOKUP(_xlfn.CONCAT(Buildings_Electricity_Streetlighting_Backend[[#This Row],[Level 1]:[Level 6]]),rng_EFConcat,rng_EF3WTT)*Buildings_Electricity_Streetlighting_Backend[[#This Row],[Converted data]]/1000)</f>
        <v/>
      </c>
      <c r="AJ14" s="220" t="str">
        <f>IF(Buildings_Electricity_Streetlighting_Frontend[[#This Row],[Data]]="","",_xlfn.XLOOKUP(_xlfn.CONCAT(Buildings_Electricity_Streetlighting_Backend[[#This Row],[Level 1]:[Level 6]]),rng_EFConcat,rng_EF3TD)*Buildings_Electricity_Streetlighting_Backend[[#This Row],[Converted data]]/1000)</f>
        <v/>
      </c>
      <c r="AK14" s="220" t="str">
        <f>IF(Buildings_Electricity_Streetlighting_Frontend[[#This Row],[Data]]="","",_xlfn.XLOOKUP(_xlfn.CONCAT(Buildings_Electricity_Streetlighting_Backend[[#This Row],[Level 1]:[Level 6]]),rng_EFConcat,rng_EF3WTTTD)*Buildings_Electricity_Streetlighting_Backend[[#This Row],[Converted data]]/1000)</f>
        <v/>
      </c>
      <c r="AL14" s="220">
        <f>SUM(Buildings_Electricity_Streetlighting_Backend[[#This Row],[Scope 1 (tCO2e)]:[Scope 3 WTT T&amp;D (tCO2e)]])</f>
        <v>0</v>
      </c>
      <c r="AM14" s="220" t="str">
        <f>IF(Buildings_Electricity_Streetlighting_Frontend[[#This Row],[Data]]="","",Buildings_Electricity_Streetlighting_Backend[[#This Row],[Total (tCO2e)]]*(1-Buildings_Electricity_Streetlighting_Backend[[#This Row],[RSD]]))</f>
        <v/>
      </c>
      <c r="AN14" s="220" t="str">
        <f>IF(Buildings_Electricity_Streetlighting_Frontend[[#This Row],[Data]]="","",Buildings_Electricity_Streetlighting_Backend[[#This Row],[Total (tCO2e)]]*(1+Buildings_Electricity_Streetlighting_Backend[[#This Row],[RSD]]))</f>
        <v/>
      </c>
      <c r="AO14" s="220" t="str">
        <f>IF(Buildings_Electricity_Streetlighting_Frontend[[#This Row],[Data]]="","",_xlfn.XLOOKUP(_xlfn.CONCAT(Buildings_Electricity_Streetlighting_Backend[[#This Row],[Level 1]:[Level 6]]),rng_EFConcat,rng_EFOOS)*Buildings_Electricity_Streetlighting_Backend[[#This Row],[Converted data]]/1000)</f>
        <v/>
      </c>
      <c r="AP14" s="174">
        <f>Buildings_Electricity_Streetlighting_Frontend[[#This Row],[Ease of collection]]</f>
        <v>0</v>
      </c>
      <c r="AQ14" s="174">
        <f>Buildings_Electricity_Streetlighting_Frontend[[#This Row],[Completeness]]</f>
        <v>0</v>
      </c>
      <c r="AR14" s="220">
        <f>Buildings_Electricity_Streetlighting_Frontend[[#This Row],[Notes]]</f>
        <v>0</v>
      </c>
    </row>
    <row r="15" spans="2:44" x14ac:dyDescent="0.3">
      <c r="B15" s="455"/>
      <c r="E15" s="342"/>
      <c r="F15" s="336"/>
      <c r="G15" s="336"/>
      <c r="H15" s="343"/>
      <c r="I15" s="172" t="s">
        <v>316</v>
      </c>
      <c r="J15" s="337"/>
      <c r="K15" s="336"/>
      <c r="L15" s="336"/>
      <c r="M15" s="337"/>
      <c r="N15" s="309">
        <f t="shared" si="1"/>
        <v>4</v>
      </c>
      <c r="Q15" s="212" t="str">
        <f t="shared" si="0"/>
        <v/>
      </c>
      <c r="R15" s="174" t="s">
        <v>265</v>
      </c>
      <c r="S15" s="174" t="s">
        <v>187</v>
      </c>
      <c r="T15" s="174">
        <f>Buildings_Electricity_Streetlighting_Frontend[[#This Row],[Type of lighting]]</f>
        <v>0</v>
      </c>
      <c r="U15" s="174" t="str" cm="1">
        <f t="array" ref="U15">IF(Buildings_Electricity_Streetlighting_Frontend[[#This Row],[Data]]="","",_xlfn.XLOOKUP(Buildings_Electricity_Streetlighting_Backend[[#This Row],[Level 3]],rng_Level3Long,rng_Level4Long))</f>
        <v/>
      </c>
      <c r="V15" s="174" t="str" cm="1">
        <f t="array" ref="V15">IF(Buildings_Electricity_Streetlighting_Frontend[[#This Row],[Data]]="","",_xlfn.XLOOKUP(Buildings_Electricity_Streetlighting_Backend[[#This Row],[Level 3]],rng_Level3Long,rng_Level5Long))</f>
        <v/>
      </c>
      <c r="W15" s="174" t="str" cm="1">
        <f t="array" ref="W15">IF(Buildings_Electricity_Streetlighting_Frontend[[#This Row],[Data]]="","",_xlfn.XLOOKUP(Buildings_Electricity_Streetlighting_Backend[[#This Row],[Level 3]],rng_Level3Long,rng_Level6Long))</f>
        <v/>
      </c>
      <c r="X15" s="174">
        <f>Buildings_Electricity_Streetlighting_Frontend[[#This Row],[Name]]</f>
        <v>0</v>
      </c>
      <c r="Y15" s="174">
        <f>Buildings_Electricity_Streetlighting_Frontend[[#This Row],[Contracting]]</f>
        <v>0</v>
      </c>
      <c r="Z15" s="174">
        <f>Buildings_Electricity_Streetlighting_Frontend[[#This Row],[Methodology]]</f>
        <v>0</v>
      </c>
      <c r="AA15" s="229" t="str" cm="1">
        <f t="array" ref="AA15">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5" s="220">
        <f>Buildings_Electricity_Streetlighting_Frontend[[#This Row],[Data]]</f>
        <v>0</v>
      </c>
      <c r="AC15" s="174" t="str">
        <f>Buildings_Electricity_Streetlighting_Frontend[[#This Row],[Units]]</f>
        <v>kWh</v>
      </c>
      <c r="AD15" s="218">
        <f>Buildings_Electricity_Streetlighting_Frontend[[#This Row],[Data]]</f>
        <v>0</v>
      </c>
      <c r="AE15" s="174" t="str">
        <f>Buildings_Electricity_Streetlighting_Frontend[[#This Row],[Units]]</f>
        <v>kWh</v>
      </c>
      <c r="AF15" s="210" t="str">
        <f>IF(Buildings_Electricity_Streetlighting_Frontend[[#This Row],[Data]]="","",_xlfn.XLOOKUP(_xlfn.CONCAT(Buildings_Electricity_Streetlighting_Backend[[#This Row],[Level 1]:[Level 6]]),rng_EFConcat,rng_EF1)*Buildings_Electricity_Streetlighting_Backend[[#This Row],[Converted data]]/1000)</f>
        <v/>
      </c>
      <c r="AG15" s="220" t="str">
        <f>IF(Buildings_Electricity_Streetlighting_Frontend[[#This Row],[Data]]="","",_xlfn.XLOOKUP(_xlfn.CONCAT(Buildings_Electricity_Streetlighting_Backend[[#This Row],[Level 1]:[Level 6]]),rng_EFConcat,rng_EF2)*Buildings_Electricity_Streetlighting_Backend[[#This Row],[Converted data]]/1000)</f>
        <v/>
      </c>
      <c r="AH15" s="220" t="str">
        <f>IF(Buildings_Electricity_Streetlighting_Frontend[[#This Row],[Data]]="","",_xlfn.XLOOKUP(_xlfn.CONCAT(Buildings_Electricity_Streetlighting_Backend[[#This Row],[Level 1]:[Level 6]]),rng_EFConcat,rng_EF3)*Buildings_Electricity_Streetlighting_Backend[[#This Row],[Converted data]]/1000)</f>
        <v/>
      </c>
      <c r="AI15" s="220" t="str">
        <f>IF(Buildings_Electricity_Streetlighting_Frontend[[#This Row],[Data]]="","",_xlfn.XLOOKUP(_xlfn.CONCAT(Buildings_Electricity_Streetlighting_Backend[[#This Row],[Level 1]:[Level 6]]),rng_EFConcat,rng_EF3WTT)*Buildings_Electricity_Streetlighting_Backend[[#This Row],[Converted data]]/1000)</f>
        <v/>
      </c>
      <c r="AJ15" s="220" t="str">
        <f>IF(Buildings_Electricity_Streetlighting_Frontend[[#This Row],[Data]]="","",_xlfn.XLOOKUP(_xlfn.CONCAT(Buildings_Electricity_Streetlighting_Backend[[#This Row],[Level 1]:[Level 6]]),rng_EFConcat,rng_EF3TD)*Buildings_Electricity_Streetlighting_Backend[[#This Row],[Converted data]]/1000)</f>
        <v/>
      </c>
      <c r="AK15" s="220" t="str">
        <f>IF(Buildings_Electricity_Streetlighting_Frontend[[#This Row],[Data]]="","",_xlfn.XLOOKUP(_xlfn.CONCAT(Buildings_Electricity_Streetlighting_Backend[[#This Row],[Level 1]:[Level 6]]),rng_EFConcat,rng_EF3WTTTD)*Buildings_Electricity_Streetlighting_Backend[[#This Row],[Converted data]]/1000)</f>
        <v/>
      </c>
      <c r="AL15" s="220">
        <f>SUM(Buildings_Electricity_Streetlighting_Backend[[#This Row],[Scope 1 (tCO2e)]:[Scope 3 WTT T&amp;D (tCO2e)]])</f>
        <v>0</v>
      </c>
      <c r="AM15" s="220" t="str">
        <f>IF(Buildings_Electricity_Streetlighting_Frontend[[#This Row],[Data]]="","",Buildings_Electricity_Streetlighting_Backend[[#This Row],[Total (tCO2e)]]*(1-Buildings_Electricity_Streetlighting_Backend[[#This Row],[RSD]]))</f>
        <v/>
      </c>
      <c r="AN15" s="220" t="str">
        <f>IF(Buildings_Electricity_Streetlighting_Frontend[[#This Row],[Data]]="","",Buildings_Electricity_Streetlighting_Backend[[#This Row],[Total (tCO2e)]]*(1+Buildings_Electricity_Streetlighting_Backend[[#This Row],[RSD]]))</f>
        <v/>
      </c>
      <c r="AO15" s="220" t="str">
        <f>IF(Buildings_Electricity_Streetlighting_Frontend[[#This Row],[Data]]="","",_xlfn.XLOOKUP(_xlfn.CONCAT(Buildings_Electricity_Streetlighting_Backend[[#This Row],[Level 1]:[Level 6]]),rng_EFConcat,rng_EFOOS)*Buildings_Electricity_Streetlighting_Backend[[#This Row],[Converted data]]/1000)</f>
        <v/>
      </c>
      <c r="AP15" s="174">
        <f>Buildings_Electricity_Streetlighting_Frontend[[#This Row],[Ease of collection]]</f>
        <v>0</v>
      </c>
      <c r="AQ15" s="174">
        <f>Buildings_Electricity_Streetlighting_Frontend[[#This Row],[Completeness]]</f>
        <v>0</v>
      </c>
      <c r="AR15" s="220">
        <f>Buildings_Electricity_Streetlighting_Frontend[[#This Row],[Notes]]</f>
        <v>0</v>
      </c>
    </row>
    <row r="16" spans="2:44" x14ac:dyDescent="0.3">
      <c r="B16" s="455"/>
      <c r="E16" s="342"/>
      <c r="F16" s="336"/>
      <c r="G16" s="336"/>
      <c r="H16" s="343"/>
      <c r="I16" s="172" t="s">
        <v>316</v>
      </c>
      <c r="J16" s="337"/>
      <c r="K16" s="336"/>
      <c r="L16" s="336"/>
      <c r="M16" s="337"/>
      <c r="N16" s="309">
        <f t="shared" si="1"/>
        <v>4</v>
      </c>
      <c r="Q16" s="212" t="str">
        <f t="shared" si="0"/>
        <v/>
      </c>
      <c r="R16" s="174" t="s">
        <v>265</v>
      </c>
      <c r="S16" s="174" t="s">
        <v>187</v>
      </c>
      <c r="T16" s="174">
        <f>Buildings_Electricity_Streetlighting_Frontend[[#This Row],[Type of lighting]]</f>
        <v>0</v>
      </c>
      <c r="U16" s="174" t="str" cm="1">
        <f t="array" ref="U16">IF(Buildings_Electricity_Streetlighting_Frontend[[#This Row],[Data]]="","",_xlfn.XLOOKUP(Buildings_Electricity_Streetlighting_Backend[[#This Row],[Level 3]],rng_Level3Long,rng_Level4Long))</f>
        <v/>
      </c>
      <c r="V16" s="174" t="str" cm="1">
        <f t="array" ref="V16">IF(Buildings_Electricity_Streetlighting_Frontend[[#This Row],[Data]]="","",_xlfn.XLOOKUP(Buildings_Electricity_Streetlighting_Backend[[#This Row],[Level 3]],rng_Level3Long,rng_Level5Long))</f>
        <v/>
      </c>
      <c r="W16" s="174" t="str" cm="1">
        <f t="array" ref="W16">IF(Buildings_Electricity_Streetlighting_Frontend[[#This Row],[Data]]="","",_xlfn.XLOOKUP(Buildings_Electricity_Streetlighting_Backend[[#This Row],[Level 3]],rng_Level3Long,rng_Level6Long))</f>
        <v/>
      </c>
      <c r="X16" s="174">
        <f>Buildings_Electricity_Streetlighting_Frontend[[#This Row],[Name]]</f>
        <v>0</v>
      </c>
      <c r="Y16" s="174">
        <f>Buildings_Electricity_Streetlighting_Frontend[[#This Row],[Contracting]]</f>
        <v>0</v>
      </c>
      <c r="Z16" s="174">
        <f>Buildings_Electricity_Streetlighting_Frontend[[#This Row],[Methodology]]</f>
        <v>0</v>
      </c>
      <c r="AA16" s="229" t="str" cm="1">
        <f t="array" ref="AA16">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6" s="220">
        <f>Buildings_Electricity_Streetlighting_Frontend[[#This Row],[Data]]</f>
        <v>0</v>
      </c>
      <c r="AC16" s="174" t="str">
        <f>Buildings_Electricity_Streetlighting_Frontend[[#This Row],[Units]]</f>
        <v>kWh</v>
      </c>
      <c r="AD16" s="218">
        <f>Buildings_Electricity_Streetlighting_Frontend[[#This Row],[Data]]</f>
        <v>0</v>
      </c>
      <c r="AE16" s="174" t="str">
        <f>Buildings_Electricity_Streetlighting_Frontend[[#This Row],[Units]]</f>
        <v>kWh</v>
      </c>
      <c r="AF16" s="210" t="str">
        <f>IF(Buildings_Electricity_Streetlighting_Frontend[[#This Row],[Data]]="","",_xlfn.XLOOKUP(_xlfn.CONCAT(Buildings_Electricity_Streetlighting_Backend[[#This Row],[Level 1]:[Level 6]]),rng_EFConcat,rng_EF1)*Buildings_Electricity_Streetlighting_Backend[[#This Row],[Converted data]]/1000)</f>
        <v/>
      </c>
      <c r="AG16" s="220" t="str">
        <f>IF(Buildings_Electricity_Streetlighting_Frontend[[#This Row],[Data]]="","",_xlfn.XLOOKUP(_xlfn.CONCAT(Buildings_Electricity_Streetlighting_Backend[[#This Row],[Level 1]:[Level 6]]),rng_EFConcat,rng_EF2)*Buildings_Electricity_Streetlighting_Backend[[#This Row],[Converted data]]/1000)</f>
        <v/>
      </c>
      <c r="AH16" s="220" t="str">
        <f>IF(Buildings_Electricity_Streetlighting_Frontend[[#This Row],[Data]]="","",_xlfn.XLOOKUP(_xlfn.CONCAT(Buildings_Electricity_Streetlighting_Backend[[#This Row],[Level 1]:[Level 6]]),rng_EFConcat,rng_EF3)*Buildings_Electricity_Streetlighting_Backend[[#This Row],[Converted data]]/1000)</f>
        <v/>
      </c>
      <c r="AI16" s="220" t="str">
        <f>IF(Buildings_Electricity_Streetlighting_Frontend[[#This Row],[Data]]="","",_xlfn.XLOOKUP(_xlfn.CONCAT(Buildings_Electricity_Streetlighting_Backend[[#This Row],[Level 1]:[Level 6]]),rng_EFConcat,rng_EF3WTT)*Buildings_Electricity_Streetlighting_Backend[[#This Row],[Converted data]]/1000)</f>
        <v/>
      </c>
      <c r="AJ16" s="220" t="str">
        <f>IF(Buildings_Electricity_Streetlighting_Frontend[[#This Row],[Data]]="","",_xlfn.XLOOKUP(_xlfn.CONCAT(Buildings_Electricity_Streetlighting_Backend[[#This Row],[Level 1]:[Level 6]]),rng_EFConcat,rng_EF3TD)*Buildings_Electricity_Streetlighting_Backend[[#This Row],[Converted data]]/1000)</f>
        <v/>
      </c>
      <c r="AK16" s="220" t="str">
        <f>IF(Buildings_Electricity_Streetlighting_Frontend[[#This Row],[Data]]="","",_xlfn.XLOOKUP(_xlfn.CONCAT(Buildings_Electricity_Streetlighting_Backend[[#This Row],[Level 1]:[Level 6]]),rng_EFConcat,rng_EF3WTTTD)*Buildings_Electricity_Streetlighting_Backend[[#This Row],[Converted data]]/1000)</f>
        <v/>
      </c>
      <c r="AL16" s="220">
        <f>SUM(Buildings_Electricity_Streetlighting_Backend[[#This Row],[Scope 1 (tCO2e)]:[Scope 3 WTT T&amp;D (tCO2e)]])</f>
        <v>0</v>
      </c>
      <c r="AM16" s="220" t="str">
        <f>IF(Buildings_Electricity_Streetlighting_Frontend[[#This Row],[Data]]="","",Buildings_Electricity_Streetlighting_Backend[[#This Row],[Total (tCO2e)]]*(1-Buildings_Electricity_Streetlighting_Backend[[#This Row],[RSD]]))</f>
        <v/>
      </c>
      <c r="AN16" s="220" t="str">
        <f>IF(Buildings_Electricity_Streetlighting_Frontend[[#This Row],[Data]]="","",Buildings_Electricity_Streetlighting_Backend[[#This Row],[Total (tCO2e)]]*(1+Buildings_Electricity_Streetlighting_Backend[[#This Row],[RSD]]))</f>
        <v/>
      </c>
      <c r="AO16" s="220" t="str">
        <f>IF(Buildings_Electricity_Streetlighting_Frontend[[#This Row],[Data]]="","",_xlfn.XLOOKUP(_xlfn.CONCAT(Buildings_Electricity_Streetlighting_Backend[[#This Row],[Level 1]:[Level 6]]),rng_EFConcat,rng_EFOOS)*Buildings_Electricity_Streetlighting_Backend[[#This Row],[Converted data]]/1000)</f>
        <v/>
      </c>
      <c r="AP16" s="174">
        <f>Buildings_Electricity_Streetlighting_Frontend[[#This Row],[Ease of collection]]</f>
        <v>0</v>
      </c>
      <c r="AQ16" s="174">
        <f>Buildings_Electricity_Streetlighting_Frontend[[#This Row],[Completeness]]</f>
        <v>0</v>
      </c>
      <c r="AR16" s="220">
        <f>Buildings_Electricity_Streetlighting_Frontend[[#This Row],[Notes]]</f>
        <v>0</v>
      </c>
    </row>
    <row r="17" spans="2:44" x14ac:dyDescent="0.3">
      <c r="B17" s="455"/>
      <c r="E17" s="342"/>
      <c r="F17" s="336"/>
      <c r="G17" s="336"/>
      <c r="H17" s="343"/>
      <c r="I17" s="172" t="s">
        <v>316</v>
      </c>
      <c r="J17" s="337"/>
      <c r="K17" s="336"/>
      <c r="L17" s="336"/>
      <c r="M17" s="337"/>
      <c r="N17" s="309">
        <f t="shared" si="1"/>
        <v>4</v>
      </c>
      <c r="Q17" s="212" t="str">
        <f t="shared" si="0"/>
        <v/>
      </c>
      <c r="R17" s="174" t="s">
        <v>265</v>
      </c>
      <c r="S17" s="174" t="s">
        <v>187</v>
      </c>
      <c r="T17" s="174">
        <f>Buildings_Electricity_Streetlighting_Frontend[[#This Row],[Type of lighting]]</f>
        <v>0</v>
      </c>
      <c r="U17" s="174" t="str" cm="1">
        <f t="array" ref="U17">IF(Buildings_Electricity_Streetlighting_Frontend[[#This Row],[Data]]="","",_xlfn.XLOOKUP(Buildings_Electricity_Streetlighting_Backend[[#This Row],[Level 3]],rng_Level3Long,rng_Level4Long))</f>
        <v/>
      </c>
      <c r="V17" s="174" t="str" cm="1">
        <f t="array" ref="V17">IF(Buildings_Electricity_Streetlighting_Frontend[[#This Row],[Data]]="","",_xlfn.XLOOKUP(Buildings_Electricity_Streetlighting_Backend[[#This Row],[Level 3]],rng_Level3Long,rng_Level5Long))</f>
        <v/>
      </c>
      <c r="W17" s="174" t="str" cm="1">
        <f t="array" ref="W17">IF(Buildings_Electricity_Streetlighting_Frontend[[#This Row],[Data]]="","",_xlfn.XLOOKUP(Buildings_Electricity_Streetlighting_Backend[[#This Row],[Level 3]],rng_Level3Long,rng_Level6Long))</f>
        <v/>
      </c>
      <c r="X17" s="174">
        <f>Buildings_Electricity_Streetlighting_Frontend[[#This Row],[Name]]</f>
        <v>0</v>
      </c>
      <c r="Y17" s="174">
        <f>Buildings_Electricity_Streetlighting_Frontend[[#This Row],[Contracting]]</f>
        <v>0</v>
      </c>
      <c r="Z17" s="174">
        <f>Buildings_Electricity_Streetlighting_Frontend[[#This Row],[Methodology]]</f>
        <v>0</v>
      </c>
      <c r="AA17" s="229" t="str" cm="1">
        <f t="array" ref="AA17">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7" s="220">
        <f>Buildings_Electricity_Streetlighting_Frontend[[#This Row],[Data]]</f>
        <v>0</v>
      </c>
      <c r="AC17" s="174" t="str">
        <f>Buildings_Electricity_Streetlighting_Frontend[[#This Row],[Units]]</f>
        <v>kWh</v>
      </c>
      <c r="AD17" s="218">
        <f>Buildings_Electricity_Streetlighting_Frontend[[#This Row],[Data]]</f>
        <v>0</v>
      </c>
      <c r="AE17" s="174" t="str">
        <f>Buildings_Electricity_Streetlighting_Frontend[[#This Row],[Units]]</f>
        <v>kWh</v>
      </c>
      <c r="AF17" s="210" t="str">
        <f>IF(Buildings_Electricity_Streetlighting_Frontend[[#This Row],[Data]]="","",_xlfn.XLOOKUP(_xlfn.CONCAT(Buildings_Electricity_Streetlighting_Backend[[#This Row],[Level 1]:[Level 6]]),rng_EFConcat,rng_EF1)*Buildings_Electricity_Streetlighting_Backend[[#This Row],[Converted data]]/1000)</f>
        <v/>
      </c>
      <c r="AG17" s="220" t="str">
        <f>IF(Buildings_Electricity_Streetlighting_Frontend[[#This Row],[Data]]="","",_xlfn.XLOOKUP(_xlfn.CONCAT(Buildings_Electricity_Streetlighting_Backend[[#This Row],[Level 1]:[Level 6]]),rng_EFConcat,rng_EF2)*Buildings_Electricity_Streetlighting_Backend[[#This Row],[Converted data]]/1000)</f>
        <v/>
      </c>
      <c r="AH17" s="220" t="str">
        <f>IF(Buildings_Electricity_Streetlighting_Frontend[[#This Row],[Data]]="","",_xlfn.XLOOKUP(_xlfn.CONCAT(Buildings_Electricity_Streetlighting_Backend[[#This Row],[Level 1]:[Level 6]]),rng_EFConcat,rng_EF3)*Buildings_Electricity_Streetlighting_Backend[[#This Row],[Converted data]]/1000)</f>
        <v/>
      </c>
      <c r="AI17" s="220" t="str">
        <f>IF(Buildings_Electricity_Streetlighting_Frontend[[#This Row],[Data]]="","",_xlfn.XLOOKUP(_xlfn.CONCAT(Buildings_Electricity_Streetlighting_Backend[[#This Row],[Level 1]:[Level 6]]),rng_EFConcat,rng_EF3WTT)*Buildings_Electricity_Streetlighting_Backend[[#This Row],[Converted data]]/1000)</f>
        <v/>
      </c>
      <c r="AJ17" s="220" t="str">
        <f>IF(Buildings_Electricity_Streetlighting_Frontend[[#This Row],[Data]]="","",_xlfn.XLOOKUP(_xlfn.CONCAT(Buildings_Electricity_Streetlighting_Backend[[#This Row],[Level 1]:[Level 6]]),rng_EFConcat,rng_EF3TD)*Buildings_Electricity_Streetlighting_Backend[[#This Row],[Converted data]]/1000)</f>
        <v/>
      </c>
      <c r="AK17" s="220" t="str">
        <f>IF(Buildings_Electricity_Streetlighting_Frontend[[#This Row],[Data]]="","",_xlfn.XLOOKUP(_xlfn.CONCAT(Buildings_Electricity_Streetlighting_Backend[[#This Row],[Level 1]:[Level 6]]),rng_EFConcat,rng_EF3WTTTD)*Buildings_Electricity_Streetlighting_Backend[[#This Row],[Converted data]]/1000)</f>
        <v/>
      </c>
      <c r="AL17" s="220">
        <f>SUM(Buildings_Electricity_Streetlighting_Backend[[#This Row],[Scope 1 (tCO2e)]:[Scope 3 WTT T&amp;D (tCO2e)]])</f>
        <v>0</v>
      </c>
      <c r="AM17" s="220" t="str">
        <f>IF(Buildings_Electricity_Streetlighting_Frontend[[#This Row],[Data]]="","",Buildings_Electricity_Streetlighting_Backend[[#This Row],[Total (tCO2e)]]*(1-Buildings_Electricity_Streetlighting_Backend[[#This Row],[RSD]]))</f>
        <v/>
      </c>
      <c r="AN17" s="220" t="str">
        <f>IF(Buildings_Electricity_Streetlighting_Frontend[[#This Row],[Data]]="","",Buildings_Electricity_Streetlighting_Backend[[#This Row],[Total (tCO2e)]]*(1+Buildings_Electricity_Streetlighting_Backend[[#This Row],[RSD]]))</f>
        <v/>
      </c>
      <c r="AO17" s="220" t="str">
        <f>IF(Buildings_Electricity_Streetlighting_Frontend[[#This Row],[Data]]="","",_xlfn.XLOOKUP(_xlfn.CONCAT(Buildings_Electricity_Streetlighting_Backend[[#This Row],[Level 1]:[Level 6]]),rng_EFConcat,rng_EFOOS)*Buildings_Electricity_Streetlighting_Backend[[#This Row],[Converted data]]/1000)</f>
        <v/>
      </c>
      <c r="AP17" s="174">
        <f>Buildings_Electricity_Streetlighting_Frontend[[#This Row],[Ease of collection]]</f>
        <v>0</v>
      </c>
      <c r="AQ17" s="174">
        <f>Buildings_Electricity_Streetlighting_Frontend[[#This Row],[Completeness]]</f>
        <v>0</v>
      </c>
      <c r="AR17" s="220">
        <f>Buildings_Electricity_Streetlighting_Frontend[[#This Row],[Notes]]</f>
        <v>0</v>
      </c>
    </row>
    <row r="18" spans="2:44" x14ac:dyDescent="0.3">
      <c r="B18" s="455"/>
      <c r="E18" s="342"/>
      <c r="F18" s="336"/>
      <c r="G18" s="336"/>
      <c r="H18" s="343"/>
      <c r="I18" s="172" t="s">
        <v>316</v>
      </c>
      <c r="J18" s="337"/>
      <c r="K18" s="336"/>
      <c r="L18" s="336"/>
      <c r="M18" s="337"/>
      <c r="N18" s="309">
        <f t="shared" si="1"/>
        <v>4</v>
      </c>
      <c r="Q18" s="212" t="str">
        <f t="shared" si="0"/>
        <v/>
      </c>
      <c r="R18" s="174" t="s">
        <v>265</v>
      </c>
      <c r="S18" s="174" t="s">
        <v>187</v>
      </c>
      <c r="T18" s="174">
        <f>Buildings_Electricity_Streetlighting_Frontend[[#This Row],[Type of lighting]]</f>
        <v>0</v>
      </c>
      <c r="U18" s="174" t="str" cm="1">
        <f t="array" ref="U18">IF(Buildings_Electricity_Streetlighting_Frontend[[#This Row],[Data]]="","",_xlfn.XLOOKUP(Buildings_Electricity_Streetlighting_Backend[[#This Row],[Level 3]],rng_Level3Long,rng_Level4Long))</f>
        <v/>
      </c>
      <c r="V18" s="174" t="str" cm="1">
        <f t="array" ref="V18">IF(Buildings_Electricity_Streetlighting_Frontend[[#This Row],[Data]]="","",_xlfn.XLOOKUP(Buildings_Electricity_Streetlighting_Backend[[#This Row],[Level 3]],rng_Level3Long,rng_Level5Long))</f>
        <v/>
      </c>
      <c r="W18" s="174" t="str" cm="1">
        <f t="array" ref="W18">IF(Buildings_Electricity_Streetlighting_Frontend[[#This Row],[Data]]="","",_xlfn.XLOOKUP(Buildings_Electricity_Streetlighting_Backend[[#This Row],[Level 3]],rng_Level3Long,rng_Level6Long))</f>
        <v/>
      </c>
      <c r="X18" s="174">
        <f>Buildings_Electricity_Streetlighting_Frontend[[#This Row],[Name]]</f>
        <v>0</v>
      </c>
      <c r="Y18" s="174">
        <f>Buildings_Electricity_Streetlighting_Frontend[[#This Row],[Contracting]]</f>
        <v>0</v>
      </c>
      <c r="Z18" s="174">
        <f>Buildings_Electricity_Streetlighting_Frontend[[#This Row],[Methodology]]</f>
        <v>0</v>
      </c>
      <c r="AA18" s="229" t="str" cm="1">
        <f t="array" ref="AA18">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8" s="220">
        <f>Buildings_Electricity_Streetlighting_Frontend[[#This Row],[Data]]</f>
        <v>0</v>
      </c>
      <c r="AC18" s="174" t="str">
        <f>Buildings_Electricity_Streetlighting_Frontend[[#This Row],[Units]]</f>
        <v>kWh</v>
      </c>
      <c r="AD18" s="218">
        <f>Buildings_Electricity_Streetlighting_Frontend[[#This Row],[Data]]</f>
        <v>0</v>
      </c>
      <c r="AE18" s="174" t="str">
        <f>Buildings_Electricity_Streetlighting_Frontend[[#This Row],[Units]]</f>
        <v>kWh</v>
      </c>
      <c r="AF18" s="210" t="str">
        <f>IF(Buildings_Electricity_Streetlighting_Frontend[[#This Row],[Data]]="","",_xlfn.XLOOKUP(_xlfn.CONCAT(Buildings_Electricity_Streetlighting_Backend[[#This Row],[Level 1]:[Level 6]]),rng_EFConcat,rng_EF1)*Buildings_Electricity_Streetlighting_Backend[[#This Row],[Converted data]]/1000)</f>
        <v/>
      </c>
      <c r="AG18" s="220" t="str">
        <f>IF(Buildings_Electricity_Streetlighting_Frontend[[#This Row],[Data]]="","",_xlfn.XLOOKUP(_xlfn.CONCAT(Buildings_Electricity_Streetlighting_Backend[[#This Row],[Level 1]:[Level 6]]),rng_EFConcat,rng_EF2)*Buildings_Electricity_Streetlighting_Backend[[#This Row],[Converted data]]/1000)</f>
        <v/>
      </c>
      <c r="AH18" s="220" t="str">
        <f>IF(Buildings_Electricity_Streetlighting_Frontend[[#This Row],[Data]]="","",_xlfn.XLOOKUP(_xlfn.CONCAT(Buildings_Electricity_Streetlighting_Backend[[#This Row],[Level 1]:[Level 6]]),rng_EFConcat,rng_EF3)*Buildings_Electricity_Streetlighting_Backend[[#This Row],[Converted data]]/1000)</f>
        <v/>
      </c>
      <c r="AI18" s="220" t="str">
        <f>IF(Buildings_Electricity_Streetlighting_Frontend[[#This Row],[Data]]="","",_xlfn.XLOOKUP(_xlfn.CONCAT(Buildings_Electricity_Streetlighting_Backend[[#This Row],[Level 1]:[Level 6]]),rng_EFConcat,rng_EF3WTT)*Buildings_Electricity_Streetlighting_Backend[[#This Row],[Converted data]]/1000)</f>
        <v/>
      </c>
      <c r="AJ18" s="220" t="str">
        <f>IF(Buildings_Electricity_Streetlighting_Frontend[[#This Row],[Data]]="","",_xlfn.XLOOKUP(_xlfn.CONCAT(Buildings_Electricity_Streetlighting_Backend[[#This Row],[Level 1]:[Level 6]]),rng_EFConcat,rng_EF3TD)*Buildings_Electricity_Streetlighting_Backend[[#This Row],[Converted data]]/1000)</f>
        <v/>
      </c>
      <c r="AK18" s="220" t="str">
        <f>IF(Buildings_Electricity_Streetlighting_Frontend[[#This Row],[Data]]="","",_xlfn.XLOOKUP(_xlfn.CONCAT(Buildings_Electricity_Streetlighting_Backend[[#This Row],[Level 1]:[Level 6]]),rng_EFConcat,rng_EF3WTTTD)*Buildings_Electricity_Streetlighting_Backend[[#This Row],[Converted data]]/1000)</f>
        <v/>
      </c>
      <c r="AL18" s="220">
        <f>SUM(Buildings_Electricity_Streetlighting_Backend[[#This Row],[Scope 1 (tCO2e)]:[Scope 3 WTT T&amp;D (tCO2e)]])</f>
        <v>0</v>
      </c>
      <c r="AM18" s="220" t="str">
        <f>IF(Buildings_Electricity_Streetlighting_Frontend[[#This Row],[Data]]="","",Buildings_Electricity_Streetlighting_Backend[[#This Row],[Total (tCO2e)]]*(1-Buildings_Electricity_Streetlighting_Backend[[#This Row],[RSD]]))</f>
        <v/>
      </c>
      <c r="AN18" s="220" t="str">
        <f>IF(Buildings_Electricity_Streetlighting_Frontend[[#This Row],[Data]]="","",Buildings_Electricity_Streetlighting_Backend[[#This Row],[Total (tCO2e)]]*(1+Buildings_Electricity_Streetlighting_Backend[[#This Row],[RSD]]))</f>
        <v/>
      </c>
      <c r="AO18" s="220" t="str">
        <f>IF(Buildings_Electricity_Streetlighting_Frontend[[#This Row],[Data]]="","",_xlfn.XLOOKUP(_xlfn.CONCAT(Buildings_Electricity_Streetlighting_Backend[[#This Row],[Level 1]:[Level 6]]),rng_EFConcat,rng_EFOOS)*Buildings_Electricity_Streetlighting_Backend[[#This Row],[Converted data]]/1000)</f>
        <v/>
      </c>
      <c r="AP18" s="174">
        <f>Buildings_Electricity_Streetlighting_Frontend[[#This Row],[Ease of collection]]</f>
        <v>0</v>
      </c>
      <c r="AQ18" s="174">
        <f>Buildings_Electricity_Streetlighting_Frontend[[#This Row],[Completeness]]</f>
        <v>0</v>
      </c>
      <c r="AR18" s="220">
        <f>Buildings_Electricity_Streetlighting_Frontend[[#This Row],[Notes]]</f>
        <v>0</v>
      </c>
    </row>
    <row r="19" spans="2:44" x14ac:dyDescent="0.3">
      <c r="B19" s="455"/>
      <c r="E19" s="342"/>
      <c r="F19" s="336"/>
      <c r="G19" s="336"/>
      <c r="H19" s="343"/>
      <c r="I19" s="172" t="s">
        <v>316</v>
      </c>
      <c r="J19" s="337"/>
      <c r="K19" s="336"/>
      <c r="L19" s="336"/>
      <c r="M19" s="337"/>
      <c r="N19" s="309">
        <f t="shared" si="1"/>
        <v>4</v>
      </c>
      <c r="Q19" s="212" t="str">
        <f t="shared" si="0"/>
        <v/>
      </c>
      <c r="R19" s="174" t="s">
        <v>265</v>
      </c>
      <c r="S19" s="174" t="s">
        <v>187</v>
      </c>
      <c r="T19" s="174">
        <f>Buildings_Electricity_Streetlighting_Frontend[[#This Row],[Type of lighting]]</f>
        <v>0</v>
      </c>
      <c r="U19" s="174" t="str" cm="1">
        <f t="array" ref="U19">IF(Buildings_Electricity_Streetlighting_Frontend[[#This Row],[Data]]="","",_xlfn.XLOOKUP(Buildings_Electricity_Streetlighting_Backend[[#This Row],[Level 3]],rng_Level3Long,rng_Level4Long))</f>
        <v/>
      </c>
      <c r="V19" s="174" t="str" cm="1">
        <f t="array" ref="V19">IF(Buildings_Electricity_Streetlighting_Frontend[[#This Row],[Data]]="","",_xlfn.XLOOKUP(Buildings_Electricity_Streetlighting_Backend[[#This Row],[Level 3]],rng_Level3Long,rng_Level5Long))</f>
        <v/>
      </c>
      <c r="W19" s="174" t="str" cm="1">
        <f t="array" ref="W19">IF(Buildings_Electricity_Streetlighting_Frontend[[#This Row],[Data]]="","",_xlfn.XLOOKUP(Buildings_Electricity_Streetlighting_Backend[[#This Row],[Level 3]],rng_Level3Long,rng_Level6Long))</f>
        <v/>
      </c>
      <c r="X19" s="174">
        <f>Buildings_Electricity_Streetlighting_Frontend[[#This Row],[Name]]</f>
        <v>0</v>
      </c>
      <c r="Y19" s="174">
        <f>Buildings_Electricity_Streetlighting_Frontend[[#This Row],[Contracting]]</f>
        <v>0</v>
      </c>
      <c r="Z19" s="174">
        <f>Buildings_Electricity_Streetlighting_Frontend[[#This Row],[Methodology]]</f>
        <v>0</v>
      </c>
      <c r="AA19" s="229" t="str" cm="1">
        <f t="array" ref="AA19">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19" s="220">
        <f>Buildings_Electricity_Streetlighting_Frontend[[#This Row],[Data]]</f>
        <v>0</v>
      </c>
      <c r="AC19" s="174" t="str">
        <f>Buildings_Electricity_Streetlighting_Frontend[[#This Row],[Units]]</f>
        <v>kWh</v>
      </c>
      <c r="AD19" s="218">
        <f>Buildings_Electricity_Streetlighting_Frontend[[#This Row],[Data]]</f>
        <v>0</v>
      </c>
      <c r="AE19" s="174" t="str">
        <f>Buildings_Electricity_Streetlighting_Frontend[[#This Row],[Units]]</f>
        <v>kWh</v>
      </c>
      <c r="AF19" s="210" t="str">
        <f>IF(Buildings_Electricity_Streetlighting_Frontend[[#This Row],[Data]]="","",_xlfn.XLOOKUP(_xlfn.CONCAT(Buildings_Electricity_Streetlighting_Backend[[#This Row],[Level 1]:[Level 6]]),rng_EFConcat,rng_EF1)*Buildings_Electricity_Streetlighting_Backend[[#This Row],[Converted data]]/1000)</f>
        <v/>
      </c>
      <c r="AG19" s="220" t="str">
        <f>IF(Buildings_Electricity_Streetlighting_Frontend[[#This Row],[Data]]="","",_xlfn.XLOOKUP(_xlfn.CONCAT(Buildings_Electricity_Streetlighting_Backend[[#This Row],[Level 1]:[Level 6]]),rng_EFConcat,rng_EF2)*Buildings_Electricity_Streetlighting_Backend[[#This Row],[Converted data]]/1000)</f>
        <v/>
      </c>
      <c r="AH19" s="220" t="str">
        <f>IF(Buildings_Electricity_Streetlighting_Frontend[[#This Row],[Data]]="","",_xlfn.XLOOKUP(_xlfn.CONCAT(Buildings_Electricity_Streetlighting_Backend[[#This Row],[Level 1]:[Level 6]]),rng_EFConcat,rng_EF3)*Buildings_Electricity_Streetlighting_Backend[[#This Row],[Converted data]]/1000)</f>
        <v/>
      </c>
      <c r="AI19" s="220" t="str">
        <f>IF(Buildings_Electricity_Streetlighting_Frontend[[#This Row],[Data]]="","",_xlfn.XLOOKUP(_xlfn.CONCAT(Buildings_Electricity_Streetlighting_Backend[[#This Row],[Level 1]:[Level 6]]),rng_EFConcat,rng_EF3WTT)*Buildings_Electricity_Streetlighting_Backend[[#This Row],[Converted data]]/1000)</f>
        <v/>
      </c>
      <c r="AJ19" s="220" t="str">
        <f>IF(Buildings_Electricity_Streetlighting_Frontend[[#This Row],[Data]]="","",_xlfn.XLOOKUP(_xlfn.CONCAT(Buildings_Electricity_Streetlighting_Backend[[#This Row],[Level 1]:[Level 6]]),rng_EFConcat,rng_EF3TD)*Buildings_Electricity_Streetlighting_Backend[[#This Row],[Converted data]]/1000)</f>
        <v/>
      </c>
      <c r="AK19" s="220" t="str">
        <f>IF(Buildings_Electricity_Streetlighting_Frontend[[#This Row],[Data]]="","",_xlfn.XLOOKUP(_xlfn.CONCAT(Buildings_Electricity_Streetlighting_Backend[[#This Row],[Level 1]:[Level 6]]),rng_EFConcat,rng_EF3WTTTD)*Buildings_Electricity_Streetlighting_Backend[[#This Row],[Converted data]]/1000)</f>
        <v/>
      </c>
      <c r="AL19" s="220">
        <f>SUM(Buildings_Electricity_Streetlighting_Backend[[#This Row],[Scope 1 (tCO2e)]:[Scope 3 WTT T&amp;D (tCO2e)]])</f>
        <v>0</v>
      </c>
      <c r="AM19" s="220" t="str">
        <f>IF(Buildings_Electricity_Streetlighting_Frontend[[#This Row],[Data]]="","",Buildings_Electricity_Streetlighting_Backend[[#This Row],[Total (tCO2e)]]*(1-Buildings_Electricity_Streetlighting_Backend[[#This Row],[RSD]]))</f>
        <v/>
      </c>
      <c r="AN19" s="220" t="str">
        <f>IF(Buildings_Electricity_Streetlighting_Frontend[[#This Row],[Data]]="","",Buildings_Electricity_Streetlighting_Backend[[#This Row],[Total (tCO2e)]]*(1+Buildings_Electricity_Streetlighting_Backend[[#This Row],[RSD]]))</f>
        <v/>
      </c>
      <c r="AO19" s="220" t="str">
        <f>IF(Buildings_Electricity_Streetlighting_Frontend[[#This Row],[Data]]="","",_xlfn.XLOOKUP(_xlfn.CONCAT(Buildings_Electricity_Streetlighting_Backend[[#This Row],[Level 1]:[Level 6]]),rng_EFConcat,rng_EFOOS)*Buildings_Electricity_Streetlighting_Backend[[#This Row],[Converted data]]/1000)</f>
        <v/>
      </c>
      <c r="AP19" s="174">
        <f>Buildings_Electricity_Streetlighting_Frontend[[#This Row],[Ease of collection]]</f>
        <v>0</v>
      </c>
      <c r="AQ19" s="174">
        <f>Buildings_Electricity_Streetlighting_Frontend[[#This Row],[Completeness]]</f>
        <v>0</v>
      </c>
      <c r="AR19" s="220">
        <f>Buildings_Electricity_Streetlighting_Frontend[[#This Row],[Notes]]</f>
        <v>0</v>
      </c>
    </row>
    <row r="20" spans="2:44" x14ac:dyDescent="0.3">
      <c r="B20" s="455"/>
      <c r="E20" s="342"/>
      <c r="F20" s="336"/>
      <c r="G20" s="336"/>
      <c r="H20" s="343"/>
      <c r="I20" s="172" t="s">
        <v>316</v>
      </c>
      <c r="J20" s="337"/>
      <c r="K20" s="336"/>
      <c r="L20" s="336"/>
      <c r="M20" s="337"/>
      <c r="N20" s="309">
        <f t="shared" si="1"/>
        <v>4</v>
      </c>
      <c r="Q20" s="212" t="str">
        <f t="shared" si="0"/>
        <v/>
      </c>
      <c r="R20" s="174" t="s">
        <v>265</v>
      </c>
      <c r="S20" s="174" t="s">
        <v>187</v>
      </c>
      <c r="T20" s="174">
        <f>Buildings_Electricity_Streetlighting_Frontend[[#This Row],[Type of lighting]]</f>
        <v>0</v>
      </c>
      <c r="U20" s="174" t="str" cm="1">
        <f t="array" ref="U20">IF(Buildings_Electricity_Streetlighting_Frontend[[#This Row],[Data]]="","",_xlfn.XLOOKUP(Buildings_Electricity_Streetlighting_Backend[[#This Row],[Level 3]],rng_Level3Long,rng_Level4Long))</f>
        <v/>
      </c>
      <c r="V20" s="174" t="str" cm="1">
        <f t="array" ref="V20">IF(Buildings_Electricity_Streetlighting_Frontend[[#This Row],[Data]]="","",_xlfn.XLOOKUP(Buildings_Electricity_Streetlighting_Backend[[#This Row],[Level 3]],rng_Level3Long,rng_Level5Long))</f>
        <v/>
      </c>
      <c r="W20" s="174" t="str" cm="1">
        <f t="array" ref="W20">IF(Buildings_Electricity_Streetlighting_Frontend[[#This Row],[Data]]="","",_xlfn.XLOOKUP(Buildings_Electricity_Streetlighting_Backend[[#This Row],[Level 3]],rng_Level3Long,rng_Level6Long))</f>
        <v/>
      </c>
      <c r="X20" s="174">
        <f>Buildings_Electricity_Streetlighting_Frontend[[#This Row],[Name]]</f>
        <v>0</v>
      </c>
      <c r="Y20" s="174">
        <f>Buildings_Electricity_Streetlighting_Frontend[[#This Row],[Contracting]]</f>
        <v>0</v>
      </c>
      <c r="Z20" s="174">
        <f>Buildings_Electricity_Streetlighting_Frontend[[#This Row],[Methodology]]</f>
        <v>0</v>
      </c>
      <c r="AA20" s="229" t="str" cm="1">
        <f t="array" ref="AA20">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20" s="220">
        <f>Buildings_Electricity_Streetlighting_Frontend[[#This Row],[Data]]</f>
        <v>0</v>
      </c>
      <c r="AC20" s="174" t="str">
        <f>Buildings_Electricity_Streetlighting_Frontend[[#This Row],[Units]]</f>
        <v>kWh</v>
      </c>
      <c r="AD20" s="218">
        <f>Buildings_Electricity_Streetlighting_Frontend[[#This Row],[Data]]</f>
        <v>0</v>
      </c>
      <c r="AE20" s="174" t="str">
        <f>Buildings_Electricity_Streetlighting_Frontend[[#This Row],[Units]]</f>
        <v>kWh</v>
      </c>
      <c r="AF20" s="210" t="str">
        <f>IF(Buildings_Electricity_Streetlighting_Frontend[[#This Row],[Data]]="","",_xlfn.XLOOKUP(_xlfn.CONCAT(Buildings_Electricity_Streetlighting_Backend[[#This Row],[Level 1]:[Level 6]]),rng_EFConcat,rng_EF1)*Buildings_Electricity_Streetlighting_Backend[[#This Row],[Converted data]]/1000)</f>
        <v/>
      </c>
      <c r="AG20" s="220" t="str">
        <f>IF(Buildings_Electricity_Streetlighting_Frontend[[#This Row],[Data]]="","",_xlfn.XLOOKUP(_xlfn.CONCAT(Buildings_Electricity_Streetlighting_Backend[[#This Row],[Level 1]:[Level 6]]),rng_EFConcat,rng_EF2)*Buildings_Electricity_Streetlighting_Backend[[#This Row],[Converted data]]/1000)</f>
        <v/>
      </c>
      <c r="AH20" s="220" t="str">
        <f>IF(Buildings_Electricity_Streetlighting_Frontend[[#This Row],[Data]]="","",_xlfn.XLOOKUP(_xlfn.CONCAT(Buildings_Electricity_Streetlighting_Backend[[#This Row],[Level 1]:[Level 6]]),rng_EFConcat,rng_EF3)*Buildings_Electricity_Streetlighting_Backend[[#This Row],[Converted data]]/1000)</f>
        <v/>
      </c>
      <c r="AI20" s="220" t="str">
        <f>IF(Buildings_Electricity_Streetlighting_Frontend[[#This Row],[Data]]="","",_xlfn.XLOOKUP(_xlfn.CONCAT(Buildings_Electricity_Streetlighting_Backend[[#This Row],[Level 1]:[Level 6]]),rng_EFConcat,rng_EF3WTT)*Buildings_Electricity_Streetlighting_Backend[[#This Row],[Converted data]]/1000)</f>
        <v/>
      </c>
      <c r="AJ20" s="220" t="str">
        <f>IF(Buildings_Electricity_Streetlighting_Frontend[[#This Row],[Data]]="","",_xlfn.XLOOKUP(_xlfn.CONCAT(Buildings_Electricity_Streetlighting_Backend[[#This Row],[Level 1]:[Level 6]]),rng_EFConcat,rng_EF3TD)*Buildings_Electricity_Streetlighting_Backend[[#This Row],[Converted data]]/1000)</f>
        <v/>
      </c>
      <c r="AK20" s="220" t="str">
        <f>IF(Buildings_Electricity_Streetlighting_Frontend[[#This Row],[Data]]="","",_xlfn.XLOOKUP(_xlfn.CONCAT(Buildings_Electricity_Streetlighting_Backend[[#This Row],[Level 1]:[Level 6]]),rng_EFConcat,rng_EF3WTTTD)*Buildings_Electricity_Streetlighting_Backend[[#This Row],[Converted data]]/1000)</f>
        <v/>
      </c>
      <c r="AL20" s="220">
        <f>SUM(Buildings_Electricity_Streetlighting_Backend[[#This Row],[Scope 1 (tCO2e)]:[Scope 3 WTT T&amp;D (tCO2e)]])</f>
        <v>0</v>
      </c>
      <c r="AM20" s="220" t="str">
        <f>IF(Buildings_Electricity_Streetlighting_Frontend[[#This Row],[Data]]="","",Buildings_Electricity_Streetlighting_Backend[[#This Row],[Total (tCO2e)]]*(1-Buildings_Electricity_Streetlighting_Backend[[#This Row],[RSD]]))</f>
        <v/>
      </c>
      <c r="AN20" s="220" t="str">
        <f>IF(Buildings_Electricity_Streetlighting_Frontend[[#This Row],[Data]]="","",Buildings_Electricity_Streetlighting_Backend[[#This Row],[Total (tCO2e)]]*(1+Buildings_Electricity_Streetlighting_Backend[[#This Row],[RSD]]))</f>
        <v/>
      </c>
      <c r="AO20" s="220" t="str">
        <f>IF(Buildings_Electricity_Streetlighting_Frontend[[#This Row],[Data]]="","",_xlfn.XLOOKUP(_xlfn.CONCAT(Buildings_Electricity_Streetlighting_Backend[[#This Row],[Level 1]:[Level 6]]),rng_EFConcat,rng_EFOOS)*Buildings_Electricity_Streetlighting_Backend[[#This Row],[Converted data]]/1000)</f>
        <v/>
      </c>
      <c r="AP20" s="174">
        <f>Buildings_Electricity_Streetlighting_Frontend[[#This Row],[Ease of collection]]</f>
        <v>0</v>
      </c>
      <c r="AQ20" s="174">
        <f>Buildings_Electricity_Streetlighting_Frontend[[#This Row],[Completeness]]</f>
        <v>0</v>
      </c>
      <c r="AR20" s="220">
        <f>Buildings_Electricity_Streetlighting_Frontend[[#This Row],[Notes]]</f>
        <v>0</v>
      </c>
    </row>
    <row r="21" spans="2:44" x14ac:dyDescent="0.3">
      <c r="B21" s="455"/>
      <c r="E21" s="342"/>
      <c r="F21" s="336"/>
      <c r="G21" s="336"/>
      <c r="H21" s="343"/>
      <c r="I21" s="172" t="s">
        <v>316</v>
      </c>
      <c r="J21" s="337"/>
      <c r="K21" s="336"/>
      <c r="L21" s="336"/>
      <c r="M21" s="337"/>
      <c r="N21" s="309">
        <f t="shared" si="1"/>
        <v>4</v>
      </c>
      <c r="Q21" s="212" t="str">
        <f t="shared" si="0"/>
        <v/>
      </c>
      <c r="R21" s="174" t="s">
        <v>265</v>
      </c>
      <c r="S21" s="174" t="s">
        <v>187</v>
      </c>
      <c r="T21" s="174">
        <f>Buildings_Electricity_Streetlighting_Frontend[[#This Row],[Type of lighting]]</f>
        <v>0</v>
      </c>
      <c r="U21" s="174" t="str" cm="1">
        <f t="array" ref="U21">IF(Buildings_Electricity_Streetlighting_Frontend[[#This Row],[Data]]="","",_xlfn.XLOOKUP(Buildings_Electricity_Streetlighting_Backend[[#This Row],[Level 3]],rng_Level3Long,rng_Level4Long))</f>
        <v/>
      </c>
      <c r="V21" s="174" t="str" cm="1">
        <f t="array" ref="V21">IF(Buildings_Electricity_Streetlighting_Frontend[[#This Row],[Data]]="","",_xlfn.XLOOKUP(Buildings_Electricity_Streetlighting_Backend[[#This Row],[Level 3]],rng_Level3Long,rng_Level5Long))</f>
        <v/>
      </c>
      <c r="W21" s="174" t="str" cm="1">
        <f t="array" ref="W21">IF(Buildings_Electricity_Streetlighting_Frontend[[#This Row],[Data]]="","",_xlfn.XLOOKUP(Buildings_Electricity_Streetlighting_Backend[[#This Row],[Level 3]],rng_Level3Long,rng_Level6Long))</f>
        <v/>
      </c>
      <c r="X21" s="174">
        <f>Buildings_Electricity_Streetlighting_Frontend[[#This Row],[Name]]</f>
        <v>0</v>
      </c>
      <c r="Y21" s="174">
        <f>Buildings_Electricity_Streetlighting_Frontend[[#This Row],[Contracting]]</f>
        <v>0</v>
      </c>
      <c r="Z21" s="174">
        <f>Buildings_Electricity_Streetlighting_Frontend[[#This Row],[Methodology]]</f>
        <v>0</v>
      </c>
      <c r="AA21" s="229" t="str" cm="1">
        <f t="array" ref="AA21">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21" s="220">
        <f>Buildings_Electricity_Streetlighting_Frontend[[#This Row],[Data]]</f>
        <v>0</v>
      </c>
      <c r="AC21" s="174" t="str">
        <f>Buildings_Electricity_Streetlighting_Frontend[[#This Row],[Units]]</f>
        <v>kWh</v>
      </c>
      <c r="AD21" s="218">
        <f>Buildings_Electricity_Streetlighting_Frontend[[#This Row],[Data]]</f>
        <v>0</v>
      </c>
      <c r="AE21" s="174" t="str">
        <f>Buildings_Electricity_Streetlighting_Frontend[[#This Row],[Units]]</f>
        <v>kWh</v>
      </c>
      <c r="AF21" s="210" t="str">
        <f>IF(Buildings_Electricity_Streetlighting_Frontend[[#This Row],[Data]]="","",_xlfn.XLOOKUP(_xlfn.CONCAT(Buildings_Electricity_Streetlighting_Backend[[#This Row],[Level 1]:[Level 6]]),rng_EFConcat,rng_EF1)*Buildings_Electricity_Streetlighting_Backend[[#This Row],[Converted data]]/1000)</f>
        <v/>
      </c>
      <c r="AG21" s="220" t="str">
        <f>IF(Buildings_Electricity_Streetlighting_Frontend[[#This Row],[Data]]="","",_xlfn.XLOOKUP(_xlfn.CONCAT(Buildings_Electricity_Streetlighting_Backend[[#This Row],[Level 1]:[Level 6]]),rng_EFConcat,rng_EF2)*Buildings_Electricity_Streetlighting_Backend[[#This Row],[Converted data]]/1000)</f>
        <v/>
      </c>
      <c r="AH21" s="220" t="str">
        <f>IF(Buildings_Electricity_Streetlighting_Frontend[[#This Row],[Data]]="","",_xlfn.XLOOKUP(_xlfn.CONCAT(Buildings_Electricity_Streetlighting_Backend[[#This Row],[Level 1]:[Level 6]]),rng_EFConcat,rng_EF3)*Buildings_Electricity_Streetlighting_Backend[[#This Row],[Converted data]]/1000)</f>
        <v/>
      </c>
      <c r="AI21" s="220" t="str">
        <f>IF(Buildings_Electricity_Streetlighting_Frontend[[#This Row],[Data]]="","",_xlfn.XLOOKUP(_xlfn.CONCAT(Buildings_Electricity_Streetlighting_Backend[[#This Row],[Level 1]:[Level 6]]),rng_EFConcat,rng_EF3WTT)*Buildings_Electricity_Streetlighting_Backend[[#This Row],[Converted data]]/1000)</f>
        <v/>
      </c>
      <c r="AJ21" s="220" t="str">
        <f>IF(Buildings_Electricity_Streetlighting_Frontend[[#This Row],[Data]]="","",_xlfn.XLOOKUP(_xlfn.CONCAT(Buildings_Electricity_Streetlighting_Backend[[#This Row],[Level 1]:[Level 6]]),rng_EFConcat,rng_EF3TD)*Buildings_Electricity_Streetlighting_Backend[[#This Row],[Converted data]]/1000)</f>
        <v/>
      </c>
      <c r="AK21" s="220" t="str">
        <f>IF(Buildings_Electricity_Streetlighting_Frontend[[#This Row],[Data]]="","",_xlfn.XLOOKUP(_xlfn.CONCAT(Buildings_Electricity_Streetlighting_Backend[[#This Row],[Level 1]:[Level 6]]),rng_EFConcat,rng_EF3WTTTD)*Buildings_Electricity_Streetlighting_Backend[[#This Row],[Converted data]]/1000)</f>
        <v/>
      </c>
      <c r="AL21" s="220">
        <f>SUM(Buildings_Electricity_Streetlighting_Backend[[#This Row],[Scope 1 (tCO2e)]:[Scope 3 WTT T&amp;D (tCO2e)]])</f>
        <v>0</v>
      </c>
      <c r="AM21" s="220" t="str">
        <f>IF(Buildings_Electricity_Streetlighting_Frontend[[#This Row],[Data]]="","",Buildings_Electricity_Streetlighting_Backend[[#This Row],[Total (tCO2e)]]*(1-Buildings_Electricity_Streetlighting_Backend[[#This Row],[RSD]]))</f>
        <v/>
      </c>
      <c r="AN21" s="220" t="str">
        <f>IF(Buildings_Electricity_Streetlighting_Frontend[[#This Row],[Data]]="","",Buildings_Electricity_Streetlighting_Backend[[#This Row],[Total (tCO2e)]]*(1+Buildings_Electricity_Streetlighting_Backend[[#This Row],[RSD]]))</f>
        <v/>
      </c>
      <c r="AO21" s="220" t="str">
        <f>IF(Buildings_Electricity_Streetlighting_Frontend[[#This Row],[Data]]="","",_xlfn.XLOOKUP(_xlfn.CONCAT(Buildings_Electricity_Streetlighting_Backend[[#This Row],[Level 1]:[Level 6]]),rng_EFConcat,rng_EFOOS)*Buildings_Electricity_Streetlighting_Backend[[#This Row],[Converted data]]/1000)</f>
        <v/>
      </c>
      <c r="AP21" s="174">
        <f>Buildings_Electricity_Streetlighting_Frontend[[#This Row],[Ease of collection]]</f>
        <v>0</v>
      </c>
      <c r="AQ21" s="174">
        <f>Buildings_Electricity_Streetlighting_Frontend[[#This Row],[Completeness]]</f>
        <v>0</v>
      </c>
      <c r="AR21" s="220">
        <f>Buildings_Electricity_Streetlighting_Frontend[[#This Row],[Notes]]</f>
        <v>0</v>
      </c>
    </row>
    <row r="22" spans="2:44" x14ac:dyDescent="0.3">
      <c r="B22" s="455"/>
      <c r="E22" s="342"/>
      <c r="F22" s="336"/>
      <c r="G22" s="338"/>
      <c r="H22" s="345"/>
      <c r="I22" s="222" t="s">
        <v>316</v>
      </c>
      <c r="J22" s="337"/>
      <c r="K22" s="338"/>
      <c r="L22" s="338"/>
      <c r="M22" s="339"/>
      <c r="N22" s="309">
        <f t="shared" si="1"/>
        <v>4</v>
      </c>
      <c r="Q22" s="214" t="str">
        <f t="shared" si="0"/>
        <v/>
      </c>
      <c r="R22" s="174" t="s">
        <v>265</v>
      </c>
      <c r="S22" s="174" t="s">
        <v>187</v>
      </c>
      <c r="T22" s="216">
        <f>Buildings_Electricity_Streetlighting_Frontend[[#This Row],[Type of lighting]]</f>
        <v>0</v>
      </c>
      <c r="U22" s="216" t="str" cm="1">
        <f t="array" ref="U22">IF(Buildings_Electricity_Streetlighting_Frontend[[#This Row],[Data]]="","",_xlfn.XLOOKUP(Buildings_Electricity_Streetlighting_Backend[[#This Row],[Level 3]],rng_Level3Long,rng_Level4Long))</f>
        <v/>
      </c>
      <c r="V22" s="216" t="str" cm="1">
        <f t="array" ref="V22">IF(Buildings_Electricity_Streetlighting_Frontend[[#This Row],[Data]]="","",_xlfn.XLOOKUP(Buildings_Electricity_Streetlighting_Backend[[#This Row],[Level 3]],rng_Level3Long,rng_Level5Long))</f>
        <v/>
      </c>
      <c r="W22" s="216" t="str" cm="1">
        <f t="array" ref="W22">IF(Buildings_Electricity_Streetlighting_Frontend[[#This Row],[Data]]="","",_xlfn.XLOOKUP(Buildings_Electricity_Streetlighting_Backend[[#This Row],[Level 3]],rng_Level3Long,rng_Level6Long))</f>
        <v/>
      </c>
      <c r="X22" s="216">
        <f>Buildings_Electricity_Streetlighting_Frontend[[#This Row],[Name]]</f>
        <v>0</v>
      </c>
      <c r="Y22" s="216">
        <f>Buildings_Electricity_Streetlighting_Frontend[[#This Row],[Contracting]]</f>
        <v>0</v>
      </c>
      <c r="Z22" s="216">
        <f>Buildings_Electricity_Streetlighting_Frontend[[#This Row],[Methodology]]</f>
        <v>0</v>
      </c>
      <c r="AA22" s="229" t="str" cm="1">
        <f t="array" ref="AA22">IF(Buildings_Electricity_Streetlighting_Frontend[[#This Row],[Data]]="","",INDEX(_xlfn.SWITCH(Buildings_Electricity_Streetlighting_Backend[[#This Row],[Methodology]],"Tier 1",rng_RSD1,"Tier 2",rng_RSD2,"Tier 3",rng_RSD3),MATCH(_xlfn.CONCAT(Buildings_Electricity_Streetlighting_Backend[[#This Row],[Level 1]:[Level 6]]),rng_LevelsConcat,0)))</f>
        <v/>
      </c>
      <c r="AB22" s="221">
        <f>Buildings_Electricity_Streetlighting_Frontend[[#This Row],[Data]]</f>
        <v>0</v>
      </c>
      <c r="AC22" s="216" t="str">
        <f>Buildings_Electricity_Streetlighting_Frontend[[#This Row],[Units]]</f>
        <v>kWh</v>
      </c>
      <c r="AD22" s="219">
        <f>Buildings_Electricity_Streetlighting_Frontend[[#This Row],[Data]]</f>
        <v>0</v>
      </c>
      <c r="AE22" s="216" t="str">
        <f>Buildings_Electricity_Streetlighting_Frontend[[#This Row],[Units]]</f>
        <v>kWh</v>
      </c>
      <c r="AF22" s="217" t="str">
        <f>IF(Buildings_Electricity_Streetlighting_Frontend[[#This Row],[Data]]="","",_xlfn.XLOOKUP(_xlfn.CONCAT(Buildings_Electricity_Streetlighting_Backend[[#This Row],[Level 1]:[Level 6]]),rng_EFConcat,rng_EF1)*Buildings_Electricity_Streetlighting_Backend[[#This Row],[Converted data]]/1000)</f>
        <v/>
      </c>
      <c r="AG22" s="221" t="str">
        <f>IF(Buildings_Electricity_Streetlighting_Frontend[[#This Row],[Data]]="","",_xlfn.XLOOKUP(_xlfn.CONCAT(Buildings_Electricity_Streetlighting_Backend[[#This Row],[Level 1]:[Level 6]]),rng_EFConcat,rng_EF2)*Buildings_Electricity_Streetlighting_Backend[[#This Row],[Converted data]]/1000)</f>
        <v/>
      </c>
      <c r="AH22" s="221" t="str">
        <f>IF(Buildings_Electricity_Streetlighting_Frontend[[#This Row],[Data]]="","",_xlfn.XLOOKUP(_xlfn.CONCAT(Buildings_Electricity_Streetlighting_Backend[[#This Row],[Level 1]:[Level 6]]),rng_EFConcat,rng_EF3)*Buildings_Electricity_Streetlighting_Backend[[#This Row],[Converted data]]/1000)</f>
        <v/>
      </c>
      <c r="AI22" s="221" t="str">
        <f>IF(Buildings_Electricity_Streetlighting_Frontend[[#This Row],[Data]]="","",_xlfn.XLOOKUP(_xlfn.CONCAT(Buildings_Electricity_Streetlighting_Backend[[#This Row],[Level 1]:[Level 6]]),rng_EFConcat,rng_EF3WTT)*Buildings_Electricity_Streetlighting_Backend[[#This Row],[Converted data]]/1000)</f>
        <v/>
      </c>
      <c r="AJ22" s="221" t="str">
        <f>IF(Buildings_Electricity_Streetlighting_Frontend[[#This Row],[Data]]="","",_xlfn.XLOOKUP(_xlfn.CONCAT(Buildings_Electricity_Streetlighting_Backend[[#This Row],[Level 1]:[Level 6]]),rng_EFConcat,rng_EF3TD)*Buildings_Electricity_Streetlighting_Backend[[#This Row],[Converted data]]/1000)</f>
        <v/>
      </c>
      <c r="AK22" s="221" t="str">
        <f>IF(Buildings_Electricity_Streetlighting_Frontend[[#This Row],[Data]]="","",_xlfn.XLOOKUP(_xlfn.CONCAT(Buildings_Electricity_Streetlighting_Backend[[#This Row],[Level 1]:[Level 6]]),rng_EFConcat,rng_EF3WTTTD)*Buildings_Electricity_Streetlighting_Backend[[#This Row],[Converted data]]/1000)</f>
        <v/>
      </c>
      <c r="AL22" s="221">
        <f>SUM(Buildings_Electricity_Streetlighting_Backend[[#This Row],[Scope 1 (tCO2e)]:[Scope 3 WTT T&amp;D (tCO2e)]])</f>
        <v>0</v>
      </c>
      <c r="AM22" s="220" t="str">
        <f>IF(Buildings_Electricity_Streetlighting_Frontend[[#This Row],[Data]]="","",Buildings_Electricity_Streetlighting_Backend[[#This Row],[Total (tCO2e)]]*(1-Buildings_Electricity_Streetlighting_Backend[[#This Row],[RSD]]))</f>
        <v/>
      </c>
      <c r="AN22" s="220" t="str">
        <f>IF(Buildings_Electricity_Streetlighting_Frontend[[#This Row],[Data]]="","",Buildings_Electricity_Streetlighting_Backend[[#This Row],[Total (tCO2e)]]*(1+Buildings_Electricity_Streetlighting_Backend[[#This Row],[RSD]]))</f>
        <v/>
      </c>
      <c r="AO22" s="221" t="str">
        <f>IF(Buildings_Electricity_Streetlighting_Frontend[[#This Row],[Data]]="","",_xlfn.XLOOKUP(_xlfn.CONCAT(Buildings_Electricity_Streetlighting_Backend[[#This Row],[Level 1]:[Level 6]]),rng_EFConcat,rng_EFOOS)*Buildings_Electricity_Streetlighting_Backend[[#This Row],[Converted data]]/1000)</f>
        <v/>
      </c>
      <c r="AP22" s="174">
        <f>Buildings_Electricity_Streetlighting_Frontend[[#This Row],[Ease of collection]]</f>
        <v>0</v>
      </c>
      <c r="AQ22" s="174">
        <f>Buildings_Electricity_Streetlighting_Frontend[[#This Row],[Completeness]]</f>
        <v>0</v>
      </c>
      <c r="AR22" s="221">
        <f>Buildings_Electricity_Streetlighting_Frontend[[#This Row],[Notes]]</f>
        <v>0</v>
      </c>
    </row>
    <row r="23" spans="2:44" ht="14.5" thickBot="1" x14ac:dyDescent="0.35">
      <c r="B23" s="16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row>
    <row r="24" spans="2:44" x14ac:dyDescent="0.3">
      <c r="B24" s="161"/>
    </row>
    <row r="25" spans="2:44" x14ac:dyDescent="0.3">
      <c r="B25" s="159" t="s">
        <v>12</v>
      </c>
      <c r="E25" s="160" t="s">
        <v>317</v>
      </c>
    </row>
    <row r="26" spans="2:44" x14ac:dyDescent="0.3"/>
    <row r="27" spans="2:44" ht="32.15" customHeight="1" x14ac:dyDescent="0.3">
      <c r="B27" s="455" t="s">
        <v>318</v>
      </c>
      <c r="E27" s="257" t="s">
        <v>319</v>
      </c>
      <c r="F27" s="258" t="s">
        <v>320</v>
      </c>
      <c r="G27" s="258" t="s">
        <v>287</v>
      </c>
      <c r="H27" s="258" t="s">
        <v>288</v>
      </c>
      <c r="I27" s="258" t="s">
        <v>289</v>
      </c>
      <c r="J27" s="259" t="s">
        <v>290</v>
      </c>
      <c r="K27" s="331" t="s">
        <v>291</v>
      </c>
      <c r="L27" s="258" t="s">
        <v>292</v>
      </c>
      <c r="M27" s="259" t="s">
        <v>293</v>
      </c>
      <c r="N27" s="188">
        <f>AVERAGEIF($N$28:$N$527,"&lt;&gt;0",$N$28:$N$527)</f>
        <v>3</v>
      </c>
      <c r="Q27" s="225" t="s">
        <v>294</v>
      </c>
      <c r="R27" s="226" t="s">
        <v>295</v>
      </c>
      <c r="S27" s="226" t="s">
        <v>296</v>
      </c>
      <c r="T27" s="226" t="s">
        <v>297</v>
      </c>
      <c r="U27" s="226" t="s">
        <v>298</v>
      </c>
      <c r="V27" s="226" t="s">
        <v>299</v>
      </c>
      <c r="W27" s="226" t="s">
        <v>300</v>
      </c>
      <c r="X27" s="226" t="s">
        <v>301</v>
      </c>
      <c r="Y27" s="226" t="s">
        <v>302</v>
      </c>
      <c r="Z27" s="226" t="s">
        <v>287</v>
      </c>
      <c r="AA27" s="226" t="s">
        <v>303</v>
      </c>
      <c r="AB27" s="226" t="s">
        <v>288</v>
      </c>
      <c r="AC27" s="226" t="s">
        <v>289</v>
      </c>
      <c r="AD27" s="286" t="s">
        <v>304</v>
      </c>
      <c r="AE27" s="286" t="s">
        <v>305</v>
      </c>
      <c r="AF27" s="286" t="s">
        <v>306</v>
      </c>
      <c r="AG27" s="286" t="s">
        <v>307</v>
      </c>
      <c r="AH27" s="286" t="s">
        <v>308</v>
      </c>
      <c r="AI27" s="286" t="s">
        <v>309</v>
      </c>
      <c r="AJ27" s="286" t="s">
        <v>310</v>
      </c>
      <c r="AK27" s="286" t="s">
        <v>311</v>
      </c>
      <c r="AL27" s="286" t="s">
        <v>312</v>
      </c>
      <c r="AM27" s="286" t="s">
        <v>313</v>
      </c>
      <c r="AN27" s="286" t="s">
        <v>314</v>
      </c>
      <c r="AO27" s="286" t="s">
        <v>315</v>
      </c>
      <c r="AP27" s="226" t="s">
        <v>291</v>
      </c>
      <c r="AQ27" s="227" t="s">
        <v>292</v>
      </c>
      <c r="AR27" s="226" t="s">
        <v>293</v>
      </c>
    </row>
    <row r="28" spans="2:44" x14ac:dyDescent="0.3">
      <c r="B28" s="455"/>
      <c r="E28" s="346"/>
      <c r="F28" s="449"/>
      <c r="G28" s="336"/>
      <c r="H28" s="334"/>
      <c r="I28" s="172" t="s">
        <v>316</v>
      </c>
      <c r="J28" s="337"/>
      <c r="K28" s="336"/>
      <c r="L28" s="336"/>
      <c r="M28" s="337"/>
      <c r="N28" s="242">
        <f>ISBLANK(E28)+ISBLANK(G28)+ISBLANK(H28)</f>
        <v>3</v>
      </c>
      <c r="Q28" s="212" t="str">
        <f t="shared" ref="Q28:Q91" si="2">IF(N28=0,SUBSTITUTE(2025&amp;TRIM(cl_org_name_select)&amp;TRIM($E$25)&amp;(ROW(N28)-ROW($N$28))," ",""),"")</f>
        <v/>
      </c>
      <c r="R28" s="174" t="s">
        <v>265</v>
      </c>
      <c r="S28" s="174" t="s">
        <v>273</v>
      </c>
      <c r="T28" s="174" t="s">
        <v>541</v>
      </c>
      <c r="U28" s="174" t="s">
        <v>281</v>
      </c>
      <c r="V28" s="174" t="str" cm="1">
        <f t="array" aca="1" ref="V28" ca="1">_xlfn.XLOOKUP(Buildings_GridElectricity_Backend[[#This Row],[Level 4]],rng_Level4Long,rng_Level5Long)</f>
        <v>Electricity</v>
      </c>
      <c r="W28" s="174" t="str" cm="1">
        <f t="array" aca="1" ref="W28" ca="1">_xlfn.XLOOKUP(Buildings_GridElectricity_Backend[[#This Row],[Level 4]],rng_Level4Long,rng_Level6Long)</f>
        <v>NaN</v>
      </c>
      <c r="X28" s="174">
        <f>Buildings_GridElectricity_Frontend[[#This Row],[Site Name]]</f>
        <v>0</v>
      </c>
      <c r="Y28" s="174">
        <f>Buildings_GridElectricity_Frontend[[#This Row],[Contracting]]</f>
        <v>0</v>
      </c>
      <c r="Z28" s="174">
        <f>Buildings_GridElectricity_Frontend[[#This Row],[Methodology]]</f>
        <v>0</v>
      </c>
      <c r="AA28" s="229" t="str" cm="1">
        <f t="array" ref="AA28">IF(Buildings_GridElectricity_Frontend[[#This Row],[Data]]="","",INDEX(_xlfn.SWITCH(Buildings_GridElectricity_Backend[[#This Row],[Methodology]],"Tier 1",rng_RSD1,"Tier 2",rng_RSD2,"Tier 3",rng_RSD3),MATCH(_xlfn.CONCAT(Buildings_GridElectricity_Backend[[#This Row],[Level 1]:[Level 6]]),rng_LevelsConcat,0)))</f>
        <v/>
      </c>
      <c r="AB28" s="220">
        <f>Buildings_GridElectricity_Frontend[[#This Row],[Data]]</f>
        <v>0</v>
      </c>
      <c r="AC28" s="174" t="str">
        <f>Buildings_GridElectricity_Frontend[[#This Row],[Units]]</f>
        <v>kWh</v>
      </c>
      <c r="AD28" s="218">
        <f>Buildings_GridElectricity_Frontend[[#This Row],[Data]]</f>
        <v>0</v>
      </c>
      <c r="AE28" s="174" t="str">
        <f>Buildings_GridElectricity_Frontend[[#This Row],[Units]]</f>
        <v>kWh</v>
      </c>
      <c r="AF28" s="210" t="str">
        <f>IF(Buildings_GridElectricity_Frontend[[#This Row],[Data]]="","",_xlfn.XLOOKUP(_xlfn.CONCAT(Buildings_GridElectricity_Backend[[#This Row],[Level 1]:[Level 6]]),rng_EFConcat,rng_EF1)*Buildings_GridElectricity_Backend[[#This Row],[Converted data]]/1000)</f>
        <v/>
      </c>
      <c r="AG28" s="210" t="str">
        <f>IF(Buildings_GridElectricity_Frontend[[#This Row],[Data]]="","",_xlfn.XLOOKUP(_xlfn.CONCAT(Buildings_GridElectricity_Backend[[#This Row],[Level 1]:[Level 6]]),rng_EFConcat,rng_EF2)*Buildings_GridElectricity_Backend[[#This Row],[Converted data]]/1000)</f>
        <v/>
      </c>
      <c r="AH28" s="210" t="str">
        <f>IF(Buildings_GridElectricity_Frontend[[#This Row],[Data]]="","",_xlfn.XLOOKUP(_xlfn.CONCAT(Buildings_GridElectricity_Backend[[#This Row],[Level 1]:[Level 6]]),rng_EFConcat,rng_EF3)*Buildings_GridElectricity_Backend[[#This Row],[Converted data]]/1000)</f>
        <v/>
      </c>
      <c r="AI28" s="210" t="str">
        <f>IF(Buildings_GridElectricity_Frontend[[#This Row],[Data]]="","",_xlfn.XLOOKUP(_xlfn.CONCAT(Buildings_GridElectricity_Backend[[#This Row],[Level 1]:[Level 6]]),rng_EFConcat,rng_EF3WTT)*Buildings_GridElectricity_Backend[[#This Row],[Converted data]]/1000)</f>
        <v/>
      </c>
      <c r="AJ28" s="210" t="str">
        <f>IF(Buildings_GridElectricity_Frontend[[#This Row],[Data]]="","",_xlfn.XLOOKUP(_xlfn.CONCAT(Buildings_GridElectricity_Backend[[#This Row],[Level 1]:[Level 6]]),rng_EFConcat,rng_EF3TD)*Buildings_GridElectricity_Backend[[#This Row],[Converted data]]/1000)</f>
        <v/>
      </c>
      <c r="AK28" s="210" t="str">
        <f>IF(Buildings_GridElectricity_Frontend[[#This Row],[Data]]="","",_xlfn.XLOOKUP(_xlfn.CONCAT(Buildings_GridElectricity_Backend[[#This Row],[Level 1]:[Level 6]]),rng_EFConcat,rng_EF3WTTTD)*Buildings_GridElectricity_Backend[[#This Row],[Converted data]]/1000)</f>
        <v/>
      </c>
      <c r="AL28" s="220" t="str">
        <f>IF(Buildings_GridElectricity_Frontend[[#This Row],[Data]]="","",SUM(Buildings_GridElectricity_Backend[[#This Row],[Scope 1 (tCO2e)]:[Scope 3 WTT T&amp;D (tCO2e)]]))</f>
        <v/>
      </c>
      <c r="AM28" s="220" t="str">
        <f>IF(Buildings_GridElectricity_Frontend[[#This Row],[Data]]="","",Buildings_GridElectricity_Backend[[#This Row],[Total (tCO2e)]]*(1-Buildings_GridElectricity_Backend[[#This Row],[RSD]]))</f>
        <v/>
      </c>
      <c r="AN28" s="220" t="str">
        <f>IF(Buildings_GridElectricity_Frontend[[#This Row],[Data]]="","",Buildings_GridElectricity_Backend[[#This Row],[Total (tCO2e)]]*(1+Buildings_GridElectricity_Backend[[#This Row],[RSD]]))</f>
        <v/>
      </c>
      <c r="AO28" s="210" t="str">
        <f>IF(Buildings_GridElectricity_Frontend[[#This Row],[Data]]="","",_xlfn.XLOOKUP(_xlfn.CONCAT(Buildings_GridElectricity_Backend[[#This Row],[Level 1]:[Level 6]]),rng_EFConcat,rng_EFOOS)*Buildings_GridElectricity_Backend[[#This Row],[Converted data]]/1000)</f>
        <v/>
      </c>
      <c r="AP28" s="174">
        <f>Buildings_GridElectricity_Frontend[[#This Row],[Ease of collection]]</f>
        <v>0</v>
      </c>
      <c r="AQ28" s="213">
        <f>Buildings_GridElectricity_Frontend[[#This Row],[Completeness]]</f>
        <v>0</v>
      </c>
      <c r="AR28" s="224">
        <f>Buildings_GridElectricity_Frontend[[#This Row],[Notes]]</f>
        <v>0</v>
      </c>
    </row>
    <row r="29" spans="2:44" x14ac:dyDescent="0.3">
      <c r="B29" s="455"/>
      <c r="E29" s="346"/>
      <c r="F29" s="449"/>
      <c r="G29" s="336"/>
      <c r="H29" s="334"/>
      <c r="I29" s="172" t="s">
        <v>316</v>
      </c>
      <c r="J29" s="337"/>
      <c r="K29" s="336"/>
      <c r="L29" s="336"/>
      <c r="M29" s="337"/>
      <c r="N29" s="242">
        <f t="shared" ref="N29:N92" si="3">ISBLANK(E29)+ISBLANK(G29)+ISBLANK(H29)</f>
        <v>3</v>
      </c>
      <c r="Q29" s="212" t="str">
        <f t="shared" si="2"/>
        <v/>
      </c>
      <c r="R29" s="174" t="s">
        <v>265</v>
      </c>
      <c r="S29" s="174" t="s">
        <v>273</v>
      </c>
      <c r="T29" s="174" t="str">
        <f>_xlfn.XLOOKUP(Buildings_GridElectricity_Backend[[#This Row],[Info 1]],Buildings_SiteInfo[Site name],Buildings_SiteInfo[Site type], "")</f>
        <v/>
      </c>
      <c r="U29" s="174" t="s">
        <v>281</v>
      </c>
      <c r="V29" s="174" t="str" cm="1">
        <f t="array" aca="1" ref="V29" ca="1">_xlfn.XLOOKUP(Buildings_GridElectricity_Backend[[#This Row],[Level 4]],rng_Level4Long,rng_Level5Long)</f>
        <v>Electricity</v>
      </c>
      <c r="W29" s="174" t="str" cm="1">
        <f t="array" aca="1" ref="W29" ca="1">_xlfn.XLOOKUP(Buildings_GridElectricity_Backend[[#This Row],[Level 4]],rng_Level4Long,rng_Level6Long)</f>
        <v>NaN</v>
      </c>
      <c r="X29" s="174">
        <f>Buildings_GridElectricity_Frontend[[#This Row],[Site Name]]</f>
        <v>0</v>
      </c>
      <c r="Y29" s="174">
        <f>Buildings_GridElectricity_Frontend[[#This Row],[Contracting]]</f>
        <v>0</v>
      </c>
      <c r="Z29" s="174">
        <f>Buildings_GridElectricity_Frontend[[#This Row],[Methodology]]</f>
        <v>0</v>
      </c>
      <c r="AA29" s="229" t="str" cm="1">
        <f t="array" ref="AA29">IF(Buildings_GridElectricity_Frontend[[#This Row],[Data]]="","",INDEX(_xlfn.SWITCH(Buildings_GridElectricity_Backend[[#This Row],[Methodology]],"Tier 1",rng_RSD1,"Tier 2",rng_RSD2,"Tier 3",rng_RSD3),MATCH(_xlfn.CONCAT(Buildings_GridElectricity_Backend[[#This Row],[Level 1]:[Level 6]]),rng_LevelsConcat,0)))</f>
        <v/>
      </c>
      <c r="AB29" s="220">
        <f>Buildings_GridElectricity_Frontend[[#This Row],[Data]]</f>
        <v>0</v>
      </c>
      <c r="AC29" s="174" t="str">
        <f>Buildings_GridElectricity_Frontend[[#This Row],[Units]]</f>
        <v>kWh</v>
      </c>
      <c r="AD29" s="218">
        <f>Buildings_GridElectricity_Frontend[[#This Row],[Data]]</f>
        <v>0</v>
      </c>
      <c r="AE29" s="174" t="str">
        <f>Buildings_GridElectricity_Frontend[[#This Row],[Units]]</f>
        <v>kWh</v>
      </c>
      <c r="AF29" s="210" t="str">
        <f>IF(Buildings_GridElectricity_Frontend[[#This Row],[Data]]="","",_xlfn.XLOOKUP(_xlfn.CONCAT(Buildings_GridElectricity_Backend[[#This Row],[Level 1]:[Level 6]]),rng_EFConcat,rng_EF1)*Buildings_GridElectricity_Backend[[#This Row],[Converted data]]/1000)</f>
        <v/>
      </c>
      <c r="AG29" s="210" t="str">
        <f>IF(Buildings_GridElectricity_Frontend[[#This Row],[Data]]="","",_xlfn.XLOOKUP(_xlfn.CONCAT(Buildings_GridElectricity_Backend[[#This Row],[Level 1]:[Level 6]]),rng_EFConcat,rng_EF2)*Buildings_GridElectricity_Backend[[#This Row],[Converted data]]/1000)</f>
        <v/>
      </c>
      <c r="AH29" s="210" t="str">
        <f>IF(Buildings_GridElectricity_Frontend[[#This Row],[Data]]="","",_xlfn.XLOOKUP(_xlfn.CONCAT(Buildings_GridElectricity_Backend[[#This Row],[Level 1]:[Level 6]]),rng_EFConcat,rng_EF3)*Buildings_GridElectricity_Backend[[#This Row],[Converted data]]/1000)</f>
        <v/>
      </c>
      <c r="AI29" s="210" t="str">
        <f>IF(Buildings_GridElectricity_Frontend[[#This Row],[Data]]="","",_xlfn.XLOOKUP(_xlfn.CONCAT(Buildings_GridElectricity_Backend[[#This Row],[Level 1]:[Level 6]]),rng_EFConcat,rng_EF3WTT)*Buildings_GridElectricity_Backend[[#This Row],[Converted data]]/1000)</f>
        <v/>
      </c>
      <c r="AJ29" s="210" t="str">
        <f>IF(Buildings_GridElectricity_Frontend[[#This Row],[Data]]="","",_xlfn.XLOOKUP(_xlfn.CONCAT(Buildings_GridElectricity_Backend[[#This Row],[Level 1]:[Level 6]]),rng_EFConcat,rng_EF3TD)*Buildings_GridElectricity_Backend[[#This Row],[Converted data]]/1000)</f>
        <v/>
      </c>
      <c r="AK29" s="210" t="str">
        <f>IF(Buildings_GridElectricity_Frontend[[#This Row],[Data]]="","",_xlfn.XLOOKUP(_xlfn.CONCAT(Buildings_GridElectricity_Backend[[#This Row],[Level 1]:[Level 6]]),rng_EFConcat,rng_EF3WTTTD)*Buildings_GridElectricity_Backend[[#This Row],[Converted data]]/1000)</f>
        <v/>
      </c>
      <c r="AL29" s="220" t="str">
        <f>IF(Buildings_GridElectricity_Frontend[[#This Row],[Data]]="","",SUM(Buildings_GridElectricity_Backend[[#This Row],[Scope 1 (tCO2e)]:[Scope 3 WTT T&amp;D (tCO2e)]]))</f>
        <v/>
      </c>
      <c r="AM29" s="220" t="str">
        <f>IF(Buildings_GridElectricity_Frontend[[#This Row],[Data]]="","",Buildings_GridElectricity_Backend[[#This Row],[Total (tCO2e)]]*(1-Buildings_GridElectricity_Backend[[#This Row],[RSD]]))</f>
        <v/>
      </c>
      <c r="AN29" s="220" t="str">
        <f>IF(Buildings_GridElectricity_Frontend[[#This Row],[Data]]="","",Buildings_GridElectricity_Backend[[#This Row],[Total (tCO2e)]]*(1+Buildings_GridElectricity_Backend[[#This Row],[RSD]]))</f>
        <v/>
      </c>
      <c r="AO29" s="210" t="str">
        <f>IF(Buildings_GridElectricity_Frontend[[#This Row],[Data]]="","",_xlfn.XLOOKUP(_xlfn.CONCAT(Buildings_GridElectricity_Backend[[#This Row],[Level 1]:[Level 6]]),rng_EFConcat,rng_EFOOS)*Buildings_GridElectricity_Backend[[#This Row],[Converted data]]/1000)</f>
        <v/>
      </c>
      <c r="AP29" s="174">
        <f>Buildings_GridElectricity_Frontend[[#This Row],[Ease of collection]]</f>
        <v>0</v>
      </c>
      <c r="AQ29" s="213">
        <f>Buildings_GridElectricity_Frontend[[#This Row],[Completeness]]</f>
        <v>0</v>
      </c>
      <c r="AR29" s="220">
        <f>Buildings_GridElectricity_Frontend[[#This Row],[Notes]]</f>
        <v>0</v>
      </c>
    </row>
    <row r="30" spans="2:44" x14ac:dyDescent="0.3">
      <c r="B30" s="455"/>
      <c r="E30" s="346"/>
      <c r="F30" s="449"/>
      <c r="G30" s="336"/>
      <c r="H30" s="334"/>
      <c r="I30" s="172" t="s">
        <v>316</v>
      </c>
      <c r="J30" s="337"/>
      <c r="K30" s="336"/>
      <c r="L30" s="336"/>
      <c r="M30" s="337"/>
      <c r="N30" s="242">
        <f t="shared" si="3"/>
        <v>3</v>
      </c>
      <c r="Q30" s="212" t="str">
        <f t="shared" si="2"/>
        <v/>
      </c>
      <c r="R30" s="174" t="s">
        <v>265</v>
      </c>
      <c r="S30" s="174" t="s">
        <v>273</v>
      </c>
      <c r="T30" s="174" t="str">
        <f>_xlfn.XLOOKUP(Buildings_GridElectricity_Backend[[#This Row],[Info 1]],Buildings_SiteInfo[Site name],Buildings_SiteInfo[Site type], "")</f>
        <v/>
      </c>
      <c r="U30" s="174" t="s">
        <v>281</v>
      </c>
      <c r="V30" s="174" t="str" cm="1">
        <f t="array" aca="1" ref="V30" ca="1">_xlfn.XLOOKUP(Buildings_GridElectricity_Backend[[#This Row],[Level 4]],rng_Level4Long,rng_Level5Long)</f>
        <v>Electricity</v>
      </c>
      <c r="W30" s="174" t="str" cm="1">
        <f t="array" aca="1" ref="W30" ca="1">_xlfn.XLOOKUP(Buildings_GridElectricity_Backend[[#This Row],[Level 4]],rng_Level4Long,rng_Level6Long)</f>
        <v>NaN</v>
      </c>
      <c r="X30" s="174">
        <f>Buildings_GridElectricity_Frontend[[#This Row],[Site Name]]</f>
        <v>0</v>
      </c>
      <c r="Y30" s="174">
        <f>Buildings_GridElectricity_Frontend[[#This Row],[Contracting]]</f>
        <v>0</v>
      </c>
      <c r="Z30" s="174">
        <f>Buildings_GridElectricity_Frontend[[#This Row],[Methodology]]</f>
        <v>0</v>
      </c>
      <c r="AA30" s="229" t="str" cm="1">
        <f t="array" ref="AA30">IF(Buildings_GridElectricity_Frontend[[#This Row],[Data]]="","",INDEX(_xlfn.SWITCH(Buildings_GridElectricity_Backend[[#This Row],[Methodology]],"Tier 1",rng_RSD1,"Tier 2",rng_RSD2,"Tier 3",rng_RSD3),MATCH(_xlfn.CONCAT(Buildings_GridElectricity_Backend[[#This Row],[Level 1]:[Level 6]]),rng_LevelsConcat,0)))</f>
        <v/>
      </c>
      <c r="AB30" s="220">
        <f>Buildings_GridElectricity_Frontend[[#This Row],[Data]]</f>
        <v>0</v>
      </c>
      <c r="AC30" s="174" t="str">
        <f>Buildings_GridElectricity_Frontend[[#This Row],[Units]]</f>
        <v>kWh</v>
      </c>
      <c r="AD30" s="218">
        <f>Buildings_GridElectricity_Frontend[[#This Row],[Data]]</f>
        <v>0</v>
      </c>
      <c r="AE30" s="174" t="str">
        <f>Buildings_GridElectricity_Frontend[[#This Row],[Units]]</f>
        <v>kWh</v>
      </c>
      <c r="AF30" s="210" t="str">
        <f>IF(Buildings_GridElectricity_Frontend[[#This Row],[Data]]="","",_xlfn.XLOOKUP(_xlfn.CONCAT(Buildings_GridElectricity_Backend[[#This Row],[Level 1]:[Level 6]]),rng_EFConcat,rng_EF1)*Buildings_GridElectricity_Backend[[#This Row],[Converted data]]/1000)</f>
        <v/>
      </c>
      <c r="AG30" s="210" t="str">
        <f>IF(Buildings_GridElectricity_Frontend[[#This Row],[Data]]="","",_xlfn.XLOOKUP(_xlfn.CONCAT(Buildings_GridElectricity_Backend[[#This Row],[Level 1]:[Level 6]]),rng_EFConcat,rng_EF2)*Buildings_GridElectricity_Backend[[#This Row],[Converted data]]/1000)</f>
        <v/>
      </c>
      <c r="AH30" s="210" t="str">
        <f>IF(Buildings_GridElectricity_Frontend[[#This Row],[Data]]="","",_xlfn.XLOOKUP(_xlfn.CONCAT(Buildings_GridElectricity_Backend[[#This Row],[Level 1]:[Level 6]]),rng_EFConcat,rng_EF3)*Buildings_GridElectricity_Backend[[#This Row],[Converted data]]/1000)</f>
        <v/>
      </c>
      <c r="AI30" s="210" t="str">
        <f>IF(Buildings_GridElectricity_Frontend[[#This Row],[Data]]="","",_xlfn.XLOOKUP(_xlfn.CONCAT(Buildings_GridElectricity_Backend[[#This Row],[Level 1]:[Level 6]]),rng_EFConcat,rng_EF3WTT)*Buildings_GridElectricity_Backend[[#This Row],[Converted data]]/1000)</f>
        <v/>
      </c>
      <c r="AJ30" s="210" t="str">
        <f>IF(Buildings_GridElectricity_Frontend[[#This Row],[Data]]="","",_xlfn.XLOOKUP(_xlfn.CONCAT(Buildings_GridElectricity_Backend[[#This Row],[Level 1]:[Level 6]]),rng_EFConcat,rng_EF3TD)*Buildings_GridElectricity_Backend[[#This Row],[Converted data]]/1000)</f>
        <v/>
      </c>
      <c r="AK30" s="210" t="str">
        <f>IF(Buildings_GridElectricity_Frontend[[#This Row],[Data]]="","",_xlfn.XLOOKUP(_xlfn.CONCAT(Buildings_GridElectricity_Backend[[#This Row],[Level 1]:[Level 6]]),rng_EFConcat,rng_EF3WTTTD)*Buildings_GridElectricity_Backend[[#This Row],[Converted data]]/1000)</f>
        <v/>
      </c>
      <c r="AL30" s="220" t="str">
        <f>IF(Buildings_GridElectricity_Frontend[[#This Row],[Data]]="","",SUM(Buildings_GridElectricity_Backend[[#This Row],[Scope 1 (tCO2e)]:[Scope 3 WTT T&amp;D (tCO2e)]]))</f>
        <v/>
      </c>
      <c r="AM30" s="220" t="str">
        <f>IF(Buildings_GridElectricity_Frontend[[#This Row],[Data]]="","",Buildings_GridElectricity_Backend[[#This Row],[Total (tCO2e)]]*(1-Buildings_GridElectricity_Backend[[#This Row],[RSD]]))</f>
        <v/>
      </c>
      <c r="AN30" s="220" t="str">
        <f>IF(Buildings_GridElectricity_Frontend[[#This Row],[Data]]="","",Buildings_GridElectricity_Backend[[#This Row],[Total (tCO2e)]]*(1+Buildings_GridElectricity_Backend[[#This Row],[RSD]]))</f>
        <v/>
      </c>
      <c r="AO30" s="210" t="str">
        <f>IF(Buildings_GridElectricity_Frontend[[#This Row],[Data]]="","",_xlfn.XLOOKUP(_xlfn.CONCAT(Buildings_GridElectricity_Backend[[#This Row],[Level 1]:[Level 6]]),rng_EFConcat,rng_EFOOS)*Buildings_GridElectricity_Backend[[#This Row],[Converted data]]/1000)</f>
        <v/>
      </c>
      <c r="AP30" s="174">
        <f>Buildings_GridElectricity_Frontend[[#This Row],[Ease of collection]]</f>
        <v>0</v>
      </c>
      <c r="AQ30" s="213">
        <f>Buildings_GridElectricity_Frontend[[#This Row],[Completeness]]</f>
        <v>0</v>
      </c>
      <c r="AR30" s="220">
        <f>Buildings_GridElectricity_Frontend[[#This Row],[Notes]]</f>
        <v>0</v>
      </c>
    </row>
    <row r="31" spans="2:44" x14ac:dyDescent="0.3">
      <c r="B31" s="455"/>
      <c r="E31" s="346"/>
      <c r="F31" s="449"/>
      <c r="G31" s="336"/>
      <c r="H31" s="334"/>
      <c r="I31" s="172" t="s">
        <v>316</v>
      </c>
      <c r="J31" s="337"/>
      <c r="K31" s="336"/>
      <c r="L31" s="336"/>
      <c r="M31" s="337"/>
      <c r="N31" s="242">
        <f t="shared" si="3"/>
        <v>3</v>
      </c>
      <c r="Q31" s="212" t="str">
        <f t="shared" si="2"/>
        <v/>
      </c>
      <c r="R31" s="174" t="s">
        <v>265</v>
      </c>
      <c r="S31" s="174" t="s">
        <v>273</v>
      </c>
      <c r="T31" s="174" t="str">
        <f>_xlfn.XLOOKUP(Buildings_GridElectricity_Backend[[#This Row],[Info 1]],Buildings_SiteInfo[Site name],Buildings_SiteInfo[Site type], "")</f>
        <v/>
      </c>
      <c r="U31" s="174" t="s">
        <v>281</v>
      </c>
      <c r="V31" s="174" t="str" cm="1">
        <f t="array" aca="1" ref="V31" ca="1">_xlfn.XLOOKUP(Buildings_GridElectricity_Backend[[#This Row],[Level 4]],rng_Level4Long,rng_Level5Long)</f>
        <v>Electricity</v>
      </c>
      <c r="W31" s="174" t="str" cm="1">
        <f t="array" aca="1" ref="W31" ca="1">_xlfn.XLOOKUP(Buildings_GridElectricity_Backend[[#This Row],[Level 4]],rng_Level4Long,rng_Level6Long)</f>
        <v>NaN</v>
      </c>
      <c r="X31" s="174">
        <f>Buildings_GridElectricity_Frontend[[#This Row],[Site Name]]</f>
        <v>0</v>
      </c>
      <c r="Y31" s="174">
        <f>Buildings_GridElectricity_Frontend[[#This Row],[Contracting]]</f>
        <v>0</v>
      </c>
      <c r="Z31" s="174">
        <f>Buildings_GridElectricity_Frontend[[#This Row],[Methodology]]</f>
        <v>0</v>
      </c>
      <c r="AA31" s="229" t="str" cm="1">
        <f t="array" ref="AA31">IF(Buildings_GridElectricity_Frontend[[#This Row],[Data]]="","",INDEX(_xlfn.SWITCH(Buildings_GridElectricity_Backend[[#This Row],[Methodology]],"Tier 1",rng_RSD1,"Tier 2",rng_RSD2,"Tier 3",rng_RSD3),MATCH(_xlfn.CONCAT(Buildings_GridElectricity_Backend[[#This Row],[Level 1]:[Level 6]]),rng_LevelsConcat,0)))</f>
        <v/>
      </c>
      <c r="AB31" s="220">
        <f>Buildings_GridElectricity_Frontend[[#This Row],[Data]]</f>
        <v>0</v>
      </c>
      <c r="AC31" s="174" t="str">
        <f>Buildings_GridElectricity_Frontend[[#This Row],[Units]]</f>
        <v>kWh</v>
      </c>
      <c r="AD31" s="218">
        <f>Buildings_GridElectricity_Frontend[[#This Row],[Data]]</f>
        <v>0</v>
      </c>
      <c r="AE31" s="174" t="str">
        <f>Buildings_GridElectricity_Frontend[[#This Row],[Units]]</f>
        <v>kWh</v>
      </c>
      <c r="AF31" s="210" t="str">
        <f>IF(Buildings_GridElectricity_Frontend[[#This Row],[Data]]="","",_xlfn.XLOOKUP(_xlfn.CONCAT(Buildings_GridElectricity_Backend[[#This Row],[Level 1]:[Level 6]]),rng_EFConcat,rng_EF1)*Buildings_GridElectricity_Backend[[#This Row],[Converted data]]/1000)</f>
        <v/>
      </c>
      <c r="AG31" s="210" t="str">
        <f>IF(Buildings_GridElectricity_Frontend[[#This Row],[Data]]="","",_xlfn.XLOOKUP(_xlfn.CONCAT(Buildings_GridElectricity_Backend[[#This Row],[Level 1]:[Level 6]]),rng_EFConcat,rng_EF2)*Buildings_GridElectricity_Backend[[#This Row],[Converted data]]/1000)</f>
        <v/>
      </c>
      <c r="AH31" s="210" t="str">
        <f>IF(Buildings_GridElectricity_Frontend[[#This Row],[Data]]="","",_xlfn.XLOOKUP(_xlfn.CONCAT(Buildings_GridElectricity_Backend[[#This Row],[Level 1]:[Level 6]]),rng_EFConcat,rng_EF3)*Buildings_GridElectricity_Backend[[#This Row],[Converted data]]/1000)</f>
        <v/>
      </c>
      <c r="AI31" s="210" t="str">
        <f>IF(Buildings_GridElectricity_Frontend[[#This Row],[Data]]="","",_xlfn.XLOOKUP(_xlfn.CONCAT(Buildings_GridElectricity_Backend[[#This Row],[Level 1]:[Level 6]]),rng_EFConcat,rng_EF3WTT)*Buildings_GridElectricity_Backend[[#This Row],[Converted data]]/1000)</f>
        <v/>
      </c>
      <c r="AJ31" s="210" t="str">
        <f>IF(Buildings_GridElectricity_Frontend[[#This Row],[Data]]="","",_xlfn.XLOOKUP(_xlfn.CONCAT(Buildings_GridElectricity_Backend[[#This Row],[Level 1]:[Level 6]]),rng_EFConcat,rng_EF3TD)*Buildings_GridElectricity_Backend[[#This Row],[Converted data]]/1000)</f>
        <v/>
      </c>
      <c r="AK31" s="210" t="str">
        <f>IF(Buildings_GridElectricity_Frontend[[#This Row],[Data]]="","",_xlfn.XLOOKUP(_xlfn.CONCAT(Buildings_GridElectricity_Backend[[#This Row],[Level 1]:[Level 6]]),rng_EFConcat,rng_EF3WTTTD)*Buildings_GridElectricity_Backend[[#This Row],[Converted data]]/1000)</f>
        <v/>
      </c>
      <c r="AL31" s="220" t="str">
        <f>IF(Buildings_GridElectricity_Frontend[[#This Row],[Data]]="","",SUM(Buildings_GridElectricity_Backend[[#This Row],[Scope 1 (tCO2e)]:[Scope 3 WTT T&amp;D (tCO2e)]]))</f>
        <v/>
      </c>
      <c r="AM31" s="220" t="str">
        <f>IF(Buildings_GridElectricity_Frontend[[#This Row],[Data]]="","",Buildings_GridElectricity_Backend[[#This Row],[Total (tCO2e)]]*(1-Buildings_GridElectricity_Backend[[#This Row],[RSD]]))</f>
        <v/>
      </c>
      <c r="AN31" s="220" t="str">
        <f>IF(Buildings_GridElectricity_Frontend[[#This Row],[Data]]="","",Buildings_GridElectricity_Backend[[#This Row],[Total (tCO2e)]]*(1+Buildings_GridElectricity_Backend[[#This Row],[RSD]]))</f>
        <v/>
      </c>
      <c r="AO31" s="210" t="str">
        <f>IF(Buildings_GridElectricity_Frontend[[#This Row],[Data]]="","",_xlfn.XLOOKUP(_xlfn.CONCAT(Buildings_GridElectricity_Backend[[#This Row],[Level 1]:[Level 6]]),rng_EFConcat,rng_EFOOS)*Buildings_GridElectricity_Backend[[#This Row],[Converted data]]/1000)</f>
        <v/>
      </c>
      <c r="AP31" s="174">
        <f>Buildings_GridElectricity_Frontend[[#This Row],[Ease of collection]]</f>
        <v>0</v>
      </c>
      <c r="AQ31" s="213">
        <f>Buildings_GridElectricity_Frontend[[#This Row],[Completeness]]</f>
        <v>0</v>
      </c>
      <c r="AR31" s="220">
        <f>Buildings_GridElectricity_Frontend[[#This Row],[Notes]]</f>
        <v>0</v>
      </c>
    </row>
    <row r="32" spans="2:44" x14ac:dyDescent="0.3">
      <c r="B32" s="455"/>
      <c r="E32" s="346"/>
      <c r="F32" s="449"/>
      <c r="G32" s="336"/>
      <c r="H32" s="334"/>
      <c r="I32" s="172" t="s">
        <v>316</v>
      </c>
      <c r="J32" s="337"/>
      <c r="K32" s="336"/>
      <c r="L32" s="336"/>
      <c r="M32" s="337"/>
      <c r="N32" s="242">
        <f t="shared" si="3"/>
        <v>3</v>
      </c>
      <c r="Q32" s="212" t="str">
        <f t="shared" si="2"/>
        <v/>
      </c>
      <c r="R32" s="174" t="s">
        <v>265</v>
      </c>
      <c r="S32" s="174" t="s">
        <v>273</v>
      </c>
      <c r="T32" s="174" t="str">
        <f>_xlfn.XLOOKUP(Buildings_GridElectricity_Backend[[#This Row],[Info 1]],Buildings_SiteInfo[Site name],Buildings_SiteInfo[Site type], "")</f>
        <v/>
      </c>
      <c r="U32" s="174" t="s">
        <v>281</v>
      </c>
      <c r="V32" s="174" t="str" cm="1">
        <f t="array" aca="1" ref="V32" ca="1">_xlfn.XLOOKUP(Buildings_GridElectricity_Backend[[#This Row],[Level 4]],rng_Level4Long,rng_Level5Long)</f>
        <v>Electricity</v>
      </c>
      <c r="W32" s="174" t="str" cm="1">
        <f t="array" aca="1" ref="W32" ca="1">_xlfn.XLOOKUP(Buildings_GridElectricity_Backend[[#This Row],[Level 4]],rng_Level4Long,rng_Level6Long)</f>
        <v>NaN</v>
      </c>
      <c r="X32" s="174">
        <f>Buildings_GridElectricity_Frontend[[#This Row],[Site Name]]</f>
        <v>0</v>
      </c>
      <c r="Y32" s="174">
        <f>Buildings_GridElectricity_Frontend[[#This Row],[Contracting]]</f>
        <v>0</v>
      </c>
      <c r="Z32" s="174">
        <f>Buildings_GridElectricity_Frontend[[#This Row],[Methodology]]</f>
        <v>0</v>
      </c>
      <c r="AA32" s="229" t="str" cm="1">
        <f t="array" ref="AA32">IF(Buildings_GridElectricity_Frontend[[#This Row],[Data]]="","",INDEX(_xlfn.SWITCH(Buildings_GridElectricity_Backend[[#This Row],[Methodology]],"Tier 1",rng_RSD1,"Tier 2",rng_RSD2,"Tier 3",rng_RSD3),MATCH(_xlfn.CONCAT(Buildings_GridElectricity_Backend[[#This Row],[Level 1]:[Level 6]]),rng_LevelsConcat,0)))</f>
        <v/>
      </c>
      <c r="AB32" s="220">
        <f>Buildings_GridElectricity_Frontend[[#This Row],[Data]]</f>
        <v>0</v>
      </c>
      <c r="AC32" s="174" t="str">
        <f>Buildings_GridElectricity_Frontend[[#This Row],[Units]]</f>
        <v>kWh</v>
      </c>
      <c r="AD32" s="218">
        <f>Buildings_GridElectricity_Frontend[[#This Row],[Data]]</f>
        <v>0</v>
      </c>
      <c r="AE32" s="174" t="str">
        <f>Buildings_GridElectricity_Frontend[[#This Row],[Units]]</f>
        <v>kWh</v>
      </c>
      <c r="AF32" s="210" t="str">
        <f>IF(Buildings_GridElectricity_Frontend[[#This Row],[Data]]="","",_xlfn.XLOOKUP(_xlfn.CONCAT(Buildings_GridElectricity_Backend[[#This Row],[Level 1]:[Level 6]]),rng_EFConcat,rng_EF1)*Buildings_GridElectricity_Backend[[#This Row],[Converted data]]/1000)</f>
        <v/>
      </c>
      <c r="AG32" s="210" t="str">
        <f>IF(Buildings_GridElectricity_Frontend[[#This Row],[Data]]="","",_xlfn.XLOOKUP(_xlfn.CONCAT(Buildings_GridElectricity_Backend[[#This Row],[Level 1]:[Level 6]]),rng_EFConcat,rng_EF2)*Buildings_GridElectricity_Backend[[#This Row],[Converted data]]/1000)</f>
        <v/>
      </c>
      <c r="AH32" s="210" t="str">
        <f>IF(Buildings_GridElectricity_Frontend[[#This Row],[Data]]="","",_xlfn.XLOOKUP(_xlfn.CONCAT(Buildings_GridElectricity_Backend[[#This Row],[Level 1]:[Level 6]]),rng_EFConcat,rng_EF3)*Buildings_GridElectricity_Backend[[#This Row],[Converted data]]/1000)</f>
        <v/>
      </c>
      <c r="AI32" s="210" t="str">
        <f>IF(Buildings_GridElectricity_Frontend[[#This Row],[Data]]="","",_xlfn.XLOOKUP(_xlfn.CONCAT(Buildings_GridElectricity_Backend[[#This Row],[Level 1]:[Level 6]]),rng_EFConcat,rng_EF3WTT)*Buildings_GridElectricity_Backend[[#This Row],[Converted data]]/1000)</f>
        <v/>
      </c>
      <c r="AJ32" s="210" t="str">
        <f>IF(Buildings_GridElectricity_Frontend[[#This Row],[Data]]="","",_xlfn.XLOOKUP(_xlfn.CONCAT(Buildings_GridElectricity_Backend[[#This Row],[Level 1]:[Level 6]]),rng_EFConcat,rng_EF3TD)*Buildings_GridElectricity_Backend[[#This Row],[Converted data]]/1000)</f>
        <v/>
      </c>
      <c r="AK32" s="210" t="str">
        <f>IF(Buildings_GridElectricity_Frontend[[#This Row],[Data]]="","",_xlfn.XLOOKUP(_xlfn.CONCAT(Buildings_GridElectricity_Backend[[#This Row],[Level 1]:[Level 6]]),rng_EFConcat,rng_EF3WTTTD)*Buildings_GridElectricity_Backend[[#This Row],[Converted data]]/1000)</f>
        <v/>
      </c>
      <c r="AL32" s="220" t="str">
        <f>IF(Buildings_GridElectricity_Frontend[[#This Row],[Data]]="","",SUM(Buildings_GridElectricity_Backend[[#This Row],[Scope 1 (tCO2e)]:[Scope 3 WTT T&amp;D (tCO2e)]]))</f>
        <v/>
      </c>
      <c r="AM32" s="220" t="str">
        <f>IF(Buildings_GridElectricity_Frontend[[#This Row],[Data]]="","",Buildings_GridElectricity_Backend[[#This Row],[Total (tCO2e)]]*(1-Buildings_GridElectricity_Backend[[#This Row],[RSD]]))</f>
        <v/>
      </c>
      <c r="AN32" s="220" t="str">
        <f>IF(Buildings_GridElectricity_Frontend[[#This Row],[Data]]="","",Buildings_GridElectricity_Backend[[#This Row],[Total (tCO2e)]]*(1+Buildings_GridElectricity_Backend[[#This Row],[RSD]]))</f>
        <v/>
      </c>
      <c r="AO32" s="210" t="str">
        <f>IF(Buildings_GridElectricity_Frontend[[#This Row],[Data]]="","",_xlfn.XLOOKUP(_xlfn.CONCAT(Buildings_GridElectricity_Backend[[#This Row],[Level 1]:[Level 6]]),rng_EFConcat,rng_EFOOS)*Buildings_GridElectricity_Backend[[#This Row],[Converted data]]/1000)</f>
        <v/>
      </c>
      <c r="AP32" s="174">
        <f>Buildings_GridElectricity_Frontend[[#This Row],[Ease of collection]]</f>
        <v>0</v>
      </c>
      <c r="AQ32" s="213">
        <f>Buildings_GridElectricity_Frontend[[#This Row],[Completeness]]</f>
        <v>0</v>
      </c>
      <c r="AR32" s="220">
        <f>Buildings_GridElectricity_Frontend[[#This Row],[Notes]]</f>
        <v>0</v>
      </c>
    </row>
    <row r="33" spans="2:44" x14ac:dyDescent="0.3">
      <c r="B33" s="455"/>
      <c r="E33" s="346"/>
      <c r="F33" s="449"/>
      <c r="G33" s="336"/>
      <c r="H33" s="334"/>
      <c r="I33" s="172" t="s">
        <v>316</v>
      </c>
      <c r="J33" s="337"/>
      <c r="K33" s="336"/>
      <c r="L33" s="336"/>
      <c r="M33" s="337"/>
      <c r="N33" s="242">
        <f t="shared" si="3"/>
        <v>3</v>
      </c>
      <c r="Q33" s="212" t="str">
        <f t="shared" si="2"/>
        <v/>
      </c>
      <c r="R33" s="174" t="s">
        <v>265</v>
      </c>
      <c r="S33" s="174" t="s">
        <v>273</v>
      </c>
      <c r="T33" s="174" t="str">
        <f>_xlfn.XLOOKUP(Buildings_GridElectricity_Backend[[#This Row],[Info 1]],Buildings_SiteInfo[Site name],Buildings_SiteInfo[Site type], "")</f>
        <v/>
      </c>
      <c r="U33" s="174" t="s">
        <v>281</v>
      </c>
      <c r="V33" s="174" t="str" cm="1">
        <f t="array" aca="1" ref="V33" ca="1">_xlfn.XLOOKUP(Buildings_GridElectricity_Backend[[#This Row],[Level 4]],rng_Level4Long,rng_Level5Long)</f>
        <v>Electricity</v>
      </c>
      <c r="W33" s="174" t="str" cm="1">
        <f t="array" aca="1" ref="W33" ca="1">_xlfn.XLOOKUP(Buildings_GridElectricity_Backend[[#This Row],[Level 4]],rng_Level4Long,rng_Level6Long)</f>
        <v>NaN</v>
      </c>
      <c r="X33" s="174">
        <f>Buildings_GridElectricity_Frontend[[#This Row],[Site Name]]</f>
        <v>0</v>
      </c>
      <c r="Y33" s="174">
        <f>Buildings_GridElectricity_Frontend[[#This Row],[Contracting]]</f>
        <v>0</v>
      </c>
      <c r="Z33" s="174">
        <f>Buildings_GridElectricity_Frontend[[#This Row],[Methodology]]</f>
        <v>0</v>
      </c>
      <c r="AA33" s="229" t="str" cm="1">
        <f t="array" ref="AA33">IF(Buildings_GridElectricity_Frontend[[#This Row],[Data]]="","",INDEX(_xlfn.SWITCH(Buildings_GridElectricity_Backend[[#This Row],[Methodology]],"Tier 1",rng_RSD1,"Tier 2",rng_RSD2,"Tier 3",rng_RSD3),MATCH(_xlfn.CONCAT(Buildings_GridElectricity_Backend[[#This Row],[Level 1]:[Level 6]]),rng_LevelsConcat,0)))</f>
        <v/>
      </c>
      <c r="AB33" s="220">
        <f>Buildings_GridElectricity_Frontend[[#This Row],[Data]]</f>
        <v>0</v>
      </c>
      <c r="AC33" s="174" t="str">
        <f>Buildings_GridElectricity_Frontend[[#This Row],[Units]]</f>
        <v>kWh</v>
      </c>
      <c r="AD33" s="218">
        <f>Buildings_GridElectricity_Frontend[[#This Row],[Data]]</f>
        <v>0</v>
      </c>
      <c r="AE33" s="174" t="str">
        <f>Buildings_GridElectricity_Frontend[[#This Row],[Units]]</f>
        <v>kWh</v>
      </c>
      <c r="AF33" s="210" t="str">
        <f>IF(Buildings_GridElectricity_Frontend[[#This Row],[Data]]="","",_xlfn.XLOOKUP(_xlfn.CONCAT(Buildings_GridElectricity_Backend[[#This Row],[Level 1]:[Level 6]]),rng_EFConcat,rng_EF1)*Buildings_GridElectricity_Backend[[#This Row],[Converted data]]/1000)</f>
        <v/>
      </c>
      <c r="AG33" s="210" t="str">
        <f>IF(Buildings_GridElectricity_Frontend[[#This Row],[Data]]="","",_xlfn.XLOOKUP(_xlfn.CONCAT(Buildings_GridElectricity_Backend[[#This Row],[Level 1]:[Level 6]]),rng_EFConcat,rng_EF2)*Buildings_GridElectricity_Backend[[#This Row],[Converted data]]/1000)</f>
        <v/>
      </c>
      <c r="AH33" s="210" t="str">
        <f>IF(Buildings_GridElectricity_Frontend[[#This Row],[Data]]="","",_xlfn.XLOOKUP(_xlfn.CONCAT(Buildings_GridElectricity_Backend[[#This Row],[Level 1]:[Level 6]]),rng_EFConcat,rng_EF3)*Buildings_GridElectricity_Backend[[#This Row],[Converted data]]/1000)</f>
        <v/>
      </c>
      <c r="AI33" s="210" t="str">
        <f>IF(Buildings_GridElectricity_Frontend[[#This Row],[Data]]="","",_xlfn.XLOOKUP(_xlfn.CONCAT(Buildings_GridElectricity_Backend[[#This Row],[Level 1]:[Level 6]]),rng_EFConcat,rng_EF3WTT)*Buildings_GridElectricity_Backend[[#This Row],[Converted data]]/1000)</f>
        <v/>
      </c>
      <c r="AJ33" s="210" t="str">
        <f>IF(Buildings_GridElectricity_Frontend[[#This Row],[Data]]="","",_xlfn.XLOOKUP(_xlfn.CONCAT(Buildings_GridElectricity_Backend[[#This Row],[Level 1]:[Level 6]]),rng_EFConcat,rng_EF3TD)*Buildings_GridElectricity_Backend[[#This Row],[Converted data]]/1000)</f>
        <v/>
      </c>
      <c r="AK33" s="210" t="str">
        <f>IF(Buildings_GridElectricity_Frontend[[#This Row],[Data]]="","",_xlfn.XLOOKUP(_xlfn.CONCAT(Buildings_GridElectricity_Backend[[#This Row],[Level 1]:[Level 6]]),rng_EFConcat,rng_EF3WTTTD)*Buildings_GridElectricity_Backend[[#This Row],[Converted data]]/1000)</f>
        <v/>
      </c>
      <c r="AL33" s="220" t="str">
        <f>IF(Buildings_GridElectricity_Frontend[[#This Row],[Data]]="","",SUM(Buildings_GridElectricity_Backend[[#This Row],[Scope 1 (tCO2e)]:[Scope 3 WTT T&amp;D (tCO2e)]]))</f>
        <v/>
      </c>
      <c r="AM33" s="220" t="str">
        <f>IF(Buildings_GridElectricity_Frontend[[#This Row],[Data]]="","",Buildings_GridElectricity_Backend[[#This Row],[Total (tCO2e)]]*(1-Buildings_GridElectricity_Backend[[#This Row],[RSD]]))</f>
        <v/>
      </c>
      <c r="AN33" s="220" t="str">
        <f>IF(Buildings_GridElectricity_Frontend[[#This Row],[Data]]="","",Buildings_GridElectricity_Backend[[#This Row],[Total (tCO2e)]]*(1+Buildings_GridElectricity_Backend[[#This Row],[RSD]]))</f>
        <v/>
      </c>
      <c r="AO33" s="210" t="str">
        <f>IF(Buildings_GridElectricity_Frontend[[#This Row],[Data]]="","",_xlfn.XLOOKUP(_xlfn.CONCAT(Buildings_GridElectricity_Backend[[#This Row],[Level 1]:[Level 6]]),rng_EFConcat,rng_EFOOS)*Buildings_GridElectricity_Backend[[#This Row],[Converted data]]/1000)</f>
        <v/>
      </c>
      <c r="AP33" s="174">
        <f>Buildings_GridElectricity_Frontend[[#This Row],[Ease of collection]]</f>
        <v>0</v>
      </c>
      <c r="AQ33" s="213">
        <f>Buildings_GridElectricity_Frontend[[#This Row],[Completeness]]</f>
        <v>0</v>
      </c>
      <c r="AR33" s="220">
        <f>Buildings_GridElectricity_Frontend[[#This Row],[Notes]]</f>
        <v>0</v>
      </c>
    </row>
    <row r="34" spans="2:44" x14ac:dyDescent="0.3">
      <c r="B34" s="455"/>
      <c r="E34" s="346"/>
      <c r="F34" s="449"/>
      <c r="G34" s="336"/>
      <c r="H34" s="334"/>
      <c r="I34" s="172" t="s">
        <v>316</v>
      </c>
      <c r="J34" s="337"/>
      <c r="K34" s="336"/>
      <c r="L34" s="336"/>
      <c r="M34" s="337"/>
      <c r="N34" s="242">
        <f t="shared" si="3"/>
        <v>3</v>
      </c>
      <c r="Q34" s="212" t="str">
        <f t="shared" si="2"/>
        <v/>
      </c>
      <c r="R34" s="174" t="s">
        <v>265</v>
      </c>
      <c r="S34" s="174" t="s">
        <v>273</v>
      </c>
      <c r="T34" s="174" t="str">
        <f>_xlfn.XLOOKUP(Buildings_GridElectricity_Backend[[#This Row],[Info 1]],Buildings_SiteInfo[Site name],Buildings_SiteInfo[Site type], "")</f>
        <v/>
      </c>
      <c r="U34" s="174" t="s">
        <v>281</v>
      </c>
      <c r="V34" s="174" t="str" cm="1">
        <f t="array" aca="1" ref="V34" ca="1">_xlfn.XLOOKUP(Buildings_GridElectricity_Backend[[#This Row],[Level 4]],rng_Level4Long,rng_Level5Long)</f>
        <v>Electricity</v>
      </c>
      <c r="W34" s="174" t="str" cm="1">
        <f t="array" aca="1" ref="W34" ca="1">_xlfn.XLOOKUP(Buildings_GridElectricity_Backend[[#This Row],[Level 4]],rng_Level4Long,rng_Level6Long)</f>
        <v>NaN</v>
      </c>
      <c r="X34" s="174">
        <f>Buildings_GridElectricity_Frontend[[#This Row],[Site Name]]</f>
        <v>0</v>
      </c>
      <c r="Y34" s="174">
        <f>Buildings_GridElectricity_Frontend[[#This Row],[Contracting]]</f>
        <v>0</v>
      </c>
      <c r="Z34" s="174">
        <f>Buildings_GridElectricity_Frontend[[#This Row],[Methodology]]</f>
        <v>0</v>
      </c>
      <c r="AA34" s="229" t="str" cm="1">
        <f t="array" ref="AA34">IF(Buildings_GridElectricity_Frontend[[#This Row],[Data]]="","",INDEX(_xlfn.SWITCH(Buildings_GridElectricity_Backend[[#This Row],[Methodology]],"Tier 1",rng_RSD1,"Tier 2",rng_RSD2,"Tier 3",rng_RSD3),MATCH(_xlfn.CONCAT(Buildings_GridElectricity_Backend[[#This Row],[Level 1]:[Level 6]]),rng_LevelsConcat,0)))</f>
        <v/>
      </c>
      <c r="AB34" s="220">
        <f>Buildings_GridElectricity_Frontend[[#This Row],[Data]]</f>
        <v>0</v>
      </c>
      <c r="AC34" s="174" t="str">
        <f>Buildings_GridElectricity_Frontend[[#This Row],[Units]]</f>
        <v>kWh</v>
      </c>
      <c r="AD34" s="218">
        <f>Buildings_GridElectricity_Frontend[[#This Row],[Data]]</f>
        <v>0</v>
      </c>
      <c r="AE34" s="174" t="str">
        <f>Buildings_GridElectricity_Frontend[[#This Row],[Units]]</f>
        <v>kWh</v>
      </c>
      <c r="AF34" s="210" t="str">
        <f>IF(Buildings_GridElectricity_Frontend[[#This Row],[Data]]="","",_xlfn.XLOOKUP(_xlfn.CONCAT(Buildings_GridElectricity_Backend[[#This Row],[Level 1]:[Level 6]]),rng_EFConcat,rng_EF1)*Buildings_GridElectricity_Backend[[#This Row],[Converted data]]/1000)</f>
        <v/>
      </c>
      <c r="AG34" s="210" t="str">
        <f>IF(Buildings_GridElectricity_Frontend[[#This Row],[Data]]="","",_xlfn.XLOOKUP(_xlfn.CONCAT(Buildings_GridElectricity_Backend[[#This Row],[Level 1]:[Level 6]]),rng_EFConcat,rng_EF2)*Buildings_GridElectricity_Backend[[#This Row],[Converted data]]/1000)</f>
        <v/>
      </c>
      <c r="AH34" s="210" t="str">
        <f>IF(Buildings_GridElectricity_Frontend[[#This Row],[Data]]="","",_xlfn.XLOOKUP(_xlfn.CONCAT(Buildings_GridElectricity_Backend[[#This Row],[Level 1]:[Level 6]]),rng_EFConcat,rng_EF3)*Buildings_GridElectricity_Backend[[#This Row],[Converted data]]/1000)</f>
        <v/>
      </c>
      <c r="AI34" s="210" t="str">
        <f>IF(Buildings_GridElectricity_Frontend[[#This Row],[Data]]="","",_xlfn.XLOOKUP(_xlfn.CONCAT(Buildings_GridElectricity_Backend[[#This Row],[Level 1]:[Level 6]]),rng_EFConcat,rng_EF3WTT)*Buildings_GridElectricity_Backend[[#This Row],[Converted data]]/1000)</f>
        <v/>
      </c>
      <c r="AJ34" s="210" t="str">
        <f>IF(Buildings_GridElectricity_Frontend[[#This Row],[Data]]="","",_xlfn.XLOOKUP(_xlfn.CONCAT(Buildings_GridElectricity_Backend[[#This Row],[Level 1]:[Level 6]]),rng_EFConcat,rng_EF3TD)*Buildings_GridElectricity_Backend[[#This Row],[Converted data]]/1000)</f>
        <v/>
      </c>
      <c r="AK34" s="210" t="str">
        <f>IF(Buildings_GridElectricity_Frontend[[#This Row],[Data]]="","",_xlfn.XLOOKUP(_xlfn.CONCAT(Buildings_GridElectricity_Backend[[#This Row],[Level 1]:[Level 6]]),rng_EFConcat,rng_EF3WTTTD)*Buildings_GridElectricity_Backend[[#This Row],[Converted data]]/1000)</f>
        <v/>
      </c>
      <c r="AL34" s="220" t="str">
        <f>IF(Buildings_GridElectricity_Frontend[[#This Row],[Data]]="","",SUM(Buildings_GridElectricity_Backend[[#This Row],[Scope 1 (tCO2e)]:[Scope 3 WTT T&amp;D (tCO2e)]]))</f>
        <v/>
      </c>
      <c r="AM34" s="220" t="str">
        <f>IF(Buildings_GridElectricity_Frontend[[#This Row],[Data]]="","",Buildings_GridElectricity_Backend[[#This Row],[Total (tCO2e)]]*(1-Buildings_GridElectricity_Backend[[#This Row],[RSD]]))</f>
        <v/>
      </c>
      <c r="AN34" s="220" t="str">
        <f>IF(Buildings_GridElectricity_Frontend[[#This Row],[Data]]="","",Buildings_GridElectricity_Backend[[#This Row],[Total (tCO2e)]]*(1+Buildings_GridElectricity_Backend[[#This Row],[RSD]]))</f>
        <v/>
      </c>
      <c r="AO34" s="210" t="str">
        <f>IF(Buildings_GridElectricity_Frontend[[#This Row],[Data]]="","",_xlfn.XLOOKUP(_xlfn.CONCAT(Buildings_GridElectricity_Backend[[#This Row],[Level 1]:[Level 6]]),rng_EFConcat,rng_EFOOS)*Buildings_GridElectricity_Backend[[#This Row],[Converted data]]/1000)</f>
        <v/>
      </c>
      <c r="AP34" s="174">
        <f>Buildings_GridElectricity_Frontend[[#This Row],[Ease of collection]]</f>
        <v>0</v>
      </c>
      <c r="AQ34" s="213">
        <f>Buildings_GridElectricity_Frontend[[#This Row],[Completeness]]</f>
        <v>0</v>
      </c>
      <c r="AR34" s="220">
        <f>Buildings_GridElectricity_Frontend[[#This Row],[Notes]]</f>
        <v>0</v>
      </c>
    </row>
    <row r="35" spans="2:44" x14ac:dyDescent="0.3">
      <c r="B35" s="455"/>
      <c r="E35" s="346"/>
      <c r="F35" s="449"/>
      <c r="G35" s="336"/>
      <c r="H35" s="334"/>
      <c r="I35" s="172" t="s">
        <v>316</v>
      </c>
      <c r="J35" s="337"/>
      <c r="K35" s="336"/>
      <c r="L35" s="336"/>
      <c r="M35" s="337"/>
      <c r="N35" s="242">
        <f t="shared" si="3"/>
        <v>3</v>
      </c>
      <c r="Q35" s="212" t="str">
        <f t="shared" si="2"/>
        <v/>
      </c>
      <c r="R35" s="174" t="s">
        <v>265</v>
      </c>
      <c r="S35" s="174" t="s">
        <v>273</v>
      </c>
      <c r="T35" s="174" t="str">
        <f>_xlfn.XLOOKUP(Buildings_GridElectricity_Backend[[#This Row],[Info 1]],Buildings_SiteInfo[Site name],Buildings_SiteInfo[Site type], "")</f>
        <v/>
      </c>
      <c r="U35" s="174" t="s">
        <v>281</v>
      </c>
      <c r="V35" s="174" t="str" cm="1">
        <f t="array" aca="1" ref="V35" ca="1">_xlfn.XLOOKUP(Buildings_GridElectricity_Backend[[#This Row],[Level 4]],rng_Level4Long,rng_Level5Long)</f>
        <v>Electricity</v>
      </c>
      <c r="W35" s="174" t="str" cm="1">
        <f t="array" aca="1" ref="W35" ca="1">_xlfn.XLOOKUP(Buildings_GridElectricity_Backend[[#This Row],[Level 4]],rng_Level4Long,rng_Level6Long)</f>
        <v>NaN</v>
      </c>
      <c r="X35" s="174">
        <f>Buildings_GridElectricity_Frontend[[#This Row],[Site Name]]</f>
        <v>0</v>
      </c>
      <c r="Y35" s="174">
        <f>Buildings_GridElectricity_Frontend[[#This Row],[Contracting]]</f>
        <v>0</v>
      </c>
      <c r="Z35" s="174">
        <f>Buildings_GridElectricity_Frontend[[#This Row],[Methodology]]</f>
        <v>0</v>
      </c>
      <c r="AA35" s="229" t="str" cm="1">
        <f t="array" ref="AA35">IF(Buildings_GridElectricity_Frontend[[#This Row],[Data]]="","",INDEX(_xlfn.SWITCH(Buildings_GridElectricity_Backend[[#This Row],[Methodology]],"Tier 1",rng_RSD1,"Tier 2",rng_RSD2,"Tier 3",rng_RSD3),MATCH(_xlfn.CONCAT(Buildings_GridElectricity_Backend[[#This Row],[Level 1]:[Level 6]]),rng_LevelsConcat,0)))</f>
        <v/>
      </c>
      <c r="AB35" s="220">
        <f>Buildings_GridElectricity_Frontend[[#This Row],[Data]]</f>
        <v>0</v>
      </c>
      <c r="AC35" s="174" t="str">
        <f>Buildings_GridElectricity_Frontend[[#This Row],[Units]]</f>
        <v>kWh</v>
      </c>
      <c r="AD35" s="218">
        <f>Buildings_GridElectricity_Frontend[[#This Row],[Data]]</f>
        <v>0</v>
      </c>
      <c r="AE35" s="174" t="str">
        <f>Buildings_GridElectricity_Frontend[[#This Row],[Units]]</f>
        <v>kWh</v>
      </c>
      <c r="AF35" s="210" t="str">
        <f>IF(Buildings_GridElectricity_Frontend[[#This Row],[Data]]="","",_xlfn.XLOOKUP(_xlfn.CONCAT(Buildings_GridElectricity_Backend[[#This Row],[Level 1]:[Level 6]]),rng_EFConcat,rng_EF1)*Buildings_GridElectricity_Backend[[#This Row],[Converted data]]/1000)</f>
        <v/>
      </c>
      <c r="AG35" s="210" t="str">
        <f>IF(Buildings_GridElectricity_Frontend[[#This Row],[Data]]="","",_xlfn.XLOOKUP(_xlfn.CONCAT(Buildings_GridElectricity_Backend[[#This Row],[Level 1]:[Level 6]]),rng_EFConcat,rng_EF2)*Buildings_GridElectricity_Backend[[#This Row],[Converted data]]/1000)</f>
        <v/>
      </c>
      <c r="AH35" s="210" t="str">
        <f>IF(Buildings_GridElectricity_Frontend[[#This Row],[Data]]="","",_xlfn.XLOOKUP(_xlfn.CONCAT(Buildings_GridElectricity_Backend[[#This Row],[Level 1]:[Level 6]]),rng_EFConcat,rng_EF3)*Buildings_GridElectricity_Backend[[#This Row],[Converted data]]/1000)</f>
        <v/>
      </c>
      <c r="AI35" s="210" t="str">
        <f>IF(Buildings_GridElectricity_Frontend[[#This Row],[Data]]="","",_xlfn.XLOOKUP(_xlfn.CONCAT(Buildings_GridElectricity_Backend[[#This Row],[Level 1]:[Level 6]]),rng_EFConcat,rng_EF3WTT)*Buildings_GridElectricity_Backend[[#This Row],[Converted data]]/1000)</f>
        <v/>
      </c>
      <c r="AJ35" s="210" t="str">
        <f>IF(Buildings_GridElectricity_Frontend[[#This Row],[Data]]="","",_xlfn.XLOOKUP(_xlfn.CONCAT(Buildings_GridElectricity_Backend[[#This Row],[Level 1]:[Level 6]]),rng_EFConcat,rng_EF3TD)*Buildings_GridElectricity_Backend[[#This Row],[Converted data]]/1000)</f>
        <v/>
      </c>
      <c r="AK35" s="210" t="str">
        <f>IF(Buildings_GridElectricity_Frontend[[#This Row],[Data]]="","",_xlfn.XLOOKUP(_xlfn.CONCAT(Buildings_GridElectricity_Backend[[#This Row],[Level 1]:[Level 6]]),rng_EFConcat,rng_EF3WTTTD)*Buildings_GridElectricity_Backend[[#This Row],[Converted data]]/1000)</f>
        <v/>
      </c>
      <c r="AL35" s="220" t="str">
        <f>IF(Buildings_GridElectricity_Frontend[[#This Row],[Data]]="","",SUM(Buildings_GridElectricity_Backend[[#This Row],[Scope 1 (tCO2e)]:[Scope 3 WTT T&amp;D (tCO2e)]]))</f>
        <v/>
      </c>
      <c r="AM35" s="220" t="str">
        <f>IF(Buildings_GridElectricity_Frontend[[#This Row],[Data]]="","",Buildings_GridElectricity_Backend[[#This Row],[Total (tCO2e)]]*(1-Buildings_GridElectricity_Backend[[#This Row],[RSD]]))</f>
        <v/>
      </c>
      <c r="AN35" s="220" t="str">
        <f>IF(Buildings_GridElectricity_Frontend[[#This Row],[Data]]="","",Buildings_GridElectricity_Backend[[#This Row],[Total (tCO2e)]]*(1+Buildings_GridElectricity_Backend[[#This Row],[RSD]]))</f>
        <v/>
      </c>
      <c r="AO35" s="210" t="str">
        <f>IF(Buildings_GridElectricity_Frontend[[#This Row],[Data]]="","",_xlfn.XLOOKUP(_xlfn.CONCAT(Buildings_GridElectricity_Backend[[#This Row],[Level 1]:[Level 6]]),rng_EFConcat,rng_EFOOS)*Buildings_GridElectricity_Backend[[#This Row],[Converted data]]/1000)</f>
        <v/>
      </c>
      <c r="AP35" s="174">
        <f>Buildings_GridElectricity_Frontend[[#This Row],[Ease of collection]]</f>
        <v>0</v>
      </c>
      <c r="AQ35" s="213">
        <f>Buildings_GridElectricity_Frontend[[#This Row],[Completeness]]</f>
        <v>0</v>
      </c>
      <c r="AR35" s="220">
        <f>Buildings_GridElectricity_Frontend[[#This Row],[Notes]]</f>
        <v>0</v>
      </c>
    </row>
    <row r="36" spans="2:44" x14ac:dyDescent="0.3">
      <c r="B36" s="455"/>
      <c r="E36" s="346"/>
      <c r="F36" s="449"/>
      <c r="G36" s="336"/>
      <c r="H36" s="334"/>
      <c r="I36" s="172" t="s">
        <v>316</v>
      </c>
      <c r="J36" s="337"/>
      <c r="K36" s="336"/>
      <c r="L36" s="336"/>
      <c r="M36" s="337"/>
      <c r="N36" s="242">
        <f t="shared" si="3"/>
        <v>3</v>
      </c>
      <c r="Q36" s="212" t="str">
        <f t="shared" si="2"/>
        <v/>
      </c>
      <c r="R36" s="174" t="s">
        <v>265</v>
      </c>
      <c r="S36" s="174" t="s">
        <v>273</v>
      </c>
      <c r="T36" s="174" t="str">
        <f>_xlfn.XLOOKUP(Buildings_GridElectricity_Backend[[#This Row],[Info 1]],Buildings_SiteInfo[Site name],Buildings_SiteInfo[Site type], "")</f>
        <v/>
      </c>
      <c r="U36" s="174" t="s">
        <v>281</v>
      </c>
      <c r="V36" s="174" t="str" cm="1">
        <f t="array" aca="1" ref="V36" ca="1">_xlfn.XLOOKUP(Buildings_GridElectricity_Backend[[#This Row],[Level 4]],rng_Level4Long,rng_Level5Long)</f>
        <v>Electricity</v>
      </c>
      <c r="W36" s="174" t="str" cm="1">
        <f t="array" aca="1" ref="W36" ca="1">_xlfn.XLOOKUP(Buildings_GridElectricity_Backend[[#This Row],[Level 4]],rng_Level4Long,rng_Level6Long)</f>
        <v>NaN</v>
      </c>
      <c r="X36" s="174">
        <f>Buildings_GridElectricity_Frontend[[#This Row],[Site Name]]</f>
        <v>0</v>
      </c>
      <c r="Y36" s="174">
        <f>Buildings_GridElectricity_Frontend[[#This Row],[Contracting]]</f>
        <v>0</v>
      </c>
      <c r="Z36" s="174">
        <f>Buildings_GridElectricity_Frontend[[#This Row],[Methodology]]</f>
        <v>0</v>
      </c>
      <c r="AA36" s="229" t="str" cm="1">
        <f t="array" ref="AA36">IF(Buildings_GridElectricity_Frontend[[#This Row],[Data]]="","",INDEX(_xlfn.SWITCH(Buildings_GridElectricity_Backend[[#This Row],[Methodology]],"Tier 1",rng_RSD1,"Tier 2",rng_RSD2,"Tier 3",rng_RSD3),MATCH(_xlfn.CONCAT(Buildings_GridElectricity_Backend[[#This Row],[Level 1]:[Level 6]]),rng_LevelsConcat,0)))</f>
        <v/>
      </c>
      <c r="AB36" s="220">
        <f>Buildings_GridElectricity_Frontend[[#This Row],[Data]]</f>
        <v>0</v>
      </c>
      <c r="AC36" s="174" t="str">
        <f>Buildings_GridElectricity_Frontend[[#This Row],[Units]]</f>
        <v>kWh</v>
      </c>
      <c r="AD36" s="218">
        <f>Buildings_GridElectricity_Frontend[[#This Row],[Data]]</f>
        <v>0</v>
      </c>
      <c r="AE36" s="174" t="str">
        <f>Buildings_GridElectricity_Frontend[[#This Row],[Units]]</f>
        <v>kWh</v>
      </c>
      <c r="AF36" s="210" t="str">
        <f>IF(Buildings_GridElectricity_Frontend[[#This Row],[Data]]="","",_xlfn.XLOOKUP(_xlfn.CONCAT(Buildings_GridElectricity_Backend[[#This Row],[Level 1]:[Level 6]]),rng_EFConcat,rng_EF1)*Buildings_GridElectricity_Backend[[#This Row],[Converted data]]/1000)</f>
        <v/>
      </c>
      <c r="AG36" s="210" t="str">
        <f>IF(Buildings_GridElectricity_Frontend[[#This Row],[Data]]="","",_xlfn.XLOOKUP(_xlfn.CONCAT(Buildings_GridElectricity_Backend[[#This Row],[Level 1]:[Level 6]]),rng_EFConcat,rng_EF2)*Buildings_GridElectricity_Backend[[#This Row],[Converted data]]/1000)</f>
        <v/>
      </c>
      <c r="AH36" s="210" t="str">
        <f>IF(Buildings_GridElectricity_Frontend[[#This Row],[Data]]="","",_xlfn.XLOOKUP(_xlfn.CONCAT(Buildings_GridElectricity_Backend[[#This Row],[Level 1]:[Level 6]]),rng_EFConcat,rng_EF3)*Buildings_GridElectricity_Backend[[#This Row],[Converted data]]/1000)</f>
        <v/>
      </c>
      <c r="AI36" s="210" t="str">
        <f>IF(Buildings_GridElectricity_Frontend[[#This Row],[Data]]="","",_xlfn.XLOOKUP(_xlfn.CONCAT(Buildings_GridElectricity_Backend[[#This Row],[Level 1]:[Level 6]]),rng_EFConcat,rng_EF3WTT)*Buildings_GridElectricity_Backend[[#This Row],[Converted data]]/1000)</f>
        <v/>
      </c>
      <c r="AJ36" s="210" t="str">
        <f>IF(Buildings_GridElectricity_Frontend[[#This Row],[Data]]="","",_xlfn.XLOOKUP(_xlfn.CONCAT(Buildings_GridElectricity_Backend[[#This Row],[Level 1]:[Level 6]]),rng_EFConcat,rng_EF3TD)*Buildings_GridElectricity_Backend[[#This Row],[Converted data]]/1000)</f>
        <v/>
      </c>
      <c r="AK36" s="210" t="str">
        <f>IF(Buildings_GridElectricity_Frontend[[#This Row],[Data]]="","",_xlfn.XLOOKUP(_xlfn.CONCAT(Buildings_GridElectricity_Backend[[#This Row],[Level 1]:[Level 6]]),rng_EFConcat,rng_EF3WTTTD)*Buildings_GridElectricity_Backend[[#This Row],[Converted data]]/1000)</f>
        <v/>
      </c>
      <c r="AL36" s="220" t="str">
        <f>IF(Buildings_GridElectricity_Frontend[[#This Row],[Data]]="","",SUM(Buildings_GridElectricity_Backend[[#This Row],[Scope 1 (tCO2e)]:[Scope 3 WTT T&amp;D (tCO2e)]]))</f>
        <v/>
      </c>
      <c r="AM36" s="220" t="str">
        <f>IF(Buildings_GridElectricity_Frontend[[#This Row],[Data]]="","",Buildings_GridElectricity_Backend[[#This Row],[Total (tCO2e)]]*(1-Buildings_GridElectricity_Backend[[#This Row],[RSD]]))</f>
        <v/>
      </c>
      <c r="AN36" s="220" t="str">
        <f>IF(Buildings_GridElectricity_Frontend[[#This Row],[Data]]="","",Buildings_GridElectricity_Backend[[#This Row],[Total (tCO2e)]]*(1+Buildings_GridElectricity_Backend[[#This Row],[RSD]]))</f>
        <v/>
      </c>
      <c r="AO36" s="210" t="str">
        <f>IF(Buildings_GridElectricity_Frontend[[#This Row],[Data]]="","",_xlfn.XLOOKUP(_xlfn.CONCAT(Buildings_GridElectricity_Backend[[#This Row],[Level 1]:[Level 6]]),rng_EFConcat,rng_EFOOS)*Buildings_GridElectricity_Backend[[#This Row],[Converted data]]/1000)</f>
        <v/>
      </c>
      <c r="AP36" s="174">
        <f>Buildings_GridElectricity_Frontend[[#This Row],[Ease of collection]]</f>
        <v>0</v>
      </c>
      <c r="AQ36" s="213">
        <f>Buildings_GridElectricity_Frontend[[#This Row],[Completeness]]</f>
        <v>0</v>
      </c>
      <c r="AR36" s="220">
        <f>Buildings_GridElectricity_Frontend[[#This Row],[Notes]]</f>
        <v>0</v>
      </c>
    </row>
    <row r="37" spans="2:44" x14ac:dyDescent="0.3">
      <c r="B37" s="455"/>
      <c r="E37" s="346"/>
      <c r="F37" s="449"/>
      <c r="G37" s="336"/>
      <c r="H37" s="334"/>
      <c r="I37" s="172" t="s">
        <v>316</v>
      </c>
      <c r="J37" s="337"/>
      <c r="K37" s="336"/>
      <c r="L37" s="336"/>
      <c r="M37" s="337"/>
      <c r="N37" s="242">
        <f t="shared" si="3"/>
        <v>3</v>
      </c>
      <c r="Q37" s="212" t="str">
        <f t="shared" si="2"/>
        <v/>
      </c>
      <c r="R37" s="174" t="s">
        <v>265</v>
      </c>
      <c r="S37" s="174" t="s">
        <v>273</v>
      </c>
      <c r="T37" s="174" t="str">
        <f>_xlfn.XLOOKUP(Buildings_GridElectricity_Backend[[#This Row],[Info 1]],Buildings_SiteInfo[Site name],Buildings_SiteInfo[Site type], "")</f>
        <v/>
      </c>
      <c r="U37" s="174" t="s">
        <v>281</v>
      </c>
      <c r="V37" s="174" t="str" cm="1">
        <f t="array" aca="1" ref="V37" ca="1">_xlfn.XLOOKUP(Buildings_GridElectricity_Backend[[#This Row],[Level 4]],rng_Level4Long,rng_Level5Long)</f>
        <v>Electricity</v>
      </c>
      <c r="W37" s="174" t="str" cm="1">
        <f t="array" aca="1" ref="W37" ca="1">_xlfn.XLOOKUP(Buildings_GridElectricity_Backend[[#This Row],[Level 4]],rng_Level4Long,rng_Level6Long)</f>
        <v>NaN</v>
      </c>
      <c r="X37" s="174">
        <f>Buildings_GridElectricity_Frontend[[#This Row],[Site Name]]</f>
        <v>0</v>
      </c>
      <c r="Y37" s="174">
        <f>Buildings_GridElectricity_Frontend[[#This Row],[Contracting]]</f>
        <v>0</v>
      </c>
      <c r="Z37" s="174">
        <f>Buildings_GridElectricity_Frontend[[#This Row],[Methodology]]</f>
        <v>0</v>
      </c>
      <c r="AA37" s="229" t="str" cm="1">
        <f t="array" ref="AA37">IF(Buildings_GridElectricity_Frontend[[#This Row],[Data]]="","",INDEX(_xlfn.SWITCH(Buildings_GridElectricity_Backend[[#This Row],[Methodology]],"Tier 1",rng_RSD1,"Tier 2",rng_RSD2,"Tier 3",rng_RSD3),MATCH(_xlfn.CONCAT(Buildings_GridElectricity_Backend[[#This Row],[Level 1]:[Level 6]]),rng_LevelsConcat,0)))</f>
        <v/>
      </c>
      <c r="AB37" s="220">
        <f>Buildings_GridElectricity_Frontend[[#This Row],[Data]]</f>
        <v>0</v>
      </c>
      <c r="AC37" s="174" t="str">
        <f>Buildings_GridElectricity_Frontend[[#This Row],[Units]]</f>
        <v>kWh</v>
      </c>
      <c r="AD37" s="218">
        <f>Buildings_GridElectricity_Frontend[[#This Row],[Data]]</f>
        <v>0</v>
      </c>
      <c r="AE37" s="174" t="str">
        <f>Buildings_GridElectricity_Frontend[[#This Row],[Units]]</f>
        <v>kWh</v>
      </c>
      <c r="AF37" s="210" t="str">
        <f>IF(Buildings_GridElectricity_Frontend[[#This Row],[Data]]="","",_xlfn.XLOOKUP(_xlfn.CONCAT(Buildings_GridElectricity_Backend[[#This Row],[Level 1]:[Level 6]]),rng_EFConcat,rng_EF1)*Buildings_GridElectricity_Backend[[#This Row],[Converted data]]/1000)</f>
        <v/>
      </c>
      <c r="AG37" s="210" t="str">
        <f>IF(Buildings_GridElectricity_Frontend[[#This Row],[Data]]="","",_xlfn.XLOOKUP(_xlfn.CONCAT(Buildings_GridElectricity_Backend[[#This Row],[Level 1]:[Level 6]]),rng_EFConcat,rng_EF2)*Buildings_GridElectricity_Backend[[#This Row],[Converted data]]/1000)</f>
        <v/>
      </c>
      <c r="AH37" s="210" t="str">
        <f>IF(Buildings_GridElectricity_Frontend[[#This Row],[Data]]="","",_xlfn.XLOOKUP(_xlfn.CONCAT(Buildings_GridElectricity_Backend[[#This Row],[Level 1]:[Level 6]]),rng_EFConcat,rng_EF3)*Buildings_GridElectricity_Backend[[#This Row],[Converted data]]/1000)</f>
        <v/>
      </c>
      <c r="AI37" s="210" t="str">
        <f>IF(Buildings_GridElectricity_Frontend[[#This Row],[Data]]="","",_xlfn.XLOOKUP(_xlfn.CONCAT(Buildings_GridElectricity_Backend[[#This Row],[Level 1]:[Level 6]]),rng_EFConcat,rng_EF3WTT)*Buildings_GridElectricity_Backend[[#This Row],[Converted data]]/1000)</f>
        <v/>
      </c>
      <c r="AJ37" s="210" t="str">
        <f>IF(Buildings_GridElectricity_Frontend[[#This Row],[Data]]="","",_xlfn.XLOOKUP(_xlfn.CONCAT(Buildings_GridElectricity_Backend[[#This Row],[Level 1]:[Level 6]]),rng_EFConcat,rng_EF3TD)*Buildings_GridElectricity_Backend[[#This Row],[Converted data]]/1000)</f>
        <v/>
      </c>
      <c r="AK37" s="210" t="str">
        <f>IF(Buildings_GridElectricity_Frontend[[#This Row],[Data]]="","",_xlfn.XLOOKUP(_xlfn.CONCAT(Buildings_GridElectricity_Backend[[#This Row],[Level 1]:[Level 6]]),rng_EFConcat,rng_EF3WTTTD)*Buildings_GridElectricity_Backend[[#This Row],[Converted data]]/1000)</f>
        <v/>
      </c>
      <c r="AL37" s="220" t="str">
        <f>IF(Buildings_GridElectricity_Frontend[[#This Row],[Data]]="","",SUM(Buildings_GridElectricity_Backend[[#This Row],[Scope 1 (tCO2e)]:[Scope 3 WTT T&amp;D (tCO2e)]]))</f>
        <v/>
      </c>
      <c r="AM37" s="220" t="str">
        <f>IF(Buildings_GridElectricity_Frontend[[#This Row],[Data]]="","",Buildings_GridElectricity_Backend[[#This Row],[Total (tCO2e)]]*(1-Buildings_GridElectricity_Backend[[#This Row],[RSD]]))</f>
        <v/>
      </c>
      <c r="AN37" s="220" t="str">
        <f>IF(Buildings_GridElectricity_Frontend[[#This Row],[Data]]="","",Buildings_GridElectricity_Backend[[#This Row],[Total (tCO2e)]]*(1+Buildings_GridElectricity_Backend[[#This Row],[RSD]]))</f>
        <v/>
      </c>
      <c r="AO37" s="210" t="str">
        <f>IF(Buildings_GridElectricity_Frontend[[#This Row],[Data]]="","",_xlfn.XLOOKUP(_xlfn.CONCAT(Buildings_GridElectricity_Backend[[#This Row],[Level 1]:[Level 6]]),rng_EFConcat,rng_EFOOS)*Buildings_GridElectricity_Backend[[#This Row],[Converted data]]/1000)</f>
        <v/>
      </c>
      <c r="AP37" s="174">
        <f>Buildings_GridElectricity_Frontend[[#This Row],[Ease of collection]]</f>
        <v>0</v>
      </c>
      <c r="AQ37" s="213">
        <f>Buildings_GridElectricity_Frontend[[#This Row],[Completeness]]</f>
        <v>0</v>
      </c>
      <c r="AR37" s="220">
        <f>Buildings_GridElectricity_Frontend[[#This Row],[Notes]]</f>
        <v>0</v>
      </c>
    </row>
    <row r="38" spans="2:44" x14ac:dyDescent="0.3">
      <c r="B38" s="455"/>
      <c r="E38" s="346"/>
      <c r="F38" s="449"/>
      <c r="G38" s="336"/>
      <c r="H38" s="334"/>
      <c r="I38" s="172" t="s">
        <v>316</v>
      </c>
      <c r="J38" s="337"/>
      <c r="K38" s="336"/>
      <c r="L38" s="336"/>
      <c r="M38" s="337"/>
      <c r="N38" s="242">
        <f t="shared" si="3"/>
        <v>3</v>
      </c>
      <c r="Q38" s="212" t="str">
        <f t="shared" si="2"/>
        <v/>
      </c>
      <c r="R38" s="174" t="s">
        <v>265</v>
      </c>
      <c r="S38" s="174" t="s">
        <v>273</v>
      </c>
      <c r="T38" s="174" t="str">
        <f>_xlfn.XLOOKUP(Buildings_GridElectricity_Backend[[#This Row],[Info 1]],Buildings_SiteInfo[Site name],Buildings_SiteInfo[Site type], "")</f>
        <v/>
      </c>
      <c r="U38" s="174" t="s">
        <v>281</v>
      </c>
      <c r="V38" s="174" t="str" cm="1">
        <f t="array" aca="1" ref="V38" ca="1">_xlfn.XLOOKUP(Buildings_GridElectricity_Backend[[#This Row],[Level 4]],rng_Level4Long,rng_Level5Long)</f>
        <v>Electricity</v>
      </c>
      <c r="W38" s="174" t="str" cm="1">
        <f t="array" aca="1" ref="W38" ca="1">_xlfn.XLOOKUP(Buildings_GridElectricity_Backend[[#This Row],[Level 4]],rng_Level4Long,rng_Level6Long)</f>
        <v>NaN</v>
      </c>
      <c r="X38" s="174">
        <f>Buildings_GridElectricity_Frontend[[#This Row],[Site Name]]</f>
        <v>0</v>
      </c>
      <c r="Y38" s="174">
        <f>Buildings_GridElectricity_Frontend[[#This Row],[Contracting]]</f>
        <v>0</v>
      </c>
      <c r="Z38" s="174">
        <f>Buildings_GridElectricity_Frontend[[#This Row],[Methodology]]</f>
        <v>0</v>
      </c>
      <c r="AA38" s="229" t="str" cm="1">
        <f t="array" ref="AA38">IF(Buildings_GridElectricity_Frontend[[#This Row],[Data]]="","",INDEX(_xlfn.SWITCH(Buildings_GridElectricity_Backend[[#This Row],[Methodology]],"Tier 1",rng_RSD1,"Tier 2",rng_RSD2,"Tier 3",rng_RSD3),MATCH(_xlfn.CONCAT(Buildings_GridElectricity_Backend[[#This Row],[Level 1]:[Level 6]]),rng_LevelsConcat,0)))</f>
        <v/>
      </c>
      <c r="AB38" s="220">
        <f>Buildings_GridElectricity_Frontend[[#This Row],[Data]]</f>
        <v>0</v>
      </c>
      <c r="AC38" s="174" t="str">
        <f>Buildings_GridElectricity_Frontend[[#This Row],[Units]]</f>
        <v>kWh</v>
      </c>
      <c r="AD38" s="218">
        <f>Buildings_GridElectricity_Frontend[[#This Row],[Data]]</f>
        <v>0</v>
      </c>
      <c r="AE38" s="174" t="str">
        <f>Buildings_GridElectricity_Frontend[[#This Row],[Units]]</f>
        <v>kWh</v>
      </c>
      <c r="AF38" s="210" t="str">
        <f>IF(Buildings_GridElectricity_Frontend[[#This Row],[Data]]="","",_xlfn.XLOOKUP(_xlfn.CONCAT(Buildings_GridElectricity_Backend[[#This Row],[Level 1]:[Level 6]]),rng_EFConcat,rng_EF1)*Buildings_GridElectricity_Backend[[#This Row],[Converted data]]/1000)</f>
        <v/>
      </c>
      <c r="AG38" s="210" t="str">
        <f>IF(Buildings_GridElectricity_Frontend[[#This Row],[Data]]="","",_xlfn.XLOOKUP(_xlfn.CONCAT(Buildings_GridElectricity_Backend[[#This Row],[Level 1]:[Level 6]]),rng_EFConcat,rng_EF2)*Buildings_GridElectricity_Backend[[#This Row],[Converted data]]/1000)</f>
        <v/>
      </c>
      <c r="AH38" s="210" t="str">
        <f>IF(Buildings_GridElectricity_Frontend[[#This Row],[Data]]="","",_xlfn.XLOOKUP(_xlfn.CONCAT(Buildings_GridElectricity_Backend[[#This Row],[Level 1]:[Level 6]]),rng_EFConcat,rng_EF3)*Buildings_GridElectricity_Backend[[#This Row],[Converted data]]/1000)</f>
        <v/>
      </c>
      <c r="AI38" s="210" t="str">
        <f>IF(Buildings_GridElectricity_Frontend[[#This Row],[Data]]="","",_xlfn.XLOOKUP(_xlfn.CONCAT(Buildings_GridElectricity_Backend[[#This Row],[Level 1]:[Level 6]]),rng_EFConcat,rng_EF3WTT)*Buildings_GridElectricity_Backend[[#This Row],[Converted data]]/1000)</f>
        <v/>
      </c>
      <c r="AJ38" s="210" t="str">
        <f>IF(Buildings_GridElectricity_Frontend[[#This Row],[Data]]="","",_xlfn.XLOOKUP(_xlfn.CONCAT(Buildings_GridElectricity_Backend[[#This Row],[Level 1]:[Level 6]]),rng_EFConcat,rng_EF3TD)*Buildings_GridElectricity_Backend[[#This Row],[Converted data]]/1000)</f>
        <v/>
      </c>
      <c r="AK38" s="210" t="str">
        <f>IF(Buildings_GridElectricity_Frontend[[#This Row],[Data]]="","",_xlfn.XLOOKUP(_xlfn.CONCAT(Buildings_GridElectricity_Backend[[#This Row],[Level 1]:[Level 6]]),rng_EFConcat,rng_EF3WTTTD)*Buildings_GridElectricity_Backend[[#This Row],[Converted data]]/1000)</f>
        <v/>
      </c>
      <c r="AL38" s="220" t="str">
        <f>IF(Buildings_GridElectricity_Frontend[[#This Row],[Data]]="","",SUM(Buildings_GridElectricity_Backend[[#This Row],[Scope 1 (tCO2e)]:[Scope 3 WTT T&amp;D (tCO2e)]]))</f>
        <v/>
      </c>
      <c r="AM38" s="220" t="str">
        <f>IF(Buildings_GridElectricity_Frontend[[#This Row],[Data]]="","",Buildings_GridElectricity_Backend[[#This Row],[Total (tCO2e)]]*(1-Buildings_GridElectricity_Backend[[#This Row],[RSD]]))</f>
        <v/>
      </c>
      <c r="AN38" s="220" t="str">
        <f>IF(Buildings_GridElectricity_Frontend[[#This Row],[Data]]="","",Buildings_GridElectricity_Backend[[#This Row],[Total (tCO2e)]]*(1+Buildings_GridElectricity_Backend[[#This Row],[RSD]]))</f>
        <v/>
      </c>
      <c r="AO38" s="210" t="str">
        <f>IF(Buildings_GridElectricity_Frontend[[#This Row],[Data]]="","",_xlfn.XLOOKUP(_xlfn.CONCAT(Buildings_GridElectricity_Backend[[#This Row],[Level 1]:[Level 6]]),rng_EFConcat,rng_EFOOS)*Buildings_GridElectricity_Backend[[#This Row],[Converted data]]/1000)</f>
        <v/>
      </c>
      <c r="AP38" s="174">
        <f>Buildings_GridElectricity_Frontend[[#This Row],[Ease of collection]]</f>
        <v>0</v>
      </c>
      <c r="AQ38" s="213">
        <f>Buildings_GridElectricity_Frontend[[#This Row],[Completeness]]</f>
        <v>0</v>
      </c>
      <c r="AR38" s="220">
        <f>Buildings_GridElectricity_Frontend[[#This Row],[Notes]]</f>
        <v>0</v>
      </c>
    </row>
    <row r="39" spans="2:44" x14ac:dyDescent="0.3">
      <c r="B39" s="455"/>
      <c r="E39" s="346"/>
      <c r="F39" s="449"/>
      <c r="G39" s="336"/>
      <c r="H39" s="334"/>
      <c r="I39" s="172" t="s">
        <v>316</v>
      </c>
      <c r="J39" s="337"/>
      <c r="K39" s="336"/>
      <c r="L39" s="336"/>
      <c r="M39" s="337"/>
      <c r="N39" s="242">
        <f t="shared" si="3"/>
        <v>3</v>
      </c>
      <c r="Q39" s="212" t="str">
        <f t="shared" si="2"/>
        <v/>
      </c>
      <c r="R39" s="174" t="s">
        <v>265</v>
      </c>
      <c r="S39" s="174" t="s">
        <v>273</v>
      </c>
      <c r="T39" s="174" t="str">
        <f>_xlfn.XLOOKUP(Buildings_GridElectricity_Backend[[#This Row],[Info 1]],Buildings_SiteInfo[Site name],Buildings_SiteInfo[Site type], "")</f>
        <v/>
      </c>
      <c r="U39" s="174" t="s">
        <v>281</v>
      </c>
      <c r="V39" s="174" t="str" cm="1">
        <f t="array" aca="1" ref="V39" ca="1">_xlfn.XLOOKUP(Buildings_GridElectricity_Backend[[#This Row],[Level 4]],rng_Level4Long,rng_Level5Long)</f>
        <v>Electricity</v>
      </c>
      <c r="W39" s="174" t="str" cm="1">
        <f t="array" aca="1" ref="W39" ca="1">_xlfn.XLOOKUP(Buildings_GridElectricity_Backend[[#This Row],[Level 4]],rng_Level4Long,rng_Level6Long)</f>
        <v>NaN</v>
      </c>
      <c r="X39" s="174">
        <f>Buildings_GridElectricity_Frontend[[#This Row],[Site Name]]</f>
        <v>0</v>
      </c>
      <c r="Y39" s="174">
        <f>Buildings_GridElectricity_Frontend[[#This Row],[Contracting]]</f>
        <v>0</v>
      </c>
      <c r="Z39" s="174">
        <f>Buildings_GridElectricity_Frontend[[#This Row],[Methodology]]</f>
        <v>0</v>
      </c>
      <c r="AA39" s="229" t="str" cm="1">
        <f t="array" ref="AA39">IF(Buildings_GridElectricity_Frontend[[#This Row],[Data]]="","",INDEX(_xlfn.SWITCH(Buildings_GridElectricity_Backend[[#This Row],[Methodology]],"Tier 1",rng_RSD1,"Tier 2",rng_RSD2,"Tier 3",rng_RSD3),MATCH(_xlfn.CONCAT(Buildings_GridElectricity_Backend[[#This Row],[Level 1]:[Level 6]]),rng_LevelsConcat,0)))</f>
        <v/>
      </c>
      <c r="AB39" s="220">
        <f>Buildings_GridElectricity_Frontend[[#This Row],[Data]]</f>
        <v>0</v>
      </c>
      <c r="AC39" s="174" t="str">
        <f>Buildings_GridElectricity_Frontend[[#This Row],[Units]]</f>
        <v>kWh</v>
      </c>
      <c r="AD39" s="218">
        <f>Buildings_GridElectricity_Frontend[[#This Row],[Data]]</f>
        <v>0</v>
      </c>
      <c r="AE39" s="174" t="str">
        <f>Buildings_GridElectricity_Frontend[[#This Row],[Units]]</f>
        <v>kWh</v>
      </c>
      <c r="AF39" s="210" t="str">
        <f>IF(Buildings_GridElectricity_Frontend[[#This Row],[Data]]="","",_xlfn.XLOOKUP(_xlfn.CONCAT(Buildings_GridElectricity_Backend[[#This Row],[Level 1]:[Level 6]]),rng_EFConcat,rng_EF1)*Buildings_GridElectricity_Backend[[#This Row],[Converted data]]/1000)</f>
        <v/>
      </c>
      <c r="AG39" s="210" t="str">
        <f>IF(Buildings_GridElectricity_Frontend[[#This Row],[Data]]="","",_xlfn.XLOOKUP(_xlfn.CONCAT(Buildings_GridElectricity_Backend[[#This Row],[Level 1]:[Level 6]]),rng_EFConcat,rng_EF2)*Buildings_GridElectricity_Backend[[#This Row],[Converted data]]/1000)</f>
        <v/>
      </c>
      <c r="AH39" s="210" t="str">
        <f>IF(Buildings_GridElectricity_Frontend[[#This Row],[Data]]="","",_xlfn.XLOOKUP(_xlfn.CONCAT(Buildings_GridElectricity_Backend[[#This Row],[Level 1]:[Level 6]]),rng_EFConcat,rng_EF3)*Buildings_GridElectricity_Backend[[#This Row],[Converted data]]/1000)</f>
        <v/>
      </c>
      <c r="AI39" s="210" t="str">
        <f>IF(Buildings_GridElectricity_Frontend[[#This Row],[Data]]="","",_xlfn.XLOOKUP(_xlfn.CONCAT(Buildings_GridElectricity_Backend[[#This Row],[Level 1]:[Level 6]]),rng_EFConcat,rng_EF3WTT)*Buildings_GridElectricity_Backend[[#This Row],[Converted data]]/1000)</f>
        <v/>
      </c>
      <c r="AJ39" s="210" t="str">
        <f>IF(Buildings_GridElectricity_Frontend[[#This Row],[Data]]="","",_xlfn.XLOOKUP(_xlfn.CONCAT(Buildings_GridElectricity_Backend[[#This Row],[Level 1]:[Level 6]]),rng_EFConcat,rng_EF3TD)*Buildings_GridElectricity_Backend[[#This Row],[Converted data]]/1000)</f>
        <v/>
      </c>
      <c r="AK39" s="210" t="str">
        <f>IF(Buildings_GridElectricity_Frontend[[#This Row],[Data]]="","",_xlfn.XLOOKUP(_xlfn.CONCAT(Buildings_GridElectricity_Backend[[#This Row],[Level 1]:[Level 6]]),rng_EFConcat,rng_EF3WTTTD)*Buildings_GridElectricity_Backend[[#This Row],[Converted data]]/1000)</f>
        <v/>
      </c>
      <c r="AL39" s="220" t="str">
        <f>IF(Buildings_GridElectricity_Frontend[[#This Row],[Data]]="","",SUM(Buildings_GridElectricity_Backend[[#This Row],[Scope 1 (tCO2e)]:[Scope 3 WTT T&amp;D (tCO2e)]]))</f>
        <v/>
      </c>
      <c r="AM39" s="220" t="str">
        <f>IF(Buildings_GridElectricity_Frontend[[#This Row],[Data]]="","",Buildings_GridElectricity_Backend[[#This Row],[Total (tCO2e)]]*(1-Buildings_GridElectricity_Backend[[#This Row],[RSD]]))</f>
        <v/>
      </c>
      <c r="AN39" s="220" t="str">
        <f>IF(Buildings_GridElectricity_Frontend[[#This Row],[Data]]="","",Buildings_GridElectricity_Backend[[#This Row],[Total (tCO2e)]]*(1+Buildings_GridElectricity_Backend[[#This Row],[RSD]]))</f>
        <v/>
      </c>
      <c r="AO39" s="210" t="str">
        <f>IF(Buildings_GridElectricity_Frontend[[#This Row],[Data]]="","",_xlfn.XLOOKUP(_xlfn.CONCAT(Buildings_GridElectricity_Backend[[#This Row],[Level 1]:[Level 6]]),rng_EFConcat,rng_EFOOS)*Buildings_GridElectricity_Backend[[#This Row],[Converted data]]/1000)</f>
        <v/>
      </c>
      <c r="AP39" s="174">
        <f>Buildings_GridElectricity_Frontend[[#This Row],[Ease of collection]]</f>
        <v>0</v>
      </c>
      <c r="AQ39" s="213">
        <f>Buildings_GridElectricity_Frontend[[#This Row],[Completeness]]</f>
        <v>0</v>
      </c>
      <c r="AR39" s="220">
        <f>Buildings_GridElectricity_Frontend[[#This Row],[Notes]]</f>
        <v>0</v>
      </c>
    </row>
    <row r="40" spans="2:44" x14ac:dyDescent="0.3">
      <c r="B40" s="455"/>
      <c r="E40" s="346"/>
      <c r="F40" s="449"/>
      <c r="G40" s="336"/>
      <c r="H40" s="334"/>
      <c r="I40" s="172" t="s">
        <v>316</v>
      </c>
      <c r="J40" s="337"/>
      <c r="K40" s="336"/>
      <c r="L40" s="336"/>
      <c r="M40" s="337"/>
      <c r="N40" s="242">
        <f t="shared" si="3"/>
        <v>3</v>
      </c>
      <c r="Q40" s="212" t="str">
        <f t="shared" si="2"/>
        <v/>
      </c>
      <c r="R40" s="174" t="s">
        <v>265</v>
      </c>
      <c r="S40" s="174" t="s">
        <v>273</v>
      </c>
      <c r="T40" s="174" t="str">
        <f>_xlfn.XLOOKUP(Buildings_GridElectricity_Backend[[#This Row],[Info 1]],Buildings_SiteInfo[Site name],Buildings_SiteInfo[Site type], "")</f>
        <v/>
      </c>
      <c r="U40" s="174" t="s">
        <v>281</v>
      </c>
      <c r="V40" s="174" t="str" cm="1">
        <f t="array" aca="1" ref="V40" ca="1">_xlfn.XLOOKUP(Buildings_GridElectricity_Backend[[#This Row],[Level 4]],rng_Level4Long,rng_Level5Long)</f>
        <v>Electricity</v>
      </c>
      <c r="W40" s="174" t="str" cm="1">
        <f t="array" aca="1" ref="W40" ca="1">_xlfn.XLOOKUP(Buildings_GridElectricity_Backend[[#This Row],[Level 4]],rng_Level4Long,rng_Level6Long)</f>
        <v>NaN</v>
      </c>
      <c r="X40" s="174">
        <f>Buildings_GridElectricity_Frontend[[#This Row],[Site Name]]</f>
        <v>0</v>
      </c>
      <c r="Y40" s="174">
        <f>Buildings_GridElectricity_Frontend[[#This Row],[Contracting]]</f>
        <v>0</v>
      </c>
      <c r="Z40" s="174">
        <f>Buildings_GridElectricity_Frontend[[#This Row],[Methodology]]</f>
        <v>0</v>
      </c>
      <c r="AA40" s="229" t="str" cm="1">
        <f t="array" ref="AA40">IF(Buildings_GridElectricity_Frontend[[#This Row],[Data]]="","",INDEX(_xlfn.SWITCH(Buildings_GridElectricity_Backend[[#This Row],[Methodology]],"Tier 1",rng_RSD1,"Tier 2",rng_RSD2,"Tier 3",rng_RSD3),MATCH(_xlfn.CONCAT(Buildings_GridElectricity_Backend[[#This Row],[Level 1]:[Level 6]]),rng_LevelsConcat,0)))</f>
        <v/>
      </c>
      <c r="AB40" s="220">
        <f>Buildings_GridElectricity_Frontend[[#This Row],[Data]]</f>
        <v>0</v>
      </c>
      <c r="AC40" s="174" t="str">
        <f>Buildings_GridElectricity_Frontend[[#This Row],[Units]]</f>
        <v>kWh</v>
      </c>
      <c r="AD40" s="218">
        <f>Buildings_GridElectricity_Frontend[[#This Row],[Data]]</f>
        <v>0</v>
      </c>
      <c r="AE40" s="174" t="str">
        <f>Buildings_GridElectricity_Frontend[[#This Row],[Units]]</f>
        <v>kWh</v>
      </c>
      <c r="AF40" s="210" t="str">
        <f>IF(Buildings_GridElectricity_Frontend[[#This Row],[Data]]="","",_xlfn.XLOOKUP(_xlfn.CONCAT(Buildings_GridElectricity_Backend[[#This Row],[Level 1]:[Level 6]]),rng_EFConcat,rng_EF1)*Buildings_GridElectricity_Backend[[#This Row],[Converted data]]/1000)</f>
        <v/>
      </c>
      <c r="AG40" s="210" t="str">
        <f>IF(Buildings_GridElectricity_Frontend[[#This Row],[Data]]="","",_xlfn.XLOOKUP(_xlfn.CONCAT(Buildings_GridElectricity_Backend[[#This Row],[Level 1]:[Level 6]]),rng_EFConcat,rng_EF2)*Buildings_GridElectricity_Backend[[#This Row],[Converted data]]/1000)</f>
        <v/>
      </c>
      <c r="AH40" s="210" t="str">
        <f>IF(Buildings_GridElectricity_Frontend[[#This Row],[Data]]="","",_xlfn.XLOOKUP(_xlfn.CONCAT(Buildings_GridElectricity_Backend[[#This Row],[Level 1]:[Level 6]]),rng_EFConcat,rng_EF3)*Buildings_GridElectricity_Backend[[#This Row],[Converted data]]/1000)</f>
        <v/>
      </c>
      <c r="AI40" s="210" t="str">
        <f>IF(Buildings_GridElectricity_Frontend[[#This Row],[Data]]="","",_xlfn.XLOOKUP(_xlfn.CONCAT(Buildings_GridElectricity_Backend[[#This Row],[Level 1]:[Level 6]]),rng_EFConcat,rng_EF3WTT)*Buildings_GridElectricity_Backend[[#This Row],[Converted data]]/1000)</f>
        <v/>
      </c>
      <c r="AJ40" s="210" t="str">
        <f>IF(Buildings_GridElectricity_Frontend[[#This Row],[Data]]="","",_xlfn.XLOOKUP(_xlfn.CONCAT(Buildings_GridElectricity_Backend[[#This Row],[Level 1]:[Level 6]]),rng_EFConcat,rng_EF3TD)*Buildings_GridElectricity_Backend[[#This Row],[Converted data]]/1000)</f>
        <v/>
      </c>
      <c r="AK40" s="210" t="str">
        <f>IF(Buildings_GridElectricity_Frontend[[#This Row],[Data]]="","",_xlfn.XLOOKUP(_xlfn.CONCAT(Buildings_GridElectricity_Backend[[#This Row],[Level 1]:[Level 6]]),rng_EFConcat,rng_EF3WTTTD)*Buildings_GridElectricity_Backend[[#This Row],[Converted data]]/1000)</f>
        <v/>
      </c>
      <c r="AL40" s="220" t="str">
        <f>IF(Buildings_GridElectricity_Frontend[[#This Row],[Data]]="","",SUM(Buildings_GridElectricity_Backend[[#This Row],[Scope 1 (tCO2e)]:[Scope 3 WTT T&amp;D (tCO2e)]]))</f>
        <v/>
      </c>
      <c r="AM40" s="220" t="str">
        <f>IF(Buildings_GridElectricity_Frontend[[#This Row],[Data]]="","",Buildings_GridElectricity_Backend[[#This Row],[Total (tCO2e)]]*(1-Buildings_GridElectricity_Backend[[#This Row],[RSD]]))</f>
        <v/>
      </c>
      <c r="AN40" s="220" t="str">
        <f>IF(Buildings_GridElectricity_Frontend[[#This Row],[Data]]="","",Buildings_GridElectricity_Backend[[#This Row],[Total (tCO2e)]]*(1+Buildings_GridElectricity_Backend[[#This Row],[RSD]]))</f>
        <v/>
      </c>
      <c r="AO40" s="210" t="str">
        <f>IF(Buildings_GridElectricity_Frontend[[#This Row],[Data]]="","",_xlfn.XLOOKUP(_xlfn.CONCAT(Buildings_GridElectricity_Backend[[#This Row],[Level 1]:[Level 6]]),rng_EFConcat,rng_EFOOS)*Buildings_GridElectricity_Backend[[#This Row],[Converted data]]/1000)</f>
        <v/>
      </c>
      <c r="AP40" s="174">
        <f>Buildings_GridElectricity_Frontend[[#This Row],[Ease of collection]]</f>
        <v>0</v>
      </c>
      <c r="AQ40" s="213">
        <f>Buildings_GridElectricity_Frontend[[#This Row],[Completeness]]</f>
        <v>0</v>
      </c>
      <c r="AR40" s="220">
        <f>Buildings_GridElectricity_Frontend[[#This Row],[Notes]]</f>
        <v>0</v>
      </c>
    </row>
    <row r="41" spans="2:44" x14ac:dyDescent="0.3">
      <c r="B41" s="455"/>
      <c r="E41" s="346"/>
      <c r="F41" s="449"/>
      <c r="G41" s="336"/>
      <c r="H41" s="334"/>
      <c r="I41" s="172" t="s">
        <v>316</v>
      </c>
      <c r="J41" s="337"/>
      <c r="K41" s="336"/>
      <c r="L41" s="336"/>
      <c r="M41" s="337"/>
      <c r="N41" s="242">
        <f t="shared" si="3"/>
        <v>3</v>
      </c>
      <c r="Q41" s="212" t="str">
        <f t="shared" si="2"/>
        <v/>
      </c>
      <c r="R41" s="174" t="s">
        <v>265</v>
      </c>
      <c r="S41" s="174" t="s">
        <v>273</v>
      </c>
      <c r="T41" s="174" t="str">
        <f>_xlfn.XLOOKUP(Buildings_GridElectricity_Backend[[#This Row],[Info 1]],Buildings_SiteInfo[Site name],Buildings_SiteInfo[Site type], "")</f>
        <v/>
      </c>
      <c r="U41" s="174" t="s">
        <v>281</v>
      </c>
      <c r="V41" s="174" t="str" cm="1">
        <f t="array" aca="1" ref="V41" ca="1">_xlfn.XLOOKUP(Buildings_GridElectricity_Backend[[#This Row],[Level 4]],rng_Level4Long,rng_Level5Long)</f>
        <v>Electricity</v>
      </c>
      <c r="W41" s="174" t="str" cm="1">
        <f t="array" aca="1" ref="W41" ca="1">_xlfn.XLOOKUP(Buildings_GridElectricity_Backend[[#This Row],[Level 4]],rng_Level4Long,rng_Level6Long)</f>
        <v>NaN</v>
      </c>
      <c r="X41" s="174">
        <f>Buildings_GridElectricity_Frontend[[#This Row],[Site Name]]</f>
        <v>0</v>
      </c>
      <c r="Y41" s="174">
        <f>Buildings_GridElectricity_Frontend[[#This Row],[Contracting]]</f>
        <v>0</v>
      </c>
      <c r="Z41" s="174">
        <f>Buildings_GridElectricity_Frontend[[#This Row],[Methodology]]</f>
        <v>0</v>
      </c>
      <c r="AA41" s="229" t="str" cm="1">
        <f t="array" ref="AA41">IF(Buildings_GridElectricity_Frontend[[#This Row],[Data]]="","",INDEX(_xlfn.SWITCH(Buildings_GridElectricity_Backend[[#This Row],[Methodology]],"Tier 1",rng_RSD1,"Tier 2",rng_RSD2,"Tier 3",rng_RSD3),MATCH(_xlfn.CONCAT(Buildings_GridElectricity_Backend[[#This Row],[Level 1]:[Level 6]]),rng_LevelsConcat,0)))</f>
        <v/>
      </c>
      <c r="AB41" s="220">
        <f>Buildings_GridElectricity_Frontend[[#This Row],[Data]]</f>
        <v>0</v>
      </c>
      <c r="AC41" s="174" t="str">
        <f>Buildings_GridElectricity_Frontend[[#This Row],[Units]]</f>
        <v>kWh</v>
      </c>
      <c r="AD41" s="218">
        <f>Buildings_GridElectricity_Frontend[[#This Row],[Data]]</f>
        <v>0</v>
      </c>
      <c r="AE41" s="174" t="str">
        <f>Buildings_GridElectricity_Frontend[[#This Row],[Units]]</f>
        <v>kWh</v>
      </c>
      <c r="AF41" s="210" t="str">
        <f>IF(Buildings_GridElectricity_Frontend[[#This Row],[Data]]="","",_xlfn.XLOOKUP(_xlfn.CONCAT(Buildings_GridElectricity_Backend[[#This Row],[Level 1]:[Level 6]]),rng_EFConcat,rng_EF1)*Buildings_GridElectricity_Backend[[#This Row],[Converted data]]/1000)</f>
        <v/>
      </c>
      <c r="AG41" s="210" t="str">
        <f>IF(Buildings_GridElectricity_Frontend[[#This Row],[Data]]="","",_xlfn.XLOOKUP(_xlfn.CONCAT(Buildings_GridElectricity_Backend[[#This Row],[Level 1]:[Level 6]]),rng_EFConcat,rng_EF2)*Buildings_GridElectricity_Backend[[#This Row],[Converted data]]/1000)</f>
        <v/>
      </c>
      <c r="AH41" s="210" t="str">
        <f>IF(Buildings_GridElectricity_Frontend[[#This Row],[Data]]="","",_xlfn.XLOOKUP(_xlfn.CONCAT(Buildings_GridElectricity_Backend[[#This Row],[Level 1]:[Level 6]]),rng_EFConcat,rng_EF3)*Buildings_GridElectricity_Backend[[#This Row],[Converted data]]/1000)</f>
        <v/>
      </c>
      <c r="AI41" s="210" t="str">
        <f>IF(Buildings_GridElectricity_Frontend[[#This Row],[Data]]="","",_xlfn.XLOOKUP(_xlfn.CONCAT(Buildings_GridElectricity_Backend[[#This Row],[Level 1]:[Level 6]]),rng_EFConcat,rng_EF3WTT)*Buildings_GridElectricity_Backend[[#This Row],[Converted data]]/1000)</f>
        <v/>
      </c>
      <c r="AJ41" s="210" t="str">
        <f>IF(Buildings_GridElectricity_Frontend[[#This Row],[Data]]="","",_xlfn.XLOOKUP(_xlfn.CONCAT(Buildings_GridElectricity_Backend[[#This Row],[Level 1]:[Level 6]]),rng_EFConcat,rng_EF3TD)*Buildings_GridElectricity_Backend[[#This Row],[Converted data]]/1000)</f>
        <v/>
      </c>
      <c r="AK41" s="210" t="str">
        <f>IF(Buildings_GridElectricity_Frontend[[#This Row],[Data]]="","",_xlfn.XLOOKUP(_xlfn.CONCAT(Buildings_GridElectricity_Backend[[#This Row],[Level 1]:[Level 6]]),rng_EFConcat,rng_EF3WTTTD)*Buildings_GridElectricity_Backend[[#This Row],[Converted data]]/1000)</f>
        <v/>
      </c>
      <c r="AL41" s="220" t="str">
        <f>IF(Buildings_GridElectricity_Frontend[[#This Row],[Data]]="","",SUM(Buildings_GridElectricity_Backend[[#This Row],[Scope 1 (tCO2e)]:[Scope 3 WTT T&amp;D (tCO2e)]]))</f>
        <v/>
      </c>
      <c r="AM41" s="220" t="str">
        <f>IF(Buildings_GridElectricity_Frontend[[#This Row],[Data]]="","",Buildings_GridElectricity_Backend[[#This Row],[Total (tCO2e)]]*(1-Buildings_GridElectricity_Backend[[#This Row],[RSD]]))</f>
        <v/>
      </c>
      <c r="AN41" s="220" t="str">
        <f>IF(Buildings_GridElectricity_Frontend[[#This Row],[Data]]="","",Buildings_GridElectricity_Backend[[#This Row],[Total (tCO2e)]]*(1+Buildings_GridElectricity_Backend[[#This Row],[RSD]]))</f>
        <v/>
      </c>
      <c r="AO41" s="210" t="str">
        <f>IF(Buildings_GridElectricity_Frontend[[#This Row],[Data]]="","",_xlfn.XLOOKUP(_xlfn.CONCAT(Buildings_GridElectricity_Backend[[#This Row],[Level 1]:[Level 6]]),rng_EFConcat,rng_EFOOS)*Buildings_GridElectricity_Backend[[#This Row],[Converted data]]/1000)</f>
        <v/>
      </c>
      <c r="AP41" s="174">
        <f>Buildings_GridElectricity_Frontend[[#This Row],[Ease of collection]]</f>
        <v>0</v>
      </c>
      <c r="AQ41" s="213">
        <f>Buildings_GridElectricity_Frontend[[#This Row],[Completeness]]</f>
        <v>0</v>
      </c>
      <c r="AR41" s="220">
        <f>Buildings_GridElectricity_Frontend[[#This Row],[Notes]]</f>
        <v>0</v>
      </c>
    </row>
    <row r="42" spans="2:44" x14ac:dyDescent="0.3">
      <c r="B42" s="455"/>
      <c r="E42" s="346"/>
      <c r="F42" s="449"/>
      <c r="G42" s="336"/>
      <c r="H42" s="334"/>
      <c r="I42" s="172" t="s">
        <v>316</v>
      </c>
      <c r="J42" s="337"/>
      <c r="K42" s="336"/>
      <c r="L42" s="336"/>
      <c r="M42" s="337"/>
      <c r="N42" s="242">
        <f t="shared" si="3"/>
        <v>3</v>
      </c>
      <c r="Q42" s="212" t="str">
        <f t="shared" si="2"/>
        <v/>
      </c>
      <c r="R42" s="174" t="s">
        <v>265</v>
      </c>
      <c r="S42" s="174" t="s">
        <v>273</v>
      </c>
      <c r="T42" s="174" t="str">
        <f>_xlfn.XLOOKUP(Buildings_GridElectricity_Backend[[#This Row],[Info 1]],Buildings_SiteInfo[Site name],Buildings_SiteInfo[Site type], "")</f>
        <v/>
      </c>
      <c r="U42" s="174" t="s">
        <v>281</v>
      </c>
      <c r="V42" s="174" t="str" cm="1">
        <f t="array" aca="1" ref="V42" ca="1">_xlfn.XLOOKUP(Buildings_GridElectricity_Backend[[#This Row],[Level 4]],rng_Level4Long,rng_Level5Long)</f>
        <v>Electricity</v>
      </c>
      <c r="W42" s="174" t="str" cm="1">
        <f t="array" aca="1" ref="W42" ca="1">_xlfn.XLOOKUP(Buildings_GridElectricity_Backend[[#This Row],[Level 4]],rng_Level4Long,rng_Level6Long)</f>
        <v>NaN</v>
      </c>
      <c r="X42" s="174">
        <f>Buildings_GridElectricity_Frontend[[#This Row],[Site Name]]</f>
        <v>0</v>
      </c>
      <c r="Y42" s="174">
        <f>Buildings_GridElectricity_Frontend[[#This Row],[Contracting]]</f>
        <v>0</v>
      </c>
      <c r="Z42" s="174">
        <f>Buildings_GridElectricity_Frontend[[#This Row],[Methodology]]</f>
        <v>0</v>
      </c>
      <c r="AA42" s="229" t="str" cm="1">
        <f t="array" ref="AA42">IF(Buildings_GridElectricity_Frontend[[#This Row],[Data]]="","",INDEX(_xlfn.SWITCH(Buildings_GridElectricity_Backend[[#This Row],[Methodology]],"Tier 1",rng_RSD1,"Tier 2",rng_RSD2,"Tier 3",rng_RSD3),MATCH(_xlfn.CONCAT(Buildings_GridElectricity_Backend[[#This Row],[Level 1]:[Level 6]]),rng_LevelsConcat,0)))</f>
        <v/>
      </c>
      <c r="AB42" s="220">
        <f>Buildings_GridElectricity_Frontend[[#This Row],[Data]]</f>
        <v>0</v>
      </c>
      <c r="AC42" s="174" t="str">
        <f>Buildings_GridElectricity_Frontend[[#This Row],[Units]]</f>
        <v>kWh</v>
      </c>
      <c r="AD42" s="218">
        <f>Buildings_GridElectricity_Frontend[[#This Row],[Data]]</f>
        <v>0</v>
      </c>
      <c r="AE42" s="174" t="str">
        <f>Buildings_GridElectricity_Frontend[[#This Row],[Units]]</f>
        <v>kWh</v>
      </c>
      <c r="AF42" s="210" t="str">
        <f>IF(Buildings_GridElectricity_Frontend[[#This Row],[Data]]="","",_xlfn.XLOOKUP(_xlfn.CONCAT(Buildings_GridElectricity_Backend[[#This Row],[Level 1]:[Level 6]]),rng_EFConcat,rng_EF1)*Buildings_GridElectricity_Backend[[#This Row],[Converted data]]/1000)</f>
        <v/>
      </c>
      <c r="AG42" s="210" t="str">
        <f>IF(Buildings_GridElectricity_Frontend[[#This Row],[Data]]="","",_xlfn.XLOOKUP(_xlfn.CONCAT(Buildings_GridElectricity_Backend[[#This Row],[Level 1]:[Level 6]]),rng_EFConcat,rng_EF2)*Buildings_GridElectricity_Backend[[#This Row],[Converted data]]/1000)</f>
        <v/>
      </c>
      <c r="AH42" s="210" t="str">
        <f>IF(Buildings_GridElectricity_Frontend[[#This Row],[Data]]="","",_xlfn.XLOOKUP(_xlfn.CONCAT(Buildings_GridElectricity_Backend[[#This Row],[Level 1]:[Level 6]]),rng_EFConcat,rng_EF3)*Buildings_GridElectricity_Backend[[#This Row],[Converted data]]/1000)</f>
        <v/>
      </c>
      <c r="AI42" s="210" t="str">
        <f>IF(Buildings_GridElectricity_Frontend[[#This Row],[Data]]="","",_xlfn.XLOOKUP(_xlfn.CONCAT(Buildings_GridElectricity_Backend[[#This Row],[Level 1]:[Level 6]]),rng_EFConcat,rng_EF3WTT)*Buildings_GridElectricity_Backend[[#This Row],[Converted data]]/1000)</f>
        <v/>
      </c>
      <c r="AJ42" s="210" t="str">
        <f>IF(Buildings_GridElectricity_Frontend[[#This Row],[Data]]="","",_xlfn.XLOOKUP(_xlfn.CONCAT(Buildings_GridElectricity_Backend[[#This Row],[Level 1]:[Level 6]]),rng_EFConcat,rng_EF3TD)*Buildings_GridElectricity_Backend[[#This Row],[Converted data]]/1000)</f>
        <v/>
      </c>
      <c r="AK42" s="210" t="str">
        <f>IF(Buildings_GridElectricity_Frontend[[#This Row],[Data]]="","",_xlfn.XLOOKUP(_xlfn.CONCAT(Buildings_GridElectricity_Backend[[#This Row],[Level 1]:[Level 6]]),rng_EFConcat,rng_EF3WTTTD)*Buildings_GridElectricity_Backend[[#This Row],[Converted data]]/1000)</f>
        <v/>
      </c>
      <c r="AL42" s="220" t="str">
        <f>IF(Buildings_GridElectricity_Frontend[[#This Row],[Data]]="","",SUM(Buildings_GridElectricity_Backend[[#This Row],[Scope 1 (tCO2e)]:[Scope 3 WTT T&amp;D (tCO2e)]]))</f>
        <v/>
      </c>
      <c r="AM42" s="220" t="str">
        <f>IF(Buildings_GridElectricity_Frontend[[#This Row],[Data]]="","",Buildings_GridElectricity_Backend[[#This Row],[Total (tCO2e)]]*(1-Buildings_GridElectricity_Backend[[#This Row],[RSD]]))</f>
        <v/>
      </c>
      <c r="AN42" s="220" t="str">
        <f>IF(Buildings_GridElectricity_Frontend[[#This Row],[Data]]="","",Buildings_GridElectricity_Backend[[#This Row],[Total (tCO2e)]]*(1+Buildings_GridElectricity_Backend[[#This Row],[RSD]]))</f>
        <v/>
      </c>
      <c r="AO42" s="210" t="str">
        <f>IF(Buildings_GridElectricity_Frontend[[#This Row],[Data]]="","",_xlfn.XLOOKUP(_xlfn.CONCAT(Buildings_GridElectricity_Backend[[#This Row],[Level 1]:[Level 6]]),rng_EFConcat,rng_EFOOS)*Buildings_GridElectricity_Backend[[#This Row],[Converted data]]/1000)</f>
        <v/>
      </c>
      <c r="AP42" s="174">
        <f>Buildings_GridElectricity_Frontend[[#This Row],[Ease of collection]]</f>
        <v>0</v>
      </c>
      <c r="AQ42" s="213">
        <f>Buildings_GridElectricity_Frontend[[#This Row],[Completeness]]</f>
        <v>0</v>
      </c>
      <c r="AR42" s="220">
        <f>Buildings_GridElectricity_Frontend[[#This Row],[Notes]]</f>
        <v>0</v>
      </c>
    </row>
    <row r="43" spans="2:44" x14ac:dyDescent="0.3">
      <c r="B43" s="455"/>
      <c r="E43" s="346"/>
      <c r="F43" s="449"/>
      <c r="G43" s="336"/>
      <c r="H43" s="334"/>
      <c r="I43" s="172" t="s">
        <v>316</v>
      </c>
      <c r="J43" s="337"/>
      <c r="K43" s="336"/>
      <c r="L43" s="336"/>
      <c r="M43" s="337"/>
      <c r="N43" s="242">
        <f t="shared" si="3"/>
        <v>3</v>
      </c>
      <c r="Q43" s="212" t="str">
        <f t="shared" si="2"/>
        <v/>
      </c>
      <c r="R43" s="174" t="s">
        <v>265</v>
      </c>
      <c r="S43" s="174" t="s">
        <v>273</v>
      </c>
      <c r="T43" s="174" t="str">
        <f>_xlfn.XLOOKUP(Buildings_GridElectricity_Backend[[#This Row],[Info 1]],Buildings_SiteInfo[Site name],Buildings_SiteInfo[Site type], "")</f>
        <v/>
      </c>
      <c r="U43" s="174" t="s">
        <v>281</v>
      </c>
      <c r="V43" s="174" t="str" cm="1">
        <f t="array" aca="1" ref="V43" ca="1">_xlfn.XLOOKUP(Buildings_GridElectricity_Backend[[#This Row],[Level 4]],rng_Level4Long,rng_Level5Long)</f>
        <v>Electricity</v>
      </c>
      <c r="W43" s="174" t="str" cm="1">
        <f t="array" aca="1" ref="W43" ca="1">_xlfn.XLOOKUP(Buildings_GridElectricity_Backend[[#This Row],[Level 4]],rng_Level4Long,rng_Level6Long)</f>
        <v>NaN</v>
      </c>
      <c r="X43" s="174">
        <f>Buildings_GridElectricity_Frontend[[#This Row],[Site Name]]</f>
        <v>0</v>
      </c>
      <c r="Y43" s="174">
        <f>Buildings_GridElectricity_Frontend[[#This Row],[Contracting]]</f>
        <v>0</v>
      </c>
      <c r="Z43" s="174">
        <f>Buildings_GridElectricity_Frontend[[#This Row],[Methodology]]</f>
        <v>0</v>
      </c>
      <c r="AA43" s="229" t="str" cm="1">
        <f t="array" ref="AA43">IF(Buildings_GridElectricity_Frontend[[#This Row],[Data]]="","",INDEX(_xlfn.SWITCH(Buildings_GridElectricity_Backend[[#This Row],[Methodology]],"Tier 1",rng_RSD1,"Tier 2",rng_RSD2,"Tier 3",rng_RSD3),MATCH(_xlfn.CONCAT(Buildings_GridElectricity_Backend[[#This Row],[Level 1]:[Level 6]]),rng_LevelsConcat,0)))</f>
        <v/>
      </c>
      <c r="AB43" s="220">
        <f>Buildings_GridElectricity_Frontend[[#This Row],[Data]]</f>
        <v>0</v>
      </c>
      <c r="AC43" s="174" t="str">
        <f>Buildings_GridElectricity_Frontend[[#This Row],[Units]]</f>
        <v>kWh</v>
      </c>
      <c r="AD43" s="218">
        <f>Buildings_GridElectricity_Frontend[[#This Row],[Data]]</f>
        <v>0</v>
      </c>
      <c r="AE43" s="174" t="str">
        <f>Buildings_GridElectricity_Frontend[[#This Row],[Units]]</f>
        <v>kWh</v>
      </c>
      <c r="AF43" s="210" t="str">
        <f>IF(Buildings_GridElectricity_Frontend[[#This Row],[Data]]="","",_xlfn.XLOOKUP(_xlfn.CONCAT(Buildings_GridElectricity_Backend[[#This Row],[Level 1]:[Level 6]]),rng_EFConcat,rng_EF1)*Buildings_GridElectricity_Backend[[#This Row],[Converted data]]/1000)</f>
        <v/>
      </c>
      <c r="AG43" s="210" t="str">
        <f>IF(Buildings_GridElectricity_Frontend[[#This Row],[Data]]="","",_xlfn.XLOOKUP(_xlfn.CONCAT(Buildings_GridElectricity_Backend[[#This Row],[Level 1]:[Level 6]]),rng_EFConcat,rng_EF2)*Buildings_GridElectricity_Backend[[#This Row],[Converted data]]/1000)</f>
        <v/>
      </c>
      <c r="AH43" s="210" t="str">
        <f>IF(Buildings_GridElectricity_Frontend[[#This Row],[Data]]="","",_xlfn.XLOOKUP(_xlfn.CONCAT(Buildings_GridElectricity_Backend[[#This Row],[Level 1]:[Level 6]]),rng_EFConcat,rng_EF3)*Buildings_GridElectricity_Backend[[#This Row],[Converted data]]/1000)</f>
        <v/>
      </c>
      <c r="AI43" s="210" t="str">
        <f>IF(Buildings_GridElectricity_Frontend[[#This Row],[Data]]="","",_xlfn.XLOOKUP(_xlfn.CONCAT(Buildings_GridElectricity_Backend[[#This Row],[Level 1]:[Level 6]]),rng_EFConcat,rng_EF3WTT)*Buildings_GridElectricity_Backend[[#This Row],[Converted data]]/1000)</f>
        <v/>
      </c>
      <c r="AJ43" s="210" t="str">
        <f>IF(Buildings_GridElectricity_Frontend[[#This Row],[Data]]="","",_xlfn.XLOOKUP(_xlfn.CONCAT(Buildings_GridElectricity_Backend[[#This Row],[Level 1]:[Level 6]]),rng_EFConcat,rng_EF3TD)*Buildings_GridElectricity_Backend[[#This Row],[Converted data]]/1000)</f>
        <v/>
      </c>
      <c r="AK43" s="210" t="str">
        <f>IF(Buildings_GridElectricity_Frontend[[#This Row],[Data]]="","",_xlfn.XLOOKUP(_xlfn.CONCAT(Buildings_GridElectricity_Backend[[#This Row],[Level 1]:[Level 6]]),rng_EFConcat,rng_EF3WTTTD)*Buildings_GridElectricity_Backend[[#This Row],[Converted data]]/1000)</f>
        <v/>
      </c>
      <c r="AL43" s="220" t="str">
        <f>IF(Buildings_GridElectricity_Frontend[[#This Row],[Data]]="","",SUM(Buildings_GridElectricity_Backend[[#This Row],[Scope 1 (tCO2e)]:[Scope 3 WTT T&amp;D (tCO2e)]]))</f>
        <v/>
      </c>
      <c r="AM43" s="220" t="str">
        <f>IF(Buildings_GridElectricity_Frontend[[#This Row],[Data]]="","",Buildings_GridElectricity_Backend[[#This Row],[Total (tCO2e)]]*(1-Buildings_GridElectricity_Backend[[#This Row],[RSD]]))</f>
        <v/>
      </c>
      <c r="AN43" s="220" t="str">
        <f>IF(Buildings_GridElectricity_Frontend[[#This Row],[Data]]="","",Buildings_GridElectricity_Backend[[#This Row],[Total (tCO2e)]]*(1+Buildings_GridElectricity_Backend[[#This Row],[RSD]]))</f>
        <v/>
      </c>
      <c r="AO43" s="210" t="str">
        <f>IF(Buildings_GridElectricity_Frontend[[#This Row],[Data]]="","",_xlfn.XLOOKUP(_xlfn.CONCAT(Buildings_GridElectricity_Backend[[#This Row],[Level 1]:[Level 6]]),rng_EFConcat,rng_EFOOS)*Buildings_GridElectricity_Backend[[#This Row],[Converted data]]/1000)</f>
        <v/>
      </c>
      <c r="AP43" s="174">
        <f>Buildings_GridElectricity_Frontend[[#This Row],[Ease of collection]]</f>
        <v>0</v>
      </c>
      <c r="AQ43" s="213">
        <f>Buildings_GridElectricity_Frontend[[#This Row],[Completeness]]</f>
        <v>0</v>
      </c>
      <c r="AR43" s="220">
        <f>Buildings_GridElectricity_Frontend[[#This Row],[Notes]]</f>
        <v>0</v>
      </c>
    </row>
    <row r="44" spans="2:44" x14ac:dyDescent="0.3">
      <c r="E44" s="346"/>
      <c r="F44" s="449"/>
      <c r="G44" s="336"/>
      <c r="H44" s="334"/>
      <c r="I44" s="172" t="s">
        <v>316</v>
      </c>
      <c r="J44" s="337"/>
      <c r="K44" s="336"/>
      <c r="L44" s="336"/>
      <c r="M44" s="337"/>
      <c r="N44" s="242">
        <f t="shared" si="3"/>
        <v>3</v>
      </c>
      <c r="Q44" s="212" t="str">
        <f t="shared" si="2"/>
        <v/>
      </c>
      <c r="R44" s="174" t="s">
        <v>265</v>
      </c>
      <c r="S44" s="174" t="s">
        <v>273</v>
      </c>
      <c r="T44" s="174" t="str">
        <f>_xlfn.XLOOKUP(Buildings_GridElectricity_Backend[[#This Row],[Info 1]],Buildings_SiteInfo[Site name],Buildings_SiteInfo[Site type], "")</f>
        <v/>
      </c>
      <c r="U44" s="174" t="s">
        <v>281</v>
      </c>
      <c r="V44" s="174" t="str" cm="1">
        <f t="array" aca="1" ref="V44" ca="1">_xlfn.XLOOKUP(Buildings_GridElectricity_Backend[[#This Row],[Level 4]],rng_Level4Long,rng_Level5Long)</f>
        <v>Electricity</v>
      </c>
      <c r="W44" s="174" t="str" cm="1">
        <f t="array" aca="1" ref="W44" ca="1">_xlfn.XLOOKUP(Buildings_GridElectricity_Backend[[#This Row],[Level 4]],rng_Level4Long,rng_Level6Long)</f>
        <v>NaN</v>
      </c>
      <c r="X44" s="174">
        <f>Buildings_GridElectricity_Frontend[[#This Row],[Site Name]]</f>
        <v>0</v>
      </c>
      <c r="Y44" s="174">
        <f>Buildings_GridElectricity_Frontend[[#This Row],[Contracting]]</f>
        <v>0</v>
      </c>
      <c r="Z44" s="174">
        <f>Buildings_GridElectricity_Frontend[[#This Row],[Methodology]]</f>
        <v>0</v>
      </c>
      <c r="AA44" s="229" t="str" cm="1">
        <f t="array" ref="AA44">IF(Buildings_GridElectricity_Frontend[[#This Row],[Data]]="","",INDEX(_xlfn.SWITCH(Buildings_GridElectricity_Backend[[#This Row],[Methodology]],"Tier 1",rng_RSD1,"Tier 2",rng_RSD2,"Tier 3",rng_RSD3),MATCH(_xlfn.CONCAT(Buildings_GridElectricity_Backend[[#This Row],[Level 1]:[Level 6]]),rng_LevelsConcat,0)))</f>
        <v/>
      </c>
      <c r="AB44" s="220">
        <f>Buildings_GridElectricity_Frontend[[#This Row],[Data]]</f>
        <v>0</v>
      </c>
      <c r="AC44" s="174" t="str">
        <f>Buildings_GridElectricity_Frontend[[#This Row],[Units]]</f>
        <v>kWh</v>
      </c>
      <c r="AD44" s="218">
        <f>Buildings_GridElectricity_Frontend[[#This Row],[Data]]</f>
        <v>0</v>
      </c>
      <c r="AE44" s="174" t="str">
        <f>Buildings_GridElectricity_Frontend[[#This Row],[Units]]</f>
        <v>kWh</v>
      </c>
      <c r="AF44" s="210" t="str">
        <f>IF(Buildings_GridElectricity_Frontend[[#This Row],[Data]]="","",_xlfn.XLOOKUP(_xlfn.CONCAT(Buildings_GridElectricity_Backend[[#This Row],[Level 1]:[Level 6]]),rng_EFConcat,rng_EF1)*Buildings_GridElectricity_Backend[[#This Row],[Converted data]]/1000)</f>
        <v/>
      </c>
      <c r="AG44" s="210" t="str">
        <f>IF(Buildings_GridElectricity_Frontend[[#This Row],[Data]]="","",_xlfn.XLOOKUP(_xlfn.CONCAT(Buildings_GridElectricity_Backend[[#This Row],[Level 1]:[Level 6]]),rng_EFConcat,rng_EF2)*Buildings_GridElectricity_Backend[[#This Row],[Converted data]]/1000)</f>
        <v/>
      </c>
      <c r="AH44" s="210" t="str">
        <f>IF(Buildings_GridElectricity_Frontend[[#This Row],[Data]]="","",_xlfn.XLOOKUP(_xlfn.CONCAT(Buildings_GridElectricity_Backend[[#This Row],[Level 1]:[Level 6]]),rng_EFConcat,rng_EF3)*Buildings_GridElectricity_Backend[[#This Row],[Converted data]]/1000)</f>
        <v/>
      </c>
      <c r="AI44" s="210" t="str">
        <f>IF(Buildings_GridElectricity_Frontend[[#This Row],[Data]]="","",_xlfn.XLOOKUP(_xlfn.CONCAT(Buildings_GridElectricity_Backend[[#This Row],[Level 1]:[Level 6]]),rng_EFConcat,rng_EF3WTT)*Buildings_GridElectricity_Backend[[#This Row],[Converted data]]/1000)</f>
        <v/>
      </c>
      <c r="AJ44" s="210" t="str">
        <f>IF(Buildings_GridElectricity_Frontend[[#This Row],[Data]]="","",_xlfn.XLOOKUP(_xlfn.CONCAT(Buildings_GridElectricity_Backend[[#This Row],[Level 1]:[Level 6]]),rng_EFConcat,rng_EF3TD)*Buildings_GridElectricity_Backend[[#This Row],[Converted data]]/1000)</f>
        <v/>
      </c>
      <c r="AK44" s="210" t="str">
        <f>IF(Buildings_GridElectricity_Frontend[[#This Row],[Data]]="","",_xlfn.XLOOKUP(_xlfn.CONCAT(Buildings_GridElectricity_Backend[[#This Row],[Level 1]:[Level 6]]),rng_EFConcat,rng_EF3WTTTD)*Buildings_GridElectricity_Backend[[#This Row],[Converted data]]/1000)</f>
        <v/>
      </c>
      <c r="AL44" s="220" t="str">
        <f>IF(Buildings_GridElectricity_Frontend[[#This Row],[Data]]="","",SUM(Buildings_GridElectricity_Backend[[#This Row],[Scope 1 (tCO2e)]:[Scope 3 WTT T&amp;D (tCO2e)]]))</f>
        <v/>
      </c>
      <c r="AM44" s="220" t="str">
        <f>IF(Buildings_GridElectricity_Frontend[[#This Row],[Data]]="","",Buildings_GridElectricity_Backend[[#This Row],[Total (tCO2e)]]*(1-Buildings_GridElectricity_Backend[[#This Row],[RSD]]))</f>
        <v/>
      </c>
      <c r="AN44" s="220" t="str">
        <f>IF(Buildings_GridElectricity_Frontend[[#This Row],[Data]]="","",Buildings_GridElectricity_Backend[[#This Row],[Total (tCO2e)]]*(1+Buildings_GridElectricity_Backend[[#This Row],[RSD]]))</f>
        <v/>
      </c>
      <c r="AO44" s="210" t="str">
        <f>IF(Buildings_GridElectricity_Frontend[[#This Row],[Data]]="","",_xlfn.XLOOKUP(_xlfn.CONCAT(Buildings_GridElectricity_Backend[[#This Row],[Level 1]:[Level 6]]),rng_EFConcat,rng_EFOOS)*Buildings_GridElectricity_Backend[[#This Row],[Converted data]]/1000)</f>
        <v/>
      </c>
      <c r="AP44" s="174">
        <f>Buildings_GridElectricity_Frontend[[#This Row],[Ease of collection]]</f>
        <v>0</v>
      </c>
      <c r="AQ44" s="213">
        <f>Buildings_GridElectricity_Frontend[[#This Row],[Completeness]]</f>
        <v>0</v>
      </c>
      <c r="AR44" s="220">
        <f>Buildings_GridElectricity_Frontend[[#This Row],[Notes]]</f>
        <v>0</v>
      </c>
    </row>
    <row r="45" spans="2:44" x14ac:dyDescent="0.3">
      <c r="E45" s="346"/>
      <c r="F45" s="449"/>
      <c r="G45" s="336"/>
      <c r="H45" s="334"/>
      <c r="I45" s="172" t="s">
        <v>316</v>
      </c>
      <c r="J45" s="337"/>
      <c r="K45" s="336"/>
      <c r="L45" s="336"/>
      <c r="M45" s="337"/>
      <c r="N45" s="242">
        <f t="shared" si="3"/>
        <v>3</v>
      </c>
      <c r="Q45" s="212" t="str">
        <f t="shared" si="2"/>
        <v/>
      </c>
      <c r="R45" s="174" t="s">
        <v>265</v>
      </c>
      <c r="S45" s="174" t="s">
        <v>273</v>
      </c>
      <c r="T45" s="174" t="str">
        <f>_xlfn.XLOOKUP(Buildings_GridElectricity_Backend[[#This Row],[Info 1]],Buildings_SiteInfo[Site name],Buildings_SiteInfo[Site type], "")</f>
        <v/>
      </c>
      <c r="U45" s="174" t="s">
        <v>281</v>
      </c>
      <c r="V45" s="174" t="str" cm="1">
        <f t="array" aca="1" ref="V45" ca="1">_xlfn.XLOOKUP(Buildings_GridElectricity_Backend[[#This Row],[Level 4]],rng_Level4Long,rng_Level5Long)</f>
        <v>Electricity</v>
      </c>
      <c r="W45" s="174" t="str" cm="1">
        <f t="array" aca="1" ref="W45" ca="1">_xlfn.XLOOKUP(Buildings_GridElectricity_Backend[[#This Row],[Level 4]],rng_Level4Long,rng_Level6Long)</f>
        <v>NaN</v>
      </c>
      <c r="X45" s="174">
        <f>Buildings_GridElectricity_Frontend[[#This Row],[Site Name]]</f>
        <v>0</v>
      </c>
      <c r="Y45" s="174">
        <f>Buildings_GridElectricity_Frontend[[#This Row],[Contracting]]</f>
        <v>0</v>
      </c>
      <c r="Z45" s="174">
        <f>Buildings_GridElectricity_Frontend[[#This Row],[Methodology]]</f>
        <v>0</v>
      </c>
      <c r="AA45" s="229" t="str" cm="1">
        <f t="array" ref="AA45">IF(Buildings_GridElectricity_Frontend[[#This Row],[Data]]="","",INDEX(_xlfn.SWITCH(Buildings_GridElectricity_Backend[[#This Row],[Methodology]],"Tier 1",rng_RSD1,"Tier 2",rng_RSD2,"Tier 3",rng_RSD3),MATCH(_xlfn.CONCAT(Buildings_GridElectricity_Backend[[#This Row],[Level 1]:[Level 6]]),rng_LevelsConcat,0)))</f>
        <v/>
      </c>
      <c r="AB45" s="220">
        <f>Buildings_GridElectricity_Frontend[[#This Row],[Data]]</f>
        <v>0</v>
      </c>
      <c r="AC45" s="174" t="str">
        <f>Buildings_GridElectricity_Frontend[[#This Row],[Units]]</f>
        <v>kWh</v>
      </c>
      <c r="AD45" s="218">
        <f>Buildings_GridElectricity_Frontend[[#This Row],[Data]]</f>
        <v>0</v>
      </c>
      <c r="AE45" s="174" t="str">
        <f>Buildings_GridElectricity_Frontend[[#This Row],[Units]]</f>
        <v>kWh</v>
      </c>
      <c r="AF45" s="210" t="str">
        <f>IF(Buildings_GridElectricity_Frontend[[#This Row],[Data]]="","",_xlfn.XLOOKUP(_xlfn.CONCAT(Buildings_GridElectricity_Backend[[#This Row],[Level 1]:[Level 6]]),rng_EFConcat,rng_EF1)*Buildings_GridElectricity_Backend[[#This Row],[Converted data]]/1000)</f>
        <v/>
      </c>
      <c r="AG45" s="210" t="str">
        <f>IF(Buildings_GridElectricity_Frontend[[#This Row],[Data]]="","",_xlfn.XLOOKUP(_xlfn.CONCAT(Buildings_GridElectricity_Backend[[#This Row],[Level 1]:[Level 6]]),rng_EFConcat,rng_EF2)*Buildings_GridElectricity_Backend[[#This Row],[Converted data]]/1000)</f>
        <v/>
      </c>
      <c r="AH45" s="210" t="str">
        <f>IF(Buildings_GridElectricity_Frontend[[#This Row],[Data]]="","",_xlfn.XLOOKUP(_xlfn.CONCAT(Buildings_GridElectricity_Backend[[#This Row],[Level 1]:[Level 6]]),rng_EFConcat,rng_EF3)*Buildings_GridElectricity_Backend[[#This Row],[Converted data]]/1000)</f>
        <v/>
      </c>
      <c r="AI45" s="210" t="str">
        <f>IF(Buildings_GridElectricity_Frontend[[#This Row],[Data]]="","",_xlfn.XLOOKUP(_xlfn.CONCAT(Buildings_GridElectricity_Backend[[#This Row],[Level 1]:[Level 6]]),rng_EFConcat,rng_EF3WTT)*Buildings_GridElectricity_Backend[[#This Row],[Converted data]]/1000)</f>
        <v/>
      </c>
      <c r="AJ45" s="210" t="str">
        <f>IF(Buildings_GridElectricity_Frontend[[#This Row],[Data]]="","",_xlfn.XLOOKUP(_xlfn.CONCAT(Buildings_GridElectricity_Backend[[#This Row],[Level 1]:[Level 6]]),rng_EFConcat,rng_EF3TD)*Buildings_GridElectricity_Backend[[#This Row],[Converted data]]/1000)</f>
        <v/>
      </c>
      <c r="AK45" s="210" t="str">
        <f>IF(Buildings_GridElectricity_Frontend[[#This Row],[Data]]="","",_xlfn.XLOOKUP(_xlfn.CONCAT(Buildings_GridElectricity_Backend[[#This Row],[Level 1]:[Level 6]]),rng_EFConcat,rng_EF3WTTTD)*Buildings_GridElectricity_Backend[[#This Row],[Converted data]]/1000)</f>
        <v/>
      </c>
      <c r="AL45" s="220" t="str">
        <f>IF(Buildings_GridElectricity_Frontend[[#This Row],[Data]]="","",SUM(Buildings_GridElectricity_Backend[[#This Row],[Scope 1 (tCO2e)]:[Scope 3 WTT T&amp;D (tCO2e)]]))</f>
        <v/>
      </c>
      <c r="AM45" s="220" t="str">
        <f>IF(Buildings_GridElectricity_Frontend[[#This Row],[Data]]="","",Buildings_GridElectricity_Backend[[#This Row],[Total (tCO2e)]]*(1-Buildings_GridElectricity_Backend[[#This Row],[RSD]]))</f>
        <v/>
      </c>
      <c r="AN45" s="220" t="str">
        <f>IF(Buildings_GridElectricity_Frontend[[#This Row],[Data]]="","",Buildings_GridElectricity_Backend[[#This Row],[Total (tCO2e)]]*(1+Buildings_GridElectricity_Backend[[#This Row],[RSD]]))</f>
        <v/>
      </c>
      <c r="AO45" s="210" t="str">
        <f>IF(Buildings_GridElectricity_Frontend[[#This Row],[Data]]="","",_xlfn.XLOOKUP(_xlfn.CONCAT(Buildings_GridElectricity_Backend[[#This Row],[Level 1]:[Level 6]]),rng_EFConcat,rng_EFOOS)*Buildings_GridElectricity_Backend[[#This Row],[Converted data]]/1000)</f>
        <v/>
      </c>
      <c r="AP45" s="174">
        <f>Buildings_GridElectricity_Frontend[[#This Row],[Ease of collection]]</f>
        <v>0</v>
      </c>
      <c r="AQ45" s="213">
        <f>Buildings_GridElectricity_Frontend[[#This Row],[Completeness]]</f>
        <v>0</v>
      </c>
      <c r="AR45" s="220">
        <f>Buildings_GridElectricity_Frontend[[#This Row],[Notes]]</f>
        <v>0</v>
      </c>
    </row>
    <row r="46" spans="2:44" x14ac:dyDescent="0.3">
      <c r="E46" s="346"/>
      <c r="F46" s="449"/>
      <c r="G46" s="336"/>
      <c r="H46" s="334"/>
      <c r="I46" s="172" t="s">
        <v>316</v>
      </c>
      <c r="J46" s="337"/>
      <c r="K46" s="336"/>
      <c r="L46" s="336"/>
      <c r="M46" s="337"/>
      <c r="N46" s="242">
        <f t="shared" si="3"/>
        <v>3</v>
      </c>
      <c r="Q46" s="212" t="str">
        <f t="shared" si="2"/>
        <v/>
      </c>
      <c r="R46" s="174" t="s">
        <v>265</v>
      </c>
      <c r="S46" s="174" t="s">
        <v>273</v>
      </c>
      <c r="T46" s="174" t="str">
        <f>_xlfn.XLOOKUP(Buildings_GridElectricity_Backend[[#This Row],[Info 1]],Buildings_SiteInfo[Site name],Buildings_SiteInfo[Site type], "")</f>
        <v/>
      </c>
      <c r="U46" s="174" t="s">
        <v>281</v>
      </c>
      <c r="V46" s="174" t="str" cm="1">
        <f t="array" aca="1" ref="V46" ca="1">_xlfn.XLOOKUP(Buildings_GridElectricity_Backend[[#This Row],[Level 4]],rng_Level4Long,rng_Level5Long)</f>
        <v>Electricity</v>
      </c>
      <c r="W46" s="174" t="str" cm="1">
        <f t="array" aca="1" ref="W46" ca="1">_xlfn.XLOOKUP(Buildings_GridElectricity_Backend[[#This Row],[Level 4]],rng_Level4Long,rng_Level6Long)</f>
        <v>NaN</v>
      </c>
      <c r="X46" s="174">
        <f>Buildings_GridElectricity_Frontend[[#This Row],[Site Name]]</f>
        <v>0</v>
      </c>
      <c r="Y46" s="174">
        <f>Buildings_GridElectricity_Frontend[[#This Row],[Contracting]]</f>
        <v>0</v>
      </c>
      <c r="Z46" s="174">
        <f>Buildings_GridElectricity_Frontend[[#This Row],[Methodology]]</f>
        <v>0</v>
      </c>
      <c r="AA46" s="229" t="str" cm="1">
        <f t="array" ref="AA46">IF(Buildings_GridElectricity_Frontend[[#This Row],[Data]]="","",INDEX(_xlfn.SWITCH(Buildings_GridElectricity_Backend[[#This Row],[Methodology]],"Tier 1",rng_RSD1,"Tier 2",rng_RSD2,"Tier 3",rng_RSD3),MATCH(_xlfn.CONCAT(Buildings_GridElectricity_Backend[[#This Row],[Level 1]:[Level 6]]),rng_LevelsConcat,0)))</f>
        <v/>
      </c>
      <c r="AB46" s="220">
        <f>Buildings_GridElectricity_Frontend[[#This Row],[Data]]</f>
        <v>0</v>
      </c>
      <c r="AC46" s="174" t="str">
        <f>Buildings_GridElectricity_Frontend[[#This Row],[Units]]</f>
        <v>kWh</v>
      </c>
      <c r="AD46" s="218">
        <f>Buildings_GridElectricity_Frontend[[#This Row],[Data]]</f>
        <v>0</v>
      </c>
      <c r="AE46" s="174" t="str">
        <f>Buildings_GridElectricity_Frontend[[#This Row],[Units]]</f>
        <v>kWh</v>
      </c>
      <c r="AF46" s="210" t="str">
        <f>IF(Buildings_GridElectricity_Frontend[[#This Row],[Data]]="","",_xlfn.XLOOKUP(_xlfn.CONCAT(Buildings_GridElectricity_Backend[[#This Row],[Level 1]:[Level 6]]),rng_EFConcat,rng_EF1)*Buildings_GridElectricity_Backend[[#This Row],[Converted data]]/1000)</f>
        <v/>
      </c>
      <c r="AG46" s="210" t="str">
        <f>IF(Buildings_GridElectricity_Frontend[[#This Row],[Data]]="","",_xlfn.XLOOKUP(_xlfn.CONCAT(Buildings_GridElectricity_Backend[[#This Row],[Level 1]:[Level 6]]),rng_EFConcat,rng_EF2)*Buildings_GridElectricity_Backend[[#This Row],[Converted data]]/1000)</f>
        <v/>
      </c>
      <c r="AH46" s="210" t="str">
        <f>IF(Buildings_GridElectricity_Frontend[[#This Row],[Data]]="","",_xlfn.XLOOKUP(_xlfn.CONCAT(Buildings_GridElectricity_Backend[[#This Row],[Level 1]:[Level 6]]),rng_EFConcat,rng_EF3)*Buildings_GridElectricity_Backend[[#This Row],[Converted data]]/1000)</f>
        <v/>
      </c>
      <c r="AI46" s="210" t="str">
        <f>IF(Buildings_GridElectricity_Frontend[[#This Row],[Data]]="","",_xlfn.XLOOKUP(_xlfn.CONCAT(Buildings_GridElectricity_Backend[[#This Row],[Level 1]:[Level 6]]),rng_EFConcat,rng_EF3WTT)*Buildings_GridElectricity_Backend[[#This Row],[Converted data]]/1000)</f>
        <v/>
      </c>
      <c r="AJ46" s="210" t="str">
        <f>IF(Buildings_GridElectricity_Frontend[[#This Row],[Data]]="","",_xlfn.XLOOKUP(_xlfn.CONCAT(Buildings_GridElectricity_Backend[[#This Row],[Level 1]:[Level 6]]),rng_EFConcat,rng_EF3TD)*Buildings_GridElectricity_Backend[[#This Row],[Converted data]]/1000)</f>
        <v/>
      </c>
      <c r="AK46" s="210" t="str">
        <f>IF(Buildings_GridElectricity_Frontend[[#This Row],[Data]]="","",_xlfn.XLOOKUP(_xlfn.CONCAT(Buildings_GridElectricity_Backend[[#This Row],[Level 1]:[Level 6]]),rng_EFConcat,rng_EF3WTTTD)*Buildings_GridElectricity_Backend[[#This Row],[Converted data]]/1000)</f>
        <v/>
      </c>
      <c r="AL46" s="220" t="str">
        <f>IF(Buildings_GridElectricity_Frontend[[#This Row],[Data]]="","",SUM(Buildings_GridElectricity_Backend[[#This Row],[Scope 1 (tCO2e)]:[Scope 3 WTT T&amp;D (tCO2e)]]))</f>
        <v/>
      </c>
      <c r="AM46" s="220" t="str">
        <f>IF(Buildings_GridElectricity_Frontend[[#This Row],[Data]]="","",Buildings_GridElectricity_Backend[[#This Row],[Total (tCO2e)]]*(1-Buildings_GridElectricity_Backend[[#This Row],[RSD]]))</f>
        <v/>
      </c>
      <c r="AN46" s="220" t="str">
        <f>IF(Buildings_GridElectricity_Frontend[[#This Row],[Data]]="","",Buildings_GridElectricity_Backend[[#This Row],[Total (tCO2e)]]*(1+Buildings_GridElectricity_Backend[[#This Row],[RSD]]))</f>
        <v/>
      </c>
      <c r="AO46" s="210" t="str">
        <f>IF(Buildings_GridElectricity_Frontend[[#This Row],[Data]]="","",_xlfn.XLOOKUP(_xlfn.CONCAT(Buildings_GridElectricity_Backend[[#This Row],[Level 1]:[Level 6]]),rng_EFConcat,rng_EFOOS)*Buildings_GridElectricity_Backend[[#This Row],[Converted data]]/1000)</f>
        <v/>
      </c>
      <c r="AP46" s="174">
        <f>Buildings_GridElectricity_Frontend[[#This Row],[Ease of collection]]</f>
        <v>0</v>
      </c>
      <c r="AQ46" s="213">
        <f>Buildings_GridElectricity_Frontend[[#This Row],[Completeness]]</f>
        <v>0</v>
      </c>
      <c r="AR46" s="220">
        <f>Buildings_GridElectricity_Frontend[[#This Row],[Notes]]</f>
        <v>0</v>
      </c>
    </row>
    <row r="47" spans="2:44" x14ac:dyDescent="0.3">
      <c r="E47" s="346"/>
      <c r="F47" s="449"/>
      <c r="G47" s="336"/>
      <c r="H47" s="334"/>
      <c r="I47" s="172" t="s">
        <v>316</v>
      </c>
      <c r="J47" s="337"/>
      <c r="K47" s="336"/>
      <c r="L47" s="336"/>
      <c r="M47" s="337"/>
      <c r="N47" s="242">
        <f t="shared" si="3"/>
        <v>3</v>
      </c>
      <c r="Q47" s="212" t="str">
        <f t="shared" si="2"/>
        <v/>
      </c>
      <c r="R47" s="174" t="s">
        <v>265</v>
      </c>
      <c r="S47" s="174" t="s">
        <v>273</v>
      </c>
      <c r="T47" s="174" t="str">
        <f>_xlfn.XLOOKUP(Buildings_GridElectricity_Backend[[#This Row],[Info 1]],Buildings_SiteInfo[Site name],Buildings_SiteInfo[Site type], "")</f>
        <v/>
      </c>
      <c r="U47" s="174" t="s">
        <v>281</v>
      </c>
      <c r="V47" s="174" t="str" cm="1">
        <f t="array" aca="1" ref="V47" ca="1">_xlfn.XLOOKUP(Buildings_GridElectricity_Backend[[#This Row],[Level 4]],rng_Level4Long,rng_Level5Long)</f>
        <v>Electricity</v>
      </c>
      <c r="W47" s="174" t="str" cm="1">
        <f t="array" aca="1" ref="W47" ca="1">_xlfn.XLOOKUP(Buildings_GridElectricity_Backend[[#This Row],[Level 4]],rng_Level4Long,rng_Level6Long)</f>
        <v>NaN</v>
      </c>
      <c r="X47" s="174">
        <f>Buildings_GridElectricity_Frontend[[#This Row],[Site Name]]</f>
        <v>0</v>
      </c>
      <c r="Y47" s="174">
        <f>Buildings_GridElectricity_Frontend[[#This Row],[Contracting]]</f>
        <v>0</v>
      </c>
      <c r="Z47" s="174">
        <f>Buildings_GridElectricity_Frontend[[#This Row],[Methodology]]</f>
        <v>0</v>
      </c>
      <c r="AA47" s="229" t="str" cm="1">
        <f t="array" ref="AA47">IF(Buildings_GridElectricity_Frontend[[#This Row],[Data]]="","",INDEX(_xlfn.SWITCH(Buildings_GridElectricity_Backend[[#This Row],[Methodology]],"Tier 1",rng_RSD1,"Tier 2",rng_RSD2,"Tier 3",rng_RSD3),MATCH(_xlfn.CONCAT(Buildings_GridElectricity_Backend[[#This Row],[Level 1]:[Level 6]]),rng_LevelsConcat,0)))</f>
        <v/>
      </c>
      <c r="AB47" s="220">
        <f>Buildings_GridElectricity_Frontend[[#This Row],[Data]]</f>
        <v>0</v>
      </c>
      <c r="AC47" s="174" t="str">
        <f>Buildings_GridElectricity_Frontend[[#This Row],[Units]]</f>
        <v>kWh</v>
      </c>
      <c r="AD47" s="218">
        <f>Buildings_GridElectricity_Frontend[[#This Row],[Data]]</f>
        <v>0</v>
      </c>
      <c r="AE47" s="174" t="str">
        <f>Buildings_GridElectricity_Frontend[[#This Row],[Units]]</f>
        <v>kWh</v>
      </c>
      <c r="AF47" s="210" t="str">
        <f>IF(Buildings_GridElectricity_Frontend[[#This Row],[Data]]="","",_xlfn.XLOOKUP(_xlfn.CONCAT(Buildings_GridElectricity_Backend[[#This Row],[Level 1]:[Level 6]]),rng_EFConcat,rng_EF1)*Buildings_GridElectricity_Backend[[#This Row],[Converted data]]/1000)</f>
        <v/>
      </c>
      <c r="AG47" s="210" t="str">
        <f>IF(Buildings_GridElectricity_Frontend[[#This Row],[Data]]="","",_xlfn.XLOOKUP(_xlfn.CONCAT(Buildings_GridElectricity_Backend[[#This Row],[Level 1]:[Level 6]]),rng_EFConcat,rng_EF2)*Buildings_GridElectricity_Backend[[#This Row],[Converted data]]/1000)</f>
        <v/>
      </c>
      <c r="AH47" s="210" t="str">
        <f>IF(Buildings_GridElectricity_Frontend[[#This Row],[Data]]="","",_xlfn.XLOOKUP(_xlfn.CONCAT(Buildings_GridElectricity_Backend[[#This Row],[Level 1]:[Level 6]]),rng_EFConcat,rng_EF3)*Buildings_GridElectricity_Backend[[#This Row],[Converted data]]/1000)</f>
        <v/>
      </c>
      <c r="AI47" s="210" t="str">
        <f>IF(Buildings_GridElectricity_Frontend[[#This Row],[Data]]="","",_xlfn.XLOOKUP(_xlfn.CONCAT(Buildings_GridElectricity_Backend[[#This Row],[Level 1]:[Level 6]]),rng_EFConcat,rng_EF3WTT)*Buildings_GridElectricity_Backend[[#This Row],[Converted data]]/1000)</f>
        <v/>
      </c>
      <c r="AJ47" s="210" t="str">
        <f>IF(Buildings_GridElectricity_Frontend[[#This Row],[Data]]="","",_xlfn.XLOOKUP(_xlfn.CONCAT(Buildings_GridElectricity_Backend[[#This Row],[Level 1]:[Level 6]]),rng_EFConcat,rng_EF3TD)*Buildings_GridElectricity_Backend[[#This Row],[Converted data]]/1000)</f>
        <v/>
      </c>
      <c r="AK47" s="210" t="str">
        <f>IF(Buildings_GridElectricity_Frontend[[#This Row],[Data]]="","",_xlfn.XLOOKUP(_xlfn.CONCAT(Buildings_GridElectricity_Backend[[#This Row],[Level 1]:[Level 6]]),rng_EFConcat,rng_EF3WTTTD)*Buildings_GridElectricity_Backend[[#This Row],[Converted data]]/1000)</f>
        <v/>
      </c>
      <c r="AL47" s="220" t="str">
        <f>IF(Buildings_GridElectricity_Frontend[[#This Row],[Data]]="","",SUM(Buildings_GridElectricity_Backend[[#This Row],[Scope 1 (tCO2e)]:[Scope 3 WTT T&amp;D (tCO2e)]]))</f>
        <v/>
      </c>
      <c r="AM47" s="220" t="str">
        <f>IF(Buildings_GridElectricity_Frontend[[#This Row],[Data]]="","",Buildings_GridElectricity_Backend[[#This Row],[Total (tCO2e)]]*(1-Buildings_GridElectricity_Backend[[#This Row],[RSD]]))</f>
        <v/>
      </c>
      <c r="AN47" s="220" t="str">
        <f>IF(Buildings_GridElectricity_Frontend[[#This Row],[Data]]="","",Buildings_GridElectricity_Backend[[#This Row],[Total (tCO2e)]]*(1+Buildings_GridElectricity_Backend[[#This Row],[RSD]]))</f>
        <v/>
      </c>
      <c r="AO47" s="210" t="str">
        <f>IF(Buildings_GridElectricity_Frontend[[#This Row],[Data]]="","",_xlfn.XLOOKUP(_xlfn.CONCAT(Buildings_GridElectricity_Backend[[#This Row],[Level 1]:[Level 6]]),rng_EFConcat,rng_EFOOS)*Buildings_GridElectricity_Backend[[#This Row],[Converted data]]/1000)</f>
        <v/>
      </c>
      <c r="AP47" s="174">
        <f>Buildings_GridElectricity_Frontend[[#This Row],[Ease of collection]]</f>
        <v>0</v>
      </c>
      <c r="AQ47" s="213">
        <f>Buildings_GridElectricity_Frontend[[#This Row],[Completeness]]</f>
        <v>0</v>
      </c>
      <c r="AR47" s="220">
        <f>Buildings_GridElectricity_Frontend[[#This Row],[Notes]]</f>
        <v>0</v>
      </c>
    </row>
    <row r="48" spans="2:44" x14ac:dyDescent="0.3">
      <c r="E48" s="346"/>
      <c r="F48" s="449"/>
      <c r="G48" s="336"/>
      <c r="H48" s="334"/>
      <c r="I48" s="172" t="s">
        <v>316</v>
      </c>
      <c r="J48" s="337"/>
      <c r="K48" s="336"/>
      <c r="L48" s="336"/>
      <c r="M48" s="337"/>
      <c r="N48" s="242">
        <f t="shared" si="3"/>
        <v>3</v>
      </c>
      <c r="Q48" s="212" t="str">
        <f t="shared" si="2"/>
        <v/>
      </c>
      <c r="R48" s="174" t="s">
        <v>265</v>
      </c>
      <c r="S48" s="174" t="s">
        <v>273</v>
      </c>
      <c r="T48" s="174" t="str">
        <f>_xlfn.XLOOKUP(Buildings_GridElectricity_Backend[[#This Row],[Info 1]],Buildings_SiteInfo[Site name],Buildings_SiteInfo[Site type], "")</f>
        <v/>
      </c>
      <c r="U48" s="174" t="s">
        <v>281</v>
      </c>
      <c r="V48" s="174" t="str" cm="1">
        <f t="array" aca="1" ref="V48" ca="1">_xlfn.XLOOKUP(Buildings_GridElectricity_Backend[[#This Row],[Level 4]],rng_Level4Long,rng_Level5Long)</f>
        <v>Electricity</v>
      </c>
      <c r="W48" s="174" t="str" cm="1">
        <f t="array" aca="1" ref="W48" ca="1">_xlfn.XLOOKUP(Buildings_GridElectricity_Backend[[#This Row],[Level 4]],rng_Level4Long,rng_Level6Long)</f>
        <v>NaN</v>
      </c>
      <c r="X48" s="174">
        <f>Buildings_GridElectricity_Frontend[[#This Row],[Site Name]]</f>
        <v>0</v>
      </c>
      <c r="Y48" s="174">
        <f>Buildings_GridElectricity_Frontend[[#This Row],[Contracting]]</f>
        <v>0</v>
      </c>
      <c r="Z48" s="174">
        <f>Buildings_GridElectricity_Frontend[[#This Row],[Methodology]]</f>
        <v>0</v>
      </c>
      <c r="AA48" s="229" t="str" cm="1">
        <f t="array" ref="AA48">IF(Buildings_GridElectricity_Frontend[[#This Row],[Data]]="","",INDEX(_xlfn.SWITCH(Buildings_GridElectricity_Backend[[#This Row],[Methodology]],"Tier 1",rng_RSD1,"Tier 2",rng_RSD2,"Tier 3",rng_RSD3),MATCH(_xlfn.CONCAT(Buildings_GridElectricity_Backend[[#This Row],[Level 1]:[Level 6]]),rng_LevelsConcat,0)))</f>
        <v/>
      </c>
      <c r="AB48" s="220">
        <f>Buildings_GridElectricity_Frontend[[#This Row],[Data]]</f>
        <v>0</v>
      </c>
      <c r="AC48" s="174" t="str">
        <f>Buildings_GridElectricity_Frontend[[#This Row],[Units]]</f>
        <v>kWh</v>
      </c>
      <c r="AD48" s="218">
        <f>Buildings_GridElectricity_Frontend[[#This Row],[Data]]</f>
        <v>0</v>
      </c>
      <c r="AE48" s="174" t="str">
        <f>Buildings_GridElectricity_Frontend[[#This Row],[Units]]</f>
        <v>kWh</v>
      </c>
      <c r="AF48" s="210" t="str">
        <f>IF(Buildings_GridElectricity_Frontend[[#This Row],[Data]]="","",_xlfn.XLOOKUP(_xlfn.CONCAT(Buildings_GridElectricity_Backend[[#This Row],[Level 1]:[Level 6]]),rng_EFConcat,rng_EF1)*Buildings_GridElectricity_Backend[[#This Row],[Converted data]]/1000)</f>
        <v/>
      </c>
      <c r="AG48" s="210" t="str">
        <f>IF(Buildings_GridElectricity_Frontend[[#This Row],[Data]]="","",_xlfn.XLOOKUP(_xlfn.CONCAT(Buildings_GridElectricity_Backend[[#This Row],[Level 1]:[Level 6]]),rng_EFConcat,rng_EF2)*Buildings_GridElectricity_Backend[[#This Row],[Converted data]]/1000)</f>
        <v/>
      </c>
      <c r="AH48" s="210" t="str">
        <f>IF(Buildings_GridElectricity_Frontend[[#This Row],[Data]]="","",_xlfn.XLOOKUP(_xlfn.CONCAT(Buildings_GridElectricity_Backend[[#This Row],[Level 1]:[Level 6]]),rng_EFConcat,rng_EF3)*Buildings_GridElectricity_Backend[[#This Row],[Converted data]]/1000)</f>
        <v/>
      </c>
      <c r="AI48" s="210" t="str">
        <f>IF(Buildings_GridElectricity_Frontend[[#This Row],[Data]]="","",_xlfn.XLOOKUP(_xlfn.CONCAT(Buildings_GridElectricity_Backend[[#This Row],[Level 1]:[Level 6]]),rng_EFConcat,rng_EF3WTT)*Buildings_GridElectricity_Backend[[#This Row],[Converted data]]/1000)</f>
        <v/>
      </c>
      <c r="AJ48" s="210" t="str">
        <f>IF(Buildings_GridElectricity_Frontend[[#This Row],[Data]]="","",_xlfn.XLOOKUP(_xlfn.CONCAT(Buildings_GridElectricity_Backend[[#This Row],[Level 1]:[Level 6]]),rng_EFConcat,rng_EF3TD)*Buildings_GridElectricity_Backend[[#This Row],[Converted data]]/1000)</f>
        <v/>
      </c>
      <c r="AK48" s="210" t="str">
        <f>IF(Buildings_GridElectricity_Frontend[[#This Row],[Data]]="","",_xlfn.XLOOKUP(_xlfn.CONCAT(Buildings_GridElectricity_Backend[[#This Row],[Level 1]:[Level 6]]),rng_EFConcat,rng_EF3WTTTD)*Buildings_GridElectricity_Backend[[#This Row],[Converted data]]/1000)</f>
        <v/>
      </c>
      <c r="AL48" s="220" t="str">
        <f>IF(Buildings_GridElectricity_Frontend[[#This Row],[Data]]="","",SUM(Buildings_GridElectricity_Backend[[#This Row],[Scope 1 (tCO2e)]:[Scope 3 WTT T&amp;D (tCO2e)]]))</f>
        <v/>
      </c>
      <c r="AM48" s="220" t="str">
        <f>IF(Buildings_GridElectricity_Frontend[[#This Row],[Data]]="","",Buildings_GridElectricity_Backend[[#This Row],[Total (tCO2e)]]*(1-Buildings_GridElectricity_Backend[[#This Row],[RSD]]))</f>
        <v/>
      </c>
      <c r="AN48" s="220" t="str">
        <f>IF(Buildings_GridElectricity_Frontend[[#This Row],[Data]]="","",Buildings_GridElectricity_Backend[[#This Row],[Total (tCO2e)]]*(1+Buildings_GridElectricity_Backend[[#This Row],[RSD]]))</f>
        <v/>
      </c>
      <c r="AO48" s="210" t="str">
        <f>IF(Buildings_GridElectricity_Frontend[[#This Row],[Data]]="","",_xlfn.XLOOKUP(_xlfn.CONCAT(Buildings_GridElectricity_Backend[[#This Row],[Level 1]:[Level 6]]),rng_EFConcat,rng_EFOOS)*Buildings_GridElectricity_Backend[[#This Row],[Converted data]]/1000)</f>
        <v/>
      </c>
      <c r="AP48" s="174">
        <f>Buildings_GridElectricity_Frontend[[#This Row],[Ease of collection]]</f>
        <v>0</v>
      </c>
      <c r="AQ48" s="213">
        <f>Buildings_GridElectricity_Frontend[[#This Row],[Completeness]]</f>
        <v>0</v>
      </c>
      <c r="AR48" s="220">
        <f>Buildings_GridElectricity_Frontend[[#This Row],[Notes]]</f>
        <v>0</v>
      </c>
    </row>
    <row r="49" spans="5:44" x14ac:dyDescent="0.3">
      <c r="E49" s="346"/>
      <c r="F49" s="449"/>
      <c r="G49" s="336"/>
      <c r="H49" s="334"/>
      <c r="I49" s="172" t="s">
        <v>316</v>
      </c>
      <c r="J49" s="337"/>
      <c r="K49" s="336"/>
      <c r="L49" s="336"/>
      <c r="M49" s="337"/>
      <c r="N49" s="242">
        <f t="shared" si="3"/>
        <v>3</v>
      </c>
      <c r="Q49" s="212" t="str">
        <f t="shared" si="2"/>
        <v/>
      </c>
      <c r="R49" s="174" t="s">
        <v>265</v>
      </c>
      <c r="S49" s="174" t="s">
        <v>273</v>
      </c>
      <c r="T49" s="174" t="str">
        <f>_xlfn.XLOOKUP(Buildings_GridElectricity_Backend[[#This Row],[Info 1]],Buildings_SiteInfo[Site name],Buildings_SiteInfo[Site type], "")</f>
        <v/>
      </c>
      <c r="U49" s="174" t="s">
        <v>281</v>
      </c>
      <c r="V49" s="174" t="str" cm="1">
        <f t="array" aca="1" ref="V49" ca="1">_xlfn.XLOOKUP(Buildings_GridElectricity_Backend[[#This Row],[Level 4]],rng_Level4Long,rng_Level5Long)</f>
        <v>Electricity</v>
      </c>
      <c r="W49" s="174" t="str" cm="1">
        <f t="array" aca="1" ref="W49" ca="1">_xlfn.XLOOKUP(Buildings_GridElectricity_Backend[[#This Row],[Level 4]],rng_Level4Long,rng_Level6Long)</f>
        <v>NaN</v>
      </c>
      <c r="X49" s="174">
        <f>Buildings_GridElectricity_Frontend[[#This Row],[Site Name]]</f>
        <v>0</v>
      </c>
      <c r="Y49" s="174">
        <f>Buildings_GridElectricity_Frontend[[#This Row],[Contracting]]</f>
        <v>0</v>
      </c>
      <c r="Z49" s="174">
        <f>Buildings_GridElectricity_Frontend[[#This Row],[Methodology]]</f>
        <v>0</v>
      </c>
      <c r="AA49" s="229" t="str" cm="1">
        <f t="array" ref="AA49">IF(Buildings_GridElectricity_Frontend[[#This Row],[Data]]="","",INDEX(_xlfn.SWITCH(Buildings_GridElectricity_Backend[[#This Row],[Methodology]],"Tier 1",rng_RSD1,"Tier 2",rng_RSD2,"Tier 3",rng_RSD3),MATCH(_xlfn.CONCAT(Buildings_GridElectricity_Backend[[#This Row],[Level 1]:[Level 6]]),rng_LevelsConcat,0)))</f>
        <v/>
      </c>
      <c r="AB49" s="220">
        <f>Buildings_GridElectricity_Frontend[[#This Row],[Data]]</f>
        <v>0</v>
      </c>
      <c r="AC49" s="174" t="str">
        <f>Buildings_GridElectricity_Frontend[[#This Row],[Units]]</f>
        <v>kWh</v>
      </c>
      <c r="AD49" s="218">
        <f>Buildings_GridElectricity_Frontend[[#This Row],[Data]]</f>
        <v>0</v>
      </c>
      <c r="AE49" s="174" t="str">
        <f>Buildings_GridElectricity_Frontend[[#This Row],[Units]]</f>
        <v>kWh</v>
      </c>
      <c r="AF49" s="210" t="str">
        <f>IF(Buildings_GridElectricity_Frontend[[#This Row],[Data]]="","",_xlfn.XLOOKUP(_xlfn.CONCAT(Buildings_GridElectricity_Backend[[#This Row],[Level 1]:[Level 6]]),rng_EFConcat,rng_EF1)*Buildings_GridElectricity_Backend[[#This Row],[Converted data]]/1000)</f>
        <v/>
      </c>
      <c r="AG49" s="210" t="str">
        <f>IF(Buildings_GridElectricity_Frontend[[#This Row],[Data]]="","",_xlfn.XLOOKUP(_xlfn.CONCAT(Buildings_GridElectricity_Backend[[#This Row],[Level 1]:[Level 6]]),rng_EFConcat,rng_EF2)*Buildings_GridElectricity_Backend[[#This Row],[Converted data]]/1000)</f>
        <v/>
      </c>
      <c r="AH49" s="210" t="str">
        <f>IF(Buildings_GridElectricity_Frontend[[#This Row],[Data]]="","",_xlfn.XLOOKUP(_xlfn.CONCAT(Buildings_GridElectricity_Backend[[#This Row],[Level 1]:[Level 6]]),rng_EFConcat,rng_EF3)*Buildings_GridElectricity_Backend[[#This Row],[Converted data]]/1000)</f>
        <v/>
      </c>
      <c r="AI49" s="210" t="str">
        <f>IF(Buildings_GridElectricity_Frontend[[#This Row],[Data]]="","",_xlfn.XLOOKUP(_xlfn.CONCAT(Buildings_GridElectricity_Backend[[#This Row],[Level 1]:[Level 6]]),rng_EFConcat,rng_EF3WTT)*Buildings_GridElectricity_Backend[[#This Row],[Converted data]]/1000)</f>
        <v/>
      </c>
      <c r="AJ49" s="210" t="str">
        <f>IF(Buildings_GridElectricity_Frontend[[#This Row],[Data]]="","",_xlfn.XLOOKUP(_xlfn.CONCAT(Buildings_GridElectricity_Backend[[#This Row],[Level 1]:[Level 6]]),rng_EFConcat,rng_EF3TD)*Buildings_GridElectricity_Backend[[#This Row],[Converted data]]/1000)</f>
        <v/>
      </c>
      <c r="AK49" s="210" t="str">
        <f>IF(Buildings_GridElectricity_Frontend[[#This Row],[Data]]="","",_xlfn.XLOOKUP(_xlfn.CONCAT(Buildings_GridElectricity_Backend[[#This Row],[Level 1]:[Level 6]]),rng_EFConcat,rng_EF3WTTTD)*Buildings_GridElectricity_Backend[[#This Row],[Converted data]]/1000)</f>
        <v/>
      </c>
      <c r="AL49" s="220" t="str">
        <f>IF(Buildings_GridElectricity_Frontend[[#This Row],[Data]]="","",SUM(Buildings_GridElectricity_Backend[[#This Row],[Scope 1 (tCO2e)]:[Scope 3 WTT T&amp;D (tCO2e)]]))</f>
        <v/>
      </c>
      <c r="AM49" s="220" t="str">
        <f>IF(Buildings_GridElectricity_Frontend[[#This Row],[Data]]="","",Buildings_GridElectricity_Backend[[#This Row],[Total (tCO2e)]]*(1-Buildings_GridElectricity_Backend[[#This Row],[RSD]]))</f>
        <v/>
      </c>
      <c r="AN49" s="220" t="str">
        <f>IF(Buildings_GridElectricity_Frontend[[#This Row],[Data]]="","",Buildings_GridElectricity_Backend[[#This Row],[Total (tCO2e)]]*(1+Buildings_GridElectricity_Backend[[#This Row],[RSD]]))</f>
        <v/>
      </c>
      <c r="AO49" s="210" t="str">
        <f>IF(Buildings_GridElectricity_Frontend[[#This Row],[Data]]="","",_xlfn.XLOOKUP(_xlfn.CONCAT(Buildings_GridElectricity_Backend[[#This Row],[Level 1]:[Level 6]]),rng_EFConcat,rng_EFOOS)*Buildings_GridElectricity_Backend[[#This Row],[Converted data]]/1000)</f>
        <v/>
      </c>
      <c r="AP49" s="174">
        <f>Buildings_GridElectricity_Frontend[[#This Row],[Ease of collection]]</f>
        <v>0</v>
      </c>
      <c r="AQ49" s="213">
        <f>Buildings_GridElectricity_Frontend[[#This Row],[Completeness]]</f>
        <v>0</v>
      </c>
      <c r="AR49" s="220">
        <f>Buildings_GridElectricity_Frontend[[#This Row],[Notes]]</f>
        <v>0</v>
      </c>
    </row>
    <row r="50" spans="5:44" x14ac:dyDescent="0.3">
      <c r="E50" s="346"/>
      <c r="F50" s="449"/>
      <c r="G50" s="336"/>
      <c r="H50" s="334"/>
      <c r="I50" s="172" t="s">
        <v>316</v>
      </c>
      <c r="J50" s="337"/>
      <c r="K50" s="336"/>
      <c r="L50" s="336"/>
      <c r="M50" s="337"/>
      <c r="N50" s="242">
        <f t="shared" si="3"/>
        <v>3</v>
      </c>
      <c r="Q50" s="212" t="str">
        <f t="shared" si="2"/>
        <v/>
      </c>
      <c r="R50" s="174" t="s">
        <v>265</v>
      </c>
      <c r="S50" s="174" t="s">
        <v>273</v>
      </c>
      <c r="T50" s="174" t="str">
        <f>_xlfn.XLOOKUP(Buildings_GridElectricity_Backend[[#This Row],[Info 1]],Buildings_SiteInfo[Site name],Buildings_SiteInfo[Site type], "")</f>
        <v/>
      </c>
      <c r="U50" s="174" t="s">
        <v>281</v>
      </c>
      <c r="V50" s="174" t="str" cm="1">
        <f t="array" aca="1" ref="V50" ca="1">_xlfn.XLOOKUP(Buildings_GridElectricity_Backend[[#This Row],[Level 4]],rng_Level4Long,rng_Level5Long)</f>
        <v>Electricity</v>
      </c>
      <c r="W50" s="174" t="str" cm="1">
        <f t="array" aca="1" ref="W50" ca="1">_xlfn.XLOOKUP(Buildings_GridElectricity_Backend[[#This Row],[Level 4]],rng_Level4Long,rng_Level6Long)</f>
        <v>NaN</v>
      </c>
      <c r="X50" s="174">
        <f>Buildings_GridElectricity_Frontend[[#This Row],[Site Name]]</f>
        <v>0</v>
      </c>
      <c r="Y50" s="174">
        <f>Buildings_GridElectricity_Frontend[[#This Row],[Contracting]]</f>
        <v>0</v>
      </c>
      <c r="Z50" s="174">
        <f>Buildings_GridElectricity_Frontend[[#This Row],[Methodology]]</f>
        <v>0</v>
      </c>
      <c r="AA50" s="229" t="str" cm="1">
        <f t="array" ref="AA50">IF(Buildings_GridElectricity_Frontend[[#This Row],[Data]]="","",INDEX(_xlfn.SWITCH(Buildings_GridElectricity_Backend[[#This Row],[Methodology]],"Tier 1",rng_RSD1,"Tier 2",rng_RSD2,"Tier 3",rng_RSD3),MATCH(_xlfn.CONCAT(Buildings_GridElectricity_Backend[[#This Row],[Level 1]:[Level 6]]),rng_LevelsConcat,0)))</f>
        <v/>
      </c>
      <c r="AB50" s="220">
        <f>Buildings_GridElectricity_Frontend[[#This Row],[Data]]</f>
        <v>0</v>
      </c>
      <c r="AC50" s="174" t="str">
        <f>Buildings_GridElectricity_Frontend[[#This Row],[Units]]</f>
        <v>kWh</v>
      </c>
      <c r="AD50" s="218">
        <f>Buildings_GridElectricity_Frontend[[#This Row],[Data]]</f>
        <v>0</v>
      </c>
      <c r="AE50" s="174" t="str">
        <f>Buildings_GridElectricity_Frontend[[#This Row],[Units]]</f>
        <v>kWh</v>
      </c>
      <c r="AF50" s="210" t="str">
        <f>IF(Buildings_GridElectricity_Frontend[[#This Row],[Data]]="","",_xlfn.XLOOKUP(_xlfn.CONCAT(Buildings_GridElectricity_Backend[[#This Row],[Level 1]:[Level 6]]),rng_EFConcat,rng_EF1)*Buildings_GridElectricity_Backend[[#This Row],[Converted data]]/1000)</f>
        <v/>
      </c>
      <c r="AG50" s="210" t="str">
        <f>IF(Buildings_GridElectricity_Frontend[[#This Row],[Data]]="","",_xlfn.XLOOKUP(_xlfn.CONCAT(Buildings_GridElectricity_Backend[[#This Row],[Level 1]:[Level 6]]),rng_EFConcat,rng_EF2)*Buildings_GridElectricity_Backend[[#This Row],[Converted data]]/1000)</f>
        <v/>
      </c>
      <c r="AH50" s="210" t="str">
        <f>IF(Buildings_GridElectricity_Frontend[[#This Row],[Data]]="","",_xlfn.XLOOKUP(_xlfn.CONCAT(Buildings_GridElectricity_Backend[[#This Row],[Level 1]:[Level 6]]),rng_EFConcat,rng_EF3)*Buildings_GridElectricity_Backend[[#This Row],[Converted data]]/1000)</f>
        <v/>
      </c>
      <c r="AI50" s="210" t="str">
        <f>IF(Buildings_GridElectricity_Frontend[[#This Row],[Data]]="","",_xlfn.XLOOKUP(_xlfn.CONCAT(Buildings_GridElectricity_Backend[[#This Row],[Level 1]:[Level 6]]),rng_EFConcat,rng_EF3WTT)*Buildings_GridElectricity_Backend[[#This Row],[Converted data]]/1000)</f>
        <v/>
      </c>
      <c r="AJ50" s="210" t="str">
        <f>IF(Buildings_GridElectricity_Frontend[[#This Row],[Data]]="","",_xlfn.XLOOKUP(_xlfn.CONCAT(Buildings_GridElectricity_Backend[[#This Row],[Level 1]:[Level 6]]),rng_EFConcat,rng_EF3TD)*Buildings_GridElectricity_Backend[[#This Row],[Converted data]]/1000)</f>
        <v/>
      </c>
      <c r="AK50" s="210" t="str">
        <f>IF(Buildings_GridElectricity_Frontend[[#This Row],[Data]]="","",_xlfn.XLOOKUP(_xlfn.CONCAT(Buildings_GridElectricity_Backend[[#This Row],[Level 1]:[Level 6]]),rng_EFConcat,rng_EF3WTTTD)*Buildings_GridElectricity_Backend[[#This Row],[Converted data]]/1000)</f>
        <v/>
      </c>
      <c r="AL50" s="220" t="str">
        <f>IF(Buildings_GridElectricity_Frontend[[#This Row],[Data]]="","",SUM(Buildings_GridElectricity_Backend[[#This Row],[Scope 1 (tCO2e)]:[Scope 3 WTT T&amp;D (tCO2e)]]))</f>
        <v/>
      </c>
      <c r="AM50" s="220" t="str">
        <f>IF(Buildings_GridElectricity_Frontend[[#This Row],[Data]]="","",Buildings_GridElectricity_Backend[[#This Row],[Total (tCO2e)]]*(1-Buildings_GridElectricity_Backend[[#This Row],[RSD]]))</f>
        <v/>
      </c>
      <c r="AN50" s="220" t="str">
        <f>IF(Buildings_GridElectricity_Frontend[[#This Row],[Data]]="","",Buildings_GridElectricity_Backend[[#This Row],[Total (tCO2e)]]*(1+Buildings_GridElectricity_Backend[[#This Row],[RSD]]))</f>
        <v/>
      </c>
      <c r="AO50" s="210" t="str">
        <f>IF(Buildings_GridElectricity_Frontend[[#This Row],[Data]]="","",_xlfn.XLOOKUP(_xlfn.CONCAT(Buildings_GridElectricity_Backend[[#This Row],[Level 1]:[Level 6]]),rng_EFConcat,rng_EFOOS)*Buildings_GridElectricity_Backend[[#This Row],[Converted data]]/1000)</f>
        <v/>
      </c>
      <c r="AP50" s="174">
        <f>Buildings_GridElectricity_Frontend[[#This Row],[Ease of collection]]</f>
        <v>0</v>
      </c>
      <c r="AQ50" s="213">
        <f>Buildings_GridElectricity_Frontend[[#This Row],[Completeness]]</f>
        <v>0</v>
      </c>
      <c r="AR50" s="220">
        <f>Buildings_GridElectricity_Frontend[[#This Row],[Notes]]</f>
        <v>0</v>
      </c>
    </row>
    <row r="51" spans="5:44" x14ac:dyDescent="0.3">
      <c r="E51" s="346"/>
      <c r="F51" s="449"/>
      <c r="G51" s="336"/>
      <c r="H51" s="334"/>
      <c r="I51" s="172" t="s">
        <v>316</v>
      </c>
      <c r="J51" s="337"/>
      <c r="K51" s="336"/>
      <c r="L51" s="336"/>
      <c r="M51" s="337"/>
      <c r="N51" s="242">
        <f t="shared" si="3"/>
        <v>3</v>
      </c>
      <c r="Q51" s="212" t="str">
        <f t="shared" si="2"/>
        <v/>
      </c>
      <c r="R51" s="174" t="s">
        <v>265</v>
      </c>
      <c r="S51" s="174" t="s">
        <v>273</v>
      </c>
      <c r="T51" s="174" t="str">
        <f>_xlfn.XLOOKUP(Buildings_GridElectricity_Backend[[#This Row],[Info 1]],Buildings_SiteInfo[Site name],Buildings_SiteInfo[Site type], "")</f>
        <v/>
      </c>
      <c r="U51" s="174" t="s">
        <v>281</v>
      </c>
      <c r="V51" s="174" t="str" cm="1">
        <f t="array" aca="1" ref="V51" ca="1">_xlfn.XLOOKUP(Buildings_GridElectricity_Backend[[#This Row],[Level 4]],rng_Level4Long,rng_Level5Long)</f>
        <v>Electricity</v>
      </c>
      <c r="W51" s="174" t="str" cm="1">
        <f t="array" aca="1" ref="W51" ca="1">_xlfn.XLOOKUP(Buildings_GridElectricity_Backend[[#This Row],[Level 4]],rng_Level4Long,rng_Level6Long)</f>
        <v>NaN</v>
      </c>
      <c r="X51" s="174">
        <f>Buildings_GridElectricity_Frontend[[#This Row],[Site Name]]</f>
        <v>0</v>
      </c>
      <c r="Y51" s="174">
        <f>Buildings_GridElectricity_Frontend[[#This Row],[Contracting]]</f>
        <v>0</v>
      </c>
      <c r="Z51" s="174">
        <f>Buildings_GridElectricity_Frontend[[#This Row],[Methodology]]</f>
        <v>0</v>
      </c>
      <c r="AA51" s="229" t="str" cm="1">
        <f t="array" ref="AA51">IF(Buildings_GridElectricity_Frontend[[#This Row],[Data]]="","",INDEX(_xlfn.SWITCH(Buildings_GridElectricity_Backend[[#This Row],[Methodology]],"Tier 1",rng_RSD1,"Tier 2",rng_RSD2,"Tier 3",rng_RSD3),MATCH(_xlfn.CONCAT(Buildings_GridElectricity_Backend[[#This Row],[Level 1]:[Level 6]]),rng_LevelsConcat,0)))</f>
        <v/>
      </c>
      <c r="AB51" s="220">
        <f>Buildings_GridElectricity_Frontend[[#This Row],[Data]]</f>
        <v>0</v>
      </c>
      <c r="AC51" s="174" t="str">
        <f>Buildings_GridElectricity_Frontend[[#This Row],[Units]]</f>
        <v>kWh</v>
      </c>
      <c r="AD51" s="218">
        <f>Buildings_GridElectricity_Frontend[[#This Row],[Data]]</f>
        <v>0</v>
      </c>
      <c r="AE51" s="174" t="str">
        <f>Buildings_GridElectricity_Frontend[[#This Row],[Units]]</f>
        <v>kWh</v>
      </c>
      <c r="AF51" s="210" t="str">
        <f>IF(Buildings_GridElectricity_Frontend[[#This Row],[Data]]="","",_xlfn.XLOOKUP(_xlfn.CONCAT(Buildings_GridElectricity_Backend[[#This Row],[Level 1]:[Level 6]]),rng_EFConcat,rng_EF1)*Buildings_GridElectricity_Backend[[#This Row],[Converted data]]/1000)</f>
        <v/>
      </c>
      <c r="AG51" s="210" t="str">
        <f>IF(Buildings_GridElectricity_Frontend[[#This Row],[Data]]="","",_xlfn.XLOOKUP(_xlfn.CONCAT(Buildings_GridElectricity_Backend[[#This Row],[Level 1]:[Level 6]]),rng_EFConcat,rng_EF2)*Buildings_GridElectricity_Backend[[#This Row],[Converted data]]/1000)</f>
        <v/>
      </c>
      <c r="AH51" s="210" t="str">
        <f>IF(Buildings_GridElectricity_Frontend[[#This Row],[Data]]="","",_xlfn.XLOOKUP(_xlfn.CONCAT(Buildings_GridElectricity_Backend[[#This Row],[Level 1]:[Level 6]]),rng_EFConcat,rng_EF3)*Buildings_GridElectricity_Backend[[#This Row],[Converted data]]/1000)</f>
        <v/>
      </c>
      <c r="AI51" s="210" t="str">
        <f>IF(Buildings_GridElectricity_Frontend[[#This Row],[Data]]="","",_xlfn.XLOOKUP(_xlfn.CONCAT(Buildings_GridElectricity_Backend[[#This Row],[Level 1]:[Level 6]]),rng_EFConcat,rng_EF3WTT)*Buildings_GridElectricity_Backend[[#This Row],[Converted data]]/1000)</f>
        <v/>
      </c>
      <c r="AJ51" s="210" t="str">
        <f>IF(Buildings_GridElectricity_Frontend[[#This Row],[Data]]="","",_xlfn.XLOOKUP(_xlfn.CONCAT(Buildings_GridElectricity_Backend[[#This Row],[Level 1]:[Level 6]]),rng_EFConcat,rng_EF3TD)*Buildings_GridElectricity_Backend[[#This Row],[Converted data]]/1000)</f>
        <v/>
      </c>
      <c r="AK51" s="210" t="str">
        <f>IF(Buildings_GridElectricity_Frontend[[#This Row],[Data]]="","",_xlfn.XLOOKUP(_xlfn.CONCAT(Buildings_GridElectricity_Backend[[#This Row],[Level 1]:[Level 6]]),rng_EFConcat,rng_EF3WTTTD)*Buildings_GridElectricity_Backend[[#This Row],[Converted data]]/1000)</f>
        <v/>
      </c>
      <c r="AL51" s="220" t="str">
        <f>IF(Buildings_GridElectricity_Frontend[[#This Row],[Data]]="","",SUM(Buildings_GridElectricity_Backend[[#This Row],[Scope 1 (tCO2e)]:[Scope 3 WTT T&amp;D (tCO2e)]]))</f>
        <v/>
      </c>
      <c r="AM51" s="220" t="str">
        <f>IF(Buildings_GridElectricity_Frontend[[#This Row],[Data]]="","",Buildings_GridElectricity_Backend[[#This Row],[Total (tCO2e)]]*(1-Buildings_GridElectricity_Backend[[#This Row],[RSD]]))</f>
        <v/>
      </c>
      <c r="AN51" s="220" t="str">
        <f>IF(Buildings_GridElectricity_Frontend[[#This Row],[Data]]="","",Buildings_GridElectricity_Backend[[#This Row],[Total (tCO2e)]]*(1+Buildings_GridElectricity_Backend[[#This Row],[RSD]]))</f>
        <v/>
      </c>
      <c r="AO51" s="210" t="str">
        <f>IF(Buildings_GridElectricity_Frontend[[#This Row],[Data]]="","",_xlfn.XLOOKUP(_xlfn.CONCAT(Buildings_GridElectricity_Backend[[#This Row],[Level 1]:[Level 6]]),rng_EFConcat,rng_EFOOS)*Buildings_GridElectricity_Backend[[#This Row],[Converted data]]/1000)</f>
        <v/>
      </c>
      <c r="AP51" s="174">
        <f>Buildings_GridElectricity_Frontend[[#This Row],[Ease of collection]]</f>
        <v>0</v>
      </c>
      <c r="AQ51" s="213">
        <f>Buildings_GridElectricity_Frontend[[#This Row],[Completeness]]</f>
        <v>0</v>
      </c>
      <c r="AR51" s="220">
        <f>Buildings_GridElectricity_Frontend[[#This Row],[Notes]]</f>
        <v>0</v>
      </c>
    </row>
    <row r="52" spans="5:44" x14ac:dyDescent="0.3">
      <c r="E52" s="346"/>
      <c r="F52" s="449"/>
      <c r="G52" s="336"/>
      <c r="H52" s="334"/>
      <c r="I52" s="172" t="s">
        <v>316</v>
      </c>
      <c r="J52" s="337"/>
      <c r="K52" s="336"/>
      <c r="L52" s="336"/>
      <c r="M52" s="337"/>
      <c r="N52" s="242">
        <f t="shared" si="3"/>
        <v>3</v>
      </c>
      <c r="Q52" s="212" t="str">
        <f t="shared" si="2"/>
        <v/>
      </c>
      <c r="R52" s="174" t="s">
        <v>265</v>
      </c>
      <c r="S52" s="174" t="s">
        <v>273</v>
      </c>
      <c r="T52" s="174" t="str">
        <f>_xlfn.XLOOKUP(Buildings_GridElectricity_Backend[[#This Row],[Info 1]],Buildings_SiteInfo[Site name],Buildings_SiteInfo[Site type], "")</f>
        <v/>
      </c>
      <c r="U52" s="174" t="s">
        <v>281</v>
      </c>
      <c r="V52" s="174" t="str" cm="1">
        <f t="array" aca="1" ref="V52" ca="1">_xlfn.XLOOKUP(Buildings_GridElectricity_Backend[[#This Row],[Level 4]],rng_Level4Long,rng_Level5Long)</f>
        <v>Electricity</v>
      </c>
      <c r="W52" s="174" t="str" cm="1">
        <f t="array" aca="1" ref="W52" ca="1">_xlfn.XLOOKUP(Buildings_GridElectricity_Backend[[#This Row],[Level 4]],rng_Level4Long,rng_Level6Long)</f>
        <v>NaN</v>
      </c>
      <c r="X52" s="174">
        <f>Buildings_GridElectricity_Frontend[[#This Row],[Site Name]]</f>
        <v>0</v>
      </c>
      <c r="Y52" s="174">
        <f>Buildings_GridElectricity_Frontend[[#This Row],[Contracting]]</f>
        <v>0</v>
      </c>
      <c r="Z52" s="174">
        <f>Buildings_GridElectricity_Frontend[[#This Row],[Methodology]]</f>
        <v>0</v>
      </c>
      <c r="AA52" s="229" t="str" cm="1">
        <f t="array" ref="AA52">IF(Buildings_GridElectricity_Frontend[[#This Row],[Data]]="","",INDEX(_xlfn.SWITCH(Buildings_GridElectricity_Backend[[#This Row],[Methodology]],"Tier 1",rng_RSD1,"Tier 2",rng_RSD2,"Tier 3",rng_RSD3),MATCH(_xlfn.CONCAT(Buildings_GridElectricity_Backend[[#This Row],[Level 1]:[Level 6]]),rng_LevelsConcat,0)))</f>
        <v/>
      </c>
      <c r="AB52" s="220">
        <f>Buildings_GridElectricity_Frontend[[#This Row],[Data]]</f>
        <v>0</v>
      </c>
      <c r="AC52" s="174" t="str">
        <f>Buildings_GridElectricity_Frontend[[#This Row],[Units]]</f>
        <v>kWh</v>
      </c>
      <c r="AD52" s="218">
        <f>Buildings_GridElectricity_Frontend[[#This Row],[Data]]</f>
        <v>0</v>
      </c>
      <c r="AE52" s="174" t="str">
        <f>Buildings_GridElectricity_Frontend[[#This Row],[Units]]</f>
        <v>kWh</v>
      </c>
      <c r="AF52" s="210" t="str">
        <f>IF(Buildings_GridElectricity_Frontend[[#This Row],[Data]]="","",_xlfn.XLOOKUP(_xlfn.CONCAT(Buildings_GridElectricity_Backend[[#This Row],[Level 1]:[Level 6]]),rng_EFConcat,rng_EF1)*Buildings_GridElectricity_Backend[[#This Row],[Converted data]]/1000)</f>
        <v/>
      </c>
      <c r="AG52" s="210" t="str">
        <f>IF(Buildings_GridElectricity_Frontend[[#This Row],[Data]]="","",_xlfn.XLOOKUP(_xlfn.CONCAT(Buildings_GridElectricity_Backend[[#This Row],[Level 1]:[Level 6]]),rng_EFConcat,rng_EF2)*Buildings_GridElectricity_Backend[[#This Row],[Converted data]]/1000)</f>
        <v/>
      </c>
      <c r="AH52" s="210" t="str">
        <f>IF(Buildings_GridElectricity_Frontend[[#This Row],[Data]]="","",_xlfn.XLOOKUP(_xlfn.CONCAT(Buildings_GridElectricity_Backend[[#This Row],[Level 1]:[Level 6]]),rng_EFConcat,rng_EF3)*Buildings_GridElectricity_Backend[[#This Row],[Converted data]]/1000)</f>
        <v/>
      </c>
      <c r="AI52" s="210" t="str">
        <f>IF(Buildings_GridElectricity_Frontend[[#This Row],[Data]]="","",_xlfn.XLOOKUP(_xlfn.CONCAT(Buildings_GridElectricity_Backend[[#This Row],[Level 1]:[Level 6]]),rng_EFConcat,rng_EF3WTT)*Buildings_GridElectricity_Backend[[#This Row],[Converted data]]/1000)</f>
        <v/>
      </c>
      <c r="AJ52" s="210" t="str">
        <f>IF(Buildings_GridElectricity_Frontend[[#This Row],[Data]]="","",_xlfn.XLOOKUP(_xlfn.CONCAT(Buildings_GridElectricity_Backend[[#This Row],[Level 1]:[Level 6]]),rng_EFConcat,rng_EF3TD)*Buildings_GridElectricity_Backend[[#This Row],[Converted data]]/1000)</f>
        <v/>
      </c>
      <c r="AK52" s="210" t="str">
        <f>IF(Buildings_GridElectricity_Frontend[[#This Row],[Data]]="","",_xlfn.XLOOKUP(_xlfn.CONCAT(Buildings_GridElectricity_Backend[[#This Row],[Level 1]:[Level 6]]),rng_EFConcat,rng_EF3WTTTD)*Buildings_GridElectricity_Backend[[#This Row],[Converted data]]/1000)</f>
        <v/>
      </c>
      <c r="AL52" s="220" t="str">
        <f>IF(Buildings_GridElectricity_Frontend[[#This Row],[Data]]="","",SUM(Buildings_GridElectricity_Backend[[#This Row],[Scope 1 (tCO2e)]:[Scope 3 WTT T&amp;D (tCO2e)]]))</f>
        <v/>
      </c>
      <c r="AM52" s="220" t="str">
        <f>IF(Buildings_GridElectricity_Frontend[[#This Row],[Data]]="","",Buildings_GridElectricity_Backend[[#This Row],[Total (tCO2e)]]*(1-Buildings_GridElectricity_Backend[[#This Row],[RSD]]))</f>
        <v/>
      </c>
      <c r="AN52" s="220" t="str">
        <f>IF(Buildings_GridElectricity_Frontend[[#This Row],[Data]]="","",Buildings_GridElectricity_Backend[[#This Row],[Total (tCO2e)]]*(1+Buildings_GridElectricity_Backend[[#This Row],[RSD]]))</f>
        <v/>
      </c>
      <c r="AO52" s="210" t="str">
        <f>IF(Buildings_GridElectricity_Frontend[[#This Row],[Data]]="","",_xlfn.XLOOKUP(_xlfn.CONCAT(Buildings_GridElectricity_Backend[[#This Row],[Level 1]:[Level 6]]),rng_EFConcat,rng_EFOOS)*Buildings_GridElectricity_Backend[[#This Row],[Converted data]]/1000)</f>
        <v/>
      </c>
      <c r="AP52" s="174">
        <f>Buildings_GridElectricity_Frontend[[#This Row],[Ease of collection]]</f>
        <v>0</v>
      </c>
      <c r="AQ52" s="213">
        <f>Buildings_GridElectricity_Frontend[[#This Row],[Completeness]]</f>
        <v>0</v>
      </c>
      <c r="AR52" s="220">
        <f>Buildings_GridElectricity_Frontend[[#This Row],[Notes]]</f>
        <v>0</v>
      </c>
    </row>
    <row r="53" spans="5:44" x14ac:dyDescent="0.3">
      <c r="E53" s="346"/>
      <c r="F53" s="449"/>
      <c r="G53" s="336"/>
      <c r="H53" s="334"/>
      <c r="I53" s="172" t="s">
        <v>316</v>
      </c>
      <c r="J53" s="337"/>
      <c r="K53" s="336"/>
      <c r="L53" s="336"/>
      <c r="M53" s="337"/>
      <c r="N53" s="242">
        <f t="shared" si="3"/>
        <v>3</v>
      </c>
      <c r="Q53" s="212" t="str">
        <f t="shared" si="2"/>
        <v/>
      </c>
      <c r="R53" s="174" t="s">
        <v>265</v>
      </c>
      <c r="S53" s="174" t="s">
        <v>273</v>
      </c>
      <c r="T53" s="174" t="str">
        <f>_xlfn.XLOOKUP(Buildings_GridElectricity_Backend[[#This Row],[Info 1]],Buildings_SiteInfo[Site name],Buildings_SiteInfo[Site type], "")</f>
        <v/>
      </c>
      <c r="U53" s="174" t="s">
        <v>281</v>
      </c>
      <c r="V53" s="174" t="str" cm="1">
        <f t="array" aca="1" ref="V53" ca="1">_xlfn.XLOOKUP(Buildings_GridElectricity_Backend[[#This Row],[Level 4]],rng_Level4Long,rng_Level5Long)</f>
        <v>Electricity</v>
      </c>
      <c r="W53" s="174" t="str" cm="1">
        <f t="array" aca="1" ref="W53" ca="1">_xlfn.XLOOKUP(Buildings_GridElectricity_Backend[[#This Row],[Level 4]],rng_Level4Long,rng_Level6Long)</f>
        <v>NaN</v>
      </c>
      <c r="X53" s="174">
        <f>Buildings_GridElectricity_Frontend[[#This Row],[Site Name]]</f>
        <v>0</v>
      </c>
      <c r="Y53" s="174">
        <f>Buildings_GridElectricity_Frontend[[#This Row],[Contracting]]</f>
        <v>0</v>
      </c>
      <c r="Z53" s="174">
        <f>Buildings_GridElectricity_Frontend[[#This Row],[Methodology]]</f>
        <v>0</v>
      </c>
      <c r="AA53" s="229" t="str" cm="1">
        <f t="array" ref="AA53">IF(Buildings_GridElectricity_Frontend[[#This Row],[Data]]="","",INDEX(_xlfn.SWITCH(Buildings_GridElectricity_Backend[[#This Row],[Methodology]],"Tier 1",rng_RSD1,"Tier 2",rng_RSD2,"Tier 3",rng_RSD3),MATCH(_xlfn.CONCAT(Buildings_GridElectricity_Backend[[#This Row],[Level 1]:[Level 6]]),rng_LevelsConcat,0)))</f>
        <v/>
      </c>
      <c r="AB53" s="220">
        <f>Buildings_GridElectricity_Frontend[[#This Row],[Data]]</f>
        <v>0</v>
      </c>
      <c r="AC53" s="174" t="str">
        <f>Buildings_GridElectricity_Frontend[[#This Row],[Units]]</f>
        <v>kWh</v>
      </c>
      <c r="AD53" s="218">
        <f>Buildings_GridElectricity_Frontend[[#This Row],[Data]]</f>
        <v>0</v>
      </c>
      <c r="AE53" s="174" t="str">
        <f>Buildings_GridElectricity_Frontend[[#This Row],[Units]]</f>
        <v>kWh</v>
      </c>
      <c r="AF53" s="210" t="str">
        <f>IF(Buildings_GridElectricity_Frontend[[#This Row],[Data]]="","",_xlfn.XLOOKUP(_xlfn.CONCAT(Buildings_GridElectricity_Backend[[#This Row],[Level 1]:[Level 6]]),rng_EFConcat,rng_EF1)*Buildings_GridElectricity_Backend[[#This Row],[Converted data]]/1000)</f>
        <v/>
      </c>
      <c r="AG53" s="210" t="str">
        <f>IF(Buildings_GridElectricity_Frontend[[#This Row],[Data]]="","",_xlfn.XLOOKUP(_xlfn.CONCAT(Buildings_GridElectricity_Backend[[#This Row],[Level 1]:[Level 6]]),rng_EFConcat,rng_EF2)*Buildings_GridElectricity_Backend[[#This Row],[Converted data]]/1000)</f>
        <v/>
      </c>
      <c r="AH53" s="210" t="str">
        <f>IF(Buildings_GridElectricity_Frontend[[#This Row],[Data]]="","",_xlfn.XLOOKUP(_xlfn.CONCAT(Buildings_GridElectricity_Backend[[#This Row],[Level 1]:[Level 6]]),rng_EFConcat,rng_EF3)*Buildings_GridElectricity_Backend[[#This Row],[Converted data]]/1000)</f>
        <v/>
      </c>
      <c r="AI53" s="210" t="str">
        <f>IF(Buildings_GridElectricity_Frontend[[#This Row],[Data]]="","",_xlfn.XLOOKUP(_xlfn.CONCAT(Buildings_GridElectricity_Backend[[#This Row],[Level 1]:[Level 6]]),rng_EFConcat,rng_EF3WTT)*Buildings_GridElectricity_Backend[[#This Row],[Converted data]]/1000)</f>
        <v/>
      </c>
      <c r="AJ53" s="210" t="str">
        <f>IF(Buildings_GridElectricity_Frontend[[#This Row],[Data]]="","",_xlfn.XLOOKUP(_xlfn.CONCAT(Buildings_GridElectricity_Backend[[#This Row],[Level 1]:[Level 6]]),rng_EFConcat,rng_EF3TD)*Buildings_GridElectricity_Backend[[#This Row],[Converted data]]/1000)</f>
        <v/>
      </c>
      <c r="AK53" s="210" t="str">
        <f>IF(Buildings_GridElectricity_Frontend[[#This Row],[Data]]="","",_xlfn.XLOOKUP(_xlfn.CONCAT(Buildings_GridElectricity_Backend[[#This Row],[Level 1]:[Level 6]]),rng_EFConcat,rng_EF3WTTTD)*Buildings_GridElectricity_Backend[[#This Row],[Converted data]]/1000)</f>
        <v/>
      </c>
      <c r="AL53" s="220" t="str">
        <f>IF(Buildings_GridElectricity_Frontend[[#This Row],[Data]]="","",SUM(Buildings_GridElectricity_Backend[[#This Row],[Scope 1 (tCO2e)]:[Scope 3 WTT T&amp;D (tCO2e)]]))</f>
        <v/>
      </c>
      <c r="AM53" s="220" t="str">
        <f>IF(Buildings_GridElectricity_Frontend[[#This Row],[Data]]="","",Buildings_GridElectricity_Backend[[#This Row],[Total (tCO2e)]]*(1-Buildings_GridElectricity_Backend[[#This Row],[RSD]]))</f>
        <v/>
      </c>
      <c r="AN53" s="220" t="str">
        <f>IF(Buildings_GridElectricity_Frontend[[#This Row],[Data]]="","",Buildings_GridElectricity_Backend[[#This Row],[Total (tCO2e)]]*(1+Buildings_GridElectricity_Backend[[#This Row],[RSD]]))</f>
        <v/>
      </c>
      <c r="AO53" s="210" t="str">
        <f>IF(Buildings_GridElectricity_Frontend[[#This Row],[Data]]="","",_xlfn.XLOOKUP(_xlfn.CONCAT(Buildings_GridElectricity_Backend[[#This Row],[Level 1]:[Level 6]]),rng_EFConcat,rng_EFOOS)*Buildings_GridElectricity_Backend[[#This Row],[Converted data]]/1000)</f>
        <v/>
      </c>
      <c r="AP53" s="174">
        <f>Buildings_GridElectricity_Frontend[[#This Row],[Ease of collection]]</f>
        <v>0</v>
      </c>
      <c r="AQ53" s="213">
        <f>Buildings_GridElectricity_Frontend[[#This Row],[Completeness]]</f>
        <v>0</v>
      </c>
      <c r="AR53" s="220">
        <f>Buildings_GridElectricity_Frontend[[#This Row],[Notes]]</f>
        <v>0</v>
      </c>
    </row>
    <row r="54" spans="5:44" x14ac:dyDescent="0.3">
      <c r="E54" s="346"/>
      <c r="F54" s="449"/>
      <c r="G54" s="336"/>
      <c r="H54" s="334"/>
      <c r="I54" s="172" t="s">
        <v>316</v>
      </c>
      <c r="J54" s="337"/>
      <c r="K54" s="336"/>
      <c r="L54" s="336"/>
      <c r="M54" s="337"/>
      <c r="N54" s="242">
        <f t="shared" si="3"/>
        <v>3</v>
      </c>
      <c r="Q54" s="212" t="str">
        <f t="shared" si="2"/>
        <v/>
      </c>
      <c r="R54" s="174" t="s">
        <v>265</v>
      </c>
      <c r="S54" s="174" t="s">
        <v>273</v>
      </c>
      <c r="T54" s="174" t="str">
        <f>_xlfn.XLOOKUP(Buildings_GridElectricity_Backend[[#This Row],[Info 1]],Buildings_SiteInfo[Site name],Buildings_SiteInfo[Site type], "")</f>
        <v/>
      </c>
      <c r="U54" s="174" t="s">
        <v>281</v>
      </c>
      <c r="V54" s="174" t="str" cm="1">
        <f t="array" aca="1" ref="V54" ca="1">_xlfn.XLOOKUP(Buildings_GridElectricity_Backend[[#This Row],[Level 4]],rng_Level4Long,rng_Level5Long)</f>
        <v>Electricity</v>
      </c>
      <c r="W54" s="174" t="str" cm="1">
        <f t="array" aca="1" ref="W54" ca="1">_xlfn.XLOOKUP(Buildings_GridElectricity_Backend[[#This Row],[Level 4]],rng_Level4Long,rng_Level6Long)</f>
        <v>NaN</v>
      </c>
      <c r="X54" s="174">
        <f>Buildings_GridElectricity_Frontend[[#This Row],[Site Name]]</f>
        <v>0</v>
      </c>
      <c r="Y54" s="174">
        <f>Buildings_GridElectricity_Frontend[[#This Row],[Contracting]]</f>
        <v>0</v>
      </c>
      <c r="Z54" s="174">
        <f>Buildings_GridElectricity_Frontend[[#This Row],[Methodology]]</f>
        <v>0</v>
      </c>
      <c r="AA54" s="229" t="str" cm="1">
        <f t="array" ref="AA54">IF(Buildings_GridElectricity_Frontend[[#This Row],[Data]]="","",INDEX(_xlfn.SWITCH(Buildings_GridElectricity_Backend[[#This Row],[Methodology]],"Tier 1",rng_RSD1,"Tier 2",rng_RSD2,"Tier 3",rng_RSD3),MATCH(_xlfn.CONCAT(Buildings_GridElectricity_Backend[[#This Row],[Level 1]:[Level 6]]),rng_LevelsConcat,0)))</f>
        <v/>
      </c>
      <c r="AB54" s="220">
        <f>Buildings_GridElectricity_Frontend[[#This Row],[Data]]</f>
        <v>0</v>
      </c>
      <c r="AC54" s="174" t="str">
        <f>Buildings_GridElectricity_Frontend[[#This Row],[Units]]</f>
        <v>kWh</v>
      </c>
      <c r="AD54" s="218">
        <f>Buildings_GridElectricity_Frontend[[#This Row],[Data]]</f>
        <v>0</v>
      </c>
      <c r="AE54" s="174" t="str">
        <f>Buildings_GridElectricity_Frontend[[#This Row],[Units]]</f>
        <v>kWh</v>
      </c>
      <c r="AF54" s="210" t="str">
        <f>IF(Buildings_GridElectricity_Frontend[[#This Row],[Data]]="","",_xlfn.XLOOKUP(_xlfn.CONCAT(Buildings_GridElectricity_Backend[[#This Row],[Level 1]:[Level 6]]),rng_EFConcat,rng_EF1)*Buildings_GridElectricity_Backend[[#This Row],[Converted data]]/1000)</f>
        <v/>
      </c>
      <c r="AG54" s="210" t="str">
        <f>IF(Buildings_GridElectricity_Frontend[[#This Row],[Data]]="","",_xlfn.XLOOKUP(_xlfn.CONCAT(Buildings_GridElectricity_Backend[[#This Row],[Level 1]:[Level 6]]),rng_EFConcat,rng_EF2)*Buildings_GridElectricity_Backend[[#This Row],[Converted data]]/1000)</f>
        <v/>
      </c>
      <c r="AH54" s="210" t="str">
        <f>IF(Buildings_GridElectricity_Frontend[[#This Row],[Data]]="","",_xlfn.XLOOKUP(_xlfn.CONCAT(Buildings_GridElectricity_Backend[[#This Row],[Level 1]:[Level 6]]),rng_EFConcat,rng_EF3)*Buildings_GridElectricity_Backend[[#This Row],[Converted data]]/1000)</f>
        <v/>
      </c>
      <c r="AI54" s="210" t="str">
        <f>IF(Buildings_GridElectricity_Frontend[[#This Row],[Data]]="","",_xlfn.XLOOKUP(_xlfn.CONCAT(Buildings_GridElectricity_Backend[[#This Row],[Level 1]:[Level 6]]),rng_EFConcat,rng_EF3WTT)*Buildings_GridElectricity_Backend[[#This Row],[Converted data]]/1000)</f>
        <v/>
      </c>
      <c r="AJ54" s="210" t="str">
        <f>IF(Buildings_GridElectricity_Frontend[[#This Row],[Data]]="","",_xlfn.XLOOKUP(_xlfn.CONCAT(Buildings_GridElectricity_Backend[[#This Row],[Level 1]:[Level 6]]),rng_EFConcat,rng_EF3TD)*Buildings_GridElectricity_Backend[[#This Row],[Converted data]]/1000)</f>
        <v/>
      </c>
      <c r="AK54" s="210" t="str">
        <f>IF(Buildings_GridElectricity_Frontend[[#This Row],[Data]]="","",_xlfn.XLOOKUP(_xlfn.CONCAT(Buildings_GridElectricity_Backend[[#This Row],[Level 1]:[Level 6]]),rng_EFConcat,rng_EF3WTTTD)*Buildings_GridElectricity_Backend[[#This Row],[Converted data]]/1000)</f>
        <v/>
      </c>
      <c r="AL54" s="220" t="str">
        <f>IF(Buildings_GridElectricity_Frontend[[#This Row],[Data]]="","",SUM(Buildings_GridElectricity_Backend[[#This Row],[Scope 1 (tCO2e)]:[Scope 3 WTT T&amp;D (tCO2e)]]))</f>
        <v/>
      </c>
      <c r="AM54" s="220" t="str">
        <f>IF(Buildings_GridElectricity_Frontend[[#This Row],[Data]]="","",Buildings_GridElectricity_Backend[[#This Row],[Total (tCO2e)]]*(1-Buildings_GridElectricity_Backend[[#This Row],[RSD]]))</f>
        <v/>
      </c>
      <c r="AN54" s="220" t="str">
        <f>IF(Buildings_GridElectricity_Frontend[[#This Row],[Data]]="","",Buildings_GridElectricity_Backend[[#This Row],[Total (tCO2e)]]*(1+Buildings_GridElectricity_Backend[[#This Row],[RSD]]))</f>
        <v/>
      </c>
      <c r="AO54" s="210" t="str">
        <f>IF(Buildings_GridElectricity_Frontend[[#This Row],[Data]]="","",_xlfn.XLOOKUP(_xlfn.CONCAT(Buildings_GridElectricity_Backend[[#This Row],[Level 1]:[Level 6]]),rng_EFConcat,rng_EFOOS)*Buildings_GridElectricity_Backend[[#This Row],[Converted data]]/1000)</f>
        <v/>
      </c>
      <c r="AP54" s="174">
        <f>Buildings_GridElectricity_Frontend[[#This Row],[Ease of collection]]</f>
        <v>0</v>
      </c>
      <c r="AQ54" s="213">
        <f>Buildings_GridElectricity_Frontend[[#This Row],[Completeness]]</f>
        <v>0</v>
      </c>
      <c r="AR54" s="220">
        <f>Buildings_GridElectricity_Frontend[[#This Row],[Notes]]</f>
        <v>0</v>
      </c>
    </row>
    <row r="55" spans="5:44" x14ac:dyDescent="0.3">
      <c r="E55" s="346"/>
      <c r="F55" s="449"/>
      <c r="G55" s="336"/>
      <c r="H55" s="334"/>
      <c r="I55" s="172" t="s">
        <v>316</v>
      </c>
      <c r="J55" s="337"/>
      <c r="K55" s="336"/>
      <c r="L55" s="336"/>
      <c r="M55" s="337"/>
      <c r="N55" s="242">
        <f t="shared" si="3"/>
        <v>3</v>
      </c>
      <c r="Q55" s="212" t="str">
        <f t="shared" si="2"/>
        <v/>
      </c>
      <c r="R55" s="174" t="s">
        <v>265</v>
      </c>
      <c r="S55" s="174" t="s">
        <v>273</v>
      </c>
      <c r="T55" s="174" t="str">
        <f>_xlfn.XLOOKUP(Buildings_GridElectricity_Backend[[#This Row],[Info 1]],Buildings_SiteInfo[Site name],Buildings_SiteInfo[Site type], "")</f>
        <v/>
      </c>
      <c r="U55" s="174" t="s">
        <v>281</v>
      </c>
      <c r="V55" s="174" t="str" cm="1">
        <f t="array" aca="1" ref="V55" ca="1">_xlfn.XLOOKUP(Buildings_GridElectricity_Backend[[#This Row],[Level 4]],rng_Level4Long,rng_Level5Long)</f>
        <v>Electricity</v>
      </c>
      <c r="W55" s="174" t="str" cm="1">
        <f t="array" aca="1" ref="W55" ca="1">_xlfn.XLOOKUP(Buildings_GridElectricity_Backend[[#This Row],[Level 4]],rng_Level4Long,rng_Level6Long)</f>
        <v>NaN</v>
      </c>
      <c r="X55" s="174">
        <f>Buildings_GridElectricity_Frontend[[#This Row],[Site Name]]</f>
        <v>0</v>
      </c>
      <c r="Y55" s="174">
        <f>Buildings_GridElectricity_Frontend[[#This Row],[Contracting]]</f>
        <v>0</v>
      </c>
      <c r="Z55" s="174">
        <f>Buildings_GridElectricity_Frontend[[#This Row],[Methodology]]</f>
        <v>0</v>
      </c>
      <c r="AA55" s="229" t="str" cm="1">
        <f t="array" ref="AA55">IF(Buildings_GridElectricity_Frontend[[#This Row],[Data]]="","",INDEX(_xlfn.SWITCH(Buildings_GridElectricity_Backend[[#This Row],[Methodology]],"Tier 1",rng_RSD1,"Tier 2",rng_RSD2,"Tier 3",rng_RSD3),MATCH(_xlfn.CONCAT(Buildings_GridElectricity_Backend[[#This Row],[Level 1]:[Level 6]]),rng_LevelsConcat,0)))</f>
        <v/>
      </c>
      <c r="AB55" s="220">
        <f>Buildings_GridElectricity_Frontend[[#This Row],[Data]]</f>
        <v>0</v>
      </c>
      <c r="AC55" s="174" t="str">
        <f>Buildings_GridElectricity_Frontend[[#This Row],[Units]]</f>
        <v>kWh</v>
      </c>
      <c r="AD55" s="218">
        <f>Buildings_GridElectricity_Frontend[[#This Row],[Data]]</f>
        <v>0</v>
      </c>
      <c r="AE55" s="174" t="str">
        <f>Buildings_GridElectricity_Frontend[[#This Row],[Units]]</f>
        <v>kWh</v>
      </c>
      <c r="AF55" s="210" t="str">
        <f>IF(Buildings_GridElectricity_Frontend[[#This Row],[Data]]="","",_xlfn.XLOOKUP(_xlfn.CONCAT(Buildings_GridElectricity_Backend[[#This Row],[Level 1]:[Level 6]]),rng_EFConcat,rng_EF1)*Buildings_GridElectricity_Backend[[#This Row],[Converted data]]/1000)</f>
        <v/>
      </c>
      <c r="AG55" s="210" t="str">
        <f>IF(Buildings_GridElectricity_Frontend[[#This Row],[Data]]="","",_xlfn.XLOOKUP(_xlfn.CONCAT(Buildings_GridElectricity_Backend[[#This Row],[Level 1]:[Level 6]]),rng_EFConcat,rng_EF2)*Buildings_GridElectricity_Backend[[#This Row],[Converted data]]/1000)</f>
        <v/>
      </c>
      <c r="AH55" s="210" t="str">
        <f>IF(Buildings_GridElectricity_Frontend[[#This Row],[Data]]="","",_xlfn.XLOOKUP(_xlfn.CONCAT(Buildings_GridElectricity_Backend[[#This Row],[Level 1]:[Level 6]]),rng_EFConcat,rng_EF3)*Buildings_GridElectricity_Backend[[#This Row],[Converted data]]/1000)</f>
        <v/>
      </c>
      <c r="AI55" s="210" t="str">
        <f>IF(Buildings_GridElectricity_Frontend[[#This Row],[Data]]="","",_xlfn.XLOOKUP(_xlfn.CONCAT(Buildings_GridElectricity_Backend[[#This Row],[Level 1]:[Level 6]]),rng_EFConcat,rng_EF3WTT)*Buildings_GridElectricity_Backend[[#This Row],[Converted data]]/1000)</f>
        <v/>
      </c>
      <c r="AJ55" s="210" t="str">
        <f>IF(Buildings_GridElectricity_Frontend[[#This Row],[Data]]="","",_xlfn.XLOOKUP(_xlfn.CONCAT(Buildings_GridElectricity_Backend[[#This Row],[Level 1]:[Level 6]]),rng_EFConcat,rng_EF3TD)*Buildings_GridElectricity_Backend[[#This Row],[Converted data]]/1000)</f>
        <v/>
      </c>
      <c r="AK55" s="210" t="str">
        <f>IF(Buildings_GridElectricity_Frontend[[#This Row],[Data]]="","",_xlfn.XLOOKUP(_xlfn.CONCAT(Buildings_GridElectricity_Backend[[#This Row],[Level 1]:[Level 6]]),rng_EFConcat,rng_EF3WTTTD)*Buildings_GridElectricity_Backend[[#This Row],[Converted data]]/1000)</f>
        <v/>
      </c>
      <c r="AL55" s="220" t="str">
        <f>IF(Buildings_GridElectricity_Frontend[[#This Row],[Data]]="","",SUM(Buildings_GridElectricity_Backend[[#This Row],[Scope 1 (tCO2e)]:[Scope 3 WTT T&amp;D (tCO2e)]]))</f>
        <v/>
      </c>
      <c r="AM55" s="220" t="str">
        <f>IF(Buildings_GridElectricity_Frontend[[#This Row],[Data]]="","",Buildings_GridElectricity_Backend[[#This Row],[Total (tCO2e)]]*(1-Buildings_GridElectricity_Backend[[#This Row],[RSD]]))</f>
        <v/>
      </c>
      <c r="AN55" s="220" t="str">
        <f>IF(Buildings_GridElectricity_Frontend[[#This Row],[Data]]="","",Buildings_GridElectricity_Backend[[#This Row],[Total (tCO2e)]]*(1+Buildings_GridElectricity_Backend[[#This Row],[RSD]]))</f>
        <v/>
      </c>
      <c r="AO55" s="210" t="str">
        <f>IF(Buildings_GridElectricity_Frontend[[#This Row],[Data]]="","",_xlfn.XLOOKUP(_xlfn.CONCAT(Buildings_GridElectricity_Backend[[#This Row],[Level 1]:[Level 6]]),rng_EFConcat,rng_EFOOS)*Buildings_GridElectricity_Backend[[#This Row],[Converted data]]/1000)</f>
        <v/>
      </c>
      <c r="AP55" s="174">
        <f>Buildings_GridElectricity_Frontend[[#This Row],[Ease of collection]]</f>
        <v>0</v>
      </c>
      <c r="AQ55" s="213">
        <f>Buildings_GridElectricity_Frontend[[#This Row],[Completeness]]</f>
        <v>0</v>
      </c>
      <c r="AR55" s="220">
        <f>Buildings_GridElectricity_Frontend[[#This Row],[Notes]]</f>
        <v>0</v>
      </c>
    </row>
    <row r="56" spans="5:44" x14ac:dyDescent="0.3">
      <c r="E56" s="346"/>
      <c r="F56" s="449"/>
      <c r="G56" s="336"/>
      <c r="H56" s="334"/>
      <c r="I56" s="172" t="s">
        <v>316</v>
      </c>
      <c r="J56" s="337"/>
      <c r="K56" s="336"/>
      <c r="L56" s="336"/>
      <c r="M56" s="337"/>
      <c r="N56" s="242">
        <f t="shared" si="3"/>
        <v>3</v>
      </c>
      <c r="Q56" s="212" t="str">
        <f t="shared" si="2"/>
        <v/>
      </c>
      <c r="R56" s="174" t="s">
        <v>265</v>
      </c>
      <c r="S56" s="174" t="s">
        <v>273</v>
      </c>
      <c r="T56" s="174" t="str">
        <f>_xlfn.XLOOKUP(Buildings_GridElectricity_Backend[[#This Row],[Info 1]],Buildings_SiteInfo[Site name],Buildings_SiteInfo[Site type], "")</f>
        <v/>
      </c>
      <c r="U56" s="174" t="s">
        <v>281</v>
      </c>
      <c r="V56" s="174" t="str" cm="1">
        <f t="array" aca="1" ref="V56" ca="1">_xlfn.XLOOKUP(Buildings_GridElectricity_Backend[[#This Row],[Level 4]],rng_Level4Long,rng_Level5Long)</f>
        <v>Electricity</v>
      </c>
      <c r="W56" s="174" t="str" cm="1">
        <f t="array" aca="1" ref="W56" ca="1">_xlfn.XLOOKUP(Buildings_GridElectricity_Backend[[#This Row],[Level 4]],rng_Level4Long,rng_Level6Long)</f>
        <v>NaN</v>
      </c>
      <c r="X56" s="174">
        <f>Buildings_GridElectricity_Frontend[[#This Row],[Site Name]]</f>
        <v>0</v>
      </c>
      <c r="Y56" s="174">
        <f>Buildings_GridElectricity_Frontend[[#This Row],[Contracting]]</f>
        <v>0</v>
      </c>
      <c r="Z56" s="174">
        <f>Buildings_GridElectricity_Frontend[[#This Row],[Methodology]]</f>
        <v>0</v>
      </c>
      <c r="AA56" s="229" t="str" cm="1">
        <f t="array" ref="AA56">IF(Buildings_GridElectricity_Frontend[[#This Row],[Data]]="","",INDEX(_xlfn.SWITCH(Buildings_GridElectricity_Backend[[#This Row],[Methodology]],"Tier 1",rng_RSD1,"Tier 2",rng_RSD2,"Tier 3",rng_RSD3),MATCH(_xlfn.CONCAT(Buildings_GridElectricity_Backend[[#This Row],[Level 1]:[Level 6]]),rng_LevelsConcat,0)))</f>
        <v/>
      </c>
      <c r="AB56" s="220">
        <f>Buildings_GridElectricity_Frontend[[#This Row],[Data]]</f>
        <v>0</v>
      </c>
      <c r="AC56" s="174" t="str">
        <f>Buildings_GridElectricity_Frontend[[#This Row],[Units]]</f>
        <v>kWh</v>
      </c>
      <c r="AD56" s="218">
        <f>Buildings_GridElectricity_Frontend[[#This Row],[Data]]</f>
        <v>0</v>
      </c>
      <c r="AE56" s="174" t="str">
        <f>Buildings_GridElectricity_Frontend[[#This Row],[Units]]</f>
        <v>kWh</v>
      </c>
      <c r="AF56" s="210" t="str">
        <f>IF(Buildings_GridElectricity_Frontend[[#This Row],[Data]]="","",_xlfn.XLOOKUP(_xlfn.CONCAT(Buildings_GridElectricity_Backend[[#This Row],[Level 1]:[Level 6]]),rng_EFConcat,rng_EF1)*Buildings_GridElectricity_Backend[[#This Row],[Converted data]]/1000)</f>
        <v/>
      </c>
      <c r="AG56" s="210" t="str">
        <f>IF(Buildings_GridElectricity_Frontend[[#This Row],[Data]]="","",_xlfn.XLOOKUP(_xlfn.CONCAT(Buildings_GridElectricity_Backend[[#This Row],[Level 1]:[Level 6]]),rng_EFConcat,rng_EF2)*Buildings_GridElectricity_Backend[[#This Row],[Converted data]]/1000)</f>
        <v/>
      </c>
      <c r="AH56" s="210" t="str">
        <f>IF(Buildings_GridElectricity_Frontend[[#This Row],[Data]]="","",_xlfn.XLOOKUP(_xlfn.CONCAT(Buildings_GridElectricity_Backend[[#This Row],[Level 1]:[Level 6]]),rng_EFConcat,rng_EF3)*Buildings_GridElectricity_Backend[[#This Row],[Converted data]]/1000)</f>
        <v/>
      </c>
      <c r="AI56" s="210" t="str">
        <f>IF(Buildings_GridElectricity_Frontend[[#This Row],[Data]]="","",_xlfn.XLOOKUP(_xlfn.CONCAT(Buildings_GridElectricity_Backend[[#This Row],[Level 1]:[Level 6]]),rng_EFConcat,rng_EF3WTT)*Buildings_GridElectricity_Backend[[#This Row],[Converted data]]/1000)</f>
        <v/>
      </c>
      <c r="AJ56" s="210" t="str">
        <f>IF(Buildings_GridElectricity_Frontend[[#This Row],[Data]]="","",_xlfn.XLOOKUP(_xlfn.CONCAT(Buildings_GridElectricity_Backend[[#This Row],[Level 1]:[Level 6]]),rng_EFConcat,rng_EF3TD)*Buildings_GridElectricity_Backend[[#This Row],[Converted data]]/1000)</f>
        <v/>
      </c>
      <c r="AK56" s="210" t="str">
        <f>IF(Buildings_GridElectricity_Frontend[[#This Row],[Data]]="","",_xlfn.XLOOKUP(_xlfn.CONCAT(Buildings_GridElectricity_Backend[[#This Row],[Level 1]:[Level 6]]),rng_EFConcat,rng_EF3WTTTD)*Buildings_GridElectricity_Backend[[#This Row],[Converted data]]/1000)</f>
        <v/>
      </c>
      <c r="AL56" s="220" t="str">
        <f>IF(Buildings_GridElectricity_Frontend[[#This Row],[Data]]="","",SUM(Buildings_GridElectricity_Backend[[#This Row],[Scope 1 (tCO2e)]:[Scope 3 WTT T&amp;D (tCO2e)]]))</f>
        <v/>
      </c>
      <c r="AM56" s="220" t="str">
        <f>IF(Buildings_GridElectricity_Frontend[[#This Row],[Data]]="","",Buildings_GridElectricity_Backend[[#This Row],[Total (tCO2e)]]*(1-Buildings_GridElectricity_Backend[[#This Row],[RSD]]))</f>
        <v/>
      </c>
      <c r="AN56" s="220" t="str">
        <f>IF(Buildings_GridElectricity_Frontend[[#This Row],[Data]]="","",Buildings_GridElectricity_Backend[[#This Row],[Total (tCO2e)]]*(1+Buildings_GridElectricity_Backend[[#This Row],[RSD]]))</f>
        <v/>
      </c>
      <c r="AO56" s="210" t="str">
        <f>IF(Buildings_GridElectricity_Frontend[[#This Row],[Data]]="","",_xlfn.XLOOKUP(_xlfn.CONCAT(Buildings_GridElectricity_Backend[[#This Row],[Level 1]:[Level 6]]),rng_EFConcat,rng_EFOOS)*Buildings_GridElectricity_Backend[[#This Row],[Converted data]]/1000)</f>
        <v/>
      </c>
      <c r="AP56" s="174">
        <f>Buildings_GridElectricity_Frontend[[#This Row],[Ease of collection]]</f>
        <v>0</v>
      </c>
      <c r="AQ56" s="213">
        <f>Buildings_GridElectricity_Frontend[[#This Row],[Completeness]]</f>
        <v>0</v>
      </c>
      <c r="AR56" s="220">
        <f>Buildings_GridElectricity_Frontend[[#This Row],[Notes]]</f>
        <v>0</v>
      </c>
    </row>
    <row r="57" spans="5:44" x14ac:dyDescent="0.3">
      <c r="E57" s="346"/>
      <c r="F57" s="449"/>
      <c r="G57" s="336"/>
      <c r="H57" s="334"/>
      <c r="I57" s="172" t="s">
        <v>316</v>
      </c>
      <c r="J57" s="337"/>
      <c r="K57" s="336"/>
      <c r="L57" s="336"/>
      <c r="M57" s="337"/>
      <c r="N57" s="242">
        <f t="shared" si="3"/>
        <v>3</v>
      </c>
      <c r="Q57" s="212" t="str">
        <f t="shared" si="2"/>
        <v/>
      </c>
      <c r="R57" s="174" t="s">
        <v>265</v>
      </c>
      <c r="S57" s="174" t="s">
        <v>273</v>
      </c>
      <c r="T57" s="174" t="str">
        <f>_xlfn.XLOOKUP(Buildings_GridElectricity_Backend[[#This Row],[Info 1]],Buildings_SiteInfo[Site name],Buildings_SiteInfo[Site type], "")</f>
        <v/>
      </c>
      <c r="U57" s="174" t="s">
        <v>281</v>
      </c>
      <c r="V57" s="174" t="str" cm="1">
        <f t="array" aca="1" ref="V57" ca="1">_xlfn.XLOOKUP(Buildings_GridElectricity_Backend[[#This Row],[Level 4]],rng_Level4Long,rng_Level5Long)</f>
        <v>Electricity</v>
      </c>
      <c r="W57" s="174" t="str" cm="1">
        <f t="array" aca="1" ref="W57" ca="1">_xlfn.XLOOKUP(Buildings_GridElectricity_Backend[[#This Row],[Level 4]],rng_Level4Long,rng_Level6Long)</f>
        <v>NaN</v>
      </c>
      <c r="X57" s="174">
        <f>Buildings_GridElectricity_Frontend[[#This Row],[Site Name]]</f>
        <v>0</v>
      </c>
      <c r="Y57" s="174">
        <f>Buildings_GridElectricity_Frontend[[#This Row],[Contracting]]</f>
        <v>0</v>
      </c>
      <c r="Z57" s="174">
        <f>Buildings_GridElectricity_Frontend[[#This Row],[Methodology]]</f>
        <v>0</v>
      </c>
      <c r="AA57" s="229" t="str" cm="1">
        <f t="array" ref="AA57">IF(Buildings_GridElectricity_Frontend[[#This Row],[Data]]="","",INDEX(_xlfn.SWITCH(Buildings_GridElectricity_Backend[[#This Row],[Methodology]],"Tier 1",rng_RSD1,"Tier 2",rng_RSD2,"Tier 3",rng_RSD3),MATCH(_xlfn.CONCAT(Buildings_GridElectricity_Backend[[#This Row],[Level 1]:[Level 6]]),rng_LevelsConcat,0)))</f>
        <v/>
      </c>
      <c r="AB57" s="220">
        <f>Buildings_GridElectricity_Frontend[[#This Row],[Data]]</f>
        <v>0</v>
      </c>
      <c r="AC57" s="174" t="str">
        <f>Buildings_GridElectricity_Frontend[[#This Row],[Units]]</f>
        <v>kWh</v>
      </c>
      <c r="AD57" s="218">
        <f>Buildings_GridElectricity_Frontend[[#This Row],[Data]]</f>
        <v>0</v>
      </c>
      <c r="AE57" s="174" t="str">
        <f>Buildings_GridElectricity_Frontend[[#This Row],[Units]]</f>
        <v>kWh</v>
      </c>
      <c r="AF57" s="210" t="str">
        <f>IF(Buildings_GridElectricity_Frontend[[#This Row],[Data]]="","",_xlfn.XLOOKUP(_xlfn.CONCAT(Buildings_GridElectricity_Backend[[#This Row],[Level 1]:[Level 6]]),rng_EFConcat,rng_EF1)*Buildings_GridElectricity_Backend[[#This Row],[Converted data]]/1000)</f>
        <v/>
      </c>
      <c r="AG57" s="210" t="str">
        <f>IF(Buildings_GridElectricity_Frontend[[#This Row],[Data]]="","",_xlfn.XLOOKUP(_xlfn.CONCAT(Buildings_GridElectricity_Backend[[#This Row],[Level 1]:[Level 6]]),rng_EFConcat,rng_EF2)*Buildings_GridElectricity_Backend[[#This Row],[Converted data]]/1000)</f>
        <v/>
      </c>
      <c r="AH57" s="210" t="str">
        <f>IF(Buildings_GridElectricity_Frontend[[#This Row],[Data]]="","",_xlfn.XLOOKUP(_xlfn.CONCAT(Buildings_GridElectricity_Backend[[#This Row],[Level 1]:[Level 6]]),rng_EFConcat,rng_EF3)*Buildings_GridElectricity_Backend[[#This Row],[Converted data]]/1000)</f>
        <v/>
      </c>
      <c r="AI57" s="210" t="str">
        <f>IF(Buildings_GridElectricity_Frontend[[#This Row],[Data]]="","",_xlfn.XLOOKUP(_xlfn.CONCAT(Buildings_GridElectricity_Backend[[#This Row],[Level 1]:[Level 6]]),rng_EFConcat,rng_EF3WTT)*Buildings_GridElectricity_Backend[[#This Row],[Converted data]]/1000)</f>
        <v/>
      </c>
      <c r="AJ57" s="210" t="str">
        <f>IF(Buildings_GridElectricity_Frontend[[#This Row],[Data]]="","",_xlfn.XLOOKUP(_xlfn.CONCAT(Buildings_GridElectricity_Backend[[#This Row],[Level 1]:[Level 6]]),rng_EFConcat,rng_EF3TD)*Buildings_GridElectricity_Backend[[#This Row],[Converted data]]/1000)</f>
        <v/>
      </c>
      <c r="AK57" s="210" t="str">
        <f>IF(Buildings_GridElectricity_Frontend[[#This Row],[Data]]="","",_xlfn.XLOOKUP(_xlfn.CONCAT(Buildings_GridElectricity_Backend[[#This Row],[Level 1]:[Level 6]]),rng_EFConcat,rng_EF3WTTTD)*Buildings_GridElectricity_Backend[[#This Row],[Converted data]]/1000)</f>
        <v/>
      </c>
      <c r="AL57" s="220" t="str">
        <f>IF(Buildings_GridElectricity_Frontend[[#This Row],[Data]]="","",SUM(Buildings_GridElectricity_Backend[[#This Row],[Scope 1 (tCO2e)]:[Scope 3 WTT T&amp;D (tCO2e)]]))</f>
        <v/>
      </c>
      <c r="AM57" s="220" t="str">
        <f>IF(Buildings_GridElectricity_Frontend[[#This Row],[Data]]="","",Buildings_GridElectricity_Backend[[#This Row],[Total (tCO2e)]]*(1-Buildings_GridElectricity_Backend[[#This Row],[RSD]]))</f>
        <v/>
      </c>
      <c r="AN57" s="220" t="str">
        <f>IF(Buildings_GridElectricity_Frontend[[#This Row],[Data]]="","",Buildings_GridElectricity_Backend[[#This Row],[Total (tCO2e)]]*(1+Buildings_GridElectricity_Backend[[#This Row],[RSD]]))</f>
        <v/>
      </c>
      <c r="AO57" s="210" t="str">
        <f>IF(Buildings_GridElectricity_Frontend[[#This Row],[Data]]="","",_xlfn.XLOOKUP(_xlfn.CONCAT(Buildings_GridElectricity_Backend[[#This Row],[Level 1]:[Level 6]]),rng_EFConcat,rng_EFOOS)*Buildings_GridElectricity_Backend[[#This Row],[Converted data]]/1000)</f>
        <v/>
      </c>
      <c r="AP57" s="174">
        <f>Buildings_GridElectricity_Frontend[[#This Row],[Ease of collection]]</f>
        <v>0</v>
      </c>
      <c r="AQ57" s="213">
        <f>Buildings_GridElectricity_Frontend[[#This Row],[Completeness]]</f>
        <v>0</v>
      </c>
      <c r="AR57" s="220">
        <f>Buildings_GridElectricity_Frontend[[#This Row],[Notes]]</f>
        <v>0</v>
      </c>
    </row>
    <row r="58" spans="5:44" x14ac:dyDescent="0.3">
      <c r="E58" s="346"/>
      <c r="F58" s="449"/>
      <c r="G58" s="336"/>
      <c r="H58" s="334"/>
      <c r="I58" s="172" t="s">
        <v>316</v>
      </c>
      <c r="J58" s="337"/>
      <c r="K58" s="336"/>
      <c r="L58" s="336"/>
      <c r="M58" s="337"/>
      <c r="N58" s="242">
        <f t="shared" si="3"/>
        <v>3</v>
      </c>
      <c r="Q58" s="212" t="str">
        <f t="shared" si="2"/>
        <v/>
      </c>
      <c r="R58" s="174" t="s">
        <v>265</v>
      </c>
      <c r="S58" s="174" t="s">
        <v>273</v>
      </c>
      <c r="T58" s="174" t="str">
        <f>_xlfn.XLOOKUP(Buildings_GridElectricity_Backend[[#This Row],[Info 1]],Buildings_SiteInfo[Site name],Buildings_SiteInfo[Site type], "")</f>
        <v/>
      </c>
      <c r="U58" s="174" t="s">
        <v>281</v>
      </c>
      <c r="V58" s="174" t="str" cm="1">
        <f t="array" aca="1" ref="V58" ca="1">_xlfn.XLOOKUP(Buildings_GridElectricity_Backend[[#This Row],[Level 4]],rng_Level4Long,rng_Level5Long)</f>
        <v>Electricity</v>
      </c>
      <c r="W58" s="174" t="str" cm="1">
        <f t="array" aca="1" ref="W58" ca="1">_xlfn.XLOOKUP(Buildings_GridElectricity_Backend[[#This Row],[Level 4]],rng_Level4Long,rng_Level6Long)</f>
        <v>NaN</v>
      </c>
      <c r="X58" s="174">
        <f>Buildings_GridElectricity_Frontend[[#This Row],[Site Name]]</f>
        <v>0</v>
      </c>
      <c r="Y58" s="174">
        <f>Buildings_GridElectricity_Frontend[[#This Row],[Contracting]]</f>
        <v>0</v>
      </c>
      <c r="Z58" s="174">
        <f>Buildings_GridElectricity_Frontend[[#This Row],[Methodology]]</f>
        <v>0</v>
      </c>
      <c r="AA58" s="229" t="str" cm="1">
        <f t="array" ref="AA58">IF(Buildings_GridElectricity_Frontend[[#This Row],[Data]]="","",INDEX(_xlfn.SWITCH(Buildings_GridElectricity_Backend[[#This Row],[Methodology]],"Tier 1",rng_RSD1,"Tier 2",rng_RSD2,"Tier 3",rng_RSD3),MATCH(_xlfn.CONCAT(Buildings_GridElectricity_Backend[[#This Row],[Level 1]:[Level 6]]),rng_LevelsConcat,0)))</f>
        <v/>
      </c>
      <c r="AB58" s="220">
        <f>Buildings_GridElectricity_Frontend[[#This Row],[Data]]</f>
        <v>0</v>
      </c>
      <c r="AC58" s="174" t="str">
        <f>Buildings_GridElectricity_Frontend[[#This Row],[Units]]</f>
        <v>kWh</v>
      </c>
      <c r="AD58" s="218">
        <f>Buildings_GridElectricity_Frontend[[#This Row],[Data]]</f>
        <v>0</v>
      </c>
      <c r="AE58" s="174" t="str">
        <f>Buildings_GridElectricity_Frontend[[#This Row],[Units]]</f>
        <v>kWh</v>
      </c>
      <c r="AF58" s="210" t="str">
        <f>IF(Buildings_GridElectricity_Frontend[[#This Row],[Data]]="","",_xlfn.XLOOKUP(_xlfn.CONCAT(Buildings_GridElectricity_Backend[[#This Row],[Level 1]:[Level 6]]),rng_EFConcat,rng_EF1)*Buildings_GridElectricity_Backend[[#This Row],[Converted data]]/1000)</f>
        <v/>
      </c>
      <c r="AG58" s="210" t="str">
        <f>IF(Buildings_GridElectricity_Frontend[[#This Row],[Data]]="","",_xlfn.XLOOKUP(_xlfn.CONCAT(Buildings_GridElectricity_Backend[[#This Row],[Level 1]:[Level 6]]),rng_EFConcat,rng_EF2)*Buildings_GridElectricity_Backend[[#This Row],[Converted data]]/1000)</f>
        <v/>
      </c>
      <c r="AH58" s="210" t="str">
        <f>IF(Buildings_GridElectricity_Frontend[[#This Row],[Data]]="","",_xlfn.XLOOKUP(_xlfn.CONCAT(Buildings_GridElectricity_Backend[[#This Row],[Level 1]:[Level 6]]),rng_EFConcat,rng_EF3)*Buildings_GridElectricity_Backend[[#This Row],[Converted data]]/1000)</f>
        <v/>
      </c>
      <c r="AI58" s="210" t="str">
        <f>IF(Buildings_GridElectricity_Frontend[[#This Row],[Data]]="","",_xlfn.XLOOKUP(_xlfn.CONCAT(Buildings_GridElectricity_Backend[[#This Row],[Level 1]:[Level 6]]),rng_EFConcat,rng_EF3WTT)*Buildings_GridElectricity_Backend[[#This Row],[Converted data]]/1000)</f>
        <v/>
      </c>
      <c r="AJ58" s="210" t="str">
        <f>IF(Buildings_GridElectricity_Frontend[[#This Row],[Data]]="","",_xlfn.XLOOKUP(_xlfn.CONCAT(Buildings_GridElectricity_Backend[[#This Row],[Level 1]:[Level 6]]),rng_EFConcat,rng_EF3TD)*Buildings_GridElectricity_Backend[[#This Row],[Converted data]]/1000)</f>
        <v/>
      </c>
      <c r="AK58" s="210" t="str">
        <f>IF(Buildings_GridElectricity_Frontend[[#This Row],[Data]]="","",_xlfn.XLOOKUP(_xlfn.CONCAT(Buildings_GridElectricity_Backend[[#This Row],[Level 1]:[Level 6]]),rng_EFConcat,rng_EF3WTTTD)*Buildings_GridElectricity_Backend[[#This Row],[Converted data]]/1000)</f>
        <v/>
      </c>
      <c r="AL58" s="220" t="str">
        <f>IF(Buildings_GridElectricity_Frontend[[#This Row],[Data]]="","",SUM(Buildings_GridElectricity_Backend[[#This Row],[Scope 1 (tCO2e)]:[Scope 3 WTT T&amp;D (tCO2e)]]))</f>
        <v/>
      </c>
      <c r="AM58" s="220" t="str">
        <f>IF(Buildings_GridElectricity_Frontend[[#This Row],[Data]]="","",Buildings_GridElectricity_Backend[[#This Row],[Total (tCO2e)]]*(1-Buildings_GridElectricity_Backend[[#This Row],[RSD]]))</f>
        <v/>
      </c>
      <c r="AN58" s="220" t="str">
        <f>IF(Buildings_GridElectricity_Frontend[[#This Row],[Data]]="","",Buildings_GridElectricity_Backend[[#This Row],[Total (tCO2e)]]*(1+Buildings_GridElectricity_Backend[[#This Row],[RSD]]))</f>
        <v/>
      </c>
      <c r="AO58" s="210" t="str">
        <f>IF(Buildings_GridElectricity_Frontend[[#This Row],[Data]]="","",_xlfn.XLOOKUP(_xlfn.CONCAT(Buildings_GridElectricity_Backend[[#This Row],[Level 1]:[Level 6]]),rng_EFConcat,rng_EFOOS)*Buildings_GridElectricity_Backend[[#This Row],[Converted data]]/1000)</f>
        <v/>
      </c>
      <c r="AP58" s="174">
        <f>Buildings_GridElectricity_Frontend[[#This Row],[Ease of collection]]</f>
        <v>0</v>
      </c>
      <c r="AQ58" s="213">
        <f>Buildings_GridElectricity_Frontend[[#This Row],[Completeness]]</f>
        <v>0</v>
      </c>
      <c r="AR58" s="220">
        <f>Buildings_GridElectricity_Frontend[[#This Row],[Notes]]</f>
        <v>0</v>
      </c>
    </row>
    <row r="59" spans="5:44" x14ac:dyDescent="0.3">
      <c r="E59" s="346"/>
      <c r="F59" s="449"/>
      <c r="G59" s="336"/>
      <c r="H59" s="334"/>
      <c r="I59" s="172" t="s">
        <v>316</v>
      </c>
      <c r="J59" s="337"/>
      <c r="K59" s="336"/>
      <c r="L59" s="336"/>
      <c r="M59" s="337"/>
      <c r="N59" s="242">
        <f t="shared" si="3"/>
        <v>3</v>
      </c>
      <c r="Q59" s="212" t="str">
        <f t="shared" si="2"/>
        <v/>
      </c>
      <c r="R59" s="174" t="s">
        <v>265</v>
      </c>
      <c r="S59" s="174" t="s">
        <v>273</v>
      </c>
      <c r="T59" s="174" t="str">
        <f>_xlfn.XLOOKUP(Buildings_GridElectricity_Backend[[#This Row],[Info 1]],Buildings_SiteInfo[Site name],Buildings_SiteInfo[Site type], "")</f>
        <v/>
      </c>
      <c r="U59" s="174" t="s">
        <v>281</v>
      </c>
      <c r="V59" s="174" t="str" cm="1">
        <f t="array" aca="1" ref="V59" ca="1">_xlfn.XLOOKUP(Buildings_GridElectricity_Backend[[#This Row],[Level 4]],rng_Level4Long,rng_Level5Long)</f>
        <v>Electricity</v>
      </c>
      <c r="W59" s="174" t="str" cm="1">
        <f t="array" aca="1" ref="W59" ca="1">_xlfn.XLOOKUP(Buildings_GridElectricity_Backend[[#This Row],[Level 4]],rng_Level4Long,rng_Level6Long)</f>
        <v>NaN</v>
      </c>
      <c r="X59" s="174">
        <f>Buildings_GridElectricity_Frontend[[#This Row],[Site Name]]</f>
        <v>0</v>
      </c>
      <c r="Y59" s="174">
        <f>Buildings_GridElectricity_Frontend[[#This Row],[Contracting]]</f>
        <v>0</v>
      </c>
      <c r="Z59" s="174">
        <f>Buildings_GridElectricity_Frontend[[#This Row],[Methodology]]</f>
        <v>0</v>
      </c>
      <c r="AA59" s="229" t="str" cm="1">
        <f t="array" ref="AA59">IF(Buildings_GridElectricity_Frontend[[#This Row],[Data]]="","",INDEX(_xlfn.SWITCH(Buildings_GridElectricity_Backend[[#This Row],[Methodology]],"Tier 1",rng_RSD1,"Tier 2",rng_RSD2,"Tier 3",rng_RSD3),MATCH(_xlfn.CONCAT(Buildings_GridElectricity_Backend[[#This Row],[Level 1]:[Level 6]]),rng_LevelsConcat,0)))</f>
        <v/>
      </c>
      <c r="AB59" s="220">
        <f>Buildings_GridElectricity_Frontend[[#This Row],[Data]]</f>
        <v>0</v>
      </c>
      <c r="AC59" s="174" t="str">
        <f>Buildings_GridElectricity_Frontend[[#This Row],[Units]]</f>
        <v>kWh</v>
      </c>
      <c r="AD59" s="218">
        <f>Buildings_GridElectricity_Frontend[[#This Row],[Data]]</f>
        <v>0</v>
      </c>
      <c r="AE59" s="174" t="str">
        <f>Buildings_GridElectricity_Frontend[[#This Row],[Units]]</f>
        <v>kWh</v>
      </c>
      <c r="AF59" s="210" t="str">
        <f>IF(Buildings_GridElectricity_Frontend[[#This Row],[Data]]="","",_xlfn.XLOOKUP(_xlfn.CONCAT(Buildings_GridElectricity_Backend[[#This Row],[Level 1]:[Level 6]]),rng_EFConcat,rng_EF1)*Buildings_GridElectricity_Backend[[#This Row],[Converted data]]/1000)</f>
        <v/>
      </c>
      <c r="AG59" s="210" t="str">
        <f>IF(Buildings_GridElectricity_Frontend[[#This Row],[Data]]="","",_xlfn.XLOOKUP(_xlfn.CONCAT(Buildings_GridElectricity_Backend[[#This Row],[Level 1]:[Level 6]]),rng_EFConcat,rng_EF2)*Buildings_GridElectricity_Backend[[#This Row],[Converted data]]/1000)</f>
        <v/>
      </c>
      <c r="AH59" s="210" t="str">
        <f>IF(Buildings_GridElectricity_Frontend[[#This Row],[Data]]="","",_xlfn.XLOOKUP(_xlfn.CONCAT(Buildings_GridElectricity_Backend[[#This Row],[Level 1]:[Level 6]]),rng_EFConcat,rng_EF3)*Buildings_GridElectricity_Backend[[#This Row],[Converted data]]/1000)</f>
        <v/>
      </c>
      <c r="AI59" s="210" t="str">
        <f>IF(Buildings_GridElectricity_Frontend[[#This Row],[Data]]="","",_xlfn.XLOOKUP(_xlfn.CONCAT(Buildings_GridElectricity_Backend[[#This Row],[Level 1]:[Level 6]]),rng_EFConcat,rng_EF3WTT)*Buildings_GridElectricity_Backend[[#This Row],[Converted data]]/1000)</f>
        <v/>
      </c>
      <c r="AJ59" s="210" t="str">
        <f>IF(Buildings_GridElectricity_Frontend[[#This Row],[Data]]="","",_xlfn.XLOOKUP(_xlfn.CONCAT(Buildings_GridElectricity_Backend[[#This Row],[Level 1]:[Level 6]]),rng_EFConcat,rng_EF3TD)*Buildings_GridElectricity_Backend[[#This Row],[Converted data]]/1000)</f>
        <v/>
      </c>
      <c r="AK59" s="210" t="str">
        <f>IF(Buildings_GridElectricity_Frontend[[#This Row],[Data]]="","",_xlfn.XLOOKUP(_xlfn.CONCAT(Buildings_GridElectricity_Backend[[#This Row],[Level 1]:[Level 6]]),rng_EFConcat,rng_EF3WTTTD)*Buildings_GridElectricity_Backend[[#This Row],[Converted data]]/1000)</f>
        <v/>
      </c>
      <c r="AL59" s="220" t="str">
        <f>IF(Buildings_GridElectricity_Frontend[[#This Row],[Data]]="","",SUM(Buildings_GridElectricity_Backend[[#This Row],[Scope 1 (tCO2e)]:[Scope 3 WTT T&amp;D (tCO2e)]]))</f>
        <v/>
      </c>
      <c r="AM59" s="220" t="str">
        <f>IF(Buildings_GridElectricity_Frontend[[#This Row],[Data]]="","",Buildings_GridElectricity_Backend[[#This Row],[Total (tCO2e)]]*(1-Buildings_GridElectricity_Backend[[#This Row],[RSD]]))</f>
        <v/>
      </c>
      <c r="AN59" s="220" t="str">
        <f>IF(Buildings_GridElectricity_Frontend[[#This Row],[Data]]="","",Buildings_GridElectricity_Backend[[#This Row],[Total (tCO2e)]]*(1+Buildings_GridElectricity_Backend[[#This Row],[RSD]]))</f>
        <v/>
      </c>
      <c r="AO59" s="210" t="str">
        <f>IF(Buildings_GridElectricity_Frontend[[#This Row],[Data]]="","",_xlfn.XLOOKUP(_xlfn.CONCAT(Buildings_GridElectricity_Backend[[#This Row],[Level 1]:[Level 6]]),rng_EFConcat,rng_EFOOS)*Buildings_GridElectricity_Backend[[#This Row],[Converted data]]/1000)</f>
        <v/>
      </c>
      <c r="AP59" s="174">
        <f>Buildings_GridElectricity_Frontend[[#This Row],[Ease of collection]]</f>
        <v>0</v>
      </c>
      <c r="AQ59" s="213">
        <f>Buildings_GridElectricity_Frontend[[#This Row],[Completeness]]</f>
        <v>0</v>
      </c>
      <c r="AR59" s="220">
        <f>Buildings_GridElectricity_Frontend[[#This Row],[Notes]]</f>
        <v>0</v>
      </c>
    </row>
    <row r="60" spans="5:44" x14ac:dyDescent="0.3">
      <c r="E60" s="346"/>
      <c r="F60" s="449"/>
      <c r="G60" s="336"/>
      <c r="H60" s="334"/>
      <c r="I60" s="172" t="s">
        <v>316</v>
      </c>
      <c r="J60" s="337"/>
      <c r="K60" s="336"/>
      <c r="L60" s="336"/>
      <c r="M60" s="337"/>
      <c r="N60" s="242">
        <f t="shared" si="3"/>
        <v>3</v>
      </c>
      <c r="Q60" s="212" t="str">
        <f t="shared" si="2"/>
        <v/>
      </c>
      <c r="R60" s="174" t="s">
        <v>265</v>
      </c>
      <c r="S60" s="174" t="s">
        <v>273</v>
      </c>
      <c r="T60" s="174" t="str">
        <f>_xlfn.XLOOKUP(Buildings_GridElectricity_Backend[[#This Row],[Info 1]],Buildings_SiteInfo[Site name],Buildings_SiteInfo[Site type], "")</f>
        <v/>
      </c>
      <c r="U60" s="174" t="s">
        <v>281</v>
      </c>
      <c r="V60" s="174" t="str" cm="1">
        <f t="array" aca="1" ref="V60" ca="1">_xlfn.XLOOKUP(Buildings_GridElectricity_Backend[[#This Row],[Level 4]],rng_Level4Long,rng_Level5Long)</f>
        <v>Electricity</v>
      </c>
      <c r="W60" s="174" t="str" cm="1">
        <f t="array" aca="1" ref="W60" ca="1">_xlfn.XLOOKUP(Buildings_GridElectricity_Backend[[#This Row],[Level 4]],rng_Level4Long,rng_Level6Long)</f>
        <v>NaN</v>
      </c>
      <c r="X60" s="174">
        <f>Buildings_GridElectricity_Frontend[[#This Row],[Site Name]]</f>
        <v>0</v>
      </c>
      <c r="Y60" s="174">
        <f>Buildings_GridElectricity_Frontend[[#This Row],[Contracting]]</f>
        <v>0</v>
      </c>
      <c r="Z60" s="174">
        <f>Buildings_GridElectricity_Frontend[[#This Row],[Methodology]]</f>
        <v>0</v>
      </c>
      <c r="AA60" s="229" t="str" cm="1">
        <f t="array" ref="AA60">IF(Buildings_GridElectricity_Frontend[[#This Row],[Data]]="","",INDEX(_xlfn.SWITCH(Buildings_GridElectricity_Backend[[#This Row],[Methodology]],"Tier 1",rng_RSD1,"Tier 2",rng_RSD2,"Tier 3",rng_RSD3),MATCH(_xlfn.CONCAT(Buildings_GridElectricity_Backend[[#This Row],[Level 1]:[Level 6]]),rng_LevelsConcat,0)))</f>
        <v/>
      </c>
      <c r="AB60" s="220">
        <f>Buildings_GridElectricity_Frontend[[#This Row],[Data]]</f>
        <v>0</v>
      </c>
      <c r="AC60" s="174" t="str">
        <f>Buildings_GridElectricity_Frontend[[#This Row],[Units]]</f>
        <v>kWh</v>
      </c>
      <c r="AD60" s="218">
        <f>Buildings_GridElectricity_Frontend[[#This Row],[Data]]</f>
        <v>0</v>
      </c>
      <c r="AE60" s="174" t="str">
        <f>Buildings_GridElectricity_Frontend[[#This Row],[Units]]</f>
        <v>kWh</v>
      </c>
      <c r="AF60" s="210" t="str">
        <f>IF(Buildings_GridElectricity_Frontend[[#This Row],[Data]]="","",_xlfn.XLOOKUP(_xlfn.CONCAT(Buildings_GridElectricity_Backend[[#This Row],[Level 1]:[Level 6]]),rng_EFConcat,rng_EF1)*Buildings_GridElectricity_Backend[[#This Row],[Converted data]]/1000)</f>
        <v/>
      </c>
      <c r="AG60" s="210" t="str">
        <f>IF(Buildings_GridElectricity_Frontend[[#This Row],[Data]]="","",_xlfn.XLOOKUP(_xlfn.CONCAT(Buildings_GridElectricity_Backend[[#This Row],[Level 1]:[Level 6]]),rng_EFConcat,rng_EF2)*Buildings_GridElectricity_Backend[[#This Row],[Converted data]]/1000)</f>
        <v/>
      </c>
      <c r="AH60" s="210" t="str">
        <f>IF(Buildings_GridElectricity_Frontend[[#This Row],[Data]]="","",_xlfn.XLOOKUP(_xlfn.CONCAT(Buildings_GridElectricity_Backend[[#This Row],[Level 1]:[Level 6]]),rng_EFConcat,rng_EF3)*Buildings_GridElectricity_Backend[[#This Row],[Converted data]]/1000)</f>
        <v/>
      </c>
      <c r="AI60" s="210" t="str">
        <f>IF(Buildings_GridElectricity_Frontend[[#This Row],[Data]]="","",_xlfn.XLOOKUP(_xlfn.CONCAT(Buildings_GridElectricity_Backend[[#This Row],[Level 1]:[Level 6]]),rng_EFConcat,rng_EF3WTT)*Buildings_GridElectricity_Backend[[#This Row],[Converted data]]/1000)</f>
        <v/>
      </c>
      <c r="AJ60" s="210" t="str">
        <f>IF(Buildings_GridElectricity_Frontend[[#This Row],[Data]]="","",_xlfn.XLOOKUP(_xlfn.CONCAT(Buildings_GridElectricity_Backend[[#This Row],[Level 1]:[Level 6]]),rng_EFConcat,rng_EF3TD)*Buildings_GridElectricity_Backend[[#This Row],[Converted data]]/1000)</f>
        <v/>
      </c>
      <c r="AK60" s="210" t="str">
        <f>IF(Buildings_GridElectricity_Frontend[[#This Row],[Data]]="","",_xlfn.XLOOKUP(_xlfn.CONCAT(Buildings_GridElectricity_Backend[[#This Row],[Level 1]:[Level 6]]),rng_EFConcat,rng_EF3WTTTD)*Buildings_GridElectricity_Backend[[#This Row],[Converted data]]/1000)</f>
        <v/>
      </c>
      <c r="AL60" s="220" t="str">
        <f>IF(Buildings_GridElectricity_Frontend[[#This Row],[Data]]="","",SUM(Buildings_GridElectricity_Backend[[#This Row],[Scope 1 (tCO2e)]:[Scope 3 WTT T&amp;D (tCO2e)]]))</f>
        <v/>
      </c>
      <c r="AM60" s="220" t="str">
        <f>IF(Buildings_GridElectricity_Frontend[[#This Row],[Data]]="","",Buildings_GridElectricity_Backend[[#This Row],[Total (tCO2e)]]*(1-Buildings_GridElectricity_Backend[[#This Row],[RSD]]))</f>
        <v/>
      </c>
      <c r="AN60" s="220" t="str">
        <f>IF(Buildings_GridElectricity_Frontend[[#This Row],[Data]]="","",Buildings_GridElectricity_Backend[[#This Row],[Total (tCO2e)]]*(1+Buildings_GridElectricity_Backend[[#This Row],[RSD]]))</f>
        <v/>
      </c>
      <c r="AO60" s="210" t="str">
        <f>IF(Buildings_GridElectricity_Frontend[[#This Row],[Data]]="","",_xlfn.XLOOKUP(_xlfn.CONCAT(Buildings_GridElectricity_Backend[[#This Row],[Level 1]:[Level 6]]),rng_EFConcat,rng_EFOOS)*Buildings_GridElectricity_Backend[[#This Row],[Converted data]]/1000)</f>
        <v/>
      </c>
      <c r="AP60" s="174">
        <f>Buildings_GridElectricity_Frontend[[#This Row],[Ease of collection]]</f>
        <v>0</v>
      </c>
      <c r="AQ60" s="213">
        <f>Buildings_GridElectricity_Frontend[[#This Row],[Completeness]]</f>
        <v>0</v>
      </c>
      <c r="AR60" s="220">
        <f>Buildings_GridElectricity_Frontend[[#This Row],[Notes]]</f>
        <v>0</v>
      </c>
    </row>
    <row r="61" spans="5:44" x14ac:dyDescent="0.3">
      <c r="E61" s="346"/>
      <c r="F61" s="449"/>
      <c r="G61" s="336"/>
      <c r="H61" s="334"/>
      <c r="I61" s="172" t="s">
        <v>316</v>
      </c>
      <c r="J61" s="337"/>
      <c r="K61" s="336"/>
      <c r="L61" s="336"/>
      <c r="M61" s="337"/>
      <c r="N61" s="242">
        <f t="shared" si="3"/>
        <v>3</v>
      </c>
      <c r="Q61" s="212" t="str">
        <f t="shared" si="2"/>
        <v/>
      </c>
      <c r="R61" s="174" t="s">
        <v>265</v>
      </c>
      <c r="S61" s="174" t="s">
        <v>273</v>
      </c>
      <c r="T61" s="174" t="str">
        <f>_xlfn.XLOOKUP(Buildings_GridElectricity_Backend[[#This Row],[Info 1]],Buildings_SiteInfo[Site name],Buildings_SiteInfo[Site type], "")</f>
        <v/>
      </c>
      <c r="U61" s="174" t="s">
        <v>281</v>
      </c>
      <c r="V61" s="174" t="str" cm="1">
        <f t="array" aca="1" ref="V61" ca="1">_xlfn.XLOOKUP(Buildings_GridElectricity_Backend[[#This Row],[Level 4]],rng_Level4Long,rng_Level5Long)</f>
        <v>Electricity</v>
      </c>
      <c r="W61" s="174" t="str" cm="1">
        <f t="array" aca="1" ref="W61" ca="1">_xlfn.XLOOKUP(Buildings_GridElectricity_Backend[[#This Row],[Level 4]],rng_Level4Long,rng_Level6Long)</f>
        <v>NaN</v>
      </c>
      <c r="X61" s="174">
        <f>Buildings_GridElectricity_Frontend[[#This Row],[Site Name]]</f>
        <v>0</v>
      </c>
      <c r="Y61" s="174">
        <f>Buildings_GridElectricity_Frontend[[#This Row],[Contracting]]</f>
        <v>0</v>
      </c>
      <c r="Z61" s="174">
        <f>Buildings_GridElectricity_Frontend[[#This Row],[Methodology]]</f>
        <v>0</v>
      </c>
      <c r="AA61" s="229" t="str" cm="1">
        <f t="array" ref="AA61">IF(Buildings_GridElectricity_Frontend[[#This Row],[Data]]="","",INDEX(_xlfn.SWITCH(Buildings_GridElectricity_Backend[[#This Row],[Methodology]],"Tier 1",rng_RSD1,"Tier 2",rng_RSD2,"Tier 3",rng_RSD3),MATCH(_xlfn.CONCAT(Buildings_GridElectricity_Backend[[#This Row],[Level 1]:[Level 6]]),rng_LevelsConcat,0)))</f>
        <v/>
      </c>
      <c r="AB61" s="220">
        <f>Buildings_GridElectricity_Frontend[[#This Row],[Data]]</f>
        <v>0</v>
      </c>
      <c r="AC61" s="174" t="str">
        <f>Buildings_GridElectricity_Frontend[[#This Row],[Units]]</f>
        <v>kWh</v>
      </c>
      <c r="AD61" s="218">
        <f>Buildings_GridElectricity_Frontend[[#This Row],[Data]]</f>
        <v>0</v>
      </c>
      <c r="AE61" s="174" t="str">
        <f>Buildings_GridElectricity_Frontend[[#This Row],[Units]]</f>
        <v>kWh</v>
      </c>
      <c r="AF61" s="210" t="str">
        <f>IF(Buildings_GridElectricity_Frontend[[#This Row],[Data]]="","",_xlfn.XLOOKUP(_xlfn.CONCAT(Buildings_GridElectricity_Backend[[#This Row],[Level 1]:[Level 6]]),rng_EFConcat,rng_EF1)*Buildings_GridElectricity_Backend[[#This Row],[Converted data]]/1000)</f>
        <v/>
      </c>
      <c r="AG61" s="210" t="str">
        <f>IF(Buildings_GridElectricity_Frontend[[#This Row],[Data]]="","",_xlfn.XLOOKUP(_xlfn.CONCAT(Buildings_GridElectricity_Backend[[#This Row],[Level 1]:[Level 6]]),rng_EFConcat,rng_EF2)*Buildings_GridElectricity_Backend[[#This Row],[Converted data]]/1000)</f>
        <v/>
      </c>
      <c r="AH61" s="210" t="str">
        <f>IF(Buildings_GridElectricity_Frontend[[#This Row],[Data]]="","",_xlfn.XLOOKUP(_xlfn.CONCAT(Buildings_GridElectricity_Backend[[#This Row],[Level 1]:[Level 6]]),rng_EFConcat,rng_EF3)*Buildings_GridElectricity_Backend[[#This Row],[Converted data]]/1000)</f>
        <v/>
      </c>
      <c r="AI61" s="210" t="str">
        <f>IF(Buildings_GridElectricity_Frontend[[#This Row],[Data]]="","",_xlfn.XLOOKUP(_xlfn.CONCAT(Buildings_GridElectricity_Backend[[#This Row],[Level 1]:[Level 6]]),rng_EFConcat,rng_EF3WTT)*Buildings_GridElectricity_Backend[[#This Row],[Converted data]]/1000)</f>
        <v/>
      </c>
      <c r="AJ61" s="210" t="str">
        <f>IF(Buildings_GridElectricity_Frontend[[#This Row],[Data]]="","",_xlfn.XLOOKUP(_xlfn.CONCAT(Buildings_GridElectricity_Backend[[#This Row],[Level 1]:[Level 6]]),rng_EFConcat,rng_EF3TD)*Buildings_GridElectricity_Backend[[#This Row],[Converted data]]/1000)</f>
        <v/>
      </c>
      <c r="AK61" s="210" t="str">
        <f>IF(Buildings_GridElectricity_Frontend[[#This Row],[Data]]="","",_xlfn.XLOOKUP(_xlfn.CONCAT(Buildings_GridElectricity_Backend[[#This Row],[Level 1]:[Level 6]]),rng_EFConcat,rng_EF3WTTTD)*Buildings_GridElectricity_Backend[[#This Row],[Converted data]]/1000)</f>
        <v/>
      </c>
      <c r="AL61" s="220" t="str">
        <f>IF(Buildings_GridElectricity_Frontend[[#This Row],[Data]]="","",SUM(Buildings_GridElectricity_Backend[[#This Row],[Scope 1 (tCO2e)]:[Scope 3 WTT T&amp;D (tCO2e)]]))</f>
        <v/>
      </c>
      <c r="AM61" s="220" t="str">
        <f>IF(Buildings_GridElectricity_Frontend[[#This Row],[Data]]="","",Buildings_GridElectricity_Backend[[#This Row],[Total (tCO2e)]]*(1-Buildings_GridElectricity_Backend[[#This Row],[RSD]]))</f>
        <v/>
      </c>
      <c r="AN61" s="220" t="str">
        <f>IF(Buildings_GridElectricity_Frontend[[#This Row],[Data]]="","",Buildings_GridElectricity_Backend[[#This Row],[Total (tCO2e)]]*(1+Buildings_GridElectricity_Backend[[#This Row],[RSD]]))</f>
        <v/>
      </c>
      <c r="AO61" s="210" t="str">
        <f>IF(Buildings_GridElectricity_Frontend[[#This Row],[Data]]="","",_xlfn.XLOOKUP(_xlfn.CONCAT(Buildings_GridElectricity_Backend[[#This Row],[Level 1]:[Level 6]]),rng_EFConcat,rng_EFOOS)*Buildings_GridElectricity_Backend[[#This Row],[Converted data]]/1000)</f>
        <v/>
      </c>
      <c r="AP61" s="174">
        <f>Buildings_GridElectricity_Frontend[[#This Row],[Ease of collection]]</f>
        <v>0</v>
      </c>
      <c r="AQ61" s="213">
        <f>Buildings_GridElectricity_Frontend[[#This Row],[Completeness]]</f>
        <v>0</v>
      </c>
      <c r="AR61" s="220">
        <f>Buildings_GridElectricity_Frontend[[#This Row],[Notes]]</f>
        <v>0</v>
      </c>
    </row>
    <row r="62" spans="5:44" x14ac:dyDescent="0.3">
      <c r="E62" s="346"/>
      <c r="F62" s="449"/>
      <c r="G62" s="336"/>
      <c r="H62" s="334"/>
      <c r="I62" s="172" t="s">
        <v>316</v>
      </c>
      <c r="J62" s="337"/>
      <c r="K62" s="336"/>
      <c r="L62" s="336"/>
      <c r="M62" s="337"/>
      <c r="N62" s="242">
        <f t="shared" si="3"/>
        <v>3</v>
      </c>
      <c r="Q62" s="212" t="str">
        <f t="shared" si="2"/>
        <v/>
      </c>
      <c r="R62" s="174" t="s">
        <v>265</v>
      </c>
      <c r="S62" s="174" t="s">
        <v>273</v>
      </c>
      <c r="T62" s="174" t="str">
        <f>_xlfn.XLOOKUP(Buildings_GridElectricity_Backend[[#This Row],[Info 1]],Buildings_SiteInfo[Site name],Buildings_SiteInfo[Site type], "")</f>
        <v/>
      </c>
      <c r="U62" s="174" t="s">
        <v>281</v>
      </c>
      <c r="V62" s="174" t="str" cm="1">
        <f t="array" aca="1" ref="V62" ca="1">_xlfn.XLOOKUP(Buildings_GridElectricity_Backend[[#This Row],[Level 4]],rng_Level4Long,rng_Level5Long)</f>
        <v>Electricity</v>
      </c>
      <c r="W62" s="174" t="str" cm="1">
        <f t="array" aca="1" ref="W62" ca="1">_xlfn.XLOOKUP(Buildings_GridElectricity_Backend[[#This Row],[Level 4]],rng_Level4Long,rng_Level6Long)</f>
        <v>NaN</v>
      </c>
      <c r="X62" s="174">
        <f>Buildings_GridElectricity_Frontend[[#This Row],[Site Name]]</f>
        <v>0</v>
      </c>
      <c r="Y62" s="174">
        <f>Buildings_GridElectricity_Frontend[[#This Row],[Contracting]]</f>
        <v>0</v>
      </c>
      <c r="Z62" s="174">
        <f>Buildings_GridElectricity_Frontend[[#This Row],[Methodology]]</f>
        <v>0</v>
      </c>
      <c r="AA62" s="229" t="str" cm="1">
        <f t="array" ref="AA62">IF(Buildings_GridElectricity_Frontend[[#This Row],[Data]]="","",INDEX(_xlfn.SWITCH(Buildings_GridElectricity_Backend[[#This Row],[Methodology]],"Tier 1",rng_RSD1,"Tier 2",rng_RSD2,"Tier 3",rng_RSD3),MATCH(_xlfn.CONCAT(Buildings_GridElectricity_Backend[[#This Row],[Level 1]:[Level 6]]),rng_LevelsConcat,0)))</f>
        <v/>
      </c>
      <c r="AB62" s="220">
        <f>Buildings_GridElectricity_Frontend[[#This Row],[Data]]</f>
        <v>0</v>
      </c>
      <c r="AC62" s="174" t="str">
        <f>Buildings_GridElectricity_Frontend[[#This Row],[Units]]</f>
        <v>kWh</v>
      </c>
      <c r="AD62" s="218">
        <f>Buildings_GridElectricity_Frontend[[#This Row],[Data]]</f>
        <v>0</v>
      </c>
      <c r="AE62" s="174" t="str">
        <f>Buildings_GridElectricity_Frontend[[#This Row],[Units]]</f>
        <v>kWh</v>
      </c>
      <c r="AF62" s="210" t="str">
        <f>IF(Buildings_GridElectricity_Frontend[[#This Row],[Data]]="","",_xlfn.XLOOKUP(_xlfn.CONCAT(Buildings_GridElectricity_Backend[[#This Row],[Level 1]:[Level 6]]),rng_EFConcat,rng_EF1)*Buildings_GridElectricity_Backend[[#This Row],[Converted data]]/1000)</f>
        <v/>
      </c>
      <c r="AG62" s="210" t="str">
        <f>IF(Buildings_GridElectricity_Frontend[[#This Row],[Data]]="","",_xlfn.XLOOKUP(_xlfn.CONCAT(Buildings_GridElectricity_Backend[[#This Row],[Level 1]:[Level 6]]),rng_EFConcat,rng_EF2)*Buildings_GridElectricity_Backend[[#This Row],[Converted data]]/1000)</f>
        <v/>
      </c>
      <c r="AH62" s="210" t="str">
        <f>IF(Buildings_GridElectricity_Frontend[[#This Row],[Data]]="","",_xlfn.XLOOKUP(_xlfn.CONCAT(Buildings_GridElectricity_Backend[[#This Row],[Level 1]:[Level 6]]),rng_EFConcat,rng_EF3)*Buildings_GridElectricity_Backend[[#This Row],[Converted data]]/1000)</f>
        <v/>
      </c>
      <c r="AI62" s="210" t="str">
        <f>IF(Buildings_GridElectricity_Frontend[[#This Row],[Data]]="","",_xlfn.XLOOKUP(_xlfn.CONCAT(Buildings_GridElectricity_Backend[[#This Row],[Level 1]:[Level 6]]),rng_EFConcat,rng_EF3WTT)*Buildings_GridElectricity_Backend[[#This Row],[Converted data]]/1000)</f>
        <v/>
      </c>
      <c r="AJ62" s="210" t="str">
        <f>IF(Buildings_GridElectricity_Frontend[[#This Row],[Data]]="","",_xlfn.XLOOKUP(_xlfn.CONCAT(Buildings_GridElectricity_Backend[[#This Row],[Level 1]:[Level 6]]),rng_EFConcat,rng_EF3TD)*Buildings_GridElectricity_Backend[[#This Row],[Converted data]]/1000)</f>
        <v/>
      </c>
      <c r="AK62" s="210" t="str">
        <f>IF(Buildings_GridElectricity_Frontend[[#This Row],[Data]]="","",_xlfn.XLOOKUP(_xlfn.CONCAT(Buildings_GridElectricity_Backend[[#This Row],[Level 1]:[Level 6]]),rng_EFConcat,rng_EF3WTTTD)*Buildings_GridElectricity_Backend[[#This Row],[Converted data]]/1000)</f>
        <v/>
      </c>
      <c r="AL62" s="220" t="str">
        <f>IF(Buildings_GridElectricity_Frontend[[#This Row],[Data]]="","",SUM(Buildings_GridElectricity_Backend[[#This Row],[Scope 1 (tCO2e)]:[Scope 3 WTT T&amp;D (tCO2e)]]))</f>
        <v/>
      </c>
      <c r="AM62" s="220" t="str">
        <f>IF(Buildings_GridElectricity_Frontend[[#This Row],[Data]]="","",Buildings_GridElectricity_Backend[[#This Row],[Total (tCO2e)]]*(1-Buildings_GridElectricity_Backend[[#This Row],[RSD]]))</f>
        <v/>
      </c>
      <c r="AN62" s="220" t="str">
        <f>IF(Buildings_GridElectricity_Frontend[[#This Row],[Data]]="","",Buildings_GridElectricity_Backend[[#This Row],[Total (tCO2e)]]*(1+Buildings_GridElectricity_Backend[[#This Row],[RSD]]))</f>
        <v/>
      </c>
      <c r="AO62" s="210" t="str">
        <f>IF(Buildings_GridElectricity_Frontend[[#This Row],[Data]]="","",_xlfn.XLOOKUP(_xlfn.CONCAT(Buildings_GridElectricity_Backend[[#This Row],[Level 1]:[Level 6]]),rng_EFConcat,rng_EFOOS)*Buildings_GridElectricity_Backend[[#This Row],[Converted data]]/1000)</f>
        <v/>
      </c>
      <c r="AP62" s="174">
        <f>Buildings_GridElectricity_Frontend[[#This Row],[Ease of collection]]</f>
        <v>0</v>
      </c>
      <c r="AQ62" s="213">
        <f>Buildings_GridElectricity_Frontend[[#This Row],[Completeness]]</f>
        <v>0</v>
      </c>
      <c r="AR62" s="220">
        <f>Buildings_GridElectricity_Frontend[[#This Row],[Notes]]</f>
        <v>0</v>
      </c>
    </row>
    <row r="63" spans="5:44" x14ac:dyDescent="0.3">
      <c r="E63" s="346"/>
      <c r="F63" s="449"/>
      <c r="G63" s="336"/>
      <c r="H63" s="334"/>
      <c r="I63" s="172" t="s">
        <v>316</v>
      </c>
      <c r="J63" s="337"/>
      <c r="K63" s="336"/>
      <c r="L63" s="336"/>
      <c r="M63" s="337"/>
      <c r="N63" s="242">
        <f t="shared" si="3"/>
        <v>3</v>
      </c>
      <c r="Q63" s="212" t="str">
        <f t="shared" si="2"/>
        <v/>
      </c>
      <c r="R63" s="174" t="s">
        <v>265</v>
      </c>
      <c r="S63" s="174" t="s">
        <v>273</v>
      </c>
      <c r="T63" s="174" t="str">
        <f>_xlfn.XLOOKUP(Buildings_GridElectricity_Backend[[#This Row],[Info 1]],Buildings_SiteInfo[Site name],Buildings_SiteInfo[Site type], "")</f>
        <v/>
      </c>
      <c r="U63" s="174" t="s">
        <v>281</v>
      </c>
      <c r="V63" s="174" t="str" cm="1">
        <f t="array" aca="1" ref="V63" ca="1">_xlfn.XLOOKUP(Buildings_GridElectricity_Backend[[#This Row],[Level 4]],rng_Level4Long,rng_Level5Long)</f>
        <v>Electricity</v>
      </c>
      <c r="W63" s="174" t="str" cm="1">
        <f t="array" aca="1" ref="W63" ca="1">_xlfn.XLOOKUP(Buildings_GridElectricity_Backend[[#This Row],[Level 4]],rng_Level4Long,rng_Level6Long)</f>
        <v>NaN</v>
      </c>
      <c r="X63" s="174">
        <f>Buildings_GridElectricity_Frontend[[#This Row],[Site Name]]</f>
        <v>0</v>
      </c>
      <c r="Y63" s="174">
        <f>Buildings_GridElectricity_Frontend[[#This Row],[Contracting]]</f>
        <v>0</v>
      </c>
      <c r="Z63" s="174">
        <f>Buildings_GridElectricity_Frontend[[#This Row],[Methodology]]</f>
        <v>0</v>
      </c>
      <c r="AA63" s="229" t="str" cm="1">
        <f t="array" ref="AA63">IF(Buildings_GridElectricity_Frontend[[#This Row],[Data]]="","",INDEX(_xlfn.SWITCH(Buildings_GridElectricity_Backend[[#This Row],[Methodology]],"Tier 1",rng_RSD1,"Tier 2",rng_RSD2,"Tier 3",rng_RSD3),MATCH(_xlfn.CONCAT(Buildings_GridElectricity_Backend[[#This Row],[Level 1]:[Level 6]]),rng_LevelsConcat,0)))</f>
        <v/>
      </c>
      <c r="AB63" s="220">
        <f>Buildings_GridElectricity_Frontend[[#This Row],[Data]]</f>
        <v>0</v>
      </c>
      <c r="AC63" s="174" t="str">
        <f>Buildings_GridElectricity_Frontend[[#This Row],[Units]]</f>
        <v>kWh</v>
      </c>
      <c r="AD63" s="218">
        <f>Buildings_GridElectricity_Frontend[[#This Row],[Data]]</f>
        <v>0</v>
      </c>
      <c r="AE63" s="174" t="str">
        <f>Buildings_GridElectricity_Frontend[[#This Row],[Units]]</f>
        <v>kWh</v>
      </c>
      <c r="AF63" s="210" t="str">
        <f>IF(Buildings_GridElectricity_Frontend[[#This Row],[Data]]="","",_xlfn.XLOOKUP(_xlfn.CONCAT(Buildings_GridElectricity_Backend[[#This Row],[Level 1]:[Level 6]]),rng_EFConcat,rng_EF1)*Buildings_GridElectricity_Backend[[#This Row],[Converted data]]/1000)</f>
        <v/>
      </c>
      <c r="AG63" s="210" t="str">
        <f>IF(Buildings_GridElectricity_Frontend[[#This Row],[Data]]="","",_xlfn.XLOOKUP(_xlfn.CONCAT(Buildings_GridElectricity_Backend[[#This Row],[Level 1]:[Level 6]]),rng_EFConcat,rng_EF2)*Buildings_GridElectricity_Backend[[#This Row],[Converted data]]/1000)</f>
        <v/>
      </c>
      <c r="AH63" s="210" t="str">
        <f>IF(Buildings_GridElectricity_Frontend[[#This Row],[Data]]="","",_xlfn.XLOOKUP(_xlfn.CONCAT(Buildings_GridElectricity_Backend[[#This Row],[Level 1]:[Level 6]]),rng_EFConcat,rng_EF3)*Buildings_GridElectricity_Backend[[#This Row],[Converted data]]/1000)</f>
        <v/>
      </c>
      <c r="AI63" s="210" t="str">
        <f>IF(Buildings_GridElectricity_Frontend[[#This Row],[Data]]="","",_xlfn.XLOOKUP(_xlfn.CONCAT(Buildings_GridElectricity_Backend[[#This Row],[Level 1]:[Level 6]]),rng_EFConcat,rng_EF3WTT)*Buildings_GridElectricity_Backend[[#This Row],[Converted data]]/1000)</f>
        <v/>
      </c>
      <c r="AJ63" s="210" t="str">
        <f>IF(Buildings_GridElectricity_Frontend[[#This Row],[Data]]="","",_xlfn.XLOOKUP(_xlfn.CONCAT(Buildings_GridElectricity_Backend[[#This Row],[Level 1]:[Level 6]]),rng_EFConcat,rng_EF3TD)*Buildings_GridElectricity_Backend[[#This Row],[Converted data]]/1000)</f>
        <v/>
      </c>
      <c r="AK63" s="210" t="str">
        <f>IF(Buildings_GridElectricity_Frontend[[#This Row],[Data]]="","",_xlfn.XLOOKUP(_xlfn.CONCAT(Buildings_GridElectricity_Backend[[#This Row],[Level 1]:[Level 6]]),rng_EFConcat,rng_EF3WTTTD)*Buildings_GridElectricity_Backend[[#This Row],[Converted data]]/1000)</f>
        <v/>
      </c>
      <c r="AL63" s="220" t="str">
        <f>IF(Buildings_GridElectricity_Frontend[[#This Row],[Data]]="","",SUM(Buildings_GridElectricity_Backend[[#This Row],[Scope 1 (tCO2e)]:[Scope 3 WTT T&amp;D (tCO2e)]]))</f>
        <v/>
      </c>
      <c r="AM63" s="220" t="str">
        <f>IF(Buildings_GridElectricity_Frontend[[#This Row],[Data]]="","",Buildings_GridElectricity_Backend[[#This Row],[Total (tCO2e)]]*(1-Buildings_GridElectricity_Backend[[#This Row],[RSD]]))</f>
        <v/>
      </c>
      <c r="AN63" s="220" t="str">
        <f>IF(Buildings_GridElectricity_Frontend[[#This Row],[Data]]="","",Buildings_GridElectricity_Backend[[#This Row],[Total (tCO2e)]]*(1+Buildings_GridElectricity_Backend[[#This Row],[RSD]]))</f>
        <v/>
      </c>
      <c r="AO63" s="210" t="str">
        <f>IF(Buildings_GridElectricity_Frontend[[#This Row],[Data]]="","",_xlfn.XLOOKUP(_xlfn.CONCAT(Buildings_GridElectricity_Backend[[#This Row],[Level 1]:[Level 6]]),rng_EFConcat,rng_EFOOS)*Buildings_GridElectricity_Backend[[#This Row],[Converted data]]/1000)</f>
        <v/>
      </c>
      <c r="AP63" s="174">
        <f>Buildings_GridElectricity_Frontend[[#This Row],[Ease of collection]]</f>
        <v>0</v>
      </c>
      <c r="AQ63" s="213">
        <f>Buildings_GridElectricity_Frontend[[#This Row],[Completeness]]</f>
        <v>0</v>
      </c>
      <c r="AR63" s="220">
        <f>Buildings_GridElectricity_Frontend[[#This Row],[Notes]]</f>
        <v>0</v>
      </c>
    </row>
    <row r="64" spans="5:44" x14ac:dyDescent="0.3">
      <c r="E64" s="346"/>
      <c r="F64" s="449"/>
      <c r="G64" s="336"/>
      <c r="H64" s="334"/>
      <c r="I64" s="172" t="s">
        <v>316</v>
      </c>
      <c r="J64" s="337"/>
      <c r="K64" s="336"/>
      <c r="L64" s="336"/>
      <c r="M64" s="337"/>
      <c r="N64" s="242">
        <f t="shared" si="3"/>
        <v>3</v>
      </c>
      <c r="Q64" s="212" t="str">
        <f t="shared" si="2"/>
        <v/>
      </c>
      <c r="R64" s="174" t="s">
        <v>265</v>
      </c>
      <c r="S64" s="174" t="s">
        <v>273</v>
      </c>
      <c r="T64" s="174" t="str">
        <f>_xlfn.XLOOKUP(Buildings_GridElectricity_Backend[[#This Row],[Info 1]],Buildings_SiteInfo[Site name],Buildings_SiteInfo[Site type], "")</f>
        <v/>
      </c>
      <c r="U64" s="174" t="s">
        <v>281</v>
      </c>
      <c r="V64" s="174" t="str" cm="1">
        <f t="array" aca="1" ref="V64" ca="1">_xlfn.XLOOKUP(Buildings_GridElectricity_Backend[[#This Row],[Level 4]],rng_Level4Long,rng_Level5Long)</f>
        <v>Electricity</v>
      </c>
      <c r="W64" s="174" t="str" cm="1">
        <f t="array" aca="1" ref="W64" ca="1">_xlfn.XLOOKUP(Buildings_GridElectricity_Backend[[#This Row],[Level 4]],rng_Level4Long,rng_Level6Long)</f>
        <v>NaN</v>
      </c>
      <c r="X64" s="174">
        <f>Buildings_GridElectricity_Frontend[[#This Row],[Site Name]]</f>
        <v>0</v>
      </c>
      <c r="Y64" s="174">
        <f>Buildings_GridElectricity_Frontend[[#This Row],[Contracting]]</f>
        <v>0</v>
      </c>
      <c r="Z64" s="174">
        <f>Buildings_GridElectricity_Frontend[[#This Row],[Methodology]]</f>
        <v>0</v>
      </c>
      <c r="AA64" s="229" t="str" cm="1">
        <f t="array" ref="AA64">IF(Buildings_GridElectricity_Frontend[[#This Row],[Data]]="","",INDEX(_xlfn.SWITCH(Buildings_GridElectricity_Backend[[#This Row],[Methodology]],"Tier 1",rng_RSD1,"Tier 2",rng_RSD2,"Tier 3",rng_RSD3),MATCH(_xlfn.CONCAT(Buildings_GridElectricity_Backend[[#This Row],[Level 1]:[Level 6]]),rng_LevelsConcat,0)))</f>
        <v/>
      </c>
      <c r="AB64" s="220">
        <f>Buildings_GridElectricity_Frontend[[#This Row],[Data]]</f>
        <v>0</v>
      </c>
      <c r="AC64" s="174" t="str">
        <f>Buildings_GridElectricity_Frontend[[#This Row],[Units]]</f>
        <v>kWh</v>
      </c>
      <c r="AD64" s="218">
        <f>Buildings_GridElectricity_Frontend[[#This Row],[Data]]</f>
        <v>0</v>
      </c>
      <c r="AE64" s="174" t="str">
        <f>Buildings_GridElectricity_Frontend[[#This Row],[Units]]</f>
        <v>kWh</v>
      </c>
      <c r="AF64" s="210" t="str">
        <f>IF(Buildings_GridElectricity_Frontend[[#This Row],[Data]]="","",_xlfn.XLOOKUP(_xlfn.CONCAT(Buildings_GridElectricity_Backend[[#This Row],[Level 1]:[Level 6]]),rng_EFConcat,rng_EF1)*Buildings_GridElectricity_Backend[[#This Row],[Converted data]]/1000)</f>
        <v/>
      </c>
      <c r="AG64" s="210" t="str">
        <f>IF(Buildings_GridElectricity_Frontend[[#This Row],[Data]]="","",_xlfn.XLOOKUP(_xlfn.CONCAT(Buildings_GridElectricity_Backend[[#This Row],[Level 1]:[Level 6]]),rng_EFConcat,rng_EF2)*Buildings_GridElectricity_Backend[[#This Row],[Converted data]]/1000)</f>
        <v/>
      </c>
      <c r="AH64" s="210" t="str">
        <f>IF(Buildings_GridElectricity_Frontend[[#This Row],[Data]]="","",_xlfn.XLOOKUP(_xlfn.CONCAT(Buildings_GridElectricity_Backend[[#This Row],[Level 1]:[Level 6]]),rng_EFConcat,rng_EF3)*Buildings_GridElectricity_Backend[[#This Row],[Converted data]]/1000)</f>
        <v/>
      </c>
      <c r="AI64" s="210" t="str">
        <f>IF(Buildings_GridElectricity_Frontend[[#This Row],[Data]]="","",_xlfn.XLOOKUP(_xlfn.CONCAT(Buildings_GridElectricity_Backend[[#This Row],[Level 1]:[Level 6]]),rng_EFConcat,rng_EF3WTT)*Buildings_GridElectricity_Backend[[#This Row],[Converted data]]/1000)</f>
        <v/>
      </c>
      <c r="AJ64" s="210" t="str">
        <f>IF(Buildings_GridElectricity_Frontend[[#This Row],[Data]]="","",_xlfn.XLOOKUP(_xlfn.CONCAT(Buildings_GridElectricity_Backend[[#This Row],[Level 1]:[Level 6]]),rng_EFConcat,rng_EF3TD)*Buildings_GridElectricity_Backend[[#This Row],[Converted data]]/1000)</f>
        <v/>
      </c>
      <c r="AK64" s="210" t="str">
        <f>IF(Buildings_GridElectricity_Frontend[[#This Row],[Data]]="","",_xlfn.XLOOKUP(_xlfn.CONCAT(Buildings_GridElectricity_Backend[[#This Row],[Level 1]:[Level 6]]),rng_EFConcat,rng_EF3WTTTD)*Buildings_GridElectricity_Backend[[#This Row],[Converted data]]/1000)</f>
        <v/>
      </c>
      <c r="AL64" s="220" t="str">
        <f>IF(Buildings_GridElectricity_Frontend[[#This Row],[Data]]="","",SUM(Buildings_GridElectricity_Backend[[#This Row],[Scope 1 (tCO2e)]:[Scope 3 WTT T&amp;D (tCO2e)]]))</f>
        <v/>
      </c>
      <c r="AM64" s="220" t="str">
        <f>IF(Buildings_GridElectricity_Frontend[[#This Row],[Data]]="","",Buildings_GridElectricity_Backend[[#This Row],[Total (tCO2e)]]*(1-Buildings_GridElectricity_Backend[[#This Row],[RSD]]))</f>
        <v/>
      </c>
      <c r="AN64" s="220" t="str">
        <f>IF(Buildings_GridElectricity_Frontend[[#This Row],[Data]]="","",Buildings_GridElectricity_Backend[[#This Row],[Total (tCO2e)]]*(1+Buildings_GridElectricity_Backend[[#This Row],[RSD]]))</f>
        <v/>
      </c>
      <c r="AO64" s="210" t="str">
        <f>IF(Buildings_GridElectricity_Frontend[[#This Row],[Data]]="","",_xlfn.XLOOKUP(_xlfn.CONCAT(Buildings_GridElectricity_Backend[[#This Row],[Level 1]:[Level 6]]),rng_EFConcat,rng_EFOOS)*Buildings_GridElectricity_Backend[[#This Row],[Converted data]]/1000)</f>
        <v/>
      </c>
      <c r="AP64" s="174">
        <f>Buildings_GridElectricity_Frontend[[#This Row],[Ease of collection]]</f>
        <v>0</v>
      </c>
      <c r="AQ64" s="213">
        <f>Buildings_GridElectricity_Frontend[[#This Row],[Completeness]]</f>
        <v>0</v>
      </c>
      <c r="AR64" s="220">
        <f>Buildings_GridElectricity_Frontend[[#This Row],[Notes]]</f>
        <v>0</v>
      </c>
    </row>
    <row r="65" spans="5:44" x14ac:dyDescent="0.3">
      <c r="E65" s="346"/>
      <c r="F65" s="449"/>
      <c r="G65" s="336"/>
      <c r="H65" s="334"/>
      <c r="I65" s="172" t="s">
        <v>316</v>
      </c>
      <c r="J65" s="337"/>
      <c r="K65" s="336"/>
      <c r="L65" s="336"/>
      <c r="M65" s="337"/>
      <c r="N65" s="242">
        <f t="shared" si="3"/>
        <v>3</v>
      </c>
      <c r="Q65" s="212" t="str">
        <f t="shared" si="2"/>
        <v/>
      </c>
      <c r="R65" s="174" t="s">
        <v>265</v>
      </c>
      <c r="S65" s="174" t="s">
        <v>273</v>
      </c>
      <c r="T65" s="174" t="str">
        <f>_xlfn.XLOOKUP(Buildings_GridElectricity_Backend[[#This Row],[Info 1]],Buildings_SiteInfo[Site name],Buildings_SiteInfo[Site type], "")</f>
        <v/>
      </c>
      <c r="U65" s="174" t="s">
        <v>281</v>
      </c>
      <c r="V65" s="174" t="str" cm="1">
        <f t="array" aca="1" ref="V65" ca="1">_xlfn.XLOOKUP(Buildings_GridElectricity_Backend[[#This Row],[Level 4]],rng_Level4Long,rng_Level5Long)</f>
        <v>Electricity</v>
      </c>
      <c r="W65" s="174" t="str" cm="1">
        <f t="array" aca="1" ref="W65" ca="1">_xlfn.XLOOKUP(Buildings_GridElectricity_Backend[[#This Row],[Level 4]],rng_Level4Long,rng_Level6Long)</f>
        <v>NaN</v>
      </c>
      <c r="X65" s="174">
        <f>Buildings_GridElectricity_Frontend[[#This Row],[Site Name]]</f>
        <v>0</v>
      </c>
      <c r="Y65" s="174">
        <f>Buildings_GridElectricity_Frontend[[#This Row],[Contracting]]</f>
        <v>0</v>
      </c>
      <c r="Z65" s="174">
        <f>Buildings_GridElectricity_Frontend[[#This Row],[Methodology]]</f>
        <v>0</v>
      </c>
      <c r="AA65" s="229" t="str" cm="1">
        <f t="array" ref="AA65">IF(Buildings_GridElectricity_Frontend[[#This Row],[Data]]="","",INDEX(_xlfn.SWITCH(Buildings_GridElectricity_Backend[[#This Row],[Methodology]],"Tier 1",rng_RSD1,"Tier 2",rng_RSD2,"Tier 3",rng_RSD3),MATCH(_xlfn.CONCAT(Buildings_GridElectricity_Backend[[#This Row],[Level 1]:[Level 6]]),rng_LevelsConcat,0)))</f>
        <v/>
      </c>
      <c r="AB65" s="220">
        <f>Buildings_GridElectricity_Frontend[[#This Row],[Data]]</f>
        <v>0</v>
      </c>
      <c r="AC65" s="174" t="str">
        <f>Buildings_GridElectricity_Frontend[[#This Row],[Units]]</f>
        <v>kWh</v>
      </c>
      <c r="AD65" s="218">
        <f>Buildings_GridElectricity_Frontend[[#This Row],[Data]]</f>
        <v>0</v>
      </c>
      <c r="AE65" s="174" t="str">
        <f>Buildings_GridElectricity_Frontend[[#This Row],[Units]]</f>
        <v>kWh</v>
      </c>
      <c r="AF65" s="210" t="str">
        <f>IF(Buildings_GridElectricity_Frontend[[#This Row],[Data]]="","",_xlfn.XLOOKUP(_xlfn.CONCAT(Buildings_GridElectricity_Backend[[#This Row],[Level 1]:[Level 6]]),rng_EFConcat,rng_EF1)*Buildings_GridElectricity_Backend[[#This Row],[Converted data]]/1000)</f>
        <v/>
      </c>
      <c r="AG65" s="210" t="str">
        <f>IF(Buildings_GridElectricity_Frontend[[#This Row],[Data]]="","",_xlfn.XLOOKUP(_xlfn.CONCAT(Buildings_GridElectricity_Backend[[#This Row],[Level 1]:[Level 6]]),rng_EFConcat,rng_EF2)*Buildings_GridElectricity_Backend[[#This Row],[Converted data]]/1000)</f>
        <v/>
      </c>
      <c r="AH65" s="210" t="str">
        <f>IF(Buildings_GridElectricity_Frontend[[#This Row],[Data]]="","",_xlfn.XLOOKUP(_xlfn.CONCAT(Buildings_GridElectricity_Backend[[#This Row],[Level 1]:[Level 6]]),rng_EFConcat,rng_EF3)*Buildings_GridElectricity_Backend[[#This Row],[Converted data]]/1000)</f>
        <v/>
      </c>
      <c r="AI65" s="210" t="str">
        <f>IF(Buildings_GridElectricity_Frontend[[#This Row],[Data]]="","",_xlfn.XLOOKUP(_xlfn.CONCAT(Buildings_GridElectricity_Backend[[#This Row],[Level 1]:[Level 6]]),rng_EFConcat,rng_EF3WTT)*Buildings_GridElectricity_Backend[[#This Row],[Converted data]]/1000)</f>
        <v/>
      </c>
      <c r="AJ65" s="210" t="str">
        <f>IF(Buildings_GridElectricity_Frontend[[#This Row],[Data]]="","",_xlfn.XLOOKUP(_xlfn.CONCAT(Buildings_GridElectricity_Backend[[#This Row],[Level 1]:[Level 6]]),rng_EFConcat,rng_EF3TD)*Buildings_GridElectricity_Backend[[#This Row],[Converted data]]/1000)</f>
        <v/>
      </c>
      <c r="AK65" s="210" t="str">
        <f>IF(Buildings_GridElectricity_Frontend[[#This Row],[Data]]="","",_xlfn.XLOOKUP(_xlfn.CONCAT(Buildings_GridElectricity_Backend[[#This Row],[Level 1]:[Level 6]]),rng_EFConcat,rng_EF3WTTTD)*Buildings_GridElectricity_Backend[[#This Row],[Converted data]]/1000)</f>
        <v/>
      </c>
      <c r="AL65" s="220" t="str">
        <f>IF(Buildings_GridElectricity_Frontend[[#This Row],[Data]]="","",SUM(Buildings_GridElectricity_Backend[[#This Row],[Scope 1 (tCO2e)]:[Scope 3 WTT T&amp;D (tCO2e)]]))</f>
        <v/>
      </c>
      <c r="AM65" s="220" t="str">
        <f>IF(Buildings_GridElectricity_Frontend[[#This Row],[Data]]="","",Buildings_GridElectricity_Backend[[#This Row],[Total (tCO2e)]]*(1-Buildings_GridElectricity_Backend[[#This Row],[RSD]]))</f>
        <v/>
      </c>
      <c r="AN65" s="220" t="str">
        <f>IF(Buildings_GridElectricity_Frontend[[#This Row],[Data]]="","",Buildings_GridElectricity_Backend[[#This Row],[Total (tCO2e)]]*(1+Buildings_GridElectricity_Backend[[#This Row],[RSD]]))</f>
        <v/>
      </c>
      <c r="AO65" s="210" t="str">
        <f>IF(Buildings_GridElectricity_Frontend[[#This Row],[Data]]="","",_xlfn.XLOOKUP(_xlfn.CONCAT(Buildings_GridElectricity_Backend[[#This Row],[Level 1]:[Level 6]]),rng_EFConcat,rng_EFOOS)*Buildings_GridElectricity_Backend[[#This Row],[Converted data]]/1000)</f>
        <v/>
      </c>
      <c r="AP65" s="174">
        <f>Buildings_GridElectricity_Frontend[[#This Row],[Ease of collection]]</f>
        <v>0</v>
      </c>
      <c r="AQ65" s="213">
        <f>Buildings_GridElectricity_Frontend[[#This Row],[Completeness]]</f>
        <v>0</v>
      </c>
      <c r="AR65" s="220">
        <f>Buildings_GridElectricity_Frontend[[#This Row],[Notes]]</f>
        <v>0</v>
      </c>
    </row>
    <row r="66" spans="5:44" x14ac:dyDescent="0.3">
      <c r="E66" s="346"/>
      <c r="F66" s="449"/>
      <c r="G66" s="336"/>
      <c r="H66" s="334"/>
      <c r="I66" s="172" t="s">
        <v>316</v>
      </c>
      <c r="J66" s="337"/>
      <c r="K66" s="336"/>
      <c r="L66" s="336"/>
      <c r="M66" s="337"/>
      <c r="N66" s="242">
        <f t="shared" si="3"/>
        <v>3</v>
      </c>
      <c r="Q66" s="212" t="str">
        <f t="shared" si="2"/>
        <v/>
      </c>
      <c r="R66" s="174" t="s">
        <v>265</v>
      </c>
      <c r="S66" s="174" t="s">
        <v>273</v>
      </c>
      <c r="T66" s="174" t="str">
        <f>_xlfn.XLOOKUP(Buildings_GridElectricity_Backend[[#This Row],[Info 1]],Buildings_SiteInfo[Site name],Buildings_SiteInfo[Site type], "")</f>
        <v/>
      </c>
      <c r="U66" s="174" t="s">
        <v>281</v>
      </c>
      <c r="V66" s="174" t="str" cm="1">
        <f t="array" aca="1" ref="V66" ca="1">_xlfn.XLOOKUP(Buildings_GridElectricity_Backend[[#This Row],[Level 4]],rng_Level4Long,rng_Level5Long)</f>
        <v>Electricity</v>
      </c>
      <c r="W66" s="174" t="str" cm="1">
        <f t="array" aca="1" ref="W66" ca="1">_xlfn.XLOOKUP(Buildings_GridElectricity_Backend[[#This Row],[Level 4]],rng_Level4Long,rng_Level6Long)</f>
        <v>NaN</v>
      </c>
      <c r="X66" s="174">
        <f>Buildings_GridElectricity_Frontend[[#This Row],[Site Name]]</f>
        <v>0</v>
      </c>
      <c r="Y66" s="174">
        <f>Buildings_GridElectricity_Frontend[[#This Row],[Contracting]]</f>
        <v>0</v>
      </c>
      <c r="Z66" s="174">
        <f>Buildings_GridElectricity_Frontend[[#This Row],[Methodology]]</f>
        <v>0</v>
      </c>
      <c r="AA66" s="229" t="str" cm="1">
        <f t="array" ref="AA66">IF(Buildings_GridElectricity_Frontend[[#This Row],[Data]]="","",INDEX(_xlfn.SWITCH(Buildings_GridElectricity_Backend[[#This Row],[Methodology]],"Tier 1",rng_RSD1,"Tier 2",rng_RSD2,"Tier 3",rng_RSD3),MATCH(_xlfn.CONCAT(Buildings_GridElectricity_Backend[[#This Row],[Level 1]:[Level 6]]),rng_LevelsConcat,0)))</f>
        <v/>
      </c>
      <c r="AB66" s="220">
        <f>Buildings_GridElectricity_Frontend[[#This Row],[Data]]</f>
        <v>0</v>
      </c>
      <c r="AC66" s="174" t="str">
        <f>Buildings_GridElectricity_Frontend[[#This Row],[Units]]</f>
        <v>kWh</v>
      </c>
      <c r="AD66" s="218">
        <f>Buildings_GridElectricity_Frontend[[#This Row],[Data]]</f>
        <v>0</v>
      </c>
      <c r="AE66" s="174" t="str">
        <f>Buildings_GridElectricity_Frontend[[#This Row],[Units]]</f>
        <v>kWh</v>
      </c>
      <c r="AF66" s="210" t="str">
        <f>IF(Buildings_GridElectricity_Frontend[[#This Row],[Data]]="","",_xlfn.XLOOKUP(_xlfn.CONCAT(Buildings_GridElectricity_Backend[[#This Row],[Level 1]:[Level 6]]),rng_EFConcat,rng_EF1)*Buildings_GridElectricity_Backend[[#This Row],[Converted data]]/1000)</f>
        <v/>
      </c>
      <c r="AG66" s="210" t="str">
        <f>IF(Buildings_GridElectricity_Frontend[[#This Row],[Data]]="","",_xlfn.XLOOKUP(_xlfn.CONCAT(Buildings_GridElectricity_Backend[[#This Row],[Level 1]:[Level 6]]),rng_EFConcat,rng_EF2)*Buildings_GridElectricity_Backend[[#This Row],[Converted data]]/1000)</f>
        <v/>
      </c>
      <c r="AH66" s="210" t="str">
        <f>IF(Buildings_GridElectricity_Frontend[[#This Row],[Data]]="","",_xlfn.XLOOKUP(_xlfn.CONCAT(Buildings_GridElectricity_Backend[[#This Row],[Level 1]:[Level 6]]),rng_EFConcat,rng_EF3)*Buildings_GridElectricity_Backend[[#This Row],[Converted data]]/1000)</f>
        <v/>
      </c>
      <c r="AI66" s="210" t="str">
        <f>IF(Buildings_GridElectricity_Frontend[[#This Row],[Data]]="","",_xlfn.XLOOKUP(_xlfn.CONCAT(Buildings_GridElectricity_Backend[[#This Row],[Level 1]:[Level 6]]),rng_EFConcat,rng_EF3WTT)*Buildings_GridElectricity_Backend[[#This Row],[Converted data]]/1000)</f>
        <v/>
      </c>
      <c r="AJ66" s="210" t="str">
        <f>IF(Buildings_GridElectricity_Frontend[[#This Row],[Data]]="","",_xlfn.XLOOKUP(_xlfn.CONCAT(Buildings_GridElectricity_Backend[[#This Row],[Level 1]:[Level 6]]),rng_EFConcat,rng_EF3TD)*Buildings_GridElectricity_Backend[[#This Row],[Converted data]]/1000)</f>
        <v/>
      </c>
      <c r="AK66" s="210" t="str">
        <f>IF(Buildings_GridElectricity_Frontend[[#This Row],[Data]]="","",_xlfn.XLOOKUP(_xlfn.CONCAT(Buildings_GridElectricity_Backend[[#This Row],[Level 1]:[Level 6]]),rng_EFConcat,rng_EF3WTTTD)*Buildings_GridElectricity_Backend[[#This Row],[Converted data]]/1000)</f>
        <v/>
      </c>
      <c r="AL66" s="220" t="str">
        <f>IF(Buildings_GridElectricity_Frontend[[#This Row],[Data]]="","",SUM(Buildings_GridElectricity_Backend[[#This Row],[Scope 1 (tCO2e)]:[Scope 3 WTT T&amp;D (tCO2e)]]))</f>
        <v/>
      </c>
      <c r="AM66" s="220" t="str">
        <f>IF(Buildings_GridElectricity_Frontend[[#This Row],[Data]]="","",Buildings_GridElectricity_Backend[[#This Row],[Total (tCO2e)]]*(1-Buildings_GridElectricity_Backend[[#This Row],[RSD]]))</f>
        <v/>
      </c>
      <c r="AN66" s="220" t="str">
        <f>IF(Buildings_GridElectricity_Frontend[[#This Row],[Data]]="","",Buildings_GridElectricity_Backend[[#This Row],[Total (tCO2e)]]*(1+Buildings_GridElectricity_Backend[[#This Row],[RSD]]))</f>
        <v/>
      </c>
      <c r="AO66" s="210" t="str">
        <f>IF(Buildings_GridElectricity_Frontend[[#This Row],[Data]]="","",_xlfn.XLOOKUP(_xlfn.CONCAT(Buildings_GridElectricity_Backend[[#This Row],[Level 1]:[Level 6]]),rng_EFConcat,rng_EFOOS)*Buildings_GridElectricity_Backend[[#This Row],[Converted data]]/1000)</f>
        <v/>
      </c>
      <c r="AP66" s="174">
        <f>Buildings_GridElectricity_Frontend[[#This Row],[Ease of collection]]</f>
        <v>0</v>
      </c>
      <c r="AQ66" s="213">
        <f>Buildings_GridElectricity_Frontend[[#This Row],[Completeness]]</f>
        <v>0</v>
      </c>
      <c r="AR66" s="220">
        <f>Buildings_GridElectricity_Frontend[[#This Row],[Notes]]</f>
        <v>0</v>
      </c>
    </row>
    <row r="67" spans="5:44" x14ac:dyDescent="0.3">
      <c r="E67" s="346"/>
      <c r="F67" s="449"/>
      <c r="G67" s="336"/>
      <c r="H67" s="334"/>
      <c r="I67" s="172" t="s">
        <v>316</v>
      </c>
      <c r="J67" s="337"/>
      <c r="K67" s="336"/>
      <c r="L67" s="336"/>
      <c r="M67" s="337"/>
      <c r="N67" s="242">
        <f t="shared" si="3"/>
        <v>3</v>
      </c>
      <c r="Q67" s="212" t="str">
        <f t="shared" si="2"/>
        <v/>
      </c>
      <c r="R67" s="174" t="s">
        <v>265</v>
      </c>
      <c r="S67" s="174" t="s">
        <v>273</v>
      </c>
      <c r="T67" s="174" t="str">
        <f>_xlfn.XLOOKUP(Buildings_GridElectricity_Backend[[#This Row],[Info 1]],Buildings_SiteInfo[Site name],Buildings_SiteInfo[Site type], "")</f>
        <v/>
      </c>
      <c r="U67" s="174" t="s">
        <v>281</v>
      </c>
      <c r="V67" s="174" t="str" cm="1">
        <f t="array" aca="1" ref="V67" ca="1">_xlfn.XLOOKUP(Buildings_GridElectricity_Backend[[#This Row],[Level 4]],rng_Level4Long,rng_Level5Long)</f>
        <v>Electricity</v>
      </c>
      <c r="W67" s="174" t="str" cm="1">
        <f t="array" aca="1" ref="W67" ca="1">_xlfn.XLOOKUP(Buildings_GridElectricity_Backend[[#This Row],[Level 4]],rng_Level4Long,rng_Level6Long)</f>
        <v>NaN</v>
      </c>
      <c r="X67" s="174">
        <f>Buildings_GridElectricity_Frontend[[#This Row],[Site Name]]</f>
        <v>0</v>
      </c>
      <c r="Y67" s="174">
        <f>Buildings_GridElectricity_Frontend[[#This Row],[Contracting]]</f>
        <v>0</v>
      </c>
      <c r="Z67" s="174">
        <f>Buildings_GridElectricity_Frontend[[#This Row],[Methodology]]</f>
        <v>0</v>
      </c>
      <c r="AA67" s="229" t="str" cm="1">
        <f t="array" ref="AA67">IF(Buildings_GridElectricity_Frontend[[#This Row],[Data]]="","",INDEX(_xlfn.SWITCH(Buildings_GridElectricity_Backend[[#This Row],[Methodology]],"Tier 1",rng_RSD1,"Tier 2",rng_RSD2,"Tier 3",rng_RSD3),MATCH(_xlfn.CONCAT(Buildings_GridElectricity_Backend[[#This Row],[Level 1]:[Level 6]]),rng_LevelsConcat,0)))</f>
        <v/>
      </c>
      <c r="AB67" s="220">
        <f>Buildings_GridElectricity_Frontend[[#This Row],[Data]]</f>
        <v>0</v>
      </c>
      <c r="AC67" s="174" t="str">
        <f>Buildings_GridElectricity_Frontend[[#This Row],[Units]]</f>
        <v>kWh</v>
      </c>
      <c r="AD67" s="218">
        <f>Buildings_GridElectricity_Frontend[[#This Row],[Data]]</f>
        <v>0</v>
      </c>
      <c r="AE67" s="174" t="str">
        <f>Buildings_GridElectricity_Frontend[[#This Row],[Units]]</f>
        <v>kWh</v>
      </c>
      <c r="AF67" s="210" t="str">
        <f>IF(Buildings_GridElectricity_Frontend[[#This Row],[Data]]="","",_xlfn.XLOOKUP(_xlfn.CONCAT(Buildings_GridElectricity_Backend[[#This Row],[Level 1]:[Level 6]]),rng_EFConcat,rng_EF1)*Buildings_GridElectricity_Backend[[#This Row],[Converted data]]/1000)</f>
        <v/>
      </c>
      <c r="AG67" s="210" t="str">
        <f>IF(Buildings_GridElectricity_Frontend[[#This Row],[Data]]="","",_xlfn.XLOOKUP(_xlfn.CONCAT(Buildings_GridElectricity_Backend[[#This Row],[Level 1]:[Level 6]]),rng_EFConcat,rng_EF2)*Buildings_GridElectricity_Backend[[#This Row],[Converted data]]/1000)</f>
        <v/>
      </c>
      <c r="AH67" s="210" t="str">
        <f>IF(Buildings_GridElectricity_Frontend[[#This Row],[Data]]="","",_xlfn.XLOOKUP(_xlfn.CONCAT(Buildings_GridElectricity_Backend[[#This Row],[Level 1]:[Level 6]]),rng_EFConcat,rng_EF3)*Buildings_GridElectricity_Backend[[#This Row],[Converted data]]/1000)</f>
        <v/>
      </c>
      <c r="AI67" s="210" t="str">
        <f>IF(Buildings_GridElectricity_Frontend[[#This Row],[Data]]="","",_xlfn.XLOOKUP(_xlfn.CONCAT(Buildings_GridElectricity_Backend[[#This Row],[Level 1]:[Level 6]]),rng_EFConcat,rng_EF3WTT)*Buildings_GridElectricity_Backend[[#This Row],[Converted data]]/1000)</f>
        <v/>
      </c>
      <c r="AJ67" s="210" t="str">
        <f>IF(Buildings_GridElectricity_Frontend[[#This Row],[Data]]="","",_xlfn.XLOOKUP(_xlfn.CONCAT(Buildings_GridElectricity_Backend[[#This Row],[Level 1]:[Level 6]]),rng_EFConcat,rng_EF3TD)*Buildings_GridElectricity_Backend[[#This Row],[Converted data]]/1000)</f>
        <v/>
      </c>
      <c r="AK67" s="210" t="str">
        <f>IF(Buildings_GridElectricity_Frontend[[#This Row],[Data]]="","",_xlfn.XLOOKUP(_xlfn.CONCAT(Buildings_GridElectricity_Backend[[#This Row],[Level 1]:[Level 6]]),rng_EFConcat,rng_EF3WTTTD)*Buildings_GridElectricity_Backend[[#This Row],[Converted data]]/1000)</f>
        <v/>
      </c>
      <c r="AL67" s="220" t="str">
        <f>IF(Buildings_GridElectricity_Frontend[[#This Row],[Data]]="","",SUM(Buildings_GridElectricity_Backend[[#This Row],[Scope 1 (tCO2e)]:[Scope 3 WTT T&amp;D (tCO2e)]]))</f>
        <v/>
      </c>
      <c r="AM67" s="220" t="str">
        <f>IF(Buildings_GridElectricity_Frontend[[#This Row],[Data]]="","",Buildings_GridElectricity_Backend[[#This Row],[Total (tCO2e)]]*(1-Buildings_GridElectricity_Backend[[#This Row],[RSD]]))</f>
        <v/>
      </c>
      <c r="AN67" s="220" t="str">
        <f>IF(Buildings_GridElectricity_Frontend[[#This Row],[Data]]="","",Buildings_GridElectricity_Backend[[#This Row],[Total (tCO2e)]]*(1+Buildings_GridElectricity_Backend[[#This Row],[RSD]]))</f>
        <v/>
      </c>
      <c r="AO67" s="210" t="str">
        <f>IF(Buildings_GridElectricity_Frontend[[#This Row],[Data]]="","",_xlfn.XLOOKUP(_xlfn.CONCAT(Buildings_GridElectricity_Backend[[#This Row],[Level 1]:[Level 6]]),rng_EFConcat,rng_EFOOS)*Buildings_GridElectricity_Backend[[#This Row],[Converted data]]/1000)</f>
        <v/>
      </c>
      <c r="AP67" s="174">
        <f>Buildings_GridElectricity_Frontend[[#This Row],[Ease of collection]]</f>
        <v>0</v>
      </c>
      <c r="AQ67" s="213">
        <f>Buildings_GridElectricity_Frontend[[#This Row],[Completeness]]</f>
        <v>0</v>
      </c>
      <c r="AR67" s="220">
        <f>Buildings_GridElectricity_Frontend[[#This Row],[Notes]]</f>
        <v>0</v>
      </c>
    </row>
    <row r="68" spans="5:44" x14ac:dyDescent="0.3">
      <c r="E68" s="346"/>
      <c r="F68" s="449"/>
      <c r="G68" s="336"/>
      <c r="H68" s="334"/>
      <c r="I68" s="172" t="s">
        <v>316</v>
      </c>
      <c r="J68" s="337"/>
      <c r="K68" s="336"/>
      <c r="L68" s="336"/>
      <c r="M68" s="337"/>
      <c r="N68" s="242">
        <f t="shared" si="3"/>
        <v>3</v>
      </c>
      <c r="Q68" s="212" t="str">
        <f t="shared" si="2"/>
        <v/>
      </c>
      <c r="R68" s="174" t="s">
        <v>265</v>
      </c>
      <c r="S68" s="174" t="s">
        <v>273</v>
      </c>
      <c r="T68" s="174" t="str">
        <f>_xlfn.XLOOKUP(Buildings_GridElectricity_Backend[[#This Row],[Info 1]],Buildings_SiteInfo[Site name],Buildings_SiteInfo[Site type], "")</f>
        <v/>
      </c>
      <c r="U68" s="174" t="s">
        <v>281</v>
      </c>
      <c r="V68" s="174" t="str" cm="1">
        <f t="array" aca="1" ref="V68" ca="1">_xlfn.XLOOKUP(Buildings_GridElectricity_Backend[[#This Row],[Level 4]],rng_Level4Long,rng_Level5Long)</f>
        <v>Electricity</v>
      </c>
      <c r="W68" s="174" t="str" cm="1">
        <f t="array" aca="1" ref="W68" ca="1">_xlfn.XLOOKUP(Buildings_GridElectricity_Backend[[#This Row],[Level 4]],rng_Level4Long,rng_Level6Long)</f>
        <v>NaN</v>
      </c>
      <c r="X68" s="174">
        <f>Buildings_GridElectricity_Frontend[[#This Row],[Site Name]]</f>
        <v>0</v>
      </c>
      <c r="Y68" s="174">
        <f>Buildings_GridElectricity_Frontend[[#This Row],[Contracting]]</f>
        <v>0</v>
      </c>
      <c r="Z68" s="174">
        <f>Buildings_GridElectricity_Frontend[[#This Row],[Methodology]]</f>
        <v>0</v>
      </c>
      <c r="AA68" s="229" t="str" cm="1">
        <f t="array" ref="AA68">IF(Buildings_GridElectricity_Frontend[[#This Row],[Data]]="","",INDEX(_xlfn.SWITCH(Buildings_GridElectricity_Backend[[#This Row],[Methodology]],"Tier 1",rng_RSD1,"Tier 2",rng_RSD2,"Tier 3",rng_RSD3),MATCH(_xlfn.CONCAT(Buildings_GridElectricity_Backend[[#This Row],[Level 1]:[Level 6]]),rng_LevelsConcat,0)))</f>
        <v/>
      </c>
      <c r="AB68" s="220">
        <f>Buildings_GridElectricity_Frontend[[#This Row],[Data]]</f>
        <v>0</v>
      </c>
      <c r="AC68" s="174" t="str">
        <f>Buildings_GridElectricity_Frontend[[#This Row],[Units]]</f>
        <v>kWh</v>
      </c>
      <c r="AD68" s="218">
        <f>Buildings_GridElectricity_Frontend[[#This Row],[Data]]</f>
        <v>0</v>
      </c>
      <c r="AE68" s="174" t="str">
        <f>Buildings_GridElectricity_Frontend[[#This Row],[Units]]</f>
        <v>kWh</v>
      </c>
      <c r="AF68" s="210" t="str">
        <f>IF(Buildings_GridElectricity_Frontend[[#This Row],[Data]]="","",_xlfn.XLOOKUP(_xlfn.CONCAT(Buildings_GridElectricity_Backend[[#This Row],[Level 1]:[Level 6]]),rng_EFConcat,rng_EF1)*Buildings_GridElectricity_Backend[[#This Row],[Converted data]]/1000)</f>
        <v/>
      </c>
      <c r="AG68" s="210" t="str">
        <f>IF(Buildings_GridElectricity_Frontend[[#This Row],[Data]]="","",_xlfn.XLOOKUP(_xlfn.CONCAT(Buildings_GridElectricity_Backend[[#This Row],[Level 1]:[Level 6]]),rng_EFConcat,rng_EF2)*Buildings_GridElectricity_Backend[[#This Row],[Converted data]]/1000)</f>
        <v/>
      </c>
      <c r="AH68" s="210" t="str">
        <f>IF(Buildings_GridElectricity_Frontend[[#This Row],[Data]]="","",_xlfn.XLOOKUP(_xlfn.CONCAT(Buildings_GridElectricity_Backend[[#This Row],[Level 1]:[Level 6]]),rng_EFConcat,rng_EF3)*Buildings_GridElectricity_Backend[[#This Row],[Converted data]]/1000)</f>
        <v/>
      </c>
      <c r="AI68" s="210" t="str">
        <f>IF(Buildings_GridElectricity_Frontend[[#This Row],[Data]]="","",_xlfn.XLOOKUP(_xlfn.CONCAT(Buildings_GridElectricity_Backend[[#This Row],[Level 1]:[Level 6]]),rng_EFConcat,rng_EF3WTT)*Buildings_GridElectricity_Backend[[#This Row],[Converted data]]/1000)</f>
        <v/>
      </c>
      <c r="AJ68" s="210" t="str">
        <f>IF(Buildings_GridElectricity_Frontend[[#This Row],[Data]]="","",_xlfn.XLOOKUP(_xlfn.CONCAT(Buildings_GridElectricity_Backend[[#This Row],[Level 1]:[Level 6]]),rng_EFConcat,rng_EF3TD)*Buildings_GridElectricity_Backend[[#This Row],[Converted data]]/1000)</f>
        <v/>
      </c>
      <c r="AK68" s="210" t="str">
        <f>IF(Buildings_GridElectricity_Frontend[[#This Row],[Data]]="","",_xlfn.XLOOKUP(_xlfn.CONCAT(Buildings_GridElectricity_Backend[[#This Row],[Level 1]:[Level 6]]),rng_EFConcat,rng_EF3WTTTD)*Buildings_GridElectricity_Backend[[#This Row],[Converted data]]/1000)</f>
        <v/>
      </c>
      <c r="AL68" s="220" t="str">
        <f>IF(Buildings_GridElectricity_Frontend[[#This Row],[Data]]="","",SUM(Buildings_GridElectricity_Backend[[#This Row],[Scope 1 (tCO2e)]:[Scope 3 WTT T&amp;D (tCO2e)]]))</f>
        <v/>
      </c>
      <c r="AM68" s="220" t="str">
        <f>IF(Buildings_GridElectricity_Frontend[[#This Row],[Data]]="","",Buildings_GridElectricity_Backend[[#This Row],[Total (tCO2e)]]*(1-Buildings_GridElectricity_Backend[[#This Row],[RSD]]))</f>
        <v/>
      </c>
      <c r="AN68" s="220" t="str">
        <f>IF(Buildings_GridElectricity_Frontend[[#This Row],[Data]]="","",Buildings_GridElectricity_Backend[[#This Row],[Total (tCO2e)]]*(1+Buildings_GridElectricity_Backend[[#This Row],[RSD]]))</f>
        <v/>
      </c>
      <c r="AO68" s="210" t="str">
        <f>IF(Buildings_GridElectricity_Frontend[[#This Row],[Data]]="","",_xlfn.XLOOKUP(_xlfn.CONCAT(Buildings_GridElectricity_Backend[[#This Row],[Level 1]:[Level 6]]),rng_EFConcat,rng_EFOOS)*Buildings_GridElectricity_Backend[[#This Row],[Converted data]]/1000)</f>
        <v/>
      </c>
      <c r="AP68" s="174">
        <f>Buildings_GridElectricity_Frontend[[#This Row],[Ease of collection]]</f>
        <v>0</v>
      </c>
      <c r="AQ68" s="213">
        <f>Buildings_GridElectricity_Frontend[[#This Row],[Completeness]]</f>
        <v>0</v>
      </c>
      <c r="AR68" s="220">
        <f>Buildings_GridElectricity_Frontend[[#This Row],[Notes]]</f>
        <v>0</v>
      </c>
    </row>
    <row r="69" spans="5:44" x14ac:dyDescent="0.3">
      <c r="E69" s="346"/>
      <c r="F69" s="449"/>
      <c r="G69" s="336"/>
      <c r="H69" s="334"/>
      <c r="I69" s="172" t="s">
        <v>316</v>
      </c>
      <c r="J69" s="337"/>
      <c r="K69" s="336"/>
      <c r="L69" s="336"/>
      <c r="M69" s="337"/>
      <c r="N69" s="242">
        <f t="shared" si="3"/>
        <v>3</v>
      </c>
      <c r="Q69" s="212" t="str">
        <f t="shared" si="2"/>
        <v/>
      </c>
      <c r="R69" s="174" t="s">
        <v>265</v>
      </c>
      <c r="S69" s="174" t="s">
        <v>273</v>
      </c>
      <c r="T69" s="174" t="str">
        <f>_xlfn.XLOOKUP(Buildings_GridElectricity_Backend[[#This Row],[Info 1]],Buildings_SiteInfo[Site name],Buildings_SiteInfo[Site type], "")</f>
        <v/>
      </c>
      <c r="U69" s="174" t="s">
        <v>281</v>
      </c>
      <c r="V69" s="174" t="str" cm="1">
        <f t="array" aca="1" ref="V69" ca="1">_xlfn.XLOOKUP(Buildings_GridElectricity_Backend[[#This Row],[Level 4]],rng_Level4Long,rng_Level5Long)</f>
        <v>Electricity</v>
      </c>
      <c r="W69" s="174" t="str" cm="1">
        <f t="array" aca="1" ref="W69" ca="1">_xlfn.XLOOKUP(Buildings_GridElectricity_Backend[[#This Row],[Level 4]],rng_Level4Long,rng_Level6Long)</f>
        <v>NaN</v>
      </c>
      <c r="X69" s="174">
        <f>Buildings_GridElectricity_Frontend[[#This Row],[Site Name]]</f>
        <v>0</v>
      </c>
      <c r="Y69" s="174">
        <f>Buildings_GridElectricity_Frontend[[#This Row],[Contracting]]</f>
        <v>0</v>
      </c>
      <c r="Z69" s="174">
        <f>Buildings_GridElectricity_Frontend[[#This Row],[Methodology]]</f>
        <v>0</v>
      </c>
      <c r="AA69" s="229" t="str" cm="1">
        <f t="array" ref="AA69">IF(Buildings_GridElectricity_Frontend[[#This Row],[Data]]="","",INDEX(_xlfn.SWITCH(Buildings_GridElectricity_Backend[[#This Row],[Methodology]],"Tier 1",rng_RSD1,"Tier 2",rng_RSD2,"Tier 3",rng_RSD3),MATCH(_xlfn.CONCAT(Buildings_GridElectricity_Backend[[#This Row],[Level 1]:[Level 6]]),rng_LevelsConcat,0)))</f>
        <v/>
      </c>
      <c r="AB69" s="220">
        <f>Buildings_GridElectricity_Frontend[[#This Row],[Data]]</f>
        <v>0</v>
      </c>
      <c r="AC69" s="174" t="str">
        <f>Buildings_GridElectricity_Frontend[[#This Row],[Units]]</f>
        <v>kWh</v>
      </c>
      <c r="AD69" s="218">
        <f>Buildings_GridElectricity_Frontend[[#This Row],[Data]]</f>
        <v>0</v>
      </c>
      <c r="AE69" s="174" t="str">
        <f>Buildings_GridElectricity_Frontend[[#This Row],[Units]]</f>
        <v>kWh</v>
      </c>
      <c r="AF69" s="210" t="str">
        <f>IF(Buildings_GridElectricity_Frontend[[#This Row],[Data]]="","",_xlfn.XLOOKUP(_xlfn.CONCAT(Buildings_GridElectricity_Backend[[#This Row],[Level 1]:[Level 6]]),rng_EFConcat,rng_EF1)*Buildings_GridElectricity_Backend[[#This Row],[Converted data]]/1000)</f>
        <v/>
      </c>
      <c r="AG69" s="210" t="str">
        <f>IF(Buildings_GridElectricity_Frontend[[#This Row],[Data]]="","",_xlfn.XLOOKUP(_xlfn.CONCAT(Buildings_GridElectricity_Backend[[#This Row],[Level 1]:[Level 6]]),rng_EFConcat,rng_EF2)*Buildings_GridElectricity_Backend[[#This Row],[Converted data]]/1000)</f>
        <v/>
      </c>
      <c r="AH69" s="210" t="str">
        <f>IF(Buildings_GridElectricity_Frontend[[#This Row],[Data]]="","",_xlfn.XLOOKUP(_xlfn.CONCAT(Buildings_GridElectricity_Backend[[#This Row],[Level 1]:[Level 6]]),rng_EFConcat,rng_EF3)*Buildings_GridElectricity_Backend[[#This Row],[Converted data]]/1000)</f>
        <v/>
      </c>
      <c r="AI69" s="210" t="str">
        <f>IF(Buildings_GridElectricity_Frontend[[#This Row],[Data]]="","",_xlfn.XLOOKUP(_xlfn.CONCAT(Buildings_GridElectricity_Backend[[#This Row],[Level 1]:[Level 6]]),rng_EFConcat,rng_EF3WTT)*Buildings_GridElectricity_Backend[[#This Row],[Converted data]]/1000)</f>
        <v/>
      </c>
      <c r="AJ69" s="210" t="str">
        <f>IF(Buildings_GridElectricity_Frontend[[#This Row],[Data]]="","",_xlfn.XLOOKUP(_xlfn.CONCAT(Buildings_GridElectricity_Backend[[#This Row],[Level 1]:[Level 6]]),rng_EFConcat,rng_EF3TD)*Buildings_GridElectricity_Backend[[#This Row],[Converted data]]/1000)</f>
        <v/>
      </c>
      <c r="AK69" s="210" t="str">
        <f>IF(Buildings_GridElectricity_Frontend[[#This Row],[Data]]="","",_xlfn.XLOOKUP(_xlfn.CONCAT(Buildings_GridElectricity_Backend[[#This Row],[Level 1]:[Level 6]]),rng_EFConcat,rng_EF3WTTTD)*Buildings_GridElectricity_Backend[[#This Row],[Converted data]]/1000)</f>
        <v/>
      </c>
      <c r="AL69" s="220" t="str">
        <f>IF(Buildings_GridElectricity_Frontend[[#This Row],[Data]]="","",SUM(Buildings_GridElectricity_Backend[[#This Row],[Scope 1 (tCO2e)]:[Scope 3 WTT T&amp;D (tCO2e)]]))</f>
        <v/>
      </c>
      <c r="AM69" s="220" t="str">
        <f>IF(Buildings_GridElectricity_Frontend[[#This Row],[Data]]="","",Buildings_GridElectricity_Backend[[#This Row],[Total (tCO2e)]]*(1-Buildings_GridElectricity_Backend[[#This Row],[RSD]]))</f>
        <v/>
      </c>
      <c r="AN69" s="220" t="str">
        <f>IF(Buildings_GridElectricity_Frontend[[#This Row],[Data]]="","",Buildings_GridElectricity_Backend[[#This Row],[Total (tCO2e)]]*(1+Buildings_GridElectricity_Backend[[#This Row],[RSD]]))</f>
        <v/>
      </c>
      <c r="AO69" s="210" t="str">
        <f>IF(Buildings_GridElectricity_Frontend[[#This Row],[Data]]="","",_xlfn.XLOOKUP(_xlfn.CONCAT(Buildings_GridElectricity_Backend[[#This Row],[Level 1]:[Level 6]]),rng_EFConcat,rng_EFOOS)*Buildings_GridElectricity_Backend[[#This Row],[Converted data]]/1000)</f>
        <v/>
      </c>
      <c r="AP69" s="174">
        <f>Buildings_GridElectricity_Frontend[[#This Row],[Ease of collection]]</f>
        <v>0</v>
      </c>
      <c r="AQ69" s="213">
        <f>Buildings_GridElectricity_Frontend[[#This Row],[Completeness]]</f>
        <v>0</v>
      </c>
      <c r="AR69" s="220">
        <f>Buildings_GridElectricity_Frontend[[#This Row],[Notes]]</f>
        <v>0</v>
      </c>
    </row>
    <row r="70" spans="5:44" x14ac:dyDescent="0.3">
      <c r="E70" s="346"/>
      <c r="F70" s="449"/>
      <c r="G70" s="336"/>
      <c r="H70" s="334"/>
      <c r="I70" s="172" t="s">
        <v>316</v>
      </c>
      <c r="J70" s="337"/>
      <c r="K70" s="336"/>
      <c r="L70" s="336"/>
      <c r="M70" s="337"/>
      <c r="N70" s="242">
        <f t="shared" si="3"/>
        <v>3</v>
      </c>
      <c r="Q70" s="212" t="str">
        <f t="shared" si="2"/>
        <v/>
      </c>
      <c r="R70" s="174" t="s">
        <v>265</v>
      </c>
      <c r="S70" s="174" t="s">
        <v>273</v>
      </c>
      <c r="T70" s="174" t="str">
        <f>_xlfn.XLOOKUP(Buildings_GridElectricity_Backend[[#This Row],[Info 1]],Buildings_SiteInfo[Site name],Buildings_SiteInfo[Site type], "")</f>
        <v/>
      </c>
      <c r="U70" s="174" t="s">
        <v>281</v>
      </c>
      <c r="V70" s="174" t="str" cm="1">
        <f t="array" aca="1" ref="V70" ca="1">_xlfn.XLOOKUP(Buildings_GridElectricity_Backend[[#This Row],[Level 4]],rng_Level4Long,rng_Level5Long)</f>
        <v>Electricity</v>
      </c>
      <c r="W70" s="174" t="str" cm="1">
        <f t="array" aca="1" ref="W70" ca="1">_xlfn.XLOOKUP(Buildings_GridElectricity_Backend[[#This Row],[Level 4]],rng_Level4Long,rng_Level6Long)</f>
        <v>NaN</v>
      </c>
      <c r="X70" s="174">
        <f>Buildings_GridElectricity_Frontend[[#This Row],[Site Name]]</f>
        <v>0</v>
      </c>
      <c r="Y70" s="174">
        <f>Buildings_GridElectricity_Frontend[[#This Row],[Contracting]]</f>
        <v>0</v>
      </c>
      <c r="Z70" s="174">
        <f>Buildings_GridElectricity_Frontend[[#This Row],[Methodology]]</f>
        <v>0</v>
      </c>
      <c r="AA70" s="229" t="str" cm="1">
        <f t="array" ref="AA70">IF(Buildings_GridElectricity_Frontend[[#This Row],[Data]]="","",INDEX(_xlfn.SWITCH(Buildings_GridElectricity_Backend[[#This Row],[Methodology]],"Tier 1",rng_RSD1,"Tier 2",rng_RSD2,"Tier 3",rng_RSD3),MATCH(_xlfn.CONCAT(Buildings_GridElectricity_Backend[[#This Row],[Level 1]:[Level 6]]),rng_LevelsConcat,0)))</f>
        <v/>
      </c>
      <c r="AB70" s="220">
        <f>Buildings_GridElectricity_Frontend[[#This Row],[Data]]</f>
        <v>0</v>
      </c>
      <c r="AC70" s="174" t="str">
        <f>Buildings_GridElectricity_Frontend[[#This Row],[Units]]</f>
        <v>kWh</v>
      </c>
      <c r="AD70" s="218">
        <f>Buildings_GridElectricity_Frontend[[#This Row],[Data]]</f>
        <v>0</v>
      </c>
      <c r="AE70" s="174" t="str">
        <f>Buildings_GridElectricity_Frontend[[#This Row],[Units]]</f>
        <v>kWh</v>
      </c>
      <c r="AF70" s="210" t="str">
        <f>IF(Buildings_GridElectricity_Frontend[[#This Row],[Data]]="","",_xlfn.XLOOKUP(_xlfn.CONCAT(Buildings_GridElectricity_Backend[[#This Row],[Level 1]:[Level 6]]),rng_EFConcat,rng_EF1)*Buildings_GridElectricity_Backend[[#This Row],[Converted data]]/1000)</f>
        <v/>
      </c>
      <c r="AG70" s="210" t="str">
        <f>IF(Buildings_GridElectricity_Frontend[[#This Row],[Data]]="","",_xlfn.XLOOKUP(_xlfn.CONCAT(Buildings_GridElectricity_Backend[[#This Row],[Level 1]:[Level 6]]),rng_EFConcat,rng_EF2)*Buildings_GridElectricity_Backend[[#This Row],[Converted data]]/1000)</f>
        <v/>
      </c>
      <c r="AH70" s="210" t="str">
        <f>IF(Buildings_GridElectricity_Frontend[[#This Row],[Data]]="","",_xlfn.XLOOKUP(_xlfn.CONCAT(Buildings_GridElectricity_Backend[[#This Row],[Level 1]:[Level 6]]),rng_EFConcat,rng_EF3)*Buildings_GridElectricity_Backend[[#This Row],[Converted data]]/1000)</f>
        <v/>
      </c>
      <c r="AI70" s="210" t="str">
        <f>IF(Buildings_GridElectricity_Frontend[[#This Row],[Data]]="","",_xlfn.XLOOKUP(_xlfn.CONCAT(Buildings_GridElectricity_Backend[[#This Row],[Level 1]:[Level 6]]),rng_EFConcat,rng_EF3WTT)*Buildings_GridElectricity_Backend[[#This Row],[Converted data]]/1000)</f>
        <v/>
      </c>
      <c r="AJ70" s="210" t="str">
        <f>IF(Buildings_GridElectricity_Frontend[[#This Row],[Data]]="","",_xlfn.XLOOKUP(_xlfn.CONCAT(Buildings_GridElectricity_Backend[[#This Row],[Level 1]:[Level 6]]),rng_EFConcat,rng_EF3TD)*Buildings_GridElectricity_Backend[[#This Row],[Converted data]]/1000)</f>
        <v/>
      </c>
      <c r="AK70" s="210" t="str">
        <f>IF(Buildings_GridElectricity_Frontend[[#This Row],[Data]]="","",_xlfn.XLOOKUP(_xlfn.CONCAT(Buildings_GridElectricity_Backend[[#This Row],[Level 1]:[Level 6]]),rng_EFConcat,rng_EF3WTTTD)*Buildings_GridElectricity_Backend[[#This Row],[Converted data]]/1000)</f>
        <v/>
      </c>
      <c r="AL70" s="220" t="str">
        <f>IF(Buildings_GridElectricity_Frontend[[#This Row],[Data]]="","",SUM(Buildings_GridElectricity_Backend[[#This Row],[Scope 1 (tCO2e)]:[Scope 3 WTT T&amp;D (tCO2e)]]))</f>
        <v/>
      </c>
      <c r="AM70" s="220" t="str">
        <f>IF(Buildings_GridElectricity_Frontend[[#This Row],[Data]]="","",Buildings_GridElectricity_Backend[[#This Row],[Total (tCO2e)]]*(1-Buildings_GridElectricity_Backend[[#This Row],[RSD]]))</f>
        <v/>
      </c>
      <c r="AN70" s="220" t="str">
        <f>IF(Buildings_GridElectricity_Frontend[[#This Row],[Data]]="","",Buildings_GridElectricity_Backend[[#This Row],[Total (tCO2e)]]*(1+Buildings_GridElectricity_Backend[[#This Row],[RSD]]))</f>
        <v/>
      </c>
      <c r="AO70" s="210" t="str">
        <f>IF(Buildings_GridElectricity_Frontend[[#This Row],[Data]]="","",_xlfn.XLOOKUP(_xlfn.CONCAT(Buildings_GridElectricity_Backend[[#This Row],[Level 1]:[Level 6]]),rng_EFConcat,rng_EFOOS)*Buildings_GridElectricity_Backend[[#This Row],[Converted data]]/1000)</f>
        <v/>
      </c>
      <c r="AP70" s="174">
        <f>Buildings_GridElectricity_Frontend[[#This Row],[Ease of collection]]</f>
        <v>0</v>
      </c>
      <c r="AQ70" s="213">
        <f>Buildings_GridElectricity_Frontend[[#This Row],[Completeness]]</f>
        <v>0</v>
      </c>
      <c r="AR70" s="220">
        <f>Buildings_GridElectricity_Frontend[[#This Row],[Notes]]</f>
        <v>0</v>
      </c>
    </row>
    <row r="71" spans="5:44" x14ac:dyDescent="0.3">
      <c r="E71" s="346"/>
      <c r="F71" s="449"/>
      <c r="G71" s="336"/>
      <c r="H71" s="334"/>
      <c r="I71" s="172" t="s">
        <v>316</v>
      </c>
      <c r="J71" s="337"/>
      <c r="K71" s="336"/>
      <c r="L71" s="336"/>
      <c r="M71" s="337"/>
      <c r="N71" s="242">
        <f t="shared" si="3"/>
        <v>3</v>
      </c>
      <c r="Q71" s="212" t="str">
        <f t="shared" si="2"/>
        <v/>
      </c>
      <c r="R71" s="174" t="s">
        <v>265</v>
      </c>
      <c r="S71" s="174" t="s">
        <v>273</v>
      </c>
      <c r="T71" s="174" t="str">
        <f>_xlfn.XLOOKUP(Buildings_GridElectricity_Backend[[#This Row],[Info 1]],Buildings_SiteInfo[Site name],Buildings_SiteInfo[Site type], "")</f>
        <v/>
      </c>
      <c r="U71" s="174" t="s">
        <v>281</v>
      </c>
      <c r="V71" s="174" t="str" cm="1">
        <f t="array" aca="1" ref="V71" ca="1">_xlfn.XLOOKUP(Buildings_GridElectricity_Backend[[#This Row],[Level 4]],rng_Level4Long,rng_Level5Long)</f>
        <v>Electricity</v>
      </c>
      <c r="W71" s="174" t="str" cm="1">
        <f t="array" aca="1" ref="W71" ca="1">_xlfn.XLOOKUP(Buildings_GridElectricity_Backend[[#This Row],[Level 4]],rng_Level4Long,rng_Level6Long)</f>
        <v>NaN</v>
      </c>
      <c r="X71" s="174">
        <f>Buildings_GridElectricity_Frontend[[#This Row],[Site Name]]</f>
        <v>0</v>
      </c>
      <c r="Y71" s="174">
        <f>Buildings_GridElectricity_Frontend[[#This Row],[Contracting]]</f>
        <v>0</v>
      </c>
      <c r="Z71" s="174">
        <f>Buildings_GridElectricity_Frontend[[#This Row],[Methodology]]</f>
        <v>0</v>
      </c>
      <c r="AA71" s="229" t="str" cm="1">
        <f t="array" ref="AA71">IF(Buildings_GridElectricity_Frontend[[#This Row],[Data]]="","",INDEX(_xlfn.SWITCH(Buildings_GridElectricity_Backend[[#This Row],[Methodology]],"Tier 1",rng_RSD1,"Tier 2",rng_RSD2,"Tier 3",rng_RSD3),MATCH(_xlfn.CONCAT(Buildings_GridElectricity_Backend[[#This Row],[Level 1]:[Level 6]]),rng_LevelsConcat,0)))</f>
        <v/>
      </c>
      <c r="AB71" s="220">
        <f>Buildings_GridElectricity_Frontend[[#This Row],[Data]]</f>
        <v>0</v>
      </c>
      <c r="AC71" s="174" t="str">
        <f>Buildings_GridElectricity_Frontend[[#This Row],[Units]]</f>
        <v>kWh</v>
      </c>
      <c r="AD71" s="218">
        <f>Buildings_GridElectricity_Frontend[[#This Row],[Data]]</f>
        <v>0</v>
      </c>
      <c r="AE71" s="174" t="str">
        <f>Buildings_GridElectricity_Frontend[[#This Row],[Units]]</f>
        <v>kWh</v>
      </c>
      <c r="AF71" s="210" t="str">
        <f>IF(Buildings_GridElectricity_Frontend[[#This Row],[Data]]="","",_xlfn.XLOOKUP(_xlfn.CONCAT(Buildings_GridElectricity_Backend[[#This Row],[Level 1]:[Level 6]]),rng_EFConcat,rng_EF1)*Buildings_GridElectricity_Backend[[#This Row],[Converted data]]/1000)</f>
        <v/>
      </c>
      <c r="AG71" s="210" t="str">
        <f>IF(Buildings_GridElectricity_Frontend[[#This Row],[Data]]="","",_xlfn.XLOOKUP(_xlfn.CONCAT(Buildings_GridElectricity_Backend[[#This Row],[Level 1]:[Level 6]]),rng_EFConcat,rng_EF2)*Buildings_GridElectricity_Backend[[#This Row],[Converted data]]/1000)</f>
        <v/>
      </c>
      <c r="AH71" s="210" t="str">
        <f>IF(Buildings_GridElectricity_Frontend[[#This Row],[Data]]="","",_xlfn.XLOOKUP(_xlfn.CONCAT(Buildings_GridElectricity_Backend[[#This Row],[Level 1]:[Level 6]]),rng_EFConcat,rng_EF3)*Buildings_GridElectricity_Backend[[#This Row],[Converted data]]/1000)</f>
        <v/>
      </c>
      <c r="AI71" s="210" t="str">
        <f>IF(Buildings_GridElectricity_Frontend[[#This Row],[Data]]="","",_xlfn.XLOOKUP(_xlfn.CONCAT(Buildings_GridElectricity_Backend[[#This Row],[Level 1]:[Level 6]]),rng_EFConcat,rng_EF3WTT)*Buildings_GridElectricity_Backend[[#This Row],[Converted data]]/1000)</f>
        <v/>
      </c>
      <c r="AJ71" s="210" t="str">
        <f>IF(Buildings_GridElectricity_Frontend[[#This Row],[Data]]="","",_xlfn.XLOOKUP(_xlfn.CONCAT(Buildings_GridElectricity_Backend[[#This Row],[Level 1]:[Level 6]]),rng_EFConcat,rng_EF3TD)*Buildings_GridElectricity_Backend[[#This Row],[Converted data]]/1000)</f>
        <v/>
      </c>
      <c r="AK71" s="210" t="str">
        <f>IF(Buildings_GridElectricity_Frontend[[#This Row],[Data]]="","",_xlfn.XLOOKUP(_xlfn.CONCAT(Buildings_GridElectricity_Backend[[#This Row],[Level 1]:[Level 6]]),rng_EFConcat,rng_EF3WTTTD)*Buildings_GridElectricity_Backend[[#This Row],[Converted data]]/1000)</f>
        <v/>
      </c>
      <c r="AL71" s="220" t="str">
        <f>IF(Buildings_GridElectricity_Frontend[[#This Row],[Data]]="","",SUM(Buildings_GridElectricity_Backend[[#This Row],[Scope 1 (tCO2e)]:[Scope 3 WTT T&amp;D (tCO2e)]]))</f>
        <v/>
      </c>
      <c r="AM71" s="220" t="str">
        <f>IF(Buildings_GridElectricity_Frontend[[#This Row],[Data]]="","",Buildings_GridElectricity_Backend[[#This Row],[Total (tCO2e)]]*(1-Buildings_GridElectricity_Backend[[#This Row],[RSD]]))</f>
        <v/>
      </c>
      <c r="AN71" s="220" t="str">
        <f>IF(Buildings_GridElectricity_Frontend[[#This Row],[Data]]="","",Buildings_GridElectricity_Backend[[#This Row],[Total (tCO2e)]]*(1+Buildings_GridElectricity_Backend[[#This Row],[RSD]]))</f>
        <v/>
      </c>
      <c r="AO71" s="210" t="str">
        <f>IF(Buildings_GridElectricity_Frontend[[#This Row],[Data]]="","",_xlfn.XLOOKUP(_xlfn.CONCAT(Buildings_GridElectricity_Backend[[#This Row],[Level 1]:[Level 6]]),rng_EFConcat,rng_EFOOS)*Buildings_GridElectricity_Backend[[#This Row],[Converted data]]/1000)</f>
        <v/>
      </c>
      <c r="AP71" s="174">
        <f>Buildings_GridElectricity_Frontend[[#This Row],[Ease of collection]]</f>
        <v>0</v>
      </c>
      <c r="AQ71" s="213">
        <f>Buildings_GridElectricity_Frontend[[#This Row],[Completeness]]</f>
        <v>0</v>
      </c>
      <c r="AR71" s="220">
        <f>Buildings_GridElectricity_Frontend[[#This Row],[Notes]]</f>
        <v>0</v>
      </c>
    </row>
    <row r="72" spans="5:44" x14ac:dyDescent="0.3">
      <c r="E72" s="346"/>
      <c r="F72" s="449"/>
      <c r="G72" s="336"/>
      <c r="H72" s="334"/>
      <c r="I72" s="172" t="s">
        <v>316</v>
      </c>
      <c r="J72" s="337"/>
      <c r="K72" s="336"/>
      <c r="L72" s="336"/>
      <c r="M72" s="337"/>
      <c r="N72" s="242">
        <f t="shared" si="3"/>
        <v>3</v>
      </c>
      <c r="Q72" s="212" t="str">
        <f t="shared" si="2"/>
        <v/>
      </c>
      <c r="R72" s="174" t="s">
        <v>265</v>
      </c>
      <c r="S72" s="174" t="s">
        <v>273</v>
      </c>
      <c r="T72" s="174" t="str">
        <f>_xlfn.XLOOKUP(Buildings_GridElectricity_Backend[[#This Row],[Info 1]],Buildings_SiteInfo[Site name],Buildings_SiteInfo[Site type], "")</f>
        <v/>
      </c>
      <c r="U72" s="174" t="s">
        <v>281</v>
      </c>
      <c r="V72" s="174" t="str" cm="1">
        <f t="array" aca="1" ref="V72" ca="1">_xlfn.XLOOKUP(Buildings_GridElectricity_Backend[[#This Row],[Level 4]],rng_Level4Long,rng_Level5Long)</f>
        <v>Electricity</v>
      </c>
      <c r="W72" s="174" t="str" cm="1">
        <f t="array" aca="1" ref="W72" ca="1">_xlfn.XLOOKUP(Buildings_GridElectricity_Backend[[#This Row],[Level 4]],rng_Level4Long,rng_Level6Long)</f>
        <v>NaN</v>
      </c>
      <c r="X72" s="174">
        <f>Buildings_GridElectricity_Frontend[[#This Row],[Site Name]]</f>
        <v>0</v>
      </c>
      <c r="Y72" s="174">
        <f>Buildings_GridElectricity_Frontend[[#This Row],[Contracting]]</f>
        <v>0</v>
      </c>
      <c r="Z72" s="174">
        <f>Buildings_GridElectricity_Frontend[[#This Row],[Methodology]]</f>
        <v>0</v>
      </c>
      <c r="AA72" s="229" t="str" cm="1">
        <f t="array" ref="AA72">IF(Buildings_GridElectricity_Frontend[[#This Row],[Data]]="","",INDEX(_xlfn.SWITCH(Buildings_GridElectricity_Backend[[#This Row],[Methodology]],"Tier 1",rng_RSD1,"Tier 2",rng_RSD2,"Tier 3",rng_RSD3),MATCH(_xlfn.CONCAT(Buildings_GridElectricity_Backend[[#This Row],[Level 1]:[Level 6]]),rng_LevelsConcat,0)))</f>
        <v/>
      </c>
      <c r="AB72" s="220">
        <f>Buildings_GridElectricity_Frontend[[#This Row],[Data]]</f>
        <v>0</v>
      </c>
      <c r="AC72" s="174" t="str">
        <f>Buildings_GridElectricity_Frontend[[#This Row],[Units]]</f>
        <v>kWh</v>
      </c>
      <c r="AD72" s="218">
        <f>Buildings_GridElectricity_Frontend[[#This Row],[Data]]</f>
        <v>0</v>
      </c>
      <c r="AE72" s="174" t="str">
        <f>Buildings_GridElectricity_Frontend[[#This Row],[Units]]</f>
        <v>kWh</v>
      </c>
      <c r="AF72" s="210" t="str">
        <f>IF(Buildings_GridElectricity_Frontend[[#This Row],[Data]]="","",_xlfn.XLOOKUP(_xlfn.CONCAT(Buildings_GridElectricity_Backend[[#This Row],[Level 1]:[Level 6]]),rng_EFConcat,rng_EF1)*Buildings_GridElectricity_Backend[[#This Row],[Converted data]]/1000)</f>
        <v/>
      </c>
      <c r="AG72" s="210" t="str">
        <f>IF(Buildings_GridElectricity_Frontend[[#This Row],[Data]]="","",_xlfn.XLOOKUP(_xlfn.CONCAT(Buildings_GridElectricity_Backend[[#This Row],[Level 1]:[Level 6]]),rng_EFConcat,rng_EF2)*Buildings_GridElectricity_Backend[[#This Row],[Converted data]]/1000)</f>
        <v/>
      </c>
      <c r="AH72" s="210" t="str">
        <f>IF(Buildings_GridElectricity_Frontend[[#This Row],[Data]]="","",_xlfn.XLOOKUP(_xlfn.CONCAT(Buildings_GridElectricity_Backend[[#This Row],[Level 1]:[Level 6]]),rng_EFConcat,rng_EF3)*Buildings_GridElectricity_Backend[[#This Row],[Converted data]]/1000)</f>
        <v/>
      </c>
      <c r="AI72" s="210" t="str">
        <f>IF(Buildings_GridElectricity_Frontend[[#This Row],[Data]]="","",_xlfn.XLOOKUP(_xlfn.CONCAT(Buildings_GridElectricity_Backend[[#This Row],[Level 1]:[Level 6]]),rng_EFConcat,rng_EF3WTT)*Buildings_GridElectricity_Backend[[#This Row],[Converted data]]/1000)</f>
        <v/>
      </c>
      <c r="AJ72" s="210" t="str">
        <f>IF(Buildings_GridElectricity_Frontend[[#This Row],[Data]]="","",_xlfn.XLOOKUP(_xlfn.CONCAT(Buildings_GridElectricity_Backend[[#This Row],[Level 1]:[Level 6]]),rng_EFConcat,rng_EF3TD)*Buildings_GridElectricity_Backend[[#This Row],[Converted data]]/1000)</f>
        <v/>
      </c>
      <c r="AK72" s="210" t="str">
        <f>IF(Buildings_GridElectricity_Frontend[[#This Row],[Data]]="","",_xlfn.XLOOKUP(_xlfn.CONCAT(Buildings_GridElectricity_Backend[[#This Row],[Level 1]:[Level 6]]),rng_EFConcat,rng_EF3WTTTD)*Buildings_GridElectricity_Backend[[#This Row],[Converted data]]/1000)</f>
        <v/>
      </c>
      <c r="AL72" s="220" t="str">
        <f>IF(Buildings_GridElectricity_Frontend[[#This Row],[Data]]="","",SUM(Buildings_GridElectricity_Backend[[#This Row],[Scope 1 (tCO2e)]:[Scope 3 WTT T&amp;D (tCO2e)]]))</f>
        <v/>
      </c>
      <c r="AM72" s="220" t="str">
        <f>IF(Buildings_GridElectricity_Frontend[[#This Row],[Data]]="","",Buildings_GridElectricity_Backend[[#This Row],[Total (tCO2e)]]*(1-Buildings_GridElectricity_Backend[[#This Row],[RSD]]))</f>
        <v/>
      </c>
      <c r="AN72" s="220" t="str">
        <f>IF(Buildings_GridElectricity_Frontend[[#This Row],[Data]]="","",Buildings_GridElectricity_Backend[[#This Row],[Total (tCO2e)]]*(1+Buildings_GridElectricity_Backend[[#This Row],[RSD]]))</f>
        <v/>
      </c>
      <c r="AO72" s="210" t="str">
        <f>IF(Buildings_GridElectricity_Frontend[[#This Row],[Data]]="","",_xlfn.XLOOKUP(_xlfn.CONCAT(Buildings_GridElectricity_Backend[[#This Row],[Level 1]:[Level 6]]),rng_EFConcat,rng_EFOOS)*Buildings_GridElectricity_Backend[[#This Row],[Converted data]]/1000)</f>
        <v/>
      </c>
      <c r="AP72" s="174">
        <f>Buildings_GridElectricity_Frontend[[#This Row],[Ease of collection]]</f>
        <v>0</v>
      </c>
      <c r="AQ72" s="213">
        <f>Buildings_GridElectricity_Frontend[[#This Row],[Completeness]]</f>
        <v>0</v>
      </c>
      <c r="AR72" s="220">
        <f>Buildings_GridElectricity_Frontend[[#This Row],[Notes]]</f>
        <v>0</v>
      </c>
    </row>
    <row r="73" spans="5:44" x14ac:dyDescent="0.3">
      <c r="E73" s="346"/>
      <c r="F73" s="449"/>
      <c r="G73" s="336"/>
      <c r="H73" s="334"/>
      <c r="I73" s="172" t="s">
        <v>316</v>
      </c>
      <c r="J73" s="337"/>
      <c r="K73" s="336"/>
      <c r="L73" s="336"/>
      <c r="M73" s="337"/>
      <c r="N73" s="242">
        <f t="shared" si="3"/>
        <v>3</v>
      </c>
      <c r="Q73" s="212" t="str">
        <f t="shared" si="2"/>
        <v/>
      </c>
      <c r="R73" s="174" t="s">
        <v>265</v>
      </c>
      <c r="S73" s="174" t="s">
        <v>273</v>
      </c>
      <c r="T73" s="174" t="str">
        <f>_xlfn.XLOOKUP(Buildings_GridElectricity_Backend[[#This Row],[Info 1]],Buildings_SiteInfo[Site name],Buildings_SiteInfo[Site type], "")</f>
        <v/>
      </c>
      <c r="U73" s="174" t="s">
        <v>281</v>
      </c>
      <c r="V73" s="174" t="str" cm="1">
        <f t="array" aca="1" ref="V73" ca="1">_xlfn.XLOOKUP(Buildings_GridElectricity_Backend[[#This Row],[Level 4]],rng_Level4Long,rng_Level5Long)</f>
        <v>Electricity</v>
      </c>
      <c r="W73" s="174" t="str" cm="1">
        <f t="array" aca="1" ref="W73" ca="1">_xlfn.XLOOKUP(Buildings_GridElectricity_Backend[[#This Row],[Level 4]],rng_Level4Long,rng_Level6Long)</f>
        <v>NaN</v>
      </c>
      <c r="X73" s="174">
        <f>Buildings_GridElectricity_Frontend[[#This Row],[Site Name]]</f>
        <v>0</v>
      </c>
      <c r="Y73" s="174">
        <f>Buildings_GridElectricity_Frontend[[#This Row],[Contracting]]</f>
        <v>0</v>
      </c>
      <c r="Z73" s="174">
        <f>Buildings_GridElectricity_Frontend[[#This Row],[Methodology]]</f>
        <v>0</v>
      </c>
      <c r="AA73" s="229" t="str" cm="1">
        <f t="array" ref="AA73">IF(Buildings_GridElectricity_Frontend[[#This Row],[Data]]="","",INDEX(_xlfn.SWITCH(Buildings_GridElectricity_Backend[[#This Row],[Methodology]],"Tier 1",rng_RSD1,"Tier 2",rng_RSD2,"Tier 3",rng_RSD3),MATCH(_xlfn.CONCAT(Buildings_GridElectricity_Backend[[#This Row],[Level 1]:[Level 6]]),rng_LevelsConcat,0)))</f>
        <v/>
      </c>
      <c r="AB73" s="220">
        <f>Buildings_GridElectricity_Frontend[[#This Row],[Data]]</f>
        <v>0</v>
      </c>
      <c r="AC73" s="174" t="str">
        <f>Buildings_GridElectricity_Frontend[[#This Row],[Units]]</f>
        <v>kWh</v>
      </c>
      <c r="AD73" s="218">
        <f>Buildings_GridElectricity_Frontend[[#This Row],[Data]]</f>
        <v>0</v>
      </c>
      <c r="AE73" s="174" t="str">
        <f>Buildings_GridElectricity_Frontend[[#This Row],[Units]]</f>
        <v>kWh</v>
      </c>
      <c r="AF73" s="210" t="str">
        <f>IF(Buildings_GridElectricity_Frontend[[#This Row],[Data]]="","",_xlfn.XLOOKUP(_xlfn.CONCAT(Buildings_GridElectricity_Backend[[#This Row],[Level 1]:[Level 6]]),rng_EFConcat,rng_EF1)*Buildings_GridElectricity_Backend[[#This Row],[Converted data]]/1000)</f>
        <v/>
      </c>
      <c r="AG73" s="210" t="str">
        <f>IF(Buildings_GridElectricity_Frontend[[#This Row],[Data]]="","",_xlfn.XLOOKUP(_xlfn.CONCAT(Buildings_GridElectricity_Backend[[#This Row],[Level 1]:[Level 6]]),rng_EFConcat,rng_EF2)*Buildings_GridElectricity_Backend[[#This Row],[Converted data]]/1000)</f>
        <v/>
      </c>
      <c r="AH73" s="210" t="str">
        <f>IF(Buildings_GridElectricity_Frontend[[#This Row],[Data]]="","",_xlfn.XLOOKUP(_xlfn.CONCAT(Buildings_GridElectricity_Backend[[#This Row],[Level 1]:[Level 6]]),rng_EFConcat,rng_EF3)*Buildings_GridElectricity_Backend[[#This Row],[Converted data]]/1000)</f>
        <v/>
      </c>
      <c r="AI73" s="210" t="str">
        <f>IF(Buildings_GridElectricity_Frontend[[#This Row],[Data]]="","",_xlfn.XLOOKUP(_xlfn.CONCAT(Buildings_GridElectricity_Backend[[#This Row],[Level 1]:[Level 6]]),rng_EFConcat,rng_EF3WTT)*Buildings_GridElectricity_Backend[[#This Row],[Converted data]]/1000)</f>
        <v/>
      </c>
      <c r="AJ73" s="210" t="str">
        <f>IF(Buildings_GridElectricity_Frontend[[#This Row],[Data]]="","",_xlfn.XLOOKUP(_xlfn.CONCAT(Buildings_GridElectricity_Backend[[#This Row],[Level 1]:[Level 6]]),rng_EFConcat,rng_EF3TD)*Buildings_GridElectricity_Backend[[#This Row],[Converted data]]/1000)</f>
        <v/>
      </c>
      <c r="AK73" s="210" t="str">
        <f>IF(Buildings_GridElectricity_Frontend[[#This Row],[Data]]="","",_xlfn.XLOOKUP(_xlfn.CONCAT(Buildings_GridElectricity_Backend[[#This Row],[Level 1]:[Level 6]]),rng_EFConcat,rng_EF3WTTTD)*Buildings_GridElectricity_Backend[[#This Row],[Converted data]]/1000)</f>
        <v/>
      </c>
      <c r="AL73" s="220" t="str">
        <f>IF(Buildings_GridElectricity_Frontend[[#This Row],[Data]]="","",SUM(Buildings_GridElectricity_Backend[[#This Row],[Scope 1 (tCO2e)]:[Scope 3 WTT T&amp;D (tCO2e)]]))</f>
        <v/>
      </c>
      <c r="AM73" s="220" t="str">
        <f>IF(Buildings_GridElectricity_Frontend[[#This Row],[Data]]="","",Buildings_GridElectricity_Backend[[#This Row],[Total (tCO2e)]]*(1-Buildings_GridElectricity_Backend[[#This Row],[RSD]]))</f>
        <v/>
      </c>
      <c r="AN73" s="220" t="str">
        <f>IF(Buildings_GridElectricity_Frontend[[#This Row],[Data]]="","",Buildings_GridElectricity_Backend[[#This Row],[Total (tCO2e)]]*(1+Buildings_GridElectricity_Backend[[#This Row],[RSD]]))</f>
        <v/>
      </c>
      <c r="AO73" s="210" t="str">
        <f>IF(Buildings_GridElectricity_Frontend[[#This Row],[Data]]="","",_xlfn.XLOOKUP(_xlfn.CONCAT(Buildings_GridElectricity_Backend[[#This Row],[Level 1]:[Level 6]]),rng_EFConcat,rng_EFOOS)*Buildings_GridElectricity_Backend[[#This Row],[Converted data]]/1000)</f>
        <v/>
      </c>
      <c r="AP73" s="174">
        <f>Buildings_GridElectricity_Frontend[[#This Row],[Ease of collection]]</f>
        <v>0</v>
      </c>
      <c r="AQ73" s="213">
        <f>Buildings_GridElectricity_Frontend[[#This Row],[Completeness]]</f>
        <v>0</v>
      </c>
      <c r="AR73" s="220">
        <f>Buildings_GridElectricity_Frontend[[#This Row],[Notes]]</f>
        <v>0</v>
      </c>
    </row>
    <row r="74" spans="5:44" x14ac:dyDescent="0.3">
      <c r="E74" s="346"/>
      <c r="F74" s="449"/>
      <c r="G74" s="336"/>
      <c r="H74" s="334"/>
      <c r="I74" s="172" t="s">
        <v>316</v>
      </c>
      <c r="J74" s="337"/>
      <c r="K74" s="336"/>
      <c r="L74" s="336"/>
      <c r="M74" s="337"/>
      <c r="N74" s="242">
        <f t="shared" si="3"/>
        <v>3</v>
      </c>
      <c r="Q74" s="212" t="str">
        <f t="shared" si="2"/>
        <v/>
      </c>
      <c r="R74" s="174" t="s">
        <v>265</v>
      </c>
      <c r="S74" s="174" t="s">
        <v>273</v>
      </c>
      <c r="T74" s="174" t="str">
        <f>_xlfn.XLOOKUP(Buildings_GridElectricity_Backend[[#This Row],[Info 1]],Buildings_SiteInfo[Site name],Buildings_SiteInfo[Site type], "")</f>
        <v/>
      </c>
      <c r="U74" s="174" t="s">
        <v>281</v>
      </c>
      <c r="V74" s="174" t="str" cm="1">
        <f t="array" aca="1" ref="V74" ca="1">_xlfn.XLOOKUP(Buildings_GridElectricity_Backend[[#This Row],[Level 4]],rng_Level4Long,rng_Level5Long)</f>
        <v>Electricity</v>
      </c>
      <c r="W74" s="174" t="str" cm="1">
        <f t="array" aca="1" ref="W74" ca="1">_xlfn.XLOOKUP(Buildings_GridElectricity_Backend[[#This Row],[Level 4]],rng_Level4Long,rng_Level6Long)</f>
        <v>NaN</v>
      </c>
      <c r="X74" s="174">
        <f>Buildings_GridElectricity_Frontend[[#This Row],[Site Name]]</f>
        <v>0</v>
      </c>
      <c r="Y74" s="174">
        <f>Buildings_GridElectricity_Frontend[[#This Row],[Contracting]]</f>
        <v>0</v>
      </c>
      <c r="Z74" s="174">
        <f>Buildings_GridElectricity_Frontend[[#This Row],[Methodology]]</f>
        <v>0</v>
      </c>
      <c r="AA74" s="229" t="str" cm="1">
        <f t="array" ref="AA74">IF(Buildings_GridElectricity_Frontend[[#This Row],[Data]]="","",INDEX(_xlfn.SWITCH(Buildings_GridElectricity_Backend[[#This Row],[Methodology]],"Tier 1",rng_RSD1,"Tier 2",rng_RSD2,"Tier 3",rng_RSD3),MATCH(_xlfn.CONCAT(Buildings_GridElectricity_Backend[[#This Row],[Level 1]:[Level 6]]),rng_LevelsConcat,0)))</f>
        <v/>
      </c>
      <c r="AB74" s="220">
        <f>Buildings_GridElectricity_Frontend[[#This Row],[Data]]</f>
        <v>0</v>
      </c>
      <c r="AC74" s="174" t="str">
        <f>Buildings_GridElectricity_Frontend[[#This Row],[Units]]</f>
        <v>kWh</v>
      </c>
      <c r="AD74" s="218">
        <f>Buildings_GridElectricity_Frontend[[#This Row],[Data]]</f>
        <v>0</v>
      </c>
      <c r="AE74" s="174" t="str">
        <f>Buildings_GridElectricity_Frontend[[#This Row],[Units]]</f>
        <v>kWh</v>
      </c>
      <c r="AF74" s="210" t="str">
        <f>IF(Buildings_GridElectricity_Frontend[[#This Row],[Data]]="","",_xlfn.XLOOKUP(_xlfn.CONCAT(Buildings_GridElectricity_Backend[[#This Row],[Level 1]:[Level 6]]),rng_EFConcat,rng_EF1)*Buildings_GridElectricity_Backend[[#This Row],[Converted data]]/1000)</f>
        <v/>
      </c>
      <c r="AG74" s="210" t="str">
        <f>IF(Buildings_GridElectricity_Frontend[[#This Row],[Data]]="","",_xlfn.XLOOKUP(_xlfn.CONCAT(Buildings_GridElectricity_Backend[[#This Row],[Level 1]:[Level 6]]),rng_EFConcat,rng_EF2)*Buildings_GridElectricity_Backend[[#This Row],[Converted data]]/1000)</f>
        <v/>
      </c>
      <c r="AH74" s="210" t="str">
        <f>IF(Buildings_GridElectricity_Frontend[[#This Row],[Data]]="","",_xlfn.XLOOKUP(_xlfn.CONCAT(Buildings_GridElectricity_Backend[[#This Row],[Level 1]:[Level 6]]),rng_EFConcat,rng_EF3)*Buildings_GridElectricity_Backend[[#This Row],[Converted data]]/1000)</f>
        <v/>
      </c>
      <c r="AI74" s="210" t="str">
        <f>IF(Buildings_GridElectricity_Frontend[[#This Row],[Data]]="","",_xlfn.XLOOKUP(_xlfn.CONCAT(Buildings_GridElectricity_Backend[[#This Row],[Level 1]:[Level 6]]),rng_EFConcat,rng_EF3WTT)*Buildings_GridElectricity_Backend[[#This Row],[Converted data]]/1000)</f>
        <v/>
      </c>
      <c r="AJ74" s="210" t="str">
        <f>IF(Buildings_GridElectricity_Frontend[[#This Row],[Data]]="","",_xlfn.XLOOKUP(_xlfn.CONCAT(Buildings_GridElectricity_Backend[[#This Row],[Level 1]:[Level 6]]),rng_EFConcat,rng_EF3TD)*Buildings_GridElectricity_Backend[[#This Row],[Converted data]]/1000)</f>
        <v/>
      </c>
      <c r="AK74" s="210" t="str">
        <f>IF(Buildings_GridElectricity_Frontend[[#This Row],[Data]]="","",_xlfn.XLOOKUP(_xlfn.CONCAT(Buildings_GridElectricity_Backend[[#This Row],[Level 1]:[Level 6]]),rng_EFConcat,rng_EF3WTTTD)*Buildings_GridElectricity_Backend[[#This Row],[Converted data]]/1000)</f>
        <v/>
      </c>
      <c r="AL74" s="220" t="str">
        <f>IF(Buildings_GridElectricity_Frontend[[#This Row],[Data]]="","",SUM(Buildings_GridElectricity_Backend[[#This Row],[Scope 1 (tCO2e)]:[Scope 3 WTT T&amp;D (tCO2e)]]))</f>
        <v/>
      </c>
      <c r="AM74" s="220" t="str">
        <f>IF(Buildings_GridElectricity_Frontend[[#This Row],[Data]]="","",Buildings_GridElectricity_Backend[[#This Row],[Total (tCO2e)]]*(1-Buildings_GridElectricity_Backend[[#This Row],[RSD]]))</f>
        <v/>
      </c>
      <c r="AN74" s="220" t="str">
        <f>IF(Buildings_GridElectricity_Frontend[[#This Row],[Data]]="","",Buildings_GridElectricity_Backend[[#This Row],[Total (tCO2e)]]*(1+Buildings_GridElectricity_Backend[[#This Row],[RSD]]))</f>
        <v/>
      </c>
      <c r="AO74" s="210" t="str">
        <f>IF(Buildings_GridElectricity_Frontend[[#This Row],[Data]]="","",_xlfn.XLOOKUP(_xlfn.CONCAT(Buildings_GridElectricity_Backend[[#This Row],[Level 1]:[Level 6]]),rng_EFConcat,rng_EFOOS)*Buildings_GridElectricity_Backend[[#This Row],[Converted data]]/1000)</f>
        <v/>
      </c>
      <c r="AP74" s="174">
        <f>Buildings_GridElectricity_Frontend[[#This Row],[Ease of collection]]</f>
        <v>0</v>
      </c>
      <c r="AQ74" s="213">
        <f>Buildings_GridElectricity_Frontend[[#This Row],[Completeness]]</f>
        <v>0</v>
      </c>
      <c r="AR74" s="220">
        <f>Buildings_GridElectricity_Frontend[[#This Row],[Notes]]</f>
        <v>0</v>
      </c>
    </row>
    <row r="75" spans="5:44" x14ac:dyDescent="0.3">
      <c r="E75" s="346"/>
      <c r="F75" s="449"/>
      <c r="G75" s="336"/>
      <c r="H75" s="334"/>
      <c r="I75" s="172" t="s">
        <v>316</v>
      </c>
      <c r="J75" s="337"/>
      <c r="K75" s="336"/>
      <c r="L75" s="336"/>
      <c r="M75" s="337"/>
      <c r="N75" s="242">
        <f t="shared" si="3"/>
        <v>3</v>
      </c>
      <c r="Q75" s="212" t="str">
        <f t="shared" si="2"/>
        <v/>
      </c>
      <c r="R75" s="174" t="s">
        <v>265</v>
      </c>
      <c r="S75" s="174" t="s">
        <v>273</v>
      </c>
      <c r="T75" s="174" t="str">
        <f>_xlfn.XLOOKUP(Buildings_GridElectricity_Backend[[#This Row],[Info 1]],Buildings_SiteInfo[Site name],Buildings_SiteInfo[Site type], "")</f>
        <v/>
      </c>
      <c r="U75" s="174" t="s">
        <v>281</v>
      </c>
      <c r="V75" s="174" t="str" cm="1">
        <f t="array" aca="1" ref="V75" ca="1">_xlfn.XLOOKUP(Buildings_GridElectricity_Backend[[#This Row],[Level 4]],rng_Level4Long,rng_Level5Long)</f>
        <v>Electricity</v>
      </c>
      <c r="W75" s="174" t="str" cm="1">
        <f t="array" aca="1" ref="W75" ca="1">_xlfn.XLOOKUP(Buildings_GridElectricity_Backend[[#This Row],[Level 4]],rng_Level4Long,rng_Level6Long)</f>
        <v>NaN</v>
      </c>
      <c r="X75" s="174">
        <f>Buildings_GridElectricity_Frontend[[#This Row],[Site Name]]</f>
        <v>0</v>
      </c>
      <c r="Y75" s="174">
        <f>Buildings_GridElectricity_Frontend[[#This Row],[Contracting]]</f>
        <v>0</v>
      </c>
      <c r="Z75" s="174">
        <f>Buildings_GridElectricity_Frontend[[#This Row],[Methodology]]</f>
        <v>0</v>
      </c>
      <c r="AA75" s="229" t="str" cm="1">
        <f t="array" ref="AA75">IF(Buildings_GridElectricity_Frontend[[#This Row],[Data]]="","",INDEX(_xlfn.SWITCH(Buildings_GridElectricity_Backend[[#This Row],[Methodology]],"Tier 1",rng_RSD1,"Tier 2",rng_RSD2,"Tier 3",rng_RSD3),MATCH(_xlfn.CONCAT(Buildings_GridElectricity_Backend[[#This Row],[Level 1]:[Level 6]]),rng_LevelsConcat,0)))</f>
        <v/>
      </c>
      <c r="AB75" s="220">
        <f>Buildings_GridElectricity_Frontend[[#This Row],[Data]]</f>
        <v>0</v>
      </c>
      <c r="AC75" s="174" t="str">
        <f>Buildings_GridElectricity_Frontend[[#This Row],[Units]]</f>
        <v>kWh</v>
      </c>
      <c r="AD75" s="218">
        <f>Buildings_GridElectricity_Frontend[[#This Row],[Data]]</f>
        <v>0</v>
      </c>
      <c r="AE75" s="174" t="str">
        <f>Buildings_GridElectricity_Frontend[[#This Row],[Units]]</f>
        <v>kWh</v>
      </c>
      <c r="AF75" s="210" t="str">
        <f>IF(Buildings_GridElectricity_Frontend[[#This Row],[Data]]="","",_xlfn.XLOOKUP(_xlfn.CONCAT(Buildings_GridElectricity_Backend[[#This Row],[Level 1]:[Level 6]]),rng_EFConcat,rng_EF1)*Buildings_GridElectricity_Backend[[#This Row],[Converted data]]/1000)</f>
        <v/>
      </c>
      <c r="AG75" s="210" t="str">
        <f>IF(Buildings_GridElectricity_Frontend[[#This Row],[Data]]="","",_xlfn.XLOOKUP(_xlfn.CONCAT(Buildings_GridElectricity_Backend[[#This Row],[Level 1]:[Level 6]]),rng_EFConcat,rng_EF2)*Buildings_GridElectricity_Backend[[#This Row],[Converted data]]/1000)</f>
        <v/>
      </c>
      <c r="AH75" s="210" t="str">
        <f>IF(Buildings_GridElectricity_Frontend[[#This Row],[Data]]="","",_xlfn.XLOOKUP(_xlfn.CONCAT(Buildings_GridElectricity_Backend[[#This Row],[Level 1]:[Level 6]]),rng_EFConcat,rng_EF3)*Buildings_GridElectricity_Backend[[#This Row],[Converted data]]/1000)</f>
        <v/>
      </c>
      <c r="AI75" s="210" t="str">
        <f>IF(Buildings_GridElectricity_Frontend[[#This Row],[Data]]="","",_xlfn.XLOOKUP(_xlfn.CONCAT(Buildings_GridElectricity_Backend[[#This Row],[Level 1]:[Level 6]]),rng_EFConcat,rng_EF3WTT)*Buildings_GridElectricity_Backend[[#This Row],[Converted data]]/1000)</f>
        <v/>
      </c>
      <c r="AJ75" s="210" t="str">
        <f>IF(Buildings_GridElectricity_Frontend[[#This Row],[Data]]="","",_xlfn.XLOOKUP(_xlfn.CONCAT(Buildings_GridElectricity_Backend[[#This Row],[Level 1]:[Level 6]]),rng_EFConcat,rng_EF3TD)*Buildings_GridElectricity_Backend[[#This Row],[Converted data]]/1000)</f>
        <v/>
      </c>
      <c r="AK75" s="210" t="str">
        <f>IF(Buildings_GridElectricity_Frontend[[#This Row],[Data]]="","",_xlfn.XLOOKUP(_xlfn.CONCAT(Buildings_GridElectricity_Backend[[#This Row],[Level 1]:[Level 6]]),rng_EFConcat,rng_EF3WTTTD)*Buildings_GridElectricity_Backend[[#This Row],[Converted data]]/1000)</f>
        <v/>
      </c>
      <c r="AL75" s="220" t="str">
        <f>IF(Buildings_GridElectricity_Frontend[[#This Row],[Data]]="","",SUM(Buildings_GridElectricity_Backend[[#This Row],[Scope 1 (tCO2e)]:[Scope 3 WTT T&amp;D (tCO2e)]]))</f>
        <v/>
      </c>
      <c r="AM75" s="220" t="str">
        <f>IF(Buildings_GridElectricity_Frontend[[#This Row],[Data]]="","",Buildings_GridElectricity_Backend[[#This Row],[Total (tCO2e)]]*(1-Buildings_GridElectricity_Backend[[#This Row],[RSD]]))</f>
        <v/>
      </c>
      <c r="AN75" s="220" t="str">
        <f>IF(Buildings_GridElectricity_Frontend[[#This Row],[Data]]="","",Buildings_GridElectricity_Backend[[#This Row],[Total (tCO2e)]]*(1+Buildings_GridElectricity_Backend[[#This Row],[RSD]]))</f>
        <v/>
      </c>
      <c r="AO75" s="210" t="str">
        <f>IF(Buildings_GridElectricity_Frontend[[#This Row],[Data]]="","",_xlfn.XLOOKUP(_xlfn.CONCAT(Buildings_GridElectricity_Backend[[#This Row],[Level 1]:[Level 6]]),rng_EFConcat,rng_EFOOS)*Buildings_GridElectricity_Backend[[#This Row],[Converted data]]/1000)</f>
        <v/>
      </c>
      <c r="AP75" s="174">
        <f>Buildings_GridElectricity_Frontend[[#This Row],[Ease of collection]]</f>
        <v>0</v>
      </c>
      <c r="AQ75" s="213">
        <f>Buildings_GridElectricity_Frontend[[#This Row],[Completeness]]</f>
        <v>0</v>
      </c>
      <c r="AR75" s="220">
        <f>Buildings_GridElectricity_Frontend[[#This Row],[Notes]]</f>
        <v>0</v>
      </c>
    </row>
    <row r="76" spans="5:44" x14ac:dyDescent="0.3">
      <c r="E76" s="346"/>
      <c r="F76" s="449"/>
      <c r="G76" s="336"/>
      <c r="H76" s="334"/>
      <c r="I76" s="172" t="s">
        <v>316</v>
      </c>
      <c r="J76" s="337"/>
      <c r="K76" s="336"/>
      <c r="L76" s="336"/>
      <c r="M76" s="337"/>
      <c r="N76" s="242">
        <f t="shared" si="3"/>
        <v>3</v>
      </c>
      <c r="Q76" s="212" t="str">
        <f t="shared" si="2"/>
        <v/>
      </c>
      <c r="R76" s="174" t="s">
        <v>265</v>
      </c>
      <c r="S76" s="174" t="s">
        <v>273</v>
      </c>
      <c r="T76" s="174" t="str">
        <f>_xlfn.XLOOKUP(Buildings_GridElectricity_Backend[[#This Row],[Info 1]],Buildings_SiteInfo[Site name],Buildings_SiteInfo[Site type], "")</f>
        <v/>
      </c>
      <c r="U76" s="174" t="s">
        <v>281</v>
      </c>
      <c r="V76" s="174" t="str" cm="1">
        <f t="array" aca="1" ref="V76" ca="1">_xlfn.XLOOKUP(Buildings_GridElectricity_Backend[[#This Row],[Level 4]],rng_Level4Long,rng_Level5Long)</f>
        <v>Electricity</v>
      </c>
      <c r="W76" s="174" t="str" cm="1">
        <f t="array" aca="1" ref="W76" ca="1">_xlfn.XLOOKUP(Buildings_GridElectricity_Backend[[#This Row],[Level 4]],rng_Level4Long,rng_Level6Long)</f>
        <v>NaN</v>
      </c>
      <c r="X76" s="174">
        <f>Buildings_GridElectricity_Frontend[[#This Row],[Site Name]]</f>
        <v>0</v>
      </c>
      <c r="Y76" s="174">
        <f>Buildings_GridElectricity_Frontend[[#This Row],[Contracting]]</f>
        <v>0</v>
      </c>
      <c r="Z76" s="174">
        <f>Buildings_GridElectricity_Frontend[[#This Row],[Methodology]]</f>
        <v>0</v>
      </c>
      <c r="AA76" s="229" t="str" cm="1">
        <f t="array" ref="AA76">IF(Buildings_GridElectricity_Frontend[[#This Row],[Data]]="","",INDEX(_xlfn.SWITCH(Buildings_GridElectricity_Backend[[#This Row],[Methodology]],"Tier 1",rng_RSD1,"Tier 2",rng_RSD2,"Tier 3",rng_RSD3),MATCH(_xlfn.CONCAT(Buildings_GridElectricity_Backend[[#This Row],[Level 1]:[Level 6]]),rng_LevelsConcat,0)))</f>
        <v/>
      </c>
      <c r="AB76" s="220">
        <f>Buildings_GridElectricity_Frontend[[#This Row],[Data]]</f>
        <v>0</v>
      </c>
      <c r="AC76" s="174" t="str">
        <f>Buildings_GridElectricity_Frontend[[#This Row],[Units]]</f>
        <v>kWh</v>
      </c>
      <c r="AD76" s="218">
        <f>Buildings_GridElectricity_Frontend[[#This Row],[Data]]</f>
        <v>0</v>
      </c>
      <c r="AE76" s="174" t="str">
        <f>Buildings_GridElectricity_Frontend[[#This Row],[Units]]</f>
        <v>kWh</v>
      </c>
      <c r="AF76" s="210" t="str">
        <f>IF(Buildings_GridElectricity_Frontend[[#This Row],[Data]]="","",_xlfn.XLOOKUP(_xlfn.CONCAT(Buildings_GridElectricity_Backend[[#This Row],[Level 1]:[Level 6]]),rng_EFConcat,rng_EF1)*Buildings_GridElectricity_Backend[[#This Row],[Converted data]]/1000)</f>
        <v/>
      </c>
      <c r="AG76" s="210" t="str">
        <f>IF(Buildings_GridElectricity_Frontend[[#This Row],[Data]]="","",_xlfn.XLOOKUP(_xlfn.CONCAT(Buildings_GridElectricity_Backend[[#This Row],[Level 1]:[Level 6]]),rng_EFConcat,rng_EF2)*Buildings_GridElectricity_Backend[[#This Row],[Converted data]]/1000)</f>
        <v/>
      </c>
      <c r="AH76" s="210" t="str">
        <f>IF(Buildings_GridElectricity_Frontend[[#This Row],[Data]]="","",_xlfn.XLOOKUP(_xlfn.CONCAT(Buildings_GridElectricity_Backend[[#This Row],[Level 1]:[Level 6]]),rng_EFConcat,rng_EF3)*Buildings_GridElectricity_Backend[[#This Row],[Converted data]]/1000)</f>
        <v/>
      </c>
      <c r="AI76" s="210" t="str">
        <f>IF(Buildings_GridElectricity_Frontend[[#This Row],[Data]]="","",_xlfn.XLOOKUP(_xlfn.CONCAT(Buildings_GridElectricity_Backend[[#This Row],[Level 1]:[Level 6]]),rng_EFConcat,rng_EF3WTT)*Buildings_GridElectricity_Backend[[#This Row],[Converted data]]/1000)</f>
        <v/>
      </c>
      <c r="AJ76" s="210" t="str">
        <f>IF(Buildings_GridElectricity_Frontend[[#This Row],[Data]]="","",_xlfn.XLOOKUP(_xlfn.CONCAT(Buildings_GridElectricity_Backend[[#This Row],[Level 1]:[Level 6]]),rng_EFConcat,rng_EF3TD)*Buildings_GridElectricity_Backend[[#This Row],[Converted data]]/1000)</f>
        <v/>
      </c>
      <c r="AK76" s="210" t="str">
        <f>IF(Buildings_GridElectricity_Frontend[[#This Row],[Data]]="","",_xlfn.XLOOKUP(_xlfn.CONCAT(Buildings_GridElectricity_Backend[[#This Row],[Level 1]:[Level 6]]),rng_EFConcat,rng_EF3WTTTD)*Buildings_GridElectricity_Backend[[#This Row],[Converted data]]/1000)</f>
        <v/>
      </c>
      <c r="AL76" s="220" t="str">
        <f>IF(Buildings_GridElectricity_Frontend[[#This Row],[Data]]="","",SUM(Buildings_GridElectricity_Backend[[#This Row],[Scope 1 (tCO2e)]:[Scope 3 WTT T&amp;D (tCO2e)]]))</f>
        <v/>
      </c>
      <c r="AM76" s="220" t="str">
        <f>IF(Buildings_GridElectricity_Frontend[[#This Row],[Data]]="","",Buildings_GridElectricity_Backend[[#This Row],[Total (tCO2e)]]*(1-Buildings_GridElectricity_Backend[[#This Row],[RSD]]))</f>
        <v/>
      </c>
      <c r="AN76" s="220" t="str">
        <f>IF(Buildings_GridElectricity_Frontend[[#This Row],[Data]]="","",Buildings_GridElectricity_Backend[[#This Row],[Total (tCO2e)]]*(1+Buildings_GridElectricity_Backend[[#This Row],[RSD]]))</f>
        <v/>
      </c>
      <c r="AO76" s="210" t="str">
        <f>IF(Buildings_GridElectricity_Frontend[[#This Row],[Data]]="","",_xlfn.XLOOKUP(_xlfn.CONCAT(Buildings_GridElectricity_Backend[[#This Row],[Level 1]:[Level 6]]),rng_EFConcat,rng_EFOOS)*Buildings_GridElectricity_Backend[[#This Row],[Converted data]]/1000)</f>
        <v/>
      </c>
      <c r="AP76" s="174">
        <f>Buildings_GridElectricity_Frontend[[#This Row],[Ease of collection]]</f>
        <v>0</v>
      </c>
      <c r="AQ76" s="213">
        <f>Buildings_GridElectricity_Frontend[[#This Row],[Completeness]]</f>
        <v>0</v>
      </c>
      <c r="AR76" s="220">
        <f>Buildings_GridElectricity_Frontend[[#This Row],[Notes]]</f>
        <v>0</v>
      </c>
    </row>
    <row r="77" spans="5:44" x14ac:dyDescent="0.3">
      <c r="E77" s="346"/>
      <c r="F77" s="449"/>
      <c r="G77" s="336"/>
      <c r="H77" s="334"/>
      <c r="I77" s="172" t="s">
        <v>316</v>
      </c>
      <c r="J77" s="337"/>
      <c r="K77" s="336"/>
      <c r="L77" s="336"/>
      <c r="M77" s="337"/>
      <c r="N77" s="242">
        <f t="shared" si="3"/>
        <v>3</v>
      </c>
      <c r="Q77" s="212" t="str">
        <f t="shared" si="2"/>
        <v/>
      </c>
      <c r="R77" s="174" t="s">
        <v>265</v>
      </c>
      <c r="S77" s="174" t="s">
        <v>273</v>
      </c>
      <c r="T77" s="174" t="str">
        <f>_xlfn.XLOOKUP(Buildings_GridElectricity_Backend[[#This Row],[Info 1]],Buildings_SiteInfo[Site name],Buildings_SiteInfo[Site type], "")</f>
        <v/>
      </c>
      <c r="U77" s="174" t="s">
        <v>281</v>
      </c>
      <c r="V77" s="174" t="str" cm="1">
        <f t="array" aca="1" ref="V77" ca="1">_xlfn.XLOOKUP(Buildings_GridElectricity_Backend[[#This Row],[Level 4]],rng_Level4Long,rng_Level5Long)</f>
        <v>Electricity</v>
      </c>
      <c r="W77" s="174" t="str" cm="1">
        <f t="array" aca="1" ref="W77" ca="1">_xlfn.XLOOKUP(Buildings_GridElectricity_Backend[[#This Row],[Level 4]],rng_Level4Long,rng_Level6Long)</f>
        <v>NaN</v>
      </c>
      <c r="X77" s="174">
        <f>Buildings_GridElectricity_Frontend[[#This Row],[Site Name]]</f>
        <v>0</v>
      </c>
      <c r="Y77" s="174">
        <f>Buildings_GridElectricity_Frontend[[#This Row],[Contracting]]</f>
        <v>0</v>
      </c>
      <c r="Z77" s="174">
        <f>Buildings_GridElectricity_Frontend[[#This Row],[Methodology]]</f>
        <v>0</v>
      </c>
      <c r="AA77" s="229" t="str" cm="1">
        <f t="array" ref="AA77">IF(Buildings_GridElectricity_Frontend[[#This Row],[Data]]="","",INDEX(_xlfn.SWITCH(Buildings_GridElectricity_Backend[[#This Row],[Methodology]],"Tier 1",rng_RSD1,"Tier 2",rng_RSD2,"Tier 3",rng_RSD3),MATCH(_xlfn.CONCAT(Buildings_GridElectricity_Backend[[#This Row],[Level 1]:[Level 6]]),rng_LevelsConcat,0)))</f>
        <v/>
      </c>
      <c r="AB77" s="220">
        <f>Buildings_GridElectricity_Frontend[[#This Row],[Data]]</f>
        <v>0</v>
      </c>
      <c r="AC77" s="174" t="str">
        <f>Buildings_GridElectricity_Frontend[[#This Row],[Units]]</f>
        <v>kWh</v>
      </c>
      <c r="AD77" s="218">
        <f>Buildings_GridElectricity_Frontend[[#This Row],[Data]]</f>
        <v>0</v>
      </c>
      <c r="AE77" s="174" t="str">
        <f>Buildings_GridElectricity_Frontend[[#This Row],[Units]]</f>
        <v>kWh</v>
      </c>
      <c r="AF77" s="210" t="str">
        <f>IF(Buildings_GridElectricity_Frontend[[#This Row],[Data]]="","",_xlfn.XLOOKUP(_xlfn.CONCAT(Buildings_GridElectricity_Backend[[#This Row],[Level 1]:[Level 6]]),rng_EFConcat,rng_EF1)*Buildings_GridElectricity_Backend[[#This Row],[Converted data]]/1000)</f>
        <v/>
      </c>
      <c r="AG77" s="210" t="str">
        <f>IF(Buildings_GridElectricity_Frontend[[#This Row],[Data]]="","",_xlfn.XLOOKUP(_xlfn.CONCAT(Buildings_GridElectricity_Backend[[#This Row],[Level 1]:[Level 6]]),rng_EFConcat,rng_EF2)*Buildings_GridElectricity_Backend[[#This Row],[Converted data]]/1000)</f>
        <v/>
      </c>
      <c r="AH77" s="210" t="str">
        <f>IF(Buildings_GridElectricity_Frontend[[#This Row],[Data]]="","",_xlfn.XLOOKUP(_xlfn.CONCAT(Buildings_GridElectricity_Backend[[#This Row],[Level 1]:[Level 6]]),rng_EFConcat,rng_EF3)*Buildings_GridElectricity_Backend[[#This Row],[Converted data]]/1000)</f>
        <v/>
      </c>
      <c r="AI77" s="210" t="str">
        <f>IF(Buildings_GridElectricity_Frontend[[#This Row],[Data]]="","",_xlfn.XLOOKUP(_xlfn.CONCAT(Buildings_GridElectricity_Backend[[#This Row],[Level 1]:[Level 6]]),rng_EFConcat,rng_EF3WTT)*Buildings_GridElectricity_Backend[[#This Row],[Converted data]]/1000)</f>
        <v/>
      </c>
      <c r="AJ77" s="210" t="str">
        <f>IF(Buildings_GridElectricity_Frontend[[#This Row],[Data]]="","",_xlfn.XLOOKUP(_xlfn.CONCAT(Buildings_GridElectricity_Backend[[#This Row],[Level 1]:[Level 6]]),rng_EFConcat,rng_EF3TD)*Buildings_GridElectricity_Backend[[#This Row],[Converted data]]/1000)</f>
        <v/>
      </c>
      <c r="AK77" s="210" t="str">
        <f>IF(Buildings_GridElectricity_Frontend[[#This Row],[Data]]="","",_xlfn.XLOOKUP(_xlfn.CONCAT(Buildings_GridElectricity_Backend[[#This Row],[Level 1]:[Level 6]]),rng_EFConcat,rng_EF3WTTTD)*Buildings_GridElectricity_Backend[[#This Row],[Converted data]]/1000)</f>
        <v/>
      </c>
      <c r="AL77" s="220" t="str">
        <f>IF(Buildings_GridElectricity_Frontend[[#This Row],[Data]]="","",SUM(Buildings_GridElectricity_Backend[[#This Row],[Scope 1 (tCO2e)]:[Scope 3 WTT T&amp;D (tCO2e)]]))</f>
        <v/>
      </c>
      <c r="AM77" s="220" t="str">
        <f>IF(Buildings_GridElectricity_Frontend[[#This Row],[Data]]="","",Buildings_GridElectricity_Backend[[#This Row],[Total (tCO2e)]]*(1-Buildings_GridElectricity_Backend[[#This Row],[RSD]]))</f>
        <v/>
      </c>
      <c r="AN77" s="220" t="str">
        <f>IF(Buildings_GridElectricity_Frontend[[#This Row],[Data]]="","",Buildings_GridElectricity_Backend[[#This Row],[Total (tCO2e)]]*(1+Buildings_GridElectricity_Backend[[#This Row],[RSD]]))</f>
        <v/>
      </c>
      <c r="AO77" s="210" t="str">
        <f>IF(Buildings_GridElectricity_Frontend[[#This Row],[Data]]="","",_xlfn.XLOOKUP(_xlfn.CONCAT(Buildings_GridElectricity_Backend[[#This Row],[Level 1]:[Level 6]]),rng_EFConcat,rng_EFOOS)*Buildings_GridElectricity_Backend[[#This Row],[Converted data]]/1000)</f>
        <v/>
      </c>
      <c r="AP77" s="174">
        <f>Buildings_GridElectricity_Frontend[[#This Row],[Ease of collection]]</f>
        <v>0</v>
      </c>
      <c r="AQ77" s="213">
        <f>Buildings_GridElectricity_Frontend[[#This Row],[Completeness]]</f>
        <v>0</v>
      </c>
      <c r="AR77" s="220">
        <f>Buildings_GridElectricity_Frontend[[#This Row],[Notes]]</f>
        <v>0</v>
      </c>
    </row>
    <row r="78" spans="5:44" x14ac:dyDescent="0.3">
      <c r="E78" s="346"/>
      <c r="F78" s="449"/>
      <c r="G78" s="336"/>
      <c r="H78" s="334"/>
      <c r="I78" s="172" t="s">
        <v>316</v>
      </c>
      <c r="J78" s="337"/>
      <c r="K78" s="336"/>
      <c r="L78" s="336"/>
      <c r="M78" s="337"/>
      <c r="N78" s="242">
        <f t="shared" si="3"/>
        <v>3</v>
      </c>
      <c r="Q78" s="212" t="str">
        <f t="shared" si="2"/>
        <v/>
      </c>
      <c r="R78" s="174" t="s">
        <v>265</v>
      </c>
      <c r="S78" s="174" t="s">
        <v>273</v>
      </c>
      <c r="T78" s="174" t="str">
        <f>_xlfn.XLOOKUP(Buildings_GridElectricity_Backend[[#This Row],[Info 1]],Buildings_SiteInfo[Site name],Buildings_SiteInfo[Site type], "")</f>
        <v/>
      </c>
      <c r="U78" s="174" t="s">
        <v>281</v>
      </c>
      <c r="V78" s="174" t="str" cm="1">
        <f t="array" aca="1" ref="V78" ca="1">_xlfn.XLOOKUP(Buildings_GridElectricity_Backend[[#This Row],[Level 4]],rng_Level4Long,rng_Level5Long)</f>
        <v>Electricity</v>
      </c>
      <c r="W78" s="174" t="str" cm="1">
        <f t="array" aca="1" ref="W78" ca="1">_xlfn.XLOOKUP(Buildings_GridElectricity_Backend[[#This Row],[Level 4]],rng_Level4Long,rng_Level6Long)</f>
        <v>NaN</v>
      </c>
      <c r="X78" s="174">
        <f>Buildings_GridElectricity_Frontend[[#This Row],[Site Name]]</f>
        <v>0</v>
      </c>
      <c r="Y78" s="174">
        <f>Buildings_GridElectricity_Frontend[[#This Row],[Contracting]]</f>
        <v>0</v>
      </c>
      <c r="Z78" s="174">
        <f>Buildings_GridElectricity_Frontend[[#This Row],[Methodology]]</f>
        <v>0</v>
      </c>
      <c r="AA78" s="229" t="str" cm="1">
        <f t="array" ref="AA78">IF(Buildings_GridElectricity_Frontend[[#This Row],[Data]]="","",INDEX(_xlfn.SWITCH(Buildings_GridElectricity_Backend[[#This Row],[Methodology]],"Tier 1",rng_RSD1,"Tier 2",rng_RSD2,"Tier 3",rng_RSD3),MATCH(_xlfn.CONCAT(Buildings_GridElectricity_Backend[[#This Row],[Level 1]:[Level 6]]),rng_LevelsConcat,0)))</f>
        <v/>
      </c>
      <c r="AB78" s="220">
        <f>Buildings_GridElectricity_Frontend[[#This Row],[Data]]</f>
        <v>0</v>
      </c>
      <c r="AC78" s="174" t="str">
        <f>Buildings_GridElectricity_Frontend[[#This Row],[Units]]</f>
        <v>kWh</v>
      </c>
      <c r="AD78" s="218">
        <f>Buildings_GridElectricity_Frontend[[#This Row],[Data]]</f>
        <v>0</v>
      </c>
      <c r="AE78" s="174" t="str">
        <f>Buildings_GridElectricity_Frontend[[#This Row],[Units]]</f>
        <v>kWh</v>
      </c>
      <c r="AF78" s="210" t="str">
        <f>IF(Buildings_GridElectricity_Frontend[[#This Row],[Data]]="","",_xlfn.XLOOKUP(_xlfn.CONCAT(Buildings_GridElectricity_Backend[[#This Row],[Level 1]:[Level 6]]),rng_EFConcat,rng_EF1)*Buildings_GridElectricity_Backend[[#This Row],[Converted data]]/1000)</f>
        <v/>
      </c>
      <c r="AG78" s="210" t="str">
        <f>IF(Buildings_GridElectricity_Frontend[[#This Row],[Data]]="","",_xlfn.XLOOKUP(_xlfn.CONCAT(Buildings_GridElectricity_Backend[[#This Row],[Level 1]:[Level 6]]),rng_EFConcat,rng_EF2)*Buildings_GridElectricity_Backend[[#This Row],[Converted data]]/1000)</f>
        <v/>
      </c>
      <c r="AH78" s="210" t="str">
        <f>IF(Buildings_GridElectricity_Frontend[[#This Row],[Data]]="","",_xlfn.XLOOKUP(_xlfn.CONCAT(Buildings_GridElectricity_Backend[[#This Row],[Level 1]:[Level 6]]),rng_EFConcat,rng_EF3)*Buildings_GridElectricity_Backend[[#This Row],[Converted data]]/1000)</f>
        <v/>
      </c>
      <c r="AI78" s="210" t="str">
        <f>IF(Buildings_GridElectricity_Frontend[[#This Row],[Data]]="","",_xlfn.XLOOKUP(_xlfn.CONCAT(Buildings_GridElectricity_Backend[[#This Row],[Level 1]:[Level 6]]),rng_EFConcat,rng_EF3WTT)*Buildings_GridElectricity_Backend[[#This Row],[Converted data]]/1000)</f>
        <v/>
      </c>
      <c r="AJ78" s="210" t="str">
        <f>IF(Buildings_GridElectricity_Frontend[[#This Row],[Data]]="","",_xlfn.XLOOKUP(_xlfn.CONCAT(Buildings_GridElectricity_Backend[[#This Row],[Level 1]:[Level 6]]),rng_EFConcat,rng_EF3TD)*Buildings_GridElectricity_Backend[[#This Row],[Converted data]]/1000)</f>
        <v/>
      </c>
      <c r="AK78" s="210" t="str">
        <f>IF(Buildings_GridElectricity_Frontend[[#This Row],[Data]]="","",_xlfn.XLOOKUP(_xlfn.CONCAT(Buildings_GridElectricity_Backend[[#This Row],[Level 1]:[Level 6]]),rng_EFConcat,rng_EF3WTTTD)*Buildings_GridElectricity_Backend[[#This Row],[Converted data]]/1000)</f>
        <v/>
      </c>
      <c r="AL78" s="220" t="str">
        <f>IF(Buildings_GridElectricity_Frontend[[#This Row],[Data]]="","",SUM(Buildings_GridElectricity_Backend[[#This Row],[Scope 1 (tCO2e)]:[Scope 3 WTT T&amp;D (tCO2e)]]))</f>
        <v/>
      </c>
      <c r="AM78" s="220" t="str">
        <f>IF(Buildings_GridElectricity_Frontend[[#This Row],[Data]]="","",Buildings_GridElectricity_Backend[[#This Row],[Total (tCO2e)]]*(1-Buildings_GridElectricity_Backend[[#This Row],[RSD]]))</f>
        <v/>
      </c>
      <c r="AN78" s="220" t="str">
        <f>IF(Buildings_GridElectricity_Frontend[[#This Row],[Data]]="","",Buildings_GridElectricity_Backend[[#This Row],[Total (tCO2e)]]*(1+Buildings_GridElectricity_Backend[[#This Row],[RSD]]))</f>
        <v/>
      </c>
      <c r="AO78" s="210" t="str">
        <f>IF(Buildings_GridElectricity_Frontend[[#This Row],[Data]]="","",_xlfn.XLOOKUP(_xlfn.CONCAT(Buildings_GridElectricity_Backend[[#This Row],[Level 1]:[Level 6]]),rng_EFConcat,rng_EFOOS)*Buildings_GridElectricity_Backend[[#This Row],[Converted data]]/1000)</f>
        <v/>
      </c>
      <c r="AP78" s="174">
        <f>Buildings_GridElectricity_Frontend[[#This Row],[Ease of collection]]</f>
        <v>0</v>
      </c>
      <c r="AQ78" s="213">
        <f>Buildings_GridElectricity_Frontend[[#This Row],[Completeness]]</f>
        <v>0</v>
      </c>
      <c r="AR78" s="220">
        <f>Buildings_GridElectricity_Frontend[[#This Row],[Notes]]</f>
        <v>0</v>
      </c>
    </row>
    <row r="79" spans="5:44" x14ac:dyDescent="0.3">
      <c r="E79" s="346"/>
      <c r="F79" s="449"/>
      <c r="G79" s="336"/>
      <c r="H79" s="334"/>
      <c r="I79" s="172" t="s">
        <v>316</v>
      </c>
      <c r="J79" s="337"/>
      <c r="K79" s="336"/>
      <c r="L79" s="336"/>
      <c r="M79" s="337"/>
      <c r="N79" s="242">
        <f t="shared" si="3"/>
        <v>3</v>
      </c>
      <c r="Q79" s="212" t="str">
        <f t="shared" si="2"/>
        <v/>
      </c>
      <c r="R79" s="174" t="s">
        <v>265</v>
      </c>
      <c r="S79" s="174" t="s">
        <v>273</v>
      </c>
      <c r="T79" s="174" t="str">
        <f>_xlfn.XLOOKUP(Buildings_GridElectricity_Backend[[#This Row],[Info 1]],Buildings_SiteInfo[Site name],Buildings_SiteInfo[Site type], "")</f>
        <v/>
      </c>
      <c r="U79" s="174" t="s">
        <v>281</v>
      </c>
      <c r="V79" s="174" t="str" cm="1">
        <f t="array" aca="1" ref="V79" ca="1">_xlfn.XLOOKUP(Buildings_GridElectricity_Backend[[#This Row],[Level 4]],rng_Level4Long,rng_Level5Long)</f>
        <v>Electricity</v>
      </c>
      <c r="W79" s="174" t="str" cm="1">
        <f t="array" aca="1" ref="W79" ca="1">_xlfn.XLOOKUP(Buildings_GridElectricity_Backend[[#This Row],[Level 4]],rng_Level4Long,rng_Level6Long)</f>
        <v>NaN</v>
      </c>
      <c r="X79" s="174">
        <f>Buildings_GridElectricity_Frontend[[#This Row],[Site Name]]</f>
        <v>0</v>
      </c>
      <c r="Y79" s="174">
        <f>Buildings_GridElectricity_Frontend[[#This Row],[Contracting]]</f>
        <v>0</v>
      </c>
      <c r="Z79" s="174">
        <f>Buildings_GridElectricity_Frontend[[#This Row],[Methodology]]</f>
        <v>0</v>
      </c>
      <c r="AA79" s="229" t="str" cm="1">
        <f t="array" ref="AA79">IF(Buildings_GridElectricity_Frontend[[#This Row],[Data]]="","",INDEX(_xlfn.SWITCH(Buildings_GridElectricity_Backend[[#This Row],[Methodology]],"Tier 1",rng_RSD1,"Tier 2",rng_RSD2,"Tier 3",rng_RSD3),MATCH(_xlfn.CONCAT(Buildings_GridElectricity_Backend[[#This Row],[Level 1]:[Level 6]]),rng_LevelsConcat,0)))</f>
        <v/>
      </c>
      <c r="AB79" s="220">
        <f>Buildings_GridElectricity_Frontend[[#This Row],[Data]]</f>
        <v>0</v>
      </c>
      <c r="AC79" s="174" t="str">
        <f>Buildings_GridElectricity_Frontend[[#This Row],[Units]]</f>
        <v>kWh</v>
      </c>
      <c r="AD79" s="218">
        <f>Buildings_GridElectricity_Frontend[[#This Row],[Data]]</f>
        <v>0</v>
      </c>
      <c r="AE79" s="174" t="str">
        <f>Buildings_GridElectricity_Frontend[[#This Row],[Units]]</f>
        <v>kWh</v>
      </c>
      <c r="AF79" s="210" t="str">
        <f>IF(Buildings_GridElectricity_Frontend[[#This Row],[Data]]="","",_xlfn.XLOOKUP(_xlfn.CONCAT(Buildings_GridElectricity_Backend[[#This Row],[Level 1]:[Level 6]]),rng_EFConcat,rng_EF1)*Buildings_GridElectricity_Backend[[#This Row],[Converted data]]/1000)</f>
        <v/>
      </c>
      <c r="AG79" s="210" t="str">
        <f>IF(Buildings_GridElectricity_Frontend[[#This Row],[Data]]="","",_xlfn.XLOOKUP(_xlfn.CONCAT(Buildings_GridElectricity_Backend[[#This Row],[Level 1]:[Level 6]]),rng_EFConcat,rng_EF2)*Buildings_GridElectricity_Backend[[#This Row],[Converted data]]/1000)</f>
        <v/>
      </c>
      <c r="AH79" s="210" t="str">
        <f>IF(Buildings_GridElectricity_Frontend[[#This Row],[Data]]="","",_xlfn.XLOOKUP(_xlfn.CONCAT(Buildings_GridElectricity_Backend[[#This Row],[Level 1]:[Level 6]]),rng_EFConcat,rng_EF3)*Buildings_GridElectricity_Backend[[#This Row],[Converted data]]/1000)</f>
        <v/>
      </c>
      <c r="AI79" s="210" t="str">
        <f>IF(Buildings_GridElectricity_Frontend[[#This Row],[Data]]="","",_xlfn.XLOOKUP(_xlfn.CONCAT(Buildings_GridElectricity_Backend[[#This Row],[Level 1]:[Level 6]]),rng_EFConcat,rng_EF3WTT)*Buildings_GridElectricity_Backend[[#This Row],[Converted data]]/1000)</f>
        <v/>
      </c>
      <c r="AJ79" s="210" t="str">
        <f>IF(Buildings_GridElectricity_Frontend[[#This Row],[Data]]="","",_xlfn.XLOOKUP(_xlfn.CONCAT(Buildings_GridElectricity_Backend[[#This Row],[Level 1]:[Level 6]]),rng_EFConcat,rng_EF3TD)*Buildings_GridElectricity_Backend[[#This Row],[Converted data]]/1000)</f>
        <v/>
      </c>
      <c r="AK79" s="210" t="str">
        <f>IF(Buildings_GridElectricity_Frontend[[#This Row],[Data]]="","",_xlfn.XLOOKUP(_xlfn.CONCAT(Buildings_GridElectricity_Backend[[#This Row],[Level 1]:[Level 6]]),rng_EFConcat,rng_EF3WTTTD)*Buildings_GridElectricity_Backend[[#This Row],[Converted data]]/1000)</f>
        <v/>
      </c>
      <c r="AL79" s="220" t="str">
        <f>IF(Buildings_GridElectricity_Frontend[[#This Row],[Data]]="","",SUM(Buildings_GridElectricity_Backend[[#This Row],[Scope 1 (tCO2e)]:[Scope 3 WTT T&amp;D (tCO2e)]]))</f>
        <v/>
      </c>
      <c r="AM79" s="220" t="str">
        <f>IF(Buildings_GridElectricity_Frontend[[#This Row],[Data]]="","",Buildings_GridElectricity_Backend[[#This Row],[Total (tCO2e)]]*(1-Buildings_GridElectricity_Backend[[#This Row],[RSD]]))</f>
        <v/>
      </c>
      <c r="AN79" s="220" t="str">
        <f>IF(Buildings_GridElectricity_Frontend[[#This Row],[Data]]="","",Buildings_GridElectricity_Backend[[#This Row],[Total (tCO2e)]]*(1+Buildings_GridElectricity_Backend[[#This Row],[RSD]]))</f>
        <v/>
      </c>
      <c r="AO79" s="210" t="str">
        <f>IF(Buildings_GridElectricity_Frontend[[#This Row],[Data]]="","",_xlfn.XLOOKUP(_xlfn.CONCAT(Buildings_GridElectricity_Backend[[#This Row],[Level 1]:[Level 6]]),rng_EFConcat,rng_EFOOS)*Buildings_GridElectricity_Backend[[#This Row],[Converted data]]/1000)</f>
        <v/>
      </c>
      <c r="AP79" s="174">
        <f>Buildings_GridElectricity_Frontend[[#This Row],[Ease of collection]]</f>
        <v>0</v>
      </c>
      <c r="AQ79" s="213">
        <f>Buildings_GridElectricity_Frontend[[#This Row],[Completeness]]</f>
        <v>0</v>
      </c>
      <c r="AR79" s="220">
        <f>Buildings_GridElectricity_Frontend[[#This Row],[Notes]]</f>
        <v>0</v>
      </c>
    </row>
    <row r="80" spans="5:44" x14ac:dyDescent="0.3">
      <c r="E80" s="346"/>
      <c r="F80" s="449"/>
      <c r="G80" s="336"/>
      <c r="H80" s="334"/>
      <c r="I80" s="172" t="s">
        <v>316</v>
      </c>
      <c r="J80" s="337"/>
      <c r="K80" s="336"/>
      <c r="L80" s="336"/>
      <c r="M80" s="337"/>
      <c r="N80" s="242">
        <f t="shared" si="3"/>
        <v>3</v>
      </c>
      <c r="Q80" s="212" t="str">
        <f t="shared" si="2"/>
        <v/>
      </c>
      <c r="R80" s="174" t="s">
        <v>265</v>
      </c>
      <c r="S80" s="174" t="s">
        <v>273</v>
      </c>
      <c r="T80" s="174" t="str">
        <f>_xlfn.XLOOKUP(Buildings_GridElectricity_Backend[[#This Row],[Info 1]],Buildings_SiteInfo[Site name],Buildings_SiteInfo[Site type], "")</f>
        <v/>
      </c>
      <c r="U80" s="174" t="s">
        <v>281</v>
      </c>
      <c r="V80" s="174" t="str" cm="1">
        <f t="array" aca="1" ref="V80" ca="1">_xlfn.XLOOKUP(Buildings_GridElectricity_Backend[[#This Row],[Level 4]],rng_Level4Long,rng_Level5Long)</f>
        <v>Electricity</v>
      </c>
      <c r="W80" s="174" t="str" cm="1">
        <f t="array" aca="1" ref="W80" ca="1">_xlfn.XLOOKUP(Buildings_GridElectricity_Backend[[#This Row],[Level 4]],rng_Level4Long,rng_Level6Long)</f>
        <v>NaN</v>
      </c>
      <c r="X80" s="174">
        <f>Buildings_GridElectricity_Frontend[[#This Row],[Site Name]]</f>
        <v>0</v>
      </c>
      <c r="Y80" s="174">
        <f>Buildings_GridElectricity_Frontend[[#This Row],[Contracting]]</f>
        <v>0</v>
      </c>
      <c r="Z80" s="174">
        <f>Buildings_GridElectricity_Frontend[[#This Row],[Methodology]]</f>
        <v>0</v>
      </c>
      <c r="AA80" s="229" t="str" cm="1">
        <f t="array" ref="AA80">IF(Buildings_GridElectricity_Frontend[[#This Row],[Data]]="","",INDEX(_xlfn.SWITCH(Buildings_GridElectricity_Backend[[#This Row],[Methodology]],"Tier 1",rng_RSD1,"Tier 2",rng_RSD2,"Tier 3",rng_RSD3),MATCH(_xlfn.CONCAT(Buildings_GridElectricity_Backend[[#This Row],[Level 1]:[Level 6]]),rng_LevelsConcat,0)))</f>
        <v/>
      </c>
      <c r="AB80" s="220">
        <f>Buildings_GridElectricity_Frontend[[#This Row],[Data]]</f>
        <v>0</v>
      </c>
      <c r="AC80" s="174" t="str">
        <f>Buildings_GridElectricity_Frontend[[#This Row],[Units]]</f>
        <v>kWh</v>
      </c>
      <c r="AD80" s="218">
        <f>Buildings_GridElectricity_Frontend[[#This Row],[Data]]</f>
        <v>0</v>
      </c>
      <c r="AE80" s="174" t="str">
        <f>Buildings_GridElectricity_Frontend[[#This Row],[Units]]</f>
        <v>kWh</v>
      </c>
      <c r="AF80" s="210" t="str">
        <f>IF(Buildings_GridElectricity_Frontend[[#This Row],[Data]]="","",_xlfn.XLOOKUP(_xlfn.CONCAT(Buildings_GridElectricity_Backend[[#This Row],[Level 1]:[Level 6]]),rng_EFConcat,rng_EF1)*Buildings_GridElectricity_Backend[[#This Row],[Converted data]]/1000)</f>
        <v/>
      </c>
      <c r="AG80" s="210" t="str">
        <f>IF(Buildings_GridElectricity_Frontend[[#This Row],[Data]]="","",_xlfn.XLOOKUP(_xlfn.CONCAT(Buildings_GridElectricity_Backend[[#This Row],[Level 1]:[Level 6]]),rng_EFConcat,rng_EF2)*Buildings_GridElectricity_Backend[[#This Row],[Converted data]]/1000)</f>
        <v/>
      </c>
      <c r="AH80" s="210" t="str">
        <f>IF(Buildings_GridElectricity_Frontend[[#This Row],[Data]]="","",_xlfn.XLOOKUP(_xlfn.CONCAT(Buildings_GridElectricity_Backend[[#This Row],[Level 1]:[Level 6]]),rng_EFConcat,rng_EF3)*Buildings_GridElectricity_Backend[[#This Row],[Converted data]]/1000)</f>
        <v/>
      </c>
      <c r="AI80" s="210" t="str">
        <f>IF(Buildings_GridElectricity_Frontend[[#This Row],[Data]]="","",_xlfn.XLOOKUP(_xlfn.CONCAT(Buildings_GridElectricity_Backend[[#This Row],[Level 1]:[Level 6]]),rng_EFConcat,rng_EF3WTT)*Buildings_GridElectricity_Backend[[#This Row],[Converted data]]/1000)</f>
        <v/>
      </c>
      <c r="AJ80" s="210" t="str">
        <f>IF(Buildings_GridElectricity_Frontend[[#This Row],[Data]]="","",_xlfn.XLOOKUP(_xlfn.CONCAT(Buildings_GridElectricity_Backend[[#This Row],[Level 1]:[Level 6]]),rng_EFConcat,rng_EF3TD)*Buildings_GridElectricity_Backend[[#This Row],[Converted data]]/1000)</f>
        <v/>
      </c>
      <c r="AK80" s="210" t="str">
        <f>IF(Buildings_GridElectricity_Frontend[[#This Row],[Data]]="","",_xlfn.XLOOKUP(_xlfn.CONCAT(Buildings_GridElectricity_Backend[[#This Row],[Level 1]:[Level 6]]),rng_EFConcat,rng_EF3WTTTD)*Buildings_GridElectricity_Backend[[#This Row],[Converted data]]/1000)</f>
        <v/>
      </c>
      <c r="AL80" s="220" t="str">
        <f>IF(Buildings_GridElectricity_Frontend[[#This Row],[Data]]="","",SUM(Buildings_GridElectricity_Backend[[#This Row],[Scope 1 (tCO2e)]:[Scope 3 WTT T&amp;D (tCO2e)]]))</f>
        <v/>
      </c>
      <c r="AM80" s="220" t="str">
        <f>IF(Buildings_GridElectricity_Frontend[[#This Row],[Data]]="","",Buildings_GridElectricity_Backend[[#This Row],[Total (tCO2e)]]*(1-Buildings_GridElectricity_Backend[[#This Row],[RSD]]))</f>
        <v/>
      </c>
      <c r="AN80" s="220" t="str">
        <f>IF(Buildings_GridElectricity_Frontend[[#This Row],[Data]]="","",Buildings_GridElectricity_Backend[[#This Row],[Total (tCO2e)]]*(1+Buildings_GridElectricity_Backend[[#This Row],[RSD]]))</f>
        <v/>
      </c>
      <c r="AO80" s="210" t="str">
        <f>IF(Buildings_GridElectricity_Frontend[[#This Row],[Data]]="","",_xlfn.XLOOKUP(_xlfn.CONCAT(Buildings_GridElectricity_Backend[[#This Row],[Level 1]:[Level 6]]),rng_EFConcat,rng_EFOOS)*Buildings_GridElectricity_Backend[[#This Row],[Converted data]]/1000)</f>
        <v/>
      </c>
      <c r="AP80" s="174">
        <f>Buildings_GridElectricity_Frontend[[#This Row],[Ease of collection]]</f>
        <v>0</v>
      </c>
      <c r="AQ80" s="213">
        <f>Buildings_GridElectricity_Frontend[[#This Row],[Completeness]]</f>
        <v>0</v>
      </c>
      <c r="AR80" s="220">
        <f>Buildings_GridElectricity_Frontend[[#This Row],[Notes]]</f>
        <v>0</v>
      </c>
    </row>
    <row r="81" spans="5:44" x14ac:dyDescent="0.3">
      <c r="E81" s="346"/>
      <c r="F81" s="449"/>
      <c r="G81" s="336"/>
      <c r="H81" s="334"/>
      <c r="I81" s="172" t="s">
        <v>316</v>
      </c>
      <c r="J81" s="337"/>
      <c r="K81" s="336"/>
      <c r="L81" s="336"/>
      <c r="M81" s="337"/>
      <c r="N81" s="242">
        <f t="shared" si="3"/>
        <v>3</v>
      </c>
      <c r="Q81" s="212" t="str">
        <f t="shared" si="2"/>
        <v/>
      </c>
      <c r="R81" s="174" t="s">
        <v>265</v>
      </c>
      <c r="S81" s="174" t="s">
        <v>273</v>
      </c>
      <c r="T81" s="174" t="str">
        <f>_xlfn.XLOOKUP(Buildings_GridElectricity_Backend[[#This Row],[Info 1]],Buildings_SiteInfo[Site name],Buildings_SiteInfo[Site type], "")</f>
        <v/>
      </c>
      <c r="U81" s="174" t="s">
        <v>281</v>
      </c>
      <c r="V81" s="174" t="str" cm="1">
        <f t="array" aca="1" ref="V81" ca="1">_xlfn.XLOOKUP(Buildings_GridElectricity_Backend[[#This Row],[Level 4]],rng_Level4Long,rng_Level5Long)</f>
        <v>Electricity</v>
      </c>
      <c r="W81" s="174" t="str" cm="1">
        <f t="array" aca="1" ref="W81" ca="1">_xlfn.XLOOKUP(Buildings_GridElectricity_Backend[[#This Row],[Level 4]],rng_Level4Long,rng_Level6Long)</f>
        <v>NaN</v>
      </c>
      <c r="X81" s="174">
        <f>Buildings_GridElectricity_Frontend[[#This Row],[Site Name]]</f>
        <v>0</v>
      </c>
      <c r="Y81" s="174">
        <f>Buildings_GridElectricity_Frontend[[#This Row],[Contracting]]</f>
        <v>0</v>
      </c>
      <c r="Z81" s="174">
        <f>Buildings_GridElectricity_Frontend[[#This Row],[Methodology]]</f>
        <v>0</v>
      </c>
      <c r="AA81" s="229" t="str" cm="1">
        <f t="array" ref="AA81">IF(Buildings_GridElectricity_Frontend[[#This Row],[Data]]="","",INDEX(_xlfn.SWITCH(Buildings_GridElectricity_Backend[[#This Row],[Methodology]],"Tier 1",rng_RSD1,"Tier 2",rng_RSD2,"Tier 3",rng_RSD3),MATCH(_xlfn.CONCAT(Buildings_GridElectricity_Backend[[#This Row],[Level 1]:[Level 6]]),rng_LevelsConcat,0)))</f>
        <v/>
      </c>
      <c r="AB81" s="220">
        <f>Buildings_GridElectricity_Frontend[[#This Row],[Data]]</f>
        <v>0</v>
      </c>
      <c r="AC81" s="174" t="str">
        <f>Buildings_GridElectricity_Frontend[[#This Row],[Units]]</f>
        <v>kWh</v>
      </c>
      <c r="AD81" s="218">
        <f>Buildings_GridElectricity_Frontend[[#This Row],[Data]]</f>
        <v>0</v>
      </c>
      <c r="AE81" s="174" t="str">
        <f>Buildings_GridElectricity_Frontend[[#This Row],[Units]]</f>
        <v>kWh</v>
      </c>
      <c r="AF81" s="210" t="str">
        <f>IF(Buildings_GridElectricity_Frontend[[#This Row],[Data]]="","",_xlfn.XLOOKUP(_xlfn.CONCAT(Buildings_GridElectricity_Backend[[#This Row],[Level 1]:[Level 6]]),rng_EFConcat,rng_EF1)*Buildings_GridElectricity_Backend[[#This Row],[Converted data]]/1000)</f>
        <v/>
      </c>
      <c r="AG81" s="210" t="str">
        <f>IF(Buildings_GridElectricity_Frontend[[#This Row],[Data]]="","",_xlfn.XLOOKUP(_xlfn.CONCAT(Buildings_GridElectricity_Backend[[#This Row],[Level 1]:[Level 6]]),rng_EFConcat,rng_EF2)*Buildings_GridElectricity_Backend[[#This Row],[Converted data]]/1000)</f>
        <v/>
      </c>
      <c r="AH81" s="210" t="str">
        <f>IF(Buildings_GridElectricity_Frontend[[#This Row],[Data]]="","",_xlfn.XLOOKUP(_xlfn.CONCAT(Buildings_GridElectricity_Backend[[#This Row],[Level 1]:[Level 6]]),rng_EFConcat,rng_EF3)*Buildings_GridElectricity_Backend[[#This Row],[Converted data]]/1000)</f>
        <v/>
      </c>
      <c r="AI81" s="210" t="str">
        <f>IF(Buildings_GridElectricity_Frontend[[#This Row],[Data]]="","",_xlfn.XLOOKUP(_xlfn.CONCAT(Buildings_GridElectricity_Backend[[#This Row],[Level 1]:[Level 6]]),rng_EFConcat,rng_EF3WTT)*Buildings_GridElectricity_Backend[[#This Row],[Converted data]]/1000)</f>
        <v/>
      </c>
      <c r="AJ81" s="210" t="str">
        <f>IF(Buildings_GridElectricity_Frontend[[#This Row],[Data]]="","",_xlfn.XLOOKUP(_xlfn.CONCAT(Buildings_GridElectricity_Backend[[#This Row],[Level 1]:[Level 6]]),rng_EFConcat,rng_EF3TD)*Buildings_GridElectricity_Backend[[#This Row],[Converted data]]/1000)</f>
        <v/>
      </c>
      <c r="AK81" s="210" t="str">
        <f>IF(Buildings_GridElectricity_Frontend[[#This Row],[Data]]="","",_xlfn.XLOOKUP(_xlfn.CONCAT(Buildings_GridElectricity_Backend[[#This Row],[Level 1]:[Level 6]]),rng_EFConcat,rng_EF3WTTTD)*Buildings_GridElectricity_Backend[[#This Row],[Converted data]]/1000)</f>
        <v/>
      </c>
      <c r="AL81" s="220" t="str">
        <f>IF(Buildings_GridElectricity_Frontend[[#This Row],[Data]]="","",SUM(Buildings_GridElectricity_Backend[[#This Row],[Scope 1 (tCO2e)]:[Scope 3 WTT T&amp;D (tCO2e)]]))</f>
        <v/>
      </c>
      <c r="AM81" s="220" t="str">
        <f>IF(Buildings_GridElectricity_Frontend[[#This Row],[Data]]="","",Buildings_GridElectricity_Backend[[#This Row],[Total (tCO2e)]]*(1-Buildings_GridElectricity_Backend[[#This Row],[RSD]]))</f>
        <v/>
      </c>
      <c r="AN81" s="220" t="str">
        <f>IF(Buildings_GridElectricity_Frontend[[#This Row],[Data]]="","",Buildings_GridElectricity_Backend[[#This Row],[Total (tCO2e)]]*(1+Buildings_GridElectricity_Backend[[#This Row],[RSD]]))</f>
        <v/>
      </c>
      <c r="AO81" s="210" t="str">
        <f>IF(Buildings_GridElectricity_Frontend[[#This Row],[Data]]="","",_xlfn.XLOOKUP(_xlfn.CONCAT(Buildings_GridElectricity_Backend[[#This Row],[Level 1]:[Level 6]]),rng_EFConcat,rng_EFOOS)*Buildings_GridElectricity_Backend[[#This Row],[Converted data]]/1000)</f>
        <v/>
      </c>
      <c r="AP81" s="174">
        <f>Buildings_GridElectricity_Frontend[[#This Row],[Ease of collection]]</f>
        <v>0</v>
      </c>
      <c r="AQ81" s="213">
        <f>Buildings_GridElectricity_Frontend[[#This Row],[Completeness]]</f>
        <v>0</v>
      </c>
      <c r="AR81" s="220">
        <f>Buildings_GridElectricity_Frontend[[#This Row],[Notes]]</f>
        <v>0</v>
      </c>
    </row>
    <row r="82" spans="5:44" x14ac:dyDescent="0.3">
      <c r="E82" s="346"/>
      <c r="F82" s="449"/>
      <c r="G82" s="336"/>
      <c r="H82" s="334"/>
      <c r="I82" s="172" t="s">
        <v>316</v>
      </c>
      <c r="J82" s="337"/>
      <c r="K82" s="336"/>
      <c r="L82" s="336"/>
      <c r="M82" s="337"/>
      <c r="N82" s="242">
        <f t="shared" si="3"/>
        <v>3</v>
      </c>
      <c r="Q82" s="212" t="str">
        <f t="shared" si="2"/>
        <v/>
      </c>
      <c r="R82" s="174" t="s">
        <v>265</v>
      </c>
      <c r="S82" s="174" t="s">
        <v>273</v>
      </c>
      <c r="T82" s="174" t="str">
        <f>_xlfn.XLOOKUP(Buildings_GridElectricity_Backend[[#This Row],[Info 1]],Buildings_SiteInfo[Site name],Buildings_SiteInfo[Site type], "")</f>
        <v/>
      </c>
      <c r="U82" s="174" t="s">
        <v>281</v>
      </c>
      <c r="V82" s="174" t="str" cm="1">
        <f t="array" aca="1" ref="V82" ca="1">_xlfn.XLOOKUP(Buildings_GridElectricity_Backend[[#This Row],[Level 4]],rng_Level4Long,rng_Level5Long)</f>
        <v>Electricity</v>
      </c>
      <c r="W82" s="174" t="str" cm="1">
        <f t="array" aca="1" ref="W82" ca="1">_xlfn.XLOOKUP(Buildings_GridElectricity_Backend[[#This Row],[Level 4]],rng_Level4Long,rng_Level6Long)</f>
        <v>NaN</v>
      </c>
      <c r="X82" s="174">
        <f>Buildings_GridElectricity_Frontend[[#This Row],[Site Name]]</f>
        <v>0</v>
      </c>
      <c r="Y82" s="174">
        <f>Buildings_GridElectricity_Frontend[[#This Row],[Contracting]]</f>
        <v>0</v>
      </c>
      <c r="Z82" s="174">
        <f>Buildings_GridElectricity_Frontend[[#This Row],[Methodology]]</f>
        <v>0</v>
      </c>
      <c r="AA82" s="229" t="str" cm="1">
        <f t="array" ref="AA82">IF(Buildings_GridElectricity_Frontend[[#This Row],[Data]]="","",INDEX(_xlfn.SWITCH(Buildings_GridElectricity_Backend[[#This Row],[Methodology]],"Tier 1",rng_RSD1,"Tier 2",rng_RSD2,"Tier 3",rng_RSD3),MATCH(_xlfn.CONCAT(Buildings_GridElectricity_Backend[[#This Row],[Level 1]:[Level 6]]),rng_LevelsConcat,0)))</f>
        <v/>
      </c>
      <c r="AB82" s="220">
        <f>Buildings_GridElectricity_Frontend[[#This Row],[Data]]</f>
        <v>0</v>
      </c>
      <c r="AC82" s="174" t="str">
        <f>Buildings_GridElectricity_Frontend[[#This Row],[Units]]</f>
        <v>kWh</v>
      </c>
      <c r="AD82" s="218">
        <f>Buildings_GridElectricity_Frontend[[#This Row],[Data]]</f>
        <v>0</v>
      </c>
      <c r="AE82" s="174" t="str">
        <f>Buildings_GridElectricity_Frontend[[#This Row],[Units]]</f>
        <v>kWh</v>
      </c>
      <c r="AF82" s="210" t="str">
        <f>IF(Buildings_GridElectricity_Frontend[[#This Row],[Data]]="","",_xlfn.XLOOKUP(_xlfn.CONCAT(Buildings_GridElectricity_Backend[[#This Row],[Level 1]:[Level 6]]),rng_EFConcat,rng_EF1)*Buildings_GridElectricity_Backend[[#This Row],[Converted data]]/1000)</f>
        <v/>
      </c>
      <c r="AG82" s="210" t="str">
        <f>IF(Buildings_GridElectricity_Frontend[[#This Row],[Data]]="","",_xlfn.XLOOKUP(_xlfn.CONCAT(Buildings_GridElectricity_Backend[[#This Row],[Level 1]:[Level 6]]),rng_EFConcat,rng_EF2)*Buildings_GridElectricity_Backend[[#This Row],[Converted data]]/1000)</f>
        <v/>
      </c>
      <c r="AH82" s="210" t="str">
        <f>IF(Buildings_GridElectricity_Frontend[[#This Row],[Data]]="","",_xlfn.XLOOKUP(_xlfn.CONCAT(Buildings_GridElectricity_Backend[[#This Row],[Level 1]:[Level 6]]),rng_EFConcat,rng_EF3)*Buildings_GridElectricity_Backend[[#This Row],[Converted data]]/1000)</f>
        <v/>
      </c>
      <c r="AI82" s="210" t="str">
        <f>IF(Buildings_GridElectricity_Frontend[[#This Row],[Data]]="","",_xlfn.XLOOKUP(_xlfn.CONCAT(Buildings_GridElectricity_Backend[[#This Row],[Level 1]:[Level 6]]),rng_EFConcat,rng_EF3WTT)*Buildings_GridElectricity_Backend[[#This Row],[Converted data]]/1000)</f>
        <v/>
      </c>
      <c r="AJ82" s="210" t="str">
        <f>IF(Buildings_GridElectricity_Frontend[[#This Row],[Data]]="","",_xlfn.XLOOKUP(_xlfn.CONCAT(Buildings_GridElectricity_Backend[[#This Row],[Level 1]:[Level 6]]),rng_EFConcat,rng_EF3TD)*Buildings_GridElectricity_Backend[[#This Row],[Converted data]]/1000)</f>
        <v/>
      </c>
      <c r="AK82" s="210" t="str">
        <f>IF(Buildings_GridElectricity_Frontend[[#This Row],[Data]]="","",_xlfn.XLOOKUP(_xlfn.CONCAT(Buildings_GridElectricity_Backend[[#This Row],[Level 1]:[Level 6]]),rng_EFConcat,rng_EF3WTTTD)*Buildings_GridElectricity_Backend[[#This Row],[Converted data]]/1000)</f>
        <v/>
      </c>
      <c r="AL82" s="220" t="str">
        <f>IF(Buildings_GridElectricity_Frontend[[#This Row],[Data]]="","",SUM(Buildings_GridElectricity_Backend[[#This Row],[Scope 1 (tCO2e)]:[Scope 3 WTT T&amp;D (tCO2e)]]))</f>
        <v/>
      </c>
      <c r="AM82" s="220" t="str">
        <f>IF(Buildings_GridElectricity_Frontend[[#This Row],[Data]]="","",Buildings_GridElectricity_Backend[[#This Row],[Total (tCO2e)]]*(1-Buildings_GridElectricity_Backend[[#This Row],[RSD]]))</f>
        <v/>
      </c>
      <c r="AN82" s="220" t="str">
        <f>IF(Buildings_GridElectricity_Frontend[[#This Row],[Data]]="","",Buildings_GridElectricity_Backend[[#This Row],[Total (tCO2e)]]*(1+Buildings_GridElectricity_Backend[[#This Row],[RSD]]))</f>
        <v/>
      </c>
      <c r="AO82" s="210" t="str">
        <f>IF(Buildings_GridElectricity_Frontend[[#This Row],[Data]]="","",_xlfn.XLOOKUP(_xlfn.CONCAT(Buildings_GridElectricity_Backend[[#This Row],[Level 1]:[Level 6]]),rng_EFConcat,rng_EFOOS)*Buildings_GridElectricity_Backend[[#This Row],[Converted data]]/1000)</f>
        <v/>
      </c>
      <c r="AP82" s="174">
        <f>Buildings_GridElectricity_Frontend[[#This Row],[Ease of collection]]</f>
        <v>0</v>
      </c>
      <c r="AQ82" s="213">
        <f>Buildings_GridElectricity_Frontend[[#This Row],[Completeness]]</f>
        <v>0</v>
      </c>
      <c r="AR82" s="220">
        <f>Buildings_GridElectricity_Frontend[[#This Row],[Notes]]</f>
        <v>0</v>
      </c>
    </row>
    <row r="83" spans="5:44" x14ac:dyDescent="0.3">
      <c r="E83" s="346"/>
      <c r="F83" s="449"/>
      <c r="G83" s="336"/>
      <c r="H83" s="334"/>
      <c r="I83" s="172" t="s">
        <v>316</v>
      </c>
      <c r="J83" s="337"/>
      <c r="K83" s="336"/>
      <c r="L83" s="336"/>
      <c r="M83" s="337"/>
      <c r="N83" s="242">
        <f t="shared" si="3"/>
        <v>3</v>
      </c>
      <c r="Q83" s="212" t="str">
        <f t="shared" si="2"/>
        <v/>
      </c>
      <c r="R83" s="174" t="s">
        <v>265</v>
      </c>
      <c r="S83" s="174" t="s">
        <v>273</v>
      </c>
      <c r="T83" s="174" t="str">
        <f>_xlfn.XLOOKUP(Buildings_GridElectricity_Backend[[#This Row],[Info 1]],Buildings_SiteInfo[Site name],Buildings_SiteInfo[Site type], "")</f>
        <v/>
      </c>
      <c r="U83" s="174" t="s">
        <v>281</v>
      </c>
      <c r="V83" s="174" t="str" cm="1">
        <f t="array" aca="1" ref="V83" ca="1">_xlfn.XLOOKUP(Buildings_GridElectricity_Backend[[#This Row],[Level 4]],rng_Level4Long,rng_Level5Long)</f>
        <v>Electricity</v>
      </c>
      <c r="W83" s="174" t="str" cm="1">
        <f t="array" aca="1" ref="W83" ca="1">_xlfn.XLOOKUP(Buildings_GridElectricity_Backend[[#This Row],[Level 4]],rng_Level4Long,rng_Level6Long)</f>
        <v>NaN</v>
      </c>
      <c r="X83" s="174">
        <f>Buildings_GridElectricity_Frontend[[#This Row],[Site Name]]</f>
        <v>0</v>
      </c>
      <c r="Y83" s="174">
        <f>Buildings_GridElectricity_Frontend[[#This Row],[Contracting]]</f>
        <v>0</v>
      </c>
      <c r="Z83" s="174">
        <f>Buildings_GridElectricity_Frontend[[#This Row],[Methodology]]</f>
        <v>0</v>
      </c>
      <c r="AA83" s="229" t="str" cm="1">
        <f t="array" ref="AA83">IF(Buildings_GridElectricity_Frontend[[#This Row],[Data]]="","",INDEX(_xlfn.SWITCH(Buildings_GridElectricity_Backend[[#This Row],[Methodology]],"Tier 1",rng_RSD1,"Tier 2",rng_RSD2,"Tier 3",rng_RSD3),MATCH(_xlfn.CONCAT(Buildings_GridElectricity_Backend[[#This Row],[Level 1]:[Level 6]]),rng_LevelsConcat,0)))</f>
        <v/>
      </c>
      <c r="AB83" s="220">
        <f>Buildings_GridElectricity_Frontend[[#This Row],[Data]]</f>
        <v>0</v>
      </c>
      <c r="AC83" s="174" t="str">
        <f>Buildings_GridElectricity_Frontend[[#This Row],[Units]]</f>
        <v>kWh</v>
      </c>
      <c r="AD83" s="218">
        <f>Buildings_GridElectricity_Frontend[[#This Row],[Data]]</f>
        <v>0</v>
      </c>
      <c r="AE83" s="174" t="str">
        <f>Buildings_GridElectricity_Frontend[[#This Row],[Units]]</f>
        <v>kWh</v>
      </c>
      <c r="AF83" s="210" t="str">
        <f>IF(Buildings_GridElectricity_Frontend[[#This Row],[Data]]="","",_xlfn.XLOOKUP(_xlfn.CONCAT(Buildings_GridElectricity_Backend[[#This Row],[Level 1]:[Level 6]]),rng_EFConcat,rng_EF1)*Buildings_GridElectricity_Backend[[#This Row],[Converted data]]/1000)</f>
        <v/>
      </c>
      <c r="AG83" s="210" t="str">
        <f>IF(Buildings_GridElectricity_Frontend[[#This Row],[Data]]="","",_xlfn.XLOOKUP(_xlfn.CONCAT(Buildings_GridElectricity_Backend[[#This Row],[Level 1]:[Level 6]]),rng_EFConcat,rng_EF2)*Buildings_GridElectricity_Backend[[#This Row],[Converted data]]/1000)</f>
        <v/>
      </c>
      <c r="AH83" s="210" t="str">
        <f>IF(Buildings_GridElectricity_Frontend[[#This Row],[Data]]="","",_xlfn.XLOOKUP(_xlfn.CONCAT(Buildings_GridElectricity_Backend[[#This Row],[Level 1]:[Level 6]]),rng_EFConcat,rng_EF3)*Buildings_GridElectricity_Backend[[#This Row],[Converted data]]/1000)</f>
        <v/>
      </c>
      <c r="AI83" s="210" t="str">
        <f>IF(Buildings_GridElectricity_Frontend[[#This Row],[Data]]="","",_xlfn.XLOOKUP(_xlfn.CONCAT(Buildings_GridElectricity_Backend[[#This Row],[Level 1]:[Level 6]]),rng_EFConcat,rng_EF3WTT)*Buildings_GridElectricity_Backend[[#This Row],[Converted data]]/1000)</f>
        <v/>
      </c>
      <c r="AJ83" s="210" t="str">
        <f>IF(Buildings_GridElectricity_Frontend[[#This Row],[Data]]="","",_xlfn.XLOOKUP(_xlfn.CONCAT(Buildings_GridElectricity_Backend[[#This Row],[Level 1]:[Level 6]]),rng_EFConcat,rng_EF3TD)*Buildings_GridElectricity_Backend[[#This Row],[Converted data]]/1000)</f>
        <v/>
      </c>
      <c r="AK83" s="210" t="str">
        <f>IF(Buildings_GridElectricity_Frontend[[#This Row],[Data]]="","",_xlfn.XLOOKUP(_xlfn.CONCAT(Buildings_GridElectricity_Backend[[#This Row],[Level 1]:[Level 6]]),rng_EFConcat,rng_EF3WTTTD)*Buildings_GridElectricity_Backend[[#This Row],[Converted data]]/1000)</f>
        <v/>
      </c>
      <c r="AL83" s="220" t="str">
        <f>IF(Buildings_GridElectricity_Frontend[[#This Row],[Data]]="","",SUM(Buildings_GridElectricity_Backend[[#This Row],[Scope 1 (tCO2e)]:[Scope 3 WTT T&amp;D (tCO2e)]]))</f>
        <v/>
      </c>
      <c r="AM83" s="220" t="str">
        <f>IF(Buildings_GridElectricity_Frontend[[#This Row],[Data]]="","",Buildings_GridElectricity_Backend[[#This Row],[Total (tCO2e)]]*(1-Buildings_GridElectricity_Backend[[#This Row],[RSD]]))</f>
        <v/>
      </c>
      <c r="AN83" s="220" t="str">
        <f>IF(Buildings_GridElectricity_Frontend[[#This Row],[Data]]="","",Buildings_GridElectricity_Backend[[#This Row],[Total (tCO2e)]]*(1+Buildings_GridElectricity_Backend[[#This Row],[RSD]]))</f>
        <v/>
      </c>
      <c r="AO83" s="210" t="str">
        <f>IF(Buildings_GridElectricity_Frontend[[#This Row],[Data]]="","",_xlfn.XLOOKUP(_xlfn.CONCAT(Buildings_GridElectricity_Backend[[#This Row],[Level 1]:[Level 6]]),rng_EFConcat,rng_EFOOS)*Buildings_GridElectricity_Backend[[#This Row],[Converted data]]/1000)</f>
        <v/>
      </c>
      <c r="AP83" s="174">
        <f>Buildings_GridElectricity_Frontend[[#This Row],[Ease of collection]]</f>
        <v>0</v>
      </c>
      <c r="AQ83" s="213">
        <f>Buildings_GridElectricity_Frontend[[#This Row],[Completeness]]</f>
        <v>0</v>
      </c>
      <c r="AR83" s="220">
        <f>Buildings_GridElectricity_Frontend[[#This Row],[Notes]]</f>
        <v>0</v>
      </c>
    </row>
    <row r="84" spans="5:44" x14ac:dyDescent="0.3">
      <c r="E84" s="346"/>
      <c r="F84" s="449"/>
      <c r="G84" s="336"/>
      <c r="H84" s="334"/>
      <c r="I84" s="172" t="s">
        <v>316</v>
      </c>
      <c r="J84" s="337"/>
      <c r="K84" s="336"/>
      <c r="L84" s="336"/>
      <c r="M84" s="337"/>
      <c r="N84" s="242">
        <f t="shared" si="3"/>
        <v>3</v>
      </c>
      <c r="Q84" s="212" t="str">
        <f t="shared" si="2"/>
        <v/>
      </c>
      <c r="R84" s="174" t="s">
        <v>265</v>
      </c>
      <c r="S84" s="174" t="s">
        <v>273</v>
      </c>
      <c r="T84" s="174" t="str">
        <f>_xlfn.XLOOKUP(Buildings_GridElectricity_Backend[[#This Row],[Info 1]],Buildings_SiteInfo[Site name],Buildings_SiteInfo[Site type], "")</f>
        <v/>
      </c>
      <c r="U84" s="174" t="s">
        <v>281</v>
      </c>
      <c r="V84" s="174" t="str" cm="1">
        <f t="array" aca="1" ref="V84" ca="1">_xlfn.XLOOKUP(Buildings_GridElectricity_Backend[[#This Row],[Level 4]],rng_Level4Long,rng_Level5Long)</f>
        <v>Electricity</v>
      </c>
      <c r="W84" s="174" t="str" cm="1">
        <f t="array" aca="1" ref="W84" ca="1">_xlfn.XLOOKUP(Buildings_GridElectricity_Backend[[#This Row],[Level 4]],rng_Level4Long,rng_Level6Long)</f>
        <v>NaN</v>
      </c>
      <c r="X84" s="174">
        <f>Buildings_GridElectricity_Frontend[[#This Row],[Site Name]]</f>
        <v>0</v>
      </c>
      <c r="Y84" s="174">
        <f>Buildings_GridElectricity_Frontend[[#This Row],[Contracting]]</f>
        <v>0</v>
      </c>
      <c r="Z84" s="174">
        <f>Buildings_GridElectricity_Frontend[[#This Row],[Methodology]]</f>
        <v>0</v>
      </c>
      <c r="AA84" s="229" t="str" cm="1">
        <f t="array" ref="AA84">IF(Buildings_GridElectricity_Frontend[[#This Row],[Data]]="","",INDEX(_xlfn.SWITCH(Buildings_GridElectricity_Backend[[#This Row],[Methodology]],"Tier 1",rng_RSD1,"Tier 2",rng_RSD2,"Tier 3",rng_RSD3),MATCH(_xlfn.CONCAT(Buildings_GridElectricity_Backend[[#This Row],[Level 1]:[Level 6]]),rng_LevelsConcat,0)))</f>
        <v/>
      </c>
      <c r="AB84" s="220">
        <f>Buildings_GridElectricity_Frontend[[#This Row],[Data]]</f>
        <v>0</v>
      </c>
      <c r="AC84" s="174" t="str">
        <f>Buildings_GridElectricity_Frontend[[#This Row],[Units]]</f>
        <v>kWh</v>
      </c>
      <c r="AD84" s="218">
        <f>Buildings_GridElectricity_Frontend[[#This Row],[Data]]</f>
        <v>0</v>
      </c>
      <c r="AE84" s="174" t="str">
        <f>Buildings_GridElectricity_Frontend[[#This Row],[Units]]</f>
        <v>kWh</v>
      </c>
      <c r="AF84" s="210" t="str">
        <f>IF(Buildings_GridElectricity_Frontend[[#This Row],[Data]]="","",_xlfn.XLOOKUP(_xlfn.CONCAT(Buildings_GridElectricity_Backend[[#This Row],[Level 1]:[Level 6]]),rng_EFConcat,rng_EF1)*Buildings_GridElectricity_Backend[[#This Row],[Converted data]]/1000)</f>
        <v/>
      </c>
      <c r="AG84" s="210" t="str">
        <f>IF(Buildings_GridElectricity_Frontend[[#This Row],[Data]]="","",_xlfn.XLOOKUP(_xlfn.CONCAT(Buildings_GridElectricity_Backend[[#This Row],[Level 1]:[Level 6]]),rng_EFConcat,rng_EF2)*Buildings_GridElectricity_Backend[[#This Row],[Converted data]]/1000)</f>
        <v/>
      </c>
      <c r="AH84" s="210" t="str">
        <f>IF(Buildings_GridElectricity_Frontend[[#This Row],[Data]]="","",_xlfn.XLOOKUP(_xlfn.CONCAT(Buildings_GridElectricity_Backend[[#This Row],[Level 1]:[Level 6]]),rng_EFConcat,rng_EF3)*Buildings_GridElectricity_Backend[[#This Row],[Converted data]]/1000)</f>
        <v/>
      </c>
      <c r="AI84" s="210" t="str">
        <f>IF(Buildings_GridElectricity_Frontend[[#This Row],[Data]]="","",_xlfn.XLOOKUP(_xlfn.CONCAT(Buildings_GridElectricity_Backend[[#This Row],[Level 1]:[Level 6]]),rng_EFConcat,rng_EF3WTT)*Buildings_GridElectricity_Backend[[#This Row],[Converted data]]/1000)</f>
        <v/>
      </c>
      <c r="AJ84" s="210" t="str">
        <f>IF(Buildings_GridElectricity_Frontend[[#This Row],[Data]]="","",_xlfn.XLOOKUP(_xlfn.CONCAT(Buildings_GridElectricity_Backend[[#This Row],[Level 1]:[Level 6]]),rng_EFConcat,rng_EF3TD)*Buildings_GridElectricity_Backend[[#This Row],[Converted data]]/1000)</f>
        <v/>
      </c>
      <c r="AK84" s="210" t="str">
        <f>IF(Buildings_GridElectricity_Frontend[[#This Row],[Data]]="","",_xlfn.XLOOKUP(_xlfn.CONCAT(Buildings_GridElectricity_Backend[[#This Row],[Level 1]:[Level 6]]),rng_EFConcat,rng_EF3WTTTD)*Buildings_GridElectricity_Backend[[#This Row],[Converted data]]/1000)</f>
        <v/>
      </c>
      <c r="AL84" s="220" t="str">
        <f>IF(Buildings_GridElectricity_Frontend[[#This Row],[Data]]="","",SUM(Buildings_GridElectricity_Backend[[#This Row],[Scope 1 (tCO2e)]:[Scope 3 WTT T&amp;D (tCO2e)]]))</f>
        <v/>
      </c>
      <c r="AM84" s="220" t="str">
        <f>IF(Buildings_GridElectricity_Frontend[[#This Row],[Data]]="","",Buildings_GridElectricity_Backend[[#This Row],[Total (tCO2e)]]*(1-Buildings_GridElectricity_Backend[[#This Row],[RSD]]))</f>
        <v/>
      </c>
      <c r="AN84" s="220" t="str">
        <f>IF(Buildings_GridElectricity_Frontend[[#This Row],[Data]]="","",Buildings_GridElectricity_Backend[[#This Row],[Total (tCO2e)]]*(1+Buildings_GridElectricity_Backend[[#This Row],[RSD]]))</f>
        <v/>
      </c>
      <c r="AO84" s="210" t="str">
        <f>IF(Buildings_GridElectricity_Frontend[[#This Row],[Data]]="","",_xlfn.XLOOKUP(_xlfn.CONCAT(Buildings_GridElectricity_Backend[[#This Row],[Level 1]:[Level 6]]),rng_EFConcat,rng_EFOOS)*Buildings_GridElectricity_Backend[[#This Row],[Converted data]]/1000)</f>
        <v/>
      </c>
      <c r="AP84" s="174">
        <f>Buildings_GridElectricity_Frontend[[#This Row],[Ease of collection]]</f>
        <v>0</v>
      </c>
      <c r="AQ84" s="213">
        <f>Buildings_GridElectricity_Frontend[[#This Row],[Completeness]]</f>
        <v>0</v>
      </c>
      <c r="AR84" s="220">
        <f>Buildings_GridElectricity_Frontend[[#This Row],[Notes]]</f>
        <v>0</v>
      </c>
    </row>
    <row r="85" spans="5:44" x14ac:dyDescent="0.3">
      <c r="E85" s="346"/>
      <c r="F85" s="449"/>
      <c r="G85" s="336"/>
      <c r="H85" s="334"/>
      <c r="I85" s="172" t="s">
        <v>316</v>
      </c>
      <c r="J85" s="337"/>
      <c r="K85" s="336"/>
      <c r="L85" s="336"/>
      <c r="M85" s="337"/>
      <c r="N85" s="242">
        <f t="shared" si="3"/>
        <v>3</v>
      </c>
      <c r="Q85" s="212" t="str">
        <f t="shared" si="2"/>
        <v/>
      </c>
      <c r="R85" s="174" t="s">
        <v>265</v>
      </c>
      <c r="S85" s="174" t="s">
        <v>273</v>
      </c>
      <c r="T85" s="174" t="str">
        <f>_xlfn.XLOOKUP(Buildings_GridElectricity_Backend[[#This Row],[Info 1]],Buildings_SiteInfo[Site name],Buildings_SiteInfo[Site type], "")</f>
        <v/>
      </c>
      <c r="U85" s="174" t="s">
        <v>281</v>
      </c>
      <c r="V85" s="174" t="str" cm="1">
        <f t="array" aca="1" ref="V85" ca="1">_xlfn.XLOOKUP(Buildings_GridElectricity_Backend[[#This Row],[Level 4]],rng_Level4Long,rng_Level5Long)</f>
        <v>Electricity</v>
      </c>
      <c r="W85" s="174" t="str" cm="1">
        <f t="array" aca="1" ref="W85" ca="1">_xlfn.XLOOKUP(Buildings_GridElectricity_Backend[[#This Row],[Level 4]],rng_Level4Long,rng_Level6Long)</f>
        <v>NaN</v>
      </c>
      <c r="X85" s="174">
        <f>Buildings_GridElectricity_Frontend[[#This Row],[Site Name]]</f>
        <v>0</v>
      </c>
      <c r="Y85" s="174">
        <f>Buildings_GridElectricity_Frontend[[#This Row],[Contracting]]</f>
        <v>0</v>
      </c>
      <c r="Z85" s="174">
        <f>Buildings_GridElectricity_Frontend[[#This Row],[Methodology]]</f>
        <v>0</v>
      </c>
      <c r="AA85" s="229" t="str" cm="1">
        <f t="array" ref="AA85">IF(Buildings_GridElectricity_Frontend[[#This Row],[Data]]="","",INDEX(_xlfn.SWITCH(Buildings_GridElectricity_Backend[[#This Row],[Methodology]],"Tier 1",rng_RSD1,"Tier 2",rng_RSD2,"Tier 3",rng_RSD3),MATCH(_xlfn.CONCAT(Buildings_GridElectricity_Backend[[#This Row],[Level 1]:[Level 6]]),rng_LevelsConcat,0)))</f>
        <v/>
      </c>
      <c r="AB85" s="220">
        <f>Buildings_GridElectricity_Frontend[[#This Row],[Data]]</f>
        <v>0</v>
      </c>
      <c r="AC85" s="174" t="str">
        <f>Buildings_GridElectricity_Frontend[[#This Row],[Units]]</f>
        <v>kWh</v>
      </c>
      <c r="AD85" s="218">
        <f>Buildings_GridElectricity_Frontend[[#This Row],[Data]]</f>
        <v>0</v>
      </c>
      <c r="AE85" s="174" t="str">
        <f>Buildings_GridElectricity_Frontend[[#This Row],[Units]]</f>
        <v>kWh</v>
      </c>
      <c r="AF85" s="210" t="str">
        <f>IF(Buildings_GridElectricity_Frontend[[#This Row],[Data]]="","",_xlfn.XLOOKUP(_xlfn.CONCAT(Buildings_GridElectricity_Backend[[#This Row],[Level 1]:[Level 6]]),rng_EFConcat,rng_EF1)*Buildings_GridElectricity_Backend[[#This Row],[Converted data]]/1000)</f>
        <v/>
      </c>
      <c r="AG85" s="210" t="str">
        <f>IF(Buildings_GridElectricity_Frontend[[#This Row],[Data]]="","",_xlfn.XLOOKUP(_xlfn.CONCAT(Buildings_GridElectricity_Backend[[#This Row],[Level 1]:[Level 6]]),rng_EFConcat,rng_EF2)*Buildings_GridElectricity_Backend[[#This Row],[Converted data]]/1000)</f>
        <v/>
      </c>
      <c r="AH85" s="210" t="str">
        <f>IF(Buildings_GridElectricity_Frontend[[#This Row],[Data]]="","",_xlfn.XLOOKUP(_xlfn.CONCAT(Buildings_GridElectricity_Backend[[#This Row],[Level 1]:[Level 6]]),rng_EFConcat,rng_EF3)*Buildings_GridElectricity_Backend[[#This Row],[Converted data]]/1000)</f>
        <v/>
      </c>
      <c r="AI85" s="210" t="str">
        <f>IF(Buildings_GridElectricity_Frontend[[#This Row],[Data]]="","",_xlfn.XLOOKUP(_xlfn.CONCAT(Buildings_GridElectricity_Backend[[#This Row],[Level 1]:[Level 6]]),rng_EFConcat,rng_EF3WTT)*Buildings_GridElectricity_Backend[[#This Row],[Converted data]]/1000)</f>
        <v/>
      </c>
      <c r="AJ85" s="210" t="str">
        <f>IF(Buildings_GridElectricity_Frontend[[#This Row],[Data]]="","",_xlfn.XLOOKUP(_xlfn.CONCAT(Buildings_GridElectricity_Backend[[#This Row],[Level 1]:[Level 6]]),rng_EFConcat,rng_EF3TD)*Buildings_GridElectricity_Backend[[#This Row],[Converted data]]/1000)</f>
        <v/>
      </c>
      <c r="AK85" s="210" t="str">
        <f>IF(Buildings_GridElectricity_Frontend[[#This Row],[Data]]="","",_xlfn.XLOOKUP(_xlfn.CONCAT(Buildings_GridElectricity_Backend[[#This Row],[Level 1]:[Level 6]]),rng_EFConcat,rng_EF3WTTTD)*Buildings_GridElectricity_Backend[[#This Row],[Converted data]]/1000)</f>
        <v/>
      </c>
      <c r="AL85" s="220" t="str">
        <f>IF(Buildings_GridElectricity_Frontend[[#This Row],[Data]]="","",SUM(Buildings_GridElectricity_Backend[[#This Row],[Scope 1 (tCO2e)]:[Scope 3 WTT T&amp;D (tCO2e)]]))</f>
        <v/>
      </c>
      <c r="AM85" s="220" t="str">
        <f>IF(Buildings_GridElectricity_Frontend[[#This Row],[Data]]="","",Buildings_GridElectricity_Backend[[#This Row],[Total (tCO2e)]]*(1-Buildings_GridElectricity_Backend[[#This Row],[RSD]]))</f>
        <v/>
      </c>
      <c r="AN85" s="220" t="str">
        <f>IF(Buildings_GridElectricity_Frontend[[#This Row],[Data]]="","",Buildings_GridElectricity_Backend[[#This Row],[Total (tCO2e)]]*(1+Buildings_GridElectricity_Backend[[#This Row],[RSD]]))</f>
        <v/>
      </c>
      <c r="AO85" s="210" t="str">
        <f>IF(Buildings_GridElectricity_Frontend[[#This Row],[Data]]="","",_xlfn.XLOOKUP(_xlfn.CONCAT(Buildings_GridElectricity_Backend[[#This Row],[Level 1]:[Level 6]]),rng_EFConcat,rng_EFOOS)*Buildings_GridElectricity_Backend[[#This Row],[Converted data]]/1000)</f>
        <v/>
      </c>
      <c r="AP85" s="174">
        <f>Buildings_GridElectricity_Frontend[[#This Row],[Ease of collection]]</f>
        <v>0</v>
      </c>
      <c r="AQ85" s="213">
        <f>Buildings_GridElectricity_Frontend[[#This Row],[Completeness]]</f>
        <v>0</v>
      </c>
      <c r="AR85" s="220">
        <f>Buildings_GridElectricity_Frontend[[#This Row],[Notes]]</f>
        <v>0</v>
      </c>
    </row>
    <row r="86" spans="5:44" x14ac:dyDescent="0.3">
      <c r="E86" s="346"/>
      <c r="F86" s="449"/>
      <c r="G86" s="336"/>
      <c r="H86" s="334"/>
      <c r="I86" s="172" t="s">
        <v>316</v>
      </c>
      <c r="J86" s="337"/>
      <c r="K86" s="336"/>
      <c r="L86" s="336"/>
      <c r="M86" s="337"/>
      <c r="N86" s="242">
        <f t="shared" si="3"/>
        <v>3</v>
      </c>
      <c r="Q86" s="212" t="str">
        <f t="shared" si="2"/>
        <v/>
      </c>
      <c r="R86" s="174" t="s">
        <v>265</v>
      </c>
      <c r="S86" s="174" t="s">
        <v>273</v>
      </c>
      <c r="T86" s="174" t="str">
        <f>_xlfn.XLOOKUP(Buildings_GridElectricity_Backend[[#This Row],[Info 1]],Buildings_SiteInfo[Site name],Buildings_SiteInfo[Site type], "")</f>
        <v/>
      </c>
      <c r="U86" s="174" t="s">
        <v>281</v>
      </c>
      <c r="V86" s="174" t="str" cm="1">
        <f t="array" aca="1" ref="V86" ca="1">_xlfn.XLOOKUP(Buildings_GridElectricity_Backend[[#This Row],[Level 4]],rng_Level4Long,rng_Level5Long)</f>
        <v>Electricity</v>
      </c>
      <c r="W86" s="174" t="str" cm="1">
        <f t="array" aca="1" ref="W86" ca="1">_xlfn.XLOOKUP(Buildings_GridElectricity_Backend[[#This Row],[Level 4]],rng_Level4Long,rng_Level6Long)</f>
        <v>NaN</v>
      </c>
      <c r="X86" s="174">
        <f>Buildings_GridElectricity_Frontend[[#This Row],[Site Name]]</f>
        <v>0</v>
      </c>
      <c r="Y86" s="174">
        <f>Buildings_GridElectricity_Frontend[[#This Row],[Contracting]]</f>
        <v>0</v>
      </c>
      <c r="Z86" s="174">
        <f>Buildings_GridElectricity_Frontend[[#This Row],[Methodology]]</f>
        <v>0</v>
      </c>
      <c r="AA86" s="229" t="str" cm="1">
        <f t="array" ref="AA86">IF(Buildings_GridElectricity_Frontend[[#This Row],[Data]]="","",INDEX(_xlfn.SWITCH(Buildings_GridElectricity_Backend[[#This Row],[Methodology]],"Tier 1",rng_RSD1,"Tier 2",rng_RSD2,"Tier 3",rng_RSD3),MATCH(_xlfn.CONCAT(Buildings_GridElectricity_Backend[[#This Row],[Level 1]:[Level 6]]),rng_LevelsConcat,0)))</f>
        <v/>
      </c>
      <c r="AB86" s="220">
        <f>Buildings_GridElectricity_Frontend[[#This Row],[Data]]</f>
        <v>0</v>
      </c>
      <c r="AC86" s="174" t="str">
        <f>Buildings_GridElectricity_Frontend[[#This Row],[Units]]</f>
        <v>kWh</v>
      </c>
      <c r="AD86" s="218">
        <f>Buildings_GridElectricity_Frontend[[#This Row],[Data]]</f>
        <v>0</v>
      </c>
      <c r="AE86" s="174" t="str">
        <f>Buildings_GridElectricity_Frontend[[#This Row],[Units]]</f>
        <v>kWh</v>
      </c>
      <c r="AF86" s="210" t="str">
        <f>IF(Buildings_GridElectricity_Frontend[[#This Row],[Data]]="","",_xlfn.XLOOKUP(_xlfn.CONCAT(Buildings_GridElectricity_Backend[[#This Row],[Level 1]:[Level 6]]),rng_EFConcat,rng_EF1)*Buildings_GridElectricity_Backend[[#This Row],[Converted data]]/1000)</f>
        <v/>
      </c>
      <c r="AG86" s="210" t="str">
        <f>IF(Buildings_GridElectricity_Frontend[[#This Row],[Data]]="","",_xlfn.XLOOKUP(_xlfn.CONCAT(Buildings_GridElectricity_Backend[[#This Row],[Level 1]:[Level 6]]),rng_EFConcat,rng_EF2)*Buildings_GridElectricity_Backend[[#This Row],[Converted data]]/1000)</f>
        <v/>
      </c>
      <c r="AH86" s="210" t="str">
        <f>IF(Buildings_GridElectricity_Frontend[[#This Row],[Data]]="","",_xlfn.XLOOKUP(_xlfn.CONCAT(Buildings_GridElectricity_Backend[[#This Row],[Level 1]:[Level 6]]),rng_EFConcat,rng_EF3)*Buildings_GridElectricity_Backend[[#This Row],[Converted data]]/1000)</f>
        <v/>
      </c>
      <c r="AI86" s="210" t="str">
        <f>IF(Buildings_GridElectricity_Frontend[[#This Row],[Data]]="","",_xlfn.XLOOKUP(_xlfn.CONCAT(Buildings_GridElectricity_Backend[[#This Row],[Level 1]:[Level 6]]),rng_EFConcat,rng_EF3WTT)*Buildings_GridElectricity_Backend[[#This Row],[Converted data]]/1000)</f>
        <v/>
      </c>
      <c r="AJ86" s="210" t="str">
        <f>IF(Buildings_GridElectricity_Frontend[[#This Row],[Data]]="","",_xlfn.XLOOKUP(_xlfn.CONCAT(Buildings_GridElectricity_Backend[[#This Row],[Level 1]:[Level 6]]),rng_EFConcat,rng_EF3TD)*Buildings_GridElectricity_Backend[[#This Row],[Converted data]]/1000)</f>
        <v/>
      </c>
      <c r="AK86" s="210" t="str">
        <f>IF(Buildings_GridElectricity_Frontend[[#This Row],[Data]]="","",_xlfn.XLOOKUP(_xlfn.CONCAT(Buildings_GridElectricity_Backend[[#This Row],[Level 1]:[Level 6]]),rng_EFConcat,rng_EF3WTTTD)*Buildings_GridElectricity_Backend[[#This Row],[Converted data]]/1000)</f>
        <v/>
      </c>
      <c r="AL86" s="220" t="str">
        <f>IF(Buildings_GridElectricity_Frontend[[#This Row],[Data]]="","",SUM(Buildings_GridElectricity_Backend[[#This Row],[Scope 1 (tCO2e)]:[Scope 3 WTT T&amp;D (tCO2e)]]))</f>
        <v/>
      </c>
      <c r="AM86" s="220" t="str">
        <f>IF(Buildings_GridElectricity_Frontend[[#This Row],[Data]]="","",Buildings_GridElectricity_Backend[[#This Row],[Total (tCO2e)]]*(1-Buildings_GridElectricity_Backend[[#This Row],[RSD]]))</f>
        <v/>
      </c>
      <c r="AN86" s="220" t="str">
        <f>IF(Buildings_GridElectricity_Frontend[[#This Row],[Data]]="","",Buildings_GridElectricity_Backend[[#This Row],[Total (tCO2e)]]*(1+Buildings_GridElectricity_Backend[[#This Row],[RSD]]))</f>
        <v/>
      </c>
      <c r="AO86" s="210" t="str">
        <f>IF(Buildings_GridElectricity_Frontend[[#This Row],[Data]]="","",_xlfn.XLOOKUP(_xlfn.CONCAT(Buildings_GridElectricity_Backend[[#This Row],[Level 1]:[Level 6]]),rng_EFConcat,rng_EFOOS)*Buildings_GridElectricity_Backend[[#This Row],[Converted data]]/1000)</f>
        <v/>
      </c>
      <c r="AP86" s="174">
        <f>Buildings_GridElectricity_Frontend[[#This Row],[Ease of collection]]</f>
        <v>0</v>
      </c>
      <c r="AQ86" s="213">
        <f>Buildings_GridElectricity_Frontend[[#This Row],[Completeness]]</f>
        <v>0</v>
      </c>
      <c r="AR86" s="220">
        <f>Buildings_GridElectricity_Frontend[[#This Row],[Notes]]</f>
        <v>0</v>
      </c>
    </row>
    <row r="87" spans="5:44" x14ac:dyDescent="0.3">
      <c r="E87" s="346"/>
      <c r="F87" s="449"/>
      <c r="G87" s="336"/>
      <c r="H87" s="334"/>
      <c r="I87" s="172" t="s">
        <v>316</v>
      </c>
      <c r="J87" s="337"/>
      <c r="K87" s="336"/>
      <c r="L87" s="336"/>
      <c r="M87" s="337"/>
      <c r="N87" s="242">
        <f t="shared" si="3"/>
        <v>3</v>
      </c>
      <c r="Q87" s="212" t="str">
        <f t="shared" si="2"/>
        <v/>
      </c>
      <c r="R87" s="174" t="s">
        <v>265</v>
      </c>
      <c r="S87" s="174" t="s">
        <v>273</v>
      </c>
      <c r="T87" s="174" t="str">
        <f>_xlfn.XLOOKUP(Buildings_GridElectricity_Backend[[#This Row],[Info 1]],Buildings_SiteInfo[Site name],Buildings_SiteInfo[Site type], "")</f>
        <v/>
      </c>
      <c r="U87" s="174" t="s">
        <v>281</v>
      </c>
      <c r="V87" s="174" t="str" cm="1">
        <f t="array" aca="1" ref="V87" ca="1">_xlfn.XLOOKUP(Buildings_GridElectricity_Backend[[#This Row],[Level 4]],rng_Level4Long,rng_Level5Long)</f>
        <v>Electricity</v>
      </c>
      <c r="W87" s="174" t="str" cm="1">
        <f t="array" aca="1" ref="W87" ca="1">_xlfn.XLOOKUP(Buildings_GridElectricity_Backend[[#This Row],[Level 4]],rng_Level4Long,rng_Level6Long)</f>
        <v>NaN</v>
      </c>
      <c r="X87" s="174">
        <f>Buildings_GridElectricity_Frontend[[#This Row],[Site Name]]</f>
        <v>0</v>
      </c>
      <c r="Y87" s="174">
        <f>Buildings_GridElectricity_Frontend[[#This Row],[Contracting]]</f>
        <v>0</v>
      </c>
      <c r="Z87" s="174">
        <f>Buildings_GridElectricity_Frontend[[#This Row],[Methodology]]</f>
        <v>0</v>
      </c>
      <c r="AA87" s="229" t="str" cm="1">
        <f t="array" ref="AA87">IF(Buildings_GridElectricity_Frontend[[#This Row],[Data]]="","",INDEX(_xlfn.SWITCH(Buildings_GridElectricity_Backend[[#This Row],[Methodology]],"Tier 1",rng_RSD1,"Tier 2",rng_RSD2,"Tier 3",rng_RSD3),MATCH(_xlfn.CONCAT(Buildings_GridElectricity_Backend[[#This Row],[Level 1]:[Level 6]]),rng_LevelsConcat,0)))</f>
        <v/>
      </c>
      <c r="AB87" s="220">
        <f>Buildings_GridElectricity_Frontend[[#This Row],[Data]]</f>
        <v>0</v>
      </c>
      <c r="AC87" s="174" t="str">
        <f>Buildings_GridElectricity_Frontend[[#This Row],[Units]]</f>
        <v>kWh</v>
      </c>
      <c r="AD87" s="218">
        <f>Buildings_GridElectricity_Frontend[[#This Row],[Data]]</f>
        <v>0</v>
      </c>
      <c r="AE87" s="174" t="str">
        <f>Buildings_GridElectricity_Frontend[[#This Row],[Units]]</f>
        <v>kWh</v>
      </c>
      <c r="AF87" s="210" t="str">
        <f>IF(Buildings_GridElectricity_Frontend[[#This Row],[Data]]="","",_xlfn.XLOOKUP(_xlfn.CONCAT(Buildings_GridElectricity_Backend[[#This Row],[Level 1]:[Level 6]]),rng_EFConcat,rng_EF1)*Buildings_GridElectricity_Backend[[#This Row],[Converted data]]/1000)</f>
        <v/>
      </c>
      <c r="AG87" s="210" t="str">
        <f>IF(Buildings_GridElectricity_Frontend[[#This Row],[Data]]="","",_xlfn.XLOOKUP(_xlfn.CONCAT(Buildings_GridElectricity_Backend[[#This Row],[Level 1]:[Level 6]]),rng_EFConcat,rng_EF2)*Buildings_GridElectricity_Backend[[#This Row],[Converted data]]/1000)</f>
        <v/>
      </c>
      <c r="AH87" s="210" t="str">
        <f>IF(Buildings_GridElectricity_Frontend[[#This Row],[Data]]="","",_xlfn.XLOOKUP(_xlfn.CONCAT(Buildings_GridElectricity_Backend[[#This Row],[Level 1]:[Level 6]]),rng_EFConcat,rng_EF3)*Buildings_GridElectricity_Backend[[#This Row],[Converted data]]/1000)</f>
        <v/>
      </c>
      <c r="AI87" s="210" t="str">
        <f>IF(Buildings_GridElectricity_Frontend[[#This Row],[Data]]="","",_xlfn.XLOOKUP(_xlfn.CONCAT(Buildings_GridElectricity_Backend[[#This Row],[Level 1]:[Level 6]]),rng_EFConcat,rng_EF3WTT)*Buildings_GridElectricity_Backend[[#This Row],[Converted data]]/1000)</f>
        <v/>
      </c>
      <c r="AJ87" s="210" t="str">
        <f>IF(Buildings_GridElectricity_Frontend[[#This Row],[Data]]="","",_xlfn.XLOOKUP(_xlfn.CONCAT(Buildings_GridElectricity_Backend[[#This Row],[Level 1]:[Level 6]]),rng_EFConcat,rng_EF3TD)*Buildings_GridElectricity_Backend[[#This Row],[Converted data]]/1000)</f>
        <v/>
      </c>
      <c r="AK87" s="210" t="str">
        <f>IF(Buildings_GridElectricity_Frontend[[#This Row],[Data]]="","",_xlfn.XLOOKUP(_xlfn.CONCAT(Buildings_GridElectricity_Backend[[#This Row],[Level 1]:[Level 6]]),rng_EFConcat,rng_EF3WTTTD)*Buildings_GridElectricity_Backend[[#This Row],[Converted data]]/1000)</f>
        <v/>
      </c>
      <c r="AL87" s="220" t="str">
        <f>IF(Buildings_GridElectricity_Frontend[[#This Row],[Data]]="","",SUM(Buildings_GridElectricity_Backend[[#This Row],[Scope 1 (tCO2e)]:[Scope 3 WTT T&amp;D (tCO2e)]]))</f>
        <v/>
      </c>
      <c r="AM87" s="220" t="str">
        <f>IF(Buildings_GridElectricity_Frontend[[#This Row],[Data]]="","",Buildings_GridElectricity_Backend[[#This Row],[Total (tCO2e)]]*(1-Buildings_GridElectricity_Backend[[#This Row],[RSD]]))</f>
        <v/>
      </c>
      <c r="AN87" s="220" t="str">
        <f>IF(Buildings_GridElectricity_Frontend[[#This Row],[Data]]="","",Buildings_GridElectricity_Backend[[#This Row],[Total (tCO2e)]]*(1+Buildings_GridElectricity_Backend[[#This Row],[RSD]]))</f>
        <v/>
      </c>
      <c r="AO87" s="210" t="str">
        <f>IF(Buildings_GridElectricity_Frontend[[#This Row],[Data]]="","",_xlfn.XLOOKUP(_xlfn.CONCAT(Buildings_GridElectricity_Backend[[#This Row],[Level 1]:[Level 6]]),rng_EFConcat,rng_EFOOS)*Buildings_GridElectricity_Backend[[#This Row],[Converted data]]/1000)</f>
        <v/>
      </c>
      <c r="AP87" s="174">
        <f>Buildings_GridElectricity_Frontend[[#This Row],[Ease of collection]]</f>
        <v>0</v>
      </c>
      <c r="AQ87" s="213">
        <f>Buildings_GridElectricity_Frontend[[#This Row],[Completeness]]</f>
        <v>0</v>
      </c>
      <c r="AR87" s="220">
        <f>Buildings_GridElectricity_Frontend[[#This Row],[Notes]]</f>
        <v>0</v>
      </c>
    </row>
    <row r="88" spans="5:44" x14ac:dyDescent="0.3">
      <c r="E88" s="346"/>
      <c r="F88" s="449"/>
      <c r="G88" s="336"/>
      <c r="H88" s="334"/>
      <c r="I88" s="172" t="s">
        <v>316</v>
      </c>
      <c r="J88" s="337"/>
      <c r="K88" s="336"/>
      <c r="L88" s="336"/>
      <c r="M88" s="337"/>
      <c r="N88" s="242">
        <f t="shared" si="3"/>
        <v>3</v>
      </c>
      <c r="Q88" s="212" t="str">
        <f t="shared" si="2"/>
        <v/>
      </c>
      <c r="R88" s="174" t="s">
        <v>265</v>
      </c>
      <c r="S88" s="174" t="s">
        <v>273</v>
      </c>
      <c r="T88" s="174" t="str">
        <f>_xlfn.XLOOKUP(Buildings_GridElectricity_Backend[[#This Row],[Info 1]],Buildings_SiteInfo[Site name],Buildings_SiteInfo[Site type], "")</f>
        <v/>
      </c>
      <c r="U88" s="174" t="s">
        <v>281</v>
      </c>
      <c r="V88" s="174" t="str" cm="1">
        <f t="array" aca="1" ref="V88" ca="1">_xlfn.XLOOKUP(Buildings_GridElectricity_Backend[[#This Row],[Level 4]],rng_Level4Long,rng_Level5Long)</f>
        <v>Electricity</v>
      </c>
      <c r="W88" s="174" t="str" cm="1">
        <f t="array" aca="1" ref="W88" ca="1">_xlfn.XLOOKUP(Buildings_GridElectricity_Backend[[#This Row],[Level 4]],rng_Level4Long,rng_Level6Long)</f>
        <v>NaN</v>
      </c>
      <c r="X88" s="174">
        <f>Buildings_GridElectricity_Frontend[[#This Row],[Site Name]]</f>
        <v>0</v>
      </c>
      <c r="Y88" s="174">
        <f>Buildings_GridElectricity_Frontend[[#This Row],[Contracting]]</f>
        <v>0</v>
      </c>
      <c r="Z88" s="174">
        <f>Buildings_GridElectricity_Frontend[[#This Row],[Methodology]]</f>
        <v>0</v>
      </c>
      <c r="AA88" s="229" t="str" cm="1">
        <f t="array" ref="AA88">IF(Buildings_GridElectricity_Frontend[[#This Row],[Data]]="","",INDEX(_xlfn.SWITCH(Buildings_GridElectricity_Backend[[#This Row],[Methodology]],"Tier 1",rng_RSD1,"Tier 2",rng_RSD2,"Tier 3",rng_RSD3),MATCH(_xlfn.CONCAT(Buildings_GridElectricity_Backend[[#This Row],[Level 1]:[Level 6]]),rng_LevelsConcat,0)))</f>
        <v/>
      </c>
      <c r="AB88" s="220">
        <f>Buildings_GridElectricity_Frontend[[#This Row],[Data]]</f>
        <v>0</v>
      </c>
      <c r="AC88" s="174" t="str">
        <f>Buildings_GridElectricity_Frontend[[#This Row],[Units]]</f>
        <v>kWh</v>
      </c>
      <c r="AD88" s="218">
        <f>Buildings_GridElectricity_Frontend[[#This Row],[Data]]</f>
        <v>0</v>
      </c>
      <c r="AE88" s="174" t="str">
        <f>Buildings_GridElectricity_Frontend[[#This Row],[Units]]</f>
        <v>kWh</v>
      </c>
      <c r="AF88" s="210" t="str">
        <f>IF(Buildings_GridElectricity_Frontend[[#This Row],[Data]]="","",_xlfn.XLOOKUP(_xlfn.CONCAT(Buildings_GridElectricity_Backend[[#This Row],[Level 1]:[Level 6]]),rng_EFConcat,rng_EF1)*Buildings_GridElectricity_Backend[[#This Row],[Converted data]]/1000)</f>
        <v/>
      </c>
      <c r="AG88" s="210" t="str">
        <f>IF(Buildings_GridElectricity_Frontend[[#This Row],[Data]]="","",_xlfn.XLOOKUP(_xlfn.CONCAT(Buildings_GridElectricity_Backend[[#This Row],[Level 1]:[Level 6]]),rng_EFConcat,rng_EF2)*Buildings_GridElectricity_Backend[[#This Row],[Converted data]]/1000)</f>
        <v/>
      </c>
      <c r="AH88" s="210" t="str">
        <f>IF(Buildings_GridElectricity_Frontend[[#This Row],[Data]]="","",_xlfn.XLOOKUP(_xlfn.CONCAT(Buildings_GridElectricity_Backend[[#This Row],[Level 1]:[Level 6]]),rng_EFConcat,rng_EF3)*Buildings_GridElectricity_Backend[[#This Row],[Converted data]]/1000)</f>
        <v/>
      </c>
      <c r="AI88" s="210" t="str">
        <f>IF(Buildings_GridElectricity_Frontend[[#This Row],[Data]]="","",_xlfn.XLOOKUP(_xlfn.CONCAT(Buildings_GridElectricity_Backend[[#This Row],[Level 1]:[Level 6]]),rng_EFConcat,rng_EF3WTT)*Buildings_GridElectricity_Backend[[#This Row],[Converted data]]/1000)</f>
        <v/>
      </c>
      <c r="AJ88" s="210" t="str">
        <f>IF(Buildings_GridElectricity_Frontend[[#This Row],[Data]]="","",_xlfn.XLOOKUP(_xlfn.CONCAT(Buildings_GridElectricity_Backend[[#This Row],[Level 1]:[Level 6]]),rng_EFConcat,rng_EF3TD)*Buildings_GridElectricity_Backend[[#This Row],[Converted data]]/1000)</f>
        <v/>
      </c>
      <c r="AK88" s="210" t="str">
        <f>IF(Buildings_GridElectricity_Frontend[[#This Row],[Data]]="","",_xlfn.XLOOKUP(_xlfn.CONCAT(Buildings_GridElectricity_Backend[[#This Row],[Level 1]:[Level 6]]),rng_EFConcat,rng_EF3WTTTD)*Buildings_GridElectricity_Backend[[#This Row],[Converted data]]/1000)</f>
        <v/>
      </c>
      <c r="AL88" s="220" t="str">
        <f>IF(Buildings_GridElectricity_Frontend[[#This Row],[Data]]="","",SUM(Buildings_GridElectricity_Backend[[#This Row],[Scope 1 (tCO2e)]:[Scope 3 WTT T&amp;D (tCO2e)]]))</f>
        <v/>
      </c>
      <c r="AM88" s="220" t="str">
        <f>IF(Buildings_GridElectricity_Frontend[[#This Row],[Data]]="","",Buildings_GridElectricity_Backend[[#This Row],[Total (tCO2e)]]*(1-Buildings_GridElectricity_Backend[[#This Row],[RSD]]))</f>
        <v/>
      </c>
      <c r="AN88" s="220" t="str">
        <f>IF(Buildings_GridElectricity_Frontend[[#This Row],[Data]]="","",Buildings_GridElectricity_Backend[[#This Row],[Total (tCO2e)]]*(1+Buildings_GridElectricity_Backend[[#This Row],[RSD]]))</f>
        <v/>
      </c>
      <c r="AO88" s="210" t="str">
        <f>IF(Buildings_GridElectricity_Frontend[[#This Row],[Data]]="","",_xlfn.XLOOKUP(_xlfn.CONCAT(Buildings_GridElectricity_Backend[[#This Row],[Level 1]:[Level 6]]),rng_EFConcat,rng_EFOOS)*Buildings_GridElectricity_Backend[[#This Row],[Converted data]]/1000)</f>
        <v/>
      </c>
      <c r="AP88" s="174">
        <f>Buildings_GridElectricity_Frontend[[#This Row],[Ease of collection]]</f>
        <v>0</v>
      </c>
      <c r="AQ88" s="213">
        <f>Buildings_GridElectricity_Frontend[[#This Row],[Completeness]]</f>
        <v>0</v>
      </c>
      <c r="AR88" s="220">
        <f>Buildings_GridElectricity_Frontend[[#This Row],[Notes]]</f>
        <v>0</v>
      </c>
    </row>
    <row r="89" spans="5:44" x14ac:dyDescent="0.3">
      <c r="E89" s="346"/>
      <c r="F89" s="449"/>
      <c r="G89" s="336"/>
      <c r="H89" s="334"/>
      <c r="I89" s="172" t="s">
        <v>316</v>
      </c>
      <c r="J89" s="337"/>
      <c r="K89" s="336"/>
      <c r="L89" s="336"/>
      <c r="M89" s="337"/>
      <c r="N89" s="242">
        <f t="shared" si="3"/>
        <v>3</v>
      </c>
      <c r="Q89" s="212" t="str">
        <f t="shared" si="2"/>
        <v/>
      </c>
      <c r="R89" s="174" t="s">
        <v>265</v>
      </c>
      <c r="S89" s="174" t="s">
        <v>273</v>
      </c>
      <c r="T89" s="174" t="str">
        <f>_xlfn.XLOOKUP(Buildings_GridElectricity_Backend[[#This Row],[Info 1]],Buildings_SiteInfo[Site name],Buildings_SiteInfo[Site type], "")</f>
        <v/>
      </c>
      <c r="U89" s="174" t="s">
        <v>281</v>
      </c>
      <c r="V89" s="174" t="str" cm="1">
        <f t="array" aca="1" ref="V89" ca="1">_xlfn.XLOOKUP(Buildings_GridElectricity_Backend[[#This Row],[Level 4]],rng_Level4Long,rng_Level5Long)</f>
        <v>Electricity</v>
      </c>
      <c r="W89" s="174" t="str" cm="1">
        <f t="array" aca="1" ref="W89" ca="1">_xlfn.XLOOKUP(Buildings_GridElectricity_Backend[[#This Row],[Level 4]],rng_Level4Long,rng_Level6Long)</f>
        <v>NaN</v>
      </c>
      <c r="X89" s="174">
        <f>Buildings_GridElectricity_Frontend[[#This Row],[Site Name]]</f>
        <v>0</v>
      </c>
      <c r="Y89" s="174">
        <f>Buildings_GridElectricity_Frontend[[#This Row],[Contracting]]</f>
        <v>0</v>
      </c>
      <c r="Z89" s="174">
        <f>Buildings_GridElectricity_Frontend[[#This Row],[Methodology]]</f>
        <v>0</v>
      </c>
      <c r="AA89" s="229" t="str" cm="1">
        <f t="array" ref="AA89">IF(Buildings_GridElectricity_Frontend[[#This Row],[Data]]="","",INDEX(_xlfn.SWITCH(Buildings_GridElectricity_Backend[[#This Row],[Methodology]],"Tier 1",rng_RSD1,"Tier 2",rng_RSD2,"Tier 3",rng_RSD3),MATCH(_xlfn.CONCAT(Buildings_GridElectricity_Backend[[#This Row],[Level 1]:[Level 6]]),rng_LevelsConcat,0)))</f>
        <v/>
      </c>
      <c r="AB89" s="220">
        <f>Buildings_GridElectricity_Frontend[[#This Row],[Data]]</f>
        <v>0</v>
      </c>
      <c r="AC89" s="174" t="str">
        <f>Buildings_GridElectricity_Frontend[[#This Row],[Units]]</f>
        <v>kWh</v>
      </c>
      <c r="AD89" s="218">
        <f>Buildings_GridElectricity_Frontend[[#This Row],[Data]]</f>
        <v>0</v>
      </c>
      <c r="AE89" s="174" t="str">
        <f>Buildings_GridElectricity_Frontend[[#This Row],[Units]]</f>
        <v>kWh</v>
      </c>
      <c r="AF89" s="210" t="str">
        <f>IF(Buildings_GridElectricity_Frontend[[#This Row],[Data]]="","",_xlfn.XLOOKUP(_xlfn.CONCAT(Buildings_GridElectricity_Backend[[#This Row],[Level 1]:[Level 6]]),rng_EFConcat,rng_EF1)*Buildings_GridElectricity_Backend[[#This Row],[Converted data]]/1000)</f>
        <v/>
      </c>
      <c r="AG89" s="210" t="str">
        <f>IF(Buildings_GridElectricity_Frontend[[#This Row],[Data]]="","",_xlfn.XLOOKUP(_xlfn.CONCAT(Buildings_GridElectricity_Backend[[#This Row],[Level 1]:[Level 6]]),rng_EFConcat,rng_EF2)*Buildings_GridElectricity_Backend[[#This Row],[Converted data]]/1000)</f>
        <v/>
      </c>
      <c r="AH89" s="210" t="str">
        <f>IF(Buildings_GridElectricity_Frontend[[#This Row],[Data]]="","",_xlfn.XLOOKUP(_xlfn.CONCAT(Buildings_GridElectricity_Backend[[#This Row],[Level 1]:[Level 6]]),rng_EFConcat,rng_EF3)*Buildings_GridElectricity_Backend[[#This Row],[Converted data]]/1000)</f>
        <v/>
      </c>
      <c r="AI89" s="210" t="str">
        <f>IF(Buildings_GridElectricity_Frontend[[#This Row],[Data]]="","",_xlfn.XLOOKUP(_xlfn.CONCAT(Buildings_GridElectricity_Backend[[#This Row],[Level 1]:[Level 6]]),rng_EFConcat,rng_EF3WTT)*Buildings_GridElectricity_Backend[[#This Row],[Converted data]]/1000)</f>
        <v/>
      </c>
      <c r="AJ89" s="210" t="str">
        <f>IF(Buildings_GridElectricity_Frontend[[#This Row],[Data]]="","",_xlfn.XLOOKUP(_xlfn.CONCAT(Buildings_GridElectricity_Backend[[#This Row],[Level 1]:[Level 6]]),rng_EFConcat,rng_EF3TD)*Buildings_GridElectricity_Backend[[#This Row],[Converted data]]/1000)</f>
        <v/>
      </c>
      <c r="AK89" s="210" t="str">
        <f>IF(Buildings_GridElectricity_Frontend[[#This Row],[Data]]="","",_xlfn.XLOOKUP(_xlfn.CONCAT(Buildings_GridElectricity_Backend[[#This Row],[Level 1]:[Level 6]]),rng_EFConcat,rng_EF3WTTTD)*Buildings_GridElectricity_Backend[[#This Row],[Converted data]]/1000)</f>
        <v/>
      </c>
      <c r="AL89" s="220" t="str">
        <f>IF(Buildings_GridElectricity_Frontend[[#This Row],[Data]]="","",SUM(Buildings_GridElectricity_Backend[[#This Row],[Scope 1 (tCO2e)]:[Scope 3 WTT T&amp;D (tCO2e)]]))</f>
        <v/>
      </c>
      <c r="AM89" s="220" t="str">
        <f>IF(Buildings_GridElectricity_Frontend[[#This Row],[Data]]="","",Buildings_GridElectricity_Backend[[#This Row],[Total (tCO2e)]]*(1-Buildings_GridElectricity_Backend[[#This Row],[RSD]]))</f>
        <v/>
      </c>
      <c r="AN89" s="220" t="str">
        <f>IF(Buildings_GridElectricity_Frontend[[#This Row],[Data]]="","",Buildings_GridElectricity_Backend[[#This Row],[Total (tCO2e)]]*(1+Buildings_GridElectricity_Backend[[#This Row],[RSD]]))</f>
        <v/>
      </c>
      <c r="AO89" s="210" t="str">
        <f>IF(Buildings_GridElectricity_Frontend[[#This Row],[Data]]="","",_xlfn.XLOOKUP(_xlfn.CONCAT(Buildings_GridElectricity_Backend[[#This Row],[Level 1]:[Level 6]]),rng_EFConcat,rng_EFOOS)*Buildings_GridElectricity_Backend[[#This Row],[Converted data]]/1000)</f>
        <v/>
      </c>
      <c r="AP89" s="174">
        <f>Buildings_GridElectricity_Frontend[[#This Row],[Ease of collection]]</f>
        <v>0</v>
      </c>
      <c r="AQ89" s="213">
        <f>Buildings_GridElectricity_Frontend[[#This Row],[Completeness]]</f>
        <v>0</v>
      </c>
      <c r="AR89" s="220">
        <f>Buildings_GridElectricity_Frontend[[#This Row],[Notes]]</f>
        <v>0</v>
      </c>
    </row>
    <row r="90" spans="5:44" x14ac:dyDescent="0.3">
      <c r="E90" s="346"/>
      <c r="F90" s="449"/>
      <c r="G90" s="336"/>
      <c r="H90" s="334"/>
      <c r="I90" s="172" t="s">
        <v>316</v>
      </c>
      <c r="J90" s="337"/>
      <c r="K90" s="336"/>
      <c r="L90" s="336"/>
      <c r="M90" s="337"/>
      <c r="N90" s="242">
        <f t="shared" si="3"/>
        <v>3</v>
      </c>
      <c r="Q90" s="212" t="str">
        <f t="shared" si="2"/>
        <v/>
      </c>
      <c r="R90" s="174" t="s">
        <v>265</v>
      </c>
      <c r="S90" s="174" t="s">
        <v>273</v>
      </c>
      <c r="T90" s="174" t="str">
        <f>_xlfn.XLOOKUP(Buildings_GridElectricity_Backend[[#This Row],[Info 1]],Buildings_SiteInfo[Site name],Buildings_SiteInfo[Site type], "")</f>
        <v/>
      </c>
      <c r="U90" s="174" t="s">
        <v>281</v>
      </c>
      <c r="V90" s="174" t="str" cm="1">
        <f t="array" aca="1" ref="V90" ca="1">_xlfn.XLOOKUP(Buildings_GridElectricity_Backend[[#This Row],[Level 4]],rng_Level4Long,rng_Level5Long)</f>
        <v>Electricity</v>
      </c>
      <c r="W90" s="174" t="str" cm="1">
        <f t="array" aca="1" ref="W90" ca="1">_xlfn.XLOOKUP(Buildings_GridElectricity_Backend[[#This Row],[Level 4]],rng_Level4Long,rng_Level6Long)</f>
        <v>NaN</v>
      </c>
      <c r="X90" s="174">
        <f>Buildings_GridElectricity_Frontend[[#This Row],[Site Name]]</f>
        <v>0</v>
      </c>
      <c r="Y90" s="174">
        <f>Buildings_GridElectricity_Frontend[[#This Row],[Contracting]]</f>
        <v>0</v>
      </c>
      <c r="Z90" s="174">
        <f>Buildings_GridElectricity_Frontend[[#This Row],[Methodology]]</f>
        <v>0</v>
      </c>
      <c r="AA90" s="229" t="str" cm="1">
        <f t="array" ref="AA90">IF(Buildings_GridElectricity_Frontend[[#This Row],[Data]]="","",INDEX(_xlfn.SWITCH(Buildings_GridElectricity_Backend[[#This Row],[Methodology]],"Tier 1",rng_RSD1,"Tier 2",rng_RSD2,"Tier 3",rng_RSD3),MATCH(_xlfn.CONCAT(Buildings_GridElectricity_Backend[[#This Row],[Level 1]:[Level 6]]),rng_LevelsConcat,0)))</f>
        <v/>
      </c>
      <c r="AB90" s="220">
        <f>Buildings_GridElectricity_Frontend[[#This Row],[Data]]</f>
        <v>0</v>
      </c>
      <c r="AC90" s="174" t="str">
        <f>Buildings_GridElectricity_Frontend[[#This Row],[Units]]</f>
        <v>kWh</v>
      </c>
      <c r="AD90" s="218">
        <f>Buildings_GridElectricity_Frontend[[#This Row],[Data]]</f>
        <v>0</v>
      </c>
      <c r="AE90" s="174" t="str">
        <f>Buildings_GridElectricity_Frontend[[#This Row],[Units]]</f>
        <v>kWh</v>
      </c>
      <c r="AF90" s="210" t="str">
        <f>IF(Buildings_GridElectricity_Frontend[[#This Row],[Data]]="","",_xlfn.XLOOKUP(_xlfn.CONCAT(Buildings_GridElectricity_Backend[[#This Row],[Level 1]:[Level 6]]),rng_EFConcat,rng_EF1)*Buildings_GridElectricity_Backend[[#This Row],[Converted data]]/1000)</f>
        <v/>
      </c>
      <c r="AG90" s="210" t="str">
        <f>IF(Buildings_GridElectricity_Frontend[[#This Row],[Data]]="","",_xlfn.XLOOKUP(_xlfn.CONCAT(Buildings_GridElectricity_Backend[[#This Row],[Level 1]:[Level 6]]),rng_EFConcat,rng_EF2)*Buildings_GridElectricity_Backend[[#This Row],[Converted data]]/1000)</f>
        <v/>
      </c>
      <c r="AH90" s="210" t="str">
        <f>IF(Buildings_GridElectricity_Frontend[[#This Row],[Data]]="","",_xlfn.XLOOKUP(_xlfn.CONCAT(Buildings_GridElectricity_Backend[[#This Row],[Level 1]:[Level 6]]),rng_EFConcat,rng_EF3)*Buildings_GridElectricity_Backend[[#This Row],[Converted data]]/1000)</f>
        <v/>
      </c>
      <c r="AI90" s="210" t="str">
        <f>IF(Buildings_GridElectricity_Frontend[[#This Row],[Data]]="","",_xlfn.XLOOKUP(_xlfn.CONCAT(Buildings_GridElectricity_Backend[[#This Row],[Level 1]:[Level 6]]),rng_EFConcat,rng_EF3WTT)*Buildings_GridElectricity_Backend[[#This Row],[Converted data]]/1000)</f>
        <v/>
      </c>
      <c r="AJ90" s="210" t="str">
        <f>IF(Buildings_GridElectricity_Frontend[[#This Row],[Data]]="","",_xlfn.XLOOKUP(_xlfn.CONCAT(Buildings_GridElectricity_Backend[[#This Row],[Level 1]:[Level 6]]),rng_EFConcat,rng_EF3TD)*Buildings_GridElectricity_Backend[[#This Row],[Converted data]]/1000)</f>
        <v/>
      </c>
      <c r="AK90" s="210" t="str">
        <f>IF(Buildings_GridElectricity_Frontend[[#This Row],[Data]]="","",_xlfn.XLOOKUP(_xlfn.CONCAT(Buildings_GridElectricity_Backend[[#This Row],[Level 1]:[Level 6]]),rng_EFConcat,rng_EF3WTTTD)*Buildings_GridElectricity_Backend[[#This Row],[Converted data]]/1000)</f>
        <v/>
      </c>
      <c r="AL90" s="220" t="str">
        <f>IF(Buildings_GridElectricity_Frontend[[#This Row],[Data]]="","",SUM(Buildings_GridElectricity_Backend[[#This Row],[Scope 1 (tCO2e)]:[Scope 3 WTT T&amp;D (tCO2e)]]))</f>
        <v/>
      </c>
      <c r="AM90" s="220" t="str">
        <f>IF(Buildings_GridElectricity_Frontend[[#This Row],[Data]]="","",Buildings_GridElectricity_Backend[[#This Row],[Total (tCO2e)]]*(1-Buildings_GridElectricity_Backend[[#This Row],[RSD]]))</f>
        <v/>
      </c>
      <c r="AN90" s="220" t="str">
        <f>IF(Buildings_GridElectricity_Frontend[[#This Row],[Data]]="","",Buildings_GridElectricity_Backend[[#This Row],[Total (tCO2e)]]*(1+Buildings_GridElectricity_Backend[[#This Row],[RSD]]))</f>
        <v/>
      </c>
      <c r="AO90" s="210" t="str">
        <f>IF(Buildings_GridElectricity_Frontend[[#This Row],[Data]]="","",_xlfn.XLOOKUP(_xlfn.CONCAT(Buildings_GridElectricity_Backend[[#This Row],[Level 1]:[Level 6]]),rng_EFConcat,rng_EFOOS)*Buildings_GridElectricity_Backend[[#This Row],[Converted data]]/1000)</f>
        <v/>
      </c>
      <c r="AP90" s="174">
        <f>Buildings_GridElectricity_Frontend[[#This Row],[Ease of collection]]</f>
        <v>0</v>
      </c>
      <c r="AQ90" s="213">
        <f>Buildings_GridElectricity_Frontend[[#This Row],[Completeness]]</f>
        <v>0</v>
      </c>
      <c r="AR90" s="220">
        <f>Buildings_GridElectricity_Frontend[[#This Row],[Notes]]</f>
        <v>0</v>
      </c>
    </row>
    <row r="91" spans="5:44" x14ac:dyDescent="0.3">
      <c r="E91" s="346"/>
      <c r="F91" s="449"/>
      <c r="G91" s="336"/>
      <c r="H91" s="334"/>
      <c r="I91" s="172" t="s">
        <v>316</v>
      </c>
      <c r="J91" s="337"/>
      <c r="K91" s="336"/>
      <c r="L91" s="336"/>
      <c r="M91" s="337"/>
      <c r="N91" s="242">
        <f t="shared" si="3"/>
        <v>3</v>
      </c>
      <c r="Q91" s="212" t="str">
        <f t="shared" si="2"/>
        <v/>
      </c>
      <c r="R91" s="174" t="s">
        <v>265</v>
      </c>
      <c r="S91" s="174" t="s">
        <v>273</v>
      </c>
      <c r="T91" s="174" t="str">
        <f>_xlfn.XLOOKUP(Buildings_GridElectricity_Backend[[#This Row],[Info 1]],Buildings_SiteInfo[Site name],Buildings_SiteInfo[Site type], "")</f>
        <v/>
      </c>
      <c r="U91" s="174" t="s">
        <v>281</v>
      </c>
      <c r="V91" s="174" t="str" cm="1">
        <f t="array" aca="1" ref="V91" ca="1">_xlfn.XLOOKUP(Buildings_GridElectricity_Backend[[#This Row],[Level 4]],rng_Level4Long,rng_Level5Long)</f>
        <v>Electricity</v>
      </c>
      <c r="W91" s="174" t="str" cm="1">
        <f t="array" aca="1" ref="W91" ca="1">_xlfn.XLOOKUP(Buildings_GridElectricity_Backend[[#This Row],[Level 4]],rng_Level4Long,rng_Level6Long)</f>
        <v>NaN</v>
      </c>
      <c r="X91" s="174">
        <f>Buildings_GridElectricity_Frontend[[#This Row],[Site Name]]</f>
        <v>0</v>
      </c>
      <c r="Y91" s="174">
        <f>Buildings_GridElectricity_Frontend[[#This Row],[Contracting]]</f>
        <v>0</v>
      </c>
      <c r="Z91" s="174">
        <f>Buildings_GridElectricity_Frontend[[#This Row],[Methodology]]</f>
        <v>0</v>
      </c>
      <c r="AA91" s="229" t="str" cm="1">
        <f t="array" ref="AA91">IF(Buildings_GridElectricity_Frontend[[#This Row],[Data]]="","",INDEX(_xlfn.SWITCH(Buildings_GridElectricity_Backend[[#This Row],[Methodology]],"Tier 1",rng_RSD1,"Tier 2",rng_RSD2,"Tier 3",rng_RSD3),MATCH(_xlfn.CONCAT(Buildings_GridElectricity_Backend[[#This Row],[Level 1]:[Level 6]]),rng_LevelsConcat,0)))</f>
        <v/>
      </c>
      <c r="AB91" s="220">
        <f>Buildings_GridElectricity_Frontend[[#This Row],[Data]]</f>
        <v>0</v>
      </c>
      <c r="AC91" s="174" t="str">
        <f>Buildings_GridElectricity_Frontend[[#This Row],[Units]]</f>
        <v>kWh</v>
      </c>
      <c r="AD91" s="218">
        <f>Buildings_GridElectricity_Frontend[[#This Row],[Data]]</f>
        <v>0</v>
      </c>
      <c r="AE91" s="174" t="str">
        <f>Buildings_GridElectricity_Frontend[[#This Row],[Units]]</f>
        <v>kWh</v>
      </c>
      <c r="AF91" s="210" t="str">
        <f>IF(Buildings_GridElectricity_Frontend[[#This Row],[Data]]="","",_xlfn.XLOOKUP(_xlfn.CONCAT(Buildings_GridElectricity_Backend[[#This Row],[Level 1]:[Level 6]]),rng_EFConcat,rng_EF1)*Buildings_GridElectricity_Backend[[#This Row],[Converted data]]/1000)</f>
        <v/>
      </c>
      <c r="AG91" s="210" t="str">
        <f>IF(Buildings_GridElectricity_Frontend[[#This Row],[Data]]="","",_xlfn.XLOOKUP(_xlfn.CONCAT(Buildings_GridElectricity_Backend[[#This Row],[Level 1]:[Level 6]]),rng_EFConcat,rng_EF2)*Buildings_GridElectricity_Backend[[#This Row],[Converted data]]/1000)</f>
        <v/>
      </c>
      <c r="AH91" s="210" t="str">
        <f>IF(Buildings_GridElectricity_Frontend[[#This Row],[Data]]="","",_xlfn.XLOOKUP(_xlfn.CONCAT(Buildings_GridElectricity_Backend[[#This Row],[Level 1]:[Level 6]]),rng_EFConcat,rng_EF3)*Buildings_GridElectricity_Backend[[#This Row],[Converted data]]/1000)</f>
        <v/>
      </c>
      <c r="AI91" s="210" t="str">
        <f>IF(Buildings_GridElectricity_Frontend[[#This Row],[Data]]="","",_xlfn.XLOOKUP(_xlfn.CONCAT(Buildings_GridElectricity_Backend[[#This Row],[Level 1]:[Level 6]]),rng_EFConcat,rng_EF3WTT)*Buildings_GridElectricity_Backend[[#This Row],[Converted data]]/1000)</f>
        <v/>
      </c>
      <c r="AJ91" s="210" t="str">
        <f>IF(Buildings_GridElectricity_Frontend[[#This Row],[Data]]="","",_xlfn.XLOOKUP(_xlfn.CONCAT(Buildings_GridElectricity_Backend[[#This Row],[Level 1]:[Level 6]]),rng_EFConcat,rng_EF3TD)*Buildings_GridElectricity_Backend[[#This Row],[Converted data]]/1000)</f>
        <v/>
      </c>
      <c r="AK91" s="210" t="str">
        <f>IF(Buildings_GridElectricity_Frontend[[#This Row],[Data]]="","",_xlfn.XLOOKUP(_xlfn.CONCAT(Buildings_GridElectricity_Backend[[#This Row],[Level 1]:[Level 6]]),rng_EFConcat,rng_EF3WTTTD)*Buildings_GridElectricity_Backend[[#This Row],[Converted data]]/1000)</f>
        <v/>
      </c>
      <c r="AL91" s="220" t="str">
        <f>IF(Buildings_GridElectricity_Frontend[[#This Row],[Data]]="","",SUM(Buildings_GridElectricity_Backend[[#This Row],[Scope 1 (tCO2e)]:[Scope 3 WTT T&amp;D (tCO2e)]]))</f>
        <v/>
      </c>
      <c r="AM91" s="220" t="str">
        <f>IF(Buildings_GridElectricity_Frontend[[#This Row],[Data]]="","",Buildings_GridElectricity_Backend[[#This Row],[Total (tCO2e)]]*(1-Buildings_GridElectricity_Backend[[#This Row],[RSD]]))</f>
        <v/>
      </c>
      <c r="AN91" s="220" t="str">
        <f>IF(Buildings_GridElectricity_Frontend[[#This Row],[Data]]="","",Buildings_GridElectricity_Backend[[#This Row],[Total (tCO2e)]]*(1+Buildings_GridElectricity_Backend[[#This Row],[RSD]]))</f>
        <v/>
      </c>
      <c r="AO91" s="210" t="str">
        <f>IF(Buildings_GridElectricity_Frontend[[#This Row],[Data]]="","",_xlfn.XLOOKUP(_xlfn.CONCAT(Buildings_GridElectricity_Backend[[#This Row],[Level 1]:[Level 6]]),rng_EFConcat,rng_EFOOS)*Buildings_GridElectricity_Backend[[#This Row],[Converted data]]/1000)</f>
        <v/>
      </c>
      <c r="AP91" s="174">
        <f>Buildings_GridElectricity_Frontend[[#This Row],[Ease of collection]]</f>
        <v>0</v>
      </c>
      <c r="AQ91" s="213">
        <f>Buildings_GridElectricity_Frontend[[#This Row],[Completeness]]</f>
        <v>0</v>
      </c>
      <c r="AR91" s="220">
        <f>Buildings_GridElectricity_Frontend[[#This Row],[Notes]]</f>
        <v>0</v>
      </c>
    </row>
    <row r="92" spans="5:44" x14ac:dyDescent="0.3">
      <c r="E92" s="346"/>
      <c r="F92" s="449"/>
      <c r="G92" s="336"/>
      <c r="H92" s="334"/>
      <c r="I92" s="172" t="s">
        <v>316</v>
      </c>
      <c r="J92" s="337"/>
      <c r="K92" s="336"/>
      <c r="L92" s="336"/>
      <c r="M92" s="337"/>
      <c r="N92" s="242">
        <f t="shared" si="3"/>
        <v>3</v>
      </c>
      <c r="Q92" s="212" t="str">
        <f t="shared" ref="Q92:Q155" si="4">IF(N92=0,SUBSTITUTE(2025&amp;TRIM(cl_org_name_select)&amp;TRIM($E$25)&amp;(ROW(N92)-ROW($N$28))," ",""),"")</f>
        <v/>
      </c>
      <c r="R92" s="174" t="s">
        <v>265</v>
      </c>
      <c r="S92" s="174" t="s">
        <v>273</v>
      </c>
      <c r="T92" s="174" t="str">
        <f>_xlfn.XLOOKUP(Buildings_GridElectricity_Backend[[#This Row],[Info 1]],Buildings_SiteInfo[Site name],Buildings_SiteInfo[Site type], "")</f>
        <v/>
      </c>
      <c r="U92" s="174" t="s">
        <v>281</v>
      </c>
      <c r="V92" s="174" t="str" cm="1">
        <f t="array" aca="1" ref="V92" ca="1">_xlfn.XLOOKUP(Buildings_GridElectricity_Backend[[#This Row],[Level 4]],rng_Level4Long,rng_Level5Long)</f>
        <v>Electricity</v>
      </c>
      <c r="W92" s="174" t="str" cm="1">
        <f t="array" aca="1" ref="W92" ca="1">_xlfn.XLOOKUP(Buildings_GridElectricity_Backend[[#This Row],[Level 4]],rng_Level4Long,rng_Level6Long)</f>
        <v>NaN</v>
      </c>
      <c r="X92" s="174">
        <f>Buildings_GridElectricity_Frontend[[#This Row],[Site Name]]</f>
        <v>0</v>
      </c>
      <c r="Y92" s="174">
        <f>Buildings_GridElectricity_Frontend[[#This Row],[Contracting]]</f>
        <v>0</v>
      </c>
      <c r="Z92" s="174">
        <f>Buildings_GridElectricity_Frontend[[#This Row],[Methodology]]</f>
        <v>0</v>
      </c>
      <c r="AA92" s="229" t="str" cm="1">
        <f t="array" ref="AA92">IF(Buildings_GridElectricity_Frontend[[#This Row],[Data]]="","",INDEX(_xlfn.SWITCH(Buildings_GridElectricity_Backend[[#This Row],[Methodology]],"Tier 1",rng_RSD1,"Tier 2",rng_RSD2,"Tier 3",rng_RSD3),MATCH(_xlfn.CONCAT(Buildings_GridElectricity_Backend[[#This Row],[Level 1]:[Level 6]]),rng_LevelsConcat,0)))</f>
        <v/>
      </c>
      <c r="AB92" s="220">
        <f>Buildings_GridElectricity_Frontend[[#This Row],[Data]]</f>
        <v>0</v>
      </c>
      <c r="AC92" s="174" t="str">
        <f>Buildings_GridElectricity_Frontend[[#This Row],[Units]]</f>
        <v>kWh</v>
      </c>
      <c r="AD92" s="218">
        <f>Buildings_GridElectricity_Frontend[[#This Row],[Data]]</f>
        <v>0</v>
      </c>
      <c r="AE92" s="174" t="str">
        <f>Buildings_GridElectricity_Frontend[[#This Row],[Units]]</f>
        <v>kWh</v>
      </c>
      <c r="AF92" s="210" t="str">
        <f>IF(Buildings_GridElectricity_Frontend[[#This Row],[Data]]="","",_xlfn.XLOOKUP(_xlfn.CONCAT(Buildings_GridElectricity_Backend[[#This Row],[Level 1]:[Level 6]]),rng_EFConcat,rng_EF1)*Buildings_GridElectricity_Backend[[#This Row],[Converted data]]/1000)</f>
        <v/>
      </c>
      <c r="AG92" s="210" t="str">
        <f>IF(Buildings_GridElectricity_Frontend[[#This Row],[Data]]="","",_xlfn.XLOOKUP(_xlfn.CONCAT(Buildings_GridElectricity_Backend[[#This Row],[Level 1]:[Level 6]]),rng_EFConcat,rng_EF2)*Buildings_GridElectricity_Backend[[#This Row],[Converted data]]/1000)</f>
        <v/>
      </c>
      <c r="AH92" s="210" t="str">
        <f>IF(Buildings_GridElectricity_Frontend[[#This Row],[Data]]="","",_xlfn.XLOOKUP(_xlfn.CONCAT(Buildings_GridElectricity_Backend[[#This Row],[Level 1]:[Level 6]]),rng_EFConcat,rng_EF3)*Buildings_GridElectricity_Backend[[#This Row],[Converted data]]/1000)</f>
        <v/>
      </c>
      <c r="AI92" s="210" t="str">
        <f>IF(Buildings_GridElectricity_Frontend[[#This Row],[Data]]="","",_xlfn.XLOOKUP(_xlfn.CONCAT(Buildings_GridElectricity_Backend[[#This Row],[Level 1]:[Level 6]]),rng_EFConcat,rng_EF3WTT)*Buildings_GridElectricity_Backend[[#This Row],[Converted data]]/1000)</f>
        <v/>
      </c>
      <c r="AJ92" s="210" t="str">
        <f>IF(Buildings_GridElectricity_Frontend[[#This Row],[Data]]="","",_xlfn.XLOOKUP(_xlfn.CONCAT(Buildings_GridElectricity_Backend[[#This Row],[Level 1]:[Level 6]]),rng_EFConcat,rng_EF3TD)*Buildings_GridElectricity_Backend[[#This Row],[Converted data]]/1000)</f>
        <v/>
      </c>
      <c r="AK92" s="210" t="str">
        <f>IF(Buildings_GridElectricity_Frontend[[#This Row],[Data]]="","",_xlfn.XLOOKUP(_xlfn.CONCAT(Buildings_GridElectricity_Backend[[#This Row],[Level 1]:[Level 6]]),rng_EFConcat,rng_EF3WTTTD)*Buildings_GridElectricity_Backend[[#This Row],[Converted data]]/1000)</f>
        <v/>
      </c>
      <c r="AL92" s="220" t="str">
        <f>IF(Buildings_GridElectricity_Frontend[[#This Row],[Data]]="","",SUM(Buildings_GridElectricity_Backend[[#This Row],[Scope 1 (tCO2e)]:[Scope 3 WTT T&amp;D (tCO2e)]]))</f>
        <v/>
      </c>
      <c r="AM92" s="220" t="str">
        <f>IF(Buildings_GridElectricity_Frontend[[#This Row],[Data]]="","",Buildings_GridElectricity_Backend[[#This Row],[Total (tCO2e)]]*(1-Buildings_GridElectricity_Backend[[#This Row],[RSD]]))</f>
        <v/>
      </c>
      <c r="AN92" s="220" t="str">
        <f>IF(Buildings_GridElectricity_Frontend[[#This Row],[Data]]="","",Buildings_GridElectricity_Backend[[#This Row],[Total (tCO2e)]]*(1+Buildings_GridElectricity_Backend[[#This Row],[RSD]]))</f>
        <v/>
      </c>
      <c r="AO92" s="210" t="str">
        <f>IF(Buildings_GridElectricity_Frontend[[#This Row],[Data]]="","",_xlfn.XLOOKUP(_xlfn.CONCAT(Buildings_GridElectricity_Backend[[#This Row],[Level 1]:[Level 6]]),rng_EFConcat,rng_EFOOS)*Buildings_GridElectricity_Backend[[#This Row],[Converted data]]/1000)</f>
        <v/>
      </c>
      <c r="AP92" s="174">
        <f>Buildings_GridElectricity_Frontend[[#This Row],[Ease of collection]]</f>
        <v>0</v>
      </c>
      <c r="AQ92" s="213">
        <f>Buildings_GridElectricity_Frontend[[#This Row],[Completeness]]</f>
        <v>0</v>
      </c>
      <c r="AR92" s="220">
        <f>Buildings_GridElectricity_Frontend[[#This Row],[Notes]]</f>
        <v>0</v>
      </c>
    </row>
    <row r="93" spans="5:44" x14ac:dyDescent="0.3">
      <c r="E93" s="346"/>
      <c r="F93" s="449"/>
      <c r="G93" s="336"/>
      <c r="H93" s="334"/>
      <c r="I93" s="172" t="s">
        <v>316</v>
      </c>
      <c r="J93" s="337"/>
      <c r="K93" s="336"/>
      <c r="L93" s="336"/>
      <c r="M93" s="337"/>
      <c r="N93" s="242">
        <f t="shared" ref="N93:N156" si="5">ISBLANK(E93)+ISBLANK(G93)+ISBLANK(H93)</f>
        <v>3</v>
      </c>
      <c r="Q93" s="212" t="str">
        <f t="shared" si="4"/>
        <v/>
      </c>
      <c r="R93" s="174" t="s">
        <v>265</v>
      </c>
      <c r="S93" s="174" t="s">
        <v>273</v>
      </c>
      <c r="T93" s="174" t="str">
        <f>_xlfn.XLOOKUP(Buildings_GridElectricity_Backend[[#This Row],[Info 1]],Buildings_SiteInfo[Site name],Buildings_SiteInfo[Site type], "")</f>
        <v/>
      </c>
      <c r="U93" s="174" t="s">
        <v>281</v>
      </c>
      <c r="V93" s="174" t="str" cm="1">
        <f t="array" aca="1" ref="V93" ca="1">_xlfn.XLOOKUP(Buildings_GridElectricity_Backend[[#This Row],[Level 4]],rng_Level4Long,rng_Level5Long)</f>
        <v>Electricity</v>
      </c>
      <c r="W93" s="174" t="str" cm="1">
        <f t="array" aca="1" ref="W93" ca="1">_xlfn.XLOOKUP(Buildings_GridElectricity_Backend[[#This Row],[Level 4]],rng_Level4Long,rng_Level6Long)</f>
        <v>NaN</v>
      </c>
      <c r="X93" s="174">
        <f>Buildings_GridElectricity_Frontend[[#This Row],[Site Name]]</f>
        <v>0</v>
      </c>
      <c r="Y93" s="174">
        <f>Buildings_GridElectricity_Frontend[[#This Row],[Contracting]]</f>
        <v>0</v>
      </c>
      <c r="Z93" s="174">
        <f>Buildings_GridElectricity_Frontend[[#This Row],[Methodology]]</f>
        <v>0</v>
      </c>
      <c r="AA93" s="229" t="str" cm="1">
        <f t="array" ref="AA93">IF(Buildings_GridElectricity_Frontend[[#This Row],[Data]]="","",INDEX(_xlfn.SWITCH(Buildings_GridElectricity_Backend[[#This Row],[Methodology]],"Tier 1",rng_RSD1,"Tier 2",rng_RSD2,"Tier 3",rng_RSD3),MATCH(_xlfn.CONCAT(Buildings_GridElectricity_Backend[[#This Row],[Level 1]:[Level 6]]),rng_LevelsConcat,0)))</f>
        <v/>
      </c>
      <c r="AB93" s="220">
        <f>Buildings_GridElectricity_Frontend[[#This Row],[Data]]</f>
        <v>0</v>
      </c>
      <c r="AC93" s="174" t="str">
        <f>Buildings_GridElectricity_Frontend[[#This Row],[Units]]</f>
        <v>kWh</v>
      </c>
      <c r="AD93" s="218">
        <f>Buildings_GridElectricity_Frontend[[#This Row],[Data]]</f>
        <v>0</v>
      </c>
      <c r="AE93" s="174" t="str">
        <f>Buildings_GridElectricity_Frontend[[#This Row],[Units]]</f>
        <v>kWh</v>
      </c>
      <c r="AF93" s="210" t="str">
        <f>IF(Buildings_GridElectricity_Frontend[[#This Row],[Data]]="","",_xlfn.XLOOKUP(_xlfn.CONCAT(Buildings_GridElectricity_Backend[[#This Row],[Level 1]:[Level 6]]),rng_EFConcat,rng_EF1)*Buildings_GridElectricity_Backend[[#This Row],[Converted data]]/1000)</f>
        <v/>
      </c>
      <c r="AG93" s="210" t="str">
        <f>IF(Buildings_GridElectricity_Frontend[[#This Row],[Data]]="","",_xlfn.XLOOKUP(_xlfn.CONCAT(Buildings_GridElectricity_Backend[[#This Row],[Level 1]:[Level 6]]),rng_EFConcat,rng_EF2)*Buildings_GridElectricity_Backend[[#This Row],[Converted data]]/1000)</f>
        <v/>
      </c>
      <c r="AH93" s="210" t="str">
        <f>IF(Buildings_GridElectricity_Frontend[[#This Row],[Data]]="","",_xlfn.XLOOKUP(_xlfn.CONCAT(Buildings_GridElectricity_Backend[[#This Row],[Level 1]:[Level 6]]),rng_EFConcat,rng_EF3)*Buildings_GridElectricity_Backend[[#This Row],[Converted data]]/1000)</f>
        <v/>
      </c>
      <c r="AI93" s="210" t="str">
        <f>IF(Buildings_GridElectricity_Frontend[[#This Row],[Data]]="","",_xlfn.XLOOKUP(_xlfn.CONCAT(Buildings_GridElectricity_Backend[[#This Row],[Level 1]:[Level 6]]),rng_EFConcat,rng_EF3WTT)*Buildings_GridElectricity_Backend[[#This Row],[Converted data]]/1000)</f>
        <v/>
      </c>
      <c r="AJ93" s="210" t="str">
        <f>IF(Buildings_GridElectricity_Frontend[[#This Row],[Data]]="","",_xlfn.XLOOKUP(_xlfn.CONCAT(Buildings_GridElectricity_Backend[[#This Row],[Level 1]:[Level 6]]),rng_EFConcat,rng_EF3TD)*Buildings_GridElectricity_Backend[[#This Row],[Converted data]]/1000)</f>
        <v/>
      </c>
      <c r="AK93" s="210" t="str">
        <f>IF(Buildings_GridElectricity_Frontend[[#This Row],[Data]]="","",_xlfn.XLOOKUP(_xlfn.CONCAT(Buildings_GridElectricity_Backend[[#This Row],[Level 1]:[Level 6]]),rng_EFConcat,rng_EF3WTTTD)*Buildings_GridElectricity_Backend[[#This Row],[Converted data]]/1000)</f>
        <v/>
      </c>
      <c r="AL93" s="220" t="str">
        <f>IF(Buildings_GridElectricity_Frontend[[#This Row],[Data]]="","",SUM(Buildings_GridElectricity_Backend[[#This Row],[Scope 1 (tCO2e)]:[Scope 3 WTT T&amp;D (tCO2e)]]))</f>
        <v/>
      </c>
      <c r="AM93" s="220" t="str">
        <f>IF(Buildings_GridElectricity_Frontend[[#This Row],[Data]]="","",Buildings_GridElectricity_Backend[[#This Row],[Total (tCO2e)]]*(1-Buildings_GridElectricity_Backend[[#This Row],[RSD]]))</f>
        <v/>
      </c>
      <c r="AN93" s="220" t="str">
        <f>IF(Buildings_GridElectricity_Frontend[[#This Row],[Data]]="","",Buildings_GridElectricity_Backend[[#This Row],[Total (tCO2e)]]*(1+Buildings_GridElectricity_Backend[[#This Row],[RSD]]))</f>
        <v/>
      </c>
      <c r="AO93" s="210" t="str">
        <f>IF(Buildings_GridElectricity_Frontend[[#This Row],[Data]]="","",_xlfn.XLOOKUP(_xlfn.CONCAT(Buildings_GridElectricity_Backend[[#This Row],[Level 1]:[Level 6]]),rng_EFConcat,rng_EFOOS)*Buildings_GridElectricity_Backend[[#This Row],[Converted data]]/1000)</f>
        <v/>
      </c>
      <c r="AP93" s="174">
        <f>Buildings_GridElectricity_Frontend[[#This Row],[Ease of collection]]</f>
        <v>0</v>
      </c>
      <c r="AQ93" s="213">
        <f>Buildings_GridElectricity_Frontend[[#This Row],[Completeness]]</f>
        <v>0</v>
      </c>
      <c r="AR93" s="220">
        <f>Buildings_GridElectricity_Frontend[[#This Row],[Notes]]</f>
        <v>0</v>
      </c>
    </row>
    <row r="94" spans="5:44" x14ac:dyDescent="0.3">
      <c r="E94" s="346"/>
      <c r="F94" s="449"/>
      <c r="G94" s="336"/>
      <c r="H94" s="334"/>
      <c r="I94" s="172" t="s">
        <v>316</v>
      </c>
      <c r="J94" s="337"/>
      <c r="K94" s="336"/>
      <c r="L94" s="336"/>
      <c r="M94" s="337"/>
      <c r="N94" s="242">
        <f t="shared" si="5"/>
        <v>3</v>
      </c>
      <c r="Q94" s="212" t="str">
        <f t="shared" si="4"/>
        <v/>
      </c>
      <c r="R94" s="174" t="s">
        <v>265</v>
      </c>
      <c r="S94" s="174" t="s">
        <v>273</v>
      </c>
      <c r="T94" s="174" t="str">
        <f>_xlfn.XLOOKUP(Buildings_GridElectricity_Backend[[#This Row],[Info 1]],Buildings_SiteInfo[Site name],Buildings_SiteInfo[Site type], "")</f>
        <v/>
      </c>
      <c r="U94" s="174" t="s">
        <v>281</v>
      </c>
      <c r="V94" s="174" t="str" cm="1">
        <f t="array" aca="1" ref="V94" ca="1">_xlfn.XLOOKUP(Buildings_GridElectricity_Backend[[#This Row],[Level 4]],rng_Level4Long,rng_Level5Long)</f>
        <v>Electricity</v>
      </c>
      <c r="W94" s="174" t="str" cm="1">
        <f t="array" aca="1" ref="W94" ca="1">_xlfn.XLOOKUP(Buildings_GridElectricity_Backend[[#This Row],[Level 4]],rng_Level4Long,rng_Level6Long)</f>
        <v>NaN</v>
      </c>
      <c r="X94" s="174">
        <f>Buildings_GridElectricity_Frontend[[#This Row],[Site Name]]</f>
        <v>0</v>
      </c>
      <c r="Y94" s="174">
        <f>Buildings_GridElectricity_Frontend[[#This Row],[Contracting]]</f>
        <v>0</v>
      </c>
      <c r="Z94" s="174">
        <f>Buildings_GridElectricity_Frontend[[#This Row],[Methodology]]</f>
        <v>0</v>
      </c>
      <c r="AA94" s="229" t="str" cm="1">
        <f t="array" ref="AA94">IF(Buildings_GridElectricity_Frontend[[#This Row],[Data]]="","",INDEX(_xlfn.SWITCH(Buildings_GridElectricity_Backend[[#This Row],[Methodology]],"Tier 1",rng_RSD1,"Tier 2",rng_RSD2,"Tier 3",rng_RSD3),MATCH(_xlfn.CONCAT(Buildings_GridElectricity_Backend[[#This Row],[Level 1]:[Level 6]]),rng_LevelsConcat,0)))</f>
        <v/>
      </c>
      <c r="AB94" s="220">
        <f>Buildings_GridElectricity_Frontend[[#This Row],[Data]]</f>
        <v>0</v>
      </c>
      <c r="AC94" s="174" t="str">
        <f>Buildings_GridElectricity_Frontend[[#This Row],[Units]]</f>
        <v>kWh</v>
      </c>
      <c r="AD94" s="218">
        <f>Buildings_GridElectricity_Frontend[[#This Row],[Data]]</f>
        <v>0</v>
      </c>
      <c r="AE94" s="174" t="str">
        <f>Buildings_GridElectricity_Frontend[[#This Row],[Units]]</f>
        <v>kWh</v>
      </c>
      <c r="AF94" s="210" t="str">
        <f>IF(Buildings_GridElectricity_Frontend[[#This Row],[Data]]="","",_xlfn.XLOOKUP(_xlfn.CONCAT(Buildings_GridElectricity_Backend[[#This Row],[Level 1]:[Level 6]]),rng_EFConcat,rng_EF1)*Buildings_GridElectricity_Backend[[#This Row],[Converted data]]/1000)</f>
        <v/>
      </c>
      <c r="AG94" s="210" t="str">
        <f>IF(Buildings_GridElectricity_Frontend[[#This Row],[Data]]="","",_xlfn.XLOOKUP(_xlfn.CONCAT(Buildings_GridElectricity_Backend[[#This Row],[Level 1]:[Level 6]]),rng_EFConcat,rng_EF2)*Buildings_GridElectricity_Backend[[#This Row],[Converted data]]/1000)</f>
        <v/>
      </c>
      <c r="AH94" s="210" t="str">
        <f>IF(Buildings_GridElectricity_Frontend[[#This Row],[Data]]="","",_xlfn.XLOOKUP(_xlfn.CONCAT(Buildings_GridElectricity_Backend[[#This Row],[Level 1]:[Level 6]]),rng_EFConcat,rng_EF3)*Buildings_GridElectricity_Backend[[#This Row],[Converted data]]/1000)</f>
        <v/>
      </c>
      <c r="AI94" s="210" t="str">
        <f>IF(Buildings_GridElectricity_Frontend[[#This Row],[Data]]="","",_xlfn.XLOOKUP(_xlfn.CONCAT(Buildings_GridElectricity_Backend[[#This Row],[Level 1]:[Level 6]]),rng_EFConcat,rng_EF3WTT)*Buildings_GridElectricity_Backend[[#This Row],[Converted data]]/1000)</f>
        <v/>
      </c>
      <c r="AJ94" s="210" t="str">
        <f>IF(Buildings_GridElectricity_Frontend[[#This Row],[Data]]="","",_xlfn.XLOOKUP(_xlfn.CONCAT(Buildings_GridElectricity_Backend[[#This Row],[Level 1]:[Level 6]]),rng_EFConcat,rng_EF3TD)*Buildings_GridElectricity_Backend[[#This Row],[Converted data]]/1000)</f>
        <v/>
      </c>
      <c r="AK94" s="210" t="str">
        <f>IF(Buildings_GridElectricity_Frontend[[#This Row],[Data]]="","",_xlfn.XLOOKUP(_xlfn.CONCAT(Buildings_GridElectricity_Backend[[#This Row],[Level 1]:[Level 6]]),rng_EFConcat,rng_EF3WTTTD)*Buildings_GridElectricity_Backend[[#This Row],[Converted data]]/1000)</f>
        <v/>
      </c>
      <c r="AL94" s="220" t="str">
        <f>IF(Buildings_GridElectricity_Frontend[[#This Row],[Data]]="","",SUM(Buildings_GridElectricity_Backend[[#This Row],[Scope 1 (tCO2e)]:[Scope 3 WTT T&amp;D (tCO2e)]]))</f>
        <v/>
      </c>
      <c r="AM94" s="220" t="str">
        <f>IF(Buildings_GridElectricity_Frontend[[#This Row],[Data]]="","",Buildings_GridElectricity_Backend[[#This Row],[Total (tCO2e)]]*(1-Buildings_GridElectricity_Backend[[#This Row],[RSD]]))</f>
        <v/>
      </c>
      <c r="AN94" s="220" t="str">
        <f>IF(Buildings_GridElectricity_Frontend[[#This Row],[Data]]="","",Buildings_GridElectricity_Backend[[#This Row],[Total (tCO2e)]]*(1+Buildings_GridElectricity_Backend[[#This Row],[RSD]]))</f>
        <v/>
      </c>
      <c r="AO94" s="210" t="str">
        <f>IF(Buildings_GridElectricity_Frontend[[#This Row],[Data]]="","",_xlfn.XLOOKUP(_xlfn.CONCAT(Buildings_GridElectricity_Backend[[#This Row],[Level 1]:[Level 6]]),rng_EFConcat,rng_EFOOS)*Buildings_GridElectricity_Backend[[#This Row],[Converted data]]/1000)</f>
        <v/>
      </c>
      <c r="AP94" s="174">
        <f>Buildings_GridElectricity_Frontend[[#This Row],[Ease of collection]]</f>
        <v>0</v>
      </c>
      <c r="AQ94" s="213">
        <f>Buildings_GridElectricity_Frontend[[#This Row],[Completeness]]</f>
        <v>0</v>
      </c>
      <c r="AR94" s="220">
        <f>Buildings_GridElectricity_Frontend[[#This Row],[Notes]]</f>
        <v>0</v>
      </c>
    </row>
    <row r="95" spans="5:44" x14ac:dyDescent="0.3">
      <c r="E95" s="346"/>
      <c r="F95" s="449"/>
      <c r="G95" s="336"/>
      <c r="H95" s="334"/>
      <c r="I95" s="172" t="s">
        <v>316</v>
      </c>
      <c r="J95" s="337"/>
      <c r="K95" s="336"/>
      <c r="L95" s="336"/>
      <c r="M95" s="337"/>
      <c r="N95" s="242">
        <f t="shared" si="5"/>
        <v>3</v>
      </c>
      <c r="Q95" s="212" t="str">
        <f t="shared" si="4"/>
        <v/>
      </c>
      <c r="R95" s="174" t="s">
        <v>265</v>
      </c>
      <c r="S95" s="174" t="s">
        <v>273</v>
      </c>
      <c r="T95" s="174" t="str">
        <f>_xlfn.XLOOKUP(Buildings_GridElectricity_Backend[[#This Row],[Info 1]],Buildings_SiteInfo[Site name],Buildings_SiteInfo[Site type], "")</f>
        <v/>
      </c>
      <c r="U95" s="174" t="s">
        <v>281</v>
      </c>
      <c r="V95" s="174" t="str" cm="1">
        <f t="array" aca="1" ref="V95" ca="1">_xlfn.XLOOKUP(Buildings_GridElectricity_Backend[[#This Row],[Level 4]],rng_Level4Long,rng_Level5Long)</f>
        <v>Electricity</v>
      </c>
      <c r="W95" s="174" t="str" cm="1">
        <f t="array" aca="1" ref="W95" ca="1">_xlfn.XLOOKUP(Buildings_GridElectricity_Backend[[#This Row],[Level 4]],rng_Level4Long,rng_Level6Long)</f>
        <v>NaN</v>
      </c>
      <c r="X95" s="174">
        <f>Buildings_GridElectricity_Frontend[[#This Row],[Site Name]]</f>
        <v>0</v>
      </c>
      <c r="Y95" s="174">
        <f>Buildings_GridElectricity_Frontend[[#This Row],[Contracting]]</f>
        <v>0</v>
      </c>
      <c r="Z95" s="174">
        <f>Buildings_GridElectricity_Frontend[[#This Row],[Methodology]]</f>
        <v>0</v>
      </c>
      <c r="AA95" s="229" t="str" cm="1">
        <f t="array" ref="AA95">IF(Buildings_GridElectricity_Frontend[[#This Row],[Data]]="","",INDEX(_xlfn.SWITCH(Buildings_GridElectricity_Backend[[#This Row],[Methodology]],"Tier 1",rng_RSD1,"Tier 2",rng_RSD2,"Tier 3",rng_RSD3),MATCH(_xlfn.CONCAT(Buildings_GridElectricity_Backend[[#This Row],[Level 1]:[Level 6]]),rng_LevelsConcat,0)))</f>
        <v/>
      </c>
      <c r="AB95" s="220">
        <f>Buildings_GridElectricity_Frontend[[#This Row],[Data]]</f>
        <v>0</v>
      </c>
      <c r="AC95" s="174" t="str">
        <f>Buildings_GridElectricity_Frontend[[#This Row],[Units]]</f>
        <v>kWh</v>
      </c>
      <c r="AD95" s="218">
        <f>Buildings_GridElectricity_Frontend[[#This Row],[Data]]</f>
        <v>0</v>
      </c>
      <c r="AE95" s="174" t="str">
        <f>Buildings_GridElectricity_Frontend[[#This Row],[Units]]</f>
        <v>kWh</v>
      </c>
      <c r="AF95" s="210" t="str">
        <f>IF(Buildings_GridElectricity_Frontend[[#This Row],[Data]]="","",_xlfn.XLOOKUP(_xlfn.CONCAT(Buildings_GridElectricity_Backend[[#This Row],[Level 1]:[Level 6]]),rng_EFConcat,rng_EF1)*Buildings_GridElectricity_Backend[[#This Row],[Converted data]]/1000)</f>
        <v/>
      </c>
      <c r="AG95" s="210" t="str">
        <f>IF(Buildings_GridElectricity_Frontend[[#This Row],[Data]]="","",_xlfn.XLOOKUP(_xlfn.CONCAT(Buildings_GridElectricity_Backend[[#This Row],[Level 1]:[Level 6]]),rng_EFConcat,rng_EF2)*Buildings_GridElectricity_Backend[[#This Row],[Converted data]]/1000)</f>
        <v/>
      </c>
      <c r="AH95" s="210" t="str">
        <f>IF(Buildings_GridElectricity_Frontend[[#This Row],[Data]]="","",_xlfn.XLOOKUP(_xlfn.CONCAT(Buildings_GridElectricity_Backend[[#This Row],[Level 1]:[Level 6]]),rng_EFConcat,rng_EF3)*Buildings_GridElectricity_Backend[[#This Row],[Converted data]]/1000)</f>
        <v/>
      </c>
      <c r="AI95" s="210" t="str">
        <f>IF(Buildings_GridElectricity_Frontend[[#This Row],[Data]]="","",_xlfn.XLOOKUP(_xlfn.CONCAT(Buildings_GridElectricity_Backend[[#This Row],[Level 1]:[Level 6]]),rng_EFConcat,rng_EF3WTT)*Buildings_GridElectricity_Backend[[#This Row],[Converted data]]/1000)</f>
        <v/>
      </c>
      <c r="AJ95" s="210" t="str">
        <f>IF(Buildings_GridElectricity_Frontend[[#This Row],[Data]]="","",_xlfn.XLOOKUP(_xlfn.CONCAT(Buildings_GridElectricity_Backend[[#This Row],[Level 1]:[Level 6]]),rng_EFConcat,rng_EF3TD)*Buildings_GridElectricity_Backend[[#This Row],[Converted data]]/1000)</f>
        <v/>
      </c>
      <c r="AK95" s="210" t="str">
        <f>IF(Buildings_GridElectricity_Frontend[[#This Row],[Data]]="","",_xlfn.XLOOKUP(_xlfn.CONCAT(Buildings_GridElectricity_Backend[[#This Row],[Level 1]:[Level 6]]),rng_EFConcat,rng_EF3WTTTD)*Buildings_GridElectricity_Backend[[#This Row],[Converted data]]/1000)</f>
        <v/>
      </c>
      <c r="AL95" s="220" t="str">
        <f>IF(Buildings_GridElectricity_Frontend[[#This Row],[Data]]="","",SUM(Buildings_GridElectricity_Backend[[#This Row],[Scope 1 (tCO2e)]:[Scope 3 WTT T&amp;D (tCO2e)]]))</f>
        <v/>
      </c>
      <c r="AM95" s="220" t="str">
        <f>IF(Buildings_GridElectricity_Frontend[[#This Row],[Data]]="","",Buildings_GridElectricity_Backend[[#This Row],[Total (tCO2e)]]*(1-Buildings_GridElectricity_Backend[[#This Row],[RSD]]))</f>
        <v/>
      </c>
      <c r="AN95" s="220" t="str">
        <f>IF(Buildings_GridElectricity_Frontend[[#This Row],[Data]]="","",Buildings_GridElectricity_Backend[[#This Row],[Total (tCO2e)]]*(1+Buildings_GridElectricity_Backend[[#This Row],[RSD]]))</f>
        <v/>
      </c>
      <c r="AO95" s="210" t="str">
        <f>IF(Buildings_GridElectricity_Frontend[[#This Row],[Data]]="","",_xlfn.XLOOKUP(_xlfn.CONCAT(Buildings_GridElectricity_Backend[[#This Row],[Level 1]:[Level 6]]),rng_EFConcat,rng_EFOOS)*Buildings_GridElectricity_Backend[[#This Row],[Converted data]]/1000)</f>
        <v/>
      </c>
      <c r="AP95" s="174">
        <f>Buildings_GridElectricity_Frontend[[#This Row],[Ease of collection]]</f>
        <v>0</v>
      </c>
      <c r="AQ95" s="213">
        <f>Buildings_GridElectricity_Frontend[[#This Row],[Completeness]]</f>
        <v>0</v>
      </c>
      <c r="AR95" s="220">
        <f>Buildings_GridElectricity_Frontend[[#This Row],[Notes]]</f>
        <v>0</v>
      </c>
    </row>
    <row r="96" spans="5:44" x14ac:dyDescent="0.3">
      <c r="E96" s="346"/>
      <c r="F96" s="449"/>
      <c r="G96" s="336"/>
      <c r="H96" s="334"/>
      <c r="I96" s="172" t="s">
        <v>316</v>
      </c>
      <c r="J96" s="337"/>
      <c r="K96" s="336"/>
      <c r="L96" s="336"/>
      <c r="M96" s="337"/>
      <c r="N96" s="242">
        <f t="shared" si="5"/>
        <v>3</v>
      </c>
      <c r="Q96" s="212" t="str">
        <f t="shared" si="4"/>
        <v/>
      </c>
      <c r="R96" s="174" t="s">
        <v>265</v>
      </c>
      <c r="S96" s="174" t="s">
        <v>273</v>
      </c>
      <c r="T96" s="174" t="str">
        <f>_xlfn.XLOOKUP(Buildings_GridElectricity_Backend[[#This Row],[Info 1]],Buildings_SiteInfo[Site name],Buildings_SiteInfo[Site type], "")</f>
        <v/>
      </c>
      <c r="U96" s="174" t="s">
        <v>281</v>
      </c>
      <c r="V96" s="174" t="str" cm="1">
        <f t="array" aca="1" ref="V96" ca="1">_xlfn.XLOOKUP(Buildings_GridElectricity_Backend[[#This Row],[Level 4]],rng_Level4Long,rng_Level5Long)</f>
        <v>Electricity</v>
      </c>
      <c r="W96" s="174" t="str" cm="1">
        <f t="array" aca="1" ref="W96" ca="1">_xlfn.XLOOKUP(Buildings_GridElectricity_Backend[[#This Row],[Level 4]],rng_Level4Long,rng_Level6Long)</f>
        <v>NaN</v>
      </c>
      <c r="X96" s="174">
        <f>Buildings_GridElectricity_Frontend[[#This Row],[Site Name]]</f>
        <v>0</v>
      </c>
      <c r="Y96" s="174">
        <f>Buildings_GridElectricity_Frontend[[#This Row],[Contracting]]</f>
        <v>0</v>
      </c>
      <c r="Z96" s="174">
        <f>Buildings_GridElectricity_Frontend[[#This Row],[Methodology]]</f>
        <v>0</v>
      </c>
      <c r="AA96" s="229" t="str" cm="1">
        <f t="array" ref="AA96">IF(Buildings_GridElectricity_Frontend[[#This Row],[Data]]="","",INDEX(_xlfn.SWITCH(Buildings_GridElectricity_Backend[[#This Row],[Methodology]],"Tier 1",rng_RSD1,"Tier 2",rng_RSD2,"Tier 3",rng_RSD3),MATCH(_xlfn.CONCAT(Buildings_GridElectricity_Backend[[#This Row],[Level 1]:[Level 6]]),rng_LevelsConcat,0)))</f>
        <v/>
      </c>
      <c r="AB96" s="220">
        <f>Buildings_GridElectricity_Frontend[[#This Row],[Data]]</f>
        <v>0</v>
      </c>
      <c r="AC96" s="174" t="str">
        <f>Buildings_GridElectricity_Frontend[[#This Row],[Units]]</f>
        <v>kWh</v>
      </c>
      <c r="AD96" s="218">
        <f>Buildings_GridElectricity_Frontend[[#This Row],[Data]]</f>
        <v>0</v>
      </c>
      <c r="AE96" s="174" t="str">
        <f>Buildings_GridElectricity_Frontend[[#This Row],[Units]]</f>
        <v>kWh</v>
      </c>
      <c r="AF96" s="210" t="str">
        <f>IF(Buildings_GridElectricity_Frontend[[#This Row],[Data]]="","",_xlfn.XLOOKUP(_xlfn.CONCAT(Buildings_GridElectricity_Backend[[#This Row],[Level 1]:[Level 6]]),rng_EFConcat,rng_EF1)*Buildings_GridElectricity_Backend[[#This Row],[Converted data]]/1000)</f>
        <v/>
      </c>
      <c r="AG96" s="210" t="str">
        <f>IF(Buildings_GridElectricity_Frontend[[#This Row],[Data]]="","",_xlfn.XLOOKUP(_xlfn.CONCAT(Buildings_GridElectricity_Backend[[#This Row],[Level 1]:[Level 6]]),rng_EFConcat,rng_EF2)*Buildings_GridElectricity_Backend[[#This Row],[Converted data]]/1000)</f>
        <v/>
      </c>
      <c r="AH96" s="210" t="str">
        <f>IF(Buildings_GridElectricity_Frontend[[#This Row],[Data]]="","",_xlfn.XLOOKUP(_xlfn.CONCAT(Buildings_GridElectricity_Backend[[#This Row],[Level 1]:[Level 6]]),rng_EFConcat,rng_EF3)*Buildings_GridElectricity_Backend[[#This Row],[Converted data]]/1000)</f>
        <v/>
      </c>
      <c r="AI96" s="210" t="str">
        <f>IF(Buildings_GridElectricity_Frontend[[#This Row],[Data]]="","",_xlfn.XLOOKUP(_xlfn.CONCAT(Buildings_GridElectricity_Backend[[#This Row],[Level 1]:[Level 6]]),rng_EFConcat,rng_EF3WTT)*Buildings_GridElectricity_Backend[[#This Row],[Converted data]]/1000)</f>
        <v/>
      </c>
      <c r="AJ96" s="210" t="str">
        <f>IF(Buildings_GridElectricity_Frontend[[#This Row],[Data]]="","",_xlfn.XLOOKUP(_xlfn.CONCAT(Buildings_GridElectricity_Backend[[#This Row],[Level 1]:[Level 6]]),rng_EFConcat,rng_EF3TD)*Buildings_GridElectricity_Backend[[#This Row],[Converted data]]/1000)</f>
        <v/>
      </c>
      <c r="AK96" s="210" t="str">
        <f>IF(Buildings_GridElectricity_Frontend[[#This Row],[Data]]="","",_xlfn.XLOOKUP(_xlfn.CONCAT(Buildings_GridElectricity_Backend[[#This Row],[Level 1]:[Level 6]]),rng_EFConcat,rng_EF3WTTTD)*Buildings_GridElectricity_Backend[[#This Row],[Converted data]]/1000)</f>
        <v/>
      </c>
      <c r="AL96" s="220" t="str">
        <f>IF(Buildings_GridElectricity_Frontend[[#This Row],[Data]]="","",SUM(Buildings_GridElectricity_Backend[[#This Row],[Scope 1 (tCO2e)]:[Scope 3 WTT T&amp;D (tCO2e)]]))</f>
        <v/>
      </c>
      <c r="AM96" s="220" t="str">
        <f>IF(Buildings_GridElectricity_Frontend[[#This Row],[Data]]="","",Buildings_GridElectricity_Backend[[#This Row],[Total (tCO2e)]]*(1-Buildings_GridElectricity_Backend[[#This Row],[RSD]]))</f>
        <v/>
      </c>
      <c r="AN96" s="220" t="str">
        <f>IF(Buildings_GridElectricity_Frontend[[#This Row],[Data]]="","",Buildings_GridElectricity_Backend[[#This Row],[Total (tCO2e)]]*(1+Buildings_GridElectricity_Backend[[#This Row],[RSD]]))</f>
        <v/>
      </c>
      <c r="AO96" s="210" t="str">
        <f>IF(Buildings_GridElectricity_Frontend[[#This Row],[Data]]="","",_xlfn.XLOOKUP(_xlfn.CONCAT(Buildings_GridElectricity_Backend[[#This Row],[Level 1]:[Level 6]]),rng_EFConcat,rng_EFOOS)*Buildings_GridElectricity_Backend[[#This Row],[Converted data]]/1000)</f>
        <v/>
      </c>
      <c r="AP96" s="174">
        <f>Buildings_GridElectricity_Frontend[[#This Row],[Ease of collection]]</f>
        <v>0</v>
      </c>
      <c r="AQ96" s="213">
        <f>Buildings_GridElectricity_Frontend[[#This Row],[Completeness]]</f>
        <v>0</v>
      </c>
      <c r="AR96" s="220">
        <f>Buildings_GridElectricity_Frontend[[#This Row],[Notes]]</f>
        <v>0</v>
      </c>
    </row>
    <row r="97" spans="5:44" x14ac:dyDescent="0.3">
      <c r="E97" s="346"/>
      <c r="F97" s="449"/>
      <c r="G97" s="336"/>
      <c r="H97" s="334"/>
      <c r="I97" s="172" t="s">
        <v>316</v>
      </c>
      <c r="J97" s="337"/>
      <c r="K97" s="336"/>
      <c r="L97" s="336"/>
      <c r="M97" s="337"/>
      <c r="N97" s="242">
        <f t="shared" si="5"/>
        <v>3</v>
      </c>
      <c r="Q97" s="212" t="str">
        <f t="shared" si="4"/>
        <v/>
      </c>
      <c r="R97" s="174" t="s">
        <v>265</v>
      </c>
      <c r="S97" s="174" t="s">
        <v>273</v>
      </c>
      <c r="T97" s="174" t="str">
        <f>_xlfn.XLOOKUP(Buildings_GridElectricity_Backend[[#This Row],[Info 1]],Buildings_SiteInfo[Site name],Buildings_SiteInfo[Site type], "")</f>
        <v/>
      </c>
      <c r="U97" s="174" t="s">
        <v>281</v>
      </c>
      <c r="V97" s="174" t="str" cm="1">
        <f t="array" aca="1" ref="V97" ca="1">_xlfn.XLOOKUP(Buildings_GridElectricity_Backend[[#This Row],[Level 4]],rng_Level4Long,rng_Level5Long)</f>
        <v>Electricity</v>
      </c>
      <c r="W97" s="174" t="str" cm="1">
        <f t="array" aca="1" ref="W97" ca="1">_xlfn.XLOOKUP(Buildings_GridElectricity_Backend[[#This Row],[Level 4]],rng_Level4Long,rng_Level6Long)</f>
        <v>NaN</v>
      </c>
      <c r="X97" s="174">
        <f>Buildings_GridElectricity_Frontend[[#This Row],[Site Name]]</f>
        <v>0</v>
      </c>
      <c r="Y97" s="174">
        <f>Buildings_GridElectricity_Frontend[[#This Row],[Contracting]]</f>
        <v>0</v>
      </c>
      <c r="Z97" s="174">
        <f>Buildings_GridElectricity_Frontend[[#This Row],[Methodology]]</f>
        <v>0</v>
      </c>
      <c r="AA97" s="229" t="str" cm="1">
        <f t="array" ref="AA97">IF(Buildings_GridElectricity_Frontend[[#This Row],[Data]]="","",INDEX(_xlfn.SWITCH(Buildings_GridElectricity_Backend[[#This Row],[Methodology]],"Tier 1",rng_RSD1,"Tier 2",rng_RSD2,"Tier 3",rng_RSD3),MATCH(_xlfn.CONCAT(Buildings_GridElectricity_Backend[[#This Row],[Level 1]:[Level 6]]),rng_LevelsConcat,0)))</f>
        <v/>
      </c>
      <c r="AB97" s="220">
        <f>Buildings_GridElectricity_Frontend[[#This Row],[Data]]</f>
        <v>0</v>
      </c>
      <c r="AC97" s="174" t="str">
        <f>Buildings_GridElectricity_Frontend[[#This Row],[Units]]</f>
        <v>kWh</v>
      </c>
      <c r="AD97" s="218">
        <f>Buildings_GridElectricity_Frontend[[#This Row],[Data]]</f>
        <v>0</v>
      </c>
      <c r="AE97" s="174" t="str">
        <f>Buildings_GridElectricity_Frontend[[#This Row],[Units]]</f>
        <v>kWh</v>
      </c>
      <c r="AF97" s="210" t="str">
        <f>IF(Buildings_GridElectricity_Frontend[[#This Row],[Data]]="","",_xlfn.XLOOKUP(_xlfn.CONCAT(Buildings_GridElectricity_Backend[[#This Row],[Level 1]:[Level 6]]),rng_EFConcat,rng_EF1)*Buildings_GridElectricity_Backend[[#This Row],[Converted data]]/1000)</f>
        <v/>
      </c>
      <c r="AG97" s="210" t="str">
        <f>IF(Buildings_GridElectricity_Frontend[[#This Row],[Data]]="","",_xlfn.XLOOKUP(_xlfn.CONCAT(Buildings_GridElectricity_Backend[[#This Row],[Level 1]:[Level 6]]),rng_EFConcat,rng_EF2)*Buildings_GridElectricity_Backend[[#This Row],[Converted data]]/1000)</f>
        <v/>
      </c>
      <c r="AH97" s="210" t="str">
        <f>IF(Buildings_GridElectricity_Frontend[[#This Row],[Data]]="","",_xlfn.XLOOKUP(_xlfn.CONCAT(Buildings_GridElectricity_Backend[[#This Row],[Level 1]:[Level 6]]),rng_EFConcat,rng_EF3)*Buildings_GridElectricity_Backend[[#This Row],[Converted data]]/1000)</f>
        <v/>
      </c>
      <c r="AI97" s="210" t="str">
        <f>IF(Buildings_GridElectricity_Frontend[[#This Row],[Data]]="","",_xlfn.XLOOKUP(_xlfn.CONCAT(Buildings_GridElectricity_Backend[[#This Row],[Level 1]:[Level 6]]),rng_EFConcat,rng_EF3WTT)*Buildings_GridElectricity_Backend[[#This Row],[Converted data]]/1000)</f>
        <v/>
      </c>
      <c r="AJ97" s="210" t="str">
        <f>IF(Buildings_GridElectricity_Frontend[[#This Row],[Data]]="","",_xlfn.XLOOKUP(_xlfn.CONCAT(Buildings_GridElectricity_Backend[[#This Row],[Level 1]:[Level 6]]),rng_EFConcat,rng_EF3TD)*Buildings_GridElectricity_Backend[[#This Row],[Converted data]]/1000)</f>
        <v/>
      </c>
      <c r="AK97" s="210" t="str">
        <f>IF(Buildings_GridElectricity_Frontend[[#This Row],[Data]]="","",_xlfn.XLOOKUP(_xlfn.CONCAT(Buildings_GridElectricity_Backend[[#This Row],[Level 1]:[Level 6]]),rng_EFConcat,rng_EF3WTTTD)*Buildings_GridElectricity_Backend[[#This Row],[Converted data]]/1000)</f>
        <v/>
      </c>
      <c r="AL97" s="220" t="str">
        <f>IF(Buildings_GridElectricity_Frontend[[#This Row],[Data]]="","",SUM(Buildings_GridElectricity_Backend[[#This Row],[Scope 1 (tCO2e)]:[Scope 3 WTT T&amp;D (tCO2e)]]))</f>
        <v/>
      </c>
      <c r="AM97" s="220" t="str">
        <f>IF(Buildings_GridElectricity_Frontend[[#This Row],[Data]]="","",Buildings_GridElectricity_Backend[[#This Row],[Total (tCO2e)]]*(1-Buildings_GridElectricity_Backend[[#This Row],[RSD]]))</f>
        <v/>
      </c>
      <c r="AN97" s="220" t="str">
        <f>IF(Buildings_GridElectricity_Frontend[[#This Row],[Data]]="","",Buildings_GridElectricity_Backend[[#This Row],[Total (tCO2e)]]*(1+Buildings_GridElectricity_Backend[[#This Row],[RSD]]))</f>
        <v/>
      </c>
      <c r="AO97" s="210" t="str">
        <f>IF(Buildings_GridElectricity_Frontend[[#This Row],[Data]]="","",_xlfn.XLOOKUP(_xlfn.CONCAT(Buildings_GridElectricity_Backend[[#This Row],[Level 1]:[Level 6]]),rng_EFConcat,rng_EFOOS)*Buildings_GridElectricity_Backend[[#This Row],[Converted data]]/1000)</f>
        <v/>
      </c>
      <c r="AP97" s="174">
        <f>Buildings_GridElectricity_Frontend[[#This Row],[Ease of collection]]</f>
        <v>0</v>
      </c>
      <c r="AQ97" s="213">
        <f>Buildings_GridElectricity_Frontend[[#This Row],[Completeness]]</f>
        <v>0</v>
      </c>
      <c r="AR97" s="220">
        <f>Buildings_GridElectricity_Frontend[[#This Row],[Notes]]</f>
        <v>0</v>
      </c>
    </row>
    <row r="98" spans="5:44" x14ac:dyDescent="0.3">
      <c r="E98" s="346"/>
      <c r="F98" s="449"/>
      <c r="G98" s="336"/>
      <c r="H98" s="334"/>
      <c r="I98" s="172" t="s">
        <v>316</v>
      </c>
      <c r="J98" s="337"/>
      <c r="K98" s="336"/>
      <c r="L98" s="336"/>
      <c r="M98" s="337"/>
      <c r="N98" s="242">
        <f t="shared" si="5"/>
        <v>3</v>
      </c>
      <c r="Q98" s="212" t="str">
        <f t="shared" si="4"/>
        <v/>
      </c>
      <c r="R98" s="174" t="s">
        <v>265</v>
      </c>
      <c r="S98" s="174" t="s">
        <v>273</v>
      </c>
      <c r="T98" s="174" t="str">
        <f>_xlfn.XLOOKUP(Buildings_GridElectricity_Backend[[#This Row],[Info 1]],Buildings_SiteInfo[Site name],Buildings_SiteInfo[Site type], "")</f>
        <v/>
      </c>
      <c r="U98" s="174" t="s">
        <v>281</v>
      </c>
      <c r="V98" s="174" t="str" cm="1">
        <f t="array" aca="1" ref="V98" ca="1">_xlfn.XLOOKUP(Buildings_GridElectricity_Backend[[#This Row],[Level 4]],rng_Level4Long,rng_Level5Long)</f>
        <v>Electricity</v>
      </c>
      <c r="W98" s="174" t="str" cm="1">
        <f t="array" aca="1" ref="W98" ca="1">_xlfn.XLOOKUP(Buildings_GridElectricity_Backend[[#This Row],[Level 4]],rng_Level4Long,rng_Level6Long)</f>
        <v>NaN</v>
      </c>
      <c r="X98" s="174">
        <f>Buildings_GridElectricity_Frontend[[#This Row],[Site Name]]</f>
        <v>0</v>
      </c>
      <c r="Y98" s="174">
        <f>Buildings_GridElectricity_Frontend[[#This Row],[Contracting]]</f>
        <v>0</v>
      </c>
      <c r="Z98" s="174">
        <f>Buildings_GridElectricity_Frontend[[#This Row],[Methodology]]</f>
        <v>0</v>
      </c>
      <c r="AA98" s="229" t="str" cm="1">
        <f t="array" ref="AA98">IF(Buildings_GridElectricity_Frontend[[#This Row],[Data]]="","",INDEX(_xlfn.SWITCH(Buildings_GridElectricity_Backend[[#This Row],[Methodology]],"Tier 1",rng_RSD1,"Tier 2",rng_RSD2,"Tier 3",rng_RSD3),MATCH(_xlfn.CONCAT(Buildings_GridElectricity_Backend[[#This Row],[Level 1]:[Level 6]]),rng_LevelsConcat,0)))</f>
        <v/>
      </c>
      <c r="AB98" s="220">
        <f>Buildings_GridElectricity_Frontend[[#This Row],[Data]]</f>
        <v>0</v>
      </c>
      <c r="AC98" s="174" t="str">
        <f>Buildings_GridElectricity_Frontend[[#This Row],[Units]]</f>
        <v>kWh</v>
      </c>
      <c r="AD98" s="218">
        <f>Buildings_GridElectricity_Frontend[[#This Row],[Data]]</f>
        <v>0</v>
      </c>
      <c r="AE98" s="174" t="str">
        <f>Buildings_GridElectricity_Frontend[[#This Row],[Units]]</f>
        <v>kWh</v>
      </c>
      <c r="AF98" s="210" t="str">
        <f>IF(Buildings_GridElectricity_Frontend[[#This Row],[Data]]="","",_xlfn.XLOOKUP(_xlfn.CONCAT(Buildings_GridElectricity_Backend[[#This Row],[Level 1]:[Level 6]]),rng_EFConcat,rng_EF1)*Buildings_GridElectricity_Backend[[#This Row],[Converted data]]/1000)</f>
        <v/>
      </c>
      <c r="AG98" s="210" t="str">
        <f>IF(Buildings_GridElectricity_Frontend[[#This Row],[Data]]="","",_xlfn.XLOOKUP(_xlfn.CONCAT(Buildings_GridElectricity_Backend[[#This Row],[Level 1]:[Level 6]]),rng_EFConcat,rng_EF2)*Buildings_GridElectricity_Backend[[#This Row],[Converted data]]/1000)</f>
        <v/>
      </c>
      <c r="AH98" s="210" t="str">
        <f>IF(Buildings_GridElectricity_Frontend[[#This Row],[Data]]="","",_xlfn.XLOOKUP(_xlfn.CONCAT(Buildings_GridElectricity_Backend[[#This Row],[Level 1]:[Level 6]]),rng_EFConcat,rng_EF3)*Buildings_GridElectricity_Backend[[#This Row],[Converted data]]/1000)</f>
        <v/>
      </c>
      <c r="AI98" s="210" t="str">
        <f>IF(Buildings_GridElectricity_Frontend[[#This Row],[Data]]="","",_xlfn.XLOOKUP(_xlfn.CONCAT(Buildings_GridElectricity_Backend[[#This Row],[Level 1]:[Level 6]]),rng_EFConcat,rng_EF3WTT)*Buildings_GridElectricity_Backend[[#This Row],[Converted data]]/1000)</f>
        <v/>
      </c>
      <c r="AJ98" s="210" t="str">
        <f>IF(Buildings_GridElectricity_Frontend[[#This Row],[Data]]="","",_xlfn.XLOOKUP(_xlfn.CONCAT(Buildings_GridElectricity_Backend[[#This Row],[Level 1]:[Level 6]]),rng_EFConcat,rng_EF3TD)*Buildings_GridElectricity_Backend[[#This Row],[Converted data]]/1000)</f>
        <v/>
      </c>
      <c r="AK98" s="210" t="str">
        <f>IF(Buildings_GridElectricity_Frontend[[#This Row],[Data]]="","",_xlfn.XLOOKUP(_xlfn.CONCAT(Buildings_GridElectricity_Backend[[#This Row],[Level 1]:[Level 6]]),rng_EFConcat,rng_EF3WTTTD)*Buildings_GridElectricity_Backend[[#This Row],[Converted data]]/1000)</f>
        <v/>
      </c>
      <c r="AL98" s="220" t="str">
        <f>IF(Buildings_GridElectricity_Frontend[[#This Row],[Data]]="","",SUM(Buildings_GridElectricity_Backend[[#This Row],[Scope 1 (tCO2e)]:[Scope 3 WTT T&amp;D (tCO2e)]]))</f>
        <v/>
      </c>
      <c r="AM98" s="220" t="str">
        <f>IF(Buildings_GridElectricity_Frontend[[#This Row],[Data]]="","",Buildings_GridElectricity_Backend[[#This Row],[Total (tCO2e)]]*(1-Buildings_GridElectricity_Backend[[#This Row],[RSD]]))</f>
        <v/>
      </c>
      <c r="AN98" s="220" t="str">
        <f>IF(Buildings_GridElectricity_Frontend[[#This Row],[Data]]="","",Buildings_GridElectricity_Backend[[#This Row],[Total (tCO2e)]]*(1+Buildings_GridElectricity_Backend[[#This Row],[RSD]]))</f>
        <v/>
      </c>
      <c r="AO98" s="210" t="str">
        <f>IF(Buildings_GridElectricity_Frontend[[#This Row],[Data]]="","",_xlfn.XLOOKUP(_xlfn.CONCAT(Buildings_GridElectricity_Backend[[#This Row],[Level 1]:[Level 6]]),rng_EFConcat,rng_EFOOS)*Buildings_GridElectricity_Backend[[#This Row],[Converted data]]/1000)</f>
        <v/>
      </c>
      <c r="AP98" s="174">
        <f>Buildings_GridElectricity_Frontend[[#This Row],[Ease of collection]]</f>
        <v>0</v>
      </c>
      <c r="AQ98" s="213">
        <f>Buildings_GridElectricity_Frontend[[#This Row],[Completeness]]</f>
        <v>0</v>
      </c>
      <c r="AR98" s="220">
        <f>Buildings_GridElectricity_Frontend[[#This Row],[Notes]]</f>
        <v>0</v>
      </c>
    </row>
    <row r="99" spans="5:44" x14ac:dyDescent="0.3">
      <c r="E99" s="346"/>
      <c r="F99" s="449"/>
      <c r="G99" s="336"/>
      <c r="H99" s="334"/>
      <c r="I99" s="172" t="s">
        <v>316</v>
      </c>
      <c r="J99" s="337"/>
      <c r="K99" s="336"/>
      <c r="L99" s="336"/>
      <c r="M99" s="337"/>
      <c r="N99" s="242">
        <f t="shared" si="5"/>
        <v>3</v>
      </c>
      <c r="Q99" s="212" t="str">
        <f t="shared" si="4"/>
        <v/>
      </c>
      <c r="R99" s="174" t="s">
        <v>265</v>
      </c>
      <c r="S99" s="174" t="s">
        <v>273</v>
      </c>
      <c r="T99" s="174" t="str">
        <f>_xlfn.XLOOKUP(Buildings_GridElectricity_Backend[[#This Row],[Info 1]],Buildings_SiteInfo[Site name],Buildings_SiteInfo[Site type], "")</f>
        <v/>
      </c>
      <c r="U99" s="174" t="s">
        <v>281</v>
      </c>
      <c r="V99" s="174" t="str" cm="1">
        <f t="array" aca="1" ref="V99" ca="1">_xlfn.XLOOKUP(Buildings_GridElectricity_Backend[[#This Row],[Level 4]],rng_Level4Long,rng_Level5Long)</f>
        <v>Electricity</v>
      </c>
      <c r="W99" s="174" t="str" cm="1">
        <f t="array" aca="1" ref="W99" ca="1">_xlfn.XLOOKUP(Buildings_GridElectricity_Backend[[#This Row],[Level 4]],rng_Level4Long,rng_Level6Long)</f>
        <v>NaN</v>
      </c>
      <c r="X99" s="174">
        <f>Buildings_GridElectricity_Frontend[[#This Row],[Site Name]]</f>
        <v>0</v>
      </c>
      <c r="Y99" s="174">
        <f>Buildings_GridElectricity_Frontend[[#This Row],[Contracting]]</f>
        <v>0</v>
      </c>
      <c r="Z99" s="174">
        <f>Buildings_GridElectricity_Frontend[[#This Row],[Methodology]]</f>
        <v>0</v>
      </c>
      <c r="AA99" s="229" t="str" cm="1">
        <f t="array" ref="AA99">IF(Buildings_GridElectricity_Frontend[[#This Row],[Data]]="","",INDEX(_xlfn.SWITCH(Buildings_GridElectricity_Backend[[#This Row],[Methodology]],"Tier 1",rng_RSD1,"Tier 2",rng_RSD2,"Tier 3",rng_RSD3),MATCH(_xlfn.CONCAT(Buildings_GridElectricity_Backend[[#This Row],[Level 1]:[Level 6]]),rng_LevelsConcat,0)))</f>
        <v/>
      </c>
      <c r="AB99" s="220">
        <f>Buildings_GridElectricity_Frontend[[#This Row],[Data]]</f>
        <v>0</v>
      </c>
      <c r="AC99" s="174" t="str">
        <f>Buildings_GridElectricity_Frontend[[#This Row],[Units]]</f>
        <v>kWh</v>
      </c>
      <c r="AD99" s="218">
        <f>Buildings_GridElectricity_Frontend[[#This Row],[Data]]</f>
        <v>0</v>
      </c>
      <c r="AE99" s="174" t="str">
        <f>Buildings_GridElectricity_Frontend[[#This Row],[Units]]</f>
        <v>kWh</v>
      </c>
      <c r="AF99" s="210" t="str">
        <f>IF(Buildings_GridElectricity_Frontend[[#This Row],[Data]]="","",_xlfn.XLOOKUP(_xlfn.CONCAT(Buildings_GridElectricity_Backend[[#This Row],[Level 1]:[Level 6]]),rng_EFConcat,rng_EF1)*Buildings_GridElectricity_Backend[[#This Row],[Converted data]]/1000)</f>
        <v/>
      </c>
      <c r="AG99" s="210" t="str">
        <f>IF(Buildings_GridElectricity_Frontend[[#This Row],[Data]]="","",_xlfn.XLOOKUP(_xlfn.CONCAT(Buildings_GridElectricity_Backend[[#This Row],[Level 1]:[Level 6]]),rng_EFConcat,rng_EF2)*Buildings_GridElectricity_Backend[[#This Row],[Converted data]]/1000)</f>
        <v/>
      </c>
      <c r="AH99" s="210" t="str">
        <f>IF(Buildings_GridElectricity_Frontend[[#This Row],[Data]]="","",_xlfn.XLOOKUP(_xlfn.CONCAT(Buildings_GridElectricity_Backend[[#This Row],[Level 1]:[Level 6]]),rng_EFConcat,rng_EF3)*Buildings_GridElectricity_Backend[[#This Row],[Converted data]]/1000)</f>
        <v/>
      </c>
      <c r="AI99" s="210" t="str">
        <f>IF(Buildings_GridElectricity_Frontend[[#This Row],[Data]]="","",_xlfn.XLOOKUP(_xlfn.CONCAT(Buildings_GridElectricity_Backend[[#This Row],[Level 1]:[Level 6]]),rng_EFConcat,rng_EF3WTT)*Buildings_GridElectricity_Backend[[#This Row],[Converted data]]/1000)</f>
        <v/>
      </c>
      <c r="AJ99" s="210" t="str">
        <f>IF(Buildings_GridElectricity_Frontend[[#This Row],[Data]]="","",_xlfn.XLOOKUP(_xlfn.CONCAT(Buildings_GridElectricity_Backend[[#This Row],[Level 1]:[Level 6]]),rng_EFConcat,rng_EF3TD)*Buildings_GridElectricity_Backend[[#This Row],[Converted data]]/1000)</f>
        <v/>
      </c>
      <c r="AK99" s="210" t="str">
        <f>IF(Buildings_GridElectricity_Frontend[[#This Row],[Data]]="","",_xlfn.XLOOKUP(_xlfn.CONCAT(Buildings_GridElectricity_Backend[[#This Row],[Level 1]:[Level 6]]),rng_EFConcat,rng_EF3WTTTD)*Buildings_GridElectricity_Backend[[#This Row],[Converted data]]/1000)</f>
        <v/>
      </c>
      <c r="AL99" s="220" t="str">
        <f>IF(Buildings_GridElectricity_Frontend[[#This Row],[Data]]="","",SUM(Buildings_GridElectricity_Backend[[#This Row],[Scope 1 (tCO2e)]:[Scope 3 WTT T&amp;D (tCO2e)]]))</f>
        <v/>
      </c>
      <c r="AM99" s="220" t="str">
        <f>IF(Buildings_GridElectricity_Frontend[[#This Row],[Data]]="","",Buildings_GridElectricity_Backend[[#This Row],[Total (tCO2e)]]*(1-Buildings_GridElectricity_Backend[[#This Row],[RSD]]))</f>
        <v/>
      </c>
      <c r="AN99" s="220" t="str">
        <f>IF(Buildings_GridElectricity_Frontend[[#This Row],[Data]]="","",Buildings_GridElectricity_Backend[[#This Row],[Total (tCO2e)]]*(1+Buildings_GridElectricity_Backend[[#This Row],[RSD]]))</f>
        <v/>
      </c>
      <c r="AO99" s="210" t="str">
        <f>IF(Buildings_GridElectricity_Frontend[[#This Row],[Data]]="","",_xlfn.XLOOKUP(_xlfn.CONCAT(Buildings_GridElectricity_Backend[[#This Row],[Level 1]:[Level 6]]),rng_EFConcat,rng_EFOOS)*Buildings_GridElectricity_Backend[[#This Row],[Converted data]]/1000)</f>
        <v/>
      </c>
      <c r="AP99" s="174">
        <f>Buildings_GridElectricity_Frontend[[#This Row],[Ease of collection]]</f>
        <v>0</v>
      </c>
      <c r="AQ99" s="213">
        <f>Buildings_GridElectricity_Frontend[[#This Row],[Completeness]]</f>
        <v>0</v>
      </c>
      <c r="AR99" s="220">
        <f>Buildings_GridElectricity_Frontend[[#This Row],[Notes]]</f>
        <v>0</v>
      </c>
    </row>
    <row r="100" spans="5:44" x14ac:dyDescent="0.3">
      <c r="E100" s="346"/>
      <c r="F100" s="449"/>
      <c r="G100" s="336"/>
      <c r="H100" s="334"/>
      <c r="I100" s="172" t="s">
        <v>316</v>
      </c>
      <c r="J100" s="337"/>
      <c r="K100" s="336"/>
      <c r="L100" s="336"/>
      <c r="M100" s="337"/>
      <c r="N100" s="242">
        <f t="shared" si="5"/>
        <v>3</v>
      </c>
      <c r="Q100" s="212" t="str">
        <f t="shared" si="4"/>
        <v/>
      </c>
      <c r="R100" s="174" t="s">
        <v>265</v>
      </c>
      <c r="S100" s="174" t="s">
        <v>273</v>
      </c>
      <c r="T100" s="174" t="str">
        <f>_xlfn.XLOOKUP(Buildings_GridElectricity_Backend[[#This Row],[Info 1]],Buildings_SiteInfo[Site name],Buildings_SiteInfo[Site type], "")</f>
        <v/>
      </c>
      <c r="U100" s="174" t="s">
        <v>281</v>
      </c>
      <c r="V100" s="174" t="str" cm="1">
        <f t="array" aca="1" ref="V100" ca="1">_xlfn.XLOOKUP(Buildings_GridElectricity_Backend[[#This Row],[Level 4]],rng_Level4Long,rng_Level5Long)</f>
        <v>Electricity</v>
      </c>
      <c r="W100" s="174" t="str" cm="1">
        <f t="array" aca="1" ref="W100" ca="1">_xlfn.XLOOKUP(Buildings_GridElectricity_Backend[[#This Row],[Level 4]],rng_Level4Long,rng_Level6Long)</f>
        <v>NaN</v>
      </c>
      <c r="X100" s="174">
        <f>Buildings_GridElectricity_Frontend[[#This Row],[Site Name]]</f>
        <v>0</v>
      </c>
      <c r="Y100" s="174">
        <f>Buildings_GridElectricity_Frontend[[#This Row],[Contracting]]</f>
        <v>0</v>
      </c>
      <c r="Z100" s="174">
        <f>Buildings_GridElectricity_Frontend[[#This Row],[Methodology]]</f>
        <v>0</v>
      </c>
      <c r="AA100" s="229" t="str" cm="1">
        <f t="array" ref="AA100">IF(Buildings_GridElectricity_Frontend[[#This Row],[Data]]="","",INDEX(_xlfn.SWITCH(Buildings_GridElectricity_Backend[[#This Row],[Methodology]],"Tier 1",rng_RSD1,"Tier 2",rng_RSD2,"Tier 3",rng_RSD3),MATCH(_xlfn.CONCAT(Buildings_GridElectricity_Backend[[#This Row],[Level 1]:[Level 6]]),rng_LevelsConcat,0)))</f>
        <v/>
      </c>
      <c r="AB100" s="220">
        <f>Buildings_GridElectricity_Frontend[[#This Row],[Data]]</f>
        <v>0</v>
      </c>
      <c r="AC100" s="174" t="str">
        <f>Buildings_GridElectricity_Frontend[[#This Row],[Units]]</f>
        <v>kWh</v>
      </c>
      <c r="AD100" s="218">
        <f>Buildings_GridElectricity_Frontend[[#This Row],[Data]]</f>
        <v>0</v>
      </c>
      <c r="AE100" s="174" t="str">
        <f>Buildings_GridElectricity_Frontend[[#This Row],[Units]]</f>
        <v>kWh</v>
      </c>
      <c r="AF100" s="210" t="str">
        <f>IF(Buildings_GridElectricity_Frontend[[#This Row],[Data]]="","",_xlfn.XLOOKUP(_xlfn.CONCAT(Buildings_GridElectricity_Backend[[#This Row],[Level 1]:[Level 6]]),rng_EFConcat,rng_EF1)*Buildings_GridElectricity_Backend[[#This Row],[Converted data]]/1000)</f>
        <v/>
      </c>
      <c r="AG100" s="210" t="str">
        <f>IF(Buildings_GridElectricity_Frontend[[#This Row],[Data]]="","",_xlfn.XLOOKUP(_xlfn.CONCAT(Buildings_GridElectricity_Backend[[#This Row],[Level 1]:[Level 6]]),rng_EFConcat,rng_EF2)*Buildings_GridElectricity_Backend[[#This Row],[Converted data]]/1000)</f>
        <v/>
      </c>
      <c r="AH100" s="210" t="str">
        <f>IF(Buildings_GridElectricity_Frontend[[#This Row],[Data]]="","",_xlfn.XLOOKUP(_xlfn.CONCAT(Buildings_GridElectricity_Backend[[#This Row],[Level 1]:[Level 6]]),rng_EFConcat,rng_EF3)*Buildings_GridElectricity_Backend[[#This Row],[Converted data]]/1000)</f>
        <v/>
      </c>
      <c r="AI100" s="210" t="str">
        <f>IF(Buildings_GridElectricity_Frontend[[#This Row],[Data]]="","",_xlfn.XLOOKUP(_xlfn.CONCAT(Buildings_GridElectricity_Backend[[#This Row],[Level 1]:[Level 6]]),rng_EFConcat,rng_EF3WTT)*Buildings_GridElectricity_Backend[[#This Row],[Converted data]]/1000)</f>
        <v/>
      </c>
      <c r="AJ100" s="210" t="str">
        <f>IF(Buildings_GridElectricity_Frontend[[#This Row],[Data]]="","",_xlfn.XLOOKUP(_xlfn.CONCAT(Buildings_GridElectricity_Backend[[#This Row],[Level 1]:[Level 6]]),rng_EFConcat,rng_EF3TD)*Buildings_GridElectricity_Backend[[#This Row],[Converted data]]/1000)</f>
        <v/>
      </c>
      <c r="AK100" s="210" t="str">
        <f>IF(Buildings_GridElectricity_Frontend[[#This Row],[Data]]="","",_xlfn.XLOOKUP(_xlfn.CONCAT(Buildings_GridElectricity_Backend[[#This Row],[Level 1]:[Level 6]]),rng_EFConcat,rng_EF3WTTTD)*Buildings_GridElectricity_Backend[[#This Row],[Converted data]]/1000)</f>
        <v/>
      </c>
      <c r="AL100" s="220" t="str">
        <f>IF(Buildings_GridElectricity_Frontend[[#This Row],[Data]]="","",SUM(Buildings_GridElectricity_Backend[[#This Row],[Scope 1 (tCO2e)]:[Scope 3 WTT T&amp;D (tCO2e)]]))</f>
        <v/>
      </c>
      <c r="AM100" s="220" t="str">
        <f>IF(Buildings_GridElectricity_Frontend[[#This Row],[Data]]="","",Buildings_GridElectricity_Backend[[#This Row],[Total (tCO2e)]]*(1-Buildings_GridElectricity_Backend[[#This Row],[RSD]]))</f>
        <v/>
      </c>
      <c r="AN100" s="220" t="str">
        <f>IF(Buildings_GridElectricity_Frontend[[#This Row],[Data]]="","",Buildings_GridElectricity_Backend[[#This Row],[Total (tCO2e)]]*(1+Buildings_GridElectricity_Backend[[#This Row],[RSD]]))</f>
        <v/>
      </c>
      <c r="AO100" s="210" t="str">
        <f>IF(Buildings_GridElectricity_Frontend[[#This Row],[Data]]="","",_xlfn.XLOOKUP(_xlfn.CONCAT(Buildings_GridElectricity_Backend[[#This Row],[Level 1]:[Level 6]]),rng_EFConcat,rng_EFOOS)*Buildings_GridElectricity_Backend[[#This Row],[Converted data]]/1000)</f>
        <v/>
      </c>
      <c r="AP100" s="174">
        <f>Buildings_GridElectricity_Frontend[[#This Row],[Ease of collection]]</f>
        <v>0</v>
      </c>
      <c r="AQ100" s="213">
        <f>Buildings_GridElectricity_Frontend[[#This Row],[Completeness]]</f>
        <v>0</v>
      </c>
      <c r="AR100" s="220">
        <f>Buildings_GridElectricity_Frontend[[#This Row],[Notes]]</f>
        <v>0</v>
      </c>
    </row>
    <row r="101" spans="5:44" x14ac:dyDescent="0.3">
      <c r="E101" s="346"/>
      <c r="F101" s="449"/>
      <c r="G101" s="336"/>
      <c r="H101" s="334"/>
      <c r="I101" s="172" t="s">
        <v>316</v>
      </c>
      <c r="J101" s="337"/>
      <c r="K101" s="336"/>
      <c r="L101" s="336"/>
      <c r="M101" s="337"/>
      <c r="N101" s="242">
        <f t="shared" si="5"/>
        <v>3</v>
      </c>
      <c r="Q101" s="212" t="str">
        <f t="shared" si="4"/>
        <v/>
      </c>
      <c r="R101" s="174" t="s">
        <v>265</v>
      </c>
      <c r="S101" s="174" t="s">
        <v>273</v>
      </c>
      <c r="T101" s="174" t="str">
        <f>_xlfn.XLOOKUP(Buildings_GridElectricity_Backend[[#This Row],[Info 1]],Buildings_SiteInfo[Site name],Buildings_SiteInfo[Site type], "")</f>
        <v/>
      </c>
      <c r="U101" s="174" t="s">
        <v>281</v>
      </c>
      <c r="V101" s="174" t="str" cm="1">
        <f t="array" aca="1" ref="V101" ca="1">_xlfn.XLOOKUP(Buildings_GridElectricity_Backend[[#This Row],[Level 4]],rng_Level4Long,rng_Level5Long)</f>
        <v>Electricity</v>
      </c>
      <c r="W101" s="174" t="str" cm="1">
        <f t="array" aca="1" ref="W101" ca="1">_xlfn.XLOOKUP(Buildings_GridElectricity_Backend[[#This Row],[Level 4]],rng_Level4Long,rng_Level6Long)</f>
        <v>NaN</v>
      </c>
      <c r="X101" s="174">
        <f>Buildings_GridElectricity_Frontend[[#This Row],[Site Name]]</f>
        <v>0</v>
      </c>
      <c r="Y101" s="174">
        <f>Buildings_GridElectricity_Frontend[[#This Row],[Contracting]]</f>
        <v>0</v>
      </c>
      <c r="Z101" s="174">
        <f>Buildings_GridElectricity_Frontend[[#This Row],[Methodology]]</f>
        <v>0</v>
      </c>
      <c r="AA101" s="229" t="str" cm="1">
        <f t="array" ref="AA101">IF(Buildings_GridElectricity_Frontend[[#This Row],[Data]]="","",INDEX(_xlfn.SWITCH(Buildings_GridElectricity_Backend[[#This Row],[Methodology]],"Tier 1",rng_RSD1,"Tier 2",rng_RSD2,"Tier 3",rng_RSD3),MATCH(_xlfn.CONCAT(Buildings_GridElectricity_Backend[[#This Row],[Level 1]:[Level 6]]),rng_LevelsConcat,0)))</f>
        <v/>
      </c>
      <c r="AB101" s="220">
        <f>Buildings_GridElectricity_Frontend[[#This Row],[Data]]</f>
        <v>0</v>
      </c>
      <c r="AC101" s="174" t="str">
        <f>Buildings_GridElectricity_Frontend[[#This Row],[Units]]</f>
        <v>kWh</v>
      </c>
      <c r="AD101" s="218">
        <f>Buildings_GridElectricity_Frontend[[#This Row],[Data]]</f>
        <v>0</v>
      </c>
      <c r="AE101" s="174" t="str">
        <f>Buildings_GridElectricity_Frontend[[#This Row],[Units]]</f>
        <v>kWh</v>
      </c>
      <c r="AF101" s="210" t="str">
        <f>IF(Buildings_GridElectricity_Frontend[[#This Row],[Data]]="","",_xlfn.XLOOKUP(_xlfn.CONCAT(Buildings_GridElectricity_Backend[[#This Row],[Level 1]:[Level 6]]),rng_EFConcat,rng_EF1)*Buildings_GridElectricity_Backend[[#This Row],[Converted data]]/1000)</f>
        <v/>
      </c>
      <c r="AG101" s="210" t="str">
        <f>IF(Buildings_GridElectricity_Frontend[[#This Row],[Data]]="","",_xlfn.XLOOKUP(_xlfn.CONCAT(Buildings_GridElectricity_Backend[[#This Row],[Level 1]:[Level 6]]),rng_EFConcat,rng_EF2)*Buildings_GridElectricity_Backend[[#This Row],[Converted data]]/1000)</f>
        <v/>
      </c>
      <c r="AH101" s="210" t="str">
        <f>IF(Buildings_GridElectricity_Frontend[[#This Row],[Data]]="","",_xlfn.XLOOKUP(_xlfn.CONCAT(Buildings_GridElectricity_Backend[[#This Row],[Level 1]:[Level 6]]),rng_EFConcat,rng_EF3)*Buildings_GridElectricity_Backend[[#This Row],[Converted data]]/1000)</f>
        <v/>
      </c>
      <c r="AI101" s="210" t="str">
        <f>IF(Buildings_GridElectricity_Frontend[[#This Row],[Data]]="","",_xlfn.XLOOKUP(_xlfn.CONCAT(Buildings_GridElectricity_Backend[[#This Row],[Level 1]:[Level 6]]),rng_EFConcat,rng_EF3WTT)*Buildings_GridElectricity_Backend[[#This Row],[Converted data]]/1000)</f>
        <v/>
      </c>
      <c r="AJ101" s="210" t="str">
        <f>IF(Buildings_GridElectricity_Frontend[[#This Row],[Data]]="","",_xlfn.XLOOKUP(_xlfn.CONCAT(Buildings_GridElectricity_Backend[[#This Row],[Level 1]:[Level 6]]),rng_EFConcat,rng_EF3TD)*Buildings_GridElectricity_Backend[[#This Row],[Converted data]]/1000)</f>
        <v/>
      </c>
      <c r="AK101" s="210" t="str">
        <f>IF(Buildings_GridElectricity_Frontend[[#This Row],[Data]]="","",_xlfn.XLOOKUP(_xlfn.CONCAT(Buildings_GridElectricity_Backend[[#This Row],[Level 1]:[Level 6]]),rng_EFConcat,rng_EF3WTTTD)*Buildings_GridElectricity_Backend[[#This Row],[Converted data]]/1000)</f>
        <v/>
      </c>
      <c r="AL101" s="220" t="str">
        <f>IF(Buildings_GridElectricity_Frontend[[#This Row],[Data]]="","",SUM(Buildings_GridElectricity_Backend[[#This Row],[Scope 1 (tCO2e)]:[Scope 3 WTT T&amp;D (tCO2e)]]))</f>
        <v/>
      </c>
      <c r="AM101" s="220" t="str">
        <f>IF(Buildings_GridElectricity_Frontend[[#This Row],[Data]]="","",Buildings_GridElectricity_Backend[[#This Row],[Total (tCO2e)]]*(1-Buildings_GridElectricity_Backend[[#This Row],[RSD]]))</f>
        <v/>
      </c>
      <c r="AN101" s="220" t="str">
        <f>IF(Buildings_GridElectricity_Frontend[[#This Row],[Data]]="","",Buildings_GridElectricity_Backend[[#This Row],[Total (tCO2e)]]*(1+Buildings_GridElectricity_Backend[[#This Row],[RSD]]))</f>
        <v/>
      </c>
      <c r="AO101" s="210" t="str">
        <f>IF(Buildings_GridElectricity_Frontend[[#This Row],[Data]]="","",_xlfn.XLOOKUP(_xlfn.CONCAT(Buildings_GridElectricity_Backend[[#This Row],[Level 1]:[Level 6]]),rng_EFConcat,rng_EFOOS)*Buildings_GridElectricity_Backend[[#This Row],[Converted data]]/1000)</f>
        <v/>
      </c>
      <c r="AP101" s="174">
        <f>Buildings_GridElectricity_Frontend[[#This Row],[Ease of collection]]</f>
        <v>0</v>
      </c>
      <c r="AQ101" s="213">
        <f>Buildings_GridElectricity_Frontend[[#This Row],[Completeness]]</f>
        <v>0</v>
      </c>
      <c r="AR101" s="220">
        <f>Buildings_GridElectricity_Frontend[[#This Row],[Notes]]</f>
        <v>0</v>
      </c>
    </row>
    <row r="102" spans="5:44" x14ac:dyDescent="0.3">
      <c r="E102" s="346"/>
      <c r="F102" s="449"/>
      <c r="G102" s="336"/>
      <c r="H102" s="334"/>
      <c r="I102" s="172" t="s">
        <v>316</v>
      </c>
      <c r="J102" s="337"/>
      <c r="K102" s="336"/>
      <c r="L102" s="336"/>
      <c r="M102" s="337"/>
      <c r="N102" s="242">
        <f t="shared" si="5"/>
        <v>3</v>
      </c>
      <c r="Q102" s="212" t="str">
        <f t="shared" si="4"/>
        <v/>
      </c>
      <c r="R102" s="174" t="s">
        <v>265</v>
      </c>
      <c r="S102" s="174" t="s">
        <v>273</v>
      </c>
      <c r="T102" s="174" t="str">
        <f>_xlfn.XLOOKUP(Buildings_GridElectricity_Backend[[#This Row],[Info 1]],Buildings_SiteInfo[Site name],Buildings_SiteInfo[Site type], "")</f>
        <v/>
      </c>
      <c r="U102" s="174" t="s">
        <v>281</v>
      </c>
      <c r="V102" s="174" t="str" cm="1">
        <f t="array" aca="1" ref="V102" ca="1">_xlfn.XLOOKUP(Buildings_GridElectricity_Backend[[#This Row],[Level 4]],rng_Level4Long,rng_Level5Long)</f>
        <v>Electricity</v>
      </c>
      <c r="W102" s="174" t="str" cm="1">
        <f t="array" aca="1" ref="W102" ca="1">_xlfn.XLOOKUP(Buildings_GridElectricity_Backend[[#This Row],[Level 4]],rng_Level4Long,rng_Level6Long)</f>
        <v>NaN</v>
      </c>
      <c r="X102" s="174">
        <f>Buildings_GridElectricity_Frontend[[#This Row],[Site Name]]</f>
        <v>0</v>
      </c>
      <c r="Y102" s="174">
        <f>Buildings_GridElectricity_Frontend[[#This Row],[Contracting]]</f>
        <v>0</v>
      </c>
      <c r="Z102" s="174">
        <f>Buildings_GridElectricity_Frontend[[#This Row],[Methodology]]</f>
        <v>0</v>
      </c>
      <c r="AA102" s="229" t="str" cm="1">
        <f t="array" ref="AA102">IF(Buildings_GridElectricity_Frontend[[#This Row],[Data]]="","",INDEX(_xlfn.SWITCH(Buildings_GridElectricity_Backend[[#This Row],[Methodology]],"Tier 1",rng_RSD1,"Tier 2",rng_RSD2,"Tier 3",rng_RSD3),MATCH(_xlfn.CONCAT(Buildings_GridElectricity_Backend[[#This Row],[Level 1]:[Level 6]]),rng_LevelsConcat,0)))</f>
        <v/>
      </c>
      <c r="AB102" s="220">
        <f>Buildings_GridElectricity_Frontend[[#This Row],[Data]]</f>
        <v>0</v>
      </c>
      <c r="AC102" s="174" t="str">
        <f>Buildings_GridElectricity_Frontend[[#This Row],[Units]]</f>
        <v>kWh</v>
      </c>
      <c r="AD102" s="218">
        <f>Buildings_GridElectricity_Frontend[[#This Row],[Data]]</f>
        <v>0</v>
      </c>
      <c r="AE102" s="174" t="str">
        <f>Buildings_GridElectricity_Frontend[[#This Row],[Units]]</f>
        <v>kWh</v>
      </c>
      <c r="AF102" s="210" t="str">
        <f>IF(Buildings_GridElectricity_Frontend[[#This Row],[Data]]="","",_xlfn.XLOOKUP(_xlfn.CONCAT(Buildings_GridElectricity_Backend[[#This Row],[Level 1]:[Level 6]]),rng_EFConcat,rng_EF1)*Buildings_GridElectricity_Backend[[#This Row],[Converted data]]/1000)</f>
        <v/>
      </c>
      <c r="AG102" s="210" t="str">
        <f>IF(Buildings_GridElectricity_Frontend[[#This Row],[Data]]="","",_xlfn.XLOOKUP(_xlfn.CONCAT(Buildings_GridElectricity_Backend[[#This Row],[Level 1]:[Level 6]]),rng_EFConcat,rng_EF2)*Buildings_GridElectricity_Backend[[#This Row],[Converted data]]/1000)</f>
        <v/>
      </c>
      <c r="AH102" s="210" t="str">
        <f>IF(Buildings_GridElectricity_Frontend[[#This Row],[Data]]="","",_xlfn.XLOOKUP(_xlfn.CONCAT(Buildings_GridElectricity_Backend[[#This Row],[Level 1]:[Level 6]]),rng_EFConcat,rng_EF3)*Buildings_GridElectricity_Backend[[#This Row],[Converted data]]/1000)</f>
        <v/>
      </c>
      <c r="AI102" s="210" t="str">
        <f>IF(Buildings_GridElectricity_Frontend[[#This Row],[Data]]="","",_xlfn.XLOOKUP(_xlfn.CONCAT(Buildings_GridElectricity_Backend[[#This Row],[Level 1]:[Level 6]]),rng_EFConcat,rng_EF3WTT)*Buildings_GridElectricity_Backend[[#This Row],[Converted data]]/1000)</f>
        <v/>
      </c>
      <c r="AJ102" s="210" t="str">
        <f>IF(Buildings_GridElectricity_Frontend[[#This Row],[Data]]="","",_xlfn.XLOOKUP(_xlfn.CONCAT(Buildings_GridElectricity_Backend[[#This Row],[Level 1]:[Level 6]]),rng_EFConcat,rng_EF3TD)*Buildings_GridElectricity_Backend[[#This Row],[Converted data]]/1000)</f>
        <v/>
      </c>
      <c r="AK102" s="210" t="str">
        <f>IF(Buildings_GridElectricity_Frontend[[#This Row],[Data]]="","",_xlfn.XLOOKUP(_xlfn.CONCAT(Buildings_GridElectricity_Backend[[#This Row],[Level 1]:[Level 6]]),rng_EFConcat,rng_EF3WTTTD)*Buildings_GridElectricity_Backend[[#This Row],[Converted data]]/1000)</f>
        <v/>
      </c>
      <c r="AL102" s="220" t="str">
        <f>IF(Buildings_GridElectricity_Frontend[[#This Row],[Data]]="","",SUM(Buildings_GridElectricity_Backend[[#This Row],[Scope 1 (tCO2e)]:[Scope 3 WTT T&amp;D (tCO2e)]]))</f>
        <v/>
      </c>
      <c r="AM102" s="220" t="str">
        <f>IF(Buildings_GridElectricity_Frontend[[#This Row],[Data]]="","",Buildings_GridElectricity_Backend[[#This Row],[Total (tCO2e)]]*(1-Buildings_GridElectricity_Backend[[#This Row],[RSD]]))</f>
        <v/>
      </c>
      <c r="AN102" s="220" t="str">
        <f>IF(Buildings_GridElectricity_Frontend[[#This Row],[Data]]="","",Buildings_GridElectricity_Backend[[#This Row],[Total (tCO2e)]]*(1+Buildings_GridElectricity_Backend[[#This Row],[RSD]]))</f>
        <v/>
      </c>
      <c r="AO102" s="210" t="str">
        <f>IF(Buildings_GridElectricity_Frontend[[#This Row],[Data]]="","",_xlfn.XLOOKUP(_xlfn.CONCAT(Buildings_GridElectricity_Backend[[#This Row],[Level 1]:[Level 6]]),rng_EFConcat,rng_EFOOS)*Buildings_GridElectricity_Backend[[#This Row],[Converted data]]/1000)</f>
        <v/>
      </c>
      <c r="AP102" s="174">
        <f>Buildings_GridElectricity_Frontend[[#This Row],[Ease of collection]]</f>
        <v>0</v>
      </c>
      <c r="AQ102" s="213">
        <f>Buildings_GridElectricity_Frontend[[#This Row],[Completeness]]</f>
        <v>0</v>
      </c>
      <c r="AR102" s="220">
        <f>Buildings_GridElectricity_Frontend[[#This Row],[Notes]]</f>
        <v>0</v>
      </c>
    </row>
    <row r="103" spans="5:44" x14ac:dyDescent="0.3">
      <c r="E103" s="346"/>
      <c r="F103" s="449"/>
      <c r="G103" s="336"/>
      <c r="H103" s="334"/>
      <c r="I103" s="172" t="s">
        <v>316</v>
      </c>
      <c r="J103" s="337"/>
      <c r="K103" s="336"/>
      <c r="L103" s="336"/>
      <c r="M103" s="337"/>
      <c r="N103" s="242">
        <f t="shared" si="5"/>
        <v>3</v>
      </c>
      <c r="Q103" s="212" t="str">
        <f t="shared" si="4"/>
        <v/>
      </c>
      <c r="R103" s="174" t="s">
        <v>265</v>
      </c>
      <c r="S103" s="174" t="s">
        <v>273</v>
      </c>
      <c r="T103" s="174" t="str">
        <f>_xlfn.XLOOKUP(Buildings_GridElectricity_Backend[[#This Row],[Info 1]],Buildings_SiteInfo[Site name],Buildings_SiteInfo[Site type], "")</f>
        <v/>
      </c>
      <c r="U103" s="174" t="s">
        <v>281</v>
      </c>
      <c r="V103" s="174" t="str" cm="1">
        <f t="array" aca="1" ref="V103" ca="1">_xlfn.XLOOKUP(Buildings_GridElectricity_Backend[[#This Row],[Level 4]],rng_Level4Long,rng_Level5Long)</f>
        <v>Electricity</v>
      </c>
      <c r="W103" s="174" t="str" cm="1">
        <f t="array" aca="1" ref="W103" ca="1">_xlfn.XLOOKUP(Buildings_GridElectricity_Backend[[#This Row],[Level 4]],rng_Level4Long,rng_Level6Long)</f>
        <v>NaN</v>
      </c>
      <c r="X103" s="174">
        <f>Buildings_GridElectricity_Frontend[[#This Row],[Site Name]]</f>
        <v>0</v>
      </c>
      <c r="Y103" s="174">
        <f>Buildings_GridElectricity_Frontend[[#This Row],[Contracting]]</f>
        <v>0</v>
      </c>
      <c r="Z103" s="174">
        <f>Buildings_GridElectricity_Frontend[[#This Row],[Methodology]]</f>
        <v>0</v>
      </c>
      <c r="AA103" s="229" t="str" cm="1">
        <f t="array" ref="AA103">IF(Buildings_GridElectricity_Frontend[[#This Row],[Data]]="","",INDEX(_xlfn.SWITCH(Buildings_GridElectricity_Backend[[#This Row],[Methodology]],"Tier 1",rng_RSD1,"Tier 2",rng_RSD2,"Tier 3",rng_RSD3),MATCH(_xlfn.CONCAT(Buildings_GridElectricity_Backend[[#This Row],[Level 1]:[Level 6]]),rng_LevelsConcat,0)))</f>
        <v/>
      </c>
      <c r="AB103" s="220">
        <f>Buildings_GridElectricity_Frontend[[#This Row],[Data]]</f>
        <v>0</v>
      </c>
      <c r="AC103" s="174" t="str">
        <f>Buildings_GridElectricity_Frontend[[#This Row],[Units]]</f>
        <v>kWh</v>
      </c>
      <c r="AD103" s="218">
        <f>Buildings_GridElectricity_Frontend[[#This Row],[Data]]</f>
        <v>0</v>
      </c>
      <c r="AE103" s="174" t="str">
        <f>Buildings_GridElectricity_Frontend[[#This Row],[Units]]</f>
        <v>kWh</v>
      </c>
      <c r="AF103" s="210" t="str">
        <f>IF(Buildings_GridElectricity_Frontend[[#This Row],[Data]]="","",_xlfn.XLOOKUP(_xlfn.CONCAT(Buildings_GridElectricity_Backend[[#This Row],[Level 1]:[Level 6]]),rng_EFConcat,rng_EF1)*Buildings_GridElectricity_Backend[[#This Row],[Converted data]]/1000)</f>
        <v/>
      </c>
      <c r="AG103" s="210" t="str">
        <f>IF(Buildings_GridElectricity_Frontend[[#This Row],[Data]]="","",_xlfn.XLOOKUP(_xlfn.CONCAT(Buildings_GridElectricity_Backend[[#This Row],[Level 1]:[Level 6]]),rng_EFConcat,rng_EF2)*Buildings_GridElectricity_Backend[[#This Row],[Converted data]]/1000)</f>
        <v/>
      </c>
      <c r="AH103" s="210" t="str">
        <f>IF(Buildings_GridElectricity_Frontend[[#This Row],[Data]]="","",_xlfn.XLOOKUP(_xlfn.CONCAT(Buildings_GridElectricity_Backend[[#This Row],[Level 1]:[Level 6]]),rng_EFConcat,rng_EF3)*Buildings_GridElectricity_Backend[[#This Row],[Converted data]]/1000)</f>
        <v/>
      </c>
      <c r="AI103" s="210" t="str">
        <f>IF(Buildings_GridElectricity_Frontend[[#This Row],[Data]]="","",_xlfn.XLOOKUP(_xlfn.CONCAT(Buildings_GridElectricity_Backend[[#This Row],[Level 1]:[Level 6]]),rng_EFConcat,rng_EF3WTT)*Buildings_GridElectricity_Backend[[#This Row],[Converted data]]/1000)</f>
        <v/>
      </c>
      <c r="AJ103" s="210" t="str">
        <f>IF(Buildings_GridElectricity_Frontend[[#This Row],[Data]]="","",_xlfn.XLOOKUP(_xlfn.CONCAT(Buildings_GridElectricity_Backend[[#This Row],[Level 1]:[Level 6]]),rng_EFConcat,rng_EF3TD)*Buildings_GridElectricity_Backend[[#This Row],[Converted data]]/1000)</f>
        <v/>
      </c>
      <c r="AK103" s="210" t="str">
        <f>IF(Buildings_GridElectricity_Frontend[[#This Row],[Data]]="","",_xlfn.XLOOKUP(_xlfn.CONCAT(Buildings_GridElectricity_Backend[[#This Row],[Level 1]:[Level 6]]),rng_EFConcat,rng_EF3WTTTD)*Buildings_GridElectricity_Backend[[#This Row],[Converted data]]/1000)</f>
        <v/>
      </c>
      <c r="AL103" s="220" t="str">
        <f>IF(Buildings_GridElectricity_Frontend[[#This Row],[Data]]="","",SUM(Buildings_GridElectricity_Backend[[#This Row],[Scope 1 (tCO2e)]:[Scope 3 WTT T&amp;D (tCO2e)]]))</f>
        <v/>
      </c>
      <c r="AM103" s="220" t="str">
        <f>IF(Buildings_GridElectricity_Frontend[[#This Row],[Data]]="","",Buildings_GridElectricity_Backend[[#This Row],[Total (tCO2e)]]*(1-Buildings_GridElectricity_Backend[[#This Row],[RSD]]))</f>
        <v/>
      </c>
      <c r="AN103" s="220" t="str">
        <f>IF(Buildings_GridElectricity_Frontend[[#This Row],[Data]]="","",Buildings_GridElectricity_Backend[[#This Row],[Total (tCO2e)]]*(1+Buildings_GridElectricity_Backend[[#This Row],[RSD]]))</f>
        <v/>
      </c>
      <c r="AO103" s="210" t="str">
        <f>IF(Buildings_GridElectricity_Frontend[[#This Row],[Data]]="","",_xlfn.XLOOKUP(_xlfn.CONCAT(Buildings_GridElectricity_Backend[[#This Row],[Level 1]:[Level 6]]),rng_EFConcat,rng_EFOOS)*Buildings_GridElectricity_Backend[[#This Row],[Converted data]]/1000)</f>
        <v/>
      </c>
      <c r="AP103" s="174">
        <f>Buildings_GridElectricity_Frontend[[#This Row],[Ease of collection]]</f>
        <v>0</v>
      </c>
      <c r="AQ103" s="213">
        <f>Buildings_GridElectricity_Frontend[[#This Row],[Completeness]]</f>
        <v>0</v>
      </c>
      <c r="AR103" s="220">
        <f>Buildings_GridElectricity_Frontend[[#This Row],[Notes]]</f>
        <v>0</v>
      </c>
    </row>
    <row r="104" spans="5:44" x14ac:dyDescent="0.3">
      <c r="E104" s="346"/>
      <c r="F104" s="449"/>
      <c r="G104" s="336"/>
      <c r="H104" s="334"/>
      <c r="I104" s="172" t="s">
        <v>316</v>
      </c>
      <c r="J104" s="337"/>
      <c r="K104" s="336"/>
      <c r="L104" s="336"/>
      <c r="M104" s="337"/>
      <c r="N104" s="242">
        <f t="shared" si="5"/>
        <v>3</v>
      </c>
      <c r="Q104" s="212" t="str">
        <f t="shared" si="4"/>
        <v/>
      </c>
      <c r="R104" s="174" t="s">
        <v>265</v>
      </c>
      <c r="S104" s="174" t="s">
        <v>273</v>
      </c>
      <c r="T104" s="174" t="str">
        <f>_xlfn.XLOOKUP(Buildings_GridElectricity_Backend[[#This Row],[Info 1]],Buildings_SiteInfo[Site name],Buildings_SiteInfo[Site type], "")</f>
        <v/>
      </c>
      <c r="U104" s="174" t="s">
        <v>281</v>
      </c>
      <c r="V104" s="174" t="str" cm="1">
        <f t="array" aca="1" ref="V104" ca="1">_xlfn.XLOOKUP(Buildings_GridElectricity_Backend[[#This Row],[Level 4]],rng_Level4Long,rng_Level5Long)</f>
        <v>Electricity</v>
      </c>
      <c r="W104" s="174" t="str" cm="1">
        <f t="array" aca="1" ref="W104" ca="1">_xlfn.XLOOKUP(Buildings_GridElectricity_Backend[[#This Row],[Level 4]],rng_Level4Long,rng_Level6Long)</f>
        <v>NaN</v>
      </c>
      <c r="X104" s="174">
        <f>Buildings_GridElectricity_Frontend[[#This Row],[Site Name]]</f>
        <v>0</v>
      </c>
      <c r="Y104" s="174">
        <f>Buildings_GridElectricity_Frontend[[#This Row],[Contracting]]</f>
        <v>0</v>
      </c>
      <c r="Z104" s="174">
        <f>Buildings_GridElectricity_Frontend[[#This Row],[Methodology]]</f>
        <v>0</v>
      </c>
      <c r="AA104" s="229" t="str" cm="1">
        <f t="array" ref="AA104">IF(Buildings_GridElectricity_Frontend[[#This Row],[Data]]="","",INDEX(_xlfn.SWITCH(Buildings_GridElectricity_Backend[[#This Row],[Methodology]],"Tier 1",rng_RSD1,"Tier 2",rng_RSD2,"Tier 3",rng_RSD3),MATCH(_xlfn.CONCAT(Buildings_GridElectricity_Backend[[#This Row],[Level 1]:[Level 6]]),rng_LevelsConcat,0)))</f>
        <v/>
      </c>
      <c r="AB104" s="220">
        <f>Buildings_GridElectricity_Frontend[[#This Row],[Data]]</f>
        <v>0</v>
      </c>
      <c r="AC104" s="174" t="str">
        <f>Buildings_GridElectricity_Frontend[[#This Row],[Units]]</f>
        <v>kWh</v>
      </c>
      <c r="AD104" s="218">
        <f>Buildings_GridElectricity_Frontend[[#This Row],[Data]]</f>
        <v>0</v>
      </c>
      <c r="AE104" s="174" t="str">
        <f>Buildings_GridElectricity_Frontend[[#This Row],[Units]]</f>
        <v>kWh</v>
      </c>
      <c r="AF104" s="210" t="str">
        <f>IF(Buildings_GridElectricity_Frontend[[#This Row],[Data]]="","",_xlfn.XLOOKUP(_xlfn.CONCAT(Buildings_GridElectricity_Backend[[#This Row],[Level 1]:[Level 6]]),rng_EFConcat,rng_EF1)*Buildings_GridElectricity_Backend[[#This Row],[Converted data]]/1000)</f>
        <v/>
      </c>
      <c r="AG104" s="210" t="str">
        <f>IF(Buildings_GridElectricity_Frontend[[#This Row],[Data]]="","",_xlfn.XLOOKUP(_xlfn.CONCAT(Buildings_GridElectricity_Backend[[#This Row],[Level 1]:[Level 6]]),rng_EFConcat,rng_EF2)*Buildings_GridElectricity_Backend[[#This Row],[Converted data]]/1000)</f>
        <v/>
      </c>
      <c r="AH104" s="210" t="str">
        <f>IF(Buildings_GridElectricity_Frontend[[#This Row],[Data]]="","",_xlfn.XLOOKUP(_xlfn.CONCAT(Buildings_GridElectricity_Backend[[#This Row],[Level 1]:[Level 6]]),rng_EFConcat,rng_EF3)*Buildings_GridElectricity_Backend[[#This Row],[Converted data]]/1000)</f>
        <v/>
      </c>
      <c r="AI104" s="210" t="str">
        <f>IF(Buildings_GridElectricity_Frontend[[#This Row],[Data]]="","",_xlfn.XLOOKUP(_xlfn.CONCAT(Buildings_GridElectricity_Backend[[#This Row],[Level 1]:[Level 6]]),rng_EFConcat,rng_EF3WTT)*Buildings_GridElectricity_Backend[[#This Row],[Converted data]]/1000)</f>
        <v/>
      </c>
      <c r="AJ104" s="210" t="str">
        <f>IF(Buildings_GridElectricity_Frontend[[#This Row],[Data]]="","",_xlfn.XLOOKUP(_xlfn.CONCAT(Buildings_GridElectricity_Backend[[#This Row],[Level 1]:[Level 6]]),rng_EFConcat,rng_EF3TD)*Buildings_GridElectricity_Backend[[#This Row],[Converted data]]/1000)</f>
        <v/>
      </c>
      <c r="AK104" s="210" t="str">
        <f>IF(Buildings_GridElectricity_Frontend[[#This Row],[Data]]="","",_xlfn.XLOOKUP(_xlfn.CONCAT(Buildings_GridElectricity_Backend[[#This Row],[Level 1]:[Level 6]]),rng_EFConcat,rng_EF3WTTTD)*Buildings_GridElectricity_Backend[[#This Row],[Converted data]]/1000)</f>
        <v/>
      </c>
      <c r="AL104" s="220" t="str">
        <f>IF(Buildings_GridElectricity_Frontend[[#This Row],[Data]]="","",SUM(Buildings_GridElectricity_Backend[[#This Row],[Scope 1 (tCO2e)]:[Scope 3 WTT T&amp;D (tCO2e)]]))</f>
        <v/>
      </c>
      <c r="AM104" s="220" t="str">
        <f>IF(Buildings_GridElectricity_Frontend[[#This Row],[Data]]="","",Buildings_GridElectricity_Backend[[#This Row],[Total (tCO2e)]]*(1-Buildings_GridElectricity_Backend[[#This Row],[RSD]]))</f>
        <v/>
      </c>
      <c r="AN104" s="220" t="str">
        <f>IF(Buildings_GridElectricity_Frontend[[#This Row],[Data]]="","",Buildings_GridElectricity_Backend[[#This Row],[Total (tCO2e)]]*(1+Buildings_GridElectricity_Backend[[#This Row],[RSD]]))</f>
        <v/>
      </c>
      <c r="AO104" s="210" t="str">
        <f>IF(Buildings_GridElectricity_Frontend[[#This Row],[Data]]="","",_xlfn.XLOOKUP(_xlfn.CONCAT(Buildings_GridElectricity_Backend[[#This Row],[Level 1]:[Level 6]]),rng_EFConcat,rng_EFOOS)*Buildings_GridElectricity_Backend[[#This Row],[Converted data]]/1000)</f>
        <v/>
      </c>
      <c r="AP104" s="174">
        <f>Buildings_GridElectricity_Frontend[[#This Row],[Ease of collection]]</f>
        <v>0</v>
      </c>
      <c r="AQ104" s="213">
        <f>Buildings_GridElectricity_Frontend[[#This Row],[Completeness]]</f>
        <v>0</v>
      </c>
      <c r="AR104" s="220">
        <f>Buildings_GridElectricity_Frontend[[#This Row],[Notes]]</f>
        <v>0</v>
      </c>
    </row>
    <row r="105" spans="5:44" x14ac:dyDescent="0.3">
      <c r="E105" s="346"/>
      <c r="F105" s="449"/>
      <c r="G105" s="336"/>
      <c r="H105" s="334"/>
      <c r="I105" s="172" t="s">
        <v>316</v>
      </c>
      <c r="J105" s="337"/>
      <c r="K105" s="336"/>
      <c r="L105" s="336"/>
      <c r="M105" s="337"/>
      <c r="N105" s="242">
        <f t="shared" si="5"/>
        <v>3</v>
      </c>
      <c r="Q105" s="212" t="str">
        <f t="shared" si="4"/>
        <v/>
      </c>
      <c r="R105" s="174" t="s">
        <v>265</v>
      </c>
      <c r="S105" s="174" t="s">
        <v>273</v>
      </c>
      <c r="T105" s="174" t="str">
        <f>_xlfn.XLOOKUP(Buildings_GridElectricity_Backend[[#This Row],[Info 1]],Buildings_SiteInfo[Site name],Buildings_SiteInfo[Site type], "")</f>
        <v/>
      </c>
      <c r="U105" s="174" t="s">
        <v>281</v>
      </c>
      <c r="V105" s="174" t="str" cm="1">
        <f t="array" aca="1" ref="V105" ca="1">_xlfn.XLOOKUP(Buildings_GridElectricity_Backend[[#This Row],[Level 4]],rng_Level4Long,rng_Level5Long)</f>
        <v>Electricity</v>
      </c>
      <c r="W105" s="174" t="str" cm="1">
        <f t="array" aca="1" ref="W105" ca="1">_xlfn.XLOOKUP(Buildings_GridElectricity_Backend[[#This Row],[Level 4]],rng_Level4Long,rng_Level6Long)</f>
        <v>NaN</v>
      </c>
      <c r="X105" s="174">
        <f>Buildings_GridElectricity_Frontend[[#This Row],[Site Name]]</f>
        <v>0</v>
      </c>
      <c r="Y105" s="174">
        <f>Buildings_GridElectricity_Frontend[[#This Row],[Contracting]]</f>
        <v>0</v>
      </c>
      <c r="Z105" s="174">
        <f>Buildings_GridElectricity_Frontend[[#This Row],[Methodology]]</f>
        <v>0</v>
      </c>
      <c r="AA105" s="229" t="str" cm="1">
        <f t="array" ref="AA105">IF(Buildings_GridElectricity_Frontend[[#This Row],[Data]]="","",INDEX(_xlfn.SWITCH(Buildings_GridElectricity_Backend[[#This Row],[Methodology]],"Tier 1",rng_RSD1,"Tier 2",rng_RSD2,"Tier 3",rng_RSD3),MATCH(_xlfn.CONCAT(Buildings_GridElectricity_Backend[[#This Row],[Level 1]:[Level 6]]),rng_LevelsConcat,0)))</f>
        <v/>
      </c>
      <c r="AB105" s="220">
        <f>Buildings_GridElectricity_Frontend[[#This Row],[Data]]</f>
        <v>0</v>
      </c>
      <c r="AC105" s="174" t="str">
        <f>Buildings_GridElectricity_Frontend[[#This Row],[Units]]</f>
        <v>kWh</v>
      </c>
      <c r="AD105" s="218">
        <f>Buildings_GridElectricity_Frontend[[#This Row],[Data]]</f>
        <v>0</v>
      </c>
      <c r="AE105" s="174" t="str">
        <f>Buildings_GridElectricity_Frontend[[#This Row],[Units]]</f>
        <v>kWh</v>
      </c>
      <c r="AF105" s="210" t="str">
        <f>IF(Buildings_GridElectricity_Frontend[[#This Row],[Data]]="","",_xlfn.XLOOKUP(_xlfn.CONCAT(Buildings_GridElectricity_Backend[[#This Row],[Level 1]:[Level 6]]),rng_EFConcat,rng_EF1)*Buildings_GridElectricity_Backend[[#This Row],[Converted data]]/1000)</f>
        <v/>
      </c>
      <c r="AG105" s="210" t="str">
        <f>IF(Buildings_GridElectricity_Frontend[[#This Row],[Data]]="","",_xlfn.XLOOKUP(_xlfn.CONCAT(Buildings_GridElectricity_Backend[[#This Row],[Level 1]:[Level 6]]),rng_EFConcat,rng_EF2)*Buildings_GridElectricity_Backend[[#This Row],[Converted data]]/1000)</f>
        <v/>
      </c>
      <c r="AH105" s="210" t="str">
        <f>IF(Buildings_GridElectricity_Frontend[[#This Row],[Data]]="","",_xlfn.XLOOKUP(_xlfn.CONCAT(Buildings_GridElectricity_Backend[[#This Row],[Level 1]:[Level 6]]),rng_EFConcat,rng_EF3)*Buildings_GridElectricity_Backend[[#This Row],[Converted data]]/1000)</f>
        <v/>
      </c>
      <c r="AI105" s="210" t="str">
        <f>IF(Buildings_GridElectricity_Frontend[[#This Row],[Data]]="","",_xlfn.XLOOKUP(_xlfn.CONCAT(Buildings_GridElectricity_Backend[[#This Row],[Level 1]:[Level 6]]),rng_EFConcat,rng_EF3WTT)*Buildings_GridElectricity_Backend[[#This Row],[Converted data]]/1000)</f>
        <v/>
      </c>
      <c r="AJ105" s="210" t="str">
        <f>IF(Buildings_GridElectricity_Frontend[[#This Row],[Data]]="","",_xlfn.XLOOKUP(_xlfn.CONCAT(Buildings_GridElectricity_Backend[[#This Row],[Level 1]:[Level 6]]),rng_EFConcat,rng_EF3TD)*Buildings_GridElectricity_Backend[[#This Row],[Converted data]]/1000)</f>
        <v/>
      </c>
      <c r="AK105" s="210" t="str">
        <f>IF(Buildings_GridElectricity_Frontend[[#This Row],[Data]]="","",_xlfn.XLOOKUP(_xlfn.CONCAT(Buildings_GridElectricity_Backend[[#This Row],[Level 1]:[Level 6]]),rng_EFConcat,rng_EF3WTTTD)*Buildings_GridElectricity_Backend[[#This Row],[Converted data]]/1000)</f>
        <v/>
      </c>
      <c r="AL105" s="220" t="str">
        <f>IF(Buildings_GridElectricity_Frontend[[#This Row],[Data]]="","",SUM(Buildings_GridElectricity_Backend[[#This Row],[Scope 1 (tCO2e)]:[Scope 3 WTT T&amp;D (tCO2e)]]))</f>
        <v/>
      </c>
      <c r="AM105" s="220" t="str">
        <f>IF(Buildings_GridElectricity_Frontend[[#This Row],[Data]]="","",Buildings_GridElectricity_Backend[[#This Row],[Total (tCO2e)]]*(1-Buildings_GridElectricity_Backend[[#This Row],[RSD]]))</f>
        <v/>
      </c>
      <c r="AN105" s="220" t="str">
        <f>IF(Buildings_GridElectricity_Frontend[[#This Row],[Data]]="","",Buildings_GridElectricity_Backend[[#This Row],[Total (tCO2e)]]*(1+Buildings_GridElectricity_Backend[[#This Row],[RSD]]))</f>
        <v/>
      </c>
      <c r="AO105" s="210" t="str">
        <f>IF(Buildings_GridElectricity_Frontend[[#This Row],[Data]]="","",_xlfn.XLOOKUP(_xlfn.CONCAT(Buildings_GridElectricity_Backend[[#This Row],[Level 1]:[Level 6]]),rng_EFConcat,rng_EFOOS)*Buildings_GridElectricity_Backend[[#This Row],[Converted data]]/1000)</f>
        <v/>
      </c>
      <c r="AP105" s="174">
        <f>Buildings_GridElectricity_Frontend[[#This Row],[Ease of collection]]</f>
        <v>0</v>
      </c>
      <c r="AQ105" s="213">
        <f>Buildings_GridElectricity_Frontend[[#This Row],[Completeness]]</f>
        <v>0</v>
      </c>
      <c r="AR105" s="220">
        <f>Buildings_GridElectricity_Frontend[[#This Row],[Notes]]</f>
        <v>0</v>
      </c>
    </row>
    <row r="106" spans="5:44" x14ac:dyDescent="0.3">
      <c r="E106" s="346"/>
      <c r="F106" s="449"/>
      <c r="G106" s="336"/>
      <c r="H106" s="334"/>
      <c r="I106" s="172" t="s">
        <v>316</v>
      </c>
      <c r="J106" s="337"/>
      <c r="K106" s="336"/>
      <c r="L106" s="336"/>
      <c r="M106" s="337"/>
      <c r="N106" s="242">
        <f t="shared" si="5"/>
        <v>3</v>
      </c>
      <c r="Q106" s="212" t="str">
        <f t="shared" si="4"/>
        <v/>
      </c>
      <c r="R106" s="174" t="s">
        <v>265</v>
      </c>
      <c r="S106" s="174" t="s">
        <v>273</v>
      </c>
      <c r="T106" s="174" t="str">
        <f>_xlfn.XLOOKUP(Buildings_GridElectricity_Backend[[#This Row],[Info 1]],Buildings_SiteInfo[Site name],Buildings_SiteInfo[Site type], "")</f>
        <v/>
      </c>
      <c r="U106" s="174" t="s">
        <v>281</v>
      </c>
      <c r="V106" s="174" t="str" cm="1">
        <f t="array" aca="1" ref="V106" ca="1">_xlfn.XLOOKUP(Buildings_GridElectricity_Backend[[#This Row],[Level 4]],rng_Level4Long,rng_Level5Long)</f>
        <v>Electricity</v>
      </c>
      <c r="W106" s="174" t="str" cm="1">
        <f t="array" aca="1" ref="W106" ca="1">_xlfn.XLOOKUP(Buildings_GridElectricity_Backend[[#This Row],[Level 4]],rng_Level4Long,rng_Level6Long)</f>
        <v>NaN</v>
      </c>
      <c r="X106" s="174">
        <f>Buildings_GridElectricity_Frontend[[#This Row],[Site Name]]</f>
        <v>0</v>
      </c>
      <c r="Y106" s="174">
        <f>Buildings_GridElectricity_Frontend[[#This Row],[Contracting]]</f>
        <v>0</v>
      </c>
      <c r="Z106" s="174">
        <f>Buildings_GridElectricity_Frontend[[#This Row],[Methodology]]</f>
        <v>0</v>
      </c>
      <c r="AA106" s="229" t="str" cm="1">
        <f t="array" ref="AA106">IF(Buildings_GridElectricity_Frontend[[#This Row],[Data]]="","",INDEX(_xlfn.SWITCH(Buildings_GridElectricity_Backend[[#This Row],[Methodology]],"Tier 1",rng_RSD1,"Tier 2",rng_RSD2,"Tier 3",rng_RSD3),MATCH(_xlfn.CONCAT(Buildings_GridElectricity_Backend[[#This Row],[Level 1]:[Level 6]]),rng_LevelsConcat,0)))</f>
        <v/>
      </c>
      <c r="AB106" s="220">
        <f>Buildings_GridElectricity_Frontend[[#This Row],[Data]]</f>
        <v>0</v>
      </c>
      <c r="AC106" s="174" t="str">
        <f>Buildings_GridElectricity_Frontend[[#This Row],[Units]]</f>
        <v>kWh</v>
      </c>
      <c r="AD106" s="218">
        <f>Buildings_GridElectricity_Frontend[[#This Row],[Data]]</f>
        <v>0</v>
      </c>
      <c r="AE106" s="174" t="str">
        <f>Buildings_GridElectricity_Frontend[[#This Row],[Units]]</f>
        <v>kWh</v>
      </c>
      <c r="AF106" s="210" t="str">
        <f>IF(Buildings_GridElectricity_Frontend[[#This Row],[Data]]="","",_xlfn.XLOOKUP(_xlfn.CONCAT(Buildings_GridElectricity_Backend[[#This Row],[Level 1]:[Level 6]]),rng_EFConcat,rng_EF1)*Buildings_GridElectricity_Backend[[#This Row],[Converted data]]/1000)</f>
        <v/>
      </c>
      <c r="AG106" s="210" t="str">
        <f>IF(Buildings_GridElectricity_Frontend[[#This Row],[Data]]="","",_xlfn.XLOOKUP(_xlfn.CONCAT(Buildings_GridElectricity_Backend[[#This Row],[Level 1]:[Level 6]]),rng_EFConcat,rng_EF2)*Buildings_GridElectricity_Backend[[#This Row],[Converted data]]/1000)</f>
        <v/>
      </c>
      <c r="AH106" s="210" t="str">
        <f>IF(Buildings_GridElectricity_Frontend[[#This Row],[Data]]="","",_xlfn.XLOOKUP(_xlfn.CONCAT(Buildings_GridElectricity_Backend[[#This Row],[Level 1]:[Level 6]]),rng_EFConcat,rng_EF3)*Buildings_GridElectricity_Backend[[#This Row],[Converted data]]/1000)</f>
        <v/>
      </c>
      <c r="AI106" s="210" t="str">
        <f>IF(Buildings_GridElectricity_Frontend[[#This Row],[Data]]="","",_xlfn.XLOOKUP(_xlfn.CONCAT(Buildings_GridElectricity_Backend[[#This Row],[Level 1]:[Level 6]]),rng_EFConcat,rng_EF3WTT)*Buildings_GridElectricity_Backend[[#This Row],[Converted data]]/1000)</f>
        <v/>
      </c>
      <c r="AJ106" s="210" t="str">
        <f>IF(Buildings_GridElectricity_Frontend[[#This Row],[Data]]="","",_xlfn.XLOOKUP(_xlfn.CONCAT(Buildings_GridElectricity_Backend[[#This Row],[Level 1]:[Level 6]]),rng_EFConcat,rng_EF3TD)*Buildings_GridElectricity_Backend[[#This Row],[Converted data]]/1000)</f>
        <v/>
      </c>
      <c r="AK106" s="210" t="str">
        <f>IF(Buildings_GridElectricity_Frontend[[#This Row],[Data]]="","",_xlfn.XLOOKUP(_xlfn.CONCAT(Buildings_GridElectricity_Backend[[#This Row],[Level 1]:[Level 6]]),rng_EFConcat,rng_EF3WTTTD)*Buildings_GridElectricity_Backend[[#This Row],[Converted data]]/1000)</f>
        <v/>
      </c>
      <c r="AL106" s="220" t="str">
        <f>IF(Buildings_GridElectricity_Frontend[[#This Row],[Data]]="","",SUM(Buildings_GridElectricity_Backend[[#This Row],[Scope 1 (tCO2e)]:[Scope 3 WTT T&amp;D (tCO2e)]]))</f>
        <v/>
      </c>
      <c r="AM106" s="220" t="str">
        <f>IF(Buildings_GridElectricity_Frontend[[#This Row],[Data]]="","",Buildings_GridElectricity_Backend[[#This Row],[Total (tCO2e)]]*(1-Buildings_GridElectricity_Backend[[#This Row],[RSD]]))</f>
        <v/>
      </c>
      <c r="AN106" s="220" t="str">
        <f>IF(Buildings_GridElectricity_Frontend[[#This Row],[Data]]="","",Buildings_GridElectricity_Backend[[#This Row],[Total (tCO2e)]]*(1+Buildings_GridElectricity_Backend[[#This Row],[RSD]]))</f>
        <v/>
      </c>
      <c r="AO106" s="210" t="str">
        <f>IF(Buildings_GridElectricity_Frontend[[#This Row],[Data]]="","",_xlfn.XLOOKUP(_xlfn.CONCAT(Buildings_GridElectricity_Backend[[#This Row],[Level 1]:[Level 6]]),rng_EFConcat,rng_EFOOS)*Buildings_GridElectricity_Backend[[#This Row],[Converted data]]/1000)</f>
        <v/>
      </c>
      <c r="AP106" s="174">
        <f>Buildings_GridElectricity_Frontend[[#This Row],[Ease of collection]]</f>
        <v>0</v>
      </c>
      <c r="AQ106" s="213">
        <f>Buildings_GridElectricity_Frontend[[#This Row],[Completeness]]</f>
        <v>0</v>
      </c>
      <c r="AR106" s="220">
        <f>Buildings_GridElectricity_Frontend[[#This Row],[Notes]]</f>
        <v>0</v>
      </c>
    </row>
    <row r="107" spans="5:44" x14ac:dyDescent="0.3">
      <c r="E107" s="346"/>
      <c r="F107" s="449"/>
      <c r="G107" s="336"/>
      <c r="H107" s="334"/>
      <c r="I107" s="172" t="s">
        <v>316</v>
      </c>
      <c r="J107" s="337"/>
      <c r="K107" s="336"/>
      <c r="L107" s="336"/>
      <c r="M107" s="337"/>
      <c r="N107" s="242">
        <f t="shared" si="5"/>
        <v>3</v>
      </c>
      <c r="Q107" s="212" t="str">
        <f t="shared" si="4"/>
        <v/>
      </c>
      <c r="R107" s="174" t="s">
        <v>265</v>
      </c>
      <c r="S107" s="174" t="s">
        <v>273</v>
      </c>
      <c r="T107" s="174" t="str">
        <f>_xlfn.XLOOKUP(Buildings_GridElectricity_Backend[[#This Row],[Info 1]],Buildings_SiteInfo[Site name],Buildings_SiteInfo[Site type], "")</f>
        <v/>
      </c>
      <c r="U107" s="174" t="s">
        <v>281</v>
      </c>
      <c r="V107" s="174" t="str" cm="1">
        <f t="array" aca="1" ref="V107" ca="1">_xlfn.XLOOKUP(Buildings_GridElectricity_Backend[[#This Row],[Level 4]],rng_Level4Long,rng_Level5Long)</f>
        <v>Electricity</v>
      </c>
      <c r="W107" s="174" t="str" cm="1">
        <f t="array" aca="1" ref="W107" ca="1">_xlfn.XLOOKUP(Buildings_GridElectricity_Backend[[#This Row],[Level 4]],rng_Level4Long,rng_Level6Long)</f>
        <v>NaN</v>
      </c>
      <c r="X107" s="174">
        <f>Buildings_GridElectricity_Frontend[[#This Row],[Site Name]]</f>
        <v>0</v>
      </c>
      <c r="Y107" s="174">
        <f>Buildings_GridElectricity_Frontend[[#This Row],[Contracting]]</f>
        <v>0</v>
      </c>
      <c r="Z107" s="174">
        <f>Buildings_GridElectricity_Frontend[[#This Row],[Methodology]]</f>
        <v>0</v>
      </c>
      <c r="AA107" s="229" t="str" cm="1">
        <f t="array" ref="AA107">IF(Buildings_GridElectricity_Frontend[[#This Row],[Data]]="","",INDEX(_xlfn.SWITCH(Buildings_GridElectricity_Backend[[#This Row],[Methodology]],"Tier 1",rng_RSD1,"Tier 2",rng_RSD2,"Tier 3",rng_RSD3),MATCH(_xlfn.CONCAT(Buildings_GridElectricity_Backend[[#This Row],[Level 1]:[Level 6]]),rng_LevelsConcat,0)))</f>
        <v/>
      </c>
      <c r="AB107" s="220">
        <f>Buildings_GridElectricity_Frontend[[#This Row],[Data]]</f>
        <v>0</v>
      </c>
      <c r="AC107" s="174" t="str">
        <f>Buildings_GridElectricity_Frontend[[#This Row],[Units]]</f>
        <v>kWh</v>
      </c>
      <c r="AD107" s="218">
        <f>Buildings_GridElectricity_Frontend[[#This Row],[Data]]</f>
        <v>0</v>
      </c>
      <c r="AE107" s="174" t="str">
        <f>Buildings_GridElectricity_Frontend[[#This Row],[Units]]</f>
        <v>kWh</v>
      </c>
      <c r="AF107" s="210" t="str">
        <f>IF(Buildings_GridElectricity_Frontend[[#This Row],[Data]]="","",_xlfn.XLOOKUP(_xlfn.CONCAT(Buildings_GridElectricity_Backend[[#This Row],[Level 1]:[Level 6]]),rng_EFConcat,rng_EF1)*Buildings_GridElectricity_Backend[[#This Row],[Converted data]]/1000)</f>
        <v/>
      </c>
      <c r="AG107" s="210" t="str">
        <f>IF(Buildings_GridElectricity_Frontend[[#This Row],[Data]]="","",_xlfn.XLOOKUP(_xlfn.CONCAT(Buildings_GridElectricity_Backend[[#This Row],[Level 1]:[Level 6]]),rng_EFConcat,rng_EF2)*Buildings_GridElectricity_Backend[[#This Row],[Converted data]]/1000)</f>
        <v/>
      </c>
      <c r="AH107" s="210" t="str">
        <f>IF(Buildings_GridElectricity_Frontend[[#This Row],[Data]]="","",_xlfn.XLOOKUP(_xlfn.CONCAT(Buildings_GridElectricity_Backend[[#This Row],[Level 1]:[Level 6]]),rng_EFConcat,rng_EF3)*Buildings_GridElectricity_Backend[[#This Row],[Converted data]]/1000)</f>
        <v/>
      </c>
      <c r="AI107" s="210" t="str">
        <f>IF(Buildings_GridElectricity_Frontend[[#This Row],[Data]]="","",_xlfn.XLOOKUP(_xlfn.CONCAT(Buildings_GridElectricity_Backend[[#This Row],[Level 1]:[Level 6]]),rng_EFConcat,rng_EF3WTT)*Buildings_GridElectricity_Backend[[#This Row],[Converted data]]/1000)</f>
        <v/>
      </c>
      <c r="AJ107" s="210" t="str">
        <f>IF(Buildings_GridElectricity_Frontend[[#This Row],[Data]]="","",_xlfn.XLOOKUP(_xlfn.CONCAT(Buildings_GridElectricity_Backend[[#This Row],[Level 1]:[Level 6]]),rng_EFConcat,rng_EF3TD)*Buildings_GridElectricity_Backend[[#This Row],[Converted data]]/1000)</f>
        <v/>
      </c>
      <c r="AK107" s="210" t="str">
        <f>IF(Buildings_GridElectricity_Frontend[[#This Row],[Data]]="","",_xlfn.XLOOKUP(_xlfn.CONCAT(Buildings_GridElectricity_Backend[[#This Row],[Level 1]:[Level 6]]),rng_EFConcat,rng_EF3WTTTD)*Buildings_GridElectricity_Backend[[#This Row],[Converted data]]/1000)</f>
        <v/>
      </c>
      <c r="AL107" s="220" t="str">
        <f>IF(Buildings_GridElectricity_Frontend[[#This Row],[Data]]="","",SUM(Buildings_GridElectricity_Backend[[#This Row],[Scope 1 (tCO2e)]:[Scope 3 WTT T&amp;D (tCO2e)]]))</f>
        <v/>
      </c>
      <c r="AM107" s="220" t="str">
        <f>IF(Buildings_GridElectricity_Frontend[[#This Row],[Data]]="","",Buildings_GridElectricity_Backend[[#This Row],[Total (tCO2e)]]*(1-Buildings_GridElectricity_Backend[[#This Row],[RSD]]))</f>
        <v/>
      </c>
      <c r="AN107" s="220" t="str">
        <f>IF(Buildings_GridElectricity_Frontend[[#This Row],[Data]]="","",Buildings_GridElectricity_Backend[[#This Row],[Total (tCO2e)]]*(1+Buildings_GridElectricity_Backend[[#This Row],[RSD]]))</f>
        <v/>
      </c>
      <c r="AO107" s="210" t="str">
        <f>IF(Buildings_GridElectricity_Frontend[[#This Row],[Data]]="","",_xlfn.XLOOKUP(_xlfn.CONCAT(Buildings_GridElectricity_Backend[[#This Row],[Level 1]:[Level 6]]),rng_EFConcat,rng_EFOOS)*Buildings_GridElectricity_Backend[[#This Row],[Converted data]]/1000)</f>
        <v/>
      </c>
      <c r="AP107" s="174">
        <f>Buildings_GridElectricity_Frontend[[#This Row],[Ease of collection]]</f>
        <v>0</v>
      </c>
      <c r="AQ107" s="213">
        <f>Buildings_GridElectricity_Frontend[[#This Row],[Completeness]]</f>
        <v>0</v>
      </c>
      <c r="AR107" s="220">
        <f>Buildings_GridElectricity_Frontend[[#This Row],[Notes]]</f>
        <v>0</v>
      </c>
    </row>
    <row r="108" spans="5:44" x14ac:dyDescent="0.3">
      <c r="E108" s="346"/>
      <c r="F108" s="449"/>
      <c r="G108" s="336"/>
      <c r="H108" s="334"/>
      <c r="I108" s="172" t="s">
        <v>316</v>
      </c>
      <c r="J108" s="337"/>
      <c r="K108" s="336"/>
      <c r="L108" s="336"/>
      <c r="M108" s="337"/>
      <c r="N108" s="242">
        <f t="shared" si="5"/>
        <v>3</v>
      </c>
      <c r="Q108" s="212" t="str">
        <f t="shared" si="4"/>
        <v/>
      </c>
      <c r="R108" s="174" t="s">
        <v>265</v>
      </c>
      <c r="S108" s="174" t="s">
        <v>273</v>
      </c>
      <c r="T108" s="174" t="str">
        <f>_xlfn.XLOOKUP(Buildings_GridElectricity_Backend[[#This Row],[Info 1]],Buildings_SiteInfo[Site name],Buildings_SiteInfo[Site type], "")</f>
        <v/>
      </c>
      <c r="U108" s="174" t="s">
        <v>281</v>
      </c>
      <c r="V108" s="174" t="str" cm="1">
        <f t="array" aca="1" ref="V108" ca="1">_xlfn.XLOOKUP(Buildings_GridElectricity_Backend[[#This Row],[Level 4]],rng_Level4Long,rng_Level5Long)</f>
        <v>Electricity</v>
      </c>
      <c r="W108" s="174" t="str" cm="1">
        <f t="array" aca="1" ref="W108" ca="1">_xlfn.XLOOKUP(Buildings_GridElectricity_Backend[[#This Row],[Level 4]],rng_Level4Long,rng_Level6Long)</f>
        <v>NaN</v>
      </c>
      <c r="X108" s="174">
        <f>Buildings_GridElectricity_Frontend[[#This Row],[Site Name]]</f>
        <v>0</v>
      </c>
      <c r="Y108" s="174">
        <f>Buildings_GridElectricity_Frontend[[#This Row],[Contracting]]</f>
        <v>0</v>
      </c>
      <c r="Z108" s="174">
        <f>Buildings_GridElectricity_Frontend[[#This Row],[Methodology]]</f>
        <v>0</v>
      </c>
      <c r="AA108" s="229" t="str" cm="1">
        <f t="array" ref="AA108">IF(Buildings_GridElectricity_Frontend[[#This Row],[Data]]="","",INDEX(_xlfn.SWITCH(Buildings_GridElectricity_Backend[[#This Row],[Methodology]],"Tier 1",rng_RSD1,"Tier 2",rng_RSD2,"Tier 3",rng_RSD3),MATCH(_xlfn.CONCAT(Buildings_GridElectricity_Backend[[#This Row],[Level 1]:[Level 6]]),rng_LevelsConcat,0)))</f>
        <v/>
      </c>
      <c r="AB108" s="220">
        <f>Buildings_GridElectricity_Frontend[[#This Row],[Data]]</f>
        <v>0</v>
      </c>
      <c r="AC108" s="174" t="str">
        <f>Buildings_GridElectricity_Frontend[[#This Row],[Units]]</f>
        <v>kWh</v>
      </c>
      <c r="AD108" s="218">
        <f>Buildings_GridElectricity_Frontend[[#This Row],[Data]]</f>
        <v>0</v>
      </c>
      <c r="AE108" s="174" t="str">
        <f>Buildings_GridElectricity_Frontend[[#This Row],[Units]]</f>
        <v>kWh</v>
      </c>
      <c r="AF108" s="210" t="str">
        <f>IF(Buildings_GridElectricity_Frontend[[#This Row],[Data]]="","",_xlfn.XLOOKUP(_xlfn.CONCAT(Buildings_GridElectricity_Backend[[#This Row],[Level 1]:[Level 6]]),rng_EFConcat,rng_EF1)*Buildings_GridElectricity_Backend[[#This Row],[Converted data]]/1000)</f>
        <v/>
      </c>
      <c r="AG108" s="210" t="str">
        <f>IF(Buildings_GridElectricity_Frontend[[#This Row],[Data]]="","",_xlfn.XLOOKUP(_xlfn.CONCAT(Buildings_GridElectricity_Backend[[#This Row],[Level 1]:[Level 6]]),rng_EFConcat,rng_EF2)*Buildings_GridElectricity_Backend[[#This Row],[Converted data]]/1000)</f>
        <v/>
      </c>
      <c r="AH108" s="210" t="str">
        <f>IF(Buildings_GridElectricity_Frontend[[#This Row],[Data]]="","",_xlfn.XLOOKUP(_xlfn.CONCAT(Buildings_GridElectricity_Backend[[#This Row],[Level 1]:[Level 6]]),rng_EFConcat,rng_EF3)*Buildings_GridElectricity_Backend[[#This Row],[Converted data]]/1000)</f>
        <v/>
      </c>
      <c r="AI108" s="210" t="str">
        <f>IF(Buildings_GridElectricity_Frontend[[#This Row],[Data]]="","",_xlfn.XLOOKUP(_xlfn.CONCAT(Buildings_GridElectricity_Backend[[#This Row],[Level 1]:[Level 6]]),rng_EFConcat,rng_EF3WTT)*Buildings_GridElectricity_Backend[[#This Row],[Converted data]]/1000)</f>
        <v/>
      </c>
      <c r="AJ108" s="210" t="str">
        <f>IF(Buildings_GridElectricity_Frontend[[#This Row],[Data]]="","",_xlfn.XLOOKUP(_xlfn.CONCAT(Buildings_GridElectricity_Backend[[#This Row],[Level 1]:[Level 6]]),rng_EFConcat,rng_EF3TD)*Buildings_GridElectricity_Backend[[#This Row],[Converted data]]/1000)</f>
        <v/>
      </c>
      <c r="AK108" s="210" t="str">
        <f>IF(Buildings_GridElectricity_Frontend[[#This Row],[Data]]="","",_xlfn.XLOOKUP(_xlfn.CONCAT(Buildings_GridElectricity_Backend[[#This Row],[Level 1]:[Level 6]]),rng_EFConcat,rng_EF3WTTTD)*Buildings_GridElectricity_Backend[[#This Row],[Converted data]]/1000)</f>
        <v/>
      </c>
      <c r="AL108" s="220" t="str">
        <f>IF(Buildings_GridElectricity_Frontend[[#This Row],[Data]]="","",SUM(Buildings_GridElectricity_Backend[[#This Row],[Scope 1 (tCO2e)]:[Scope 3 WTT T&amp;D (tCO2e)]]))</f>
        <v/>
      </c>
      <c r="AM108" s="220" t="str">
        <f>IF(Buildings_GridElectricity_Frontend[[#This Row],[Data]]="","",Buildings_GridElectricity_Backend[[#This Row],[Total (tCO2e)]]*(1-Buildings_GridElectricity_Backend[[#This Row],[RSD]]))</f>
        <v/>
      </c>
      <c r="AN108" s="220" t="str">
        <f>IF(Buildings_GridElectricity_Frontend[[#This Row],[Data]]="","",Buildings_GridElectricity_Backend[[#This Row],[Total (tCO2e)]]*(1+Buildings_GridElectricity_Backend[[#This Row],[RSD]]))</f>
        <v/>
      </c>
      <c r="AO108" s="210" t="str">
        <f>IF(Buildings_GridElectricity_Frontend[[#This Row],[Data]]="","",_xlfn.XLOOKUP(_xlfn.CONCAT(Buildings_GridElectricity_Backend[[#This Row],[Level 1]:[Level 6]]),rng_EFConcat,rng_EFOOS)*Buildings_GridElectricity_Backend[[#This Row],[Converted data]]/1000)</f>
        <v/>
      </c>
      <c r="AP108" s="174">
        <f>Buildings_GridElectricity_Frontend[[#This Row],[Ease of collection]]</f>
        <v>0</v>
      </c>
      <c r="AQ108" s="213">
        <f>Buildings_GridElectricity_Frontend[[#This Row],[Completeness]]</f>
        <v>0</v>
      </c>
      <c r="AR108" s="220">
        <f>Buildings_GridElectricity_Frontend[[#This Row],[Notes]]</f>
        <v>0</v>
      </c>
    </row>
    <row r="109" spans="5:44" x14ac:dyDescent="0.3">
      <c r="E109" s="346"/>
      <c r="F109" s="449"/>
      <c r="G109" s="336"/>
      <c r="H109" s="334"/>
      <c r="I109" s="172" t="s">
        <v>316</v>
      </c>
      <c r="J109" s="337"/>
      <c r="K109" s="336"/>
      <c r="L109" s="336"/>
      <c r="M109" s="337"/>
      <c r="N109" s="242">
        <f t="shared" si="5"/>
        <v>3</v>
      </c>
      <c r="Q109" s="212" t="str">
        <f t="shared" si="4"/>
        <v/>
      </c>
      <c r="R109" s="174" t="s">
        <v>265</v>
      </c>
      <c r="S109" s="174" t="s">
        <v>273</v>
      </c>
      <c r="T109" s="174" t="str">
        <f>_xlfn.XLOOKUP(Buildings_GridElectricity_Backend[[#This Row],[Info 1]],Buildings_SiteInfo[Site name],Buildings_SiteInfo[Site type], "")</f>
        <v/>
      </c>
      <c r="U109" s="174" t="s">
        <v>281</v>
      </c>
      <c r="V109" s="174" t="str" cm="1">
        <f t="array" aca="1" ref="V109" ca="1">_xlfn.XLOOKUP(Buildings_GridElectricity_Backend[[#This Row],[Level 4]],rng_Level4Long,rng_Level5Long)</f>
        <v>Electricity</v>
      </c>
      <c r="W109" s="174" t="str" cm="1">
        <f t="array" aca="1" ref="W109" ca="1">_xlfn.XLOOKUP(Buildings_GridElectricity_Backend[[#This Row],[Level 4]],rng_Level4Long,rng_Level6Long)</f>
        <v>NaN</v>
      </c>
      <c r="X109" s="174">
        <f>Buildings_GridElectricity_Frontend[[#This Row],[Site Name]]</f>
        <v>0</v>
      </c>
      <c r="Y109" s="174">
        <f>Buildings_GridElectricity_Frontend[[#This Row],[Contracting]]</f>
        <v>0</v>
      </c>
      <c r="Z109" s="174">
        <f>Buildings_GridElectricity_Frontend[[#This Row],[Methodology]]</f>
        <v>0</v>
      </c>
      <c r="AA109" s="229" t="str" cm="1">
        <f t="array" ref="AA109">IF(Buildings_GridElectricity_Frontend[[#This Row],[Data]]="","",INDEX(_xlfn.SWITCH(Buildings_GridElectricity_Backend[[#This Row],[Methodology]],"Tier 1",rng_RSD1,"Tier 2",rng_RSD2,"Tier 3",rng_RSD3),MATCH(_xlfn.CONCAT(Buildings_GridElectricity_Backend[[#This Row],[Level 1]:[Level 6]]),rng_LevelsConcat,0)))</f>
        <v/>
      </c>
      <c r="AB109" s="220">
        <f>Buildings_GridElectricity_Frontend[[#This Row],[Data]]</f>
        <v>0</v>
      </c>
      <c r="AC109" s="174" t="str">
        <f>Buildings_GridElectricity_Frontend[[#This Row],[Units]]</f>
        <v>kWh</v>
      </c>
      <c r="AD109" s="218">
        <f>Buildings_GridElectricity_Frontend[[#This Row],[Data]]</f>
        <v>0</v>
      </c>
      <c r="AE109" s="174" t="str">
        <f>Buildings_GridElectricity_Frontend[[#This Row],[Units]]</f>
        <v>kWh</v>
      </c>
      <c r="AF109" s="210" t="str">
        <f>IF(Buildings_GridElectricity_Frontend[[#This Row],[Data]]="","",_xlfn.XLOOKUP(_xlfn.CONCAT(Buildings_GridElectricity_Backend[[#This Row],[Level 1]:[Level 6]]),rng_EFConcat,rng_EF1)*Buildings_GridElectricity_Backend[[#This Row],[Converted data]]/1000)</f>
        <v/>
      </c>
      <c r="AG109" s="210" t="str">
        <f>IF(Buildings_GridElectricity_Frontend[[#This Row],[Data]]="","",_xlfn.XLOOKUP(_xlfn.CONCAT(Buildings_GridElectricity_Backend[[#This Row],[Level 1]:[Level 6]]),rng_EFConcat,rng_EF2)*Buildings_GridElectricity_Backend[[#This Row],[Converted data]]/1000)</f>
        <v/>
      </c>
      <c r="AH109" s="210" t="str">
        <f>IF(Buildings_GridElectricity_Frontend[[#This Row],[Data]]="","",_xlfn.XLOOKUP(_xlfn.CONCAT(Buildings_GridElectricity_Backend[[#This Row],[Level 1]:[Level 6]]),rng_EFConcat,rng_EF3)*Buildings_GridElectricity_Backend[[#This Row],[Converted data]]/1000)</f>
        <v/>
      </c>
      <c r="AI109" s="210" t="str">
        <f>IF(Buildings_GridElectricity_Frontend[[#This Row],[Data]]="","",_xlfn.XLOOKUP(_xlfn.CONCAT(Buildings_GridElectricity_Backend[[#This Row],[Level 1]:[Level 6]]),rng_EFConcat,rng_EF3WTT)*Buildings_GridElectricity_Backend[[#This Row],[Converted data]]/1000)</f>
        <v/>
      </c>
      <c r="AJ109" s="210" t="str">
        <f>IF(Buildings_GridElectricity_Frontend[[#This Row],[Data]]="","",_xlfn.XLOOKUP(_xlfn.CONCAT(Buildings_GridElectricity_Backend[[#This Row],[Level 1]:[Level 6]]),rng_EFConcat,rng_EF3TD)*Buildings_GridElectricity_Backend[[#This Row],[Converted data]]/1000)</f>
        <v/>
      </c>
      <c r="AK109" s="210" t="str">
        <f>IF(Buildings_GridElectricity_Frontend[[#This Row],[Data]]="","",_xlfn.XLOOKUP(_xlfn.CONCAT(Buildings_GridElectricity_Backend[[#This Row],[Level 1]:[Level 6]]),rng_EFConcat,rng_EF3WTTTD)*Buildings_GridElectricity_Backend[[#This Row],[Converted data]]/1000)</f>
        <v/>
      </c>
      <c r="AL109" s="220" t="str">
        <f>IF(Buildings_GridElectricity_Frontend[[#This Row],[Data]]="","",SUM(Buildings_GridElectricity_Backend[[#This Row],[Scope 1 (tCO2e)]:[Scope 3 WTT T&amp;D (tCO2e)]]))</f>
        <v/>
      </c>
      <c r="AM109" s="220" t="str">
        <f>IF(Buildings_GridElectricity_Frontend[[#This Row],[Data]]="","",Buildings_GridElectricity_Backend[[#This Row],[Total (tCO2e)]]*(1-Buildings_GridElectricity_Backend[[#This Row],[RSD]]))</f>
        <v/>
      </c>
      <c r="AN109" s="220" t="str">
        <f>IF(Buildings_GridElectricity_Frontend[[#This Row],[Data]]="","",Buildings_GridElectricity_Backend[[#This Row],[Total (tCO2e)]]*(1+Buildings_GridElectricity_Backend[[#This Row],[RSD]]))</f>
        <v/>
      </c>
      <c r="AO109" s="210" t="str">
        <f>IF(Buildings_GridElectricity_Frontend[[#This Row],[Data]]="","",_xlfn.XLOOKUP(_xlfn.CONCAT(Buildings_GridElectricity_Backend[[#This Row],[Level 1]:[Level 6]]),rng_EFConcat,rng_EFOOS)*Buildings_GridElectricity_Backend[[#This Row],[Converted data]]/1000)</f>
        <v/>
      </c>
      <c r="AP109" s="174">
        <f>Buildings_GridElectricity_Frontend[[#This Row],[Ease of collection]]</f>
        <v>0</v>
      </c>
      <c r="AQ109" s="213">
        <f>Buildings_GridElectricity_Frontend[[#This Row],[Completeness]]</f>
        <v>0</v>
      </c>
      <c r="AR109" s="220">
        <f>Buildings_GridElectricity_Frontend[[#This Row],[Notes]]</f>
        <v>0</v>
      </c>
    </row>
    <row r="110" spans="5:44" x14ac:dyDescent="0.3">
      <c r="E110" s="346"/>
      <c r="F110" s="449"/>
      <c r="G110" s="336"/>
      <c r="H110" s="334"/>
      <c r="I110" s="172" t="s">
        <v>316</v>
      </c>
      <c r="J110" s="337"/>
      <c r="K110" s="336"/>
      <c r="L110" s="336"/>
      <c r="M110" s="337"/>
      <c r="N110" s="242">
        <f t="shared" si="5"/>
        <v>3</v>
      </c>
      <c r="Q110" s="212" t="str">
        <f t="shared" si="4"/>
        <v/>
      </c>
      <c r="R110" s="174" t="s">
        <v>265</v>
      </c>
      <c r="S110" s="174" t="s">
        <v>273</v>
      </c>
      <c r="T110" s="174" t="str">
        <f>_xlfn.XLOOKUP(Buildings_GridElectricity_Backend[[#This Row],[Info 1]],Buildings_SiteInfo[Site name],Buildings_SiteInfo[Site type], "")</f>
        <v/>
      </c>
      <c r="U110" s="174" t="s">
        <v>281</v>
      </c>
      <c r="V110" s="174" t="str" cm="1">
        <f t="array" aca="1" ref="V110" ca="1">_xlfn.XLOOKUP(Buildings_GridElectricity_Backend[[#This Row],[Level 4]],rng_Level4Long,rng_Level5Long)</f>
        <v>Electricity</v>
      </c>
      <c r="W110" s="174" t="str" cm="1">
        <f t="array" aca="1" ref="W110" ca="1">_xlfn.XLOOKUP(Buildings_GridElectricity_Backend[[#This Row],[Level 4]],rng_Level4Long,rng_Level6Long)</f>
        <v>NaN</v>
      </c>
      <c r="X110" s="174">
        <f>Buildings_GridElectricity_Frontend[[#This Row],[Site Name]]</f>
        <v>0</v>
      </c>
      <c r="Y110" s="174">
        <f>Buildings_GridElectricity_Frontend[[#This Row],[Contracting]]</f>
        <v>0</v>
      </c>
      <c r="Z110" s="174">
        <f>Buildings_GridElectricity_Frontend[[#This Row],[Methodology]]</f>
        <v>0</v>
      </c>
      <c r="AA110" s="229" t="str" cm="1">
        <f t="array" ref="AA110">IF(Buildings_GridElectricity_Frontend[[#This Row],[Data]]="","",INDEX(_xlfn.SWITCH(Buildings_GridElectricity_Backend[[#This Row],[Methodology]],"Tier 1",rng_RSD1,"Tier 2",rng_RSD2,"Tier 3",rng_RSD3),MATCH(_xlfn.CONCAT(Buildings_GridElectricity_Backend[[#This Row],[Level 1]:[Level 6]]),rng_LevelsConcat,0)))</f>
        <v/>
      </c>
      <c r="AB110" s="220">
        <f>Buildings_GridElectricity_Frontend[[#This Row],[Data]]</f>
        <v>0</v>
      </c>
      <c r="AC110" s="174" t="str">
        <f>Buildings_GridElectricity_Frontend[[#This Row],[Units]]</f>
        <v>kWh</v>
      </c>
      <c r="AD110" s="218">
        <f>Buildings_GridElectricity_Frontend[[#This Row],[Data]]</f>
        <v>0</v>
      </c>
      <c r="AE110" s="174" t="str">
        <f>Buildings_GridElectricity_Frontend[[#This Row],[Units]]</f>
        <v>kWh</v>
      </c>
      <c r="AF110" s="210" t="str">
        <f>IF(Buildings_GridElectricity_Frontend[[#This Row],[Data]]="","",_xlfn.XLOOKUP(_xlfn.CONCAT(Buildings_GridElectricity_Backend[[#This Row],[Level 1]:[Level 6]]),rng_EFConcat,rng_EF1)*Buildings_GridElectricity_Backend[[#This Row],[Converted data]]/1000)</f>
        <v/>
      </c>
      <c r="AG110" s="210" t="str">
        <f>IF(Buildings_GridElectricity_Frontend[[#This Row],[Data]]="","",_xlfn.XLOOKUP(_xlfn.CONCAT(Buildings_GridElectricity_Backend[[#This Row],[Level 1]:[Level 6]]),rng_EFConcat,rng_EF2)*Buildings_GridElectricity_Backend[[#This Row],[Converted data]]/1000)</f>
        <v/>
      </c>
      <c r="AH110" s="210" t="str">
        <f>IF(Buildings_GridElectricity_Frontend[[#This Row],[Data]]="","",_xlfn.XLOOKUP(_xlfn.CONCAT(Buildings_GridElectricity_Backend[[#This Row],[Level 1]:[Level 6]]),rng_EFConcat,rng_EF3)*Buildings_GridElectricity_Backend[[#This Row],[Converted data]]/1000)</f>
        <v/>
      </c>
      <c r="AI110" s="210" t="str">
        <f>IF(Buildings_GridElectricity_Frontend[[#This Row],[Data]]="","",_xlfn.XLOOKUP(_xlfn.CONCAT(Buildings_GridElectricity_Backend[[#This Row],[Level 1]:[Level 6]]),rng_EFConcat,rng_EF3WTT)*Buildings_GridElectricity_Backend[[#This Row],[Converted data]]/1000)</f>
        <v/>
      </c>
      <c r="AJ110" s="210" t="str">
        <f>IF(Buildings_GridElectricity_Frontend[[#This Row],[Data]]="","",_xlfn.XLOOKUP(_xlfn.CONCAT(Buildings_GridElectricity_Backend[[#This Row],[Level 1]:[Level 6]]),rng_EFConcat,rng_EF3TD)*Buildings_GridElectricity_Backend[[#This Row],[Converted data]]/1000)</f>
        <v/>
      </c>
      <c r="AK110" s="210" t="str">
        <f>IF(Buildings_GridElectricity_Frontend[[#This Row],[Data]]="","",_xlfn.XLOOKUP(_xlfn.CONCAT(Buildings_GridElectricity_Backend[[#This Row],[Level 1]:[Level 6]]),rng_EFConcat,rng_EF3WTTTD)*Buildings_GridElectricity_Backend[[#This Row],[Converted data]]/1000)</f>
        <v/>
      </c>
      <c r="AL110" s="220" t="str">
        <f>IF(Buildings_GridElectricity_Frontend[[#This Row],[Data]]="","",SUM(Buildings_GridElectricity_Backend[[#This Row],[Scope 1 (tCO2e)]:[Scope 3 WTT T&amp;D (tCO2e)]]))</f>
        <v/>
      </c>
      <c r="AM110" s="220" t="str">
        <f>IF(Buildings_GridElectricity_Frontend[[#This Row],[Data]]="","",Buildings_GridElectricity_Backend[[#This Row],[Total (tCO2e)]]*(1-Buildings_GridElectricity_Backend[[#This Row],[RSD]]))</f>
        <v/>
      </c>
      <c r="AN110" s="220" t="str">
        <f>IF(Buildings_GridElectricity_Frontend[[#This Row],[Data]]="","",Buildings_GridElectricity_Backend[[#This Row],[Total (tCO2e)]]*(1+Buildings_GridElectricity_Backend[[#This Row],[RSD]]))</f>
        <v/>
      </c>
      <c r="AO110" s="210" t="str">
        <f>IF(Buildings_GridElectricity_Frontend[[#This Row],[Data]]="","",_xlfn.XLOOKUP(_xlfn.CONCAT(Buildings_GridElectricity_Backend[[#This Row],[Level 1]:[Level 6]]),rng_EFConcat,rng_EFOOS)*Buildings_GridElectricity_Backend[[#This Row],[Converted data]]/1000)</f>
        <v/>
      </c>
      <c r="AP110" s="174">
        <f>Buildings_GridElectricity_Frontend[[#This Row],[Ease of collection]]</f>
        <v>0</v>
      </c>
      <c r="AQ110" s="213">
        <f>Buildings_GridElectricity_Frontend[[#This Row],[Completeness]]</f>
        <v>0</v>
      </c>
      <c r="AR110" s="220">
        <f>Buildings_GridElectricity_Frontend[[#This Row],[Notes]]</f>
        <v>0</v>
      </c>
    </row>
    <row r="111" spans="5:44" x14ac:dyDescent="0.3">
      <c r="E111" s="346"/>
      <c r="F111" s="449"/>
      <c r="G111" s="336"/>
      <c r="H111" s="334"/>
      <c r="I111" s="172" t="s">
        <v>316</v>
      </c>
      <c r="J111" s="337"/>
      <c r="K111" s="336"/>
      <c r="L111" s="336"/>
      <c r="M111" s="337"/>
      <c r="N111" s="242">
        <f t="shared" si="5"/>
        <v>3</v>
      </c>
      <c r="Q111" s="212" t="str">
        <f t="shared" si="4"/>
        <v/>
      </c>
      <c r="R111" s="174" t="s">
        <v>265</v>
      </c>
      <c r="S111" s="174" t="s">
        <v>273</v>
      </c>
      <c r="T111" s="174" t="str">
        <f>_xlfn.XLOOKUP(Buildings_GridElectricity_Backend[[#This Row],[Info 1]],Buildings_SiteInfo[Site name],Buildings_SiteInfo[Site type], "")</f>
        <v/>
      </c>
      <c r="U111" s="174" t="s">
        <v>281</v>
      </c>
      <c r="V111" s="174" t="str" cm="1">
        <f t="array" aca="1" ref="V111" ca="1">_xlfn.XLOOKUP(Buildings_GridElectricity_Backend[[#This Row],[Level 4]],rng_Level4Long,rng_Level5Long)</f>
        <v>Electricity</v>
      </c>
      <c r="W111" s="174" t="str" cm="1">
        <f t="array" aca="1" ref="W111" ca="1">_xlfn.XLOOKUP(Buildings_GridElectricity_Backend[[#This Row],[Level 4]],rng_Level4Long,rng_Level6Long)</f>
        <v>NaN</v>
      </c>
      <c r="X111" s="174">
        <f>Buildings_GridElectricity_Frontend[[#This Row],[Site Name]]</f>
        <v>0</v>
      </c>
      <c r="Y111" s="174">
        <f>Buildings_GridElectricity_Frontend[[#This Row],[Contracting]]</f>
        <v>0</v>
      </c>
      <c r="Z111" s="174">
        <f>Buildings_GridElectricity_Frontend[[#This Row],[Methodology]]</f>
        <v>0</v>
      </c>
      <c r="AA111" s="229" t="str" cm="1">
        <f t="array" ref="AA111">IF(Buildings_GridElectricity_Frontend[[#This Row],[Data]]="","",INDEX(_xlfn.SWITCH(Buildings_GridElectricity_Backend[[#This Row],[Methodology]],"Tier 1",rng_RSD1,"Tier 2",rng_RSD2,"Tier 3",rng_RSD3),MATCH(_xlfn.CONCAT(Buildings_GridElectricity_Backend[[#This Row],[Level 1]:[Level 6]]),rng_LevelsConcat,0)))</f>
        <v/>
      </c>
      <c r="AB111" s="220">
        <f>Buildings_GridElectricity_Frontend[[#This Row],[Data]]</f>
        <v>0</v>
      </c>
      <c r="AC111" s="174" t="str">
        <f>Buildings_GridElectricity_Frontend[[#This Row],[Units]]</f>
        <v>kWh</v>
      </c>
      <c r="AD111" s="218">
        <f>Buildings_GridElectricity_Frontend[[#This Row],[Data]]</f>
        <v>0</v>
      </c>
      <c r="AE111" s="174" t="str">
        <f>Buildings_GridElectricity_Frontend[[#This Row],[Units]]</f>
        <v>kWh</v>
      </c>
      <c r="AF111" s="210" t="str">
        <f>IF(Buildings_GridElectricity_Frontend[[#This Row],[Data]]="","",_xlfn.XLOOKUP(_xlfn.CONCAT(Buildings_GridElectricity_Backend[[#This Row],[Level 1]:[Level 6]]),rng_EFConcat,rng_EF1)*Buildings_GridElectricity_Backend[[#This Row],[Converted data]]/1000)</f>
        <v/>
      </c>
      <c r="AG111" s="210" t="str">
        <f>IF(Buildings_GridElectricity_Frontend[[#This Row],[Data]]="","",_xlfn.XLOOKUP(_xlfn.CONCAT(Buildings_GridElectricity_Backend[[#This Row],[Level 1]:[Level 6]]),rng_EFConcat,rng_EF2)*Buildings_GridElectricity_Backend[[#This Row],[Converted data]]/1000)</f>
        <v/>
      </c>
      <c r="AH111" s="210" t="str">
        <f>IF(Buildings_GridElectricity_Frontend[[#This Row],[Data]]="","",_xlfn.XLOOKUP(_xlfn.CONCAT(Buildings_GridElectricity_Backend[[#This Row],[Level 1]:[Level 6]]),rng_EFConcat,rng_EF3)*Buildings_GridElectricity_Backend[[#This Row],[Converted data]]/1000)</f>
        <v/>
      </c>
      <c r="AI111" s="210" t="str">
        <f>IF(Buildings_GridElectricity_Frontend[[#This Row],[Data]]="","",_xlfn.XLOOKUP(_xlfn.CONCAT(Buildings_GridElectricity_Backend[[#This Row],[Level 1]:[Level 6]]),rng_EFConcat,rng_EF3WTT)*Buildings_GridElectricity_Backend[[#This Row],[Converted data]]/1000)</f>
        <v/>
      </c>
      <c r="AJ111" s="210" t="str">
        <f>IF(Buildings_GridElectricity_Frontend[[#This Row],[Data]]="","",_xlfn.XLOOKUP(_xlfn.CONCAT(Buildings_GridElectricity_Backend[[#This Row],[Level 1]:[Level 6]]),rng_EFConcat,rng_EF3TD)*Buildings_GridElectricity_Backend[[#This Row],[Converted data]]/1000)</f>
        <v/>
      </c>
      <c r="AK111" s="210" t="str">
        <f>IF(Buildings_GridElectricity_Frontend[[#This Row],[Data]]="","",_xlfn.XLOOKUP(_xlfn.CONCAT(Buildings_GridElectricity_Backend[[#This Row],[Level 1]:[Level 6]]),rng_EFConcat,rng_EF3WTTTD)*Buildings_GridElectricity_Backend[[#This Row],[Converted data]]/1000)</f>
        <v/>
      </c>
      <c r="AL111" s="220" t="str">
        <f>IF(Buildings_GridElectricity_Frontend[[#This Row],[Data]]="","",SUM(Buildings_GridElectricity_Backend[[#This Row],[Scope 1 (tCO2e)]:[Scope 3 WTT T&amp;D (tCO2e)]]))</f>
        <v/>
      </c>
      <c r="AM111" s="220" t="str">
        <f>IF(Buildings_GridElectricity_Frontend[[#This Row],[Data]]="","",Buildings_GridElectricity_Backend[[#This Row],[Total (tCO2e)]]*(1-Buildings_GridElectricity_Backend[[#This Row],[RSD]]))</f>
        <v/>
      </c>
      <c r="AN111" s="220" t="str">
        <f>IF(Buildings_GridElectricity_Frontend[[#This Row],[Data]]="","",Buildings_GridElectricity_Backend[[#This Row],[Total (tCO2e)]]*(1+Buildings_GridElectricity_Backend[[#This Row],[RSD]]))</f>
        <v/>
      </c>
      <c r="AO111" s="210" t="str">
        <f>IF(Buildings_GridElectricity_Frontend[[#This Row],[Data]]="","",_xlfn.XLOOKUP(_xlfn.CONCAT(Buildings_GridElectricity_Backend[[#This Row],[Level 1]:[Level 6]]),rng_EFConcat,rng_EFOOS)*Buildings_GridElectricity_Backend[[#This Row],[Converted data]]/1000)</f>
        <v/>
      </c>
      <c r="AP111" s="174">
        <f>Buildings_GridElectricity_Frontend[[#This Row],[Ease of collection]]</f>
        <v>0</v>
      </c>
      <c r="AQ111" s="213">
        <f>Buildings_GridElectricity_Frontend[[#This Row],[Completeness]]</f>
        <v>0</v>
      </c>
      <c r="AR111" s="220">
        <f>Buildings_GridElectricity_Frontend[[#This Row],[Notes]]</f>
        <v>0</v>
      </c>
    </row>
    <row r="112" spans="5:44" x14ac:dyDescent="0.3">
      <c r="E112" s="346"/>
      <c r="F112" s="449"/>
      <c r="G112" s="336"/>
      <c r="H112" s="334"/>
      <c r="I112" s="172" t="s">
        <v>316</v>
      </c>
      <c r="J112" s="337"/>
      <c r="K112" s="336"/>
      <c r="L112" s="336"/>
      <c r="M112" s="337"/>
      <c r="N112" s="242">
        <f t="shared" si="5"/>
        <v>3</v>
      </c>
      <c r="Q112" s="212" t="str">
        <f t="shared" si="4"/>
        <v/>
      </c>
      <c r="R112" s="174" t="s">
        <v>265</v>
      </c>
      <c r="S112" s="174" t="s">
        <v>273</v>
      </c>
      <c r="T112" s="174" t="str">
        <f>_xlfn.XLOOKUP(Buildings_GridElectricity_Backend[[#This Row],[Info 1]],Buildings_SiteInfo[Site name],Buildings_SiteInfo[Site type], "")</f>
        <v/>
      </c>
      <c r="U112" s="174" t="s">
        <v>281</v>
      </c>
      <c r="V112" s="174" t="str" cm="1">
        <f t="array" aca="1" ref="V112" ca="1">_xlfn.XLOOKUP(Buildings_GridElectricity_Backend[[#This Row],[Level 4]],rng_Level4Long,rng_Level5Long)</f>
        <v>Electricity</v>
      </c>
      <c r="W112" s="174" t="str" cm="1">
        <f t="array" aca="1" ref="W112" ca="1">_xlfn.XLOOKUP(Buildings_GridElectricity_Backend[[#This Row],[Level 4]],rng_Level4Long,rng_Level6Long)</f>
        <v>NaN</v>
      </c>
      <c r="X112" s="174">
        <f>Buildings_GridElectricity_Frontend[[#This Row],[Site Name]]</f>
        <v>0</v>
      </c>
      <c r="Y112" s="174">
        <f>Buildings_GridElectricity_Frontend[[#This Row],[Contracting]]</f>
        <v>0</v>
      </c>
      <c r="Z112" s="174">
        <f>Buildings_GridElectricity_Frontend[[#This Row],[Methodology]]</f>
        <v>0</v>
      </c>
      <c r="AA112" s="229" t="str" cm="1">
        <f t="array" ref="AA112">IF(Buildings_GridElectricity_Frontend[[#This Row],[Data]]="","",INDEX(_xlfn.SWITCH(Buildings_GridElectricity_Backend[[#This Row],[Methodology]],"Tier 1",rng_RSD1,"Tier 2",rng_RSD2,"Tier 3",rng_RSD3),MATCH(_xlfn.CONCAT(Buildings_GridElectricity_Backend[[#This Row],[Level 1]:[Level 6]]),rng_LevelsConcat,0)))</f>
        <v/>
      </c>
      <c r="AB112" s="220">
        <f>Buildings_GridElectricity_Frontend[[#This Row],[Data]]</f>
        <v>0</v>
      </c>
      <c r="AC112" s="174" t="str">
        <f>Buildings_GridElectricity_Frontend[[#This Row],[Units]]</f>
        <v>kWh</v>
      </c>
      <c r="AD112" s="218">
        <f>Buildings_GridElectricity_Frontend[[#This Row],[Data]]</f>
        <v>0</v>
      </c>
      <c r="AE112" s="174" t="str">
        <f>Buildings_GridElectricity_Frontend[[#This Row],[Units]]</f>
        <v>kWh</v>
      </c>
      <c r="AF112" s="210" t="str">
        <f>IF(Buildings_GridElectricity_Frontend[[#This Row],[Data]]="","",_xlfn.XLOOKUP(_xlfn.CONCAT(Buildings_GridElectricity_Backend[[#This Row],[Level 1]:[Level 6]]),rng_EFConcat,rng_EF1)*Buildings_GridElectricity_Backend[[#This Row],[Converted data]]/1000)</f>
        <v/>
      </c>
      <c r="AG112" s="210" t="str">
        <f>IF(Buildings_GridElectricity_Frontend[[#This Row],[Data]]="","",_xlfn.XLOOKUP(_xlfn.CONCAT(Buildings_GridElectricity_Backend[[#This Row],[Level 1]:[Level 6]]),rng_EFConcat,rng_EF2)*Buildings_GridElectricity_Backend[[#This Row],[Converted data]]/1000)</f>
        <v/>
      </c>
      <c r="AH112" s="210" t="str">
        <f>IF(Buildings_GridElectricity_Frontend[[#This Row],[Data]]="","",_xlfn.XLOOKUP(_xlfn.CONCAT(Buildings_GridElectricity_Backend[[#This Row],[Level 1]:[Level 6]]),rng_EFConcat,rng_EF3)*Buildings_GridElectricity_Backend[[#This Row],[Converted data]]/1000)</f>
        <v/>
      </c>
      <c r="AI112" s="210" t="str">
        <f>IF(Buildings_GridElectricity_Frontend[[#This Row],[Data]]="","",_xlfn.XLOOKUP(_xlfn.CONCAT(Buildings_GridElectricity_Backend[[#This Row],[Level 1]:[Level 6]]),rng_EFConcat,rng_EF3WTT)*Buildings_GridElectricity_Backend[[#This Row],[Converted data]]/1000)</f>
        <v/>
      </c>
      <c r="AJ112" s="210" t="str">
        <f>IF(Buildings_GridElectricity_Frontend[[#This Row],[Data]]="","",_xlfn.XLOOKUP(_xlfn.CONCAT(Buildings_GridElectricity_Backend[[#This Row],[Level 1]:[Level 6]]),rng_EFConcat,rng_EF3TD)*Buildings_GridElectricity_Backend[[#This Row],[Converted data]]/1000)</f>
        <v/>
      </c>
      <c r="AK112" s="210" t="str">
        <f>IF(Buildings_GridElectricity_Frontend[[#This Row],[Data]]="","",_xlfn.XLOOKUP(_xlfn.CONCAT(Buildings_GridElectricity_Backend[[#This Row],[Level 1]:[Level 6]]),rng_EFConcat,rng_EF3WTTTD)*Buildings_GridElectricity_Backend[[#This Row],[Converted data]]/1000)</f>
        <v/>
      </c>
      <c r="AL112" s="220" t="str">
        <f>IF(Buildings_GridElectricity_Frontend[[#This Row],[Data]]="","",SUM(Buildings_GridElectricity_Backend[[#This Row],[Scope 1 (tCO2e)]:[Scope 3 WTT T&amp;D (tCO2e)]]))</f>
        <v/>
      </c>
      <c r="AM112" s="220" t="str">
        <f>IF(Buildings_GridElectricity_Frontend[[#This Row],[Data]]="","",Buildings_GridElectricity_Backend[[#This Row],[Total (tCO2e)]]*(1-Buildings_GridElectricity_Backend[[#This Row],[RSD]]))</f>
        <v/>
      </c>
      <c r="AN112" s="220" t="str">
        <f>IF(Buildings_GridElectricity_Frontend[[#This Row],[Data]]="","",Buildings_GridElectricity_Backend[[#This Row],[Total (tCO2e)]]*(1+Buildings_GridElectricity_Backend[[#This Row],[RSD]]))</f>
        <v/>
      </c>
      <c r="AO112" s="210" t="str">
        <f>IF(Buildings_GridElectricity_Frontend[[#This Row],[Data]]="","",_xlfn.XLOOKUP(_xlfn.CONCAT(Buildings_GridElectricity_Backend[[#This Row],[Level 1]:[Level 6]]),rng_EFConcat,rng_EFOOS)*Buildings_GridElectricity_Backend[[#This Row],[Converted data]]/1000)</f>
        <v/>
      </c>
      <c r="AP112" s="174">
        <f>Buildings_GridElectricity_Frontend[[#This Row],[Ease of collection]]</f>
        <v>0</v>
      </c>
      <c r="AQ112" s="213">
        <f>Buildings_GridElectricity_Frontend[[#This Row],[Completeness]]</f>
        <v>0</v>
      </c>
      <c r="AR112" s="220">
        <f>Buildings_GridElectricity_Frontend[[#This Row],[Notes]]</f>
        <v>0</v>
      </c>
    </row>
    <row r="113" spans="5:44" x14ac:dyDescent="0.3">
      <c r="E113" s="346"/>
      <c r="F113" s="449"/>
      <c r="G113" s="336"/>
      <c r="H113" s="334"/>
      <c r="I113" s="172" t="s">
        <v>316</v>
      </c>
      <c r="J113" s="337"/>
      <c r="K113" s="336"/>
      <c r="L113" s="336"/>
      <c r="M113" s="337"/>
      <c r="N113" s="242">
        <f t="shared" si="5"/>
        <v>3</v>
      </c>
      <c r="Q113" s="212" t="str">
        <f t="shared" si="4"/>
        <v/>
      </c>
      <c r="R113" s="174" t="s">
        <v>265</v>
      </c>
      <c r="S113" s="174" t="s">
        <v>273</v>
      </c>
      <c r="T113" s="174" t="str">
        <f>_xlfn.XLOOKUP(Buildings_GridElectricity_Backend[[#This Row],[Info 1]],Buildings_SiteInfo[Site name],Buildings_SiteInfo[Site type], "")</f>
        <v/>
      </c>
      <c r="U113" s="174" t="s">
        <v>281</v>
      </c>
      <c r="V113" s="174" t="str" cm="1">
        <f t="array" aca="1" ref="V113" ca="1">_xlfn.XLOOKUP(Buildings_GridElectricity_Backend[[#This Row],[Level 4]],rng_Level4Long,rng_Level5Long)</f>
        <v>Electricity</v>
      </c>
      <c r="W113" s="174" t="str" cm="1">
        <f t="array" aca="1" ref="W113" ca="1">_xlfn.XLOOKUP(Buildings_GridElectricity_Backend[[#This Row],[Level 4]],rng_Level4Long,rng_Level6Long)</f>
        <v>NaN</v>
      </c>
      <c r="X113" s="174">
        <f>Buildings_GridElectricity_Frontend[[#This Row],[Site Name]]</f>
        <v>0</v>
      </c>
      <c r="Y113" s="174">
        <f>Buildings_GridElectricity_Frontend[[#This Row],[Contracting]]</f>
        <v>0</v>
      </c>
      <c r="Z113" s="174">
        <f>Buildings_GridElectricity_Frontend[[#This Row],[Methodology]]</f>
        <v>0</v>
      </c>
      <c r="AA113" s="229" t="str" cm="1">
        <f t="array" ref="AA113">IF(Buildings_GridElectricity_Frontend[[#This Row],[Data]]="","",INDEX(_xlfn.SWITCH(Buildings_GridElectricity_Backend[[#This Row],[Methodology]],"Tier 1",rng_RSD1,"Tier 2",rng_RSD2,"Tier 3",rng_RSD3),MATCH(_xlfn.CONCAT(Buildings_GridElectricity_Backend[[#This Row],[Level 1]:[Level 6]]),rng_LevelsConcat,0)))</f>
        <v/>
      </c>
      <c r="AB113" s="220">
        <f>Buildings_GridElectricity_Frontend[[#This Row],[Data]]</f>
        <v>0</v>
      </c>
      <c r="AC113" s="174" t="str">
        <f>Buildings_GridElectricity_Frontend[[#This Row],[Units]]</f>
        <v>kWh</v>
      </c>
      <c r="AD113" s="218">
        <f>Buildings_GridElectricity_Frontend[[#This Row],[Data]]</f>
        <v>0</v>
      </c>
      <c r="AE113" s="174" t="str">
        <f>Buildings_GridElectricity_Frontend[[#This Row],[Units]]</f>
        <v>kWh</v>
      </c>
      <c r="AF113" s="210" t="str">
        <f>IF(Buildings_GridElectricity_Frontend[[#This Row],[Data]]="","",_xlfn.XLOOKUP(_xlfn.CONCAT(Buildings_GridElectricity_Backend[[#This Row],[Level 1]:[Level 6]]),rng_EFConcat,rng_EF1)*Buildings_GridElectricity_Backend[[#This Row],[Converted data]]/1000)</f>
        <v/>
      </c>
      <c r="AG113" s="210" t="str">
        <f>IF(Buildings_GridElectricity_Frontend[[#This Row],[Data]]="","",_xlfn.XLOOKUP(_xlfn.CONCAT(Buildings_GridElectricity_Backend[[#This Row],[Level 1]:[Level 6]]),rng_EFConcat,rng_EF2)*Buildings_GridElectricity_Backend[[#This Row],[Converted data]]/1000)</f>
        <v/>
      </c>
      <c r="AH113" s="210" t="str">
        <f>IF(Buildings_GridElectricity_Frontend[[#This Row],[Data]]="","",_xlfn.XLOOKUP(_xlfn.CONCAT(Buildings_GridElectricity_Backend[[#This Row],[Level 1]:[Level 6]]),rng_EFConcat,rng_EF3)*Buildings_GridElectricity_Backend[[#This Row],[Converted data]]/1000)</f>
        <v/>
      </c>
      <c r="AI113" s="210" t="str">
        <f>IF(Buildings_GridElectricity_Frontend[[#This Row],[Data]]="","",_xlfn.XLOOKUP(_xlfn.CONCAT(Buildings_GridElectricity_Backend[[#This Row],[Level 1]:[Level 6]]),rng_EFConcat,rng_EF3WTT)*Buildings_GridElectricity_Backend[[#This Row],[Converted data]]/1000)</f>
        <v/>
      </c>
      <c r="AJ113" s="210" t="str">
        <f>IF(Buildings_GridElectricity_Frontend[[#This Row],[Data]]="","",_xlfn.XLOOKUP(_xlfn.CONCAT(Buildings_GridElectricity_Backend[[#This Row],[Level 1]:[Level 6]]),rng_EFConcat,rng_EF3TD)*Buildings_GridElectricity_Backend[[#This Row],[Converted data]]/1000)</f>
        <v/>
      </c>
      <c r="AK113" s="210" t="str">
        <f>IF(Buildings_GridElectricity_Frontend[[#This Row],[Data]]="","",_xlfn.XLOOKUP(_xlfn.CONCAT(Buildings_GridElectricity_Backend[[#This Row],[Level 1]:[Level 6]]),rng_EFConcat,rng_EF3WTTTD)*Buildings_GridElectricity_Backend[[#This Row],[Converted data]]/1000)</f>
        <v/>
      </c>
      <c r="AL113" s="220" t="str">
        <f>IF(Buildings_GridElectricity_Frontend[[#This Row],[Data]]="","",SUM(Buildings_GridElectricity_Backend[[#This Row],[Scope 1 (tCO2e)]:[Scope 3 WTT T&amp;D (tCO2e)]]))</f>
        <v/>
      </c>
      <c r="AM113" s="220" t="str">
        <f>IF(Buildings_GridElectricity_Frontend[[#This Row],[Data]]="","",Buildings_GridElectricity_Backend[[#This Row],[Total (tCO2e)]]*(1-Buildings_GridElectricity_Backend[[#This Row],[RSD]]))</f>
        <v/>
      </c>
      <c r="AN113" s="220" t="str">
        <f>IF(Buildings_GridElectricity_Frontend[[#This Row],[Data]]="","",Buildings_GridElectricity_Backend[[#This Row],[Total (tCO2e)]]*(1+Buildings_GridElectricity_Backend[[#This Row],[RSD]]))</f>
        <v/>
      </c>
      <c r="AO113" s="210" t="str">
        <f>IF(Buildings_GridElectricity_Frontend[[#This Row],[Data]]="","",_xlfn.XLOOKUP(_xlfn.CONCAT(Buildings_GridElectricity_Backend[[#This Row],[Level 1]:[Level 6]]),rng_EFConcat,rng_EFOOS)*Buildings_GridElectricity_Backend[[#This Row],[Converted data]]/1000)</f>
        <v/>
      </c>
      <c r="AP113" s="174">
        <f>Buildings_GridElectricity_Frontend[[#This Row],[Ease of collection]]</f>
        <v>0</v>
      </c>
      <c r="AQ113" s="213">
        <f>Buildings_GridElectricity_Frontend[[#This Row],[Completeness]]</f>
        <v>0</v>
      </c>
      <c r="AR113" s="220">
        <f>Buildings_GridElectricity_Frontend[[#This Row],[Notes]]</f>
        <v>0</v>
      </c>
    </row>
    <row r="114" spans="5:44" x14ac:dyDescent="0.3">
      <c r="E114" s="346"/>
      <c r="F114" s="449"/>
      <c r="G114" s="336"/>
      <c r="H114" s="334"/>
      <c r="I114" s="172" t="s">
        <v>316</v>
      </c>
      <c r="J114" s="337"/>
      <c r="K114" s="336"/>
      <c r="L114" s="336"/>
      <c r="M114" s="337"/>
      <c r="N114" s="242">
        <f t="shared" si="5"/>
        <v>3</v>
      </c>
      <c r="Q114" s="212" t="str">
        <f t="shared" si="4"/>
        <v/>
      </c>
      <c r="R114" s="174" t="s">
        <v>265</v>
      </c>
      <c r="S114" s="174" t="s">
        <v>273</v>
      </c>
      <c r="T114" s="174" t="str">
        <f>_xlfn.XLOOKUP(Buildings_GridElectricity_Backend[[#This Row],[Info 1]],Buildings_SiteInfo[Site name],Buildings_SiteInfo[Site type], "")</f>
        <v/>
      </c>
      <c r="U114" s="174" t="s">
        <v>281</v>
      </c>
      <c r="V114" s="174" t="str" cm="1">
        <f t="array" aca="1" ref="V114" ca="1">_xlfn.XLOOKUP(Buildings_GridElectricity_Backend[[#This Row],[Level 4]],rng_Level4Long,rng_Level5Long)</f>
        <v>Electricity</v>
      </c>
      <c r="W114" s="174" t="str" cm="1">
        <f t="array" aca="1" ref="W114" ca="1">_xlfn.XLOOKUP(Buildings_GridElectricity_Backend[[#This Row],[Level 4]],rng_Level4Long,rng_Level6Long)</f>
        <v>NaN</v>
      </c>
      <c r="X114" s="174">
        <f>Buildings_GridElectricity_Frontend[[#This Row],[Site Name]]</f>
        <v>0</v>
      </c>
      <c r="Y114" s="174">
        <f>Buildings_GridElectricity_Frontend[[#This Row],[Contracting]]</f>
        <v>0</v>
      </c>
      <c r="Z114" s="174">
        <f>Buildings_GridElectricity_Frontend[[#This Row],[Methodology]]</f>
        <v>0</v>
      </c>
      <c r="AA114" s="229" t="str" cm="1">
        <f t="array" ref="AA114">IF(Buildings_GridElectricity_Frontend[[#This Row],[Data]]="","",INDEX(_xlfn.SWITCH(Buildings_GridElectricity_Backend[[#This Row],[Methodology]],"Tier 1",rng_RSD1,"Tier 2",rng_RSD2,"Tier 3",rng_RSD3),MATCH(_xlfn.CONCAT(Buildings_GridElectricity_Backend[[#This Row],[Level 1]:[Level 6]]),rng_LevelsConcat,0)))</f>
        <v/>
      </c>
      <c r="AB114" s="220">
        <f>Buildings_GridElectricity_Frontend[[#This Row],[Data]]</f>
        <v>0</v>
      </c>
      <c r="AC114" s="174" t="str">
        <f>Buildings_GridElectricity_Frontend[[#This Row],[Units]]</f>
        <v>kWh</v>
      </c>
      <c r="AD114" s="218">
        <f>Buildings_GridElectricity_Frontend[[#This Row],[Data]]</f>
        <v>0</v>
      </c>
      <c r="AE114" s="174" t="str">
        <f>Buildings_GridElectricity_Frontend[[#This Row],[Units]]</f>
        <v>kWh</v>
      </c>
      <c r="AF114" s="210" t="str">
        <f>IF(Buildings_GridElectricity_Frontend[[#This Row],[Data]]="","",_xlfn.XLOOKUP(_xlfn.CONCAT(Buildings_GridElectricity_Backend[[#This Row],[Level 1]:[Level 6]]),rng_EFConcat,rng_EF1)*Buildings_GridElectricity_Backend[[#This Row],[Converted data]]/1000)</f>
        <v/>
      </c>
      <c r="AG114" s="210" t="str">
        <f>IF(Buildings_GridElectricity_Frontend[[#This Row],[Data]]="","",_xlfn.XLOOKUP(_xlfn.CONCAT(Buildings_GridElectricity_Backend[[#This Row],[Level 1]:[Level 6]]),rng_EFConcat,rng_EF2)*Buildings_GridElectricity_Backend[[#This Row],[Converted data]]/1000)</f>
        <v/>
      </c>
      <c r="AH114" s="210" t="str">
        <f>IF(Buildings_GridElectricity_Frontend[[#This Row],[Data]]="","",_xlfn.XLOOKUP(_xlfn.CONCAT(Buildings_GridElectricity_Backend[[#This Row],[Level 1]:[Level 6]]),rng_EFConcat,rng_EF3)*Buildings_GridElectricity_Backend[[#This Row],[Converted data]]/1000)</f>
        <v/>
      </c>
      <c r="AI114" s="210" t="str">
        <f>IF(Buildings_GridElectricity_Frontend[[#This Row],[Data]]="","",_xlfn.XLOOKUP(_xlfn.CONCAT(Buildings_GridElectricity_Backend[[#This Row],[Level 1]:[Level 6]]),rng_EFConcat,rng_EF3WTT)*Buildings_GridElectricity_Backend[[#This Row],[Converted data]]/1000)</f>
        <v/>
      </c>
      <c r="AJ114" s="210" t="str">
        <f>IF(Buildings_GridElectricity_Frontend[[#This Row],[Data]]="","",_xlfn.XLOOKUP(_xlfn.CONCAT(Buildings_GridElectricity_Backend[[#This Row],[Level 1]:[Level 6]]),rng_EFConcat,rng_EF3TD)*Buildings_GridElectricity_Backend[[#This Row],[Converted data]]/1000)</f>
        <v/>
      </c>
      <c r="AK114" s="210" t="str">
        <f>IF(Buildings_GridElectricity_Frontend[[#This Row],[Data]]="","",_xlfn.XLOOKUP(_xlfn.CONCAT(Buildings_GridElectricity_Backend[[#This Row],[Level 1]:[Level 6]]),rng_EFConcat,rng_EF3WTTTD)*Buildings_GridElectricity_Backend[[#This Row],[Converted data]]/1000)</f>
        <v/>
      </c>
      <c r="AL114" s="220" t="str">
        <f>IF(Buildings_GridElectricity_Frontend[[#This Row],[Data]]="","",SUM(Buildings_GridElectricity_Backend[[#This Row],[Scope 1 (tCO2e)]:[Scope 3 WTT T&amp;D (tCO2e)]]))</f>
        <v/>
      </c>
      <c r="AM114" s="220" t="str">
        <f>IF(Buildings_GridElectricity_Frontend[[#This Row],[Data]]="","",Buildings_GridElectricity_Backend[[#This Row],[Total (tCO2e)]]*(1-Buildings_GridElectricity_Backend[[#This Row],[RSD]]))</f>
        <v/>
      </c>
      <c r="AN114" s="220" t="str">
        <f>IF(Buildings_GridElectricity_Frontend[[#This Row],[Data]]="","",Buildings_GridElectricity_Backend[[#This Row],[Total (tCO2e)]]*(1+Buildings_GridElectricity_Backend[[#This Row],[RSD]]))</f>
        <v/>
      </c>
      <c r="AO114" s="210" t="str">
        <f>IF(Buildings_GridElectricity_Frontend[[#This Row],[Data]]="","",_xlfn.XLOOKUP(_xlfn.CONCAT(Buildings_GridElectricity_Backend[[#This Row],[Level 1]:[Level 6]]),rng_EFConcat,rng_EFOOS)*Buildings_GridElectricity_Backend[[#This Row],[Converted data]]/1000)</f>
        <v/>
      </c>
      <c r="AP114" s="174">
        <f>Buildings_GridElectricity_Frontend[[#This Row],[Ease of collection]]</f>
        <v>0</v>
      </c>
      <c r="AQ114" s="213">
        <f>Buildings_GridElectricity_Frontend[[#This Row],[Completeness]]</f>
        <v>0</v>
      </c>
      <c r="AR114" s="220">
        <f>Buildings_GridElectricity_Frontend[[#This Row],[Notes]]</f>
        <v>0</v>
      </c>
    </row>
    <row r="115" spans="5:44" x14ac:dyDescent="0.3">
      <c r="E115" s="346"/>
      <c r="F115" s="449"/>
      <c r="G115" s="336"/>
      <c r="H115" s="334"/>
      <c r="I115" s="172" t="s">
        <v>316</v>
      </c>
      <c r="J115" s="337"/>
      <c r="K115" s="336"/>
      <c r="L115" s="336"/>
      <c r="M115" s="337"/>
      <c r="N115" s="242">
        <f t="shared" si="5"/>
        <v>3</v>
      </c>
      <c r="Q115" s="212" t="str">
        <f t="shared" si="4"/>
        <v/>
      </c>
      <c r="R115" s="174" t="s">
        <v>265</v>
      </c>
      <c r="S115" s="174" t="s">
        <v>273</v>
      </c>
      <c r="T115" s="174" t="str">
        <f>_xlfn.XLOOKUP(Buildings_GridElectricity_Backend[[#This Row],[Info 1]],Buildings_SiteInfo[Site name],Buildings_SiteInfo[Site type], "")</f>
        <v/>
      </c>
      <c r="U115" s="174" t="s">
        <v>281</v>
      </c>
      <c r="V115" s="174" t="str" cm="1">
        <f t="array" aca="1" ref="V115" ca="1">_xlfn.XLOOKUP(Buildings_GridElectricity_Backend[[#This Row],[Level 4]],rng_Level4Long,rng_Level5Long)</f>
        <v>Electricity</v>
      </c>
      <c r="W115" s="174" t="str" cm="1">
        <f t="array" aca="1" ref="W115" ca="1">_xlfn.XLOOKUP(Buildings_GridElectricity_Backend[[#This Row],[Level 4]],rng_Level4Long,rng_Level6Long)</f>
        <v>NaN</v>
      </c>
      <c r="X115" s="174">
        <f>Buildings_GridElectricity_Frontend[[#This Row],[Site Name]]</f>
        <v>0</v>
      </c>
      <c r="Y115" s="174">
        <f>Buildings_GridElectricity_Frontend[[#This Row],[Contracting]]</f>
        <v>0</v>
      </c>
      <c r="Z115" s="174">
        <f>Buildings_GridElectricity_Frontend[[#This Row],[Methodology]]</f>
        <v>0</v>
      </c>
      <c r="AA115" s="229" t="str" cm="1">
        <f t="array" ref="AA115">IF(Buildings_GridElectricity_Frontend[[#This Row],[Data]]="","",INDEX(_xlfn.SWITCH(Buildings_GridElectricity_Backend[[#This Row],[Methodology]],"Tier 1",rng_RSD1,"Tier 2",rng_RSD2,"Tier 3",rng_RSD3),MATCH(_xlfn.CONCAT(Buildings_GridElectricity_Backend[[#This Row],[Level 1]:[Level 6]]),rng_LevelsConcat,0)))</f>
        <v/>
      </c>
      <c r="AB115" s="220">
        <f>Buildings_GridElectricity_Frontend[[#This Row],[Data]]</f>
        <v>0</v>
      </c>
      <c r="AC115" s="174" t="str">
        <f>Buildings_GridElectricity_Frontend[[#This Row],[Units]]</f>
        <v>kWh</v>
      </c>
      <c r="AD115" s="218">
        <f>Buildings_GridElectricity_Frontend[[#This Row],[Data]]</f>
        <v>0</v>
      </c>
      <c r="AE115" s="174" t="str">
        <f>Buildings_GridElectricity_Frontend[[#This Row],[Units]]</f>
        <v>kWh</v>
      </c>
      <c r="AF115" s="210" t="str">
        <f>IF(Buildings_GridElectricity_Frontend[[#This Row],[Data]]="","",_xlfn.XLOOKUP(_xlfn.CONCAT(Buildings_GridElectricity_Backend[[#This Row],[Level 1]:[Level 6]]),rng_EFConcat,rng_EF1)*Buildings_GridElectricity_Backend[[#This Row],[Converted data]]/1000)</f>
        <v/>
      </c>
      <c r="AG115" s="210" t="str">
        <f>IF(Buildings_GridElectricity_Frontend[[#This Row],[Data]]="","",_xlfn.XLOOKUP(_xlfn.CONCAT(Buildings_GridElectricity_Backend[[#This Row],[Level 1]:[Level 6]]),rng_EFConcat,rng_EF2)*Buildings_GridElectricity_Backend[[#This Row],[Converted data]]/1000)</f>
        <v/>
      </c>
      <c r="AH115" s="210" t="str">
        <f>IF(Buildings_GridElectricity_Frontend[[#This Row],[Data]]="","",_xlfn.XLOOKUP(_xlfn.CONCAT(Buildings_GridElectricity_Backend[[#This Row],[Level 1]:[Level 6]]),rng_EFConcat,rng_EF3)*Buildings_GridElectricity_Backend[[#This Row],[Converted data]]/1000)</f>
        <v/>
      </c>
      <c r="AI115" s="210" t="str">
        <f>IF(Buildings_GridElectricity_Frontend[[#This Row],[Data]]="","",_xlfn.XLOOKUP(_xlfn.CONCAT(Buildings_GridElectricity_Backend[[#This Row],[Level 1]:[Level 6]]),rng_EFConcat,rng_EF3WTT)*Buildings_GridElectricity_Backend[[#This Row],[Converted data]]/1000)</f>
        <v/>
      </c>
      <c r="AJ115" s="210" t="str">
        <f>IF(Buildings_GridElectricity_Frontend[[#This Row],[Data]]="","",_xlfn.XLOOKUP(_xlfn.CONCAT(Buildings_GridElectricity_Backend[[#This Row],[Level 1]:[Level 6]]),rng_EFConcat,rng_EF3TD)*Buildings_GridElectricity_Backend[[#This Row],[Converted data]]/1000)</f>
        <v/>
      </c>
      <c r="AK115" s="210" t="str">
        <f>IF(Buildings_GridElectricity_Frontend[[#This Row],[Data]]="","",_xlfn.XLOOKUP(_xlfn.CONCAT(Buildings_GridElectricity_Backend[[#This Row],[Level 1]:[Level 6]]),rng_EFConcat,rng_EF3WTTTD)*Buildings_GridElectricity_Backend[[#This Row],[Converted data]]/1000)</f>
        <v/>
      </c>
      <c r="AL115" s="220" t="str">
        <f>IF(Buildings_GridElectricity_Frontend[[#This Row],[Data]]="","",SUM(Buildings_GridElectricity_Backend[[#This Row],[Scope 1 (tCO2e)]:[Scope 3 WTT T&amp;D (tCO2e)]]))</f>
        <v/>
      </c>
      <c r="AM115" s="220" t="str">
        <f>IF(Buildings_GridElectricity_Frontend[[#This Row],[Data]]="","",Buildings_GridElectricity_Backend[[#This Row],[Total (tCO2e)]]*(1-Buildings_GridElectricity_Backend[[#This Row],[RSD]]))</f>
        <v/>
      </c>
      <c r="AN115" s="220" t="str">
        <f>IF(Buildings_GridElectricity_Frontend[[#This Row],[Data]]="","",Buildings_GridElectricity_Backend[[#This Row],[Total (tCO2e)]]*(1+Buildings_GridElectricity_Backend[[#This Row],[RSD]]))</f>
        <v/>
      </c>
      <c r="AO115" s="210" t="str">
        <f>IF(Buildings_GridElectricity_Frontend[[#This Row],[Data]]="","",_xlfn.XLOOKUP(_xlfn.CONCAT(Buildings_GridElectricity_Backend[[#This Row],[Level 1]:[Level 6]]),rng_EFConcat,rng_EFOOS)*Buildings_GridElectricity_Backend[[#This Row],[Converted data]]/1000)</f>
        <v/>
      </c>
      <c r="AP115" s="174">
        <f>Buildings_GridElectricity_Frontend[[#This Row],[Ease of collection]]</f>
        <v>0</v>
      </c>
      <c r="AQ115" s="213">
        <f>Buildings_GridElectricity_Frontend[[#This Row],[Completeness]]</f>
        <v>0</v>
      </c>
      <c r="AR115" s="220">
        <f>Buildings_GridElectricity_Frontend[[#This Row],[Notes]]</f>
        <v>0</v>
      </c>
    </row>
    <row r="116" spans="5:44" x14ac:dyDescent="0.3">
      <c r="E116" s="346"/>
      <c r="F116" s="449"/>
      <c r="G116" s="336"/>
      <c r="H116" s="334"/>
      <c r="I116" s="172" t="s">
        <v>316</v>
      </c>
      <c r="J116" s="337"/>
      <c r="K116" s="336"/>
      <c r="L116" s="336"/>
      <c r="M116" s="337"/>
      <c r="N116" s="242">
        <f t="shared" si="5"/>
        <v>3</v>
      </c>
      <c r="Q116" s="212" t="str">
        <f t="shared" si="4"/>
        <v/>
      </c>
      <c r="R116" s="174" t="s">
        <v>265</v>
      </c>
      <c r="S116" s="174" t="s">
        <v>273</v>
      </c>
      <c r="T116" s="174" t="str">
        <f>_xlfn.XLOOKUP(Buildings_GridElectricity_Backend[[#This Row],[Info 1]],Buildings_SiteInfo[Site name],Buildings_SiteInfo[Site type], "")</f>
        <v/>
      </c>
      <c r="U116" s="174" t="s">
        <v>281</v>
      </c>
      <c r="V116" s="174" t="str" cm="1">
        <f t="array" aca="1" ref="V116" ca="1">_xlfn.XLOOKUP(Buildings_GridElectricity_Backend[[#This Row],[Level 4]],rng_Level4Long,rng_Level5Long)</f>
        <v>Electricity</v>
      </c>
      <c r="W116" s="174" t="str" cm="1">
        <f t="array" aca="1" ref="W116" ca="1">_xlfn.XLOOKUP(Buildings_GridElectricity_Backend[[#This Row],[Level 4]],rng_Level4Long,rng_Level6Long)</f>
        <v>NaN</v>
      </c>
      <c r="X116" s="174">
        <f>Buildings_GridElectricity_Frontend[[#This Row],[Site Name]]</f>
        <v>0</v>
      </c>
      <c r="Y116" s="174">
        <f>Buildings_GridElectricity_Frontend[[#This Row],[Contracting]]</f>
        <v>0</v>
      </c>
      <c r="Z116" s="174">
        <f>Buildings_GridElectricity_Frontend[[#This Row],[Methodology]]</f>
        <v>0</v>
      </c>
      <c r="AA116" s="229" t="str" cm="1">
        <f t="array" ref="AA116">IF(Buildings_GridElectricity_Frontend[[#This Row],[Data]]="","",INDEX(_xlfn.SWITCH(Buildings_GridElectricity_Backend[[#This Row],[Methodology]],"Tier 1",rng_RSD1,"Tier 2",rng_RSD2,"Tier 3",rng_RSD3),MATCH(_xlfn.CONCAT(Buildings_GridElectricity_Backend[[#This Row],[Level 1]:[Level 6]]),rng_LevelsConcat,0)))</f>
        <v/>
      </c>
      <c r="AB116" s="220">
        <f>Buildings_GridElectricity_Frontend[[#This Row],[Data]]</f>
        <v>0</v>
      </c>
      <c r="AC116" s="174" t="str">
        <f>Buildings_GridElectricity_Frontend[[#This Row],[Units]]</f>
        <v>kWh</v>
      </c>
      <c r="AD116" s="218">
        <f>Buildings_GridElectricity_Frontend[[#This Row],[Data]]</f>
        <v>0</v>
      </c>
      <c r="AE116" s="174" t="str">
        <f>Buildings_GridElectricity_Frontend[[#This Row],[Units]]</f>
        <v>kWh</v>
      </c>
      <c r="AF116" s="210" t="str">
        <f>IF(Buildings_GridElectricity_Frontend[[#This Row],[Data]]="","",_xlfn.XLOOKUP(_xlfn.CONCAT(Buildings_GridElectricity_Backend[[#This Row],[Level 1]:[Level 6]]),rng_EFConcat,rng_EF1)*Buildings_GridElectricity_Backend[[#This Row],[Converted data]]/1000)</f>
        <v/>
      </c>
      <c r="AG116" s="210" t="str">
        <f>IF(Buildings_GridElectricity_Frontend[[#This Row],[Data]]="","",_xlfn.XLOOKUP(_xlfn.CONCAT(Buildings_GridElectricity_Backend[[#This Row],[Level 1]:[Level 6]]),rng_EFConcat,rng_EF2)*Buildings_GridElectricity_Backend[[#This Row],[Converted data]]/1000)</f>
        <v/>
      </c>
      <c r="AH116" s="210" t="str">
        <f>IF(Buildings_GridElectricity_Frontend[[#This Row],[Data]]="","",_xlfn.XLOOKUP(_xlfn.CONCAT(Buildings_GridElectricity_Backend[[#This Row],[Level 1]:[Level 6]]),rng_EFConcat,rng_EF3)*Buildings_GridElectricity_Backend[[#This Row],[Converted data]]/1000)</f>
        <v/>
      </c>
      <c r="AI116" s="210" t="str">
        <f>IF(Buildings_GridElectricity_Frontend[[#This Row],[Data]]="","",_xlfn.XLOOKUP(_xlfn.CONCAT(Buildings_GridElectricity_Backend[[#This Row],[Level 1]:[Level 6]]),rng_EFConcat,rng_EF3WTT)*Buildings_GridElectricity_Backend[[#This Row],[Converted data]]/1000)</f>
        <v/>
      </c>
      <c r="AJ116" s="210" t="str">
        <f>IF(Buildings_GridElectricity_Frontend[[#This Row],[Data]]="","",_xlfn.XLOOKUP(_xlfn.CONCAT(Buildings_GridElectricity_Backend[[#This Row],[Level 1]:[Level 6]]),rng_EFConcat,rng_EF3TD)*Buildings_GridElectricity_Backend[[#This Row],[Converted data]]/1000)</f>
        <v/>
      </c>
      <c r="AK116" s="210" t="str">
        <f>IF(Buildings_GridElectricity_Frontend[[#This Row],[Data]]="","",_xlfn.XLOOKUP(_xlfn.CONCAT(Buildings_GridElectricity_Backend[[#This Row],[Level 1]:[Level 6]]),rng_EFConcat,rng_EF3WTTTD)*Buildings_GridElectricity_Backend[[#This Row],[Converted data]]/1000)</f>
        <v/>
      </c>
      <c r="AL116" s="220" t="str">
        <f>IF(Buildings_GridElectricity_Frontend[[#This Row],[Data]]="","",SUM(Buildings_GridElectricity_Backend[[#This Row],[Scope 1 (tCO2e)]:[Scope 3 WTT T&amp;D (tCO2e)]]))</f>
        <v/>
      </c>
      <c r="AM116" s="220" t="str">
        <f>IF(Buildings_GridElectricity_Frontend[[#This Row],[Data]]="","",Buildings_GridElectricity_Backend[[#This Row],[Total (tCO2e)]]*(1-Buildings_GridElectricity_Backend[[#This Row],[RSD]]))</f>
        <v/>
      </c>
      <c r="AN116" s="220" t="str">
        <f>IF(Buildings_GridElectricity_Frontend[[#This Row],[Data]]="","",Buildings_GridElectricity_Backend[[#This Row],[Total (tCO2e)]]*(1+Buildings_GridElectricity_Backend[[#This Row],[RSD]]))</f>
        <v/>
      </c>
      <c r="AO116" s="210" t="str">
        <f>IF(Buildings_GridElectricity_Frontend[[#This Row],[Data]]="","",_xlfn.XLOOKUP(_xlfn.CONCAT(Buildings_GridElectricity_Backend[[#This Row],[Level 1]:[Level 6]]),rng_EFConcat,rng_EFOOS)*Buildings_GridElectricity_Backend[[#This Row],[Converted data]]/1000)</f>
        <v/>
      </c>
      <c r="AP116" s="174">
        <f>Buildings_GridElectricity_Frontend[[#This Row],[Ease of collection]]</f>
        <v>0</v>
      </c>
      <c r="AQ116" s="213">
        <f>Buildings_GridElectricity_Frontend[[#This Row],[Completeness]]</f>
        <v>0</v>
      </c>
      <c r="AR116" s="220">
        <f>Buildings_GridElectricity_Frontend[[#This Row],[Notes]]</f>
        <v>0</v>
      </c>
    </row>
    <row r="117" spans="5:44" x14ac:dyDescent="0.3">
      <c r="E117" s="346"/>
      <c r="F117" s="449"/>
      <c r="G117" s="336"/>
      <c r="H117" s="334"/>
      <c r="I117" s="172" t="s">
        <v>316</v>
      </c>
      <c r="J117" s="337"/>
      <c r="K117" s="336"/>
      <c r="L117" s="336"/>
      <c r="M117" s="337"/>
      <c r="N117" s="242">
        <f t="shared" si="5"/>
        <v>3</v>
      </c>
      <c r="Q117" s="212" t="str">
        <f t="shared" si="4"/>
        <v/>
      </c>
      <c r="R117" s="174" t="s">
        <v>265</v>
      </c>
      <c r="S117" s="174" t="s">
        <v>273</v>
      </c>
      <c r="T117" s="174" t="str">
        <f>_xlfn.XLOOKUP(Buildings_GridElectricity_Backend[[#This Row],[Info 1]],Buildings_SiteInfo[Site name],Buildings_SiteInfo[Site type], "")</f>
        <v/>
      </c>
      <c r="U117" s="174" t="s">
        <v>281</v>
      </c>
      <c r="V117" s="174" t="str" cm="1">
        <f t="array" aca="1" ref="V117" ca="1">_xlfn.XLOOKUP(Buildings_GridElectricity_Backend[[#This Row],[Level 4]],rng_Level4Long,rng_Level5Long)</f>
        <v>Electricity</v>
      </c>
      <c r="W117" s="174" t="str" cm="1">
        <f t="array" aca="1" ref="W117" ca="1">_xlfn.XLOOKUP(Buildings_GridElectricity_Backend[[#This Row],[Level 4]],rng_Level4Long,rng_Level6Long)</f>
        <v>NaN</v>
      </c>
      <c r="X117" s="174">
        <f>Buildings_GridElectricity_Frontend[[#This Row],[Site Name]]</f>
        <v>0</v>
      </c>
      <c r="Y117" s="174">
        <f>Buildings_GridElectricity_Frontend[[#This Row],[Contracting]]</f>
        <v>0</v>
      </c>
      <c r="Z117" s="174">
        <f>Buildings_GridElectricity_Frontend[[#This Row],[Methodology]]</f>
        <v>0</v>
      </c>
      <c r="AA117" s="229" t="str" cm="1">
        <f t="array" ref="AA117">IF(Buildings_GridElectricity_Frontend[[#This Row],[Data]]="","",INDEX(_xlfn.SWITCH(Buildings_GridElectricity_Backend[[#This Row],[Methodology]],"Tier 1",rng_RSD1,"Tier 2",rng_RSD2,"Tier 3",rng_RSD3),MATCH(_xlfn.CONCAT(Buildings_GridElectricity_Backend[[#This Row],[Level 1]:[Level 6]]),rng_LevelsConcat,0)))</f>
        <v/>
      </c>
      <c r="AB117" s="220">
        <f>Buildings_GridElectricity_Frontend[[#This Row],[Data]]</f>
        <v>0</v>
      </c>
      <c r="AC117" s="174" t="str">
        <f>Buildings_GridElectricity_Frontend[[#This Row],[Units]]</f>
        <v>kWh</v>
      </c>
      <c r="AD117" s="218">
        <f>Buildings_GridElectricity_Frontend[[#This Row],[Data]]</f>
        <v>0</v>
      </c>
      <c r="AE117" s="174" t="str">
        <f>Buildings_GridElectricity_Frontend[[#This Row],[Units]]</f>
        <v>kWh</v>
      </c>
      <c r="AF117" s="210" t="str">
        <f>IF(Buildings_GridElectricity_Frontend[[#This Row],[Data]]="","",_xlfn.XLOOKUP(_xlfn.CONCAT(Buildings_GridElectricity_Backend[[#This Row],[Level 1]:[Level 6]]),rng_EFConcat,rng_EF1)*Buildings_GridElectricity_Backend[[#This Row],[Converted data]]/1000)</f>
        <v/>
      </c>
      <c r="AG117" s="210" t="str">
        <f>IF(Buildings_GridElectricity_Frontend[[#This Row],[Data]]="","",_xlfn.XLOOKUP(_xlfn.CONCAT(Buildings_GridElectricity_Backend[[#This Row],[Level 1]:[Level 6]]),rng_EFConcat,rng_EF2)*Buildings_GridElectricity_Backend[[#This Row],[Converted data]]/1000)</f>
        <v/>
      </c>
      <c r="AH117" s="210" t="str">
        <f>IF(Buildings_GridElectricity_Frontend[[#This Row],[Data]]="","",_xlfn.XLOOKUP(_xlfn.CONCAT(Buildings_GridElectricity_Backend[[#This Row],[Level 1]:[Level 6]]),rng_EFConcat,rng_EF3)*Buildings_GridElectricity_Backend[[#This Row],[Converted data]]/1000)</f>
        <v/>
      </c>
      <c r="AI117" s="210" t="str">
        <f>IF(Buildings_GridElectricity_Frontend[[#This Row],[Data]]="","",_xlfn.XLOOKUP(_xlfn.CONCAT(Buildings_GridElectricity_Backend[[#This Row],[Level 1]:[Level 6]]),rng_EFConcat,rng_EF3WTT)*Buildings_GridElectricity_Backend[[#This Row],[Converted data]]/1000)</f>
        <v/>
      </c>
      <c r="AJ117" s="210" t="str">
        <f>IF(Buildings_GridElectricity_Frontend[[#This Row],[Data]]="","",_xlfn.XLOOKUP(_xlfn.CONCAT(Buildings_GridElectricity_Backend[[#This Row],[Level 1]:[Level 6]]),rng_EFConcat,rng_EF3TD)*Buildings_GridElectricity_Backend[[#This Row],[Converted data]]/1000)</f>
        <v/>
      </c>
      <c r="AK117" s="210" t="str">
        <f>IF(Buildings_GridElectricity_Frontend[[#This Row],[Data]]="","",_xlfn.XLOOKUP(_xlfn.CONCAT(Buildings_GridElectricity_Backend[[#This Row],[Level 1]:[Level 6]]),rng_EFConcat,rng_EF3WTTTD)*Buildings_GridElectricity_Backend[[#This Row],[Converted data]]/1000)</f>
        <v/>
      </c>
      <c r="AL117" s="220" t="str">
        <f>IF(Buildings_GridElectricity_Frontend[[#This Row],[Data]]="","",SUM(Buildings_GridElectricity_Backend[[#This Row],[Scope 1 (tCO2e)]:[Scope 3 WTT T&amp;D (tCO2e)]]))</f>
        <v/>
      </c>
      <c r="AM117" s="220" t="str">
        <f>IF(Buildings_GridElectricity_Frontend[[#This Row],[Data]]="","",Buildings_GridElectricity_Backend[[#This Row],[Total (tCO2e)]]*(1-Buildings_GridElectricity_Backend[[#This Row],[RSD]]))</f>
        <v/>
      </c>
      <c r="AN117" s="220" t="str">
        <f>IF(Buildings_GridElectricity_Frontend[[#This Row],[Data]]="","",Buildings_GridElectricity_Backend[[#This Row],[Total (tCO2e)]]*(1+Buildings_GridElectricity_Backend[[#This Row],[RSD]]))</f>
        <v/>
      </c>
      <c r="AO117" s="210" t="str">
        <f>IF(Buildings_GridElectricity_Frontend[[#This Row],[Data]]="","",_xlfn.XLOOKUP(_xlfn.CONCAT(Buildings_GridElectricity_Backend[[#This Row],[Level 1]:[Level 6]]),rng_EFConcat,rng_EFOOS)*Buildings_GridElectricity_Backend[[#This Row],[Converted data]]/1000)</f>
        <v/>
      </c>
      <c r="AP117" s="174">
        <f>Buildings_GridElectricity_Frontend[[#This Row],[Ease of collection]]</f>
        <v>0</v>
      </c>
      <c r="AQ117" s="213">
        <f>Buildings_GridElectricity_Frontend[[#This Row],[Completeness]]</f>
        <v>0</v>
      </c>
      <c r="AR117" s="220">
        <f>Buildings_GridElectricity_Frontend[[#This Row],[Notes]]</f>
        <v>0</v>
      </c>
    </row>
    <row r="118" spans="5:44" x14ac:dyDescent="0.3">
      <c r="E118" s="346"/>
      <c r="F118" s="449"/>
      <c r="G118" s="336"/>
      <c r="H118" s="334"/>
      <c r="I118" s="172" t="s">
        <v>316</v>
      </c>
      <c r="J118" s="337"/>
      <c r="K118" s="336"/>
      <c r="L118" s="336"/>
      <c r="M118" s="337"/>
      <c r="N118" s="242">
        <f t="shared" si="5"/>
        <v>3</v>
      </c>
      <c r="Q118" s="212" t="str">
        <f t="shared" si="4"/>
        <v/>
      </c>
      <c r="R118" s="174" t="s">
        <v>265</v>
      </c>
      <c r="S118" s="174" t="s">
        <v>273</v>
      </c>
      <c r="T118" s="174" t="str">
        <f>_xlfn.XLOOKUP(Buildings_GridElectricity_Backend[[#This Row],[Info 1]],Buildings_SiteInfo[Site name],Buildings_SiteInfo[Site type], "")</f>
        <v/>
      </c>
      <c r="U118" s="174" t="s">
        <v>281</v>
      </c>
      <c r="V118" s="174" t="str" cm="1">
        <f t="array" aca="1" ref="V118" ca="1">_xlfn.XLOOKUP(Buildings_GridElectricity_Backend[[#This Row],[Level 4]],rng_Level4Long,rng_Level5Long)</f>
        <v>Electricity</v>
      </c>
      <c r="W118" s="174" t="str" cm="1">
        <f t="array" aca="1" ref="W118" ca="1">_xlfn.XLOOKUP(Buildings_GridElectricity_Backend[[#This Row],[Level 4]],rng_Level4Long,rng_Level6Long)</f>
        <v>NaN</v>
      </c>
      <c r="X118" s="174">
        <f>Buildings_GridElectricity_Frontend[[#This Row],[Site Name]]</f>
        <v>0</v>
      </c>
      <c r="Y118" s="174">
        <f>Buildings_GridElectricity_Frontend[[#This Row],[Contracting]]</f>
        <v>0</v>
      </c>
      <c r="Z118" s="174">
        <f>Buildings_GridElectricity_Frontend[[#This Row],[Methodology]]</f>
        <v>0</v>
      </c>
      <c r="AA118" s="229" t="str" cm="1">
        <f t="array" ref="AA118">IF(Buildings_GridElectricity_Frontend[[#This Row],[Data]]="","",INDEX(_xlfn.SWITCH(Buildings_GridElectricity_Backend[[#This Row],[Methodology]],"Tier 1",rng_RSD1,"Tier 2",rng_RSD2,"Tier 3",rng_RSD3),MATCH(_xlfn.CONCAT(Buildings_GridElectricity_Backend[[#This Row],[Level 1]:[Level 6]]),rng_LevelsConcat,0)))</f>
        <v/>
      </c>
      <c r="AB118" s="220">
        <f>Buildings_GridElectricity_Frontend[[#This Row],[Data]]</f>
        <v>0</v>
      </c>
      <c r="AC118" s="174" t="str">
        <f>Buildings_GridElectricity_Frontend[[#This Row],[Units]]</f>
        <v>kWh</v>
      </c>
      <c r="AD118" s="218">
        <f>Buildings_GridElectricity_Frontend[[#This Row],[Data]]</f>
        <v>0</v>
      </c>
      <c r="AE118" s="174" t="str">
        <f>Buildings_GridElectricity_Frontend[[#This Row],[Units]]</f>
        <v>kWh</v>
      </c>
      <c r="AF118" s="210" t="str">
        <f>IF(Buildings_GridElectricity_Frontend[[#This Row],[Data]]="","",_xlfn.XLOOKUP(_xlfn.CONCAT(Buildings_GridElectricity_Backend[[#This Row],[Level 1]:[Level 6]]),rng_EFConcat,rng_EF1)*Buildings_GridElectricity_Backend[[#This Row],[Converted data]]/1000)</f>
        <v/>
      </c>
      <c r="AG118" s="210" t="str">
        <f>IF(Buildings_GridElectricity_Frontend[[#This Row],[Data]]="","",_xlfn.XLOOKUP(_xlfn.CONCAT(Buildings_GridElectricity_Backend[[#This Row],[Level 1]:[Level 6]]),rng_EFConcat,rng_EF2)*Buildings_GridElectricity_Backend[[#This Row],[Converted data]]/1000)</f>
        <v/>
      </c>
      <c r="AH118" s="210" t="str">
        <f>IF(Buildings_GridElectricity_Frontend[[#This Row],[Data]]="","",_xlfn.XLOOKUP(_xlfn.CONCAT(Buildings_GridElectricity_Backend[[#This Row],[Level 1]:[Level 6]]),rng_EFConcat,rng_EF3)*Buildings_GridElectricity_Backend[[#This Row],[Converted data]]/1000)</f>
        <v/>
      </c>
      <c r="AI118" s="210" t="str">
        <f>IF(Buildings_GridElectricity_Frontend[[#This Row],[Data]]="","",_xlfn.XLOOKUP(_xlfn.CONCAT(Buildings_GridElectricity_Backend[[#This Row],[Level 1]:[Level 6]]),rng_EFConcat,rng_EF3WTT)*Buildings_GridElectricity_Backend[[#This Row],[Converted data]]/1000)</f>
        <v/>
      </c>
      <c r="AJ118" s="210" t="str">
        <f>IF(Buildings_GridElectricity_Frontend[[#This Row],[Data]]="","",_xlfn.XLOOKUP(_xlfn.CONCAT(Buildings_GridElectricity_Backend[[#This Row],[Level 1]:[Level 6]]),rng_EFConcat,rng_EF3TD)*Buildings_GridElectricity_Backend[[#This Row],[Converted data]]/1000)</f>
        <v/>
      </c>
      <c r="AK118" s="210" t="str">
        <f>IF(Buildings_GridElectricity_Frontend[[#This Row],[Data]]="","",_xlfn.XLOOKUP(_xlfn.CONCAT(Buildings_GridElectricity_Backend[[#This Row],[Level 1]:[Level 6]]),rng_EFConcat,rng_EF3WTTTD)*Buildings_GridElectricity_Backend[[#This Row],[Converted data]]/1000)</f>
        <v/>
      </c>
      <c r="AL118" s="220" t="str">
        <f>IF(Buildings_GridElectricity_Frontend[[#This Row],[Data]]="","",SUM(Buildings_GridElectricity_Backend[[#This Row],[Scope 1 (tCO2e)]:[Scope 3 WTT T&amp;D (tCO2e)]]))</f>
        <v/>
      </c>
      <c r="AM118" s="220" t="str">
        <f>IF(Buildings_GridElectricity_Frontend[[#This Row],[Data]]="","",Buildings_GridElectricity_Backend[[#This Row],[Total (tCO2e)]]*(1-Buildings_GridElectricity_Backend[[#This Row],[RSD]]))</f>
        <v/>
      </c>
      <c r="AN118" s="220" t="str">
        <f>IF(Buildings_GridElectricity_Frontend[[#This Row],[Data]]="","",Buildings_GridElectricity_Backend[[#This Row],[Total (tCO2e)]]*(1+Buildings_GridElectricity_Backend[[#This Row],[RSD]]))</f>
        <v/>
      </c>
      <c r="AO118" s="210" t="str">
        <f>IF(Buildings_GridElectricity_Frontend[[#This Row],[Data]]="","",_xlfn.XLOOKUP(_xlfn.CONCAT(Buildings_GridElectricity_Backend[[#This Row],[Level 1]:[Level 6]]),rng_EFConcat,rng_EFOOS)*Buildings_GridElectricity_Backend[[#This Row],[Converted data]]/1000)</f>
        <v/>
      </c>
      <c r="AP118" s="174">
        <f>Buildings_GridElectricity_Frontend[[#This Row],[Ease of collection]]</f>
        <v>0</v>
      </c>
      <c r="AQ118" s="213">
        <f>Buildings_GridElectricity_Frontend[[#This Row],[Completeness]]</f>
        <v>0</v>
      </c>
      <c r="AR118" s="220">
        <f>Buildings_GridElectricity_Frontend[[#This Row],[Notes]]</f>
        <v>0</v>
      </c>
    </row>
    <row r="119" spans="5:44" x14ac:dyDescent="0.3">
      <c r="E119" s="346"/>
      <c r="F119" s="449"/>
      <c r="G119" s="336"/>
      <c r="H119" s="334"/>
      <c r="I119" s="172" t="s">
        <v>316</v>
      </c>
      <c r="J119" s="337"/>
      <c r="K119" s="336"/>
      <c r="L119" s="336"/>
      <c r="M119" s="337"/>
      <c r="N119" s="242">
        <f t="shared" si="5"/>
        <v>3</v>
      </c>
      <c r="Q119" s="212" t="str">
        <f t="shared" si="4"/>
        <v/>
      </c>
      <c r="R119" s="174" t="s">
        <v>265</v>
      </c>
      <c r="S119" s="174" t="s">
        <v>273</v>
      </c>
      <c r="T119" s="174" t="str">
        <f>_xlfn.XLOOKUP(Buildings_GridElectricity_Backend[[#This Row],[Info 1]],Buildings_SiteInfo[Site name],Buildings_SiteInfo[Site type], "")</f>
        <v/>
      </c>
      <c r="U119" s="174" t="s">
        <v>281</v>
      </c>
      <c r="V119" s="174" t="str" cm="1">
        <f t="array" aca="1" ref="V119" ca="1">_xlfn.XLOOKUP(Buildings_GridElectricity_Backend[[#This Row],[Level 4]],rng_Level4Long,rng_Level5Long)</f>
        <v>Electricity</v>
      </c>
      <c r="W119" s="174" t="str" cm="1">
        <f t="array" aca="1" ref="W119" ca="1">_xlfn.XLOOKUP(Buildings_GridElectricity_Backend[[#This Row],[Level 4]],rng_Level4Long,rng_Level6Long)</f>
        <v>NaN</v>
      </c>
      <c r="X119" s="174">
        <f>Buildings_GridElectricity_Frontend[[#This Row],[Site Name]]</f>
        <v>0</v>
      </c>
      <c r="Y119" s="174">
        <f>Buildings_GridElectricity_Frontend[[#This Row],[Contracting]]</f>
        <v>0</v>
      </c>
      <c r="Z119" s="174">
        <f>Buildings_GridElectricity_Frontend[[#This Row],[Methodology]]</f>
        <v>0</v>
      </c>
      <c r="AA119" s="229" t="str" cm="1">
        <f t="array" ref="AA119">IF(Buildings_GridElectricity_Frontend[[#This Row],[Data]]="","",INDEX(_xlfn.SWITCH(Buildings_GridElectricity_Backend[[#This Row],[Methodology]],"Tier 1",rng_RSD1,"Tier 2",rng_RSD2,"Tier 3",rng_RSD3),MATCH(_xlfn.CONCAT(Buildings_GridElectricity_Backend[[#This Row],[Level 1]:[Level 6]]),rng_LevelsConcat,0)))</f>
        <v/>
      </c>
      <c r="AB119" s="220">
        <f>Buildings_GridElectricity_Frontend[[#This Row],[Data]]</f>
        <v>0</v>
      </c>
      <c r="AC119" s="174" t="str">
        <f>Buildings_GridElectricity_Frontend[[#This Row],[Units]]</f>
        <v>kWh</v>
      </c>
      <c r="AD119" s="218">
        <f>Buildings_GridElectricity_Frontend[[#This Row],[Data]]</f>
        <v>0</v>
      </c>
      <c r="AE119" s="174" t="str">
        <f>Buildings_GridElectricity_Frontend[[#This Row],[Units]]</f>
        <v>kWh</v>
      </c>
      <c r="AF119" s="210" t="str">
        <f>IF(Buildings_GridElectricity_Frontend[[#This Row],[Data]]="","",_xlfn.XLOOKUP(_xlfn.CONCAT(Buildings_GridElectricity_Backend[[#This Row],[Level 1]:[Level 6]]),rng_EFConcat,rng_EF1)*Buildings_GridElectricity_Backend[[#This Row],[Converted data]]/1000)</f>
        <v/>
      </c>
      <c r="AG119" s="210" t="str">
        <f>IF(Buildings_GridElectricity_Frontend[[#This Row],[Data]]="","",_xlfn.XLOOKUP(_xlfn.CONCAT(Buildings_GridElectricity_Backend[[#This Row],[Level 1]:[Level 6]]),rng_EFConcat,rng_EF2)*Buildings_GridElectricity_Backend[[#This Row],[Converted data]]/1000)</f>
        <v/>
      </c>
      <c r="AH119" s="210" t="str">
        <f>IF(Buildings_GridElectricity_Frontend[[#This Row],[Data]]="","",_xlfn.XLOOKUP(_xlfn.CONCAT(Buildings_GridElectricity_Backend[[#This Row],[Level 1]:[Level 6]]),rng_EFConcat,rng_EF3)*Buildings_GridElectricity_Backend[[#This Row],[Converted data]]/1000)</f>
        <v/>
      </c>
      <c r="AI119" s="210" t="str">
        <f>IF(Buildings_GridElectricity_Frontend[[#This Row],[Data]]="","",_xlfn.XLOOKUP(_xlfn.CONCAT(Buildings_GridElectricity_Backend[[#This Row],[Level 1]:[Level 6]]),rng_EFConcat,rng_EF3WTT)*Buildings_GridElectricity_Backend[[#This Row],[Converted data]]/1000)</f>
        <v/>
      </c>
      <c r="AJ119" s="210" t="str">
        <f>IF(Buildings_GridElectricity_Frontend[[#This Row],[Data]]="","",_xlfn.XLOOKUP(_xlfn.CONCAT(Buildings_GridElectricity_Backend[[#This Row],[Level 1]:[Level 6]]),rng_EFConcat,rng_EF3TD)*Buildings_GridElectricity_Backend[[#This Row],[Converted data]]/1000)</f>
        <v/>
      </c>
      <c r="AK119" s="210" t="str">
        <f>IF(Buildings_GridElectricity_Frontend[[#This Row],[Data]]="","",_xlfn.XLOOKUP(_xlfn.CONCAT(Buildings_GridElectricity_Backend[[#This Row],[Level 1]:[Level 6]]),rng_EFConcat,rng_EF3WTTTD)*Buildings_GridElectricity_Backend[[#This Row],[Converted data]]/1000)</f>
        <v/>
      </c>
      <c r="AL119" s="220" t="str">
        <f>IF(Buildings_GridElectricity_Frontend[[#This Row],[Data]]="","",SUM(Buildings_GridElectricity_Backend[[#This Row],[Scope 1 (tCO2e)]:[Scope 3 WTT T&amp;D (tCO2e)]]))</f>
        <v/>
      </c>
      <c r="AM119" s="220" t="str">
        <f>IF(Buildings_GridElectricity_Frontend[[#This Row],[Data]]="","",Buildings_GridElectricity_Backend[[#This Row],[Total (tCO2e)]]*(1-Buildings_GridElectricity_Backend[[#This Row],[RSD]]))</f>
        <v/>
      </c>
      <c r="AN119" s="220" t="str">
        <f>IF(Buildings_GridElectricity_Frontend[[#This Row],[Data]]="","",Buildings_GridElectricity_Backend[[#This Row],[Total (tCO2e)]]*(1+Buildings_GridElectricity_Backend[[#This Row],[RSD]]))</f>
        <v/>
      </c>
      <c r="AO119" s="210" t="str">
        <f>IF(Buildings_GridElectricity_Frontend[[#This Row],[Data]]="","",_xlfn.XLOOKUP(_xlfn.CONCAT(Buildings_GridElectricity_Backend[[#This Row],[Level 1]:[Level 6]]),rng_EFConcat,rng_EFOOS)*Buildings_GridElectricity_Backend[[#This Row],[Converted data]]/1000)</f>
        <v/>
      </c>
      <c r="AP119" s="174">
        <f>Buildings_GridElectricity_Frontend[[#This Row],[Ease of collection]]</f>
        <v>0</v>
      </c>
      <c r="AQ119" s="213">
        <f>Buildings_GridElectricity_Frontend[[#This Row],[Completeness]]</f>
        <v>0</v>
      </c>
      <c r="AR119" s="220">
        <f>Buildings_GridElectricity_Frontend[[#This Row],[Notes]]</f>
        <v>0</v>
      </c>
    </row>
    <row r="120" spans="5:44" x14ac:dyDescent="0.3">
      <c r="E120" s="346"/>
      <c r="F120" s="449"/>
      <c r="G120" s="336"/>
      <c r="H120" s="334"/>
      <c r="I120" s="172" t="s">
        <v>316</v>
      </c>
      <c r="J120" s="337"/>
      <c r="K120" s="336"/>
      <c r="L120" s="336"/>
      <c r="M120" s="337"/>
      <c r="N120" s="242">
        <f t="shared" si="5"/>
        <v>3</v>
      </c>
      <c r="Q120" s="212" t="str">
        <f t="shared" si="4"/>
        <v/>
      </c>
      <c r="R120" s="174" t="s">
        <v>265</v>
      </c>
      <c r="S120" s="174" t="s">
        <v>273</v>
      </c>
      <c r="T120" s="174" t="str">
        <f>_xlfn.XLOOKUP(Buildings_GridElectricity_Backend[[#This Row],[Info 1]],Buildings_SiteInfo[Site name],Buildings_SiteInfo[Site type], "")</f>
        <v/>
      </c>
      <c r="U120" s="174" t="s">
        <v>281</v>
      </c>
      <c r="V120" s="174" t="str" cm="1">
        <f t="array" aca="1" ref="V120" ca="1">_xlfn.XLOOKUP(Buildings_GridElectricity_Backend[[#This Row],[Level 4]],rng_Level4Long,rng_Level5Long)</f>
        <v>Electricity</v>
      </c>
      <c r="W120" s="174" t="str" cm="1">
        <f t="array" aca="1" ref="W120" ca="1">_xlfn.XLOOKUP(Buildings_GridElectricity_Backend[[#This Row],[Level 4]],rng_Level4Long,rng_Level6Long)</f>
        <v>NaN</v>
      </c>
      <c r="X120" s="174">
        <f>Buildings_GridElectricity_Frontend[[#This Row],[Site Name]]</f>
        <v>0</v>
      </c>
      <c r="Y120" s="174">
        <f>Buildings_GridElectricity_Frontend[[#This Row],[Contracting]]</f>
        <v>0</v>
      </c>
      <c r="Z120" s="174">
        <f>Buildings_GridElectricity_Frontend[[#This Row],[Methodology]]</f>
        <v>0</v>
      </c>
      <c r="AA120" s="229" t="str" cm="1">
        <f t="array" ref="AA120">IF(Buildings_GridElectricity_Frontend[[#This Row],[Data]]="","",INDEX(_xlfn.SWITCH(Buildings_GridElectricity_Backend[[#This Row],[Methodology]],"Tier 1",rng_RSD1,"Tier 2",rng_RSD2,"Tier 3",rng_RSD3),MATCH(_xlfn.CONCAT(Buildings_GridElectricity_Backend[[#This Row],[Level 1]:[Level 6]]),rng_LevelsConcat,0)))</f>
        <v/>
      </c>
      <c r="AB120" s="220">
        <f>Buildings_GridElectricity_Frontend[[#This Row],[Data]]</f>
        <v>0</v>
      </c>
      <c r="AC120" s="174" t="str">
        <f>Buildings_GridElectricity_Frontend[[#This Row],[Units]]</f>
        <v>kWh</v>
      </c>
      <c r="AD120" s="218">
        <f>Buildings_GridElectricity_Frontend[[#This Row],[Data]]</f>
        <v>0</v>
      </c>
      <c r="AE120" s="174" t="str">
        <f>Buildings_GridElectricity_Frontend[[#This Row],[Units]]</f>
        <v>kWh</v>
      </c>
      <c r="AF120" s="210" t="str">
        <f>IF(Buildings_GridElectricity_Frontend[[#This Row],[Data]]="","",_xlfn.XLOOKUP(_xlfn.CONCAT(Buildings_GridElectricity_Backend[[#This Row],[Level 1]:[Level 6]]),rng_EFConcat,rng_EF1)*Buildings_GridElectricity_Backend[[#This Row],[Converted data]]/1000)</f>
        <v/>
      </c>
      <c r="AG120" s="210" t="str">
        <f>IF(Buildings_GridElectricity_Frontend[[#This Row],[Data]]="","",_xlfn.XLOOKUP(_xlfn.CONCAT(Buildings_GridElectricity_Backend[[#This Row],[Level 1]:[Level 6]]),rng_EFConcat,rng_EF2)*Buildings_GridElectricity_Backend[[#This Row],[Converted data]]/1000)</f>
        <v/>
      </c>
      <c r="AH120" s="210" t="str">
        <f>IF(Buildings_GridElectricity_Frontend[[#This Row],[Data]]="","",_xlfn.XLOOKUP(_xlfn.CONCAT(Buildings_GridElectricity_Backend[[#This Row],[Level 1]:[Level 6]]),rng_EFConcat,rng_EF3)*Buildings_GridElectricity_Backend[[#This Row],[Converted data]]/1000)</f>
        <v/>
      </c>
      <c r="AI120" s="210" t="str">
        <f>IF(Buildings_GridElectricity_Frontend[[#This Row],[Data]]="","",_xlfn.XLOOKUP(_xlfn.CONCAT(Buildings_GridElectricity_Backend[[#This Row],[Level 1]:[Level 6]]),rng_EFConcat,rng_EF3WTT)*Buildings_GridElectricity_Backend[[#This Row],[Converted data]]/1000)</f>
        <v/>
      </c>
      <c r="AJ120" s="210" t="str">
        <f>IF(Buildings_GridElectricity_Frontend[[#This Row],[Data]]="","",_xlfn.XLOOKUP(_xlfn.CONCAT(Buildings_GridElectricity_Backend[[#This Row],[Level 1]:[Level 6]]),rng_EFConcat,rng_EF3TD)*Buildings_GridElectricity_Backend[[#This Row],[Converted data]]/1000)</f>
        <v/>
      </c>
      <c r="AK120" s="210" t="str">
        <f>IF(Buildings_GridElectricity_Frontend[[#This Row],[Data]]="","",_xlfn.XLOOKUP(_xlfn.CONCAT(Buildings_GridElectricity_Backend[[#This Row],[Level 1]:[Level 6]]),rng_EFConcat,rng_EF3WTTTD)*Buildings_GridElectricity_Backend[[#This Row],[Converted data]]/1000)</f>
        <v/>
      </c>
      <c r="AL120" s="220" t="str">
        <f>IF(Buildings_GridElectricity_Frontend[[#This Row],[Data]]="","",SUM(Buildings_GridElectricity_Backend[[#This Row],[Scope 1 (tCO2e)]:[Scope 3 WTT T&amp;D (tCO2e)]]))</f>
        <v/>
      </c>
      <c r="AM120" s="220" t="str">
        <f>IF(Buildings_GridElectricity_Frontend[[#This Row],[Data]]="","",Buildings_GridElectricity_Backend[[#This Row],[Total (tCO2e)]]*(1-Buildings_GridElectricity_Backend[[#This Row],[RSD]]))</f>
        <v/>
      </c>
      <c r="AN120" s="220" t="str">
        <f>IF(Buildings_GridElectricity_Frontend[[#This Row],[Data]]="","",Buildings_GridElectricity_Backend[[#This Row],[Total (tCO2e)]]*(1+Buildings_GridElectricity_Backend[[#This Row],[RSD]]))</f>
        <v/>
      </c>
      <c r="AO120" s="210" t="str">
        <f>IF(Buildings_GridElectricity_Frontend[[#This Row],[Data]]="","",_xlfn.XLOOKUP(_xlfn.CONCAT(Buildings_GridElectricity_Backend[[#This Row],[Level 1]:[Level 6]]),rng_EFConcat,rng_EFOOS)*Buildings_GridElectricity_Backend[[#This Row],[Converted data]]/1000)</f>
        <v/>
      </c>
      <c r="AP120" s="174">
        <f>Buildings_GridElectricity_Frontend[[#This Row],[Ease of collection]]</f>
        <v>0</v>
      </c>
      <c r="AQ120" s="213">
        <f>Buildings_GridElectricity_Frontend[[#This Row],[Completeness]]</f>
        <v>0</v>
      </c>
      <c r="AR120" s="220">
        <f>Buildings_GridElectricity_Frontend[[#This Row],[Notes]]</f>
        <v>0</v>
      </c>
    </row>
    <row r="121" spans="5:44" x14ac:dyDescent="0.3">
      <c r="E121" s="346"/>
      <c r="F121" s="449"/>
      <c r="G121" s="336"/>
      <c r="H121" s="334"/>
      <c r="I121" s="172" t="s">
        <v>316</v>
      </c>
      <c r="J121" s="337"/>
      <c r="K121" s="336"/>
      <c r="L121" s="336"/>
      <c r="M121" s="337"/>
      <c r="N121" s="242">
        <f t="shared" si="5"/>
        <v>3</v>
      </c>
      <c r="Q121" s="212" t="str">
        <f t="shared" si="4"/>
        <v/>
      </c>
      <c r="R121" s="174" t="s">
        <v>265</v>
      </c>
      <c r="S121" s="174" t="s">
        <v>273</v>
      </c>
      <c r="T121" s="174" t="str">
        <f>_xlfn.XLOOKUP(Buildings_GridElectricity_Backend[[#This Row],[Info 1]],Buildings_SiteInfo[Site name],Buildings_SiteInfo[Site type], "")</f>
        <v/>
      </c>
      <c r="U121" s="174" t="s">
        <v>281</v>
      </c>
      <c r="V121" s="174" t="str" cm="1">
        <f t="array" aca="1" ref="V121" ca="1">_xlfn.XLOOKUP(Buildings_GridElectricity_Backend[[#This Row],[Level 4]],rng_Level4Long,rng_Level5Long)</f>
        <v>Electricity</v>
      </c>
      <c r="W121" s="174" t="str" cm="1">
        <f t="array" aca="1" ref="W121" ca="1">_xlfn.XLOOKUP(Buildings_GridElectricity_Backend[[#This Row],[Level 4]],rng_Level4Long,rng_Level6Long)</f>
        <v>NaN</v>
      </c>
      <c r="X121" s="174">
        <f>Buildings_GridElectricity_Frontend[[#This Row],[Site Name]]</f>
        <v>0</v>
      </c>
      <c r="Y121" s="174">
        <f>Buildings_GridElectricity_Frontend[[#This Row],[Contracting]]</f>
        <v>0</v>
      </c>
      <c r="Z121" s="174">
        <f>Buildings_GridElectricity_Frontend[[#This Row],[Methodology]]</f>
        <v>0</v>
      </c>
      <c r="AA121" s="229" t="str" cm="1">
        <f t="array" ref="AA121">IF(Buildings_GridElectricity_Frontend[[#This Row],[Data]]="","",INDEX(_xlfn.SWITCH(Buildings_GridElectricity_Backend[[#This Row],[Methodology]],"Tier 1",rng_RSD1,"Tier 2",rng_RSD2,"Tier 3",rng_RSD3),MATCH(_xlfn.CONCAT(Buildings_GridElectricity_Backend[[#This Row],[Level 1]:[Level 6]]),rng_LevelsConcat,0)))</f>
        <v/>
      </c>
      <c r="AB121" s="220">
        <f>Buildings_GridElectricity_Frontend[[#This Row],[Data]]</f>
        <v>0</v>
      </c>
      <c r="AC121" s="174" t="str">
        <f>Buildings_GridElectricity_Frontend[[#This Row],[Units]]</f>
        <v>kWh</v>
      </c>
      <c r="AD121" s="218">
        <f>Buildings_GridElectricity_Frontend[[#This Row],[Data]]</f>
        <v>0</v>
      </c>
      <c r="AE121" s="174" t="str">
        <f>Buildings_GridElectricity_Frontend[[#This Row],[Units]]</f>
        <v>kWh</v>
      </c>
      <c r="AF121" s="210" t="str">
        <f>IF(Buildings_GridElectricity_Frontend[[#This Row],[Data]]="","",_xlfn.XLOOKUP(_xlfn.CONCAT(Buildings_GridElectricity_Backend[[#This Row],[Level 1]:[Level 6]]),rng_EFConcat,rng_EF1)*Buildings_GridElectricity_Backend[[#This Row],[Converted data]]/1000)</f>
        <v/>
      </c>
      <c r="AG121" s="210" t="str">
        <f>IF(Buildings_GridElectricity_Frontend[[#This Row],[Data]]="","",_xlfn.XLOOKUP(_xlfn.CONCAT(Buildings_GridElectricity_Backend[[#This Row],[Level 1]:[Level 6]]),rng_EFConcat,rng_EF2)*Buildings_GridElectricity_Backend[[#This Row],[Converted data]]/1000)</f>
        <v/>
      </c>
      <c r="AH121" s="210" t="str">
        <f>IF(Buildings_GridElectricity_Frontend[[#This Row],[Data]]="","",_xlfn.XLOOKUP(_xlfn.CONCAT(Buildings_GridElectricity_Backend[[#This Row],[Level 1]:[Level 6]]),rng_EFConcat,rng_EF3)*Buildings_GridElectricity_Backend[[#This Row],[Converted data]]/1000)</f>
        <v/>
      </c>
      <c r="AI121" s="210" t="str">
        <f>IF(Buildings_GridElectricity_Frontend[[#This Row],[Data]]="","",_xlfn.XLOOKUP(_xlfn.CONCAT(Buildings_GridElectricity_Backend[[#This Row],[Level 1]:[Level 6]]),rng_EFConcat,rng_EF3WTT)*Buildings_GridElectricity_Backend[[#This Row],[Converted data]]/1000)</f>
        <v/>
      </c>
      <c r="AJ121" s="210" t="str">
        <f>IF(Buildings_GridElectricity_Frontend[[#This Row],[Data]]="","",_xlfn.XLOOKUP(_xlfn.CONCAT(Buildings_GridElectricity_Backend[[#This Row],[Level 1]:[Level 6]]),rng_EFConcat,rng_EF3TD)*Buildings_GridElectricity_Backend[[#This Row],[Converted data]]/1000)</f>
        <v/>
      </c>
      <c r="AK121" s="210" t="str">
        <f>IF(Buildings_GridElectricity_Frontend[[#This Row],[Data]]="","",_xlfn.XLOOKUP(_xlfn.CONCAT(Buildings_GridElectricity_Backend[[#This Row],[Level 1]:[Level 6]]),rng_EFConcat,rng_EF3WTTTD)*Buildings_GridElectricity_Backend[[#This Row],[Converted data]]/1000)</f>
        <v/>
      </c>
      <c r="AL121" s="220" t="str">
        <f>IF(Buildings_GridElectricity_Frontend[[#This Row],[Data]]="","",SUM(Buildings_GridElectricity_Backend[[#This Row],[Scope 1 (tCO2e)]:[Scope 3 WTT T&amp;D (tCO2e)]]))</f>
        <v/>
      </c>
      <c r="AM121" s="220" t="str">
        <f>IF(Buildings_GridElectricity_Frontend[[#This Row],[Data]]="","",Buildings_GridElectricity_Backend[[#This Row],[Total (tCO2e)]]*(1-Buildings_GridElectricity_Backend[[#This Row],[RSD]]))</f>
        <v/>
      </c>
      <c r="AN121" s="220" t="str">
        <f>IF(Buildings_GridElectricity_Frontend[[#This Row],[Data]]="","",Buildings_GridElectricity_Backend[[#This Row],[Total (tCO2e)]]*(1+Buildings_GridElectricity_Backend[[#This Row],[RSD]]))</f>
        <v/>
      </c>
      <c r="AO121" s="210" t="str">
        <f>IF(Buildings_GridElectricity_Frontend[[#This Row],[Data]]="","",_xlfn.XLOOKUP(_xlfn.CONCAT(Buildings_GridElectricity_Backend[[#This Row],[Level 1]:[Level 6]]),rng_EFConcat,rng_EFOOS)*Buildings_GridElectricity_Backend[[#This Row],[Converted data]]/1000)</f>
        <v/>
      </c>
      <c r="AP121" s="174">
        <f>Buildings_GridElectricity_Frontend[[#This Row],[Ease of collection]]</f>
        <v>0</v>
      </c>
      <c r="AQ121" s="213">
        <f>Buildings_GridElectricity_Frontend[[#This Row],[Completeness]]</f>
        <v>0</v>
      </c>
      <c r="AR121" s="220">
        <f>Buildings_GridElectricity_Frontend[[#This Row],[Notes]]</f>
        <v>0</v>
      </c>
    </row>
    <row r="122" spans="5:44" x14ac:dyDescent="0.3">
      <c r="E122" s="346"/>
      <c r="F122" s="449"/>
      <c r="G122" s="336"/>
      <c r="H122" s="334"/>
      <c r="I122" s="172" t="s">
        <v>316</v>
      </c>
      <c r="J122" s="337"/>
      <c r="K122" s="336"/>
      <c r="L122" s="336"/>
      <c r="M122" s="337"/>
      <c r="N122" s="242">
        <f t="shared" si="5"/>
        <v>3</v>
      </c>
      <c r="Q122" s="212" t="str">
        <f t="shared" si="4"/>
        <v/>
      </c>
      <c r="R122" s="174" t="s">
        <v>265</v>
      </c>
      <c r="S122" s="174" t="s">
        <v>273</v>
      </c>
      <c r="T122" s="174" t="str">
        <f>_xlfn.XLOOKUP(Buildings_GridElectricity_Backend[[#This Row],[Info 1]],Buildings_SiteInfo[Site name],Buildings_SiteInfo[Site type], "")</f>
        <v/>
      </c>
      <c r="U122" s="174" t="s">
        <v>281</v>
      </c>
      <c r="V122" s="174" t="str" cm="1">
        <f t="array" aca="1" ref="V122" ca="1">_xlfn.XLOOKUP(Buildings_GridElectricity_Backend[[#This Row],[Level 4]],rng_Level4Long,rng_Level5Long)</f>
        <v>Electricity</v>
      </c>
      <c r="W122" s="174" t="str" cm="1">
        <f t="array" aca="1" ref="W122" ca="1">_xlfn.XLOOKUP(Buildings_GridElectricity_Backend[[#This Row],[Level 4]],rng_Level4Long,rng_Level6Long)</f>
        <v>NaN</v>
      </c>
      <c r="X122" s="174">
        <f>Buildings_GridElectricity_Frontend[[#This Row],[Site Name]]</f>
        <v>0</v>
      </c>
      <c r="Y122" s="174">
        <f>Buildings_GridElectricity_Frontend[[#This Row],[Contracting]]</f>
        <v>0</v>
      </c>
      <c r="Z122" s="174">
        <f>Buildings_GridElectricity_Frontend[[#This Row],[Methodology]]</f>
        <v>0</v>
      </c>
      <c r="AA122" s="229" t="str" cm="1">
        <f t="array" ref="AA122">IF(Buildings_GridElectricity_Frontend[[#This Row],[Data]]="","",INDEX(_xlfn.SWITCH(Buildings_GridElectricity_Backend[[#This Row],[Methodology]],"Tier 1",rng_RSD1,"Tier 2",rng_RSD2,"Tier 3",rng_RSD3),MATCH(_xlfn.CONCAT(Buildings_GridElectricity_Backend[[#This Row],[Level 1]:[Level 6]]),rng_LevelsConcat,0)))</f>
        <v/>
      </c>
      <c r="AB122" s="220">
        <f>Buildings_GridElectricity_Frontend[[#This Row],[Data]]</f>
        <v>0</v>
      </c>
      <c r="AC122" s="174" t="str">
        <f>Buildings_GridElectricity_Frontend[[#This Row],[Units]]</f>
        <v>kWh</v>
      </c>
      <c r="AD122" s="218">
        <f>Buildings_GridElectricity_Frontend[[#This Row],[Data]]</f>
        <v>0</v>
      </c>
      <c r="AE122" s="174" t="str">
        <f>Buildings_GridElectricity_Frontend[[#This Row],[Units]]</f>
        <v>kWh</v>
      </c>
      <c r="AF122" s="210" t="str">
        <f>IF(Buildings_GridElectricity_Frontend[[#This Row],[Data]]="","",_xlfn.XLOOKUP(_xlfn.CONCAT(Buildings_GridElectricity_Backend[[#This Row],[Level 1]:[Level 6]]),rng_EFConcat,rng_EF1)*Buildings_GridElectricity_Backend[[#This Row],[Converted data]]/1000)</f>
        <v/>
      </c>
      <c r="AG122" s="210" t="str">
        <f>IF(Buildings_GridElectricity_Frontend[[#This Row],[Data]]="","",_xlfn.XLOOKUP(_xlfn.CONCAT(Buildings_GridElectricity_Backend[[#This Row],[Level 1]:[Level 6]]),rng_EFConcat,rng_EF2)*Buildings_GridElectricity_Backend[[#This Row],[Converted data]]/1000)</f>
        <v/>
      </c>
      <c r="AH122" s="210" t="str">
        <f>IF(Buildings_GridElectricity_Frontend[[#This Row],[Data]]="","",_xlfn.XLOOKUP(_xlfn.CONCAT(Buildings_GridElectricity_Backend[[#This Row],[Level 1]:[Level 6]]),rng_EFConcat,rng_EF3)*Buildings_GridElectricity_Backend[[#This Row],[Converted data]]/1000)</f>
        <v/>
      </c>
      <c r="AI122" s="210" t="str">
        <f>IF(Buildings_GridElectricity_Frontend[[#This Row],[Data]]="","",_xlfn.XLOOKUP(_xlfn.CONCAT(Buildings_GridElectricity_Backend[[#This Row],[Level 1]:[Level 6]]),rng_EFConcat,rng_EF3WTT)*Buildings_GridElectricity_Backend[[#This Row],[Converted data]]/1000)</f>
        <v/>
      </c>
      <c r="AJ122" s="210" t="str">
        <f>IF(Buildings_GridElectricity_Frontend[[#This Row],[Data]]="","",_xlfn.XLOOKUP(_xlfn.CONCAT(Buildings_GridElectricity_Backend[[#This Row],[Level 1]:[Level 6]]),rng_EFConcat,rng_EF3TD)*Buildings_GridElectricity_Backend[[#This Row],[Converted data]]/1000)</f>
        <v/>
      </c>
      <c r="AK122" s="210" t="str">
        <f>IF(Buildings_GridElectricity_Frontend[[#This Row],[Data]]="","",_xlfn.XLOOKUP(_xlfn.CONCAT(Buildings_GridElectricity_Backend[[#This Row],[Level 1]:[Level 6]]),rng_EFConcat,rng_EF3WTTTD)*Buildings_GridElectricity_Backend[[#This Row],[Converted data]]/1000)</f>
        <v/>
      </c>
      <c r="AL122" s="220" t="str">
        <f>IF(Buildings_GridElectricity_Frontend[[#This Row],[Data]]="","",SUM(Buildings_GridElectricity_Backend[[#This Row],[Scope 1 (tCO2e)]:[Scope 3 WTT T&amp;D (tCO2e)]]))</f>
        <v/>
      </c>
      <c r="AM122" s="220" t="str">
        <f>IF(Buildings_GridElectricity_Frontend[[#This Row],[Data]]="","",Buildings_GridElectricity_Backend[[#This Row],[Total (tCO2e)]]*(1-Buildings_GridElectricity_Backend[[#This Row],[RSD]]))</f>
        <v/>
      </c>
      <c r="AN122" s="220" t="str">
        <f>IF(Buildings_GridElectricity_Frontend[[#This Row],[Data]]="","",Buildings_GridElectricity_Backend[[#This Row],[Total (tCO2e)]]*(1+Buildings_GridElectricity_Backend[[#This Row],[RSD]]))</f>
        <v/>
      </c>
      <c r="AO122" s="210" t="str">
        <f>IF(Buildings_GridElectricity_Frontend[[#This Row],[Data]]="","",_xlfn.XLOOKUP(_xlfn.CONCAT(Buildings_GridElectricity_Backend[[#This Row],[Level 1]:[Level 6]]),rng_EFConcat,rng_EFOOS)*Buildings_GridElectricity_Backend[[#This Row],[Converted data]]/1000)</f>
        <v/>
      </c>
      <c r="AP122" s="174">
        <f>Buildings_GridElectricity_Frontend[[#This Row],[Ease of collection]]</f>
        <v>0</v>
      </c>
      <c r="AQ122" s="213">
        <f>Buildings_GridElectricity_Frontend[[#This Row],[Completeness]]</f>
        <v>0</v>
      </c>
      <c r="AR122" s="220">
        <f>Buildings_GridElectricity_Frontend[[#This Row],[Notes]]</f>
        <v>0</v>
      </c>
    </row>
    <row r="123" spans="5:44" x14ac:dyDescent="0.3">
      <c r="E123" s="346"/>
      <c r="F123" s="449"/>
      <c r="G123" s="336"/>
      <c r="H123" s="334"/>
      <c r="I123" s="172" t="s">
        <v>316</v>
      </c>
      <c r="J123" s="337"/>
      <c r="K123" s="336"/>
      <c r="L123" s="336"/>
      <c r="M123" s="337"/>
      <c r="N123" s="242">
        <f t="shared" si="5"/>
        <v>3</v>
      </c>
      <c r="Q123" s="212" t="str">
        <f t="shared" si="4"/>
        <v/>
      </c>
      <c r="R123" s="174" t="s">
        <v>265</v>
      </c>
      <c r="S123" s="174" t="s">
        <v>273</v>
      </c>
      <c r="T123" s="174" t="str">
        <f>_xlfn.XLOOKUP(Buildings_GridElectricity_Backend[[#This Row],[Info 1]],Buildings_SiteInfo[Site name],Buildings_SiteInfo[Site type], "")</f>
        <v/>
      </c>
      <c r="U123" s="174" t="s">
        <v>281</v>
      </c>
      <c r="V123" s="174" t="str" cm="1">
        <f t="array" aca="1" ref="V123" ca="1">_xlfn.XLOOKUP(Buildings_GridElectricity_Backend[[#This Row],[Level 4]],rng_Level4Long,rng_Level5Long)</f>
        <v>Electricity</v>
      </c>
      <c r="W123" s="174" t="str" cm="1">
        <f t="array" aca="1" ref="W123" ca="1">_xlfn.XLOOKUP(Buildings_GridElectricity_Backend[[#This Row],[Level 4]],rng_Level4Long,rng_Level6Long)</f>
        <v>NaN</v>
      </c>
      <c r="X123" s="174">
        <f>Buildings_GridElectricity_Frontend[[#This Row],[Site Name]]</f>
        <v>0</v>
      </c>
      <c r="Y123" s="174">
        <f>Buildings_GridElectricity_Frontend[[#This Row],[Contracting]]</f>
        <v>0</v>
      </c>
      <c r="Z123" s="174">
        <f>Buildings_GridElectricity_Frontend[[#This Row],[Methodology]]</f>
        <v>0</v>
      </c>
      <c r="AA123" s="229" t="str" cm="1">
        <f t="array" ref="AA123">IF(Buildings_GridElectricity_Frontend[[#This Row],[Data]]="","",INDEX(_xlfn.SWITCH(Buildings_GridElectricity_Backend[[#This Row],[Methodology]],"Tier 1",rng_RSD1,"Tier 2",rng_RSD2,"Tier 3",rng_RSD3),MATCH(_xlfn.CONCAT(Buildings_GridElectricity_Backend[[#This Row],[Level 1]:[Level 6]]),rng_LevelsConcat,0)))</f>
        <v/>
      </c>
      <c r="AB123" s="220">
        <f>Buildings_GridElectricity_Frontend[[#This Row],[Data]]</f>
        <v>0</v>
      </c>
      <c r="AC123" s="174" t="str">
        <f>Buildings_GridElectricity_Frontend[[#This Row],[Units]]</f>
        <v>kWh</v>
      </c>
      <c r="AD123" s="218">
        <f>Buildings_GridElectricity_Frontend[[#This Row],[Data]]</f>
        <v>0</v>
      </c>
      <c r="AE123" s="174" t="str">
        <f>Buildings_GridElectricity_Frontend[[#This Row],[Units]]</f>
        <v>kWh</v>
      </c>
      <c r="AF123" s="210" t="str">
        <f>IF(Buildings_GridElectricity_Frontend[[#This Row],[Data]]="","",_xlfn.XLOOKUP(_xlfn.CONCAT(Buildings_GridElectricity_Backend[[#This Row],[Level 1]:[Level 6]]),rng_EFConcat,rng_EF1)*Buildings_GridElectricity_Backend[[#This Row],[Converted data]]/1000)</f>
        <v/>
      </c>
      <c r="AG123" s="210" t="str">
        <f>IF(Buildings_GridElectricity_Frontend[[#This Row],[Data]]="","",_xlfn.XLOOKUP(_xlfn.CONCAT(Buildings_GridElectricity_Backend[[#This Row],[Level 1]:[Level 6]]),rng_EFConcat,rng_EF2)*Buildings_GridElectricity_Backend[[#This Row],[Converted data]]/1000)</f>
        <v/>
      </c>
      <c r="AH123" s="210" t="str">
        <f>IF(Buildings_GridElectricity_Frontend[[#This Row],[Data]]="","",_xlfn.XLOOKUP(_xlfn.CONCAT(Buildings_GridElectricity_Backend[[#This Row],[Level 1]:[Level 6]]),rng_EFConcat,rng_EF3)*Buildings_GridElectricity_Backend[[#This Row],[Converted data]]/1000)</f>
        <v/>
      </c>
      <c r="AI123" s="210" t="str">
        <f>IF(Buildings_GridElectricity_Frontend[[#This Row],[Data]]="","",_xlfn.XLOOKUP(_xlfn.CONCAT(Buildings_GridElectricity_Backend[[#This Row],[Level 1]:[Level 6]]),rng_EFConcat,rng_EF3WTT)*Buildings_GridElectricity_Backend[[#This Row],[Converted data]]/1000)</f>
        <v/>
      </c>
      <c r="AJ123" s="210" t="str">
        <f>IF(Buildings_GridElectricity_Frontend[[#This Row],[Data]]="","",_xlfn.XLOOKUP(_xlfn.CONCAT(Buildings_GridElectricity_Backend[[#This Row],[Level 1]:[Level 6]]),rng_EFConcat,rng_EF3TD)*Buildings_GridElectricity_Backend[[#This Row],[Converted data]]/1000)</f>
        <v/>
      </c>
      <c r="AK123" s="210" t="str">
        <f>IF(Buildings_GridElectricity_Frontend[[#This Row],[Data]]="","",_xlfn.XLOOKUP(_xlfn.CONCAT(Buildings_GridElectricity_Backend[[#This Row],[Level 1]:[Level 6]]),rng_EFConcat,rng_EF3WTTTD)*Buildings_GridElectricity_Backend[[#This Row],[Converted data]]/1000)</f>
        <v/>
      </c>
      <c r="AL123" s="220" t="str">
        <f>IF(Buildings_GridElectricity_Frontend[[#This Row],[Data]]="","",SUM(Buildings_GridElectricity_Backend[[#This Row],[Scope 1 (tCO2e)]:[Scope 3 WTT T&amp;D (tCO2e)]]))</f>
        <v/>
      </c>
      <c r="AM123" s="220" t="str">
        <f>IF(Buildings_GridElectricity_Frontend[[#This Row],[Data]]="","",Buildings_GridElectricity_Backend[[#This Row],[Total (tCO2e)]]*(1-Buildings_GridElectricity_Backend[[#This Row],[RSD]]))</f>
        <v/>
      </c>
      <c r="AN123" s="220" t="str">
        <f>IF(Buildings_GridElectricity_Frontend[[#This Row],[Data]]="","",Buildings_GridElectricity_Backend[[#This Row],[Total (tCO2e)]]*(1+Buildings_GridElectricity_Backend[[#This Row],[RSD]]))</f>
        <v/>
      </c>
      <c r="AO123" s="210" t="str">
        <f>IF(Buildings_GridElectricity_Frontend[[#This Row],[Data]]="","",_xlfn.XLOOKUP(_xlfn.CONCAT(Buildings_GridElectricity_Backend[[#This Row],[Level 1]:[Level 6]]),rng_EFConcat,rng_EFOOS)*Buildings_GridElectricity_Backend[[#This Row],[Converted data]]/1000)</f>
        <v/>
      </c>
      <c r="AP123" s="174">
        <f>Buildings_GridElectricity_Frontend[[#This Row],[Ease of collection]]</f>
        <v>0</v>
      </c>
      <c r="AQ123" s="213">
        <f>Buildings_GridElectricity_Frontend[[#This Row],[Completeness]]</f>
        <v>0</v>
      </c>
      <c r="AR123" s="220">
        <f>Buildings_GridElectricity_Frontend[[#This Row],[Notes]]</f>
        <v>0</v>
      </c>
    </row>
    <row r="124" spans="5:44" x14ac:dyDescent="0.3">
      <c r="E124" s="346"/>
      <c r="F124" s="449"/>
      <c r="G124" s="336"/>
      <c r="H124" s="334"/>
      <c r="I124" s="172" t="s">
        <v>316</v>
      </c>
      <c r="J124" s="337"/>
      <c r="K124" s="336"/>
      <c r="L124" s="336"/>
      <c r="M124" s="337"/>
      <c r="N124" s="242">
        <f t="shared" si="5"/>
        <v>3</v>
      </c>
      <c r="Q124" s="212" t="str">
        <f t="shared" si="4"/>
        <v/>
      </c>
      <c r="R124" s="174" t="s">
        <v>265</v>
      </c>
      <c r="S124" s="174" t="s">
        <v>273</v>
      </c>
      <c r="T124" s="174" t="str">
        <f>_xlfn.XLOOKUP(Buildings_GridElectricity_Backend[[#This Row],[Info 1]],Buildings_SiteInfo[Site name],Buildings_SiteInfo[Site type], "")</f>
        <v/>
      </c>
      <c r="U124" s="174" t="s">
        <v>281</v>
      </c>
      <c r="V124" s="174" t="str" cm="1">
        <f t="array" aca="1" ref="V124" ca="1">_xlfn.XLOOKUP(Buildings_GridElectricity_Backend[[#This Row],[Level 4]],rng_Level4Long,rng_Level5Long)</f>
        <v>Electricity</v>
      </c>
      <c r="W124" s="174" t="str" cm="1">
        <f t="array" aca="1" ref="W124" ca="1">_xlfn.XLOOKUP(Buildings_GridElectricity_Backend[[#This Row],[Level 4]],rng_Level4Long,rng_Level6Long)</f>
        <v>NaN</v>
      </c>
      <c r="X124" s="174">
        <f>Buildings_GridElectricity_Frontend[[#This Row],[Site Name]]</f>
        <v>0</v>
      </c>
      <c r="Y124" s="174">
        <f>Buildings_GridElectricity_Frontend[[#This Row],[Contracting]]</f>
        <v>0</v>
      </c>
      <c r="Z124" s="174">
        <f>Buildings_GridElectricity_Frontend[[#This Row],[Methodology]]</f>
        <v>0</v>
      </c>
      <c r="AA124" s="229" t="str" cm="1">
        <f t="array" ref="AA124">IF(Buildings_GridElectricity_Frontend[[#This Row],[Data]]="","",INDEX(_xlfn.SWITCH(Buildings_GridElectricity_Backend[[#This Row],[Methodology]],"Tier 1",rng_RSD1,"Tier 2",rng_RSD2,"Tier 3",rng_RSD3),MATCH(_xlfn.CONCAT(Buildings_GridElectricity_Backend[[#This Row],[Level 1]:[Level 6]]),rng_LevelsConcat,0)))</f>
        <v/>
      </c>
      <c r="AB124" s="220">
        <f>Buildings_GridElectricity_Frontend[[#This Row],[Data]]</f>
        <v>0</v>
      </c>
      <c r="AC124" s="174" t="str">
        <f>Buildings_GridElectricity_Frontend[[#This Row],[Units]]</f>
        <v>kWh</v>
      </c>
      <c r="AD124" s="218">
        <f>Buildings_GridElectricity_Frontend[[#This Row],[Data]]</f>
        <v>0</v>
      </c>
      <c r="AE124" s="174" t="str">
        <f>Buildings_GridElectricity_Frontend[[#This Row],[Units]]</f>
        <v>kWh</v>
      </c>
      <c r="AF124" s="210" t="str">
        <f>IF(Buildings_GridElectricity_Frontend[[#This Row],[Data]]="","",_xlfn.XLOOKUP(_xlfn.CONCAT(Buildings_GridElectricity_Backend[[#This Row],[Level 1]:[Level 6]]),rng_EFConcat,rng_EF1)*Buildings_GridElectricity_Backend[[#This Row],[Converted data]]/1000)</f>
        <v/>
      </c>
      <c r="AG124" s="210" t="str">
        <f>IF(Buildings_GridElectricity_Frontend[[#This Row],[Data]]="","",_xlfn.XLOOKUP(_xlfn.CONCAT(Buildings_GridElectricity_Backend[[#This Row],[Level 1]:[Level 6]]),rng_EFConcat,rng_EF2)*Buildings_GridElectricity_Backend[[#This Row],[Converted data]]/1000)</f>
        <v/>
      </c>
      <c r="AH124" s="210" t="str">
        <f>IF(Buildings_GridElectricity_Frontend[[#This Row],[Data]]="","",_xlfn.XLOOKUP(_xlfn.CONCAT(Buildings_GridElectricity_Backend[[#This Row],[Level 1]:[Level 6]]),rng_EFConcat,rng_EF3)*Buildings_GridElectricity_Backend[[#This Row],[Converted data]]/1000)</f>
        <v/>
      </c>
      <c r="AI124" s="210" t="str">
        <f>IF(Buildings_GridElectricity_Frontend[[#This Row],[Data]]="","",_xlfn.XLOOKUP(_xlfn.CONCAT(Buildings_GridElectricity_Backend[[#This Row],[Level 1]:[Level 6]]),rng_EFConcat,rng_EF3WTT)*Buildings_GridElectricity_Backend[[#This Row],[Converted data]]/1000)</f>
        <v/>
      </c>
      <c r="AJ124" s="210" t="str">
        <f>IF(Buildings_GridElectricity_Frontend[[#This Row],[Data]]="","",_xlfn.XLOOKUP(_xlfn.CONCAT(Buildings_GridElectricity_Backend[[#This Row],[Level 1]:[Level 6]]),rng_EFConcat,rng_EF3TD)*Buildings_GridElectricity_Backend[[#This Row],[Converted data]]/1000)</f>
        <v/>
      </c>
      <c r="AK124" s="210" t="str">
        <f>IF(Buildings_GridElectricity_Frontend[[#This Row],[Data]]="","",_xlfn.XLOOKUP(_xlfn.CONCAT(Buildings_GridElectricity_Backend[[#This Row],[Level 1]:[Level 6]]),rng_EFConcat,rng_EF3WTTTD)*Buildings_GridElectricity_Backend[[#This Row],[Converted data]]/1000)</f>
        <v/>
      </c>
      <c r="AL124" s="220" t="str">
        <f>IF(Buildings_GridElectricity_Frontend[[#This Row],[Data]]="","",SUM(Buildings_GridElectricity_Backend[[#This Row],[Scope 1 (tCO2e)]:[Scope 3 WTT T&amp;D (tCO2e)]]))</f>
        <v/>
      </c>
      <c r="AM124" s="220" t="str">
        <f>IF(Buildings_GridElectricity_Frontend[[#This Row],[Data]]="","",Buildings_GridElectricity_Backend[[#This Row],[Total (tCO2e)]]*(1-Buildings_GridElectricity_Backend[[#This Row],[RSD]]))</f>
        <v/>
      </c>
      <c r="AN124" s="220" t="str">
        <f>IF(Buildings_GridElectricity_Frontend[[#This Row],[Data]]="","",Buildings_GridElectricity_Backend[[#This Row],[Total (tCO2e)]]*(1+Buildings_GridElectricity_Backend[[#This Row],[RSD]]))</f>
        <v/>
      </c>
      <c r="AO124" s="210" t="str">
        <f>IF(Buildings_GridElectricity_Frontend[[#This Row],[Data]]="","",_xlfn.XLOOKUP(_xlfn.CONCAT(Buildings_GridElectricity_Backend[[#This Row],[Level 1]:[Level 6]]),rng_EFConcat,rng_EFOOS)*Buildings_GridElectricity_Backend[[#This Row],[Converted data]]/1000)</f>
        <v/>
      </c>
      <c r="AP124" s="174">
        <f>Buildings_GridElectricity_Frontend[[#This Row],[Ease of collection]]</f>
        <v>0</v>
      </c>
      <c r="AQ124" s="213">
        <f>Buildings_GridElectricity_Frontend[[#This Row],[Completeness]]</f>
        <v>0</v>
      </c>
      <c r="AR124" s="220">
        <f>Buildings_GridElectricity_Frontend[[#This Row],[Notes]]</f>
        <v>0</v>
      </c>
    </row>
    <row r="125" spans="5:44" x14ac:dyDescent="0.3">
      <c r="E125" s="346"/>
      <c r="F125" s="449"/>
      <c r="G125" s="336"/>
      <c r="H125" s="334"/>
      <c r="I125" s="172" t="s">
        <v>316</v>
      </c>
      <c r="J125" s="337"/>
      <c r="K125" s="336"/>
      <c r="L125" s="336"/>
      <c r="M125" s="337"/>
      <c r="N125" s="242">
        <f t="shared" si="5"/>
        <v>3</v>
      </c>
      <c r="Q125" s="212" t="str">
        <f t="shared" si="4"/>
        <v/>
      </c>
      <c r="R125" s="174" t="s">
        <v>265</v>
      </c>
      <c r="S125" s="174" t="s">
        <v>273</v>
      </c>
      <c r="T125" s="174" t="str">
        <f>_xlfn.XLOOKUP(Buildings_GridElectricity_Backend[[#This Row],[Info 1]],Buildings_SiteInfo[Site name],Buildings_SiteInfo[Site type], "")</f>
        <v/>
      </c>
      <c r="U125" s="174" t="s">
        <v>281</v>
      </c>
      <c r="V125" s="174" t="str" cm="1">
        <f t="array" aca="1" ref="V125" ca="1">_xlfn.XLOOKUP(Buildings_GridElectricity_Backend[[#This Row],[Level 4]],rng_Level4Long,rng_Level5Long)</f>
        <v>Electricity</v>
      </c>
      <c r="W125" s="174" t="str" cm="1">
        <f t="array" aca="1" ref="W125" ca="1">_xlfn.XLOOKUP(Buildings_GridElectricity_Backend[[#This Row],[Level 4]],rng_Level4Long,rng_Level6Long)</f>
        <v>NaN</v>
      </c>
      <c r="X125" s="174">
        <f>Buildings_GridElectricity_Frontend[[#This Row],[Site Name]]</f>
        <v>0</v>
      </c>
      <c r="Y125" s="174">
        <f>Buildings_GridElectricity_Frontend[[#This Row],[Contracting]]</f>
        <v>0</v>
      </c>
      <c r="Z125" s="174">
        <f>Buildings_GridElectricity_Frontend[[#This Row],[Methodology]]</f>
        <v>0</v>
      </c>
      <c r="AA125" s="229" t="str" cm="1">
        <f t="array" ref="AA125">IF(Buildings_GridElectricity_Frontend[[#This Row],[Data]]="","",INDEX(_xlfn.SWITCH(Buildings_GridElectricity_Backend[[#This Row],[Methodology]],"Tier 1",rng_RSD1,"Tier 2",rng_RSD2,"Tier 3",rng_RSD3),MATCH(_xlfn.CONCAT(Buildings_GridElectricity_Backend[[#This Row],[Level 1]:[Level 6]]),rng_LevelsConcat,0)))</f>
        <v/>
      </c>
      <c r="AB125" s="220">
        <f>Buildings_GridElectricity_Frontend[[#This Row],[Data]]</f>
        <v>0</v>
      </c>
      <c r="AC125" s="174" t="str">
        <f>Buildings_GridElectricity_Frontend[[#This Row],[Units]]</f>
        <v>kWh</v>
      </c>
      <c r="AD125" s="218">
        <f>Buildings_GridElectricity_Frontend[[#This Row],[Data]]</f>
        <v>0</v>
      </c>
      <c r="AE125" s="174" t="str">
        <f>Buildings_GridElectricity_Frontend[[#This Row],[Units]]</f>
        <v>kWh</v>
      </c>
      <c r="AF125" s="210" t="str">
        <f>IF(Buildings_GridElectricity_Frontend[[#This Row],[Data]]="","",_xlfn.XLOOKUP(_xlfn.CONCAT(Buildings_GridElectricity_Backend[[#This Row],[Level 1]:[Level 6]]),rng_EFConcat,rng_EF1)*Buildings_GridElectricity_Backend[[#This Row],[Converted data]]/1000)</f>
        <v/>
      </c>
      <c r="AG125" s="210" t="str">
        <f>IF(Buildings_GridElectricity_Frontend[[#This Row],[Data]]="","",_xlfn.XLOOKUP(_xlfn.CONCAT(Buildings_GridElectricity_Backend[[#This Row],[Level 1]:[Level 6]]),rng_EFConcat,rng_EF2)*Buildings_GridElectricity_Backend[[#This Row],[Converted data]]/1000)</f>
        <v/>
      </c>
      <c r="AH125" s="210" t="str">
        <f>IF(Buildings_GridElectricity_Frontend[[#This Row],[Data]]="","",_xlfn.XLOOKUP(_xlfn.CONCAT(Buildings_GridElectricity_Backend[[#This Row],[Level 1]:[Level 6]]),rng_EFConcat,rng_EF3)*Buildings_GridElectricity_Backend[[#This Row],[Converted data]]/1000)</f>
        <v/>
      </c>
      <c r="AI125" s="210" t="str">
        <f>IF(Buildings_GridElectricity_Frontend[[#This Row],[Data]]="","",_xlfn.XLOOKUP(_xlfn.CONCAT(Buildings_GridElectricity_Backend[[#This Row],[Level 1]:[Level 6]]),rng_EFConcat,rng_EF3WTT)*Buildings_GridElectricity_Backend[[#This Row],[Converted data]]/1000)</f>
        <v/>
      </c>
      <c r="AJ125" s="210" t="str">
        <f>IF(Buildings_GridElectricity_Frontend[[#This Row],[Data]]="","",_xlfn.XLOOKUP(_xlfn.CONCAT(Buildings_GridElectricity_Backend[[#This Row],[Level 1]:[Level 6]]),rng_EFConcat,rng_EF3TD)*Buildings_GridElectricity_Backend[[#This Row],[Converted data]]/1000)</f>
        <v/>
      </c>
      <c r="AK125" s="210" t="str">
        <f>IF(Buildings_GridElectricity_Frontend[[#This Row],[Data]]="","",_xlfn.XLOOKUP(_xlfn.CONCAT(Buildings_GridElectricity_Backend[[#This Row],[Level 1]:[Level 6]]),rng_EFConcat,rng_EF3WTTTD)*Buildings_GridElectricity_Backend[[#This Row],[Converted data]]/1000)</f>
        <v/>
      </c>
      <c r="AL125" s="220" t="str">
        <f>IF(Buildings_GridElectricity_Frontend[[#This Row],[Data]]="","",SUM(Buildings_GridElectricity_Backend[[#This Row],[Scope 1 (tCO2e)]:[Scope 3 WTT T&amp;D (tCO2e)]]))</f>
        <v/>
      </c>
      <c r="AM125" s="220" t="str">
        <f>IF(Buildings_GridElectricity_Frontend[[#This Row],[Data]]="","",Buildings_GridElectricity_Backend[[#This Row],[Total (tCO2e)]]*(1-Buildings_GridElectricity_Backend[[#This Row],[RSD]]))</f>
        <v/>
      </c>
      <c r="AN125" s="220" t="str">
        <f>IF(Buildings_GridElectricity_Frontend[[#This Row],[Data]]="","",Buildings_GridElectricity_Backend[[#This Row],[Total (tCO2e)]]*(1+Buildings_GridElectricity_Backend[[#This Row],[RSD]]))</f>
        <v/>
      </c>
      <c r="AO125" s="210" t="str">
        <f>IF(Buildings_GridElectricity_Frontend[[#This Row],[Data]]="","",_xlfn.XLOOKUP(_xlfn.CONCAT(Buildings_GridElectricity_Backend[[#This Row],[Level 1]:[Level 6]]),rng_EFConcat,rng_EFOOS)*Buildings_GridElectricity_Backend[[#This Row],[Converted data]]/1000)</f>
        <v/>
      </c>
      <c r="AP125" s="174">
        <f>Buildings_GridElectricity_Frontend[[#This Row],[Ease of collection]]</f>
        <v>0</v>
      </c>
      <c r="AQ125" s="213">
        <f>Buildings_GridElectricity_Frontend[[#This Row],[Completeness]]</f>
        <v>0</v>
      </c>
      <c r="AR125" s="220">
        <f>Buildings_GridElectricity_Frontend[[#This Row],[Notes]]</f>
        <v>0</v>
      </c>
    </row>
    <row r="126" spans="5:44" x14ac:dyDescent="0.3">
      <c r="E126" s="346"/>
      <c r="F126" s="449"/>
      <c r="G126" s="336"/>
      <c r="H126" s="334"/>
      <c r="I126" s="172" t="s">
        <v>316</v>
      </c>
      <c r="J126" s="337"/>
      <c r="K126" s="336"/>
      <c r="L126" s="336"/>
      <c r="M126" s="337"/>
      <c r="N126" s="242">
        <f t="shared" si="5"/>
        <v>3</v>
      </c>
      <c r="Q126" s="212" t="str">
        <f t="shared" si="4"/>
        <v/>
      </c>
      <c r="R126" s="174" t="s">
        <v>265</v>
      </c>
      <c r="S126" s="174" t="s">
        <v>273</v>
      </c>
      <c r="T126" s="174" t="str">
        <f>_xlfn.XLOOKUP(Buildings_GridElectricity_Backend[[#This Row],[Info 1]],Buildings_SiteInfo[Site name],Buildings_SiteInfo[Site type], "")</f>
        <v/>
      </c>
      <c r="U126" s="174" t="s">
        <v>281</v>
      </c>
      <c r="V126" s="174" t="str" cm="1">
        <f t="array" aca="1" ref="V126" ca="1">_xlfn.XLOOKUP(Buildings_GridElectricity_Backend[[#This Row],[Level 4]],rng_Level4Long,rng_Level5Long)</f>
        <v>Electricity</v>
      </c>
      <c r="W126" s="174" t="str" cm="1">
        <f t="array" aca="1" ref="W126" ca="1">_xlfn.XLOOKUP(Buildings_GridElectricity_Backend[[#This Row],[Level 4]],rng_Level4Long,rng_Level6Long)</f>
        <v>NaN</v>
      </c>
      <c r="X126" s="174">
        <f>Buildings_GridElectricity_Frontend[[#This Row],[Site Name]]</f>
        <v>0</v>
      </c>
      <c r="Y126" s="174">
        <f>Buildings_GridElectricity_Frontend[[#This Row],[Contracting]]</f>
        <v>0</v>
      </c>
      <c r="Z126" s="174">
        <f>Buildings_GridElectricity_Frontend[[#This Row],[Methodology]]</f>
        <v>0</v>
      </c>
      <c r="AA126" s="229" t="str" cm="1">
        <f t="array" ref="AA126">IF(Buildings_GridElectricity_Frontend[[#This Row],[Data]]="","",INDEX(_xlfn.SWITCH(Buildings_GridElectricity_Backend[[#This Row],[Methodology]],"Tier 1",rng_RSD1,"Tier 2",rng_RSD2,"Tier 3",rng_RSD3),MATCH(_xlfn.CONCAT(Buildings_GridElectricity_Backend[[#This Row],[Level 1]:[Level 6]]),rng_LevelsConcat,0)))</f>
        <v/>
      </c>
      <c r="AB126" s="220">
        <f>Buildings_GridElectricity_Frontend[[#This Row],[Data]]</f>
        <v>0</v>
      </c>
      <c r="AC126" s="174" t="str">
        <f>Buildings_GridElectricity_Frontend[[#This Row],[Units]]</f>
        <v>kWh</v>
      </c>
      <c r="AD126" s="218">
        <f>Buildings_GridElectricity_Frontend[[#This Row],[Data]]</f>
        <v>0</v>
      </c>
      <c r="AE126" s="174" t="str">
        <f>Buildings_GridElectricity_Frontend[[#This Row],[Units]]</f>
        <v>kWh</v>
      </c>
      <c r="AF126" s="210" t="str">
        <f>IF(Buildings_GridElectricity_Frontend[[#This Row],[Data]]="","",_xlfn.XLOOKUP(_xlfn.CONCAT(Buildings_GridElectricity_Backend[[#This Row],[Level 1]:[Level 6]]),rng_EFConcat,rng_EF1)*Buildings_GridElectricity_Backend[[#This Row],[Converted data]]/1000)</f>
        <v/>
      </c>
      <c r="AG126" s="210" t="str">
        <f>IF(Buildings_GridElectricity_Frontend[[#This Row],[Data]]="","",_xlfn.XLOOKUP(_xlfn.CONCAT(Buildings_GridElectricity_Backend[[#This Row],[Level 1]:[Level 6]]),rng_EFConcat,rng_EF2)*Buildings_GridElectricity_Backend[[#This Row],[Converted data]]/1000)</f>
        <v/>
      </c>
      <c r="AH126" s="210" t="str">
        <f>IF(Buildings_GridElectricity_Frontend[[#This Row],[Data]]="","",_xlfn.XLOOKUP(_xlfn.CONCAT(Buildings_GridElectricity_Backend[[#This Row],[Level 1]:[Level 6]]),rng_EFConcat,rng_EF3)*Buildings_GridElectricity_Backend[[#This Row],[Converted data]]/1000)</f>
        <v/>
      </c>
      <c r="AI126" s="210" t="str">
        <f>IF(Buildings_GridElectricity_Frontend[[#This Row],[Data]]="","",_xlfn.XLOOKUP(_xlfn.CONCAT(Buildings_GridElectricity_Backend[[#This Row],[Level 1]:[Level 6]]),rng_EFConcat,rng_EF3WTT)*Buildings_GridElectricity_Backend[[#This Row],[Converted data]]/1000)</f>
        <v/>
      </c>
      <c r="AJ126" s="210" t="str">
        <f>IF(Buildings_GridElectricity_Frontend[[#This Row],[Data]]="","",_xlfn.XLOOKUP(_xlfn.CONCAT(Buildings_GridElectricity_Backend[[#This Row],[Level 1]:[Level 6]]),rng_EFConcat,rng_EF3TD)*Buildings_GridElectricity_Backend[[#This Row],[Converted data]]/1000)</f>
        <v/>
      </c>
      <c r="AK126" s="210" t="str">
        <f>IF(Buildings_GridElectricity_Frontend[[#This Row],[Data]]="","",_xlfn.XLOOKUP(_xlfn.CONCAT(Buildings_GridElectricity_Backend[[#This Row],[Level 1]:[Level 6]]),rng_EFConcat,rng_EF3WTTTD)*Buildings_GridElectricity_Backend[[#This Row],[Converted data]]/1000)</f>
        <v/>
      </c>
      <c r="AL126" s="220" t="str">
        <f>IF(Buildings_GridElectricity_Frontend[[#This Row],[Data]]="","",SUM(Buildings_GridElectricity_Backend[[#This Row],[Scope 1 (tCO2e)]:[Scope 3 WTT T&amp;D (tCO2e)]]))</f>
        <v/>
      </c>
      <c r="AM126" s="220" t="str">
        <f>IF(Buildings_GridElectricity_Frontend[[#This Row],[Data]]="","",Buildings_GridElectricity_Backend[[#This Row],[Total (tCO2e)]]*(1-Buildings_GridElectricity_Backend[[#This Row],[RSD]]))</f>
        <v/>
      </c>
      <c r="AN126" s="220" t="str">
        <f>IF(Buildings_GridElectricity_Frontend[[#This Row],[Data]]="","",Buildings_GridElectricity_Backend[[#This Row],[Total (tCO2e)]]*(1+Buildings_GridElectricity_Backend[[#This Row],[RSD]]))</f>
        <v/>
      </c>
      <c r="AO126" s="210" t="str">
        <f>IF(Buildings_GridElectricity_Frontend[[#This Row],[Data]]="","",_xlfn.XLOOKUP(_xlfn.CONCAT(Buildings_GridElectricity_Backend[[#This Row],[Level 1]:[Level 6]]),rng_EFConcat,rng_EFOOS)*Buildings_GridElectricity_Backend[[#This Row],[Converted data]]/1000)</f>
        <v/>
      </c>
      <c r="AP126" s="174">
        <f>Buildings_GridElectricity_Frontend[[#This Row],[Ease of collection]]</f>
        <v>0</v>
      </c>
      <c r="AQ126" s="213">
        <f>Buildings_GridElectricity_Frontend[[#This Row],[Completeness]]</f>
        <v>0</v>
      </c>
      <c r="AR126" s="220">
        <f>Buildings_GridElectricity_Frontend[[#This Row],[Notes]]</f>
        <v>0</v>
      </c>
    </row>
    <row r="127" spans="5:44" x14ac:dyDescent="0.3">
      <c r="E127" s="346"/>
      <c r="F127" s="449"/>
      <c r="G127" s="336"/>
      <c r="H127" s="334"/>
      <c r="I127" s="172" t="s">
        <v>316</v>
      </c>
      <c r="J127" s="337"/>
      <c r="K127" s="336"/>
      <c r="L127" s="336"/>
      <c r="M127" s="337"/>
      <c r="N127" s="242">
        <f t="shared" si="5"/>
        <v>3</v>
      </c>
      <c r="Q127" s="212" t="str">
        <f t="shared" si="4"/>
        <v/>
      </c>
      <c r="R127" s="174" t="s">
        <v>265</v>
      </c>
      <c r="S127" s="174" t="s">
        <v>273</v>
      </c>
      <c r="T127" s="174" t="str">
        <f>_xlfn.XLOOKUP(Buildings_GridElectricity_Backend[[#This Row],[Info 1]],Buildings_SiteInfo[Site name],Buildings_SiteInfo[Site type], "")</f>
        <v/>
      </c>
      <c r="U127" s="174" t="s">
        <v>281</v>
      </c>
      <c r="V127" s="174" t="str" cm="1">
        <f t="array" aca="1" ref="V127" ca="1">_xlfn.XLOOKUP(Buildings_GridElectricity_Backend[[#This Row],[Level 4]],rng_Level4Long,rng_Level5Long)</f>
        <v>Electricity</v>
      </c>
      <c r="W127" s="174" t="str" cm="1">
        <f t="array" aca="1" ref="W127" ca="1">_xlfn.XLOOKUP(Buildings_GridElectricity_Backend[[#This Row],[Level 4]],rng_Level4Long,rng_Level6Long)</f>
        <v>NaN</v>
      </c>
      <c r="X127" s="174">
        <f>Buildings_GridElectricity_Frontend[[#This Row],[Site Name]]</f>
        <v>0</v>
      </c>
      <c r="Y127" s="174">
        <f>Buildings_GridElectricity_Frontend[[#This Row],[Contracting]]</f>
        <v>0</v>
      </c>
      <c r="Z127" s="174">
        <f>Buildings_GridElectricity_Frontend[[#This Row],[Methodology]]</f>
        <v>0</v>
      </c>
      <c r="AA127" s="229" t="str" cm="1">
        <f t="array" ref="AA127">IF(Buildings_GridElectricity_Frontend[[#This Row],[Data]]="","",INDEX(_xlfn.SWITCH(Buildings_GridElectricity_Backend[[#This Row],[Methodology]],"Tier 1",rng_RSD1,"Tier 2",rng_RSD2,"Tier 3",rng_RSD3),MATCH(_xlfn.CONCAT(Buildings_GridElectricity_Backend[[#This Row],[Level 1]:[Level 6]]),rng_LevelsConcat,0)))</f>
        <v/>
      </c>
      <c r="AB127" s="220">
        <f>Buildings_GridElectricity_Frontend[[#This Row],[Data]]</f>
        <v>0</v>
      </c>
      <c r="AC127" s="174" t="str">
        <f>Buildings_GridElectricity_Frontend[[#This Row],[Units]]</f>
        <v>kWh</v>
      </c>
      <c r="AD127" s="218">
        <f>Buildings_GridElectricity_Frontend[[#This Row],[Data]]</f>
        <v>0</v>
      </c>
      <c r="AE127" s="174" t="str">
        <f>Buildings_GridElectricity_Frontend[[#This Row],[Units]]</f>
        <v>kWh</v>
      </c>
      <c r="AF127" s="210" t="str">
        <f>IF(Buildings_GridElectricity_Frontend[[#This Row],[Data]]="","",_xlfn.XLOOKUP(_xlfn.CONCAT(Buildings_GridElectricity_Backend[[#This Row],[Level 1]:[Level 6]]),rng_EFConcat,rng_EF1)*Buildings_GridElectricity_Backend[[#This Row],[Converted data]]/1000)</f>
        <v/>
      </c>
      <c r="AG127" s="210" t="str">
        <f>IF(Buildings_GridElectricity_Frontend[[#This Row],[Data]]="","",_xlfn.XLOOKUP(_xlfn.CONCAT(Buildings_GridElectricity_Backend[[#This Row],[Level 1]:[Level 6]]),rng_EFConcat,rng_EF2)*Buildings_GridElectricity_Backend[[#This Row],[Converted data]]/1000)</f>
        <v/>
      </c>
      <c r="AH127" s="210" t="str">
        <f>IF(Buildings_GridElectricity_Frontend[[#This Row],[Data]]="","",_xlfn.XLOOKUP(_xlfn.CONCAT(Buildings_GridElectricity_Backend[[#This Row],[Level 1]:[Level 6]]),rng_EFConcat,rng_EF3)*Buildings_GridElectricity_Backend[[#This Row],[Converted data]]/1000)</f>
        <v/>
      </c>
      <c r="AI127" s="210" t="str">
        <f>IF(Buildings_GridElectricity_Frontend[[#This Row],[Data]]="","",_xlfn.XLOOKUP(_xlfn.CONCAT(Buildings_GridElectricity_Backend[[#This Row],[Level 1]:[Level 6]]),rng_EFConcat,rng_EF3WTT)*Buildings_GridElectricity_Backend[[#This Row],[Converted data]]/1000)</f>
        <v/>
      </c>
      <c r="AJ127" s="210" t="str">
        <f>IF(Buildings_GridElectricity_Frontend[[#This Row],[Data]]="","",_xlfn.XLOOKUP(_xlfn.CONCAT(Buildings_GridElectricity_Backend[[#This Row],[Level 1]:[Level 6]]),rng_EFConcat,rng_EF3TD)*Buildings_GridElectricity_Backend[[#This Row],[Converted data]]/1000)</f>
        <v/>
      </c>
      <c r="AK127" s="210" t="str">
        <f>IF(Buildings_GridElectricity_Frontend[[#This Row],[Data]]="","",_xlfn.XLOOKUP(_xlfn.CONCAT(Buildings_GridElectricity_Backend[[#This Row],[Level 1]:[Level 6]]),rng_EFConcat,rng_EF3WTTTD)*Buildings_GridElectricity_Backend[[#This Row],[Converted data]]/1000)</f>
        <v/>
      </c>
      <c r="AL127" s="220" t="str">
        <f>IF(Buildings_GridElectricity_Frontend[[#This Row],[Data]]="","",SUM(Buildings_GridElectricity_Backend[[#This Row],[Scope 1 (tCO2e)]:[Scope 3 WTT T&amp;D (tCO2e)]]))</f>
        <v/>
      </c>
      <c r="AM127" s="220" t="str">
        <f>IF(Buildings_GridElectricity_Frontend[[#This Row],[Data]]="","",Buildings_GridElectricity_Backend[[#This Row],[Total (tCO2e)]]*(1-Buildings_GridElectricity_Backend[[#This Row],[RSD]]))</f>
        <v/>
      </c>
      <c r="AN127" s="220" t="str">
        <f>IF(Buildings_GridElectricity_Frontend[[#This Row],[Data]]="","",Buildings_GridElectricity_Backend[[#This Row],[Total (tCO2e)]]*(1+Buildings_GridElectricity_Backend[[#This Row],[RSD]]))</f>
        <v/>
      </c>
      <c r="AO127" s="210" t="str">
        <f>IF(Buildings_GridElectricity_Frontend[[#This Row],[Data]]="","",_xlfn.XLOOKUP(_xlfn.CONCAT(Buildings_GridElectricity_Backend[[#This Row],[Level 1]:[Level 6]]),rng_EFConcat,rng_EFOOS)*Buildings_GridElectricity_Backend[[#This Row],[Converted data]]/1000)</f>
        <v/>
      </c>
      <c r="AP127" s="174">
        <f>Buildings_GridElectricity_Frontend[[#This Row],[Ease of collection]]</f>
        <v>0</v>
      </c>
      <c r="AQ127" s="213">
        <f>Buildings_GridElectricity_Frontend[[#This Row],[Completeness]]</f>
        <v>0</v>
      </c>
      <c r="AR127" s="220">
        <f>Buildings_GridElectricity_Frontend[[#This Row],[Notes]]</f>
        <v>0</v>
      </c>
    </row>
    <row r="128" spans="5:44" x14ac:dyDescent="0.3">
      <c r="E128" s="346"/>
      <c r="F128" s="449"/>
      <c r="G128" s="336"/>
      <c r="H128" s="334"/>
      <c r="I128" s="172" t="s">
        <v>316</v>
      </c>
      <c r="J128" s="337"/>
      <c r="K128" s="336"/>
      <c r="L128" s="336"/>
      <c r="M128" s="337"/>
      <c r="N128" s="242">
        <f t="shared" si="5"/>
        <v>3</v>
      </c>
      <c r="Q128" s="212" t="str">
        <f t="shared" si="4"/>
        <v/>
      </c>
      <c r="R128" s="174" t="s">
        <v>265</v>
      </c>
      <c r="S128" s="174" t="s">
        <v>273</v>
      </c>
      <c r="T128" s="174" t="str">
        <f>_xlfn.XLOOKUP(Buildings_GridElectricity_Backend[[#This Row],[Info 1]],Buildings_SiteInfo[Site name],Buildings_SiteInfo[Site type], "")</f>
        <v/>
      </c>
      <c r="U128" s="174" t="s">
        <v>281</v>
      </c>
      <c r="V128" s="174" t="str" cm="1">
        <f t="array" aca="1" ref="V128" ca="1">_xlfn.XLOOKUP(Buildings_GridElectricity_Backend[[#This Row],[Level 4]],rng_Level4Long,rng_Level5Long)</f>
        <v>Electricity</v>
      </c>
      <c r="W128" s="174" t="str" cm="1">
        <f t="array" aca="1" ref="W128" ca="1">_xlfn.XLOOKUP(Buildings_GridElectricity_Backend[[#This Row],[Level 4]],rng_Level4Long,rng_Level6Long)</f>
        <v>NaN</v>
      </c>
      <c r="X128" s="174">
        <f>Buildings_GridElectricity_Frontend[[#This Row],[Site Name]]</f>
        <v>0</v>
      </c>
      <c r="Y128" s="174">
        <f>Buildings_GridElectricity_Frontend[[#This Row],[Contracting]]</f>
        <v>0</v>
      </c>
      <c r="Z128" s="174">
        <f>Buildings_GridElectricity_Frontend[[#This Row],[Methodology]]</f>
        <v>0</v>
      </c>
      <c r="AA128" s="229" t="str" cm="1">
        <f t="array" ref="AA128">IF(Buildings_GridElectricity_Frontend[[#This Row],[Data]]="","",INDEX(_xlfn.SWITCH(Buildings_GridElectricity_Backend[[#This Row],[Methodology]],"Tier 1",rng_RSD1,"Tier 2",rng_RSD2,"Tier 3",rng_RSD3),MATCH(_xlfn.CONCAT(Buildings_GridElectricity_Backend[[#This Row],[Level 1]:[Level 6]]),rng_LevelsConcat,0)))</f>
        <v/>
      </c>
      <c r="AB128" s="220">
        <f>Buildings_GridElectricity_Frontend[[#This Row],[Data]]</f>
        <v>0</v>
      </c>
      <c r="AC128" s="174" t="str">
        <f>Buildings_GridElectricity_Frontend[[#This Row],[Units]]</f>
        <v>kWh</v>
      </c>
      <c r="AD128" s="218">
        <f>Buildings_GridElectricity_Frontend[[#This Row],[Data]]</f>
        <v>0</v>
      </c>
      <c r="AE128" s="174" t="str">
        <f>Buildings_GridElectricity_Frontend[[#This Row],[Units]]</f>
        <v>kWh</v>
      </c>
      <c r="AF128" s="210" t="str">
        <f>IF(Buildings_GridElectricity_Frontend[[#This Row],[Data]]="","",_xlfn.XLOOKUP(_xlfn.CONCAT(Buildings_GridElectricity_Backend[[#This Row],[Level 1]:[Level 6]]),rng_EFConcat,rng_EF1)*Buildings_GridElectricity_Backend[[#This Row],[Converted data]]/1000)</f>
        <v/>
      </c>
      <c r="AG128" s="210" t="str">
        <f>IF(Buildings_GridElectricity_Frontend[[#This Row],[Data]]="","",_xlfn.XLOOKUP(_xlfn.CONCAT(Buildings_GridElectricity_Backend[[#This Row],[Level 1]:[Level 6]]),rng_EFConcat,rng_EF2)*Buildings_GridElectricity_Backend[[#This Row],[Converted data]]/1000)</f>
        <v/>
      </c>
      <c r="AH128" s="210" t="str">
        <f>IF(Buildings_GridElectricity_Frontend[[#This Row],[Data]]="","",_xlfn.XLOOKUP(_xlfn.CONCAT(Buildings_GridElectricity_Backend[[#This Row],[Level 1]:[Level 6]]),rng_EFConcat,rng_EF3)*Buildings_GridElectricity_Backend[[#This Row],[Converted data]]/1000)</f>
        <v/>
      </c>
      <c r="AI128" s="210" t="str">
        <f>IF(Buildings_GridElectricity_Frontend[[#This Row],[Data]]="","",_xlfn.XLOOKUP(_xlfn.CONCAT(Buildings_GridElectricity_Backend[[#This Row],[Level 1]:[Level 6]]),rng_EFConcat,rng_EF3WTT)*Buildings_GridElectricity_Backend[[#This Row],[Converted data]]/1000)</f>
        <v/>
      </c>
      <c r="AJ128" s="210" t="str">
        <f>IF(Buildings_GridElectricity_Frontend[[#This Row],[Data]]="","",_xlfn.XLOOKUP(_xlfn.CONCAT(Buildings_GridElectricity_Backend[[#This Row],[Level 1]:[Level 6]]),rng_EFConcat,rng_EF3TD)*Buildings_GridElectricity_Backend[[#This Row],[Converted data]]/1000)</f>
        <v/>
      </c>
      <c r="AK128" s="210" t="str">
        <f>IF(Buildings_GridElectricity_Frontend[[#This Row],[Data]]="","",_xlfn.XLOOKUP(_xlfn.CONCAT(Buildings_GridElectricity_Backend[[#This Row],[Level 1]:[Level 6]]),rng_EFConcat,rng_EF3WTTTD)*Buildings_GridElectricity_Backend[[#This Row],[Converted data]]/1000)</f>
        <v/>
      </c>
      <c r="AL128" s="220" t="str">
        <f>IF(Buildings_GridElectricity_Frontend[[#This Row],[Data]]="","",SUM(Buildings_GridElectricity_Backend[[#This Row],[Scope 1 (tCO2e)]:[Scope 3 WTT T&amp;D (tCO2e)]]))</f>
        <v/>
      </c>
      <c r="AM128" s="220" t="str">
        <f>IF(Buildings_GridElectricity_Frontend[[#This Row],[Data]]="","",Buildings_GridElectricity_Backend[[#This Row],[Total (tCO2e)]]*(1-Buildings_GridElectricity_Backend[[#This Row],[RSD]]))</f>
        <v/>
      </c>
      <c r="AN128" s="220" t="str">
        <f>IF(Buildings_GridElectricity_Frontend[[#This Row],[Data]]="","",Buildings_GridElectricity_Backend[[#This Row],[Total (tCO2e)]]*(1+Buildings_GridElectricity_Backend[[#This Row],[RSD]]))</f>
        <v/>
      </c>
      <c r="AO128" s="210" t="str">
        <f>IF(Buildings_GridElectricity_Frontend[[#This Row],[Data]]="","",_xlfn.XLOOKUP(_xlfn.CONCAT(Buildings_GridElectricity_Backend[[#This Row],[Level 1]:[Level 6]]),rng_EFConcat,rng_EFOOS)*Buildings_GridElectricity_Backend[[#This Row],[Converted data]]/1000)</f>
        <v/>
      </c>
      <c r="AP128" s="174">
        <f>Buildings_GridElectricity_Frontend[[#This Row],[Ease of collection]]</f>
        <v>0</v>
      </c>
      <c r="AQ128" s="213">
        <f>Buildings_GridElectricity_Frontend[[#This Row],[Completeness]]</f>
        <v>0</v>
      </c>
      <c r="AR128" s="220">
        <f>Buildings_GridElectricity_Frontend[[#This Row],[Notes]]</f>
        <v>0</v>
      </c>
    </row>
    <row r="129" spans="5:44" x14ac:dyDescent="0.3">
      <c r="E129" s="346"/>
      <c r="F129" s="449"/>
      <c r="G129" s="336"/>
      <c r="H129" s="334"/>
      <c r="I129" s="172" t="s">
        <v>316</v>
      </c>
      <c r="J129" s="337"/>
      <c r="K129" s="336"/>
      <c r="L129" s="336"/>
      <c r="M129" s="337"/>
      <c r="N129" s="242">
        <f t="shared" si="5"/>
        <v>3</v>
      </c>
      <c r="Q129" s="212" t="str">
        <f t="shared" si="4"/>
        <v/>
      </c>
      <c r="R129" s="174" t="s">
        <v>265</v>
      </c>
      <c r="S129" s="174" t="s">
        <v>273</v>
      </c>
      <c r="T129" s="174" t="str">
        <f>_xlfn.XLOOKUP(Buildings_GridElectricity_Backend[[#This Row],[Info 1]],Buildings_SiteInfo[Site name],Buildings_SiteInfo[Site type], "")</f>
        <v/>
      </c>
      <c r="U129" s="174" t="s">
        <v>281</v>
      </c>
      <c r="V129" s="174" t="str" cm="1">
        <f t="array" aca="1" ref="V129" ca="1">_xlfn.XLOOKUP(Buildings_GridElectricity_Backend[[#This Row],[Level 4]],rng_Level4Long,rng_Level5Long)</f>
        <v>Electricity</v>
      </c>
      <c r="W129" s="174" t="str" cm="1">
        <f t="array" aca="1" ref="W129" ca="1">_xlfn.XLOOKUP(Buildings_GridElectricity_Backend[[#This Row],[Level 4]],rng_Level4Long,rng_Level6Long)</f>
        <v>NaN</v>
      </c>
      <c r="X129" s="174">
        <f>Buildings_GridElectricity_Frontend[[#This Row],[Site Name]]</f>
        <v>0</v>
      </c>
      <c r="Y129" s="174">
        <f>Buildings_GridElectricity_Frontend[[#This Row],[Contracting]]</f>
        <v>0</v>
      </c>
      <c r="Z129" s="174">
        <f>Buildings_GridElectricity_Frontend[[#This Row],[Methodology]]</f>
        <v>0</v>
      </c>
      <c r="AA129" s="229" t="str" cm="1">
        <f t="array" ref="AA129">IF(Buildings_GridElectricity_Frontend[[#This Row],[Data]]="","",INDEX(_xlfn.SWITCH(Buildings_GridElectricity_Backend[[#This Row],[Methodology]],"Tier 1",rng_RSD1,"Tier 2",rng_RSD2,"Tier 3",rng_RSD3),MATCH(_xlfn.CONCAT(Buildings_GridElectricity_Backend[[#This Row],[Level 1]:[Level 6]]),rng_LevelsConcat,0)))</f>
        <v/>
      </c>
      <c r="AB129" s="220">
        <f>Buildings_GridElectricity_Frontend[[#This Row],[Data]]</f>
        <v>0</v>
      </c>
      <c r="AC129" s="174" t="str">
        <f>Buildings_GridElectricity_Frontend[[#This Row],[Units]]</f>
        <v>kWh</v>
      </c>
      <c r="AD129" s="218">
        <f>Buildings_GridElectricity_Frontend[[#This Row],[Data]]</f>
        <v>0</v>
      </c>
      <c r="AE129" s="174" t="str">
        <f>Buildings_GridElectricity_Frontend[[#This Row],[Units]]</f>
        <v>kWh</v>
      </c>
      <c r="AF129" s="210" t="str">
        <f>IF(Buildings_GridElectricity_Frontend[[#This Row],[Data]]="","",_xlfn.XLOOKUP(_xlfn.CONCAT(Buildings_GridElectricity_Backend[[#This Row],[Level 1]:[Level 6]]),rng_EFConcat,rng_EF1)*Buildings_GridElectricity_Backend[[#This Row],[Converted data]]/1000)</f>
        <v/>
      </c>
      <c r="AG129" s="210" t="str">
        <f>IF(Buildings_GridElectricity_Frontend[[#This Row],[Data]]="","",_xlfn.XLOOKUP(_xlfn.CONCAT(Buildings_GridElectricity_Backend[[#This Row],[Level 1]:[Level 6]]),rng_EFConcat,rng_EF2)*Buildings_GridElectricity_Backend[[#This Row],[Converted data]]/1000)</f>
        <v/>
      </c>
      <c r="AH129" s="210" t="str">
        <f>IF(Buildings_GridElectricity_Frontend[[#This Row],[Data]]="","",_xlfn.XLOOKUP(_xlfn.CONCAT(Buildings_GridElectricity_Backend[[#This Row],[Level 1]:[Level 6]]),rng_EFConcat,rng_EF3)*Buildings_GridElectricity_Backend[[#This Row],[Converted data]]/1000)</f>
        <v/>
      </c>
      <c r="AI129" s="210" t="str">
        <f>IF(Buildings_GridElectricity_Frontend[[#This Row],[Data]]="","",_xlfn.XLOOKUP(_xlfn.CONCAT(Buildings_GridElectricity_Backend[[#This Row],[Level 1]:[Level 6]]),rng_EFConcat,rng_EF3WTT)*Buildings_GridElectricity_Backend[[#This Row],[Converted data]]/1000)</f>
        <v/>
      </c>
      <c r="AJ129" s="210" t="str">
        <f>IF(Buildings_GridElectricity_Frontend[[#This Row],[Data]]="","",_xlfn.XLOOKUP(_xlfn.CONCAT(Buildings_GridElectricity_Backend[[#This Row],[Level 1]:[Level 6]]),rng_EFConcat,rng_EF3TD)*Buildings_GridElectricity_Backend[[#This Row],[Converted data]]/1000)</f>
        <v/>
      </c>
      <c r="AK129" s="210" t="str">
        <f>IF(Buildings_GridElectricity_Frontend[[#This Row],[Data]]="","",_xlfn.XLOOKUP(_xlfn.CONCAT(Buildings_GridElectricity_Backend[[#This Row],[Level 1]:[Level 6]]),rng_EFConcat,rng_EF3WTTTD)*Buildings_GridElectricity_Backend[[#This Row],[Converted data]]/1000)</f>
        <v/>
      </c>
      <c r="AL129" s="220" t="str">
        <f>IF(Buildings_GridElectricity_Frontend[[#This Row],[Data]]="","",SUM(Buildings_GridElectricity_Backend[[#This Row],[Scope 1 (tCO2e)]:[Scope 3 WTT T&amp;D (tCO2e)]]))</f>
        <v/>
      </c>
      <c r="AM129" s="220" t="str">
        <f>IF(Buildings_GridElectricity_Frontend[[#This Row],[Data]]="","",Buildings_GridElectricity_Backend[[#This Row],[Total (tCO2e)]]*(1-Buildings_GridElectricity_Backend[[#This Row],[RSD]]))</f>
        <v/>
      </c>
      <c r="AN129" s="220" t="str">
        <f>IF(Buildings_GridElectricity_Frontend[[#This Row],[Data]]="","",Buildings_GridElectricity_Backend[[#This Row],[Total (tCO2e)]]*(1+Buildings_GridElectricity_Backend[[#This Row],[RSD]]))</f>
        <v/>
      </c>
      <c r="AO129" s="210" t="str">
        <f>IF(Buildings_GridElectricity_Frontend[[#This Row],[Data]]="","",_xlfn.XLOOKUP(_xlfn.CONCAT(Buildings_GridElectricity_Backend[[#This Row],[Level 1]:[Level 6]]),rng_EFConcat,rng_EFOOS)*Buildings_GridElectricity_Backend[[#This Row],[Converted data]]/1000)</f>
        <v/>
      </c>
      <c r="AP129" s="174">
        <f>Buildings_GridElectricity_Frontend[[#This Row],[Ease of collection]]</f>
        <v>0</v>
      </c>
      <c r="AQ129" s="213">
        <f>Buildings_GridElectricity_Frontend[[#This Row],[Completeness]]</f>
        <v>0</v>
      </c>
      <c r="AR129" s="220">
        <f>Buildings_GridElectricity_Frontend[[#This Row],[Notes]]</f>
        <v>0</v>
      </c>
    </row>
    <row r="130" spans="5:44" x14ac:dyDescent="0.3">
      <c r="E130" s="346"/>
      <c r="F130" s="449"/>
      <c r="G130" s="336"/>
      <c r="H130" s="334"/>
      <c r="I130" s="172" t="s">
        <v>316</v>
      </c>
      <c r="J130" s="337"/>
      <c r="K130" s="336"/>
      <c r="L130" s="336"/>
      <c r="M130" s="337"/>
      <c r="N130" s="242">
        <f t="shared" si="5"/>
        <v>3</v>
      </c>
      <c r="Q130" s="212" t="str">
        <f t="shared" si="4"/>
        <v/>
      </c>
      <c r="R130" s="174" t="s">
        <v>265</v>
      </c>
      <c r="S130" s="174" t="s">
        <v>273</v>
      </c>
      <c r="T130" s="174" t="str">
        <f>_xlfn.XLOOKUP(Buildings_GridElectricity_Backend[[#This Row],[Info 1]],Buildings_SiteInfo[Site name],Buildings_SiteInfo[Site type], "")</f>
        <v/>
      </c>
      <c r="U130" s="174" t="s">
        <v>281</v>
      </c>
      <c r="V130" s="174" t="str" cm="1">
        <f t="array" aca="1" ref="V130" ca="1">_xlfn.XLOOKUP(Buildings_GridElectricity_Backend[[#This Row],[Level 4]],rng_Level4Long,rng_Level5Long)</f>
        <v>Electricity</v>
      </c>
      <c r="W130" s="174" t="str" cm="1">
        <f t="array" aca="1" ref="W130" ca="1">_xlfn.XLOOKUP(Buildings_GridElectricity_Backend[[#This Row],[Level 4]],rng_Level4Long,rng_Level6Long)</f>
        <v>NaN</v>
      </c>
      <c r="X130" s="174">
        <f>Buildings_GridElectricity_Frontend[[#This Row],[Site Name]]</f>
        <v>0</v>
      </c>
      <c r="Y130" s="174">
        <f>Buildings_GridElectricity_Frontend[[#This Row],[Contracting]]</f>
        <v>0</v>
      </c>
      <c r="Z130" s="174">
        <f>Buildings_GridElectricity_Frontend[[#This Row],[Methodology]]</f>
        <v>0</v>
      </c>
      <c r="AA130" s="229" t="str" cm="1">
        <f t="array" ref="AA130">IF(Buildings_GridElectricity_Frontend[[#This Row],[Data]]="","",INDEX(_xlfn.SWITCH(Buildings_GridElectricity_Backend[[#This Row],[Methodology]],"Tier 1",rng_RSD1,"Tier 2",rng_RSD2,"Tier 3",rng_RSD3),MATCH(_xlfn.CONCAT(Buildings_GridElectricity_Backend[[#This Row],[Level 1]:[Level 6]]),rng_LevelsConcat,0)))</f>
        <v/>
      </c>
      <c r="AB130" s="220">
        <f>Buildings_GridElectricity_Frontend[[#This Row],[Data]]</f>
        <v>0</v>
      </c>
      <c r="AC130" s="174" t="str">
        <f>Buildings_GridElectricity_Frontend[[#This Row],[Units]]</f>
        <v>kWh</v>
      </c>
      <c r="AD130" s="218">
        <f>Buildings_GridElectricity_Frontend[[#This Row],[Data]]</f>
        <v>0</v>
      </c>
      <c r="AE130" s="174" t="str">
        <f>Buildings_GridElectricity_Frontend[[#This Row],[Units]]</f>
        <v>kWh</v>
      </c>
      <c r="AF130" s="210" t="str">
        <f>IF(Buildings_GridElectricity_Frontend[[#This Row],[Data]]="","",_xlfn.XLOOKUP(_xlfn.CONCAT(Buildings_GridElectricity_Backend[[#This Row],[Level 1]:[Level 6]]),rng_EFConcat,rng_EF1)*Buildings_GridElectricity_Backend[[#This Row],[Converted data]]/1000)</f>
        <v/>
      </c>
      <c r="AG130" s="210" t="str">
        <f>IF(Buildings_GridElectricity_Frontend[[#This Row],[Data]]="","",_xlfn.XLOOKUP(_xlfn.CONCAT(Buildings_GridElectricity_Backend[[#This Row],[Level 1]:[Level 6]]),rng_EFConcat,rng_EF2)*Buildings_GridElectricity_Backend[[#This Row],[Converted data]]/1000)</f>
        <v/>
      </c>
      <c r="AH130" s="210" t="str">
        <f>IF(Buildings_GridElectricity_Frontend[[#This Row],[Data]]="","",_xlfn.XLOOKUP(_xlfn.CONCAT(Buildings_GridElectricity_Backend[[#This Row],[Level 1]:[Level 6]]),rng_EFConcat,rng_EF3)*Buildings_GridElectricity_Backend[[#This Row],[Converted data]]/1000)</f>
        <v/>
      </c>
      <c r="AI130" s="210" t="str">
        <f>IF(Buildings_GridElectricity_Frontend[[#This Row],[Data]]="","",_xlfn.XLOOKUP(_xlfn.CONCAT(Buildings_GridElectricity_Backend[[#This Row],[Level 1]:[Level 6]]),rng_EFConcat,rng_EF3WTT)*Buildings_GridElectricity_Backend[[#This Row],[Converted data]]/1000)</f>
        <v/>
      </c>
      <c r="AJ130" s="210" t="str">
        <f>IF(Buildings_GridElectricity_Frontend[[#This Row],[Data]]="","",_xlfn.XLOOKUP(_xlfn.CONCAT(Buildings_GridElectricity_Backend[[#This Row],[Level 1]:[Level 6]]),rng_EFConcat,rng_EF3TD)*Buildings_GridElectricity_Backend[[#This Row],[Converted data]]/1000)</f>
        <v/>
      </c>
      <c r="AK130" s="210" t="str">
        <f>IF(Buildings_GridElectricity_Frontend[[#This Row],[Data]]="","",_xlfn.XLOOKUP(_xlfn.CONCAT(Buildings_GridElectricity_Backend[[#This Row],[Level 1]:[Level 6]]),rng_EFConcat,rng_EF3WTTTD)*Buildings_GridElectricity_Backend[[#This Row],[Converted data]]/1000)</f>
        <v/>
      </c>
      <c r="AL130" s="220" t="str">
        <f>IF(Buildings_GridElectricity_Frontend[[#This Row],[Data]]="","",SUM(Buildings_GridElectricity_Backend[[#This Row],[Scope 1 (tCO2e)]:[Scope 3 WTT T&amp;D (tCO2e)]]))</f>
        <v/>
      </c>
      <c r="AM130" s="220" t="str">
        <f>IF(Buildings_GridElectricity_Frontend[[#This Row],[Data]]="","",Buildings_GridElectricity_Backend[[#This Row],[Total (tCO2e)]]*(1-Buildings_GridElectricity_Backend[[#This Row],[RSD]]))</f>
        <v/>
      </c>
      <c r="AN130" s="220" t="str">
        <f>IF(Buildings_GridElectricity_Frontend[[#This Row],[Data]]="","",Buildings_GridElectricity_Backend[[#This Row],[Total (tCO2e)]]*(1+Buildings_GridElectricity_Backend[[#This Row],[RSD]]))</f>
        <v/>
      </c>
      <c r="AO130" s="210" t="str">
        <f>IF(Buildings_GridElectricity_Frontend[[#This Row],[Data]]="","",_xlfn.XLOOKUP(_xlfn.CONCAT(Buildings_GridElectricity_Backend[[#This Row],[Level 1]:[Level 6]]),rng_EFConcat,rng_EFOOS)*Buildings_GridElectricity_Backend[[#This Row],[Converted data]]/1000)</f>
        <v/>
      </c>
      <c r="AP130" s="174">
        <f>Buildings_GridElectricity_Frontend[[#This Row],[Ease of collection]]</f>
        <v>0</v>
      </c>
      <c r="AQ130" s="213">
        <f>Buildings_GridElectricity_Frontend[[#This Row],[Completeness]]</f>
        <v>0</v>
      </c>
      <c r="AR130" s="220">
        <f>Buildings_GridElectricity_Frontend[[#This Row],[Notes]]</f>
        <v>0</v>
      </c>
    </row>
    <row r="131" spans="5:44" x14ac:dyDescent="0.3">
      <c r="E131" s="346"/>
      <c r="F131" s="449"/>
      <c r="G131" s="336"/>
      <c r="H131" s="334"/>
      <c r="I131" s="172" t="s">
        <v>316</v>
      </c>
      <c r="J131" s="337"/>
      <c r="K131" s="336"/>
      <c r="L131" s="336"/>
      <c r="M131" s="337"/>
      <c r="N131" s="242">
        <f t="shared" si="5"/>
        <v>3</v>
      </c>
      <c r="Q131" s="212" t="str">
        <f t="shared" si="4"/>
        <v/>
      </c>
      <c r="R131" s="174" t="s">
        <v>265</v>
      </c>
      <c r="S131" s="174" t="s">
        <v>273</v>
      </c>
      <c r="T131" s="174" t="str">
        <f>_xlfn.XLOOKUP(Buildings_GridElectricity_Backend[[#This Row],[Info 1]],Buildings_SiteInfo[Site name],Buildings_SiteInfo[Site type], "")</f>
        <v/>
      </c>
      <c r="U131" s="174" t="s">
        <v>281</v>
      </c>
      <c r="V131" s="174" t="str" cm="1">
        <f t="array" aca="1" ref="V131" ca="1">_xlfn.XLOOKUP(Buildings_GridElectricity_Backend[[#This Row],[Level 4]],rng_Level4Long,rng_Level5Long)</f>
        <v>Electricity</v>
      </c>
      <c r="W131" s="174" t="str" cm="1">
        <f t="array" aca="1" ref="W131" ca="1">_xlfn.XLOOKUP(Buildings_GridElectricity_Backend[[#This Row],[Level 4]],rng_Level4Long,rng_Level6Long)</f>
        <v>NaN</v>
      </c>
      <c r="X131" s="174">
        <f>Buildings_GridElectricity_Frontend[[#This Row],[Site Name]]</f>
        <v>0</v>
      </c>
      <c r="Y131" s="174">
        <f>Buildings_GridElectricity_Frontend[[#This Row],[Contracting]]</f>
        <v>0</v>
      </c>
      <c r="Z131" s="174">
        <f>Buildings_GridElectricity_Frontend[[#This Row],[Methodology]]</f>
        <v>0</v>
      </c>
      <c r="AA131" s="229" t="str" cm="1">
        <f t="array" ref="AA131">IF(Buildings_GridElectricity_Frontend[[#This Row],[Data]]="","",INDEX(_xlfn.SWITCH(Buildings_GridElectricity_Backend[[#This Row],[Methodology]],"Tier 1",rng_RSD1,"Tier 2",rng_RSD2,"Tier 3",rng_RSD3),MATCH(_xlfn.CONCAT(Buildings_GridElectricity_Backend[[#This Row],[Level 1]:[Level 6]]),rng_LevelsConcat,0)))</f>
        <v/>
      </c>
      <c r="AB131" s="220">
        <f>Buildings_GridElectricity_Frontend[[#This Row],[Data]]</f>
        <v>0</v>
      </c>
      <c r="AC131" s="174" t="str">
        <f>Buildings_GridElectricity_Frontend[[#This Row],[Units]]</f>
        <v>kWh</v>
      </c>
      <c r="AD131" s="218">
        <f>Buildings_GridElectricity_Frontend[[#This Row],[Data]]</f>
        <v>0</v>
      </c>
      <c r="AE131" s="174" t="str">
        <f>Buildings_GridElectricity_Frontend[[#This Row],[Units]]</f>
        <v>kWh</v>
      </c>
      <c r="AF131" s="210" t="str">
        <f>IF(Buildings_GridElectricity_Frontend[[#This Row],[Data]]="","",_xlfn.XLOOKUP(_xlfn.CONCAT(Buildings_GridElectricity_Backend[[#This Row],[Level 1]:[Level 6]]),rng_EFConcat,rng_EF1)*Buildings_GridElectricity_Backend[[#This Row],[Converted data]]/1000)</f>
        <v/>
      </c>
      <c r="AG131" s="210" t="str">
        <f>IF(Buildings_GridElectricity_Frontend[[#This Row],[Data]]="","",_xlfn.XLOOKUP(_xlfn.CONCAT(Buildings_GridElectricity_Backend[[#This Row],[Level 1]:[Level 6]]),rng_EFConcat,rng_EF2)*Buildings_GridElectricity_Backend[[#This Row],[Converted data]]/1000)</f>
        <v/>
      </c>
      <c r="AH131" s="210" t="str">
        <f>IF(Buildings_GridElectricity_Frontend[[#This Row],[Data]]="","",_xlfn.XLOOKUP(_xlfn.CONCAT(Buildings_GridElectricity_Backend[[#This Row],[Level 1]:[Level 6]]),rng_EFConcat,rng_EF3)*Buildings_GridElectricity_Backend[[#This Row],[Converted data]]/1000)</f>
        <v/>
      </c>
      <c r="AI131" s="210" t="str">
        <f>IF(Buildings_GridElectricity_Frontend[[#This Row],[Data]]="","",_xlfn.XLOOKUP(_xlfn.CONCAT(Buildings_GridElectricity_Backend[[#This Row],[Level 1]:[Level 6]]),rng_EFConcat,rng_EF3WTT)*Buildings_GridElectricity_Backend[[#This Row],[Converted data]]/1000)</f>
        <v/>
      </c>
      <c r="AJ131" s="210" t="str">
        <f>IF(Buildings_GridElectricity_Frontend[[#This Row],[Data]]="","",_xlfn.XLOOKUP(_xlfn.CONCAT(Buildings_GridElectricity_Backend[[#This Row],[Level 1]:[Level 6]]),rng_EFConcat,rng_EF3TD)*Buildings_GridElectricity_Backend[[#This Row],[Converted data]]/1000)</f>
        <v/>
      </c>
      <c r="AK131" s="210" t="str">
        <f>IF(Buildings_GridElectricity_Frontend[[#This Row],[Data]]="","",_xlfn.XLOOKUP(_xlfn.CONCAT(Buildings_GridElectricity_Backend[[#This Row],[Level 1]:[Level 6]]),rng_EFConcat,rng_EF3WTTTD)*Buildings_GridElectricity_Backend[[#This Row],[Converted data]]/1000)</f>
        <v/>
      </c>
      <c r="AL131" s="220" t="str">
        <f>IF(Buildings_GridElectricity_Frontend[[#This Row],[Data]]="","",SUM(Buildings_GridElectricity_Backend[[#This Row],[Scope 1 (tCO2e)]:[Scope 3 WTT T&amp;D (tCO2e)]]))</f>
        <v/>
      </c>
      <c r="AM131" s="220" t="str">
        <f>IF(Buildings_GridElectricity_Frontend[[#This Row],[Data]]="","",Buildings_GridElectricity_Backend[[#This Row],[Total (tCO2e)]]*(1-Buildings_GridElectricity_Backend[[#This Row],[RSD]]))</f>
        <v/>
      </c>
      <c r="AN131" s="220" t="str">
        <f>IF(Buildings_GridElectricity_Frontend[[#This Row],[Data]]="","",Buildings_GridElectricity_Backend[[#This Row],[Total (tCO2e)]]*(1+Buildings_GridElectricity_Backend[[#This Row],[RSD]]))</f>
        <v/>
      </c>
      <c r="AO131" s="210" t="str">
        <f>IF(Buildings_GridElectricity_Frontend[[#This Row],[Data]]="","",_xlfn.XLOOKUP(_xlfn.CONCAT(Buildings_GridElectricity_Backend[[#This Row],[Level 1]:[Level 6]]),rng_EFConcat,rng_EFOOS)*Buildings_GridElectricity_Backend[[#This Row],[Converted data]]/1000)</f>
        <v/>
      </c>
      <c r="AP131" s="174">
        <f>Buildings_GridElectricity_Frontend[[#This Row],[Ease of collection]]</f>
        <v>0</v>
      </c>
      <c r="AQ131" s="213">
        <f>Buildings_GridElectricity_Frontend[[#This Row],[Completeness]]</f>
        <v>0</v>
      </c>
      <c r="AR131" s="220">
        <f>Buildings_GridElectricity_Frontend[[#This Row],[Notes]]</f>
        <v>0</v>
      </c>
    </row>
    <row r="132" spans="5:44" x14ac:dyDescent="0.3">
      <c r="E132" s="346"/>
      <c r="F132" s="449"/>
      <c r="G132" s="336"/>
      <c r="H132" s="334"/>
      <c r="I132" s="172" t="s">
        <v>316</v>
      </c>
      <c r="J132" s="337"/>
      <c r="K132" s="336"/>
      <c r="L132" s="336"/>
      <c r="M132" s="337"/>
      <c r="N132" s="242">
        <f t="shared" si="5"/>
        <v>3</v>
      </c>
      <c r="Q132" s="212" t="str">
        <f t="shared" si="4"/>
        <v/>
      </c>
      <c r="R132" s="174" t="s">
        <v>265</v>
      </c>
      <c r="S132" s="174" t="s">
        <v>273</v>
      </c>
      <c r="T132" s="174" t="str">
        <f>_xlfn.XLOOKUP(Buildings_GridElectricity_Backend[[#This Row],[Info 1]],Buildings_SiteInfo[Site name],Buildings_SiteInfo[Site type], "")</f>
        <v/>
      </c>
      <c r="U132" s="174" t="s">
        <v>281</v>
      </c>
      <c r="V132" s="174" t="str" cm="1">
        <f t="array" aca="1" ref="V132" ca="1">_xlfn.XLOOKUP(Buildings_GridElectricity_Backend[[#This Row],[Level 4]],rng_Level4Long,rng_Level5Long)</f>
        <v>Electricity</v>
      </c>
      <c r="W132" s="174" t="str" cm="1">
        <f t="array" aca="1" ref="W132" ca="1">_xlfn.XLOOKUP(Buildings_GridElectricity_Backend[[#This Row],[Level 4]],rng_Level4Long,rng_Level6Long)</f>
        <v>NaN</v>
      </c>
      <c r="X132" s="174">
        <f>Buildings_GridElectricity_Frontend[[#This Row],[Site Name]]</f>
        <v>0</v>
      </c>
      <c r="Y132" s="174">
        <f>Buildings_GridElectricity_Frontend[[#This Row],[Contracting]]</f>
        <v>0</v>
      </c>
      <c r="Z132" s="174">
        <f>Buildings_GridElectricity_Frontend[[#This Row],[Methodology]]</f>
        <v>0</v>
      </c>
      <c r="AA132" s="229" t="str" cm="1">
        <f t="array" ref="AA132">IF(Buildings_GridElectricity_Frontend[[#This Row],[Data]]="","",INDEX(_xlfn.SWITCH(Buildings_GridElectricity_Backend[[#This Row],[Methodology]],"Tier 1",rng_RSD1,"Tier 2",rng_RSD2,"Tier 3",rng_RSD3),MATCH(_xlfn.CONCAT(Buildings_GridElectricity_Backend[[#This Row],[Level 1]:[Level 6]]),rng_LevelsConcat,0)))</f>
        <v/>
      </c>
      <c r="AB132" s="220">
        <f>Buildings_GridElectricity_Frontend[[#This Row],[Data]]</f>
        <v>0</v>
      </c>
      <c r="AC132" s="174" t="str">
        <f>Buildings_GridElectricity_Frontend[[#This Row],[Units]]</f>
        <v>kWh</v>
      </c>
      <c r="AD132" s="218">
        <f>Buildings_GridElectricity_Frontend[[#This Row],[Data]]</f>
        <v>0</v>
      </c>
      <c r="AE132" s="174" t="str">
        <f>Buildings_GridElectricity_Frontend[[#This Row],[Units]]</f>
        <v>kWh</v>
      </c>
      <c r="AF132" s="210" t="str">
        <f>IF(Buildings_GridElectricity_Frontend[[#This Row],[Data]]="","",_xlfn.XLOOKUP(_xlfn.CONCAT(Buildings_GridElectricity_Backend[[#This Row],[Level 1]:[Level 6]]),rng_EFConcat,rng_EF1)*Buildings_GridElectricity_Backend[[#This Row],[Converted data]]/1000)</f>
        <v/>
      </c>
      <c r="AG132" s="210" t="str">
        <f>IF(Buildings_GridElectricity_Frontend[[#This Row],[Data]]="","",_xlfn.XLOOKUP(_xlfn.CONCAT(Buildings_GridElectricity_Backend[[#This Row],[Level 1]:[Level 6]]),rng_EFConcat,rng_EF2)*Buildings_GridElectricity_Backend[[#This Row],[Converted data]]/1000)</f>
        <v/>
      </c>
      <c r="AH132" s="210" t="str">
        <f>IF(Buildings_GridElectricity_Frontend[[#This Row],[Data]]="","",_xlfn.XLOOKUP(_xlfn.CONCAT(Buildings_GridElectricity_Backend[[#This Row],[Level 1]:[Level 6]]),rng_EFConcat,rng_EF3)*Buildings_GridElectricity_Backend[[#This Row],[Converted data]]/1000)</f>
        <v/>
      </c>
      <c r="AI132" s="210" t="str">
        <f>IF(Buildings_GridElectricity_Frontend[[#This Row],[Data]]="","",_xlfn.XLOOKUP(_xlfn.CONCAT(Buildings_GridElectricity_Backend[[#This Row],[Level 1]:[Level 6]]),rng_EFConcat,rng_EF3WTT)*Buildings_GridElectricity_Backend[[#This Row],[Converted data]]/1000)</f>
        <v/>
      </c>
      <c r="AJ132" s="210" t="str">
        <f>IF(Buildings_GridElectricity_Frontend[[#This Row],[Data]]="","",_xlfn.XLOOKUP(_xlfn.CONCAT(Buildings_GridElectricity_Backend[[#This Row],[Level 1]:[Level 6]]),rng_EFConcat,rng_EF3TD)*Buildings_GridElectricity_Backend[[#This Row],[Converted data]]/1000)</f>
        <v/>
      </c>
      <c r="AK132" s="210" t="str">
        <f>IF(Buildings_GridElectricity_Frontend[[#This Row],[Data]]="","",_xlfn.XLOOKUP(_xlfn.CONCAT(Buildings_GridElectricity_Backend[[#This Row],[Level 1]:[Level 6]]),rng_EFConcat,rng_EF3WTTTD)*Buildings_GridElectricity_Backend[[#This Row],[Converted data]]/1000)</f>
        <v/>
      </c>
      <c r="AL132" s="220" t="str">
        <f>IF(Buildings_GridElectricity_Frontend[[#This Row],[Data]]="","",SUM(Buildings_GridElectricity_Backend[[#This Row],[Scope 1 (tCO2e)]:[Scope 3 WTT T&amp;D (tCO2e)]]))</f>
        <v/>
      </c>
      <c r="AM132" s="220" t="str">
        <f>IF(Buildings_GridElectricity_Frontend[[#This Row],[Data]]="","",Buildings_GridElectricity_Backend[[#This Row],[Total (tCO2e)]]*(1-Buildings_GridElectricity_Backend[[#This Row],[RSD]]))</f>
        <v/>
      </c>
      <c r="AN132" s="220" t="str">
        <f>IF(Buildings_GridElectricity_Frontend[[#This Row],[Data]]="","",Buildings_GridElectricity_Backend[[#This Row],[Total (tCO2e)]]*(1+Buildings_GridElectricity_Backend[[#This Row],[RSD]]))</f>
        <v/>
      </c>
      <c r="AO132" s="210" t="str">
        <f>IF(Buildings_GridElectricity_Frontend[[#This Row],[Data]]="","",_xlfn.XLOOKUP(_xlfn.CONCAT(Buildings_GridElectricity_Backend[[#This Row],[Level 1]:[Level 6]]),rng_EFConcat,rng_EFOOS)*Buildings_GridElectricity_Backend[[#This Row],[Converted data]]/1000)</f>
        <v/>
      </c>
      <c r="AP132" s="174">
        <f>Buildings_GridElectricity_Frontend[[#This Row],[Ease of collection]]</f>
        <v>0</v>
      </c>
      <c r="AQ132" s="213">
        <f>Buildings_GridElectricity_Frontend[[#This Row],[Completeness]]</f>
        <v>0</v>
      </c>
      <c r="AR132" s="220">
        <f>Buildings_GridElectricity_Frontend[[#This Row],[Notes]]</f>
        <v>0</v>
      </c>
    </row>
    <row r="133" spans="5:44" x14ac:dyDescent="0.3">
      <c r="E133" s="346"/>
      <c r="F133" s="449"/>
      <c r="G133" s="336"/>
      <c r="H133" s="334"/>
      <c r="I133" s="172" t="s">
        <v>316</v>
      </c>
      <c r="J133" s="337"/>
      <c r="K133" s="336"/>
      <c r="L133" s="336"/>
      <c r="M133" s="337"/>
      <c r="N133" s="242">
        <f t="shared" si="5"/>
        <v>3</v>
      </c>
      <c r="Q133" s="212" t="str">
        <f t="shared" si="4"/>
        <v/>
      </c>
      <c r="R133" s="174" t="s">
        <v>265</v>
      </c>
      <c r="S133" s="174" t="s">
        <v>273</v>
      </c>
      <c r="T133" s="174" t="str">
        <f>_xlfn.XLOOKUP(Buildings_GridElectricity_Backend[[#This Row],[Info 1]],Buildings_SiteInfo[Site name],Buildings_SiteInfo[Site type], "")</f>
        <v/>
      </c>
      <c r="U133" s="174" t="s">
        <v>281</v>
      </c>
      <c r="V133" s="174" t="str" cm="1">
        <f t="array" aca="1" ref="V133" ca="1">_xlfn.XLOOKUP(Buildings_GridElectricity_Backend[[#This Row],[Level 4]],rng_Level4Long,rng_Level5Long)</f>
        <v>Electricity</v>
      </c>
      <c r="W133" s="174" t="str" cm="1">
        <f t="array" aca="1" ref="W133" ca="1">_xlfn.XLOOKUP(Buildings_GridElectricity_Backend[[#This Row],[Level 4]],rng_Level4Long,rng_Level6Long)</f>
        <v>NaN</v>
      </c>
      <c r="X133" s="174">
        <f>Buildings_GridElectricity_Frontend[[#This Row],[Site Name]]</f>
        <v>0</v>
      </c>
      <c r="Y133" s="174">
        <f>Buildings_GridElectricity_Frontend[[#This Row],[Contracting]]</f>
        <v>0</v>
      </c>
      <c r="Z133" s="174">
        <f>Buildings_GridElectricity_Frontend[[#This Row],[Methodology]]</f>
        <v>0</v>
      </c>
      <c r="AA133" s="229" t="str" cm="1">
        <f t="array" ref="AA133">IF(Buildings_GridElectricity_Frontend[[#This Row],[Data]]="","",INDEX(_xlfn.SWITCH(Buildings_GridElectricity_Backend[[#This Row],[Methodology]],"Tier 1",rng_RSD1,"Tier 2",rng_RSD2,"Tier 3",rng_RSD3),MATCH(_xlfn.CONCAT(Buildings_GridElectricity_Backend[[#This Row],[Level 1]:[Level 6]]),rng_LevelsConcat,0)))</f>
        <v/>
      </c>
      <c r="AB133" s="220">
        <f>Buildings_GridElectricity_Frontend[[#This Row],[Data]]</f>
        <v>0</v>
      </c>
      <c r="AC133" s="174" t="str">
        <f>Buildings_GridElectricity_Frontend[[#This Row],[Units]]</f>
        <v>kWh</v>
      </c>
      <c r="AD133" s="218">
        <f>Buildings_GridElectricity_Frontend[[#This Row],[Data]]</f>
        <v>0</v>
      </c>
      <c r="AE133" s="174" t="str">
        <f>Buildings_GridElectricity_Frontend[[#This Row],[Units]]</f>
        <v>kWh</v>
      </c>
      <c r="AF133" s="210" t="str">
        <f>IF(Buildings_GridElectricity_Frontend[[#This Row],[Data]]="","",_xlfn.XLOOKUP(_xlfn.CONCAT(Buildings_GridElectricity_Backend[[#This Row],[Level 1]:[Level 6]]),rng_EFConcat,rng_EF1)*Buildings_GridElectricity_Backend[[#This Row],[Converted data]]/1000)</f>
        <v/>
      </c>
      <c r="AG133" s="210" t="str">
        <f>IF(Buildings_GridElectricity_Frontend[[#This Row],[Data]]="","",_xlfn.XLOOKUP(_xlfn.CONCAT(Buildings_GridElectricity_Backend[[#This Row],[Level 1]:[Level 6]]),rng_EFConcat,rng_EF2)*Buildings_GridElectricity_Backend[[#This Row],[Converted data]]/1000)</f>
        <v/>
      </c>
      <c r="AH133" s="210" t="str">
        <f>IF(Buildings_GridElectricity_Frontend[[#This Row],[Data]]="","",_xlfn.XLOOKUP(_xlfn.CONCAT(Buildings_GridElectricity_Backend[[#This Row],[Level 1]:[Level 6]]),rng_EFConcat,rng_EF3)*Buildings_GridElectricity_Backend[[#This Row],[Converted data]]/1000)</f>
        <v/>
      </c>
      <c r="AI133" s="210" t="str">
        <f>IF(Buildings_GridElectricity_Frontend[[#This Row],[Data]]="","",_xlfn.XLOOKUP(_xlfn.CONCAT(Buildings_GridElectricity_Backend[[#This Row],[Level 1]:[Level 6]]),rng_EFConcat,rng_EF3WTT)*Buildings_GridElectricity_Backend[[#This Row],[Converted data]]/1000)</f>
        <v/>
      </c>
      <c r="AJ133" s="210" t="str">
        <f>IF(Buildings_GridElectricity_Frontend[[#This Row],[Data]]="","",_xlfn.XLOOKUP(_xlfn.CONCAT(Buildings_GridElectricity_Backend[[#This Row],[Level 1]:[Level 6]]),rng_EFConcat,rng_EF3TD)*Buildings_GridElectricity_Backend[[#This Row],[Converted data]]/1000)</f>
        <v/>
      </c>
      <c r="AK133" s="210" t="str">
        <f>IF(Buildings_GridElectricity_Frontend[[#This Row],[Data]]="","",_xlfn.XLOOKUP(_xlfn.CONCAT(Buildings_GridElectricity_Backend[[#This Row],[Level 1]:[Level 6]]),rng_EFConcat,rng_EF3WTTTD)*Buildings_GridElectricity_Backend[[#This Row],[Converted data]]/1000)</f>
        <v/>
      </c>
      <c r="AL133" s="220" t="str">
        <f>IF(Buildings_GridElectricity_Frontend[[#This Row],[Data]]="","",SUM(Buildings_GridElectricity_Backend[[#This Row],[Scope 1 (tCO2e)]:[Scope 3 WTT T&amp;D (tCO2e)]]))</f>
        <v/>
      </c>
      <c r="AM133" s="220" t="str">
        <f>IF(Buildings_GridElectricity_Frontend[[#This Row],[Data]]="","",Buildings_GridElectricity_Backend[[#This Row],[Total (tCO2e)]]*(1-Buildings_GridElectricity_Backend[[#This Row],[RSD]]))</f>
        <v/>
      </c>
      <c r="AN133" s="220" t="str">
        <f>IF(Buildings_GridElectricity_Frontend[[#This Row],[Data]]="","",Buildings_GridElectricity_Backend[[#This Row],[Total (tCO2e)]]*(1+Buildings_GridElectricity_Backend[[#This Row],[RSD]]))</f>
        <v/>
      </c>
      <c r="AO133" s="210" t="str">
        <f>IF(Buildings_GridElectricity_Frontend[[#This Row],[Data]]="","",_xlfn.XLOOKUP(_xlfn.CONCAT(Buildings_GridElectricity_Backend[[#This Row],[Level 1]:[Level 6]]),rng_EFConcat,rng_EFOOS)*Buildings_GridElectricity_Backend[[#This Row],[Converted data]]/1000)</f>
        <v/>
      </c>
      <c r="AP133" s="174">
        <f>Buildings_GridElectricity_Frontend[[#This Row],[Ease of collection]]</f>
        <v>0</v>
      </c>
      <c r="AQ133" s="213">
        <f>Buildings_GridElectricity_Frontend[[#This Row],[Completeness]]</f>
        <v>0</v>
      </c>
      <c r="AR133" s="220">
        <f>Buildings_GridElectricity_Frontend[[#This Row],[Notes]]</f>
        <v>0</v>
      </c>
    </row>
    <row r="134" spans="5:44" x14ac:dyDescent="0.3">
      <c r="E134" s="346"/>
      <c r="F134" s="449"/>
      <c r="G134" s="336"/>
      <c r="H134" s="334"/>
      <c r="I134" s="172" t="s">
        <v>316</v>
      </c>
      <c r="J134" s="337"/>
      <c r="K134" s="336"/>
      <c r="L134" s="336"/>
      <c r="M134" s="337"/>
      <c r="N134" s="242">
        <f t="shared" si="5"/>
        <v>3</v>
      </c>
      <c r="Q134" s="212" t="str">
        <f t="shared" si="4"/>
        <v/>
      </c>
      <c r="R134" s="174" t="s">
        <v>265</v>
      </c>
      <c r="S134" s="174" t="s">
        <v>273</v>
      </c>
      <c r="T134" s="174" t="str">
        <f>_xlfn.XLOOKUP(Buildings_GridElectricity_Backend[[#This Row],[Info 1]],Buildings_SiteInfo[Site name],Buildings_SiteInfo[Site type], "")</f>
        <v/>
      </c>
      <c r="U134" s="174" t="s">
        <v>281</v>
      </c>
      <c r="V134" s="174" t="str" cm="1">
        <f t="array" aca="1" ref="V134" ca="1">_xlfn.XLOOKUP(Buildings_GridElectricity_Backend[[#This Row],[Level 4]],rng_Level4Long,rng_Level5Long)</f>
        <v>Electricity</v>
      </c>
      <c r="W134" s="174" t="str" cm="1">
        <f t="array" aca="1" ref="W134" ca="1">_xlfn.XLOOKUP(Buildings_GridElectricity_Backend[[#This Row],[Level 4]],rng_Level4Long,rng_Level6Long)</f>
        <v>NaN</v>
      </c>
      <c r="X134" s="174">
        <f>Buildings_GridElectricity_Frontend[[#This Row],[Site Name]]</f>
        <v>0</v>
      </c>
      <c r="Y134" s="174">
        <f>Buildings_GridElectricity_Frontend[[#This Row],[Contracting]]</f>
        <v>0</v>
      </c>
      <c r="Z134" s="174">
        <f>Buildings_GridElectricity_Frontend[[#This Row],[Methodology]]</f>
        <v>0</v>
      </c>
      <c r="AA134" s="229" t="str" cm="1">
        <f t="array" ref="AA134">IF(Buildings_GridElectricity_Frontend[[#This Row],[Data]]="","",INDEX(_xlfn.SWITCH(Buildings_GridElectricity_Backend[[#This Row],[Methodology]],"Tier 1",rng_RSD1,"Tier 2",rng_RSD2,"Tier 3",rng_RSD3),MATCH(_xlfn.CONCAT(Buildings_GridElectricity_Backend[[#This Row],[Level 1]:[Level 6]]),rng_LevelsConcat,0)))</f>
        <v/>
      </c>
      <c r="AB134" s="220">
        <f>Buildings_GridElectricity_Frontend[[#This Row],[Data]]</f>
        <v>0</v>
      </c>
      <c r="AC134" s="174" t="str">
        <f>Buildings_GridElectricity_Frontend[[#This Row],[Units]]</f>
        <v>kWh</v>
      </c>
      <c r="AD134" s="218">
        <f>Buildings_GridElectricity_Frontend[[#This Row],[Data]]</f>
        <v>0</v>
      </c>
      <c r="AE134" s="174" t="str">
        <f>Buildings_GridElectricity_Frontend[[#This Row],[Units]]</f>
        <v>kWh</v>
      </c>
      <c r="AF134" s="210" t="str">
        <f>IF(Buildings_GridElectricity_Frontend[[#This Row],[Data]]="","",_xlfn.XLOOKUP(_xlfn.CONCAT(Buildings_GridElectricity_Backend[[#This Row],[Level 1]:[Level 6]]),rng_EFConcat,rng_EF1)*Buildings_GridElectricity_Backend[[#This Row],[Converted data]]/1000)</f>
        <v/>
      </c>
      <c r="AG134" s="210" t="str">
        <f>IF(Buildings_GridElectricity_Frontend[[#This Row],[Data]]="","",_xlfn.XLOOKUP(_xlfn.CONCAT(Buildings_GridElectricity_Backend[[#This Row],[Level 1]:[Level 6]]),rng_EFConcat,rng_EF2)*Buildings_GridElectricity_Backend[[#This Row],[Converted data]]/1000)</f>
        <v/>
      </c>
      <c r="AH134" s="210" t="str">
        <f>IF(Buildings_GridElectricity_Frontend[[#This Row],[Data]]="","",_xlfn.XLOOKUP(_xlfn.CONCAT(Buildings_GridElectricity_Backend[[#This Row],[Level 1]:[Level 6]]),rng_EFConcat,rng_EF3)*Buildings_GridElectricity_Backend[[#This Row],[Converted data]]/1000)</f>
        <v/>
      </c>
      <c r="AI134" s="210" t="str">
        <f>IF(Buildings_GridElectricity_Frontend[[#This Row],[Data]]="","",_xlfn.XLOOKUP(_xlfn.CONCAT(Buildings_GridElectricity_Backend[[#This Row],[Level 1]:[Level 6]]),rng_EFConcat,rng_EF3WTT)*Buildings_GridElectricity_Backend[[#This Row],[Converted data]]/1000)</f>
        <v/>
      </c>
      <c r="AJ134" s="210" t="str">
        <f>IF(Buildings_GridElectricity_Frontend[[#This Row],[Data]]="","",_xlfn.XLOOKUP(_xlfn.CONCAT(Buildings_GridElectricity_Backend[[#This Row],[Level 1]:[Level 6]]),rng_EFConcat,rng_EF3TD)*Buildings_GridElectricity_Backend[[#This Row],[Converted data]]/1000)</f>
        <v/>
      </c>
      <c r="AK134" s="210" t="str">
        <f>IF(Buildings_GridElectricity_Frontend[[#This Row],[Data]]="","",_xlfn.XLOOKUP(_xlfn.CONCAT(Buildings_GridElectricity_Backend[[#This Row],[Level 1]:[Level 6]]),rng_EFConcat,rng_EF3WTTTD)*Buildings_GridElectricity_Backend[[#This Row],[Converted data]]/1000)</f>
        <v/>
      </c>
      <c r="AL134" s="220" t="str">
        <f>IF(Buildings_GridElectricity_Frontend[[#This Row],[Data]]="","",SUM(Buildings_GridElectricity_Backend[[#This Row],[Scope 1 (tCO2e)]:[Scope 3 WTT T&amp;D (tCO2e)]]))</f>
        <v/>
      </c>
      <c r="AM134" s="220" t="str">
        <f>IF(Buildings_GridElectricity_Frontend[[#This Row],[Data]]="","",Buildings_GridElectricity_Backend[[#This Row],[Total (tCO2e)]]*(1-Buildings_GridElectricity_Backend[[#This Row],[RSD]]))</f>
        <v/>
      </c>
      <c r="AN134" s="220" t="str">
        <f>IF(Buildings_GridElectricity_Frontend[[#This Row],[Data]]="","",Buildings_GridElectricity_Backend[[#This Row],[Total (tCO2e)]]*(1+Buildings_GridElectricity_Backend[[#This Row],[RSD]]))</f>
        <v/>
      </c>
      <c r="AO134" s="210" t="str">
        <f>IF(Buildings_GridElectricity_Frontend[[#This Row],[Data]]="","",_xlfn.XLOOKUP(_xlfn.CONCAT(Buildings_GridElectricity_Backend[[#This Row],[Level 1]:[Level 6]]),rng_EFConcat,rng_EFOOS)*Buildings_GridElectricity_Backend[[#This Row],[Converted data]]/1000)</f>
        <v/>
      </c>
      <c r="AP134" s="174">
        <f>Buildings_GridElectricity_Frontend[[#This Row],[Ease of collection]]</f>
        <v>0</v>
      </c>
      <c r="AQ134" s="213">
        <f>Buildings_GridElectricity_Frontend[[#This Row],[Completeness]]</f>
        <v>0</v>
      </c>
      <c r="AR134" s="220">
        <f>Buildings_GridElectricity_Frontend[[#This Row],[Notes]]</f>
        <v>0</v>
      </c>
    </row>
    <row r="135" spans="5:44" x14ac:dyDescent="0.3">
      <c r="E135" s="346"/>
      <c r="F135" s="449"/>
      <c r="G135" s="336"/>
      <c r="H135" s="334"/>
      <c r="I135" s="172" t="s">
        <v>316</v>
      </c>
      <c r="J135" s="337"/>
      <c r="K135" s="336"/>
      <c r="L135" s="336"/>
      <c r="M135" s="337"/>
      <c r="N135" s="242">
        <f t="shared" si="5"/>
        <v>3</v>
      </c>
      <c r="Q135" s="212" t="str">
        <f t="shared" si="4"/>
        <v/>
      </c>
      <c r="R135" s="174" t="s">
        <v>265</v>
      </c>
      <c r="S135" s="174" t="s">
        <v>273</v>
      </c>
      <c r="T135" s="174" t="str">
        <f>_xlfn.XLOOKUP(Buildings_GridElectricity_Backend[[#This Row],[Info 1]],Buildings_SiteInfo[Site name],Buildings_SiteInfo[Site type], "")</f>
        <v/>
      </c>
      <c r="U135" s="174" t="s">
        <v>281</v>
      </c>
      <c r="V135" s="174" t="str" cm="1">
        <f t="array" aca="1" ref="V135" ca="1">_xlfn.XLOOKUP(Buildings_GridElectricity_Backend[[#This Row],[Level 4]],rng_Level4Long,rng_Level5Long)</f>
        <v>Electricity</v>
      </c>
      <c r="W135" s="174" t="str" cm="1">
        <f t="array" aca="1" ref="W135" ca="1">_xlfn.XLOOKUP(Buildings_GridElectricity_Backend[[#This Row],[Level 4]],rng_Level4Long,rng_Level6Long)</f>
        <v>NaN</v>
      </c>
      <c r="X135" s="174">
        <f>Buildings_GridElectricity_Frontend[[#This Row],[Site Name]]</f>
        <v>0</v>
      </c>
      <c r="Y135" s="174">
        <f>Buildings_GridElectricity_Frontend[[#This Row],[Contracting]]</f>
        <v>0</v>
      </c>
      <c r="Z135" s="174">
        <f>Buildings_GridElectricity_Frontend[[#This Row],[Methodology]]</f>
        <v>0</v>
      </c>
      <c r="AA135" s="229" t="str" cm="1">
        <f t="array" ref="AA135">IF(Buildings_GridElectricity_Frontend[[#This Row],[Data]]="","",INDEX(_xlfn.SWITCH(Buildings_GridElectricity_Backend[[#This Row],[Methodology]],"Tier 1",rng_RSD1,"Tier 2",rng_RSD2,"Tier 3",rng_RSD3),MATCH(_xlfn.CONCAT(Buildings_GridElectricity_Backend[[#This Row],[Level 1]:[Level 6]]),rng_LevelsConcat,0)))</f>
        <v/>
      </c>
      <c r="AB135" s="220">
        <f>Buildings_GridElectricity_Frontend[[#This Row],[Data]]</f>
        <v>0</v>
      </c>
      <c r="AC135" s="174" t="str">
        <f>Buildings_GridElectricity_Frontend[[#This Row],[Units]]</f>
        <v>kWh</v>
      </c>
      <c r="AD135" s="218">
        <f>Buildings_GridElectricity_Frontend[[#This Row],[Data]]</f>
        <v>0</v>
      </c>
      <c r="AE135" s="174" t="str">
        <f>Buildings_GridElectricity_Frontend[[#This Row],[Units]]</f>
        <v>kWh</v>
      </c>
      <c r="AF135" s="210" t="str">
        <f>IF(Buildings_GridElectricity_Frontend[[#This Row],[Data]]="","",_xlfn.XLOOKUP(_xlfn.CONCAT(Buildings_GridElectricity_Backend[[#This Row],[Level 1]:[Level 6]]),rng_EFConcat,rng_EF1)*Buildings_GridElectricity_Backend[[#This Row],[Converted data]]/1000)</f>
        <v/>
      </c>
      <c r="AG135" s="210" t="str">
        <f>IF(Buildings_GridElectricity_Frontend[[#This Row],[Data]]="","",_xlfn.XLOOKUP(_xlfn.CONCAT(Buildings_GridElectricity_Backend[[#This Row],[Level 1]:[Level 6]]),rng_EFConcat,rng_EF2)*Buildings_GridElectricity_Backend[[#This Row],[Converted data]]/1000)</f>
        <v/>
      </c>
      <c r="AH135" s="210" t="str">
        <f>IF(Buildings_GridElectricity_Frontend[[#This Row],[Data]]="","",_xlfn.XLOOKUP(_xlfn.CONCAT(Buildings_GridElectricity_Backend[[#This Row],[Level 1]:[Level 6]]),rng_EFConcat,rng_EF3)*Buildings_GridElectricity_Backend[[#This Row],[Converted data]]/1000)</f>
        <v/>
      </c>
      <c r="AI135" s="210" t="str">
        <f>IF(Buildings_GridElectricity_Frontend[[#This Row],[Data]]="","",_xlfn.XLOOKUP(_xlfn.CONCAT(Buildings_GridElectricity_Backend[[#This Row],[Level 1]:[Level 6]]),rng_EFConcat,rng_EF3WTT)*Buildings_GridElectricity_Backend[[#This Row],[Converted data]]/1000)</f>
        <v/>
      </c>
      <c r="AJ135" s="210" t="str">
        <f>IF(Buildings_GridElectricity_Frontend[[#This Row],[Data]]="","",_xlfn.XLOOKUP(_xlfn.CONCAT(Buildings_GridElectricity_Backend[[#This Row],[Level 1]:[Level 6]]),rng_EFConcat,rng_EF3TD)*Buildings_GridElectricity_Backend[[#This Row],[Converted data]]/1000)</f>
        <v/>
      </c>
      <c r="AK135" s="210" t="str">
        <f>IF(Buildings_GridElectricity_Frontend[[#This Row],[Data]]="","",_xlfn.XLOOKUP(_xlfn.CONCAT(Buildings_GridElectricity_Backend[[#This Row],[Level 1]:[Level 6]]),rng_EFConcat,rng_EF3WTTTD)*Buildings_GridElectricity_Backend[[#This Row],[Converted data]]/1000)</f>
        <v/>
      </c>
      <c r="AL135" s="220" t="str">
        <f>IF(Buildings_GridElectricity_Frontend[[#This Row],[Data]]="","",SUM(Buildings_GridElectricity_Backend[[#This Row],[Scope 1 (tCO2e)]:[Scope 3 WTT T&amp;D (tCO2e)]]))</f>
        <v/>
      </c>
      <c r="AM135" s="220" t="str">
        <f>IF(Buildings_GridElectricity_Frontend[[#This Row],[Data]]="","",Buildings_GridElectricity_Backend[[#This Row],[Total (tCO2e)]]*(1-Buildings_GridElectricity_Backend[[#This Row],[RSD]]))</f>
        <v/>
      </c>
      <c r="AN135" s="220" t="str">
        <f>IF(Buildings_GridElectricity_Frontend[[#This Row],[Data]]="","",Buildings_GridElectricity_Backend[[#This Row],[Total (tCO2e)]]*(1+Buildings_GridElectricity_Backend[[#This Row],[RSD]]))</f>
        <v/>
      </c>
      <c r="AO135" s="210" t="str">
        <f>IF(Buildings_GridElectricity_Frontend[[#This Row],[Data]]="","",_xlfn.XLOOKUP(_xlfn.CONCAT(Buildings_GridElectricity_Backend[[#This Row],[Level 1]:[Level 6]]),rng_EFConcat,rng_EFOOS)*Buildings_GridElectricity_Backend[[#This Row],[Converted data]]/1000)</f>
        <v/>
      </c>
      <c r="AP135" s="174">
        <f>Buildings_GridElectricity_Frontend[[#This Row],[Ease of collection]]</f>
        <v>0</v>
      </c>
      <c r="AQ135" s="213">
        <f>Buildings_GridElectricity_Frontend[[#This Row],[Completeness]]</f>
        <v>0</v>
      </c>
      <c r="AR135" s="220">
        <f>Buildings_GridElectricity_Frontend[[#This Row],[Notes]]</f>
        <v>0</v>
      </c>
    </row>
    <row r="136" spans="5:44" x14ac:dyDescent="0.3">
      <c r="E136" s="346"/>
      <c r="F136" s="449"/>
      <c r="G136" s="336"/>
      <c r="H136" s="334"/>
      <c r="I136" s="172" t="s">
        <v>316</v>
      </c>
      <c r="J136" s="337"/>
      <c r="K136" s="336"/>
      <c r="L136" s="336"/>
      <c r="M136" s="337"/>
      <c r="N136" s="242">
        <f t="shared" si="5"/>
        <v>3</v>
      </c>
      <c r="Q136" s="212" t="str">
        <f t="shared" si="4"/>
        <v/>
      </c>
      <c r="R136" s="174" t="s">
        <v>265</v>
      </c>
      <c r="S136" s="174" t="s">
        <v>273</v>
      </c>
      <c r="T136" s="174" t="str">
        <f>_xlfn.XLOOKUP(Buildings_GridElectricity_Backend[[#This Row],[Info 1]],Buildings_SiteInfo[Site name],Buildings_SiteInfo[Site type], "")</f>
        <v/>
      </c>
      <c r="U136" s="174" t="s">
        <v>281</v>
      </c>
      <c r="V136" s="174" t="str" cm="1">
        <f t="array" aca="1" ref="V136" ca="1">_xlfn.XLOOKUP(Buildings_GridElectricity_Backend[[#This Row],[Level 4]],rng_Level4Long,rng_Level5Long)</f>
        <v>Electricity</v>
      </c>
      <c r="W136" s="174" t="str" cm="1">
        <f t="array" aca="1" ref="W136" ca="1">_xlfn.XLOOKUP(Buildings_GridElectricity_Backend[[#This Row],[Level 4]],rng_Level4Long,rng_Level6Long)</f>
        <v>NaN</v>
      </c>
      <c r="X136" s="174">
        <f>Buildings_GridElectricity_Frontend[[#This Row],[Site Name]]</f>
        <v>0</v>
      </c>
      <c r="Y136" s="174">
        <f>Buildings_GridElectricity_Frontend[[#This Row],[Contracting]]</f>
        <v>0</v>
      </c>
      <c r="Z136" s="174">
        <f>Buildings_GridElectricity_Frontend[[#This Row],[Methodology]]</f>
        <v>0</v>
      </c>
      <c r="AA136" s="229" t="str" cm="1">
        <f t="array" ref="AA136">IF(Buildings_GridElectricity_Frontend[[#This Row],[Data]]="","",INDEX(_xlfn.SWITCH(Buildings_GridElectricity_Backend[[#This Row],[Methodology]],"Tier 1",rng_RSD1,"Tier 2",rng_RSD2,"Tier 3",rng_RSD3),MATCH(_xlfn.CONCAT(Buildings_GridElectricity_Backend[[#This Row],[Level 1]:[Level 6]]),rng_LevelsConcat,0)))</f>
        <v/>
      </c>
      <c r="AB136" s="220">
        <f>Buildings_GridElectricity_Frontend[[#This Row],[Data]]</f>
        <v>0</v>
      </c>
      <c r="AC136" s="174" t="str">
        <f>Buildings_GridElectricity_Frontend[[#This Row],[Units]]</f>
        <v>kWh</v>
      </c>
      <c r="AD136" s="218">
        <f>Buildings_GridElectricity_Frontend[[#This Row],[Data]]</f>
        <v>0</v>
      </c>
      <c r="AE136" s="174" t="str">
        <f>Buildings_GridElectricity_Frontend[[#This Row],[Units]]</f>
        <v>kWh</v>
      </c>
      <c r="AF136" s="210" t="str">
        <f>IF(Buildings_GridElectricity_Frontend[[#This Row],[Data]]="","",_xlfn.XLOOKUP(_xlfn.CONCAT(Buildings_GridElectricity_Backend[[#This Row],[Level 1]:[Level 6]]),rng_EFConcat,rng_EF1)*Buildings_GridElectricity_Backend[[#This Row],[Converted data]]/1000)</f>
        <v/>
      </c>
      <c r="AG136" s="210" t="str">
        <f>IF(Buildings_GridElectricity_Frontend[[#This Row],[Data]]="","",_xlfn.XLOOKUP(_xlfn.CONCAT(Buildings_GridElectricity_Backend[[#This Row],[Level 1]:[Level 6]]),rng_EFConcat,rng_EF2)*Buildings_GridElectricity_Backend[[#This Row],[Converted data]]/1000)</f>
        <v/>
      </c>
      <c r="AH136" s="210" t="str">
        <f>IF(Buildings_GridElectricity_Frontend[[#This Row],[Data]]="","",_xlfn.XLOOKUP(_xlfn.CONCAT(Buildings_GridElectricity_Backend[[#This Row],[Level 1]:[Level 6]]),rng_EFConcat,rng_EF3)*Buildings_GridElectricity_Backend[[#This Row],[Converted data]]/1000)</f>
        <v/>
      </c>
      <c r="AI136" s="210" t="str">
        <f>IF(Buildings_GridElectricity_Frontend[[#This Row],[Data]]="","",_xlfn.XLOOKUP(_xlfn.CONCAT(Buildings_GridElectricity_Backend[[#This Row],[Level 1]:[Level 6]]),rng_EFConcat,rng_EF3WTT)*Buildings_GridElectricity_Backend[[#This Row],[Converted data]]/1000)</f>
        <v/>
      </c>
      <c r="AJ136" s="210" t="str">
        <f>IF(Buildings_GridElectricity_Frontend[[#This Row],[Data]]="","",_xlfn.XLOOKUP(_xlfn.CONCAT(Buildings_GridElectricity_Backend[[#This Row],[Level 1]:[Level 6]]),rng_EFConcat,rng_EF3TD)*Buildings_GridElectricity_Backend[[#This Row],[Converted data]]/1000)</f>
        <v/>
      </c>
      <c r="AK136" s="210" t="str">
        <f>IF(Buildings_GridElectricity_Frontend[[#This Row],[Data]]="","",_xlfn.XLOOKUP(_xlfn.CONCAT(Buildings_GridElectricity_Backend[[#This Row],[Level 1]:[Level 6]]),rng_EFConcat,rng_EF3WTTTD)*Buildings_GridElectricity_Backend[[#This Row],[Converted data]]/1000)</f>
        <v/>
      </c>
      <c r="AL136" s="220" t="str">
        <f>IF(Buildings_GridElectricity_Frontend[[#This Row],[Data]]="","",SUM(Buildings_GridElectricity_Backend[[#This Row],[Scope 1 (tCO2e)]:[Scope 3 WTT T&amp;D (tCO2e)]]))</f>
        <v/>
      </c>
      <c r="AM136" s="220" t="str">
        <f>IF(Buildings_GridElectricity_Frontend[[#This Row],[Data]]="","",Buildings_GridElectricity_Backend[[#This Row],[Total (tCO2e)]]*(1-Buildings_GridElectricity_Backend[[#This Row],[RSD]]))</f>
        <v/>
      </c>
      <c r="AN136" s="220" t="str">
        <f>IF(Buildings_GridElectricity_Frontend[[#This Row],[Data]]="","",Buildings_GridElectricity_Backend[[#This Row],[Total (tCO2e)]]*(1+Buildings_GridElectricity_Backend[[#This Row],[RSD]]))</f>
        <v/>
      </c>
      <c r="AO136" s="210" t="str">
        <f>IF(Buildings_GridElectricity_Frontend[[#This Row],[Data]]="","",_xlfn.XLOOKUP(_xlfn.CONCAT(Buildings_GridElectricity_Backend[[#This Row],[Level 1]:[Level 6]]),rng_EFConcat,rng_EFOOS)*Buildings_GridElectricity_Backend[[#This Row],[Converted data]]/1000)</f>
        <v/>
      </c>
      <c r="AP136" s="174">
        <f>Buildings_GridElectricity_Frontend[[#This Row],[Ease of collection]]</f>
        <v>0</v>
      </c>
      <c r="AQ136" s="213">
        <f>Buildings_GridElectricity_Frontend[[#This Row],[Completeness]]</f>
        <v>0</v>
      </c>
      <c r="AR136" s="220">
        <f>Buildings_GridElectricity_Frontend[[#This Row],[Notes]]</f>
        <v>0</v>
      </c>
    </row>
    <row r="137" spans="5:44" x14ac:dyDescent="0.3">
      <c r="E137" s="346"/>
      <c r="F137" s="449"/>
      <c r="G137" s="336"/>
      <c r="H137" s="334"/>
      <c r="I137" s="172" t="s">
        <v>316</v>
      </c>
      <c r="J137" s="337"/>
      <c r="K137" s="336"/>
      <c r="L137" s="336"/>
      <c r="M137" s="337"/>
      <c r="N137" s="242">
        <f t="shared" si="5"/>
        <v>3</v>
      </c>
      <c r="Q137" s="212" t="str">
        <f t="shared" si="4"/>
        <v/>
      </c>
      <c r="R137" s="174" t="s">
        <v>265</v>
      </c>
      <c r="S137" s="174" t="s">
        <v>273</v>
      </c>
      <c r="T137" s="174" t="str">
        <f>_xlfn.XLOOKUP(Buildings_GridElectricity_Backend[[#This Row],[Info 1]],Buildings_SiteInfo[Site name],Buildings_SiteInfo[Site type], "")</f>
        <v/>
      </c>
      <c r="U137" s="174" t="s">
        <v>281</v>
      </c>
      <c r="V137" s="174" t="str" cm="1">
        <f t="array" aca="1" ref="V137" ca="1">_xlfn.XLOOKUP(Buildings_GridElectricity_Backend[[#This Row],[Level 4]],rng_Level4Long,rng_Level5Long)</f>
        <v>Electricity</v>
      </c>
      <c r="W137" s="174" t="str" cm="1">
        <f t="array" aca="1" ref="W137" ca="1">_xlfn.XLOOKUP(Buildings_GridElectricity_Backend[[#This Row],[Level 4]],rng_Level4Long,rng_Level6Long)</f>
        <v>NaN</v>
      </c>
      <c r="X137" s="174">
        <f>Buildings_GridElectricity_Frontend[[#This Row],[Site Name]]</f>
        <v>0</v>
      </c>
      <c r="Y137" s="174">
        <f>Buildings_GridElectricity_Frontend[[#This Row],[Contracting]]</f>
        <v>0</v>
      </c>
      <c r="Z137" s="174">
        <f>Buildings_GridElectricity_Frontend[[#This Row],[Methodology]]</f>
        <v>0</v>
      </c>
      <c r="AA137" s="229" t="str" cm="1">
        <f t="array" ref="AA137">IF(Buildings_GridElectricity_Frontend[[#This Row],[Data]]="","",INDEX(_xlfn.SWITCH(Buildings_GridElectricity_Backend[[#This Row],[Methodology]],"Tier 1",rng_RSD1,"Tier 2",rng_RSD2,"Tier 3",rng_RSD3),MATCH(_xlfn.CONCAT(Buildings_GridElectricity_Backend[[#This Row],[Level 1]:[Level 6]]),rng_LevelsConcat,0)))</f>
        <v/>
      </c>
      <c r="AB137" s="220">
        <f>Buildings_GridElectricity_Frontend[[#This Row],[Data]]</f>
        <v>0</v>
      </c>
      <c r="AC137" s="174" t="str">
        <f>Buildings_GridElectricity_Frontend[[#This Row],[Units]]</f>
        <v>kWh</v>
      </c>
      <c r="AD137" s="218">
        <f>Buildings_GridElectricity_Frontend[[#This Row],[Data]]</f>
        <v>0</v>
      </c>
      <c r="AE137" s="174" t="str">
        <f>Buildings_GridElectricity_Frontend[[#This Row],[Units]]</f>
        <v>kWh</v>
      </c>
      <c r="AF137" s="210" t="str">
        <f>IF(Buildings_GridElectricity_Frontend[[#This Row],[Data]]="","",_xlfn.XLOOKUP(_xlfn.CONCAT(Buildings_GridElectricity_Backend[[#This Row],[Level 1]:[Level 6]]),rng_EFConcat,rng_EF1)*Buildings_GridElectricity_Backend[[#This Row],[Converted data]]/1000)</f>
        <v/>
      </c>
      <c r="AG137" s="210" t="str">
        <f>IF(Buildings_GridElectricity_Frontend[[#This Row],[Data]]="","",_xlfn.XLOOKUP(_xlfn.CONCAT(Buildings_GridElectricity_Backend[[#This Row],[Level 1]:[Level 6]]),rng_EFConcat,rng_EF2)*Buildings_GridElectricity_Backend[[#This Row],[Converted data]]/1000)</f>
        <v/>
      </c>
      <c r="AH137" s="210" t="str">
        <f>IF(Buildings_GridElectricity_Frontend[[#This Row],[Data]]="","",_xlfn.XLOOKUP(_xlfn.CONCAT(Buildings_GridElectricity_Backend[[#This Row],[Level 1]:[Level 6]]),rng_EFConcat,rng_EF3)*Buildings_GridElectricity_Backend[[#This Row],[Converted data]]/1000)</f>
        <v/>
      </c>
      <c r="AI137" s="210" t="str">
        <f>IF(Buildings_GridElectricity_Frontend[[#This Row],[Data]]="","",_xlfn.XLOOKUP(_xlfn.CONCAT(Buildings_GridElectricity_Backend[[#This Row],[Level 1]:[Level 6]]),rng_EFConcat,rng_EF3WTT)*Buildings_GridElectricity_Backend[[#This Row],[Converted data]]/1000)</f>
        <v/>
      </c>
      <c r="AJ137" s="210" t="str">
        <f>IF(Buildings_GridElectricity_Frontend[[#This Row],[Data]]="","",_xlfn.XLOOKUP(_xlfn.CONCAT(Buildings_GridElectricity_Backend[[#This Row],[Level 1]:[Level 6]]),rng_EFConcat,rng_EF3TD)*Buildings_GridElectricity_Backend[[#This Row],[Converted data]]/1000)</f>
        <v/>
      </c>
      <c r="AK137" s="210" t="str">
        <f>IF(Buildings_GridElectricity_Frontend[[#This Row],[Data]]="","",_xlfn.XLOOKUP(_xlfn.CONCAT(Buildings_GridElectricity_Backend[[#This Row],[Level 1]:[Level 6]]),rng_EFConcat,rng_EF3WTTTD)*Buildings_GridElectricity_Backend[[#This Row],[Converted data]]/1000)</f>
        <v/>
      </c>
      <c r="AL137" s="220" t="str">
        <f>IF(Buildings_GridElectricity_Frontend[[#This Row],[Data]]="","",SUM(Buildings_GridElectricity_Backend[[#This Row],[Scope 1 (tCO2e)]:[Scope 3 WTT T&amp;D (tCO2e)]]))</f>
        <v/>
      </c>
      <c r="AM137" s="220" t="str">
        <f>IF(Buildings_GridElectricity_Frontend[[#This Row],[Data]]="","",Buildings_GridElectricity_Backend[[#This Row],[Total (tCO2e)]]*(1-Buildings_GridElectricity_Backend[[#This Row],[RSD]]))</f>
        <v/>
      </c>
      <c r="AN137" s="220" t="str">
        <f>IF(Buildings_GridElectricity_Frontend[[#This Row],[Data]]="","",Buildings_GridElectricity_Backend[[#This Row],[Total (tCO2e)]]*(1+Buildings_GridElectricity_Backend[[#This Row],[RSD]]))</f>
        <v/>
      </c>
      <c r="AO137" s="210" t="str">
        <f>IF(Buildings_GridElectricity_Frontend[[#This Row],[Data]]="","",_xlfn.XLOOKUP(_xlfn.CONCAT(Buildings_GridElectricity_Backend[[#This Row],[Level 1]:[Level 6]]),rng_EFConcat,rng_EFOOS)*Buildings_GridElectricity_Backend[[#This Row],[Converted data]]/1000)</f>
        <v/>
      </c>
      <c r="AP137" s="174">
        <f>Buildings_GridElectricity_Frontend[[#This Row],[Ease of collection]]</f>
        <v>0</v>
      </c>
      <c r="AQ137" s="213">
        <f>Buildings_GridElectricity_Frontend[[#This Row],[Completeness]]</f>
        <v>0</v>
      </c>
      <c r="AR137" s="220">
        <f>Buildings_GridElectricity_Frontend[[#This Row],[Notes]]</f>
        <v>0</v>
      </c>
    </row>
    <row r="138" spans="5:44" x14ac:dyDescent="0.3">
      <c r="E138" s="346"/>
      <c r="F138" s="449"/>
      <c r="G138" s="336"/>
      <c r="H138" s="334"/>
      <c r="I138" s="172" t="s">
        <v>316</v>
      </c>
      <c r="J138" s="337"/>
      <c r="K138" s="336"/>
      <c r="L138" s="336"/>
      <c r="M138" s="337"/>
      <c r="N138" s="242">
        <f t="shared" si="5"/>
        <v>3</v>
      </c>
      <c r="Q138" s="212" t="str">
        <f t="shared" si="4"/>
        <v/>
      </c>
      <c r="R138" s="174" t="s">
        <v>265</v>
      </c>
      <c r="S138" s="174" t="s">
        <v>273</v>
      </c>
      <c r="T138" s="174" t="str">
        <f>_xlfn.XLOOKUP(Buildings_GridElectricity_Backend[[#This Row],[Info 1]],Buildings_SiteInfo[Site name],Buildings_SiteInfo[Site type], "")</f>
        <v/>
      </c>
      <c r="U138" s="174" t="s">
        <v>281</v>
      </c>
      <c r="V138" s="174" t="str" cm="1">
        <f t="array" aca="1" ref="V138" ca="1">_xlfn.XLOOKUP(Buildings_GridElectricity_Backend[[#This Row],[Level 4]],rng_Level4Long,rng_Level5Long)</f>
        <v>Electricity</v>
      </c>
      <c r="W138" s="174" t="str" cm="1">
        <f t="array" aca="1" ref="W138" ca="1">_xlfn.XLOOKUP(Buildings_GridElectricity_Backend[[#This Row],[Level 4]],rng_Level4Long,rng_Level6Long)</f>
        <v>NaN</v>
      </c>
      <c r="X138" s="174">
        <f>Buildings_GridElectricity_Frontend[[#This Row],[Site Name]]</f>
        <v>0</v>
      </c>
      <c r="Y138" s="174">
        <f>Buildings_GridElectricity_Frontend[[#This Row],[Contracting]]</f>
        <v>0</v>
      </c>
      <c r="Z138" s="174">
        <f>Buildings_GridElectricity_Frontend[[#This Row],[Methodology]]</f>
        <v>0</v>
      </c>
      <c r="AA138" s="229" t="str" cm="1">
        <f t="array" ref="AA138">IF(Buildings_GridElectricity_Frontend[[#This Row],[Data]]="","",INDEX(_xlfn.SWITCH(Buildings_GridElectricity_Backend[[#This Row],[Methodology]],"Tier 1",rng_RSD1,"Tier 2",rng_RSD2,"Tier 3",rng_RSD3),MATCH(_xlfn.CONCAT(Buildings_GridElectricity_Backend[[#This Row],[Level 1]:[Level 6]]),rng_LevelsConcat,0)))</f>
        <v/>
      </c>
      <c r="AB138" s="220">
        <f>Buildings_GridElectricity_Frontend[[#This Row],[Data]]</f>
        <v>0</v>
      </c>
      <c r="AC138" s="174" t="str">
        <f>Buildings_GridElectricity_Frontend[[#This Row],[Units]]</f>
        <v>kWh</v>
      </c>
      <c r="AD138" s="218">
        <f>Buildings_GridElectricity_Frontend[[#This Row],[Data]]</f>
        <v>0</v>
      </c>
      <c r="AE138" s="174" t="str">
        <f>Buildings_GridElectricity_Frontend[[#This Row],[Units]]</f>
        <v>kWh</v>
      </c>
      <c r="AF138" s="210" t="str">
        <f>IF(Buildings_GridElectricity_Frontend[[#This Row],[Data]]="","",_xlfn.XLOOKUP(_xlfn.CONCAT(Buildings_GridElectricity_Backend[[#This Row],[Level 1]:[Level 6]]),rng_EFConcat,rng_EF1)*Buildings_GridElectricity_Backend[[#This Row],[Converted data]]/1000)</f>
        <v/>
      </c>
      <c r="AG138" s="210" t="str">
        <f>IF(Buildings_GridElectricity_Frontend[[#This Row],[Data]]="","",_xlfn.XLOOKUP(_xlfn.CONCAT(Buildings_GridElectricity_Backend[[#This Row],[Level 1]:[Level 6]]),rng_EFConcat,rng_EF2)*Buildings_GridElectricity_Backend[[#This Row],[Converted data]]/1000)</f>
        <v/>
      </c>
      <c r="AH138" s="210" t="str">
        <f>IF(Buildings_GridElectricity_Frontend[[#This Row],[Data]]="","",_xlfn.XLOOKUP(_xlfn.CONCAT(Buildings_GridElectricity_Backend[[#This Row],[Level 1]:[Level 6]]),rng_EFConcat,rng_EF3)*Buildings_GridElectricity_Backend[[#This Row],[Converted data]]/1000)</f>
        <v/>
      </c>
      <c r="AI138" s="210" t="str">
        <f>IF(Buildings_GridElectricity_Frontend[[#This Row],[Data]]="","",_xlfn.XLOOKUP(_xlfn.CONCAT(Buildings_GridElectricity_Backend[[#This Row],[Level 1]:[Level 6]]),rng_EFConcat,rng_EF3WTT)*Buildings_GridElectricity_Backend[[#This Row],[Converted data]]/1000)</f>
        <v/>
      </c>
      <c r="AJ138" s="210" t="str">
        <f>IF(Buildings_GridElectricity_Frontend[[#This Row],[Data]]="","",_xlfn.XLOOKUP(_xlfn.CONCAT(Buildings_GridElectricity_Backend[[#This Row],[Level 1]:[Level 6]]),rng_EFConcat,rng_EF3TD)*Buildings_GridElectricity_Backend[[#This Row],[Converted data]]/1000)</f>
        <v/>
      </c>
      <c r="AK138" s="210" t="str">
        <f>IF(Buildings_GridElectricity_Frontend[[#This Row],[Data]]="","",_xlfn.XLOOKUP(_xlfn.CONCAT(Buildings_GridElectricity_Backend[[#This Row],[Level 1]:[Level 6]]),rng_EFConcat,rng_EF3WTTTD)*Buildings_GridElectricity_Backend[[#This Row],[Converted data]]/1000)</f>
        <v/>
      </c>
      <c r="AL138" s="220" t="str">
        <f>IF(Buildings_GridElectricity_Frontend[[#This Row],[Data]]="","",SUM(Buildings_GridElectricity_Backend[[#This Row],[Scope 1 (tCO2e)]:[Scope 3 WTT T&amp;D (tCO2e)]]))</f>
        <v/>
      </c>
      <c r="AM138" s="220" t="str">
        <f>IF(Buildings_GridElectricity_Frontend[[#This Row],[Data]]="","",Buildings_GridElectricity_Backend[[#This Row],[Total (tCO2e)]]*(1-Buildings_GridElectricity_Backend[[#This Row],[RSD]]))</f>
        <v/>
      </c>
      <c r="AN138" s="220" t="str">
        <f>IF(Buildings_GridElectricity_Frontend[[#This Row],[Data]]="","",Buildings_GridElectricity_Backend[[#This Row],[Total (tCO2e)]]*(1+Buildings_GridElectricity_Backend[[#This Row],[RSD]]))</f>
        <v/>
      </c>
      <c r="AO138" s="210" t="str">
        <f>IF(Buildings_GridElectricity_Frontend[[#This Row],[Data]]="","",_xlfn.XLOOKUP(_xlfn.CONCAT(Buildings_GridElectricity_Backend[[#This Row],[Level 1]:[Level 6]]),rng_EFConcat,rng_EFOOS)*Buildings_GridElectricity_Backend[[#This Row],[Converted data]]/1000)</f>
        <v/>
      </c>
      <c r="AP138" s="174">
        <f>Buildings_GridElectricity_Frontend[[#This Row],[Ease of collection]]</f>
        <v>0</v>
      </c>
      <c r="AQ138" s="213">
        <f>Buildings_GridElectricity_Frontend[[#This Row],[Completeness]]</f>
        <v>0</v>
      </c>
      <c r="AR138" s="220">
        <f>Buildings_GridElectricity_Frontend[[#This Row],[Notes]]</f>
        <v>0</v>
      </c>
    </row>
    <row r="139" spans="5:44" x14ac:dyDescent="0.3">
      <c r="E139" s="346"/>
      <c r="F139" s="449"/>
      <c r="G139" s="336"/>
      <c r="H139" s="334"/>
      <c r="I139" s="172" t="s">
        <v>316</v>
      </c>
      <c r="J139" s="337"/>
      <c r="K139" s="336"/>
      <c r="L139" s="336"/>
      <c r="M139" s="337"/>
      <c r="N139" s="242">
        <f t="shared" si="5"/>
        <v>3</v>
      </c>
      <c r="Q139" s="212" t="str">
        <f t="shared" si="4"/>
        <v/>
      </c>
      <c r="R139" s="174" t="s">
        <v>265</v>
      </c>
      <c r="S139" s="174" t="s">
        <v>273</v>
      </c>
      <c r="T139" s="174" t="str">
        <f>_xlfn.XLOOKUP(Buildings_GridElectricity_Backend[[#This Row],[Info 1]],Buildings_SiteInfo[Site name],Buildings_SiteInfo[Site type], "")</f>
        <v/>
      </c>
      <c r="U139" s="174" t="s">
        <v>281</v>
      </c>
      <c r="V139" s="174" t="str" cm="1">
        <f t="array" aca="1" ref="V139" ca="1">_xlfn.XLOOKUP(Buildings_GridElectricity_Backend[[#This Row],[Level 4]],rng_Level4Long,rng_Level5Long)</f>
        <v>Electricity</v>
      </c>
      <c r="W139" s="174" t="str" cm="1">
        <f t="array" aca="1" ref="W139" ca="1">_xlfn.XLOOKUP(Buildings_GridElectricity_Backend[[#This Row],[Level 4]],rng_Level4Long,rng_Level6Long)</f>
        <v>NaN</v>
      </c>
      <c r="X139" s="174">
        <f>Buildings_GridElectricity_Frontend[[#This Row],[Site Name]]</f>
        <v>0</v>
      </c>
      <c r="Y139" s="174">
        <f>Buildings_GridElectricity_Frontend[[#This Row],[Contracting]]</f>
        <v>0</v>
      </c>
      <c r="Z139" s="174">
        <f>Buildings_GridElectricity_Frontend[[#This Row],[Methodology]]</f>
        <v>0</v>
      </c>
      <c r="AA139" s="229" t="str" cm="1">
        <f t="array" ref="AA139">IF(Buildings_GridElectricity_Frontend[[#This Row],[Data]]="","",INDEX(_xlfn.SWITCH(Buildings_GridElectricity_Backend[[#This Row],[Methodology]],"Tier 1",rng_RSD1,"Tier 2",rng_RSD2,"Tier 3",rng_RSD3),MATCH(_xlfn.CONCAT(Buildings_GridElectricity_Backend[[#This Row],[Level 1]:[Level 6]]),rng_LevelsConcat,0)))</f>
        <v/>
      </c>
      <c r="AB139" s="220">
        <f>Buildings_GridElectricity_Frontend[[#This Row],[Data]]</f>
        <v>0</v>
      </c>
      <c r="AC139" s="174" t="str">
        <f>Buildings_GridElectricity_Frontend[[#This Row],[Units]]</f>
        <v>kWh</v>
      </c>
      <c r="AD139" s="218">
        <f>Buildings_GridElectricity_Frontend[[#This Row],[Data]]</f>
        <v>0</v>
      </c>
      <c r="AE139" s="174" t="str">
        <f>Buildings_GridElectricity_Frontend[[#This Row],[Units]]</f>
        <v>kWh</v>
      </c>
      <c r="AF139" s="210" t="str">
        <f>IF(Buildings_GridElectricity_Frontend[[#This Row],[Data]]="","",_xlfn.XLOOKUP(_xlfn.CONCAT(Buildings_GridElectricity_Backend[[#This Row],[Level 1]:[Level 6]]),rng_EFConcat,rng_EF1)*Buildings_GridElectricity_Backend[[#This Row],[Converted data]]/1000)</f>
        <v/>
      </c>
      <c r="AG139" s="210" t="str">
        <f>IF(Buildings_GridElectricity_Frontend[[#This Row],[Data]]="","",_xlfn.XLOOKUP(_xlfn.CONCAT(Buildings_GridElectricity_Backend[[#This Row],[Level 1]:[Level 6]]),rng_EFConcat,rng_EF2)*Buildings_GridElectricity_Backend[[#This Row],[Converted data]]/1000)</f>
        <v/>
      </c>
      <c r="AH139" s="210" t="str">
        <f>IF(Buildings_GridElectricity_Frontend[[#This Row],[Data]]="","",_xlfn.XLOOKUP(_xlfn.CONCAT(Buildings_GridElectricity_Backend[[#This Row],[Level 1]:[Level 6]]),rng_EFConcat,rng_EF3)*Buildings_GridElectricity_Backend[[#This Row],[Converted data]]/1000)</f>
        <v/>
      </c>
      <c r="AI139" s="210" t="str">
        <f>IF(Buildings_GridElectricity_Frontend[[#This Row],[Data]]="","",_xlfn.XLOOKUP(_xlfn.CONCAT(Buildings_GridElectricity_Backend[[#This Row],[Level 1]:[Level 6]]),rng_EFConcat,rng_EF3WTT)*Buildings_GridElectricity_Backend[[#This Row],[Converted data]]/1000)</f>
        <v/>
      </c>
      <c r="AJ139" s="210" t="str">
        <f>IF(Buildings_GridElectricity_Frontend[[#This Row],[Data]]="","",_xlfn.XLOOKUP(_xlfn.CONCAT(Buildings_GridElectricity_Backend[[#This Row],[Level 1]:[Level 6]]),rng_EFConcat,rng_EF3TD)*Buildings_GridElectricity_Backend[[#This Row],[Converted data]]/1000)</f>
        <v/>
      </c>
      <c r="AK139" s="210" t="str">
        <f>IF(Buildings_GridElectricity_Frontend[[#This Row],[Data]]="","",_xlfn.XLOOKUP(_xlfn.CONCAT(Buildings_GridElectricity_Backend[[#This Row],[Level 1]:[Level 6]]),rng_EFConcat,rng_EF3WTTTD)*Buildings_GridElectricity_Backend[[#This Row],[Converted data]]/1000)</f>
        <v/>
      </c>
      <c r="AL139" s="220" t="str">
        <f>IF(Buildings_GridElectricity_Frontend[[#This Row],[Data]]="","",SUM(Buildings_GridElectricity_Backend[[#This Row],[Scope 1 (tCO2e)]:[Scope 3 WTT T&amp;D (tCO2e)]]))</f>
        <v/>
      </c>
      <c r="AM139" s="220" t="str">
        <f>IF(Buildings_GridElectricity_Frontend[[#This Row],[Data]]="","",Buildings_GridElectricity_Backend[[#This Row],[Total (tCO2e)]]*(1-Buildings_GridElectricity_Backend[[#This Row],[RSD]]))</f>
        <v/>
      </c>
      <c r="AN139" s="220" t="str">
        <f>IF(Buildings_GridElectricity_Frontend[[#This Row],[Data]]="","",Buildings_GridElectricity_Backend[[#This Row],[Total (tCO2e)]]*(1+Buildings_GridElectricity_Backend[[#This Row],[RSD]]))</f>
        <v/>
      </c>
      <c r="AO139" s="210" t="str">
        <f>IF(Buildings_GridElectricity_Frontend[[#This Row],[Data]]="","",_xlfn.XLOOKUP(_xlfn.CONCAT(Buildings_GridElectricity_Backend[[#This Row],[Level 1]:[Level 6]]),rng_EFConcat,rng_EFOOS)*Buildings_GridElectricity_Backend[[#This Row],[Converted data]]/1000)</f>
        <v/>
      </c>
      <c r="AP139" s="174">
        <f>Buildings_GridElectricity_Frontend[[#This Row],[Ease of collection]]</f>
        <v>0</v>
      </c>
      <c r="AQ139" s="213">
        <f>Buildings_GridElectricity_Frontend[[#This Row],[Completeness]]</f>
        <v>0</v>
      </c>
      <c r="AR139" s="220">
        <f>Buildings_GridElectricity_Frontend[[#This Row],[Notes]]</f>
        <v>0</v>
      </c>
    </row>
    <row r="140" spans="5:44" x14ac:dyDescent="0.3">
      <c r="E140" s="346"/>
      <c r="F140" s="449"/>
      <c r="G140" s="336"/>
      <c r="H140" s="334"/>
      <c r="I140" s="172" t="s">
        <v>316</v>
      </c>
      <c r="J140" s="337"/>
      <c r="K140" s="336"/>
      <c r="L140" s="336"/>
      <c r="M140" s="337"/>
      <c r="N140" s="242">
        <f t="shared" si="5"/>
        <v>3</v>
      </c>
      <c r="Q140" s="212" t="str">
        <f t="shared" si="4"/>
        <v/>
      </c>
      <c r="R140" s="174" t="s">
        <v>265</v>
      </c>
      <c r="S140" s="174" t="s">
        <v>273</v>
      </c>
      <c r="T140" s="174" t="str">
        <f>_xlfn.XLOOKUP(Buildings_GridElectricity_Backend[[#This Row],[Info 1]],Buildings_SiteInfo[Site name],Buildings_SiteInfo[Site type], "")</f>
        <v/>
      </c>
      <c r="U140" s="174" t="s">
        <v>281</v>
      </c>
      <c r="V140" s="174" t="str" cm="1">
        <f t="array" aca="1" ref="V140" ca="1">_xlfn.XLOOKUP(Buildings_GridElectricity_Backend[[#This Row],[Level 4]],rng_Level4Long,rng_Level5Long)</f>
        <v>Electricity</v>
      </c>
      <c r="W140" s="174" t="str" cm="1">
        <f t="array" aca="1" ref="W140" ca="1">_xlfn.XLOOKUP(Buildings_GridElectricity_Backend[[#This Row],[Level 4]],rng_Level4Long,rng_Level6Long)</f>
        <v>NaN</v>
      </c>
      <c r="X140" s="174">
        <f>Buildings_GridElectricity_Frontend[[#This Row],[Site Name]]</f>
        <v>0</v>
      </c>
      <c r="Y140" s="174">
        <f>Buildings_GridElectricity_Frontend[[#This Row],[Contracting]]</f>
        <v>0</v>
      </c>
      <c r="Z140" s="174">
        <f>Buildings_GridElectricity_Frontend[[#This Row],[Methodology]]</f>
        <v>0</v>
      </c>
      <c r="AA140" s="229" t="str" cm="1">
        <f t="array" ref="AA140">IF(Buildings_GridElectricity_Frontend[[#This Row],[Data]]="","",INDEX(_xlfn.SWITCH(Buildings_GridElectricity_Backend[[#This Row],[Methodology]],"Tier 1",rng_RSD1,"Tier 2",rng_RSD2,"Tier 3",rng_RSD3),MATCH(_xlfn.CONCAT(Buildings_GridElectricity_Backend[[#This Row],[Level 1]:[Level 6]]),rng_LevelsConcat,0)))</f>
        <v/>
      </c>
      <c r="AB140" s="220">
        <f>Buildings_GridElectricity_Frontend[[#This Row],[Data]]</f>
        <v>0</v>
      </c>
      <c r="AC140" s="174" t="str">
        <f>Buildings_GridElectricity_Frontend[[#This Row],[Units]]</f>
        <v>kWh</v>
      </c>
      <c r="AD140" s="218">
        <f>Buildings_GridElectricity_Frontend[[#This Row],[Data]]</f>
        <v>0</v>
      </c>
      <c r="AE140" s="174" t="str">
        <f>Buildings_GridElectricity_Frontend[[#This Row],[Units]]</f>
        <v>kWh</v>
      </c>
      <c r="AF140" s="210" t="str">
        <f>IF(Buildings_GridElectricity_Frontend[[#This Row],[Data]]="","",_xlfn.XLOOKUP(_xlfn.CONCAT(Buildings_GridElectricity_Backend[[#This Row],[Level 1]:[Level 6]]),rng_EFConcat,rng_EF1)*Buildings_GridElectricity_Backend[[#This Row],[Converted data]]/1000)</f>
        <v/>
      </c>
      <c r="AG140" s="210" t="str">
        <f>IF(Buildings_GridElectricity_Frontend[[#This Row],[Data]]="","",_xlfn.XLOOKUP(_xlfn.CONCAT(Buildings_GridElectricity_Backend[[#This Row],[Level 1]:[Level 6]]),rng_EFConcat,rng_EF2)*Buildings_GridElectricity_Backend[[#This Row],[Converted data]]/1000)</f>
        <v/>
      </c>
      <c r="AH140" s="210" t="str">
        <f>IF(Buildings_GridElectricity_Frontend[[#This Row],[Data]]="","",_xlfn.XLOOKUP(_xlfn.CONCAT(Buildings_GridElectricity_Backend[[#This Row],[Level 1]:[Level 6]]),rng_EFConcat,rng_EF3)*Buildings_GridElectricity_Backend[[#This Row],[Converted data]]/1000)</f>
        <v/>
      </c>
      <c r="AI140" s="210" t="str">
        <f>IF(Buildings_GridElectricity_Frontend[[#This Row],[Data]]="","",_xlfn.XLOOKUP(_xlfn.CONCAT(Buildings_GridElectricity_Backend[[#This Row],[Level 1]:[Level 6]]),rng_EFConcat,rng_EF3WTT)*Buildings_GridElectricity_Backend[[#This Row],[Converted data]]/1000)</f>
        <v/>
      </c>
      <c r="AJ140" s="210" t="str">
        <f>IF(Buildings_GridElectricity_Frontend[[#This Row],[Data]]="","",_xlfn.XLOOKUP(_xlfn.CONCAT(Buildings_GridElectricity_Backend[[#This Row],[Level 1]:[Level 6]]),rng_EFConcat,rng_EF3TD)*Buildings_GridElectricity_Backend[[#This Row],[Converted data]]/1000)</f>
        <v/>
      </c>
      <c r="AK140" s="210" t="str">
        <f>IF(Buildings_GridElectricity_Frontend[[#This Row],[Data]]="","",_xlfn.XLOOKUP(_xlfn.CONCAT(Buildings_GridElectricity_Backend[[#This Row],[Level 1]:[Level 6]]),rng_EFConcat,rng_EF3WTTTD)*Buildings_GridElectricity_Backend[[#This Row],[Converted data]]/1000)</f>
        <v/>
      </c>
      <c r="AL140" s="220" t="str">
        <f>IF(Buildings_GridElectricity_Frontend[[#This Row],[Data]]="","",SUM(Buildings_GridElectricity_Backend[[#This Row],[Scope 1 (tCO2e)]:[Scope 3 WTT T&amp;D (tCO2e)]]))</f>
        <v/>
      </c>
      <c r="AM140" s="220" t="str">
        <f>IF(Buildings_GridElectricity_Frontend[[#This Row],[Data]]="","",Buildings_GridElectricity_Backend[[#This Row],[Total (tCO2e)]]*(1-Buildings_GridElectricity_Backend[[#This Row],[RSD]]))</f>
        <v/>
      </c>
      <c r="AN140" s="220" t="str">
        <f>IF(Buildings_GridElectricity_Frontend[[#This Row],[Data]]="","",Buildings_GridElectricity_Backend[[#This Row],[Total (tCO2e)]]*(1+Buildings_GridElectricity_Backend[[#This Row],[RSD]]))</f>
        <v/>
      </c>
      <c r="AO140" s="210" t="str">
        <f>IF(Buildings_GridElectricity_Frontend[[#This Row],[Data]]="","",_xlfn.XLOOKUP(_xlfn.CONCAT(Buildings_GridElectricity_Backend[[#This Row],[Level 1]:[Level 6]]),rng_EFConcat,rng_EFOOS)*Buildings_GridElectricity_Backend[[#This Row],[Converted data]]/1000)</f>
        <v/>
      </c>
      <c r="AP140" s="174">
        <f>Buildings_GridElectricity_Frontend[[#This Row],[Ease of collection]]</f>
        <v>0</v>
      </c>
      <c r="AQ140" s="213">
        <f>Buildings_GridElectricity_Frontend[[#This Row],[Completeness]]</f>
        <v>0</v>
      </c>
      <c r="AR140" s="220">
        <f>Buildings_GridElectricity_Frontend[[#This Row],[Notes]]</f>
        <v>0</v>
      </c>
    </row>
    <row r="141" spans="5:44" x14ac:dyDescent="0.3">
      <c r="E141" s="346"/>
      <c r="F141" s="449"/>
      <c r="G141" s="336"/>
      <c r="H141" s="334"/>
      <c r="I141" s="172" t="s">
        <v>316</v>
      </c>
      <c r="J141" s="337"/>
      <c r="K141" s="336"/>
      <c r="L141" s="336"/>
      <c r="M141" s="337"/>
      <c r="N141" s="242">
        <f t="shared" si="5"/>
        <v>3</v>
      </c>
      <c r="Q141" s="212" t="str">
        <f t="shared" si="4"/>
        <v/>
      </c>
      <c r="R141" s="174" t="s">
        <v>265</v>
      </c>
      <c r="S141" s="174" t="s">
        <v>273</v>
      </c>
      <c r="T141" s="174" t="str">
        <f>_xlfn.XLOOKUP(Buildings_GridElectricity_Backend[[#This Row],[Info 1]],Buildings_SiteInfo[Site name],Buildings_SiteInfo[Site type], "")</f>
        <v/>
      </c>
      <c r="U141" s="174" t="s">
        <v>281</v>
      </c>
      <c r="V141" s="174" t="str" cm="1">
        <f t="array" aca="1" ref="V141" ca="1">_xlfn.XLOOKUP(Buildings_GridElectricity_Backend[[#This Row],[Level 4]],rng_Level4Long,rng_Level5Long)</f>
        <v>Electricity</v>
      </c>
      <c r="W141" s="174" t="str" cm="1">
        <f t="array" aca="1" ref="W141" ca="1">_xlfn.XLOOKUP(Buildings_GridElectricity_Backend[[#This Row],[Level 4]],rng_Level4Long,rng_Level6Long)</f>
        <v>NaN</v>
      </c>
      <c r="X141" s="174">
        <f>Buildings_GridElectricity_Frontend[[#This Row],[Site Name]]</f>
        <v>0</v>
      </c>
      <c r="Y141" s="174">
        <f>Buildings_GridElectricity_Frontend[[#This Row],[Contracting]]</f>
        <v>0</v>
      </c>
      <c r="Z141" s="174">
        <f>Buildings_GridElectricity_Frontend[[#This Row],[Methodology]]</f>
        <v>0</v>
      </c>
      <c r="AA141" s="229" t="str" cm="1">
        <f t="array" ref="AA141">IF(Buildings_GridElectricity_Frontend[[#This Row],[Data]]="","",INDEX(_xlfn.SWITCH(Buildings_GridElectricity_Backend[[#This Row],[Methodology]],"Tier 1",rng_RSD1,"Tier 2",rng_RSD2,"Tier 3",rng_RSD3),MATCH(_xlfn.CONCAT(Buildings_GridElectricity_Backend[[#This Row],[Level 1]:[Level 6]]),rng_LevelsConcat,0)))</f>
        <v/>
      </c>
      <c r="AB141" s="220">
        <f>Buildings_GridElectricity_Frontend[[#This Row],[Data]]</f>
        <v>0</v>
      </c>
      <c r="AC141" s="174" t="str">
        <f>Buildings_GridElectricity_Frontend[[#This Row],[Units]]</f>
        <v>kWh</v>
      </c>
      <c r="AD141" s="218">
        <f>Buildings_GridElectricity_Frontend[[#This Row],[Data]]</f>
        <v>0</v>
      </c>
      <c r="AE141" s="174" t="str">
        <f>Buildings_GridElectricity_Frontend[[#This Row],[Units]]</f>
        <v>kWh</v>
      </c>
      <c r="AF141" s="210" t="str">
        <f>IF(Buildings_GridElectricity_Frontend[[#This Row],[Data]]="","",_xlfn.XLOOKUP(_xlfn.CONCAT(Buildings_GridElectricity_Backend[[#This Row],[Level 1]:[Level 6]]),rng_EFConcat,rng_EF1)*Buildings_GridElectricity_Backend[[#This Row],[Converted data]]/1000)</f>
        <v/>
      </c>
      <c r="AG141" s="210" t="str">
        <f>IF(Buildings_GridElectricity_Frontend[[#This Row],[Data]]="","",_xlfn.XLOOKUP(_xlfn.CONCAT(Buildings_GridElectricity_Backend[[#This Row],[Level 1]:[Level 6]]),rng_EFConcat,rng_EF2)*Buildings_GridElectricity_Backend[[#This Row],[Converted data]]/1000)</f>
        <v/>
      </c>
      <c r="AH141" s="210" t="str">
        <f>IF(Buildings_GridElectricity_Frontend[[#This Row],[Data]]="","",_xlfn.XLOOKUP(_xlfn.CONCAT(Buildings_GridElectricity_Backend[[#This Row],[Level 1]:[Level 6]]),rng_EFConcat,rng_EF3)*Buildings_GridElectricity_Backend[[#This Row],[Converted data]]/1000)</f>
        <v/>
      </c>
      <c r="AI141" s="210" t="str">
        <f>IF(Buildings_GridElectricity_Frontend[[#This Row],[Data]]="","",_xlfn.XLOOKUP(_xlfn.CONCAT(Buildings_GridElectricity_Backend[[#This Row],[Level 1]:[Level 6]]),rng_EFConcat,rng_EF3WTT)*Buildings_GridElectricity_Backend[[#This Row],[Converted data]]/1000)</f>
        <v/>
      </c>
      <c r="AJ141" s="210" t="str">
        <f>IF(Buildings_GridElectricity_Frontend[[#This Row],[Data]]="","",_xlfn.XLOOKUP(_xlfn.CONCAT(Buildings_GridElectricity_Backend[[#This Row],[Level 1]:[Level 6]]),rng_EFConcat,rng_EF3TD)*Buildings_GridElectricity_Backend[[#This Row],[Converted data]]/1000)</f>
        <v/>
      </c>
      <c r="AK141" s="210" t="str">
        <f>IF(Buildings_GridElectricity_Frontend[[#This Row],[Data]]="","",_xlfn.XLOOKUP(_xlfn.CONCAT(Buildings_GridElectricity_Backend[[#This Row],[Level 1]:[Level 6]]),rng_EFConcat,rng_EF3WTTTD)*Buildings_GridElectricity_Backend[[#This Row],[Converted data]]/1000)</f>
        <v/>
      </c>
      <c r="AL141" s="220" t="str">
        <f>IF(Buildings_GridElectricity_Frontend[[#This Row],[Data]]="","",SUM(Buildings_GridElectricity_Backend[[#This Row],[Scope 1 (tCO2e)]:[Scope 3 WTT T&amp;D (tCO2e)]]))</f>
        <v/>
      </c>
      <c r="AM141" s="220" t="str">
        <f>IF(Buildings_GridElectricity_Frontend[[#This Row],[Data]]="","",Buildings_GridElectricity_Backend[[#This Row],[Total (tCO2e)]]*(1-Buildings_GridElectricity_Backend[[#This Row],[RSD]]))</f>
        <v/>
      </c>
      <c r="AN141" s="220" t="str">
        <f>IF(Buildings_GridElectricity_Frontend[[#This Row],[Data]]="","",Buildings_GridElectricity_Backend[[#This Row],[Total (tCO2e)]]*(1+Buildings_GridElectricity_Backend[[#This Row],[RSD]]))</f>
        <v/>
      </c>
      <c r="AO141" s="210" t="str">
        <f>IF(Buildings_GridElectricity_Frontend[[#This Row],[Data]]="","",_xlfn.XLOOKUP(_xlfn.CONCAT(Buildings_GridElectricity_Backend[[#This Row],[Level 1]:[Level 6]]),rng_EFConcat,rng_EFOOS)*Buildings_GridElectricity_Backend[[#This Row],[Converted data]]/1000)</f>
        <v/>
      </c>
      <c r="AP141" s="174">
        <f>Buildings_GridElectricity_Frontend[[#This Row],[Ease of collection]]</f>
        <v>0</v>
      </c>
      <c r="AQ141" s="213">
        <f>Buildings_GridElectricity_Frontend[[#This Row],[Completeness]]</f>
        <v>0</v>
      </c>
      <c r="AR141" s="220">
        <f>Buildings_GridElectricity_Frontend[[#This Row],[Notes]]</f>
        <v>0</v>
      </c>
    </row>
    <row r="142" spans="5:44" x14ac:dyDescent="0.3">
      <c r="E142" s="346"/>
      <c r="F142" s="449"/>
      <c r="G142" s="336"/>
      <c r="H142" s="334"/>
      <c r="I142" s="172" t="s">
        <v>316</v>
      </c>
      <c r="J142" s="337"/>
      <c r="K142" s="336"/>
      <c r="L142" s="336"/>
      <c r="M142" s="337"/>
      <c r="N142" s="242">
        <f t="shared" si="5"/>
        <v>3</v>
      </c>
      <c r="Q142" s="212" t="str">
        <f t="shared" si="4"/>
        <v/>
      </c>
      <c r="R142" s="174" t="s">
        <v>265</v>
      </c>
      <c r="S142" s="174" t="s">
        <v>273</v>
      </c>
      <c r="T142" s="174" t="str">
        <f>_xlfn.XLOOKUP(Buildings_GridElectricity_Backend[[#This Row],[Info 1]],Buildings_SiteInfo[Site name],Buildings_SiteInfo[Site type], "")</f>
        <v/>
      </c>
      <c r="U142" s="174" t="s">
        <v>281</v>
      </c>
      <c r="V142" s="174" t="str" cm="1">
        <f t="array" aca="1" ref="V142" ca="1">_xlfn.XLOOKUP(Buildings_GridElectricity_Backend[[#This Row],[Level 4]],rng_Level4Long,rng_Level5Long)</f>
        <v>Electricity</v>
      </c>
      <c r="W142" s="174" t="str" cm="1">
        <f t="array" aca="1" ref="W142" ca="1">_xlfn.XLOOKUP(Buildings_GridElectricity_Backend[[#This Row],[Level 4]],rng_Level4Long,rng_Level6Long)</f>
        <v>NaN</v>
      </c>
      <c r="X142" s="174">
        <f>Buildings_GridElectricity_Frontend[[#This Row],[Site Name]]</f>
        <v>0</v>
      </c>
      <c r="Y142" s="174">
        <f>Buildings_GridElectricity_Frontend[[#This Row],[Contracting]]</f>
        <v>0</v>
      </c>
      <c r="Z142" s="174">
        <f>Buildings_GridElectricity_Frontend[[#This Row],[Methodology]]</f>
        <v>0</v>
      </c>
      <c r="AA142" s="229" t="str" cm="1">
        <f t="array" ref="AA142">IF(Buildings_GridElectricity_Frontend[[#This Row],[Data]]="","",INDEX(_xlfn.SWITCH(Buildings_GridElectricity_Backend[[#This Row],[Methodology]],"Tier 1",rng_RSD1,"Tier 2",rng_RSD2,"Tier 3",rng_RSD3),MATCH(_xlfn.CONCAT(Buildings_GridElectricity_Backend[[#This Row],[Level 1]:[Level 6]]),rng_LevelsConcat,0)))</f>
        <v/>
      </c>
      <c r="AB142" s="220">
        <f>Buildings_GridElectricity_Frontend[[#This Row],[Data]]</f>
        <v>0</v>
      </c>
      <c r="AC142" s="174" t="str">
        <f>Buildings_GridElectricity_Frontend[[#This Row],[Units]]</f>
        <v>kWh</v>
      </c>
      <c r="AD142" s="218">
        <f>Buildings_GridElectricity_Frontend[[#This Row],[Data]]</f>
        <v>0</v>
      </c>
      <c r="AE142" s="174" t="str">
        <f>Buildings_GridElectricity_Frontend[[#This Row],[Units]]</f>
        <v>kWh</v>
      </c>
      <c r="AF142" s="210" t="str">
        <f>IF(Buildings_GridElectricity_Frontend[[#This Row],[Data]]="","",_xlfn.XLOOKUP(_xlfn.CONCAT(Buildings_GridElectricity_Backend[[#This Row],[Level 1]:[Level 6]]),rng_EFConcat,rng_EF1)*Buildings_GridElectricity_Backend[[#This Row],[Converted data]]/1000)</f>
        <v/>
      </c>
      <c r="AG142" s="210" t="str">
        <f>IF(Buildings_GridElectricity_Frontend[[#This Row],[Data]]="","",_xlfn.XLOOKUP(_xlfn.CONCAT(Buildings_GridElectricity_Backend[[#This Row],[Level 1]:[Level 6]]),rng_EFConcat,rng_EF2)*Buildings_GridElectricity_Backend[[#This Row],[Converted data]]/1000)</f>
        <v/>
      </c>
      <c r="AH142" s="210" t="str">
        <f>IF(Buildings_GridElectricity_Frontend[[#This Row],[Data]]="","",_xlfn.XLOOKUP(_xlfn.CONCAT(Buildings_GridElectricity_Backend[[#This Row],[Level 1]:[Level 6]]),rng_EFConcat,rng_EF3)*Buildings_GridElectricity_Backend[[#This Row],[Converted data]]/1000)</f>
        <v/>
      </c>
      <c r="AI142" s="210" t="str">
        <f>IF(Buildings_GridElectricity_Frontend[[#This Row],[Data]]="","",_xlfn.XLOOKUP(_xlfn.CONCAT(Buildings_GridElectricity_Backend[[#This Row],[Level 1]:[Level 6]]),rng_EFConcat,rng_EF3WTT)*Buildings_GridElectricity_Backend[[#This Row],[Converted data]]/1000)</f>
        <v/>
      </c>
      <c r="AJ142" s="210" t="str">
        <f>IF(Buildings_GridElectricity_Frontend[[#This Row],[Data]]="","",_xlfn.XLOOKUP(_xlfn.CONCAT(Buildings_GridElectricity_Backend[[#This Row],[Level 1]:[Level 6]]),rng_EFConcat,rng_EF3TD)*Buildings_GridElectricity_Backend[[#This Row],[Converted data]]/1000)</f>
        <v/>
      </c>
      <c r="AK142" s="210" t="str">
        <f>IF(Buildings_GridElectricity_Frontend[[#This Row],[Data]]="","",_xlfn.XLOOKUP(_xlfn.CONCAT(Buildings_GridElectricity_Backend[[#This Row],[Level 1]:[Level 6]]),rng_EFConcat,rng_EF3WTTTD)*Buildings_GridElectricity_Backend[[#This Row],[Converted data]]/1000)</f>
        <v/>
      </c>
      <c r="AL142" s="220" t="str">
        <f>IF(Buildings_GridElectricity_Frontend[[#This Row],[Data]]="","",SUM(Buildings_GridElectricity_Backend[[#This Row],[Scope 1 (tCO2e)]:[Scope 3 WTT T&amp;D (tCO2e)]]))</f>
        <v/>
      </c>
      <c r="AM142" s="220" t="str">
        <f>IF(Buildings_GridElectricity_Frontend[[#This Row],[Data]]="","",Buildings_GridElectricity_Backend[[#This Row],[Total (tCO2e)]]*(1-Buildings_GridElectricity_Backend[[#This Row],[RSD]]))</f>
        <v/>
      </c>
      <c r="AN142" s="220" t="str">
        <f>IF(Buildings_GridElectricity_Frontend[[#This Row],[Data]]="","",Buildings_GridElectricity_Backend[[#This Row],[Total (tCO2e)]]*(1+Buildings_GridElectricity_Backend[[#This Row],[RSD]]))</f>
        <v/>
      </c>
      <c r="AO142" s="210" t="str">
        <f>IF(Buildings_GridElectricity_Frontend[[#This Row],[Data]]="","",_xlfn.XLOOKUP(_xlfn.CONCAT(Buildings_GridElectricity_Backend[[#This Row],[Level 1]:[Level 6]]),rng_EFConcat,rng_EFOOS)*Buildings_GridElectricity_Backend[[#This Row],[Converted data]]/1000)</f>
        <v/>
      </c>
      <c r="AP142" s="174">
        <f>Buildings_GridElectricity_Frontend[[#This Row],[Ease of collection]]</f>
        <v>0</v>
      </c>
      <c r="AQ142" s="213">
        <f>Buildings_GridElectricity_Frontend[[#This Row],[Completeness]]</f>
        <v>0</v>
      </c>
      <c r="AR142" s="220">
        <f>Buildings_GridElectricity_Frontend[[#This Row],[Notes]]</f>
        <v>0</v>
      </c>
    </row>
    <row r="143" spans="5:44" x14ac:dyDescent="0.3">
      <c r="E143" s="346"/>
      <c r="F143" s="449"/>
      <c r="G143" s="336"/>
      <c r="H143" s="334"/>
      <c r="I143" s="172" t="s">
        <v>316</v>
      </c>
      <c r="J143" s="337"/>
      <c r="K143" s="336"/>
      <c r="L143" s="336"/>
      <c r="M143" s="337"/>
      <c r="N143" s="242">
        <f t="shared" si="5"/>
        <v>3</v>
      </c>
      <c r="Q143" s="212" t="str">
        <f t="shared" si="4"/>
        <v/>
      </c>
      <c r="R143" s="174" t="s">
        <v>265</v>
      </c>
      <c r="S143" s="174" t="s">
        <v>273</v>
      </c>
      <c r="T143" s="174" t="str">
        <f>_xlfn.XLOOKUP(Buildings_GridElectricity_Backend[[#This Row],[Info 1]],Buildings_SiteInfo[Site name],Buildings_SiteInfo[Site type], "")</f>
        <v/>
      </c>
      <c r="U143" s="174" t="s">
        <v>281</v>
      </c>
      <c r="V143" s="174" t="str" cm="1">
        <f t="array" aca="1" ref="V143" ca="1">_xlfn.XLOOKUP(Buildings_GridElectricity_Backend[[#This Row],[Level 4]],rng_Level4Long,rng_Level5Long)</f>
        <v>Electricity</v>
      </c>
      <c r="W143" s="174" t="str" cm="1">
        <f t="array" aca="1" ref="W143" ca="1">_xlfn.XLOOKUP(Buildings_GridElectricity_Backend[[#This Row],[Level 4]],rng_Level4Long,rng_Level6Long)</f>
        <v>NaN</v>
      </c>
      <c r="X143" s="174">
        <f>Buildings_GridElectricity_Frontend[[#This Row],[Site Name]]</f>
        <v>0</v>
      </c>
      <c r="Y143" s="174">
        <f>Buildings_GridElectricity_Frontend[[#This Row],[Contracting]]</f>
        <v>0</v>
      </c>
      <c r="Z143" s="174">
        <f>Buildings_GridElectricity_Frontend[[#This Row],[Methodology]]</f>
        <v>0</v>
      </c>
      <c r="AA143" s="229" t="str" cm="1">
        <f t="array" ref="AA143">IF(Buildings_GridElectricity_Frontend[[#This Row],[Data]]="","",INDEX(_xlfn.SWITCH(Buildings_GridElectricity_Backend[[#This Row],[Methodology]],"Tier 1",rng_RSD1,"Tier 2",rng_RSD2,"Tier 3",rng_RSD3),MATCH(_xlfn.CONCAT(Buildings_GridElectricity_Backend[[#This Row],[Level 1]:[Level 6]]),rng_LevelsConcat,0)))</f>
        <v/>
      </c>
      <c r="AB143" s="220">
        <f>Buildings_GridElectricity_Frontend[[#This Row],[Data]]</f>
        <v>0</v>
      </c>
      <c r="AC143" s="174" t="str">
        <f>Buildings_GridElectricity_Frontend[[#This Row],[Units]]</f>
        <v>kWh</v>
      </c>
      <c r="AD143" s="218">
        <f>Buildings_GridElectricity_Frontend[[#This Row],[Data]]</f>
        <v>0</v>
      </c>
      <c r="AE143" s="174" t="str">
        <f>Buildings_GridElectricity_Frontend[[#This Row],[Units]]</f>
        <v>kWh</v>
      </c>
      <c r="AF143" s="210" t="str">
        <f>IF(Buildings_GridElectricity_Frontend[[#This Row],[Data]]="","",_xlfn.XLOOKUP(_xlfn.CONCAT(Buildings_GridElectricity_Backend[[#This Row],[Level 1]:[Level 6]]),rng_EFConcat,rng_EF1)*Buildings_GridElectricity_Backend[[#This Row],[Converted data]]/1000)</f>
        <v/>
      </c>
      <c r="AG143" s="210" t="str">
        <f>IF(Buildings_GridElectricity_Frontend[[#This Row],[Data]]="","",_xlfn.XLOOKUP(_xlfn.CONCAT(Buildings_GridElectricity_Backend[[#This Row],[Level 1]:[Level 6]]),rng_EFConcat,rng_EF2)*Buildings_GridElectricity_Backend[[#This Row],[Converted data]]/1000)</f>
        <v/>
      </c>
      <c r="AH143" s="210" t="str">
        <f>IF(Buildings_GridElectricity_Frontend[[#This Row],[Data]]="","",_xlfn.XLOOKUP(_xlfn.CONCAT(Buildings_GridElectricity_Backend[[#This Row],[Level 1]:[Level 6]]),rng_EFConcat,rng_EF3)*Buildings_GridElectricity_Backend[[#This Row],[Converted data]]/1000)</f>
        <v/>
      </c>
      <c r="AI143" s="210" t="str">
        <f>IF(Buildings_GridElectricity_Frontend[[#This Row],[Data]]="","",_xlfn.XLOOKUP(_xlfn.CONCAT(Buildings_GridElectricity_Backend[[#This Row],[Level 1]:[Level 6]]),rng_EFConcat,rng_EF3WTT)*Buildings_GridElectricity_Backend[[#This Row],[Converted data]]/1000)</f>
        <v/>
      </c>
      <c r="AJ143" s="210" t="str">
        <f>IF(Buildings_GridElectricity_Frontend[[#This Row],[Data]]="","",_xlfn.XLOOKUP(_xlfn.CONCAT(Buildings_GridElectricity_Backend[[#This Row],[Level 1]:[Level 6]]),rng_EFConcat,rng_EF3TD)*Buildings_GridElectricity_Backend[[#This Row],[Converted data]]/1000)</f>
        <v/>
      </c>
      <c r="AK143" s="210" t="str">
        <f>IF(Buildings_GridElectricity_Frontend[[#This Row],[Data]]="","",_xlfn.XLOOKUP(_xlfn.CONCAT(Buildings_GridElectricity_Backend[[#This Row],[Level 1]:[Level 6]]),rng_EFConcat,rng_EF3WTTTD)*Buildings_GridElectricity_Backend[[#This Row],[Converted data]]/1000)</f>
        <v/>
      </c>
      <c r="AL143" s="220" t="str">
        <f>IF(Buildings_GridElectricity_Frontend[[#This Row],[Data]]="","",SUM(Buildings_GridElectricity_Backend[[#This Row],[Scope 1 (tCO2e)]:[Scope 3 WTT T&amp;D (tCO2e)]]))</f>
        <v/>
      </c>
      <c r="AM143" s="220" t="str">
        <f>IF(Buildings_GridElectricity_Frontend[[#This Row],[Data]]="","",Buildings_GridElectricity_Backend[[#This Row],[Total (tCO2e)]]*(1-Buildings_GridElectricity_Backend[[#This Row],[RSD]]))</f>
        <v/>
      </c>
      <c r="AN143" s="220" t="str">
        <f>IF(Buildings_GridElectricity_Frontend[[#This Row],[Data]]="","",Buildings_GridElectricity_Backend[[#This Row],[Total (tCO2e)]]*(1+Buildings_GridElectricity_Backend[[#This Row],[RSD]]))</f>
        <v/>
      </c>
      <c r="AO143" s="210" t="str">
        <f>IF(Buildings_GridElectricity_Frontend[[#This Row],[Data]]="","",_xlfn.XLOOKUP(_xlfn.CONCAT(Buildings_GridElectricity_Backend[[#This Row],[Level 1]:[Level 6]]),rng_EFConcat,rng_EFOOS)*Buildings_GridElectricity_Backend[[#This Row],[Converted data]]/1000)</f>
        <v/>
      </c>
      <c r="AP143" s="174">
        <f>Buildings_GridElectricity_Frontend[[#This Row],[Ease of collection]]</f>
        <v>0</v>
      </c>
      <c r="AQ143" s="213">
        <f>Buildings_GridElectricity_Frontend[[#This Row],[Completeness]]</f>
        <v>0</v>
      </c>
      <c r="AR143" s="220">
        <f>Buildings_GridElectricity_Frontend[[#This Row],[Notes]]</f>
        <v>0</v>
      </c>
    </row>
    <row r="144" spans="5:44" x14ac:dyDescent="0.3">
      <c r="E144" s="346"/>
      <c r="F144" s="449"/>
      <c r="G144" s="336"/>
      <c r="H144" s="334"/>
      <c r="I144" s="172" t="s">
        <v>316</v>
      </c>
      <c r="J144" s="337"/>
      <c r="K144" s="336"/>
      <c r="L144" s="336"/>
      <c r="M144" s="337"/>
      <c r="N144" s="242">
        <f t="shared" si="5"/>
        <v>3</v>
      </c>
      <c r="Q144" s="212" t="str">
        <f t="shared" si="4"/>
        <v/>
      </c>
      <c r="R144" s="174" t="s">
        <v>265</v>
      </c>
      <c r="S144" s="174" t="s">
        <v>273</v>
      </c>
      <c r="T144" s="174" t="str">
        <f>_xlfn.XLOOKUP(Buildings_GridElectricity_Backend[[#This Row],[Info 1]],Buildings_SiteInfo[Site name],Buildings_SiteInfo[Site type], "")</f>
        <v/>
      </c>
      <c r="U144" s="174" t="s">
        <v>281</v>
      </c>
      <c r="V144" s="174" t="str" cm="1">
        <f t="array" aca="1" ref="V144" ca="1">_xlfn.XLOOKUP(Buildings_GridElectricity_Backend[[#This Row],[Level 4]],rng_Level4Long,rng_Level5Long)</f>
        <v>Electricity</v>
      </c>
      <c r="W144" s="174" t="str" cm="1">
        <f t="array" aca="1" ref="W144" ca="1">_xlfn.XLOOKUP(Buildings_GridElectricity_Backend[[#This Row],[Level 4]],rng_Level4Long,rng_Level6Long)</f>
        <v>NaN</v>
      </c>
      <c r="X144" s="174">
        <f>Buildings_GridElectricity_Frontend[[#This Row],[Site Name]]</f>
        <v>0</v>
      </c>
      <c r="Y144" s="174">
        <f>Buildings_GridElectricity_Frontend[[#This Row],[Contracting]]</f>
        <v>0</v>
      </c>
      <c r="Z144" s="174">
        <f>Buildings_GridElectricity_Frontend[[#This Row],[Methodology]]</f>
        <v>0</v>
      </c>
      <c r="AA144" s="229" t="str" cm="1">
        <f t="array" ref="AA144">IF(Buildings_GridElectricity_Frontend[[#This Row],[Data]]="","",INDEX(_xlfn.SWITCH(Buildings_GridElectricity_Backend[[#This Row],[Methodology]],"Tier 1",rng_RSD1,"Tier 2",rng_RSD2,"Tier 3",rng_RSD3),MATCH(_xlfn.CONCAT(Buildings_GridElectricity_Backend[[#This Row],[Level 1]:[Level 6]]),rng_LevelsConcat,0)))</f>
        <v/>
      </c>
      <c r="AB144" s="220">
        <f>Buildings_GridElectricity_Frontend[[#This Row],[Data]]</f>
        <v>0</v>
      </c>
      <c r="AC144" s="174" t="str">
        <f>Buildings_GridElectricity_Frontend[[#This Row],[Units]]</f>
        <v>kWh</v>
      </c>
      <c r="AD144" s="218">
        <f>Buildings_GridElectricity_Frontend[[#This Row],[Data]]</f>
        <v>0</v>
      </c>
      <c r="AE144" s="174" t="str">
        <f>Buildings_GridElectricity_Frontend[[#This Row],[Units]]</f>
        <v>kWh</v>
      </c>
      <c r="AF144" s="210" t="str">
        <f>IF(Buildings_GridElectricity_Frontend[[#This Row],[Data]]="","",_xlfn.XLOOKUP(_xlfn.CONCAT(Buildings_GridElectricity_Backend[[#This Row],[Level 1]:[Level 6]]),rng_EFConcat,rng_EF1)*Buildings_GridElectricity_Backend[[#This Row],[Converted data]]/1000)</f>
        <v/>
      </c>
      <c r="AG144" s="210" t="str">
        <f>IF(Buildings_GridElectricity_Frontend[[#This Row],[Data]]="","",_xlfn.XLOOKUP(_xlfn.CONCAT(Buildings_GridElectricity_Backend[[#This Row],[Level 1]:[Level 6]]),rng_EFConcat,rng_EF2)*Buildings_GridElectricity_Backend[[#This Row],[Converted data]]/1000)</f>
        <v/>
      </c>
      <c r="AH144" s="210" t="str">
        <f>IF(Buildings_GridElectricity_Frontend[[#This Row],[Data]]="","",_xlfn.XLOOKUP(_xlfn.CONCAT(Buildings_GridElectricity_Backend[[#This Row],[Level 1]:[Level 6]]),rng_EFConcat,rng_EF3)*Buildings_GridElectricity_Backend[[#This Row],[Converted data]]/1000)</f>
        <v/>
      </c>
      <c r="AI144" s="210" t="str">
        <f>IF(Buildings_GridElectricity_Frontend[[#This Row],[Data]]="","",_xlfn.XLOOKUP(_xlfn.CONCAT(Buildings_GridElectricity_Backend[[#This Row],[Level 1]:[Level 6]]),rng_EFConcat,rng_EF3WTT)*Buildings_GridElectricity_Backend[[#This Row],[Converted data]]/1000)</f>
        <v/>
      </c>
      <c r="AJ144" s="210" t="str">
        <f>IF(Buildings_GridElectricity_Frontend[[#This Row],[Data]]="","",_xlfn.XLOOKUP(_xlfn.CONCAT(Buildings_GridElectricity_Backend[[#This Row],[Level 1]:[Level 6]]),rng_EFConcat,rng_EF3TD)*Buildings_GridElectricity_Backend[[#This Row],[Converted data]]/1000)</f>
        <v/>
      </c>
      <c r="AK144" s="210" t="str">
        <f>IF(Buildings_GridElectricity_Frontend[[#This Row],[Data]]="","",_xlfn.XLOOKUP(_xlfn.CONCAT(Buildings_GridElectricity_Backend[[#This Row],[Level 1]:[Level 6]]),rng_EFConcat,rng_EF3WTTTD)*Buildings_GridElectricity_Backend[[#This Row],[Converted data]]/1000)</f>
        <v/>
      </c>
      <c r="AL144" s="220" t="str">
        <f>IF(Buildings_GridElectricity_Frontend[[#This Row],[Data]]="","",SUM(Buildings_GridElectricity_Backend[[#This Row],[Scope 1 (tCO2e)]:[Scope 3 WTT T&amp;D (tCO2e)]]))</f>
        <v/>
      </c>
      <c r="AM144" s="220" t="str">
        <f>IF(Buildings_GridElectricity_Frontend[[#This Row],[Data]]="","",Buildings_GridElectricity_Backend[[#This Row],[Total (tCO2e)]]*(1-Buildings_GridElectricity_Backend[[#This Row],[RSD]]))</f>
        <v/>
      </c>
      <c r="AN144" s="220" t="str">
        <f>IF(Buildings_GridElectricity_Frontend[[#This Row],[Data]]="","",Buildings_GridElectricity_Backend[[#This Row],[Total (tCO2e)]]*(1+Buildings_GridElectricity_Backend[[#This Row],[RSD]]))</f>
        <v/>
      </c>
      <c r="AO144" s="210" t="str">
        <f>IF(Buildings_GridElectricity_Frontend[[#This Row],[Data]]="","",_xlfn.XLOOKUP(_xlfn.CONCAT(Buildings_GridElectricity_Backend[[#This Row],[Level 1]:[Level 6]]),rng_EFConcat,rng_EFOOS)*Buildings_GridElectricity_Backend[[#This Row],[Converted data]]/1000)</f>
        <v/>
      </c>
      <c r="AP144" s="174">
        <f>Buildings_GridElectricity_Frontend[[#This Row],[Ease of collection]]</f>
        <v>0</v>
      </c>
      <c r="AQ144" s="213">
        <f>Buildings_GridElectricity_Frontend[[#This Row],[Completeness]]</f>
        <v>0</v>
      </c>
      <c r="AR144" s="220">
        <f>Buildings_GridElectricity_Frontend[[#This Row],[Notes]]</f>
        <v>0</v>
      </c>
    </row>
    <row r="145" spans="5:44" x14ac:dyDescent="0.3">
      <c r="E145" s="346"/>
      <c r="F145" s="449"/>
      <c r="G145" s="336"/>
      <c r="H145" s="334"/>
      <c r="I145" s="172" t="s">
        <v>316</v>
      </c>
      <c r="J145" s="337"/>
      <c r="K145" s="336"/>
      <c r="L145" s="336"/>
      <c r="M145" s="337"/>
      <c r="N145" s="242">
        <f t="shared" si="5"/>
        <v>3</v>
      </c>
      <c r="Q145" s="212" t="str">
        <f t="shared" si="4"/>
        <v/>
      </c>
      <c r="R145" s="174" t="s">
        <v>265</v>
      </c>
      <c r="S145" s="174" t="s">
        <v>273</v>
      </c>
      <c r="T145" s="174" t="str">
        <f>_xlfn.XLOOKUP(Buildings_GridElectricity_Backend[[#This Row],[Info 1]],Buildings_SiteInfo[Site name],Buildings_SiteInfo[Site type], "")</f>
        <v/>
      </c>
      <c r="U145" s="174" t="s">
        <v>281</v>
      </c>
      <c r="V145" s="174" t="str" cm="1">
        <f t="array" aca="1" ref="V145" ca="1">_xlfn.XLOOKUP(Buildings_GridElectricity_Backend[[#This Row],[Level 4]],rng_Level4Long,rng_Level5Long)</f>
        <v>Electricity</v>
      </c>
      <c r="W145" s="174" t="str" cm="1">
        <f t="array" aca="1" ref="W145" ca="1">_xlfn.XLOOKUP(Buildings_GridElectricity_Backend[[#This Row],[Level 4]],rng_Level4Long,rng_Level6Long)</f>
        <v>NaN</v>
      </c>
      <c r="X145" s="174">
        <f>Buildings_GridElectricity_Frontend[[#This Row],[Site Name]]</f>
        <v>0</v>
      </c>
      <c r="Y145" s="174">
        <f>Buildings_GridElectricity_Frontend[[#This Row],[Contracting]]</f>
        <v>0</v>
      </c>
      <c r="Z145" s="174">
        <f>Buildings_GridElectricity_Frontend[[#This Row],[Methodology]]</f>
        <v>0</v>
      </c>
      <c r="AA145" s="229" t="str" cm="1">
        <f t="array" ref="AA145">IF(Buildings_GridElectricity_Frontend[[#This Row],[Data]]="","",INDEX(_xlfn.SWITCH(Buildings_GridElectricity_Backend[[#This Row],[Methodology]],"Tier 1",rng_RSD1,"Tier 2",rng_RSD2,"Tier 3",rng_RSD3),MATCH(_xlfn.CONCAT(Buildings_GridElectricity_Backend[[#This Row],[Level 1]:[Level 6]]),rng_LevelsConcat,0)))</f>
        <v/>
      </c>
      <c r="AB145" s="220">
        <f>Buildings_GridElectricity_Frontend[[#This Row],[Data]]</f>
        <v>0</v>
      </c>
      <c r="AC145" s="174" t="str">
        <f>Buildings_GridElectricity_Frontend[[#This Row],[Units]]</f>
        <v>kWh</v>
      </c>
      <c r="AD145" s="218">
        <f>Buildings_GridElectricity_Frontend[[#This Row],[Data]]</f>
        <v>0</v>
      </c>
      <c r="AE145" s="174" t="str">
        <f>Buildings_GridElectricity_Frontend[[#This Row],[Units]]</f>
        <v>kWh</v>
      </c>
      <c r="AF145" s="210" t="str">
        <f>IF(Buildings_GridElectricity_Frontend[[#This Row],[Data]]="","",_xlfn.XLOOKUP(_xlfn.CONCAT(Buildings_GridElectricity_Backend[[#This Row],[Level 1]:[Level 6]]),rng_EFConcat,rng_EF1)*Buildings_GridElectricity_Backend[[#This Row],[Converted data]]/1000)</f>
        <v/>
      </c>
      <c r="AG145" s="210" t="str">
        <f>IF(Buildings_GridElectricity_Frontend[[#This Row],[Data]]="","",_xlfn.XLOOKUP(_xlfn.CONCAT(Buildings_GridElectricity_Backend[[#This Row],[Level 1]:[Level 6]]),rng_EFConcat,rng_EF2)*Buildings_GridElectricity_Backend[[#This Row],[Converted data]]/1000)</f>
        <v/>
      </c>
      <c r="AH145" s="210" t="str">
        <f>IF(Buildings_GridElectricity_Frontend[[#This Row],[Data]]="","",_xlfn.XLOOKUP(_xlfn.CONCAT(Buildings_GridElectricity_Backend[[#This Row],[Level 1]:[Level 6]]),rng_EFConcat,rng_EF3)*Buildings_GridElectricity_Backend[[#This Row],[Converted data]]/1000)</f>
        <v/>
      </c>
      <c r="AI145" s="210" t="str">
        <f>IF(Buildings_GridElectricity_Frontend[[#This Row],[Data]]="","",_xlfn.XLOOKUP(_xlfn.CONCAT(Buildings_GridElectricity_Backend[[#This Row],[Level 1]:[Level 6]]),rng_EFConcat,rng_EF3WTT)*Buildings_GridElectricity_Backend[[#This Row],[Converted data]]/1000)</f>
        <v/>
      </c>
      <c r="AJ145" s="210" t="str">
        <f>IF(Buildings_GridElectricity_Frontend[[#This Row],[Data]]="","",_xlfn.XLOOKUP(_xlfn.CONCAT(Buildings_GridElectricity_Backend[[#This Row],[Level 1]:[Level 6]]),rng_EFConcat,rng_EF3TD)*Buildings_GridElectricity_Backend[[#This Row],[Converted data]]/1000)</f>
        <v/>
      </c>
      <c r="AK145" s="210" t="str">
        <f>IF(Buildings_GridElectricity_Frontend[[#This Row],[Data]]="","",_xlfn.XLOOKUP(_xlfn.CONCAT(Buildings_GridElectricity_Backend[[#This Row],[Level 1]:[Level 6]]),rng_EFConcat,rng_EF3WTTTD)*Buildings_GridElectricity_Backend[[#This Row],[Converted data]]/1000)</f>
        <v/>
      </c>
      <c r="AL145" s="220" t="str">
        <f>IF(Buildings_GridElectricity_Frontend[[#This Row],[Data]]="","",SUM(Buildings_GridElectricity_Backend[[#This Row],[Scope 1 (tCO2e)]:[Scope 3 WTT T&amp;D (tCO2e)]]))</f>
        <v/>
      </c>
      <c r="AM145" s="220" t="str">
        <f>IF(Buildings_GridElectricity_Frontend[[#This Row],[Data]]="","",Buildings_GridElectricity_Backend[[#This Row],[Total (tCO2e)]]*(1-Buildings_GridElectricity_Backend[[#This Row],[RSD]]))</f>
        <v/>
      </c>
      <c r="AN145" s="220" t="str">
        <f>IF(Buildings_GridElectricity_Frontend[[#This Row],[Data]]="","",Buildings_GridElectricity_Backend[[#This Row],[Total (tCO2e)]]*(1+Buildings_GridElectricity_Backend[[#This Row],[RSD]]))</f>
        <v/>
      </c>
      <c r="AO145" s="210" t="str">
        <f>IF(Buildings_GridElectricity_Frontend[[#This Row],[Data]]="","",_xlfn.XLOOKUP(_xlfn.CONCAT(Buildings_GridElectricity_Backend[[#This Row],[Level 1]:[Level 6]]),rng_EFConcat,rng_EFOOS)*Buildings_GridElectricity_Backend[[#This Row],[Converted data]]/1000)</f>
        <v/>
      </c>
      <c r="AP145" s="174">
        <f>Buildings_GridElectricity_Frontend[[#This Row],[Ease of collection]]</f>
        <v>0</v>
      </c>
      <c r="AQ145" s="213">
        <f>Buildings_GridElectricity_Frontend[[#This Row],[Completeness]]</f>
        <v>0</v>
      </c>
      <c r="AR145" s="220">
        <f>Buildings_GridElectricity_Frontend[[#This Row],[Notes]]</f>
        <v>0</v>
      </c>
    </row>
    <row r="146" spans="5:44" x14ac:dyDescent="0.3">
      <c r="E146" s="346"/>
      <c r="F146" s="449"/>
      <c r="G146" s="336"/>
      <c r="H146" s="334"/>
      <c r="I146" s="172" t="s">
        <v>316</v>
      </c>
      <c r="J146" s="337"/>
      <c r="K146" s="336"/>
      <c r="L146" s="336"/>
      <c r="M146" s="337"/>
      <c r="N146" s="242">
        <f t="shared" si="5"/>
        <v>3</v>
      </c>
      <c r="Q146" s="212" t="str">
        <f t="shared" si="4"/>
        <v/>
      </c>
      <c r="R146" s="174" t="s">
        <v>265</v>
      </c>
      <c r="S146" s="174" t="s">
        <v>273</v>
      </c>
      <c r="T146" s="174" t="str">
        <f>_xlfn.XLOOKUP(Buildings_GridElectricity_Backend[[#This Row],[Info 1]],Buildings_SiteInfo[Site name],Buildings_SiteInfo[Site type], "")</f>
        <v/>
      </c>
      <c r="U146" s="174" t="s">
        <v>281</v>
      </c>
      <c r="V146" s="174" t="str" cm="1">
        <f t="array" aca="1" ref="V146" ca="1">_xlfn.XLOOKUP(Buildings_GridElectricity_Backend[[#This Row],[Level 4]],rng_Level4Long,rng_Level5Long)</f>
        <v>Electricity</v>
      </c>
      <c r="W146" s="174" t="str" cm="1">
        <f t="array" aca="1" ref="W146" ca="1">_xlfn.XLOOKUP(Buildings_GridElectricity_Backend[[#This Row],[Level 4]],rng_Level4Long,rng_Level6Long)</f>
        <v>NaN</v>
      </c>
      <c r="X146" s="174">
        <f>Buildings_GridElectricity_Frontend[[#This Row],[Site Name]]</f>
        <v>0</v>
      </c>
      <c r="Y146" s="174">
        <f>Buildings_GridElectricity_Frontend[[#This Row],[Contracting]]</f>
        <v>0</v>
      </c>
      <c r="Z146" s="174">
        <f>Buildings_GridElectricity_Frontend[[#This Row],[Methodology]]</f>
        <v>0</v>
      </c>
      <c r="AA146" s="229" t="str" cm="1">
        <f t="array" ref="AA146">IF(Buildings_GridElectricity_Frontend[[#This Row],[Data]]="","",INDEX(_xlfn.SWITCH(Buildings_GridElectricity_Backend[[#This Row],[Methodology]],"Tier 1",rng_RSD1,"Tier 2",rng_RSD2,"Tier 3",rng_RSD3),MATCH(_xlfn.CONCAT(Buildings_GridElectricity_Backend[[#This Row],[Level 1]:[Level 6]]),rng_LevelsConcat,0)))</f>
        <v/>
      </c>
      <c r="AB146" s="220">
        <f>Buildings_GridElectricity_Frontend[[#This Row],[Data]]</f>
        <v>0</v>
      </c>
      <c r="AC146" s="174" t="str">
        <f>Buildings_GridElectricity_Frontend[[#This Row],[Units]]</f>
        <v>kWh</v>
      </c>
      <c r="AD146" s="218">
        <f>Buildings_GridElectricity_Frontend[[#This Row],[Data]]</f>
        <v>0</v>
      </c>
      <c r="AE146" s="174" t="str">
        <f>Buildings_GridElectricity_Frontend[[#This Row],[Units]]</f>
        <v>kWh</v>
      </c>
      <c r="AF146" s="210" t="str">
        <f>IF(Buildings_GridElectricity_Frontend[[#This Row],[Data]]="","",_xlfn.XLOOKUP(_xlfn.CONCAT(Buildings_GridElectricity_Backend[[#This Row],[Level 1]:[Level 6]]),rng_EFConcat,rng_EF1)*Buildings_GridElectricity_Backend[[#This Row],[Converted data]]/1000)</f>
        <v/>
      </c>
      <c r="AG146" s="210" t="str">
        <f>IF(Buildings_GridElectricity_Frontend[[#This Row],[Data]]="","",_xlfn.XLOOKUP(_xlfn.CONCAT(Buildings_GridElectricity_Backend[[#This Row],[Level 1]:[Level 6]]),rng_EFConcat,rng_EF2)*Buildings_GridElectricity_Backend[[#This Row],[Converted data]]/1000)</f>
        <v/>
      </c>
      <c r="AH146" s="210" t="str">
        <f>IF(Buildings_GridElectricity_Frontend[[#This Row],[Data]]="","",_xlfn.XLOOKUP(_xlfn.CONCAT(Buildings_GridElectricity_Backend[[#This Row],[Level 1]:[Level 6]]),rng_EFConcat,rng_EF3)*Buildings_GridElectricity_Backend[[#This Row],[Converted data]]/1000)</f>
        <v/>
      </c>
      <c r="AI146" s="210" t="str">
        <f>IF(Buildings_GridElectricity_Frontend[[#This Row],[Data]]="","",_xlfn.XLOOKUP(_xlfn.CONCAT(Buildings_GridElectricity_Backend[[#This Row],[Level 1]:[Level 6]]),rng_EFConcat,rng_EF3WTT)*Buildings_GridElectricity_Backend[[#This Row],[Converted data]]/1000)</f>
        <v/>
      </c>
      <c r="AJ146" s="210" t="str">
        <f>IF(Buildings_GridElectricity_Frontend[[#This Row],[Data]]="","",_xlfn.XLOOKUP(_xlfn.CONCAT(Buildings_GridElectricity_Backend[[#This Row],[Level 1]:[Level 6]]),rng_EFConcat,rng_EF3TD)*Buildings_GridElectricity_Backend[[#This Row],[Converted data]]/1000)</f>
        <v/>
      </c>
      <c r="AK146" s="210" t="str">
        <f>IF(Buildings_GridElectricity_Frontend[[#This Row],[Data]]="","",_xlfn.XLOOKUP(_xlfn.CONCAT(Buildings_GridElectricity_Backend[[#This Row],[Level 1]:[Level 6]]),rng_EFConcat,rng_EF3WTTTD)*Buildings_GridElectricity_Backend[[#This Row],[Converted data]]/1000)</f>
        <v/>
      </c>
      <c r="AL146" s="220" t="str">
        <f>IF(Buildings_GridElectricity_Frontend[[#This Row],[Data]]="","",SUM(Buildings_GridElectricity_Backend[[#This Row],[Scope 1 (tCO2e)]:[Scope 3 WTT T&amp;D (tCO2e)]]))</f>
        <v/>
      </c>
      <c r="AM146" s="220" t="str">
        <f>IF(Buildings_GridElectricity_Frontend[[#This Row],[Data]]="","",Buildings_GridElectricity_Backend[[#This Row],[Total (tCO2e)]]*(1-Buildings_GridElectricity_Backend[[#This Row],[RSD]]))</f>
        <v/>
      </c>
      <c r="AN146" s="220" t="str">
        <f>IF(Buildings_GridElectricity_Frontend[[#This Row],[Data]]="","",Buildings_GridElectricity_Backend[[#This Row],[Total (tCO2e)]]*(1+Buildings_GridElectricity_Backend[[#This Row],[RSD]]))</f>
        <v/>
      </c>
      <c r="AO146" s="210" t="str">
        <f>IF(Buildings_GridElectricity_Frontend[[#This Row],[Data]]="","",_xlfn.XLOOKUP(_xlfn.CONCAT(Buildings_GridElectricity_Backend[[#This Row],[Level 1]:[Level 6]]),rng_EFConcat,rng_EFOOS)*Buildings_GridElectricity_Backend[[#This Row],[Converted data]]/1000)</f>
        <v/>
      </c>
      <c r="AP146" s="174">
        <f>Buildings_GridElectricity_Frontend[[#This Row],[Ease of collection]]</f>
        <v>0</v>
      </c>
      <c r="AQ146" s="213">
        <f>Buildings_GridElectricity_Frontend[[#This Row],[Completeness]]</f>
        <v>0</v>
      </c>
      <c r="AR146" s="220">
        <f>Buildings_GridElectricity_Frontend[[#This Row],[Notes]]</f>
        <v>0</v>
      </c>
    </row>
    <row r="147" spans="5:44" x14ac:dyDescent="0.3">
      <c r="E147" s="346"/>
      <c r="F147" s="449"/>
      <c r="G147" s="336"/>
      <c r="H147" s="334"/>
      <c r="I147" s="172" t="s">
        <v>316</v>
      </c>
      <c r="J147" s="337"/>
      <c r="K147" s="336"/>
      <c r="L147" s="336"/>
      <c r="M147" s="337"/>
      <c r="N147" s="242">
        <f t="shared" si="5"/>
        <v>3</v>
      </c>
      <c r="Q147" s="212" t="str">
        <f t="shared" si="4"/>
        <v/>
      </c>
      <c r="R147" s="174" t="s">
        <v>265</v>
      </c>
      <c r="S147" s="174" t="s">
        <v>273</v>
      </c>
      <c r="T147" s="174" t="str">
        <f>_xlfn.XLOOKUP(Buildings_GridElectricity_Backend[[#This Row],[Info 1]],Buildings_SiteInfo[Site name],Buildings_SiteInfo[Site type], "")</f>
        <v/>
      </c>
      <c r="U147" s="174" t="s">
        <v>281</v>
      </c>
      <c r="V147" s="174" t="str" cm="1">
        <f t="array" aca="1" ref="V147" ca="1">_xlfn.XLOOKUP(Buildings_GridElectricity_Backend[[#This Row],[Level 4]],rng_Level4Long,rng_Level5Long)</f>
        <v>Electricity</v>
      </c>
      <c r="W147" s="174" t="str" cm="1">
        <f t="array" aca="1" ref="W147" ca="1">_xlfn.XLOOKUP(Buildings_GridElectricity_Backend[[#This Row],[Level 4]],rng_Level4Long,rng_Level6Long)</f>
        <v>NaN</v>
      </c>
      <c r="X147" s="174">
        <f>Buildings_GridElectricity_Frontend[[#This Row],[Site Name]]</f>
        <v>0</v>
      </c>
      <c r="Y147" s="174">
        <f>Buildings_GridElectricity_Frontend[[#This Row],[Contracting]]</f>
        <v>0</v>
      </c>
      <c r="Z147" s="174">
        <f>Buildings_GridElectricity_Frontend[[#This Row],[Methodology]]</f>
        <v>0</v>
      </c>
      <c r="AA147" s="229" t="str" cm="1">
        <f t="array" ref="AA147">IF(Buildings_GridElectricity_Frontend[[#This Row],[Data]]="","",INDEX(_xlfn.SWITCH(Buildings_GridElectricity_Backend[[#This Row],[Methodology]],"Tier 1",rng_RSD1,"Tier 2",rng_RSD2,"Tier 3",rng_RSD3),MATCH(_xlfn.CONCAT(Buildings_GridElectricity_Backend[[#This Row],[Level 1]:[Level 6]]),rng_LevelsConcat,0)))</f>
        <v/>
      </c>
      <c r="AB147" s="220">
        <f>Buildings_GridElectricity_Frontend[[#This Row],[Data]]</f>
        <v>0</v>
      </c>
      <c r="AC147" s="174" t="str">
        <f>Buildings_GridElectricity_Frontend[[#This Row],[Units]]</f>
        <v>kWh</v>
      </c>
      <c r="AD147" s="218">
        <f>Buildings_GridElectricity_Frontend[[#This Row],[Data]]</f>
        <v>0</v>
      </c>
      <c r="AE147" s="174" t="str">
        <f>Buildings_GridElectricity_Frontend[[#This Row],[Units]]</f>
        <v>kWh</v>
      </c>
      <c r="AF147" s="210" t="str">
        <f>IF(Buildings_GridElectricity_Frontend[[#This Row],[Data]]="","",_xlfn.XLOOKUP(_xlfn.CONCAT(Buildings_GridElectricity_Backend[[#This Row],[Level 1]:[Level 6]]),rng_EFConcat,rng_EF1)*Buildings_GridElectricity_Backend[[#This Row],[Converted data]]/1000)</f>
        <v/>
      </c>
      <c r="AG147" s="210" t="str">
        <f>IF(Buildings_GridElectricity_Frontend[[#This Row],[Data]]="","",_xlfn.XLOOKUP(_xlfn.CONCAT(Buildings_GridElectricity_Backend[[#This Row],[Level 1]:[Level 6]]),rng_EFConcat,rng_EF2)*Buildings_GridElectricity_Backend[[#This Row],[Converted data]]/1000)</f>
        <v/>
      </c>
      <c r="AH147" s="210" t="str">
        <f>IF(Buildings_GridElectricity_Frontend[[#This Row],[Data]]="","",_xlfn.XLOOKUP(_xlfn.CONCAT(Buildings_GridElectricity_Backend[[#This Row],[Level 1]:[Level 6]]),rng_EFConcat,rng_EF3)*Buildings_GridElectricity_Backend[[#This Row],[Converted data]]/1000)</f>
        <v/>
      </c>
      <c r="AI147" s="210" t="str">
        <f>IF(Buildings_GridElectricity_Frontend[[#This Row],[Data]]="","",_xlfn.XLOOKUP(_xlfn.CONCAT(Buildings_GridElectricity_Backend[[#This Row],[Level 1]:[Level 6]]),rng_EFConcat,rng_EF3WTT)*Buildings_GridElectricity_Backend[[#This Row],[Converted data]]/1000)</f>
        <v/>
      </c>
      <c r="AJ147" s="210" t="str">
        <f>IF(Buildings_GridElectricity_Frontend[[#This Row],[Data]]="","",_xlfn.XLOOKUP(_xlfn.CONCAT(Buildings_GridElectricity_Backend[[#This Row],[Level 1]:[Level 6]]),rng_EFConcat,rng_EF3TD)*Buildings_GridElectricity_Backend[[#This Row],[Converted data]]/1000)</f>
        <v/>
      </c>
      <c r="AK147" s="210" t="str">
        <f>IF(Buildings_GridElectricity_Frontend[[#This Row],[Data]]="","",_xlfn.XLOOKUP(_xlfn.CONCAT(Buildings_GridElectricity_Backend[[#This Row],[Level 1]:[Level 6]]),rng_EFConcat,rng_EF3WTTTD)*Buildings_GridElectricity_Backend[[#This Row],[Converted data]]/1000)</f>
        <v/>
      </c>
      <c r="AL147" s="220" t="str">
        <f>IF(Buildings_GridElectricity_Frontend[[#This Row],[Data]]="","",SUM(Buildings_GridElectricity_Backend[[#This Row],[Scope 1 (tCO2e)]:[Scope 3 WTT T&amp;D (tCO2e)]]))</f>
        <v/>
      </c>
      <c r="AM147" s="220" t="str">
        <f>IF(Buildings_GridElectricity_Frontend[[#This Row],[Data]]="","",Buildings_GridElectricity_Backend[[#This Row],[Total (tCO2e)]]*(1-Buildings_GridElectricity_Backend[[#This Row],[RSD]]))</f>
        <v/>
      </c>
      <c r="AN147" s="220" t="str">
        <f>IF(Buildings_GridElectricity_Frontend[[#This Row],[Data]]="","",Buildings_GridElectricity_Backend[[#This Row],[Total (tCO2e)]]*(1+Buildings_GridElectricity_Backend[[#This Row],[RSD]]))</f>
        <v/>
      </c>
      <c r="AO147" s="210" t="str">
        <f>IF(Buildings_GridElectricity_Frontend[[#This Row],[Data]]="","",_xlfn.XLOOKUP(_xlfn.CONCAT(Buildings_GridElectricity_Backend[[#This Row],[Level 1]:[Level 6]]),rng_EFConcat,rng_EFOOS)*Buildings_GridElectricity_Backend[[#This Row],[Converted data]]/1000)</f>
        <v/>
      </c>
      <c r="AP147" s="174">
        <f>Buildings_GridElectricity_Frontend[[#This Row],[Ease of collection]]</f>
        <v>0</v>
      </c>
      <c r="AQ147" s="213">
        <f>Buildings_GridElectricity_Frontend[[#This Row],[Completeness]]</f>
        <v>0</v>
      </c>
      <c r="AR147" s="220">
        <f>Buildings_GridElectricity_Frontend[[#This Row],[Notes]]</f>
        <v>0</v>
      </c>
    </row>
    <row r="148" spans="5:44" x14ac:dyDescent="0.3">
      <c r="E148" s="346"/>
      <c r="F148" s="449"/>
      <c r="G148" s="336"/>
      <c r="H148" s="334"/>
      <c r="I148" s="172" t="s">
        <v>316</v>
      </c>
      <c r="J148" s="337"/>
      <c r="K148" s="336"/>
      <c r="L148" s="336"/>
      <c r="M148" s="337"/>
      <c r="N148" s="242">
        <f t="shared" si="5"/>
        <v>3</v>
      </c>
      <c r="Q148" s="212" t="str">
        <f t="shared" si="4"/>
        <v/>
      </c>
      <c r="R148" s="174" t="s">
        <v>265</v>
      </c>
      <c r="S148" s="174" t="s">
        <v>273</v>
      </c>
      <c r="T148" s="174" t="str">
        <f>_xlfn.XLOOKUP(Buildings_GridElectricity_Backend[[#This Row],[Info 1]],Buildings_SiteInfo[Site name],Buildings_SiteInfo[Site type], "")</f>
        <v/>
      </c>
      <c r="U148" s="174" t="s">
        <v>281</v>
      </c>
      <c r="V148" s="174" t="str" cm="1">
        <f t="array" aca="1" ref="V148" ca="1">_xlfn.XLOOKUP(Buildings_GridElectricity_Backend[[#This Row],[Level 4]],rng_Level4Long,rng_Level5Long)</f>
        <v>Electricity</v>
      </c>
      <c r="W148" s="174" t="str" cm="1">
        <f t="array" aca="1" ref="W148" ca="1">_xlfn.XLOOKUP(Buildings_GridElectricity_Backend[[#This Row],[Level 4]],rng_Level4Long,rng_Level6Long)</f>
        <v>NaN</v>
      </c>
      <c r="X148" s="174">
        <f>Buildings_GridElectricity_Frontend[[#This Row],[Site Name]]</f>
        <v>0</v>
      </c>
      <c r="Y148" s="174">
        <f>Buildings_GridElectricity_Frontend[[#This Row],[Contracting]]</f>
        <v>0</v>
      </c>
      <c r="Z148" s="174">
        <f>Buildings_GridElectricity_Frontend[[#This Row],[Methodology]]</f>
        <v>0</v>
      </c>
      <c r="AA148" s="229" t="str" cm="1">
        <f t="array" ref="AA148">IF(Buildings_GridElectricity_Frontend[[#This Row],[Data]]="","",INDEX(_xlfn.SWITCH(Buildings_GridElectricity_Backend[[#This Row],[Methodology]],"Tier 1",rng_RSD1,"Tier 2",rng_RSD2,"Tier 3",rng_RSD3),MATCH(_xlfn.CONCAT(Buildings_GridElectricity_Backend[[#This Row],[Level 1]:[Level 6]]),rng_LevelsConcat,0)))</f>
        <v/>
      </c>
      <c r="AB148" s="220">
        <f>Buildings_GridElectricity_Frontend[[#This Row],[Data]]</f>
        <v>0</v>
      </c>
      <c r="AC148" s="174" t="str">
        <f>Buildings_GridElectricity_Frontend[[#This Row],[Units]]</f>
        <v>kWh</v>
      </c>
      <c r="AD148" s="218">
        <f>Buildings_GridElectricity_Frontend[[#This Row],[Data]]</f>
        <v>0</v>
      </c>
      <c r="AE148" s="174" t="str">
        <f>Buildings_GridElectricity_Frontend[[#This Row],[Units]]</f>
        <v>kWh</v>
      </c>
      <c r="AF148" s="210" t="str">
        <f>IF(Buildings_GridElectricity_Frontend[[#This Row],[Data]]="","",_xlfn.XLOOKUP(_xlfn.CONCAT(Buildings_GridElectricity_Backend[[#This Row],[Level 1]:[Level 6]]),rng_EFConcat,rng_EF1)*Buildings_GridElectricity_Backend[[#This Row],[Converted data]]/1000)</f>
        <v/>
      </c>
      <c r="AG148" s="210" t="str">
        <f>IF(Buildings_GridElectricity_Frontend[[#This Row],[Data]]="","",_xlfn.XLOOKUP(_xlfn.CONCAT(Buildings_GridElectricity_Backend[[#This Row],[Level 1]:[Level 6]]),rng_EFConcat,rng_EF2)*Buildings_GridElectricity_Backend[[#This Row],[Converted data]]/1000)</f>
        <v/>
      </c>
      <c r="AH148" s="210" t="str">
        <f>IF(Buildings_GridElectricity_Frontend[[#This Row],[Data]]="","",_xlfn.XLOOKUP(_xlfn.CONCAT(Buildings_GridElectricity_Backend[[#This Row],[Level 1]:[Level 6]]),rng_EFConcat,rng_EF3)*Buildings_GridElectricity_Backend[[#This Row],[Converted data]]/1000)</f>
        <v/>
      </c>
      <c r="AI148" s="210" t="str">
        <f>IF(Buildings_GridElectricity_Frontend[[#This Row],[Data]]="","",_xlfn.XLOOKUP(_xlfn.CONCAT(Buildings_GridElectricity_Backend[[#This Row],[Level 1]:[Level 6]]),rng_EFConcat,rng_EF3WTT)*Buildings_GridElectricity_Backend[[#This Row],[Converted data]]/1000)</f>
        <v/>
      </c>
      <c r="AJ148" s="210" t="str">
        <f>IF(Buildings_GridElectricity_Frontend[[#This Row],[Data]]="","",_xlfn.XLOOKUP(_xlfn.CONCAT(Buildings_GridElectricity_Backend[[#This Row],[Level 1]:[Level 6]]),rng_EFConcat,rng_EF3TD)*Buildings_GridElectricity_Backend[[#This Row],[Converted data]]/1000)</f>
        <v/>
      </c>
      <c r="AK148" s="210" t="str">
        <f>IF(Buildings_GridElectricity_Frontend[[#This Row],[Data]]="","",_xlfn.XLOOKUP(_xlfn.CONCAT(Buildings_GridElectricity_Backend[[#This Row],[Level 1]:[Level 6]]),rng_EFConcat,rng_EF3WTTTD)*Buildings_GridElectricity_Backend[[#This Row],[Converted data]]/1000)</f>
        <v/>
      </c>
      <c r="AL148" s="220" t="str">
        <f>IF(Buildings_GridElectricity_Frontend[[#This Row],[Data]]="","",SUM(Buildings_GridElectricity_Backend[[#This Row],[Scope 1 (tCO2e)]:[Scope 3 WTT T&amp;D (tCO2e)]]))</f>
        <v/>
      </c>
      <c r="AM148" s="220" t="str">
        <f>IF(Buildings_GridElectricity_Frontend[[#This Row],[Data]]="","",Buildings_GridElectricity_Backend[[#This Row],[Total (tCO2e)]]*(1-Buildings_GridElectricity_Backend[[#This Row],[RSD]]))</f>
        <v/>
      </c>
      <c r="AN148" s="220" t="str">
        <f>IF(Buildings_GridElectricity_Frontend[[#This Row],[Data]]="","",Buildings_GridElectricity_Backend[[#This Row],[Total (tCO2e)]]*(1+Buildings_GridElectricity_Backend[[#This Row],[RSD]]))</f>
        <v/>
      </c>
      <c r="AO148" s="210" t="str">
        <f>IF(Buildings_GridElectricity_Frontend[[#This Row],[Data]]="","",_xlfn.XLOOKUP(_xlfn.CONCAT(Buildings_GridElectricity_Backend[[#This Row],[Level 1]:[Level 6]]),rng_EFConcat,rng_EFOOS)*Buildings_GridElectricity_Backend[[#This Row],[Converted data]]/1000)</f>
        <v/>
      </c>
      <c r="AP148" s="174">
        <f>Buildings_GridElectricity_Frontend[[#This Row],[Ease of collection]]</f>
        <v>0</v>
      </c>
      <c r="AQ148" s="213">
        <f>Buildings_GridElectricity_Frontend[[#This Row],[Completeness]]</f>
        <v>0</v>
      </c>
      <c r="AR148" s="220">
        <f>Buildings_GridElectricity_Frontend[[#This Row],[Notes]]</f>
        <v>0</v>
      </c>
    </row>
    <row r="149" spans="5:44" x14ac:dyDescent="0.3">
      <c r="E149" s="346"/>
      <c r="F149" s="449"/>
      <c r="G149" s="336"/>
      <c r="H149" s="334"/>
      <c r="I149" s="172" t="s">
        <v>316</v>
      </c>
      <c r="J149" s="337"/>
      <c r="K149" s="336"/>
      <c r="L149" s="336"/>
      <c r="M149" s="337"/>
      <c r="N149" s="242">
        <f t="shared" si="5"/>
        <v>3</v>
      </c>
      <c r="Q149" s="212" t="str">
        <f t="shared" si="4"/>
        <v/>
      </c>
      <c r="R149" s="174" t="s">
        <v>265</v>
      </c>
      <c r="S149" s="174" t="s">
        <v>273</v>
      </c>
      <c r="T149" s="174" t="str">
        <f>_xlfn.XLOOKUP(Buildings_GridElectricity_Backend[[#This Row],[Info 1]],Buildings_SiteInfo[Site name],Buildings_SiteInfo[Site type], "")</f>
        <v/>
      </c>
      <c r="U149" s="174" t="s">
        <v>281</v>
      </c>
      <c r="V149" s="174" t="str" cm="1">
        <f t="array" aca="1" ref="V149" ca="1">_xlfn.XLOOKUP(Buildings_GridElectricity_Backend[[#This Row],[Level 4]],rng_Level4Long,rng_Level5Long)</f>
        <v>Electricity</v>
      </c>
      <c r="W149" s="174" t="str" cm="1">
        <f t="array" aca="1" ref="W149" ca="1">_xlfn.XLOOKUP(Buildings_GridElectricity_Backend[[#This Row],[Level 4]],rng_Level4Long,rng_Level6Long)</f>
        <v>NaN</v>
      </c>
      <c r="X149" s="174">
        <f>Buildings_GridElectricity_Frontend[[#This Row],[Site Name]]</f>
        <v>0</v>
      </c>
      <c r="Y149" s="174">
        <f>Buildings_GridElectricity_Frontend[[#This Row],[Contracting]]</f>
        <v>0</v>
      </c>
      <c r="Z149" s="174">
        <f>Buildings_GridElectricity_Frontend[[#This Row],[Methodology]]</f>
        <v>0</v>
      </c>
      <c r="AA149" s="229" t="str" cm="1">
        <f t="array" ref="AA149">IF(Buildings_GridElectricity_Frontend[[#This Row],[Data]]="","",INDEX(_xlfn.SWITCH(Buildings_GridElectricity_Backend[[#This Row],[Methodology]],"Tier 1",rng_RSD1,"Tier 2",rng_RSD2,"Tier 3",rng_RSD3),MATCH(_xlfn.CONCAT(Buildings_GridElectricity_Backend[[#This Row],[Level 1]:[Level 6]]),rng_LevelsConcat,0)))</f>
        <v/>
      </c>
      <c r="AB149" s="220">
        <f>Buildings_GridElectricity_Frontend[[#This Row],[Data]]</f>
        <v>0</v>
      </c>
      <c r="AC149" s="174" t="str">
        <f>Buildings_GridElectricity_Frontend[[#This Row],[Units]]</f>
        <v>kWh</v>
      </c>
      <c r="AD149" s="218">
        <f>Buildings_GridElectricity_Frontend[[#This Row],[Data]]</f>
        <v>0</v>
      </c>
      <c r="AE149" s="174" t="str">
        <f>Buildings_GridElectricity_Frontend[[#This Row],[Units]]</f>
        <v>kWh</v>
      </c>
      <c r="AF149" s="210" t="str">
        <f>IF(Buildings_GridElectricity_Frontend[[#This Row],[Data]]="","",_xlfn.XLOOKUP(_xlfn.CONCAT(Buildings_GridElectricity_Backend[[#This Row],[Level 1]:[Level 6]]),rng_EFConcat,rng_EF1)*Buildings_GridElectricity_Backend[[#This Row],[Converted data]]/1000)</f>
        <v/>
      </c>
      <c r="AG149" s="210" t="str">
        <f>IF(Buildings_GridElectricity_Frontend[[#This Row],[Data]]="","",_xlfn.XLOOKUP(_xlfn.CONCAT(Buildings_GridElectricity_Backend[[#This Row],[Level 1]:[Level 6]]),rng_EFConcat,rng_EF2)*Buildings_GridElectricity_Backend[[#This Row],[Converted data]]/1000)</f>
        <v/>
      </c>
      <c r="AH149" s="210" t="str">
        <f>IF(Buildings_GridElectricity_Frontend[[#This Row],[Data]]="","",_xlfn.XLOOKUP(_xlfn.CONCAT(Buildings_GridElectricity_Backend[[#This Row],[Level 1]:[Level 6]]),rng_EFConcat,rng_EF3)*Buildings_GridElectricity_Backend[[#This Row],[Converted data]]/1000)</f>
        <v/>
      </c>
      <c r="AI149" s="210" t="str">
        <f>IF(Buildings_GridElectricity_Frontend[[#This Row],[Data]]="","",_xlfn.XLOOKUP(_xlfn.CONCAT(Buildings_GridElectricity_Backend[[#This Row],[Level 1]:[Level 6]]),rng_EFConcat,rng_EF3WTT)*Buildings_GridElectricity_Backend[[#This Row],[Converted data]]/1000)</f>
        <v/>
      </c>
      <c r="AJ149" s="210" t="str">
        <f>IF(Buildings_GridElectricity_Frontend[[#This Row],[Data]]="","",_xlfn.XLOOKUP(_xlfn.CONCAT(Buildings_GridElectricity_Backend[[#This Row],[Level 1]:[Level 6]]),rng_EFConcat,rng_EF3TD)*Buildings_GridElectricity_Backend[[#This Row],[Converted data]]/1000)</f>
        <v/>
      </c>
      <c r="AK149" s="210" t="str">
        <f>IF(Buildings_GridElectricity_Frontend[[#This Row],[Data]]="","",_xlfn.XLOOKUP(_xlfn.CONCAT(Buildings_GridElectricity_Backend[[#This Row],[Level 1]:[Level 6]]),rng_EFConcat,rng_EF3WTTTD)*Buildings_GridElectricity_Backend[[#This Row],[Converted data]]/1000)</f>
        <v/>
      </c>
      <c r="AL149" s="220" t="str">
        <f>IF(Buildings_GridElectricity_Frontend[[#This Row],[Data]]="","",SUM(Buildings_GridElectricity_Backend[[#This Row],[Scope 1 (tCO2e)]:[Scope 3 WTT T&amp;D (tCO2e)]]))</f>
        <v/>
      </c>
      <c r="AM149" s="220" t="str">
        <f>IF(Buildings_GridElectricity_Frontend[[#This Row],[Data]]="","",Buildings_GridElectricity_Backend[[#This Row],[Total (tCO2e)]]*(1-Buildings_GridElectricity_Backend[[#This Row],[RSD]]))</f>
        <v/>
      </c>
      <c r="AN149" s="220" t="str">
        <f>IF(Buildings_GridElectricity_Frontend[[#This Row],[Data]]="","",Buildings_GridElectricity_Backend[[#This Row],[Total (tCO2e)]]*(1+Buildings_GridElectricity_Backend[[#This Row],[RSD]]))</f>
        <v/>
      </c>
      <c r="AO149" s="210" t="str">
        <f>IF(Buildings_GridElectricity_Frontend[[#This Row],[Data]]="","",_xlfn.XLOOKUP(_xlfn.CONCAT(Buildings_GridElectricity_Backend[[#This Row],[Level 1]:[Level 6]]),rng_EFConcat,rng_EFOOS)*Buildings_GridElectricity_Backend[[#This Row],[Converted data]]/1000)</f>
        <v/>
      </c>
      <c r="AP149" s="174">
        <f>Buildings_GridElectricity_Frontend[[#This Row],[Ease of collection]]</f>
        <v>0</v>
      </c>
      <c r="AQ149" s="213">
        <f>Buildings_GridElectricity_Frontend[[#This Row],[Completeness]]</f>
        <v>0</v>
      </c>
      <c r="AR149" s="220">
        <f>Buildings_GridElectricity_Frontend[[#This Row],[Notes]]</f>
        <v>0</v>
      </c>
    </row>
    <row r="150" spans="5:44" x14ac:dyDescent="0.3">
      <c r="E150" s="346"/>
      <c r="F150" s="449"/>
      <c r="G150" s="336"/>
      <c r="H150" s="334"/>
      <c r="I150" s="172" t="s">
        <v>316</v>
      </c>
      <c r="J150" s="337"/>
      <c r="K150" s="336"/>
      <c r="L150" s="336"/>
      <c r="M150" s="337"/>
      <c r="N150" s="242">
        <f t="shared" si="5"/>
        <v>3</v>
      </c>
      <c r="Q150" s="212" t="str">
        <f t="shared" si="4"/>
        <v/>
      </c>
      <c r="R150" s="174" t="s">
        <v>265</v>
      </c>
      <c r="S150" s="174" t="s">
        <v>273</v>
      </c>
      <c r="T150" s="174" t="str">
        <f>_xlfn.XLOOKUP(Buildings_GridElectricity_Backend[[#This Row],[Info 1]],Buildings_SiteInfo[Site name],Buildings_SiteInfo[Site type], "")</f>
        <v/>
      </c>
      <c r="U150" s="174" t="s">
        <v>281</v>
      </c>
      <c r="V150" s="174" t="str" cm="1">
        <f t="array" aca="1" ref="V150" ca="1">_xlfn.XLOOKUP(Buildings_GridElectricity_Backend[[#This Row],[Level 4]],rng_Level4Long,rng_Level5Long)</f>
        <v>Electricity</v>
      </c>
      <c r="W150" s="174" t="str" cm="1">
        <f t="array" aca="1" ref="W150" ca="1">_xlfn.XLOOKUP(Buildings_GridElectricity_Backend[[#This Row],[Level 4]],rng_Level4Long,rng_Level6Long)</f>
        <v>NaN</v>
      </c>
      <c r="X150" s="174">
        <f>Buildings_GridElectricity_Frontend[[#This Row],[Site Name]]</f>
        <v>0</v>
      </c>
      <c r="Y150" s="174">
        <f>Buildings_GridElectricity_Frontend[[#This Row],[Contracting]]</f>
        <v>0</v>
      </c>
      <c r="Z150" s="174">
        <f>Buildings_GridElectricity_Frontend[[#This Row],[Methodology]]</f>
        <v>0</v>
      </c>
      <c r="AA150" s="229" t="str" cm="1">
        <f t="array" ref="AA150">IF(Buildings_GridElectricity_Frontend[[#This Row],[Data]]="","",INDEX(_xlfn.SWITCH(Buildings_GridElectricity_Backend[[#This Row],[Methodology]],"Tier 1",rng_RSD1,"Tier 2",rng_RSD2,"Tier 3",rng_RSD3),MATCH(_xlfn.CONCAT(Buildings_GridElectricity_Backend[[#This Row],[Level 1]:[Level 6]]),rng_LevelsConcat,0)))</f>
        <v/>
      </c>
      <c r="AB150" s="220">
        <f>Buildings_GridElectricity_Frontend[[#This Row],[Data]]</f>
        <v>0</v>
      </c>
      <c r="AC150" s="174" t="str">
        <f>Buildings_GridElectricity_Frontend[[#This Row],[Units]]</f>
        <v>kWh</v>
      </c>
      <c r="AD150" s="218">
        <f>Buildings_GridElectricity_Frontend[[#This Row],[Data]]</f>
        <v>0</v>
      </c>
      <c r="AE150" s="174" t="str">
        <f>Buildings_GridElectricity_Frontend[[#This Row],[Units]]</f>
        <v>kWh</v>
      </c>
      <c r="AF150" s="210" t="str">
        <f>IF(Buildings_GridElectricity_Frontend[[#This Row],[Data]]="","",_xlfn.XLOOKUP(_xlfn.CONCAT(Buildings_GridElectricity_Backend[[#This Row],[Level 1]:[Level 6]]),rng_EFConcat,rng_EF1)*Buildings_GridElectricity_Backend[[#This Row],[Converted data]]/1000)</f>
        <v/>
      </c>
      <c r="AG150" s="210" t="str">
        <f>IF(Buildings_GridElectricity_Frontend[[#This Row],[Data]]="","",_xlfn.XLOOKUP(_xlfn.CONCAT(Buildings_GridElectricity_Backend[[#This Row],[Level 1]:[Level 6]]),rng_EFConcat,rng_EF2)*Buildings_GridElectricity_Backend[[#This Row],[Converted data]]/1000)</f>
        <v/>
      </c>
      <c r="AH150" s="210" t="str">
        <f>IF(Buildings_GridElectricity_Frontend[[#This Row],[Data]]="","",_xlfn.XLOOKUP(_xlfn.CONCAT(Buildings_GridElectricity_Backend[[#This Row],[Level 1]:[Level 6]]),rng_EFConcat,rng_EF3)*Buildings_GridElectricity_Backend[[#This Row],[Converted data]]/1000)</f>
        <v/>
      </c>
      <c r="AI150" s="210" t="str">
        <f>IF(Buildings_GridElectricity_Frontend[[#This Row],[Data]]="","",_xlfn.XLOOKUP(_xlfn.CONCAT(Buildings_GridElectricity_Backend[[#This Row],[Level 1]:[Level 6]]),rng_EFConcat,rng_EF3WTT)*Buildings_GridElectricity_Backend[[#This Row],[Converted data]]/1000)</f>
        <v/>
      </c>
      <c r="AJ150" s="210" t="str">
        <f>IF(Buildings_GridElectricity_Frontend[[#This Row],[Data]]="","",_xlfn.XLOOKUP(_xlfn.CONCAT(Buildings_GridElectricity_Backend[[#This Row],[Level 1]:[Level 6]]),rng_EFConcat,rng_EF3TD)*Buildings_GridElectricity_Backend[[#This Row],[Converted data]]/1000)</f>
        <v/>
      </c>
      <c r="AK150" s="210" t="str">
        <f>IF(Buildings_GridElectricity_Frontend[[#This Row],[Data]]="","",_xlfn.XLOOKUP(_xlfn.CONCAT(Buildings_GridElectricity_Backend[[#This Row],[Level 1]:[Level 6]]),rng_EFConcat,rng_EF3WTTTD)*Buildings_GridElectricity_Backend[[#This Row],[Converted data]]/1000)</f>
        <v/>
      </c>
      <c r="AL150" s="220" t="str">
        <f>IF(Buildings_GridElectricity_Frontend[[#This Row],[Data]]="","",SUM(Buildings_GridElectricity_Backend[[#This Row],[Scope 1 (tCO2e)]:[Scope 3 WTT T&amp;D (tCO2e)]]))</f>
        <v/>
      </c>
      <c r="AM150" s="220" t="str">
        <f>IF(Buildings_GridElectricity_Frontend[[#This Row],[Data]]="","",Buildings_GridElectricity_Backend[[#This Row],[Total (tCO2e)]]*(1-Buildings_GridElectricity_Backend[[#This Row],[RSD]]))</f>
        <v/>
      </c>
      <c r="AN150" s="220" t="str">
        <f>IF(Buildings_GridElectricity_Frontend[[#This Row],[Data]]="","",Buildings_GridElectricity_Backend[[#This Row],[Total (tCO2e)]]*(1+Buildings_GridElectricity_Backend[[#This Row],[RSD]]))</f>
        <v/>
      </c>
      <c r="AO150" s="210" t="str">
        <f>IF(Buildings_GridElectricity_Frontend[[#This Row],[Data]]="","",_xlfn.XLOOKUP(_xlfn.CONCAT(Buildings_GridElectricity_Backend[[#This Row],[Level 1]:[Level 6]]),rng_EFConcat,rng_EFOOS)*Buildings_GridElectricity_Backend[[#This Row],[Converted data]]/1000)</f>
        <v/>
      </c>
      <c r="AP150" s="174">
        <f>Buildings_GridElectricity_Frontend[[#This Row],[Ease of collection]]</f>
        <v>0</v>
      </c>
      <c r="AQ150" s="213">
        <f>Buildings_GridElectricity_Frontend[[#This Row],[Completeness]]</f>
        <v>0</v>
      </c>
      <c r="AR150" s="220">
        <f>Buildings_GridElectricity_Frontend[[#This Row],[Notes]]</f>
        <v>0</v>
      </c>
    </row>
    <row r="151" spans="5:44" x14ac:dyDescent="0.3">
      <c r="E151" s="346"/>
      <c r="F151" s="449"/>
      <c r="G151" s="336"/>
      <c r="H151" s="334"/>
      <c r="I151" s="172" t="s">
        <v>316</v>
      </c>
      <c r="J151" s="337"/>
      <c r="K151" s="336"/>
      <c r="L151" s="336"/>
      <c r="M151" s="337"/>
      <c r="N151" s="242">
        <f t="shared" si="5"/>
        <v>3</v>
      </c>
      <c r="Q151" s="212" t="str">
        <f t="shared" si="4"/>
        <v/>
      </c>
      <c r="R151" s="174" t="s">
        <v>265</v>
      </c>
      <c r="S151" s="174" t="s">
        <v>273</v>
      </c>
      <c r="T151" s="174" t="str">
        <f>_xlfn.XLOOKUP(Buildings_GridElectricity_Backend[[#This Row],[Info 1]],Buildings_SiteInfo[Site name],Buildings_SiteInfo[Site type], "")</f>
        <v/>
      </c>
      <c r="U151" s="174" t="s">
        <v>281</v>
      </c>
      <c r="V151" s="174" t="str" cm="1">
        <f t="array" aca="1" ref="V151" ca="1">_xlfn.XLOOKUP(Buildings_GridElectricity_Backend[[#This Row],[Level 4]],rng_Level4Long,rng_Level5Long)</f>
        <v>Electricity</v>
      </c>
      <c r="W151" s="174" t="str" cm="1">
        <f t="array" aca="1" ref="W151" ca="1">_xlfn.XLOOKUP(Buildings_GridElectricity_Backend[[#This Row],[Level 4]],rng_Level4Long,rng_Level6Long)</f>
        <v>NaN</v>
      </c>
      <c r="X151" s="174">
        <f>Buildings_GridElectricity_Frontend[[#This Row],[Site Name]]</f>
        <v>0</v>
      </c>
      <c r="Y151" s="174">
        <f>Buildings_GridElectricity_Frontend[[#This Row],[Contracting]]</f>
        <v>0</v>
      </c>
      <c r="Z151" s="174">
        <f>Buildings_GridElectricity_Frontend[[#This Row],[Methodology]]</f>
        <v>0</v>
      </c>
      <c r="AA151" s="229" t="str" cm="1">
        <f t="array" ref="AA151">IF(Buildings_GridElectricity_Frontend[[#This Row],[Data]]="","",INDEX(_xlfn.SWITCH(Buildings_GridElectricity_Backend[[#This Row],[Methodology]],"Tier 1",rng_RSD1,"Tier 2",rng_RSD2,"Tier 3",rng_RSD3),MATCH(_xlfn.CONCAT(Buildings_GridElectricity_Backend[[#This Row],[Level 1]:[Level 6]]),rng_LevelsConcat,0)))</f>
        <v/>
      </c>
      <c r="AB151" s="220">
        <f>Buildings_GridElectricity_Frontend[[#This Row],[Data]]</f>
        <v>0</v>
      </c>
      <c r="AC151" s="174" t="str">
        <f>Buildings_GridElectricity_Frontend[[#This Row],[Units]]</f>
        <v>kWh</v>
      </c>
      <c r="AD151" s="218">
        <f>Buildings_GridElectricity_Frontend[[#This Row],[Data]]</f>
        <v>0</v>
      </c>
      <c r="AE151" s="174" t="str">
        <f>Buildings_GridElectricity_Frontend[[#This Row],[Units]]</f>
        <v>kWh</v>
      </c>
      <c r="AF151" s="210" t="str">
        <f>IF(Buildings_GridElectricity_Frontend[[#This Row],[Data]]="","",_xlfn.XLOOKUP(_xlfn.CONCAT(Buildings_GridElectricity_Backend[[#This Row],[Level 1]:[Level 6]]),rng_EFConcat,rng_EF1)*Buildings_GridElectricity_Backend[[#This Row],[Converted data]]/1000)</f>
        <v/>
      </c>
      <c r="AG151" s="210" t="str">
        <f>IF(Buildings_GridElectricity_Frontend[[#This Row],[Data]]="","",_xlfn.XLOOKUP(_xlfn.CONCAT(Buildings_GridElectricity_Backend[[#This Row],[Level 1]:[Level 6]]),rng_EFConcat,rng_EF2)*Buildings_GridElectricity_Backend[[#This Row],[Converted data]]/1000)</f>
        <v/>
      </c>
      <c r="AH151" s="210" t="str">
        <f>IF(Buildings_GridElectricity_Frontend[[#This Row],[Data]]="","",_xlfn.XLOOKUP(_xlfn.CONCAT(Buildings_GridElectricity_Backend[[#This Row],[Level 1]:[Level 6]]),rng_EFConcat,rng_EF3)*Buildings_GridElectricity_Backend[[#This Row],[Converted data]]/1000)</f>
        <v/>
      </c>
      <c r="AI151" s="210" t="str">
        <f>IF(Buildings_GridElectricity_Frontend[[#This Row],[Data]]="","",_xlfn.XLOOKUP(_xlfn.CONCAT(Buildings_GridElectricity_Backend[[#This Row],[Level 1]:[Level 6]]),rng_EFConcat,rng_EF3WTT)*Buildings_GridElectricity_Backend[[#This Row],[Converted data]]/1000)</f>
        <v/>
      </c>
      <c r="AJ151" s="210" t="str">
        <f>IF(Buildings_GridElectricity_Frontend[[#This Row],[Data]]="","",_xlfn.XLOOKUP(_xlfn.CONCAT(Buildings_GridElectricity_Backend[[#This Row],[Level 1]:[Level 6]]),rng_EFConcat,rng_EF3TD)*Buildings_GridElectricity_Backend[[#This Row],[Converted data]]/1000)</f>
        <v/>
      </c>
      <c r="AK151" s="210" t="str">
        <f>IF(Buildings_GridElectricity_Frontend[[#This Row],[Data]]="","",_xlfn.XLOOKUP(_xlfn.CONCAT(Buildings_GridElectricity_Backend[[#This Row],[Level 1]:[Level 6]]),rng_EFConcat,rng_EF3WTTTD)*Buildings_GridElectricity_Backend[[#This Row],[Converted data]]/1000)</f>
        <v/>
      </c>
      <c r="AL151" s="220" t="str">
        <f>IF(Buildings_GridElectricity_Frontend[[#This Row],[Data]]="","",SUM(Buildings_GridElectricity_Backend[[#This Row],[Scope 1 (tCO2e)]:[Scope 3 WTT T&amp;D (tCO2e)]]))</f>
        <v/>
      </c>
      <c r="AM151" s="220" t="str">
        <f>IF(Buildings_GridElectricity_Frontend[[#This Row],[Data]]="","",Buildings_GridElectricity_Backend[[#This Row],[Total (tCO2e)]]*(1-Buildings_GridElectricity_Backend[[#This Row],[RSD]]))</f>
        <v/>
      </c>
      <c r="AN151" s="220" t="str">
        <f>IF(Buildings_GridElectricity_Frontend[[#This Row],[Data]]="","",Buildings_GridElectricity_Backend[[#This Row],[Total (tCO2e)]]*(1+Buildings_GridElectricity_Backend[[#This Row],[RSD]]))</f>
        <v/>
      </c>
      <c r="AO151" s="210" t="str">
        <f>IF(Buildings_GridElectricity_Frontend[[#This Row],[Data]]="","",_xlfn.XLOOKUP(_xlfn.CONCAT(Buildings_GridElectricity_Backend[[#This Row],[Level 1]:[Level 6]]),rng_EFConcat,rng_EFOOS)*Buildings_GridElectricity_Backend[[#This Row],[Converted data]]/1000)</f>
        <v/>
      </c>
      <c r="AP151" s="174">
        <f>Buildings_GridElectricity_Frontend[[#This Row],[Ease of collection]]</f>
        <v>0</v>
      </c>
      <c r="AQ151" s="213">
        <f>Buildings_GridElectricity_Frontend[[#This Row],[Completeness]]</f>
        <v>0</v>
      </c>
      <c r="AR151" s="220">
        <f>Buildings_GridElectricity_Frontend[[#This Row],[Notes]]</f>
        <v>0</v>
      </c>
    </row>
    <row r="152" spans="5:44" x14ac:dyDescent="0.3">
      <c r="E152" s="346"/>
      <c r="F152" s="449"/>
      <c r="G152" s="336"/>
      <c r="H152" s="334"/>
      <c r="I152" s="172" t="s">
        <v>316</v>
      </c>
      <c r="J152" s="337"/>
      <c r="K152" s="336"/>
      <c r="L152" s="336"/>
      <c r="M152" s="337"/>
      <c r="N152" s="242">
        <f t="shared" si="5"/>
        <v>3</v>
      </c>
      <c r="Q152" s="212" t="str">
        <f t="shared" si="4"/>
        <v/>
      </c>
      <c r="R152" s="174" t="s">
        <v>265</v>
      </c>
      <c r="S152" s="174" t="s">
        <v>273</v>
      </c>
      <c r="T152" s="174" t="str">
        <f>_xlfn.XLOOKUP(Buildings_GridElectricity_Backend[[#This Row],[Info 1]],Buildings_SiteInfo[Site name],Buildings_SiteInfo[Site type], "")</f>
        <v/>
      </c>
      <c r="U152" s="174" t="s">
        <v>281</v>
      </c>
      <c r="V152" s="174" t="str" cm="1">
        <f t="array" aca="1" ref="V152" ca="1">_xlfn.XLOOKUP(Buildings_GridElectricity_Backend[[#This Row],[Level 4]],rng_Level4Long,rng_Level5Long)</f>
        <v>Electricity</v>
      </c>
      <c r="W152" s="174" t="str" cm="1">
        <f t="array" aca="1" ref="W152" ca="1">_xlfn.XLOOKUP(Buildings_GridElectricity_Backend[[#This Row],[Level 4]],rng_Level4Long,rng_Level6Long)</f>
        <v>NaN</v>
      </c>
      <c r="X152" s="174">
        <f>Buildings_GridElectricity_Frontend[[#This Row],[Site Name]]</f>
        <v>0</v>
      </c>
      <c r="Y152" s="174">
        <f>Buildings_GridElectricity_Frontend[[#This Row],[Contracting]]</f>
        <v>0</v>
      </c>
      <c r="Z152" s="174">
        <f>Buildings_GridElectricity_Frontend[[#This Row],[Methodology]]</f>
        <v>0</v>
      </c>
      <c r="AA152" s="229" t="str" cm="1">
        <f t="array" ref="AA152">IF(Buildings_GridElectricity_Frontend[[#This Row],[Data]]="","",INDEX(_xlfn.SWITCH(Buildings_GridElectricity_Backend[[#This Row],[Methodology]],"Tier 1",rng_RSD1,"Tier 2",rng_RSD2,"Tier 3",rng_RSD3),MATCH(_xlfn.CONCAT(Buildings_GridElectricity_Backend[[#This Row],[Level 1]:[Level 6]]),rng_LevelsConcat,0)))</f>
        <v/>
      </c>
      <c r="AB152" s="220">
        <f>Buildings_GridElectricity_Frontend[[#This Row],[Data]]</f>
        <v>0</v>
      </c>
      <c r="AC152" s="174" t="str">
        <f>Buildings_GridElectricity_Frontend[[#This Row],[Units]]</f>
        <v>kWh</v>
      </c>
      <c r="AD152" s="218">
        <f>Buildings_GridElectricity_Frontend[[#This Row],[Data]]</f>
        <v>0</v>
      </c>
      <c r="AE152" s="174" t="str">
        <f>Buildings_GridElectricity_Frontend[[#This Row],[Units]]</f>
        <v>kWh</v>
      </c>
      <c r="AF152" s="210" t="str">
        <f>IF(Buildings_GridElectricity_Frontend[[#This Row],[Data]]="","",_xlfn.XLOOKUP(_xlfn.CONCAT(Buildings_GridElectricity_Backend[[#This Row],[Level 1]:[Level 6]]),rng_EFConcat,rng_EF1)*Buildings_GridElectricity_Backend[[#This Row],[Converted data]]/1000)</f>
        <v/>
      </c>
      <c r="AG152" s="210" t="str">
        <f>IF(Buildings_GridElectricity_Frontend[[#This Row],[Data]]="","",_xlfn.XLOOKUP(_xlfn.CONCAT(Buildings_GridElectricity_Backend[[#This Row],[Level 1]:[Level 6]]),rng_EFConcat,rng_EF2)*Buildings_GridElectricity_Backend[[#This Row],[Converted data]]/1000)</f>
        <v/>
      </c>
      <c r="AH152" s="210" t="str">
        <f>IF(Buildings_GridElectricity_Frontend[[#This Row],[Data]]="","",_xlfn.XLOOKUP(_xlfn.CONCAT(Buildings_GridElectricity_Backend[[#This Row],[Level 1]:[Level 6]]),rng_EFConcat,rng_EF3)*Buildings_GridElectricity_Backend[[#This Row],[Converted data]]/1000)</f>
        <v/>
      </c>
      <c r="AI152" s="210" t="str">
        <f>IF(Buildings_GridElectricity_Frontend[[#This Row],[Data]]="","",_xlfn.XLOOKUP(_xlfn.CONCAT(Buildings_GridElectricity_Backend[[#This Row],[Level 1]:[Level 6]]),rng_EFConcat,rng_EF3WTT)*Buildings_GridElectricity_Backend[[#This Row],[Converted data]]/1000)</f>
        <v/>
      </c>
      <c r="AJ152" s="210" t="str">
        <f>IF(Buildings_GridElectricity_Frontend[[#This Row],[Data]]="","",_xlfn.XLOOKUP(_xlfn.CONCAT(Buildings_GridElectricity_Backend[[#This Row],[Level 1]:[Level 6]]),rng_EFConcat,rng_EF3TD)*Buildings_GridElectricity_Backend[[#This Row],[Converted data]]/1000)</f>
        <v/>
      </c>
      <c r="AK152" s="210" t="str">
        <f>IF(Buildings_GridElectricity_Frontend[[#This Row],[Data]]="","",_xlfn.XLOOKUP(_xlfn.CONCAT(Buildings_GridElectricity_Backend[[#This Row],[Level 1]:[Level 6]]),rng_EFConcat,rng_EF3WTTTD)*Buildings_GridElectricity_Backend[[#This Row],[Converted data]]/1000)</f>
        <v/>
      </c>
      <c r="AL152" s="220" t="str">
        <f>IF(Buildings_GridElectricity_Frontend[[#This Row],[Data]]="","",SUM(Buildings_GridElectricity_Backend[[#This Row],[Scope 1 (tCO2e)]:[Scope 3 WTT T&amp;D (tCO2e)]]))</f>
        <v/>
      </c>
      <c r="AM152" s="220" t="str">
        <f>IF(Buildings_GridElectricity_Frontend[[#This Row],[Data]]="","",Buildings_GridElectricity_Backend[[#This Row],[Total (tCO2e)]]*(1-Buildings_GridElectricity_Backend[[#This Row],[RSD]]))</f>
        <v/>
      </c>
      <c r="AN152" s="220" t="str">
        <f>IF(Buildings_GridElectricity_Frontend[[#This Row],[Data]]="","",Buildings_GridElectricity_Backend[[#This Row],[Total (tCO2e)]]*(1+Buildings_GridElectricity_Backend[[#This Row],[RSD]]))</f>
        <v/>
      </c>
      <c r="AO152" s="210" t="str">
        <f>IF(Buildings_GridElectricity_Frontend[[#This Row],[Data]]="","",_xlfn.XLOOKUP(_xlfn.CONCAT(Buildings_GridElectricity_Backend[[#This Row],[Level 1]:[Level 6]]),rng_EFConcat,rng_EFOOS)*Buildings_GridElectricity_Backend[[#This Row],[Converted data]]/1000)</f>
        <v/>
      </c>
      <c r="AP152" s="174">
        <f>Buildings_GridElectricity_Frontend[[#This Row],[Ease of collection]]</f>
        <v>0</v>
      </c>
      <c r="AQ152" s="213">
        <f>Buildings_GridElectricity_Frontend[[#This Row],[Completeness]]</f>
        <v>0</v>
      </c>
      <c r="AR152" s="220">
        <f>Buildings_GridElectricity_Frontend[[#This Row],[Notes]]</f>
        <v>0</v>
      </c>
    </row>
    <row r="153" spans="5:44" x14ac:dyDescent="0.3">
      <c r="E153" s="346"/>
      <c r="F153" s="449"/>
      <c r="G153" s="336"/>
      <c r="H153" s="334"/>
      <c r="I153" s="172" t="s">
        <v>316</v>
      </c>
      <c r="J153" s="337"/>
      <c r="K153" s="336"/>
      <c r="L153" s="336"/>
      <c r="M153" s="337"/>
      <c r="N153" s="242">
        <f t="shared" si="5"/>
        <v>3</v>
      </c>
      <c r="Q153" s="212" t="str">
        <f t="shared" si="4"/>
        <v/>
      </c>
      <c r="R153" s="174" t="s">
        <v>265</v>
      </c>
      <c r="S153" s="174" t="s">
        <v>273</v>
      </c>
      <c r="T153" s="174" t="str">
        <f>_xlfn.XLOOKUP(Buildings_GridElectricity_Backend[[#This Row],[Info 1]],Buildings_SiteInfo[Site name],Buildings_SiteInfo[Site type], "")</f>
        <v/>
      </c>
      <c r="U153" s="174" t="s">
        <v>281</v>
      </c>
      <c r="V153" s="174" t="str" cm="1">
        <f t="array" aca="1" ref="V153" ca="1">_xlfn.XLOOKUP(Buildings_GridElectricity_Backend[[#This Row],[Level 4]],rng_Level4Long,rng_Level5Long)</f>
        <v>Electricity</v>
      </c>
      <c r="W153" s="174" t="str" cm="1">
        <f t="array" aca="1" ref="W153" ca="1">_xlfn.XLOOKUP(Buildings_GridElectricity_Backend[[#This Row],[Level 4]],rng_Level4Long,rng_Level6Long)</f>
        <v>NaN</v>
      </c>
      <c r="X153" s="174">
        <f>Buildings_GridElectricity_Frontend[[#This Row],[Site Name]]</f>
        <v>0</v>
      </c>
      <c r="Y153" s="174">
        <f>Buildings_GridElectricity_Frontend[[#This Row],[Contracting]]</f>
        <v>0</v>
      </c>
      <c r="Z153" s="174">
        <f>Buildings_GridElectricity_Frontend[[#This Row],[Methodology]]</f>
        <v>0</v>
      </c>
      <c r="AA153" s="229" t="str" cm="1">
        <f t="array" ref="AA153">IF(Buildings_GridElectricity_Frontend[[#This Row],[Data]]="","",INDEX(_xlfn.SWITCH(Buildings_GridElectricity_Backend[[#This Row],[Methodology]],"Tier 1",rng_RSD1,"Tier 2",rng_RSD2,"Tier 3",rng_RSD3),MATCH(_xlfn.CONCAT(Buildings_GridElectricity_Backend[[#This Row],[Level 1]:[Level 6]]),rng_LevelsConcat,0)))</f>
        <v/>
      </c>
      <c r="AB153" s="220">
        <f>Buildings_GridElectricity_Frontend[[#This Row],[Data]]</f>
        <v>0</v>
      </c>
      <c r="AC153" s="174" t="str">
        <f>Buildings_GridElectricity_Frontend[[#This Row],[Units]]</f>
        <v>kWh</v>
      </c>
      <c r="AD153" s="218">
        <f>Buildings_GridElectricity_Frontend[[#This Row],[Data]]</f>
        <v>0</v>
      </c>
      <c r="AE153" s="174" t="str">
        <f>Buildings_GridElectricity_Frontend[[#This Row],[Units]]</f>
        <v>kWh</v>
      </c>
      <c r="AF153" s="210" t="str">
        <f>IF(Buildings_GridElectricity_Frontend[[#This Row],[Data]]="","",_xlfn.XLOOKUP(_xlfn.CONCAT(Buildings_GridElectricity_Backend[[#This Row],[Level 1]:[Level 6]]),rng_EFConcat,rng_EF1)*Buildings_GridElectricity_Backend[[#This Row],[Converted data]]/1000)</f>
        <v/>
      </c>
      <c r="AG153" s="210" t="str">
        <f>IF(Buildings_GridElectricity_Frontend[[#This Row],[Data]]="","",_xlfn.XLOOKUP(_xlfn.CONCAT(Buildings_GridElectricity_Backend[[#This Row],[Level 1]:[Level 6]]),rng_EFConcat,rng_EF2)*Buildings_GridElectricity_Backend[[#This Row],[Converted data]]/1000)</f>
        <v/>
      </c>
      <c r="AH153" s="210" t="str">
        <f>IF(Buildings_GridElectricity_Frontend[[#This Row],[Data]]="","",_xlfn.XLOOKUP(_xlfn.CONCAT(Buildings_GridElectricity_Backend[[#This Row],[Level 1]:[Level 6]]),rng_EFConcat,rng_EF3)*Buildings_GridElectricity_Backend[[#This Row],[Converted data]]/1000)</f>
        <v/>
      </c>
      <c r="AI153" s="210" t="str">
        <f>IF(Buildings_GridElectricity_Frontend[[#This Row],[Data]]="","",_xlfn.XLOOKUP(_xlfn.CONCAT(Buildings_GridElectricity_Backend[[#This Row],[Level 1]:[Level 6]]),rng_EFConcat,rng_EF3WTT)*Buildings_GridElectricity_Backend[[#This Row],[Converted data]]/1000)</f>
        <v/>
      </c>
      <c r="AJ153" s="210" t="str">
        <f>IF(Buildings_GridElectricity_Frontend[[#This Row],[Data]]="","",_xlfn.XLOOKUP(_xlfn.CONCAT(Buildings_GridElectricity_Backend[[#This Row],[Level 1]:[Level 6]]),rng_EFConcat,rng_EF3TD)*Buildings_GridElectricity_Backend[[#This Row],[Converted data]]/1000)</f>
        <v/>
      </c>
      <c r="AK153" s="210" t="str">
        <f>IF(Buildings_GridElectricity_Frontend[[#This Row],[Data]]="","",_xlfn.XLOOKUP(_xlfn.CONCAT(Buildings_GridElectricity_Backend[[#This Row],[Level 1]:[Level 6]]),rng_EFConcat,rng_EF3WTTTD)*Buildings_GridElectricity_Backend[[#This Row],[Converted data]]/1000)</f>
        <v/>
      </c>
      <c r="AL153" s="220" t="str">
        <f>IF(Buildings_GridElectricity_Frontend[[#This Row],[Data]]="","",SUM(Buildings_GridElectricity_Backend[[#This Row],[Scope 1 (tCO2e)]:[Scope 3 WTT T&amp;D (tCO2e)]]))</f>
        <v/>
      </c>
      <c r="AM153" s="220" t="str">
        <f>IF(Buildings_GridElectricity_Frontend[[#This Row],[Data]]="","",Buildings_GridElectricity_Backend[[#This Row],[Total (tCO2e)]]*(1-Buildings_GridElectricity_Backend[[#This Row],[RSD]]))</f>
        <v/>
      </c>
      <c r="AN153" s="220" t="str">
        <f>IF(Buildings_GridElectricity_Frontend[[#This Row],[Data]]="","",Buildings_GridElectricity_Backend[[#This Row],[Total (tCO2e)]]*(1+Buildings_GridElectricity_Backend[[#This Row],[RSD]]))</f>
        <v/>
      </c>
      <c r="AO153" s="210" t="str">
        <f>IF(Buildings_GridElectricity_Frontend[[#This Row],[Data]]="","",_xlfn.XLOOKUP(_xlfn.CONCAT(Buildings_GridElectricity_Backend[[#This Row],[Level 1]:[Level 6]]),rng_EFConcat,rng_EFOOS)*Buildings_GridElectricity_Backend[[#This Row],[Converted data]]/1000)</f>
        <v/>
      </c>
      <c r="AP153" s="174">
        <f>Buildings_GridElectricity_Frontend[[#This Row],[Ease of collection]]</f>
        <v>0</v>
      </c>
      <c r="AQ153" s="213">
        <f>Buildings_GridElectricity_Frontend[[#This Row],[Completeness]]</f>
        <v>0</v>
      </c>
      <c r="AR153" s="220">
        <f>Buildings_GridElectricity_Frontend[[#This Row],[Notes]]</f>
        <v>0</v>
      </c>
    </row>
    <row r="154" spans="5:44" x14ac:dyDescent="0.3">
      <c r="E154" s="346"/>
      <c r="F154" s="449"/>
      <c r="G154" s="336"/>
      <c r="H154" s="334"/>
      <c r="I154" s="172" t="s">
        <v>316</v>
      </c>
      <c r="J154" s="337"/>
      <c r="K154" s="336"/>
      <c r="L154" s="336"/>
      <c r="M154" s="337"/>
      <c r="N154" s="242">
        <f t="shared" si="5"/>
        <v>3</v>
      </c>
      <c r="Q154" s="212" t="str">
        <f t="shared" si="4"/>
        <v/>
      </c>
      <c r="R154" s="174" t="s">
        <v>265</v>
      </c>
      <c r="S154" s="174" t="s">
        <v>273</v>
      </c>
      <c r="T154" s="174" t="str">
        <f>_xlfn.XLOOKUP(Buildings_GridElectricity_Backend[[#This Row],[Info 1]],Buildings_SiteInfo[Site name],Buildings_SiteInfo[Site type], "")</f>
        <v/>
      </c>
      <c r="U154" s="174" t="s">
        <v>281</v>
      </c>
      <c r="V154" s="174" t="str" cm="1">
        <f t="array" aca="1" ref="V154" ca="1">_xlfn.XLOOKUP(Buildings_GridElectricity_Backend[[#This Row],[Level 4]],rng_Level4Long,rng_Level5Long)</f>
        <v>Electricity</v>
      </c>
      <c r="W154" s="174" t="str" cm="1">
        <f t="array" aca="1" ref="W154" ca="1">_xlfn.XLOOKUP(Buildings_GridElectricity_Backend[[#This Row],[Level 4]],rng_Level4Long,rng_Level6Long)</f>
        <v>NaN</v>
      </c>
      <c r="X154" s="174">
        <f>Buildings_GridElectricity_Frontend[[#This Row],[Site Name]]</f>
        <v>0</v>
      </c>
      <c r="Y154" s="174">
        <f>Buildings_GridElectricity_Frontend[[#This Row],[Contracting]]</f>
        <v>0</v>
      </c>
      <c r="Z154" s="174">
        <f>Buildings_GridElectricity_Frontend[[#This Row],[Methodology]]</f>
        <v>0</v>
      </c>
      <c r="AA154" s="229" t="str" cm="1">
        <f t="array" ref="AA154">IF(Buildings_GridElectricity_Frontend[[#This Row],[Data]]="","",INDEX(_xlfn.SWITCH(Buildings_GridElectricity_Backend[[#This Row],[Methodology]],"Tier 1",rng_RSD1,"Tier 2",rng_RSD2,"Tier 3",rng_RSD3),MATCH(_xlfn.CONCAT(Buildings_GridElectricity_Backend[[#This Row],[Level 1]:[Level 6]]),rng_LevelsConcat,0)))</f>
        <v/>
      </c>
      <c r="AB154" s="220">
        <f>Buildings_GridElectricity_Frontend[[#This Row],[Data]]</f>
        <v>0</v>
      </c>
      <c r="AC154" s="174" t="str">
        <f>Buildings_GridElectricity_Frontend[[#This Row],[Units]]</f>
        <v>kWh</v>
      </c>
      <c r="AD154" s="218">
        <f>Buildings_GridElectricity_Frontend[[#This Row],[Data]]</f>
        <v>0</v>
      </c>
      <c r="AE154" s="174" t="str">
        <f>Buildings_GridElectricity_Frontend[[#This Row],[Units]]</f>
        <v>kWh</v>
      </c>
      <c r="AF154" s="210" t="str">
        <f>IF(Buildings_GridElectricity_Frontend[[#This Row],[Data]]="","",_xlfn.XLOOKUP(_xlfn.CONCAT(Buildings_GridElectricity_Backend[[#This Row],[Level 1]:[Level 6]]),rng_EFConcat,rng_EF1)*Buildings_GridElectricity_Backend[[#This Row],[Converted data]]/1000)</f>
        <v/>
      </c>
      <c r="AG154" s="210" t="str">
        <f>IF(Buildings_GridElectricity_Frontend[[#This Row],[Data]]="","",_xlfn.XLOOKUP(_xlfn.CONCAT(Buildings_GridElectricity_Backend[[#This Row],[Level 1]:[Level 6]]),rng_EFConcat,rng_EF2)*Buildings_GridElectricity_Backend[[#This Row],[Converted data]]/1000)</f>
        <v/>
      </c>
      <c r="AH154" s="210" t="str">
        <f>IF(Buildings_GridElectricity_Frontend[[#This Row],[Data]]="","",_xlfn.XLOOKUP(_xlfn.CONCAT(Buildings_GridElectricity_Backend[[#This Row],[Level 1]:[Level 6]]),rng_EFConcat,rng_EF3)*Buildings_GridElectricity_Backend[[#This Row],[Converted data]]/1000)</f>
        <v/>
      </c>
      <c r="AI154" s="210" t="str">
        <f>IF(Buildings_GridElectricity_Frontend[[#This Row],[Data]]="","",_xlfn.XLOOKUP(_xlfn.CONCAT(Buildings_GridElectricity_Backend[[#This Row],[Level 1]:[Level 6]]),rng_EFConcat,rng_EF3WTT)*Buildings_GridElectricity_Backend[[#This Row],[Converted data]]/1000)</f>
        <v/>
      </c>
      <c r="AJ154" s="210" t="str">
        <f>IF(Buildings_GridElectricity_Frontend[[#This Row],[Data]]="","",_xlfn.XLOOKUP(_xlfn.CONCAT(Buildings_GridElectricity_Backend[[#This Row],[Level 1]:[Level 6]]),rng_EFConcat,rng_EF3TD)*Buildings_GridElectricity_Backend[[#This Row],[Converted data]]/1000)</f>
        <v/>
      </c>
      <c r="AK154" s="210" t="str">
        <f>IF(Buildings_GridElectricity_Frontend[[#This Row],[Data]]="","",_xlfn.XLOOKUP(_xlfn.CONCAT(Buildings_GridElectricity_Backend[[#This Row],[Level 1]:[Level 6]]),rng_EFConcat,rng_EF3WTTTD)*Buildings_GridElectricity_Backend[[#This Row],[Converted data]]/1000)</f>
        <v/>
      </c>
      <c r="AL154" s="220" t="str">
        <f>IF(Buildings_GridElectricity_Frontend[[#This Row],[Data]]="","",SUM(Buildings_GridElectricity_Backend[[#This Row],[Scope 1 (tCO2e)]:[Scope 3 WTT T&amp;D (tCO2e)]]))</f>
        <v/>
      </c>
      <c r="AM154" s="220" t="str">
        <f>IF(Buildings_GridElectricity_Frontend[[#This Row],[Data]]="","",Buildings_GridElectricity_Backend[[#This Row],[Total (tCO2e)]]*(1-Buildings_GridElectricity_Backend[[#This Row],[RSD]]))</f>
        <v/>
      </c>
      <c r="AN154" s="220" t="str">
        <f>IF(Buildings_GridElectricity_Frontend[[#This Row],[Data]]="","",Buildings_GridElectricity_Backend[[#This Row],[Total (tCO2e)]]*(1+Buildings_GridElectricity_Backend[[#This Row],[RSD]]))</f>
        <v/>
      </c>
      <c r="AO154" s="210" t="str">
        <f>IF(Buildings_GridElectricity_Frontend[[#This Row],[Data]]="","",_xlfn.XLOOKUP(_xlfn.CONCAT(Buildings_GridElectricity_Backend[[#This Row],[Level 1]:[Level 6]]),rng_EFConcat,rng_EFOOS)*Buildings_GridElectricity_Backend[[#This Row],[Converted data]]/1000)</f>
        <v/>
      </c>
      <c r="AP154" s="174">
        <f>Buildings_GridElectricity_Frontend[[#This Row],[Ease of collection]]</f>
        <v>0</v>
      </c>
      <c r="AQ154" s="213">
        <f>Buildings_GridElectricity_Frontend[[#This Row],[Completeness]]</f>
        <v>0</v>
      </c>
      <c r="AR154" s="220">
        <f>Buildings_GridElectricity_Frontend[[#This Row],[Notes]]</f>
        <v>0</v>
      </c>
    </row>
    <row r="155" spans="5:44" x14ac:dyDescent="0.3">
      <c r="E155" s="346"/>
      <c r="F155" s="449"/>
      <c r="G155" s="336"/>
      <c r="H155" s="334"/>
      <c r="I155" s="172" t="s">
        <v>316</v>
      </c>
      <c r="J155" s="337"/>
      <c r="K155" s="336"/>
      <c r="L155" s="336"/>
      <c r="M155" s="337"/>
      <c r="N155" s="242">
        <f t="shared" si="5"/>
        <v>3</v>
      </c>
      <c r="Q155" s="212" t="str">
        <f t="shared" si="4"/>
        <v/>
      </c>
      <c r="R155" s="174" t="s">
        <v>265</v>
      </c>
      <c r="S155" s="174" t="s">
        <v>273</v>
      </c>
      <c r="T155" s="174" t="str">
        <f>_xlfn.XLOOKUP(Buildings_GridElectricity_Backend[[#This Row],[Info 1]],Buildings_SiteInfo[Site name],Buildings_SiteInfo[Site type], "")</f>
        <v/>
      </c>
      <c r="U155" s="174" t="s">
        <v>281</v>
      </c>
      <c r="V155" s="174" t="str" cm="1">
        <f t="array" aca="1" ref="V155" ca="1">_xlfn.XLOOKUP(Buildings_GridElectricity_Backend[[#This Row],[Level 4]],rng_Level4Long,rng_Level5Long)</f>
        <v>Electricity</v>
      </c>
      <c r="W155" s="174" t="str" cm="1">
        <f t="array" aca="1" ref="W155" ca="1">_xlfn.XLOOKUP(Buildings_GridElectricity_Backend[[#This Row],[Level 4]],rng_Level4Long,rng_Level6Long)</f>
        <v>NaN</v>
      </c>
      <c r="X155" s="174">
        <f>Buildings_GridElectricity_Frontend[[#This Row],[Site Name]]</f>
        <v>0</v>
      </c>
      <c r="Y155" s="174">
        <f>Buildings_GridElectricity_Frontend[[#This Row],[Contracting]]</f>
        <v>0</v>
      </c>
      <c r="Z155" s="174">
        <f>Buildings_GridElectricity_Frontend[[#This Row],[Methodology]]</f>
        <v>0</v>
      </c>
      <c r="AA155" s="229" t="str" cm="1">
        <f t="array" ref="AA155">IF(Buildings_GridElectricity_Frontend[[#This Row],[Data]]="","",INDEX(_xlfn.SWITCH(Buildings_GridElectricity_Backend[[#This Row],[Methodology]],"Tier 1",rng_RSD1,"Tier 2",rng_RSD2,"Tier 3",rng_RSD3),MATCH(_xlfn.CONCAT(Buildings_GridElectricity_Backend[[#This Row],[Level 1]:[Level 6]]),rng_LevelsConcat,0)))</f>
        <v/>
      </c>
      <c r="AB155" s="220">
        <f>Buildings_GridElectricity_Frontend[[#This Row],[Data]]</f>
        <v>0</v>
      </c>
      <c r="AC155" s="174" t="str">
        <f>Buildings_GridElectricity_Frontend[[#This Row],[Units]]</f>
        <v>kWh</v>
      </c>
      <c r="AD155" s="218">
        <f>Buildings_GridElectricity_Frontend[[#This Row],[Data]]</f>
        <v>0</v>
      </c>
      <c r="AE155" s="174" t="str">
        <f>Buildings_GridElectricity_Frontend[[#This Row],[Units]]</f>
        <v>kWh</v>
      </c>
      <c r="AF155" s="210" t="str">
        <f>IF(Buildings_GridElectricity_Frontend[[#This Row],[Data]]="","",_xlfn.XLOOKUP(_xlfn.CONCAT(Buildings_GridElectricity_Backend[[#This Row],[Level 1]:[Level 6]]),rng_EFConcat,rng_EF1)*Buildings_GridElectricity_Backend[[#This Row],[Converted data]]/1000)</f>
        <v/>
      </c>
      <c r="AG155" s="210" t="str">
        <f>IF(Buildings_GridElectricity_Frontend[[#This Row],[Data]]="","",_xlfn.XLOOKUP(_xlfn.CONCAT(Buildings_GridElectricity_Backend[[#This Row],[Level 1]:[Level 6]]),rng_EFConcat,rng_EF2)*Buildings_GridElectricity_Backend[[#This Row],[Converted data]]/1000)</f>
        <v/>
      </c>
      <c r="AH155" s="210" t="str">
        <f>IF(Buildings_GridElectricity_Frontend[[#This Row],[Data]]="","",_xlfn.XLOOKUP(_xlfn.CONCAT(Buildings_GridElectricity_Backend[[#This Row],[Level 1]:[Level 6]]),rng_EFConcat,rng_EF3)*Buildings_GridElectricity_Backend[[#This Row],[Converted data]]/1000)</f>
        <v/>
      </c>
      <c r="AI155" s="210" t="str">
        <f>IF(Buildings_GridElectricity_Frontend[[#This Row],[Data]]="","",_xlfn.XLOOKUP(_xlfn.CONCAT(Buildings_GridElectricity_Backend[[#This Row],[Level 1]:[Level 6]]),rng_EFConcat,rng_EF3WTT)*Buildings_GridElectricity_Backend[[#This Row],[Converted data]]/1000)</f>
        <v/>
      </c>
      <c r="AJ155" s="210" t="str">
        <f>IF(Buildings_GridElectricity_Frontend[[#This Row],[Data]]="","",_xlfn.XLOOKUP(_xlfn.CONCAT(Buildings_GridElectricity_Backend[[#This Row],[Level 1]:[Level 6]]),rng_EFConcat,rng_EF3TD)*Buildings_GridElectricity_Backend[[#This Row],[Converted data]]/1000)</f>
        <v/>
      </c>
      <c r="AK155" s="210" t="str">
        <f>IF(Buildings_GridElectricity_Frontend[[#This Row],[Data]]="","",_xlfn.XLOOKUP(_xlfn.CONCAT(Buildings_GridElectricity_Backend[[#This Row],[Level 1]:[Level 6]]),rng_EFConcat,rng_EF3WTTTD)*Buildings_GridElectricity_Backend[[#This Row],[Converted data]]/1000)</f>
        <v/>
      </c>
      <c r="AL155" s="220" t="str">
        <f>IF(Buildings_GridElectricity_Frontend[[#This Row],[Data]]="","",SUM(Buildings_GridElectricity_Backend[[#This Row],[Scope 1 (tCO2e)]:[Scope 3 WTT T&amp;D (tCO2e)]]))</f>
        <v/>
      </c>
      <c r="AM155" s="220" t="str">
        <f>IF(Buildings_GridElectricity_Frontend[[#This Row],[Data]]="","",Buildings_GridElectricity_Backend[[#This Row],[Total (tCO2e)]]*(1-Buildings_GridElectricity_Backend[[#This Row],[RSD]]))</f>
        <v/>
      </c>
      <c r="AN155" s="220" t="str">
        <f>IF(Buildings_GridElectricity_Frontend[[#This Row],[Data]]="","",Buildings_GridElectricity_Backend[[#This Row],[Total (tCO2e)]]*(1+Buildings_GridElectricity_Backend[[#This Row],[RSD]]))</f>
        <v/>
      </c>
      <c r="AO155" s="210" t="str">
        <f>IF(Buildings_GridElectricity_Frontend[[#This Row],[Data]]="","",_xlfn.XLOOKUP(_xlfn.CONCAT(Buildings_GridElectricity_Backend[[#This Row],[Level 1]:[Level 6]]),rng_EFConcat,rng_EFOOS)*Buildings_GridElectricity_Backend[[#This Row],[Converted data]]/1000)</f>
        <v/>
      </c>
      <c r="AP155" s="174">
        <f>Buildings_GridElectricity_Frontend[[#This Row],[Ease of collection]]</f>
        <v>0</v>
      </c>
      <c r="AQ155" s="213">
        <f>Buildings_GridElectricity_Frontend[[#This Row],[Completeness]]</f>
        <v>0</v>
      </c>
      <c r="AR155" s="220">
        <f>Buildings_GridElectricity_Frontend[[#This Row],[Notes]]</f>
        <v>0</v>
      </c>
    </row>
    <row r="156" spans="5:44" x14ac:dyDescent="0.3">
      <c r="E156" s="346"/>
      <c r="F156" s="449"/>
      <c r="G156" s="336"/>
      <c r="H156" s="334"/>
      <c r="I156" s="172" t="s">
        <v>316</v>
      </c>
      <c r="J156" s="337"/>
      <c r="K156" s="336"/>
      <c r="L156" s="336"/>
      <c r="M156" s="337"/>
      <c r="N156" s="242">
        <f t="shared" si="5"/>
        <v>3</v>
      </c>
      <c r="Q156" s="212" t="str">
        <f t="shared" ref="Q156:Q219" si="6">IF(N156=0,SUBSTITUTE(2025&amp;TRIM(cl_org_name_select)&amp;TRIM($E$25)&amp;(ROW(N156)-ROW($N$28))," ",""),"")</f>
        <v/>
      </c>
      <c r="R156" s="174" t="s">
        <v>265</v>
      </c>
      <c r="S156" s="174" t="s">
        <v>273</v>
      </c>
      <c r="T156" s="174" t="str">
        <f>_xlfn.XLOOKUP(Buildings_GridElectricity_Backend[[#This Row],[Info 1]],Buildings_SiteInfo[Site name],Buildings_SiteInfo[Site type], "")</f>
        <v/>
      </c>
      <c r="U156" s="174" t="s">
        <v>281</v>
      </c>
      <c r="V156" s="174" t="str" cm="1">
        <f t="array" aca="1" ref="V156" ca="1">_xlfn.XLOOKUP(Buildings_GridElectricity_Backend[[#This Row],[Level 4]],rng_Level4Long,rng_Level5Long)</f>
        <v>Electricity</v>
      </c>
      <c r="W156" s="174" t="str" cm="1">
        <f t="array" aca="1" ref="W156" ca="1">_xlfn.XLOOKUP(Buildings_GridElectricity_Backend[[#This Row],[Level 4]],rng_Level4Long,rng_Level6Long)</f>
        <v>NaN</v>
      </c>
      <c r="X156" s="174">
        <f>Buildings_GridElectricity_Frontend[[#This Row],[Site Name]]</f>
        <v>0</v>
      </c>
      <c r="Y156" s="174">
        <f>Buildings_GridElectricity_Frontend[[#This Row],[Contracting]]</f>
        <v>0</v>
      </c>
      <c r="Z156" s="174">
        <f>Buildings_GridElectricity_Frontend[[#This Row],[Methodology]]</f>
        <v>0</v>
      </c>
      <c r="AA156" s="229" t="str" cm="1">
        <f t="array" ref="AA156">IF(Buildings_GridElectricity_Frontend[[#This Row],[Data]]="","",INDEX(_xlfn.SWITCH(Buildings_GridElectricity_Backend[[#This Row],[Methodology]],"Tier 1",rng_RSD1,"Tier 2",rng_RSD2,"Tier 3",rng_RSD3),MATCH(_xlfn.CONCAT(Buildings_GridElectricity_Backend[[#This Row],[Level 1]:[Level 6]]),rng_LevelsConcat,0)))</f>
        <v/>
      </c>
      <c r="AB156" s="220">
        <f>Buildings_GridElectricity_Frontend[[#This Row],[Data]]</f>
        <v>0</v>
      </c>
      <c r="AC156" s="174" t="str">
        <f>Buildings_GridElectricity_Frontend[[#This Row],[Units]]</f>
        <v>kWh</v>
      </c>
      <c r="AD156" s="218">
        <f>Buildings_GridElectricity_Frontend[[#This Row],[Data]]</f>
        <v>0</v>
      </c>
      <c r="AE156" s="174" t="str">
        <f>Buildings_GridElectricity_Frontend[[#This Row],[Units]]</f>
        <v>kWh</v>
      </c>
      <c r="AF156" s="210" t="str">
        <f>IF(Buildings_GridElectricity_Frontend[[#This Row],[Data]]="","",_xlfn.XLOOKUP(_xlfn.CONCAT(Buildings_GridElectricity_Backend[[#This Row],[Level 1]:[Level 6]]),rng_EFConcat,rng_EF1)*Buildings_GridElectricity_Backend[[#This Row],[Converted data]]/1000)</f>
        <v/>
      </c>
      <c r="AG156" s="210" t="str">
        <f>IF(Buildings_GridElectricity_Frontend[[#This Row],[Data]]="","",_xlfn.XLOOKUP(_xlfn.CONCAT(Buildings_GridElectricity_Backend[[#This Row],[Level 1]:[Level 6]]),rng_EFConcat,rng_EF2)*Buildings_GridElectricity_Backend[[#This Row],[Converted data]]/1000)</f>
        <v/>
      </c>
      <c r="AH156" s="210" t="str">
        <f>IF(Buildings_GridElectricity_Frontend[[#This Row],[Data]]="","",_xlfn.XLOOKUP(_xlfn.CONCAT(Buildings_GridElectricity_Backend[[#This Row],[Level 1]:[Level 6]]),rng_EFConcat,rng_EF3)*Buildings_GridElectricity_Backend[[#This Row],[Converted data]]/1000)</f>
        <v/>
      </c>
      <c r="AI156" s="210" t="str">
        <f>IF(Buildings_GridElectricity_Frontend[[#This Row],[Data]]="","",_xlfn.XLOOKUP(_xlfn.CONCAT(Buildings_GridElectricity_Backend[[#This Row],[Level 1]:[Level 6]]),rng_EFConcat,rng_EF3WTT)*Buildings_GridElectricity_Backend[[#This Row],[Converted data]]/1000)</f>
        <v/>
      </c>
      <c r="AJ156" s="210" t="str">
        <f>IF(Buildings_GridElectricity_Frontend[[#This Row],[Data]]="","",_xlfn.XLOOKUP(_xlfn.CONCAT(Buildings_GridElectricity_Backend[[#This Row],[Level 1]:[Level 6]]),rng_EFConcat,rng_EF3TD)*Buildings_GridElectricity_Backend[[#This Row],[Converted data]]/1000)</f>
        <v/>
      </c>
      <c r="AK156" s="210" t="str">
        <f>IF(Buildings_GridElectricity_Frontend[[#This Row],[Data]]="","",_xlfn.XLOOKUP(_xlfn.CONCAT(Buildings_GridElectricity_Backend[[#This Row],[Level 1]:[Level 6]]),rng_EFConcat,rng_EF3WTTTD)*Buildings_GridElectricity_Backend[[#This Row],[Converted data]]/1000)</f>
        <v/>
      </c>
      <c r="AL156" s="220" t="str">
        <f>IF(Buildings_GridElectricity_Frontend[[#This Row],[Data]]="","",SUM(Buildings_GridElectricity_Backend[[#This Row],[Scope 1 (tCO2e)]:[Scope 3 WTT T&amp;D (tCO2e)]]))</f>
        <v/>
      </c>
      <c r="AM156" s="220" t="str">
        <f>IF(Buildings_GridElectricity_Frontend[[#This Row],[Data]]="","",Buildings_GridElectricity_Backend[[#This Row],[Total (tCO2e)]]*(1-Buildings_GridElectricity_Backend[[#This Row],[RSD]]))</f>
        <v/>
      </c>
      <c r="AN156" s="220" t="str">
        <f>IF(Buildings_GridElectricity_Frontend[[#This Row],[Data]]="","",Buildings_GridElectricity_Backend[[#This Row],[Total (tCO2e)]]*(1+Buildings_GridElectricity_Backend[[#This Row],[RSD]]))</f>
        <v/>
      </c>
      <c r="AO156" s="210" t="str">
        <f>IF(Buildings_GridElectricity_Frontend[[#This Row],[Data]]="","",_xlfn.XLOOKUP(_xlfn.CONCAT(Buildings_GridElectricity_Backend[[#This Row],[Level 1]:[Level 6]]),rng_EFConcat,rng_EFOOS)*Buildings_GridElectricity_Backend[[#This Row],[Converted data]]/1000)</f>
        <v/>
      </c>
      <c r="AP156" s="174">
        <f>Buildings_GridElectricity_Frontend[[#This Row],[Ease of collection]]</f>
        <v>0</v>
      </c>
      <c r="AQ156" s="213">
        <f>Buildings_GridElectricity_Frontend[[#This Row],[Completeness]]</f>
        <v>0</v>
      </c>
      <c r="AR156" s="220">
        <f>Buildings_GridElectricity_Frontend[[#This Row],[Notes]]</f>
        <v>0</v>
      </c>
    </row>
    <row r="157" spans="5:44" x14ac:dyDescent="0.3">
      <c r="E157" s="346"/>
      <c r="F157" s="449"/>
      <c r="G157" s="336"/>
      <c r="H157" s="334"/>
      <c r="I157" s="172" t="s">
        <v>316</v>
      </c>
      <c r="J157" s="337"/>
      <c r="K157" s="336"/>
      <c r="L157" s="336"/>
      <c r="M157" s="337"/>
      <c r="N157" s="242">
        <f t="shared" ref="N157:N220" si="7">ISBLANK(E157)+ISBLANK(G157)+ISBLANK(H157)</f>
        <v>3</v>
      </c>
      <c r="Q157" s="212" t="str">
        <f t="shared" si="6"/>
        <v/>
      </c>
      <c r="R157" s="174" t="s">
        <v>265</v>
      </c>
      <c r="S157" s="174" t="s">
        <v>273</v>
      </c>
      <c r="T157" s="174" t="str">
        <f>_xlfn.XLOOKUP(Buildings_GridElectricity_Backend[[#This Row],[Info 1]],Buildings_SiteInfo[Site name],Buildings_SiteInfo[Site type], "")</f>
        <v/>
      </c>
      <c r="U157" s="174" t="s">
        <v>281</v>
      </c>
      <c r="V157" s="174" t="str" cm="1">
        <f t="array" aca="1" ref="V157" ca="1">_xlfn.XLOOKUP(Buildings_GridElectricity_Backend[[#This Row],[Level 4]],rng_Level4Long,rng_Level5Long)</f>
        <v>Electricity</v>
      </c>
      <c r="W157" s="174" t="str" cm="1">
        <f t="array" aca="1" ref="W157" ca="1">_xlfn.XLOOKUP(Buildings_GridElectricity_Backend[[#This Row],[Level 4]],rng_Level4Long,rng_Level6Long)</f>
        <v>NaN</v>
      </c>
      <c r="X157" s="174">
        <f>Buildings_GridElectricity_Frontend[[#This Row],[Site Name]]</f>
        <v>0</v>
      </c>
      <c r="Y157" s="174">
        <f>Buildings_GridElectricity_Frontend[[#This Row],[Contracting]]</f>
        <v>0</v>
      </c>
      <c r="Z157" s="174">
        <f>Buildings_GridElectricity_Frontend[[#This Row],[Methodology]]</f>
        <v>0</v>
      </c>
      <c r="AA157" s="229" t="str" cm="1">
        <f t="array" ref="AA157">IF(Buildings_GridElectricity_Frontend[[#This Row],[Data]]="","",INDEX(_xlfn.SWITCH(Buildings_GridElectricity_Backend[[#This Row],[Methodology]],"Tier 1",rng_RSD1,"Tier 2",rng_RSD2,"Tier 3",rng_RSD3),MATCH(_xlfn.CONCAT(Buildings_GridElectricity_Backend[[#This Row],[Level 1]:[Level 6]]),rng_LevelsConcat,0)))</f>
        <v/>
      </c>
      <c r="AB157" s="220">
        <f>Buildings_GridElectricity_Frontend[[#This Row],[Data]]</f>
        <v>0</v>
      </c>
      <c r="AC157" s="174" t="str">
        <f>Buildings_GridElectricity_Frontend[[#This Row],[Units]]</f>
        <v>kWh</v>
      </c>
      <c r="AD157" s="218">
        <f>Buildings_GridElectricity_Frontend[[#This Row],[Data]]</f>
        <v>0</v>
      </c>
      <c r="AE157" s="174" t="str">
        <f>Buildings_GridElectricity_Frontend[[#This Row],[Units]]</f>
        <v>kWh</v>
      </c>
      <c r="AF157" s="210" t="str">
        <f>IF(Buildings_GridElectricity_Frontend[[#This Row],[Data]]="","",_xlfn.XLOOKUP(_xlfn.CONCAT(Buildings_GridElectricity_Backend[[#This Row],[Level 1]:[Level 6]]),rng_EFConcat,rng_EF1)*Buildings_GridElectricity_Backend[[#This Row],[Converted data]]/1000)</f>
        <v/>
      </c>
      <c r="AG157" s="210" t="str">
        <f>IF(Buildings_GridElectricity_Frontend[[#This Row],[Data]]="","",_xlfn.XLOOKUP(_xlfn.CONCAT(Buildings_GridElectricity_Backend[[#This Row],[Level 1]:[Level 6]]),rng_EFConcat,rng_EF2)*Buildings_GridElectricity_Backend[[#This Row],[Converted data]]/1000)</f>
        <v/>
      </c>
      <c r="AH157" s="210" t="str">
        <f>IF(Buildings_GridElectricity_Frontend[[#This Row],[Data]]="","",_xlfn.XLOOKUP(_xlfn.CONCAT(Buildings_GridElectricity_Backend[[#This Row],[Level 1]:[Level 6]]),rng_EFConcat,rng_EF3)*Buildings_GridElectricity_Backend[[#This Row],[Converted data]]/1000)</f>
        <v/>
      </c>
      <c r="AI157" s="210" t="str">
        <f>IF(Buildings_GridElectricity_Frontend[[#This Row],[Data]]="","",_xlfn.XLOOKUP(_xlfn.CONCAT(Buildings_GridElectricity_Backend[[#This Row],[Level 1]:[Level 6]]),rng_EFConcat,rng_EF3WTT)*Buildings_GridElectricity_Backend[[#This Row],[Converted data]]/1000)</f>
        <v/>
      </c>
      <c r="AJ157" s="210" t="str">
        <f>IF(Buildings_GridElectricity_Frontend[[#This Row],[Data]]="","",_xlfn.XLOOKUP(_xlfn.CONCAT(Buildings_GridElectricity_Backend[[#This Row],[Level 1]:[Level 6]]),rng_EFConcat,rng_EF3TD)*Buildings_GridElectricity_Backend[[#This Row],[Converted data]]/1000)</f>
        <v/>
      </c>
      <c r="AK157" s="210" t="str">
        <f>IF(Buildings_GridElectricity_Frontend[[#This Row],[Data]]="","",_xlfn.XLOOKUP(_xlfn.CONCAT(Buildings_GridElectricity_Backend[[#This Row],[Level 1]:[Level 6]]),rng_EFConcat,rng_EF3WTTTD)*Buildings_GridElectricity_Backend[[#This Row],[Converted data]]/1000)</f>
        <v/>
      </c>
      <c r="AL157" s="220" t="str">
        <f>IF(Buildings_GridElectricity_Frontend[[#This Row],[Data]]="","",SUM(Buildings_GridElectricity_Backend[[#This Row],[Scope 1 (tCO2e)]:[Scope 3 WTT T&amp;D (tCO2e)]]))</f>
        <v/>
      </c>
      <c r="AM157" s="220" t="str">
        <f>IF(Buildings_GridElectricity_Frontend[[#This Row],[Data]]="","",Buildings_GridElectricity_Backend[[#This Row],[Total (tCO2e)]]*(1-Buildings_GridElectricity_Backend[[#This Row],[RSD]]))</f>
        <v/>
      </c>
      <c r="AN157" s="220" t="str">
        <f>IF(Buildings_GridElectricity_Frontend[[#This Row],[Data]]="","",Buildings_GridElectricity_Backend[[#This Row],[Total (tCO2e)]]*(1+Buildings_GridElectricity_Backend[[#This Row],[RSD]]))</f>
        <v/>
      </c>
      <c r="AO157" s="210" t="str">
        <f>IF(Buildings_GridElectricity_Frontend[[#This Row],[Data]]="","",_xlfn.XLOOKUP(_xlfn.CONCAT(Buildings_GridElectricity_Backend[[#This Row],[Level 1]:[Level 6]]),rng_EFConcat,rng_EFOOS)*Buildings_GridElectricity_Backend[[#This Row],[Converted data]]/1000)</f>
        <v/>
      </c>
      <c r="AP157" s="174">
        <f>Buildings_GridElectricity_Frontend[[#This Row],[Ease of collection]]</f>
        <v>0</v>
      </c>
      <c r="AQ157" s="213">
        <f>Buildings_GridElectricity_Frontend[[#This Row],[Completeness]]</f>
        <v>0</v>
      </c>
      <c r="AR157" s="220">
        <f>Buildings_GridElectricity_Frontend[[#This Row],[Notes]]</f>
        <v>0</v>
      </c>
    </row>
    <row r="158" spans="5:44" x14ac:dyDescent="0.3">
      <c r="E158" s="346"/>
      <c r="F158" s="449"/>
      <c r="G158" s="336"/>
      <c r="H158" s="334"/>
      <c r="I158" s="172" t="s">
        <v>316</v>
      </c>
      <c r="J158" s="337"/>
      <c r="K158" s="336"/>
      <c r="L158" s="336"/>
      <c r="M158" s="337"/>
      <c r="N158" s="242">
        <f t="shared" si="7"/>
        <v>3</v>
      </c>
      <c r="Q158" s="212" t="str">
        <f t="shared" si="6"/>
        <v/>
      </c>
      <c r="R158" s="174" t="s">
        <v>265</v>
      </c>
      <c r="S158" s="174" t="s">
        <v>273</v>
      </c>
      <c r="T158" s="174" t="str">
        <f>_xlfn.XLOOKUP(Buildings_GridElectricity_Backend[[#This Row],[Info 1]],Buildings_SiteInfo[Site name],Buildings_SiteInfo[Site type], "")</f>
        <v/>
      </c>
      <c r="U158" s="174" t="s">
        <v>281</v>
      </c>
      <c r="V158" s="174" t="str" cm="1">
        <f t="array" aca="1" ref="V158" ca="1">_xlfn.XLOOKUP(Buildings_GridElectricity_Backend[[#This Row],[Level 4]],rng_Level4Long,rng_Level5Long)</f>
        <v>Electricity</v>
      </c>
      <c r="W158" s="174" t="str" cm="1">
        <f t="array" aca="1" ref="W158" ca="1">_xlfn.XLOOKUP(Buildings_GridElectricity_Backend[[#This Row],[Level 4]],rng_Level4Long,rng_Level6Long)</f>
        <v>NaN</v>
      </c>
      <c r="X158" s="174">
        <f>Buildings_GridElectricity_Frontend[[#This Row],[Site Name]]</f>
        <v>0</v>
      </c>
      <c r="Y158" s="174">
        <f>Buildings_GridElectricity_Frontend[[#This Row],[Contracting]]</f>
        <v>0</v>
      </c>
      <c r="Z158" s="174">
        <f>Buildings_GridElectricity_Frontend[[#This Row],[Methodology]]</f>
        <v>0</v>
      </c>
      <c r="AA158" s="229" t="str" cm="1">
        <f t="array" ref="AA158">IF(Buildings_GridElectricity_Frontend[[#This Row],[Data]]="","",INDEX(_xlfn.SWITCH(Buildings_GridElectricity_Backend[[#This Row],[Methodology]],"Tier 1",rng_RSD1,"Tier 2",rng_RSD2,"Tier 3",rng_RSD3),MATCH(_xlfn.CONCAT(Buildings_GridElectricity_Backend[[#This Row],[Level 1]:[Level 6]]),rng_LevelsConcat,0)))</f>
        <v/>
      </c>
      <c r="AB158" s="220">
        <f>Buildings_GridElectricity_Frontend[[#This Row],[Data]]</f>
        <v>0</v>
      </c>
      <c r="AC158" s="174" t="str">
        <f>Buildings_GridElectricity_Frontend[[#This Row],[Units]]</f>
        <v>kWh</v>
      </c>
      <c r="AD158" s="218">
        <f>Buildings_GridElectricity_Frontend[[#This Row],[Data]]</f>
        <v>0</v>
      </c>
      <c r="AE158" s="174" t="str">
        <f>Buildings_GridElectricity_Frontend[[#This Row],[Units]]</f>
        <v>kWh</v>
      </c>
      <c r="AF158" s="210" t="str">
        <f>IF(Buildings_GridElectricity_Frontend[[#This Row],[Data]]="","",_xlfn.XLOOKUP(_xlfn.CONCAT(Buildings_GridElectricity_Backend[[#This Row],[Level 1]:[Level 6]]),rng_EFConcat,rng_EF1)*Buildings_GridElectricity_Backend[[#This Row],[Converted data]]/1000)</f>
        <v/>
      </c>
      <c r="AG158" s="210" t="str">
        <f>IF(Buildings_GridElectricity_Frontend[[#This Row],[Data]]="","",_xlfn.XLOOKUP(_xlfn.CONCAT(Buildings_GridElectricity_Backend[[#This Row],[Level 1]:[Level 6]]),rng_EFConcat,rng_EF2)*Buildings_GridElectricity_Backend[[#This Row],[Converted data]]/1000)</f>
        <v/>
      </c>
      <c r="AH158" s="210" t="str">
        <f>IF(Buildings_GridElectricity_Frontend[[#This Row],[Data]]="","",_xlfn.XLOOKUP(_xlfn.CONCAT(Buildings_GridElectricity_Backend[[#This Row],[Level 1]:[Level 6]]),rng_EFConcat,rng_EF3)*Buildings_GridElectricity_Backend[[#This Row],[Converted data]]/1000)</f>
        <v/>
      </c>
      <c r="AI158" s="210" t="str">
        <f>IF(Buildings_GridElectricity_Frontend[[#This Row],[Data]]="","",_xlfn.XLOOKUP(_xlfn.CONCAT(Buildings_GridElectricity_Backend[[#This Row],[Level 1]:[Level 6]]),rng_EFConcat,rng_EF3WTT)*Buildings_GridElectricity_Backend[[#This Row],[Converted data]]/1000)</f>
        <v/>
      </c>
      <c r="AJ158" s="210" t="str">
        <f>IF(Buildings_GridElectricity_Frontend[[#This Row],[Data]]="","",_xlfn.XLOOKUP(_xlfn.CONCAT(Buildings_GridElectricity_Backend[[#This Row],[Level 1]:[Level 6]]),rng_EFConcat,rng_EF3TD)*Buildings_GridElectricity_Backend[[#This Row],[Converted data]]/1000)</f>
        <v/>
      </c>
      <c r="AK158" s="210" t="str">
        <f>IF(Buildings_GridElectricity_Frontend[[#This Row],[Data]]="","",_xlfn.XLOOKUP(_xlfn.CONCAT(Buildings_GridElectricity_Backend[[#This Row],[Level 1]:[Level 6]]),rng_EFConcat,rng_EF3WTTTD)*Buildings_GridElectricity_Backend[[#This Row],[Converted data]]/1000)</f>
        <v/>
      </c>
      <c r="AL158" s="220" t="str">
        <f>IF(Buildings_GridElectricity_Frontend[[#This Row],[Data]]="","",SUM(Buildings_GridElectricity_Backend[[#This Row],[Scope 1 (tCO2e)]:[Scope 3 WTT T&amp;D (tCO2e)]]))</f>
        <v/>
      </c>
      <c r="AM158" s="220" t="str">
        <f>IF(Buildings_GridElectricity_Frontend[[#This Row],[Data]]="","",Buildings_GridElectricity_Backend[[#This Row],[Total (tCO2e)]]*(1-Buildings_GridElectricity_Backend[[#This Row],[RSD]]))</f>
        <v/>
      </c>
      <c r="AN158" s="220" t="str">
        <f>IF(Buildings_GridElectricity_Frontend[[#This Row],[Data]]="","",Buildings_GridElectricity_Backend[[#This Row],[Total (tCO2e)]]*(1+Buildings_GridElectricity_Backend[[#This Row],[RSD]]))</f>
        <v/>
      </c>
      <c r="AO158" s="210" t="str">
        <f>IF(Buildings_GridElectricity_Frontend[[#This Row],[Data]]="","",_xlfn.XLOOKUP(_xlfn.CONCAT(Buildings_GridElectricity_Backend[[#This Row],[Level 1]:[Level 6]]),rng_EFConcat,rng_EFOOS)*Buildings_GridElectricity_Backend[[#This Row],[Converted data]]/1000)</f>
        <v/>
      </c>
      <c r="AP158" s="174">
        <f>Buildings_GridElectricity_Frontend[[#This Row],[Ease of collection]]</f>
        <v>0</v>
      </c>
      <c r="AQ158" s="213">
        <f>Buildings_GridElectricity_Frontend[[#This Row],[Completeness]]</f>
        <v>0</v>
      </c>
      <c r="AR158" s="220">
        <f>Buildings_GridElectricity_Frontend[[#This Row],[Notes]]</f>
        <v>0</v>
      </c>
    </row>
    <row r="159" spans="5:44" x14ac:dyDescent="0.3">
      <c r="E159" s="346"/>
      <c r="F159" s="449"/>
      <c r="G159" s="336"/>
      <c r="H159" s="334"/>
      <c r="I159" s="172" t="s">
        <v>316</v>
      </c>
      <c r="J159" s="337"/>
      <c r="K159" s="336"/>
      <c r="L159" s="336"/>
      <c r="M159" s="337"/>
      <c r="N159" s="242">
        <f t="shared" si="7"/>
        <v>3</v>
      </c>
      <c r="Q159" s="212" t="str">
        <f t="shared" si="6"/>
        <v/>
      </c>
      <c r="R159" s="174" t="s">
        <v>265</v>
      </c>
      <c r="S159" s="174" t="s">
        <v>273</v>
      </c>
      <c r="T159" s="174" t="str">
        <f>_xlfn.XLOOKUP(Buildings_GridElectricity_Backend[[#This Row],[Info 1]],Buildings_SiteInfo[Site name],Buildings_SiteInfo[Site type], "")</f>
        <v/>
      </c>
      <c r="U159" s="174" t="s">
        <v>281</v>
      </c>
      <c r="V159" s="174" t="str" cm="1">
        <f t="array" aca="1" ref="V159" ca="1">_xlfn.XLOOKUP(Buildings_GridElectricity_Backend[[#This Row],[Level 4]],rng_Level4Long,rng_Level5Long)</f>
        <v>Electricity</v>
      </c>
      <c r="W159" s="174" t="str" cm="1">
        <f t="array" aca="1" ref="W159" ca="1">_xlfn.XLOOKUP(Buildings_GridElectricity_Backend[[#This Row],[Level 4]],rng_Level4Long,rng_Level6Long)</f>
        <v>NaN</v>
      </c>
      <c r="X159" s="174">
        <f>Buildings_GridElectricity_Frontend[[#This Row],[Site Name]]</f>
        <v>0</v>
      </c>
      <c r="Y159" s="174">
        <f>Buildings_GridElectricity_Frontend[[#This Row],[Contracting]]</f>
        <v>0</v>
      </c>
      <c r="Z159" s="174">
        <f>Buildings_GridElectricity_Frontend[[#This Row],[Methodology]]</f>
        <v>0</v>
      </c>
      <c r="AA159" s="229" t="str" cm="1">
        <f t="array" ref="AA159">IF(Buildings_GridElectricity_Frontend[[#This Row],[Data]]="","",INDEX(_xlfn.SWITCH(Buildings_GridElectricity_Backend[[#This Row],[Methodology]],"Tier 1",rng_RSD1,"Tier 2",rng_RSD2,"Tier 3",rng_RSD3),MATCH(_xlfn.CONCAT(Buildings_GridElectricity_Backend[[#This Row],[Level 1]:[Level 6]]),rng_LevelsConcat,0)))</f>
        <v/>
      </c>
      <c r="AB159" s="220">
        <f>Buildings_GridElectricity_Frontend[[#This Row],[Data]]</f>
        <v>0</v>
      </c>
      <c r="AC159" s="174" t="str">
        <f>Buildings_GridElectricity_Frontend[[#This Row],[Units]]</f>
        <v>kWh</v>
      </c>
      <c r="AD159" s="218">
        <f>Buildings_GridElectricity_Frontend[[#This Row],[Data]]</f>
        <v>0</v>
      </c>
      <c r="AE159" s="174" t="str">
        <f>Buildings_GridElectricity_Frontend[[#This Row],[Units]]</f>
        <v>kWh</v>
      </c>
      <c r="AF159" s="210" t="str">
        <f>IF(Buildings_GridElectricity_Frontend[[#This Row],[Data]]="","",_xlfn.XLOOKUP(_xlfn.CONCAT(Buildings_GridElectricity_Backend[[#This Row],[Level 1]:[Level 6]]),rng_EFConcat,rng_EF1)*Buildings_GridElectricity_Backend[[#This Row],[Converted data]]/1000)</f>
        <v/>
      </c>
      <c r="AG159" s="210" t="str">
        <f>IF(Buildings_GridElectricity_Frontend[[#This Row],[Data]]="","",_xlfn.XLOOKUP(_xlfn.CONCAT(Buildings_GridElectricity_Backend[[#This Row],[Level 1]:[Level 6]]),rng_EFConcat,rng_EF2)*Buildings_GridElectricity_Backend[[#This Row],[Converted data]]/1000)</f>
        <v/>
      </c>
      <c r="AH159" s="210" t="str">
        <f>IF(Buildings_GridElectricity_Frontend[[#This Row],[Data]]="","",_xlfn.XLOOKUP(_xlfn.CONCAT(Buildings_GridElectricity_Backend[[#This Row],[Level 1]:[Level 6]]),rng_EFConcat,rng_EF3)*Buildings_GridElectricity_Backend[[#This Row],[Converted data]]/1000)</f>
        <v/>
      </c>
      <c r="AI159" s="210" t="str">
        <f>IF(Buildings_GridElectricity_Frontend[[#This Row],[Data]]="","",_xlfn.XLOOKUP(_xlfn.CONCAT(Buildings_GridElectricity_Backend[[#This Row],[Level 1]:[Level 6]]),rng_EFConcat,rng_EF3WTT)*Buildings_GridElectricity_Backend[[#This Row],[Converted data]]/1000)</f>
        <v/>
      </c>
      <c r="AJ159" s="210" t="str">
        <f>IF(Buildings_GridElectricity_Frontend[[#This Row],[Data]]="","",_xlfn.XLOOKUP(_xlfn.CONCAT(Buildings_GridElectricity_Backend[[#This Row],[Level 1]:[Level 6]]),rng_EFConcat,rng_EF3TD)*Buildings_GridElectricity_Backend[[#This Row],[Converted data]]/1000)</f>
        <v/>
      </c>
      <c r="AK159" s="210" t="str">
        <f>IF(Buildings_GridElectricity_Frontend[[#This Row],[Data]]="","",_xlfn.XLOOKUP(_xlfn.CONCAT(Buildings_GridElectricity_Backend[[#This Row],[Level 1]:[Level 6]]),rng_EFConcat,rng_EF3WTTTD)*Buildings_GridElectricity_Backend[[#This Row],[Converted data]]/1000)</f>
        <v/>
      </c>
      <c r="AL159" s="220" t="str">
        <f>IF(Buildings_GridElectricity_Frontend[[#This Row],[Data]]="","",SUM(Buildings_GridElectricity_Backend[[#This Row],[Scope 1 (tCO2e)]:[Scope 3 WTT T&amp;D (tCO2e)]]))</f>
        <v/>
      </c>
      <c r="AM159" s="220" t="str">
        <f>IF(Buildings_GridElectricity_Frontend[[#This Row],[Data]]="","",Buildings_GridElectricity_Backend[[#This Row],[Total (tCO2e)]]*(1-Buildings_GridElectricity_Backend[[#This Row],[RSD]]))</f>
        <v/>
      </c>
      <c r="AN159" s="220" t="str">
        <f>IF(Buildings_GridElectricity_Frontend[[#This Row],[Data]]="","",Buildings_GridElectricity_Backend[[#This Row],[Total (tCO2e)]]*(1+Buildings_GridElectricity_Backend[[#This Row],[RSD]]))</f>
        <v/>
      </c>
      <c r="AO159" s="210" t="str">
        <f>IF(Buildings_GridElectricity_Frontend[[#This Row],[Data]]="","",_xlfn.XLOOKUP(_xlfn.CONCAT(Buildings_GridElectricity_Backend[[#This Row],[Level 1]:[Level 6]]),rng_EFConcat,rng_EFOOS)*Buildings_GridElectricity_Backend[[#This Row],[Converted data]]/1000)</f>
        <v/>
      </c>
      <c r="AP159" s="174">
        <f>Buildings_GridElectricity_Frontend[[#This Row],[Ease of collection]]</f>
        <v>0</v>
      </c>
      <c r="AQ159" s="213">
        <f>Buildings_GridElectricity_Frontend[[#This Row],[Completeness]]</f>
        <v>0</v>
      </c>
      <c r="AR159" s="220">
        <f>Buildings_GridElectricity_Frontend[[#This Row],[Notes]]</f>
        <v>0</v>
      </c>
    </row>
    <row r="160" spans="5:44" x14ac:dyDescent="0.3">
      <c r="E160" s="346"/>
      <c r="F160" s="449"/>
      <c r="G160" s="336"/>
      <c r="H160" s="334"/>
      <c r="I160" s="172" t="s">
        <v>316</v>
      </c>
      <c r="J160" s="337"/>
      <c r="K160" s="336"/>
      <c r="L160" s="336"/>
      <c r="M160" s="337"/>
      <c r="N160" s="242">
        <f t="shared" si="7"/>
        <v>3</v>
      </c>
      <c r="Q160" s="212" t="str">
        <f t="shared" si="6"/>
        <v/>
      </c>
      <c r="R160" s="174" t="s">
        <v>265</v>
      </c>
      <c r="S160" s="174" t="s">
        <v>273</v>
      </c>
      <c r="T160" s="174" t="str">
        <f>_xlfn.XLOOKUP(Buildings_GridElectricity_Backend[[#This Row],[Info 1]],Buildings_SiteInfo[Site name],Buildings_SiteInfo[Site type], "")</f>
        <v/>
      </c>
      <c r="U160" s="174" t="s">
        <v>281</v>
      </c>
      <c r="V160" s="174" t="str" cm="1">
        <f t="array" aca="1" ref="V160" ca="1">_xlfn.XLOOKUP(Buildings_GridElectricity_Backend[[#This Row],[Level 4]],rng_Level4Long,rng_Level5Long)</f>
        <v>Electricity</v>
      </c>
      <c r="W160" s="174" t="str" cm="1">
        <f t="array" aca="1" ref="W160" ca="1">_xlfn.XLOOKUP(Buildings_GridElectricity_Backend[[#This Row],[Level 4]],rng_Level4Long,rng_Level6Long)</f>
        <v>NaN</v>
      </c>
      <c r="X160" s="174">
        <f>Buildings_GridElectricity_Frontend[[#This Row],[Site Name]]</f>
        <v>0</v>
      </c>
      <c r="Y160" s="174">
        <f>Buildings_GridElectricity_Frontend[[#This Row],[Contracting]]</f>
        <v>0</v>
      </c>
      <c r="Z160" s="174">
        <f>Buildings_GridElectricity_Frontend[[#This Row],[Methodology]]</f>
        <v>0</v>
      </c>
      <c r="AA160" s="229" t="str" cm="1">
        <f t="array" ref="AA160">IF(Buildings_GridElectricity_Frontend[[#This Row],[Data]]="","",INDEX(_xlfn.SWITCH(Buildings_GridElectricity_Backend[[#This Row],[Methodology]],"Tier 1",rng_RSD1,"Tier 2",rng_RSD2,"Tier 3",rng_RSD3),MATCH(_xlfn.CONCAT(Buildings_GridElectricity_Backend[[#This Row],[Level 1]:[Level 6]]),rng_LevelsConcat,0)))</f>
        <v/>
      </c>
      <c r="AB160" s="220">
        <f>Buildings_GridElectricity_Frontend[[#This Row],[Data]]</f>
        <v>0</v>
      </c>
      <c r="AC160" s="174" t="str">
        <f>Buildings_GridElectricity_Frontend[[#This Row],[Units]]</f>
        <v>kWh</v>
      </c>
      <c r="AD160" s="218">
        <f>Buildings_GridElectricity_Frontend[[#This Row],[Data]]</f>
        <v>0</v>
      </c>
      <c r="AE160" s="174" t="str">
        <f>Buildings_GridElectricity_Frontend[[#This Row],[Units]]</f>
        <v>kWh</v>
      </c>
      <c r="AF160" s="210" t="str">
        <f>IF(Buildings_GridElectricity_Frontend[[#This Row],[Data]]="","",_xlfn.XLOOKUP(_xlfn.CONCAT(Buildings_GridElectricity_Backend[[#This Row],[Level 1]:[Level 6]]),rng_EFConcat,rng_EF1)*Buildings_GridElectricity_Backend[[#This Row],[Converted data]]/1000)</f>
        <v/>
      </c>
      <c r="AG160" s="210" t="str">
        <f>IF(Buildings_GridElectricity_Frontend[[#This Row],[Data]]="","",_xlfn.XLOOKUP(_xlfn.CONCAT(Buildings_GridElectricity_Backend[[#This Row],[Level 1]:[Level 6]]),rng_EFConcat,rng_EF2)*Buildings_GridElectricity_Backend[[#This Row],[Converted data]]/1000)</f>
        <v/>
      </c>
      <c r="AH160" s="210" t="str">
        <f>IF(Buildings_GridElectricity_Frontend[[#This Row],[Data]]="","",_xlfn.XLOOKUP(_xlfn.CONCAT(Buildings_GridElectricity_Backend[[#This Row],[Level 1]:[Level 6]]),rng_EFConcat,rng_EF3)*Buildings_GridElectricity_Backend[[#This Row],[Converted data]]/1000)</f>
        <v/>
      </c>
      <c r="AI160" s="210" t="str">
        <f>IF(Buildings_GridElectricity_Frontend[[#This Row],[Data]]="","",_xlfn.XLOOKUP(_xlfn.CONCAT(Buildings_GridElectricity_Backend[[#This Row],[Level 1]:[Level 6]]),rng_EFConcat,rng_EF3WTT)*Buildings_GridElectricity_Backend[[#This Row],[Converted data]]/1000)</f>
        <v/>
      </c>
      <c r="AJ160" s="210" t="str">
        <f>IF(Buildings_GridElectricity_Frontend[[#This Row],[Data]]="","",_xlfn.XLOOKUP(_xlfn.CONCAT(Buildings_GridElectricity_Backend[[#This Row],[Level 1]:[Level 6]]),rng_EFConcat,rng_EF3TD)*Buildings_GridElectricity_Backend[[#This Row],[Converted data]]/1000)</f>
        <v/>
      </c>
      <c r="AK160" s="210" t="str">
        <f>IF(Buildings_GridElectricity_Frontend[[#This Row],[Data]]="","",_xlfn.XLOOKUP(_xlfn.CONCAT(Buildings_GridElectricity_Backend[[#This Row],[Level 1]:[Level 6]]),rng_EFConcat,rng_EF3WTTTD)*Buildings_GridElectricity_Backend[[#This Row],[Converted data]]/1000)</f>
        <v/>
      </c>
      <c r="AL160" s="220" t="str">
        <f>IF(Buildings_GridElectricity_Frontend[[#This Row],[Data]]="","",SUM(Buildings_GridElectricity_Backend[[#This Row],[Scope 1 (tCO2e)]:[Scope 3 WTT T&amp;D (tCO2e)]]))</f>
        <v/>
      </c>
      <c r="AM160" s="220" t="str">
        <f>IF(Buildings_GridElectricity_Frontend[[#This Row],[Data]]="","",Buildings_GridElectricity_Backend[[#This Row],[Total (tCO2e)]]*(1-Buildings_GridElectricity_Backend[[#This Row],[RSD]]))</f>
        <v/>
      </c>
      <c r="AN160" s="220" t="str">
        <f>IF(Buildings_GridElectricity_Frontend[[#This Row],[Data]]="","",Buildings_GridElectricity_Backend[[#This Row],[Total (tCO2e)]]*(1+Buildings_GridElectricity_Backend[[#This Row],[RSD]]))</f>
        <v/>
      </c>
      <c r="AO160" s="210" t="str">
        <f>IF(Buildings_GridElectricity_Frontend[[#This Row],[Data]]="","",_xlfn.XLOOKUP(_xlfn.CONCAT(Buildings_GridElectricity_Backend[[#This Row],[Level 1]:[Level 6]]),rng_EFConcat,rng_EFOOS)*Buildings_GridElectricity_Backend[[#This Row],[Converted data]]/1000)</f>
        <v/>
      </c>
      <c r="AP160" s="174">
        <f>Buildings_GridElectricity_Frontend[[#This Row],[Ease of collection]]</f>
        <v>0</v>
      </c>
      <c r="AQ160" s="213">
        <f>Buildings_GridElectricity_Frontend[[#This Row],[Completeness]]</f>
        <v>0</v>
      </c>
      <c r="AR160" s="220">
        <f>Buildings_GridElectricity_Frontend[[#This Row],[Notes]]</f>
        <v>0</v>
      </c>
    </row>
    <row r="161" spans="5:44" x14ac:dyDescent="0.3">
      <c r="E161" s="346"/>
      <c r="F161" s="449"/>
      <c r="G161" s="336"/>
      <c r="H161" s="334"/>
      <c r="I161" s="172" t="s">
        <v>316</v>
      </c>
      <c r="J161" s="337"/>
      <c r="K161" s="336"/>
      <c r="L161" s="336"/>
      <c r="M161" s="337"/>
      <c r="N161" s="242">
        <f t="shared" si="7"/>
        <v>3</v>
      </c>
      <c r="Q161" s="212" t="str">
        <f t="shared" si="6"/>
        <v/>
      </c>
      <c r="R161" s="174" t="s">
        <v>265</v>
      </c>
      <c r="S161" s="174" t="s">
        <v>273</v>
      </c>
      <c r="T161" s="174" t="str">
        <f>_xlfn.XLOOKUP(Buildings_GridElectricity_Backend[[#This Row],[Info 1]],Buildings_SiteInfo[Site name],Buildings_SiteInfo[Site type], "")</f>
        <v/>
      </c>
      <c r="U161" s="174" t="s">
        <v>281</v>
      </c>
      <c r="V161" s="174" t="str" cm="1">
        <f t="array" aca="1" ref="V161" ca="1">_xlfn.XLOOKUP(Buildings_GridElectricity_Backend[[#This Row],[Level 4]],rng_Level4Long,rng_Level5Long)</f>
        <v>Electricity</v>
      </c>
      <c r="W161" s="174" t="str" cm="1">
        <f t="array" aca="1" ref="W161" ca="1">_xlfn.XLOOKUP(Buildings_GridElectricity_Backend[[#This Row],[Level 4]],rng_Level4Long,rng_Level6Long)</f>
        <v>NaN</v>
      </c>
      <c r="X161" s="174">
        <f>Buildings_GridElectricity_Frontend[[#This Row],[Site Name]]</f>
        <v>0</v>
      </c>
      <c r="Y161" s="174">
        <f>Buildings_GridElectricity_Frontend[[#This Row],[Contracting]]</f>
        <v>0</v>
      </c>
      <c r="Z161" s="174">
        <f>Buildings_GridElectricity_Frontend[[#This Row],[Methodology]]</f>
        <v>0</v>
      </c>
      <c r="AA161" s="229" t="str" cm="1">
        <f t="array" ref="AA161">IF(Buildings_GridElectricity_Frontend[[#This Row],[Data]]="","",INDEX(_xlfn.SWITCH(Buildings_GridElectricity_Backend[[#This Row],[Methodology]],"Tier 1",rng_RSD1,"Tier 2",rng_RSD2,"Tier 3",rng_RSD3),MATCH(_xlfn.CONCAT(Buildings_GridElectricity_Backend[[#This Row],[Level 1]:[Level 6]]),rng_LevelsConcat,0)))</f>
        <v/>
      </c>
      <c r="AB161" s="220">
        <f>Buildings_GridElectricity_Frontend[[#This Row],[Data]]</f>
        <v>0</v>
      </c>
      <c r="AC161" s="174" t="str">
        <f>Buildings_GridElectricity_Frontend[[#This Row],[Units]]</f>
        <v>kWh</v>
      </c>
      <c r="AD161" s="218">
        <f>Buildings_GridElectricity_Frontend[[#This Row],[Data]]</f>
        <v>0</v>
      </c>
      <c r="AE161" s="174" t="str">
        <f>Buildings_GridElectricity_Frontend[[#This Row],[Units]]</f>
        <v>kWh</v>
      </c>
      <c r="AF161" s="210" t="str">
        <f>IF(Buildings_GridElectricity_Frontend[[#This Row],[Data]]="","",_xlfn.XLOOKUP(_xlfn.CONCAT(Buildings_GridElectricity_Backend[[#This Row],[Level 1]:[Level 6]]),rng_EFConcat,rng_EF1)*Buildings_GridElectricity_Backend[[#This Row],[Converted data]]/1000)</f>
        <v/>
      </c>
      <c r="AG161" s="210" t="str">
        <f>IF(Buildings_GridElectricity_Frontend[[#This Row],[Data]]="","",_xlfn.XLOOKUP(_xlfn.CONCAT(Buildings_GridElectricity_Backend[[#This Row],[Level 1]:[Level 6]]),rng_EFConcat,rng_EF2)*Buildings_GridElectricity_Backend[[#This Row],[Converted data]]/1000)</f>
        <v/>
      </c>
      <c r="AH161" s="210" t="str">
        <f>IF(Buildings_GridElectricity_Frontend[[#This Row],[Data]]="","",_xlfn.XLOOKUP(_xlfn.CONCAT(Buildings_GridElectricity_Backend[[#This Row],[Level 1]:[Level 6]]),rng_EFConcat,rng_EF3)*Buildings_GridElectricity_Backend[[#This Row],[Converted data]]/1000)</f>
        <v/>
      </c>
      <c r="AI161" s="210" t="str">
        <f>IF(Buildings_GridElectricity_Frontend[[#This Row],[Data]]="","",_xlfn.XLOOKUP(_xlfn.CONCAT(Buildings_GridElectricity_Backend[[#This Row],[Level 1]:[Level 6]]),rng_EFConcat,rng_EF3WTT)*Buildings_GridElectricity_Backend[[#This Row],[Converted data]]/1000)</f>
        <v/>
      </c>
      <c r="AJ161" s="210" t="str">
        <f>IF(Buildings_GridElectricity_Frontend[[#This Row],[Data]]="","",_xlfn.XLOOKUP(_xlfn.CONCAT(Buildings_GridElectricity_Backend[[#This Row],[Level 1]:[Level 6]]),rng_EFConcat,rng_EF3TD)*Buildings_GridElectricity_Backend[[#This Row],[Converted data]]/1000)</f>
        <v/>
      </c>
      <c r="AK161" s="210" t="str">
        <f>IF(Buildings_GridElectricity_Frontend[[#This Row],[Data]]="","",_xlfn.XLOOKUP(_xlfn.CONCAT(Buildings_GridElectricity_Backend[[#This Row],[Level 1]:[Level 6]]),rng_EFConcat,rng_EF3WTTTD)*Buildings_GridElectricity_Backend[[#This Row],[Converted data]]/1000)</f>
        <v/>
      </c>
      <c r="AL161" s="220" t="str">
        <f>IF(Buildings_GridElectricity_Frontend[[#This Row],[Data]]="","",SUM(Buildings_GridElectricity_Backend[[#This Row],[Scope 1 (tCO2e)]:[Scope 3 WTT T&amp;D (tCO2e)]]))</f>
        <v/>
      </c>
      <c r="AM161" s="220" t="str">
        <f>IF(Buildings_GridElectricity_Frontend[[#This Row],[Data]]="","",Buildings_GridElectricity_Backend[[#This Row],[Total (tCO2e)]]*(1-Buildings_GridElectricity_Backend[[#This Row],[RSD]]))</f>
        <v/>
      </c>
      <c r="AN161" s="220" t="str">
        <f>IF(Buildings_GridElectricity_Frontend[[#This Row],[Data]]="","",Buildings_GridElectricity_Backend[[#This Row],[Total (tCO2e)]]*(1+Buildings_GridElectricity_Backend[[#This Row],[RSD]]))</f>
        <v/>
      </c>
      <c r="AO161" s="210" t="str">
        <f>IF(Buildings_GridElectricity_Frontend[[#This Row],[Data]]="","",_xlfn.XLOOKUP(_xlfn.CONCAT(Buildings_GridElectricity_Backend[[#This Row],[Level 1]:[Level 6]]),rng_EFConcat,rng_EFOOS)*Buildings_GridElectricity_Backend[[#This Row],[Converted data]]/1000)</f>
        <v/>
      </c>
      <c r="AP161" s="174">
        <f>Buildings_GridElectricity_Frontend[[#This Row],[Ease of collection]]</f>
        <v>0</v>
      </c>
      <c r="AQ161" s="213">
        <f>Buildings_GridElectricity_Frontend[[#This Row],[Completeness]]</f>
        <v>0</v>
      </c>
      <c r="AR161" s="220">
        <f>Buildings_GridElectricity_Frontend[[#This Row],[Notes]]</f>
        <v>0</v>
      </c>
    </row>
    <row r="162" spans="5:44" x14ac:dyDescent="0.3">
      <c r="E162" s="346"/>
      <c r="F162" s="449"/>
      <c r="G162" s="336"/>
      <c r="H162" s="334"/>
      <c r="I162" s="172" t="s">
        <v>316</v>
      </c>
      <c r="J162" s="337"/>
      <c r="K162" s="336"/>
      <c r="L162" s="336"/>
      <c r="M162" s="337"/>
      <c r="N162" s="242">
        <f t="shared" si="7"/>
        <v>3</v>
      </c>
      <c r="Q162" s="212" t="str">
        <f t="shared" si="6"/>
        <v/>
      </c>
      <c r="R162" s="174" t="s">
        <v>265</v>
      </c>
      <c r="S162" s="174" t="s">
        <v>273</v>
      </c>
      <c r="T162" s="174" t="str">
        <f>_xlfn.XLOOKUP(Buildings_GridElectricity_Backend[[#This Row],[Info 1]],Buildings_SiteInfo[Site name],Buildings_SiteInfo[Site type], "")</f>
        <v/>
      </c>
      <c r="U162" s="174" t="s">
        <v>281</v>
      </c>
      <c r="V162" s="174" t="str" cm="1">
        <f t="array" aca="1" ref="V162" ca="1">_xlfn.XLOOKUP(Buildings_GridElectricity_Backend[[#This Row],[Level 4]],rng_Level4Long,rng_Level5Long)</f>
        <v>Electricity</v>
      </c>
      <c r="W162" s="174" t="str" cm="1">
        <f t="array" aca="1" ref="W162" ca="1">_xlfn.XLOOKUP(Buildings_GridElectricity_Backend[[#This Row],[Level 4]],rng_Level4Long,rng_Level6Long)</f>
        <v>NaN</v>
      </c>
      <c r="X162" s="174">
        <f>Buildings_GridElectricity_Frontend[[#This Row],[Site Name]]</f>
        <v>0</v>
      </c>
      <c r="Y162" s="174">
        <f>Buildings_GridElectricity_Frontend[[#This Row],[Contracting]]</f>
        <v>0</v>
      </c>
      <c r="Z162" s="174">
        <f>Buildings_GridElectricity_Frontend[[#This Row],[Methodology]]</f>
        <v>0</v>
      </c>
      <c r="AA162" s="229" t="str" cm="1">
        <f t="array" ref="AA162">IF(Buildings_GridElectricity_Frontend[[#This Row],[Data]]="","",INDEX(_xlfn.SWITCH(Buildings_GridElectricity_Backend[[#This Row],[Methodology]],"Tier 1",rng_RSD1,"Tier 2",rng_RSD2,"Tier 3",rng_RSD3),MATCH(_xlfn.CONCAT(Buildings_GridElectricity_Backend[[#This Row],[Level 1]:[Level 6]]),rng_LevelsConcat,0)))</f>
        <v/>
      </c>
      <c r="AB162" s="220">
        <f>Buildings_GridElectricity_Frontend[[#This Row],[Data]]</f>
        <v>0</v>
      </c>
      <c r="AC162" s="174" t="str">
        <f>Buildings_GridElectricity_Frontend[[#This Row],[Units]]</f>
        <v>kWh</v>
      </c>
      <c r="AD162" s="218">
        <f>Buildings_GridElectricity_Frontend[[#This Row],[Data]]</f>
        <v>0</v>
      </c>
      <c r="AE162" s="174" t="str">
        <f>Buildings_GridElectricity_Frontend[[#This Row],[Units]]</f>
        <v>kWh</v>
      </c>
      <c r="AF162" s="210" t="str">
        <f>IF(Buildings_GridElectricity_Frontend[[#This Row],[Data]]="","",_xlfn.XLOOKUP(_xlfn.CONCAT(Buildings_GridElectricity_Backend[[#This Row],[Level 1]:[Level 6]]),rng_EFConcat,rng_EF1)*Buildings_GridElectricity_Backend[[#This Row],[Converted data]]/1000)</f>
        <v/>
      </c>
      <c r="AG162" s="210" t="str">
        <f>IF(Buildings_GridElectricity_Frontend[[#This Row],[Data]]="","",_xlfn.XLOOKUP(_xlfn.CONCAT(Buildings_GridElectricity_Backend[[#This Row],[Level 1]:[Level 6]]),rng_EFConcat,rng_EF2)*Buildings_GridElectricity_Backend[[#This Row],[Converted data]]/1000)</f>
        <v/>
      </c>
      <c r="AH162" s="210" t="str">
        <f>IF(Buildings_GridElectricity_Frontend[[#This Row],[Data]]="","",_xlfn.XLOOKUP(_xlfn.CONCAT(Buildings_GridElectricity_Backend[[#This Row],[Level 1]:[Level 6]]),rng_EFConcat,rng_EF3)*Buildings_GridElectricity_Backend[[#This Row],[Converted data]]/1000)</f>
        <v/>
      </c>
      <c r="AI162" s="210" t="str">
        <f>IF(Buildings_GridElectricity_Frontend[[#This Row],[Data]]="","",_xlfn.XLOOKUP(_xlfn.CONCAT(Buildings_GridElectricity_Backend[[#This Row],[Level 1]:[Level 6]]),rng_EFConcat,rng_EF3WTT)*Buildings_GridElectricity_Backend[[#This Row],[Converted data]]/1000)</f>
        <v/>
      </c>
      <c r="AJ162" s="210" t="str">
        <f>IF(Buildings_GridElectricity_Frontend[[#This Row],[Data]]="","",_xlfn.XLOOKUP(_xlfn.CONCAT(Buildings_GridElectricity_Backend[[#This Row],[Level 1]:[Level 6]]),rng_EFConcat,rng_EF3TD)*Buildings_GridElectricity_Backend[[#This Row],[Converted data]]/1000)</f>
        <v/>
      </c>
      <c r="AK162" s="210" t="str">
        <f>IF(Buildings_GridElectricity_Frontend[[#This Row],[Data]]="","",_xlfn.XLOOKUP(_xlfn.CONCAT(Buildings_GridElectricity_Backend[[#This Row],[Level 1]:[Level 6]]),rng_EFConcat,rng_EF3WTTTD)*Buildings_GridElectricity_Backend[[#This Row],[Converted data]]/1000)</f>
        <v/>
      </c>
      <c r="AL162" s="220" t="str">
        <f>IF(Buildings_GridElectricity_Frontend[[#This Row],[Data]]="","",SUM(Buildings_GridElectricity_Backend[[#This Row],[Scope 1 (tCO2e)]:[Scope 3 WTT T&amp;D (tCO2e)]]))</f>
        <v/>
      </c>
      <c r="AM162" s="220" t="str">
        <f>IF(Buildings_GridElectricity_Frontend[[#This Row],[Data]]="","",Buildings_GridElectricity_Backend[[#This Row],[Total (tCO2e)]]*(1-Buildings_GridElectricity_Backend[[#This Row],[RSD]]))</f>
        <v/>
      </c>
      <c r="AN162" s="220" t="str">
        <f>IF(Buildings_GridElectricity_Frontend[[#This Row],[Data]]="","",Buildings_GridElectricity_Backend[[#This Row],[Total (tCO2e)]]*(1+Buildings_GridElectricity_Backend[[#This Row],[RSD]]))</f>
        <v/>
      </c>
      <c r="AO162" s="210" t="str">
        <f>IF(Buildings_GridElectricity_Frontend[[#This Row],[Data]]="","",_xlfn.XLOOKUP(_xlfn.CONCAT(Buildings_GridElectricity_Backend[[#This Row],[Level 1]:[Level 6]]),rng_EFConcat,rng_EFOOS)*Buildings_GridElectricity_Backend[[#This Row],[Converted data]]/1000)</f>
        <v/>
      </c>
      <c r="AP162" s="174">
        <f>Buildings_GridElectricity_Frontend[[#This Row],[Ease of collection]]</f>
        <v>0</v>
      </c>
      <c r="AQ162" s="213">
        <f>Buildings_GridElectricity_Frontend[[#This Row],[Completeness]]</f>
        <v>0</v>
      </c>
      <c r="AR162" s="220">
        <f>Buildings_GridElectricity_Frontend[[#This Row],[Notes]]</f>
        <v>0</v>
      </c>
    </row>
    <row r="163" spans="5:44" x14ac:dyDescent="0.3">
      <c r="E163" s="346"/>
      <c r="F163" s="449"/>
      <c r="G163" s="336"/>
      <c r="H163" s="334"/>
      <c r="I163" s="172" t="s">
        <v>316</v>
      </c>
      <c r="J163" s="337"/>
      <c r="K163" s="336"/>
      <c r="L163" s="336"/>
      <c r="M163" s="337"/>
      <c r="N163" s="242">
        <f t="shared" si="7"/>
        <v>3</v>
      </c>
      <c r="Q163" s="212" t="str">
        <f t="shared" si="6"/>
        <v/>
      </c>
      <c r="R163" s="174" t="s">
        <v>265</v>
      </c>
      <c r="S163" s="174" t="s">
        <v>273</v>
      </c>
      <c r="T163" s="174" t="str">
        <f>_xlfn.XLOOKUP(Buildings_GridElectricity_Backend[[#This Row],[Info 1]],Buildings_SiteInfo[Site name],Buildings_SiteInfo[Site type], "")</f>
        <v/>
      </c>
      <c r="U163" s="174" t="s">
        <v>281</v>
      </c>
      <c r="V163" s="174" t="str" cm="1">
        <f t="array" aca="1" ref="V163" ca="1">_xlfn.XLOOKUP(Buildings_GridElectricity_Backend[[#This Row],[Level 4]],rng_Level4Long,rng_Level5Long)</f>
        <v>Electricity</v>
      </c>
      <c r="W163" s="174" t="str" cm="1">
        <f t="array" aca="1" ref="W163" ca="1">_xlfn.XLOOKUP(Buildings_GridElectricity_Backend[[#This Row],[Level 4]],rng_Level4Long,rng_Level6Long)</f>
        <v>NaN</v>
      </c>
      <c r="X163" s="174">
        <f>Buildings_GridElectricity_Frontend[[#This Row],[Site Name]]</f>
        <v>0</v>
      </c>
      <c r="Y163" s="174">
        <f>Buildings_GridElectricity_Frontend[[#This Row],[Contracting]]</f>
        <v>0</v>
      </c>
      <c r="Z163" s="174">
        <f>Buildings_GridElectricity_Frontend[[#This Row],[Methodology]]</f>
        <v>0</v>
      </c>
      <c r="AA163" s="229" t="str" cm="1">
        <f t="array" ref="AA163">IF(Buildings_GridElectricity_Frontend[[#This Row],[Data]]="","",INDEX(_xlfn.SWITCH(Buildings_GridElectricity_Backend[[#This Row],[Methodology]],"Tier 1",rng_RSD1,"Tier 2",rng_RSD2,"Tier 3",rng_RSD3),MATCH(_xlfn.CONCAT(Buildings_GridElectricity_Backend[[#This Row],[Level 1]:[Level 6]]),rng_LevelsConcat,0)))</f>
        <v/>
      </c>
      <c r="AB163" s="220">
        <f>Buildings_GridElectricity_Frontend[[#This Row],[Data]]</f>
        <v>0</v>
      </c>
      <c r="AC163" s="174" t="str">
        <f>Buildings_GridElectricity_Frontend[[#This Row],[Units]]</f>
        <v>kWh</v>
      </c>
      <c r="AD163" s="218">
        <f>Buildings_GridElectricity_Frontend[[#This Row],[Data]]</f>
        <v>0</v>
      </c>
      <c r="AE163" s="174" t="str">
        <f>Buildings_GridElectricity_Frontend[[#This Row],[Units]]</f>
        <v>kWh</v>
      </c>
      <c r="AF163" s="210" t="str">
        <f>IF(Buildings_GridElectricity_Frontend[[#This Row],[Data]]="","",_xlfn.XLOOKUP(_xlfn.CONCAT(Buildings_GridElectricity_Backend[[#This Row],[Level 1]:[Level 6]]),rng_EFConcat,rng_EF1)*Buildings_GridElectricity_Backend[[#This Row],[Converted data]]/1000)</f>
        <v/>
      </c>
      <c r="AG163" s="210" t="str">
        <f>IF(Buildings_GridElectricity_Frontend[[#This Row],[Data]]="","",_xlfn.XLOOKUP(_xlfn.CONCAT(Buildings_GridElectricity_Backend[[#This Row],[Level 1]:[Level 6]]),rng_EFConcat,rng_EF2)*Buildings_GridElectricity_Backend[[#This Row],[Converted data]]/1000)</f>
        <v/>
      </c>
      <c r="AH163" s="210" t="str">
        <f>IF(Buildings_GridElectricity_Frontend[[#This Row],[Data]]="","",_xlfn.XLOOKUP(_xlfn.CONCAT(Buildings_GridElectricity_Backend[[#This Row],[Level 1]:[Level 6]]),rng_EFConcat,rng_EF3)*Buildings_GridElectricity_Backend[[#This Row],[Converted data]]/1000)</f>
        <v/>
      </c>
      <c r="AI163" s="210" t="str">
        <f>IF(Buildings_GridElectricity_Frontend[[#This Row],[Data]]="","",_xlfn.XLOOKUP(_xlfn.CONCAT(Buildings_GridElectricity_Backend[[#This Row],[Level 1]:[Level 6]]),rng_EFConcat,rng_EF3WTT)*Buildings_GridElectricity_Backend[[#This Row],[Converted data]]/1000)</f>
        <v/>
      </c>
      <c r="AJ163" s="210" t="str">
        <f>IF(Buildings_GridElectricity_Frontend[[#This Row],[Data]]="","",_xlfn.XLOOKUP(_xlfn.CONCAT(Buildings_GridElectricity_Backend[[#This Row],[Level 1]:[Level 6]]),rng_EFConcat,rng_EF3TD)*Buildings_GridElectricity_Backend[[#This Row],[Converted data]]/1000)</f>
        <v/>
      </c>
      <c r="AK163" s="210" t="str">
        <f>IF(Buildings_GridElectricity_Frontend[[#This Row],[Data]]="","",_xlfn.XLOOKUP(_xlfn.CONCAT(Buildings_GridElectricity_Backend[[#This Row],[Level 1]:[Level 6]]),rng_EFConcat,rng_EF3WTTTD)*Buildings_GridElectricity_Backend[[#This Row],[Converted data]]/1000)</f>
        <v/>
      </c>
      <c r="AL163" s="220" t="str">
        <f>IF(Buildings_GridElectricity_Frontend[[#This Row],[Data]]="","",SUM(Buildings_GridElectricity_Backend[[#This Row],[Scope 1 (tCO2e)]:[Scope 3 WTT T&amp;D (tCO2e)]]))</f>
        <v/>
      </c>
      <c r="AM163" s="220" t="str">
        <f>IF(Buildings_GridElectricity_Frontend[[#This Row],[Data]]="","",Buildings_GridElectricity_Backend[[#This Row],[Total (tCO2e)]]*(1-Buildings_GridElectricity_Backend[[#This Row],[RSD]]))</f>
        <v/>
      </c>
      <c r="AN163" s="220" t="str">
        <f>IF(Buildings_GridElectricity_Frontend[[#This Row],[Data]]="","",Buildings_GridElectricity_Backend[[#This Row],[Total (tCO2e)]]*(1+Buildings_GridElectricity_Backend[[#This Row],[RSD]]))</f>
        <v/>
      </c>
      <c r="AO163" s="210" t="str">
        <f>IF(Buildings_GridElectricity_Frontend[[#This Row],[Data]]="","",_xlfn.XLOOKUP(_xlfn.CONCAT(Buildings_GridElectricity_Backend[[#This Row],[Level 1]:[Level 6]]),rng_EFConcat,rng_EFOOS)*Buildings_GridElectricity_Backend[[#This Row],[Converted data]]/1000)</f>
        <v/>
      </c>
      <c r="AP163" s="174">
        <f>Buildings_GridElectricity_Frontend[[#This Row],[Ease of collection]]</f>
        <v>0</v>
      </c>
      <c r="AQ163" s="213">
        <f>Buildings_GridElectricity_Frontend[[#This Row],[Completeness]]</f>
        <v>0</v>
      </c>
      <c r="AR163" s="220">
        <f>Buildings_GridElectricity_Frontend[[#This Row],[Notes]]</f>
        <v>0</v>
      </c>
    </row>
    <row r="164" spans="5:44" x14ac:dyDescent="0.3">
      <c r="E164" s="346"/>
      <c r="F164" s="449"/>
      <c r="G164" s="336"/>
      <c r="H164" s="334"/>
      <c r="I164" s="172" t="s">
        <v>316</v>
      </c>
      <c r="J164" s="337"/>
      <c r="K164" s="336"/>
      <c r="L164" s="336"/>
      <c r="M164" s="337"/>
      <c r="N164" s="242">
        <f t="shared" si="7"/>
        <v>3</v>
      </c>
      <c r="Q164" s="212" t="str">
        <f t="shared" si="6"/>
        <v/>
      </c>
      <c r="R164" s="174" t="s">
        <v>265</v>
      </c>
      <c r="S164" s="174" t="s">
        <v>273</v>
      </c>
      <c r="T164" s="174" t="str">
        <f>_xlfn.XLOOKUP(Buildings_GridElectricity_Backend[[#This Row],[Info 1]],Buildings_SiteInfo[Site name],Buildings_SiteInfo[Site type], "")</f>
        <v/>
      </c>
      <c r="U164" s="174" t="s">
        <v>281</v>
      </c>
      <c r="V164" s="174" t="str" cm="1">
        <f t="array" aca="1" ref="V164" ca="1">_xlfn.XLOOKUP(Buildings_GridElectricity_Backend[[#This Row],[Level 4]],rng_Level4Long,rng_Level5Long)</f>
        <v>Electricity</v>
      </c>
      <c r="W164" s="174" t="str" cm="1">
        <f t="array" aca="1" ref="W164" ca="1">_xlfn.XLOOKUP(Buildings_GridElectricity_Backend[[#This Row],[Level 4]],rng_Level4Long,rng_Level6Long)</f>
        <v>NaN</v>
      </c>
      <c r="X164" s="174">
        <f>Buildings_GridElectricity_Frontend[[#This Row],[Site Name]]</f>
        <v>0</v>
      </c>
      <c r="Y164" s="174">
        <f>Buildings_GridElectricity_Frontend[[#This Row],[Contracting]]</f>
        <v>0</v>
      </c>
      <c r="Z164" s="174">
        <f>Buildings_GridElectricity_Frontend[[#This Row],[Methodology]]</f>
        <v>0</v>
      </c>
      <c r="AA164" s="229" t="str" cm="1">
        <f t="array" ref="AA164">IF(Buildings_GridElectricity_Frontend[[#This Row],[Data]]="","",INDEX(_xlfn.SWITCH(Buildings_GridElectricity_Backend[[#This Row],[Methodology]],"Tier 1",rng_RSD1,"Tier 2",rng_RSD2,"Tier 3",rng_RSD3),MATCH(_xlfn.CONCAT(Buildings_GridElectricity_Backend[[#This Row],[Level 1]:[Level 6]]),rng_LevelsConcat,0)))</f>
        <v/>
      </c>
      <c r="AB164" s="220">
        <f>Buildings_GridElectricity_Frontend[[#This Row],[Data]]</f>
        <v>0</v>
      </c>
      <c r="AC164" s="174" t="str">
        <f>Buildings_GridElectricity_Frontend[[#This Row],[Units]]</f>
        <v>kWh</v>
      </c>
      <c r="AD164" s="218">
        <f>Buildings_GridElectricity_Frontend[[#This Row],[Data]]</f>
        <v>0</v>
      </c>
      <c r="AE164" s="174" t="str">
        <f>Buildings_GridElectricity_Frontend[[#This Row],[Units]]</f>
        <v>kWh</v>
      </c>
      <c r="AF164" s="210" t="str">
        <f>IF(Buildings_GridElectricity_Frontend[[#This Row],[Data]]="","",_xlfn.XLOOKUP(_xlfn.CONCAT(Buildings_GridElectricity_Backend[[#This Row],[Level 1]:[Level 6]]),rng_EFConcat,rng_EF1)*Buildings_GridElectricity_Backend[[#This Row],[Converted data]]/1000)</f>
        <v/>
      </c>
      <c r="AG164" s="210" t="str">
        <f>IF(Buildings_GridElectricity_Frontend[[#This Row],[Data]]="","",_xlfn.XLOOKUP(_xlfn.CONCAT(Buildings_GridElectricity_Backend[[#This Row],[Level 1]:[Level 6]]),rng_EFConcat,rng_EF2)*Buildings_GridElectricity_Backend[[#This Row],[Converted data]]/1000)</f>
        <v/>
      </c>
      <c r="AH164" s="210" t="str">
        <f>IF(Buildings_GridElectricity_Frontend[[#This Row],[Data]]="","",_xlfn.XLOOKUP(_xlfn.CONCAT(Buildings_GridElectricity_Backend[[#This Row],[Level 1]:[Level 6]]),rng_EFConcat,rng_EF3)*Buildings_GridElectricity_Backend[[#This Row],[Converted data]]/1000)</f>
        <v/>
      </c>
      <c r="AI164" s="210" t="str">
        <f>IF(Buildings_GridElectricity_Frontend[[#This Row],[Data]]="","",_xlfn.XLOOKUP(_xlfn.CONCAT(Buildings_GridElectricity_Backend[[#This Row],[Level 1]:[Level 6]]),rng_EFConcat,rng_EF3WTT)*Buildings_GridElectricity_Backend[[#This Row],[Converted data]]/1000)</f>
        <v/>
      </c>
      <c r="AJ164" s="210" t="str">
        <f>IF(Buildings_GridElectricity_Frontend[[#This Row],[Data]]="","",_xlfn.XLOOKUP(_xlfn.CONCAT(Buildings_GridElectricity_Backend[[#This Row],[Level 1]:[Level 6]]),rng_EFConcat,rng_EF3TD)*Buildings_GridElectricity_Backend[[#This Row],[Converted data]]/1000)</f>
        <v/>
      </c>
      <c r="AK164" s="210" t="str">
        <f>IF(Buildings_GridElectricity_Frontend[[#This Row],[Data]]="","",_xlfn.XLOOKUP(_xlfn.CONCAT(Buildings_GridElectricity_Backend[[#This Row],[Level 1]:[Level 6]]),rng_EFConcat,rng_EF3WTTTD)*Buildings_GridElectricity_Backend[[#This Row],[Converted data]]/1000)</f>
        <v/>
      </c>
      <c r="AL164" s="220" t="str">
        <f>IF(Buildings_GridElectricity_Frontend[[#This Row],[Data]]="","",SUM(Buildings_GridElectricity_Backend[[#This Row],[Scope 1 (tCO2e)]:[Scope 3 WTT T&amp;D (tCO2e)]]))</f>
        <v/>
      </c>
      <c r="AM164" s="220" t="str">
        <f>IF(Buildings_GridElectricity_Frontend[[#This Row],[Data]]="","",Buildings_GridElectricity_Backend[[#This Row],[Total (tCO2e)]]*(1-Buildings_GridElectricity_Backend[[#This Row],[RSD]]))</f>
        <v/>
      </c>
      <c r="AN164" s="220" t="str">
        <f>IF(Buildings_GridElectricity_Frontend[[#This Row],[Data]]="","",Buildings_GridElectricity_Backend[[#This Row],[Total (tCO2e)]]*(1+Buildings_GridElectricity_Backend[[#This Row],[RSD]]))</f>
        <v/>
      </c>
      <c r="AO164" s="210" t="str">
        <f>IF(Buildings_GridElectricity_Frontend[[#This Row],[Data]]="","",_xlfn.XLOOKUP(_xlfn.CONCAT(Buildings_GridElectricity_Backend[[#This Row],[Level 1]:[Level 6]]),rng_EFConcat,rng_EFOOS)*Buildings_GridElectricity_Backend[[#This Row],[Converted data]]/1000)</f>
        <v/>
      </c>
      <c r="AP164" s="174">
        <f>Buildings_GridElectricity_Frontend[[#This Row],[Ease of collection]]</f>
        <v>0</v>
      </c>
      <c r="AQ164" s="213">
        <f>Buildings_GridElectricity_Frontend[[#This Row],[Completeness]]</f>
        <v>0</v>
      </c>
      <c r="AR164" s="220">
        <f>Buildings_GridElectricity_Frontend[[#This Row],[Notes]]</f>
        <v>0</v>
      </c>
    </row>
    <row r="165" spans="5:44" x14ac:dyDescent="0.3">
      <c r="E165" s="346"/>
      <c r="F165" s="449"/>
      <c r="G165" s="336"/>
      <c r="H165" s="334"/>
      <c r="I165" s="172" t="s">
        <v>316</v>
      </c>
      <c r="J165" s="337"/>
      <c r="K165" s="336"/>
      <c r="L165" s="336"/>
      <c r="M165" s="337"/>
      <c r="N165" s="242">
        <f t="shared" si="7"/>
        <v>3</v>
      </c>
      <c r="Q165" s="212" t="str">
        <f t="shared" si="6"/>
        <v/>
      </c>
      <c r="R165" s="174" t="s">
        <v>265</v>
      </c>
      <c r="S165" s="174" t="s">
        <v>273</v>
      </c>
      <c r="T165" s="174" t="str">
        <f>_xlfn.XLOOKUP(Buildings_GridElectricity_Backend[[#This Row],[Info 1]],Buildings_SiteInfo[Site name],Buildings_SiteInfo[Site type], "")</f>
        <v/>
      </c>
      <c r="U165" s="174" t="s">
        <v>281</v>
      </c>
      <c r="V165" s="174" t="str" cm="1">
        <f t="array" aca="1" ref="V165" ca="1">_xlfn.XLOOKUP(Buildings_GridElectricity_Backend[[#This Row],[Level 4]],rng_Level4Long,rng_Level5Long)</f>
        <v>Electricity</v>
      </c>
      <c r="W165" s="174" t="str" cm="1">
        <f t="array" aca="1" ref="W165" ca="1">_xlfn.XLOOKUP(Buildings_GridElectricity_Backend[[#This Row],[Level 4]],rng_Level4Long,rng_Level6Long)</f>
        <v>NaN</v>
      </c>
      <c r="X165" s="174">
        <f>Buildings_GridElectricity_Frontend[[#This Row],[Site Name]]</f>
        <v>0</v>
      </c>
      <c r="Y165" s="174">
        <f>Buildings_GridElectricity_Frontend[[#This Row],[Contracting]]</f>
        <v>0</v>
      </c>
      <c r="Z165" s="174">
        <f>Buildings_GridElectricity_Frontend[[#This Row],[Methodology]]</f>
        <v>0</v>
      </c>
      <c r="AA165" s="229" t="str" cm="1">
        <f t="array" ref="AA165">IF(Buildings_GridElectricity_Frontend[[#This Row],[Data]]="","",INDEX(_xlfn.SWITCH(Buildings_GridElectricity_Backend[[#This Row],[Methodology]],"Tier 1",rng_RSD1,"Tier 2",rng_RSD2,"Tier 3",rng_RSD3),MATCH(_xlfn.CONCAT(Buildings_GridElectricity_Backend[[#This Row],[Level 1]:[Level 6]]),rng_LevelsConcat,0)))</f>
        <v/>
      </c>
      <c r="AB165" s="220">
        <f>Buildings_GridElectricity_Frontend[[#This Row],[Data]]</f>
        <v>0</v>
      </c>
      <c r="AC165" s="174" t="str">
        <f>Buildings_GridElectricity_Frontend[[#This Row],[Units]]</f>
        <v>kWh</v>
      </c>
      <c r="AD165" s="218">
        <f>Buildings_GridElectricity_Frontend[[#This Row],[Data]]</f>
        <v>0</v>
      </c>
      <c r="AE165" s="174" t="str">
        <f>Buildings_GridElectricity_Frontend[[#This Row],[Units]]</f>
        <v>kWh</v>
      </c>
      <c r="AF165" s="210" t="str">
        <f>IF(Buildings_GridElectricity_Frontend[[#This Row],[Data]]="","",_xlfn.XLOOKUP(_xlfn.CONCAT(Buildings_GridElectricity_Backend[[#This Row],[Level 1]:[Level 6]]),rng_EFConcat,rng_EF1)*Buildings_GridElectricity_Backend[[#This Row],[Converted data]]/1000)</f>
        <v/>
      </c>
      <c r="AG165" s="210" t="str">
        <f>IF(Buildings_GridElectricity_Frontend[[#This Row],[Data]]="","",_xlfn.XLOOKUP(_xlfn.CONCAT(Buildings_GridElectricity_Backend[[#This Row],[Level 1]:[Level 6]]),rng_EFConcat,rng_EF2)*Buildings_GridElectricity_Backend[[#This Row],[Converted data]]/1000)</f>
        <v/>
      </c>
      <c r="AH165" s="210" t="str">
        <f>IF(Buildings_GridElectricity_Frontend[[#This Row],[Data]]="","",_xlfn.XLOOKUP(_xlfn.CONCAT(Buildings_GridElectricity_Backend[[#This Row],[Level 1]:[Level 6]]),rng_EFConcat,rng_EF3)*Buildings_GridElectricity_Backend[[#This Row],[Converted data]]/1000)</f>
        <v/>
      </c>
      <c r="AI165" s="210" t="str">
        <f>IF(Buildings_GridElectricity_Frontend[[#This Row],[Data]]="","",_xlfn.XLOOKUP(_xlfn.CONCAT(Buildings_GridElectricity_Backend[[#This Row],[Level 1]:[Level 6]]),rng_EFConcat,rng_EF3WTT)*Buildings_GridElectricity_Backend[[#This Row],[Converted data]]/1000)</f>
        <v/>
      </c>
      <c r="AJ165" s="210" t="str">
        <f>IF(Buildings_GridElectricity_Frontend[[#This Row],[Data]]="","",_xlfn.XLOOKUP(_xlfn.CONCAT(Buildings_GridElectricity_Backend[[#This Row],[Level 1]:[Level 6]]),rng_EFConcat,rng_EF3TD)*Buildings_GridElectricity_Backend[[#This Row],[Converted data]]/1000)</f>
        <v/>
      </c>
      <c r="AK165" s="210" t="str">
        <f>IF(Buildings_GridElectricity_Frontend[[#This Row],[Data]]="","",_xlfn.XLOOKUP(_xlfn.CONCAT(Buildings_GridElectricity_Backend[[#This Row],[Level 1]:[Level 6]]),rng_EFConcat,rng_EF3WTTTD)*Buildings_GridElectricity_Backend[[#This Row],[Converted data]]/1000)</f>
        <v/>
      </c>
      <c r="AL165" s="220" t="str">
        <f>IF(Buildings_GridElectricity_Frontend[[#This Row],[Data]]="","",SUM(Buildings_GridElectricity_Backend[[#This Row],[Scope 1 (tCO2e)]:[Scope 3 WTT T&amp;D (tCO2e)]]))</f>
        <v/>
      </c>
      <c r="AM165" s="220" t="str">
        <f>IF(Buildings_GridElectricity_Frontend[[#This Row],[Data]]="","",Buildings_GridElectricity_Backend[[#This Row],[Total (tCO2e)]]*(1-Buildings_GridElectricity_Backend[[#This Row],[RSD]]))</f>
        <v/>
      </c>
      <c r="AN165" s="220" t="str">
        <f>IF(Buildings_GridElectricity_Frontend[[#This Row],[Data]]="","",Buildings_GridElectricity_Backend[[#This Row],[Total (tCO2e)]]*(1+Buildings_GridElectricity_Backend[[#This Row],[RSD]]))</f>
        <v/>
      </c>
      <c r="AO165" s="210" t="str">
        <f>IF(Buildings_GridElectricity_Frontend[[#This Row],[Data]]="","",_xlfn.XLOOKUP(_xlfn.CONCAT(Buildings_GridElectricity_Backend[[#This Row],[Level 1]:[Level 6]]),rng_EFConcat,rng_EFOOS)*Buildings_GridElectricity_Backend[[#This Row],[Converted data]]/1000)</f>
        <v/>
      </c>
      <c r="AP165" s="174">
        <f>Buildings_GridElectricity_Frontend[[#This Row],[Ease of collection]]</f>
        <v>0</v>
      </c>
      <c r="AQ165" s="213">
        <f>Buildings_GridElectricity_Frontend[[#This Row],[Completeness]]</f>
        <v>0</v>
      </c>
      <c r="AR165" s="220">
        <f>Buildings_GridElectricity_Frontend[[#This Row],[Notes]]</f>
        <v>0</v>
      </c>
    </row>
    <row r="166" spans="5:44" x14ac:dyDescent="0.3">
      <c r="E166" s="346"/>
      <c r="F166" s="449"/>
      <c r="G166" s="336"/>
      <c r="H166" s="334"/>
      <c r="I166" s="172" t="s">
        <v>316</v>
      </c>
      <c r="J166" s="337"/>
      <c r="K166" s="336"/>
      <c r="L166" s="336"/>
      <c r="M166" s="337"/>
      <c r="N166" s="242">
        <f t="shared" si="7"/>
        <v>3</v>
      </c>
      <c r="Q166" s="212" t="str">
        <f t="shared" si="6"/>
        <v/>
      </c>
      <c r="R166" s="174" t="s">
        <v>265</v>
      </c>
      <c r="S166" s="174" t="s">
        <v>273</v>
      </c>
      <c r="T166" s="174" t="str">
        <f>_xlfn.XLOOKUP(Buildings_GridElectricity_Backend[[#This Row],[Info 1]],Buildings_SiteInfo[Site name],Buildings_SiteInfo[Site type], "")</f>
        <v/>
      </c>
      <c r="U166" s="174" t="s">
        <v>281</v>
      </c>
      <c r="V166" s="174" t="str" cm="1">
        <f t="array" aca="1" ref="V166" ca="1">_xlfn.XLOOKUP(Buildings_GridElectricity_Backend[[#This Row],[Level 4]],rng_Level4Long,rng_Level5Long)</f>
        <v>Electricity</v>
      </c>
      <c r="W166" s="174" t="str" cm="1">
        <f t="array" aca="1" ref="W166" ca="1">_xlfn.XLOOKUP(Buildings_GridElectricity_Backend[[#This Row],[Level 4]],rng_Level4Long,rng_Level6Long)</f>
        <v>NaN</v>
      </c>
      <c r="X166" s="174">
        <f>Buildings_GridElectricity_Frontend[[#This Row],[Site Name]]</f>
        <v>0</v>
      </c>
      <c r="Y166" s="174">
        <f>Buildings_GridElectricity_Frontend[[#This Row],[Contracting]]</f>
        <v>0</v>
      </c>
      <c r="Z166" s="174">
        <f>Buildings_GridElectricity_Frontend[[#This Row],[Methodology]]</f>
        <v>0</v>
      </c>
      <c r="AA166" s="229" t="str" cm="1">
        <f t="array" ref="AA166">IF(Buildings_GridElectricity_Frontend[[#This Row],[Data]]="","",INDEX(_xlfn.SWITCH(Buildings_GridElectricity_Backend[[#This Row],[Methodology]],"Tier 1",rng_RSD1,"Tier 2",rng_RSD2,"Tier 3",rng_RSD3),MATCH(_xlfn.CONCAT(Buildings_GridElectricity_Backend[[#This Row],[Level 1]:[Level 6]]),rng_LevelsConcat,0)))</f>
        <v/>
      </c>
      <c r="AB166" s="220">
        <f>Buildings_GridElectricity_Frontend[[#This Row],[Data]]</f>
        <v>0</v>
      </c>
      <c r="AC166" s="174" t="str">
        <f>Buildings_GridElectricity_Frontend[[#This Row],[Units]]</f>
        <v>kWh</v>
      </c>
      <c r="AD166" s="218">
        <f>Buildings_GridElectricity_Frontend[[#This Row],[Data]]</f>
        <v>0</v>
      </c>
      <c r="AE166" s="174" t="str">
        <f>Buildings_GridElectricity_Frontend[[#This Row],[Units]]</f>
        <v>kWh</v>
      </c>
      <c r="AF166" s="210" t="str">
        <f>IF(Buildings_GridElectricity_Frontend[[#This Row],[Data]]="","",_xlfn.XLOOKUP(_xlfn.CONCAT(Buildings_GridElectricity_Backend[[#This Row],[Level 1]:[Level 6]]),rng_EFConcat,rng_EF1)*Buildings_GridElectricity_Backend[[#This Row],[Converted data]]/1000)</f>
        <v/>
      </c>
      <c r="AG166" s="210" t="str">
        <f>IF(Buildings_GridElectricity_Frontend[[#This Row],[Data]]="","",_xlfn.XLOOKUP(_xlfn.CONCAT(Buildings_GridElectricity_Backend[[#This Row],[Level 1]:[Level 6]]),rng_EFConcat,rng_EF2)*Buildings_GridElectricity_Backend[[#This Row],[Converted data]]/1000)</f>
        <v/>
      </c>
      <c r="AH166" s="210" t="str">
        <f>IF(Buildings_GridElectricity_Frontend[[#This Row],[Data]]="","",_xlfn.XLOOKUP(_xlfn.CONCAT(Buildings_GridElectricity_Backend[[#This Row],[Level 1]:[Level 6]]),rng_EFConcat,rng_EF3)*Buildings_GridElectricity_Backend[[#This Row],[Converted data]]/1000)</f>
        <v/>
      </c>
      <c r="AI166" s="210" t="str">
        <f>IF(Buildings_GridElectricity_Frontend[[#This Row],[Data]]="","",_xlfn.XLOOKUP(_xlfn.CONCAT(Buildings_GridElectricity_Backend[[#This Row],[Level 1]:[Level 6]]),rng_EFConcat,rng_EF3WTT)*Buildings_GridElectricity_Backend[[#This Row],[Converted data]]/1000)</f>
        <v/>
      </c>
      <c r="AJ166" s="210" t="str">
        <f>IF(Buildings_GridElectricity_Frontend[[#This Row],[Data]]="","",_xlfn.XLOOKUP(_xlfn.CONCAT(Buildings_GridElectricity_Backend[[#This Row],[Level 1]:[Level 6]]),rng_EFConcat,rng_EF3TD)*Buildings_GridElectricity_Backend[[#This Row],[Converted data]]/1000)</f>
        <v/>
      </c>
      <c r="AK166" s="210" t="str">
        <f>IF(Buildings_GridElectricity_Frontend[[#This Row],[Data]]="","",_xlfn.XLOOKUP(_xlfn.CONCAT(Buildings_GridElectricity_Backend[[#This Row],[Level 1]:[Level 6]]),rng_EFConcat,rng_EF3WTTTD)*Buildings_GridElectricity_Backend[[#This Row],[Converted data]]/1000)</f>
        <v/>
      </c>
      <c r="AL166" s="220" t="str">
        <f>IF(Buildings_GridElectricity_Frontend[[#This Row],[Data]]="","",SUM(Buildings_GridElectricity_Backend[[#This Row],[Scope 1 (tCO2e)]:[Scope 3 WTT T&amp;D (tCO2e)]]))</f>
        <v/>
      </c>
      <c r="AM166" s="220" t="str">
        <f>IF(Buildings_GridElectricity_Frontend[[#This Row],[Data]]="","",Buildings_GridElectricity_Backend[[#This Row],[Total (tCO2e)]]*(1-Buildings_GridElectricity_Backend[[#This Row],[RSD]]))</f>
        <v/>
      </c>
      <c r="AN166" s="220" t="str">
        <f>IF(Buildings_GridElectricity_Frontend[[#This Row],[Data]]="","",Buildings_GridElectricity_Backend[[#This Row],[Total (tCO2e)]]*(1+Buildings_GridElectricity_Backend[[#This Row],[RSD]]))</f>
        <v/>
      </c>
      <c r="AO166" s="210" t="str">
        <f>IF(Buildings_GridElectricity_Frontend[[#This Row],[Data]]="","",_xlfn.XLOOKUP(_xlfn.CONCAT(Buildings_GridElectricity_Backend[[#This Row],[Level 1]:[Level 6]]),rng_EFConcat,rng_EFOOS)*Buildings_GridElectricity_Backend[[#This Row],[Converted data]]/1000)</f>
        <v/>
      </c>
      <c r="AP166" s="174">
        <f>Buildings_GridElectricity_Frontend[[#This Row],[Ease of collection]]</f>
        <v>0</v>
      </c>
      <c r="AQ166" s="213">
        <f>Buildings_GridElectricity_Frontend[[#This Row],[Completeness]]</f>
        <v>0</v>
      </c>
      <c r="AR166" s="220">
        <f>Buildings_GridElectricity_Frontend[[#This Row],[Notes]]</f>
        <v>0</v>
      </c>
    </row>
    <row r="167" spans="5:44" x14ac:dyDescent="0.3">
      <c r="E167" s="346"/>
      <c r="F167" s="449"/>
      <c r="G167" s="336"/>
      <c r="H167" s="334"/>
      <c r="I167" s="172" t="s">
        <v>316</v>
      </c>
      <c r="J167" s="337"/>
      <c r="K167" s="336"/>
      <c r="L167" s="336"/>
      <c r="M167" s="337"/>
      <c r="N167" s="242">
        <f t="shared" si="7"/>
        <v>3</v>
      </c>
      <c r="Q167" s="212" t="str">
        <f t="shared" si="6"/>
        <v/>
      </c>
      <c r="R167" s="174" t="s">
        <v>265</v>
      </c>
      <c r="S167" s="174" t="s">
        <v>273</v>
      </c>
      <c r="T167" s="174" t="str">
        <f>_xlfn.XLOOKUP(Buildings_GridElectricity_Backend[[#This Row],[Info 1]],Buildings_SiteInfo[Site name],Buildings_SiteInfo[Site type], "")</f>
        <v/>
      </c>
      <c r="U167" s="174" t="s">
        <v>281</v>
      </c>
      <c r="V167" s="174" t="str" cm="1">
        <f t="array" aca="1" ref="V167" ca="1">_xlfn.XLOOKUP(Buildings_GridElectricity_Backend[[#This Row],[Level 4]],rng_Level4Long,rng_Level5Long)</f>
        <v>Electricity</v>
      </c>
      <c r="W167" s="174" t="str" cm="1">
        <f t="array" aca="1" ref="W167" ca="1">_xlfn.XLOOKUP(Buildings_GridElectricity_Backend[[#This Row],[Level 4]],rng_Level4Long,rng_Level6Long)</f>
        <v>NaN</v>
      </c>
      <c r="X167" s="174">
        <f>Buildings_GridElectricity_Frontend[[#This Row],[Site Name]]</f>
        <v>0</v>
      </c>
      <c r="Y167" s="174">
        <f>Buildings_GridElectricity_Frontend[[#This Row],[Contracting]]</f>
        <v>0</v>
      </c>
      <c r="Z167" s="174">
        <f>Buildings_GridElectricity_Frontend[[#This Row],[Methodology]]</f>
        <v>0</v>
      </c>
      <c r="AA167" s="229" t="str" cm="1">
        <f t="array" ref="AA167">IF(Buildings_GridElectricity_Frontend[[#This Row],[Data]]="","",INDEX(_xlfn.SWITCH(Buildings_GridElectricity_Backend[[#This Row],[Methodology]],"Tier 1",rng_RSD1,"Tier 2",rng_RSD2,"Tier 3",rng_RSD3),MATCH(_xlfn.CONCAT(Buildings_GridElectricity_Backend[[#This Row],[Level 1]:[Level 6]]),rng_LevelsConcat,0)))</f>
        <v/>
      </c>
      <c r="AB167" s="220">
        <f>Buildings_GridElectricity_Frontend[[#This Row],[Data]]</f>
        <v>0</v>
      </c>
      <c r="AC167" s="174" t="str">
        <f>Buildings_GridElectricity_Frontend[[#This Row],[Units]]</f>
        <v>kWh</v>
      </c>
      <c r="AD167" s="218">
        <f>Buildings_GridElectricity_Frontend[[#This Row],[Data]]</f>
        <v>0</v>
      </c>
      <c r="AE167" s="174" t="str">
        <f>Buildings_GridElectricity_Frontend[[#This Row],[Units]]</f>
        <v>kWh</v>
      </c>
      <c r="AF167" s="210" t="str">
        <f>IF(Buildings_GridElectricity_Frontend[[#This Row],[Data]]="","",_xlfn.XLOOKUP(_xlfn.CONCAT(Buildings_GridElectricity_Backend[[#This Row],[Level 1]:[Level 6]]),rng_EFConcat,rng_EF1)*Buildings_GridElectricity_Backend[[#This Row],[Converted data]]/1000)</f>
        <v/>
      </c>
      <c r="AG167" s="210" t="str">
        <f>IF(Buildings_GridElectricity_Frontend[[#This Row],[Data]]="","",_xlfn.XLOOKUP(_xlfn.CONCAT(Buildings_GridElectricity_Backend[[#This Row],[Level 1]:[Level 6]]),rng_EFConcat,rng_EF2)*Buildings_GridElectricity_Backend[[#This Row],[Converted data]]/1000)</f>
        <v/>
      </c>
      <c r="AH167" s="210" t="str">
        <f>IF(Buildings_GridElectricity_Frontend[[#This Row],[Data]]="","",_xlfn.XLOOKUP(_xlfn.CONCAT(Buildings_GridElectricity_Backend[[#This Row],[Level 1]:[Level 6]]),rng_EFConcat,rng_EF3)*Buildings_GridElectricity_Backend[[#This Row],[Converted data]]/1000)</f>
        <v/>
      </c>
      <c r="AI167" s="210" t="str">
        <f>IF(Buildings_GridElectricity_Frontend[[#This Row],[Data]]="","",_xlfn.XLOOKUP(_xlfn.CONCAT(Buildings_GridElectricity_Backend[[#This Row],[Level 1]:[Level 6]]),rng_EFConcat,rng_EF3WTT)*Buildings_GridElectricity_Backend[[#This Row],[Converted data]]/1000)</f>
        <v/>
      </c>
      <c r="AJ167" s="210" t="str">
        <f>IF(Buildings_GridElectricity_Frontend[[#This Row],[Data]]="","",_xlfn.XLOOKUP(_xlfn.CONCAT(Buildings_GridElectricity_Backend[[#This Row],[Level 1]:[Level 6]]),rng_EFConcat,rng_EF3TD)*Buildings_GridElectricity_Backend[[#This Row],[Converted data]]/1000)</f>
        <v/>
      </c>
      <c r="AK167" s="210" t="str">
        <f>IF(Buildings_GridElectricity_Frontend[[#This Row],[Data]]="","",_xlfn.XLOOKUP(_xlfn.CONCAT(Buildings_GridElectricity_Backend[[#This Row],[Level 1]:[Level 6]]),rng_EFConcat,rng_EF3WTTTD)*Buildings_GridElectricity_Backend[[#This Row],[Converted data]]/1000)</f>
        <v/>
      </c>
      <c r="AL167" s="220" t="str">
        <f>IF(Buildings_GridElectricity_Frontend[[#This Row],[Data]]="","",SUM(Buildings_GridElectricity_Backend[[#This Row],[Scope 1 (tCO2e)]:[Scope 3 WTT T&amp;D (tCO2e)]]))</f>
        <v/>
      </c>
      <c r="AM167" s="220" t="str">
        <f>IF(Buildings_GridElectricity_Frontend[[#This Row],[Data]]="","",Buildings_GridElectricity_Backend[[#This Row],[Total (tCO2e)]]*(1-Buildings_GridElectricity_Backend[[#This Row],[RSD]]))</f>
        <v/>
      </c>
      <c r="AN167" s="220" t="str">
        <f>IF(Buildings_GridElectricity_Frontend[[#This Row],[Data]]="","",Buildings_GridElectricity_Backend[[#This Row],[Total (tCO2e)]]*(1+Buildings_GridElectricity_Backend[[#This Row],[RSD]]))</f>
        <v/>
      </c>
      <c r="AO167" s="210" t="str">
        <f>IF(Buildings_GridElectricity_Frontend[[#This Row],[Data]]="","",_xlfn.XLOOKUP(_xlfn.CONCAT(Buildings_GridElectricity_Backend[[#This Row],[Level 1]:[Level 6]]),rng_EFConcat,rng_EFOOS)*Buildings_GridElectricity_Backend[[#This Row],[Converted data]]/1000)</f>
        <v/>
      </c>
      <c r="AP167" s="174">
        <f>Buildings_GridElectricity_Frontend[[#This Row],[Ease of collection]]</f>
        <v>0</v>
      </c>
      <c r="AQ167" s="213">
        <f>Buildings_GridElectricity_Frontend[[#This Row],[Completeness]]</f>
        <v>0</v>
      </c>
      <c r="AR167" s="220">
        <f>Buildings_GridElectricity_Frontend[[#This Row],[Notes]]</f>
        <v>0</v>
      </c>
    </row>
    <row r="168" spans="5:44" x14ac:dyDescent="0.3">
      <c r="E168" s="346"/>
      <c r="F168" s="449"/>
      <c r="G168" s="336"/>
      <c r="H168" s="334"/>
      <c r="I168" s="172" t="s">
        <v>316</v>
      </c>
      <c r="J168" s="337"/>
      <c r="K168" s="336"/>
      <c r="L168" s="336"/>
      <c r="M168" s="337"/>
      <c r="N168" s="242">
        <f t="shared" si="7"/>
        <v>3</v>
      </c>
      <c r="Q168" s="212" t="str">
        <f t="shared" si="6"/>
        <v/>
      </c>
      <c r="R168" s="174" t="s">
        <v>265</v>
      </c>
      <c r="S168" s="174" t="s">
        <v>273</v>
      </c>
      <c r="T168" s="174" t="str">
        <f>_xlfn.XLOOKUP(Buildings_GridElectricity_Backend[[#This Row],[Info 1]],Buildings_SiteInfo[Site name],Buildings_SiteInfo[Site type], "")</f>
        <v/>
      </c>
      <c r="U168" s="174" t="s">
        <v>281</v>
      </c>
      <c r="V168" s="174" t="str" cm="1">
        <f t="array" aca="1" ref="V168" ca="1">_xlfn.XLOOKUP(Buildings_GridElectricity_Backend[[#This Row],[Level 4]],rng_Level4Long,rng_Level5Long)</f>
        <v>Electricity</v>
      </c>
      <c r="W168" s="174" t="str" cm="1">
        <f t="array" aca="1" ref="W168" ca="1">_xlfn.XLOOKUP(Buildings_GridElectricity_Backend[[#This Row],[Level 4]],rng_Level4Long,rng_Level6Long)</f>
        <v>NaN</v>
      </c>
      <c r="X168" s="174">
        <f>Buildings_GridElectricity_Frontend[[#This Row],[Site Name]]</f>
        <v>0</v>
      </c>
      <c r="Y168" s="174">
        <f>Buildings_GridElectricity_Frontend[[#This Row],[Contracting]]</f>
        <v>0</v>
      </c>
      <c r="Z168" s="174">
        <f>Buildings_GridElectricity_Frontend[[#This Row],[Methodology]]</f>
        <v>0</v>
      </c>
      <c r="AA168" s="229" t="str" cm="1">
        <f t="array" ref="AA168">IF(Buildings_GridElectricity_Frontend[[#This Row],[Data]]="","",INDEX(_xlfn.SWITCH(Buildings_GridElectricity_Backend[[#This Row],[Methodology]],"Tier 1",rng_RSD1,"Tier 2",rng_RSD2,"Tier 3",rng_RSD3),MATCH(_xlfn.CONCAT(Buildings_GridElectricity_Backend[[#This Row],[Level 1]:[Level 6]]),rng_LevelsConcat,0)))</f>
        <v/>
      </c>
      <c r="AB168" s="220">
        <f>Buildings_GridElectricity_Frontend[[#This Row],[Data]]</f>
        <v>0</v>
      </c>
      <c r="AC168" s="174" t="str">
        <f>Buildings_GridElectricity_Frontend[[#This Row],[Units]]</f>
        <v>kWh</v>
      </c>
      <c r="AD168" s="218">
        <f>Buildings_GridElectricity_Frontend[[#This Row],[Data]]</f>
        <v>0</v>
      </c>
      <c r="AE168" s="174" t="str">
        <f>Buildings_GridElectricity_Frontend[[#This Row],[Units]]</f>
        <v>kWh</v>
      </c>
      <c r="AF168" s="210" t="str">
        <f>IF(Buildings_GridElectricity_Frontend[[#This Row],[Data]]="","",_xlfn.XLOOKUP(_xlfn.CONCAT(Buildings_GridElectricity_Backend[[#This Row],[Level 1]:[Level 6]]),rng_EFConcat,rng_EF1)*Buildings_GridElectricity_Backend[[#This Row],[Converted data]]/1000)</f>
        <v/>
      </c>
      <c r="AG168" s="210" t="str">
        <f>IF(Buildings_GridElectricity_Frontend[[#This Row],[Data]]="","",_xlfn.XLOOKUP(_xlfn.CONCAT(Buildings_GridElectricity_Backend[[#This Row],[Level 1]:[Level 6]]),rng_EFConcat,rng_EF2)*Buildings_GridElectricity_Backend[[#This Row],[Converted data]]/1000)</f>
        <v/>
      </c>
      <c r="AH168" s="210" t="str">
        <f>IF(Buildings_GridElectricity_Frontend[[#This Row],[Data]]="","",_xlfn.XLOOKUP(_xlfn.CONCAT(Buildings_GridElectricity_Backend[[#This Row],[Level 1]:[Level 6]]),rng_EFConcat,rng_EF3)*Buildings_GridElectricity_Backend[[#This Row],[Converted data]]/1000)</f>
        <v/>
      </c>
      <c r="AI168" s="210" t="str">
        <f>IF(Buildings_GridElectricity_Frontend[[#This Row],[Data]]="","",_xlfn.XLOOKUP(_xlfn.CONCAT(Buildings_GridElectricity_Backend[[#This Row],[Level 1]:[Level 6]]),rng_EFConcat,rng_EF3WTT)*Buildings_GridElectricity_Backend[[#This Row],[Converted data]]/1000)</f>
        <v/>
      </c>
      <c r="AJ168" s="210" t="str">
        <f>IF(Buildings_GridElectricity_Frontend[[#This Row],[Data]]="","",_xlfn.XLOOKUP(_xlfn.CONCAT(Buildings_GridElectricity_Backend[[#This Row],[Level 1]:[Level 6]]),rng_EFConcat,rng_EF3TD)*Buildings_GridElectricity_Backend[[#This Row],[Converted data]]/1000)</f>
        <v/>
      </c>
      <c r="AK168" s="210" t="str">
        <f>IF(Buildings_GridElectricity_Frontend[[#This Row],[Data]]="","",_xlfn.XLOOKUP(_xlfn.CONCAT(Buildings_GridElectricity_Backend[[#This Row],[Level 1]:[Level 6]]),rng_EFConcat,rng_EF3WTTTD)*Buildings_GridElectricity_Backend[[#This Row],[Converted data]]/1000)</f>
        <v/>
      </c>
      <c r="AL168" s="220" t="str">
        <f>IF(Buildings_GridElectricity_Frontend[[#This Row],[Data]]="","",SUM(Buildings_GridElectricity_Backend[[#This Row],[Scope 1 (tCO2e)]:[Scope 3 WTT T&amp;D (tCO2e)]]))</f>
        <v/>
      </c>
      <c r="AM168" s="220" t="str">
        <f>IF(Buildings_GridElectricity_Frontend[[#This Row],[Data]]="","",Buildings_GridElectricity_Backend[[#This Row],[Total (tCO2e)]]*(1-Buildings_GridElectricity_Backend[[#This Row],[RSD]]))</f>
        <v/>
      </c>
      <c r="AN168" s="220" t="str">
        <f>IF(Buildings_GridElectricity_Frontend[[#This Row],[Data]]="","",Buildings_GridElectricity_Backend[[#This Row],[Total (tCO2e)]]*(1+Buildings_GridElectricity_Backend[[#This Row],[RSD]]))</f>
        <v/>
      </c>
      <c r="AO168" s="210" t="str">
        <f>IF(Buildings_GridElectricity_Frontend[[#This Row],[Data]]="","",_xlfn.XLOOKUP(_xlfn.CONCAT(Buildings_GridElectricity_Backend[[#This Row],[Level 1]:[Level 6]]),rng_EFConcat,rng_EFOOS)*Buildings_GridElectricity_Backend[[#This Row],[Converted data]]/1000)</f>
        <v/>
      </c>
      <c r="AP168" s="174">
        <f>Buildings_GridElectricity_Frontend[[#This Row],[Ease of collection]]</f>
        <v>0</v>
      </c>
      <c r="AQ168" s="213">
        <f>Buildings_GridElectricity_Frontend[[#This Row],[Completeness]]</f>
        <v>0</v>
      </c>
      <c r="AR168" s="220">
        <f>Buildings_GridElectricity_Frontend[[#This Row],[Notes]]</f>
        <v>0</v>
      </c>
    </row>
    <row r="169" spans="5:44" x14ac:dyDescent="0.3">
      <c r="E169" s="346"/>
      <c r="F169" s="449"/>
      <c r="G169" s="336"/>
      <c r="H169" s="334"/>
      <c r="I169" s="172" t="s">
        <v>316</v>
      </c>
      <c r="J169" s="337"/>
      <c r="K169" s="336"/>
      <c r="L169" s="336"/>
      <c r="M169" s="337"/>
      <c r="N169" s="242">
        <f t="shared" si="7"/>
        <v>3</v>
      </c>
      <c r="Q169" s="212" t="str">
        <f t="shared" si="6"/>
        <v/>
      </c>
      <c r="R169" s="174" t="s">
        <v>265</v>
      </c>
      <c r="S169" s="174" t="s">
        <v>273</v>
      </c>
      <c r="T169" s="174" t="str">
        <f>_xlfn.XLOOKUP(Buildings_GridElectricity_Backend[[#This Row],[Info 1]],Buildings_SiteInfo[Site name],Buildings_SiteInfo[Site type], "")</f>
        <v/>
      </c>
      <c r="U169" s="174" t="s">
        <v>281</v>
      </c>
      <c r="V169" s="174" t="str" cm="1">
        <f t="array" aca="1" ref="V169" ca="1">_xlfn.XLOOKUP(Buildings_GridElectricity_Backend[[#This Row],[Level 4]],rng_Level4Long,rng_Level5Long)</f>
        <v>Electricity</v>
      </c>
      <c r="W169" s="174" t="str" cm="1">
        <f t="array" aca="1" ref="W169" ca="1">_xlfn.XLOOKUP(Buildings_GridElectricity_Backend[[#This Row],[Level 4]],rng_Level4Long,rng_Level6Long)</f>
        <v>NaN</v>
      </c>
      <c r="X169" s="174">
        <f>Buildings_GridElectricity_Frontend[[#This Row],[Site Name]]</f>
        <v>0</v>
      </c>
      <c r="Y169" s="174">
        <f>Buildings_GridElectricity_Frontend[[#This Row],[Contracting]]</f>
        <v>0</v>
      </c>
      <c r="Z169" s="174">
        <f>Buildings_GridElectricity_Frontend[[#This Row],[Methodology]]</f>
        <v>0</v>
      </c>
      <c r="AA169" s="229" t="str" cm="1">
        <f t="array" ref="AA169">IF(Buildings_GridElectricity_Frontend[[#This Row],[Data]]="","",INDEX(_xlfn.SWITCH(Buildings_GridElectricity_Backend[[#This Row],[Methodology]],"Tier 1",rng_RSD1,"Tier 2",rng_RSD2,"Tier 3",rng_RSD3),MATCH(_xlfn.CONCAT(Buildings_GridElectricity_Backend[[#This Row],[Level 1]:[Level 6]]),rng_LevelsConcat,0)))</f>
        <v/>
      </c>
      <c r="AB169" s="220">
        <f>Buildings_GridElectricity_Frontend[[#This Row],[Data]]</f>
        <v>0</v>
      </c>
      <c r="AC169" s="174" t="str">
        <f>Buildings_GridElectricity_Frontend[[#This Row],[Units]]</f>
        <v>kWh</v>
      </c>
      <c r="AD169" s="218">
        <f>Buildings_GridElectricity_Frontend[[#This Row],[Data]]</f>
        <v>0</v>
      </c>
      <c r="AE169" s="174" t="str">
        <f>Buildings_GridElectricity_Frontend[[#This Row],[Units]]</f>
        <v>kWh</v>
      </c>
      <c r="AF169" s="210" t="str">
        <f>IF(Buildings_GridElectricity_Frontend[[#This Row],[Data]]="","",_xlfn.XLOOKUP(_xlfn.CONCAT(Buildings_GridElectricity_Backend[[#This Row],[Level 1]:[Level 6]]),rng_EFConcat,rng_EF1)*Buildings_GridElectricity_Backend[[#This Row],[Converted data]]/1000)</f>
        <v/>
      </c>
      <c r="AG169" s="210" t="str">
        <f>IF(Buildings_GridElectricity_Frontend[[#This Row],[Data]]="","",_xlfn.XLOOKUP(_xlfn.CONCAT(Buildings_GridElectricity_Backend[[#This Row],[Level 1]:[Level 6]]),rng_EFConcat,rng_EF2)*Buildings_GridElectricity_Backend[[#This Row],[Converted data]]/1000)</f>
        <v/>
      </c>
      <c r="AH169" s="210" t="str">
        <f>IF(Buildings_GridElectricity_Frontend[[#This Row],[Data]]="","",_xlfn.XLOOKUP(_xlfn.CONCAT(Buildings_GridElectricity_Backend[[#This Row],[Level 1]:[Level 6]]),rng_EFConcat,rng_EF3)*Buildings_GridElectricity_Backend[[#This Row],[Converted data]]/1000)</f>
        <v/>
      </c>
      <c r="AI169" s="210" t="str">
        <f>IF(Buildings_GridElectricity_Frontend[[#This Row],[Data]]="","",_xlfn.XLOOKUP(_xlfn.CONCAT(Buildings_GridElectricity_Backend[[#This Row],[Level 1]:[Level 6]]),rng_EFConcat,rng_EF3WTT)*Buildings_GridElectricity_Backend[[#This Row],[Converted data]]/1000)</f>
        <v/>
      </c>
      <c r="AJ169" s="210" t="str">
        <f>IF(Buildings_GridElectricity_Frontend[[#This Row],[Data]]="","",_xlfn.XLOOKUP(_xlfn.CONCAT(Buildings_GridElectricity_Backend[[#This Row],[Level 1]:[Level 6]]),rng_EFConcat,rng_EF3TD)*Buildings_GridElectricity_Backend[[#This Row],[Converted data]]/1000)</f>
        <v/>
      </c>
      <c r="AK169" s="210" t="str">
        <f>IF(Buildings_GridElectricity_Frontend[[#This Row],[Data]]="","",_xlfn.XLOOKUP(_xlfn.CONCAT(Buildings_GridElectricity_Backend[[#This Row],[Level 1]:[Level 6]]),rng_EFConcat,rng_EF3WTTTD)*Buildings_GridElectricity_Backend[[#This Row],[Converted data]]/1000)</f>
        <v/>
      </c>
      <c r="AL169" s="220" t="str">
        <f>IF(Buildings_GridElectricity_Frontend[[#This Row],[Data]]="","",SUM(Buildings_GridElectricity_Backend[[#This Row],[Scope 1 (tCO2e)]:[Scope 3 WTT T&amp;D (tCO2e)]]))</f>
        <v/>
      </c>
      <c r="AM169" s="220" t="str">
        <f>IF(Buildings_GridElectricity_Frontend[[#This Row],[Data]]="","",Buildings_GridElectricity_Backend[[#This Row],[Total (tCO2e)]]*(1-Buildings_GridElectricity_Backend[[#This Row],[RSD]]))</f>
        <v/>
      </c>
      <c r="AN169" s="220" t="str">
        <f>IF(Buildings_GridElectricity_Frontend[[#This Row],[Data]]="","",Buildings_GridElectricity_Backend[[#This Row],[Total (tCO2e)]]*(1+Buildings_GridElectricity_Backend[[#This Row],[RSD]]))</f>
        <v/>
      </c>
      <c r="AO169" s="210" t="str">
        <f>IF(Buildings_GridElectricity_Frontend[[#This Row],[Data]]="","",_xlfn.XLOOKUP(_xlfn.CONCAT(Buildings_GridElectricity_Backend[[#This Row],[Level 1]:[Level 6]]),rng_EFConcat,rng_EFOOS)*Buildings_GridElectricity_Backend[[#This Row],[Converted data]]/1000)</f>
        <v/>
      </c>
      <c r="AP169" s="174">
        <f>Buildings_GridElectricity_Frontend[[#This Row],[Ease of collection]]</f>
        <v>0</v>
      </c>
      <c r="AQ169" s="213">
        <f>Buildings_GridElectricity_Frontend[[#This Row],[Completeness]]</f>
        <v>0</v>
      </c>
      <c r="AR169" s="220">
        <f>Buildings_GridElectricity_Frontend[[#This Row],[Notes]]</f>
        <v>0</v>
      </c>
    </row>
    <row r="170" spans="5:44" x14ac:dyDescent="0.3">
      <c r="E170" s="346"/>
      <c r="F170" s="449"/>
      <c r="G170" s="336"/>
      <c r="H170" s="334"/>
      <c r="I170" s="172" t="s">
        <v>316</v>
      </c>
      <c r="J170" s="337"/>
      <c r="K170" s="336"/>
      <c r="L170" s="336"/>
      <c r="M170" s="337"/>
      <c r="N170" s="242">
        <f t="shared" si="7"/>
        <v>3</v>
      </c>
      <c r="Q170" s="212" t="str">
        <f t="shared" si="6"/>
        <v/>
      </c>
      <c r="R170" s="174" t="s">
        <v>265</v>
      </c>
      <c r="S170" s="174" t="s">
        <v>273</v>
      </c>
      <c r="T170" s="174" t="str">
        <f>_xlfn.XLOOKUP(Buildings_GridElectricity_Backend[[#This Row],[Info 1]],Buildings_SiteInfo[Site name],Buildings_SiteInfo[Site type], "")</f>
        <v/>
      </c>
      <c r="U170" s="174" t="s">
        <v>281</v>
      </c>
      <c r="V170" s="174" t="str" cm="1">
        <f t="array" aca="1" ref="V170" ca="1">_xlfn.XLOOKUP(Buildings_GridElectricity_Backend[[#This Row],[Level 4]],rng_Level4Long,rng_Level5Long)</f>
        <v>Electricity</v>
      </c>
      <c r="W170" s="174" t="str" cm="1">
        <f t="array" aca="1" ref="W170" ca="1">_xlfn.XLOOKUP(Buildings_GridElectricity_Backend[[#This Row],[Level 4]],rng_Level4Long,rng_Level6Long)</f>
        <v>NaN</v>
      </c>
      <c r="X170" s="174">
        <f>Buildings_GridElectricity_Frontend[[#This Row],[Site Name]]</f>
        <v>0</v>
      </c>
      <c r="Y170" s="174">
        <f>Buildings_GridElectricity_Frontend[[#This Row],[Contracting]]</f>
        <v>0</v>
      </c>
      <c r="Z170" s="174">
        <f>Buildings_GridElectricity_Frontend[[#This Row],[Methodology]]</f>
        <v>0</v>
      </c>
      <c r="AA170" s="229" t="str" cm="1">
        <f t="array" ref="AA170">IF(Buildings_GridElectricity_Frontend[[#This Row],[Data]]="","",INDEX(_xlfn.SWITCH(Buildings_GridElectricity_Backend[[#This Row],[Methodology]],"Tier 1",rng_RSD1,"Tier 2",rng_RSD2,"Tier 3",rng_RSD3),MATCH(_xlfn.CONCAT(Buildings_GridElectricity_Backend[[#This Row],[Level 1]:[Level 6]]),rng_LevelsConcat,0)))</f>
        <v/>
      </c>
      <c r="AB170" s="220">
        <f>Buildings_GridElectricity_Frontend[[#This Row],[Data]]</f>
        <v>0</v>
      </c>
      <c r="AC170" s="174" t="str">
        <f>Buildings_GridElectricity_Frontend[[#This Row],[Units]]</f>
        <v>kWh</v>
      </c>
      <c r="AD170" s="218">
        <f>Buildings_GridElectricity_Frontend[[#This Row],[Data]]</f>
        <v>0</v>
      </c>
      <c r="AE170" s="174" t="str">
        <f>Buildings_GridElectricity_Frontend[[#This Row],[Units]]</f>
        <v>kWh</v>
      </c>
      <c r="AF170" s="210" t="str">
        <f>IF(Buildings_GridElectricity_Frontend[[#This Row],[Data]]="","",_xlfn.XLOOKUP(_xlfn.CONCAT(Buildings_GridElectricity_Backend[[#This Row],[Level 1]:[Level 6]]),rng_EFConcat,rng_EF1)*Buildings_GridElectricity_Backend[[#This Row],[Converted data]]/1000)</f>
        <v/>
      </c>
      <c r="AG170" s="210" t="str">
        <f>IF(Buildings_GridElectricity_Frontend[[#This Row],[Data]]="","",_xlfn.XLOOKUP(_xlfn.CONCAT(Buildings_GridElectricity_Backend[[#This Row],[Level 1]:[Level 6]]),rng_EFConcat,rng_EF2)*Buildings_GridElectricity_Backend[[#This Row],[Converted data]]/1000)</f>
        <v/>
      </c>
      <c r="AH170" s="210" t="str">
        <f>IF(Buildings_GridElectricity_Frontend[[#This Row],[Data]]="","",_xlfn.XLOOKUP(_xlfn.CONCAT(Buildings_GridElectricity_Backend[[#This Row],[Level 1]:[Level 6]]),rng_EFConcat,rng_EF3)*Buildings_GridElectricity_Backend[[#This Row],[Converted data]]/1000)</f>
        <v/>
      </c>
      <c r="AI170" s="210" t="str">
        <f>IF(Buildings_GridElectricity_Frontend[[#This Row],[Data]]="","",_xlfn.XLOOKUP(_xlfn.CONCAT(Buildings_GridElectricity_Backend[[#This Row],[Level 1]:[Level 6]]),rng_EFConcat,rng_EF3WTT)*Buildings_GridElectricity_Backend[[#This Row],[Converted data]]/1000)</f>
        <v/>
      </c>
      <c r="AJ170" s="210" t="str">
        <f>IF(Buildings_GridElectricity_Frontend[[#This Row],[Data]]="","",_xlfn.XLOOKUP(_xlfn.CONCAT(Buildings_GridElectricity_Backend[[#This Row],[Level 1]:[Level 6]]),rng_EFConcat,rng_EF3TD)*Buildings_GridElectricity_Backend[[#This Row],[Converted data]]/1000)</f>
        <v/>
      </c>
      <c r="AK170" s="210" t="str">
        <f>IF(Buildings_GridElectricity_Frontend[[#This Row],[Data]]="","",_xlfn.XLOOKUP(_xlfn.CONCAT(Buildings_GridElectricity_Backend[[#This Row],[Level 1]:[Level 6]]),rng_EFConcat,rng_EF3WTTTD)*Buildings_GridElectricity_Backend[[#This Row],[Converted data]]/1000)</f>
        <v/>
      </c>
      <c r="AL170" s="220" t="str">
        <f>IF(Buildings_GridElectricity_Frontend[[#This Row],[Data]]="","",SUM(Buildings_GridElectricity_Backend[[#This Row],[Scope 1 (tCO2e)]:[Scope 3 WTT T&amp;D (tCO2e)]]))</f>
        <v/>
      </c>
      <c r="AM170" s="220" t="str">
        <f>IF(Buildings_GridElectricity_Frontend[[#This Row],[Data]]="","",Buildings_GridElectricity_Backend[[#This Row],[Total (tCO2e)]]*(1-Buildings_GridElectricity_Backend[[#This Row],[RSD]]))</f>
        <v/>
      </c>
      <c r="AN170" s="220" t="str">
        <f>IF(Buildings_GridElectricity_Frontend[[#This Row],[Data]]="","",Buildings_GridElectricity_Backend[[#This Row],[Total (tCO2e)]]*(1+Buildings_GridElectricity_Backend[[#This Row],[RSD]]))</f>
        <v/>
      </c>
      <c r="AO170" s="210" t="str">
        <f>IF(Buildings_GridElectricity_Frontend[[#This Row],[Data]]="","",_xlfn.XLOOKUP(_xlfn.CONCAT(Buildings_GridElectricity_Backend[[#This Row],[Level 1]:[Level 6]]),rng_EFConcat,rng_EFOOS)*Buildings_GridElectricity_Backend[[#This Row],[Converted data]]/1000)</f>
        <v/>
      </c>
      <c r="AP170" s="174">
        <f>Buildings_GridElectricity_Frontend[[#This Row],[Ease of collection]]</f>
        <v>0</v>
      </c>
      <c r="AQ170" s="213">
        <f>Buildings_GridElectricity_Frontend[[#This Row],[Completeness]]</f>
        <v>0</v>
      </c>
      <c r="AR170" s="220">
        <f>Buildings_GridElectricity_Frontend[[#This Row],[Notes]]</f>
        <v>0</v>
      </c>
    </row>
    <row r="171" spans="5:44" x14ac:dyDescent="0.3">
      <c r="E171" s="346"/>
      <c r="F171" s="449"/>
      <c r="G171" s="336"/>
      <c r="H171" s="334"/>
      <c r="I171" s="172" t="s">
        <v>316</v>
      </c>
      <c r="J171" s="337"/>
      <c r="K171" s="336"/>
      <c r="L171" s="336"/>
      <c r="M171" s="337"/>
      <c r="N171" s="242">
        <f t="shared" si="7"/>
        <v>3</v>
      </c>
      <c r="Q171" s="212" t="str">
        <f t="shared" si="6"/>
        <v/>
      </c>
      <c r="R171" s="174" t="s">
        <v>265</v>
      </c>
      <c r="S171" s="174" t="s">
        <v>273</v>
      </c>
      <c r="T171" s="174" t="str">
        <f>_xlfn.XLOOKUP(Buildings_GridElectricity_Backend[[#This Row],[Info 1]],Buildings_SiteInfo[Site name],Buildings_SiteInfo[Site type], "")</f>
        <v/>
      </c>
      <c r="U171" s="174" t="s">
        <v>281</v>
      </c>
      <c r="V171" s="174" t="str" cm="1">
        <f t="array" aca="1" ref="V171" ca="1">_xlfn.XLOOKUP(Buildings_GridElectricity_Backend[[#This Row],[Level 4]],rng_Level4Long,rng_Level5Long)</f>
        <v>Electricity</v>
      </c>
      <c r="W171" s="174" t="str" cm="1">
        <f t="array" aca="1" ref="W171" ca="1">_xlfn.XLOOKUP(Buildings_GridElectricity_Backend[[#This Row],[Level 4]],rng_Level4Long,rng_Level6Long)</f>
        <v>NaN</v>
      </c>
      <c r="X171" s="174">
        <f>Buildings_GridElectricity_Frontend[[#This Row],[Site Name]]</f>
        <v>0</v>
      </c>
      <c r="Y171" s="174">
        <f>Buildings_GridElectricity_Frontend[[#This Row],[Contracting]]</f>
        <v>0</v>
      </c>
      <c r="Z171" s="174">
        <f>Buildings_GridElectricity_Frontend[[#This Row],[Methodology]]</f>
        <v>0</v>
      </c>
      <c r="AA171" s="229" t="str" cm="1">
        <f t="array" ref="AA171">IF(Buildings_GridElectricity_Frontend[[#This Row],[Data]]="","",INDEX(_xlfn.SWITCH(Buildings_GridElectricity_Backend[[#This Row],[Methodology]],"Tier 1",rng_RSD1,"Tier 2",rng_RSD2,"Tier 3",rng_RSD3),MATCH(_xlfn.CONCAT(Buildings_GridElectricity_Backend[[#This Row],[Level 1]:[Level 6]]),rng_LevelsConcat,0)))</f>
        <v/>
      </c>
      <c r="AB171" s="220">
        <f>Buildings_GridElectricity_Frontend[[#This Row],[Data]]</f>
        <v>0</v>
      </c>
      <c r="AC171" s="174" t="str">
        <f>Buildings_GridElectricity_Frontend[[#This Row],[Units]]</f>
        <v>kWh</v>
      </c>
      <c r="AD171" s="218">
        <f>Buildings_GridElectricity_Frontend[[#This Row],[Data]]</f>
        <v>0</v>
      </c>
      <c r="AE171" s="174" t="str">
        <f>Buildings_GridElectricity_Frontend[[#This Row],[Units]]</f>
        <v>kWh</v>
      </c>
      <c r="AF171" s="210" t="str">
        <f>IF(Buildings_GridElectricity_Frontend[[#This Row],[Data]]="","",_xlfn.XLOOKUP(_xlfn.CONCAT(Buildings_GridElectricity_Backend[[#This Row],[Level 1]:[Level 6]]),rng_EFConcat,rng_EF1)*Buildings_GridElectricity_Backend[[#This Row],[Converted data]]/1000)</f>
        <v/>
      </c>
      <c r="AG171" s="210" t="str">
        <f>IF(Buildings_GridElectricity_Frontend[[#This Row],[Data]]="","",_xlfn.XLOOKUP(_xlfn.CONCAT(Buildings_GridElectricity_Backend[[#This Row],[Level 1]:[Level 6]]),rng_EFConcat,rng_EF2)*Buildings_GridElectricity_Backend[[#This Row],[Converted data]]/1000)</f>
        <v/>
      </c>
      <c r="AH171" s="210" t="str">
        <f>IF(Buildings_GridElectricity_Frontend[[#This Row],[Data]]="","",_xlfn.XLOOKUP(_xlfn.CONCAT(Buildings_GridElectricity_Backend[[#This Row],[Level 1]:[Level 6]]),rng_EFConcat,rng_EF3)*Buildings_GridElectricity_Backend[[#This Row],[Converted data]]/1000)</f>
        <v/>
      </c>
      <c r="AI171" s="210" t="str">
        <f>IF(Buildings_GridElectricity_Frontend[[#This Row],[Data]]="","",_xlfn.XLOOKUP(_xlfn.CONCAT(Buildings_GridElectricity_Backend[[#This Row],[Level 1]:[Level 6]]),rng_EFConcat,rng_EF3WTT)*Buildings_GridElectricity_Backend[[#This Row],[Converted data]]/1000)</f>
        <v/>
      </c>
      <c r="AJ171" s="210" t="str">
        <f>IF(Buildings_GridElectricity_Frontend[[#This Row],[Data]]="","",_xlfn.XLOOKUP(_xlfn.CONCAT(Buildings_GridElectricity_Backend[[#This Row],[Level 1]:[Level 6]]),rng_EFConcat,rng_EF3TD)*Buildings_GridElectricity_Backend[[#This Row],[Converted data]]/1000)</f>
        <v/>
      </c>
      <c r="AK171" s="210" t="str">
        <f>IF(Buildings_GridElectricity_Frontend[[#This Row],[Data]]="","",_xlfn.XLOOKUP(_xlfn.CONCAT(Buildings_GridElectricity_Backend[[#This Row],[Level 1]:[Level 6]]),rng_EFConcat,rng_EF3WTTTD)*Buildings_GridElectricity_Backend[[#This Row],[Converted data]]/1000)</f>
        <v/>
      </c>
      <c r="AL171" s="220" t="str">
        <f>IF(Buildings_GridElectricity_Frontend[[#This Row],[Data]]="","",SUM(Buildings_GridElectricity_Backend[[#This Row],[Scope 1 (tCO2e)]:[Scope 3 WTT T&amp;D (tCO2e)]]))</f>
        <v/>
      </c>
      <c r="AM171" s="220" t="str">
        <f>IF(Buildings_GridElectricity_Frontend[[#This Row],[Data]]="","",Buildings_GridElectricity_Backend[[#This Row],[Total (tCO2e)]]*(1-Buildings_GridElectricity_Backend[[#This Row],[RSD]]))</f>
        <v/>
      </c>
      <c r="AN171" s="220" t="str">
        <f>IF(Buildings_GridElectricity_Frontend[[#This Row],[Data]]="","",Buildings_GridElectricity_Backend[[#This Row],[Total (tCO2e)]]*(1+Buildings_GridElectricity_Backend[[#This Row],[RSD]]))</f>
        <v/>
      </c>
      <c r="AO171" s="210" t="str">
        <f>IF(Buildings_GridElectricity_Frontend[[#This Row],[Data]]="","",_xlfn.XLOOKUP(_xlfn.CONCAT(Buildings_GridElectricity_Backend[[#This Row],[Level 1]:[Level 6]]),rng_EFConcat,rng_EFOOS)*Buildings_GridElectricity_Backend[[#This Row],[Converted data]]/1000)</f>
        <v/>
      </c>
      <c r="AP171" s="174">
        <f>Buildings_GridElectricity_Frontend[[#This Row],[Ease of collection]]</f>
        <v>0</v>
      </c>
      <c r="AQ171" s="213">
        <f>Buildings_GridElectricity_Frontend[[#This Row],[Completeness]]</f>
        <v>0</v>
      </c>
      <c r="AR171" s="220">
        <f>Buildings_GridElectricity_Frontend[[#This Row],[Notes]]</f>
        <v>0</v>
      </c>
    </row>
    <row r="172" spans="5:44" x14ac:dyDescent="0.3">
      <c r="E172" s="346"/>
      <c r="F172" s="449"/>
      <c r="G172" s="336"/>
      <c r="H172" s="334"/>
      <c r="I172" s="172" t="s">
        <v>316</v>
      </c>
      <c r="J172" s="337"/>
      <c r="K172" s="336"/>
      <c r="L172" s="336"/>
      <c r="M172" s="337"/>
      <c r="N172" s="242">
        <f t="shared" si="7"/>
        <v>3</v>
      </c>
      <c r="Q172" s="212" t="str">
        <f t="shared" si="6"/>
        <v/>
      </c>
      <c r="R172" s="174" t="s">
        <v>265</v>
      </c>
      <c r="S172" s="174" t="s">
        <v>273</v>
      </c>
      <c r="T172" s="174" t="str">
        <f>_xlfn.XLOOKUP(Buildings_GridElectricity_Backend[[#This Row],[Info 1]],Buildings_SiteInfo[Site name],Buildings_SiteInfo[Site type], "")</f>
        <v/>
      </c>
      <c r="U172" s="174" t="s">
        <v>281</v>
      </c>
      <c r="V172" s="174" t="str" cm="1">
        <f t="array" aca="1" ref="V172" ca="1">_xlfn.XLOOKUP(Buildings_GridElectricity_Backend[[#This Row],[Level 4]],rng_Level4Long,rng_Level5Long)</f>
        <v>Electricity</v>
      </c>
      <c r="W172" s="174" t="str" cm="1">
        <f t="array" aca="1" ref="W172" ca="1">_xlfn.XLOOKUP(Buildings_GridElectricity_Backend[[#This Row],[Level 4]],rng_Level4Long,rng_Level6Long)</f>
        <v>NaN</v>
      </c>
      <c r="X172" s="174">
        <f>Buildings_GridElectricity_Frontend[[#This Row],[Site Name]]</f>
        <v>0</v>
      </c>
      <c r="Y172" s="174">
        <f>Buildings_GridElectricity_Frontend[[#This Row],[Contracting]]</f>
        <v>0</v>
      </c>
      <c r="Z172" s="174">
        <f>Buildings_GridElectricity_Frontend[[#This Row],[Methodology]]</f>
        <v>0</v>
      </c>
      <c r="AA172" s="229" t="str" cm="1">
        <f t="array" ref="AA172">IF(Buildings_GridElectricity_Frontend[[#This Row],[Data]]="","",INDEX(_xlfn.SWITCH(Buildings_GridElectricity_Backend[[#This Row],[Methodology]],"Tier 1",rng_RSD1,"Tier 2",rng_RSD2,"Tier 3",rng_RSD3),MATCH(_xlfn.CONCAT(Buildings_GridElectricity_Backend[[#This Row],[Level 1]:[Level 6]]),rng_LevelsConcat,0)))</f>
        <v/>
      </c>
      <c r="AB172" s="220">
        <f>Buildings_GridElectricity_Frontend[[#This Row],[Data]]</f>
        <v>0</v>
      </c>
      <c r="AC172" s="174" t="str">
        <f>Buildings_GridElectricity_Frontend[[#This Row],[Units]]</f>
        <v>kWh</v>
      </c>
      <c r="AD172" s="218">
        <f>Buildings_GridElectricity_Frontend[[#This Row],[Data]]</f>
        <v>0</v>
      </c>
      <c r="AE172" s="174" t="str">
        <f>Buildings_GridElectricity_Frontend[[#This Row],[Units]]</f>
        <v>kWh</v>
      </c>
      <c r="AF172" s="210" t="str">
        <f>IF(Buildings_GridElectricity_Frontend[[#This Row],[Data]]="","",_xlfn.XLOOKUP(_xlfn.CONCAT(Buildings_GridElectricity_Backend[[#This Row],[Level 1]:[Level 6]]),rng_EFConcat,rng_EF1)*Buildings_GridElectricity_Backend[[#This Row],[Converted data]]/1000)</f>
        <v/>
      </c>
      <c r="AG172" s="210" t="str">
        <f>IF(Buildings_GridElectricity_Frontend[[#This Row],[Data]]="","",_xlfn.XLOOKUP(_xlfn.CONCAT(Buildings_GridElectricity_Backend[[#This Row],[Level 1]:[Level 6]]),rng_EFConcat,rng_EF2)*Buildings_GridElectricity_Backend[[#This Row],[Converted data]]/1000)</f>
        <v/>
      </c>
      <c r="AH172" s="210" t="str">
        <f>IF(Buildings_GridElectricity_Frontend[[#This Row],[Data]]="","",_xlfn.XLOOKUP(_xlfn.CONCAT(Buildings_GridElectricity_Backend[[#This Row],[Level 1]:[Level 6]]),rng_EFConcat,rng_EF3)*Buildings_GridElectricity_Backend[[#This Row],[Converted data]]/1000)</f>
        <v/>
      </c>
      <c r="AI172" s="210" t="str">
        <f>IF(Buildings_GridElectricity_Frontend[[#This Row],[Data]]="","",_xlfn.XLOOKUP(_xlfn.CONCAT(Buildings_GridElectricity_Backend[[#This Row],[Level 1]:[Level 6]]),rng_EFConcat,rng_EF3WTT)*Buildings_GridElectricity_Backend[[#This Row],[Converted data]]/1000)</f>
        <v/>
      </c>
      <c r="AJ172" s="210" t="str">
        <f>IF(Buildings_GridElectricity_Frontend[[#This Row],[Data]]="","",_xlfn.XLOOKUP(_xlfn.CONCAT(Buildings_GridElectricity_Backend[[#This Row],[Level 1]:[Level 6]]),rng_EFConcat,rng_EF3TD)*Buildings_GridElectricity_Backend[[#This Row],[Converted data]]/1000)</f>
        <v/>
      </c>
      <c r="AK172" s="210" t="str">
        <f>IF(Buildings_GridElectricity_Frontend[[#This Row],[Data]]="","",_xlfn.XLOOKUP(_xlfn.CONCAT(Buildings_GridElectricity_Backend[[#This Row],[Level 1]:[Level 6]]),rng_EFConcat,rng_EF3WTTTD)*Buildings_GridElectricity_Backend[[#This Row],[Converted data]]/1000)</f>
        <v/>
      </c>
      <c r="AL172" s="220" t="str">
        <f>IF(Buildings_GridElectricity_Frontend[[#This Row],[Data]]="","",SUM(Buildings_GridElectricity_Backend[[#This Row],[Scope 1 (tCO2e)]:[Scope 3 WTT T&amp;D (tCO2e)]]))</f>
        <v/>
      </c>
      <c r="AM172" s="220" t="str">
        <f>IF(Buildings_GridElectricity_Frontend[[#This Row],[Data]]="","",Buildings_GridElectricity_Backend[[#This Row],[Total (tCO2e)]]*(1-Buildings_GridElectricity_Backend[[#This Row],[RSD]]))</f>
        <v/>
      </c>
      <c r="AN172" s="220" t="str">
        <f>IF(Buildings_GridElectricity_Frontend[[#This Row],[Data]]="","",Buildings_GridElectricity_Backend[[#This Row],[Total (tCO2e)]]*(1+Buildings_GridElectricity_Backend[[#This Row],[RSD]]))</f>
        <v/>
      </c>
      <c r="AO172" s="210" t="str">
        <f>IF(Buildings_GridElectricity_Frontend[[#This Row],[Data]]="","",_xlfn.XLOOKUP(_xlfn.CONCAT(Buildings_GridElectricity_Backend[[#This Row],[Level 1]:[Level 6]]),rng_EFConcat,rng_EFOOS)*Buildings_GridElectricity_Backend[[#This Row],[Converted data]]/1000)</f>
        <v/>
      </c>
      <c r="AP172" s="174">
        <f>Buildings_GridElectricity_Frontend[[#This Row],[Ease of collection]]</f>
        <v>0</v>
      </c>
      <c r="AQ172" s="213">
        <f>Buildings_GridElectricity_Frontend[[#This Row],[Completeness]]</f>
        <v>0</v>
      </c>
      <c r="AR172" s="220">
        <f>Buildings_GridElectricity_Frontend[[#This Row],[Notes]]</f>
        <v>0</v>
      </c>
    </row>
    <row r="173" spans="5:44" x14ac:dyDescent="0.3">
      <c r="E173" s="346"/>
      <c r="F173" s="449"/>
      <c r="G173" s="336"/>
      <c r="H173" s="334"/>
      <c r="I173" s="172" t="s">
        <v>316</v>
      </c>
      <c r="J173" s="337"/>
      <c r="K173" s="336"/>
      <c r="L173" s="336"/>
      <c r="M173" s="337"/>
      <c r="N173" s="242">
        <f t="shared" si="7"/>
        <v>3</v>
      </c>
      <c r="Q173" s="212" t="str">
        <f t="shared" si="6"/>
        <v/>
      </c>
      <c r="R173" s="174" t="s">
        <v>265</v>
      </c>
      <c r="S173" s="174" t="s">
        <v>273</v>
      </c>
      <c r="T173" s="174" t="str">
        <f>_xlfn.XLOOKUP(Buildings_GridElectricity_Backend[[#This Row],[Info 1]],Buildings_SiteInfo[Site name],Buildings_SiteInfo[Site type], "")</f>
        <v/>
      </c>
      <c r="U173" s="174" t="s">
        <v>281</v>
      </c>
      <c r="V173" s="174" t="str" cm="1">
        <f t="array" aca="1" ref="V173" ca="1">_xlfn.XLOOKUP(Buildings_GridElectricity_Backend[[#This Row],[Level 4]],rng_Level4Long,rng_Level5Long)</f>
        <v>Electricity</v>
      </c>
      <c r="W173" s="174" t="str" cm="1">
        <f t="array" aca="1" ref="W173" ca="1">_xlfn.XLOOKUP(Buildings_GridElectricity_Backend[[#This Row],[Level 4]],rng_Level4Long,rng_Level6Long)</f>
        <v>NaN</v>
      </c>
      <c r="X173" s="174">
        <f>Buildings_GridElectricity_Frontend[[#This Row],[Site Name]]</f>
        <v>0</v>
      </c>
      <c r="Y173" s="174">
        <f>Buildings_GridElectricity_Frontend[[#This Row],[Contracting]]</f>
        <v>0</v>
      </c>
      <c r="Z173" s="174">
        <f>Buildings_GridElectricity_Frontend[[#This Row],[Methodology]]</f>
        <v>0</v>
      </c>
      <c r="AA173" s="229" t="str" cm="1">
        <f t="array" ref="AA173">IF(Buildings_GridElectricity_Frontend[[#This Row],[Data]]="","",INDEX(_xlfn.SWITCH(Buildings_GridElectricity_Backend[[#This Row],[Methodology]],"Tier 1",rng_RSD1,"Tier 2",rng_RSD2,"Tier 3",rng_RSD3),MATCH(_xlfn.CONCAT(Buildings_GridElectricity_Backend[[#This Row],[Level 1]:[Level 6]]),rng_LevelsConcat,0)))</f>
        <v/>
      </c>
      <c r="AB173" s="220">
        <f>Buildings_GridElectricity_Frontend[[#This Row],[Data]]</f>
        <v>0</v>
      </c>
      <c r="AC173" s="174" t="str">
        <f>Buildings_GridElectricity_Frontend[[#This Row],[Units]]</f>
        <v>kWh</v>
      </c>
      <c r="AD173" s="218">
        <f>Buildings_GridElectricity_Frontend[[#This Row],[Data]]</f>
        <v>0</v>
      </c>
      <c r="AE173" s="174" t="str">
        <f>Buildings_GridElectricity_Frontend[[#This Row],[Units]]</f>
        <v>kWh</v>
      </c>
      <c r="AF173" s="210" t="str">
        <f>IF(Buildings_GridElectricity_Frontend[[#This Row],[Data]]="","",_xlfn.XLOOKUP(_xlfn.CONCAT(Buildings_GridElectricity_Backend[[#This Row],[Level 1]:[Level 6]]),rng_EFConcat,rng_EF1)*Buildings_GridElectricity_Backend[[#This Row],[Converted data]]/1000)</f>
        <v/>
      </c>
      <c r="AG173" s="210" t="str">
        <f>IF(Buildings_GridElectricity_Frontend[[#This Row],[Data]]="","",_xlfn.XLOOKUP(_xlfn.CONCAT(Buildings_GridElectricity_Backend[[#This Row],[Level 1]:[Level 6]]),rng_EFConcat,rng_EF2)*Buildings_GridElectricity_Backend[[#This Row],[Converted data]]/1000)</f>
        <v/>
      </c>
      <c r="AH173" s="210" t="str">
        <f>IF(Buildings_GridElectricity_Frontend[[#This Row],[Data]]="","",_xlfn.XLOOKUP(_xlfn.CONCAT(Buildings_GridElectricity_Backend[[#This Row],[Level 1]:[Level 6]]),rng_EFConcat,rng_EF3)*Buildings_GridElectricity_Backend[[#This Row],[Converted data]]/1000)</f>
        <v/>
      </c>
      <c r="AI173" s="210" t="str">
        <f>IF(Buildings_GridElectricity_Frontend[[#This Row],[Data]]="","",_xlfn.XLOOKUP(_xlfn.CONCAT(Buildings_GridElectricity_Backend[[#This Row],[Level 1]:[Level 6]]),rng_EFConcat,rng_EF3WTT)*Buildings_GridElectricity_Backend[[#This Row],[Converted data]]/1000)</f>
        <v/>
      </c>
      <c r="AJ173" s="210" t="str">
        <f>IF(Buildings_GridElectricity_Frontend[[#This Row],[Data]]="","",_xlfn.XLOOKUP(_xlfn.CONCAT(Buildings_GridElectricity_Backend[[#This Row],[Level 1]:[Level 6]]),rng_EFConcat,rng_EF3TD)*Buildings_GridElectricity_Backend[[#This Row],[Converted data]]/1000)</f>
        <v/>
      </c>
      <c r="AK173" s="210" t="str">
        <f>IF(Buildings_GridElectricity_Frontend[[#This Row],[Data]]="","",_xlfn.XLOOKUP(_xlfn.CONCAT(Buildings_GridElectricity_Backend[[#This Row],[Level 1]:[Level 6]]),rng_EFConcat,rng_EF3WTTTD)*Buildings_GridElectricity_Backend[[#This Row],[Converted data]]/1000)</f>
        <v/>
      </c>
      <c r="AL173" s="220" t="str">
        <f>IF(Buildings_GridElectricity_Frontend[[#This Row],[Data]]="","",SUM(Buildings_GridElectricity_Backend[[#This Row],[Scope 1 (tCO2e)]:[Scope 3 WTT T&amp;D (tCO2e)]]))</f>
        <v/>
      </c>
      <c r="AM173" s="220" t="str">
        <f>IF(Buildings_GridElectricity_Frontend[[#This Row],[Data]]="","",Buildings_GridElectricity_Backend[[#This Row],[Total (tCO2e)]]*(1-Buildings_GridElectricity_Backend[[#This Row],[RSD]]))</f>
        <v/>
      </c>
      <c r="AN173" s="220" t="str">
        <f>IF(Buildings_GridElectricity_Frontend[[#This Row],[Data]]="","",Buildings_GridElectricity_Backend[[#This Row],[Total (tCO2e)]]*(1+Buildings_GridElectricity_Backend[[#This Row],[RSD]]))</f>
        <v/>
      </c>
      <c r="AO173" s="210" t="str">
        <f>IF(Buildings_GridElectricity_Frontend[[#This Row],[Data]]="","",_xlfn.XLOOKUP(_xlfn.CONCAT(Buildings_GridElectricity_Backend[[#This Row],[Level 1]:[Level 6]]),rng_EFConcat,rng_EFOOS)*Buildings_GridElectricity_Backend[[#This Row],[Converted data]]/1000)</f>
        <v/>
      </c>
      <c r="AP173" s="174">
        <f>Buildings_GridElectricity_Frontend[[#This Row],[Ease of collection]]</f>
        <v>0</v>
      </c>
      <c r="AQ173" s="213">
        <f>Buildings_GridElectricity_Frontend[[#This Row],[Completeness]]</f>
        <v>0</v>
      </c>
      <c r="AR173" s="220">
        <f>Buildings_GridElectricity_Frontend[[#This Row],[Notes]]</f>
        <v>0</v>
      </c>
    </row>
    <row r="174" spans="5:44" x14ac:dyDescent="0.3">
      <c r="E174" s="346"/>
      <c r="F174" s="449"/>
      <c r="G174" s="336"/>
      <c r="H174" s="334"/>
      <c r="I174" s="172" t="s">
        <v>316</v>
      </c>
      <c r="J174" s="337"/>
      <c r="K174" s="336"/>
      <c r="L174" s="336"/>
      <c r="M174" s="337"/>
      <c r="N174" s="242">
        <f t="shared" si="7"/>
        <v>3</v>
      </c>
      <c r="Q174" s="212" t="str">
        <f t="shared" si="6"/>
        <v/>
      </c>
      <c r="R174" s="174" t="s">
        <v>265</v>
      </c>
      <c r="S174" s="174" t="s">
        <v>273</v>
      </c>
      <c r="T174" s="174" t="str">
        <f>_xlfn.XLOOKUP(Buildings_GridElectricity_Backend[[#This Row],[Info 1]],Buildings_SiteInfo[Site name],Buildings_SiteInfo[Site type], "")</f>
        <v/>
      </c>
      <c r="U174" s="174" t="s">
        <v>281</v>
      </c>
      <c r="V174" s="174" t="str" cm="1">
        <f t="array" aca="1" ref="V174" ca="1">_xlfn.XLOOKUP(Buildings_GridElectricity_Backend[[#This Row],[Level 4]],rng_Level4Long,rng_Level5Long)</f>
        <v>Electricity</v>
      </c>
      <c r="W174" s="174" t="str" cm="1">
        <f t="array" aca="1" ref="W174" ca="1">_xlfn.XLOOKUP(Buildings_GridElectricity_Backend[[#This Row],[Level 4]],rng_Level4Long,rng_Level6Long)</f>
        <v>NaN</v>
      </c>
      <c r="X174" s="174">
        <f>Buildings_GridElectricity_Frontend[[#This Row],[Site Name]]</f>
        <v>0</v>
      </c>
      <c r="Y174" s="174">
        <f>Buildings_GridElectricity_Frontend[[#This Row],[Contracting]]</f>
        <v>0</v>
      </c>
      <c r="Z174" s="174">
        <f>Buildings_GridElectricity_Frontend[[#This Row],[Methodology]]</f>
        <v>0</v>
      </c>
      <c r="AA174" s="229" t="str" cm="1">
        <f t="array" ref="AA174">IF(Buildings_GridElectricity_Frontend[[#This Row],[Data]]="","",INDEX(_xlfn.SWITCH(Buildings_GridElectricity_Backend[[#This Row],[Methodology]],"Tier 1",rng_RSD1,"Tier 2",rng_RSD2,"Tier 3",rng_RSD3),MATCH(_xlfn.CONCAT(Buildings_GridElectricity_Backend[[#This Row],[Level 1]:[Level 6]]),rng_LevelsConcat,0)))</f>
        <v/>
      </c>
      <c r="AB174" s="220">
        <f>Buildings_GridElectricity_Frontend[[#This Row],[Data]]</f>
        <v>0</v>
      </c>
      <c r="AC174" s="174" t="str">
        <f>Buildings_GridElectricity_Frontend[[#This Row],[Units]]</f>
        <v>kWh</v>
      </c>
      <c r="AD174" s="218">
        <f>Buildings_GridElectricity_Frontend[[#This Row],[Data]]</f>
        <v>0</v>
      </c>
      <c r="AE174" s="174" t="str">
        <f>Buildings_GridElectricity_Frontend[[#This Row],[Units]]</f>
        <v>kWh</v>
      </c>
      <c r="AF174" s="210" t="str">
        <f>IF(Buildings_GridElectricity_Frontend[[#This Row],[Data]]="","",_xlfn.XLOOKUP(_xlfn.CONCAT(Buildings_GridElectricity_Backend[[#This Row],[Level 1]:[Level 6]]),rng_EFConcat,rng_EF1)*Buildings_GridElectricity_Backend[[#This Row],[Converted data]]/1000)</f>
        <v/>
      </c>
      <c r="AG174" s="210" t="str">
        <f>IF(Buildings_GridElectricity_Frontend[[#This Row],[Data]]="","",_xlfn.XLOOKUP(_xlfn.CONCAT(Buildings_GridElectricity_Backend[[#This Row],[Level 1]:[Level 6]]),rng_EFConcat,rng_EF2)*Buildings_GridElectricity_Backend[[#This Row],[Converted data]]/1000)</f>
        <v/>
      </c>
      <c r="AH174" s="210" t="str">
        <f>IF(Buildings_GridElectricity_Frontend[[#This Row],[Data]]="","",_xlfn.XLOOKUP(_xlfn.CONCAT(Buildings_GridElectricity_Backend[[#This Row],[Level 1]:[Level 6]]),rng_EFConcat,rng_EF3)*Buildings_GridElectricity_Backend[[#This Row],[Converted data]]/1000)</f>
        <v/>
      </c>
      <c r="AI174" s="210" t="str">
        <f>IF(Buildings_GridElectricity_Frontend[[#This Row],[Data]]="","",_xlfn.XLOOKUP(_xlfn.CONCAT(Buildings_GridElectricity_Backend[[#This Row],[Level 1]:[Level 6]]),rng_EFConcat,rng_EF3WTT)*Buildings_GridElectricity_Backend[[#This Row],[Converted data]]/1000)</f>
        <v/>
      </c>
      <c r="AJ174" s="210" t="str">
        <f>IF(Buildings_GridElectricity_Frontend[[#This Row],[Data]]="","",_xlfn.XLOOKUP(_xlfn.CONCAT(Buildings_GridElectricity_Backend[[#This Row],[Level 1]:[Level 6]]),rng_EFConcat,rng_EF3TD)*Buildings_GridElectricity_Backend[[#This Row],[Converted data]]/1000)</f>
        <v/>
      </c>
      <c r="AK174" s="210" t="str">
        <f>IF(Buildings_GridElectricity_Frontend[[#This Row],[Data]]="","",_xlfn.XLOOKUP(_xlfn.CONCAT(Buildings_GridElectricity_Backend[[#This Row],[Level 1]:[Level 6]]),rng_EFConcat,rng_EF3WTTTD)*Buildings_GridElectricity_Backend[[#This Row],[Converted data]]/1000)</f>
        <v/>
      </c>
      <c r="AL174" s="220" t="str">
        <f>IF(Buildings_GridElectricity_Frontend[[#This Row],[Data]]="","",SUM(Buildings_GridElectricity_Backend[[#This Row],[Scope 1 (tCO2e)]:[Scope 3 WTT T&amp;D (tCO2e)]]))</f>
        <v/>
      </c>
      <c r="AM174" s="220" t="str">
        <f>IF(Buildings_GridElectricity_Frontend[[#This Row],[Data]]="","",Buildings_GridElectricity_Backend[[#This Row],[Total (tCO2e)]]*(1-Buildings_GridElectricity_Backend[[#This Row],[RSD]]))</f>
        <v/>
      </c>
      <c r="AN174" s="220" t="str">
        <f>IF(Buildings_GridElectricity_Frontend[[#This Row],[Data]]="","",Buildings_GridElectricity_Backend[[#This Row],[Total (tCO2e)]]*(1+Buildings_GridElectricity_Backend[[#This Row],[RSD]]))</f>
        <v/>
      </c>
      <c r="AO174" s="210" t="str">
        <f>IF(Buildings_GridElectricity_Frontend[[#This Row],[Data]]="","",_xlfn.XLOOKUP(_xlfn.CONCAT(Buildings_GridElectricity_Backend[[#This Row],[Level 1]:[Level 6]]),rng_EFConcat,rng_EFOOS)*Buildings_GridElectricity_Backend[[#This Row],[Converted data]]/1000)</f>
        <v/>
      </c>
      <c r="AP174" s="174">
        <f>Buildings_GridElectricity_Frontend[[#This Row],[Ease of collection]]</f>
        <v>0</v>
      </c>
      <c r="AQ174" s="213">
        <f>Buildings_GridElectricity_Frontend[[#This Row],[Completeness]]</f>
        <v>0</v>
      </c>
      <c r="AR174" s="220">
        <f>Buildings_GridElectricity_Frontend[[#This Row],[Notes]]</f>
        <v>0</v>
      </c>
    </row>
    <row r="175" spans="5:44" x14ac:dyDescent="0.3">
      <c r="E175" s="346"/>
      <c r="F175" s="449"/>
      <c r="G175" s="336"/>
      <c r="H175" s="334"/>
      <c r="I175" s="172" t="s">
        <v>316</v>
      </c>
      <c r="J175" s="337"/>
      <c r="K175" s="336"/>
      <c r="L175" s="336"/>
      <c r="M175" s="337"/>
      <c r="N175" s="242">
        <f t="shared" si="7"/>
        <v>3</v>
      </c>
      <c r="Q175" s="212" t="str">
        <f t="shared" si="6"/>
        <v/>
      </c>
      <c r="R175" s="174" t="s">
        <v>265</v>
      </c>
      <c r="S175" s="174" t="s">
        <v>273</v>
      </c>
      <c r="T175" s="174" t="str">
        <f>_xlfn.XLOOKUP(Buildings_GridElectricity_Backend[[#This Row],[Info 1]],Buildings_SiteInfo[Site name],Buildings_SiteInfo[Site type], "")</f>
        <v/>
      </c>
      <c r="U175" s="174" t="s">
        <v>281</v>
      </c>
      <c r="V175" s="174" t="str" cm="1">
        <f t="array" aca="1" ref="V175" ca="1">_xlfn.XLOOKUP(Buildings_GridElectricity_Backend[[#This Row],[Level 4]],rng_Level4Long,rng_Level5Long)</f>
        <v>Electricity</v>
      </c>
      <c r="W175" s="174" t="str" cm="1">
        <f t="array" aca="1" ref="W175" ca="1">_xlfn.XLOOKUP(Buildings_GridElectricity_Backend[[#This Row],[Level 4]],rng_Level4Long,rng_Level6Long)</f>
        <v>NaN</v>
      </c>
      <c r="X175" s="174">
        <f>Buildings_GridElectricity_Frontend[[#This Row],[Site Name]]</f>
        <v>0</v>
      </c>
      <c r="Y175" s="174">
        <f>Buildings_GridElectricity_Frontend[[#This Row],[Contracting]]</f>
        <v>0</v>
      </c>
      <c r="Z175" s="174">
        <f>Buildings_GridElectricity_Frontend[[#This Row],[Methodology]]</f>
        <v>0</v>
      </c>
      <c r="AA175" s="229" t="str" cm="1">
        <f t="array" ref="AA175">IF(Buildings_GridElectricity_Frontend[[#This Row],[Data]]="","",INDEX(_xlfn.SWITCH(Buildings_GridElectricity_Backend[[#This Row],[Methodology]],"Tier 1",rng_RSD1,"Tier 2",rng_RSD2,"Tier 3",rng_RSD3),MATCH(_xlfn.CONCAT(Buildings_GridElectricity_Backend[[#This Row],[Level 1]:[Level 6]]),rng_LevelsConcat,0)))</f>
        <v/>
      </c>
      <c r="AB175" s="220">
        <f>Buildings_GridElectricity_Frontend[[#This Row],[Data]]</f>
        <v>0</v>
      </c>
      <c r="AC175" s="174" t="str">
        <f>Buildings_GridElectricity_Frontend[[#This Row],[Units]]</f>
        <v>kWh</v>
      </c>
      <c r="AD175" s="218">
        <f>Buildings_GridElectricity_Frontend[[#This Row],[Data]]</f>
        <v>0</v>
      </c>
      <c r="AE175" s="174" t="str">
        <f>Buildings_GridElectricity_Frontend[[#This Row],[Units]]</f>
        <v>kWh</v>
      </c>
      <c r="AF175" s="210" t="str">
        <f>IF(Buildings_GridElectricity_Frontend[[#This Row],[Data]]="","",_xlfn.XLOOKUP(_xlfn.CONCAT(Buildings_GridElectricity_Backend[[#This Row],[Level 1]:[Level 6]]),rng_EFConcat,rng_EF1)*Buildings_GridElectricity_Backend[[#This Row],[Converted data]]/1000)</f>
        <v/>
      </c>
      <c r="AG175" s="210" t="str">
        <f>IF(Buildings_GridElectricity_Frontend[[#This Row],[Data]]="","",_xlfn.XLOOKUP(_xlfn.CONCAT(Buildings_GridElectricity_Backend[[#This Row],[Level 1]:[Level 6]]),rng_EFConcat,rng_EF2)*Buildings_GridElectricity_Backend[[#This Row],[Converted data]]/1000)</f>
        <v/>
      </c>
      <c r="AH175" s="210" t="str">
        <f>IF(Buildings_GridElectricity_Frontend[[#This Row],[Data]]="","",_xlfn.XLOOKUP(_xlfn.CONCAT(Buildings_GridElectricity_Backend[[#This Row],[Level 1]:[Level 6]]),rng_EFConcat,rng_EF3)*Buildings_GridElectricity_Backend[[#This Row],[Converted data]]/1000)</f>
        <v/>
      </c>
      <c r="AI175" s="210" t="str">
        <f>IF(Buildings_GridElectricity_Frontend[[#This Row],[Data]]="","",_xlfn.XLOOKUP(_xlfn.CONCAT(Buildings_GridElectricity_Backend[[#This Row],[Level 1]:[Level 6]]),rng_EFConcat,rng_EF3WTT)*Buildings_GridElectricity_Backend[[#This Row],[Converted data]]/1000)</f>
        <v/>
      </c>
      <c r="AJ175" s="210" t="str">
        <f>IF(Buildings_GridElectricity_Frontend[[#This Row],[Data]]="","",_xlfn.XLOOKUP(_xlfn.CONCAT(Buildings_GridElectricity_Backend[[#This Row],[Level 1]:[Level 6]]),rng_EFConcat,rng_EF3TD)*Buildings_GridElectricity_Backend[[#This Row],[Converted data]]/1000)</f>
        <v/>
      </c>
      <c r="AK175" s="210" t="str">
        <f>IF(Buildings_GridElectricity_Frontend[[#This Row],[Data]]="","",_xlfn.XLOOKUP(_xlfn.CONCAT(Buildings_GridElectricity_Backend[[#This Row],[Level 1]:[Level 6]]),rng_EFConcat,rng_EF3WTTTD)*Buildings_GridElectricity_Backend[[#This Row],[Converted data]]/1000)</f>
        <v/>
      </c>
      <c r="AL175" s="220" t="str">
        <f>IF(Buildings_GridElectricity_Frontend[[#This Row],[Data]]="","",SUM(Buildings_GridElectricity_Backend[[#This Row],[Scope 1 (tCO2e)]:[Scope 3 WTT T&amp;D (tCO2e)]]))</f>
        <v/>
      </c>
      <c r="AM175" s="220" t="str">
        <f>IF(Buildings_GridElectricity_Frontend[[#This Row],[Data]]="","",Buildings_GridElectricity_Backend[[#This Row],[Total (tCO2e)]]*(1-Buildings_GridElectricity_Backend[[#This Row],[RSD]]))</f>
        <v/>
      </c>
      <c r="AN175" s="220" t="str">
        <f>IF(Buildings_GridElectricity_Frontend[[#This Row],[Data]]="","",Buildings_GridElectricity_Backend[[#This Row],[Total (tCO2e)]]*(1+Buildings_GridElectricity_Backend[[#This Row],[RSD]]))</f>
        <v/>
      </c>
      <c r="AO175" s="210" t="str">
        <f>IF(Buildings_GridElectricity_Frontend[[#This Row],[Data]]="","",_xlfn.XLOOKUP(_xlfn.CONCAT(Buildings_GridElectricity_Backend[[#This Row],[Level 1]:[Level 6]]),rng_EFConcat,rng_EFOOS)*Buildings_GridElectricity_Backend[[#This Row],[Converted data]]/1000)</f>
        <v/>
      </c>
      <c r="AP175" s="174">
        <f>Buildings_GridElectricity_Frontend[[#This Row],[Ease of collection]]</f>
        <v>0</v>
      </c>
      <c r="AQ175" s="213">
        <f>Buildings_GridElectricity_Frontend[[#This Row],[Completeness]]</f>
        <v>0</v>
      </c>
      <c r="AR175" s="220">
        <f>Buildings_GridElectricity_Frontend[[#This Row],[Notes]]</f>
        <v>0</v>
      </c>
    </row>
    <row r="176" spans="5:44" x14ac:dyDescent="0.3">
      <c r="E176" s="346"/>
      <c r="F176" s="449"/>
      <c r="G176" s="336"/>
      <c r="H176" s="334"/>
      <c r="I176" s="172" t="s">
        <v>316</v>
      </c>
      <c r="J176" s="337"/>
      <c r="K176" s="336"/>
      <c r="L176" s="336"/>
      <c r="M176" s="337"/>
      <c r="N176" s="242">
        <f t="shared" si="7"/>
        <v>3</v>
      </c>
      <c r="Q176" s="212" t="str">
        <f t="shared" si="6"/>
        <v/>
      </c>
      <c r="R176" s="174" t="s">
        <v>265</v>
      </c>
      <c r="S176" s="174" t="s">
        <v>273</v>
      </c>
      <c r="T176" s="174" t="str">
        <f>_xlfn.XLOOKUP(Buildings_GridElectricity_Backend[[#This Row],[Info 1]],Buildings_SiteInfo[Site name],Buildings_SiteInfo[Site type], "")</f>
        <v/>
      </c>
      <c r="U176" s="174" t="s">
        <v>281</v>
      </c>
      <c r="V176" s="174" t="str" cm="1">
        <f t="array" aca="1" ref="V176" ca="1">_xlfn.XLOOKUP(Buildings_GridElectricity_Backend[[#This Row],[Level 4]],rng_Level4Long,rng_Level5Long)</f>
        <v>Electricity</v>
      </c>
      <c r="W176" s="174" t="str" cm="1">
        <f t="array" aca="1" ref="W176" ca="1">_xlfn.XLOOKUP(Buildings_GridElectricity_Backend[[#This Row],[Level 4]],rng_Level4Long,rng_Level6Long)</f>
        <v>NaN</v>
      </c>
      <c r="X176" s="174">
        <f>Buildings_GridElectricity_Frontend[[#This Row],[Site Name]]</f>
        <v>0</v>
      </c>
      <c r="Y176" s="174">
        <f>Buildings_GridElectricity_Frontend[[#This Row],[Contracting]]</f>
        <v>0</v>
      </c>
      <c r="Z176" s="174">
        <f>Buildings_GridElectricity_Frontend[[#This Row],[Methodology]]</f>
        <v>0</v>
      </c>
      <c r="AA176" s="229" t="str" cm="1">
        <f t="array" ref="AA176">IF(Buildings_GridElectricity_Frontend[[#This Row],[Data]]="","",INDEX(_xlfn.SWITCH(Buildings_GridElectricity_Backend[[#This Row],[Methodology]],"Tier 1",rng_RSD1,"Tier 2",rng_RSD2,"Tier 3",rng_RSD3),MATCH(_xlfn.CONCAT(Buildings_GridElectricity_Backend[[#This Row],[Level 1]:[Level 6]]),rng_LevelsConcat,0)))</f>
        <v/>
      </c>
      <c r="AB176" s="220">
        <f>Buildings_GridElectricity_Frontend[[#This Row],[Data]]</f>
        <v>0</v>
      </c>
      <c r="AC176" s="174" t="str">
        <f>Buildings_GridElectricity_Frontend[[#This Row],[Units]]</f>
        <v>kWh</v>
      </c>
      <c r="AD176" s="218">
        <f>Buildings_GridElectricity_Frontend[[#This Row],[Data]]</f>
        <v>0</v>
      </c>
      <c r="AE176" s="174" t="str">
        <f>Buildings_GridElectricity_Frontend[[#This Row],[Units]]</f>
        <v>kWh</v>
      </c>
      <c r="AF176" s="210" t="str">
        <f>IF(Buildings_GridElectricity_Frontend[[#This Row],[Data]]="","",_xlfn.XLOOKUP(_xlfn.CONCAT(Buildings_GridElectricity_Backend[[#This Row],[Level 1]:[Level 6]]),rng_EFConcat,rng_EF1)*Buildings_GridElectricity_Backend[[#This Row],[Converted data]]/1000)</f>
        <v/>
      </c>
      <c r="AG176" s="210" t="str">
        <f>IF(Buildings_GridElectricity_Frontend[[#This Row],[Data]]="","",_xlfn.XLOOKUP(_xlfn.CONCAT(Buildings_GridElectricity_Backend[[#This Row],[Level 1]:[Level 6]]),rng_EFConcat,rng_EF2)*Buildings_GridElectricity_Backend[[#This Row],[Converted data]]/1000)</f>
        <v/>
      </c>
      <c r="AH176" s="210" t="str">
        <f>IF(Buildings_GridElectricity_Frontend[[#This Row],[Data]]="","",_xlfn.XLOOKUP(_xlfn.CONCAT(Buildings_GridElectricity_Backend[[#This Row],[Level 1]:[Level 6]]),rng_EFConcat,rng_EF3)*Buildings_GridElectricity_Backend[[#This Row],[Converted data]]/1000)</f>
        <v/>
      </c>
      <c r="AI176" s="210" t="str">
        <f>IF(Buildings_GridElectricity_Frontend[[#This Row],[Data]]="","",_xlfn.XLOOKUP(_xlfn.CONCAT(Buildings_GridElectricity_Backend[[#This Row],[Level 1]:[Level 6]]),rng_EFConcat,rng_EF3WTT)*Buildings_GridElectricity_Backend[[#This Row],[Converted data]]/1000)</f>
        <v/>
      </c>
      <c r="AJ176" s="210" t="str">
        <f>IF(Buildings_GridElectricity_Frontend[[#This Row],[Data]]="","",_xlfn.XLOOKUP(_xlfn.CONCAT(Buildings_GridElectricity_Backend[[#This Row],[Level 1]:[Level 6]]),rng_EFConcat,rng_EF3TD)*Buildings_GridElectricity_Backend[[#This Row],[Converted data]]/1000)</f>
        <v/>
      </c>
      <c r="AK176" s="210" t="str">
        <f>IF(Buildings_GridElectricity_Frontend[[#This Row],[Data]]="","",_xlfn.XLOOKUP(_xlfn.CONCAT(Buildings_GridElectricity_Backend[[#This Row],[Level 1]:[Level 6]]),rng_EFConcat,rng_EF3WTTTD)*Buildings_GridElectricity_Backend[[#This Row],[Converted data]]/1000)</f>
        <v/>
      </c>
      <c r="AL176" s="220" t="str">
        <f>IF(Buildings_GridElectricity_Frontend[[#This Row],[Data]]="","",SUM(Buildings_GridElectricity_Backend[[#This Row],[Scope 1 (tCO2e)]:[Scope 3 WTT T&amp;D (tCO2e)]]))</f>
        <v/>
      </c>
      <c r="AM176" s="220" t="str">
        <f>IF(Buildings_GridElectricity_Frontend[[#This Row],[Data]]="","",Buildings_GridElectricity_Backend[[#This Row],[Total (tCO2e)]]*(1-Buildings_GridElectricity_Backend[[#This Row],[RSD]]))</f>
        <v/>
      </c>
      <c r="AN176" s="220" t="str">
        <f>IF(Buildings_GridElectricity_Frontend[[#This Row],[Data]]="","",Buildings_GridElectricity_Backend[[#This Row],[Total (tCO2e)]]*(1+Buildings_GridElectricity_Backend[[#This Row],[RSD]]))</f>
        <v/>
      </c>
      <c r="AO176" s="210" t="str">
        <f>IF(Buildings_GridElectricity_Frontend[[#This Row],[Data]]="","",_xlfn.XLOOKUP(_xlfn.CONCAT(Buildings_GridElectricity_Backend[[#This Row],[Level 1]:[Level 6]]),rng_EFConcat,rng_EFOOS)*Buildings_GridElectricity_Backend[[#This Row],[Converted data]]/1000)</f>
        <v/>
      </c>
      <c r="AP176" s="174">
        <f>Buildings_GridElectricity_Frontend[[#This Row],[Ease of collection]]</f>
        <v>0</v>
      </c>
      <c r="AQ176" s="213">
        <f>Buildings_GridElectricity_Frontend[[#This Row],[Completeness]]</f>
        <v>0</v>
      </c>
      <c r="AR176" s="220">
        <f>Buildings_GridElectricity_Frontend[[#This Row],[Notes]]</f>
        <v>0</v>
      </c>
    </row>
    <row r="177" spans="5:44" x14ac:dyDescent="0.3">
      <c r="E177" s="346"/>
      <c r="F177" s="449"/>
      <c r="G177" s="336"/>
      <c r="H177" s="334"/>
      <c r="I177" s="172" t="s">
        <v>316</v>
      </c>
      <c r="J177" s="337"/>
      <c r="K177" s="336"/>
      <c r="L177" s="336"/>
      <c r="M177" s="337"/>
      <c r="N177" s="242">
        <f t="shared" si="7"/>
        <v>3</v>
      </c>
      <c r="Q177" s="212" t="str">
        <f t="shared" si="6"/>
        <v/>
      </c>
      <c r="R177" s="174" t="s">
        <v>265</v>
      </c>
      <c r="S177" s="174" t="s">
        <v>273</v>
      </c>
      <c r="T177" s="174" t="str">
        <f>_xlfn.XLOOKUP(Buildings_GridElectricity_Backend[[#This Row],[Info 1]],Buildings_SiteInfo[Site name],Buildings_SiteInfo[Site type], "")</f>
        <v/>
      </c>
      <c r="U177" s="174" t="s">
        <v>281</v>
      </c>
      <c r="V177" s="174" t="str" cm="1">
        <f t="array" aca="1" ref="V177" ca="1">_xlfn.XLOOKUP(Buildings_GridElectricity_Backend[[#This Row],[Level 4]],rng_Level4Long,rng_Level5Long)</f>
        <v>Electricity</v>
      </c>
      <c r="W177" s="174" t="str" cm="1">
        <f t="array" aca="1" ref="W177" ca="1">_xlfn.XLOOKUP(Buildings_GridElectricity_Backend[[#This Row],[Level 4]],rng_Level4Long,rng_Level6Long)</f>
        <v>NaN</v>
      </c>
      <c r="X177" s="174">
        <f>Buildings_GridElectricity_Frontend[[#This Row],[Site Name]]</f>
        <v>0</v>
      </c>
      <c r="Y177" s="174">
        <f>Buildings_GridElectricity_Frontend[[#This Row],[Contracting]]</f>
        <v>0</v>
      </c>
      <c r="Z177" s="174">
        <f>Buildings_GridElectricity_Frontend[[#This Row],[Methodology]]</f>
        <v>0</v>
      </c>
      <c r="AA177" s="229" t="str" cm="1">
        <f t="array" ref="AA177">IF(Buildings_GridElectricity_Frontend[[#This Row],[Data]]="","",INDEX(_xlfn.SWITCH(Buildings_GridElectricity_Backend[[#This Row],[Methodology]],"Tier 1",rng_RSD1,"Tier 2",rng_RSD2,"Tier 3",rng_RSD3),MATCH(_xlfn.CONCAT(Buildings_GridElectricity_Backend[[#This Row],[Level 1]:[Level 6]]),rng_LevelsConcat,0)))</f>
        <v/>
      </c>
      <c r="AB177" s="220">
        <f>Buildings_GridElectricity_Frontend[[#This Row],[Data]]</f>
        <v>0</v>
      </c>
      <c r="AC177" s="174" t="str">
        <f>Buildings_GridElectricity_Frontend[[#This Row],[Units]]</f>
        <v>kWh</v>
      </c>
      <c r="AD177" s="218">
        <f>Buildings_GridElectricity_Frontend[[#This Row],[Data]]</f>
        <v>0</v>
      </c>
      <c r="AE177" s="174" t="str">
        <f>Buildings_GridElectricity_Frontend[[#This Row],[Units]]</f>
        <v>kWh</v>
      </c>
      <c r="AF177" s="210" t="str">
        <f>IF(Buildings_GridElectricity_Frontend[[#This Row],[Data]]="","",_xlfn.XLOOKUP(_xlfn.CONCAT(Buildings_GridElectricity_Backend[[#This Row],[Level 1]:[Level 6]]),rng_EFConcat,rng_EF1)*Buildings_GridElectricity_Backend[[#This Row],[Converted data]]/1000)</f>
        <v/>
      </c>
      <c r="AG177" s="210" t="str">
        <f>IF(Buildings_GridElectricity_Frontend[[#This Row],[Data]]="","",_xlfn.XLOOKUP(_xlfn.CONCAT(Buildings_GridElectricity_Backend[[#This Row],[Level 1]:[Level 6]]),rng_EFConcat,rng_EF2)*Buildings_GridElectricity_Backend[[#This Row],[Converted data]]/1000)</f>
        <v/>
      </c>
      <c r="AH177" s="210" t="str">
        <f>IF(Buildings_GridElectricity_Frontend[[#This Row],[Data]]="","",_xlfn.XLOOKUP(_xlfn.CONCAT(Buildings_GridElectricity_Backend[[#This Row],[Level 1]:[Level 6]]),rng_EFConcat,rng_EF3)*Buildings_GridElectricity_Backend[[#This Row],[Converted data]]/1000)</f>
        <v/>
      </c>
      <c r="AI177" s="210" t="str">
        <f>IF(Buildings_GridElectricity_Frontend[[#This Row],[Data]]="","",_xlfn.XLOOKUP(_xlfn.CONCAT(Buildings_GridElectricity_Backend[[#This Row],[Level 1]:[Level 6]]),rng_EFConcat,rng_EF3WTT)*Buildings_GridElectricity_Backend[[#This Row],[Converted data]]/1000)</f>
        <v/>
      </c>
      <c r="AJ177" s="210" t="str">
        <f>IF(Buildings_GridElectricity_Frontend[[#This Row],[Data]]="","",_xlfn.XLOOKUP(_xlfn.CONCAT(Buildings_GridElectricity_Backend[[#This Row],[Level 1]:[Level 6]]),rng_EFConcat,rng_EF3TD)*Buildings_GridElectricity_Backend[[#This Row],[Converted data]]/1000)</f>
        <v/>
      </c>
      <c r="AK177" s="210" t="str">
        <f>IF(Buildings_GridElectricity_Frontend[[#This Row],[Data]]="","",_xlfn.XLOOKUP(_xlfn.CONCAT(Buildings_GridElectricity_Backend[[#This Row],[Level 1]:[Level 6]]),rng_EFConcat,rng_EF3WTTTD)*Buildings_GridElectricity_Backend[[#This Row],[Converted data]]/1000)</f>
        <v/>
      </c>
      <c r="AL177" s="220" t="str">
        <f>IF(Buildings_GridElectricity_Frontend[[#This Row],[Data]]="","",SUM(Buildings_GridElectricity_Backend[[#This Row],[Scope 1 (tCO2e)]:[Scope 3 WTT T&amp;D (tCO2e)]]))</f>
        <v/>
      </c>
      <c r="AM177" s="220" t="str">
        <f>IF(Buildings_GridElectricity_Frontend[[#This Row],[Data]]="","",Buildings_GridElectricity_Backend[[#This Row],[Total (tCO2e)]]*(1-Buildings_GridElectricity_Backend[[#This Row],[RSD]]))</f>
        <v/>
      </c>
      <c r="AN177" s="220" t="str">
        <f>IF(Buildings_GridElectricity_Frontend[[#This Row],[Data]]="","",Buildings_GridElectricity_Backend[[#This Row],[Total (tCO2e)]]*(1+Buildings_GridElectricity_Backend[[#This Row],[RSD]]))</f>
        <v/>
      </c>
      <c r="AO177" s="210" t="str">
        <f>IF(Buildings_GridElectricity_Frontend[[#This Row],[Data]]="","",_xlfn.XLOOKUP(_xlfn.CONCAT(Buildings_GridElectricity_Backend[[#This Row],[Level 1]:[Level 6]]),rng_EFConcat,rng_EFOOS)*Buildings_GridElectricity_Backend[[#This Row],[Converted data]]/1000)</f>
        <v/>
      </c>
      <c r="AP177" s="174">
        <f>Buildings_GridElectricity_Frontend[[#This Row],[Ease of collection]]</f>
        <v>0</v>
      </c>
      <c r="AQ177" s="213">
        <f>Buildings_GridElectricity_Frontend[[#This Row],[Completeness]]</f>
        <v>0</v>
      </c>
      <c r="AR177" s="220">
        <f>Buildings_GridElectricity_Frontend[[#This Row],[Notes]]</f>
        <v>0</v>
      </c>
    </row>
    <row r="178" spans="5:44" x14ac:dyDescent="0.3">
      <c r="E178" s="346"/>
      <c r="F178" s="449"/>
      <c r="G178" s="336"/>
      <c r="H178" s="334"/>
      <c r="I178" s="172" t="s">
        <v>316</v>
      </c>
      <c r="J178" s="337"/>
      <c r="K178" s="336"/>
      <c r="L178" s="336"/>
      <c r="M178" s="337"/>
      <c r="N178" s="242">
        <f t="shared" si="7"/>
        <v>3</v>
      </c>
      <c r="Q178" s="212" t="str">
        <f t="shared" si="6"/>
        <v/>
      </c>
      <c r="R178" s="174" t="s">
        <v>265</v>
      </c>
      <c r="S178" s="174" t="s">
        <v>273</v>
      </c>
      <c r="T178" s="174" t="str">
        <f>_xlfn.XLOOKUP(Buildings_GridElectricity_Backend[[#This Row],[Info 1]],Buildings_SiteInfo[Site name],Buildings_SiteInfo[Site type], "")</f>
        <v/>
      </c>
      <c r="U178" s="174" t="s">
        <v>281</v>
      </c>
      <c r="V178" s="174" t="str" cm="1">
        <f t="array" aca="1" ref="V178" ca="1">_xlfn.XLOOKUP(Buildings_GridElectricity_Backend[[#This Row],[Level 4]],rng_Level4Long,rng_Level5Long)</f>
        <v>Electricity</v>
      </c>
      <c r="W178" s="174" t="str" cm="1">
        <f t="array" aca="1" ref="W178" ca="1">_xlfn.XLOOKUP(Buildings_GridElectricity_Backend[[#This Row],[Level 4]],rng_Level4Long,rng_Level6Long)</f>
        <v>NaN</v>
      </c>
      <c r="X178" s="174">
        <f>Buildings_GridElectricity_Frontend[[#This Row],[Site Name]]</f>
        <v>0</v>
      </c>
      <c r="Y178" s="174">
        <f>Buildings_GridElectricity_Frontend[[#This Row],[Contracting]]</f>
        <v>0</v>
      </c>
      <c r="Z178" s="174">
        <f>Buildings_GridElectricity_Frontend[[#This Row],[Methodology]]</f>
        <v>0</v>
      </c>
      <c r="AA178" s="229" t="str" cm="1">
        <f t="array" ref="AA178">IF(Buildings_GridElectricity_Frontend[[#This Row],[Data]]="","",INDEX(_xlfn.SWITCH(Buildings_GridElectricity_Backend[[#This Row],[Methodology]],"Tier 1",rng_RSD1,"Tier 2",rng_RSD2,"Tier 3",rng_RSD3),MATCH(_xlfn.CONCAT(Buildings_GridElectricity_Backend[[#This Row],[Level 1]:[Level 6]]),rng_LevelsConcat,0)))</f>
        <v/>
      </c>
      <c r="AB178" s="220">
        <f>Buildings_GridElectricity_Frontend[[#This Row],[Data]]</f>
        <v>0</v>
      </c>
      <c r="AC178" s="174" t="str">
        <f>Buildings_GridElectricity_Frontend[[#This Row],[Units]]</f>
        <v>kWh</v>
      </c>
      <c r="AD178" s="218">
        <f>Buildings_GridElectricity_Frontend[[#This Row],[Data]]</f>
        <v>0</v>
      </c>
      <c r="AE178" s="174" t="str">
        <f>Buildings_GridElectricity_Frontend[[#This Row],[Units]]</f>
        <v>kWh</v>
      </c>
      <c r="AF178" s="210" t="str">
        <f>IF(Buildings_GridElectricity_Frontend[[#This Row],[Data]]="","",_xlfn.XLOOKUP(_xlfn.CONCAT(Buildings_GridElectricity_Backend[[#This Row],[Level 1]:[Level 6]]),rng_EFConcat,rng_EF1)*Buildings_GridElectricity_Backend[[#This Row],[Converted data]]/1000)</f>
        <v/>
      </c>
      <c r="AG178" s="210" t="str">
        <f>IF(Buildings_GridElectricity_Frontend[[#This Row],[Data]]="","",_xlfn.XLOOKUP(_xlfn.CONCAT(Buildings_GridElectricity_Backend[[#This Row],[Level 1]:[Level 6]]),rng_EFConcat,rng_EF2)*Buildings_GridElectricity_Backend[[#This Row],[Converted data]]/1000)</f>
        <v/>
      </c>
      <c r="AH178" s="210" t="str">
        <f>IF(Buildings_GridElectricity_Frontend[[#This Row],[Data]]="","",_xlfn.XLOOKUP(_xlfn.CONCAT(Buildings_GridElectricity_Backend[[#This Row],[Level 1]:[Level 6]]),rng_EFConcat,rng_EF3)*Buildings_GridElectricity_Backend[[#This Row],[Converted data]]/1000)</f>
        <v/>
      </c>
      <c r="AI178" s="210" t="str">
        <f>IF(Buildings_GridElectricity_Frontend[[#This Row],[Data]]="","",_xlfn.XLOOKUP(_xlfn.CONCAT(Buildings_GridElectricity_Backend[[#This Row],[Level 1]:[Level 6]]),rng_EFConcat,rng_EF3WTT)*Buildings_GridElectricity_Backend[[#This Row],[Converted data]]/1000)</f>
        <v/>
      </c>
      <c r="AJ178" s="210" t="str">
        <f>IF(Buildings_GridElectricity_Frontend[[#This Row],[Data]]="","",_xlfn.XLOOKUP(_xlfn.CONCAT(Buildings_GridElectricity_Backend[[#This Row],[Level 1]:[Level 6]]),rng_EFConcat,rng_EF3TD)*Buildings_GridElectricity_Backend[[#This Row],[Converted data]]/1000)</f>
        <v/>
      </c>
      <c r="AK178" s="210" t="str">
        <f>IF(Buildings_GridElectricity_Frontend[[#This Row],[Data]]="","",_xlfn.XLOOKUP(_xlfn.CONCAT(Buildings_GridElectricity_Backend[[#This Row],[Level 1]:[Level 6]]),rng_EFConcat,rng_EF3WTTTD)*Buildings_GridElectricity_Backend[[#This Row],[Converted data]]/1000)</f>
        <v/>
      </c>
      <c r="AL178" s="220" t="str">
        <f>IF(Buildings_GridElectricity_Frontend[[#This Row],[Data]]="","",SUM(Buildings_GridElectricity_Backend[[#This Row],[Scope 1 (tCO2e)]:[Scope 3 WTT T&amp;D (tCO2e)]]))</f>
        <v/>
      </c>
      <c r="AM178" s="220" t="str">
        <f>IF(Buildings_GridElectricity_Frontend[[#This Row],[Data]]="","",Buildings_GridElectricity_Backend[[#This Row],[Total (tCO2e)]]*(1-Buildings_GridElectricity_Backend[[#This Row],[RSD]]))</f>
        <v/>
      </c>
      <c r="AN178" s="220" t="str">
        <f>IF(Buildings_GridElectricity_Frontend[[#This Row],[Data]]="","",Buildings_GridElectricity_Backend[[#This Row],[Total (tCO2e)]]*(1+Buildings_GridElectricity_Backend[[#This Row],[RSD]]))</f>
        <v/>
      </c>
      <c r="AO178" s="210" t="str">
        <f>IF(Buildings_GridElectricity_Frontend[[#This Row],[Data]]="","",_xlfn.XLOOKUP(_xlfn.CONCAT(Buildings_GridElectricity_Backend[[#This Row],[Level 1]:[Level 6]]),rng_EFConcat,rng_EFOOS)*Buildings_GridElectricity_Backend[[#This Row],[Converted data]]/1000)</f>
        <v/>
      </c>
      <c r="AP178" s="174">
        <f>Buildings_GridElectricity_Frontend[[#This Row],[Ease of collection]]</f>
        <v>0</v>
      </c>
      <c r="AQ178" s="213">
        <f>Buildings_GridElectricity_Frontend[[#This Row],[Completeness]]</f>
        <v>0</v>
      </c>
      <c r="AR178" s="220">
        <f>Buildings_GridElectricity_Frontend[[#This Row],[Notes]]</f>
        <v>0</v>
      </c>
    </row>
    <row r="179" spans="5:44" x14ac:dyDescent="0.3">
      <c r="E179" s="346"/>
      <c r="F179" s="449"/>
      <c r="G179" s="336"/>
      <c r="H179" s="334"/>
      <c r="I179" s="172" t="s">
        <v>316</v>
      </c>
      <c r="J179" s="337"/>
      <c r="K179" s="336"/>
      <c r="L179" s="336"/>
      <c r="M179" s="337"/>
      <c r="N179" s="242">
        <f t="shared" si="7"/>
        <v>3</v>
      </c>
      <c r="Q179" s="212" t="str">
        <f t="shared" si="6"/>
        <v/>
      </c>
      <c r="R179" s="174" t="s">
        <v>265</v>
      </c>
      <c r="S179" s="174" t="s">
        <v>273</v>
      </c>
      <c r="T179" s="174" t="str">
        <f>_xlfn.XLOOKUP(Buildings_GridElectricity_Backend[[#This Row],[Info 1]],Buildings_SiteInfo[Site name],Buildings_SiteInfo[Site type], "")</f>
        <v/>
      </c>
      <c r="U179" s="174" t="s">
        <v>281</v>
      </c>
      <c r="V179" s="174" t="str" cm="1">
        <f t="array" aca="1" ref="V179" ca="1">_xlfn.XLOOKUP(Buildings_GridElectricity_Backend[[#This Row],[Level 4]],rng_Level4Long,rng_Level5Long)</f>
        <v>Electricity</v>
      </c>
      <c r="W179" s="174" t="str" cm="1">
        <f t="array" aca="1" ref="W179" ca="1">_xlfn.XLOOKUP(Buildings_GridElectricity_Backend[[#This Row],[Level 4]],rng_Level4Long,rng_Level6Long)</f>
        <v>NaN</v>
      </c>
      <c r="X179" s="174">
        <f>Buildings_GridElectricity_Frontend[[#This Row],[Site Name]]</f>
        <v>0</v>
      </c>
      <c r="Y179" s="174">
        <f>Buildings_GridElectricity_Frontend[[#This Row],[Contracting]]</f>
        <v>0</v>
      </c>
      <c r="Z179" s="174">
        <f>Buildings_GridElectricity_Frontend[[#This Row],[Methodology]]</f>
        <v>0</v>
      </c>
      <c r="AA179" s="229" t="str" cm="1">
        <f t="array" ref="AA179">IF(Buildings_GridElectricity_Frontend[[#This Row],[Data]]="","",INDEX(_xlfn.SWITCH(Buildings_GridElectricity_Backend[[#This Row],[Methodology]],"Tier 1",rng_RSD1,"Tier 2",rng_RSD2,"Tier 3",rng_RSD3),MATCH(_xlfn.CONCAT(Buildings_GridElectricity_Backend[[#This Row],[Level 1]:[Level 6]]),rng_LevelsConcat,0)))</f>
        <v/>
      </c>
      <c r="AB179" s="220">
        <f>Buildings_GridElectricity_Frontend[[#This Row],[Data]]</f>
        <v>0</v>
      </c>
      <c r="AC179" s="174" t="str">
        <f>Buildings_GridElectricity_Frontend[[#This Row],[Units]]</f>
        <v>kWh</v>
      </c>
      <c r="AD179" s="218">
        <f>Buildings_GridElectricity_Frontend[[#This Row],[Data]]</f>
        <v>0</v>
      </c>
      <c r="AE179" s="174" t="str">
        <f>Buildings_GridElectricity_Frontend[[#This Row],[Units]]</f>
        <v>kWh</v>
      </c>
      <c r="AF179" s="210" t="str">
        <f>IF(Buildings_GridElectricity_Frontend[[#This Row],[Data]]="","",_xlfn.XLOOKUP(_xlfn.CONCAT(Buildings_GridElectricity_Backend[[#This Row],[Level 1]:[Level 6]]),rng_EFConcat,rng_EF1)*Buildings_GridElectricity_Backend[[#This Row],[Converted data]]/1000)</f>
        <v/>
      </c>
      <c r="AG179" s="210" t="str">
        <f>IF(Buildings_GridElectricity_Frontend[[#This Row],[Data]]="","",_xlfn.XLOOKUP(_xlfn.CONCAT(Buildings_GridElectricity_Backend[[#This Row],[Level 1]:[Level 6]]),rng_EFConcat,rng_EF2)*Buildings_GridElectricity_Backend[[#This Row],[Converted data]]/1000)</f>
        <v/>
      </c>
      <c r="AH179" s="210" t="str">
        <f>IF(Buildings_GridElectricity_Frontend[[#This Row],[Data]]="","",_xlfn.XLOOKUP(_xlfn.CONCAT(Buildings_GridElectricity_Backend[[#This Row],[Level 1]:[Level 6]]),rng_EFConcat,rng_EF3)*Buildings_GridElectricity_Backend[[#This Row],[Converted data]]/1000)</f>
        <v/>
      </c>
      <c r="AI179" s="210" t="str">
        <f>IF(Buildings_GridElectricity_Frontend[[#This Row],[Data]]="","",_xlfn.XLOOKUP(_xlfn.CONCAT(Buildings_GridElectricity_Backend[[#This Row],[Level 1]:[Level 6]]),rng_EFConcat,rng_EF3WTT)*Buildings_GridElectricity_Backend[[#This Row],[Converted data]]/1000)</f>
        <v/>
      </c>
      <c r="AJ179" s="210" t="str">
        <f>IF(Buildings_GridElectricity_Frontend[[#This Row],[Data]]="","",_xlfn.XLOOKUP(_xlfn.CONCAT(Buildings_GridElectricity_Backend[[#This Row],[Level 1]:[Level 6]]),rng_EFConcat,rng_EF3TD)*Buildings_GridElectricity_Backend[[#This Row],[Converted data]]/1000)</f>
        <v/>
      </c>
      <c r="AK179" s="210" t="str">
        <f>IF(Buildings_GridElectricity_Frontend[[#This Row],[Data]]="","",_xlfn.XLOOKUP(_xlfn.CONCAT(Buildings_GridElectricity_Backend[[#This Row],[Level 1]:[Level 6]]),rng_EFConcat,rng_EF3WTTTD)*Buildings_GridElectricity_Backend[[#This Row],[Converted data]]/1000)</f>
        <v/>
      </c>
      <c r="AL179" s="220" t="str">
        <f>IF(Buildings_GridElectricity_Frontend[[#This Row],[Data]]="","",SUM(Buildings_GridElectricity_Backend[[#This Row],[Scope 1 (tCO2e)]:[Scope 3 WTT T&amp;D (tCO2e)]]))</f>
        <v/>
      </c>
      <c r="AM179" s="220" t="str">
        <f>IF(Buildings_GridElectricity_Frontend[[#This Row],[Data]]="","",Buildings_GridElectricity_Backend[[#This Row],[Total (tCO2e)]]*(1-Buildings_GridElectricity_Backend[[#This Row],[RSD]]))</f>
        <v/>
      </c>
      <c r="AN179" s="220" t="str">
        <f>IF(Buildings_GridElectricity_Frontend[[#This Row],[Data]]="","",Buildings_GridElectricity_Backend[[#This Row],[Total (tCO2e)]]*(1+Buildings_GridElectricity_Backend[[#This Row],[RSD]]))</f>
        <v/>
      </c>
      <c r="AO179" s="210" t="str">
        <f>IF(Buildings_GridElectricity_Frontend[[#This Row],[Data]]="","",_xlfn.XLOOKUP(_xlfn.CONCAT(Buildings_GridElectricity_Backend[[#This Row],[Level 1]:[Level 6]]),rng_EFConcat,rng_EFOOS)*Buildings_GridElectricity_Backend[[#This Row],[Converted data]]/1000)</f>
        <v/>
      </c>
      <c r="AP179" s="174">
        <f>Buildings_GridElectricity_Frontend[[#This Row],[Ease of collection]]</f>
        <v>0</v>
      </c>
      <c r="AQ179" s="213">
        <f>Buildings_GridElectricity_Frontend[[#This Row],[Completeness]]</f>
        <v>0</v>
      </c>
      <c r="AR179" s="220">
        <f>Buildings_GridElectricity_Frontend[[#This Row],[Notes]]</f>
        <v>0</v>
      </c>
    </row>
    <row r="180" spans="5:44" x14ac:dyDescent="0.3">
      <c r="E180" s="346"/>
      <c r="F180" s="449"/>
      <c r="G180" s="336"/>
      <c r="H180" s="334"/>
      <c r="I180" s="172" t="s">
        <v>316</v>
      </c>
      <c r="J180" s="337"/>
      <c r="K180" s="336"/>
      <c r="L180" s="336"/>
      <c r="M180" s="337"/>
      <c r="N180" s="242">
        <f t="shared" si="7"/>
        <v>3</v>
      </c>
      <c r="Q180" s="212" t="str">
        <f t="shared" si="6"/>
        <v/>
      </c>
      <c r="R180" s="174" t="s">
        <v>265</v>
      </c>
      <c r="S180" s="174" t="s">
        <v>273</v>
      </c>
      <c r="T180" s="174" t="str">
        <f>_xlfn.XLOOKUP(Buildings_GridElectricity_Backend[[#This Row],[Info 1]],Buildings_SiteInfo[Site name],Buildings_SiteInfo[Site type], "")</f>
        <v/>
      </c>
      <c r="U180" s="174" t="s">
        <v>281</v>
      </c>
      <c r="V180" s="174" t="str" cm="1">
        <f t="array" aca="1" ref="V180" ca="1">_xlfn.XLOOKUP(Buildings_GridElectricity_Backend[[#This Row],[Level 4]],rng_Level4Long,rng_Level5Long)</f>
        <v>Electricity</v>
      </c>
      <c r="W180" s="174" t="str" cm="1">
        <f t="array" aca="1" ref="W180" ca="1">_xlfn.XLOOKUP(Buildings_GridElectricity_Backend[[#This Row],[Level 4]],rng_Level4Long,rng_Level6Long)</f>
        <v>NaN</v>
      </c>
      <c r="X180" s="174">
        <f>Buildings_GridElectricity_Frontend[[#This Row],[Site Name]]</f>
        <v>0</v>
      </c>
      <c r="Y180" s="174">
        <f>Buildings_GridElectricity_Frontend[[#This Row],[Contracting]]</f>
        <v>0</v>
      </c>
      <c r="Z180" s="174">
        <f>Buildings_GridElectricity_Frontend[[#This Row],[Methodology]]</f>
        <v>0</v>
      </c>
      <c r="AA180" s="229" t="str" cm="1">
        <f t="array" ref="AA180">IF(Buildings_GridElectricity_Frontend[[#This Row],[Data]]="","",INDEX(_xlfn.SWITCH(Buildings_GridElectricity_Backend[[#This Row],[Methodology]],"Tier 1",rng_RSD1,"Tier 2",rng_RSD2,"Tier 3",rng_RSD3),MATCH(_xlfn.CONCAT(Buildings_GridElectricity_Backend[[#This Row],[Level 1]:[Level 6]]),rng_LevelsConcat,0)))</f>
        <v/>
      </c>
      <c r="AB180" s="220">
        <f>Buildings_GridElectricity_Frontend[[#This Row],[Data]]</f>
        <v>0</v>
      </c>
      <c r="AC180" s="174" t="str">
        <f>Buildings_GridElectricity_Frontend[[#This Row],[Units]]</f>
        <v>kWh</v>
      </c>
      <c r="AD180" s="218">
        <f>Buildings_GridElectricity_Frontend[[#This Row],[Data]]</f>
        <v>0</v>
      </c>
      <c r="AE180" s="174" t="str">
        <f>Buildings_GridElectricity_Frontend[[#This Row],[Units]]</f>
        <v>kWh</v>
      </c>
      <c r="AF180" s="210" t="str">
        <f>IF(Buildings_GridElectricity_Frontend[[#This Row],[Data]]="","",_xlfn.XLOOKUP(_xlfn.CONCAT(Buildings_GridElectricity_Backend[[#This Row],[Level 1]:[Level 6]]),rng_EFConcat,rng_EF1)*Buildings_GridElectricity_Backend[[#This Row],[Converted data]]/1000)</f>
        <v/>
      </c>
      <c r="AG180" s="210" t="str">
        <f>IF(Buildings_GridElectricity_Frontend[[#This Row],[Data]]="","",_xlfn.XLOOKUP(_xlfn.CONCAT(Buildings_GridElectricity_Backend[[#This Row],[Level 1]:[Level 6]]),rng_EFConcat,rng_EF2)*Buildings_GridElectricity_Backend[[#This Row],[Converted data]]/1000)</f>
        <v/>
      </c>
      <c r="AH180" s="210" t="str">
        <f>IF(Buildings_GridElectricity_Frontend[[#This Row],[Data]]="","",_xlfn.XLOOKUP(_xlfn.CONCAT(Buildings_GridElectricity_Backend[[#This Row],[Level 1]:[Level 6]]),rng_EFConcat,rng_EF3)*Buildings_GridElectricity_Backend[[#This Row],[Converted data]]/1000)</f>
        <v/>
      </c>
      <c r="AI180" s="210" t="str">
        <f>IF(Buildings_GridElectricity_Frontend[[#This Row],[Data]]="","",_xlfn.XLOOKUP(_xlfn.CONCAT(Buildings_GridElectricity_Backend[[#This Row],[Level 1]:[Level 6]]),rng_EFConcat,rng_EF3WTT)*Buildings_GridElectricity_Backend[[#This Row],[Converted data]]/1000)</f>
        <v/>
      </c>
      <c r="AJ180" s="210" t="str">
        <f>IF(Buildings_GridElectricity_Frontend[[#This Row],[Data]]="","",_xlfn.XLOOKUP(_xlfn.CONCAT(Buildings_GridElectricity_Backend[[#This Row],[Level 1]:[Level 6]]),rng_EFConcat,rng_EF3TD)*Buildings_GridElectricity_Backend[[#This Row],[Converted data]]/1000)</f>
        <v/>
      </c>
      <c r="AK180" s="210" t="str">
        <f>IF(Buildings_GridElectricity_Frontend[[#This Row],[Data]]="","",_xlfn.XLOOKUP(_xlfn.CONCAT(Buildings_GridElectricity_Backend[[#This Row],[Level 1]:[Level 6]]),rng_EFConcat,rng_EF3WTTTD)*Buildings_GridElectricity_Backend[[#This Row],[Converted data]]/1000)</f>
        <v/>
      </c>
      <c r="AL180" s="220" t="str">
        <f>IF(Buildings_GridElectricity_Frontend[[#This Row],[Data]]="","",SUM(Buildings_GridElectricity_Backend[[#This Row],[Scope 1 (tCO2e)]:[Scope 3 WTT T&amp;D (tCO2e)]]))</f>
        <v/>
      </c>
      <c r="AM180" s="220" t="str">
        <f>IF(Buildings_GridElectricity_Frontend[[#This Row],[Data]]="","",Buildings_GridElectricity_Backend[[#This Row],[Total (tCO2e)]]*(1-Buildings_GridElectricity_Backend[[#This Row],[RSD]]))</f>
        <v/>
      </c>
      <c r="AN180" s="220" t="str">
        <f>IF(Buildings_GridElectricity_Frontend[[#This Row],[Data]]="","",Buildings_GridElectricity_Backend[[#This Row],[Total (tCO2e)]]*(1+Buildings_GridElectricity_Backend[[#This Row],[RSD]]))</f>
        <v/>
      </c>
      <c r="AO180" s="210" t="str">
        <f>IF(Buildings_GridElectricity_Frontend[[#This Row],[Data]]="","",_xlfn.XLOOKUP(_xlfn.CONCAT(Buildings_GridElectricity_Backend[[#This Row],[Level 1]:[Level 6]]),rng_EFConcat,rng_EFOOS)*Buildings_GridElectricity_Backend[[#This Row],[Converted data]]/1000)</f>
        <v/>
      </c>
      <c r="AP180" s="174">
        <f>Buildings_GridElectricity_Frontend[[#This Row],[Ease of collection]]</f>
        <v>0</v>
      </c>
      <c r="AQ180" s="213">
        <f>Buildings_GridElectricity_Frontend[[#This Row],[Completeness]]</f>
        <v>0</v>
      </c>
      <c r="AR180" s="220">
        <f>Buildings_GridElectricity_Frontend[[#This Row],[Notes]]</f>
        <v>0</v>
      </c>
    </row>
    <row r="181" spans="5:44" x14ac:dyDescent="0.3">
      <c r="E181" s="346"/>
      <c r="F181" s="449"/>
      <c r="G181" s="336"/>
      <c r="H181" s="334"/>
      <c r="I181" s="172" t="s">
        <v>316</v>
      </c>
      <c r="J181" s="337"/>
      <c r="K181" s="336"/>
      <c r="L181" s="336"/>
      <c r="M181" s="337"/>
      <c r="N181" s="242">
        <f t="shared" si="7"/>
        <v>3</v>
      </c>
      <c r="Q181" s="212" t="str">
        <f t="shared" si="6"/>
        <v/>
      </c>
      <c r="R181" s="174" t="s">
        <v>265</v>
      </c>
      <c r="S181" s="174" t="s">
        <v>273</v>
      </c>
      <c r="T181" s="174" t="str">
        <f>_xlfn.XLOOKUP(Buildings_GridElectricity_Backend[[#This Row],[Info 1]],Buildings_SiteInfo[Site name],Buildings_SiteInfo[Site type], "")</f>
        <v/>
      </c>
      <c r="U181" s="174" t="s">
        <v>281</v>
      </c>
      <c r="V181" s="174" t="str" cm="1">
        <f t="array" aca="1" ref="V181" ca="1">_xlfn.XLOOKUP(Buildings_GridElectricity_Backend[[#This Row],[Level 4]],rng_Level4Long,rng_Level5Long)</f>
        <v>Electricity</v>
      </c>
      <c r="W181" s="174" t="str" cm="1">
        <f t="array" aca="1" ref="W181" ca="1">_xlfn.XLOOKUP(Buildings_GridElectricity_Backend[[#This Row],[Level 4]],rng_Level4Long,rng_Level6Long)</f>
        <v>NaN</v>
      </c>
      <c r="X181" s="174">
        <f>Buildings_GridElectricity_Frontend[[#This Row],[Site Name]]</f>
        <v>0</v>
      </c>
      <c r="Y181" s="174">
        <f>Buildings_GridElectricity_Frontend[[#This Row],[Contracting]]</f>
        <v>0</v>
      </c>
      <c r="Z181" s="174">
        <f>Buildings_GridElectricity_Frontend[[#This Row],[Methodology]]</f>
        <v>0</v>
      </c>
      <c r="AA181" s="229" t="str" cm="1">
        <f t="array" ref="AA181">IF(Buildings_GridElectricity_Frontend[[#This Row],[Data]]="","",INDEX(_xlfn.SWITCH(Buildings_GridElectricity_Backend[[#This Row],[Methodology]],"Tier 1",rng_RSD1,"Tier 2",rng_RSD2,"Tier 3",rng_RSD3),MATCH(_xlfn.CONCAT(Buildings_GridElectricity_Backend[[#This Row],[Level 1]:[Level 6]]),rng_LevelsConcat,0)))</f>
        <v/>
      </c>
      <c r="AB181" s="220">
        <f>Buildings_GridElectricity_Frontend[[#This Row],[Data]]</f>
        <v>0</v>
      </c>
      <c r="AC181" s="174" t="str">
        <f>Buildings_GridElectricity_Frontend[[#This Row],[Units]]</f>
        <v>kWh</v>
      </c>
      <c r="AD181" s="218">
        <f>Buildings_GridElectricity_Frontend[[#This Row],[Data]]</f>
        <v>0</v>
      </c>
      <c r="AE181" s="174" t="str">
        <f>Buildings_GridElectricity_Frontend[[#This Row],[Units]]</f>
        <v>kWh</v>
      </c>
      <c r="AF181" s="210" t="str">
        <f>IF(Buildings_GridElectricity_Frontend[[#This Row],[Data]]="","",_xlfn.XLOOKUP(_xlfn.CONCAT(Buildings_GridElectricity_Backend[[#This Row],[Level 1]:[Level 6]]),rng_EFConcat,rng_EF1)*Buildings_GridElectricity_Backend[[#This Row],[Converted data]]/1000)</f>
        <v/>
      </c>
      <c r="AG181" s="210" t="str">
        <f>IF(Buildings_GridElectricity_Frontend[[#This Row],[Data]]="","",_xlfn.XLOOKUP(_xlfn.CONCAT(Buildings_GridElectricity_Backend[[#This Row],[Level 1]:[Level 6]]),rng_EFConcat,rng_EF2)*Buildings_GridElectricity_Backend[[#This Row],[Converted data]]/1000)</f>
        <v/>
      </c>
      <c r="AH181" s="210" t="str">
        <f>IF(Buildings_GridElectricity_Frontend[[#This Row],[Data]]="","",_xlfn.XLOOKUP(_xlfn.CONCAT(Buildings_GridElectricity_Backend[[#This Row],[Level 1]:[Level 6]]),rng_EFConcat,rng_EF3)*Buildings_GridElectricity_Backend[[#This Row],[Converted data]]/1000)</f>
        <v/>
      </c>
      <c r="AI181" s="210" t="str">
        <f>IF(Buildings_GridElectricity_Frontend[[#This Row],[Data]]="","",_xlfn.XLOOKUP(_xlfn.CONCAT(Buildings_GridElectricity_Backend[[#This Row],[Level 1]:[Level 6]]),rng_EFConcat,rng_EF3WTT)*Buildings_GridElectricity_Backend[[#This Row],[Converted data]]/1000)</f>
        <v/>
      </c>
      <c r="AJ181" s="210" t="str">
        <f>IF(Buildings_GridElectricity_Frontend[[#This Row],[Data]]="","",_xlfn.XLOOKUP(_xlfn.CONCAT(Buildings_GridElectricity_Backend[[#This Row],[Level 1]:[Level 6]]),rng_EFConcat,rng_EF3TD)*Buildings_GridElectricity_Backend[[#This Row],[Converted data]]/1000)</f>
        <v/>
      </c>
      <c r="AK181" s="210" t="str">
        <f>IF(Buildings_GridElectricity_Frontend[[#This Row],[Data]]="","",_xlfn.XLOOKUP(_xlfn.CONCAT(Buildings_GridElectricity_Backend[[#This Row],[Level 1]:[Level 6]]),rng_EFConcat,rng_EF3WTTTD)*Buildings_GridElectricity_Backend[[#This Row],[Converted data]]/1000)</f>
        <v/>
      </c>
      <c r="AL181" s="220" t="str">
        <f>IF(Buildings_GridElectricity_Frontend[[#This Row],[Data]]="","",SUM(Buildings_GridElectricity_Backend[[#This Row],[Scope 1 (tCO2e)]:[Scope 3 WTT T&amp;D (tCO2e)]]))</f>
        <v/>
      </c>
      <c r="AM181" s="220" t="str">
        <f>IF(Buildings_GridElectricity_Frontend[[#This Row],[Data]]="","",Buildings_GridElectricity_Backend[[#This Row],[Total (tCO2e)]]*(1-Buildings_GridElectricity_Backend[[#This Row],[RSD]]))</f>
        <v/>
      </c>
      <c r="AN181" s="220" t="str">
        <f>IF(Buildings_GridElectricity_Frontend[[#This Row],[Data]]="","",Buildings_GridElectricity_Backend[[#This Row],[Total (tCO2e)]]*(1+Buildings_GridElectricity_Backend[[#This Row],[RSD]]))</f>
        <v/>
      </c>
      <c r="AO181" s="210" t="str">
        <f>IF(Buildings_GridElectricity_Frontend[[#This Row],[Data]]="","",_xlfn.XLOOKUP(_xlfn.CONCAT(Buildings_GridElectricity_Backend[[#This Row],[Level 1]:[Level 6]]),rng_EFConcat,rng_EFOOS)*Buildings_GridElectricity_Backend[[#This Row],[Converted data]]/1000)</f>
        <v/>
      </c>
      <c r="AP181" s="174">
        <f>Buildings_GridElectricity_Frontend[[#This Row],[Ease of collection]]</f>
        <v>0</v>
      </c>
      <c r="AQ181" s="213">
        <f>Buildings_GridElectricity_Frontend[[#This Row],[Completeness]]</f>
        <v>0</v>
      </c>
      <c r="AR181" s="220">
        <f>Buildings_GridElectricity_Frontend[[#This Row],[Notes]]</f>
        <v>0</v>
      </c>
    </row>
    <row r="182" spans="5:44" x14ac:dyDescent="0.3">
      <c r="E182" s="346"/>
      <c r="F182" s="449"/>
      <c r="G182" s="336"/>
      <c r="H182" s="334"/>
      <c r="I182" s="172" t="s">
        <v>316</v>
      </c>
      <c r="J182" s="337"/>
      <c r="K182" s="336"/>
      <c r="L182" s="336"/>
      <c r="M182" s="337"/>
      <c r="N182" s="242">
        <f t="shared" si="7"/>
        <v>3</v>
      </c>
      <c r="Q182" s="212" t="str">
        <f t="shared" si="6"/>
        <v/>
      </c>
      <c r="R182" s="174" t="s">
        <v>265</v>
      </c>
      <c r="S182" s="174" t="s">
        <v>273</v>
      </c>
      <c r="T182" s="174" t="str">
        <f>_xlfn.XLOOKUP(Buildings_GridElectricity_Backend[[#This Row],[Info 1]],Buildings_SiteInfo[Site name],Buildings_SiteInfo[Site type], "")</f>
        <v/>
      </c>
      <c r="U182" s="174" t="s">
        <v>281</v>
      </c>
      <c r="V182" s="174" t="str" cm="1">
        <f t="array" aca="1" ref="V182" ca="1">_xlfn.XLOOKUP(Buildings_GridElectricity_Backend[[#This Row],[Level 4]],rng_Level4Long,rng_Level5Long)</f>
        <v>Electricity</v>
      </c>
      <c r="W182" s="174" t="str" cm="1">
        <f t="array" aca="1" ref="W182" ca="1">_xlfn.XLOOKUP(Buildings_GridElectricity_Backend[[#This Row],[Level 4]],rng_Level4Long,rng_Level6Long)</f>
        <v>NaN</v>
      </c>
      <c r="X182" s="174">
        <f>Buildings_GridElectricity_Frontend[[#This Row],[Site Name]]</f>
        <v>0</v>
      </c>
      <c r="Y182" s="174">
        <f>Buildings_GridElectricity_Frontend[[#This Row],[Contracting]]</f>
        <v>0</v>
      </c>
      <c r="Z182" s="174">
        <f>Buildings_GridElectricity_Frontend[[#This Row],[Methodology]]</f>
        <v>0</v>
      </c>
      <c r="AA182" s="229" t="str" cm="1">
        <f t="array" ref="AA182">IF(Buildings_GridElectricity_Frontend[[#This Row],[Data]]="","",INDEX(_xlfn.SWITCH(Buildings_GridElectricity_Backend[[#This Row],[Methodology]],"Tier 1",rng_RSD1,"Tier 2",rng_RSD2,"Tier 3",rng_RSD3),MATCH(_xlfn.CONCAT(Buildings_GridElectricity_Backend[[#This Row],[Level 1]:[Level 6]]),rng_LevelsConcat,0)))</f>
        <v/>
      </c>
      <c r="AB182" s="220">
        <f>Buildings_GridElectricity_Frontend[[#This Row],[Data]]</f>
        <v>0</v>
      </c>
      <c r="AC182" s="174" t="str">
        <f>Buildings_GridElectricity_Frontend[[#This Row],[Units]]</f>
        <v>kWh</v>
      </c>
      <c r="AD182" s="218">
        <f>Buildings_GridElectricity_Frontend[[#This Row],[Data]]</f>
        <v>0</v>
      </c>
      <c r="AE182" s="174" t="str">
        <f>Buildings_GridElectricity_Frontend[[#This Row],[Units]]</f>
        <v>kWh</v>
      </c>
      <c r="AF182" s="210" t="str">
        <f>IF(Buildings_GridElectricity_Frontend[[#This Row],[Data]]="","",_xlfn.XLOOKUP(_xlfn.CONCAT(Buildings_GridElectricity_Backend[[#This Row],[Level 1]:[Level 6]]),rng_EFConcat,rng_EF1)*Buildings_GridElectricity_Backend[[#This Row],[Converted data]]/1000)</f>
        <v/>
      </c>
      <c r="AG182" s="210" t="str">
        <f>IF(Buildings_GridElectricity_Frontend[[#This Row],[Data]]="","",_xlfn.XLOOKUP(_xlfn.CONCAT(Buildings_GridElectricity_Backend[[#This Row],[Level 1]:[Level 6]]),rng_EFConcat,rng_EF2)*Buildings_GridElectricity_Backend[[#This Row],[Converted data]]/1000)</f>
        <v/>
      </c>
      <c r="AH182" s="210" t="str">
        <f>IF(Buildings_GridElectricity_Frontend[[#This Row],[Data]]="","",_xlfn.XLOOKUP(_xlfn.CONCAT(Buildings_GridElectricity_Backend[[#This Row],[Level 1]:[Level 6]]),rng_EFConcat,rng_EF3)*Buildings_GridElectricity_Backend[[#This Row],[Converted data]]/1000)</f>
        <v/>
      </c>
      <c r="AI182" s="210" t="str">
        <f>IF(Buildings_GridElectricity_Frontend[[#This Row],[Data]]="","",_xlfn.XLOOKUP(_xlfn.CONCAT(Buildings_GridElectricity_Backend[[#This Row],[Level 1]:[Level 6]]),rng_EFConcat,rng_EF3WTT)*Buildings_GridElectricity_Backend[[#This Row],[Converted data]]/1000)</f>
        <v/>
      </c>
      <c r="AJ182" s="210" t="str">
        <f>IF(Buildings_GridElectricity_Frontend[[#This Row],[Data]]="","",_xlfn.XLOOKUP(_xlfn.CONCAT(Buildings_GridElectricity_Backend[[#This Row],[Level 1]:[Level 6]]),rng_EFConcat,rng_EF3TD)*Buildings_GridElectricity_Backend[[#This Row],[Converted data]]/1000)</f>
        <v/>
      </c>
      <c r="AK182" s="210" t="str">
        <f>IF(Buildings_GridElectricity_Frontend[[#This Row],[Data]]="","",_xlfn.XLOOKUP(_xlfn.CONCAT(Buildings_GridElectricity_Backend[[#This Row],[Level 1]:[Level 6]]),rng_EFConcat,rng_EF3WTTTD)*Buildings_GridElectricity_Backend[[#This Row],[Converted data]]/1000)</f>
        <v/>
      </c>
      <c r="AL182" s="220" t="str">
        <f>IF(Buildings_GridElectricity_Frontend[[#This Row],[Data]]="","",SUM(Buildings_GridElectricity_Backend[[#This Row],[Scope 1 (tCO2e)]:[Scope 3 WTT T&amp;D (tCO2e)]]))</f>
        <v/>
      </c>
      <c r="AM182" s="220" t="str">
        <f>IF(Buildings_GridElectricity_Frontend[[#This Row],[Data]]="","",Buildings_GridElectricity_Backend[[#This Row],[Total (tCO2e)]]*(1-Buildings_GridElectricity_Backend[[#This Row],[RSD]]))</f>
        <v/>
      </c>
      <c r="AN182" s="220" t="str">
        <f>IF(Buildings_GridElectricity_Frontend[[#This Row],[Data]]="","",Buildings_GridElectricity_Backend[[#This Row],[Total (tCO2e)]]*(1+Buildings_GridElectricity_Backend[[#This Row],[RSD]]))</f>
        <v/>
      </c>
      <c r="AO182" s="210" t="str">
        <f>IF(Buildings_GridElectricity_Frontend[[#This Row],[Data]]="","",_xlfn.XLOOKUP(_xlfn.CONCAT(Buildings_GridElectricity_Backend[[#This Row],[Level 1]:[Level 6]]),rng_EFConcat,rng_EFOOS)*Buildings_GridElectricity_Backend[[#This Row],[Converted data]]/1000)</f>
        <v/>
      </c>
      <c r="AP182" s="174">
        <f>Buildings_GridElectricity_Frontend[[#This Row],[Ease of collection]]</f>
        <v>0</v>
      </c>
      <c r="AQ182" s="213">
        <f>Buildings_GridElectricity_Frontend[[#This Row],[Completeness]]</f>
        <v>0</v>
      </c>
      <c r="AR182" s="220">
        <f>Buildings_GridElectricity_Frontend[[#This Row],[Notes]]</f>
        <v>0</v>
      </c>
    </row>
    <row r="183" spans="5:44" x14ac:dyDescent="0.3">
      <c r="E183" s="346"/>
      <c r="F183" s="449"/>
      <c r="G183" s="336"/>
      <c r="H183" s="334"/>
      <c r="I183" s="172" t="s">
        <v>316</v>
      </c>
      <c r="J183" s="337"/>
      <c r="K183" s="336"/>
      <c r="L183" s="336"/>
      <c r="M183" s="337"/>
      <c r="N183" s="242">
        <f t="shared" si="7"/>
        <v>3</v>
      </c>
      <c r="Q183" s="212" t="str">
        <f t="shared" si="6"/>
        <v/>
      </c>
      <c r="R183" s="174" t="s">
        <v>265</v>
      </c>
      <c r="S183" s="174" t="s">
        <v>273</v>
      </c>
      <c r="T183" s="174" t="str">
        <f>_xlfn.XLOOKUP(Buildings_GridElectricity_Backend[[#This Row],[Info 1]],Buildings_SiteInfo[Site name],Buildings_SiteInfo[Site type], "")</f>
        <v/>
      </c>
      <c r="U183" s="174" t="s">
        <v>281</v>
      </c>
      <c r="V183" s="174" t="str" cm="1">
        <f t="array" aca="1" ref="V183" ca="1">_xlfn.XLOOKUP(Buildings_GridElectricity_Backend[[#This Row],[Level 4]],rng_Level4Long,rng_Level5Long)</f>
        <v>Electricity</v>
      </c>
      <c r="W183" s="174" t="str" cm="1">
        <f t="array" aca="1" ref="W183" ca="1">_xlfn.XLOOKUP(Buildings_GridElectricity_Backend[[#This Row],[Level 4]],rng_Level4Long,rng_Level6Long)</f>
        <v>NaN</v>
      </c>
      <c r="X183" s="174">
        <f>Buildings_GridElectricity_Frontend[[#This Row],[Site Name]]</f>
        <v>0</v>
      </c>
      <c r="Y183" s="174">
        <f>Buildings_GridElectricity_Frontend[[#This Row],[Contracting]]</f>
        <v>0</v>
      </c>
      <c r="Z183" s="174">
        <f>Buildings_GridElectricity_Frontend[[#This Row],[Methodology]]</f>
        <v>0</v>
      </c>
      <c r="AA183" s="229" t="str" cm="1">
        <f t="array" ref="AA183">IF(Buildings_GridElectricity_Frontend[[#This Row],[Data]]="","",INDEX(_xlfn.SWITCH(Buildings_GridElectricity_Backend[[#This Row],[Methodology]],"Tier 1",rng_RSD1,"Tier 2",rng_RSD2,"Tier 3",rng_RSD3),MATCH(_xlfn.CONCAT(Buildings_GridElectricity_Backend[[#This Row],[Level 1]:[Level 6]]),rng_LevelsConcat,0)))</f>
        <v/>
      </c>
      <c r="AB183" s="220">
        <f>Buildings_GridElectricity_Frontend[[#This Row],[Data]]</f>
        <v>0</v>
      </c>
      <c r="AC183" s="174" t="str">
        <f>Buildings_GridElectricity_Frontend[[#This Row],[Units]]</f>
        <v>kWh</v>
      </c>
      <c r="AD183" s="218">
        <f>Buildings_GridElectricity_Frontend[[#This Row],[Data]]</f>
        <v>0</v>
      </c>
      <c r="AE183" s="174" t="str">
        <f>Buildings_GridElectricity_Frontend[[#This Row],[Units]]</f>
        <v>kWh</v>
      </c>
      <c r="AF183" s="210" t="str">
        <f>IF(Buildings_GridElectricity_Frontend[[#This Row],[Data]]="","",_xlfn.XLOOKUP(_xlfn.CONCAT(Buildings_GridElectricity_Backend[[#This Row],[Level 1]:[Level 6]]),rng_EFConcat,rng_EF1)*Buildings_GridElectricity_Backend[[#This Row],[Converted data]]/1000)</f>
        <v/>
      </c>
      <c r="AG183" s="210" t="str">
        <f>IF(Buildings_GridElectricity_Frontend[[#This Row],[Data]]="","",_xlfn.XLOOKUP(_xlfn.CONCAT(Buildings_GridElectricity_Backend[[#This Row],[Level 1]:[Level 6]]),rng_EFConcat,rng_EF2)*Buildings_GridElectricity_Backend[[#This Row],[Converted data]]/1000)</f>
        <v/>
      </c>
      <c r="AH183" s="210" t="str">
        <f>IF(Buildings_GridElectricity_Frontend[[#This Row],[Data]]="","",_xlfn.XLOOKUP(_xlfn.CONCAT(Buildings_GridElectricity_Backend[[#This Row],[Level 1]:[Level 6]]),rng_EFConcat,rng_EF3)*Buildings_GridElectricity_Backend[[#This Row],[Converted data]]/1000)</f>
        <v/>
      </c>
      <c r="AI183" s="210" t="str">
        <f>IF(Buildings_GridElectricity_Frontend[[#This Row],[Data]]="","",_xlfn.XLOOKUP(_xlfn.CONCAT(Buildings_GridElectricity_Backend[[#This Row],[Level 1]:[Level 6]]),rng_EFConcat,rng_EF3WTT)*Buildings_GridElectricity_Backend[[#This Row],[Converted data]]/1000)</f>
        <v/>
      </c>
      <c r="AJ183" s="210" t="str">
        <f>IF(Buildings_GridElectricity_Frontend[[#This Row],[Data]]="","",_xlfn.XLOOKUP(_xlfn.CONCAT(Buildings_GridElectricity_Backend[[#This Row],[Level 1]:[Level 6]]),rng_EFConcat,rng_EF3TD)*Buildings_GridElectricity_Backend[[#This Row],[Converted data]]/1000)</f>
        <v/>
      </c>
      <c r="AK183" s="210" t="str">
        <f>IF(Buildings_GridElectricity_Frontend[[#This Row],[Data]]="","",_xlfn.XLOOKUP(_xlfn.CONCAT(Buildings_GridElectricity_Backend[[#This Row],[Level 1]:[Level 6]]),rng_EFConcat,rng_EF3WTTTD)*Buildings_GridElectricity_Backend[[#This Row],[Converted data]]/1000)</f>
        <v/>
      </c>
      <c r="AL183" s="220" t="str">
        <f>IF(Buildings_GridElectricity_Frontend[[#This Row],[Data]]="","",SUM(Buildings_GridElectricity_Backend[[#This Row],[Scope 1 (tCO2e)]:[Scope 3 WTT T&amp;D (tCO2e)]]))</f>
        <v/>
      </c>
      <c r="AM183" s="220" t="str">
        <f>IF(Buildings_GridElectricity_Frontend[[#This Row],[Data]]="","",Buildings_GridElectricity_Backend[[#This Row],[Total (tCO2e)]]*(1-Buildings_GridElectricity_Backend[[#This Row],[RSD]]))</f>
        <v/>
      </c>
      <c r="AN183" s="220" t="str">
        <f>IF(Buildings_GridElectricity_Frontend[[#This Row],[Data]]="","",Buildings_GridElectricity_Backend[[#This Row],[Total (tCO2e)]]*(1+Buildings_GridElectricity_Backend[[#This Row],[RSD]]))</f>
        <v/>
      </c>
      <c r="AO183" s="210" t="str">
        <f>IF(Buildings_GridElectricity_Frontend[[#This Row],[Data]]="","",_xlfn.XLOOKUP(_xlfn.CONCAT(Buildings_GridElectricity_Backend[[#This Row],[Level 1]:[Level 6]]),rng_EFConcat,rng_EFOOS)*Buildings_GridElectricity_Backend[[#This Row],[Converted data]]/1000)</f>
        <v/>
      </c>
      <c r="AP183" s="174">
        <f>Buildings_GridElectricity_Frontend[[#This Row],[Ease of collection]]</f>
        <v>0</v>
      </c>
      <c r="AQ183" s="213">
        <f>Buildings_GridElectricity_Frontend[[#This Row],[Completeness]]</f>
        <v>0</v>
      </c>
      <c r="AR183" s="220">
        <f>Buildings_GridElectricity_Frontend[[#This Row],[Notes]]</f>
        <v>0</v>
      </c>
    </row>
    <row r="184" spans="5:44" x14ac:dyDescent="0.3">
      <c r="E184" s="346"/>
      <c r="F184" s="449"/>
      <c r="G184" s="336"/>
      <c r="H184" s="334"/>
      <c r="I184" s="172" t="s">
        <v>316</v>
      </c>
      <c r="J184" s="337"/>
      <c r="K184" s="336"/>
      <c r="L184" s="336"/>
      <c r="M184" s="337"/>
      <c r="N184" s="242">
        <f t="shared" si="7"/>
        <v>3</v>
      </c>
      <c r="Q184" s="212" t="str">
        <f t="shared" si="6"/>
        <v/>
      </c>
      <c r="R184" s="174" t="s">
        <v>265</v>
      </c>
      <c r="S184" s="174" t="s">
        <v>273</v>
      </c>
      <c r="T184" s="174" t="str">
        <f>_xlfn.XLOOKUP(Buildings_GridElectricity_Backend[[#This Row],[Info 1]],Buildings_SiteInfo[Site name],Buildings_SiteInfo[Site type], "")</f>
        <v/>
      </c>
      <c r="U184" s="174" t="s">
        <v>281</v>
      </c>
      <c r="V184" s="174" t="str" cm="1">
        <f t="array" aca="1" ref="V184" ca="1">_xlfn.XLOOKUP(Buildings_GridElectricity_Backend[[#This Row],[Level 4]],rng_Level4Long,rng_Level5Long)</f>
        <v>Electricity</v>
      </c>
      <c r="W184" s="174" t="str" cm="1">
        <f t="array" aca="1" ref="W184" ca="1">_xlfn.XLOOKUP(Buildings_GridElectricity_Backend[[#This Row],[Level 4]],rng_Level4Long,rng_Level6Long)</f>
        <v>NaN</v>
      </c>
      <c r="X184" s="174">
        <f>Buildings_GridElectricity_Frontend[[#This Row],[Site Name]]</f>
        <v>0</v>
      </c>
      <c r="Y184" s="174">
        <f>Buildings_GridElectricity_Frontend[[#This Row],[Contracting]]</f>
        <v>0</v>
      </c>
      <c r="Z184" s="174">
        <f>Buildings_GridElectricity_Frontend[[#This Row],[Methodology]]</f>
        <v>0</v>
      </c>
      <c r="AA184" s="229" t="str" cm="1">
        <f t="array" ref="AA184">IF(Buildings_GridElectricity_Frontend[[#This Row],[Data]]="","",INDEX(_xlfn.SWITCH(Buildings_GridElectricity_Backend[[#This Row],[Methodology]],"Tier 1",rng_RSD1,"Tier 2",rng_RSD2,"Tier 3",rng_RSD3),MATCH(_xlfn.CONCAT(Buildings_GridElectricity_Backend[[#This Row],[Level 1]:[Level 6]]),rng_LevelsConcat,0)))</f>
        <v/>
      </c>
      <c r="AB184" s="220">
        <f>Buildings_GridElectricity_Frontend[[#This Row],[Data]]</f>
        <v>0</v>
      </c>
      <c r="AC184" s="174" t="str">
        <f>Buildings_GridElectricity_Frontend[[#This Row],[Units]]</f>
        <v>kWh</v>
      </c>
      <c r="AD184" s="218">
        <f>Buildings_GridElectricity_Frontend[[#This Row],[Data]]</f>
        <v>0</v>
      </c>
      <c r="AE184" s="174" t="str">
        <f>Buildings_GridElectricity_Frontend[[#This Row],[Units]]</f>
        <v>kWh</v>
      </c>
      <c r="AF184" s="210" t="str">
        <f>IF(Buildings_GridElectricity_Frontend[[#This Row],[Data]]="","",_xlfn.XLOOKUP(_xlfn.CONCAT(Buildings_GridElectricity_Backend[[#This Row],[Level 1]:[Level 6]]),rng_EFConcat,rng_EF1)*Buildings_GridElectricity_Backend[[#This Row],[Converted data]]/1000)</f>
        <v/>
      </c>
      <c r="AG184" s="210" t="str">
        <f>IF(Buildings_GridElectricity_Frontend[[#This Row],[Data]]="","",_xlfn.XLOOKUP(_xlfn.CONCAT(Buildings_GridElectricity_Backend[[#This Row],[Level 1]:[Level 6]]),rng_EFConcat,rng_EF2)*Buildings_GridElectricity_Backend[[#This Row],[Converted data]]/1000)</f>
        <v/>
      </c>
      <c r="AH184" s="210" t="str">
        <f>IF(Buildings_GridElectricity_Frontend[[#This Row],[Data]]="","",_xlfn.XLOOKUP(_xlfn.CONCAT(Buildings_GridElectricity_Backend[[#This Row],[Level 1]:[Level 6]]),rng_EFConcat,rng_EF3)*Buildings_GridElectricity_Backend[[#This Row],[Converted data]]/1000)</f>
        <v/>
      </c>
      <c r="AI184" s="210" t="str">
        <f>IF(Buildings_GridElectricity_Frontend[[#This Row],[Data]]="","",_xlfn.XLOOKUP(_xlfn.CONCAT(Buildings_GridElectricity_Backend[[#This Row],[Level 1]:[Level 6]]),rng_EFConcat,rng_EF3WTT)*Buildings_GridElectricity_Backend[[#This Row],[Converted data]]/1000)</f>
        <v/>
      </c>
      <c r="AJ184" s="210" t="str">
        <f>IF(Buildings_GridElectricity_Frontend[[#This Row],[Data]]="","",_xlfn.XLOOKUP(_xlfn.CONCAT(Buildings_GridElectricity_Backend[[#This Row],[Level 1]:[Level 6]]),rng_EFConcat,rng_EF3TD)*Buildings_GridElectricity_Backend[[#This Row],[Converted data]]/1000)</f>
        <v/>
      </c>
      <c r="AK184" s="210" t="str">
        <f>IF(Buildings_GridElectricity_Frontend[[#This Row],[Data]]="","",_xlfn.XLOOKUP(_xlfn.CONCAT(Buildings_GridElectricity_Backend[[#This Row],[Level 1]:[Level 6]]),rng_EFConcat,rng_EF3WTTTD)*Buildings_GridElectricity_Backend[[#This Row],[Converted data]]/1000)</f>
        <v/>
      </c>
      <c r="AL184" s="220" t="str">
        <f>IF(Buildings_GridElectricity_Frontend[[#This Row],[Data]]="","",SUM(Buildings_GridElectricity_Backend[[#This Row],[Scope 1 (tCO2e)]:[Scope 3 WTT T&amp;D (tCO2e)]]))</f>
        <v/>
      </c>
      <c r="AM184" s="220" t="str">
        <f>IF(Buildings_GridElectricity_Frontend[[#This Row],[Data]]="","",Buildings_GridElectricity_Backend[[#This Row],[Total (tCO2e)]]*(1-Buildings_GridElectricity_Backend[[#This Row],[RSD]]))</f>
        <v/>
      </c>
      <c r="AN184" s="220" t="str">
        <f>IF(Buildings_GridElectricity_Frontend[[#This Row],[Data]]="","",Buildings_GridElectricity_Backend[[#This Row],[Total (tCO2e)]]*(1+Buildings_GridElectricity_Backend[[#This Row],[RSD]]))</f>
        <v/>
      </c>
      <c r="AO184" s="210" t="str">
        <f>IF(Buildings_GridElectricity_Frontend[[#This Row],[Data]]="","",_xlfn.XLOOKUP(_xlfn.CONCAT(Buildings_GridElectricity_Backend[[#This Row],[Level 1]:[Level 6]]),rng_EFConcat,rng_EFOOS)*Buildings_GridElectricity_Backend[[#This Row],[Converted data]]/1000)</f>
        <v/>
      </c>
      <c r="AP184" s="174">
        <f>Buildings_GridElectricity_Frontend[[#This Row],[Ease of collection]]</f>
        <v>0</v>
      </c>
      <c r="AQ184" s="213">
        <f>Buildings_GridElectricity_Frontend[[#This Row],[Completeness]]</f>
        <v>0</v>
      </c>
      <c r="AR184" s="220">
        <f>Buildings_GridElectricity_Frontend[[#This Row],[Notes]]</f>
        <v>0</v>
      </c>
    </row>
    <row r="185" spans="5:44" x14ac:dyDescent="0.3">
      <c r="E185" s="346"/>
      <c r="F185" s="449"/>
      <c r="G185" s="336"/>
      <c r="H185" s="334"/>
      <c r="I185" s="172" t="s">
        <v>316</v>
      </c>
      <c r="J185" s="337"/>
      <c r="K185" s="336"/>
      <c r="L185" s="336"/>
      <c r="M185" s="337"/>
      <c r="N185" s="242">
        <f t="shared" si="7"/>
        <v>3</v>
      </c>
      <c r="Q185" s="212" t="str">
        <f t="shared" si="6"/>
        <v/>
      </c>
      <c r="R185" s="174" t="s">
        <v>265</v>
      </c>
      <c r="S185" s="174" t="s">
        <v>273</v>
      </c>
      <c r="T185" s="174" t="str">
        <f>_xlfn.XLOOKUP(Buildings_GridElectricity_Backend[[#This Row],[Info 1]],Buildings_SiteInfo[Site name],Buildings_SiteInfo[Site type], "")</f>
        <v/>
      </c>
      <c r="U185" s="174" t="s">
        <v>281</v>
      </c>
      <c r="V185" s="174" t="str" cm="1">
        <f t="array" aca="1" ref="V185" ca="1">_xlfn.XLOOKUP(Buildings_GridElectricity_Backend[[#This Row],[Level 4]],rng_Level4Long,rng_Level5Long)</f>
        <v>Electricity</v>
      </c>
      <c r="W185" s="174" t="str" cm="1">
        <f t="array" aca="1" ref="W185" ca="1">_xlfn.XLOOKUP(Buildings_GridElectricity_Backend[[#This Row],[Level 4]],rng_Level4Long,rng_Level6Long)</f>
        <v>NaN</v>
      </c>
      <c r="X185" s="174">
        <f>Buildings_GridElectricity_Frontend[[#This Row],[Site Name]]</f>
        <v>0</v>
      </c>
      <c r="Y185" s="174">
        <f>Buildings_GridElectricity_Frontend[[#This Row],[Contracting]]</f>
        <v>0</v>
      </c>
      <c r="Z185" s="174">
        <f>Buildings_GridElectricity_Frontend[[#This Row],[Methodology]]</f>
        <v>0</v>
      </c>
      <c r="AA185" s="229" t="str" cm="1">
        <f t="array" ref="AA185">IF(Buildings_GridElectricity_Frontend[[#This Row],[Data]]="","",INDEX(_xlfn.SWITCH(Buildings_GridElectricity_Backend[[#This Row],[Methodology]],"Tier 1",rng_RSD1,"Tier 2",rng_RSD2,"Tier 3",rng_RSD3),MATCH(_xlfn.CONCAT(Buildings_GridElectricity_Backend[[#This Row],[Level 1]:[Level 6]]),rng_LevelsConcat,0)))</f>
        <v/>
      </c>
      <c r="AB185" s="220">
        <f>Buildings_GridElectricity_Frontend[[#This Row],[Data]]</f>
        <v>0</v>
      </c>
      <c r="AC185" s="174" t="str">
        <f>Buildings_GridElectricity_Frontend[[#This Row],[Units]]</f>
        <v>kWh</v>
      </c>
      <c r="AD185" s="218">
        <f>Buildings_GridElectricity_Frontend[[#This Row],[Data]]</f>
        <v>0</v>
      </c>
      <c r="AE185" s="174" t="str">
        <f>Buildings_GridElectricity_Frontend[[#This Row],[Units]]</f>
        <v>kWh</v>
      </c>
      <c r="AF185" s="210" t="str">
        <f>IF(Buildings_GridElectricity_Frontend[[#This Row],[Data]]="","",_xlfn.XLOOKUP(_xlfn.CONCAT(Buildings_GridElectricity_Backend[[#This Row],[Level 1]:[Level 6]]),rng_EFConcat,rng_EF1)*Buildings_GridElectricity_Backend[[#This Row],[Converted data]]/1000)</f>
        <v/>
      </c>
      <c r="AG185" s="210" t="str">
        <f>IF(Buildings_GridElectricity_Frontend[[#This Row],[Data]]="","",_xlfn.XLOOKUP(_xlfn.CONCAT(Buildings_GridElectricity_Backend[[#This Row],[Level 1]:[Level 6]]),rng_EFConcat,rng_EF2)*Buildings_GridElectricity_Backend[[#This Row],[Converted data]]/1000)</f>
        <v/>
      </c>
      <c r="AH185" s="210" t="str">
        <f>IF(Buildings_GridElectricity_Frontend[[#This Row],[Data]]="","",_xlfn.XLOOKUP(_xlfn.CONCAT(Buildings_GridElectricity_Backend[[#This Row],[Level 1]:[Level 6]]),rng_EFConcat,rng_EF3)*Buildings_GridElectricity_Backend[[#This Row],[Converted data]]/1000)</f>
        <v/>
      </c>
      <c r="AI185" s="210" t="str">
        <f>IF(Buildings_GridElectricity_Frontend[[#This Row],[Data]]="","",_xlfn.XLOOKUP(_xlfn.CONCAT(Buildings_GridElectricity_Backend[[#This Row],[Level 1]:[Level 6]]),rng_EFConcat,rng_EF3WTT)*Buildings_GridElectricity_Backend[[#This Row],[Converted data]]/1000)</f>
        <v/>
      </c>
      <c r="AJ185" s="210" t="str">
        <f>IF(Buildings_GridElectricity_Frontend[[#This Row],[Data]]="","",_xlfn.XLOOKUP(_xlfn.CONCAT(Buildings_GridElectricity_Backend[[#This Row],[Level 1]:[Level 6]]),rng_EFConcat,rng_EF3TD)*Buildings_GridElectricity_Backend[[#This Row],[Converted data]]/1000)</f>
        <v/>
      </c>
      <c r="AK185" s="210" t="str">
        <f>IF(Buildings_GridElectricity_Frontend[[#This Row],[Data]]="","",_xlfn.XLOOKUP(_xlfn.CONCAT(Buildings_GridElectricity_Backend[[#This Row],[Level 1]:[Level 6]]),rng_EFConcat,rng_EF3WTTTD)*Buildings_GridElectricity_Backend[[#This Row],[Converted data]]/1000)</f>
        <v/>
      </c>
      <c r="AL185" s="220" t="str">
        <f>IF(Buildings_GridElectricity_Frontend[[#This Row],[Data]]="","",SUM(Buildings_GridElectricity_Backend[[#This Row],[Scope 1 (tCO2e)]:[Scope 3 WTT T&amp;D (tCO2e)]]))</f>
        <v/>
      </c>
      <c r="AM185" s="220" t="str">
        <f>IF(Buildings_GridElectricity_Frontend[[#This Row],[Data]]="","",Buildings_GridElectricity_Backend[[#This Row],[Total (tCO2e)]]*(1-Buildings_GridElectricity_Backend[[#This Row],[RSD]]))</f>
        <v/>
      </c>
      <c r="AN185" s="220" t="str">
        <f>IF(Buildings_GridElectricity_Frontend[[#This Row],[Data]]="","",Buildings_GridElectricity_Backend[[#This Row],[Total (tCO2e)]]*(1+Buildings_GridElectricity_Backend[[#This Row],[RSD]]))</f>
        <v/>
      </c>
      <c r="AO185" s="210" t="str">
        <f>IF(Buildings_GridElectricity_Frontend[[#This Row],[Data]]="","",_xlfn.XLOOKUP(_xlfn.CONCAT(Buildings_GridElectricity_Backend[[#This Row],[Level 1]:[Level 6]]),rng_EFConcat,rng_EFOOS)*Buildings_GridElectricity_Backend[[#This Row],[Converted data]]/1000)</f>
        <v/>
      </c>
      <c r="AP185" s="174">
        <f>Buildings_GridElectricity_Frontend[[#This Row],[Ease of collection]]</f>
        <v>0</v>
      </c>
      <c r="AQ185" s="213">
        <f>Buildings_GridElectricity_Frontend[[#This Row],[Completeness]]</f>
        <v>0</v>
      </c>
      <c r="AR185" s="220">
        <f>Buildings_GridElectricity_Frontend[[#This Row],[Notes]]</f>
        <v>0</v>
      </c>
    </row>
    <row r="186" spans="5:44" x14ac:dyDescent="0.3">
      <c r="E186" s="346"/>
      <c r="F186" s="449"/>
      <c r="G186" s="336"/>
      <c r="H186" s="334"/>
      <c r="I186" s="172" t="s">
        <v>316</v>
      </c>
      <c r="J186" s="337"/>
      <c r="K186" s="336"/>
      <c r="L186" s="336"/>
      <c r="M186" s="337"/>
      <c r="N186" s="242">
        <f t="shared" si="7"/>
        <v>3</v>
      </c>
      <c r="Q186" s="212" t="str">
        <f t="shared" si="6"/>
        <v/>
      </c>
      <c r="R186" s="174" t="s">
        <v>265</v>
      </c>
      <c r="S186" s="174" t="s">
        <v>273</v>
      </c>
      <c r="T186" s="174" t="str">
        <f>_xlfn.XLOOKUP(Buildings_GridElectricity_Backend[[#This Row],[Info 1]],Buildings_SiteInfo[Site name],Buildings_SiteInfo[Site type], "")</f>
        <v/>
      </c>
      <c r="U186" s="174" t="s">
        <v>281</v>
      </c>
      <c r="V186" s="174" t="str" cm="1">
        <f t="array" aca="1" ref="V186" ca="1">_xlfn.XLOOKUP(Buildings_GridElectricity_Backend[[#This Row],[Level 4]],rng_Level4Long,rng_Level5Long)</f>
        <v>Electricity</v>
      </c>
      <c r="W186" s="174" t="str" cm="1">
        <f t="array" aca="1" ref="W186" ca="1">_xlfn.XLOOKUP(Buildings_GridElectricity_Backend[[#This Row],[Level 4]],rng_Level4Long,rng_Level6Long)</f>
        <v>NaN</v>
      </c>
      <c r="X186" s="174">
        <f>Buildings_GridElectricity_Frontend[[#This Row],[Site Name]]</f>
        <v>0</v>
      </c>
      <c r="Y186" s="174">
        <f>Buildings_GridElectricity_Frontend[[#This Row],[Contracting]]</f>
        <v>0</v>
      </c>
      <c r="Z186" s="174">
        <f>Buildings_GridElectricity_Frontend[[#This Row],[Methodology]]</f>
        <v>0</v>
      </c>
      <c r="AA186" s="229" t="str" cm="1">
        <f t="array" ref="AA186">IF(Buildings_GridElectricity_Frontend[[#This Row],[Data]]="","",INDEX(_xlfn.SWITCH(Buildings_GridElectricity_Backend[[#This Row],[Methodology]],"Tier 1",rng_RSD1,"Tier 2",rng_RSD2,"Tier 3",rng_RSD3),MATCH(_xlfn.CONCAT(Buildings_GridElectricity_Backend[[#This Row],[Level 1]:[Level 6]]),rng_LevelsConcat,0)))</f>
        <v/>
      </c>
      <c r="AB186" s="220">
        <f>Buildings_GridElectricity_Frontend[[#This Row],[Data]]</f>
        <v>0</v>
      </c>
      <c r="AC186" s="174" t="str">
        <f>Buildings_GridElectricity_Frontend[[#This Row],[Units]]</f>
        <v>kWh</v>
      </c>
      <c r="AD186" s="218">
        <f>Buildings_GridElectricity_Frontend[[#This Row],[Data]]</f>
        <v>0</v>
      </c>
      <c r="AE186" s="174" t="str">
        <f>Buildings_GridElectricity_Frontend[[#This Row],[Units]]</f>
        <v>kWh</v>
      </c>
      <c r="AF186" s="210" t="str">
        <f>IF(Buildings_GridElectricity_Frontend[[#This Row],[Data]]="","",_xlfn.XLOOKUP(_xlfn.CONCAT(Buildings_GridElectricity_Backend[[#This Row],[Level 1]:[Level 6]]),rng_EFConcat,rng_EF1)*Buildings_GridElectricity_Backend[[#This Row],[Converted data]]/1000)</f>
        <v/>
      </c>
      <c r="AG186" s="210" t="str">
        <f>IF(Buildings_GridElectricity_Frontend[[#This Row],[Data]]="","",_xlfn.XLOOKUP(_xlfn.CONCAT(Buildings_GridElectricity_Backend[[#This Row],[Level 1]:[Level 6]]),rng_EFConcat,rng_EF2)*Buildings_GridElectricity_Backend[[#This Row],[Converted data]]/1000)</f>
        <v/>
      </c>
      <c r="AH186" s="210" t="str">
        <f>IF(Buildings_GridElectricity_Frontend[[#This Row],[Data]]="","",_xlfn.XLOOKUP(_xlfn.CONCAT(Buildings_GridElectricity_Backend[[#This Row],[Level 1]:[Level 6]]),rng_EFConcat,rng_EF3)*Buildings_GridElectricity_Backend[[#This Row],[Converted data]]/1000)</f>
        <v/>
      </c>
      <c r="AI186" s="210" t="str">
        <f>IF(Buildings_GridElectricity_Frontend[[#This Row],[Data]]="","",_xlfn.XLOOKUP(_xlfn.CONCAT(Buildings_GridElectricity_Backend[[#This Row],[Level 1]:[Level 6]]),rng_EFConcat,rng_EF3WTT)*Buildings_GridElectricity_Backend[[#This Row],[Converted data]]/1000)</f>
        <v/>
      </c>
      <c r="AJ186" s="210" t="str">
        <f>IF(Buildings_GridElectricity_Frontend[[#This Row],[Data]]="","",_xlfn.XLOOKUP(_xlfn.CONCAT(Buildings_GridElectricity_Backend[[#This Row],[Level 1]:[Level 6]]),rng_EFConcat,rng_EF3TD)*Buildings_GridElectricity_Backend[[#This Row],[Converted data]]/1000)</f>
        <v/>
      </c>
      <c r="AK186" s="210" t="str">
        <f>IF(Buildings_GridElectricity_Frontend[[#This Row],[Data]]="","",_xlfn.XLOOKUP(_xlfn.CONCAT(Buildings_GridElectricity_Backend[[#This Row],[Level 1]:[Level 6]]),rng_EFConcat,rng_EF3WTTTD)*Buildings_GridElectricity_Backend[[#This Row],[Converted data]]/1000)</f>
        <v/>
      </c>
      <c r="AL186" s="220" t="str">
        <f>IF(Buildings_GridElectricity_Frontend[[#This Row],[Data]]="","",SUM(Buildings_GridElectricity_Backend[[#This Row],[Scope 1 (tCO2e)]:[Scope 3 WTT T&amp;D (tCO2e)]]))</f>
        <v/>
      </c>
      <c r="AM186" s="220" t="str">
        <f>IF(Buildings_GridElectricity_Frontend[[#This Row],[Data]]="","",Buildings_GridElectricity_Backend[[#This Row],[Total (tCO2e)]]*(1-Buildings_GridElectricity_Backend[[#This Row],[RSD]]))</f>
        <v/>
      </c>
      <c r="AN186" s="220" t="str">
        <f>IF(Buildings_GridElectricity_Frontend[[#This Row],[Data]]="","",Buildings_GridElectricity_Backend[[#This Row],[Total (tCO2e)]]*(1+Buildings_GridElectricity_Backend[[#This Row],[RSD]]))</f>
        <v/>
      </c>
      <c r="AO186" s="210" t="str">
        <f>IF(Buildings_GridElectricity_Frontend[[#This Row],[Data]]="","",_xlfn.XLOOKUP(_xlfn.CONCAT(Buildings_GridElectricity_Backend[[#This Row],[Level 1]:[Level 6]]),rng_EFConcat,rng_EFOOS)*Buildings_GridElectricity_Backend[[#This Row],[Converted data]]/1000)</f>
        <v/>
      </c>
      <c r="AP186" s="174">
        <f>Buildings_GridElectricity_Frontend[[#This Row],[Ease of collection]]</f>
        <v>0</v>
      </c>
      <c r="AQ186" s="213">
        <f>Buildings_GridElectricity_Frontend[[#This Row],[Completeness]]</f>
        <v>0</v>
      </c>
      <c r="AR186" s="220">
        <f>Buildings_GridElectricity_Frontend[[#This Row],[Notes]]</f>
        <v>0</v>
      </c>
    </row>
    <row r="187" spans="5:44" x14ac:dyDescent="0.3">
      <c r="E187" s="346"/>
      <c r="F187" s="449"/>
      <c r="G187" s="336"/>
      <c r="H187" s="334"/>
      <c r="I187" s="172" t="s">
        <v>316</v>
      </c>
      <c r="J187" s="337"/>
      <c r="K187" s="336"/>
      <c r="L187" s="336"/>
      <c r="M187" s="337"/>
      <c r="N187" s="242">
        <f t="shared" si="7"/>
        <v>3</v>
      </c>
      <c r="Q187" s="212" t="str">
        <f t="shared" si="6"/>
        <v/>
      </c>
      <c r="R187" s="174" t="s">
        <v>265</v>
      </c>
      <c r="S187" s="174" t="s">
        <v>273</v>
      </c>
      <c r="T187" s="174" t="str">
        <f>_xlfn.XLOOKUP(Buildings_GridElectricity_Backend[[#This Row],[Info 1]],Buildings_SiteInfo[Site name],Buildings_SiteInfo[Site type], "")</f>
        <v/>
      </c>
      <c r="U187" s="174" t="s">
        <v>281</v>
      </c>
      <c r="V187" s="174" t="str" cm="1">
        <f t="array" aca="1" ref="V187" ca="1">_xlfn.XLOOKUP(Buildings_GridElectricity_Backend[[#This Row],[Level 4]],rng_Level4Long,rng_Level5Long)</f>
        <v>Electricity</v>
      </c>
      <c r="W187" s="174" t="str" cm="1">
        <f t="array" aca="1" ref="W187" ca="1">_xlfn.XLOOKUP(Buildings_GridElectricity_Backend[[#This Row],[Level 4]],rng_Level4Long,rng_Level6Long)</f>
        <v>NaN</v>
      </c>
      <c r="X187" s="174">
        <f>Buildings_GridElectricity_Frontend[[#This Row],[Site Name]]</f>
        <v>0</v>
      </c>
      <c r="Y187" s="174">
        <f>Buildings_GridElectricity_Frontend[[#This Row],[Contracting]]</f>
        <v>0</v>
      </c>
      <c r="Z187" s="174">
        <f>Buildings_GridElectricity_Frontend[[#This Row],[Methodology]]</f>
        <v>0</v>
      </c>
      <c r="AA187" s="229" t="str" cm="1">
        <f t="array" ref="AA187">IF(Buildings_GridElectricity_Frontend[[#This Row],[Data]]="","",INDEX(_xlfn.SWITCH(Buildings_GridElectricity_Backend[[#This Row],[Methodology]],"Tier 1",rng_RSD1,"Tier 2",rng_RSD2,"Tier 3",rng_RSD3),MATCH(_xlfn.CONCAT(Buildings_GridElectricity_Backend[[#This Row],[Level 1]:[Level 6]]),rng_LevelsConcat,0)))</f>
        <v/>
      </c>
      <c r="AB187" s="220">
        <f>Buildings_GridElectricity_Frontend[[#This Row],[Data]]</f>
        <v>0</v>
      </c>
      <c r="AC187" s="174" t="str">
        <f>Buildings_GridElectricity_Frontend[[#This Row],[Units]]</f>
        <v>kWh</v>
      </c>
      <c r="AD187" s="218">
        <f>Buildings_GridElectricity_Frontend[[#This Row],[Data]]</f>
        <v>0</v>
      </c>
      <c r="AE187" s="174" t="str">
        <f>Buildings_GridElectricity_Frontend[[#This Row],[Units]]</f>
        <v>kWh</v>
      </c>
      <c r="AF187" s="210" t="str">
        <f>IF(Buildings_GridElectricity_Frontend[[#This Row],[Data]]="","",_xlfn.XLOOKUP(_xlfn.CONCAT(Buildings_GridElectricity_Backend[[#This Row],[Level 1]:[Level 6]]),rng_EFConcat,rng_EF1)*Buildings_GridElectricity_Backend[[#This Row],[Converted data]]/1000)</f>
        <v/>
      </c>
      <c r="AG187" s="210" t="str">
        <f>IF(Buildings_GridElectricity_Frontend[[#This Row],[Data]]="","",_xlfn.XLOOKUP(_xlfn.CONCAT(Buildings_GridElectricity_Backend[[#This Row],[Level 1]:[Level 6]]),rng_EFConcat,rng_EF2)*Buildings_GridElectricity_Backend[[#This Row],[Converted data]]/1000)</f>
        <v/>
      </c>
      <c r="AH187" s="210" t="str">
        <f>IF(Buildings_GridElectricity_Frontend[[#This Row],[Data]]="","",_xlfn.XLOOKUP(_xlfn.CONCAT(Buildings_GridElectricity_Backend[[#This Row],[Level 1]:[Level 6]]),rng_EFConcat,rng_EF3)*Buildings_GridElectricity_Backend[[#This Row],[Converted data]]/1000)</f>
        <v/>
      </c>
      <c r="AI187" s="210" t="str">
        <f>IF(Buildings_GridElectricity_Frontend[[#This Row],[Data]]="","",_xlfn.XLOOKUP(_xlfn.CONCAT(Buildings_GridElectricity_Backend[[#This Row],[Level 1]:[Level 6]]),rng_EFConcat,rng_EF3WTT)*Buildings_GridElectricity_Backend[[#This Row],[Converted data]]/1000)</f>
        <v/>
      </c>
      <c r="AJ187" s="210" t="str">
        <f>IF(Buildings_GridElectricity_Frontend[[#This Row],[Data]]="","",_xlfn.XLOOKUP(_xlfn.CONCAT(Buildings_GridElectricity_Backend[[#This Row],[Level 1]:[Level 6]]),rng_EFConcat,rng_EF3TD)*Buildings_GridElectricity_Backend[[#This Row],[Converted data]]/1000)</f>
        <v/>
      </c>
      <c r="AK187" s="210" t="str">
        <f>IF(Buildings_GridElectricity_Frontend[[#This Row],[Data]]="","",_xlfn.XLOOKUP(_xlfn.CONCAT(Buildings_GridElectricity_Backend[[#This Row],[Level 1]:[Level 6]]),rng_EFConcat,rng_EF3WTTTD)*Buildings_GridElectricity_Backend[[#This Row],[Converted data]]/1000)</f>
        <v/>
      </c>
      <c r="AL187" s="220" t="str">
        <f>IF(Buildings_GridElectricity_Frontend[[#This Row],[Data]]="","",SUM(Buildings_GridElectricity_Backend[[#This Row],[Scope 1 (tCO2e)]:[Scope 3 WTT T&amp;D (tCO2e)]]))</f>
        <v/>
      </c>
      <c r="AM187" s="220" t="str">
        <f>IF(Buildings_GridElectricity_Frontend[[#This Row],[Data]]="","",Buildings_GridElectricity_Backend[[#This Row],[Total (tCO2e)]]*(1-Buildings_GridElectricity_Backend[[#This Row],[RSD]]))</f>
        <v/>
      </c>
      <c r="AN187" s="220" t="str">
        <f>IF(Buildings_GridElectricity_Frontend[[#This Row],[Data]]="","",Buildings_GridElectricity_Backend[[#This Row],[Total (tCO2e)]]*(1+Buildings_GridElectricity_Backend[[#This Row],[RSD]]))</f>
        <v/>
      </c>
      <c r="AO187" s="210" t="str">
        <f>IF(Buildings_GridElectricity_Frontend[[#This Row],[Data]]="","",_xlfn.XLOOKUP(_xlfn.CONCAT(Buildings_GridElectricity_Backend[[#This Row],[Level 1]:[Level 6]]),rng_EFConcat,rng_EFOOS)*Buildings_GridElectricity_Backend[[#This Row],[Converted data]]/1000)</f>
        <v/>
      </c>
      <c r="AP187" s="174">
        <f>Buildings_GridElectricity_Frontend[[#This Row],[Ease of collection]]</f>
        <v>0</v>
      </c>
      <c r="AQ187" s="213">
        <f>Buildings_GridElectricity_Frontend[[#This Row],[Completeness]]</f>
        <v>0</v>
      </c>
      <c r="AR187" s="220">
        <f>Buildings_GridElectricity_Frontend[[#This Row],[Notes]]</f>
        <v>0</v>
      </c>
    </row>
    <row r="188" spans="5:44" x14ac:dyDescent="0.3">
      <c r="E188" s="346"/>
      <c r="F188" s="449"/>
      <c r="G188" s="336"/>
      <c r="H188" s="334"/>
      <c r="I188" s="172" t="s">
        <v>316</v>
      </c>
      <c r="J188" s="337"/>
      <c r="K188" s="336"/>
      <c r="L188" s="336"/>
      <c r="M188" s="337"/>
      <c r="N188" s="242">
        <f t="shared" si="7"/>
        <v>3</v>
      </c>
      <c r="Q188" s="212" t="str">
        <f t="shared" si="6"/>
        <v/>
      </c>
      <c r="R188" s="174" t="s">
        <v>265</v>
      </c>
      <c r="S188" s="174" t="s">
        <v>273</v>
      </c>
      <c r="T188" s="174" t="str">
        <f>_xlfn.XLOOKUP(Buildings_GridElectricity_Backend[[#This Row],[Info 1]],Buildings_SiteInfo[Site name],Buildings_SiteInfo[Site type], "")</f>
        <v/>
      </c>
      <c r="U188" s="174" t="s">
        <v>281</v>
      </c>
      <c r="V188" s="174" t="str" cm="1">
        <f t="array" aca="1" ref="V188" ca="1">_xlfn.XLOOKUP(Buildings_GridElectricity_Backend[[#This Row],[Level 4]],rng_Level4Long,rng_Level5Long)</f>
        <v>Electricity</v>
      </c>
      <c r="W188" s="174" t="str" cm="1">
        <f t="array" aca="1" ref="W188" ca="1">_xlfn.XLOOKUP(Buildings_GridElectricity_Backend[[#This Row],[Level 4]],rng_Level4Long,rng_Level6Long)</f>
        <v>NaN</v>
      </c>
      <c r="X188" s="174">
        <f>Buildings_GridElectricity_Frontend[[#This Row],[Site Name]]</f>
        <v>0</v>
      </c>
      <c r="Y188" s="174">
        <f>Buildings_GridElectricity_Frontend[[#This Row],[Contracting]]</f>
        <v>0</v>
      </c>
      <c r="Z188" s="174">
        <f>Buildings_GridElectricity_Frontend[[#This Row],[Methodology]]</f>
        <v>0</v>
      </c>
      <c r="AA188" s="229" t="str" cm="1">
        <f t="array" ref="AA188">IF(Buildings_GridElectricity_Frontend[[#This Row],[Data]]="","",INDEX(_xlfn.SWITCH(Buildings_GridElectricity_Backend[[#This Row],[Methodology]],"Tier 1",rng_RSD1,"Tier 2",rng_RSD2,"Tier 3",rng_RSD3),MATCH(_xlfn.CONCAT(Buildings_GridElectricity_Backend[[#This Row],[Level 1]:[Level 6]]),rng_LevelsConcat,0)))</f>
        <v/>
      </c>
      <c r="AB188" s="220">
        <f>Buildings_GridElectricity_Frontend[[#This Row],[Data]]</f>
        <v>0</v>
      </c>
      <c r="AC188" s="174" t="str">
        <f>Buildings_GridElectricity_Frontend[[#This Row],[Units]]</f>
        <v>kWh</v>
      </c>
      <c r="AD188" s="218">
        <f>Buildings_GridElectricity_Frontend[[#This Row],[Data]]</f>
        <v>0</v>
      </c>
      <c r="AE188" s="174" t="str">
        <f>Buildings_GridElectricity_Frontend[[#This Row],[Units]]</f>
        <v>kWh</v>
      </c>
      <c r="AF188" s="210" t="str">
        <f>IF(Buildings_GridElectricity_Frontend[[#This Row],[Data]]="","",_xlfn.XLOOKUP(_xlfn.CONCAT(Buildings_GridElectricity_Backend[[#This Row],[Level 1]:[Level 6]]),rng_EFConcat,rng_EF1)*Buildings_GridElectricity_Backend[[#This Row],[Converted data]]/1000)</f>
        <v/>
      </c>
      <c r="AG188" s="210" t="str">
        <f>IF(Buildings_GridElectricity_Frontend[[#This Row],[Data]]="","",_xlfn.XLOOKUP(_xlfn.CONCAT(Buildings_GridElectricity_Backend[[#This Row],[Level 1]:[Level 6]]),rng_EFConcat,rng_EF2)*Buildings_GridElectricity_Backend[[#This Row],[Converted data]]/1000)</f>
        <v/>
      </c>
      <c r="AH188" s="210" t="str">
        <f>IF(Buildings_GridElectricity_Frontend[[#This Row],[Data]]="","",_xlfn.XLOOKUP(_xlfn.CONCAT(Buildings_GridElectricity_Backend[[#This Row],[Level 1]:[Level 6]]),rng_EFConcat,rng_EF3)*Buildings_GridElectricity_Backend[[#This Row],[Converted data]]/1000)</f>
        <v/>
      </c>
      <c r="AI188" s="210" t="str">
        <f>IF(Buildings_GridElectricity_Frontend[[#This Row],[Data]]="","",_xlfn.XLOOKUP(_xlfn.CONCAT(Buildings_GridElectricity_Backend[[#This Row],[Level 1]:[Level 6]]),rng_EFConcat,rng_EF3WTT)*Buildings_GridElectricity_Backend[[#This Row],[Converted data]]/1000)</f>
        <v/>
      </c>
      <c r="AJ188" s="210" t="str">
        <f>IF(Buildings_GridElectricity_Frontend[[#This Row],[Data]]="","",_xlfn.XLOOKUP(_xlfn.CONCAT(Buildings_GridElectricity_Backend[[#This Row],[Level 1]:[Level 6]]),rng_EFConcat,rng_EF3TD)*Buildings_GridElectricity_Backend[[#This Row],[Converted data]]/1000)</f>
        <v/>
      </c>
      <c r="AK188" s="210" t="str">
        <f>IF(Buildings_GridElectricity_Frontend[[#This Row],[Data]]="","",_xlfn.XLOOKUP(_xlfn.CONCAT(Buildings_GridElectricity_Backend[[#This Row],[Level 1]:[Level 6]]),rng_EFConcat,rng_EF3WTTTD)*Buildings_GridElectricity_Backend[[#This Row],[Converted data]]/1000)</f>
        <v/>
      </c>
      <c r="AL188" s="220" t="str">
        <f>IF(Buildings_GridElectricity_Frontend[[#This Row],[Data]]="","",SUM(Buildings_GridElectricity_Backend[[#This Row],[Scope 1 (tCO2e)]:[Scope 3 WTT T&amp;D (tCO2e)]]))</f>
        <v/>
      </c>
      <c r="AM188" s="220" t="str">
        <f>IF(Buildings_GridElectricity_Frontend[[#This Row],[Data]]="","",Buildings_GridElectricity_Backend[[#This Row],[Total (tCO2e)]]*(1-Buildings_GridElectricity_Backend[[#This Row],[RSD]]))</f>
        <v/>
      </c>
      <c r="AN188" s="220" t="str">
        <f>IF(Buildings_GridElectricity_Frontend[[#This Row],[Data]]="","",Buildings_GridElectricity_Backend[[#This Row],[Total (tCO2e)]]*(1+Buildings_GridElectricity_Backend[[#This Row],[RSD]]))</f>
        <v/>
      </c>
      <c r="AO188" s="210" t="str">
        <f>IF(Buildings_GridElectricity_Frontend[[#This Row],[Data]]="","",_xlfn.XLOOKUP(_xlfn.CONCAT(Buildings_GridElectricity_Backend[[#This Row],[Level 1]:[Level 6]]),rng_EFConcat,rng_EFOOS)*Buildings_GridElectricity_Backend[[#This Row],[Converted data]]/1000)</f>
        <v/>
      </c>
      <c r="AP188" s="174">
        <f>Buildings_GridElectricity_Frontend[[#This Row],[Ease of collection]]</f>
        <v>0</v>
      </c>
      <c r="AQ188" s="213">
        <f>Buildings_GridElectricity_Frontend[[#This Row],[Completeness]]</f>
        <v>0</v>
      </c>
      <c r="AR188" s="220">
        <f>Buildings_GridElectricity_Frontend[[#This Row],[Notes]]</f>
        <v>0</v>
      </c>
    </row>
    <row r="189" spans="5:44" x14ac:dyDescent="0.3">
      <c r="E189" s="346"/>
      <c r="F189" s="449"/>
      <c r="G189" s="336"/>
      <c r="H189" s="334"/>
      <c r="I189" s="172" t="s">
        <v>316</v>
      </c>
      <c r="J189" s="337"/>
      <c r="K189" s="336"/>
      <c r="L189" s="336"/>
      <c r="M189" s="337"/>
      <c r="N189" s="242">
        <f t="shared" si="7"/>
        <v>3</v>
      </c>
      <c r="Q189" s="212" t="str">
        <f t="shared" si="6"/>
        <v/>
      </c>
      <c r="R189" s="174" t="s">
        <v>265</v>
      </c>
      <c r="S189" s="174" t="s">
        <v>273</v>
      </c>
      <c r="T189" s="174" t="str">
        <f>_xlfn.XLOOKUP(Buildings_GridElectricity_Backend[[#This Row],[Info 1]],Buildings_SiteInfo[Site name],Buildings_SiteInfo[Site type], "")</f>
        <v/>
      </c>
      <c r="U189" s="174" t="s">
        <v>281</v>
      </c>
      <c r="V189" s="174" t="str" cm="1">
        <f t="array" aca="1" ref="V189" ca="1">_xlfn.XLOOKUP(Buildings_GridElectricity_Backend[[#This Row],[Level 4]],rng_Level4Long,rng_Level5Long)</f>
        <v>Electricity</v>
      </c>
      <c r="W189" s="174" t="str" cm="1">
        <f t="array" aca="1" ref="W189" ca="1">_xlfn.XLOOKUP(Buildings_GridElectricity_Backend[[#This Row],[Level 4]],rng_Level4Long,rng_Level6Long)</f>
        <v>NaN</v>
      </c>
      <c r="X189" s="174">
        <f>Buildings_GridElectricity_Frontend[[#This Row],[Site Name]]</f>
        <v>0</v>
      </c>
      <c r="Y189" s="174">
        <f>Buildings_GridElectricity_Frontend[[#This Row],[Contracting]]</f>
        <v>0</v>
      </c>
      <c r="Z189" s="174">
        <f>Buildings_GridElectricity_Frontend[[#This Row],[Methodology]]</f>
        <v>0</v>
      </c>
      <c r="AA189" s="229" t="str" cm="1">
        <f t="array" ref="AA189">IF(Buildings_GridElectricity_Frontend[[#This Row],[Data]]="","",INDEX(_xlfn.SWITCH(Buildings_GridElectricity_Backend[[#This Row],[Methodology]],"Tier 1",rng_RSD1,"Tier 2",rng_RSD2,"Tier 3",rng_RSD3),MATCH(_xlfn.CONCAT(Buildings_GridElectricity_Backend[[#This Row],[Level 1]:[Level 6]]),rng_LevelsConcat,0)))</f>
        <v/>
      </c>
      <c r="AB189" s="220">
        <f>Buildings_GridElectricity_Frontend[[#This Row],[Data]]</f>
        <v>0</v>
      </c>
      <c r="AC189" s="174" t="str">
        <f>Buildings_GridElectricity_Frontend[[#This Row],[Units]]</f>
        <v>kWh</v>
      </c>
      <c r="AD189" s="218">
        <f>Buildings_GridElectricity_Frontend[[#This Row],[Data]]</f>
        <v>0</v>
      </c>
      <c r="AE189" s="174" t="str">
        <f>Buildings_GridElectricity_Frontend[[#This Row],[Units]]</f>
        <v>kWh</v>
      </c>
      <c r="AF189" s="210" t="str">
        <f>IF(Buildings_GridElectricity_Frontend[[#This Row],[Data]]="","",_xlfn.XLOOKUP(_xlfn.CONCAT(Buildings_GridElectricity_Backend[[#This Row],[Level 1]:[Level 6]]),rng_EFConcat,rng_EF1)*Buildings_GridElectricity_Backend[[#This Row],[Converted data]]/1000)</f>
        <v/>
      </c>
      <c r="AG189" s="210" t="str">
        <f>IF(Buildings_GridElectricity_Frontend[[#This Row],[Data]]="","",_xlfn.XLOOKUP(_xlfn.CONCAT(Buildings_GridElectricity_Backend[[#This Row],[Level 1]:[Level 6]]),rng_EFConcat,rng_EF2)*Buildings_GridElectricity_Backend[[#This Row],[Converted data]]/1000)</f>
        <v/>
      </c>
      <c r="AH189" s="210" t="str">
        <f>IF(Buildings_GridElectricity_Frontend[[#This Row],[Data]]="","",_xlfn.XLOOKUP(_xlfn.CONCAT(Buildings_GridElectricity_Backend[[#This Row],[Level 1]:[Level 6]]),rng_EFConcat,rng_EF3)*Buildings_GridElectricity_Backend[[#This Row],[Converted data]]/1000)</f>
        <v/>
      </c>
      <c r="AI189" s="210" t="str">
        <f>IF(Buildings_GridElectricity_Frontend[[#This Row],[Data]]="","",_xlfn.XLOOKUP(_xlfn.CONCAT(Buildings_GridElectricity_Backend[[#This Row],[Level 1]:[Level 6]]),rng_EFConcat,rng_EF3WTT)*Buildings_GridElectricity_Backend[[#This Row],[Converted data]]/1000)</f>
        <v/>
      </c>
      <c r="AJ189" s="210" t="str">
        <f>IF(Buildings_GridElectricity_Frontend[[#This Row],[Data]]="","",_xlfn.XLOOKUP(_xlfn.CONCAT(Buildings_GridElectricity_Backend[[#This Row],[Level 1]:[Level 6]]),rng_EFConcat,rng_EF3TD)*Buildings_GridElectricity_Backend[[#This Row],[Converted data]]/1000)</f>
        <v/>
      </c>
      <c r="AK189" s="210" t="str">
        <f>IF(Buildings_GridElectricity_Frontend[[#This Row],[Data]]="","",_xlfn.XLOOKUP(_xlfn.CONCAT(Buildings_GridElectricity_Backend[[#This Row],[Level 1]:[Level 6]]),rng_EFConcat,rng_EF3WTTTD)*Buildings_GridElectricity_Backend[[#This Row],[Converted data]]/1000)</f>
        <v/>
      </c>
      <c r="AL189" s="220" t="str">
        <f>IF(Buildings_GridElectricity_Frontend[[#This Row],[Data]]="","",SUM(Buildings_GridElectricity_Backend[[#This Row],[Scope 1 (tCO2e)]:[Scope 3 WTT T&amp;D (tCO2e)]]))</f>
        <v/>
      </c>
      <c r="AM189" s="220" t="str">
        <f>IF(Buildings_GridElectricity_Frontend[[#This Row],[Data]]="","",Buildings_GridElectricity_Backend[[#This Row],[Total (tCO2e)]]*(1-Buildings_GridElectricity_Backend[[#This Row],[RSD]]))</f>
        <v/>
      </c>
      <c r="AN189" s="220" t="str">
        <f>IF(Buildings_GridElectricity_Frontend[[#This Row],[Data]]="","",Buildings_GridElectricity_Backend[[#This Row],[Total (tCO2e)]]*(1+Buildings_GridElectricity_Backend[[#This Row],[RSD]]))</f>
        <v/>
      </c>
      <c r="AO189" s="210" t="str">
        <f>IF(Buildings_GridElectricity_Frontend[[#This Row],[Data]]="","",_xlfn.XLOOKUP(_xlfn.CONCAT(Buildings_GridElectricity_Backend[[#This Row],[Level 1]:[Level 6]]),rng_EFConcat,rng_EFOOS)*Buildings_GridElectricity_Backend[[#This Row],[Converted data]]/1000)</f>
        <v/>
      </c>
      <c r="AP189" s="174">
        <f>Buildings_GridElectricity_Frontend[[#This Row],[Ease of collection]]</f>
        <v>0</v>
      </c>
      <c r="AQ189" s="213">
        <f>Buildings_GridElectricity_Frontend[[#This Row],[Completeness]]</f>
        <v>0</v>
      </c>
      <c r="AR189" s="220">
        <f>Buildings_GridElectricity_Frontend[[#This Row],[Notes]]</f>
        <v>0</v>
      </c>
    </row>
    <row r="190" spans="5:44" x14ac:dyDescent="0.3">
      <c r="E190" s="346"/>
      <c r="F190" s="449"/>
      <c r="G190" s="336"/>
      <c r="H190" s="334"/>
      <c r="I190" s="172" t="s">
        <v>316</v>
      </c>
      <c r="J190" s="337"/>
      <c r="K190" s="336"/>
      <c r="L190" s="336"/>
      <c r="M190" s="337"/>
      <c r="N190" s="242">
        <f t="shared" si="7"/>
        <v>3</v>
      </c>
      <c r="Q190" s="212" t="str">
        <f t="shared" si="6"/>
        <v/>
      </c>
      <c r="R190" s="174" t="s">
        <v>265</v>
      </c>
      <c r="S190" s="174" t="s">
        <v>273</v>
      </c>
      <c r="T190" s="174" t="str">
        <f>_xlfn.XLOOKUP(Buildings_GridElectricity_Backend[[#This Row],[Info 1]],Buildings_SiteInfo[Site name],Buildings_SiteInfo[Site type], "")</f>
        <v/>
      </c>
      <c r="U190" s="174" t="s">
        <v>281</v>
      </c>
      <c r="V190" s="174" t="str" cm="1">
        <f t="array" aca="1" ref="V190" ca="1">_xlfn.XLOOKUP(Buildings_GridElectricity_Backend[[#This Row],[Level 4]],rng_Level4Long,rng_Level5Long)</f>
        <v>Electricity</v>
      </c>
      <c r="W190" s="174" t="str" cm="1">
        <f t="array" aca="1" ref="W190" ca="1">_xlfn.XLOOKUP(Buildings_GridElectricity_Backend[[#This Row],[Level 4]],rng_Level4Long,rng_Level6Long)</f>
        <v>NaN</v>
      </c>
      <c r="X190" s="174">
        <f>Buildings_GridElectricity_Frontend[[#This Row],[Site Name]]</f>
        <v>0</v>
      </c>
      <c r="Y190" s="174">
        <f>Buildings_GridElectricity_Frontend[[#This Row],[Contracting]]</f>
        <v>0</v>
      </c>
      <c r="Z190" s="174">
        <f>Buildings_GridElectricity_Frontend[[#This Row],[Methodology]]</f>
        <v>0</v>
      </c>
      <c r="AA190" s="229" t="str" cm="1">
        <f t="array" ref="AA190">IF(Buildings_GridElectricity_Frontend[[#This Row],[Data]]="","",INDEX(_xlfn.SWITCH(Buildings_GridElectricity_Backend[[#This Row],[Methodology]],"Tier 1",rng_RSD1,"Tier 2",rng_RSD2,"Tier 3",rng_RSD3),MATCH(_xlfn.CONCAT(Buildings_GridElectricity_Backend[[#This Row],[Level 1]:[Level 6]]),rng_LevelsConcat,0)))</f>
        <v/>
      </c>
      <c r="AB190" s="220">
        <f>Buildings_GridElectricity_Frontend[[#This Row],[Data]]</f>
        <v>0</v>
      </c>
      <c r="AC190" s="174" t="str">
        <f>Buildings_GridElectricity_Frontend[[#This Row],[Units]]</f>
        <v>kWh</v>
      </c>
      <c r="AD190" s="218">
        <f>Buildings_GridElectricity_Frontend[[#This Row],[Data]]</f>
        <v>0</v>
      </c>
      <c r="AE190" s="174" t="str">
        <f>Buildings_GridElectricity_Frontend[[#This Row],[Units]]</f>
        <v>kWh</v>
      </c>
      <c r="AF190" s="210" t="str">
        <f>IF(Buildings_GridElectricity_Frontend[[#This Row],[Data]]="","",_xlfn.XLOOKUP(_xlfn.CONCAT(Buildings_GridElectricity_Backend[[#This Row],[Level 1]:[Level 6]]),rng_EFConcat,rng_EF1)*Buildings_GridElectricity_Backend[[#This Row],[Converted data]]/1000)</f>
        <v/>
      </c>
      <c r="AG190" s="210" t="str">
        <f>IF(Buildings_GridElectricity_Frontend[[#This Row],[Data]]="","",_xlfn.XLOOKUP(_xlfn.CONCAT(Buildings_GridElectricity_Backend[[#This Row],[Level 1]:[Level 6]]),rng_EFConcat,rng_EF2)*Buildings_GridElectricity_Backend[[#This Row],[Converted data]]/1000)</f>
        <v/>
      </c>
      <c r="AH190" s="210" t="str">
        <f>IF(Buildings_GridElectricity_Frontend[[#This Row],[Data]]="","",_xlfn.XLOOKUP(_xlfn.CONCAT(Buildings_GridElectricity_Backend[[#This Row],[Level 1]:[Level 6]]),rng_EFConcat,rng_EF3)*Buildings_GridElectricity_Backend[[#This Row],[Converted data]]/1000)</f>
        <v/>
      </c>
      <c r="AI190" s="210" t="str">
        <f>IF(Buildings_GridElectricity_Frontend[[#This Row],[Data]]="","",_xlfn.XLOOKUP(_xlfn.CONCAT(Buildings_GridElectricity_Backend[[#This Row],[Level 1]:[Level 6]]),rng_EFConcat,rng_EF3WTT)*Buildings_GridElectricity_Backend[[#This Row],[Converted data]]/1000)</f>
        <v/>
      </c>
      <c r="AJ190" s="210" t="str">
        <f>IF(Buildings_GridElectricity_Frontend[[#This Row],[Data]]="","",_xlfn.XLOOKUP(_xlfn.CONCAT(Buildings_GridElectricity_Backend[[#This Row],[Level 1]:[Level 6]]),rng_EFConcat,rng_EF3TD)*Buildings_GridElectricity_Backend[[#This Row],[Converted data]]/1000)</f>
        <v/>
      </c>
      <c r="AK190" s="210" t="str">
        <f>IF(Buildings_GridElectricity_Frontend[[#This Row],[Data]]="","",_xlfn.XLOOKUP(_xlfn.CONCAT(Buildings_GridElectricity_Backend[[#This Row],[Level 1]:[Level 6]]),rng_EFConcat,rng_EF3WTTTD)*Buildings_GridElectricity_Backend[[#This Row],[Converted data]]/1000)</f>
        <v/>
      </c>
      <c r="AL190" s="220" t="str">
        <f>IF(Buildings_GridElectricity_Frontend[[#This Row],[Data]]="","",SUM(Buildings_GridElectricity_Backend[[#This Row],[Scope 1 (tCO2e)]:[Scope 3 WTT T&amp;D (tCO2e)]]))</f>
        <v/>
      </c>
      <c r="AM190" s="220" t="str">
        <f>IF(Buildings_GridElectricity_Frontend[[#This Row],[Data]]="","",Buildings_GridElectricity_Backend[[#This Row],[Total (tCO2e)]]*(1-Buildings_GridElectricity_Backend[[#This Row],[RSD]]))</f>
        <v/>
      </c>
      <c r="AN190" s="220" t="str">
        <f>IF(Buildings_GridElectricity_Frontend[[#This Row],[Data]]="","",Buildings_GridElectricity_Backend[[#This Row],[Total (tCO2e)]]*(1+Buildings_GridElectricity_Backend[[#This Row],[RSD]]))</f>
        <v/>
      </c>
      <c r="AO190" s="210" t="str">
        <f>IF(Buildings_GridElectricity_Frontend[[#This Row],[Data]]="","",_xlfn.XLOOKUP(_xlfn.CONCAT(Buildings_GridElectricity_Backend[[#This Row],[Level 1]:[Level 6]]),rng_EFConcat,rng_EFOOS)*Buildings_GridElectricity_Backend[[#This Row],[Converted data]]/1000)</f>
        <v/>
      </c>
      <c r="AP190" s="174">
        <f>Buildings_GridElectricity_Frontend[[#This Row],[Ease of collection]]</f>
        <v>0</v>
      </c>
      <c r="AQ190" s="213">
        <f>Buildings_GridElectricity_Frontend[[#This Row],[Completeness]]</f>
        <v>0</v>
      </c>
      <c r="AR190" s="220">
        <f>Buildings_GridElectricity_Frontend[[#This Row],[Notes]]</f>
        <v>0</v>
      </c>
    </row>
    <row r="191" spans="5:44" x14ac:dyDescent="0.3">
      <c r="E191" s="346"/>
      <c r="F191" s="449"/>
      <c r="G191" s="336"/>
      <c r="H191" s="334"/>
      <c r="I191" s="172" t="s">
        <v>316</v>
      </c>
      <c r="J191" s="337"/>
      <c r="K191" s="336"/>
      <c r="L191" s="336"/>
      <c r="M191" s="337"/>
      <c r="N191" s="242">
        <f t="shared" si="7"/>
        <v>3</v>
      </c>
      <c r="Q191" s="212" t="str">
        <f t="shared" si="6"/>
        <v/>
      </c>
      <c r="R191" s="174" t="s">
        <v>265</v>
      </c>
      <c r="S191" s="174" t="s">
        <v>273</v>
      </c>
      <c r="T191" s="174" t="str">
        <f>_xlfn.XLOOKUP(Buildings_GridElectricity_Backend[[#This Row],[Info 1]],Buildings_SiteInfo[Site name],Buildings_SiteInfo[Site type], "")</f>
        <v/>
      </c>
      <c r="U191" s="174" t="s">
        <v>281</v>
      </c>
      <c r="V191" s="174" t="str" cm="1">
        <f t="array" aca="1" ref="V191" ca="1">_xlfn.XLOOKUP(Buildings_GridElectricity_Backend[[#This Row],[Level 4]],rng_Level4Long,rng_Level5Long)</f>
        <v>Electricity</v>
      </c>
      <c r="W191" s="174" t="str" cm="1">
        <f t="array" aca="1" ref="W191" ca="1">_xlfn.XLOOKUP(Buildings_GridElectricity_Backend[[#This Row],[Level 4]],rng_Level4Long,rng_Level6Long)</f>
        <v>NaN</v>
      </c>
      <c r="X191" s="174">
        <f>Buildings_GridElectricity_Frontend[[#This Row],[Site Name]]</f>
        <v>0</v>
      </c>
      <c r="Y191" s="174">
        <f>Buildings_GridElectricity_Frontend[[#This Row],[Contracting]]</f>
        <v>0</v>
      </c>
      <c r="Z191" s="174">
        <f>Buildings_GridElectricity_Frontend[[#This Row],[Methodology]]</f>
        <v>0</v>
      </c>
      <c r="AA191" s="229" t="str" cm="1">
        <f t="array" ref="AA191">IF(Buildings_GridElectricity_Frontend[[#This Row],[Data]]="","",INDEX(_xlfn.SWITCH(Buildings_GridElectricity_Backend[[#This Row],[Methodology]],"Tier 1",rng_RSD1,"Tier 2",rng_RSD2,"Tier 3",rng_RSD3),MATCH(_xlfn.CONCAT(Buildings_GridElectricity_Backend[[#This Row],[Level 1]:[Level 6]]),rng_LevelsConcat,0)))</f>
        <v/>
      </c>
      <c r="AB191" s="220">
        <f>Buildings_GridElectricity_Frontend[[#This Row],[Data]]</f>
        <v>0</v>
      </c>
      <c r="AC191" s="174" t="str">
        <f>Buildings_GridElectricity_Frontend[[#This Row],[Units]]</f>
        <v>kWh</v>
      </c>
      <c r="AD191" s="218">
        <f>Buildings_GridElectricity_Frontend[[#This Row],[Data]]</f>
        <v>0</v>
      </c>
      <c r="AE191" s="174" t="str">
        <f>Buildings_GridElectricity_Frontend[[#This Row],[Units]]</f>
        <v>kWh</v>
      </c>
      <c r="AF191" s="210" t="str">
        <f>IF(Buildings_GridElectricity_Frontend[[#This Row],[Data]]="","",_xlfn.XLOOKUP(_xlfn.CONCAT(Buildings_GridElectricity_Backend[[#This Row],[Level 1]:[Level 6]]),rng_EFConcat,rng_EF1)*Buildings_GridElectricity_Backend[[#This Row],[Converted data]]/1000)</f>
        <v/>
      </c>
      <c r="AG191" s="210" t="str">
        <f>IF(Buildings_GridElectricity_Frontend[[#This Row],[Data]]="","",_xlfn.XLOOKUP(_xlfn.CONCAT(Buildings_GridElectricity_Backend[[#This Row],[Level 1]:[Level 6]]),rng_EFConcat,rng_EF2)*Buildings_GridElectricity_Backend[[#This Row],[Converted data]]/1000)</f>
        <v/>
      </c>
      <c r="AH191" s="210" t="str">
        <f>IF(Buildings_GridElectricity_Frontend[[#This Row],[Data]]="","",_xlfn.XLOOKUP(_xlfn.CONCAT(Buildings_GridElectricity_Backend[[#This Row],[Level 1]:[Level 6]]),rng_EFConcat,rng_EF3)*Buildings_GridElectricity_Backend[[#This Row],[Converted data]]/1000)</f>
        <v/>
      </c>
      <c r="AI191" s="210" t="str">
        <f>IF(Buildings_GridElectricity_Frontend[[#This Row],[Data]]="","",_xlfn.XLOOKUP(_xlfn.CONCAT(Buildings_GridElectricity_Backend[[#This Row],[Level 1]:[Level 6]]),rng_EFConcat,rng_EF3WTT)*Buildings_GridElectricity_Backend[[#This Row],[Converted data]]/1000)</f>
        <v/>
      </c>
      <c r="AJ191" s="210" t="str">
        <f>IF(Buildings_GridElectricity_Frontend[[#This Row],[Data]]="","",_xlfn.XLOOKUP(_xlfn.CONCAT(Buildings_GridElectricity_Backend[[#This Row],[Level 1]:[Level 6]]),rng_EFConcat,rng_EF3TD)*Buildings_GridElectricity_Backend[[#This Row],[Converted data]]/1000)</f>
        <v/>
      </c>
      <c r="AK191" s="210" t="str">
        <f>IF(Buildings_GridElectricity_Frontend[[#This Row],[Data]]="","",_xlfn.XLOOKUP(_xlfn.CONCAT(Buildings_GridElectricity_Backend[[#This Row],[Level 1]:[Level 6]]),rng_EFConcat,rng_EF3WTTTD)*Buildings_GridElectricity_Backend[[#This Row],[Converted data]]/1000)</f>
        <v/>
      </c>
      <c r="AL191" s="220" t="str">
        <f>IF(Buildings_GridElectricity_Frontend[[#This Row],[Data]]="","",SUM(Buildings_GridElectricity_Backend[[#This Row],[Scope 1 (tCO2e)]:[Scope 3 WTT T&amp;D (tCO2e)]]))</f>
        <v/>
      </c>
      <c r="AM191" s="220" t="str">
        <f>IF(Buildings_GridElectricity_Frontend[[#This Row],[Data]]="","",Buildings_GridElectricity_Backend[[#This Row],[Total (tCO2e)]]*(1-Buildings_GridElectricity_Backend[[#This Row],[RSD]]))</f>
        <v/>
      </c>
      <c r="AN191" s="220" t="str">
        <f>IF(Buildings_GridElectricity_Frontend[[#This Row],[Data]]="","",Buildings_GridElectricity_Backend[[#This Row],[Total (tCO2e)]]*(1+Buildings_GridElectricity_Backend[[#This Row],[RSD]]))</f>
        <v/>
      </c>
      <c r="AO191" s="210" t="str">
        <f>IF(Buildings_GridElectricity_Frontend[[#This Row],[Data]]="","",_xlfn.XLOOKUP(_xlfn.CONCAT(Buildings_GridElectricity_Backend[[#This Row],[Level 1]:[Level 6]]),rng_EFConcat,rng_EFOOS)*Buildings_GridElectricity_Backend[[#This Row],[Converted data]]/1000)</f>
        <v/>
      </c>
      <c r="AP191" s="174">
        <f>Buildings_GridElectricity_Frontend[[#This Row],[Ease of collection]]</f>
        <v>0</v>
      </c>
      <c r="AQ191" s="213">
        <f>Buildings_GridElectricity_Frontend[[#This Row],[Completeness]]</f>
        <v>0</v>
      </c>
      <c r="AR191" s="220">
        <f>Buildings_GridElectricity_Frontend[[#This Row],[Notes]]</f>
        <v>0</v>
      </c>
    </row>
    <row r="192" spans="5:44" x14ac:dyDescent="0.3">
      <c r="E192" s="346"/>
      <c r="F192" s="449"/>
      <c r="G192" s="336"/>
      <c r="H192" s="334"/>
      <c r="I192" s="172" t="s">
        <v>316</v>
      </c>
      <c r="J192" s="337"/>
      <c r="K192" s="336"/>
      <c r="L192" s="336"/>
      <c r="M192" s="337"/>
      <c r="N192" s="242">
        <f t="shared" si="7"/>
        <v>3</v>
      </c>
      <c r="Q192" s="212" t="str">
        <f t="shared" si="6"/>
        <v/>
      </c>
      <c r="R192" s="174" t="s">
        <v>265</v>
      </c>
      <c r="S192" s="174" t="s">
        <v>273</v>
      </c>
      <c r="T192" s="174" t="str">
        <f>_xlfn.XLOOKUP(Buildings_GridElectricity_Backend[[#This Row],[Info 1]],Buildings_SiteInfo[Site name],Buildings_SiteInfo[Site type], "")</f>
        <v/>
      </c>
      <c r="U192" s="174" t="s">
        <v>281</v>
      </c>
      <c r="V192" s="174" t="str" cm="1">
        <f t="array" aca="1" ref="V192" ca="1">_xlfn.XLOOKUP(Buildings_GridElectricity_Backend[[#This Row],[Level 4]],rng_Level4Long,rng_Level5Long)</f>
        <v>Electricity</v>
      </c>
      <c r="W192" s="174" t="str" cm="1">
        <f t="array" aca="1" ref="W192" ca="1">_xlfn.XLOOKUP(Buildings_GridElectricity_Backend[[#This Row],[Level 4]],rng_Level4Long,rng_Level6Long)</f>
        <v>NaN</v>
      </c>
      <c r="X192" s="174">
        <f>Buildings_GridElectricity_Frontend[[#This Row],[Site Name]]</f>
        <v>0</v>
      </c>
      <c r="Y192" s="174">
        <f>Buildings_GridElectricity_Frontend[[#This Row],[Contracting]]</f>
        <v>0</v>
      </c>
      <c r="Z192" s="174">
        <f>Buildings_GridElectricity_Frontend[[#This Row],[Methodology]]</f>
        <v>0</v>
      </c>
      <c r="AA192" s="229" t="str" cm="1">
        <f t="array" ref="AA192">IF(Buildings_GridElectricity_Frontend[[#This Row],[Data]]="","",INDEX(_xlfn.SWITCH(Buildings_GridElectricity_Backend[[#This Row],[Methodology]],"Tier 1",rng_RSD1,"Tier 2",rng_RSD2,"Tier 3",rng_RSD3),MATCH(_xlfn.CONCAT(Buildings_GridElectricity_Backend[[#This Row],[Level 1]:[Level 6]]),rng_LevelsConcat,0)))</f>
        <v/>
      </c>
      <c r="AB192" s="220">
        <f>Buildings_GridElectricity_Frontend[[#This Row],[Data]]</f>
        <v>0</v>
      </c>
      <c r="AC192" s="174" t="str">
        <f>Buildings_GridElectricity_Frontend[[#This Row],[Units]]</f>
        <v>kWh</v>
      </c>
      <c r="AD192" s="218">
        <f>Buildings_GridElectricity_Frontend[[#This Row],[Data]]</f>
        <v>0</v>
      </c>
      <c r="AE192" s="174" t="str">
        <f>Buildings_GridElectricity_Frontend[[#This Row],[Units]]</f>
        <v>kWh</v>
      </c>
      <c r="AF192" s="210" t="str">
        <f>IF(Buildings_GridElectricity_Frontend[[#This Row],[Data]]="","",_xlfn.XLOOKUP(_xlfn.CONCAT(Buildings_GridElectricity_Backend[[#This Row],[Level 1]:[Level 6]]),rng_EFConcat,rng_EF1)*Buildings_GridElectricity_Backend[[#This Row],[Converted data]]/1000)</f>
        <v/>
      </c>
      <c r="AG192" s="210" t="str">
        <f>IF(Buildings_GridElectricity_Frontend[[#This Row],[Data]]="","",_xlfn.XLOOKUP(_xlfn.CONCAT(Buildings_GridElectricity_Backend[[#This Row],[Level 1]:[Level 6]]),rng_EFConcat,rng_EF2)*Buildings_GridElectricity_Backend[[#This Row],[Converted data]]/1000)</f>
        <v/>
      </c>
      <c r="AH192" s="210" t="str">
        <f>IF(Buildings_GridElectricity_Frontend[[#This Row],[Data]]="","",_xlfn.XLOOKUP(_xlfn.CONCAT(Buildings_GridElectricity_Backend[[#This Row],[Level 1]:[Level 6]]),rng_EFConcat,rng_EF3)*Buildings_GridElectricity_Backend[[#This Row],[Converted data]]/1000)</f>
        <v/>
      </c>
      <c r="AI192" s="210" t="str">
        <f>IF(Buildings_GridElectricity_Frontend[[#This Row],[Data]]="","",_xlfn.XLOOKUP(_xlfn.CONCAT(Buildings_GridElectricity_Backend[[#This Row],[Level 1]:[Level 6]]),rng_EFConcat,rng_EF3WTT)*Buildings_GridElectricity_Backend[[#This Row],[Converted data]]/1000)</f>
        <v/>
      </c>
      <c r="AJ192" s="210" t="str">
        <f>IF(Buildings_GridElectricity_Frontend[[#This Row],[Data]]="","",_xlfn.XLOOKUP(_xlfn.CONCAT(Buildings_GridElectricity_Backend[[#This Row],[Level 1]:[Level 6]]),rng_EFConcat,rng_EF3TD)*Buildings_GridElectricity_Backend[[#This Row],[Converted data]]/1000)</f>
        <v/>
      </c>
      <c r="AK192" s="210" t="str">
        <f>IF(Buildings_GridElectricity_Frontend[[#This Row],[Data]]="","",_xlfn.XLOOKUP(_xlfn.CONCAT(Buildings_GridElectricity_Backend[[#This Row],[Level 1]:[Level 6]]),rng_EFConcat,rng_EF3WTTTD)*Buildings_GridElectricity_Backend[[#This Row],[Converted data]]/1000)</f>
        <v/>
      </c>
      <c r="AL192" s="220" t="str">
        <f>IF(Buildings_GridElectricity_Frontend[[#This Row],[Data]]="","",SUM(Buildings_GridElectricity_Backend[[#This Row],[Scope 1 (tCO2e)]:[Scope 3 WTT T&amp;D (tCO2e)]]))</f>
        <v/>
      </c>
      <c r="AM192" s="220" t="str">
        <f>IF(Buildings_GridElectricity_Frontend[[#This Row],[Data]]="","",Buildings_GridElectricity_Backend[[#This Row],[Total (tCO2e)]]*(1-Buildings_GridElectricity_Backend[[#This Row],[RSD]]))</f>
        <v/>
      </c>
      <c r="AN192" s="220" t="str">
        <f>IF(Buildings_GridElectricity_Frontend[[#This Row],[Data]]="","",Buildings_GridElectricity_Backend[[#This Row],[Total (tCO2e)]]*(1+Buildings_GridElectricity_Backend[[#This Row],[RSD]]))</f>
        <v/>
      </c>
      <c r="AO192" s="210" t="str">
        <f>IF(Buildings_GridElectricity_Frontend[[#This Row],[Data]]="","",_xlfn.XLOOKUP(_xlfn.CONCAT(Buildings_GridElectricity_Backend[[#This Row],[Level 1]:[Level 6]]),rng_EFConcat,rng_EFOOS)*Buildings_GridElectricity_Backend[[#This Row],[Converted data]]/1000)</f>
        <v/>
      </c>
      <c r="AP192" s="174">
        <f>Buildings_GridElectricity_Frontend[[#This Row],[Ease of collection]]</f>
        <v>0</v>
      </c>
      <c r="AQ192" s="213">
        <f>Buildings_GridElectricity_Frontend[[#This Row],[Completeness]]</f>
        <v>0</v>
      </c>
      <c r="AR192" s="220">
        <f>Buildings_GridElectricity_Frontend[[#This Row],[Notes]]</f>
        <v>0</v>
      </c>
    </row>
    <row r="193" spans="5:44" x14ac:dyDescent="0.3">
      <c r="E193" s="346"/>
      <c r="F193" s="449"/>
      <c r="G193" s="336"/>
      <c r="H193" s="334"/>
      <c r="I193" s="172" t="s">
        <v>316</v>
      </c>
      <c r="J193" s="337"/>
      <c r="K193" s="336"/>
      <c r="L193" s="336"/>
      <c r="M193" s="337"/>
      <c r="N193" s="242">
        <f t="shared" si="7"/>
        <v>3</v>
      </c>
      <c r="Q193" s="212" t="str">
        <f t="shared" si="6"/>
        <v/>
      </c>
      <c r="R193" s="174" t="s">
        <v>265</v>
      </c>
      <c r="S193" s="174" t="s">
        <v>273</v>
      </c>
      <c r="T193" s="174" t="str">
        <f>_xlfn.XLOOKUP(Buildings_GridElectricity_Backend[[#This Row],[Info 1]],Buildings_SiteInfo[Site name],Buildings_SiteInfo[Site type], "")</f>
        <v/>
      </c>
      <c r="U193" s="174" t="s">
        <v>281</v>
      </c>
      <c r="V193" s="174" t="str" cm="1">
        <f t="array" aca="1" ref="V193" ca="1">_xlfn.XLOOKUP(Buildings_GridElectricity_Backend[[#This Row],[Level 4]],rng_Level4Long,rng_Level5Long)</f>
        <v>Electricity</v>
      </c>
      <c r="W193" s="174" t="str" cm="1">
        <f t="array" aca="1" ref="W193" ca="1">_xlfn.XLOOKUP(Buildings_GridElectricity_Backend[[#This Row],[Level 4]],rng_Level4Long,rng_Level6Long)</f>
        <v>NaN</v>
      </c>
      <c r="X193" s="174">
        <f>Buildings_GridElectricity_Frontend[[#This Row],[Site Name]]</f>
        <v>0</v>
      </c>
      <c r="Y193" s="174">
        <f>Buildings_GridElectricity_Frontend[[#This Row],[Contracting]]</f>
        <v>0</v>
      </c>
      <c r="Z193" s="174">
        <f>Buildings_GridElectricity_Frontend[[#This Row],[Methodology]]</f>
        <v>0</v>
      </c>
      <c r="AA193" s="229" t="str" cm="1">
        <f t="array" ref="AA193">IF(Buildings_GridElectricity_Frontend[[#This Row],[Data]]="","",INDEX(_xlfn.SWITCH(Buildings_GridElectricity_Backend[[#This Row],[Methodology]],"Tier 1",rng_RSD1,"Tier 2",rng_RSD2,"Tier 3",rng_RSD3),MATCH(_xlfn.CONCAT(Buildings_GridElectricity_Backend[[#This Row],[Level 1]:[Level 6]]),rng_LevelsConcat,0)))</f>
        <v/>
      </c>
      <c r="AB193" s="220">
        <f>Buildings_GridElectricity_Frontend[[#This Row],[Data]]</f>
        <v>0</v>
      </c>
      <c r="AC193" s="174" t="str">
        <f>Buildings_GridElectricity_Frontend[[#This Row],[Units]]</f>
        <v>kWh</v>
      </c>
      <c r="AD193" s="218">
        <f>Buildings_GridElectricity_Frontend[[#This Row],[Data]]</f>
        <v>0</v>
      </c>
      <c r="AE193" s="174" t="str">
        <f>Buildings_GridElectricity_Frontend[[#This Row],[Units]]</f>
        <v>kWh</v>
      </c>
      <c r="AF193" s="210" t="str">
        <f>IF(Buildings_GridElectricity_Frontend[[#This Row],[Data]]="","",_xlfn.XLOOKUP(_xlfn.CONCAT(Buildings_GridElectricity_Backend[[#This Row],[Level 1]:[Level 6]]),rng_EFConcat,rng_EF1)*Buildings_GridElectricity_Backend[[#This Row],[Converted data]]/1000)</f>
        <v/>
      </c>
      <c r="AG193" s="210" t="str">
        <f>IF(Buildings_GridElectricity_Frontend[[#This Row],[Data]]="","",_xlfn.XLOOKUP(_xlfn.CONCAT(Buildings_GridElectricity_Backend[[#This Row],[Level 1]:[Level 6]]),rng_EFConcat,rng_EF2)*Buildings_GridElectricity_Backend[[#This Row],[Converted data]]/1000)</f>
        <v/>
      </c>
      <c r="AH193" s="210" t="str">
        <f>IF(Buildings_GridElectricity_Frontend[[#This Row],[Data]]="","",_xlfn.XLOOKUP(_xlfn.CONCAT(Buildings_GridElectricity_Backend[[#This Row],[Level 1]:[Level 6]]),rng_EFConcat,rng_EF3)*Buildings_GridElectricity_Backend[[#This Row],[Converted data]]/1000)</f>
        <v/>
      </c>
      <c r="AI193" s="210" t="str">
        <f>IF(Buildings_GridElectricity_Frontend[[#This Row],[Data]]="","",_xlfn.XLOOKUP(_xlfn.CONCAT(Buildings_GridElectricity_Backend[[#This Row],[Level 1]:[Level 6]]),rng_EFConcat,rng_EF3WTT)*Buildings_GridElectricity_Backend[[#This Row],[Converted data]]/1000)</f>
        <v/>
      </c>
      <c r="AJ193" s="210" t="str">
        <f>IF(Buildings_GridElectricity_Frontend[[#This Row],[Data]]="","",_xlfn.XLOOKUP(_xlfn.CONCAT(Buildings_GridElectricity_Backend[[#This Row],[Level 1]:[Level 6]]),rng_EFConcat,rng_EF3TD)*Buildings_GridElectricity_Backend[[#This Row],[Converted data]]/1000)</f>
        <v/>
      </c>
      <c r="AK193" s="210" t="str">
        <f>IF(Buildings_GridElectricity_Frontend[[#This Row],[Data]]="","",_xlfn.XLOOKUP(_xlfn.CONCAT(Buildings_GridElectricity_Backend[[#This Row],[Level 1]:[Level 6]]),rng_EFConcat,rng_EF3WTTTD)*Buildings_GridElectricity_Backend[[#This Row],[Converted data]]/1000)</f>
        <v/>
      </c>
      <c r="AL193" s="220" t="str">
        <f>IF(Buildings_GridElectricity_Frontend[[#This Row],[Data]]="","",SUM(Buildings_GridElectricity_Backend[[#This Row],[Scope 1 (tCO2e)]:[Scope 3 WTT T&amp;D (tCO2e)]]))</f>
        <v/>
      </c>
      <c r="AM193" s="220" t="str">
        <f>IF(Buildings_GridElectricity_Frontend[[#This Row],[Data]]="","",Buildings_GridElectricity_Backend[[#This Row],[Total (tCO2e)]]*(1-Buildings_GridElectricity_Backend[[#This Row],[RSD]]))</f>
        <v/>
      </c>
      <c r="AN193" s="220" t="str">
        <f>IF(Buildings_GridElectricity_Frontend[[#This Row],[Data]]="","",Buildings_GridElectricity_Backend[[#This Row],[Total (tCO2e)]]*(1+Buildings_GridElectricity_Backend[[#This Row],[RSD]]))</f>
        <v/>
      </c>
      <c r="AO193" s="210" t="str">
        <f>IF(Buildings_GridElectricity_Frontend[[#This Row],[Data]]="","",_xlfn.XLOOKUP(_xlfn.CONCAT(Buildings_GridElectricity_Backend[[#This Row],[Level 1]:[Level 6]]),rng_EFConcat,rng_EFOOS)*Buildings_GridElectricity_Backend[[#This Row],[Converted data]]/1000)</f>
        <v/>
      </c>
      <c r="AP193" s="174">
        <f>Buildings_GridElectricity_Frontend[[#This Row],[Ease of collection]]</f>
        <v>0</v>
      </c>
      <c r="AQ193" s="213">
        <f>Buildings_GridElectricity_Frontend[[#This Row],[Completeness]]</f>
        <v>0</v>
      </c>
      <c r="AR193" s="220">
        <f>Buildings_GridElectricity_Frontend[[#This Row],[Notes]]</f>
        <v>0</v>
      </c>
    </row>
    <row r="194" spans="5:44" x14ac:dyDescent="0.3">
      <c r="E194" s="346"/>
      <c r="F194" s="449"/>
      <c r="G194" s="336"/>
      <c r="H194" s="334"/>
      <c r="I194" s="172" t="s">
        <v>316</v>
      </c>
      <c r="J194" s="337"/>
      <c r="K194" s="336"/>
      <c r="L194" s="336"/>
      <c r="M194" s="337"/>
      <c r="N194" s="242">
        <f t="shared" si="7"/>
        <v>3</v>
      </c>
      <c r="Q194" s="212" t="str">
        <f t="shared" si="6"/>
        <v/>
      </c>
      <c r="R194" s="174" t="s">
        <v>265</v>
      </c>
      <c r="S194" s="174" t="s">
        <v>273</v>
      </c>
      <c r="T194" s="174" t="str">
        <f>_xlfn.XLOOKUP(Buildings_GridElectricity_Backend[[#This Row],[Info 1]],Buildings_SiteInfo[Site name],Buildings_SiteInfo[Site type], "")</f>
        <v/>
      </c>
      <c r="U194" s="174" t="s">
        <v>281</v>
      </c>
      <c r="V194" s="174" t="str" cm="1">
        <f t="array" aca="1" ref="V194" ca="1">_xlfn.XLOOKUP(Buildings_GridElectricity_Backend[[#This Row],[Level 4]],rng_Level4Long,rng_Level5Long)</f>
        <v>Electricity</v>
      </c>
      <c r="W194" s="174" t="str" cm="1">
        <f t="array" aca="1" ref="W194" ca="1">_xlfn.XLOOKUP(Buildings_GridElectricity_Backend[[#This Row],[Level 4]],rng_Level4Long,rng_Level6Long)</f>
        <v>NaN</v>
      </c>
      <c r="X194" s="174">
        <f>Buildings_GridElectricity_Frontend[[#This Row],[Site Name]]</f>
        <v>0</v>
      </c>
      <c r="Y194" s="174">
        <f>Buildings_GridElectricity_Frontend[[#This Row],[Contracting]]</f>
        <v>0</v>
      </c>
      <c r="Z194" s="174">
        <f>Buildings_GridElectricity_Frontend[[#This Row],[Methodology]]</f>
        <v>0</v>
      </c>
      <c r="AA194" s="229" t="str" cm="1">
        <f t="array" ref="AA194">IF(Buildings_GridElectricity_Frontend[[#This Row],[Data]]="","",INDEX(_xlfn.SWITCH(Buildings_GridElectricity_Backend[[#This Row],[Methodology]],"Tier 1",rng_RSD1,"Tier 2",rng_RSD2,"Tier 3",rng_RSD3),MATCH(_xlfn.CONCAT(Buildings_GridElectricity_Backend[[#This Row],[Level 1]:[Level 6]]),rng_LevelsConcat,0)))</f>
        <v/>
      </c>
      <c r="AB194" s="220">
        <f>Buildings_GridElectricity_Frontend[[#This Row],[Data]]</f>
        <v>0</v>
      </c>
      <c r="AC194" s="174" t="str">
        <f>Buildings_GridElectricity_Frontend[[#This Row],[Units]]</f>
        <v>kWh</v>
      </c>
      <c r="AD194" s="218">
        <f>Buildings_GridElectricity_Frontend[[#This Row],[Data]]</f>
        <v>0</v>
      </c>
      <c r="AE194" s="174" t="str">
        <f>Buildings_GridElectricity_Frontend[[#This Row],[Units]]</f>
        <v>kWh</v>
      </c>
      <c r="AF194" s="210" t="str">
        <f>IF(Buildings_GridElectricity_Frontend[[#This Row],[Data]]="","",_xlfn.XLOOKUP(_xlfn.CONCAT(Buildings_GridElectricity_Backend[[#This Row],[Level 1]:[Level 6]]),rng_EFConcat,rng_EF1)*Buildings_GridElectricity_Backend[[#This Row],[Converted data]]/1000)</f>
        <v/>
      </c>
      <c r="AG194" s="210" t="str">
        <f>IF(Buildings_GridElectricity_Frontend[[#This Row],[Data]]="","",_xlfn.XLOOKUP(_xlfn.CONCAT(Buildings_GridElectricity_Backend[[#This Row],[Level 1]:[Level 6]]),rng_EFConcat,rng_EF2)*Buildings_GridElectricity_Backend[[#This Row],[Converted data]]/1000)</f>
        <v/>
      </c>
      <c r="AH194" s="210" t="str">
        <f>IF(Buildings_GridElectricity_Frontend[[#This Row],[Data]]="","",_xlfn.XLOOKUP(_xlfn.CONCAT(Buildings_GridElectricity_Backend[[#This Row],[Level 1]:[Level 6]]),rng_EFConcat,rng_EF3)*Buildings_GridElectricity_Backend[[#This Row],[Converted data]]/1000)</f>
        <v/>
      </c>
      <c r="AI194" s="210" t="str">
        <f>IF(Buildings_GridElectricity_Frontend[[#This Row],[Data]]="","",_xlfn.XLOOKUP(_xlfn.CONCAT(Buildings_GridElectricity_Backend[[#This Row],[Level 1]:[Level 6]]),rng_EFConcat,rng_EF3WTT)*Buildings_GridElectricity_Backend[[#This Row],[Converted data]]/1000)</f>
        <v/>
      </c>
      <c r="AJ194" s="210" t="str">
        <f>IF(Buildings_GridElectricity_Frontend[[#This Row],[Data]]="","",_xlfn.XLOOKUP(_xlfn.CONCAT(Buildings_GridElectricity_Backend[[#This Row],[Level 1]:[Level 6]]),rng_EFConcat,rng_EF3TD)*Buildings_GridElectricity_Backend[[#This Row],[Converted data]]/1000)</f>
        <v/>
      </c>
      <c r="AK194" s="210" t="str">
        <f>IF(Buildings_GridElectricity_Frontend[[#This Row],[Data]]="","",_xlfn.XLOOKUP(_xlfn.CONCAT(Buildings_GridElectricity_Backend[[#This Row],[Level 1]:[Level 6]]),rng_EFConcat,rng_EF3WTTTD)*Buildings_GridElectricity_Backend[[#This Row],[Converted data]]/1000)</f>
        <v/>
      </c>
      <c r="AL194" s="220" t="str">
        <f>IF(Buildings_GridElectricity_Frontend[[#This Row],[Data]]="","",SUM(Buildings_GridElectricity_Backend[[#This Row],[Scope 1 (tCO2e)]:[Scope 3 WTT T&amp;D (tCO2e)]]))</f>
        <v/>
      </c>
      <c r="AM194" s="220" t="str">
        <f>IF(Buildings_GridElectricity_Frontend[[#This Row],[Data]]="","",Buildings_GridElectricity_Backend[[#This Row],[Total (tCO2e)]]*(1-Buildings_GridElectricity_Backend[[#This Row],[RSD]]))</f>
        <v/>
      </c>
      <c r="AN194" s="220" t="str">
        <f>IF(Buildings_GridElectricity_Frontend[[#This Row],[Data]]="","",Buildings_GridElectricity_Backend[[#This Row],[Total (tCO2e)]]*(1+Buildings_GridElectricity_Backend[[#This Row],[RSD]]))</f>
        <v/>
      </c>
      <c r="AO194" s="210" t="str">
        <f>IF(Buildings_GridElectricity_Frontend[[#This Row],[Data]]="","",_xlfn.XLOOKUP(_xlfn.CONCAT(Buildings_GridElectricity_Backend[[#This Row],[Level 1]:[Level 6]]),rng_EFConcat,rng_EFOOS)*Buildings_GridElectricity_Backend[[#This Row],[Converted data]]/1000)</f>
        <v/>
      </c>
      <c r="AP194" s="174">
        <f>Buildings_GridElectricity_Frontend[[#This Row],[Ease of collection]]</f>
        <v>0</v>
      </c>
      <c r="AQ194" s="213">
        <f>Buildings_GridElectricity_Frontend[[#This Row],[Completeness]]</f>
        <v>0</v>
      </c>
      <c r="AR194" s="220">
        <f>Buildings_GridElectricity_Frontend[[#This Row],[Notes]]</f>
        <v>0</v>
      </c>
    </row>
    <row r="195" spans="5:44" x14ac:dyDescent="0.3">
      <c r="E195" s="346"/>
      <c r="F195" s="449"/>
      <c r="G195" s="336"/>
      <c r="H195" s="334"/>
      <c r="I195" s="172" t="s">
        <v>316</v>
      </c>
      <c r="J195" s="337"/>
      <c r="K195" s="336"/>
      <c r="L195" s="336"/>
      <c r="M195" s="337"/>
      <c r="N195" s="242">
        <f t="shared" si="7"/>
        <v>3</v>
      </c>
      <c r="Q195" s="212" t="str">
        <f t="shared" si="6"/>
        <v/>
      </c>
      <c r="R195" s="174" t="s">
        <v>265</v>
      </c>
      <c r="S195" s="174" t="s">
        <v>273</v>
      </c>
      <c r="T195" s="174" t="str">
        <f>_xlfn.XLOOKUP(Buildings_GridElectricity_Backend[[#This Row],[Info 1]],Buildings_SiteInfo[Site name],Buildings_SiteInfo[Site type], "")</f>
        <v/>
      </c>
      <c r="U195" s="174" t="s">
        <v>281</v>
      </c>
      <c r="V195" s="174" t="str" cm="1">
        <f t="array" aca="1" ref="V195" ca="1">_xlfn.XLOOKUP(Buildings_GridElectricity_Backend[[#This Row],[Level 4]],rng_Level4Long,rng_Level5Long)</f>
        <v>Electricity</v>
      </c>
      <c r="W195" s="174" t="str" cm="1">
        <f t="array" aca="1" ref="W195" ca="1">_xlfn.XLOOKUP(Buildings_GridElectricity_Backend[[#This Row],[Level 4]],rng_Level4Long,rng_Level6Long)</f>
        <v>NaN</v>
      </c>
      <c r="X195" s="174">
        <f>Buildings_GridElectricity_Frontend[[#This Row],[Site Name]]</f>
        <v>0</v>
      </c>
      <c r="Y195" s="174">
        <f>Buildings_GridElectricity_Frontend[[#This Row],[Contracting]]</f>
        <v>0</v>
      </c>
      <c r="Z195" s="174">
        <f>Buildings_GridElectricity_Frontend[[#This Row],[Methodology]]</f>
        <v>0</v>
      </c>
      <c r="AA195" s="229" t="str" cm="1">
        <f t="array" ref="AA195">IF(Buildings_GridElectricity_Frontend[[#This Row],[Data]]="","",INDEX(_xlfn.SWITCH(Buildings_GridElectricity_Backend[[#This Row],[Methodology]],"Tier 1",rng_RSD1,"Tier 2",rng_RSD2,"Tier 3",rng_RSD3),MATCH(_xlfn.CONCAT(Buildings_GridElectricity_Backend[[#This Row],[Level 1]:[Level 6]]),rng_LevelsConcat,0)))</f>
        <v/>
      </c>
      <c r="AB195" s="220">
        <f>Buildings_GridElectricity_Frontend[[#This Row],[Data]]</f>
        <v>0</v>
      </c>
      <c r="AC195" s="174" t="str">
        <f>Buildings_GridElectricity_Frontend[[#This Row],[Units]]</f>
        <v>kWh</v>
      </c>
      <c r="AD195" s="218">
        <f>Buildings_GridElectricity_Frontend[[#This Row],[Data]]</f>
        <v>0</v>
      </c>
      <c r="AE195" s="174" t="str">
        <f>Buildings_GridElectricity_Frontend[[#This Row],[Units]]</f>
        <v>kWh</v>
      </c>
      <c r="AF195" s="210" t="str">
        <f>IF(Buildings_GridElectricity_Frontend[[#This Row],[Data]]="","",_xlfn.XLOOKUP(_xlfn.CONCAT(Buildings_GridElectricity_Backend[[#This Row],[Level 1]:[Level 6]]),rng_EFConcat,rng_EF1)*Buildings_GridElectricity_Backend[[#This Row],[Converted data]]/1000)</f>
        <v/>
      </c>
      <c r="AG195" s="210" t="str">
        <f>IF(Buildings_GridElectricity_Frontend[[#This Row],[Data]]="","",_xlfn.XLOOKUP(_xlfn.CONCAT(Buildings_GridElectricity_Backend[[#This Row],[Level 1]:[Level 6]]),rng_EFConcat,rng_EF2)*Buildings_GridElectricity_Backend[[#This Row],[Converted data]]/1000)</f>
        <v/>
      </c>
      <c r="AH195" s="210" t="str">
        <f>IF(Buildings_GridElectricity_Frontend[[#This Row],[Data]]="","",_xlfn.XLOOKUP(_xlfn.CONCAT(Buildings_GridElectricity_Backend[[#This Row],[Level 1]:[Level 6]]),rng_EFConcat,rng_EF3)*Buildings_GridElectricity_Backend[[#This Row],[Converted data]]/1000)</f>
        <v/>
      </c>
      <c r="AI195" s="210" t="str">
        <f>IF(Buildings_GridElectricity_Frontend[[#This Row],[Data]]="","",_xlfn.XLOOKUP(_xlfn.CONCAT(Buildings_GridElectricity_Backend[[#This Row],[Level 1]:[Level 6]]),rng_EFConcat,rng_EF3WTT)*Buildings_GridElectricity_Backend[[#This Row],[Converted data]]/1000)</f>
        <v/>
      </c>
      <c r="AJ195" s="210" t="str">
        <f>IF(Buildings_GridElectricity_Frontend[[#This Row],[Data]]="","",_xlfn.XLOOKUP(_xlfn.CONCAT(Buildings_GridElectricity_Backend[[#This Row],[Level 1]:[Level 6]]),rng_EFConcat,rng_EF3TD)*Buildings_GridElectricity_Backend[[#This Row],[Converted data]]/1000)</f>
        <v/>
      </c>
      <c r="AK195" s="210" t="str">
        <f>IF(Buildings_GridElectricity_Frontend[[#This Row],[Data]]="","",_xlfn.XLOOKUP(_xlfn.CONCAT(Buildings_GridElectricity_Backend[[#This Row],[Level 1]:[Level 6]]),rng_EFConcat,rng_EF3WTTTD)*Buildings_GridElectricity_Backend[[#This Row],[Converted data]]/1000)</f>
        <v/>
      </c>
      <c r="AL195" s="220" t="str">
        <f>IF(Buildings_GridElectricity_Frontend[[#This Row],[Data]]="","",SUM(Buildings_GridElectricity_Backend[[#This Row],[Scope 1 (tCO2e)]:[Scope 3 WTT T&amp;D (tCO2e)]]))</f>
        <v/>
      </c>
      <c r="AM195" s="220" t="str">
        <f>IF(Buildings_GridElectricity_Frontend[[#This Row],[Data]]="","",Buildings_GridElectricity_Backend[[#This Row],[Total (tCO2e)]]*(1-Buildings_GridElectricity_Backend[[#This Row],[RSD]]))</f>
        <v/>
      </c>
      <c r="AN195" s="220" t="str">
        <f>IF(Buildings_GridElectricity_Frontend[[#This Row],[Data]]="","",Buildings_GridElectricity_Backend[[#This Row],[Total (tCO2e)]]*(1+Buildings_GridElectricity_Backend[[#This Row],[RSD]]))</f>
        <v/>
      </c>
      <c r="AO195" s="210" t="str">
        <f>IF(Buildings_GridElectricity_Frontend[[#This Row],[Data]]="","",_xlfn.XLOOKUP(_xlfn.CONCAT(Buildings_GridElectricity_Backend[[#This Row],[Level 1]:[Level 6]]),rng_EFConcat,rng_EFOOS)*Buildings_GridElectricity_Backend[[#This Row],[Converted data]]/1000)</f>
        <v/>
      </c>
      <c r="AP195" s="174">
        <f>Buildings_GridElectricity_Frontend[[#This Row],[Ease of collection]]</f>
        <v>0</v>
      </c>
      <c r="AQ195" s="213">
        <f>Buildings_GridElectricity_Frontend[[#This Row],[Completeness]]</f>
        <v>0</v>
      </c>
      <c r="AR195" s="220">
        <f>Buildings_GridElectricity_Frontend[[#This Row],[Notes]]</f>
        <v>0</v>
      </c>
    </row>
    <row r="196" spans="5:44" x14ac:dyDescent="0.3">
      <c r="E196" s="346"/>
      <c r="F196" s="449"/>
      <c r="G196" s="336"/>
      <c r="H196" s="334"/>
      <c r="I196" s="172" t="s">
        <v>316</v>
      </c>
      <c r="J196" s="337"/>
      <c r="K196" s="336"/>
      <c r="L196" s="336"/>
      <c r="M196" s="337"/>
      <c r="N196" s="242">
        <f t="shared" si="7"/>
        <v>3</v>
      </c>
      <c r="Q196" s="212" t="str">
        <f t="shared" si="6"/>
        <v/>
      </c>
      <c r="R196" s="174" t="s">
        <v>265</v>
      </c>
      <c r="S196" s="174" t="s">
        <v>273</v>
      </c>
      <c r="T196" s="174" t="str">
        <f>_xlfn.XLOOKUP(Buildings_GridElectricity_Backend[[#This Row],[Info 1]],Buildings_SiteInfo[Site name],Buildings_SiteInfo[Site type], "")</f>
        <v/>
      </c>
      <c r="U196" s="174" t="s">
        <v>281</v>
      </c>
      <c r="V196" s="174" t="str" cm="1">
        <f t="array" aca="1" ref="V196" ca="1">_xlfn.XLOOKUP(Buildings_GridElectricity_Backend[[#This Row],[Level 4]],rng_Level4Long,rng_Level5Long)</f>
        <v>Electricity</v>
      </c>
      <c r="W196" s="174" t="str" cm="1">
        <f t="array" aca="1" ref="W196" ca="1">_xlfn.XLOOKUP(Buildings_GridElectricity_Backend[[#This Row],[Level 4]],rng_Level4Long,rng_Level6Long)</f>
        <v>NaN</v>
      </c>
      <c r="X196" s="174">
        <f>Buildings_GridElectricity_Frontend[[#This Row],[Site Name]]</f>
        <v>0</v>
      </c>
      <c r="Y196" s="174">
        <f>Buildings_GridElectricity_Frontend[[#This Row],[Contracting]]</f>
        <v>0</v>
      </c>
      <c r="Z196" s="174">
        <f>Buildings_GridElectricity_Frontend[[#This Row],[Methodology]]</f>
        <v>0</v>
      </c>
      <c r="AA196" s="229" t="str" cm="1">
        <f t="array" ref="AA196">IF(Buildings_GridElectricity_Frontend[[#This Row],[Data]]="","",INDEX(_xlfn.SWITCH(Buildings_GridElectricity_Backend[[#This Row],[Methodology]],"Tier 1",rng_RSD1,"Tier 2",rng_RSD2,"Tier 3",rng_RSD3),MATCH(_xlfn.CONCAT(Buildings_GridElectricity_Backend[[#This Row],[Level 1]:[Level 6]]),rng_LevelsConcat,0)))</f>
        <v/>
      </c>
      <c r="AB196" s="220">
        <f>Buildings_GridElectricity_Frontend[[#This Row],[Data]]</f>
        <v>0</v>
      </c>
      <c r="AC196" s="174" t="str">
        <f>Buildings_GridElectricity_Frontend[[#This Row],[Units]]</f>
        <v>kWh</v>
      </c>
      <c r="AD196" s="218">
        <f>Buildings_GridElectricity_Frontend[[#This Row],[Data]]</f>
        <v>0</v>
      </c>
      <c r="AE196" s="174" t="str">
        <f>Buildings_GridElectricity_Frontend[[#This Row],[Units]]</f>
        <v>kWh</v>
      </c>
      <c r="AF196" s="210" t="str">
        <f>IF(Buildings_GridElectricity_Frontend[[#This Row],[Data]]="","",_xlfn.XLOOKUP(_xlfn.CONCAT(Buildings_GridElectricity_Backend[[#This Row],[Level 1]:[Level 6]]),rng_EFConcat,rng_EF1)*Buildings_GridElectricity_Backend[[#This Row],[Converted data]]/1000)</f>
        <v/>
      </c>
      <c r="AG196" s="210" t="str">
        <f>IF(Buildings_GridElectricity_Frontend[[#This Row],[Data]]="","",_xlfn.XLOOKUP(_xlfn.CONCAT(Buildings_GridElectricity_Backend[[#This Row],[Level 1]:[Level 6]]),rng_EFConcat,rng_EF2)*Buildings_GridElectricity_Backend[[#This Row],[Converted data]]/1000)</f>
        <v/>
      </c>
      <c r="AH196" s="210" t="str">
        <f>IF(Buildings_GridElectricity_Frontend[[#This Row],[Data]]="","",_xlfn.XLOOKUP(_xlfn.CONCAT(Buildings_GridElectricity_Backend[[#This Row],[Level 1]:[Level 6]]),rng_EFConcat,rng_EF3)*Buildings_GridElectricity_Backend[[#This Row],[Converted data]]/1000)</f>
        <v/>
      </c>
      <c r="AI196" s="210" t="str">
        <f>IF(Buildings_GridElectricity_Frontend[[#This Row],[Data]]="","",_xlfn.XLOOKUP(_xlfn.CONCAT(Buildings_GridElectricity_Backend[[#This Row],[Level 1]:[Level 6]]),rng_EFConcat,rng_EF3WTT)*Buildings_GridElectricity_Backend[[#This Row],[Converted data]]/1000)</f>
        <v/>
      </c>
      <c r="AJ196" s="210" t="str">
        <f>IF(Buildings_GridElectricity_Frontend[[#This Row],[Data]]="","",_xlfn.XLOOKUP(_xlfn.CONCAT(Buildings_GridElectricity_Backend[[#This Row],[Level 1]:[Level 6]]),rng_EFConcat,rng_EF3TD)*Buildings_GridElectricity_Backend[[#This Row],[Converted data]]/1000)</f>
        <v/>
      </c>
      <c r="AK196" s="210" t="str">
        <f>IF(Buildings_GridElectricity_Frontend[[#This Row],[Data]]="","",_xlfn.XLOOKUP(_xlfn.CONCAT(Buildings_GridElectricity_Backend[[#This Row],[Level 1]:[Level 6]]),rng_EFConcat,rng_EF3WTTTD)*Buildings_GridElectricity_Backend[[#This Row],[Converted data]]/1000)</f>
        <v/>
      </c>
      <c r="AL196" s="220" t="str">
        <f>IF(Buildings_GridElectricity_Frontend[[#This Row],[Data]]="","",SUM(Buildings_GridElectricity_Backend[[#This Row],[Scope 1 (tCO2e)]:[Scope 3 WTT T&amp;D (tCO2e)]]))</f>
        <v/>
      </c>
      <c r="AM196" s="220" t="str">
        <f>IF(Buildings_GridElectricity_Frontend[[#This Row],[Data]]="","",Buildings_GridElectricity_Backend[[#This Row],[Total (tCO2e)]]*(1-Buildings_GridElectricity_Backend[[#This Row],[RSD]]))</f>
        <v/>
      </c>
      <c r="AN196" s="220" t="str">
        <f>IF(Buildings_GridElectricity_Frontend[[#This Row],[Data]]="","",Buildings_GridElectricity_Backend[[#This Row],[Total (tCO2e)]]*(1+Buildings_GridElectricity_Backend[[#This Row],[RSD]]))</f>
        <v/>
      </c>
      <c r="AO196" s="210" t="str">
        <f>IF(Buildings_GridElectricity_Frontend[[#This Row],[Data]]="","",_xlfn.XLOOKUP(_xlfn.CONCAT(Buildings_GridElectricity_Backend[[#This Row],[Level 1]:[Level 6]]),rng_EFConcat,rng_EFOOS)*Buildings_GridElectricity_Backend[[#This Row],[Converted data]]/1000)</f>
        <v/>
      </c>
      <c r="AP196" s="174">
        <f>Buildings_GridElectricity_Frontend[[#This Row],[Ease of collection]]</f>
        <v>0</v>
      </c>
      <c r="AQ196" s="213">
        <f>Buildings_GridElectricity_Frontend[[#This Row],[Completeness]]</f>
        <v>0</v>
      </c>
      <c r="AR196" s="220">
        <f>Buildings_GridElectricity_Frontend[[#This Row],[Notes]]</f>
        <v>0</v>
      </c>
    </row>
    <row r="197" spans="5:44" x14ac:dyDescent="0.3">
      <c r="E197" s="346"/>
      <c r="F197" s="449"/>
      <c r="G197" s="336"/>
      <c r="H197" s="334"/>
      <c r="I197" s="172" t="s">
        <v>316</v>
      </c>
      <c r="J197" s="337"/>
      <c r="K197" s="336"/>
      <c r="L197" s="336"/>
      <c r="M197" s="337"/>
      <c r="N197" s="242">
        <f t="shared" si="7"/>
        <v>3</v>
      </c>
      <c r="Q197" s="212" t="str">
        <f t="shared" si="6"/>
        <v/>
      </c>
      <c r="R197" s="174" t="s">
        <v>265</v>
      </c>
      <c r="S197" s="174" t="s">
        <v>273</v>
      </c>
      <c r="T197" s="174" t="str">
        <f>_xlfn.XLOOKUP(Buildings_GridElectricity_Backend[[#This Row],[Info 1]],Buildings_SiteInfo[Site name],Buildings_SiteInfo[Site type], "")</f>
        <v/>
      </c>
      <c r="U197" s="174" t="s">
        <v>281</v>
      </c>
      <c r="V197" s="174" t="str" cm="1">
        <f t="array" aca="1" ref="V197" ca="1">_xlfn.XLOOKUP(Buildings_GridElectricity_Backend[[#This Row],[Level 4]],rng_Level4Long,rng_Level5Long)</f>
        <v>Electricity</v>
      </c>
      <c r="W197" s="174" t="str" cm="1">
        <f t="array" aca="1" ref="W197" ca="1">_xlfn.XLOOKUP(Buildings_GridElectricity_Backend[[#This Row],[Level 4]],rng_Level4Long,rng_Level6Long)</f>
        <v>NaN</v>
      </c>
      <c r="X197" s="174">
        <f>Buildings_GridElectricity_Frontend[[#This Row],[Site Name]]</f>
        <v>0</v>
      </c>
      <c r="Y197" s="174">
        <f>Buildings_GridElectricity_Frontend[[#This Row],[Contracting]]</f>
        <v>0</v>
      </c>
      <c r="Z197" s="174">
        <f>Buildings_GridElectricity_Frontend[[#This Row],[Methodology]]</f>
        <v>0</v>
      </c>
      <c r="AA197" s="229" t="str" cm="1">
        <f t="array" ref="AA197">IF(Buildings_GridElectricity_Frontend[[#This Row],[Data]]="","",INDEX(_xlfn.SWITCH(Buildings_GridElectricity_Backend[[#This Row],[Methodology]],"Tier 1",rng_RSD1,"Tier 2",rng_RSD2,"Tier 3",rng_RSD3),MATCH(_xlfn.CONCAT(Buildings_GridElectricity_Backend[[#This Row],[Level 1]:[Level 6]]),rng_LevelsConcat,0)))</f>
        <v/>
      </c>
      <c r="AB197" s="220">
        <f>Buildings_GridElectricity_Frontend[[#This Row],[Data]]</f>
        <v>0</v>
      </c>
      <c r="AC197" s="174" t="str">
        <f>Buildings_GridElectricity_Frontend[[#This Row],[Units]]</f>
        <v>kWh</v>
      </c>
      <c r="AD197" s="218">
        <f>Buildings_GridElectricity_Frontend[[#This Row],[Data]]</f>
        <v>0</v>
      </c>
      <c r="AE197" s="174" t="str">
        <f>Buildings_GridElectricity_Frontend[[#This Row],[Units]]</f>
        <v>kWh</v>
      </c>
      <c r="AF197" s="210" t="str">
        <f>IF(Buildings_GridElectricity_Frontend[[#This Row],[Data]]="","",_xlfn.XLOOKUP(_xlfn.CONCAT(Buildings_GridElectricity_Backend[[#This Row],[Level 1]:[Level 6]]),rng_EFConcat,rng_EF1)*Buildings_GridElectricity_Backend[[#This Row],[Converted data]]/1000)</f>
        <v/>
      </c>
      <c r="AG197" s="210" t="str">
        <f>IF(Buildings_GridElectricity_Frontend[[#This Row],[Data]]="","",_xlfn.XLOOKUP(_xlfn.CONCAT(Buildings_GridElectricity_Backend[[#This Row],[Level 1]:[Level 6]]),rng_EFConcat,rng_EF2)*Buildings_GridElectricity_Backend[[#This Row],[Converted data]]/1000)</f>
        <v/>
      </c>
      <c r="AH197" s="210" t="str">
        <f>IF(Buildings_GridElectricity_Frontend[[#This Row],[Data]]="","",_xlfn.XLOOKUP(_xlfn.CONCAT(Buildings_GridElectricity_Backend[[#This Row],[Level 1]:[Level 6]]),rng_EFConcat,rng_EF3)*Buildings_GridElectricity_Backend[[#This Row],[Converted data]]/1000)</f>
        <v/>
      </c>
      <c r="AI197" s="210" t="str">
        <f>IF(Buildings_GridElectricity_Frontend[[#This Row],[Data]]="","",_xlfn.XLOOKUP(_xlfn.CONCAT(Buildings_GridElectricity_Backend[[#This Row],[Level 1]:[Level 6]]),rng_EFConcat,rng_EF3WTT)*Buildings_GridElectricity_Backend[[#This Row],[Converted data]]/1000)</f>
        <v/>
      </c>
      <c r="AJ197" s="210" t="str">
        <f>IF(Buildings_GridElectricity_Frontend[[#This Row],[Data]]="","",_xlfn.XLOOKUP(_xlfn.CONCAT(Buildings_GridElectricity_Backend[[#This Row],[Level 1]:[Level 6]]),rng_EFConcat,rng_EF3TD)*Buildings_GridElectricity_Backend[[#This Row],[Converted data]]/1000)</f>
        <v/>
      </c>
      <c r="AK197" s="210" t="str">
        <f>IF(Buildings_GridElectricity_Frontend[[#This Row],[Data]]="","",_xlfn.XLOOKUP(_xlfn.CONCAT(Buildings_GridElectricity_Backend[[#This Row],[Level 1]:[Level 6]]),rng_EFConcat,rng_EF3WTTTD)*Buildings_GridElectricity_Backend[[#This Row],[Converted data]]/1000)</f>
        <v/>
      </c>
      <c r="AL197" s="220" t="str">
        <f>IF(Buildings_GridElectricity_Frontend[[#This Row],[Data]]="","",SUM(Buildings_GridElectricity_Backend[[#This Row],[Scope 1 (tCO2e)]:[Scope 3 WTT T&amp;D (tCO2e)]]))</f>
        <v/>
      </c>
      <c r="AM197" s="220" t="str">
        <f>IF(Buildings_GridElectricity_Frontend[[#This Row],[Data]]="","",Buildings_GridElectricity_Backend[[#This Row],[Total (tCO2e)]]*(1-Buildings_GridElectricity_Backend[[#This Row],[RSD]]))</f>
        <v/>
      </c>
      <c r="AN197" s="220" t="str">
        <f>IF(Buildings_GridElectricity_Frontend[[#This Row],[Data]]="","",Buildings_GridElectricity_Backend[[#This Row],[Total (tCO2e)]]*(1+Buildings_GridElectricity_Backend[[#This Row],[RSD]]))</f>
        <v/>
      </c>
      <c r="AO197" s="210" t="str">
        <f>IF(Buildings_GridElectricity_Frontend[[#This Row],[Data]]="","",_xlfn.XLOOKUP(_xlfn.CONCAT(Buildings_GridElectricity_Backend[[#This Row],[Level 1]:[Level 6]]),rng_EFConcat,rng_EFOOS)*Buildings_GridElectricity_Backend[[#This Row],[Converted data]]/1000)</f>
        <v/>
      </c>
      <c r="AP197" s="174">
        <f>Buildings_GridElectricity_Frontend[[#This Row],[Ease of collection]]</f>
        <v>0</v>
      </c>
      <c r="AQ197" s="213">
        <f>Buildings_GridElectricity_Frontend[[#This Row],[Completeness]]</f>
        <v>0</v>
      </c>
      <c r="AR197" s="220">
        <f>Buildings_GridElectricity_Frontend[[#This Row],[Notes]]</f>
        <v>0</v>
      </c>
    </row>
    <row r="198" spans="5:44" x14ac:dyDescent="0.3">
      <c r="E198" s="346"/>
      <c r="F198" s="449"/>
      <c r="G198" s="336"/>
      <c r="H198" s="334"/>
      <c r="I198" s="172" t="s">
        <v>316</v>
      </c>
      <c r="J198" s="337"/>
      <c r="K198" s="336"/>
      <c r="L198" s="336"/>
      <c r="M198" s="337"/>
      <c r="N198" s="242">
        <f t="shared" si="7"/>
        <v>3</v>
      </c>
      <c r="Q198" s="212" t="str">
        <f t="shared" si="6"/>
        <v/>
      </c>
      <c r="R198" s="174" t="s">
        <v>265</v>
      </c>
      <c r="S198" s="174" t="s">
        <v>273</v>
      </c>
      <c r="T198" s="174" t="str">
        <f>_xlfn.XLOOKUP(Buildings_GridElectricity_Backend[[#This Row],[Info 1]],Buildings_SiteInfo[Site name],Buildings_SiteInfo[Site type], "")</f>
        <v/>
      </c>
      <c r="U198" s="174" t="s">
        <v>281</v>
      </c>
      <c r="V198" s="174" t="str" cm="1">
        <f t="array" aca="1" ref="V198" ca="1">_xlfn.XLOOKUP(Buildings_GridElectricity_Backend[[#This Row],[Level 4]],rng_Level4Long,rng_Level5Long)</f>
        <v>Electricity</v>
      </c>
      <c r="W198" s="174" t="str" cm="1">
        <f t="array" aca="1" ref="W198" ca="1">_xlfn.XLOOKUP(Buildings_GridElectricity_Backend[[#This Row],[Level 4]],rng_Level4Long,rng_Level6Long)</f>
        <v>NaN</v>
      </c>
      <c r="X198" s="174">
        <f>Buildings_GridElectricity_Frontend[[#This Row],[Site Name]]</f>
        <v>0</v>
      </c>
      <c r="Y198" s="174">
        <f>Buildings_GridElectricity_Frontend[[#This Row],[Contracting]]</f>
        <v>0</v>
      </c>
      <c r="Z198" s="174">
        <f>Buildings_GridElectricity_Frontend[[#This Row],[Methodology]]</f>
        <v>0</v>
      </c>
      <c r="AA198" s="229" t="str" cm="1">
        <f t="array" ref="AA198">IF(Buildings_GridElectricity_Frontend[[#This Row],[Data]]="","",INDEX(_xlfn.SWITCH(Buildings_GridElectricity_Backend[[#This Row],[Methodology]],"Tier 1",rng_RSD1,"Tier 2",rng_RSD2,"Tier 3",rng_RSD3),MATCH(_xlfn.CONCAT(Buildings_GridElectricity_Backend[[#This Row],[Level 1]:[Level 6]]),rng_LevelsConcat,0)))</f>
        <v/>
      </c>
      <c r="AB198" s="220">
        <f>Buildings_GridElectricity_Frontend[[#This Row],[Data]]</f>
        <v>0</v>
      </c>
      <c r="AC198" s="174" t="str">
        <f>Buildings_GridElectricity_Frontend[[#This Row],[Units]]</f>
        <v>kWh</v>
      </c>
      <c r="AD198" s="218">
        <f>Buildings_GridElectricity_Frontend[[#This Row],[Data]]</f>
        <v>0</v>
      </c>
      <c r="AE198" s="174" t="str">
        <f>Buildings_GridElectricity_Frontend[[#This Row],[Units]]</f>
        <v>kWh</v>
      </c>
      <c r="AF198" s="210" t="str">
        <f>IF(Buildings_GridElectricity_Frontend[[#This Row],[Data]]="","",_xlfn.XLOOKUP(_xlfn.CONCAT(Buildings_GridElectricity_Backend[[#This Row],[Level 1]:[Level 6]]),rng_EFConcat,rng_EF1)*Buildings_GridElectricity_Backend[[#This Row],[Converted data]]/1000)</f>
        <v/>
      </c>
      <c r="AG198" s="210" t="str">
        <f>IF(Buildings_GridElectricity_Frontend[[#This Row],[Data]]="","",_xlfn.XLOOKUP(_xlfn.CONCAT(Buildings_GridElectricity_Backend[[#This Row],[Level 1]:[Level 6]]),rng_EFConcat,rng_EF2)*Buildings_GridElectricity_Backend[[#This Row],[Converted data]]/1000)</f>
        <v/>
      </c>
      <c r="AH198" s="210" t="str">
        <f>IF(Buildings_GridElectricity_Frontend[[#This Row],[Data]]="","",_xlfn.XLOOKUP(_xlfn.CONCAT(Buildings_GridElectricity_Backend[[#This Row],[Level 1]:[Level 6]]),rng_EFConcat,rng_EF3)*Buildings_GridElectricity_Backend[[#This Row],[Converted data]]/1000)</f>
        <v/>
      </c>
      <c r="AI198" s="210" t="str">
        <f>IF(Buildings_GridElectricity_Frontend[[#This Row],[Data]]="","",_xlfn.XLOOKUP(_xlfn.CONCAT(Buildings_GridElectricity_Backend[[#This Row],[Level 1]:[Level 6]]),rng_EFConcat,rng_EF3WTT)*Buildings_GridElectricity_Backend[[#This Row],[Converted data]]/1000)</f>
        <v/>
      </c>
      <c r="AJ198" s="210" t="str">
        <f>IF(Buildings_GridElectricity_Frontend[[#This Row],[Data]]="","",_xlfn.XLOOKUP(_xlfn.CONCAT(Buildings_GridElectricity_Backend[[#This Row],[Level 1]:[Level 6]]),rng_EFConcat,rng_EF3TD)*Buildings_GridElectricity_Backend[[#This Row],[Converted data]]/1000)</f>
        <v/>
      </c>
      <c r="AK198" s="210" t="str">
        <f>IF(Buildings_GridElectricity_Frontend[[#This Row],[Data]]="","",_xlfn.XLOOKUP(_xlfn.CONCAT(Buildings_GridElectricity_Backend[[#This Row],[Level 1]:[Level 6]]),rng_EFConcat,rng_EF3WTTTD)*Buildings_GridElectricity_Backend[[#This Row],[Converted data]]/1000)</f>
        <v/>
      </c>
      <c r="AL198" s="220" t="str">
        <f>IF(Buildings_GridElectricity_Frontend[[#This Row],[Data]]="","",SUM(Buildings_GridElectricity_Backend[[#This Row],[Scope 1 (tCO2e)]:[Scope 3 WTT T&amp;D (tCO2e)]]))</f>
        <v/>
      </c>
      <c r="AM198" s="220" t="str">
        <f>IF(Buildings_GridElectricity_Frontend[[#This Row],[Data]]="","",Buildings_GridElectricity_Backend[[#This Row],[Total (tCO2e)]]*(1-Buildings_GridElectricity_Backend[[#This Row],[RSD]]))</f>
        <v/>
      </c>
      <c r="AN198" s="220" t="str">
        <f>IF(Buildings_GridElectricity_Frontend[[#This Row],[Data]]="","",Buildings_GridElectricity_Backend[[#This Row],[Total (tCO2e)]]*(1+Buildings_GridElectricity_Backend[[#This Row],[RSD]]))</f>
        <v/>
      </c>
      <c r="AO198" s="210" t="str">
        <f>IF(Buildings_GridElectricity_Frontend[[#This Row],[Data]]="","",_xlfn.XLOOKUP(_xlfn.CONCAT(Buildings_GridElectricity_Backend[[#This Row],[Level 1]:[Level 6]]),rng_EFConcat,rng_EFOOS)*Buildings_GridElectricity_Backend[[#This Row],[Converted data]]/1000)</f>
        <v/>
      </c>
      <c r="AP198" s="174">
        <f>Buildings_GridElectricity_Frontend[[#This Row],[Ease of collection]]</f>
        <v>0</v>
      </c>
      <c r="AQ198" s="213">
        <f>Buildings_GridElectricity_Frontend[[#This Row],[Completeness]]</f>
        <v>0</v>
      </c>
      <c r="AR198" s="220">
        <f>Buildings_GridElectricity_Frontend[[#This Row],[Notes]]</f>
        <v>0</v>
      </c>
    </row>
    <row r="199" spans="5:44" x14ac:dyDescent="0.3">
      <c r="E199" s="346"/>
      <c r="F199" s="449"/>
      <c r="G199" s="336"/>
      <c r="H199" s="334"/>
      <c r="I199" s="172" t="s">
        <v>316</v>
      </c>
      <c r="J199" s="337"/>
      <c r="K199" s="336"/>
      <c r="L199" s="336"/>
      <c r="M199" s="337"/>
      <c r="N199" s="242">
        <f t="shared" si="7"/>
        <v>3</v>
      </c>
      <c r="Q199" s="212" t="str">
        <f t="shared" si="6"/>
        <v/>
      </c>
      <c r="R199" s="174" t="s">
        <v>265</v>
      </c>
      <c r="S199" s="174" t="s">
        <v>273</v>
      </c>
      <c r="T199" s="174" t="str">
        <f>_xlfn.XLOOKUP(Buildings_GridElectricity_Backend[[#This Row],[Info 1]],Buildings_SiteInfo[Site name],Buildings_SiteInfo[Site type], "")</f>
        <v/>
      </c>
      <c r="U199" s="174" t="s">
        <v>281</v>
      </c>
      <c r="V199" s="174" t="str" cm="1">
        <f t="array" aca="1" ref="V199" ca="1">_xlfn.XLOOKUP(Buildings_GridElectricity_Backend[[#This Row],[Level 4]],rng_Level4Long,rng_Level5Long)</f>
        <v>Electricity</v>
      </c>
      <c r="W199" s="174" t="str" cm="1">
        <f t="array" aca="1" ref="W199" ca="1">_xlfn.XLOOKUP(Buildings_GridElectricity_Backend[[#This Row],[Level 4]],rng_Level4Long,rng_Level6Long)</f>
        <v>NaN</v>
      </c>
      <c r="X199" s="174">
        <f>Buildings_GridElectricity_Frontend[[#This Row],[Site Name]]</f>
        <v>0</v>
      </c>
      <c r="Y199" s="174">
        <f>Buildings_GridElectricity_Frontend[[#This Row],[Contracting]]</f>
        <v>0</v>
      </c>
      <c r="Z199" s="174">
        <f>Buildings_GridElectricity_Frontend[[#This Row],[Methodology]]</f>
        <v>0</v>
      </c>
      <c r="AA199" s="229" t="str" cm="1">
        <f t="array" ref="AA199">IF(Buildings_GridElectricity_Frontend[[#This Row],[Data]]="","",INDEX(_xlfn.SWITCH(Buildings_GridElectricity_Backend[[#This Row],[Methodology]],"Tier 1",rng_RSD1,"Tier 2",rng_RSD2,"Tier 3",rng_RSD3),MATCH(_xlfn.CONCAT(Buildings_GridElectricity_Backend[[#This Row],[Level 1]:[Level 6]]),rng_LevelsConcat,0)))</f>
        <v/>
      </c>
      <c r="AB199" s="220">
        <f>Buildings_GridElectricity_Frontend[[#This Row],[Data]]</f>
        <v>0</v>
      </c>
      <c r="AC199" s="174" t="str">
        <f>Buildings_GridElectricity_Frontend[[#This Row],[Units]]</f>
        <v>kWh</v>
      </c>
      <c r="AD199" s="218">
        <f>Buildings_GridElectricity_Frontend[[#This Row],[Data]]</f>
        <v>0</v>
      </c>
      <c r="AE199" s="174" t="str">
        <f>Buildings_GridElectricity_Frontend[[#This Row],[Units]]</f>
        <v>kWh</v>
      </c>
      <c r="AF199" s="210" t="str">
        <f>IF(Buildings_GridElectricity_Frontend[[#This Row],[Data]]="","",_xlfn.XLOOKUP(_xlfn.CONCAT(Buildings_GridElectricity_Backend[[#This Row],[Level 1]:[Level 6]]),rng_EFConcat,rng_EF1)*Buildings_GridElectricity_Backend[[#This Row],[Converted data]]/1000)</f>
        <v/>
      </c>
      <c r="AG199" s="210" t="str">
        <f>IF(Buildings_GridElectricity_Frontend[[#This Row],[Data]]="","",_xlfn.XLOOKUP(_xlfn.CONCAT(Buildings_GridElectricity_Backend[[#This Row],[Level 1]:[Level 6]]),rng_EFConcat,rng_EF2)*Buildings_GridElectricity_Backend[[#This Row],[Converted data]]/1000)</f>
        <v/>
      </c>
      <c r="AH199" s="210" t="str">
        <f>IF(Buildings_GridElectricity_Frontend[[#This Row],[Data]]="","",_xlfn.XLOOKUP(_xlfn.CONCAT(Buildings_GridElectricity_Backend[[#This Row],[Level 1]:[Level 6]]),rng_EFConcat,rng_EF3)*Buildings_GridElectricity_Backend[[#This Row],[Converted data]]/1000)</f>
        <v/>
      </c>
      <c r="AI199" s="210" t="str">
        <f>IF(Buildings_GridElectricity_Frontend[[#This Row],[Data]]="","",_xlfn.XLOOKUP(_xlfn.CONCAT(Buildings_GridElectricity_Backend[[#This Row],[Level 1]:[Level 6]]),rng_EFConcat,rng_EF3WTT)*Buildings_GridElectricity_Backend[[#This Row],[Converted data]]/1000)</f>
        <v/>
      </c>
      <c r="AJ199" s="210" t="str">
        <f>IF(Buildings_GridElectricity_Frontend[[#This Row],[Data]]="","",_xlfn.XLOOKUP(_xlfn.CONCAT(Buildings_GridElectricity_Backend[[#This Row],[Level 1]:[Level 6]]),rng_EFConcat,rng_EF3TD)*Buildings_GridElectricity_Backend[[#This Row],[Converted data]]/1000)</f>
        <v/>
      </c>
      <c r="AK199" s="210" t="str">
        <f>IF(Buildings_GridElectricity_Frontend[[#This Row],[Data]]="","",_xlfn.XLOOKUP(_xlfn.CONCAT(Buildings_GridElectricity_Backend[[#This Row],[Level 1]:[Level 6]]),rng_EFConcat,rng_EF3WTTTD)*Buildings_GridElectricity_Backend[[#This Row],[Converted data]]/1000)</f>
        <v/>
      </c>
      <c r="AL199" s="220" t="str">
        <f>IF(Buildings_GridElectricity_Frontend[[#This Row],[Data]]="","",SUM(Buildings_GridElectricity_Backend[[#This Row],[Scope 1 (tCO2e)]:[Scope 3 WTT T&amp;D (tCO2e)]]))</f>
        <v/>
      </c>
      <c r="AM199" s="220" t="str">
        <f>IF(Buildings_GridElectricity_Frontend[[#This Row],[Data]]="","",Buildings_GridElectricity_Backend[[#This Row],[Total (tCO2e)]]*(1-Buildings_GridElectricity_Backend[[#This Row],[RSD]]))</f>
        <v/>
      </c>
      <c r="AN199" s="220" t="str">
        <f>IF(Buildings_GridElectricity_Frontend[[#This Row],[Data]]="","",Buildings_GridElectricity_Backend[[#This Row],[Total (tCO2e)]]*(1+Buildings_GridElectricity_Backend[[#This Row],[RSD]]))</f>
        <v/>
      </c>
      <c r="AO199" s="210" t="str">
        <f>IF(Buildings_GridElectricity_Frontend[[#This Row],[Data]]="","",_xlfn.XLOOKUP(_xlfn.CONCAT(Buildings_GridElectricity_Backend[[#This Row],[Level 1]:[Level 6]]),rng_EFConcat,rng_EFOOS)*Buildings_GridElectricity_Backend[[#This Row],[Converted data]]/1000)</f>
        <v/>
      </c>
      <c r="AP199" s="174">
        <f>Buildings_GridElectricity_Frontend[[#This Row],[Ease of collection]]</f>
        <v>0</v>
      </c>
      <c r="AQ199" s="213">
        <f>Buildings_GridElectricity_Frontend[[#This Row],[Completeness]]</f>
        <v>0</v>
      </c>
      <c r="AR199" s="220">
        <f>Buildings_GridElectricity_Frontend[[#This Row],[Notes]]</f>
        <v>0</v>
      </c>
    </row>
    <row r="200" spans="5:44" x14ac:dyDescent="0.3">
      <c r="E200" s="346"/>
      <c r="F200" s="449"/>
      <c r="G200" s="336"/>
      <c r="H200" s="334"/>
      <c r="I200" s="172" t="s">
        <v>316</v>
      </c>
      <c r="J200" s="337"/>
      <c r="K200" s="336"/>
      <c r="L200" s="336"/>
      <c r="M200" s="337"/>
      <c r="N200" s="242">
        <f t="shared" si="7"/>
        <v>3</v>
      </c>
      <c r="Q200" s="212" t="str">
        <f t="shared" si="6"/>
        <v/>
      </c>
      <c r="R200" s="174" t="s">
        <v>265</v>
      </c>
      <c r="S200" s="174" t="s">
        <v>273</v>
      </c>
      <c r="T200" s="174" t="str">
        <f>_xlfn.XLOOKUP(Buildings_GridElectricity_Backend[[#This Row],[Info 1]],Buildings_SiteInfo[Site name],Buildings_SiteInfo[Site type], "")</f>
        <v/>
      </c>
      <c r="U200" s="174" t="s">
        <v>281</v>
      </c>
      <c r="V200" s="174" t="str" cm="1">
        <f t="array" aca="1" ref="V200" ca="1">_xlfn.XLOOKUP(Buildings_GridElectricity_Backend[[#This Row],[Level 4]],rng_Level4Long,rng_Level5Long)</f>
        <v>Electricity</v>
      </c>
      <c r="W200" s="174" t="str" cm="1">
        <f t="array" aca="1" ref="W200" ca="1">_xlfn.XLOOKUP(Buildings_GridElectricity_Backend[[#This Row],[Level 4]],rng_Level4Long,rng_Level6Long)</f>
        <v>NaN</v>
      </c>
      <c r="X200" s="174">
        <f>Buildings_GridElectricity_Frontend[[#This Row],[Site Name]]</f>
        <v>0</v>
      </c>
      <c r="Y200" s="174">
        <f>Buildings_GridElectricity_Frontend[[#This Row],[Contracting]]</f>
        <v>0</v>
      </c>
      <c r="Z200" s="174">
        <f>Buildings_GridElectricity_Frontend[[#This Row],[Methodology]]</f>
        <v>0</v>
      </c>
      <c r="AA200" s="229" t="str" cm="1">
        <f t="array" ref="AA200">IF(Buildings_GridElectricity_Frontend[[#This Row],[Data]]="","",INDEX(_xlfn.SWITCH(Buildings_GridElectricity_Backend[[#This Row],[Methodology]],"Tier 1",rng_RSD1,"Tier 2",rng_RSD2,"Tier 3",rng_RSD3),MATCH(_xlfn.CONCAT(Buildings_GridElectricity_Backend[[#This Row],[Level 1]:[Level 6]]),rng_LevelsConcat,0)))</f>
        <v/>
      </c>
      <c r="AB200" s="220">
        <f>Buildings_GridElectricity_Frontend[[#This Row],[Data]]</f>
        <v>0</v>
      </c>
      <c r="AC200" s="174" t="str">
        <f>Buildings_GridElectricity_Frontend[[#This Row],[Units]]</f>
        <v>kWh</v>
      </c>
      <c r="AD200" s="218">
        <f>Buildings_GridElectricity_Frontend[[#This Row],[Data]]</f>
        <v>0</v>
      </c>
      <c r="AE200" s="174" t="str">
        <f>Buildings_GridElectricity_Frontend[[#This Row],[Units]]</f>
        <v>kWh</v>
      </c>
      <c r="AF200" s="210" t="str">
        <f>IF(Buildings_GridElectricity_Frontend[[#This Row],[Data]]="","",_xlfn.XLOOKUP(_xlfn.CONCAT(Buildings_GridElectricity_Backend[[#This Row],[Level 1]:[Level 6]]),rng_EFConcat,rng_EF1)*Buildings_GridElectricity_Backend[[#This Row],[Converted data]]/1000)</f>
        <v/>
      </c>
      <c r="AG200" s="210" t="str">
        <f>IF(Buildings_GridElectricity_Frontend[[#This Row],[Data]]="","",_xlfn.XLOOKUP(_xlfn.CONCAT(Buildings_GridElectricity_Backend[[#This Row],[Level 1]:[Level 6]]),rng_EFConcat,rng_EF2)*Buildings_GridElectricity_Backend[[#This Row],[Converted data]]/1000)</f>
        <v/>
      </c>
      <c r="AH200" s="210" t="str">
        <f>IF(Buildings_GridElectricity_Frontend[[#This Row],[Data]]="","",_xlfn.XLOOKUP(_xlfn.CONCAT(Buildings_GridElectricity_Backend[[#This Row],[Level 1]:[Level 6]]),rng_EFConcat,rng_EF3)*Buildings_GridElectricity_Backend[[#This Row],[Converted data]]/1000)</f>
        <v/>
      </c>
      <c r="AI200" s="210" t="str">
        <f>IF(Buildings_GridElectricity_Frontend[[#This Row],[Data]]="","",_xlfn.XLOOKUP(_xlfn.CONCAT(Buildings_GridElectricity_Backend[[#This Row],[Level 1]:[Level 6]]),rng_EFConcat,rng_EF3WTT)*Buildings_GridElectricity_Backend[[#This Row],[Converted data]]/1000)</f>
        <v/>
      </c>
      <c r="AJ200" s="210" t="str">
        <f>IF(Buildings_GridElectricity_Frontend[[#This Row],[Data]]="","",_xlfn.XLOOKUP(_xlfn.CONCAT(Buildings_GridElectricity_Backend[[#This Row],[Level 1]:[Level 6]]),rng_EFConcat,rng_EF3TD)*Buildings_GridElectricity_Backend[[#This Row],[Converted data]]/1000)</f>
        <v/>
      </c>
      <c r="AK200" s="210" t="str">
        <f>IF(Buildings_GridElectricity_Frontend[[#This Row],[Data]]="","",_xlfn.XLOOKUP(_xlfn.CONCAT(Buildings_GridElectricity_Backend[[#This Row],[Level 1]:[Level 6]]),rng_EFConcat,rng_EF3WTTTD)*Buildings_GridElectricity_Backend[[#This Row],[Converted data]]/1000)</f>
        <v/>
      </c>
      <c r="AL200" s="220" t="str">
        <f>IF(Buildings_GridElectricity_Frontend[[#This Row],[Data]]="","",SUM(Buildings_GridElectricity_Backend[[#This Row],[Scope 1 (tCO2e)]:[Scope 3 WTT T&amp;D (tCO2e)]]))</f>
        <v/>
      </c>
      <c r="AM200" s="220" t="str">
        <f>IF(Buildings_GridElectricity_Frontend[[#This Row],[Data]]="","",Buildings_GridElectricity_Backend[[#This Row],[Total (tCO2e)]]*(1-Buildings_GridElectricity_Backend[[#This Row],[RSD]]))</f>
        <v/>
      </c>
      <c r="AN200" s="220" t="str">
        <f>IF(Buildings_GridElectricity_Frontend[[#This Row],[Data]]="","",Buildings_GridElectricity_Backend[[#This Row],[Total (tCO2e)]]*(1+Buildings_GridElectricity_Backend[[#This Row],[RSD]]))</f>
        <v/>
      </c>
      <c r="AO200" s="210" t="str">
        <f>IF(Buildings_GridElectricity_Frontend[[#This Row],[Data]]="","",_xlfn.XLOOKUP(_xlfn.CONCAT(Buildings_GridElectricity_Backend[[#This Row],[Level 1]:[Level 6]]),rng_EFConcat,rng_EFOOS)*Buildings_GridElectricity_Backend[[#This Row],[Converted data]]/1000)</f>
        <v/>
      </c>
      <c r="AP200" s="174">
        <f>Buildings_GridElectricity_Frontend[[#This Row],[Ease of collection]]</f>
        <v>0</v>
      </c>
      <c r="AQ200" s="213">
        <f>Buildings_GridElectricity_Frontend[[#This Row],[Completeness]]</f>
        <v>0</v>
      </c>
      <c r="AR200" s="220">
        <f>Buildings_GridElectricity_Frontend[[#This Row],[Notes]]</f>
        <v>0</v>
      </c>
    </row>
    <row r="201" spans="5:44" x14ac:dyDescent="0.3">
      <c r="E201" s="346"/>
      <c r="F201" s="449"/>
      <c r="G201" s="336"/>
      <c r="H201" s="334"/>
      <c r="I201" s="172" t="s">
        <v>316</v>
      </c>
      <c r="J201" s="337"/>
      <c r="K201" s="336"/>
      <c r="L201" s="336"/>
      <c r="M201" s="337"/>
      <c r="N201" s="242">
        <f t="shared" si="7"/>
        <v>3</v>
      </c>
      <c r="Q201" s="212" t="str">
        <f t="shared" si="6"/>
        <v/>
      </c>
      <c r="R201" s="174" t="s">
        <v>265</v>
      </c>
      <c r="S201" s="174" t="s">
        <v>273</v>
      </c>
      <c r="T201" s="174" t="str">
        <f>_xlfn.XLOOKUP(Buildings_GridElectricity_Backend[[#This Row],[Info 1]],Buildings_SiteInfo[Site name],Buildings_SiteInfo[Site type], "")</f>
        <v/>
      </c>
      <c r="U201" s="174" t="s">
        <v>281</v>
      </c>
      <c r="V201" s="174" t="str" cm="1">
        <f t="array" aca="1" ref="V201" ca="1">_xlfn.XLOOKUP(Buildings_GridElectricity_Backend[[#This Row],[Level 4]],rng_Level4Long,rng_Level5Long)</f>
        <v>Electricity</v>
      </c>
      <c r="W201" s="174" t="str" cm="1">
        <f t="array" aca="1" ref="W201" ca="1">_xlfn.XLOOKUP(Buildings_GridElectricity_Backend[[#This Row],[Level 4]],rng_Level4Long,rng_Level6Long)</f>
        <v>NaN</v>
      </c>
      <c r="X201" s="174">
        <f>Buildings_GridElectricity_Frontend[[#This Row],[Site Name]]</f>
        <v>0</v>
      </c>
      <c r="Y201" s="174">
        <f>Buildings_GridElectricity_Frontend[[#This Row],[Contracting]]</f>
        <v>0</v>
      </c>
      <c r="Z201" s="174">
        <f>Buildings_GridElectricity_Frontend[[#This Row],[Methodology]]</f>
        <v>0</v>
      </c>
      <c r="AA201" s="229" t="str" cm="1">
        <f t="array" ref="AA201">IF(Buildings_GridElectricity_Frontend[[#This Row],[Data]]="","",INDEX(_xlfn.SWITCH(Buildings_GridElectricity_Backend[[#This Row],[Methodology]],"Tier 1",rng_RSD1,"Tier 2",rng_RSD2,"Tier 3",rng_RSD3),MATCH(_xlfn.CONCAT(Buildings_GridElectricity_Backend[[#This Row],[Level 1]:[Level 6]]),rng_LevelsConcat,0)))</f>
        <v/>
      </c>
      <c r="AB201" s="220">
        <f>Buildings_GridElectricity_Frontend[[#This Row],[Data]]</f>
        <v>0</v>
      </c>
      <c r="AC201" s="174" t="str">
        <f>Buildings_GridElectricity_Frontend[[#This Row],[Units]]</f>
        <v>kWh</v>
      </c>
      <c r="AD201" s="218">
        <f>Buildings_GridElectricity_Frontend[[#This Row],[Data]]</f>
        <v>0</v>
      </c>
      <c r="AE201" s="174" t="str">
        <f>Buildings_GridElectricity_Frontend[[#This Row],[Units]]</f>
        <v>kWh</v>
      </c>
      <c r="AF201" s="210" t="str">
        <f>IF(Buildings_GridElectricity_Frontend[[#This Row],[Data]]="","",_xlfn.XLOOKUP(_xlfn.CONCAT(Buildings_GridElectricity_Backend[[#This Row],[Level 1]:[Level 6]]),rng_EFConcat,rng_EF1)*Buildings_GridElectricity_Backend[[#This Row],[Converted data]]/1000)</f>
        <v/>
      </c>
      <c r="AG201" s="210" t="str">
        <f>IF(Buildings_GridElectricity_Frontend[[#This Row],[Data]]="","",_xlfn.XLOOKUP(_xlfn.CONCAT(Buildings_GridElectricity_Backend[[#This Row],[Level 1]:[Level 6]]),rng_EFConcat,rng_EF2)*Buildings_GridElectricity_Backend[[#This Row],[Converted data]]/1000)</f>
        <v/>
      </c>
      <c r="AH201" s="210" t="str">
        <f>IF(Buildings_GridElectricity_Frontend[[#This Row],[Data]]="","",_xlfn.XLOOKUP(_xlfn.CONCAT(Buildings_GridElectricity_Backend[[#This Row],[Level 1]:[Level 6]]),rng_EFConcat,rng_EF3)*Buildings_GridElectricity_Backend[[#This Row],[Converted data]]/1000)</f>
        <v/>
      </c>
      <c r="AI201" s="210" t="str">
        <f>IF(Buildings_GridElectricity_Frontend[[#This Row],[Data]]="","",_xlfn.XLOOKUP(_xlfn.CONCAT(Buildings_GridElectricity_Backend[[#This Row],[Level 1]:[Level 6]]),rng_EFConcat,rng_EF3WTT)*Buildings_GridElectricity_Backend[[#This Row],[Converted data]]/1000)</f>
        <v/>
      </c>
      <c r="AJ201" s="210" t="str">
        <f>IF(Buildings_GridElectricity_Frontend[[#This Row],[Data]]="","",_xlfn.XLOOKUP(_xlfn.CONCAT(Buildings_GridElectricity_Backend[[#This Row],[Level 1]:[Level 6]]),rng_EFConcat,rng_EF3TD)*Buildings_GridElectricity_Backend[[#This Row],[Converted data]]/1000)</f>
        <v/>
      </c>
      <c r="AK201" s="210" t="str">
        <f>IF(Buildings_GridElectricity_Frontend[[#This Row],[Data]]="","",_xlfn.XLOOKUP(_xlfn.CONCAT(Buildings_GridElectricity_Backend[[#This Row],[Level 1]:[Level 6]]),rng_EFConcat,rng_EF3WTTTD)*Buildings_GridElectricity_Backend[[#This Row],[Converted data]]/1000)</f>
        <v/>
      </c>
      <c r="AL201" s="220" t="str">
        <f>IF(Buildings_GridElectricity_Frontend[[#This Row],[Data]]="","",SUM(Buildings_GridElectricity_Backend[[#This Row],[Scope 1 (tCO2e)]:[Scope 3 WTT T&amp;D (tCO2e)]]))</f>
        <v/>
      </c>
      <c r="AM201" s="220" t="str">
        <f>IF(Buildings_GridElectricity_Frontend[[#This Row],[Data]]="","",Buildings_GridElectricity_Backend[[#This Row],[Total (tCO2e)]]*(1-Buildings_GridElectricity_Backend[[#This Row],[RSD]]))</f>
        <v/>
      </c>
      <c r="AN201" s="220" t="str">
        <f>IF(Buildings_GridElectricity_Frontend[[#This Row],[Data]]="","",Buildings_GridElectricity_Backend[[#This Row],[Total (tCO2e)]]*(1+Buildings_GridElectricity_Backend[[#This Row],[RSD]]))</f>
        <v/>
      </c>
      <c r="AO201" s="210" t="str">
        <f>IF(Buildings_GridElectricity_Frontend[[#This Row],[Data]]="","",_xlfn.XLOOKUP(_xlfn.CONCAT(Buildings_GridElectricity_Backend[[#This Row],[Level 1]:[Level 6]]),rng_EFConcat,rng_EFOOS)*Buildings_GridElectricity_Backend[[#This Row],[Converted data]]/1000)</f>
        <v/>
      </c>
      <c r="AP201" s="174">
        <f>Buildings_GridElectricity_Frontend[[#This Row],[Ease of collection]]</f>
        <v>0</v>
      </c>
      <c r="AQ201" s="213">
        <f>Buildings_GridElectricity_Frontend[[#This Row],[Completeness]]</f>
        <v>0</v>
      </c>
      <c r="AR201" s="220">
        <f>Buildings_GridElectricity_Frontend[[#This Row],[Notes]]</f>
        <v>0</v>
      </c>
    </row>
    <row r="202" spans="5:44" x14ac:dyDescent="0.3">
      <c r="E202" s="346"/>
      <c r="F202" s="449"/>
      <c r="G202" s="336"/>
      <c r="H202" s="334"/>
      <c r="I202" s="172" t="s">
        <v>316</v>
      </c>
      <c r="J202" s="337"/>
      <c r="K202" s="336"/>
      <c r="L202" s="336"/>
      <c r="M202" s="337"/>
      <c r="N202" s="242">
        <f t="shared" si="7"/>
        <v>3</v>
      </c>
      <c r="Q202" s="212" t="str">
        <f t="shared" si="6"/>
        <v/>
      </c>
      <c r="R202" s="174" t="s">
        <v>265</v>
      </c>
      <c r="S202" s="174" t="s">
        <v>273</v>
      </c>
      <c r="T202" s="174" t="str">
        <f>_xlfn.XLOOKUP(Buildings_GridElectricity_Backend[[#This Row],[Info 1]],Buildings_SiteInfo[Site name],Buildings_SiteInfo[Site type], "")</f>
        <v/>
      </c>
      <c r="U202" s="174" t="s">
        <v>281</v>
      </c>
      <c r="V202" s="174" t="str" cm="1">
        <f t="array" aca="1" ref="V202" ca="1">_xlfn.XLOOKUP(Buildings_GridElectricity_Backend[[#This Row],[Level 4]],rng_Level4Long,rng_Level5Long)</f>
        <v>Electricity</v>
      </c>
      <c r="W202" s="174" t="str" cm="1">
        <f t="array" aca="1" ref="W202" ca="1">_xlfn.XLOOKUP(Buildings_GridElectricity_Backend[[#This Row],[Level 4]],rng_Level4Long,rng_Level6Long)</f>
        <v>NaN</v>
      </c>
      <c r="X202" s="174">
        <f>Buildings_GridElectricity_Frontend[[#This Row],[Site Name]]</f>
        <v>0</v>
      </c>
      <c r="Y202" s="174">
        <f>Buildings_GridElectricity_Frontend[[#This Row],[Contracting]]</f>
        <v>0</v>
      </c>
      <c r="Z202" s="174">
        <f>Buildings_GridElectricity_Frontend[[#This Row],[Methodology]]</f>
        <v>0</v>
      </c>
      <c r="AA202" s="229" t="str" cm="1">
        <f t="array" ref="AA202">IF(Buildings_GridElectricity_Frontend[[#This Row],[Data]]="","",INDEX(_xlfn.SWITCH(Buildings_GridElectricity_Backend[[#This Row],[Methodology]],"Tier 1",rng_RSD1,"Tier 2",rng_RSD2,"Tier 3",rng_RSD3),MATCH(_xlfn.CONCAT(Buildings_GridElectricity_Backend[[#This Row],[Level 1]:[Level 6]]),rng_LevelsConcat,0)))</f>
        <v/>
      </c>
      <c r="AB202" s="220">
        <f>Buildings_GridElectricity_Frontend[[#This Row],[Data]]</f>
        <v>0</v>
      </c>
      <c r="AC202" s="174" t="str">
        <f>Buildings_GridElectricity_Frontend[[#This Row],[Units]]</f>
        <v>kWh</v>
      </c>
      <c r="AD202" s="218">
        <f>Buildings_GridElectricity_Frontend[[#This Row],[Data]]</f>
        <v>0</v>
      </c>
      <c r="AE202" s="174" t="str">
        <f>Buildings_GridElectricity_Frontend[[#This Row],[Units]]</f>
        <v>kWh</v>
      </c>
      <c r="AF202" s="210" t="str">
        <f>IF(Buildings_GridElectricity_Frontend[[#This Row],[Data]]="","",_xlfn.XLOOKUP(_xlfn.CONCAT(Buildings_GridElectricity_Backend[[#This Row],[Level 1]:[Level 6]]),rng_EFConcat,rng_EF1)*Buildings_GridElectricity_Backend[[#This Row],[Converted data]]/1000)</f>
        <v/>
      </c>
      <c r="AG202" s="210" t="str">
        <f>IF(Buildings_GridElectricity_Frontend[[#This Row],[Data]]="","",_xlfn.XLOOKUP(_xlfn.CONCAT(Buildings_GridElectricity_Backend[[#This Row],[Level 1]:[Level 6]]),rng_EFConcat,rng_EF2)*Buildings_GridElectricity_Backend[[#This Row],[Converted data]]/1000)</f>
        <v/>
      </c>
      <c r="AH202" s="210" t="str">
        <f>IF(Buildings_GridElectricity_Frontend[[#This Row],[Data]]="","",_xlfn.XLOOKUP(_xlfn.CONCAT(Buildings_GridElectricity_Backend[[#This Row],[Level 1]:[Level 6]]),rng_EFConcat,rng_EF3)*Buildings_GridElectricity_Backend[[#This Row],[Converted data]]/1000)</f>
        <v/>
      </c>
      <c r="AI202" s="210" t="str">
        <f>IF(Buildings_GridElectricity_Frontend[[#This Row],[Data]]="","",_xlfn.XLOOKUP(_xlfn.CONCAT(Buildings_GridElectricity_Backend[[#This Row],[Level 1]:[Level 6]]),rng_EFConcat,rng_EF3WTT)*Buildings_GridElectricity_Backend[[#This Row],[Converted data]]/1000)</f>
        <v/>
      </c>
      <c r="AJ202" s="210" t="str">
        <f>IF(Buildings_GridElectricity_Frontend[[#This Row],[Data]]="","",_xlfn.XLOOKUP(_xlfn.CONCAT(Buildings_GridElectricity_Backend[[#This Row],[Level 1]:[Level 6]]),rng_EFConcat,rng_EF3TD)*Buildings_GridElectricity_Backend[[#This Row],[Converted data]]/1000)</f>
        <v/>
      </c>
      <c r="AK202" s="210" t="str">
        <f>IF(Buildings_GridElectricity_Frontend[[#This Row],[Data]]="","",_xlfn.XLOOKUP(_xlfn.CONCAT(Buildings_GridElectricity_Backend[[#This Row],[Level 1]:[Level 6]]),rng_EFConcat,rng_EF3WTTTD)*Buildings_GridElectricity_Backend[[#This Row],[Converted data]]/1000)</f>
        <v/>
      </c>
      <c r="AL202" s="220" t="str">
        <f>IF(Buildings_GridElectricity_Frontend[[#This Row],[Data]]="","",SUM(Buildings_GridElectricity_Backend[[#This Row],[Scope 1 (tCO2e)]:[Scope 3 WTT T&amp;D (tCO2e)]]))</f>
        <v/>
      </c>
      <c r="AM202" s="220" t="str">
        <f>IF(Buildings_GridElectricity_Frontend[[#This Row],[Data]]="","",Buildings_GridElectricity_Backend[[#This Row],[Total (tCO2e)]]*(1-Buildings_GridElectricity_Backend[[#This Row],[RSD]]))</f>
        <v/>
      </c>
      <c r="AN202" s="220" t="str">
        <f>IF(Buildings_GridElectricity_Frontend[[#This Row],[Data]]="","",Buildings_GridElectricity_Backend[[#This Row],[Total (tCO2e)]]*(1+Buildings_GridElectricity_Backend[[#This Row],[RSD]]))</f>
        <v/>
      </c>
      <c r="AO202" s="210" t="str">
        <f>IF(Buildings_GridElectricity_Frontend[[#This Row],[Data]]="","",_xlfn.XLOOKUP(_xlfn.CONCAT(Buildings_GridElectricity_Backend[[#This Row],[Level 1]:[Level 6]]),rng_EFConcat,rng_EFOOS)*Buildings_GridElectricity_Backend[[#This Row],[Converted data]]/1000)</f>
        <v/>
      </c>
      <c r="AP202" s="174">
        <f>Buildings_GridElectricity_Frontend[[#This Row],[Ease of collection]]</f>
        <v>0</v>
      </c>
      <c r="AQ202" s="213">
        <f>Buildings_GridElectricity_Frontend[[#This Row],[Completeness]]</f>
        <v>0</v>
      </c>
      <c r="AR202" s="220">
        <f>Buildings_GridElectricity_Frontend[[#This Row],[Notes]]</f>
        <v>0</v>
      </c>
    </row>
    <row r="203" spans="5:44" x14ac:dyDescent="0.3">
      <c r="E203" s="346"/>
      <c r="F203" s="449"/>
      <c r="G203" s="336"/>
      <c r="H203" s="334"/>
      <c r="I203" s="172" t="s">
        <v>316</v>
      </c>
      <c r="J203" s="337"/>
      <c r="K203" s="336"/>
      <c r="L203" s="336"/>
      <c r="M203" s="337"/>
      <c r="N203" s="242">
        <f t="shared" si="7"/>
        <v>3</v>
      </c>
      <c r="Q203" s="212" t="str">
        <f t="shared" si="6"/>
        <v/>
      </c>
      <c r="R203" s="174" t="s">
        <v>265</v>
      </c>
      <c r="S203" s="174" t="s">
        <v>273</v>
      </c>
      <c r="T203" s="174" t="str">
        <f>_xlfn.XLOOKUP(Buildings_GridElectricity_Backend[[#This Row],[Info 1]],Buildings_SiteInfo[Site name],Buildings_SiteInfo[Site type], "")</f>
        <v/>
      </c>
      <c r="U203" s="174" t="s">
        <v>281</v>
      </c>
      <c r="V203" s="174" t="str" cm="1">
        <f t="array" aca="1" ref="V203" ca="1">_xlfn.XLOOKUP(Buildings_GridElectricity_Backend[[#This Row],[Level 4]],rng_Level4Long,rng_Level5Long)</f>
        <v>Electricity</v>
      </c>
      <c r="W203" s="174" t="str" cm="1">
        <f t="array" aca="1" ref="W203" ca="1">_xlfn.XLOOKUP(Buildings_GridElectricity_Backend[[#This Row],[Level 4]],rng_Level4Long,rng_Level6Long)</f>
        <v>NaN</v>
      </c>
      <c r="X203" s="174">
        <f>Buildings_GridElectricity_Frontend[[#This Row],[Site Name]]</f>
        <v>0</v>
      </c>
      <c r="Y203" s="174">
        <f>Buildings_GridElectricity_Frontend[[#This Row],[Contracting]]</f>
        <v>0</v>
      </c>
      <c r="Z203" s="174">
        <f>Buildings_GridElectricity_Frontend[[#This Row],[Methodology]]</f>
        <v>0</v>
      </c>
      <c r="AA203" s="229" t="str" cm="1">
        <f t="array" ref="AA203">IF(Buildings_GridElectricity_Frontend[[#This Row],[Data]]="","",INDEX(_xlfn.SWITCH(Buildings_GridElectricity_Backend[[#This Row],[Methodology]],"Tier 1",rng_RSD1,"Tier 2",rng_RSD2,"Tier 3",rng_RSD3),MATCH(_xlfn.CONCAT(Buildings_GridElectricity_Backend[[#This Row],[Level 1]:[Level 6]]),rng_LevelsConcat,0)))</f>
        <v/>
      </c>
      <c r="AB203" s="220">
        <f>Buildings_GridElectricity_Frontend[[#This Row],[Data]]</f>
        <v>0</v>
      </c>
      <c r="AC203" s="174" t="str">
        <f>Buildings_GridElectricity_Frontend[[#This Row],[Units]]</f>
        <v>kWh</v>
      </c>
      <c r="AD203" s="218">
        <f>Buildings_GridElectricity_Frontend[[#This Row],[Data]]</f>
        <v>0</v>
      </c>
      <c r="AE203" s="174" t="str">
        <f>Buildings_GridElectricity_Frontend[[#This Row],[Units]]</f>
        <v>kWh</v>
      </c>
      <c r="AF203" s="210" t="str">
        <f>IF(Buildings_GridElectricity_Frontend[[#This Row],[Data]]="","",_xlfn.XLOOKUP(_xlfn.CONCAT(Buildings_GridElectricity_Backend[[#This Row],[Level 1]:[Level 6]]),rng_EFConcat,rng_EF1)*Buildings_GridElectricity_Backend[[#This Row],[Converted data]]/1000)</f>
        <v/>
      </c>
      <c r="AG203" s="210" t="str">
        <f>IF(Buildings_GridElectricity_Frontend[[#This Row],[Data]]="","",_xlfn.XLOOKUP(_xlfn.CONCAT(Buildings_GridElectricity_Backend[[#This Row],[Level 1]:[Level 6]]),rng_EFConcat,rng_EF2)*Buildings_GridElectricity_Backend[[#This Row],[Converted data]]/1000)</f>
        <v/>
      </c>
      <c r="AH203" s="210" t="str">
        <f>IF(Buildings_GridElectricity_Frontend[[#This Row],[Data]]="","",_xlfn.XLOOKUP(_xlfn.CONCAT(Buildings_GridElectricity_Backend[[#This Row],[Level 1]:[Level 6]]),rng_EFConcat,rng_EF3)*Buildings_GridElectricity_Backend[[#This Row],[Converted data]]/1000)</f>
        <v/>
      </c>
      <c r="AI203" s="210" t="str">
        <f>IF(Buildings_GridElectricity_Frontend[[#This Row],[Data]]="","",_xlfn.XLOOKUP(_xlfn.CONCAT(Buildings_GridElectricity_Backend[[#This Row],[Level 1]:[Level 6]]),rng_EFConcat,rng_EF3WTT)*Buildings_GridElectricity_Backend[[#This Row],[Converted data]]/1000)</f>
        <v/>
      </c>
      <c r="AJ203" s="210" t="str">
        <f>IF(Buildings_GridElectricity_Frontend[[#This Row],[Data]]="","",_xlfn.XLOOKUP(_xlfn.CONCAT(Buildings_GridElectricity_Backend[[#This Row],[Level 1]:[Level 6]]),rng_EFConcat,rng_EF3TD)*Buildings_GridElectricity_Backend[[#This Row],[Converted data]]/1000)</f>
        <v/>
      </c>
      <c r="AK203" s="210" t="str">
        <f>IF(Buildings_GridElectricity_Frontend[[#This Row],[Data]]="","",_xlfn.XLOOKUP(_xlfn.CONCAT(Buildings_GridElectricity_Backend[[#This Row],[Level 1]:[Level 6]]),rng_EFConcat,rng_EF3WTTTD)*Buildings_GridElectricity_Backend[[#This Row],[Converted data]]/1000)</f>
        <v/>
      </c>
      <c r="AL203" s="220" t="str">
        <f>IF(Buildings_GridElectricity_Frontend[[#This Row],[Data]]="","",SUM(Buildings_GridElectricity_Backend[[#This Row],[Scope 1 (tCO2e)]:[Scope 3 WTT T&amp;D (tCO2e)]]))</f>
        <v/>
      </c>
      <c r="AM203" s="220" t="str">
        <f>IF(Buildings_GridElectricity_Frontend[[#This Row],[Data]]="","",Buildings_GridElectricity_Backend[[#This Row],[Total (tCO2e)]]*(1-Buildings_GridElectricity_Backend[[#This Row],[RSD]]))</f>
        <v/>
      </c>
      <c r="AN203" s="220" t="str">
        <f>IF(Buildings_GridElectricity_Frontend[[#This Row],[Data]]="","",Buildings_GridElectricity_Backend[[#This Row],[Total (tCO2e)]]*(1+Buildings_GridElectricity_Backend[[#This Row],[RSD]]))</f>
        <v/>
      </c>
      <c r="AO203" s="210" t="str">
        <f>IF(Buildings_GridElectricity_Frontend[[#This Row],[Data]]="","",_xlfn.XLOOKUP(_xlfn.CONCAT(Buildings_GridElectricity_Backend[[#This Row],[Level 1]:[Level 6]]),rng_EFConcat,rng_EFOOS)*Buildings_GridElectricity_Backend[[#This Row],[Converted data]]/1000)</f>
        <v/>
      </c>
      <c r="AP203" s="174">
        <f>Buildings_GridElectricity_Frontend[[#This Row],[Ease of collection]]</f>
        <v>0</v>
      </c>
      <c r="AQ203" s="213">
        <f>Buildings_GridElectricity_Frontend[[#This Row],[Completeness]]</f>
        <v>0</v>
      </c>
      <c r="AR203" s="220">
        <f>Buildings_GridElectricity_Frontend[[#This Row],[Notes]]</f>
        <v>0</v>
      </c>
    </row>
    <row r="204" spans="5:44" x14ac:dyDescent="0.3">
      <c r="E204" s="346"/>
      <c r="F204" s="449"/>
      <c r="G204" s="336"/>
      <c r="H204" s="334"/>
      <c r="I204" s="172" t="s">
        <v>316</v>
      </c>
      <c r="J204" s="337"/>
      <c r="K204" s="336"/>
      <c r="L204" s="336"/>
      <c r="M204" s="337"/>
      <c r="N204" s="242">
        <f t="shared" si="7"/>
        <v>3</v>
      </c>
      <c r="Q204" s="212" t="str">
        <f t="shared" si="6"/>
        <v/>
      </c>
      <c r="R204" s="174" t="s">
        <v>265</v>
      </c>
      <c r="S204" s="174" t="s">
        <v>273</v>
      </c>
      <c r="T204" s="174" t="str">
        <f>_xlfn.XLOOKUP(Buildings_GridElectricity_Backend[[#This Row],[Info 1]],Buildings_SiteInfo[Site name],Buildings_SiteInfo[Site type], "")</f>
        <v/>
      </c>
      <c r="U204" s="174" t="s">
        <v>281</v>
      </c>
      <c r="V204" s="174" t="str" cm="1">
        <f t="array" aca="1" ref="V204" ca="1">_xlfn.XLOOKUP(Buildings_GridElectricity_Backend[[#This Row],[Level 4]],rng_Level4Long,rng_Level5Long)</f>
        <v>Electricity</v>
      </c>
      <c r="W204" s="174" t="str" cm="1">
        <f t="array" aca="1" ref="W204" ca="1">_xlfn.XLOOKUP(Buildings_GridElectricity_Backend[[#This Row],[Level 4]],rng_Level4Long,rng_Level6Long)</f>
        <v>NaN</v>
      </c>
      <c r="X204" s="174">
        <f>Buildings_GridElectricity_Frontend[[#This Row],[Site Name]]</f>
        <v>0</v>
      </c>
      <c r="Y204" s="174">
        <f>Buildings_GridElectricity_Frontend[[#This Row],[Contracting]]</f>
        <v>0</v>
      </c>
      <c r="Z204" s="174">
        <f>Buildings_GridElectricity_Frontend[[#This Row],[Methodology]]</f>
        <v>0</v>
      </c>
      <c r="AA204" s="229" t="str" cm="1">
        <f t="array" ref="AA204">IF(Buildings_GridElectricity_Frontend[[#This Row],[Data]]="","",INDEX(_xlfn.SWITCH(Buildings_GridElectricity_Backend[[#This Row],[Methodology]],"Tier 1",rng_RSD1,"Tier 2",rng_RSD2,"Tier 3",rng_RSD3),MATCH(_xlfn.CONCAT(Buildings_GridElectricity_Backend[[#This Row],[Level 1]:[Level 6]]),rng_LevelsConcat,0)))</f>
        <v/>
      </c>
      <c r="AB204" s="220">
        <f>Buildings_GridElectricity_Frontend[[#This Row],[Data]]</f>
        <v>0</v>
      </c>
      <c r="AC204" s="174" t="str">
        <f>Buildings_GridElectricity_Frontend[[#This Row],[Units]]</f>
        <v>kWh</v>
      </c>
      <c r="AD204" s="218">
        <f>Buildings_GridElectricity_Frontend[[#This Row],[Data]]</f>
        <v>0</v>
      </c>
      <c r="AE204" s="174" t="str">
        <f>Buildings_GridElectricity_Frontend[[#This Row],[Units]]</f>
        <v>kWh</v>
      </c>
      <c r="AF204" s="210" t="str">
        <f>IF(Buildings_GridElectricity_Frontend[[#This Row],[Data]]="","",_xlfn.XLOOKUP(_xlfn.CONCAT(Buildings_GridElectricity_Backend[[#This Row],[Level 1]:[Level 6]]),rng_EFConcat,rng_EF1)*Buildings_GridElectricity_Backend[[#This Row],[Converted data]]/1000)</f>
        <v/>
      </c>
      <c r="AG204" s="210" t="str">
        <f>IF(Buildings_GridElectricity_Frontend[[#This Row],[Data]]="","",_xlfn.XLOOKUP(_xlfn.CONCAT(Buildings_GridElectricity_Backend[[#This Row],[Level 1]:[Level 6]]),rng_EFConcat,rng_EF2)*Buildings_GridElectricity_Backend[[#This Row],[Converted data]]/1000)</f>
        <v/>
      </c>
      <c r="AH204" s="210" t="str">
        <f>IF(Buildings_GridElectricity_Frontend[[#This Row],[Data]]="","",_xlfn.XLOOKUP(_xlfn.CONCAT(Buildings_GridElectricity_Backend[[#This Row],[Level 1]:[Level 6]]),rng_EFConcat,rng_EF3)*Buildings_GridElectricity_Backend[[#This Row],[Converted data]]/1000)</f>
        <v/>
      </c>
      <c r="AI204" s="210" t="str">
        <f>IF(Buildings_GridElectricity_Frontend[[#This Row],[Data]]="","",_xlfn.XLOOKUP(_xlfn.CONCAT(Buildings_GridElectricity_Backend[[#This Row],[Level 1]:[Level 6]]),rng_EFConcat,rng_EF3WTT)*Buildings_GridElectricity_Backend[[#This Row],[Converted data]]/1000)</f>
        <v/>
      </c>
      <c r="AJ204" s="210" t="str">
        <f>IF(Buildings_GridElectricity_Frontend[[#This Row],[Data]]="","",_xlfn.XLOOKUP(_xlfn.CONCAT(Buildings_GridElectricity_Backend[[#This Row],[Level 1]:[Level 6]]),rng_EFConcat,rng_EF3TD)*Buildings_GridElectricity_Backend[[#This Row],[Converted data]]/1000)</f>
        <v/>
      </c>
      <c r="AK204" s="210" t="str">
        <f>IF(Buildings_GridElectricity_Frontend[[#This Row],[Data]]="","",_xlfn.XLOOKUP(_xlfn.CONCAT(Buildings_GridElectricity_Backend[[#This Row],[Level 1]:[Level 6]]),rng_EFConcat,rng_EF3WTTTD)*Buildings_GridElectricity_Backend[[#This Row],[Converted data]]/1000)</f>
        <v/>
      </c>
      <c r="AL204" s="220" t="str">
        <f>IF(Buildings_GridElectricity_Frontend[[#This Row],[Data]]="","",SUM(Buildings_GridElectricity_Backend[[#This Row],[Scope 1 (tCO2e)]:[Scope 3 WTT T&amp;D (tCO2e)]]))</f>
        <v/>
      </c>
      <c r="AM204" s="220" t="str">
        <f>IF(Buildings_GridElectricity_Frontend[[#This Row],[Data]]="","",Buildings_GridElectricity_Backend[[#This Row],[Total (tCO2e)]]*(1-Buildings_GridElectricity_Backend[[#This Row],[RSD]]))</f>
        <v/>
      </c>
      <c r="AN204" s="220" t="str">
        <f>IF(Buildings_GridElectricity_Frontend[[#This Row],[Data]]="","",Buildings_GridElectricity_Backend[[#This Row],[Total (tCO2e)]]*(1+Buildings_GridElectricity_Backend[[#This Row],[RSD]]))</f>
        <v/>
      </c>
      <c r="AO204" s="210" t="str">
        <f>IF(Buildings_GridElectricity_Frontend[[#This Row],[Data]]="","",_xlfn.XLOOKUP(_xlfn.CONCAT(Buildings_GridElectricity_Backend[[#This Row],[Level 1]:[Level 6]]),rng_EFConcat,rng_EFOOS)*Buildings_GridElectricity_Backend[[#This Row],[Converted data]]/1000)</f>
        <v/>
      </c>
      <c r="AP204" s="174">
        <f>Buildings_GridElectricity_Frontend[[#This Row],[Ease of collection]]</f>
        <v>0</v>
      </c>
      <c r="AQ204" s="213">
        <f>Buildings_GridElectricity_Frontend[[#This Row],[Completeness]]</f>
        <v>0</v>
      </c>
      <c r="AR204" s="220">
        <f>Buildings_GridElectricity_Frontend[[#This Row],[Notes]]</f>
        <v>0</v>
      </c>
    </row>
    <row r="205" spans="5:44" x14ac:dyDescent="0.3">
      <c r="E205" s="346"/>
      <c r="F205" s="449"/>
      <c r="G205" s="336"/>
      <c r="H205" s="334"/>
      <c r="I205" s="172" t="s">
        <v>316</v>
      </c>
      <c r="J205" s="337"/>
      <c r="K205" s="336"/>
      <c r="L205" s="336"/>
      <c r="M205" s="337"/>
      <c r="N205" s="242">
        <f t="shared" si="7"/>
        <v>3</v>
      </c>
      <c r="Q205" s="212" t="str">
        <f t="shared" si="6"/>
        <v/>
      </c>
      <c r="R205" s="174" t="s">
        <v>265</v>
      </c>
      <c r="S205" s="174" t="s">
        <v>273</v>
      </c>
      <c r="T205" s="174" t="str">
        <f>_xlfn.XLOOKUP(Buildings_GridElectricity_Backend[[#This Row],[Info 1]],Buildings_SiteInfo[Site name],Buildings_SiteInfo[Site type], "")</f>
        <v/>
      </c>
      <c r="U205" s="174" t="s">
        <v>281</v>
      </c>
      <c r="V205" s="174" t="str" cm="1">
        <f t="array" aca="1" ref="V205" ca="1">_xlfn.XLOOKUP(Buildings_GridElectricity_Backend[[#This Row],[Level 4]],rng_Level4Long,rng_Level5Long)</f>
        <v>Electricity</v>
      </c>
      <c r="W205" s="174" t="str" cm="1">
        <f t="array" aca="1" ref="W205" ca="1">_xlfn.XLOOKUP(Buildings_GridElectricity_Backend[[#This Row],[Level 4]],rng_Level4Long,rng_Level6Long)</f>
        <v>NaN</v>
      </c>
      <c r="X205" s="174">
        <f>Buildings_GridElectricity_Frontend[[#This Row],[Site Name]]</f>
        <v>0</v>
      </c>
      <c r="Y205" s="174">
        <f>Buildings_GridElectricity_Frontend[[#This Row],[Contracting]]</f>
        <v>0</v>
      </c>
      <c r="Z205" s="174">
        <f>Buildings_GridElectricity_Frontend[[#This Row],[Methodology]]</f>
        <v>0</v>
      </c>
      <c r="AA205" s="229" t="str" cm="1">
        <f t="array" ref="AA205">IF(Buildings_GridElectricity_Frontend[[#This Row],[Data]]="","",INDEX(_xlfn.SWITCH(Buildings_GridElectricity_Backend[[#This Row],[Methodology]],"Tier 1",rng_RSD1,"Tier 2",rng_RSD2,"Tier 3",rng_RSD3),MATCH(_xlfn.CONCAT(Buildings_GridElectricity_Backend[[#This Row],[Level 1]:[Level 6]]),rng_LevelsConcat,0)))</f>
        <v/>
      </c>
      <c r="AB205" s="220">
        <f>Buildings_GridElectricity_Frontend[[#This Row],[Data]]</f>
        <v>0</v>
      </c>
      <c r="AC205" s="174" t="str">
        <f>Buildings_GridElectricity_Frontend[[#This Row],[Units]]</f>
        <v>kWh</v>
      </c>
      <c r="AD205" s="218">
        <f>Buildings_GridElectricity_Frontend[[#This Row],[Data]]</f>
        <v>0</v>
      </c>
      <c r="AE205" s="174" t="str">
        <f>Buildings_GridElectricity_Frontend[[#This Row],[Units]]</f>
        <v>kWh</v>
      </c>
      <c r="AF205" s="210" t="str">
        <f>IF(Buildings_GridElectricity_Frontend[[#This Row],[Data]]="","",_xlfn.XLOOKUP(_xlfn.CONCAT(Buildings_GridElectricity_Backend[[#This Row],[Level 1]:[Level 6]]),rng_EFConcat,rng_EF1)*Buildings_GridElectricity_Backend[[#This Row],[Converted data]]/1000)</f>
        <v/>
      </c>
      <c r="AG205" s="210" t="str">
        <f>IF(Buildings_GridElectricity_Frontend[[#This Row],[Data]]="","",_xlfn.XLOOKUP(_xlfn.CONCAT(Buildings_GridElectricity_Backend[[#This Row],[Level 1]:[Level 6]]),rng_EFConcat,rng_EF2)*Buildings_GridElectricity_Backend[[#This Row],[Converted data]]/1000)</f>
        <v/>
      </c>
      <c r="AH205" s="210" t="str">
        <f>IF(Buildings_GridElectricity_Frontend[[#This Row],[Data]]="","",_xlfn.XLOOKUP(_xlfn.CONCAT(Buildings_GridElectricity_Backend[[#This Row],[Level 1]:[Level 6]]),rng_EFConcat,rng_EF3)*Buildings_GridElectricity_Backend[[#This Row],[Converted data]]/1000)</f>
        <v/>
      </c>
      <c r="AI205" s="210" t="str">
        <f>IF(Buildings_GridElectricity_Frontend[[#This Row],[Data]]="","",_xlfn.XLOOKUP(_xlfn.CONCAT(Buildings_GridElectricity_Backend[[#This Row],[Level 1]:[Level 6]]),rng_EFConcat,rng_EF3WTT)*Buildings_GridElectricity_Backend[[#This Row],[Converted data]]/1000)</f>
        <v/>
      </c>
      <c r="AJ205" s="210" t="str">
        <f>IF(Buildings_GridElectricity_Frontend[[#This Row],[Data]]="","",_xlfn.XLOOKUP(_xlfn.CONCAT(Buildings_GridElectricity_Backend[[#This Row],[Level 1]:[Level 6]]),rng_EFConcat,rng_EF3TD)*Buildings_GridElectricity_Backend[[#This Row],[Converted data]]/1000)</f>
        <v/>
      </c>
      <c r="AK205" s="210" t="str">
        <f>IF(Buildings_GridElectricity_Frontend[[#This Row],[Data]]="","",_xlfn.XLOOKUP(_xlfn.CONCAT(Buildings_GridElectricity_Backend[[#This Row],[Level 1]:[Level 6]]),rng_EFConcat,rng_EF3WTTTD)*Buildings_GridElectricity_Backend[[#This Row],[Converted data]]/1000)</f>
        <v/>
      </c>
      <c r="AL205" s="220" t="str">
        <f>IF(Buildings_GridElectricity_Frontend[[#This Row],[Data]]="","",SUM(Buildings_GridElectricity_Backend[[#This Row],[Scope 1 (tCO2e)]:[Scope 3 WTT T&amp;D (tCO2e)]]))</f>
        <v/>
      </c>
      <c r="AM205" s="220" t="str">
        <f>IF(Buildings_GridElectricity_Frontend[[#This Row],[Data]]="","",Buildings_GridElectricity_Backend[[#This Row],[Total (tCO2e)]]*(1-Buildings_GridElectricity_Backend[[#This Row],[RSD]]))</f>
        <v/>
      </c>
      <c r="AN205" s="220" t="str">
        <f>IF(Buildings_GridElectricity_Frontend[[#This Row],[Data]]="","",Buildings_GridElectricity_Backend[[#This Row],[Total (tCO2e)]]*(1+Buildings_GridElectricity_Backend[[#This Row],[RSD]]))</f>
        <v/>
      </c>
      <c r="AO205" s="210" t="str">
        <f>IF(Buildings_GridElectricity_Frontend[[#This Row],[Data]]="","",_xlfn.XLOOKUP(_xlfn.CONCAT(Buildings_GridElectricity_Backend[[#This Row],[Level 1]:[Level 6]]),rng_EFConcat,rng_EFOOS)*Buildings_GridElectricity_Backend[[#This Row],[Converted data]]/1000)</f>
        <v/>
      </c>
      <c r="AP205" s="174">
        <f>Buildings_GridElectricity_Frontend[[#This Row],[Ease of collection]]</f>
        <v>0</v>
      </c>
      <c r="AQ205" s="213">
        <f>Buildings_GridElectricity_Frontend[[#This Row],[Completeness]]</f>
        <v>0</v>
      </c>
      <c r="AR205" s="220">
        <f>Buildings_GridElectricity_Frontend[[#This Row],[Notes]]</f>
        <v>0</v>
      </c>
    </row>
    <row r="206" spans="5:44" x14ac:dyDescent="0.3">
      <c r="E206" s="346"/>
      <c r="F206" s="449"/>
      <c r="G206" s="336"/>
      <c r="H206" s="334"/>
      <c r="I206" s="172" t="s">
        <v>316</v>
      </c>
      <c r="J206" s="337"/>
      <c r="K206" s="336"/>
      <c r="L206" s="336"/>
      <c r="M206" s="337"/>
      <c r="N206" s="242">
        <f t="shared" si="7"/>
        <v>3</v>
      </c>
      <c r="Q206" s="212" t="str">
        <f t="shared" si="6"/>
        <v/>
      </c>
      <c r="R206" s="174" t="s">
        <v>265</v>
      </c>
      <c r="S206" s="174" t="s">
        <v>273</v>
      </c>
      <c r="T206" s="174" t="str">
        <f>_xlfn.XLOOKUP(Buildings_GridElectricity_Backend[[#This Row],[Info 1]],Buildings_SiteInfo[Site name],Buildings_SiteInfo[Site type], "")</f>
        <v/>
      </c>
      <c r="U206" s="174" t="s">
        <v>281</v>
      </c>
      <c r="V206" s="174" t="str" cm="1">
        <f t="array" aca="1" ref="V206" ca="1">_xlfn.XLOOKUP(Buildings_GridElectricity_Backend[[#This Row],[Level 4]],rng_Level4Long,rng_Level5Long)</f>
        <v>Electricity</v>
      </c>
      <c r="W206" s="174" t="str" cm="1">
        <f t="array" aca="1" ref="W206" ca="1">_xlfn.XLOOKUP(Buildings_GridElectricity_Backend[[#This Row],[Level 4]],rng_Level4Long,rng_Level6Long)</f>
        <v>NaN</v>
      </c>
      <c r="X206" s="174">
        <f>Buildings_GridElectricity_Frontend[[#This Row],[Site Name]]</f>
        <v>0</v>
      </c>
      <c r="Y206" s="174">
        <f>Buildings_GridElectricity_Frontend[[#This Row],[Contracting]]</f>
        <v>0</v>
      </c>
      <c r="Z206" s="174">
        <f>Buildings_GridElectricity_Frontend[[#This Row],[Methodology]]</f>
        <v>0</v>
      </c>
      <c r="AA206" s="229" t="str" cm="1">
        <f t="array" ref="AA206">IF(Buildings_GridElectricity_Frontend[[#This Row],[Data]]="","",INDEX(_xlfn.SWITCH(Buildings_GridElectricity_Backend[[#This Row],[Methodology]],"Tier 1",rng_RSD1,"Tier 2",rng_RSD2,"Tier 3",rng_RSD3),MATCH(_xlfn.CONCAT(Buildings_GridElectricity_Backend[[#This Row],[Level 1]:[Level 6]]),rng_LevelsConcat,0)))</f>
        <v/>
      </c>
      <c r="AB206" s="220">
        <f>Buildings_GridElectricity_Frontend[[#This Row],[Data]]</f>
        <v>0</v>
      </c>
      <c r="AC206" s="174" t="str">
        <f>Buildings_GridElectricity_Frontend[[#This Row],[Units]]</f>
        <v>kWh</v>
      </c>
      <c r="AD206" s="218">
        <f>Buildings_GridElectricity_Frontend[[#This Row],[Data]]</f>
        <v>0</v>
      </c>
      <c r="AE206" s="174" t="str">
        <f>Buildings_GridElectricity_Frontend[[#This Row],[Units]]</f>
        <v>kWh</v>
      </c>
      <c r="AF206" s="210" t="str">
        <f>IF(Buildings_GridElectricity_Frontend[[#This Row],[Data]]="","",_xlfn.XLOOKUP(_xlfn.CONCAT(Buildings_GridElectricity_Backend[[#This Row],[Level 1]:[Level 6]]),rng_EFConcat,rng_EF1)*Buildings_GridElectricity_Backend[[#This Row],[Converted data]]/1000)</f>
        <v/>
      </c>
      <c r="AG206" s="210" t="str">
        <f>IF(Buildings_GridElectricity_Frontend[[#This Row],[Data]]="","",_xlfn.XLOOKUP(_xlfn.CONCAT(Buildings_GridElectricity_Backend[[#This Row],[Level 1]:[Level 6]]),rng_EFConcat,rng_EF2)*Buildings_GridElectricity_Backend[[#This Row],[Converted data]]/1000)</f>
        <v/>
      </c>
      <c r="AH206" s="210" t="str">
        <f>IF(Buildings_GridElectricity_Frontend[[#This Row],[Data]]="","",_xlfn.XLOOKUP(_xlfn.CONCAT(Buildings_GridElectricity_Backend[[#This Row],[Level 1]:[Level 6]]),rng_EFConcat,rng_EF3)*Buildings_GridElectricity_Backend[[#This Row],[Converted data]]/1000)</f>
        <v/>
      </c>
      <c r="AI206" s="210" t="str">
        <f>IF(Buildings_GridElectricity_Frontend[[#This Row],[Data]]="","",_xlfn.XLOOKUP(_xlfn.CONCAT(Buildings_GridElectricity_Backend[[#This Row],[Level 1]:[Level 6]]),rng_EFConcat,rng_EF3WTT)*Buildings_GridElectricity_Backend[[#This Row],[Converted data]]/1000)</f>
        <v/>
      </c>
      <c r="AJ206" s="210" t="str">
        <f>IF(Buildings_GridElectricity_Frontend[[#This Row],[Data]]="","",_xlfn.XLOOKUP(_xlfn.CONCAT(Buildings_GridElectricity_Backend[[#This Row],[Level 1]:[Level 6]]),rng_EFConcat,rng_EF3TD)*Buildings_GridElectricity_Backend[[#This Row],[Converted data]]/1000)</f>
        <v/>
      </c>
      <c r="AK206" s="210" t="str">
        <f>IF(Buildings_GridElectricity_Frontend[[#This Row],[Data]]="","",_xlfn.XLOOKUP(_xlfn.CONCAT(Buildings_GridElectricity_Backend[[#This Row],[Level 1]:[Level 6]]),rng_EFConcat,rng_EF3WTTTD)*Buildings_GridElectricity_Backend[[#This Row],[Converted data]]/1000)</f>
        <v/>
      </c>
      <c r="AL206" s="220" t="str">
        <f>IF(Buildings_GridElectricity_Frontend[[#This Row],[Data]]="","",SUM(Buildings_GridElectricity_Backend[[#This Row],[Scope 1 (tCO2e)]:[Scope 3 WTT T&amp;D (tCO2e)]]))</f>
        <v/>
      </c>
      <c r="AM206" s="220" t="str">
        <f>IF(Buildings_GridElectricity_Frontend[[#This Row],[Data]]="","",Buildings_GridElectricity_Backend[[#This Row],[Total (tCO2e)]]*(1-Buildings_GridElectricity_Backend[[#This Row],[RSD]]))</f>
        <v/>
      </c>
      <c r="AN206" s="220" t="str">
        <f>IF(Buildings_GridElectricity_Frontend[[#This Row],[Data]]="","",Buildings_GridElectricity_Backend[[#This Row],[Total (tCO2e)]]*(1+Buildings_GridElectricity_Backend[[#This Row],[RSD]]))</f>
        <v/>
      </c>
      <c r="AO206" s="210" t="str">
        <f>IF(Buildings_GridElectricity_Frontend[[#This Row],[Data]]="","",_xlfn.XLOOKUP(_xlfn.CONCAT(Buildings_GridElectricity_Backend[[#This Row],[Level 1]:[Level 6]]),rng_EFConcat,rng_EFOOS)*Buildings_GridElectricity_Backend[[#This Row],[Converted data]]/1000)</f>
        <v/>
      </c>
      <c r="AP206" s="174">
        <f>Buildings_GridElectricity_Frontend[[#This Row],[Ease of collection]]</f>
        <v>0</v>
      </c>
      <c r="AQ206" s="213">
        <f>Buildings_GridElectricity_Frontend[[#This Row],[Completeness]]</f>
        <v>0</v>
      </c>
      <c r="AR206" s="220">
        <f>Buildings_GridElectricity_Frontend[[#This Row],[Notes]]</f>
        <v>0</v>
      </c>
    </row>
    <row r="207" spans="5:44" x14ac:dyDescent="0.3">
      <c r="E207" s="346"/>
      <c r="F207" s="449"/>
      <c r="G207" s="336"/>
      <c r="H207" s="334"/>
      <c r="I207" s="172" t="s">
        <v>316</v>
      </c>
      <c r="J207" s="337"/>
      <c r="K207" s="336"/>
      <c r="L207" s="336"/>
      <c r="M207" s="337"/>
      <c r="N207" s="242">
        <f t="shared" si="7"/>
        <v>3</v>
      </c>
      <c r="Q207" s="212" t="str">
        <f t="shared" si="6"/>
        <v/>
      </c>
      <c r="R207" s="174" t="s">
        <v>265</v>
      </c>
      <c r="S207" s="174" t="s">
        <v>273</v>
      </c>
      <c r="T207" s="174" t="str">
        <f>_xlfn.XLOOKUP(Buildings_GridElectricity_Backend[[#This Row],[Info 1]],Buildings_SiteInfo[Site name],Buildings_SiteInfo[Site type], "")</f>
        <v/>
      </c>
      <c r="U207" s="174" t="s">
        <v>281</v>
      </c>
      <c r="V207" s="174" t="str" cm="1">
        <f t="array" aca="1" ref="V207" ca="1">_xlfn.XLOOKUP(Buildings_GridElectricity_Backend[[#This Row],[Level 4]],rng_Level4Long,rng_Level5Long)</f>
        <v>Electricity</v>
      </c>
      <c r="W207" s="174" t="str" cm="1">
        <f t="array" aca="1" ref="W207" ca="1">_xlfn.XLOOKUP(Buildings_GridElectricity_Backend[[#This Row],[Level 4]],rng_Level4Long,rng_Level6Long)</f>
        <v>NaN</v>
      </c>
      <c r="X207" s="174">
        <f>Buildings_GridElectricity_Frontend[[#This Row],[Site Name]]</f>
        <v>0</v>
      </c>
      <c r="Y207" s="174">
        <f>Buildings_GridElectricity_Frontend[[#This Row],[Contracting]]</f>
        <v>0</v>
      </c>
      <c r="Z207" s="174">
        <f>Buildings_GridElectricity_Frontend[[#This Row],[Methodology]]</f>
        <v>0</v>
      </c>
      <c r="AA207" s="229" t="str" cm="1">
        <f t="array" ref="AA207">IF(Buildings_GridElectricity_Frontend[[#This Row],[Data]]="","",INDEX(_xlfn.SWITCH(Buildings_GridElectricity_Backend[[#This Row],[Methodology]],"Tier 1",rng_RSD1,"Tier 2",rng_RSD2,"Tier 3",rng_RSD3),MATCH(_xlfn.CONCAT(Buildings_GridElectricity_Backend[[#This Row],[Level 1]:[Level 6]]),rng_LevelsConcat,0)))</f>
        <v/>
      </c>
      <c r="AB207" s="220">
        <f>Buildings_GridElectricity_Frontend[[#This Row],[Data]]</f>
        <v>0</v>
      </c>
      <c r="AC207" s="174" t="str">
        <f>Buildings_GridElectricity_Frontend[[#This Row],[Units]]</f>
        <v>kWh</v>
      </c>
      <c r="AD207" s="218">
        <f>Buildings_GridElectricity_Frontend[[#This Row],[Data]]</f>
        <v>0</v>
      </c>
      <c r="AE207" s="174" t="str">
        <f>Buildings_GridElectricity_Frontend[[#This Row],[Units]]</f>
        <v>kWh</v>
      </c>
      <c r="AF207" s="210" t="str">
        <f>IF(Buildings_GridElectricity_Frontend[[#This Row],[Data]]="","",_xlfn.XLOOKUP(_xlfn.CONCAT(Buildings_GridElectricity_Backend[[#This Row],[Level 1]:[Level 6]]),rng_EFConcat,rng_EF1)*Buildings_GridElectricity_Backend[[#This Row],[Converted data]]/1000)</f>
        <v/>
      </c>
      <c r="AG207" s="210" t="str">
        <f>IF(Buildings_GridElectricity_Frontend[[#This Row],[Data]]="","",_xlfn.XLOOKUP(_xlfn.CONCAT(Buildings_GridElectricity_Backend[[#This Row],[Level 1]:[Level 6]]),rng_EFConcat,rng_EF2)*Buildings_GridElectricity_Backend[[#This Row],[Converted data]]/1000)</f>
        <v/>
      </c>
      <c r="AH207" s="210" t="str">
        <f>IF(Buildings_GridElectricity_Frontend[[#This Row],[Data]]="","",_xlfn.XLOOKUP(_xlfn.CONCAT(Buildings_GridElectricity_Backend[[#This Row],[Level 1]:[Level 6]]),rng_EFConcat,rng_EF3)*Buildings_GridElectricity_Backend[[#This Row],[Converted data]]/1000)</f>
        <v/>
      </c>
      <c r="AI207" s="210" t="str">
        <f>IF(Buildings_GridElectricity_Frontend[[#This Row],[Data]]="","",_xlfn.XLOOKUP(_xlfn.CONCAT(Buildings_GridElectricity_Backend[[#This Row],[Level 1]:[Level 6]]),rng_EFConcat,rng_EF3WTT)*Buildings_GridElectricity_Backend[[#This Row],[Converted data]]/1000)</f>
        <v/>
      </c>
      <c r="AJ207" s="210" t="str">
        <f>IF(Buildings_GridElectricity_Frontend[[#This Row],[Data]]="","",_xlfn.XLOOKUP(_xlfn.CONCAT(Buildings_GridElectricity_Backend[[#This Row],[Level 1]:[Level 6]]),rng_EFConcat,rng_EF3TD)*Buildings_GridElectricity_Backend[[#This Row],[Converted data]]/1000)</f>
        <v/>
      </c>
      <c r="AK207" s="210" t="str">
        <f>IF(Buildings_GridElectricity_Frontend[[#This Row],[Data]]="","",_xlfn.XLOOKUP(_xlfn.CONCAT(Buildings_GridElectricity_Backend[[#This Row],[Level 1]:[Level 6]]),rng_EFConcat,rng_EF3WTTTD)*Buildings_GridElectricity_Backend[[#This Row],[Converted data]]/1000)</f>
        <v/>
      </c>
      <c r="AL207" s="220" t="str">
        <f>IF(Buildings_GridElectricity_Frontend[[#This Row],[Data]]="","",SUM(Buildings_GridElectricity_Backend[[#This Row],[Scope 1 (tCO2e)]:[Scope 3 WTT T&amp;D (tCO2e)]]))</f>
        <v/>
      </c>
      <c r="AM207" s="220" t="str">
        <f>IF(Buildings_GridElectricity_Frontend[[#This Row],[Data]]="","",Buildings_GridElectricity_Backend[[#This Row],[Total (tCO2e)]]*(1-Buildings_GridElectricity_Backend[[#This Row],[RSD]]))</f>
        <v/>
      </c>
      <c r="AN207" s="220" t="str">
        <f>IF(Buildings_GridElectricity_Frontend[[#This Row],[Data]]="","",Buildings_GridElectricity_Backend[[#This Row],[Total (tCO2e)]]*(1+Buildings_GridElectricity_Backend[[#This Row],[RSD]]))</f>
        <v/>
      </c>
      <c r="AO207" s="210" t="str">
        <f>IF(Buildings_GridElectricity_Frontend[[#This Row],[Data]]="","",_xlfn.XLOOKUP(_xlfn.CONCAT(Buildings_GridElectricity_Backend[[#This Row],[Level 1]:[Level 6]]),rng_EFConcat,rng_EFOOS)*Buildings_GridElectricity_Backend[[#This Row],[Converted data]]/1000)</f>
        <v/>
      </c>
      <c r="AP207" s="174">
        <f>Buildings_GridElectricity_Frontend[[#This Row],[Ease of collection]]</f>
        <v>0</v>
      </c>
      <c r="AQ207" s="213">
        <f>Buildings_GridElectricity_Frontend[[#This Row],[Completeness]]</f>
        <v>0</v>
      </c>
      <c r="AR207" s="220">
        <f>Buildings_GridElectricity_Frontend[[#This Row],[Notes]]</f>
        <v>0</v>
      </c>
    </row>
    <row r="208" spans="5:44" x14ac:dyDescent="0.3">
      <c r="E208" s="346"/>
      <c r="F208" s="449"/>
      <c r="G208" s="336"/>
      <c r="H208" s="334"/>
      <c r="I208" s="172" t="s">
        <v>316</v>
      </c>
      <c r="J208" s="337"/>
      <c r="K208" s="336"/>
      <c r="L208" s="336"/>
      <c r="M208" s="337"/>
      <c r="N208" s="242">
        <f t="shared" si="7"/>
        <v>3</v>
      </c>
      <c r="Q208" s="212" t="str">
        <f t="shared" si="6"/>
        <v/>
      </c>
      <c r="R208" s="174" t="s">
        <v>265</v>
      </c>
      <c r="S208" s="174" t="s">
        <v>273</v>
      </c>
      <c r="T208" s="174" t="str">
        <f>_xlfn.XLOOKUP(Buildings_GridElectricity_Backend[[#This Row],[Info 1]],Buildings_SiteInfo[Site name],Buildings_SiteInfo[Site type], "")</f>
        <v/>
      </c>
      <c r="U208" s="174" t="s">
        <v>281</v>
      </c>
      <c r="V208" s="174" t="str" cm="1">
        <f t="array" aca="1" ref="V208" ca="1">_xlfn.XLOOKUP(Buildings_GridElectricity_Backend[[#This Row],[Level 4]],rng_Level4Long,rng_Level5Long)</f>
        <v>Electricity</v>
      </c>
      <c r="W208" s="174" t="str" cm="1">
        <f t="array" aca="1" ref="W208" ca="1">_xlfn.XLOOKUP(Buildings_GridElectricity_Backend[[#This Row],[Level 4]],rng_Level4Long,rng_Level6Long)</f>
        <v>NaN</v>
      </c>
      <c r="X208" s="174">
        <f>Buildings_GridElectricity_Frontend[[#This Row],[Site Name]]</f>
        <v>0</v>
      </c>
      <c r="Y208" s="174">
        <f>Buildings_GridElectricity_Frontend[[#This Row],[Contracting]]</f>
        <v>0</v>
      </c>
      <c r="Z208" s="174">
        <f>Buildings_GridElectricity_Frontend[[#This Row],[Methodology]]</f>
        <v>0</v>
      </c>
      <c r="AA208" s="229" t="str" cm="1">
        <f t="array" ref="AA208">IF(Buildings_GridElectricity_Frontend[[#This Row],[Data]]="","",INDEX(_xlfn.SWITCH(Buildings_GridElectricity_Backend[[#This Row],[Methodology]],"Tier 1",rng_RSD1,"Tier 2",rng_RSD2,"Tier 3",rng_RSD3),MATCH(_xlfn.CONCAT(Buildings_GridElectricity_Backend[[#This Row],[Level 1]:[Level 6]]),rng_LevelsConcat,0)))</f>
        <v/>
      </c>
      <c r="AB208" s="220">
        <f>Buildings_GridElectricity_Frontend[[#This Row],[Data]]</f>
        <v>0</v>
      </c>
      <c r="AC208" s="174" t="str">
        <f>Buildings_GridElectricity_Frontend[[#This Row],[Units]]</f>
        <v>kWh</v>
      </c>
      <c r="AD208" s="218">
        <f>Buildings_GridElectricity_Frontend[[#This Row],[Data]]</f>
        <v>0</v>
      </c>
      <c r="AE208" s="174" t="str">
        <f>Buildings_GridElectricity_Frontend[[#This Row],[Units]]</f>
        <v>kWh</v>
      </c>
      <c r="AF208" s="210" t="str">
        <f>IF(Buildings_GridElectricity_Frontend[[#This Row],[Data]]="","",_xlfn.XLOOKUP(_xlfn.CONCAT(Buildings_GridElectricity_Backend[[#This Row],[Level 1]:[Level 6]]),rng_EFConcat,rng_EF1)*Buildings_GridElectricity_Backend[[#This Row],[Converted data]]/1000)</f>
        <v/>
      </c>
      <c r="AG208" s="210" t="str">
        <f>IF(Buildings_GridElectricity_Frontend[[#This Row],[Data]]="","",_xlfn.XLOOKUP(_xlfn.CONCAT(Buildings_GridElectricity_Backend[[#This Row],[Level 1]:[Level 6]]),rng_EFConcat,rng_EF2)*Buildings_GridElectricity_Backend[[#This Row],[Converted data]]/1000)</f>
        <v/>
      </c>
      <c r="AH208" s="210" t="str">
        <f>IF(Buildings_GridElectricity_Frontend[[#This Row],[Data]]="","",_xlfn.XLOOKUP(_xlfn.CONCAT(Buildings_GridElectricity_Backend[[#This Row],[Level 1]:[Level 6]]),rng_EFConcat,rng_EF3)*Buildings_GridElectricity_Backend[[#This Row],[Converted data]]/1000)</f>
        <v/>
      </c>
      <c r="AI208" s="210" t="str">
        <f>IF(Buildings_GridElectricity_Frontend[[#This Row],[Data]]="","",_xlfn.XLOOKUP(_xlfn.CONCAT(Buildings_GridElectricity_Backend[[#This Row],[Level 1]:[Level 6]]),rng_EFConcat,rng_EF3WTT)*Buildings_GridElectricity_Backend[[#This Row],[Converted data]]/1000)</f>
        <v/>
      </c>
      <c r="AJ208" s="210" t="str">
        <f>IF(Buildings_GridElectricity_Frontend[[#This Row],[Data]]="","",_xlfn.XLOOKUP(_xlfn.CONCAT(Buildings_GridElectricity_Backend[[#This Row],[Level 1]:[Level 6]]),rng_EFConcat,rng_EF3TD)*Buildings_GridElectricity_Backend[[#This Row],[Converted data]]/1000)</f>
        <v/>
      </c>
      <c r="AK208" s="210" t="str">
        <f>IF(Buildings_GridElectricity_Frontend[[#This Row],[Data]]="","",_xlfn.XLOOKUP(_xlfn.CONCAT(Buildings_GridElectricity_Backend[[#This Row],[Level 1]:[Level 6]]),rng_EFConcat,rng_EF3WTTTD)*Buildings_GridElectricity_Backend[[#This Row],[Converted data]]/1000)</f>
        <v/>
      </c>
      <c r="AL208" s="220" t="str">
        <f>IF(Buildings_GridElectricity_Frontend[[#This Row],[Data]]="","",SUM(Buildings_GridElectricity_Backend[[#This Row],[Scope 1 (tCO2e)]:[Scope 3 WTT T&amp;D (tCO2e)]]))</f>
        <v/>
      </c>
      <c r="AM208" s="220" t="str">
        <f>IF(Buildings_GridElectricity_Frontend[[#This Row],[Data]]="","",Buildings_GridElectricity_Backend[[#This Row],[Total (tCO2e)]]*(1-Buildings_GridElectricity_Backend[[#This Row],[RSD]]))</f>
        <v/>
      </c>
      <c r="AN208" s="220" t="str">
        <f>IF(Buildings_GridElectricity_Frontend[[#This Row],[Data]]="","",Buildings_GridElectricity_Backend[[#This Row],[Total (tCO2e)]]*(1+Buildings_GridElectricity_Backend[[#This Row],[RSD]]))</f>
        <v/>
      </c>
      <c r="AO208" s="210" t="str">
        <f>IF(Buildings_GridElectricity_Frontend[[#This Row],[Data]]="","",_xlfn.XLOOKUP(_xlfn.CONCAT(Buildings_GridElectricity_Backend[[#This Row],[Level 1]:[Level 6]]),rng_EFConcat,rng_EFOOS)*Buildings_GridElectricity_Backend[[#This Row],[Converted data]]/1000)</f>
        <v/>
      </c>
      <c r="AP208" s="174">
        <f>Buildings_GridElectricity_Frontend[[#This Row],[Ease of collection]]</f>
        <v>0</v>
      </c>
      <c r="AQ208" s="213">
        <f>Buildings_GridElectricity_Frontend[[#This Row],[Completeness]]</f>
        <v>0</v>
      </c>
      <c r="AR208" s="220">
        <f>Buildings_GridElectricity_Frontend[[#This Row],[Notes]]</f>
        <v>0</v>
      </c>
    </row>
    <row r="209" spans="5:44" x14ac:dyDescent="0.3">
      <c r="E209" s="346"/>
      <c r="F209" s="449"/>
      <c r="G209" s="336"/>
      <c r="H209" s="334"/>
      <c r="I209" s="172" t="s">
        <v>316</v>
      </c>
      <c r="J209" s="337"/>
      <c r="K209" s="336"/>
      <c r="L209" s="336"/>
      <c r="M209" s="337"/>
      <c r="N209" s="242">
        <f t="shared" si="7"/>
        <v>3</v>
      </c>
      <c r="Q209" s="212" t="str">
        <f t="shared" si="6"/>
        <v/>
      </c>
      <c r="R209" s="174" t="s">
        <v>265</v>
      </c>
      <c r="S209" s="174" t="s">
        <v>273</v>
      </c>
      <c r="T209" s="174" t="str">
        <f>_xlfn.XLOOKUP(Buildings_GridElectricity_Backend[[#This Row],[Info 1]],Buildings_SiteInfo[Site name],Buildings_SiteInfo[Site type], "")</f>
        <v/>
      </c>
      <c r="U209" s="174" t="s">
        <v>281</v>
      </c>
      <c r="V209" s="174" t="str" cm="1">
        <f t="array" aca="1" ref="V209" ca="1">_xlfn.XLOOKUP(Buildings_GridElectricity_Backend[[#This Row],[Level 4]],rng_Level4Long,rng_Level5Long)</f>
        <v>Electricity</v>
      </c>
      <c r="W209" s="174" t="str" cm="1">
        <f t="array" aca="1" ref="W209" ca="1">_xlfn.XLOOKUP(Buildings_GridElectricity_Backend[[#This Row],[Level 4]],rng_Level4Long,rng_Level6Long)</f>
        <v>NaN</v>
      </c>
      <c r="X209" s="174">
        <f>Buildings_GridElectricity_Frontend[[#This Row],[Site Name]]</f>
        <v>0</v>
      </c>
      <c r="Y209" s="174">
        <f>Buildings_GridElectricity_Frontend[[#This Row],[Contracting]]</f>
        <v>0</v>
      </c>
      <c r="Z209" s="174">
        <f>Buildings_GridElectricity_Frontend[[#This Row],[Methodology]]</f>
        <v>0</v>
      </c>
      <c r="AA209" s="229" t="str" cm="1">
        <f t="array" ref="AA209">IF(Buildings_GridElectricity_Frontend[[#This Row],[Data]]="","",INDEX(_xlfn.SWITCH(Buildings_GridElectricity_Backend[[#This Row],[Methodology]],"Tier 1",rng_RSD1,"Tier 2",rng_RSD2,"Tier 3",rng_RSD3),MATCH(_xlfn.CONCAT(Buildings_GridElectricity_Backend[[#This Row],[Level 1]:[Level 6]]),rng_LevelsConcat,0)))</f>
        <v/>
      </c>
      <c r="AB209" s="220">
        <f>Buildings_GridElectricity_Frontend[[#This Row],[Data]]</f>
        <v>0</v>
      </c>
      <c r="AC209" s="174" t="str">
        <f>Buildings_GridElectricity_Frontend[[#This Row],[Units]]</f>
        <v>kWh</v>
      </c>
      <c r="AD209" s="218">
        <f>Buildings_GridElectricity_Frontend[[#This Row],[Data]]</f>
        <v>0</v>
      </c>
      <c r="AE209" s="174" t="str">
        <f>Buildings_GridElectricity_Frontend[[#This Row],[Units]]</f>
        <v>kWh</v>
      </c>
      <c r="AF209" s="210" t="str">
        <f>IF(Buildings_GridElectricity_Frontend[[#This Row],[Data]]="","",_xlfn.XLOOKUP(_xlfn.CONCAT(Buildings_GridElectricity_Backend[[#This Row],[Level 1]:[Level 6]]),rng_EFConcat,rng_EF1)*Buildings_GridElectricity_Backend[[#This Row],[Converted data]]/1000)</f>
        <v/>
      </c>
      <c r="AG209" s="210" t="str">
        <f>IF(Buildings_GridElectricity_Frontend[[#This Row],[Data]]="","",_xlfn.XLOOKUP(_xlfn.CONCAT(Buildings_GridElectricity_Backend[[#This Row],[Level 1]:[Level 6]]),rng_EFConcat,rng_EF2)*Buildings_GridElectricity_Backend[[#This Row],[Converted data]]/1000)</f>
        <v/>
      </c>
      <c r="AH209" s="210" t="str">
        <f>IF(Buildings_GridElectricity_Frontend[[#This Row],[Data]]="","",_xlfn.XLOOKUP(_xlfn.CONCAT(Buildings_GridElectricity_Backend[[#This Row],[Level 1]:[Level 6]]),rng_EFConcat,rng_EF3)*Buildings_GridElectricity_Backend[[#This Row],[Converted data]]/1000)</f>
        <v/>
      </c>
      <c r="AI209" s="210" t="str">
        <f>IF(Buildings_GridElectricity_Frontend[[#This Row],[Data]]="","",_xlfn.XLOOKUP(_xlfn.CONCAT(Buildings_GridElectricity_Backend[[#This Row],[Level 1]:[Level 6]]),rng_EFConcat,rng_EF3WTT)*Buildings_GridElectricity_Backend[[#This Row],[Converted data]]/1000)</f>
        <v/>
      </c>
      <c r="AJ209" s="210" t="str">
        <f>IF(Buildings_GridElectricity_Frontend[[#This Row],[Data]]="","",_xlfn.XLOOKUP(_xlfn.CONCAT(Buildings_GridElectricity_Backend[[#This Row],[Level 1]:[Level 6]]),rng_EFConcat,rng_EF3TD)*Buildings_GridElectricity_Backend[[#This Row],[Converted data]]/1000)</f>
        <v/>
      </c>
      <c r="AK209" s="210" t="str">
        <f>IF(Buildings_GridElectricity_Frontend[[#This Row],[Data]]="","",_xlfn.XLOOKUP(_xlfn.CONCAT(Buildings_GridElectricity_Backend[[#This Row],[Level 1]:[Level 6]]),rng_EFConcat,rng_EF3WTTTD)*Buildings_GridElectricity_Backend[[#This Row],[Converted data]]/1000)</f>
        <v/>
      </c>
      <c r="AL209" s="220" t="str">
        <f>IF(Buildings_GridElectricity_Frontend[[#This Row],[Data]]="","",SUM(Buildings_GridElectricity_Backend[[#This Row],[Scope 1 (tCO2e)]:[Scope 3 WTT T&amp;D (tCO2e)]]))</f>
        <v/>
      </c>
      <c r="AM209" s="220" t="str">
        <f>IF(Buildings_GridElectricity_Frontend[[#This Row],[Data]]="","",Buildings_GridElectricity_Backend[[#This Row],[Total (tCO2e)]]*(1-Buildings_GridElectricity_Backend[[#This Row],[RSD]]))</f>
        <v/>
      </c>
      <c r="AN209" s="220" t="str">
        <f>IF(Buildings_GridElectricity_Frontend[[#This Row],[Data]]="","",Buildings_GridElectricity_Backend[[#This Row],[Total (tCO2e)]]*(1+Buildings_GridElectricity_Backend[[#This Row],[RSD]]))</f>
        <v/>
      </c>
      <c r="AO209" s="210" t="str">
        <f>IF(Buildings_GridElectricity_Frontend[[#This Row],[Data]]="","",_xlfn.XLOOKUP(_xlfn.CONCAT(Buildings_GridElectricity_Backend[[#This Row],[Level 1]:[Level 6]]),rng_EFConcat,rng_EFOOS)*Buildings_GridElectricity_Backend[[#This Row],[Converted data]]/1000)</f>
        <v/>
      </c>
      <c r="AP209" s="174">
        <f>Buildings_GridElectricity_Frontend[[#This Row],[Ease of collection]]</f>
        <v>0</v>
      </c>
      <c r="AQ209" s="213">
        <f>Buildings_GridElectricity_Frontend[[#This Row],[Completeness]]</f>
        <v>0</v>
      </c>
      <c r="AR209" s="220">
        <f>Buildings_GridElectricity_Frontend[[#This Row],[Notes]]</f>
        <v>0</v>
      </c>
    </row>
    <row r="210" spans="5:44" x14ac:dyDescent="0.3">
      <c r="E210" s="346"/>
      <c r="F210" s="449"/>
      <c r="G210" s="336"/>
      <c r="H210" s="334"/>
      <c r="I210" s="172" t="s">
        <v>316</v>
      </c>
      <c r="J210" s="337"/>
      <c r="K210" s="336"/>
      <c r="L210" s="336"/>
      <c r="M210" s="337"/>
      <c r="N210" s="242">
        <f t="shared" si="7"/>
        <v>3</v>
      </c>
      <c r="Q210" s="212" t="str">
        <f t="shared" si="6"/>
        <v/>
      </c>
      <c r="R210" s="174" t="s">
        <v>265</v>
      </c>
      <c r="S210" s="174" t="s">
        <v>273</v>
      </c>
      <c r="T210" s="174" t="str">
        <f>_xlfn.XLOOKUP(Buildings_GridElectricity_Backend[[#This Row],[Info 1]],Buildings_SiteInfo[Site name],Buildings_SiteInfo[Site type], "")</f>
        <v/>
      </c>
      <c r="U210" s="174" t="s">
        <v>281</v>
      </c>
      <c r="V210" s="174" t="str" cm="1">
        <f t="array" aca="1" ref="V210" ca="1">_xlfn.XLOOKUP(Buildings_GridElectricity_Backend[[#This Row],[Level 4]],rng_Level4Long,rng_Level5Long)</f>
        <v>Electricity</v>
      </c>
      <c r="W210" s="174" t="str" cm="1">
        <f t="array" aca="1" ref="W210" ca="1">_xlfn.XLOOKUP(Buildings_GridElectricity_Backend[[#This Row],[Level 4]],rng_Level4Long,rng_Level6Long)</f>
        <v>NaN</v>
      </c>
      <c r="X210" s="174">
        <f>Buildings_GridElectricity_Frontend[[#This Row],[Site Name]]</f>
        <v>0</v>
      </c>
      <c r="Y210" s="174">
        <f>Buildings_GridElectricity_Frontend[[#This Row],[Contracting]]</f>
        <v>0</v>
      </c>
      <c r="Z210" s="174">
        <f>Buildings_GridElectricity_Frontend[[#This Row],[Methodology]]</f>
        <v>0</v>
      </c>
      <c r="AA210" s="229" t="str" cm="1">
        <f t="array" ref="AA210">IF(Buildings_GridElectricity_Frontend[[#This Row],[Data]]="","",INDEX(_xlfn.SWITCH(Buildings_GridElectricity_Backend[[#This Row],[Methodology]],"Tier 1",rng_RSD1,"Tier 2",rng_RSD2,"Tier 3",rng_RSD3),MATCH(_xlfn.CONCAT(Buildings_GridElectricity_Backend[[#This Row],[Level 1]:[Level 6]]),rng_LevelsConcat,0)))</f>
        <v/>
      </c>
      <c r="AB210" s="220">
        <f>Buildings_GridElectricity_Frontend[[#This Row],[Data]]</f>
        <v>0</v>
      </c>
      <c r="AC210" s="174" t="str">
        <f>Buildings_GridElectricity_Frontend[[#This Row],[Units]]</f>
        <v>kWh</v>
      </c>
      <c r="AD210" s="218">
        <f>Buildings_GridElectricity_Frontend[[#This Row],[Data]]</f>
        <v>0</v>
      </c>
      <c r="AE210" s="174" t="str">
        <f>Buildings_GridElectricity_Frontend[[#This Row],[Units]]</f>
        <v>kWh</v>
      </c>
      <c r="AF210" s="210" t="str">
        <f>IF(Buildings_GridElectricity_Frontend[[#This Row],[Data]]="","",_xlfn.XLOOKUP(_xlfn.CONCAT(Buildings_GridElectricity_Backend[[#This Row],[Level 1]:[Level 6]]),rng_EFConcat,rng_EF1)*Buildings_GridElectricity_Backend[[#This Row],[Converted data]]/1000)</f>
        <v/>
      </c>
      <c r="AG210" s="210" t="str">
        <f>IF(Buildings_GridElectricity_Frontend[[#This Row],[Data]]="","",_xlfn.XLOOKUP(_xlfn.CONCAT(Buildings_GridElectricity_Backend[[#This Row],[Level 1]:[Level 6]]),rng_EFConcat,rng_EF2)*Buildings_GridElectricity_Backend[[#This Row],[Converted data]]/1000)</f>
        <v/>
      </c>
      <c r="AH210" s="210" t="str">
        <f>IF(Buildings_GridElectricity_Frontend[[#This Row],[Data]]="","",_xlfn.XLOOKUP(_xlfn.CONCAT(Buildings_GridElectricity_Backend[[#This Row],[Level 1]:[Level 6]]),rng_EFConcat,rng_EF3)*Buildings_GridElectricity_Backend[[#This Row],[Converted data]]/1000)</f>
        <v/>
      </c>
      <c r="AI210" s="210" t="str">
        <f>IF(Buildings_GridElectricity_Frontend[[#This Row],[Data]]="","",_xlfn.XLOOKUP(_xlfn.CONCAT(Buildings_GridElectricity_Backend[[#This Row],[Level 1]:[Level 6]]),rng_EFConcat,rng_EF3WTT)*Buildings_GridElectricity_Backend[[#This Row],[Converted data]]/1000)</f>
        <v/>
      </c>
      <c r="AJ210" s="210" t="str">
        <f>IF(Buildings_GridElectricity_Frontend[[#This Row],[Data]]="","",_xlfn.XLOOKUP(_xlfn.CONCAT(Buildings_GridElectricity_Backend[[#This Row],[Level 1]:[Level 6]]),rng_EFConcat,rng_EF3TD)*Buildings_GridElectricity_Backend[[#This Row],[Converted data]]/1000)</f>
        <v/>
      </c>
      <c r="AK210" s="210" t="str">
        <f>IF(Buildings_GridElectricity_Frontend[[#This Row],[Data]]="","",_xlfn.XLOOKUP(_xlfn.CONCAT(Buildings_GridElectricity_Backend[[#This Row],[Level 1]:[Level 6]]),rng_EFConcat,rng_EF3WTTTD)*Buildings_GridElectricity_Backend[[#This Row],[Converted data]]/1000)</f>
        <v/>
      </c>
      <c r="AL210" s="220" t="str">
        <f>IF(Buildings_GridElectricity_Frontend[[#This Row],[Data]]="","",SUM(Buildings_GridElectricity_Backend[[#This Row],[Scope 1 (tCO2e)]:[Scope 3 WTT T&amp;D (tCO2e)]]))</f>
        <v/>
      </c>
      <c r="AM210" s="220" t="str">
        <f>IF(Buildings_GridElectricity_Frontend[[#This Row],[Data]]="","",Buildings_GridElectricity_Backend[[#This Row],[Total (tCO2e)]]*(1-Buildings_GridElectricity_Backend[[#This Row],[RSD]]))</f>
        <v/>
      </c>
      <c r="AN210" s="220" t="str">
        <f>IF(Buildings_GridElectricity_Frontend[[#This Row],[Data]]="","",Buildings_GridElectricity_Backend[[#This Row],[Total (tCO2e)]]*(1+Buildings_GridElectricity_Backend[[#This Row],[RSD]]))</f>
        <v/>
      </c>
      <c r="AO210" s="210" t="str">
        <f>IF(Buildings_GridElectricity_Frontend[[#This Row],[Data]]="","",_xlfn.XLOOKUP(_xlfn.CONCAT(Buildings_GridElectricity_Backend[[#This Row],[Level 1]:[Level 6]]),rng_EFConcat,rng_EFOOS)*Buildings_GridElectricity_Backend[[#This Row],[Converted data]]/1000)</f>
        <v/>
      </c>
      <c r="AP210" s="174">
        <f>Buildings_GridElectricity_Frontend[[#This Row],[Ease of collection]]</f>
        <v>0</v>
      </c>
      <c r="AQ210" s="213">
        <f>Buildings_GridElectricity_Frontend[[#This Row],[Completeness]]</f>
        <v>0</v>
      </c>
      <c r="AR210" s="220">
        <f>Buildings_GridElectricity_Frontend[[#This Row],[Notes]]</f>
        <v>0</v>
      </c>
    </row>
    <row r="211" spans="5:44" x14ac:dyDescent="0.3">
      <c r="E211" s="346"/>
      <c r="F211" s="449"/>
      <c r="G211" s="336"/>
      <c r="H211" s="334"/>
      <c r="I211" s="172" t="s">
        <v>316</v>
      </c>
      <c r="J211" s="337"/>
      <c r="K211" s="336"/>
      <c r="L211" s="336"/>
      <c r="M211" s="337"/>
      <c r="N211" s="242">
        <f t="shared" si="7"/>
        <v>3</v>
      </c>
      <c r="Q211" s="212" t="str">
        <f t="shared" si="6"/>
        <v/>
      </c>
      <c r="R211" s="174" t="s">
        <v>265</v>
      </c>
      <c r="S211" s="174" t="s">
        <v>273</v>
      </c>
      <c r="T211" s="174" t="str">
        <f>_xlfn.XLOOKUP(Buildings_GridElectricity_Backend[[#This Row],[Info 1]],Buildings_SiteInfo[Site name],Buildings_SiteInfo[Site type], "")</f>
        <v/>
      </c>
      <c r="U211" s="174" t="s">
        <v>281</v>
      </c>
      <c r="V211" s="174" t="str" cm="1">
        <f t="array" aca="1" ref="V211" ca="1">_xlfn.XLOOKUP(Buildings_GridElectricity_Backend[[#This Row],[Level 4]],rng_Level4Long,rng_Level5Long)</f>
        <v>Electricity</v>
      </c>
      <c r="W211" s="174" t="str" cm="1">
        <f t="array" aca="1" ref="W211" ca="1">_xlfn.XLOOKUP(Buildings_GridElectricity_Backend[[#This Row],[Level 4]],rng_Level4Long,rng_Level6Long)</f>
        <v>NaN</v>
      </c>
      <c r="X211" s="174">
        <f>Buildings_GridElectricity_Frontend[[#This Row],[Site Name]]</f>
        <v>0</v>
      </c>
      <c r="Y211" s="174">
        <f>Buildings_GridElectricity_Frontend[[#This Row],[Contracting]]</f>
        <v>0</v>
      </c>
      <c r="Z211" s="174">
        <f>Buildings_GridElectricity_Frontend[[#This Row],[Methodology]]</f>
        <v>0</v>
      </c>
      <c r="AA211" s="229" t="str" cm="1">
        <f t="array" ref="AA211">IF(Buildings_GridElectricity_Frontend[[#This Row],[Data]]="","",INDEX(_xlfn.SWITCH(Buildings_GridElectricity_Backend[[#This Row],[Methodology]],"Tier 1",rng_RSD1,"Tier 2",rng_RSD2,"Tier 3",rng_RSD3),MATCH(_xlfn.CONCAT(Buildings_GridElectricity_Backend[[#This Row],[Level 1]:[Level 6]]),rng_LevelsConcat,0)))</f>
        <v/>
      </c>
      <c r="AB211" s="220">
        <f>Buildings_GridElectricity_Frontend[[#This Row],[Data]]</f>
        <v>0</v>
      </c>
      <c r="AC211" s="174" t="str">
        <f>Buildings_GridElectricity_Frontend[[#This Row],[Units]]</f>
        <v>kWh</v>
      </c>
      <c r="AD211" s="218">
        <f>Buildings_GridElectricity_Frontend[[#This Row],[Data]]</f>
        <v>0</v>
      </c>
      <c r="AE211" s="174" t="str">
        <f>Buildings_GridElectricity_Frontend[[#This Row],[Units]]</f>
        <v>kWh</v>
      </c>
      <c r="AF211" s="210" t="str">
        <f>IF(Buildings_GridElectricity_Frontend[[#This Row],[Data]]="","",_xlfn.XLOOKUP(_xlfn.CONCAT(Buildings_GridElectricity_Backend[[#This Row],[Level 1]:[Level 6]]),rng_EFConcat,rng_EF1)*Buildings_GridElectricity_Backend[[#This Row],[Converted data]]/1000)</f>
        <v/>
      </c>
      <c r="AG211" s="210" t="str">
        <f>IF(Buildings_GridElectricity_Frontend[[#This Row],[Data]]="","",_xlfn.XLOOKUP(_xlfn.CONCAT(Buildings_GridElectricity_Backend[[#This Row],[Level 1]:[Level 6]]),rng_EFConcat,rng_EF2)*Buildings_GridElectricity_Backend[[#This Row],[Converted data]]/1000)</f>
        <v/>
      </c>
      <c r="AH211" s="210" t="str">
        <f>IF(Buildings_GridElectricity_Frontend[[#This Row],[Data]]="","",_xlfn.XLOOKUP(_xlfn.CONCAT(Buildings_GridElectricity_Backend[[#This Row],[Level 1]:[Level 6]]),rng_EFConcat,rng_EF3)*Buildings_GridElectricity_Backend[[#This Row],[Converted data]]/1000)</f>
        <v/>
      </c>
      <c r="AI211" s="210" t="str">
        <f>IF(Buildings_GridElectricity_Frontend[[#This Row],[Data]]="","",_xlfn.XLOOKUP(_xlfn.CONCAT(Buildings_GridElectricity_Backend[[#This Row],[Level 1]:[Level 6]]),rng_EFConcat,rng_EF3WTT)*Buildings_GridElectricity_Backend[[#This Row],[Converted data]]/1000)</f>
        <v/>
      </c>
      <c r="AJ211" s="210" t="str">
        <f>IF(Buildings_GridElectricity_Frontend[[#This Row],[Data]]="","",_xlfn.XLOOKUP(_xlfn.CONCAT(Buildings_GridElectricity_Backend[[#This Row],[Level 1]:[Level 6]]),rng_EFConcat,rng_EF3TD)*Buildings_GridElectricity_Backend[[#This Row],[Converted data]]/1000)</f>
        <v/>
      </c>
      <c r="AK211" s="210" t="str">
        <f>IF(Buildings_GridElectricity_Frontend[[#This Row],[Data]]="","",_xlfn.XLOOKUP(_xlfn.CONCAT(Buildings_GridElectricity_Backend[[#This Row],[Level 1]:[Level 6]]),rng_EFConcat,rng_EF3WTTTD)*Buildings_GridElectricity_Backend[[#This Row],[Converted data]]/1000)</f>
        <v/>
      </c>
      <c r="AL211" s="220" t="str">
        <f>IF(Buildings_GridElectricity_Frontend[[#This Row],[Data]]="","",SUM(Buildings_GridElectricity_Backend[[#This Row],[Scope 1 (tCO2e)]:[Scope 3 WTT T&amp;D (tCO2e)]]))</f>
        <v/>
      </c>
      <c r="AM211" s="220" t="str">
        <f>IF(Buildings_GridElectricity_Frontend[[#This Row],[Data]]="","",Buildings_GridElectricity_Backend[[#This Row],[Total (tCO2e)]]*(1-Buildings_GridElectricity_Backend[[#This Row],[RSD]]))</f>
        <v/>
      </c>
      <c r="AN211" s="220" t="str">
        <f>IF(Buildings_GridElectricity_Frontend[[#This Row],[Data]]="","",Buildings_GridElectricity_Backend[[#This Row],[Total (tCO2e)]]*(1+Buildings_GridElectricity_Backend[[#This Row],[RSD]]))</f>
        <v/>
      </c>
      <c r="AO211" s="210" t="str">
        <f>IF(Buildings_GridElectricity_Frontend[[#This Row],[Data]]="","",_xlfn.XLOOKUP(_xlfn.CONCAT(Buildings_GridElectricity_Backend[[#This Row],[Level 1]:[Level 6]]),rng_EFConcat,rng_EFOOS)*Buildings_GridElectricity_Backend[[#This Row],[Converted data]]/1000)</f>
        <v/>
      </c>
      <c r="AP211" s="174">
        <f>Buildings_GridElectricity_Frontend[[#This Row],[Ease of collection]]</f>
        <v>0</v>
      </c>
      <c r="AQ211" s="213">
        <f>Buildings_GridElectricity_Frontend[[#This Row],[Completeness]]</f>
        <v>0</v>
      </c>
      <c r="AR211" s="220">
        <f>Buildings_GridElectricity_Frontend[[#This Row],[Notes]]</f>
        <v>0</v>
      </c>
    </row>
    <row r="212" spans="5:44" x14ac:dyDescent="0.3">
      <c r="E212" s="346"/>
      <c r="F212" s="449"/>
      <c r="G212" s="336"/>
      <c r="H212" s="334"/>
      <c r="I212" s="172" t="s">
        <v>316</v>
      </c>
      <c r="J212" s="337"/>
      <c r="K212" s="336"/>
      <c r="L212" s="336"/>
      <c r="M212" s="337"/>
      <c r="N212" s="242">
        <f t="shared" si="7"/>
        <v>3</v>
      </c>
      <c r="Q212" s="212" t="str">
        <f t="shared" si="6"/>
        <v/>
      </c>
      <c r="R212" s="174" t="s">
        <v>265</v>
      </c>
      <c r="S212" s="174" t="s">
        <v>273</v>
      </c>
      <c r="T212" s="174" t="str">
        <f>_xlfn.XLOOKUP(Buildings_GridElectricity_Backend[[#This Row],[Info 1]],Buildings_SiteInfo[Site name],Buildings_SiteInfo[Site type], "")</f>
        <v/>
      </c>
      <c r="U212" s="174" t="s">
        <v>281</v>
      </c>
      <c r="V212" s="174" t="str" cm="1">
        <f t="array" aca="1" ref="V212" ca="1">_xlfn.XLOOKUP(Buildings_GridElectricity_Backend[[#This Row],[Level 4]],rng_Level4Long,rng_Level5Long)</f>
        <v>Electricity</v>
      </c>
      <c r="W212" s="174" t="str" cm="1">
        <f t="array" aca="1" ref="W212" ca="1">_xlfn.XLOOKUP(Buildings_GridElectricity_Backend[[#This Row],[Level 4]],rng_Level4Long,rng_Level6Long)</f>
        <v>NaN</v>
      </c>
      <c r="X212" s="174">
        <f>Buildings_GridElectricity_Frontend[[#This Row],[Site Name]]</f>
        <v>0</v>
      </c>
      <c r="Y212" s="174">
        <f>Buildings_GridElectricity_Frontend[[#This Row],[Contracting]]</f>
        <v>0</v>
      </c>
      <c r="Z212" s="174">
        <f>Buildings_GridElectricity_Frontend[[#This Row],[Methodology]]</f>
        <v>0</v>
      </c>
      <c r="AA212" s="229" t="str" cm="1">
        <f t="array" ref="AA212">IF(Buildings_GridElectricity_Frontend[[#This Row],[Data]]="","",INDEX(_xlfn.SWITCH(Buildings_GridElectricity_Backend[[#This Row],[Methodology]],"Tier 1",rng_RSD1,"Tier 2",rng_RSD2,"Tier 3",rng_RSD3),MATCH(_xlfn.CONCAT(Buildings_GridElectricity_Backend[[#This Row],[Level 1]:[Level 6]]),rng_LevelsConcat,0)))</f>
        <v/>
      </c>
      <c r="AB212" s="220">
        <f>Buildings_GridElectricity_Frontend[[#This Row],[Data]]</f>
        <v>0</v>
      </c>
      <c r="AC212" s="174" t="str">
        <f>Buildings_GridElectricity_Frontend[[#This Row],[Units]]</f>
        <v>kWh</v>
      </c>
      <c r="AD212" s="218">
        <f>Buildings_GridElectricity_Frontend[[#This Row],[Data]]</f>
        <v>0</v>
      </c>
      <c r="AE212" s="174" t="str">
        <f>Buildings_GridElectricity_Frontend[[#This Row],[Units]]</f>
        <v>kWh</v>
      </c>
      <c r="AF212" s="210" t="str">
        <f>IF(Buildings_GridElectricity_Frontend[[#This Row],[Data]]="","",_xlfn.XLOOKUP(_xlfn.CONCAT(Buildings_GridElectricity_Backend[[#This Row],[Level 1]:[Level 6]]),rng_EFConcat,rng_EF1)*Buildings_GridElectricity_Backend[[#This Row],[Converted data]]/1000)</f>
        <v/>
      </c>
      <c r="AG212" s="210" t="str">
        <f>IF(Buildings_GridElectricity_Frontend[[#This Row],[Data]]="","",_xlfn.XLOOKUP(_xlfn.CONCAT(Buildings_GridElectricity_Backend[[#This Row],[Level 1]:[Level 6]]),rng_EFConcat,rng_EF2)*Buildings_GridElectricity_Backend[[#This Row],[Converted data]]/1000)</f>
        <v/>
      </c>
      <c r="AH212" s="210" t="str">
        <f>IF(Buildings_GridElectricity_Frontend[[#This Row],[Data]]="","",_xlfn.XLOOKUP(_xlfn.CONCAT(Buildings_GridElectricity_Backend[[#This Row],[Level 1]:[Level 6]]),rng_EFConcat,rng_EF3)*Buildings_GridElectricity_Backend[[#This Row],[Converted data]]/1000)</f>
        <v/>
      </c>
      <c r="AI212" s="210" t="str">
        <f>IF(Buildings_GridElectricity_Frontend[[#This Row],[Data]]="","",_xlfn.XLOOKUP(_xlfn.CONCAT(Buildings_GridElectricity_Backend[[#This Row],[Level 1]:[Level 6]]),rng_EFConcat,rng_EF3WTT)*Buildings_GridElectricity_Backend[[#This Row],[Converted data]]/1000)</f>
        <v/>
      </c>
      <c r="AJ212" s="210" t="str">
        <f>IF(Buildings_GridElectricity_Frontend[[#This Row],[Data]]="","",_xlfn.XLOOKUP(_xlfn.CONCAT(Buildings_GridElectricity_Backend[[#This Row],[Level 1]:[Level 6]]),rng_EFConcat,rng_EF3TD)*Buildings_GridElectricity_Backend[[#This Row],[Converted data]]/1000)</f>
        <v/>
      </c>
      <c r="AK212" s="210" t="str">
        <f>IF(Buildings_GridElectricity_Frontend[[#This Row],[Data]]="","",_xlfn.XLOOKUP(_xlfn.CONCAT(Buildings_GridElectricity_Backend[[#This Row],[Level 1]:[Level 6]]),rng_EFConcat,rng_EF3WTTTD)*Buildings_GridElectricity_Backend[[#This Row],[Converted data]]/1000)</f>
        <v/>
      </c>
      <c r="AL212" s="220" t="str">
        <f>IF(Buildings_GridElectricity_Frontend[[#This Row],[Data]]="","",SUM(Buildings_GridElectricity_Backend[[#This Row],[Scope 1 (tCO2e)]:[Scope 3 WTT T&amp;D (tCO2e)]]))</f>
        <v/>
      </c>
      <c r="AM212" s="220" t="str">
        <f>IF(Buildings_GridElectricity_Frontend[[#This Row],[Data]]="","",Buildings_GridElectricity_Backend[[#This Row],[Total (tCO2e)]]*(1-Buildings_GridElectricity_Backend[[#This Row],[RSD]]))</f>
        <v/>
      </c>
      <c r="AN212" s="220" t="str">
        <f>IF(Buildings_GridElectricity_Frontend[[#This Row],[Data]]="","",Buildings_GridElectricity_Backend[[#This Row],[Total (tCO2e)]]*(1+Buildings_GridElectricity_Backend[[#This Row],[RSD]]))</f>
        <v/>
      </c>
      <c r="AO212" s="210" t="str">
        <f>IF(Buildings_GridElectricity_Frontend[[#This Row],[Data]]="","",_xlfn.XLOOKUP(_xlfn.CONCAT(Buildings_GridElectricity_Backend[[#This Row],[Level 1]:[Level 6]]),rng_EFConcat,rng_EFOOS)*Buildings_GridElectricity_Backend[[#This Row],[Converted data]]/1000)</f>
        <v/>
      </c>
      <c r="AP212" s="174">
        <f>Buildings_GridElectricity_Frontend[[#This Row],[Ease of collection]]</f>
        <v>0</v>
      </c>
      <c r="AQ212" s="213">
        <f>Buildings_GridElectricity_Frontend[[#This Row],[Completeness]]</f>
        <v>0</v>
      </c>
      <c r="AR212" s="220">
        <f>Buildings_GridElectricity_Frontend[[#This Row],[Notes]]</f>
        <v>0</v>
      </c>
    </row>
    <row r="213" spans="5:44" x14ac:dyDescent="0.3">
      <c r="E213" s="346"/>
      <c r="F213" s="449"/>
      <c r="G213" s="336"/>
      <c r="H213" s="334"/>
      <c r="I213" s="172" t="s">
        <v>316</v>
      </c>
      <c r="J213" s="337"/>
      <c r="K213" s="336"/>
      <c r="L213" s="336"/>
      <c r="M213" s="337"/>
      <c r="N213" s="242">
        <f t="shared" si="7"/>
        <v>3</v>
      </c>
      <c r="Q213" s="212" t="str">
        <f t="shared" si="6"/>
        <v/>
      </c>
      <c r="R213" s="174" t="s">
        <v>265</v>
      </c>
      <c r="S213" s="174" t="s">
        <v>273</v>
      </c>
      <c r="T213" s="174" t="str">
        <f>_xlfn.XLOOKUP(Buildings_GridElectricity_Backend[[#This Row],[Info 1]],Buildings_SiteInfo[Site name],Buildings_SiteInfo[Site type], "")</f>
        <v/>
      </c>
      <c r="U213" s="174" t="s">
        <v>281</v>
      </c>
      <c r="V213" s="174" t="str" cm="1">
        <f t="array" aca="1" ref="V213" ca="1">_xlfn.XLOOKUP(Buildings_GridElectricity_Backend[[#This Row],[Level 4]],rng_Level4Long,rng_Level5Long)</f>
        <v>Electricity</v>
      </c>
      <c r="W213" s="174" t="str" cm="1">
        <f t="array" aca="1" ref="W213" ca="1">_xlfn.XLOOKUP(Buildings_GridElectricity_Backend[[#This Row],[Level 4]],rng_Level4Long,rng_Level6Long)</f>
        <v>NaN</v>
      </c>
      <c r="X213" s="174">
        <f>Buildings_GridElectricity_Frontend[[#This Row],[Site Name]]</f>
        <v>0</v>
      </c>
      <c r="Y213" s="174">
        <f>Buildings_GridElectricity_Frontend[[#This Row],[Contracting]]</f>
        <v>0</v>
      </c>
      <c r="Z213" s="174">
        <f>Buildings_GridElectricity_Frontend[[#This Row],[Methodology]]</f>
        <v>0</v>
      </c>
      <c r="AA213" s="229" t="str" cm="1">
        <f t="array" ref="AA213">IF(Buildings_GridElectricity_Frontend[[#This Row],[Data]]="","",INDEX(_xlfn.SWITCH(Buildings_GridElectricity_Backend[[#This Row],[Methodology]],"Tier 1",rng_RSD1,"Tier 2",rng_RSD2,"Tier 3",rng_RSD3),MATCH(_xlfn.CONCAT(Buildings_GridElectricity_Backend[[#This Row],[Level 1]:[Level 6]]),rng_LevelsConcat,0)))</f>
        <v/>
      </c>
      <c r="AB213" s="220">
        <f>Buildings_GridElectricity_Frontend[[#This Row],[Data]]</f>
        <v>0</v>
      </c>
      <c r="AC213" s="174" t="str">
        <f>Buildings_GridElectricity_Frontend[[#This Row],[Units]]</f>
        <v>kWh</v>
      </c>
      <c r="AD213" s="218">
        <f>Buildings_GridElectricity_Frontend[[#This Row],[Data]]</f>
        <v>0</v>
      </c>
      <c r="AE213" s="174" t="str">
        <f>Buildings_GridElectricity_Frontend[[#This Row],[Units]]</f>
        <v>kWh</v>
      </c>
      <c r="AF213" s="210" t="str">
        <f>IF(Buildings_GridElectricity_Frontend[[#This Row],[Data]]="","",_xlfn.XLOOKUP(_xlfn.CONCAT(Buildings_GridElectricity_Backend[[#This Row],[Level 1]:[Level 6]]),rng_EFConcat,rng_EF1)*Buildings_GridElectricity_Backend[[#This Row],[Converted data]]/1000)</f>
        <v/>
      </c>
      <c r="AG213" s="210" t="str">
        <f>IF(Buildings_GridElectricity_Frontend[[#This Row],[Data]]="","",_xlfn.XLOOKUP(_xlfn.CONCAT(Buildings_GridElectricity_Backend[[#This Row],[Level 1]:[Level 6]]),rng_EFConcat,rng_EF2)*Buildings_GridElectricity_Backend[[#This Row],[Converted data]]/1000)</f>
        <v/>
      </c>
      <c r="AH213" s="210" t="str">
        <f>IF(Buildings_GridElectricity_Frontend[[#This Row],[Data]]="","",_xlfn.XLOOKUP(_xlfn.CONCAT(Buildings_GridElectricity_Backend[[#This Row],[Level 1]:[Level 6]]),rng_EFConcat,rng_EF3)*Buildings_GridElectricity_Backend[[#This Row],[Converted data]]/1000)</f>
        <v/>
      </c>
      <c r="AI213" s="210" t="str">
        <f>IF(Buildings_GridElectricity_Frontend[[#This Row],[Data]]="","",_xlfn.XLOOKUP(_xlfn.CONCAT(Buildings_GridElectricity_Backend[[#This Row],[Level 1]:[Level 6]]),rng_EFConcat,rng_EF3WTT)*Buildings_GridElectricity_Backend[[#This Row],[Converted data]]/1000)</f>
        <v/>
      </c>
      <c r="AJ213" s="210" t="str">
        <f>IF(Buildings_GridElectricity_Frontend[[#This Row],[Data]]="","",_xlfn.XLOOKUP(_xlfn.CONCAT(Buildings_GridElectricity_Backend[[#This Row],[Level 1]:[Level 6]]),rng_EFConcat,rng_EF3TD)*Buildings_GridElectricity_Backend[[#This Row],[Converted data]]/1000)</f>
        <v/>
      </c>
      <c r="AK213" s="210" t="str">
        <f>IF(Buildings_GridElectricity_Frontend[[#This Row],[Data]]="","",_xlfn.XLOOKUP(_xlfn.CONCAT(Buildings_GridElectricity_Backend[[#This Row],[Level 1]:[Level 6]]),rng_EFConcat,rng_EF3WTTTD)*Buildings_GridElectricity_Backend[[#This Row],[Converted data]]/1000)</f>
        <v/>
      </c>
      <c r="AL213" s="220" t="str">
        <f>IF(Buildings_GridElectricity_Frontend[[#This Row],[Data]]="","",SUM(Buildings_GridElectricity_Backend[[#This Row],[Scope 1 (tCO2e)]:[Scope 3 WTT T&amp;D (tCO2e)]]))</f>
        <v/>
      </c>
      <c r="AM213" s="220" t="str">
        <f>IF(Buildings_GridElectricity_Frontend[[#This Row],[Data]]="","",Buildings_GridElectricity_Backend[[#This Row],[Total (tCO2e)]]*(1-Buildings_GridElectricity_Backend[[#This Row],[RSD]]))</f>
        <v/>
      </c>
      <c r="AN213" s="220" t="str">
        <f>IF(Buildings_GridElectricity_Frontend[[#This Row],[Data]]="","",Buildings_GridElectricity_Backend[[#This Row],[Total (tCO2e)]]*(1+Buildings_GridElectricity_Backend[[#This Row],[RSD]]))</f>
        <v/>
      </c>
      <c r="AO213" s="210" t="str">
        <f>IF(Buildings_GridElectricity_Frontend[[#This Row],[Data]]="","",_xlfn.XLOOKUP(_xlfn.CONCAT(Buildings_GridElectricity_Backend[[#This Row],[Level 1]:[Level 6]]),rng_EFConcat,rng_EFOOS)*Buildings_GridElectricity_Backend[[#This Row],[Converted data]]/1000)</f>
        <v/>
      </c>
      <c r="AP213" s="174">
        <f>Buildings_GridElectricity_Frontend[[#This Row],[Ease of collection]]</f>
        <v>0</v>
      </c>
      <c r="AQ213" s="213">
        <f>Buildings_GridElectricity_Frontend[[#This Row],[Completeness]]</f>
        <v>0</v>
      </c>
      <c r="AR213" s="220">
        <f>Buildings_GridElectricity_Frontend[[#This Row],[Notes]]</f>
        <v>0</v>
      </c>
    </row>
    <row r="214" spans="5:44" x14ac:dyDescent="0.3">
      <c r="E214" s="346"/>
      <c r="F214" s="449"/>
      <c r="G214" s="336"/>
      <c r="H214" s="334"/>
      <c r="I214" s="172" t="s">
        <v>316</v>
      </c>
      <c r="J214" s="337"/>
      <c r="K214" s="336"/>
      <c r="L214" s="336"/>
      <c r="M214" s="337"/>
      <c r="N214" s="242">
        <f t="shared" si="7"/>
        <v>3</v>
      </c>
      <c r="Q214" s="212" t="str">
        <f t="shared" si="6"/>
        <v/>
      </c>
      <c r="R214" s="174" t="s">
        <v>265</v>
      </c>
      <c r="S214" s="174" t="s">
        <v>273</v>
      </c>
      <c r="T214" s="174" t="str">
        <f>_xlfn.XLOOKUP(Buildings_GridElectricity_Backend[[#This Row],[Info 1]],Buildings_SiteInfo[Site name],Buildings_SiteInfo[Site type], "")</f>
        <v/>
      </c>
      <c r="U214" s="174" t="s">
        <v>281</v>
      </c>
      <c r="V214" s="174" t="str" cm="1">
        <f t="array" aca="1" ref="V214" ca="1">_xlfn.XLOOKUP(Buildings_GridElectricity_Backend[[#This Row],[Level 4]],rng_Level4Long,rng_Level5Long)</f>
        <v>Electricity</v>
      </c>
      <c r="W214" s="174" t="str" cm="1">
        <f t="array" aca="1" ref="W214" ca="1">_xlfn.XLOOKUP(Buildings_GridElectricity_Backend[[#This Row],[Level 4]],rng_Level4Long,rng_Level6Long)</f>
        <v>NaN</v>
      </c>
      <c r="X214" s="174">
        <f>Buildings_GridElectricity_Frontend[[#This Row],[Site Name]]</f>
        <v>0</v>
      </c>
      <c r="Y214" s="174">
        <f>Buildings_GridElectricity_Frontend[[#This Row],[Contracting]]</f>
        <v>0</v>
      </c>
      <c r="Z214" s="174">
        <f>Buildings_GridElectricity_Frontend[[#This Row],[Methodology]]</f>
        <v>0</v>
      </c>
      <c r="AA214" s="229" t="str" cm="1">
        <f t="array" ref="AA214">IF(Buildings_GridElectricity_Frontend[[#This Row],[Data]]="","",INDEX(_xlfn.SWITCH(Buildings_GridElectricity_Backend[[#This Row],[Methodology]],"Tier 1",rng_RSD1,"Tier 2",rng_RSD2,"Tier 3",rng_RSD3),MATCH(_xlfn.CONCAT(Buildings_GridElectricity_Backend[[#This Row],[Level 1]:[Level 6]]),rng_LevelsConcat,0)))</f>
        <v/>
      </c>
      <c r="AB214" s="220">
        <f>Buildings_GridElectricity_Frontend[[#This Row],[Data]]</f>
        <v>0</v>
      </c>
      <c r="AC214" s="174" t="str">
        <f>Buildings_GridElectricity_Frontend[[#This Row],[Units]]</f>
        <v>kWh</v>
      </c>
      <c r="AD214" s="218">
        <f>Buildings_GridElectricity_Frontend[[#This Row],[Data]]</f>
        <v>0</v>
      </c>
      <c r="AE214" s="174" t="str">
        <f>Buildings_GridElectricity_Frontend[[#This Row],[Units]]</f>
        <v>kWh</v>
      </c>
      <c r="AF214" s="210" t="str">
        <f>IF(Buildings_GridElectricity_Frontend[[#This Row],[Data]]="","",_xlfn.XLOOKUP(_xlfn.CONCAT(Buildings_GridElectricity_Backend[[#This Row],[Level 1]:[Level 6]]),rng_EFConcat,rng_EF1)*Buildings_GridElectricity_Backend[[#This Row],[Converted data]]/1000)</f>
        <v/>
      </c>
      <c r="AG214" s="210" t="str">
        <f>IF(Buildings_GridElectricity_Frontend[[#This Row],[Data]]="","",_xlfn.XLOOKUP(_xlfn.CONCAT(Buildings_GridElectricity_Backend[[#This Row],[Level 1]:[Level 6]]),rng_EFConcat,rng_EF2)*Buildings_GridElectricity_Backend[[#This Row],[Converted data]]/1000)</f>
        <v/>
      </c>
      <c r="AH214" s="210" t="str">
        <f>IF(Buildings_GridElectricity_Frontend[[#This Row],[Data]]="","",_xlfn.XLOOKUP(_xlfn.CONCAT(Buildings_GridElectricity_Backend[[#This Row],[Level 1]:[Level 6]]),rng_EFConcat,rng_EF3)*Buildings_GridElectricity_Backend[[#This Row],[Converted data]]/1000)</f>
        <v/>
      </c>
      <c r="AI214" s="210" t="str">
        <f>IF(Buildings_GridElectricity_Frontend[[#This Row],[Data]]="","",_xlfn.XLOOKUP(_xlfn.CONCAT(Buildings_GridElectricity_Backend[[#This Row],[Level 1]:[Level 6]]),rng_EFConcat,rng_EF3WTT)*Buildings_GridElectricity_Backend[[#This Row],[Converted data]]/1000)</f>
        <v/>
      </c>
      <c r="AJ214" s="210" t="str">
        <f>IF(Buildings_GridElectricity_Frontend[[#This Row],[Data]]="","",_xlfn.XLOOKUP(_xlfn.CONCAT(Buildings_GridElectricity_Backend[[#This Row],[Level 1]:[Level 6]]),rng_EFConcat,rng_EF3TD)*Buildings_GridElectricity_Backend[[#This Row],[Converted data]]/1000)</f>
        <v/>
      </c>
      <c r="AK214" s="210" t="str">
        <f>IF(Buildings_GridElectricity_Frontend[[#This Row],[Data]]="","",_xlfn.XLOOKUP(_xlfn.CONCAT(Buildings_GridElectricity_Backend[[#This Row],[Level 1]:[Level 6]]),rng_EFConcat,rng_EF3WTTTD)*Buildings_GridElectricity_Backend[[#This Row],[Converted data]]/1000)</f>
        <v/>
      </c>
      <c r="AL214" s="220" t="str">
        <f>IF(Buildings_GridElectricity_Frontend[[#This Row],[Data]]="","",SUM(Buildings_GridElectricity_Backend[[#This Row],[Scope 1 (tCO2e)]:[Scope 3 WTT T&amp;D (tCO2e)]]))</f>
        <v/>
      </c>
      <c r="AM214" s="220" t="str">
        <f>IF(Buildings_GridElectricity_Frontend[[#This Row],[Data]]="","",Buildings_GridElectricity_Backend[[#This Row],[Total (tCO2e)]]*(1-Buildings_GridElectricity_Backend[[#This Row],[RSD]]))</f>
        <v/>
      </c>
      <c r="AN214" s="220" t="str">
        <f>IF(Buildings_GridElectricity_Frontend[[#This Row],[Data]]="","",Buildings_GridElectricity_Backend[[#This Row],[Total (tCO2e)]]*(1+Buildings_GridElectricity_Backend[[#This Row],[RSD]]))</f>
        <v/>
      </c>
      <c r="AO214" s="210" t="str">
        <f>IF(Buildings_GridElectricity_Frontend[[#This Row],[Data]]="","",_xlfn.XLOOKUP(_xlfn.CONCAT(Buildings_GridElectricity_Backend[[#This Row],[Level 1]:[Level 6]]),rng_EFConcat,rng_EFOOS)*Buildings_GridElectricity_Backend[[#This Row],[Converted data]]/1000)</f>
        <v/>
      </c>
      <c r="AP214" s="174">
        <f>Buildings_GridElectricity_Frontend[[#This Row],[Ease of collection]]</f>
        <v>0</v>
      </c>
      <c r="AQ214" s="213">
        <f>Buildings_GridElectricity_Frontend[[#This Row],[Completeness]]</f>
        <v>0</v>
      </c>
      <c r="AR214" s="220">
        <f>Buildings_GridElectricity_Frontend[[#This Row],[Notes]]</f>
        <v>0</v>
      </c>
    </row>
    <row r="215" spans="5:44" x14ac:dyDescent="0.3">
      <c r="E215" s="346"/>
      <c r="F215" s="449"/>
      <c r="G215" s="336"/>
      <c r="H215" s="334"/>
      <c r="I215" s="172" t="s">
        <v>316</v>
      </c>
      <c r="J215" s="337"/>
      <c r="K215" s="336"/>
      <c r="L215" s="336"/>
      <c r="M215" s="337"/>
      <c r="N215" s="242">
        <f t="shared" si="7"/>
        <v>3</v>
      </c>
      <c r="Q215" s="212" t="str">
        <f t="shared" si="6"/>
        <v/>
      </c>
      <c r="R215" s="174" t="s">
        <v>265</v>
      </c>
      <c r="S215" s="174" t="s">
        <v>273</v>
      </c>
      <c r="T215" s="174" t="str">
        <f>_xlfn.XLOOKUP(Buildings_GridElectricity_Backend[[#This Row],[Info 1]],Buildings_SiteInfo[Site name],Buildings_SiteInfo[Site type], "")</f>
        <v/>
      </c>
      <c r="U215" s="174" t="s">
        <v>281</v>
      </c>
      <c r="V215" s="174" t="str" cm="1">
        <f t="array" aca="1" ref="V215" ca="1">_xlfn.XLOOKUP(Buildings_GridElectricity_Backend[[#This Row],[Level 4]],rng_Level4Long,rng_Level5Long)</f>
        <v>Electricity</v>
      </c>
      <c r="W215" s="174" t="str" cm="1">
        <f t="array" aca="1" ref="W215" ca="1">_xlfn.XLOOKUP(Buildings_GridElectricity_Backend[[#This Row],[Level 4]],rng_Level4Long,rng_Level6Long)</f>
        <v>NaN</v>
      </c>
      <c r="X215" s="174">
        <f>Buildings_GridElectricity_Frontend[[#This Row],[Site Name]]</f>
        <v>0</v>
      </c>
      <c r="Y215" s="174">
        <f>Buildings_GridElectricity_Frontend[[#This Row],[Contracting]]</f>
        <v>0</v>
      </c>
      <c r="Z215" s="174">
        <f>Buildings_GridElectricity_Frontend[[#This Row],[Methodology]]</f>
        <v>0</v>
      </c>
      <c r="AA215" s="229" t="str" cm="1">
        <f t="array" ref="AA215">IF(Buildings_GridElectricity_Frontend[[#This Row],[Data]]="","",INDEX(_xlfn.SWITCH(Buildings_GridElectricity_Backend[[#This Row],[Methodology]],"Tier 1",rng_RSD1,"Tier 2",rng_RSD2,"Tier 3",rng_RSD3),MATCH(_xlfn.CONCAT(Buildings_GridElectricity_Backend[[#This Row],[Level 1]:[Level 6]]),rng_LevelsConcat,0)))</f>
        <v/>
      </c>
      <c r="AB215" s="220">
        <f>Buildings_GridElectricity_Frontend[[#This Row],[Data]]</f>
        <v>0</v>
      </c>
      <c r="AC215" s="174" t="str">
        <f>Buildings_GridElectricity_Frontend[[#This Row],[Units]]</f>
        <v>kWh</v>
      </c>
      <c r="AD215" s="218">
        <f>Buildings_GridElectricity_Frontend[[#This Row],[Data]]</f>
        <v>0</v>
      </c>
      <c r="AE215" s="174" t="str">
        <f>Buildings_GridElectricity_Frontend[[#This Row],[Units]]</f>
        <v>kWh</v>
      </c>
      <c r="AF215" s="210" t="str">
        <f>IF(Buildings_GridElectricity_Frontend[[#This Row],[Data]]="","",_xlfn.XLOOKUP(_xlfn.CONCAT(Buildings_GridElectricity_Backend[[#This Row],[Level 1]:[Level 6]]),rng_EFConcat,rng_EF1)*Buildings_GridElectricity_Backend[[#This Row],[Converted data]]/1000)</f>
        <v/>
      </c>
      <c r="AG215" s="210" t="str">
        <f>IF(Buildings_GridElectricity_Frontend[[#This Row],[Data]]="","",_xlfn.XLOOKUP(_xlfn.CONCAT(Buildings_GridElectricity_Backend[[#This Row],[Level 1]:[Level 6]]),rng_EFConcat,rng_EF2)*Buildings_GridElectricity_Backend[[#This Row],[Converted data]]/1000)</f>
        <v/>
      </c>
      <c r="AH215" s="210" t="str">
        <f>IF(Buildings_GridElectricity_Frontend[[#This Row],[Data]]="","",_xlfn.XLOOKUP(_xlfn.CONCAT(Buildings_GridElectricity_Backend[[#This Row],[Level 1]:[Level 6]]),rng_EFConcat,rng_EF3)*Buildings_GridElectricity_Backend[[#This Row],[Converted data]]/1000)</f>
        <v/>
      </c>
      <c r="AI215" s="210" t="str">
        <f>IF(Buildings_GridElectricity_Frontend[[#This Row],[Data]]="","",_xlfn.XLOOKUP(_xlfn.CONCAT(Buildings_GridElectricity_Backend[[#This Row],[Level 1]:[Level 6]]),rng_EFConcat,rng_EF3WTT)*Buildings_GridElectricity_Backend[[#This Row],[Converted data]]/1000)</f>
        <v/>
      </c>
      <c r="AJ215" s="210" t="str">
        <f>IF(Buildings_GridElectricity_Frontend[[#This Row],[Data]]="","",_xlfn.XLOOKUP(_xlfn.CONCAT(Buildings_GridElectricity_Backend[[#This Row],[Level 1]:[Level 6]]),rng_EFConcat,rng_EF3TD)*Buildings_GridElectricity_Backend[[#This Row],[Converted data]]/1000)</f>
        <v/>
      </c>
      <c r="AK215" s="210" t="str">
        <f>IF(Buildings_GridElectricity_Frontend[[#This Row],[Data]]="","",_xlfn.XLOOKUP(_xlfn.CONCAT(Buildings_GridElectricity_Backend[[#This Row],[Level 1]:[Level 6]]),rng_EFConcat,rng_EF3WTTTD)*Buildings_GridElectricity_Backend[[#This Row],[Converted data]]/1000)</f>
        <v/>
      </c>
      <c r="AL215" s="220" t="str">
        <f>IF(Buildings_GridElectricity_Frontend[[#This Row],[Data]]="","",SUM(Buildings_GridElectricity_Backend[[#This Row],[Scope 1 (tCO2e)]:[Scope 3 WTT T&amp;D (tCO2e)]]))</f>
        <v/>
      </c>
      <c r="AM215" s="220" t="str">
        <f>IF(Buildings_GridElectricity_Frontend[[#This Row],[Data]]="","",Buildings_GridElectricity_Backend[[#This Row],[Total (tCO2e)]]*(1-Buildings_GridElectricity_Backend[[#This Row],[RSD]]))</f>
        <v/>
      </c>
      <c r="AN215" s="220" t="str">
        <f>IF(Buildings_GridElectricity_Frontend[[#This Row],[Data]]="","",Buildings_GridElectricity_Backend[[#This Row],[Total (tCO2e)]]*(1+Buildings_GridElectricity_Backend[[#This Row],[RSD]]))</f>
        <v/>
      </c>
      <c r="AO215" s="210" t="str">
        <f>IF(Buildings_GridElectricity_Frontend[[#This Row],[Data]]="","",_xlfn.XLOOKUP(_xlfn.CONCAT(Buildings_GridElectricity_Backend[[#This Row],[Level 1]:[Level 6]]),rng_EFConcat,rng_EFOOS)*Buildings_GridElectricity_Backend[[#This Row],[Converted data]]/1000)</f>
        <v/>
      </c>
      <c r="AP215" s="174">
        <f>Buildings_GridElectricity_Frontend[[#This Row],[Ease of collection]]</f>
        <v>0</v>
      </c>
      <c r="AQ215" s="213">
        <f>Buildings_GridElectricity_Frontend[[#This Row],[Completeness]]</f>
        <v>0</v>
      </c>
      <c r="AR215" s="220">
        <f>Buildings_GridElectricity_Frontend[[#This Row],[Notes]]</f>
        <v>0</v>
      </c>
    </row>
    <row r="216" spans="5:44" x14ac:dyDescent="0.3">
      <c r="E216" s="346"/>
      <c r="F216" s="449"/>
      <c r="G216" s="336"/>
      <c r="H216" s="334"/>
      <c r="I216" s="172" t="s">
        <v>316</v>
      </c>
      <c r="J216" s="337"/>
      <c r="K216" s="336"/>
      <c r="L216" s="336"/>
      <c r="M216" s="337"/>
      <c r="N216" s="242">
        <f t="shared" si="7"/>
        <v>3</v>
      </c>
      <c r="Q216" s="212" t="str">
        <f t="shared" si="6"/>
        <v/>
      </c>
      <c r="R216" s="174" t="s">
        <v>265</v>
      </c>
      <c r="S216" s="174" t="s">
        <v>273</v>
      </c>
      <c r="T216" s="174" t="str">
        <f>_xlfn.XLOOKUP(Buildings_GridElectricity_Backend[[#This Row],[Info 1]],Buildings_SiteInfo[Site name],Buildings_SiteInfo[Site type], "")</f>
        <v/>
      </c>
      <c r="U216" s="174" t="s">
        <v>281</v>
      </c>
      <c r="V216" s="174" t="str" cm="1">
        <f t="array" aca="1" ref="V216" ca="1">_xlfn.XLOOKUP(Buildings_GridElectricity_Backend[[#This Row],[Level 4]],rng_Level4Long,rng_Level5Long)</f>
        <v>Electricity</v>
      </c>
      <c r="W216" s="174" t="str" cm="1">
        <f t="array" aca="1" ref="W216" ca="1">_xlfn.XLOOKUP(Buildings_GridElectricity_Backend[[#This Row],[Level 4]],rng_Level4Long,rng_Level6Long)</f>
        <v>NaN</v>
      </c>
      <c r="X216" s="174">
        <f>Buildings_GridElectricity_Frontend[[#This Row],[Site Name]]</f>
        <v>0</v>
      </c>
      <c r="Y216" s="174">
        <f>Buildings_GridElectricity_Frontend[[#This Row],[Contracting]]</f>
        <v>0</v>
      </c>
      <c r="Z216" s="174">
        <f>Buildings_GridElectricity_Frontend[[#This Row],[Methodology]]</f>
        <v>0</v>
      </c>
      <c r="AA216" s="229" t="str" cm="1">
        <f t="array" ref="AA216">IF(Buildings_GridElectricity_Frontend[[#This Row],[Data]]="","",INDEX(_xlfn.SWITCH(Buildings_GridElectricity_Backend[[#This Row],[Methodology]],"Tier 1",rng_RSD1,"Tier 2",rng_RSD2,"Tier 3",rng_RSD3),MATCH(_xlfn.CONCAT(Buildings_GridElectricity_Backend[[#This Row],[Level 1]:[Level 6]]),rng_LevelsConcat,0)))</f>
        <v/>
      </c>
      <c r="AB216" s="220">
        <f>Buildings_GridElectricity_Frontend[[#This Row],[Data]]</f>
        <v>0</v>
      </c>
      <c r="AC216" s="174" t="str">
        <f>Buildings_GridElectricity_Frontend[[#This Row],[Units]]</f>
        <v>kWh</v>
      </c>
      <c r="AD216" s="218">
        <f>Buildings_GridElectricity_Frontend[[#This Row],[Data]]</f>
        <v>0</v>
      </c>
      <c r="AE216" s="174" t="str">
        <f>Buildings_GridElectricity_Frontend[[#This Row],[Units]]</f>
        <v>kWh</v>
      </c>
      <c r="AF216" s="210" t="str">
        <f>IF(Buildings_GridElectricity_Frontend[[#This Row],[Data]]="","",_xlfn.XLOOKUP(_xlfn.CONCAT(Buildings_GridElectricity_Backend[[#This Row],[Level 1]:[Level 6]]),rng_EFConcat,rng_EF1)*Buildings_GridElectricity_Backend[[#This Row],[Converted data]]/1000)</f>
        <v/>
      </c>
      <c r="AG216" s="210" t="str">
        <f>IF(Buildings_GridElectricity_Frontend[[#This Row],[Data]]="","",_xlfn.XLOOKUP(_xlfn.CONCAT(Buildings_GridElectricity_Backend[[#This Row],[Level 1]:[Level 6]]),rng_EFConcat,rng_EF2)*Buildings_GridElectricity_Backend[[#This Row],[Converted data]]/1000)</f>
        <v/>
      </c>
      <c r="AH216" s="210" t="str">
        <f>IF(Buildings_GridElectricity_Frontend[[#This Row],[Data]]="","",_xlfn.XLOOKUP(_xlfn.CONCAT(Buildings_GridElectricity_Backend[[#This Row],[Level 1]:[Level 6]]),rng_EFConcat,rng_EF3)*Buildings_GridElectricity_Backend[[#This Row],[Converted data]]/1000)</f>
        <v/>
      </c>
      <c r="AI216" s="210" t="str">
        <f>IF(Buildings_GridElectricity_Frontend[[#This Row],[Data]]="","",_xlfn.XLOOKUP(_xlfn.CONCAT(Buildings_GridElectricity_Backend[[#This Row],[Level 1]:[Level 6]]),rng_EFConcat,rng_EF3WTT)*Buildings_GridElectricity_Backend[[#This Row],[Converted data]]/1000)</f>
        <v/>
      </c>
      <c r="AJ216" s="210" t="str">
        <f>IF(Buildings_GridElectricity_Frontend[[#This Row],[Data]]="","",_xlfn.XLOOKUP(_xlfn.CONCAT(Buildings_GridElectricity_Backend[[#This Row],[Level 1]:[Level 6]]),rng_EFConcat,rng_EF3TD)*Buildings_GridElectricity_Backend[[#This Row],[Converted data]]/1000)</f>
        <v/>
      </c>
      <c r="AK216" s="210" t="str">
        <f>IF(Buildings_GridElectricity_Frontend[[#This Row],[Data]]="","",_xlfn.XLOOKUP(_xlfn.CONCAT(Buildings_GridElectricity_Backend[[#This Row],[Level 1]:[Level 6]]),rng_EFConcat,rng_EF3WTTTD)*Buildings_GridElectricity_Backend[[#This Row],[Converted data]]/1000)</f>
        <v/>
      </c>
      <c r="AL216" s="220" t="str">
        <f>IF(Buildings_GridElectricity_Frontend[[#This Row],[Data]]="","",SUM(Buildings_GridElectricity_Backend[[#This Row],[Scope 1 (tCO2e)]:[Scope 3 WTT T&amp;D (tCO2e)]]))</f>
        <v/>
      </c>
      <c r="AM216" s="220" t="str">
        <f>IF(Buildings_GridElectricity_Frontend[[#This Row],[Data]]="","",Buildings_GridElectricity_Backend[[#This Row],[Total (tCO2e)]]*(1-Buildings_GridElectricity_Backend[[#This Row],[RSD]]))</f>
        <v/>
      </c>
      <c r="AN216" s="220" t="str">
        <f>IF(Buildings_GridElectricity_Frontend[[#This Row],[Data]]="","",Buildings_GridElectricity_Backend[[#This Row],[Total (tCO2e)]]*(1+Buildings_GridElectricity_Backend[[#This Row],[RSD]]))</f>
        <v/>
      </c>
      <c r="AO216" s="210" t="str">
        <f>IF(Buildings_GridElectricity_Frontend[[#This Row],[Data]]="","",_xlfn.XLOOKUP(_xlfn.CONCAT(Buildings_GridElectricity_Backend[[#This Row],[Level 1]:[Level 6]]),rng_EFConcat,rng_EFOOS)*Buildings_GridElectricity_Backend[[#This Row],[Converted data]]/1000)</f>
        <v/>
      </c>
      <c r="AP216" s="174">
        <f>Buildings_GridElectricity_Frontend[[#This Row],[Ease of collection]]</f>
        <v>0</v>
      </c>
      <c r="AQ216" s="213">
        <f>Buildings_GridElectricity_Frontend[[#This Row],[Completeness]]</f>
        <v>0</v>
      </c>
      <c r="AR216" s="220">
        <f>Buildings_GridElectricity_Frontend[[#This Row],[Notes]]</f>
        <v>0</v>
      </c>
    </row>
    <row r="217" spans="5:44" x14ac:dyDescent="0.3">
      <c r="E217" s="346"/>
      <c r="F217" s="449"/>
      <c r="G217" s="336"/>
      <c r="H217" s="334"/>
      <c r="I217" s="172" t="s">
        <v>316</v>
      </c>
      <c r="J217" s="337"/>
      <c r="K217" s="336"/>
      <c r="L217" s="336"/>
      <c r="M217" s="337"/>
      <c r="N217" s="242">
        <f t="shared" si="7"/>
        <v>3</v>
      </c>
      <c r="Q217" s="212" t="str">
        <f t="shared" si="6"/>
        <v/>
      </c>
      <c r="R217" s="174" t="s">
        <v>265</v>
      </c>
      <c r="S217" s="174" t="s">
        <v>273</v>
      </c>
      <c r="T217" s="174" t="str">
        <f>_xlfn.XLOOKUP(Buildings_GridElectricity_Backend[[#This Row],[Info 1]],Buildings_SiteInfo[Site name],Buildings_SiteInfo[Site type], "")</f>
        <v/>
      </c>
      <c r="U217" s="174" t="s">
        <v>281</v>
      </c>
      <c r="V217" s="174" t="str" cm="1">
        <f t="array" aca="1" ref="V217" ca="1">_xlfn.XLOOKUP(Buildings_GridElectricity_Backend[[#This Row],[Level 4]],rng_Level4Long,rng_Level5Long)</f>
        <v>Electricity</v>
      </c>
      <c r="W217" s="174" t="str" cm="1">
        <f t="array" aca="1" ref="W217" ca="1">_xlfn.XLOOKUP(Buildings_GridElectricity_Backend[[#This Row],[Level 4]],rng_Level4Long,rng_Level6Long)</f>
        <v>NaN</v>
      </c>
      <c r="X217" s="174">
        <f>Buildings_GridElectricity_Frontend[[#This Row],[Site Name]]</f>
        <v>0</v>
      </c>
      <c r="Y217" s="174">
        <f>Buildings_GridElectricity_Frontend[[#This Row],[Contracting]]</f>
        <v>0</v>
      </c>
      <c r="Z217" s="174">
        <f>Buildings_GridElectricity_Frontend[[#This Row],[Methodology]]</f>
        <v>0</v>
      </c>
      <c r="AA217" s="229" t="str" cm="1">
        <f t="array" ref="AA217">IF(Buildings_GridElectricity_Frontend[[#This Row],[Data]]="","",INDEX(_xlfn.SWITCH(Buildings_GridElectricity_Backend[[#This Row],[Methodology]],"Tier 1",rng_RSD1,"Tier 2",rng_RSD2,"Tier 3",rng_RSD3),MATCH(_xlfn.CONCAT(Buildings_GridElectricity_Backend[[#This Row],[Level 1]:[Level 6]]),rng_LevelsConcat,0)))</f>
        <v/>
      </c>
      <c r="AB217" s="220">
        <f>Buildings_GridElectricity_Frontend[[#This Row],[Data]]</f>
        <v>0</v>
      </c>
      <c r="AC217" s="174" t="str">
        <f>Buildings_GridElectricity_Frontend[[#This Row],[Units]]</f>
        <v>kWh</v>
      </c>
      <c r="AD217" s="218">
        <f>Buildings_GridElectricity_Frontend[[#This Row],[Data]]</f>
        <v>0</v>
      </c>
      <c r="AE217" s="174" t="str">
        <f>Buildings_GridElectricity_Frontend[[#This Row],[Units]]</f>
        <v>kWh</v>
      </c>
      <c r="AF217" s="210" t="str">
        <f>IF(Buildings_GridElectricity_Frontend[[#This Row],[Data]]="","",_xlfn.XLOOKUP(_xlfn.CONCAT(Buildings_GridElectricity_Backend[[#This Row],[Level 1]:[Level 6]]),rng_EFConcat,rng_EF1)*Buildings_GridElectricity_Backend[[#This Row],[Converted data]]/1000)</f>
        <v/>
      </c>
      <c r="AG217" s="210" t="str">
        <f>IF(Buildings_GridElectricity_Frontend[[#This Row],[Data]]="","",_xlfn.XLOOKUP(_xlfn.CONCAT(Buildings_GridElectricity_Backend[[#This Row],[Level 1]:[Level 6]]),rng_EFConcat,rng_EF2)*Buildings_GridElectricity_Backend[[#This Row],[Converted data]]/1000)</f>
        <v/>
      </c>
      <c r="AH217" s="210" t="str">
        <f>IF(Buildings_GridElectricity_Frontend[[#This Row],[Data]]="","",_xlfn.XLOOKUP(_xlfn.CONCAT(Buildings_GridElectricity_Backend[[#This Row],[Level 1]:[Level 6]]),rng_EFConcat,rng_EF3)*Buildings_GridElectricity_Backend[[#This Row],[Converted data]]/1000)</f>
        <v/>
      </c>
      <c r="AI217" s="210" t="str">
        <f>IF(Buildings_GridElectricity_Frontend[[#This Row],[Data]]="","",_xlfn.XLOOKUP(_xlfn.CONCAT(Buildings_GridElectricity_Backend[[#This Row],[Level 1]:[Level 6]]),rng_EFConcat,rng_EF3WTT)*Buildings_GridElectricity_Backend[[#This Row],[Converted data]]/1000)</f>
        <v/>
      </c>
      <c r="AJ217" s="210" t="str">
        <f>IF(Buildings_GridElectricity_Frontend[[#This Row],[Data]]="","",_xlfn.XLOOKUP(_xlfn.CONCAT(Buildings_GridElectricity_Backend[[#This Row],[Level 1]:[Level 6]]),rng_EFConcat,rng_EF3TD)*Buildings_GridElectricity_Backend[[#This Row],[Converted data]]/1000)</f>
        <v/>
      </c>
      <c r="AK217" s="210" t="str">
        <f>IF(Buildings_GridElectricity_Frontend[[#This Row],[Data]]="","",_xlfn.XLOOKUP(_xlfn.CONCAT(Buildings_GridElectricity_Backend[[#This Row],[Level 1]:[Level 6]]),rng_EFConcat,rng_EF3WTTTD)*Buildings_GridElectricity_Backend[[#This Row],[Converted data]]/1000)</f>
        <v/>
      </c>
      <c r="AL217" s="220" t="str">
        <f>IF(Buildings_GridElectricity_Frontend[[#This Row],[Data]]="","",SUM(Buildings_GridElectricity_Backend[[#This Row],[Scope 1 (tCO2e)]:[Scope 3 WTT T&amp;D (tCO2e)]]))</f>
        <v/>
      </c>
      <c r="AM217" s="220" t="str">
        <f>IF(Buildings_GridElectricity_Frontend[[#This Row],[Data]]="","",Buildings_GridElectricity_Backend[[#This Row],[Total (tCO2e)]]*(1-Buildings_GridElectricity_Backend[[#This Row],[RSD]]))</f>
        <v/>
      </c>
      <c r="AN217" s="220" t="str">
        <f>IF(Buildings_GridElectricity_Frontend[[#This Row],[Data]]="","",Buildings_GridElectricity_Backend[[#This Row],[Total (tCO2e)]]*(1+Buildings_GridElectricity_Backend[[#This Row],[RSD]]))</f>
        <v/>
      </c>
      <c r="AO217" s="210" t="str">
        <f>IF(Buildings_GridElectricity_Frontend[[#This Row],[Data]]="","",_xlfn.XLOOKUP(_xlfn.CONCAT(Buildings_GridElectricity_Backend[[#This Row],[Level 1]:[Level 6]]),rng_EFConcat,rng_EFOOS)*Buildings_GridElectricity_Backend[[#This Row],[Converted data]]/1000)</f>
        <v/>
      </c>
      <c r="AP217" s="174">
        <f>Buildings_GridElectricity_Frontend[[#This Row],[Ease of collection]]</f>
        <v>0</v>
      </c>
      <c r="AQ217" s="213">
        <f>Buildings_GridElectricity_Frontend[[#This Row],[Completeness]]</f>
        <v>0</v>
      </c>
      <c r="AR217" s="220">
        <f>Buildings_GridElectricity_Frontend[[#This Row],[Notes]]</f>
        <v>0</v>
      </c>
    </row>
    <row r="218" spans="5:44" x14ac:dyDescent="0.3">
      <c r="E218" s="346"/>
      <c r="F218" s="449"/>
      <c r="G218" s="336"/>
      <c r="H218" s="334"/>
      <c r="I218" s="172" t="s">
        <v>316</v>
      </c>
      <c r="J218" s="337"/>
      <c r="K218" s="336"/>
      <c r="L218" s="336"/>
      <c r="M218" s="337"/>
      <c r="N218" s="242">
        <f t="shared" si="7"/>
        <v>3</v>
      </c>
      <c r="Q218" s="212" t="str">
        <f t="shared" si="6"/>
        <v/>
      </c>
      <c r="R218" s="174" t="s">
        <v>265</v>
      </c>
      <c r="S218" s="174" t="s">
        <v>273</v>
      </c>
      <c r="T218" s="174" t="str">
        <f>_xlfn.XLOOKUP(Buildings_GridElectricity_Backend[[#This Row],[Info 1]],Buildings_SiteInfo[Site name],Buildings_SiteInfo[Site type], "")</f>
        <v/>
      </c>
      <c r="U218" s="174" t="s">
        <v>281</v>
      </c>
      <c r="V218" s="174" t="str" cm="1">
        <f t="array" aca="1" ref="V218" ca="1">_xlfn.XLOOKUP(Buildings_GridElectricity_Backend[[#This Row],[Level 4]],rng_Level4Long,rng_Level5Long)</f>
        <v>Electricity</v>
      </c>
      <c r="W218" s="174" t="str" cm="1">
        <f t="array" aca="1" ref="W218" ca="1">_xlfn.XLOOKUP(Buildings_GridElectricity_Backend[[#This Row],[Level 4]],rng_Level4Long,rng_Level6Long)</f>
        <v>NaN</v>
      </c>
      <c r="X218" s="174">
        <f>Buildings_GridElectricity_Frontend[[#This Row],[Site Name]]</f>
        <v>0</v>
      </c>
      <c r="Y218" s="174">
        <f>Buildings_GridElectricity_Frontend[[#This Row],[Contracting]]</f>
        <v>0</v>
      </c>
      <c r="Z218" s="174">
        <f>Buildings_GridElectricity_Frontend[[#This Row],[Methodology]]</f>
        <v>0</v>
      </c>
      <c r="AA218" s="229" t="str" cm="1">
        <f t="array" ref="AA218">IF(Buildings_GridElectricity_Frontend[[#This Row],[Data]]="","",INDEX(_xlfn.SWITCH(Buildings_GridElectricity_Backend[[#This Row],[Methodology]],"Tier 1",rng_RSD1,"Tier 2",rng_RSD2,"Tier 3",rng_RSD3),MATCH(_xlfn.CONCAT(Buildings_GridElectricity_Backend[[#This Row],[Level 1]:[Level 6]]),rng_LevelsConcat,0)))</f>
        <v/>
      </c>
      <c r="AB218" s="220">
        <f>Buildings_GridElectricity_Frontend[[#This Row],[Data]]</f>
        <v>0</v>
      </c>
      <c r="AC218" s="174" t="str">
        <f>Buildings_GridElectricity_Frontend[[#This Row],[Units]]</f>
        <v>kWh</v>
      </c>
      <c r="AD218" s="218">
        <f>Buildings_GridElectricity_Frontend[[#This Row],[Data]]</f>
        <v>0</v>
      </c>
      <c r="AE218" s="174" t="str">
        <f>Buildings_GridElectricity_Frontend[[#This Row],[Units]]</f>
        <v>kWh</v>
      </c>
      <c r="AF218" s="210" t="str">
        <f>IF(Buildings_GridElectricity_Frontend[[#This Row],[Data]]="","",_xlfn.XLOOKUP(_xlfn.CONCAT(Buildings_GridElectricity_Backend[[#This Row],[Level 1]:[Level 6]]),rng_EFConcat,rng_EF1)*Buildings_GridElectricity_Backend[[#This Row],[Converted data]]/1000)</f>
        <v/>
      </c>
      <c r="AG218" s="210" t="str">
        <f>IF(Buildings_GridElectricity_Frontend[[#This Row],[Data]]="","",_xlfn.XLOOKUP(_xlfn.CONCAT(Buildings_GridElectricity_Backend[[#This Row],[Level 1]:[Level 6]]),rng_EFConcat,rng_EF2)*Buildings_GridElectricity_Backend[[#This Row],[Converted data]]/1000)</f>
        <v/>
      </c>
      <c r="AH218" s="210" t="str">
        <f>IF(Buildings_GridElectricity_Frontend[[#This Row],[Data]]="","",_xlfn.XLOOKUP(_xlfn.CONCAT(Buildings_GridElectricity_Backend[[#This Row],[Level 1]:[Level 6]]),rng_EFConcat,rng_EF3)*Buildings_GridElectricity_Backend[[#This Row],[Converted data]]/1000)</f>
        <v/>
      </c>
      <c r="AI218" s="210" t="str">
        <f>IF(Buildings_GridElectricity_Frontend[[#This Row],[Data]]="","",_xlfn.XLOOKUP(_xlfn.CONCAT(Buildings_GridElectricity_Backend[[#This Row],[Level 1]:[Level 6]]),rng_EFConcat,rng_EF3WTT)*Buildings_GridElectricity_Backend[[#This Row],[Converted data]]/1000)</f>
        <v/>
      </c>
      <c r="AJ218" s="210" t="str">
        <f>IF(Buildings_GridElectricity_Frontend[[#This Row],[Data]]="","",_xlfn.XLOOKUP(_xlfn.CONCAT(Buildings_GridElectricity_Backend[[#This Row],[Level 1]:[Level 6]]),rng_EFConcat,rng_EF3TD)*Buildings_GridElectricity_Backend[[#This Row],[Converted data]]/1000)</f>
        <v/>
      </c>
      <c r="AK218" s="210" t="str">
        <f>IF(Buildings_GridElectricity_Frontend[[#This Row],[Data]]="","",_xlfn.XLOOKUP(_xlfn.CONCAT(Buildings_GridElectricity_Backend[[#This Row],[Level 1]:[Level 6]]),rng_EFConcat,rng_EF3WTTTD)*Buildings_GridElectricity_Backend[[#This Row],[Converted data]]/1000)</f>
        <v/>
      </c>
      <c r="AL218" s="220" t="str">
        <f>IF(Buildings_GridElectricity_Frontend[[#This Row],[Data]]="","",SUM(Buildings_GridElectricity_Backend[[#This Row],[Scope 1 (tCO2e)]:[Scope 3 WTT T&amp;D (tCO2e)]]))</f>
        <v/>
      </c>
      <c r="AM218" s="220" t="str">
        <f>IF(Buildings_GridElectricity_Frontend[[#This Row],[Data]]="","",Buildings_GridElectricity_Backend[[#This Row],[Total (tCO2e)]]*(1-Buildings_GridElectricity_Backend[[#This Row],[RSD]]))</f>
        <v/>
      </c>
      <c r="AN218" s="220" t="str">
        <f>IF(Buildings_GridElectricity_Frontend[[#This Row],[Data]]="","",Buildings_GridElectricity_Backend[[#This Row],[Total (tCO2e)]]*(1+Buildings_GridElectricity_Backend[[#This Row],[RSD]]))</f>
        <v/>
      </c>
      <c r="AO218" s="210" t="str">
        <f>IF(Buildings_GridElectricity_Frontend[[#This Row],[Data]]="","",_xlfn.XLOOKUP(_xlfn.CONCAT(Buildings_GridElectricity_Backend[[#This Row],[Level 1]:[Level 6]]),rng_EFConcat,rng_EFOOS)*Buildings_GridElectricity_Backend[[#This Row],[Converted data]]/1000)</f>
        <v/>
      </c>
      <c r="AP218" s="174">
        <f>Buildings_GridElectricity_Frontend[[#This Row],[Ease of collection]]</f>
        <v>0</v>
      </c>
      <c r="AQ218" s="213">
        <f>Buildings_GridElectricity_Frontend[[#This Row],[Completeness]]</f>
        <v>0</v>
      </c>
      <c r="AR218" s="220">
        <f>Buildings_GridElectricity_Frontend[[#This Row],[Notes]]</f>
        <v>0</v>
      </c>
    </row>
    <row r="219" spans="5:44" x14ac:dyDescent="0.3">
      <c r="E219" s="346"/>
      <c r="F219" s="449"/>
      <c r="G219" s="336"/>
      <c r="H219" s="334"/>
      <c r="I219" s="172" t="s">
        <v>316</v>
      </c>
      <c r="J219" s="337"/>
      <c r="K219" s="336"/>
      <c r="L219" s="336"/>
      <c r="M219" s="337"/>
      <c r="N219" s="242">
        <f t="shared" si="7"/>
        <v>3</v>
      </c>
      <c r="Q219" s="212" t="str">
        <f t="shared" si="6"/>
        <v/>
      </c>
      <c r="R219" s="174" t="s">
        <v>265</v>
      </c>
      <c r="S219" s="174" t="s">
        <v>273</v>
      </c>
      <c r="T219" s="174" t="str">
        <f>_xlfn.XLOOKUP(Buildings_GridElectricity_Backend[[#This Row],[Info 1]],Buildings_SiteInfo[Site name],Buildings_SiteInfo[Site type], "")</f>
        <v/>
      </c>
      <c r="U219" s="174" t="s">
        <v>281</v>
      </c>
      <c r="V219" s="174" t="str" cm="1">
        <f t="array" aca="1" ref="V219" ca="1">_xlfn.XLOOKUP(Buildings_GridElectricity_Backend[[#This Row],[Level 4]],rng_Level4Long,rng_Level5Long)</f>
        <v>Electricity</v>
      </c>
      <c r="W219" s="174" t="str" cm="1">
        <f t="array" aca="1" ref="W219" ca="1">_xlfn.XLOOKUP(Buildings_GridElectricity_Backend[[#This Row],[Level 4]],rng_Level4Long,rng_Level6Long)</f>
        <v>NaN</v>
      </c>
      <c r="X219" s="174">
        <f>Buildings_GridElectricity_Frontend[[#This Row],[Site Name]]</f>
        <v>0</v>
      </c>
      <c r="Y219" s="174">
        <f>Buildings_GridElectricity_Frontend[[#This Row],[Contracting]]</f>
        <v>0</v>
      </c>
      <c r="Z219" s="174">
        <f>Buildings_GridElectricity_Frontend[[#This Row],[Methodology]]</f>
        <v>0</v>
      </c>
      <c r="AA219" s="229" t="str" cm="1">
        <f t="array" ref="AA219">IF(Buildings_GridElectricity_Frontend[[#This Row],[Data]]="","",INDEX(_xlfn.SWITCH(Buildings_GridElectricity_Backend[[#This Row],[Methodology]],"Tier 1",rng_RSD1,"Tier 2",rng_RSD2,"Tier 3",rng_RSD3),MATCH(_xlfn.CONCAT(Buildings_GridElectricity_Backend[[#This Row],[Level 1]:[Level 6]]),rng_LevelsConcat,0)))</f>
        <v/>
      </c>
      <c r="AB219" s="220">
        <f>Buildings_GridElectricity_Frontend[[#This Row],[Data]]</f>
        <v>0</v>
      </c>
      <c r="AC219" s="174" t="str">
        <f>Buildings_GridElectricity_Frontend[[#This Row],[Units]]</f>
        <v>kWh</v>
      </c>
      <c r="AD219" s="218">
        <f>Buildings_GridElectricity_Frontend[[#This Row],[Data]]</f>
        <v>0</v>
      </c>
      <c r="AE219" s="174" t="str">
        <f>Buildings_GridElectricity_Frontend[[#This Row],[Units]]</f>
        <v>kWh</v>
      </c>
      <c r="AF219" s="210" t="str">
        <f>IF(Buildings_GridElectricity_Frontend[[#This Row],[Data]]="","",_xlfn.XLOOKUP(_xlfn.CONCAT(Buildings_GridElectricity_Backend[[#This Row],[Level 1]:[Level 6]]),rng_EFConcat,rng_EF1)*Buildings_GridElectricity_Backend[[#This Row],[Converted data]]/1000)</f>
        <v/>
      </c>
      <c r="AG219" s="210" t="str">
        <f>IF(Buildings_GridElectricity_Frontend[[#This Row],[Data]]="","",_xlfn.XLOOKUP(_xlfn.CONCAT(Buildings_GridElectricity_Backend[[#This Row],[Level 1]:[Level 6]]),rng_EFConcat,rng_EF2)*Buildings_GridElectricity_Backend[[#This Row],[Converted data]]/1000)</f>
        <v/>
      </c>
      <c r="AH219" s="210" t="str">
        <f>IF(Buildings_GridElectricity_Frontend[[#This Row],[Data]]="","",_xlfn.XLOOKUP(_xlfn.CONCAT(Buildings_GridElectricity_Backend[[#This Row],[Level 1]:[Level 6]]),rng_EFConcat,rng_EF3)*Buildings_GridElectricity_Backend[[#This Row],[Converted data]]/1000)</f>
        <v/>
      </c>
      <c r="AI219" s="210" t="str">
        <f>IF(Buildings_GridElectricity_Frontend[[#This Row],[Data]]="","",_xlfn.XLOOKUP(_xlfn.CONCAT(Buildings_GridElectricity_Backend[[#This Row],[Level 1]:[Level 6]]),rng_EFConcat,rng_EF3WTT)*Buildings_GridElectricity_Backend[[#This Row],[Converted data]]/1000)</f>
        <v/>
      </c>
      <c r="AJ219" s="210" t="str">
        <f>IF(Buildings_GridElectricity_Frontend[[#This Row],[Data]]="","",_xlfn.XLOOKUP(_xlfn.CONCAT(Buildings_GridElectricity_Backend[[#This Row],[Level 1]:[Level 6]]),rng_EFConcat,rng_EF3TD)*Buildings_GridElectricity_Backend[[#This Row],[Converted data]]/1000)</f>
        <v/>
      </c>
      <c r="AK219" s="210" t="str">
        <f>IF(Buildings_GridElectricity_Frontend[[#This Row],[Data]]="","",_xlfn.XLOOKUP(_xlfn.CONCAT(Buildings_GridElectricity_Backend[[#This Row],[Level 1]:[Level 6]]),rng_EFConcat,rng_EF3WTTTD)*Buildings_GridElectricity_Backend[[#This Row],[Converted data]]/1000)</f>
        <v/>
      </c>
      <c r="AL219" s="220" t="str">
        <f>IF(Buildings_GridElectricity_Frontend[[#This Row],[Data]]="","",SUM(Buildings_GridElectricity_Backend[[#This Row],[Scope 1 (tCO2e)]:[Scope 3 WTT T&amp;D (tCO2e)]]))</f>
        <v/>
      </c>
      <c r="AM219" s="220" t="str">
        <f>IF(Buildings_GridElectricity_Frontend[[#This Row],[Data]]="","",Buildings_GridElectricity_Backend[[#This Row],[Total (tCO2e)]]*(1-Buildings_GridElectricity_Backend[[#This Row],[RSD]]))</f>
        <v/>
      </c>
      <c r="AN219" s="220" t="str">
        <f>IF(Buildings_GridElectricity_Frontend[[#This Row],[Data]]="","",Buildings_GridElectricity_Backend[[#This Row],[Total (tCO2e)]]*(1+Buildings_GridElectricity_Backend[[#This Row],[RSD]]))</f>
        <v/>
      </c>
      <c r="AO219" s="210" t="str">
        <f>IF(Buildings_GridElectricity_Frontend[[#This Row],[Data]]="","",_xlfn.XLOOKUP(_xlfn.CONCAT(Buildings_GridElectricity_Backend[[#This Row],[Level 1]:[Level 6]]),rng_EFConcat,rng_EFOOS)*Buildings_GridElectricity_Backend[[#This Row],[Converted data]]/1000)</f>
        <v/>
      </c>
      <c r="AP219" s="174">
        <f>Buildings_GridElectricity_Frontend[[#This Row],[Ease of collection]]</f>
        <v>0</v>
      </c>
      <c r="AQ219" s="213">
        <f>Buildings_GridElectricity_Frontend[[#This Row],[Completeness]]</f>
        <v>0</v>
      </c>
      <c r="AR219" s="220">
        <f>Buildings_GridElectricity_Frontend[[#This Row],[Notes]]</f>
        <v>0</v>
      </c>
    </row>
    <row r="220" spans="5:44" x14ac:dyDescent="0.3">
      <c r="E220" s="346"/>
      <c r="F220" s="449"/>
      <c r="G220" s="336"/>
      <c r="H220" s="334"/>
      <c r="I220" s="172" t="s">
        <v>316</v>
      </c>
      <c r="J220" s="337"/>
      <c r="K220" s="336"/>
      <c r="L220" s="336"/>
      <c r="M220" s="337"/>
      <c r="N220" s="242">
        <f t="shared" si="7"/>
        <v>3</v>
      </c>
      <c r="Q220" s="212" t="str">
        <f t="shared" ref="Q220:Q283" si="8">IF(N220=0,SUBSTITUTE(2025&amp;TRIM(cl_org_name_select)&amp;TRIM($E$25)&amp;(ROW(N220)-ROW($N$28))," ",""),"")</f>
        <v/>
      </c>
      <c r="R220" s="174" t="s">
        <v>265</v>
      </c>
      <c r="S220" s="174" t="s">
        <v>273</v>
      </c>
      <c r="T220" s="174" t="str">
        <f>_xlfn.XLOOKUP(Buildings_GridElectricity_Backend[[#This Row],[Info 1]],Buildings_SiteInfo[Site name],Buildings_SiteInfo[Site type], "")</f>
        <v/>
      </c>
      <c r="U220" s="174" t="s">
        <v>281</v>
      </c>
      <c r="V220" s="174" t="str" cm="1">
        <f t="array" aca="1" ref="V220" ca="1">_xlfn.XLOOKUP(Buildings_GridElectricity_Backend[[#This Row],[Level 4]],rng_Level4Long,rng_Level5Long)</f>
        <v>Electricity</v>
      </c>
      <c r="W220" s="174" t="str" cm="1">
        <f t="array" aca="1" ref="W220" ca="1">_xlfn.XLOOKUP(Buildings_GridElectricity_Backend[[#This Row],[Level 4]],rng_Level4Long,rng_Level6Long)</f>
        <v>NaN</v>
      </c>
      <c r="X220" s="174">
        <f>Buildings_GridElectricity_Frontend[[#This Row],[Site Name]]</f>
        <v>0</v>
      </c>
      <c r="Y220" s="174">
        <f>Buildings_GridElectricity_Frontend[[#This Row],[Contracting]]</f>
        <v>0</v>
      </c>
      <c r="Z220" s="174">
        <f>Buildings_GridElectricity_Frontend[[#This Row],[Methodology]]</f>
        <v>0</v>
      </c>
      <c r="AA220" s="229" t="str" cm="1">
        <f t="array" ref="AA220">IF(Buildings_GridElectricity_Frontend[[#This Row],[Data]]="","",INDEX(_xlfn.SWITCH(Buildings_GridElectricity_Backend[[#This Row],[Methodology]],"Tier 1",rng_RSD1,"Tier 2",rng_RSD2,"Tier 3",rng_RSD3),MATCH(_xlfn.CONCAT(Buildings_GridElectricity_Backend[[#This Row],[Level 1]:[Level 6]]),rng_LevelsConcat,0)))</f>
        <v/>
      </c>
      <c r="AB220" s="220">
        <f>Buildings_GridElectricity_Frontend[[#This Row],[Data]]</f>
        <v>0</v>
      </c>
      <c r="AC220" s="174" t="str">
        <f>Buildings_GridElectricity_Frontend[[#This Row],[Units]]</f>
        <v>kWh</v>
      </c>
      <c r="AD220" s="218">
        <f>Buildings_GridElectricity_Frontend[[#This Row],[Data]]</f>
        <v>0</v>
      </c>
      <c r="AE220" s="174" t="str">
        <f>Buildings_GridElectricity_Frontend[[#This Row],[Units]]</f>
        <v>kWh</v>
      </c>
      <c r="AF220" s="210" t="str">
        <f>IF(Buildings_GridElectricity_Frontend[[#This Row],[Data]]="","",_xlfn.XLOOKUP(_xlfn.CONCAT(Buildings_GridElectricity_Backend[[#This Row],[Level 1]:[Level 6]]),rng_EFConcat,rng_EF1)*Buildings_GridElectricity_Backend[[#This Row],[Converted data]]/1000)</f>
        <v/>
      </c>
      <c r="AG220" s="210" t="str">
        <f>IF(Buildings_GridElectricity_Frontend[[#This Row],[Data]]="","",_xlfn.XLOOKUP(_xlfn.CONCAT(Buildings_GridElectricity_Backend[[#This Row],[Level 1]:[Level 6]]),rng_EFConcat,rng_EF2)*Buildings_GridElectricity_Backend[[#This Row],[Converted data]]/1000)</f>
        <v/>
      </c>
      <c r="AH220" s="210" t="str">
        <f>IF(Buildings_GridElectricity_Frontend[[#This Row],[Data]]="","",_xlfn.XLOOKUP(_xlfn.CONCAT(Buildings_GridElectricity_Backend[[#This Row],[Level 1]:[Level 6]]),rng_EFConcat,rng_EF3)*Buildings_GridElectricity_Backend[[#This Row],[Converted data]]/1000)</f>
        <v/>
      </c>
      <c r="AI220" s="210" t="str">
        <f>IF(Buildings_GridElectricity_Frontend[[#This Row],[Data]]="","",_xlfn.XLOOKUP(_xlfn.CONCAT(Buildings_GridElectricity_Backend[[#This Row],[Level 1]:[Level 6]]),rng_EFConcat,rng_EF3WTT)*Buildings_GridElectricity_Backend[[#This Row],[Converted data]]/1000)</f>
        <v/>
      </c>
      <c r="AJ220" s="210" t="str">
        <f>IF(Buildings_GridElectricity_Frontend[[#This Row],[Data]]="","",_xlfn.XLOOKUP(_xlfn.CONCAT(Buildings_GridElectricity_Backend[[#This Row],[Level 1]:[Level 6]]),rng_EFConcat,rng_EF3TD)*Buildings_GridElectricity_Backend[[#This Row],[Converted data]]/1000)</f>
        <v/>
      </c>
      <c r="AK220" s="210" t="str">
        <f>IF(Buildings_GridElectricity_Frontend[[#This Row],[Data]]="","",_xlfn.XLOOKUP(_xlfn.CONCAT(Buildings_GridElectricity_Backend[[#This Row],[Level 1]:[Level 6]]),rng_EFConcat,rng_EF3WTTTD)*Buildings_GridElectricity_Backend[[#This Row],[Converted data]]/1000)</f>
        <v/>
      </c>
      <c r="AL220" s="220" t="str">
        <f>IF(Buildings_GridElectricity_Frontend[[#This Row],[Data]]="","",SUM(Buildings_GridElectricity_Backend[[#This Row],[Scope 1 (tCO2e)]:[Scope 3 WTT T&amp;D (tCO2e)]]))</f>
        <v/>
      </c>
      <c r="AM220" s="220" t="str">
        <f>IF(Buildings_GridElectricity_Frontend[[#This Row],[Data]]="","",Buildings_GridElectricity_Backend[[#This Row],[Total (tCO2e)]]*(1-Buildings_GridElectricity_Backend[[#This Row],[RSD]]))</f>
        <v/>
      </c>
      <c r="AN220" s="220" t="str">
        <f>IF(Buildings_GridElectricity_Frontend[[#This Row],[Data]]="","",Buildings_GridElectricity_Backend[[#This Row],[Total (tCO2e)]]*(1+Buildings_GridElectricity_Backend[[#This Row],[RSD]]))</f>
        <v/>
      </c>
      <c r="AO220" s="210" t="str">
        <f>IF(Buildings_GridElectricity_Frontend[[#This Row],[Data]]="","",_xlfn.XLOOKUP(_xlfn.CONCAT(Buildings_GridElectricity_Backend[[#This Row],[Level 1]:[Level 6]]),rng_EFConcat,rng_EFOOS)*Buildings_GridElectricity_Backend[[#This Row],[Converted data]]/1000)</f>
        <v/>
      </c>
      <c r="AP220" s="174">
        <f>Buildings_GridElectricity_Frontend[[#This Row],[Ease of collection]]</f>
        <v>0</v>
      </c>
      <c r="AQ220" s="213">
        <f>Buildings_GridElectricity_Frontend[[#This Row],[Completeness]]</f>
        <v>0</v>
      </c>
      <c r="AR220" s="220">
        <f>Buildings_GridElectricity_Frontend[[#This Row],[Notes]]</f>
        <v>0</v>
      </c>
    </row>
    <row r="221" spans="5:44" x14ac:dyDescent="0.3">
      <c r="E221" s="346"/>
      <c r="F221" s="449"/>
      <c r="G221" s="336"/>
      <c r="H221" s="334"/>
      <c r="I221" s="172" t="s">
        <v>316</v>
      </c>
      <c r="J221" s="337"/>
      <c r="K221" s="336"/>
      <c r="L221" s="336"/>
      <c r="M221" s="337"/>
      <c r="N221" s="242">
        <f t="shared" ref="N221:N284" si="9">ISBLANK(E221)+ISBLANK(G221)+ISBLANK(H221)</f>
        <v>3</v>
      </c>
      <c r="Q221" s="212" t="str">
        <f t="shared" si="8"/>
        <v/>
      </c>
      <c r="R221" s="174" t="s">
        <v>265</v>
      </c>
      <c r="S221" s="174" t="s">
        <v>273</v>
      </c>
      <c r="T221" s="174" t="str">
        <f>_xlfn.XLOOKUP(Buildings_GridElectricity_Backend[[#This Row],[Info 1]],Buildings_SiteInfo[Site name],Buildings_SiteInfo[Site type], "")</f>
        <v/>
      </c>
      <c r="U221" s="174" t="s">
        <v>281</v>
      </c>
      <c r="V221" s="174" t="str" cm="1">
        <f t="array" aca="1" ref="V221" ca="1">_xlfn.XLOOKUP(Buildings_GridElectricity_Backend[[#This Row],[Level 4]],rng_Level4Long,rng_Level5Long)</f>
        <v>Electricity</v>
      </c>
      <c r="W221" s="174" t="str" cm="1">
        <f t="array" aca="1" ref="W221" ca="1">_xlfn.XLOOKUP(Buildings_GridElectricity_Backend[[#This Row],[Level 4]],rng_Level4Long,rng_Level6Long)</f>
        <v>NaN</v>
      </c>
      <c r="X221" s="174">
        <f>Buildings_GridElectricity_Frontend[[#This Row],[Site Name]]</f>
        <v>0</v>
      </c>
      <c r="Y221" s="174">
        <f>Buildings_GridElectricity_Frontend[[#This Row],[Contracting]]</f>
        <v>0</v>
      </c>
      <c r="Z221" s="174">
        <f>Buildings_GridElectricity_Frontend[[#This Row],[Methodology]]</f>
        <v>0</v>
      </c>
      <c r="AA221" s="229" t="str" cm="1">
        <f t="array" ref="AA221">IF(Buildings_GridElectricity_Frontend[[#This Row],[Data]]="","",INDEX(_xlfn.SWITCH(Buildings_GridElectricity_Backend[[#This Row],[Methodology]],"Tier 1",rng_RSD1,"Tier 2",rng_RSD2,"Tier 3",rng_RSD3),MATCH(_xlfn.CONCAT(Buildings_GridElectricity_Backend[[#This Row],[Level 1]:[Level 6]]),rng_LevelsConcat,0)))</f>
        <v/>
      </c>
      <c r="AB221" s="220">
        <f>Buildings_GridElectricity_Frontend[[#This Row],[Data]]</f>
        <v>0</v>
      </c>
      <c r="AC221" s="174" t="str">
        <f>Buildings_GridElectricity_Frontend[[#This Row],[Units]]</f>
        <v>kWh</v>
      </c>
      <c r="AD221" s="218">
        <f>Buildings_GridElectricity_Frontend[[#This Row],[Data]]</f>
        <v>0</v>
      </c>
      <c r="AE221" s="174" t="str">
        <f>Buildings_GridElectricity_Frontend[[#This Row],[Units]]</f>
        <v>kWh</v>
      </c>
      <c r="AF221" s="210" t="str">
        <f>IF(Buildings_GridElectricity_Frontend[[#This Row],[Data]]="","",_xlfn.XLOOKUP(_xlfn.CONCAT(Buildings_GridElectricity_Backend[[#This Row],[Level 1]:[Level 6]]),rng_EFConcat,rng_EF1)*Buildings_GridElectricity_Backend[[#This Row],[Converted data]]/1000)</f>
        <v/>
      </c>
      <c r="AG221" s="210" t="str">
        <f>IF(Buildings_GridElectricity_Frontend[[#This Row],[Data]]="","",_xlfn.XLOOKUP(_xlfn.CONCAT(Buildings_GridElectricity_Backend[[#This Row],[Level 1]:[Level 6]]),rng_EFConcat,rng_EF2)*Buildings_GridElectricity_Backend[[#This Row],[Converted data]]/1000)</f>
        <v/>
      </c>
      <c r="AH221" s="210" t="str">
        <f>IF(Buildings_GridElectricity_Frontend[[#This Row],[Data]]="","",_xlfn.XLOOKUP(_xlfn.CONCAT(Buildings_GridElectricity_Backend[[#This Row],[Level 1]:[Level 6]]),rng_EFConcat,rng_EF3)*Buildings_GridElectricity_Backend[[#This Row],[Converted data]]/1000)</f>
        <v/>
      </c>
      <c r="AI221" s="210" t="str">
        <f>IF(Buildings_GridElectricity_Frontend[[#This Row],[Data]]="","",_xlfn.XLOOKUP(_xlfn.CONCAT(Buildings_GridElectricity_Backend[[#This Row],[Level 1]:[Level 6]]),rng_EFConcat,rng_EF3WTT)*Buildings_GridElectricity_Backend[[#This Row],[Converted data]]/1000)</f>
        <v/>
      </c>
      <c r="AJ221" s="210" t="str">
        <f>IF(Buildings_GridElectricity_Frontend[[#This Row],[Data]]="","",_xlfn.XLOOKUP(_xlfn.CONCAT(Buildings_GridElectricity_Backend[[#This Row],[Level 1]:[Level 6]]),rng_EFConcat,rng_EF3TD)*Buildings_GridElectricity_Backend[[#This Row],[Converted data]]/1000)</f>
        <v/>
      </c>
      <c r="AK221" s="210" t="str">
        <f>IF(Buildings_GridElectricity_Frontend[[#This Row],[Data]]="","",_xlfn.XLOOKUP(_xlfn.CONCAT(Buildings_GridElectricity_Backend[[#This Row],[Level 1]:[Level 6]]),rng_EFConcat,rng_EF3WTTTD)*Buildings_GridElectricity_Backend[[#This Row],[Converted data]]/1000)</f>
        <v/>
      </c>
      <c r="AL221" s="220" t="str">
        <f>IF(Buildings_GridElectricity_Frontend[[#This Row],[Data]]="","",SUM(Buildings_GridElectricity_Backend[[#This Row],[Scope 1 (tCO2e)]:[Scope 3 WTT T&amp;D (tCO2e)]]))</f>
        <v/>
      </c>
      <c r="AM221" s="220" t="str">
        <f>IF(Buildings_GridElectricity_Frontend[[#This Row],[Data]]="","",Buildings_GridElectricity_Backend[[#This Row],[Total (tCO2e)]]*(1-Buildings_GridElectricity_Backend[[#This Row],[RSD]]))</f>
        <v/>
      </c>
      <c r="AN221" s="220" t="str">
        <f>IF(Buildings_GridElectricity_Frontend[[#This Row],[Data]]="","",Buildings_GridElectricity_Backend[[#This Row],[Total (tCO2e)]]*(1+Buildings_GridElectricity_Backend[[#This Row],[RSD]]))</f>
        <v/>
      </c>
      <c r="AO221" s="210" t="str">
        <f>IF(Buildings_GridElectricity_Frontend[[#This Row],[Data]]="","",_xlfn.XLOOKUP(_xlfn.CONCAT(Buildings_GridElectricity_Backend[[#This Row],[Level 1]:[Level 6]]),rng_EFConcat,rng_EFOOS)*Buildings_GridElectricity_Backend[[#This Row],[Converted data]]/1000)</f>
        <v/>
      </c>
      <c r="AP221" s="174">
        <f>Buildings_GridElectricity_Frontend[[#This Row],[Ease of collection]]</f>
        <v>0</v>
      </c>
      <c r="AQ221" s="213">
        <f>Buildings_GridElectricity_Frontend[[#This Row],[Completeness]]</f>
        <v>0</v>
      </c>
      <c r="AR221" s="220">
        <f>Buildings_GridElectricity_Frontend[[#This Row],[Notes]]</f>
        <v>0</v>
      </c>
    </row>
    <row r="222" spans="5:44" x14ac:dyDescent="0.3">
      <c r="E222" s="346"/>
      <c r="F222" s="449"/>
      <c r="G222" s="336"/>
      <c r="H222" s="334"/>
      <c r="I222" s="172" t="s">
        <v>316</v>
      </c>
      <c r="J222" s="337"/>
      <c r="K222" s="336"/>
      <c r="L222" s="336"/>
      <c r="M222" s="337"/>
      <c r="N222" s="242">
        <f t="shared" si="9"/>
        <v>3</v>
      </c>
      <c r="Q222" s="212" t="str">
        <f t="shared" si="8"/>
        <v/>
      </c>
      <c r="R222" s="174" t="s">
        <v>265</v>
      </c>
      <c r="S222" s="174" t="s">
        <v>273</v>
      </c>
      <c r="T222" s="174" t="str">
        <f>_xlfn.XLOOKUP(Buildings_GridElectricity_Backend[[#This Row],[Info 1]],Buildings_SiteInfo[Site name],Buildings_SiteInfo[Site type], "")</f>
        <v/>
      </c>
      <c r="U222" s="174" t="s">
        <v>281</v>
      </c>
      <c r="V222" s="174" t="str" cm="1">
        <f t="array" aca="1" ref="V222" ca="1">_xlfn.XLOOKUP(Buildings_GridElectricity_Backend[[#This Row],[Level 4]],rng_Level4Long,rng_Level5Long)</f>
        <v>Electricity</v>
      </c>
      <c r="W222" s="174" t="str" cm="1">
        <f t="array" aca="1" ref="W222" ca="1">_xlfn.XLOOKUP(Buildings_GridElectricity_Backend[[#This Row],[Level 4]],rng_Level4Long,rng_Level6Long)</f>
        <v>NaN</v>
      </c>
      <c r="X222" s="174">
        <f>Buildings_GridElectricity_Frontend[[#This Row],[Site Name]]</f>
        <v>0</v>
      </c>
      <c r="Y222" s="174">
        <f>Buildings_GridElectricity_Frontend[[#This Row],[Contracting]]</f>
        <v>0</v>
      </c>
      <c r="Z222" s="174">
        <f>Buildings_GridElectricity_Frontend[[#This Row],[Methodology]]</f>
        <v>0</v>
      </c>
      <c r="AA222" s="229" t="str" cm="1">
        <f t="array" ref="AA222">IF(Buildings_GridElectricity_Frontend[[#This Row],[Data]]="","",INDEX(_xlfn.SWITCH(Buildings_GridElectricity_Backend[[#This Row],[Methodology]],"Tier 1",rng_RSD1,"Tier 2",rng_RSD2,"Tier 3",rng_RSD3),MATCH(_xlfn.CONCAT(Buildings_GridElectricity_Backend[[#This Row],[Level 1]:[Level 6]]),rng_LevelsConcat,0)))</f>
        <v/>
      </c>
      <c r="AB222" s="220">
        <f>Buildings_GridElectricity_Frontend[[#This Row],[Data]]</f>
        <v>0</v>
      </c>
      <c r="AC222" s="174" t="str">
        <f>Buildings_GridElectricity_Frontend[[#This Row],[Units]]</f>
        <v>kWh</v>
      </c>
      <c r="AD222" s="218">
        <f>Buildings_GridElectricity_Frontend[[#This Row],[Data]]</f>
        <v>0</v>
      </c>
      <c r="AE222" s="174" t="str">
        <f>Buildings_GridElectricity_Frontend[[#This Row],[Units]]</f>
        <v>kWh</v>
      </c>
      <c r="AF222" s="210" t="str">
        <f>IF(Buildings_GridElectricity_Frontend[[#This Row],[Data]]="","",_xlfn.XLOOKUP(_xlfn.CONCAT(Buildings_GridElectricity_Backend[[#This Row],[Level 1]:[Level 6]]),rng_EFConcat,rng_EF1)*Buildings_GridElectricity_Backend[[#This Row],[Converted data]]/1000)</f>
        <v/>
      </c>
      <c r="AG222" s="210" t="str">
        <f>IF(Buildings_GridElectricity_Frontend[[#This Row],[Data]]="","",_xlfn.XLOOKUP(_xlfn.CONCAT(Buildings_GridElectricity_Backend[[#This Row],[Level 1]:[Level 6]]),rng_EFConcat,rng_EF2)*Buildings_GridElectricity_Backend[[#This Row],[Converted data]]/1000)</f>
        <v/>
      </c>
      <c r="AH222" s="210" t="str">
        <f>IF(Buildings_GridElectricity_Frontend[[#This Row],[Data]]="","",_xlfn.XLOOKUP(_xlfn.CONCAT(Buildings_GridElectricity_Backend[[#This Row],[Level 1]:[Level 6]]),rng_EFConcat,rng_EF3)*Buildings_GridElectricity_Backend[[#This Row],[Converted data]]/1000)</f>
        <v/>
      </c>
      <c r="AI222" s="210" t="str">
        <f>IF(Buildings_GridElectricity_Frontend[[#This Row],[Data]]="","",_xlfn.XLOOKUP(_xlfn.CONCAT(Buildings_GridElectricity_Backend[[#This Row],[Level 1]:[Level 6]]),rng_EFConcat,rng_EF3WTT)*Buildings_GridElectricity_Backend[[#This Row],[Converted data]]/1000)</f>
        <v/>
      </c>
      <c r="AJ222" s="210" t="str">
        <f>IF(Buildings_GridElectricity_Frontend[[#This Row],[Data]]="","",_xlfn.XLOOKUP(_xlfn.CONCAT(Buildings_GridElectricity_Backend[[#This Row],[Level 1]:[Level 6]]),rng_EFConcat,rng_EF3TD)*Buildings_GridElectricity_Backend[[#This Row],[Converted data]]/1000)</f>
        <v/>
      </c>
      <c r="AK222" s="210" t="str">
        <f>IF(Buildings_GridElectricity_Frontend[[#This Row],[Data]]="","",_xlfn.XLOOKUP(_xlfn.CONCAT(Buildings_GridElectricity_Backend[[#This Row],[Level 1]:[Level 6]]),rng_EFConcat,rng_EF3WTTTD)*Buildings_GridElectricity_Backend[[#This Row],[Converted data]]/1000)</f>
        <v/>
      </c>
      <c r="AL222" s="220" t="str">
        <f>IF(Buildings_GridElectricity_Frontend[[#This Row],[Data]]="","",SUM(Buildings_GridElectricity_Backend[[#This Row],[Scope 1 (tCO2e)]:[Scope 3 WTT T&amp;D (tCO2e)]]))</f>
        <v/>
      </c>
      <c r="AM222" s="220" t="str">
        <f>IF(Buildings_GridElectricity_Frontend[[#This Row],[Data]]="","",Buildings_GridElectricity_Backend[[#This Row],[Total (tCO2e)]]*(1-Buildings_GridElectricity_Backend[[#This Row],[RSD]]))</f>
        <v/>
      </c>
      <c r="AN222" s="220" t="str">
        <f>IF(Buildings_GridElectricity_Frontend[[#This Row],[Data]]="","",Buildings_GridElectricity_Backend[[#This Row],[Total (tCO2e)]]*(1+Buildings_GridElectricity_Backend[[#This Row],[RSD]]))</f>
        <v/>
      </c>
      <c r="AO222" s="210" t="str">
        <f>IF(Buildings_GridElectricity_Frontend[[#This Row],[Data]]="","",_xlfn.XLOOKUP(_xlfn.CONCAT(Buildings_GridElectricity_Backend[[#This Row],[Level 1]:[Level 6]]),rng_EFConcat,rng_EFOOS)*Buildings_GridElectricity_Backend[[#This Row],[Converted data]]/1000)</f>
        <v/>
      </c>
      <c r="AP222" s="174">
        <f>Buildings_GridElectricity_Frontend[[#This Row],[Ease of collection]]</f>
        <v>0</v>
      </c>
      <c r="AQ222" s="213">
        <f>Buildings_GridElectricity_Frontend[[#This Row],[Completeness]]</f>
        <v>0</v>
      </c>
      <c r="AR222" s="220">
        <f>Buildings_GridElectricity_Frontend[[#This Row],[Notes]]</f>
        <v>0</v>
      </c>
    </row>
    <row r="223" spans="5:44" x14ac:dyDescent="0.3">
      <c r="E223" s="346"/>
      <c r="F223" s="449"/>
      <c r="G223" s="336"/>
      <c r="H223" s="334"/>
      <c r="I223" s="172" t="s">
        <v>316</v>
      </c>
      <c r="J223" s="337"/>
      <c r="K223" s="336"/>
      <c r="L223" s="336"/>
      <c r="M223" s="337"/>
      <c r="N223" s="242">
        <f t="shared" si="9"/>
        <v>3</v>
      </c>
      <c r="Q223" s="212" t="str">
        <f t="shared" si="8"/>
        <v/>
      </c>
      <c r="R223" s="174" t="s">
        <v>265</v>
      </c>
      <c r="S223" s="174" t="s">
        <v>273</v>
      </c>
      <c r="T223" s="174" t="str">
        <f>_xlfn.XLOOKUP(Buildings_GridElectricity_Backend[[#This Row],[Info 1]],Buildings_SiteInfo[Site name],Buildings_SiteInfo[Site type], "")</f>
        <v/>
      </c>
      <c r="U223" s="174" t="s">
        <v>281</v>
      </c>
      <c r="V223" s="174" t="str" cm="1">
        <f t="array" aca="1" ref="V223" ca="1">_xlfn.XLOOKUP(Buildings_GridElectricity_Backend[[#This Row],[Level 4]],rng_Level4Long,rng_Level5Long)</f>
        <v>Electricity</v>
      </c>
      <c r="W223" s="174" t="str" cm="1">
        <f t="array" aca="1" ref="W223" ca="1">_xlfn.XLOOKUP(Buildings_GridElectricity_Backend[[#This Row],[Level 4]],rng_Level4Long,rng_Level6Long)</f>
        <v>NaN</v>
      </c>
      <c r="X223" s="174">
        <f>Buildings_GridElectricity_Frontend[[#This Row],[Site Name]]</f>
        <v>0</v>
      </c>
      <c r="Y223" s="174">
        <f>Buildings_GridElectricity_Frontend[[#This Row],[Contracting]]</f>
        <v>0</v>
      </c>
      <c r="Z223" s="174">
        <f>Buildings_GridElectricity_Frontend[[#This Row],[Methodology]]</f>
        <v>0</v>
      </c>
      <c r="AA223" s="229" t="str" cm="1">
        <f t="array" ref="AA223">IF(Buildings_GridElectricity_Frontend[[#This Row],[Data]]="","",INDEX(_xlfn.SWITCH(Buildings_GridElectricity_Backend[[#This Row],[Methodology]],"Tier 1",rng_RSD1,"Tier 2",rng_RSD2,"Tier 3",rng_RSD3),MATCH(_xlfn.CONCAT(Buildings_GridElectricity_Backend[[#This Row],[Level 1]:[Level 6]]),rng_LevelsConcat,0)))</f>
        <v/>
      </c>
      <c r="AB223" s="220">
        <f>Buildings_GridElectricity_Frontend[[#This Row],[Data]]</f>
        <v>0</v>
      </c>
      <c r="AC223" s="174" t="str">
        <f>Buildings_GridElectricity_Frontend[[#This Row],[Units]]</f>
        <v>kWh</v>
      </c>
      <c r="AD223" s="218">
        <f>Buildings_GridElectricity_Frontend[[#This Row],[Data]]</f>
        <v>0</v>
      </c>
      <c r="AE223" s="174" t="str">
        <f>Buildings_GridElectricity_Frontend[[#This Row],[Units]]</f>
        <v>kWh</v>
      </c>
      <c r="AF223" s="210" t="str">
        <f>IF(Buildings_GridElectricity_Frontend[[#This Row],[Data]]="","",_xlfn.XLOOKUP(_xlfn.CONCAT(Buildings_GridElectricity_Backend[[#This Row],[Level 1]:[Level 6]]),rng_EFConcat,rng_EF1)*Buildings_GridElectricity_Backend[[#This Row],[Converted data]]/1000)</f>
        <v/>
      </c>
      <c r="AG223" s="210" t="str">
        <f>IF(Buildings_GridElectricity_Frontend[[#This Row],[Data]]="","",_xlfn.XLOOKUP(_xlfn.CONCAT(Buildings_GridElectricity_Backend[[#This Row],[Level 1]:[Level 6]]),rng_EFConcat,rng_EF2)*Buildings_GridElectricity_Backend[[#This Row],[Converted data]]/1000)</f>
        <v/>
      </c>
      <c r="AH223" s="210" t="str">
        <f>IF(Buildings_GridElectricity_Frontend[[#This Row],[Data]]="","",_xlfn.XLOOKUP(_xlfn.CONCAT(Buildings_GridElectricity_Backend[[#This Row],[Level 1]:[Level 6]]),rng_EFConcat,rng_EF3)*Buildings_GridElectricity_Backend[[#This Row],[Converted data]]/1000)</f>
        <v/>
      </c>
      <c r="AI223" s="210" t="str">
        <f>IF(Buildings_GridElectricity_Frontend[[#This Row],[Data]]="","",_xlfn.XLOOKUP(_xlfn.CONCAT(Buildings_GridElectricity_Backend[[#This Row],[Level 1]:[Level 6]]),rng_EFConcat,rng_EF3WTT)*Buildings_GridElectricity_Backend[[#This Row],[Converted data]]/1000)</f>
        <v/>
      </c>
      <c r="AJ223" s="210" t="str">
        <f>IF(Buildings_GridElectricity_Frontend[[#This Row],[Data]]="","",_xlfn.XLOOKUP(_xlfn.CONCAT(Buildings_GridElectricity_Backend[[#This Row],[Level 1]:[Level 6]]),rng_EFConcat,rng_EF3TD)*Buildings_GridElectricity_Backend[[#This Row],[Converted data]]/1000)</f>
        <v/>
      </c>
      <c r="AK223" s="210" t="str">
        <f>IF(Buildings_GridElectricity_Frontend[[#This Row],[Data]]="","",_xlfn.XLOOKUP(_xlfn.CONCAT(Buildings_GridElectricity_Backend[[#This Row],[Level 1]:[Level 6]]),rng_EFConcat,rng_EF3WTTTD)*Buildings_GridElectricity_Backend[[#This Row],[Converted data]]/1000)</f>
        <v/>
      </c>
      <c r="AL223" s="220" t="str">
        <f>IF(Buildings_GridElectricity_Frontend[[#This Row],[Data]]="","",SUM(Buildings_GridElectricity_Backend[[#This Row],[Scope 1 (tCO2e)]:[Scope 3 WTT T&amp;D (tCO2e)]]))</f>
        <v/>
      </c>
      <c r="AM223" s="220" t="str">
        <f>IF(Buildings_GridElectricity_Frontend[[#This Row],[Data]]="","",Buildings_GridElectricity_Backend[[#This Row],[Total (tCO2e)]]*(1-Buildings_GridElectricity_Backend[[#This Row],[RSD]]))</f>
        <v/>
      </c>
      <c r="AN223" s="220" t="str">
        <f>IF(Buildings_GridElectricity_Frontend[[#This Row],[Data]]="","",Buildings_GridElectricity_Backend[[#This Row],[Total (tCO2e)]]*(1+Buildings_GridElectricity_Backend[[#This Row],[RSD]]))</f>
        <v/>
      </c>
      <c r="AO223" s="210" t="str">
        <f>IF(Buildings_GridElectricity_Frontend[[#This Row],[Data]]="","",_xlfn.XLOOKUP(_xlfn.CONCAT(Buildings_GridElectricity_Backend[[#This Row],[Level 1]:[Level 6]]),rng_EFConcat,rng_EFOOS)*Buildings_GridElectricity_Backend[[#This Row],[Converted data]]/1000)</f>
        <v/>
      </c>
      <c r="AP223" s="174">
        <f>Buildings_GridElectricity_Frontend[[#This Row],[Ease of collection]]</f>
        <v>0</v>
      </c>
      <c r="AQ223" s="213">
        <f>Buildings_GridElectricity_Frontend[[#This Row],[Completeness]]</f>
        <v>0</v>
      </c>
      <c r="AR223" s="220">
        <f>Buildings_GridElectricity_Frontend[[#This Row],[Notes]]</f>
        <v>0</v>
      </c>
    </row>
    <row r="224" spans="5:44" x14ac:dyDescent="0.3">
      <c r="E224" s="346"/>
      <c r="F224" s="449"/>
      <c r="G224" s="336"/>
      <c r="H224" s="334"/>
      <c r="I224" s="172" t="s">
        <v>316</v>
      </c>
      <c r="J224" s="337"/>
      <c r="K224" s="336"/>
      <c r="L224" s="336"/>
      <c r="M224" s="337"/>
      <c r="N224" s="242">
        <f t="shared" si="9"/>
        <v>3</v>
      </c>
      <c r="Q224" s="212" t="str">
        <f t="shared" si="8"/>
        <v/>
      </c>
      <c r="R224" s="174" t="s">
        <v>265</v>
      </c>
      <c r="S224" s="174" t="s">
        <v>273</v>
      </c>
      <c r="T224" s="174" t="str">
        <f>_xlfn.XLOOKUP(Buildings_GridElectricity_Backend[[#This Row],[Info 1]],Buildings_SiteInfo[Site name],Buildings_SiteInfo[Site type], "")</f>
        <v/>
      </c>
      <c r="U224" s="174" t="s">
        <v>281</v>
      </c>
      <c r="V224" s="174" t="str" cm="1">
        <f t="array" aca="1" ref="V224" ca="1">_xlfn.XLOOKUP(Buildings_GridElectricity_Backend[[#This Row],[Level 4]],rng_Level4Long,rng_Level5Long)</f>
        <v>Electricity</v>
      </c>
      <c r="W224" s="174" t="str" cm="1">
        <f t="array" aca="1" ref="W224" ca="1">_xlfn.XLOOKUP(Buildings_GridElectricity_Backend[[#This Row],[Level 4]],rng_Level4Long,rng_Level6Long)</f>
        <v>NaN</v>
      </c>
      <c r="X224" s="174">
        <f>Buildings_GridElectricity_Frontend[[#This Row],[Site Name]]</f>
        <v>0</v>
      </c>
      <c r="Y224" s="174">
        <f>Buildings_GridElectricity_Frontend[[#This Row],[Contracting]]</f>
        <v>0</v>
      </c>
      <c r="Z224" s="174">
        <f>Buildings_GridElectricity_Frontend[[#This Row],[Methodology]]</f>
        <v>0</v>
      </c>
      <c r="AA224" s="229" t="str" cm="1">
        <f t="array" ref="AA224">IF(Buildings_GridElectricity_Frontend[[#This Row],[Data]]="","",INDEX(_xlfn.SWITCH(Buildings_GridElectricity_Backend[[#This Row],[Methodology]],"Tier 1",rng_RSD1,"Tier 2",rng_RSD2,"Tier 3",rng_RSD3),MATCH(_xlfn.CONCAT(Buildings_GridElectricity_Backend[[#This Row],[Level 1]:[Level 6]]),rng_LevelsConcat,0)))</f>
        <v/>
      </c>
      <c r="AB224" s="220">
        <f>Buildings_GridElectricity_Frontend[[#This Row],[Data]]</f>
        <v>0</v>
      </c>
      <c r="AC224" s="174" t="str">
        <f>Buildings_GridElectricity_Frontend[[#This Row],[Units]]</f>
        <v>kWh</v>
      </c>
      <c r="AD224" s="218">
        <f>Buildings_GridElectricity_Frontend[[#This Row],[Data]]</f>
        <v>0</v>
      </c>
      <c r="AE224" s="174" t="str">
        <f>Buildings_GridElectricity_Frontend[[#This Row],[Units]]</f>
        <v>kWh</v>
      </c>
      <c r="AF224" s="210" t="str">
        <f>IF(Buildings_GridElectricity_Frontend[[#This Row],[Data]]="","",_xlfn.XLOOKUP(_xlfn.CONCAT(Buildings_GridElectricity_Backend[[#This Row],[Level 1]:[Level 6]]),rng_EFConcat,rng_EF1)*Buildings_GridElectricity_Backend[[#This Row],[Converted data]]/1000)</f>
        <v/>
      </c>
      <c r="AG224" s="210" t="str">
        <f>IF(Buildings_GridElectricity_Frontend[[#This Row],[Data]]="","",_xlfn.XLOOKUP(_xlfn.CONCAT(Buildings_GridElectricity_Backend[[#This Row],[Level 1]:[Level 6]]),rng_EFConcat,rng_EF2)*Buildings_GridElectricity_Backend[[#This Row],[Converted data]]/1000)</f>
        <v/>
      </c>
      <c r="AH224" s="210" t="str">
        <f>IF(Buildings_GridElectricity_Frontend[[#This Row],[Data]]="","",_xlfn.XLOOKUP(_xlfn.CONCAT(Buildings_GridElectricity_Backend[[#This Row],[Level 1]:[Level 6]]),rng_EFConcat,rng_EF3)*Buildings_GridElectricity_Backend[[#This Row],[Converted data]]/1000)</f>
        <v/>
      </c>
      <c r="AI224" s="210" t="str">
        <f>IF(Buildings_GridElectricity_Frontend[[#This Row],[Data]]="","",_xlfn.XLOOKUP(_xlfn.CONCAT(Buildings_GridElectricity_Backend[[#This Row],[Level 1]:[Level 6]]),rng_EFConcat,rng_EF3WTT)*Buildings_GridElectricity_Backend[[#This Row],[Converted data]]/1000)</f>
        <v/>
      </c>
      <c r="AJ224" s="210" t="str">
        <f>IF(Buildings_GridElectricity_Frontend[[#This Row],[Data]]="","",_xlfn.XLOOKUP(_xlfn.CONCAT(Buildings_GridElectricity_Backend[[#This Row],[Level 1]:[Level 6]]),rng_EFConcat,rng_EF3TD)*Buildings_GridElectricity_Backend[[#This Row],[Converted data]]/1000)</f>
        <v/>
      </c>
      <c r="AK224" s="210" t="str">
        <f>IF(Buildings_GridElectricity_Frontend[[#This Row],[Data]]="","",_xlfn.XLOOKUP(_xlfn.CONCAT(Buildings_GridElectricity_Backend[[#This Row],[Level 1]:[Level 6]]),rng_EFConcat,rng_EF3WTTTD)*Buildings_GridElectricity_Backend[[#This Row],[Converted data]]/1000)</f>
        <v/>
      </c>
      <c r="AL224" s="220" t="str">
        <f>IF(Buildings_GridElectricity_Frontend[[#This Row],[Data]]="","",SUM(Buildings_GridElectricity_Backend[[#This Row],[Scope 1 (tCO2e)]:[Scope 3 WTT T&amp;D (tCO2e)]]))</f>
        <v/>
      </c>
      <c r="AM224" s="220" t="str">
        <f>IF(Buildings_GridElectricity_Frontend[[#This Row],[Data]]="","",Buildings_GridElectricity_Backend[[#This Row],[Total (tCO2e)]]*(1-Buildings_GridElectricity_Backend[[#This Row],[RSD]]))</f>
        <v/>
      </c>
      <c r="AN224" s="220" t="str">
        <f>IF(Buildings_GridElectricity_Frontend[[#This Row],[Data]]="","",Buildings_GridElectricity_Backend[[#This Row],[Total (tCO2e)]]*(1+Buildings_GridElectricity_Backend[[#This Row],[RSD]]))</f>
        <v/>
      </c>
      <c r="AO224" s="210" t="str">
        <f>IF(Buildings_GridElectricity_Frontend[[#This Row],[Data]]="","",_xlfn.XLOOKUP(_xlfn.CONCAT(Buildings_GridElectricity_Backend[[#This Row],[Level 1]:[Level 6]]),rng_EFConcat,rng_EFOOS)*Buildings_GridElectricity_Backend[[#This Row],[Converted data]]/1000)</f>
        <v/>
      </c>
      <c r="AP224" s="174">
        <f>Buildings_GridElectricity_Frontend[[#This Row],[Ease of collection]]</f>
        <v>0</v>
      </c>
      <c r="AQ224" s="213">
        <f>Buildings_GridElectricity_Frontend[[#This Row],[Completeness]]</f>
        <v>0</v>
      </c>
      <c r="AR224" s="220">
        <f>Buildings_GridElectricity_Frontend[[#This Row],[Notes]]</f>
        <v>0</v>
      </c>
    </row>
    <row r="225" spans="5:44" x14ac:dyDescent="0.3">
      <c r="E225" s="346"/>
      <c r="F225" s="449"/>
      <c r="G225" s="336"/>
      <c r="H225" s="334"/>
      <c r="I225" s="172" t="s">
        <v>316</v>
      </c>
      <c r="J225" s="337"/>
      <c r="K225" s="336"/>
      <c r="L225" s="336"/>
      <c r="M225" s="337"/>
      <c r="N225" s="242">
        <f t="shared" si="9"/>
        <v>3</v>
      </c>
      <c r="Q225" s="212" t="str">
        <f t="shared" si="8"/>
        <v/>
      </c>
      <c r="R225" s="174" t="s">
        <v>265</v>
      </c>
      <c r="S225" s="174" t="s">
        <v>273</v>
      </c>
      <c r="T225" s="174" t="str">
        <f>_xlfn.XLOOKUP(Buildings_GridElectricity_Backend[[#This Row],[Info 1]],Buildings_SiteInfo[Site name],Buildings_SiteInfo[Site type], "")</f>
        <v/>
      </c>
      <c r="U225" s="174" t="s">
        <v>281</v>
      </c>
      <c r="V225" s="174" t="str" cm="1">
        <f t="array" aca="1" ref="V225" ca="1">_xlfn.XLOOKUP(Buildings_GridElectricity_Backend[[#This Row],[Level 4]],rng_Level4Long,rng_Level5Long)</f>
        <v>Electricity</v>
      </c>
      <c r="W225" s="174" t="str" cm="1">
        <f t="array" aca="1" ref="W225" ca="1">_xlfn.XLOOKUP(Buildings_GridElectricity_Backend[[#This Row],[Level 4]],rng_Level4Long,rng_Level6Long)</f>
        <v>NaN</v>
      </c>
      <c r="X225" s="174">
        <f>Buildings_GridElectricity_Frontend[[#This Row],[Site Name]]</f>
        <v>0</v>
      </c>
      <c r="Y225" s="174">
        <f>Buildings_GridElectricity_Frontend[[#This Row],[Contracting]]</f>
        <v>0</v>
      </c>
      <c r="Z225" s="174">
        <f>Buildings_GridElectricity_Frontend[[#This Row],[Methodology]]</f>
        <v>0</v>
      </c>
      <c r="AA225" s="229" t="str" cm="1">
        <f t="array" ref="AA225">IF(Buildings_GridElectricity_Frontend[[#This Row],[Data]]="","",INDEX(_xlfn.SWITCH(Buildings_GridElectricity_Backend[[#This Row],[Methodology]],"Tier 1",rng_RSD1,"Tier 2",rng_RSD2,"Tier 3",rng_RSD3),MATCH(_xlfn.CONCAT(Buildings_GridElectricity_Backend[[#This Row],[Level 1]:[Level 6]]),rng_LevelsConcat,0)))</f>
        <v/>
      </c>
      <c r="AB225" s="220">
        <f>Buildings_GridElectricity_Frontend[[#This Row],[Data]]</f>
        <v>0</v>
      </c>
      <c r="AC225" s="174" t="str">
        <f>Buildings_GridElectricity_Frontend[[#This Row],[Units]]</f>
        <v>kWh</v>
      </c>
      <c r="AD225" s="218">
        <f>Buildings_GridElectricity_Frontend[[#This Row],[Data]]</f>
        <v>0</v>
      </c>
      <c r="AE225" s="174" t="str">
        <f>Buildings_GridElectricity_Frontend[[#This Row],[Units]]</f>
        <v>kWh</v>
      </c>
      <c r="AF225" s="210" t="str">
        <f>IF(Buildings_GridElectricity_Frontend[[#This Row],[Data]]="","",_xlfn.XLOOKUP(_xlfn.CONCAT(Buildings_GridElectricity_Backend[[#This Row],[Level 1]:[Level 6]]),rng_EFConcat,rng_EF1)*Buildings_GridElectricity_Backend[[#This Row],[Converted data]]/1000)</f>
        <v/>
      </c>
      <c r="AG225" s="210" t="str">
        <f>IF(Buildings_GridElectricity_Frontend[[#This Row],[Data]]="","",_xlfn.XLOOKUP(_xlfn.CONCAT(Buildings_GridElectricity_Backend[[#This Row],[Level 1]:[Level 6]]),rng_EFConcat,rng_EF2)*Buildings_GridElectricity_Backend[[#This Row],[Converted data]]/1000)</f>
        <v/>
      </c>
      <c r="AH225" s="210" t="str">
        <f>IF(Buildings_GridElectricity_Frontend[[#This Row],[Data]]="","",_xlfn.XLOOKUP(_xlfn.CONCAT(Buildings_GridElectricity_Backend[[#This Row],[Level 1]:[Level 6]]),rng_EFConcat,rng_EF3)*Buildings_GridElectricity_Backend[[#This Row],[Converted data]]/1000)</f>
        <v/>
      </c>
      <c r="AI225" s="210" t="str">
        <f>IF(Buildings_GridElectricity_Frontend[[#This Row],[Data]]="","",_xlfn.XLOOKUP(_xlfn.CONCAT(Buildings_GridElectricity_Backend[[#This Row],[Level 1]:[Level 6]]),rng_EFConcat,rng_EF3WTT)*Buildings_GridElectricity_Backend[[#This Row],[Converted data]]/1000)</f>
        <v/>
      </c>
      <c r="AJ225" s="210" t="str">
        <f>IF(Buildings_GridElectricity_Frontend[[#This Row],[Data]]="","",_xlfn.XLOOKUP(_xlfn.CONCAT(Buildings_GridElectricity_Backend[[#This Row],[Level 1]:[Level 6]]),rng_EFConcat,rng_EF3TD)*Buildings_GridElectricity_Backend[[#This Row],[Converted data]]/1000)</f>
        <v/>
      </c>
      <c r="AK225" s="210" t="str">
        <f>IF(Buildings_GridElectricity_Frontend[[#This Row],[Data]]="","",_xlfn.XLOOKUP(_xlfn.CONCAT(Buildings_GridElectricity_Backend[[#This Row],[Level 1]:[Level 6]]),rng_EFConcat,rng_EF3WTTTD)*Buildings_GridElectricity_Backend[[#This Row],[Converted data]]/1000)</f>
        <v/>
      </c>
      <c r="AL225" s="220" t="str">
        <f>IF(Buildings_GridElectricity_Frontend[[#This Row],[Data]]="","",SUM(Buildings_GridElectricity_Backend[[#This Row],[Scope 1 (tCO2e)]:[Scope 3 WTT T&amp;D (tCO2e)]]))</f>
        <v/>
      </c>
      <c r="AM225" s="220" t="str">
        <f>IF(Buildings_GridElectricity_Frontend[[#This Row],[Data]]="","",Buildings_GridElectricity_Backend[[#This Row],[Total (tCO2e)]]*(1-Buildings_GridElectricity_Backend[[#This Row],[RSD]]))</f>
        <v/>
      </c>
      <c r="AN225" s="220" t="str">
        <f>IF(Buildings_GridElectricity_Frontend[[#This Row],[Data]]="","",Buildings_GridElectricity_Backend[[#This Row],[Total (tCO2e)]]*(1+Buildings_GridElectricity_Backend[[#This Row],[RSD]]))</f>
        <v/>
      </c>
      <c r="AO225" s="210" t="str">
        <f>IF(Buildings_GridElectricity_Frontend[[#This Row],[Data]]="","",_xlfn.XLOOKUP(_xlfn.CONCAT(Buildings_GridElectricity_Backend[[#This Row],[Level 1]:[Level 6]]),rng_EFConcat,rng_EFOOS)*Buildings_GridElectricity_Backend[[#This Row],[Converted data]]/1000)</f>
        <v/>
      </c>
      <c r="AP225" s="174">
        <f>Buildings_GridElectricity_Frontend[[#This Row],[Ease of collection]]</f>
        <v>0</v>
      </c>
      <c r="AQ225" s="213">
        <f>Buildings_GridElectricity_Frontend[[#This Row],[Completeness]]</f>
        <v>0</v>
      </c>
      <c r="AR225" s="220">
        <f>Buildings_GridElectricity_Frontend[[#This Row],[Notes]]</f>
        <v>0</v>
      </c>
    </row>
    <row r="226" spans="5:44" x14ac:dyDescent="0.3">
      <c r="E226" s="346"/>
      <c r="F226" s="449"/>
      <c r="G226" s="336"/>
      <c r="H226" s="334"/>
      <c r="I226" s="172" t="s">
        <v>316</v>
      </c>
      <c r="J226" s="337"/>
      <c r="K226" s="336"/>
      <c r="L226" s="336"/>
      <c r="M226" s="337"/>
      <c r="N226" s="242">
        <f t="shared" si="9"/>
        <v>3</v>
      </c>
      <c r="Q226" s="212" t="str">
        <f t="shared" si="8"/>
        <v/>
      </c>
      <c r="R226" s="174" t="s">
        <v>265</v>
      </c>
      <c r="S226" s="174" t="s">
        <v>273</v>
      </c>
      <c r="T226" s="174" t="str">
        <f>_xlfn.XLOOKUP(Buildings_GridElectricity_Backend[[#This Row],[Info 1]],Buildings_SiteInfo[Site name],Buildings_SiteInfo[Site type], "")</f>
        <v/>
      </c>
      <c r="U226" s="174" t="s">
        <v>281</v>
      </c>
      <c r="V226" s="174" t="str" cm="1">
        <f t="array" aca="1" ref="V226" ca="1">_xlfn.XLOOKUP(Buildings_GridElectricity_Backend[[#This Row],[Level 4]],rng_Level4Long,rng_Level5Long)</f>
        <v>Electricity</v>
      </c>
      <c r="W226" s="174" t="str" cm="1">
        <f t="array" aca="1" ref="W226" ca="1">_xlfn.XLOOKUP(Buildings_GridElectricity_Backend[[#This Row],[Level 4]],rng_Level4Long,rng_Level6Long)</f>
        <v>NaN</v>
      </c>
      <c r="X226" s="174">
        <f>Buildings_GridElectricity_Frontend[[#This Row],[Site Name]]</f>
        <v>0</v>
      </c>
      <c r="Y226" s="174">
        <f>Buildings_GridElectricity_Frontend[[#This Row],[Contracting]]</f>
        <v>0</v>
      </c>
      <c r="Z226" s="174">
        <f>Buildings_GridElectricity_Frontend[[#This Row],[Methodology]]</f>
        <v>0</v>
      </c>
      <c r="AA226" s="229" t="str" cm="1">
        <f t="array" ref="AA226">IF(Buildings_GridElectricity_Frontend[[#This Row],[Data]]="","",INDEX(_xlfn.SWITCH(Buildings_GridElectricity_Backend[[#This Row],[Methodology]],"Tier 1",rng_RSD1,"Tier 2",rng_RSD2,"Tier 3",rng_RSD3),MATCH(_xlfn.CONCAT(Buildings_GridElectricity_Backend[[#This Row],[Level 1]:[Level 6]]),rng_LevelsConcat,0)))</f>
        <v/>
      </c>
      <c r="AB226" s="220">
        <f>Buildings_GridElectricity_Frontend[[#This Row],[Data]]</f>
        <v>0</v>
      </c>
      <c r="AC226" s="174" t="str">
        <f>Buildings_GridElectricity_Frontend[[#This Row],[Units]]</f>
        <v>kWh</v>
      </c>
      <c r="AD226" s="218">
        <f>Buildings_GridElectricity_Frontend[[#This Row],[Data]]</f>
        <v>0</v>
      </c>
      <c r="AE226" s="174" t="str">
        <f>Buildings_GridElectricity_Frontend[[#This Row],[Units]]</f>
        <v>kWh</v>
      </c>
      <c r="AF226" s="210" t="str">
        <f>IF(Buildings_GridElectricity_Frontend[[#This Row],[Data]]="","",_xlfn.XLOOKUP(_xlfn.CONCAT(Buildings_GridElectricity_Backend[[#This Row],[Level 1]:[Level 6]]),rng_EFConcat,rng_EF1)*Buildings_GridElectricity_Backend[[#This Row],[Converted data]]/1000)</f>
        <v/>
      </c>
      <c r="AG226" s="210" t="str">
        <f>IF(Buildings_GridElectricity_Frontend[[#This Row],[Data]]="","",_xlfn.XLOOKUP(_xlfn.CONCAT(Buildings_GridElectricity_Backend[[#This Row],[Level 1]:[Level 6]]),rng_EFConcat,rng_EF2)*Buildings_GridElectricity_Backend[[#This Row],[Converted data]]/1000)</f>
        <v/>
      </c>
      <c r="AH226" s="210" t="str">
        <f>IF(Buildings_GridElectricity_Frontend[[#This Row],[Data]]="","",_xlfn.XLOOKUP(_xlfn.CONCAT(Buildings_GridElectricity_Backend[[#This Row],[Level 1]:[Level 6]]),rng_EFConcat,rng_EF3)*Buildings_GridElectricity_Backend[[#This Row],[Converted data]]/1000)</f>
        <v/>
      </c>
      <c r="AI226" s="210" t="str">
        <f>IF(Buildings_GridElectricity_Frontend[[#This Row],[Data]]="","",_xlfn.XLOOKUP(_xlfn.CONCAT(Buildings_GridElectricity_Backend[[#This Row],[Level 1]:[Level 6]]),rng_EFConcat,rng_EF3WTT)*Buildings_GridElectricity_Backend[[#This Row],[Converted data]]/1000)</f>
        <v/>
      </c>
      <c r="AJ226" s="210" t="str">
        <f>IF(Buildings_GridElectricity_Frontend[[#This Row],[Data]]="","",_xlfn.XLOOKUP(_xlfn.CONCAT(Buildings_GridElectricity_Backend[[#This Row],[Level 1]:[Level 6]]),rng_EFConcat,rng_EF3TD)*Buildings_GridElectricity_Backend[[#This Row],[Converted data]]/1000)</f>
        <v/>
      </c>
      <c r="AK226" s="210" t="str">
        <f>IF(Buildings_GridElectricity_Frontend[[#This Row],[Data]]="","",_xlfn.XLOOKUP(_xlfn.CONCAT(Buildings_GridElectricity_Backend[[#This Row],[Level 1]:[Level 6]]),rng_EFConcat,rng_EF3WTTTD)*Buildings_GridElectricity_Backend[[#This Row],[Converted data]]/1000)</f>
        <v/>
      </c>
      <c r="AL226" s="220" t="str">
        <f>IF(Buildings_GridElectricity_Frontend[[#This Row],[Data]]="","",SUM(Buildings_GridElectricity_Backend[[#This Row],[Scope 1 (tCO2e)]:[Scope 3 WTT T&amp;D (tCO2e)]]))</f>
        <v/>
      </c>
      <c r="AM226" s="220" t="str">
        <f>IF(Buildings_GridElectricity_Frontend[[#This Row],[Data]]="","",Buildings_GridElectricity_Backend[[#This Row],[Total (tCO2e)]]*(1-Buildings_GridElectricity_Backend[[#This Row],[RSD]]))</f>
        <v/>
      </c>
      <c r="AN226" s="220" t="str">
        <f>IF(Buildings_GridElectricity_Frontend[[#This Row],[Data]]="","",Buildings_GridElectricity_Backend[[#This Row],[Total (tCO2e)]]*(1+Buildings_GridElectricity_Backend[[#This Row],[RSD]]))</f>
        <v/>
      </c>
      <c r="AO226" s="210" t="str">
        <f>IF(Buildings_GridElectricity_Frontend[[#This Row],[Data]]="","",_xlfn.XLOOKUP(_xlfn.CONCAT(Buildings_GridElectricity_Backend[[#This Row],[Level 1]:[Level 6]]),rng_EFConcat,rng_EFOOS)*Buildings_GridElectricity_Backend[[#This Row],[Converted data]]/1000)</f>
        <v/>
      </c>
      <c r="AP226" s="174">
        <f>Buildings_GridElectricity_Frontend[[#This Row],[Ease of collection]]</f>
        <v>0</v>
      </c>
      <c r="AQ226" s="213">
        <f>Buildings_GridElectricity_Frontend[[#This Row],[Completeness]]</f>
        <v>0</v>
      </c>
      <c r="AR226" s="220">
        <f>Buildings_GridElectricity_Frontend[[#This Row],[Notes]]</f>
        <v>0</v>
      </c>
    </row>
    <row r="227" spans="5:44" x14ac:dyDescent="0.3">
      <c r="E227" s="346"/>
      <c r="F227" s="449"/>
      <c r="G227" s="336"/>
      <c r="H227" s="334"/>
      <c r="I227" s="172" t="s">
        <v>316</v>
      </c>
      <c r="J227" s="337"/>
      <c r="K227" s="336"/>
      <c r="L227" s="336"/>
      <c r="M227" s="337"/>
      <c r="N227" s="242">
        <f t="shared" si="9"/>
        <v>3</v>
      </c>
      <c r="Q227" s="212" t="str">
        <f t="shared" si="8"/>
        <v/>
      </c>
      <c r="R227" s="174" t="s">
        <v>265</v>
      </c>
      <c r="S227" s="174" t="s">
        <v>273</v>
      </c>
      <c r="T227" s="174" t="str">
        <f>_xlfn.XLOOKUP(Buildings_GridElectricity_Backend[[#This Row],[Info 1]],Buildings_SiteInfo[Site name],Buildings_SiteInfo[Site type], "")</f>
        <v/>
      </c>
      <c r="U227" s="174" t="s">
        <v>281</v>
      </c>
      <c r="V227" s="174" t="str" cm="1">
        <f t="array" aca="1" ref="V227" ca="1">_xlfn.XLOOKUP(Buildings_GridElectricity_Backend[[#This Row],[Level 4]],rng_Level4Long,rng_Level5Long)</f>
        <v>Electricity</v>
      </c>
      <c r="W227" s="174" t="str" cm="1">
        <f t="array" aca="1" ref="W227" ca="1">_xlfn.XLOOKUP(Buildings_GridElectricity_Backend[[#This Row],[Level 4]],rng_Level4Long,rng_Level6Long)</f>
        <v>NaN</v>
      </c>
      <c r="X227" s="174">
        <f>Buildings_GridElectricity_Frontend[[#This Row],[Site Name]]</f>
        <v>0</v>
      </c>
      <c r="Y227" s="174">
        <f>Buildings_GridElectricity_Frontend[[#This Row],[Contracting]]</f>
        <v>0</v>
      </c>
      <c r="Z227" s="174">
        <f>Buildings_GridElectricity_Frontend[[#This Row],[Methodology]]</f>
        <v>0</v>
      </c>
      <c r="AA227" s="229" t="str" cm="1">
        <f t="array" ref="AA227">IF(Buildings_GridElectricity_Frontend[[#This Row],[Data]]="","",INDEX(_xlfn.SWITCH(Buildings_GridElectricity_Backend[[#This Row],[Methodology]],"Tier 1",rng_RSD1,"Tier 2",rng_RSD2,"Tier 3",rng_RSD3),MATCH(_xlfn.CONCAT(Buildings_GridElectricity_Backend[[#This Row],[Level 1]:[Level 6]]),rng_LevelsConcat,0)))</f>
        <v/>
      </c>
      <c r="AB227" s="220">
        <f>Buildings_GridElectricity_Frontend[[#This Row],[Data]]</f>
        <v>0</v>
      </c>
      <c r="AC227" s="174" t="str">
        <f>Buildings_GridElectricity_Frontend[[#This Row],[Units]]</f>
        <v>kWh</v>
      </c>
      <c r="AD227" s="218">
        <f>Buildings_GridElectricity_Frontend[[#This Row],[Data]]</f>
        <v>0</v>
      </c>
      <c r="AE227" s="174" t="str">
        <f>Buildings_GridElectricity_Frontend[[#This Row],[Units]]</f>
        <v>kWh</v>
      </c>
      <c r="AF227" s="210" t="str">
        <f>IF(Buildings_GridElectricity_Frontend[[#This Row],[Data]]="","",_xlfn.XLOOKUP(_xlfn.CONCAT(Buildings_GridElectricity_Backend[[#This Row],[Level 1]:[Level 6]]),rng_EFConcat,rng_EF1)*Buildings_GridElectricity_Backend[[#This Row],[Converted data]]/1000)</f>
        <v/>
      </c>
      <c r="AG227" s="210" t="str">
        <f>IF(Buildings_GridElectricity_Frontend[[#This Row],[Data]]="","",_xlfn.XLOOKUP(_xlfn.CONCAT(Buildings_GridElectricity_Backend[[#This Row],[Level 1]:[Level 6]]),rng_EFConcat,rng_EF2)*Buildings_GridElectricity_Backend[[#This Row],[Converted data]]/1000)</f>
        <v/>
      </c>
      <c r="AH227" s="210" t="str">
        <f>IF(Buildings_GridElectricity_Frontend[[#This Row],[Data]]="","",_xlfn.XLOOKUP(_xlfn.CONCAT(Buildings_GridElectricity_Backend[[#This Row],[Level 1]:[Level 6]]),rng_EFConcat,rng_EF3)*Buildings_GridElectricity_Backend[[#This Row],[Converted data]]/1000)</f>
        <v/>
      </c>
      <c r="AI227" s="210" t="str">
        <f>IF(Buildings_GridElectricity_Frontend[[#This Row],[Data]]="","",_xlfn.XLOOKUP(_xlfn.CONCAT(Buildings_GridElectricity_Backend[[#This Row],[Level 1]:[Level 6]]),rng_EFConcat,rng_EF3WTT)*Buildings_GridElectricity_Backend[[#This Row],[Converted data]]/1000)</f>
        <v/>
      </c>
      <c r="AJ227" s="210" t="str">
        <f>IF(Buildings_GridElectricity_Frontend[[#This Row],[Data]]="","",_xlfn.XLOOKUP(_xlfn.CONCAT(Buildings_GridElectricity_Backend[[#This Row],[Level 1]:[Level 6]]),rng_EFConcat,rng_EF3TD)*Buildings_GridElectricity_Backend[[#This Row],[Converted data]]/1000)</f>
        <v/>
      </c>
      <c r="AK227" s="210" t="str">
        <f>IF(Buildings_GridElectricity_Frontend[[#This Row],[Data]]="","",_xlfn.XLOOKUP(_xlfn.CONCAT(Buildings_GridElectricity_Backend[[#This Row],[Level 1]:[Level 6]]),rng_EFConcat,rng_EF3WTTTD)*Buildings_GridElectricity_Backend[[#This Row],[Converted data]]/1000)</f>
        <v/>
      </c>
      <c r="AL227" s="220" t="str">
        <f>IF(Buildings_GridElectricity_Frontend[[#This Row],[Data]]="","",SUM(Buildings_GridElectricity_Backend[[#This Row],[Scope 1 (tCO2e)]:[Scope 3 WTT T&amp;D (tCO2e)]]))</f>
        <v/>
      </c>
      <c r="AM227" s="220" t="str">
        <f>IF(Buildings_GridElectricity_Frontend[[#This Row],[Data]]="","",Buildings_GridElectricity_Backend[[#This Row],[Total (tCO2e)]]*(1-Buildings_GridElectricity_Backend[[#This Row],[RSD]]))</f>
        <v/>
      </c>
      <c r="AN227" s="220" t="str">
        <f>IF(Buildings_GridElectricity_Frontend[[#This Row],[Data]]="","",Buildings_GridElectricity_Backend[[#This Row],[Total (tCO2e)]]*(1+Buildings_GridElectricity_Backend[[#This Row],[RSD]]))</f>
        <v/>
      </c>
      <c r="AO227" s="210" t="str">
        <f>IF(Buildings_GridElectricity_Frontend[[#This Row],[Data]]="","",_xlfn.XLOOKUP(_xlfn.CONCAT(Buildings_GridElectricity_Backend[[#This Row],[Level 1]:[Level 6]]),rng_EFConcat,rng_EFOOS)*Buildings_GridElectricity_Backend[[#This Row],[Converted data]]/1000)</f>
        <v/>
      </c>
      <c r="AP227" s="174">
        <f>Buildings_GridElectricity_Frontend[[#This Row],[Ease of collection]]</f>
        <v>0</v>
      </c>
      <c r="AQ227" s="213">
        <f>Buildings_GridElectricity_Frontend[[#This Row],[Completeness]]</f>
        <v>0</v>
      </c>
      <c r="AR227" s="220">
        <f>Buildings_GridElectricity_Frontend[[#This Row],[Notes]]</f>
        <v>0</v>
      </c>
    </row>
    <row r="228" spans="5:44" x14ac:dyDescent="0.3">
      <c r="E228" s="346"/>
      <c r="F228" s="449"/>
      <c r="G228" s="336"/>
      <c r="H228" s="334"/>
      <c r="I228" s="172" t="s">
        <v>316</v>
      </c>
      <c r="J228" s="337"/>
      <c r="K228" s="336"/>
      <c r="L228" s="336"/>
      <c r="M228" s="337"/>
      <c r="N228" s="242">
        <f t="shared" si="9"/>
        <v>3</v>
      </c>
      <c r="Q228" s="212" t="str">
        <f t="shared" si="8"/>
        <v/>
      </c>
      <c r="R228" s="174" t="s">
        <v>265</v>
      </c>
      <c r="S228" s="174" t="s">
        <v>273</v>
      </c>
      <c r="T228" s="174" t="str">
        <f>_xlfn.XLOOKUP(Buildings_GridElectricity_Backend[[#This Row],[Info 1]],Buildings_SiteInfo[Site name],Buildings_SiteInfo[Site type], "")</f>
        <v/>
      </c>
      <c r="U228" s="174" t="s">
        <v>281</v>
      </c>
      <c r="V228" s="174" t="str" cm="1">
        <f t="array" aca="1" ref="V228" ca="1">_xlfn.XLOOKUP(Buildings_GridElectricity_Backend[[#This Row],[Level 4]],rng_Level4Long,rng_Level5Long)</f>
        <v>Electricity</v>
      </c>
      <c r="W228" s="174" t="str" cm="1">
        <f t="array" aca="1" ref="W228" ca="1">_xlfn.XLOOKUP(Buildings_GridElectricity_Backend[[#This Row],[Level 4]],rng_Level4Long,rng_Level6Long)</f>
        <v>NaN</v>
      </c>
      <c r="X228" s="174">
        <f>Buildings_GridElectricity_Frontend[[#This Row],[Site Name]]</f>
        <v>0</v>
      </c>
      <c r="Y228" s="174">
        <f>Buildings_GridElectricity_Frontend[[#This Row],[Contracting]]</f>
        <v>0</v>
      </c>
      <c r="Z228" s="174">
        <f>Buildings_GridElectricity_Frontend[[#This Row],[Methodology]]</f>
        <v>0</v>
      </c>
      <c r="AA228" s="229" t="str" cm="1">
        <f t="array" ref="AA228">IF(Buildings_GridElectricity_Frontend[[#This Row],[Data]]="","",INDEX(_xlfn.SWITCH(Buildings_GridElectricity_Backend[[#This Row],[Methodology]],"Tier 1",rng_RSD1,"Tier 2",rng_RSD2,"Tier 3",rng_RSD3),MATCH(_xlfn.CONCAT(Buildings_GridElectricity_Backend[[#This Row],[Level 1]:[Level 6]]),rng_LevelsConcat,0)))</f>
        <v/>
      </c>
      <c r="AB228" s="220">
        <f>Buildings_GridElectricity_Frontend[[#This Row],[Data]]</f>
        <v>0</v>
      </c>
      <c r="AC228" s="174" t="str">
        <f>Buildings_GridElectricity_Frontend[[#This Row],[Units]]</f>
        <v>kWh</v>
      </c>
      <c r="AD228" s="218">
        <f>Buildings_GridElectricity_Frontend[[#This Row],[Data]]</f>
        <v>0</v>
      </c>
      <c r="AE228" s="174" t="str">
        <f>Buildings_GridElectricity_Frontend[[#This Row],[Units]]</f>
        <v>kWh</v>
      </c>
      <c r="AF228" s="210" t="str">
        <f>IF(Buildings_GridElectricity_Frontend[[#This Row],[Data]]="","",_xlfn.XLOOKUP(_xlfn.CONCAT(Buildings_GridElectricity_Backend[[#This Row],[Level 1]:[Level 6]]),rng_EFConcat,rng_EF1)*Buildings_GridElectricity_Backend[[#This Row],[Converted data]]/1000)</f>
        <v/>
      </c>
      <c r="AG228" s="210" t="str">
        <f>IF(Buildings_GridElectricity_Frontend[[#This Row],[Data]]="","",_xlfn.XLOOKUP(_xlfn.CONCAT(Buildings_GridElectricity_Backend[[#This Row],[Level 1]:[Level 6]]),rng_EFConcat,rng_EF2)*Buildings_GridElectricity_Backend[[#This Row],[Converted data]]/1000)</f>
        <v/>
      </c>
      <c r="AH228" s="210" t="str">
        <f>IF(Buildings_GridElectricity_Frontend[[#This Row],[Data]]="","",_xlfn.XLOOKUP(_xlfn.CONCAT(Buildings_GridElectricity_Backend[[#This Row],[Level 1]:[Level 6]]),rng_EFConcat,rng_EF3)*Buildings_GridElectricity_Backend[[#This Row],[Converted data]]/1000)</f>
        <v/>
      </c>
      <c r="AI228" s="210" t="str">
        <f>IF(Buildings_GridElectricity_Frontend[[#This Row],[Data]]="","",_xlfn.XLOOKUP(_xlfn.CONCAT(Buildings_GridElectricity_Backend[[#This Row],[Level 1]:[Level 6]]),rng_EFConcat,rng_EF3WTT)*Buildings_GridElectricity_Backend[[#This Row],[Converted data]]/1000)</f>
        <v/>
      </c>
      <c r="AJ228" s="210" t="str">
        <f>IF(Buildings_GridElectricity_Frontend[[#This Row],[Data]]="","",_xlfn.XLOOKUP(_xlfn.CONCAT(Buildings_GridElectricity_Backend[[#This Row],[Level 1]:[Level 6]]),rng_EFConcat,rng_EF3TD)*Buildings_GridElectricity_Backend[[#This Row],[Converted data]]/1000)</f>
        <v/>
      </c>
      <c r="AK228" s="210" t="str">
        <f>IF(Buildings_GridElectricity_Frontend[[#This Row],[Data]]="","",_xlfn.XLOOKUP(_xlfn.CONCAT(Buildings_GridElectricity_Backend[[#This Row],[Level 1]:[Level 6]]),rng_EFConcat,rng_EF3WTTTD)*Buildings_GridElectricity_Backend[[#This Row],[Converted data]]/1000)</f>
        <v/>
      </c>
      <c r="AL228" s="220" t="str">
        <f>IF(Buildings_GridElectricity_Frontend[[#This Row],[Data]]="","",SUM(Buildings_GridElectricity_Backend[[#This Row],[Scope 1 (tCO2e)]:[Scope 3 WTT T&amp;D (tCO2e)]]))</f>
        <v/>
      </c>
      <c r="AM228" s="220" t="str">
        <f>IF(Buildings_GridElectricity_Frontend[[#This Row],[Data]]="","",Buildings_GridElectricity_Backend[[#This Row],[Total (tCO2e)]]*(1-Buildings_GridElectricity_Backend[[#This Row],[RSD]]))</f>
        <v/>
      </c>
      <c r="AN228" s="220" t="str">
        <f>IF(Buildings_GridElectricity_Frontend[[#This Row],[Data]]="","",Buildings_GridElectricity_Backend[[#This Row],[Total (tCO2e)]]*(1+Buildings_GridElectricity_Backend[[#This Row],[RSD]]))</f>
        <v/>
      </c>
      <c r="AO228" s="210" t="str">
        <f>IF(Buildings_GridElectricity_Frontend[[#This Row],[Data]]="","",_xlfn.XLOOKUP(_xlfn.CONCAT(Buildings_GridElectricity_Backend[[#This Row],[Level 1]:[Level 6]]),rng_EFConcat,rng_EFOOS)*Buildings_GridElectricity_Backend[[#This Row],[Converted data]]/1000)</f>
        <v/>
      </c>
      <c r="AP228" s="174">
        <f>Buildings_GridElectricity_Frontend[[#This Row],[Ease of collection]]</f>
        <v>0</v>
      </c>
      <c r="AQ228" s="213">
        <f>Buildings_GridElectricity_Frontend[[#This Row],[Completeness]]</f>
        <v>0</v>
      </c>
      <c r="AR228" s="220">
        <f>Buildings_GridElectricity_Frontend[[#This Row],[Notes]]</f>
        <v>0</v>
      </c>
    </row>
    <row r="229" spans="5:44" x14ac:dyDescent="0.3">
      <c r="E229" s="346"/>
      <c r="F229" s="449"/>
      <c r="G229" s="336"/>
      <c r="H229" s="334"/>
      <c r="I229" s="172" t="s">
        <v>316</v>
      </c>
      <c r="J229" s="337"/>
      <c r="K229" s="336"/>
      <c r="L229" s="336"/>
      <c r="M229" s="337"/>
      <c r="N229" s="242">
        <f t="shared" si="9"/>
        <v>3</v>
      </c>
      <c r="Q229" s="212" t="str">
        <f t="shared" si="8"/>
        <v/>
      </c>
      <c r="R229" s="174" t="s">
        <v>265</v>
      </c>
      <c r="S229" s="174" t="s">
        <v>273</v>
      </c>
      <c r="T229" s="174" t="str">
        <f>_xlfn.XLOOKUP(Buildings_GridElectricity_Backend[[#This Row],[Info 1]],Buildings_SiteInfo[Site name],Buildings_SiteInfo[Site type], "")</f>
        <v/>
      </c>
      <c r="U229" s="174" t="s">
        <v>281</v>
      </c>
      <c r="V229" s="174" t="str" cm="1">
        <f t="array" aca="1" ref="V229" ca="1">_xlfn.XLOOKUP(Buildings_GridElectricity_Backend[[#This Row],[Level 4]],rng_Level4Long,rng_Level5Long)</f>
        <v>Electricity</v>
      </c>
      <c r="W229" s="174" t="str" cm="1">
        <f t="array" aca="1" ref="W229" ca="1">_xlfn.XLOOKUP(Buildings_GridElectricity_Backend[[#This Row],[Level 4]],rng_Level4Long,rng_Level6Long)</f>
        <v>NaN</v>
      </c>
      <c r="X229" s="174">
        <f>Buildings_GridElectricity_Frontend[[#This Row],[Site Name]]</f>
        <v>0</v>
      </c>
      <c r="Y229" s="174">
        <f>Buildings_GridElectricity_Frontend[[#This Row],[Contracting]]</f>
        <v>0</v>
      </c>
      <c r="Z229" s="174">
        <f>Buildings_GridElectricity_Frontend[[#This Row],[Methodology]]</f>
        <v>0</v>
      </c>
      <c r="AA229" s="229" t="str" cm="1">
        <f t="array" ref="AA229">IF(Buildings_GridElectricity_Frontend[[#This Row],[Data]]="","",INDEX(_xlfn.SWITCH(Buildings_GridElectricity_Backend[[#This Row],[Methodology]],"Tier 1",rng_RSD1,"Tier 2",rng_RSD2,"Tier 3",rng_RSD3),MATCH(_xlfn.CONCAT(Buildings_GridElectricity_Backend[[#This Row],[Level 1]:[Level 6]]),rng_LevelsConcat,0)))</f>
        <v/>
      </c>
      <c r="AB229" s="220">
        <f>Buildings_GridElectricity_Frontend[[#This Row],[Data]]</f>
        <v>0</v>
      </c>
      <c r="AC229" s="174" t="str">
        <f>Buildings_GridElectricity_Frontend[[#This Row],[Units]]</f>
        <v>kWh</v>
      </c>
      <c r="AD229" s="218">
        <f>Buildings_GridElectricity_Frontend[[#This Row],[Data]]</f>
        <v>0</v>
      </c>
      <c r="AE229" s="174" t="str">
        <f>Buildings_GridElectricity_Frontend[[#This Row],[Units]]</f>
        <v>kWh</v>
      </c>
      <c r="AF229" s="210" t="str">
        <f>IF(Buildings_GridElectricity_Frontend[[#This Row],[Data]]="","",_xlfn.XLOOKUP(_xlfn.CONCAT(Buildings_GridElectricity_Backend[[#This Row],[Level 1]:[Level 6]]),rng_EFConcat,rng_EF1)*Buildings_GridElectricity_Backend[[#This Row],[Converted data]]/1000)</f>
        <v/>
      </c>
      <c r="AG229" s="210" t="str">
        <f>IF(Buildings_GridElectricity_Frontend[[#This Row],[Data]]="","",_xlfn.XLOOKUP(_xlfn.CONCAT(Buildings_GridElectricity_Backend[[#This Row],[Level 1]:[Level 6]]),rng_EFConcat,rng_EF2)*Buildings_GridElectricity_Backend[[#This Row],[Converted data]]/1000)</f>
        <v/>
      </c>
      <c r="AH229" s="210" t="str">
        <f>IF(Buildings_GridElectricity_Frontend[[#This Row],[Data]]="","",_xlfn.XLOOKUP(_xlfn.CONCAT(Buildings_GridElectricity_Backend[[#This Row],[Level 1]:[Level 6]]),rng_EFConcat,rng_EF3)*Buildings_GridElectricity_Backend[[#This Row],[Converted data]]/1000)</f>
        <v/>
      </c>
      <c r="AI229" s="210" t="str">
        <f>IF(Buildings_GridElectricity_Frontend[[#This Row],[Data]]="","",_xlfn.XLOOKUP(_xlfn.CONCAT(Buildings_GridElectricity_Backend[[#This Row],[Level 1]:[Level 6]]),rng_EFConcat,rng_EF3WTT)*Buildings_GridElectricity_Backend[[#This Row],[Converted data]]/1000)</f>
        <v/>
      </c>
      <c r="AJ229" s="210" t="str">
        <f>IF(Buildings_GridElectricity_Frontend[[#This Row],[Data]]="","",_xlfn.XLOOKUP(_xlfn.CONCAT(Buildings_GridElectricity_Backend[[#This Row],[Level 1]:[Level 6]]),rng_EFConcat,rng_EF3TD)*Buildings_GridElectricity_Backend[[#This Row],[Converted data]]/1000)</f>
        <v/>
      </c>
      <c r="AK229" s="210" t="str">
        <f>IF(Buildings_GridElectricity_Frontend[[#This Row],[Data]]="","",_xlfn.XLOOKUP(_xlfn.CONCAT(Buildings_GridElectricity_Backend[[#This Row],[Level 1]:[Level 6]]),rng_EFConcat,rng_EF3WTTTD)*Buildings_GridElectricity_Backend[[#This Row],[Converted data]]/1000)</f>
        <v/>
      </c>
      <c r="AL229" s="220" t="str">
        <f>IF(Buildings_GridElectricity_Frontend[[#This Row],[Data]]="","",SUM(Buildings_GridElectricity_Backend[[#This Row],[Scope 1 (tCO2e)]:[Scope 3 WTT T&amp;D (tCO2e)]]))</f>
        <v/>
      </c>
      <c r="AM229" s="220" t="str">
        <f>IF(Buildings_GridElectricity_Frontend[[#This Row],[Data]]="","",Buildings_GridElectricity_Backend[[#This Row],[Total (tCO2e)]]*(1-Buildings_GridElectricity_Backend[[#This Row],[RSD]]))</f>
        <v/>
      </c>
      <c r="AN229" s="220" t="str">
        <f>IF(Buildings_GridElectricity_Frontend[[#This Row],[Data]]="","",Buildings_GridElectricity_Backend[[#This Row],[Total (tCO2e)]]*(1+Buildings_GridElectricity_Backend[[#This Row],[RSD]]))</f>
        <v/>
      </c>
      <c r="AO229" s="210" t="str">
        <f>IF(Buildings_GridElectricity_Frontend[[#This Row],[Data]]="","",_xlfn.XLOOKUP(_xlfn.CONCAT(Buildings_GridElectricity_Backend[[#This Row],[Level 1]:[Level 6]]),rng_EFConcat,rng_EFOOS)*Buildings_GridElectricity_Backend[[#This Row],[Converted data]]/1000)</f>
        <v/>
      </c>
      <c r="AP229" s="174">
        <f>Buildings_GridElectricity_Frontend[[#This Row],[Ease of collection]]</f>
        <v>0</v>
      </c>
      <c r="AQ229" s="213">
        <f>Buildings_GridElectricity_Frontend[[#This Row],[Completeness]]</f>
        <v>0</v>
      </c>
      <c r="AR229" s="220">
        <f>Buildings_GridElectricity_Frontend[[#This Row],[Notes]]</f>
        <v>0</v>
      </c>
    </row>
    <row r="230" spans="5:44" x14ac:dyDescent="0.3">
      <c r="E230" s="346"/>
      <c r="F230" s="449"/>
      <c r="G230" s="336"/>
      <c r="H230" s="334"/>
      <c r="I230" s="172" t="s">
        <v>316</v>
      </c>
      <c r="J230" s="337"/>
      <c r="K230" s="336"/>
      <c r="L230" s="336"/>
      <c r="M230" s="337"/>
      <c r="N230" s="242">
        <f t="shared" si="9"/>
        <v>3</v>
      </c>
      <c r="Q230" s="212" t="str">
        <f t="shared" si="8"/>
        <v/>
      </c>
      <c r="R230" s="174" t="s">
        <v>265</v>
      </c>
      <c r="S230" s="174" t="s">
        <v>273</v>
      </c>
      <c r="T230" s="174" t="str">
        <f>_xlfn.XLOOKUP(Buildings_GridElectricity_Backend[[#This Row],[Info 1]],Buildings_SiteInfo[Site name],Buildings_SiteInfo[Site type], "")</f>
        <v/>
      </c>
      <c r="U230" s="174" t="s">
        <v>281</v>
      </c>
      <c r="V230" s="174" t="str" cm="1">
        <f t="array" aca="1" ref="V230" ca="1">_xlfn.XLOOKUP(Buildings_GridElectricity_Backend[[#This Row],[Level 4]],rng_Level4Long,rng_Level5Long)</f>
        <v>Electricity</v>
      </c>
      <c r="W230" s="174" t="str" cm="1">
        <f t="array" aca="1" ref="W230" ca="1">_xlfn.XLOOKUP(Buildings_GridElectricity_Backend[[#This Row],[Level 4]],rng_Level4Long,rng_Level6Long)</f>
        <v>NaN</v>
      </c>
      <c r="X230" s="174">
        <f>Buildings_GridElectricity_Frontend[[#This Row],[Site Name]]</f>
        <v>0</v>
      </c>
      <c r="Y230" s="174">
        <f>Buildings_GridElectricity_Frontend[[#This Row],[Contracting]]</f>
        <v>0</v>
      </c>
      <c r="Z230" s="174">
        <f>Buildings_GridElectricity_Frontend[[#This Row],[Methodology]]</f>
        <v>0</v>
      </c>
      <c r="AA230" s="229" t="str" cm="1">
        <f t="array" ref="AA230">IF(Buildings_GridElectricity_Frontend[[#This Row],[Data]]="","",INDEX(_xlfn.SWITCH(Buildings_GridElectricity_Backend[[#This Row],[Methodology]],"Tier 1",rng_RSD1,"Tier 2",rng_RSD2,"Tier 3",rng_RSD3),MATCH(_xlfn.CONCAT(Buildings_GridElectricity_Backend[[#This Row],[Level 1]:[Level 6]]),rng_LevelsConcat,0)))</f>
        <v/>
      </c>
      <c r="AB230" s="220">
        <f>Buildings_GridElectricity_Frontend[[#This Row],[Data]]</f>
        <v>0</v>
      </c>
      <c r="AC230" s="174" t="str">
        <f>Buildings_GridElectricity_Frontend[[#This Row],[Units]]</f>
        <v>kWh</v>
      </c>
      <c r="AD230" s="218">
        <f>Buildings_GridElectricity_Frontend[[#This Row],[Data]]</f>
        <v>0</v>
      </c>
      <c r="AE230" s="174" t="str">
        <f>Buildings_GridElectricity_Frontend[[#This Row],[Units]]</f>
        <v>kWh</v>
      </c>
      <c r="AF230" s="210" t="str">
        <f>IF(Buildings_GridElectricity_Frontend[[#This Row],[Data]]="","",_xlfn.XLOOKUP(_xlfn.CONCAT(Buildings_GridElectricity_Backend[[#This Row],[Level 1]:[Level 6]]),rng_EFConcat,rng_EF1)*Buildings_GridElectricity_Backend[[#This Row],[Converted data]]/1000)</f>
        <v/>
      </c>
      <c r="AG230" s="210" t="str">
        <f>IF(Buildings_GridElectricity_Frontend[[#This Row],[Data]]="","",_xlfn.XLOOKUP(_xlfn.CONCAT(Buildings_GridElectricity_Backend[[#This Row],[Level 1]:[Level 6]]),rng_EFConcat,rng_EF2)*Buildings_GridElectricity_Backend[[#This Row],[Converted data]]/1000)</f>
        <v/>
      </c>
      <c r="AH230" s="210" t="str">
        <f>IF(Buildings_GridElectricity_Frontend[[#This Row],[Data]]="","",_xlfn.XLOOKUP(_xlfn.CONCAT(Buildings_GridElectricity_Backend[[#This Row],[Level 1]:[Level 6]]),rng_EFConcat,rng_EF3)*Buildings_GridElectricity_Backend[[#This Row],[Converted data]]/1000)</f>
        <v/>
      </c>
      <c r="AI230" s="210" t="str">
        <f>IF(Buildings_GridElectricity_Frontend[[#This Row],[Data]]="","",_xlfn.XLOOKUP(_xlfn.CONCAT(Buildings_GridElectricity_Backend[[#This Row],[Level 1]:[Level 6]]),rng_EFConcat,rng_EF3WTT)*Buildings_GridElectricity_Backend[[#This Row],[Converted data]]/1000)</f>
        <v/>
      </c>
      <c r="AJ230" s="210" t="str">
        <f>IF(Buildings_GridElectricity_Frontend[[#This Row],[Data]]="","",_xlfn.XLOOKUP(_xlfn.CONCAT(Buildings_GridElectricity_Backend[[#This Row],[Level 1]:[Level 6]]),rng_EFConcat,rng_EF3TD)*Buildings_GridElectricity_Backend[[#This Row],[Converted data]]/1000)</f>
        <v/>
      </c>
      <c r="AK230" s="210" t="str">
        <f>IF(Buildings_GridElectricity_Frontend[[#This Row],[Data]]="","",_xlfn.XLOOKUP(_xlfn.CONCAT(Buildings_GridElectricity_Backend[[#This Row],[Level 1]:[Level 6]]),rng_EFConcat,rng_EF3WTTTD)*Buildings_GridElectricity_Backend[[#This Row],[Converted data]]/1000)</f>
        <v/>
      </c>
      <c r="AL230" s="220" t="str">
        <f>IF(Buildings_GridElectricity_Frontend[[#This Row],[Data]]="","",SUM(Buildings_GridElectricity_Backend[[#This Row],[Scope 1 (tCO2e)]:[Scope 3 WTT T&amp;D (tCO2e)]]))</f>
        <v/>
      </c>
      <c r="AM230" s="220" t="str">
        <f>IF(Buildings_GridElectricity_Frontend[[#This Row],[Data]]="","",Buildings_GridElectricity_Backend[[#This Row],[Total (tCO2e)]]*(1-Buildings_GridElectricity_Backend[[#This Row],[RSD]]))</f>
        <v/>
      </c>
      <c r="AN230" s="220" t="str">
        <f>IF(Buildings_GridElectricity_Frontend[[#This Row],[Data]]="","",Buildings_GridElectricity_Backend[[#This Row],[Total (tCO2e)]]*(1+Buildings_GridElectricity_Backend[[#This Row],[RSD]]))</f>
        <v/>
      </c>
      <c r="AO230" s="210" t="str">
        <f>IF(Buildings_GridElectricity_Frontend[[#This Row],[Data]]="","",_xlfn.XLOOKUP(_xlfn.CONCAT(Buildings_GridElectricity_Backend[[#This Row],[Level 1]:[Level 6]]),rng_EFConcat,rng_EFOOS)*Buildings_GridElectricity_Backend[[#This Row],[Converted data]]/1000)</f>
        <v/>
      </c>
      <c r="AP230" s="174">
        <f>Buildings_GridElectricity_Frontend[[#This Row],[Ease of collection]]</f>
        <v>0</v>
      </c>
      <c r="AQ230" s="213">
        <f>Buildings_GridElectricity_Frontend[[#This Row],[Completeness]]</f>
        <v>0</v>
      </c>
      <c r="AR230" s="220">
        <f>Buildings_GridElectricity_Frontend[[#This Row],[Notes]]</f>
        <v>0</v>
      </c>
    </row>
    <row r="231" spans="5:44" x14ac:dyDescent="0.3">
      <c r="E231" s="346"/>
      <c r="F231" s="449"/>
      <c r="G231" s="336"/>
      <c r="H231" s="334"/>
      <c r="I231" s="172" t="s">
        <v>316</v>
      </c>
      <c r="J231" s="337"/>
      <c r="K231" s="336"/>
      <c r="L231" s="336"/>
      <c r="M231" s="337"/>
      <c r="N231" s="242">
        <f t="shared" si="9"/>
        <v>3</v>
      </c>
      <c r="Q231" s="212" t="str">
        <f t="shared" si="8"/>
        <v/>
      </c>
      <c r="R231" s="174" t="s">
        <v>265</v>
      </c>
      <c r="S231" s="174" t="s">
        <v>273</v>
      </c>
      <c r="T231" s="174" t="str">
        <f>_xlfn.XLOOKUP(Buildings_GridElectricity_Backend[[#This Row],[Info 1]],Buildings_SiteInfo[Site name],Buildings_SiteInfo[Site type], "")</f>
        <v/>
      </c>
      <c r="U231" s="174" t="s">
        <v>281</v>
      </c>
      <c r="V231" s="174" t="str" cm="1">
        <f t="array" aca="1" ref="V231" ca="1">_xlfn.XLOOKUP(Buildings_GridElectricity_Backend[[#This Row],[Level 4]],rng_Level4Long,rng_Level5Long)</f>
        <v>Electricity</v>
      </c>
      <c r="W231" s="174" t="str" cm="1">
        <f t="array" aca="1" ref="W231" ca="1">_xlfn.XLOOKUP(Buildings_GridElectricity_Backend[[#This Row],[Level 4]],rng_Level4Long,rng_Level6Long)</f>
        <v>NaN</v>
      </c>
      <c r="X231" s="174">
        <f>Buildings_GridElectricity_Frontend[[#This Row],[Site Name]]</f>
        <v>0</v>
      </c>
      <c r="Y231" s="174">
        <f>Buildings_GridElectricity_Frontend[[#This Row],[Contracting]]</f>
        <v>0</v>
      </c>
      <c r="Z231" s="174">
        <f>Buildings_GridElectricity_Frontend[[#This Row],[Methodology]]</f>
        <v>0</v>
      </c>
      <c r="AA231" s="229" t="str" cm="1">
        <f t="array" ref="AA231">IF(Buildings_GridElectricity_Frontend[[#This Row],[Data]]="","",INDEX(_xlfn.SWITCH(Buildings_GridElectricity_Backend[[#This Row],[Methodology]],"Tier 1",rng_RSD1,"Tier 2",rng_RSD2,"Tier 3",rng_RSD3),MATCH(_xlfn.CONCAT(Buildings_GridElectricity_Backend[[#This Row],[Level 1]:[Level 6]]),rng_LevelsConcat,0)))</f>
        <v/>
      </c>
      <c r="AB231" s="220">
        <f>Buildings_GridElectricity_Frontend[[#This Row],[Data]]</f>
        <v>0</v>
      </c>
      <c r="AC231" s="174" t="str">
        <f>Buildings_GridElectricity_Frontend[[#This Row],[Units]]</f>
        <v>kWh</v>
      </c>
      <c r="AD231" s="218">
        <f>Buildings_GridElectricity_Frontend[[#This Row],[Data]]</f>
        <v>0</v>
      </c>
      <c r="AE231" s="174" t="str">
        <f>Buildings_GridElectricity_Frontend[[#This Row],[Units]]</f>
        <v>kWh</v>
      </c>
      <c r="AF231" s="210" t="str">
        <f>IF(Buildings_GridElectricity_Frontend[[#This Row],[Data]]="","",_xlfn.XLOOKUP(_xlfn.CONCAT(Buildings_GridElectricity_Backend[[#This Row],[Level 1]:[Level 6]]),rng_EFConcat,rng_EF1)*Buildings_GridElectricity_Backend[[#This Row],[Converted data]]/1000)</f>
        <v/>
      </c>
      <c r="AG231" s="210" t="str">
        <f>IF(Buildings_GridElectricity_Frontend[[#This Row],[Data]]="","",_xlfn.XLOOKUP(_xlfn.CONCAT(Buildings_GridElectricity_Backend[[#This Row],[Level 1]:[Level 6]]),rng_EFConcat,rng_EF2)*Buildings_GridElectricity_Backend[[#This Row],[Converted data]]/1000)</f>
        <v/>
      </c>
      <c r="AH231" s="210" t="str">
        <f>IF(Buildings_GridElectricity_Frontend[[#This Row],[Data]]="","",_xlfn.XLOOKUP(_xlfn.CONCAT(Buildings_GridElectricity_Backend[[#This Row],[Level 1]:[Level 6]]),rng_EFConcat,rng_EF3)*Buildings_GridElectricity_Backend[[#This Row],[Converted data]]/1000)</f>
        <v/>
      </c>
      <c r="AI231" s="210" t="str">
        <f>IF(Buildings_GridElectricity_Frontend[[#This Row],[Data]]="","",_xlfn.XLOOKUP(_xlfn.CONCAT(Buildings_GridElectricity_Backend[[#This Row],[Level 1]:[Level 6]]),rng_EFConcat,rng_EF3WTT)*Buildings_GridElectricity_Backend[[#This Row],[Converted data]]/1000)</f>
        <v/>
      </c>
      <c r="AJ231" s="210" t="str">
        <f>IF(Buildings_GridElectricity_Frontend[[#This Row],[Data]]="","",_xlfn.XLOOKUP(_xlfn.CONCAT(Buildings_GridElectricity_Backend[[#This Row],[Level 1]:[Level 6]]),rng_EFConcat,rng_EF3TD)*Buildings_GridElectricity_Backend[[#This Row],[Converted data]]/1000)</f>
        <v/>
      </c>
      <c r="AK231" s="210" t="str">
        <f>IF(Buildings_GridElectricity_Frontend[[#This Row],[Data]]="","",_xlfn.XLOOKUP(_xlfn.CONCAT(Buildings_GridElectricity_Backend[[#This Row],[Level 1]:[Level 6]]),rng_EFConcat,rng_EF3WTTTD)*Buildings_GridElectricity_Backend[[#This Row],[Converted data]]/1000)</f>
        <v/>
      </c>
      <c r="AL231" s="220" t="str">
        <f>IF(Buildings_GridElectricity_Frontend[[#This Row],[Data]]="","",SUM(Buildings_GridElectricity_Backend[[#This Row],[Scope 1 (tCO2e)]:[Scope 3 WTT T&amp;D (tCO2e)]]))</f>
        <v/>
      </c>
      <c r="AM231" s="220" t="str">
        <f>IF(Buildings_GridElectricity_Frontend[[#This Row],[Data]]="","",Buildings_GridElectricity_Backend[[#This Row],[Total (tCO2e)]]*(1-Buildings_GridElectricity_Backend[[#This Row],[RSD]]))</f>
        <v/>
      </c>
      <c r="AN231" s="220" t="str">
        <f>IF(Buildings_GridElectricity_Frontend[[#This Row],[Data]]="","",Buildings_GridElectricity_Backend[[#This Row],[Total (tCO2e)]]*(1+Buildings_GridElectricity_Backend[[#This Row],[RSD]]))</f>
        <v/>
      </c>
      <c r="AO231" s="210" t="str">
        <f>IF(Buildings_GridElectricity_Frontend[[#This Row],[Data]]="","",_xlfn.XLOOKUP(_xlfn.CONCAT(Buildings_GridElectricity_Backend[[#This Row],[Level 1]:[Level 6]]),rng_EFConcat,rng_EFOOS)*Buildings_GridElectricity_Backend[[#This Row],[Converted data]]/1000)</f>
        <v/>
      </c>
      <c r="AP231" s="174">
        <f>Buildings_GridElectricity_Frontend[[#This Row],[Ease of collection]]</f>
        <v>0</v>
      </c>
      <c r="AQ231" s="213">
        <f>Buildings_GridElectricity_Frontend[[#This Row],[Completeness]]</f>
        <v>0</v>
      </c>
      <c r="AR231" s="220">
        <f>Buildings_GridElectricity_Frontend[[#This Row],[Notes]]</f>
        <v>0</v>
      </c>
    </row>
    <row r="232" spans="5:44" x14ac:dyDescent="0.3">
      <c r="E232" s="346"/>
      <c r="F232" s="449"/>
      <c r="G232" s="336"/>
      <c r="H232" s="334"/>
      <c r="I232" s="172" t="s">
        <v>316</v>
      </c>
      <c r="J232" s="337"/>
      <c r="K232" s="336"/>
      <c r="L232" s="336"/>
      <c r="M232" s="337"/>
      <c r="N232" s="242">
        <f t="shared" si="9"/>
        <v>3</v>
      </c>
      <c r="Q232" s="212" t="str">
        <f t="shared" si="8"/>
        <v/>
      </c>
      <c r="R232" s="174" t="s">
        <v>265</v>
      </c>
      <c r="S232" s="174" t="s">
        <v>273</v>
      </c>
      <c r="T232" s="174" t="str">
        <f>_xlfn.XLOOKUP(Buildings_GridElectricity_Backend[[#This Row],[Info 1]],Buildings_SiteInfo[Site name],Buildings_SiteInfo[Site type], "")</f>
        <v/>
      </c>
      <c r="U232" s="174" t="s">
        <v>281</v>
      </c>
      <c r="V232" s="174" t="str" cm="1">
        <f t="array" aca="1" ref="V232" ca="1">_xlfn.XLOOKUP(Buildings_GridElectricity_Backend[[#This Row],[Level 4]],rng_Level4Long,rng_Level5Long)</f>
        <v>Electricity</v>
      </c>
      <c r="W232" s="174" t="str" cm="1">
        <f t="array" aca="1" ref="W232" ca="1">_xlfn.XLOOKUP(Buildings_GridElectricity_Backend[[#This Row],[Level 4]],rng_Level4Long,rng_Level6Long)</f>
        <v>NaN</v>
      </c>
      <c r="X232" s="174">
        <f>Buildings_GridElectricity_Frontend[[#This Row],[Site Name]]</f>
        <v>0</v>
      </c>
      <c r="Y232" s="174">
        <f>Buildings_GridElectricity_Frontend[[#This Row],[Contracting]]</f>
        <v>0</v>
      </c>
      <c r="Z232" s="174">
        <f>Buildings_GridElectricity_Frontend[[#This Row],[Methodology]]</f>
        <v>0</v>
      </c>
      <c r="AA232" s="229" t="str" cm="1">
        <f t="array" ref="AA232">IF(Buildings_GridElectricity_Frontend[[#This Row],[Data]]="","",INDEX(_xlfn.SWITCH(Buildings_GridElectricity_Backend[[#This Row],[Methodology]],"Tier 1",rng_RSD1,"Tier 2",rng_RSD2,"Tier 3",rng_RSD3),MATCH(_xlfn.CONCAT(Buildings_GridElectricity_Backend[[#This Row],[Level 1]:[Level 6]]),rng_LevelsConcat,0)))</f>
        <v/>
      </c>
      <c r="AB232" s="220">
        <f>Buildings_GridElectricity_Frontend[[#This Row],[Data]]</f>
        <v>0</v>
      </c>
      <c r="AC232" s="174" t="str">
        <f>Buildings_GridElectricity_Frontend[[#This Row],[Units]]</f>
        <v>kWh</v>
      </c>
      <c r="AD232" s="218">
        <f>Buildings_GridElectricity_Frontend[[#This Row],[Data]]</f>
        <v>0</v>
      </c>
      <c r="AE232" s="174" t="str">
        <f>Buildings_GridElectricity_Frontend[[#This Row],[Units]]</f>
        <v>kWh</v>
      </c>
      <c r="AF232" s="210" t="str">
        <f>IF(Buildings_GridElectricity_Frontend[[#This Row],[Data]]="","",_xlfn.XLOOKUP(_xlfn.CONCAT(Buildings_GridElectricity_Backend[[#This Row],[Level 1]:[Level 6]]),rng_EFConcat,rng_EF1)*Buildings_GridElectricity_Backend[[#This Row],[Converted data]]/1000)</f>
        <v/>
      </c>
      <c r="AG232" s="210" t="str">
        <f>IF(Buildings_GridElectricity_Frontend[[#This Row],[Data]]="","",_xlfn.XLOOKUP(_xlfn.CONCAT(Buildings_GridElectricity_Backend[[#This Row],[Level 1]:[Level 6]]),rng_EFConcat,rng_EF2)*Buildings_GridElectricity_Backend[[#This Row],[Converted data]]/1000)</f>
        <v/>
      </c>
      <c r="AH232" s="210" t="str">
        <f>IF(Buildings_GridElectricity_Frontend[[#This Row],[Data]]="","",_xlfn.XLOOKUP(_xlfn.CONCAT(Buildings_GridElectricity_Backend[[#This Row],[Level 1]:[Level 6]]),rng_EFConcat,rng_EF3)*Buildings_GridElectricity_Backend[[#This Row],[Converted data]]/1000)</f>
        <v/>
      </c>
      <c r="AI232" s="210" t="str">
        <f>IF(Buildings_GridElectricity_Frontend[[#This Row],[Data]]="","",_xlfn.XLOOKUP(_xlfn.CONCAT(Buildings_GridElectricity_Backend[[#This Row],[Level 1]:[Level 6]]),rng_EFConcat,rng_EF3WTT)*Buildings_GridElectricity_Backend[[#This Row],[Converted data]]/1000)</f>
        <v/>
      </c>
      <c r="AJ232" s="210" t="str">
        <f>IF(Buildings_GridElectricity_Frontend[[#This Row],[Data]]="","",_xlfn.XLOOKUP(_xlfn.CONCAT(Buildings_GridElectricity_Backend[[#This Row],[Level 1]:[Level 6]]),rng_EFConcat,rng_EF3TD)*Buildings_GridElectricity_Backend[[#This Row],[Converted data]]/1000)</f>
        <v/>
      </c>
      <c r="AK232" s="210" t="str">
        <f>IF(Buildings_GridElectricity_Frontend[[#This Row],[Data]]="","",_xlfn.XLOOKUP(_xlfn.CONCAT(Buildings_GridElectricity_Backend[[#This Row],[Level 1]:[Level 6]]),rng_EFConcat,rng_EF3WTTTD)*Buildings_GridElectricity_Backend[[#This Row],[Converted data]]/1000)</f>
        <v/>
      </c>
      <c r="AL232" s="220" t="str">
        <f>IF(Buildings_GridElectricity_Frontend[[#This Row],[Data]]="","",SUM(Buildings_GridElectricity_Backend[[#This Row],[Scope 1 (tCO2e)]:[Scope 3 WTT T&amp;D (tCO2e)]]))</f>
        <v/>
      </c>
      <c r="AM232" s="220" t="str">
        <f>IF(Buildings_GridElectricity_Frontend[[#This Row],[Data]]="","",Buildings_GridElectricity_Backend[[#This Row],[Total (tCO2e)]]*(1-Buildings_GridElectricity_Backend[[#This Row],[RSD]]))</f>
        <v/>
      </c>
      <c r="AN232" s="220" t="str">
        <f>IF(Buildings_GridElectricity_Frontend[[#This Row],[Data]]="","",Buildings_GridElectricity_Backend[[#This Row],[Total (tCO2e)]]*(1+Buildings_GridElectricity_Backend[[#This Row],[RSD]]))</f>
        <v/>
      </c>
      <c r="AO232" s="210" t="str">
        <f>IF(Buildings_GridElectricity_Frontend[[#This Row],[Data]]="","",_xlfn.XLOOKUP(_xlfn.CONCAT(Buildings_GridElectricity_Backend[[#This Row],[Level 1]:[Level 6]]),rng_EFConcat,rng_EFOOS)*Buildings_GridElectricity_Backend[[#This Row],[Converted data]]/1000)</f>
        <v/>
      </c>
      <c r="AP232" s="174">
        <f>Buildings_GridElectricity_Frontend[[#This Row],[Ease of collection]]</f>
        <v>0</v>
      </c>
      <c r="AQ232" s="213">
        <f>Buildings_GridElectricity_Frontend[[#This Row],[Completeness]]</f>
        <v>0</v>
      </c>
      <c r="AR232" s="220">
        <f>Buildings_GridElectricity_Frontend[[#This Row],[Notes]]</f>
        <v>0</v>
      </c>
    </row>
    <row r="233" spans="5:44" x14ac:dyDescent="0.3">
      <c r="E233" s="346"/>
      <c r="F233" s="449"/>
      <c r="G233" s="336"/>
      <c r="H233" s="334"/>
      <c r="I233" s="172" t="s">
        <v>316</v>
      </c>
      <c r="J233" s="337"/>
      <c r="K233" s="336"/>
      <c r="L233" s="336"/>
      <c r="M233" s="337"/>
      <c r="N233" s="242">
        <f t="shared" si="9"/>
        <v>3</v>
      </c>
      <c r="Q233" s="212" t="str">
        <f t="shared" si="8"/>
        <v/>
      </c>
      <c r="R233" s="174" t="s">
        <v>265</v>
      </c>
      <c r="S233" s="174" t="s">
        <v>273</v>
      </c>
      <c r="T233" s="174" t="str">
        <f>_xlfn.XLOOKUP(Buildings_GridElectricity_Backend[[#This Row],[Info 1]],Buildings_SiteInfo[Site name],Buildings_SiteInfo[Site type], "")</f>
        <v/>
      </c>
      <c r="U233" s="174" t="s">
        <v>281</v>
      </c>
      <c r="V233" s="174" t="str" cm="1">
        <f t="array" aca="1" ref="V233" ca="1">_xlfn.XLOOKUP(Buildings_GridElectricity_Backend[[#This Row],[Level 4]],rng_Level4Long,rng_Level5Long)</f>
        <v>Electricity</v>
      </c>
      <c r="W233" s="174" t="str" cm="1">
        <f t="array" aca="1" ref="W233" ca="1">_xlfn.XLOOKUP(Buildings_GridElectricity_Backend[[#This Row],[Level 4]],rng_Level4Long,rng_Level6Long)</f>
        <v>NaN</v>
      </c>
      <c r="X233" s="174">
        <f>Buildings_GridElectricity_Frontend[[#This Row],[Site Name]]</f>
        <v>0</v>
      </c>
      <c r="Y233" s="174">
        <f>Buildings_GridElectricity_Frontend[[#This Row],[Contracting]]</f>
        <v>0</v>
      </c>
      <c r="Z233" s="174">
        <f>Buildings_GridElectricity_Frontend[[#This Row],[Methodology]]</f>
        <v>0</v>
      </c>
      <c r="AA233" s="229" t="str" cm="1">
        <f t="array" ref="AA233">IF(Buildings_GridElectricity_Frontend[[#This Row],[Data]]="","",INDEX(_xlfn.SWITCH(Buildings_GridElectricity_Backend[[#This Row],[Methodology]],"Tier 1",rng_RSD1,"Tier 2",rng_RSD2,"Tier 3",rng_RSD3),MATCH(_xlfn.CONCAT(Buildings_GridElectricity_Backend[[#This Row],[Level 1]:[Level 6]]),rng_LevelsConcat,0)))</f>
        <v/>
      </c>
      <c r="AB233" s="220">
        <f>Buildings_GridElectricity_Frontend[[#This Row],[Data]]</f>
        <v>0</v>
      </c>
      <c r="AC233" s="174" t="str">
        <f>Buildings_GridElectricity_Frontend[[#This Row],[Units]]</f>
        <v>kWh</v>
      </c>
      <c r="AD233" s="218">
        <f>Buildings_GridElectricity_Frontend[[#This Row],[Data]]</f>
        <v>0</v>
      </c>
      <c r="AE233" s="174" t="str">
        <f>Buildings_GridElectricity_Frontend[[#This Row],[Units]]</f>
        <v>kWh</v>
      </c>
      <c r="AF233" s="210" t="str">
        <f>IF(Buildings_GridElectricity_Frontend[[#This Row],[Data]]="","",_xlfn.XLOOKUP(_xlfn.CONCAT(Buildings_GridElectricity_Backend[[#This Row],[Level 1]:[Level 6]]),rng_EFConcat,rng_EF1)*Buildings_GridElectricity_Backend[[#This Row],[Converted data]]/1000)</f>
        <v/>
      </c>
      <c r="AG233" s="210" t="str">
        <f>IF(Buildings_GridElectricity_Frontend[[#This Row],[Data]]="","",_xlfn.XLOOKUP(_xlfn.CONCAT(Buildings_GridElectricity_Backend[[#This Row],[Level 1]:[Level 6]]),rng_EFConcat,rng_EF2)*Buildings_GridElectricity_Backend[[#This Row],[Converted data]]/1000)</f>
        <v/>
      </c>
      <c r="AH233" s="210" t="str">
        <f>IF(Buildings_GridElectricity_Frontend[[#This Row],[Data]]="","",_xlfn.XLOOKUP(_xlfn.CONCAT(Buildings_GridElectricity_Backend[[#This Row],[Level 1]:[Level 6]]),rng_EFConcat,rng_EF3)*Buildings_GridElectricity_Backend[[#This Row],[Converted data]]/1000)</f>
        <v/>
      </c>
      <c r="AI233" s="210" t="str">
        <f>IF(Buildings_GridElectricity_Frontend[[#This Row],[Data]]="","",_xlfn.XLOOKUP(_xlfn.CONCAT(Buildings_GridElectricity_Backend[[#This Row],[Level 1]:[Level 6]]),rng_EFConcat,rng_EF3WTT)*Buildings_GridElectricity_Backend[[#This Row],[Converted data]]/1000)</f>
        <v/>
      </c>
      <c r="AJ233" s="210" t="str">
        <f>IF(Buildings_GridElectricity_Frontend[[#This Row],[Data]]="","",_xlfn.XLOOKUP(_xlfn.CONCAT(Buildings_GridElectricity_Backend[[#This Row],[Level 1]:[Level 6]]),rng_EFConcat,rng_EF3TD)*Buildings_GridElectricity_Backend[[#This Row],[Converted data]]/1000)</f>
        <v/>
      </c>
      <c r="AK233" s="210" t="str">
        <f>IF(Buildings_GridElectricity_Frontend[[#This Row],[Data]]="","",_xlfn.XLOOKUP(_xlfn.CONCAT(Buildings_GridElectricity_Backend[[#This Row],[Level 1]:[Level 6]]),rng_EFConcat,rng_EF3WTTTD)*Buildings_GridElectricity_Backend[[#This Row],[Converted data]]/1000)</f>
        <v/>
      </c>
      <c r="AL233" s="220" t="str">
        <f>IF(Buildings_GridElectricity_Frontend[[#This Row],[Data]]="","",SUM(Buildings_GridElectricity_Backend[[#This Row],[Scope 1 (tCO2e)]:[Scope 3 WTT T&amp;D (tCO2e)]]))</f>
        <v/>
      </c>
      <c r="AM233" s="220" t="str">
        <f>IF(Buildings_GridElectricity_Frontend[[#This Row],[Data]]="","",Buildings_GridElectricity_Backend[[#This Row],[Total (tCO2e)]]*(1-Buildings_GridElectricity_Backend[[#This Row],[RSD]]))</f>
        <v/>
      </c>
      <c r="AN233" s="220" t="str">
        <f>IF(Buildings_GridElectricity_Frontend[[#This Row],[Data]]="","",Buildings_GridElectricity_Backend[[#This Row],[Total (tCO2e)]]*(1+Buildings_GridElectricity_Backend[[#This Row],[RSD]]))</f>
        <v/>
      </c>
      <c r="AO233" s="210" t="str">
        <f>IF(Buildings_GridElectricity_Frontend[[#This Row],[Data]]="","",_xlfn.XLOOKUP(_xlfn.CONCAT(Buildings_GridElectricity_Backend[[#This Row],[Level 1]:[Level 6]]),rng_EFConcat,rng_EFOOS)*Buildings_GridElectricity_Backend[[#This Row],[Converted data]]/1000)</f>
        <v/>
      </c>
      <c r="AP233" s="174">
        <f>Buildings_GridElectricity_Frontend[[#This Row],[Ease of collection]]</f>
        <v>0</v>
      </c>
      <c r="AQ233" s="213">
        <f>Buildings_GridElectricity_Frontend[[#This Row],[Completeness]]</f>
        <v>0</v>
      </c>
      <c r="AR233" s="220">
        <f>Buildings_GridElectricity_Frontend[[#This Row],[Notes]]</f>
        <v>0</v>
      </c>
    </row>
    <row r="234" spans="5:44" x14ac:dyDescent="0.3">
      <c r="E234" s="346"/>
      <c r="F234" s="449"/>
      <c r="G234" s="336"/>
      <c r="H234" s="334"/>
      <c r="I234" s="172" t="s">
        <v>316</v>
      </c>
      <c r="J234" s="337"/>
      <c r="K234" s="336"/>
      <c r="L234" s="336"/>
      <c r="M234" s="337"/>
      <c r="N234" s="242">
        <f t="shared" si="9"/>
        <v>3</v>
      </c>
      <c r="Q234" s="212" t="str">
        <f t="shared" si="8"/>
        <v/>
      </c>
      <c r="R234" s="174" t="s">
        <v>265</v>
      </c>
      <c r="S234" s="174" t="s">
        <v>273</v>
      </c>
      <c r="T234" s="174" t="str">
        <f>_xlfn.XLOOKUP(Buildings_GridElectricity_Backend[[#This Row],[Info 1]],Buildings_SiteInfo[Site name],Buildings_SiteInfo[Site type], "")</f>
        <v/>
      </c>
      <c r="U234" s="174" t="s">
        <v>281</v>
      </c>
      <c r="V234" s="174" t="str" cm="1">
        <f t="array" aca="1" ref="V234" ca="1">_xlfn.XLOOKUP(Buildings_GridElectricity_Backend[[#This Row],[Level 4]],rng_Level4Long,rng_Level5Long)</f>
        <v>Electricity</v>
      </c>
      <c r="W234" s="174" t="str" cm="1">
        <f t="array" aca="1" ref="W234" ca="1">_xlfn.XLOOKUP(Buildings_GridElectricity_Backend[[#This Row],[Level 4]],rng_Level4Long,rng_Level6Long)</f>
        <v>NaN</v>
      </c>
      <c r="X234" s="174">
        <f>Buildings_GridElectricity_Frontend[[#This Row],[Site Name]]</f>
        <v>0</v>
      </c>
      <c r="Y234" s="174">
        <f>Buildings_GridElectricity_Frontend[[#This Row],[Contracting]]</f>
        <v>0</v>
      </c>
      <c r="Z234" s="174">
        <f>Buildings_GridElectricity_Frontend[[#This Row],[Methodology]]</f>
        <v>0</v>
      </c>
      <c r="AA234" s="229" t="str" cm="1">
        <f t="array" ref="AA234">IF(Buildings_GridElectricity_Frontend[[#This Row],[Data]]="","",INDEX(_xlfn.SWITCH(Buildings_GridElectricity_Backend[[#This Row],[Methodology]],"Tier 1",rng_RSD1,"Tier 2",rng_RSD2,"Tier 3",rng_RSD3),MATCH(_xlfn.CONCAT(Buildings_GridElectricity_Backend[[#This Row],[Level 1]:[Level 6]]),rng_LevelsConcat,0)))</f>
        <v/>
      </c>
      <c r="AB234" s="220">
        <f>Buildings_GridElectricity_Frontend[[#This Row],[Data]]</f>
        <v>0</v>
      </c>
      <c r="AC234" s="174" t="str">
        <f>Buildings_GridElectricity_Frontend[[#This Row],[Units]]</f>
        <v>kWh</v>
      </c>
      <c r="AD234" s="218">
        <f>Buildings_GridElectricity_Frontend[[#This Row],[Data]]</f>
        <v>0</v>
      </c>
      <c r="AE234" s="174" t="str">
        <f>Buildings_GridElectricity_Frontend[[#This Row],[Units]]</f>
        <v>kWh</v>
      </c>
      <c r="AF234" s="210" t="str">
        <f>IF(Buildings_GridElectricity_Frontend[[#This Row],[Data]]="","",_xlfn.XLOOKUP(_xlfn.CONCAT(Buildings_GridElectricity_Backend[[#This Row],[Level 1]:[Level 6]]),rng_EFConcat,rng_EF1)*Buildings_GridElectricity_Backend[[#This Row],[Converted data]]/1000)</f>
        <v/>
      </c>
      <c r="AG234" s="210" t="str">
        <f>IF(Buildings_GridElectricity_Frontend[[#This Row],[Data]]="","",_xlfn.XLOOKUP(_xlfn.CONCAT(Buildings_GridElectricity_Backend[[#This Row],[Level 1]:[Level 6]]),rng_EFConcat,rng_EF2)*Buildings_GridElectricity_Backend[[#This Row],[Converted data]]/1000)</f>
        <v/>
      </c>
      <c r="AH234" s="210" t="str">
        <f>IF(Buildings_GridElectricity_Frontend[[#This Row],[Data]]="","",_xlfn.XLOOKUP(_xlfn.CONCAT(Buildings_GridElectricity_Backend[[#This Row],[Level 1]:[Level 6]]),rng_EFConcat,rng_EF3)*Buildings_GridElectricity_Backend[[#This Row],[Converted data]]/1000)</f>
        <v/>
      </c>
      <c r="AI234" s="210" t="str">
        <f>IF(Buildings_GridElectricity_Frontend[[#This Row],[Data]]="","",_xlfn.XLOOKUP(_xlfn.CONCAT(Buildings_GridElectricity_Backend[[#This Row],[Level 1]:[Level 6]]),rng_EFConcat,rng_EF3WTT)*Buildings_GridElectricity_Backend[[#This Row],[Converted data]]/1000)</f>
        <v/>
      </c>
      <c r="AJ234" s="210" t="str">
        <f>IF(Buildings_GridElectricity_Frontend[[#This Row],[Data]]="","",_xlfn.XLOOKUP(_xlfn.CONCAT(Buildings_GridElectricity_Backend[[#This Row],[Level 1]:[Level 6]]),rng_EFConcat,rng_EF3TD)*Buildings_GridElectricity_Backend[[#This Row],[Converted data]]/1000)</f>
        <v/>
      </c>
      <c r="AK234" s="210" t="str">
        <f>IF(Buildings_GridElectricity_Frontend[[#This Row],[Data]]="","",_xlfn.XLOOKUP(_xlfn.CONCAT(Buildings_GridElectricity_Backend[[#This Row],[Level 1]:[Level 6]]),rng_EFConcat,rng_EF3WTTTD)*Buildings_GridElectricity_Backend[[#This Row],[Converted data]]/1000)</f>
        <v/>
      </c>
      <c r="AL234" s="220" t="str">
        <f>IF(Buildings_GridElectricity_Frontend[[#This Row],[Data]]="","",SUM(Buildings_GridElectricity_Backend[[#This Row],[Scope 1 (tCO2e)]:[Scope 3 WTT T&amp;D (tCO2e)]]))</f>
        <v/>
      </c>
      <c r="AM234" s="220" t="str">
        <f>IF(Buildings_GridElectricity_Frontend[[#This Row],[Data]]="","",Buildings_GridElectricity_Backend[[#This Row],[Total (tCO2e)]]*(1-Buildings_GridElectricity_Backend[[#This Row],[RSD]]))</f>
        <v/>
      </c>
      <c r="AN234" s="220" t="str">
        <f>IF(Buildings_GridElectricity_Frontend[[#This Row],[Data]]="","",Buildings_GridElectricity_Backend[[#This Row],[Total (tCO2e)]]*(1+Buildings_GridElectricity_Backend[[#This Row],[RSD]]))</f>
        <v/>
      </c>
      <c r="AO234" s="210" t="str">
        <f>IF(Buildings_GridElectricity_Frontend[[#This Row],[Data]]="","",_xlfn.XLOOKUP(_xlfn.CONCAT(Buildings_GridElectricity_Backend[[#This Row],[Level 1]:[Level 6]]),rng_EFConcat,rng_EFOOS)*Buildings_GridElectricity_Backend[[#This Row],[Converted data]]/1000)</f>
        <v/>
      </c>
      <c r="AP234" s="174">
        <f>Buildings_GridElectricity_Frontend[[#This Row],[Ease of collection]]</f>
        <v>0</v>
      </c>
      <c r="AQ234" s="213">
        <f>Buildings_GridElectricity_Frontend[[#This Row],[Completeness]]</f>
        <v>0</v>
      </c>
      <c r="AR234" s="220">
        <f>Buildings_GridElectricity_Frontend[[#This Row],[Notes]]</f>
        <v>0</v>
      </c>
    </row>
    <row r="235" spans="5:44" x14ac:dyDescent="0.3">
      <c r="E235" s="346"/>
      <c r="F235" s="449"/>
      <c r="G235" s="336"/>
      <c r="H235" s="334"/>
      <c r="I235" s="172" t="s">
        <v>316</v>
      </c>
      <c r="J235" s="337"/>
      <c r="K235" s="336"/>
      <c r="L235" s="336"/>
      <c r="M235" s="337"/>
      <c r="N235" s="242">
        <f t="shared" si="9"/>
        <v>3</v>
      </c>
      <c r="Q235" s="212" t="str">
        <f t="shared" si="8"/>
        <v/>
      </c>
      <c r="R235" s="174" t="s">
        <v>265</v>
      </c>
      <c r="S235" s="174" t="s">
        <v>273</v>
      </c>
      <c r="T235" s="174" t="str">
        <f>_xlfn.XLOOKUP(Buildings_GridElectricity_Backend[[#This Row],[Info 1]],Buildings_SiteInfo[Site name],Buildings_SiteInfo[Site type], "")</f>
        <v/>
      </c>
      <c r="U235" s="174" t="s">
        <v>281</v>
      </c>
      <c r="V235" s="174" t="str" cm="1">
        <f t="array" aca="1" ref="V235" ca="1">_xlfn.XLOOKUP(Buildings_GridElectricity_Backend[[#This Row],[Level 4]],rng_Level4Long,rng_Level5Long)</f>
        <v>Electricity</v>
      </c>
      <c r="W235" s="174" t="str" cm="1">
        <f t="array" aca="1" ref="W235" ca="1">_xlfn.XLOOKUP(Buildings_GridElectricity_Backend[[#This Row],[Level 4]],rng_Level4Long,rng_Level6Long)</f>
        <v>NaN</v>
      </c>
      <c r="X235" s="174">
        <f>Buildings_GridElectricity_Frontend[[#This Row],[Site Name]]</f>
        <v>0</v>
      </c>
      <c r="Y235" s="174">
        <f>Buildings_GridElectricity_Frontend[[#This Row],[Contracting]]</f>
        <v>0</v>
      </c>
      <c r="Z235" s="174">
        <f>Buildings_GridElectricity_Frontend[[#This Row],[Methodology]]</f>
        <v>0</v>
      </c>
      <c r="AA235" s="229" t="str" cm="1">
        <f t="array" ref="AA235">IF(Buildings_GridElectricity_Frontend[[#This Row],[Data]]="","",INDEX(_xlfn.SWITCH(Buildings_GridElectricity_Backend[[#This Row],[Methodology]],"Tier 1",rng_RSD1,"Tier 2",rng_RSD2,"Tier 3",rng_RSD3),MATCH(_xlfn.CONCAT(Buildings_GridElectricity_Backend[[#This Row],[Level 1]:[Level 6]]),rng_LevelsConcat,0)))</f>
        <v/>
      </c>
      <c r="AB235" s="220">
        <f>Buildings_GridElectricity_Frontend[[#This Row],[Data]]</f>
        <v>0</v>
      </c>
      <c r="AC235" s="174" t="str">
        <f>Buildings_GridElectricity_Frontend[[#This Row],[Units]]</f>
        <v>kWh</v>
      </c>
      <c r="AD235" s="218">
        <f>Buildings_GridElectricity_Frontend[[#This Row],[Data]]</f>
        <v>0</v>
      </c>
      <c r="AE235" s="174" t="str">
        <f>Buildings_GridElectricity_Frontend[[#This Row],[Units]]</f>
        <v>kWh</v>
      </c>
      <c r="AF235" s="210" t="str">
        <f>IF(Buildings_GridElectricity_Frontend[[#This Row],[Data]]="","",_xlfn.XLOOKUP(_xlfn.CONCAT(Buildings_GridElectricity_Backend[[#This Row],[Level 1]:[Level 6]]),rng_EFConcat,rng_EF1)*Buildings_GridElectricity_Backend[[#This Row],[Converted data]]/1000)</f>
        <v/>
      </c>
      <c r="AG235" s="210" t="str">
        <f>IF(Buildings_GridElectricity_Frontend[[#This Row],[Data]]="","",_xlfn.XLOOKUP(_xlfn.CONCAT(Buildings_GridElectricity_Backend[[#This Row],[Level 1]:[Level 6]]),rng_EFConcat,rng_EF2)*Buildings_GridElectricity_Backend[[#This Row],[Converted data]]/1000)</f>
        <v/>
      </c>
      <c r="AH235" s="210" t="str">
        <f>IF(Buildings_GridElectricity_Frontend[[#This Row],[Data]]="","",_xlfn.XLOOKUP(_xlfn.CONCAT(Buildings_GridElectricity_Backend[[#This Row],[Level 1]:[Level 6]]),rng_EFConcat,rng_EF3)*Buildings_GridElectricity_Backend[[#This Row],[Converted data]]/1000)</f>
        <v/>
      </c>
      <c r="AI235" s="210" t="str">
        <f>IF(Buildings_GridElectricity_Frontend[[#This Row],[Data]]="","",_xlfn.XLOOKUP(_xlfn.CONCAT(Buildings_GridElectricity_Backend[[#This Row],[Level 1]:[Level 6]]),rng_EFConcat,rng_EF3WTT)*Buildings_GridElectricity_Backend[[#This Row],[Converted data]]/1000)</f>
        <v/>
      </c>
      <c r="AJ235" s="210" t="str">
        <f>IF(Buildings_GridElectricity_Frontend[[#This Row],[Data]]="","",_xlfn.XLOOKUP(_xlfn.CONCAT(Buildings_GridElectricity_Backend[[#This Row],[Level 1]:[Level 6]]),rng_EFConcat,rng_EF3TD)*Buildings_GridElectricity_Backend[[#This Row],[Converted data]]/1000)</f>
        <v/>
      </c>
      <c r="AK235" s="210" t="str">
        <f>IF(Buildings_GridElectricity_Frontend[[#This Row],[Data]]="","",_xlfn.XLOOKUP(_xlfn.CONCAT(Buildings_GridElectricity_Backend[[#This Row],[Level 1]:[Level 6]]),rng_EFConcat,rng_EF3WTTTD)*Buildings_GridElectricity_Backend[[#This Row],[Converted data]]/1000)</f>
        <v/>
      </c>
      <c r="AL235" s="220" t="str">
        <f>IF(Buildings_GridElectricity_Frontend[[#This Row],[Data]]="","",SUM(Buildings_GridElectricity_Backend[[#This Row],[Scope 1 (tCO2e)]:[Scope 3 WTT T&amp;D (tCO2e)]]))</f>
        <v/>
      </c>
      <c r="AM235" s="220" t="str">
        <f>IF(Buildings_GridElectricity_Frontend[[#This Row],[Data]]="","",Buildings_GridElectricity_Backend[[#This Row],[Total (tCO2e)]]*(1-Buildings_GridElectricity_Backend[[#This Row],[RSD]]))</f>
        <v/>
      </c>
      <c r="AN235" s="220" t="str">
        <f>IF(Buildings_GridElectricity_Frontend[[#This Row],[Data]]="","",Buildings_GridElectricity_Backend[[#This Row],[Total (tCO2e)]]*(1+Buildings_GridElectricity_Backend[[#This Row],[RSD]]))</f>
        <v/>
      </c>
      <c r="AO235" s="210" t="str">
        <f>IF(Buildings_GridElectricity_Frontend[[#This Row],[Data]]="","",_xlfn.XLOOKUP(_xlfn.CONCAT(Buildings_GridElectricity_Backend[[#This Row],[Level 1]:[Level 6]]),rng_EFConcat,rng_EFOOS)*Buildings_GridElectricity_Backend[[#This Row],[Converted data]]/1000)</f>
        <v/>
      </c>
      <c r="AP235" s="174">
        <f>Buildings_GridElectricity_Frontend[[#This Row],[Ease of collection]]</f>
        <v>0</v>
      </c>
      <c r="AQ235" s="213">
        <f>Buildings_GridElectricity_Frontend[[#This Row],[Completeness]]</f>
        <v>0</v>
      </c>
      <c r="AR235" s="220">
        <f>Buildings_GridElectricity_Frontend[[#This Row],[Notes]]</f>
        <v>0</v>
      </c>
    </row>
    <row r="236" spans="5:44" x14ac:dyDescent="0.3">
      <c r="E236" s="346"/>
      <c r="F236" s="449"/>
      <c r="G236" s="336"/>
      <c r="H236" s="334"/>
      <c r="I236" s="172" t="s">
        <v>316</v>
      </c>
      <c r="J236" s="337"/>
      <c r="K236" s="336"/>
      <c r="L236" s="336"/>
      <c r="M236" s="337"/>
      <c r="N236" s="242">
        <f t="shared" si="9"/>
        <v>3</v>
      </c>
      <c r="Q236" s="212" t="str">
        <f t="shared" si="8"/>
        <v/>
      </c>
      <c r="R236" s="174" t="s">
        <v>265</v>
      </c>
      <c r="S236" s="174" t="s">
        <v>273</v>
      </c>
      <c r="T236" s="174" t="str">
        <f>_xlfn.XLOOKUP(Buildings_GridElectricity_Backend[[#This Row],[Info 1]],Buildings_SiteInfo[Site name],Buildings_SiteInfo[Site type], "")</f>
        <v/>
      </c>
      <c r="U236" s="174" t="s">
        <v>281</v>
      </c>
      <c r="V236" s="174" t="str" cm="1">
        <f t="array" aca="1" ref="V236" ca="1">_xlfn.XLOOKUP(Buildings_GridElectricity_Backend[[#This Row],[Level 4]],rng_Level4Long,rng_Level5Long)</f>
        <v>Electricity</v>
      </c>
      <c r="W236" s="174" t="str" cm="1">
        <f t="array" aca="1" ref="W236" ca="1">_xlfn.XLOOKUP(Buildings_GridElectricity_Backend[[#This Row],[Level 4]],rng_Level4Long,rng_Level6Long)</f>
        <v>NaN</v>
      </c>
      <c r="X236" s="174">
        <f>Buildings_GridElectricity_Frontend[[#This Row],[Site Name]]</f>
        <v>0</v>
      </c>
      <c r="Y236" s="174">
        <f>Buildings_GridElectricity_Frontend[[#This Row],[Contracting]]</f>
        <v>0</v>
      </c>
      <c r="Z236" s="174">
        <f>Buildings_GridElectricity_Frontend[[#This Row],[Methodology]]</f>
        <v>0</v>
      </c>
      <c r="AA236" s="229" t="str" cm="1">
        <f t="array" ref="AA236">IF(Buildings_GridElectricity_Frontend[[#This Row],[Data]]="","",INDEX(_xlfn.SWITCH(Buildings_GridElectricity_Backend[[#This Row],[Methodology]],"Tier 1",rng_RSD1,"Tier 2",rng_RSD2,"Tier 3",rng_RSD3),MATCH(_xlfn.CONCAT(Buildings_GridElectricity_Backend[[#This Row],[Level 1]:[Level 6]]),rng_LevelsConcat,0)))</f>
        <v/>
      </c>
      <c r="AB236" s="220">
        <f>Buildings_GridElectricity_Frontend[[#This Row],[Data]]</f>
        <v>0</v>
      </c>
      <c r="AC236" s="174" t="str">
        <f>Buildings_GridElectricity_Frontend[[#This Row],[Units]]</f>
        <v>kWh</v>
      </c>
      <c r="AD236" s="218">
        <f>Buildings_GridElectricity_Frontend[[#This Row],[Data]]</f>
        <v>0</v>
      </c>
      <c r="AE236" s="174" t="str">
        <f>Buildings_GridElectricity_Frontend[[#This Row],[Units]]</f>
        <v>kWh</v>
      </c>
      <c r="AF236" s="210" t="str">
        <f>IF(Buildings_GridElectricity_Frontend[[#This Row],[Data]]="","",_xlfn.XLOOKUP(_xlfn.CONCAT(Buildings_GridElectricity_Backend[[#This Row],[Level 1]:[Level 6]]),rng_EFConcat,rng_EF1)*Buildings_GridElectricity_Backend[[#This Row],[Converted data]]/1000)</f>
        <v/>
      </c>
      <c r="AG236" s="210" t="str">
        <f>IF(Buildings_GridElectricity_Frontend[[#This Row],[Data]]="","",_xlfn.XLOOKUP(_xlfn.CONCAT(Buildings_GridElectricity_Backend[[#This Row],[Level 1]:[Level 6]]),rng_EFConcat,rng_EF2)*Buildings_GridElectricity_Backend[[#This Row],[Converted data]]/1000)</f>
        <v/>
      </c>
      <c r="AH236" s="210" t="str">
        <f>IF(Buildings_GridElectricity_Frontend[[#This Row],[Data]]="","",_xlfn.XLOOKUP(_xlfn.CONCAT(Buildings_GridElectricity_Backend[[#This Row],[Level 1]:[Level 6]]),rng_EFConcat,rng_EF3)*Buildings_GridElectricity_Backend[[#This Row],[Converted data]]/1000)</f>
        <v/>
      </c>
      <c r="AI236" s="210" t="str">
        <f>IF(Buildings_GridElectricity_Frontend[[#This Row],[Data]]="","",_xlfn.XLOOKUP(_xlfn.CONCAT(Buildings_GridElectricity_Backend[[#This Row],[Level 1]:[Level 6]]),rng_EFConcat,rng_EF3WTT)*Buildings_GridElectricity_Backend[[#This Row],[Converted data]]/1000)</f>
        <v/>
      </c>
      <c r="AJ236" s="210" t="str">
        <f>IF(Buildings_GridElectricity_Frontend[[#This Row],[Data]]="","",_xlfn.XLOOKUP(_xlfn.CONCAT(Buildings_GridElectricity_Backend[[#This Row],[Level 1]:[Level 6]]),rng_EFConcat,rng_EF3TD)*Buildings_GridElectricity_Backend[[#This Row],[Converted data]]/1000)</f>
        <v/>
      </c>
      <c r="AK236" s="210" t="str">
        <f>IF(Buildings_GridElectricity_Frontend[[#This Row],[Data]]="","",_xlfn.XLOOKUP(_xlfn.CONCAT(Buildings_GridElectricity_Backend[[#This Row],[Level 1]:[Level 6]]),rng_EFConcat,rng_EF3WTTTD)*Buildings_GridElectricity_Backend[[#This Row],[Converted data]]/1000)</f>
        <v/>
      </c>
      <c r="AL236" s="220" t="str">
        <f>IF(Buildings_GridElectricity_Frontend[[#This Row],[Data]]="","",SUM(Buildings_GridElectricity_Backend[[#This Row],[Scope 1 (tCO2e)]:[Scope 3 WTT T&amp;D (tCO2e)]]))</f>
        <v/>
      </c>
      <c r="AM236" s="220" t="str">
        <f>IF(Buildings_GridElectricity_Frontend[[#This Row],[Data]]="","",Buildings_GridElectricity_Backend[[#This Row],[Total (tCO2e)]]*(1-Buildings_GridElectricity_Backend[[#This Row],[RSD]]))</f>
        <v/>
      </c>
      <c r="AN236" s="220" t="str">
        <f>IF(Buildings_GridElectricity_Frontend[[#This Row],[Data]]="","",Buildings_GridElectricity_Backend[[#This Row],[Total (tCO2e)]]*(1+Buildings_GridElectricity_Backend[[#This Row],[RSD]]))</f>
        <v/>
      </c>
      <c r="AO236" s="210" t="str">
        <f>IF(Buildings_GridElectricity_Frontend[[#This Row],[Data]]="","",_xlfn.XLOOKUP(_xlfn.CONCAT(Buildings_GridElectricity_Backend[[#This Row],[Level 1]:[Level 6]]),rng_EFConcat,rng_EFOOS)*Buildings_GridElectricity_Backend[[#This Row],[Converted data]]/1000)</f>
        <v/>
      </c>
      <c r="AP236" s="174">
        <f>Buildings_GridElectricity_Frontend[[#This Row],[Ease of collection]]</f>
        <v>0</v>
      </c>
      <c r="AQ236" s="213">
        <f>Buildings_GridElectricity_Frontend[[#This Row],[Completeness]]</f>
        <v>0</v>
      </c>
      <c r="AR236" s="220">
        <f>Buildings_GridElectricity_Frontend[[#This Row],[Notes]]</f>
        <v>0</v>
      </c>
    </row>
    <row r="237" spans="5:44" x14ac:dyDescent="0.3">
      <c r="E237" s="346"/>
      <c r="F237" s="449"/>
      <c r="G237" s="336"/>
      <c r="H237" s="334"/>
      <c r="I237" s="172" t="s">
        <v>316</v>
      </c>
      <c r="J237" s="337"/>
      <c r="K237" s="336"/>
      <c r="L237" s="336"/>
      <c r="M237" s="337"/>
      <c r="N237" s="242">
        <f t="shared" si="9"/>
        <v>3</v>
      </c>
      <c r="Q237" s="212" t="str">
        <f t="shared" si="8"/>
        <v/>
      </c>
      <c r="R237" s="174" t="s">
        <v>265</v>
      </c>
      <c r="S237" s="174" t="s">
        <v>273</v>
      </c>
      <c r="T237" s="174" t="str">
        <f>_xlfn.XLOOKUP(Buildings_GridElectricity_Backend[[#This Row],[Info 1]],Buildings_SiteInfo[Site name],Buildings_SiteInfo[Site type], "")</f>
        <v/>
      </c>
      <c r="U237" s="174" t="s">
        <v>281</v>
      </c>
      <c r="V237" s="174" t="str" cm="1">
        <f t="array" aca="1" ref="V237" ca="1">_xlfn.XLOOKUP(Buildings_GridElectricity_Backend[[#This Row],[Level 4]],rng_Level4Long,rng_Level5Long)</f>
        <v>Electricity</v>
      </c>
      <c r="W237" s="174" t="str" cm="1">
        <f t="array" aca="1" ref="W237" ca="1">_xlfn.XLOOKUP(Buildings_GridElectricity_Backend[[#This Row],[Level 4]],rng_Level4Long,rng_Level6Long)</f>
        <v>NaN</v>
      </c>
      <c r="X237" s="174">
        <f>Buildings_GridElectricity_Frontend[[#This Row],[Site Name]]</f>
        <v>0</v>
      </c>
      <c r="Y237" s="174">
        <f>Buildings_GridElectricity_Frontend[[#This Row],[Contracting]]</f>
        <v>0</v>
      </c>
      <c r="Z237" s="174">
        <f>Buildings_GridElectricity_Frontend[[#This Row],[Methodology]]</f>
        <v>0</v>
      </c>
      <c r="AA237" s="229" t="str" cm="1">
        <f t="array" ref="AA237">IF(Buildings_GridElectricity_Frontend[[#This Row],[Data]]="","",INDEX(_xlfn.SWITCH(Buildings_GridElectricity_Backend[[#This Row],[Methodology]],"Tier 1",rng_RSD1,"Tier 2",rng_RSD2,"Tier 3",rng_RSD3),MATCH(_xlfn.CONCAT(Buildings_GridElectricity_Backend[[#This Row],[Level 1]:[Level 6]]),rng_LevelsConcat,0)))</f>
        <v/>
      </c>
      <c r="AB237" s="220">
        <f>Buildings_GridElectricity_Frontend[[#This Row],[Data]]</f>
        <v>0</v>
      </c>
      <c r="AC237" s="174" t="str">
        <f>Buildings_GridElectricity_Frontend[[#This Row],[Units]]</f>
        <v>kWh</v>
      </c>
      <c r="AD237" s="218">
        <f>Buildings_GridElectricity_Frontend[[#This Row],[Data]]</f>
        <v>0</v>
      </c>
      <c r="AE237" s="174" t="str">
        <f>Buildings_GridElectricity_Frontend[[#This Row],[Units]]</f>
        <v>kWh</v>
      </c>
      <c r="AF237" s="210" t="str">
        <f>IF(Buildings_GridElectricity_Frontend[[#This Row],[Data]]="","",_xlfn.XLOOKUP(_xlfn.CONCAT(Buildings_GridElectricity_Backend[[#This Row],[Level 1]:[Level 6]]),rng_EFConcat,rng_EF1)*Buildings_GridElectricity_Backend[[#This Row],[Converted data]]/1000)</f>
        <v/>
      </c>
      <c r="AG237" s="210" t="str">
        <f>IF(Buildings_GridElectricity_Frontend[[#This Row],[Data]]="","",_xlfn.XLOOKUP(_xlfn.CONCAT(Buildings_GridElectricity_Backend[[#This Row],[Level 1]:[Level 6]]),rng_EFConcat,rng_EF2)*Buildings_GridElectricity_Backend[[#This Row],[Converted data]]/1000)</f>
        <v/>
      </c>
      <c r="AH237" s="210" t="str">
        <f>IF(Buildings_GridElectricity_Frontend[[#This Row],[Data]]="","",_xlfn.XLOOKUP(_xlfn.CONCAT(Buildings_GridElectricity_Backend[[#This Row],[Level 1]:[Level 6]]),rng_EFConcat,rng_EF3)*Buildings_GridElectricity_Backend[[#This Row],[Converted data]]/1000)</f>
        <v/>
      </c>
      <c r="AI237" s="210" t="str">
        <f>IF(Buildings_GridElectricity_Frontend[[#This Row],[Data]]="","",_xlfn.XLOOKUP(_xlfn.CONCAT(Buildings_GridElectricity_Backend[[#This Row],[Level 1]:[Level 6]]),rng_EFConcat,rng_EF3WTT)*Buildings_GridElectricity_Backend[[#This Row],[Converted data]]/1000)</f>
        <v/>
      </c>
      <c r="AJ237" s="210" t="str">
        <f>IF(Buildings_GridElectricity_Frontend[[#This Row],[Data]]="","",_xlfn.XLOOKUP(_xlfn.CONCAT(Buildings_GridElectricity_Backend[[#This Row],[Level 1]:[Level 6]]),rng_EFConcat,rng_EF3TD)*Buildings_GridElectricity_Backend[[#This Row],[Converted data]]/1000)</f>
        <v/>
      </c>
      <c r="AK237" s="210" t="str">
        <f>IF(Buildings_GridElectricity_Frontend[[#This Row],[Data]]="","",_xlfn.XLOOKUP(_xlfn.CONCAT(Buildings_GridElectricity_Backend[[#This Row],[Level 1]:[Level 6]]),rng_EFConcat,rng_EF3WTTTD)*Buildings_GridElectricity_Backend[[#This Row],[Converted data]]/1000)</f>
        <v/>
      </c>
      <c r="AL237" s="220" t="str">
        <f>IF(Buildings_GridElectricity_Frontend[[#This Row],[Data]]="","",SUM(Buildings_GridElectricity_Backend[[#This Row],[Scope 1 (tCO2e)]:[Scope 3 WTT T&amp;D (tCO2e)]]))</f>
        <v/>
      </c>
      <c r="AM237" s="220" t="str">
        <f>IF(Buildings_GridElectricity_Frontend[[#This Row],[Data]]="","",Buildings_GridElectricity_Backend[[#This Row],[Total (tCO2e)]]*(1-Buildings_GridElectricity_Backend[[#This Row],[RSD]]))</f>
        <v/>
      </c>
      <c r="AN237" s="220" t="str">
        <f>IF(Buildings_GridElectricity_Frontend[[#This Row],[Data]]="","",Buildings_GridElectricity_Backend[[#This Row],[Total (tCO2e)]]*(1+Buildings_GridElectricity_Backend[[#This Row],[RSD]]))</f>
        <v/>
      </c>
      <c r="AO237" s="210" t="str">
        <f>IF(Buildings_GridElectricity_Frontend[[#This Row],[Data]]="","",_xlfn.XLOOKUP(_xlfn.CONCAT(Buildings_GridElectricity_Backend[[#This Row],[Level 1]:[Level 6]]),rng_EFConcat,rng_EFOOS)*Buildings_GridElectricity_Backend[[#This Row],[Converted data]]/1000)</f>
        <v/>
      </c>
      <c r="AP237" s="174">
        <f>Buildings_GridElectricity_Frontend[[#This Row],[Ease of collection]]</f>
        <v>0</v>
      </c>
      <c r="AQ237" s="213">
        <f>Buildings_GridElectricity_Frontend[[#This Row],[Completeness]]</f>
        <v>0</v>
      </c>
      <c r="AR237" s="220">
        <f>Buildings_GridElectricity_Frontend[[#This Row],[Notes]]</f>
        <v>0</v>
      </c>
    </row>
    <row r="238" spans="5:44" x14ac:dyDescent="0.3">
      <c r="E238" s="346"/>
      <c r="F238" s="449"/>
      <c r="G238" s="336"/>
      <c r="H238" s="334"/>
      <c r="I238" s="172" t="s">
        <v>316</v>
      </c>
      <c r="J238" s="337"/>
      <c r="K238" s="336"/>
      <c r="L238" s="336"/>
      <c r="M238" s="337"/>
      <c r="N238" s="242">
        <f t="shared" si="9"/>
        <v>3</v>
      </c>
      <c r="Q238" s="212" t="str">
        <f t="shared" si="8"/>
        <v/>
      </c>
      <c r="R238" s="174" t="s">
        <v>265</v>
      </c>
      <c r="S238" s="174" t="s">
        <v>273</v>
      </c>
      <c r="T238" s="174" t="str">
        <f>_xlfn.XLOOKUP(Buildings_GridElectricity_Backend[[#This Row],[Info 1]],Buildings_SiteInfo[Site name],Buildings_SiteInfo[Site type], "")</f>
        <v/>
      </c>
      <c r="U238" s="174" t="s">
        <v>281</v>
      </c>
      <c r="V238" s="174" t="str" cm="1">
        <f t="array" aca="1" ref="V238" ca="1">_xlfn.XLOOKUP(Buildings_GridElectricity_Backend[[#This Row],[Level 4]],rng_Level4Long,rng_Level5Long)</f>
        <v>Electricity</v>
      </c>
      <c r="W238" s="174" t="str" cm="1">
        <f t="array" aca="1" ref="W238" ca="1">_xlfn.XLOOKUP(Buildings_GridElectricity_Backend[[#This Row],[Level 4]],rng_Level4Long,rng_Level6Long)</f>
        <v>NaN</v>
      </c>
      <c r="X238" s="174">
        <f>Buildings_GridElectricity_Frontend[[#This Row],[Site Name]]</f>
        <v>0</v>
      </c>
      <c r="Y238" s="174">
        <f>Buildings_GridElectricity_Frontend[[#This Row],[Contracting]]</f>
        <v>0</v>
      </c>
      <c r="Z238" s="174">
        <f>Buildings_GridElectricity_Frontend[[#This Row],[Methodology]]</f>
        <v>0</v>
      </c>
      <c r="AA238" s="229" t="str" cm="1">
        <f t="array" ref="AA238">IF(Buildings_GridElectricity_Frontend[[#This Row],[Data]]="","",INDEX(_xlfn.SWITCH(Buildings_GridElectricity_Backend[[#This Row],[Methodology]],"Tier 1",rng_RSD1,"Tier 2",rng_RSD2,"Tier 3",rng_RSD3),MATCH(_xlfn.CONCAT(Buildings_GridElectricity_Backend[[#This Row],[Level 1]:[Level 6]]),rng_LevelsConcat,0)))</f>
        <v/>
      </c>
      <c r="AB238" s="220">
        <f>Buildings_GridElectricity_Frontend[[#This Row],[Data]]</f>
        <v>0</v>
      </c>
      <c r="AC238" s="174" t="str">
        <f>Buildings_GridElectricity_Frontend[[#This Row],[Units]]</f>
        <v>kWh</v>
      </c>
      <c r="AD238" s="218">
        <f>Buildings_GridElectricity_Frontend[[#This Row],[Data]]</f>
        <v>0</v>
      </c>
      <c r="AE238" s="174" t="str">
        <f>Buildings_GridElectricity_Frontend[[#This Row],[Units]]</f>
        <v>kWh</v>
      </c>
      <c r="AF238" s="210" t="str">
        <f>IF(Buildings_GridElectricity_Frontend[[#This Row],[Data]]="","",_xlfn.XLOOKUP(_xlfn.CONCAT(Buildings_GridElectricity_Backend[[#This Row],[Level 1]:[Level 6]]),rng_EFConcat,rng_EF1)*Buildings_GridElectricity_Backend[[#This Row],[Converted data]]/1000)</f>
        <v/>
      </c>
      <c r="AG238" s="210" t="str">
        <f>IF(Buildings_GridElectricity_Frontend[[#This Row],[Data]]="","",_xlfn.XLOOKUP(_xlfn.CONCAT(Buildings_GridElectricity_Backend[[#This Row],[Level 1]:[Level 6]]),rng_EFConcat,rng_EF2)*Buildings_GridElectricity_Backend[[#This Row],[Converted data]]/1000)</f>
        <v/>
      </c>
      <c r="AH238" s="210" t="str">
        <f>IF(Buildings_GridElectricity_Frontend[[#This Row],[Data]]="","",_xlfn.XLOOKUP(_xlfn.CONCAT(Buildings_GridElectricity_Backend[[#This Row],[Level 1]:[Level 6]]),rng_EFConcat,rng_EF3)*Buildings_GridElectricity_Backend[[#This Row],[Converted data]]/1000)</f>
        <v/>
      </c>
      <c r="AI238" s="210" t="str">
        <f>IF(Buildings_GridElectricity_Frontend[[#This Row],[Data]]="","",_xlfn.XLOOKUP(_xlfn.CONCAT(Buildings_GridElectricity_Backend[[#This Row],[Level 1]:[Level 6]]),rng_EFConcat,rng_EF3WTT)*Buildings_GridElectricity_Backend[[#This Row],[Converted data]]/1000)</f>
        <v/>
      </c>
      <c r="AJ238" s="210" t="str">
        <f>IF(Buildings_GridElectricity_Frontend[[#This Row],[Data]]="","",_xlfn.XLOOKUP(_xlfn.CONCAT(Buildings_GridElectricity_Backend[[#This Row],[Level 1]:[Level 6]]),rng_EFConcat,rng_EF3TD)*Buildings_GridElectricity_Backend[[#This Row],[Converted data]]/1000)</f>
        <v/>
      </c>
      <c r="AK238" s="210" t="str">
        <f>IF(Buildings_GridElectricity_Frontend[[#This Row],[Data]]="","",_xlfn.XLOOKUP(_xlfn.CONCAT(Buildings_GridElectricity_Backend[[#This Row],[Level 1]:[Level 6]]),rng_EFConcat,rng_EF3WTTTD)*Buildings_GridElectricity_Backend[[#This Row],[Converted data]]/1000)</f>
        <v/>
      </c>
      <c r="AL238" s="220" t="str">
        <f>IF(Buildings_GridElectricity_Frontend[[#This Row],[Data]]="","",SUM(Buildings_GridElectricity_Backend[[#This Row],[Scope 1 (tCO2e)]:[Scope 3 WTT T&amp;D (tCO2e)]]))</f>
        <v/>
      </c>
      <c r="AM238" s="220" t="str">
        <f>IF(Buildings_GridElectricity_Frontend[[#This Row],[Data]]="","",Buildings_GridElectricity_Backend[[#This Row],[Total (tCO2e)]]*(1-Buildings_GridElectricity_Backend[[#This Row],[RSD]]))</f>
        <v/>
      </c>
      <c r="AN238" s="220" t="str">
        <f>IF(Buildings_GridElectricity_Frontend[[#This Row],[Data]]="","",Buildings_GridElectricity_Backend[[#This Row],[Total (tCO2e)]]*(1+Buildings_GridElectricity_Backend[[#This Row],[RSD]]))</f>
        <v/>
      </c>
      <c r="AO238" s="210" t="str">
        <f>IF(Buildings_GridElectricity_Frontend[[#This Row],[Data]]="","",_xlfn.XLOOKUP(_xlfn.CONCAT(Buildings_GridElectricity_Backend[[#This Row],[Level 1]:[Level 6]]),rng_EFConcat,rng_EFOOS)*Buildings_GridElectricity_Backend[[#This Row],[Converted data]]/1000)</f>
        <v/>
      </c>
      <c r="AP238" s="174">
        <f>Buildings_GridElectricity_Frontend[[#This Row],[Ease of collection]]</f>
        <v>0</v>
      </c>
      <c r="AQ238" s="213">
        <f>Buildings_GridElectricity_Frontend[[#This Row],[Completeness]]</f>
        <v>0</v>
      </c>
      <c r="AR238" s="220">
        <f>Buildings_GridElectricity_Frontend[[#This Row],[Notes]]</f>
        <v>0</v>
      </c>
    </row>
    <row r="239" spans="5:44" x14ac:dyDescent="0.3">
      <c r="E239" s="346"/>
      <c r="F239" s="449"/>
      <c r="G239" s="336"/>
      <c r="H239" s="334"/>
      <c r="I239" s="172" t="s">
        <v>316</v>
      </c>
      <c r="J239" s="337"/>
      <c r="K239" s="336"/>
      <c r="L239" s="336"/>
      <c r="M239" s="337"/>
      <c r="N239" s="242">
        <f t="shared" si="9"/>
        <v>3</v>
      </c>
      <c r="Q239" s="212" t="str">
        <f t="shared" si="8"/>
        <v/>
      </c>
      <c r="R239" s="174" t="s">
        <v>265</v>
      </c>
      <c r="S239" s="174" t="s">
        <v>273</v>
      </c>
      <c r="T239" s="174" t="str">
        <f>_xlfn.XLOOKUP(Buildings_GridElectricity_Backend[[#This Row],[Info 1]],Buildings_SiteInfo[Site name],Buildings_SiteInfo[Site type], "")</f>
        <v/>
      </c>
      <c r="U239" s="174" t="s">
        <v>281</v>
      </c>
      <c r="V239" s="174" t="str" cm="1">
        <f t="array" aca="1" ref="V239" ca="1">_xlfn.XLOOKUP(Buildings_GridElectricity_Backend[[#This Row],[Level 4]],rng_Level4Long,rng_Level5Long)</f>
        <v>Electricity</v>
      </c>
      <c r="W239" s="174" t="str" cm="1">
        <f t="array" aca="1" ref="W239" ca="1">_xlfn.XLOOKUP(Buildings_GridElectricity_Backend[[#This Row],[Level 4]],rng_Level4Long,rng_Level6Long)</f>
        <v>NaN</v>
      </c>
      <c r="X239" s="174">
        <f>Buildings_GridElectricity_Frontend[[#This Row],[Site Name]]</f>
        <v>0</v>
      </c>
      <c r="Y239" s="174">
        <f>Buildings_GridElectricity_Frontend[[#This Row],[Contracting]]</f>
        <v>0</v>
      </c>
      <c r="Z239" s="174">
        <f>Buildings_GridElectricity_Frontend[[#This Row],[Methodology]]</f>
        <v>0</v>
      </c>
      <c r="AA239" s="229" t="str" cm="1">
        <f t="array" ref="AA239">IF(Buildings_GridElectricity_Frontend[[#This Row],[Data]]="","",INDEX(_xlfn.SWITCH(Buildings_GridElectricity_Backend[[#This Row],[Methodology]],"Tier 1",rng_RSD1,"Tier 2",rng_RSD2,"Tier 3",rng_RSD3),MATCH(_xlfn.CONCAT(Buildings_GridElectricity_Backend[[#This Row],[Level 1]:[Level 6]]),rng_LevelsConcat,0)))</f>
        <v/>
      </c>
      <c r="AB239" s="220">
        <f>Buildings_GridElectricity_Frontend[[#This Row],[Data]]</f>
        <v>0</v>
      </c>
      <c r="AC239" s="174" t="str">
        <f>Buildings_GridElectricity_Frontend[[#This Row],[Units]]</f>
        <v>kWh</v>
      </c>
      <c r="AD239" s="218">
        <f>Buildings_GridElectricity_Frontend[[#This Row],[Data]]</f>
        <v>0</v>
      </c>
      <c r="AE239" s="174" t="str">
        <f>Buildings_GridElectricity_Frontend[[#This Row],[Units]]</f>
        <v>kWh</v>
      </c>
      <c r="AF239" s="210" t="str">
        <f>IF(Buildings_GridElectricity_Frontend[[#This Row],[Data]]="","",_xlfn.XLOOKUP(_xlfn.CONCAT(Buildings_GridElectricity_Backend[[#This Row],[Level 1]:[Level 6]]),rng_EFConcat,rng_EF1)*Buildings_GridElectricity_Backend[[#This Row],[Converted data]]/1000)</f>
        <v/>
      </c>
      <c r="AG239" s="210" t="str">
        <f>IF(Buildings_GridElectricity_Frontend[[#This Row],[Data]]="","",_xlfn.XLOOKUP(_xlfn.CONCAT(Buildings_GridElectricity_Backend[[#This Row],[Level 1]:[Level 6]]),rng_EFConcat,rng_EF2)*Buildings_GridElectricity_Backend[[#This Row],[Converted data]]/1000)</f>
        <v/>
      </c>
      <c r="AH239" s="210" t="str">
        <f>IF(Buildings_GridElectricity_Frontend[[#This Row],[Data]]="","",_xlfn.XLOOKUP(_xlfn.CONCAT(Buildings_GridElectricity_Backend[[#This Row],[Level 1]:[Level 6]]),rng_EFConcat,rng_EF3)*Buildings_GridElectricity_Backend[[#This Row],[Converted data]]/1000)</f>
        <v/>
      </c>
      <c r="AI239" s="210" t="str">
        <f>IF(Buildings_GridElectricity_Frontend[[#This Row],[Data]]="","",_xlfn.XLOOKUP(_xlfn.CONCAT(Buildings_GridElectricity_Backend[[#This Row],[Level 1]:[Level 6]]),rng_EFConcat,rng_EF3WTT)*Buildings_GridElectricity_Backend[[#This Row],[Converted data]]/1000)</f>
        <v/>
      </c>
      <c r="AJ239" s="210" t="str">
        <f>IF(Buildings_GridElectricity_Frontend[[#This Row],[Data]]="","",_xlfn.XLOOKUP(_xlfn.CONCAT(Buildings_GridElectricity_Backend[[#This Row],[Level 1]:[Level 6]]),rng_EFConcat,rng_EF3TD)*Buildings_GridElectricity_Backend[[#This Row],[Converted data]]/1000)</f>
        <v/>
      </c>
      <c r="AK239" s="210" t="str">
        <f>IF(Buildings_GridElectricity_Frontend[[#This Row],[Data]]="","",_xlfn.XLOOKUP(_xlfn.CONCAT(Buildings_GridElectricity_Backend[[#This Row],[Level 1]:[Level 6]]),rng_EFConcat,rng_EF3WTTTD)*Buildings_GridElectricity_Backend[[#This Row],[Converted data]]/1000)</f>
        <v/>
      </c>
      <c r="AL239" s="220" t="str">
        <f>IF(Buildings_GridElectricity_Frontend[[#This Row],[Data]]="","",SUM(Buildings_GridElectricity_Backend[[#This Row],[Scope 1 (tCO2e)]:[Scope 3 WTT T&amp;D (tCO2e)]]))</f>
        <v/>
      </c>
      <c r="AM239" s="220" t="str">
        <f>IF(Buildings_GridElectricity_Frontend[[#This Row],[Data]]="","",Buildings_GridElectricity_Backend[[#This Row],[Total (tCO2e)]]*(1-Buildings_GridElectricity_Backend[[#This Row],[RSD]]))</f>
        <v/>
      </c>
      <c r="AN239" s="220" t="str">
        <f>IF(Buildings_GridElectricity_Frontend[[#This Row],[Data]]="","",Buildings_GridElectricity_Backend[[#This Row],[Total (tCO2e)]]*(1+Buildings_GridElectricity_Backend[[#This Row],[RSD]]))</f>
        <v/>
      </c>
      <c r="AO239" s="210" t="str">
        <f>IF(Buildings_GridElectricity_Frontend[[#This Row],[Data]]="","",_xlfn.XLOOKUP(_xlfn.CONCAT(Buildings_GridElectricity_Backend[[#This Row],[Level 1]:[Level 6]]),rng_EFConcat,rng_EFOOS)*Buildings_GridElectricity_Backend[[#This Row],[Converted data]]/1000)</f>
        <v/>
      </c>
      <c r="AP239" s="174">
        <f>Buildings_GridElectricity_Frontend[[#This Row],[Ease of collection]]</f>
        <v>0</v>
      </c>
      <c r="AQ239" s="213">
        <f>Buildings_GridElectricity_Frontend[[#This Row],[Completeness]]</f>
        <v>0</v>
      </c>
      <c r="AR239" s="220">
        <f>Buildings_GridElectricity_Frontend[[#This Row],[Notes]]</f>
        <v>0</v>
      </c>
    </row>
    <row r="240" spans="5:44" x14ac:dyDescent="0.3">
      <c r="E240" s="346"/>
      <c r="F240" s="449"/>
      <c r="G240" s="336"/>
      <c r="H240" s="334"/>
      <c r="I240" s="172" t="s">
        <v>316</v>
      </c>
      <c r="J240" s="337"/>
      <c r="K240" s="336"/>
      <c r="L240" s="336"/>
      <c r="M240" s="337"/>
      <c r="N240" s="242">
        <f t="shared" si="9"/>
        <v>3</v>
      </c>
      <c r="Q240" s="212" t="str">
        <f t="shared" si="8"/>
        <v/>
      </c>
      <c r="R240" s="174" t="s">
        <v>265</v>
      </c>
      <c r="S240" s="174" t="s">
        <v>273</v>
      </c>
      <c r="T240" s="174" t="str">
        <f>_xlfn.XLOOKUP(Buildings_GridElectricity_Backend[[#This Row],[Info 1]],Buildings_SiteInfo[Site name],Buildings_SiteInfo[Site type], "")</f>
        <v/>
      </c>
      <c r="U240" s="174" t="s">
        <v>281</v>
      </c>
      <c r="V240" s="174" t="str" cm="1">
        <f t="array" aca="1" ref="V240" ca="1">_xlfn.XLOOKUP(Buildings_GridElectricity_Backend[[#This Row],[Level 4]],rng_Level4Long,rng_Level5Long)</f>
        <v>Electricity</v>
      </c>
      <c r="W240" s="174" t="str" cm="1">
        <f t="array" aca="1" ref="W240" ca="1">_xlfn.XLOOKUP(Buildings_GridElectricity_Backend[[#This Row],[Level 4]],rng_Level4Long,rng_Level6Long)</f>
        <v>NaN</v>
      </c>
      <c r="X240" s="174">
        <f>Buildings_GridElectricity_Frontend[[#This Row],[Site Name]]</f>
        <v>0</v>
      </c>
      <c r="Y240" s="174">
        <f>Buildings_GridElectricity_Frontend[[#This Row],[Contracting]]</f>
        <v>0</v>
      </c>
      <c r="Z240" s="174">
        <f>Buildings_GridElectricity_Frontend[[#This Row],[Methodology]]</f>
        <v>0</v>
      </c>
      <c r="AA240" s="229" t="str" cm="1">
        <f t="array" ref="AA240">IF(Buildings_GridElectricity_Frontend[[#This Row],[Data]]="","",INDEX(_xlfn.SWITCH(Buildings_GridElectricity_Backend[[#This Row],[Methodology]],"Tier 1",rng_RSD1,"Tier 2",rng_RSD2,"Tier 3",rng_RSD3),MATCH(_xlfn.CONCAT(Buildings_GridElectricity_Backend[[#This Row],[Level 1]:[Level 6]]),rng_LevelsConcat,0)))</f>
        <v/>
      </c>
      <c r="AB240" s="220">
        <f>Buildings_GridElectricity_Frontend[[#This Row],[Data]]</f>
        <v>0</v>
      </c>
      <c r="AC240" s="174" t="str">
        <f>Buildings_GridElectricity_Frontend[[#This Row],[Units]]</f>
        <v>kWh</v>
      </c>
      <c r="AD240" s="218">
        <f>Buildings_GridElectricity_Frontend[[#This Row],[Data]]</f>
        <v>0</v>
      </c>
      <c r="AE240" s="174" t="str">
        <f>Buildings_GridElectricity_Frontend[[#This Row],[Units]]</f>
        <v>kWh</v>
      </c>
      <c r="AF240" s="210" t="str">
        <f>IF(Buildings_GridElectricity_Frontend[[#This Row],[Data]]="","",_xlfn.XLOOKUP(_xlfn.CONCAT(Buildings_GridElectricity_Backend[[#This Row],[Level 1]:[Level 6]]),rng_EFConcat,rng_EF1)*Buildings_GridElectricity_Backend[[#This Row],[Converted data]]/1000)</f>
        <v/>
      </c>
      <c r="AG240" s="210" t="str">
        <f>IF(Buildings_GridElectricity_Frontend[[#This Row],[Data]]="","",_xlfn.XLOOKUP(_xlfn.CONCAT(Buildings_GridElectricity_Backend[[#This Row],[Level 1]:[Level 6]]),rng_EFConcat,rng_EF2)*Buildings_GridElectricity_Backend[[#This Row],[Converted data]]/1000)</f>
        <v/>
      </c>
      <c r="AH240" s="210" t="str">
        <f>IF(Buildings_GridElectricity_Frontend[[#This Row],[Data]]="","",_xlfn.XLOOKUP(_xlfn.CONCAT(Buildings_GridElectricity_Backend[[#This Row],[Level 1]:[Level 6]]),rng_EFConcat,rng_EF3)*Buildings_GridElectricity_Backend[[#This Row],[Converted data]]/1000)</f>
        <v/>
      </c>
      <c r="AI240" s="210" t="str">
        <f>IF(Buildings_GridElectricity_Frontend[[#This Row],[Data]]="","",_xlfn.XLOOKUP(_xlfn.CONCAT(Buildings_GridElectricity_Backend[[#This Row],[Level 1]:[Level 6]]),rng_EFConcat,rng_EF3WTT)*Buildings_GridElectricity_Backend[[#This Row],[Converted data]]/1000)</f>
        <v/>
      </c>
      <c r="AJ240" s="210" t="str">
        <f>IF(Buildings_GridElectricity_Frontend[[#This Row],[Data]]="","",_xlfn.XLOOKUP(_xlfn.CONCAT(Buildings_GridElectricity_Backend[[#This Row],[Level 1]:[Level 6]]),rng_EFConcat,rng_EF3TD)*Buildings_GridElectricity_Backend[[#This Row],[Converted data]]/1000)</f>
        <v/>
      </c>
      <c r="AK240" s="210" t="str">
        <f>IF(Buildings_GridElectricity_Frontend[[#This Row],[Data]]="","",_xlfn.XLOOKUP(_xlfn.CONCAT(Buildings_GridElectricity_Backend[[#This Row],[Level 1]:[Level 6]]),rng_EFConcat,rng_EF3WTTTD)*Buildings_GridElectricity_Backend[[#This Row],[Converted data]]/1000)</f>
        <v/>
      </c>
      <c r="AL240" s="220" t="str">
        <f>IF(Buildings_GridElectricity_Frontend[[#This Row],[Data]]="","",SUM(Buildings_GridElectricity_Backend[[#This Row],[Scope 1 (tCO2e)]:[Scope 3 WTT T&amp;D (tCO2e)]]))</f>
        <v/>
      </c>
      <c r="AM240" s="220" t="str">
        <f>IF(Buildings_GridElectricity_Frontend[[#This Row],[Data]]="","",Buildings_GridElectricity_Backend[[#This Row],[Total (tCO2e)]]*(1-Buildings_GridElectricity_Backend[[#This Row],[RSD]]))</f>
        <v/>
      </c>
      <c r="AN240" s="220" t="str">
        <f>IF(Buildings_GridElectricity_Frontend[[#This Row],[Data]]="","",Buildings_GridElectricity_Backend[[#This Row],[Total (tCO2e)]]*(1+Buildings_GridElectricity_Backend[[#This Row],[RSD]]))</f>
        <v/>
      </c>
      <c r="AO240" s="210" t="str">
        <f>IF(Buildings_GridElectricity_Frontend[[#This Row],[Data]]="","",_xlfn.XLOOKUP(_xlfn.CONCAT(Buildings_GridElectricity_Backend[[#This Row],[Level 1]:[Level 6]]),rng_EFConcat,rng_EFOOS)*Buildings_GridElectricity_Backend[[#This Row],[Converted data]]/1000)</f>
        <v/>
      </c>
      <c r="AP240" s="174">
        <f>Buildings_GridElectricity_Frontend[[#This Row],[Ease of collection]]</f>
        <v>0</v>
      </c>
      <c r="AQ240" s="213">
        <f>Buildings_GridElectricity_Frontend[[#This Row],[Completeness]]</f>
        <v>0</v>
      </c>
      <c r="AR240" s="220">
        <f>Buildings_GridElectricity_Frontend[[#This Row],[Notes]]</f>
        <v>0</v>
      </c>
    </row>
    <row r="241" spans="5:44" x14ac:dyDescent="0.3">
      <c r="E241" s="346"/>
      <c r="F241" s="449"/>
      <c r="G241" s="336"/>
      <c r="H241" s="334"/>
      <c r="I241" s="172" t="s">
        <v>316</v>
      </c>
      <c r="J241" s="337"/>
      <c r="K241" s="336"/>
      <c r="L241" s="336"/>
      <c r="M241" s="337"/>
      <c r="N241" s="242">
        <f t="shared" si="9"/>
        <v>3</v>
      </c>
      <c r="Q241" s="212" t="str">
        <f t="shared" si="8"/>
        <v/>
      </c>
      <c r="R241" s="174" t="s">
        <v>265</v>
      </c>
      <c r="S241" s="174" t="s">
        <v>273</v>
      </c>
      <c r="T241" s="174" t="str">
        <f>_xlfn.XLOOKUP(Buildings_GridElectricity_Backend[[#This Row],[Info 1]],Buildings_SiteInfo[Site name],Buildings_SiteInfo[Site type], "")</f>
        <v/>
      </c>
      <c r="U241" s="174" t="s">
        <v>281</v>
      </c>
      <c r="V241" s="174" t="str" cm="1">
        <f t="array" aca="1" ref="V241" ca="1">_xlfn.XLOOKUP(Buildings_GridElectricity_Backend[[#This Row],[Level 4]],rng_Level4Long,rng_Level5Long)</f>
        <v>Electricity</v>
      </c>
      <c r="W241" s="174" t="str" cm="1">
        <f t="array" aca="1" ref="W241" ca="1">_xlfn.XLOOKUP(Buildings_GridElectricity_Backend[[#This Row],[Level 4]],rng_Level4Long,rng_Level6Long)</f>
        <v>NaN</v>
      </c>
      <c r="X241" s="174">
        <f>Buildings_GridElectricity_Frontend[[#This Row],[Site Name]]</f>
        <v>0</v>
      </c>
      <c r="Y241" s="174">
        <f>Buildings_GridElectricity_Frontend[[#This Row],[Contracting]]</f>
        <v>0</v>
      </c>
      <c r="Z241" s="174">
        <f>Buildings_GridElectricity_Frontend[[#This Row],[Methodology]]</f>
        <v>0</v>
      </c>
      <c r="AA241" s="229" t="str" cm="1">
        <f t="array" ref="AA241">IF(Buildings_GridElectricity_Frontend[[#This Row],[Data]]="","",INDEX(_xlfn.SWITCH(Buildings_GridElectricity_Backend[[#This Row],[Methodology]],"Tier 1",rng_RSD1,"Tier 2",rng_RSD2,"Tier 3",rng_RSD3),MATCH(_xlfn.CONCAT(Buildings_GridElectricity_Backend[[#This Row],[Level 1]:[Level 6]]),rng_LevelsConcat,0)))</f>
        <v/>
      </c>
      <c r="AB241" s="220">
        <f>Buildings_GridElectricity_Frontend[[#This Row],[Data]]</f>
        <v>0</v>
      </c>
      <c r="AC241" s="174" t="str">
        <f>Buildings_GridElectricity_Frontend[[#This Row],[Units]]</f>
        <v>kWh</v>
      </c>
      <c r="AD241" s="218">
        <f>Buildings_GridElectricity_Frontend[[#This Row],[Data]]</f>
        <v>0</v>
      </c>
      <c r="AE241" s="174" t="str">
        <f>Buildings_GridElectricity_Frontend[[#This Row],[Units]]</f>
        <v>kWh</v>
      </c>
      <c r="AF241" s="210" t="str">
        <f>IF(Buildings_GridElectricity_Frontend[[#This Row],[Data]]="","",_xlfn.XLOOKUP(_xlfn.CONCAT(Buildings_GridElectricity_Backend[[#This Row],[Level 1]:[Level 6]]),rng_EFConcat,rng_EF1)*Buildings_GridElectricity_Backend[[#This Row],[Converted data]]/1000)</f>
        <v/>
      </c>
      <c r="AG241" s="210" t="str">
        <f>IF(Buildings_GridElectricity_Frontend[[#This Row],[Data]]="","",_xlfn.XLOOKUP(_xlfn.CONCAT(Buildings_GridElectricity_Backend[[#This Row],[Level 1]:[Level 6]]),rng_EFConcat,rng_EF2)*Buildings_GridElectricity_Backend[[#This Row],[Converted data]]/1000)</f>
        <v/>
      </c>
      <c r="AH241" s="210" t="str">
        <f>IF(Buildings_GridElectricity_Frontend[[#This Row],[Data]]="","",_xlfn.XLOOKUP(_xlfn.CONCAT(Buildings_GridElectricity_Backend[[#This Row],[Level 1]:[Level 6]]),rng_EFConcat,rng_EF3)*Buildings_GridElectricity_Backend[[#This Row],[Converted data]]/1000)</f>
        <v/>
      </c>
      <c r="AI241" s="210" t="str">
        <f>IF(Buildings_GridElectricity_Frontend[[#This Row],[Data]]="","",_xlfn.XLOOKUP(_xlfn.CONCAT(Buildings_GridElectricity_Backend[[#This Row],[Level 1]:[Level 6]]),rng_EFConcat,rng_EF3WTT)*Buildings_GridElectricity_Backend[[#This Row],[Converted data]]/1000)</f>
        <v/>
      </c>
      <c r="AJ241" s="210" t="str">
        <f>IF(Buildings_GridElectricity_Frontend[[#This Row],[Data]]="","",_xlfn.XLOOKUP(_xlfn.CONCAT(Buildings_GridElectricity_Backend[[#This Row],[Level 1]:[Level 6]]),rng_EFConcat,rng_EF3TD)*Buildings_GridElectricity_Backend[[#This Row],[Converted data]]/1000)</f>
        <v/>
      </c>
      <c r="AK241" s="210" t="str">
        <f>IF(Buildings_GridElectricity_Frontend[[#This Row],[Data]]="","",_xlfn.XLOOKUP(_xlfn.CONCAT(Buildings_GridElectricity_Backend[[#This Row],[Level 1]:[Level 6]]),rng_EFConcat,rng_EF3WTTTD)*Buildings_GridElectricity_Backend[[#This Row],[Converted data]]/1000)</f>
        <v/>
      </c>
      <c r="AL241" s="220" t="str">
        <f>IF(Buildings_GridElectricity_Frontend[[#This Row],[Data]]="","",SUM(Buildings_GridElectricity_Backend[[#This Row],[Scope 1 (tCO2e)]:[Scope 3 WTT T&amp;D (tCO2e)]]))</f>
        <v/>
      </c>
      <c r="AM241" s="220" t="str">
        <f>IF(Buildings_GridElectricity_Frontend[[#This Row],[Data]]="","",Buildings_GridElectricity_Backend[[#This Row],[Total (tCO2e)]]*(1-Buildings_GridElectricity_Backend[[#This Row],[RSD]]))</f>
        <v/>
      </c>
      <c r="AN241" s="220" t="str">
        <f>IF(Buildings_GridElectricity_Frontend[[#This Row],[Data]]="","",Buildings_GridElectricity_Backend[[#This Row],[Total (tCO2e)]]*(1+Buildings_GridElectricity_Backend[[#This Row],[RSD]]))</f>
        <v/>
      </c>
      <c r="AO241" s="210" t="str">
        <f>IF(Buildings_GridElectricity_Frontend[[#This Row],[Data]]="","",_xlfn.XLOOKUP(_xlfn.CONCAT(Buildings_GridElectricity_Backend[[#This Row],[Level 1]:[Level 6]]),rng_EFConcat,rng_EFOOS)*Buildings_GridElectricity_Backend[[#This Row],[Converted data]]/1000)</f>
        <v/>
      </c>
      <c r="AP241" s="174">
        <f>Buildings_GridElectricity_Frontend[[#This Row],[Ease of collection]]</f>
        <v>0</v>
      </c>
      <c r="AQ241" s="213">
        <f>Buildings_GridElectricity_Frontend[[#This Row],[Completeness]]</f>
        <v>0</v>
      </c>
      <c r="AR241" s="220">
        <f>Buildings_GridElectricity_Frontend[[#This Row],[Notes]]</f>
        <v>0</v>
      </c>
    </row>
    <row r="242" spans="5:44" x14ac:dyDescent="0.3">
      <c r="E242" s="346"/>
      <c r="F242" s="449"/>
      <c r="G242" s="336"/>
      <c r="H242" s="334"/>
      <c r="I242" s="172" t="s">
        <v>316</v>
      </c>
      <c r="J242" s="337"/>
      <c r="K242" s="336"/>
      <c r="L242" s="336"/>
      <c r="M242" s="337"/>
      <c r="N242" s="242">
        <f t="shared" si="9"/>
        <v>3</v>
      </c>
      <c r="Q242" s="212" t="str">
        <f t="shared" si="8"/>
        <v/>
      </c>
      <c r="R242" s="174" t="s">
        <v>265</v>
      </c>
      <c r="S242" s="174" t="s">
        <v>273</v>
      </c>
      <c r="T242" s="174" t="str">
        <f>_xlfn.XLOOKUP(Buildings_GridElectricity_Backend[[#This Row],[Info 1]],Buildings_SiteInfo[Site name],Buildings_SiteInfo[Site type], "")</f>
        <v/>
      </c>
      <c r="U242" s="174" t="s">
        <v>281</v>
      </c>
      <c r="V242" s="174" t="str" cm="1">
        <f t="array" aca="1" ref="V242" ca="1">_xlfn.XLOOKUP(Buildings_GridElectricity_Backend[[#This Row],[Level 4]],rng_Level4Long,rng_Level5Long)</f>
        <v>Electricity</v>
      </c>
      <c r="W242" s="174" t="str" cm="1">
        <f t="array" aca="1" ref="W242" ca="1">_xlfn.XLOOKUP(Buildings_GridElectricity_Backend[[#This Row],[Level 4]],rng_Level4Long,rng_Level6Long)</f>
        <v>NaN</v>
      </c>
      <c r="X242" s="174">
        <f>Buildings_GridElectricity_Frontend[[#This Row],[Site Name]]</f>
        <v>0</v>
      </c>
      <c r="Y242" s="174">
        <f>Buildings_GridElectricity_Frontend[[#This Row],[Contracting]]</f>
        <v>0</v>
      </c>
      <c r="Z242" s="174">
        <f>Buildings_GridElectricity_Frontend[[#This Row],[Methodology]]</f>
        <v>0</v>
      </c>
      <c r="AA242" s="229" t="str" cm="1">
        <f t="array" ref="AA242">IF(Buildings_GridElectricity_Frontend[[#This Row],[Data]]="","",INDEX(_xlfn.SWITCH(Buildings_GridElectricity_Backend[[#This Row],[Methodology]],"Tier 1",rng_RSD1,"Tier 2",rng_RSD2,"Tier 3",rng_RSD3),MATCH(_xlfn.CONCAT(Buildings_GridElectricity_Backend[[#This Row],[Level 1]:[Level 6]]),rng_LevelsConcat,0)))</f>
        <v/>
      </c>
      <c r="AB242" s="220">
        <f>Buildings_GridElectricity_Frontend[[#This Row],[Data]]</f>
        <v>0</v>
      </c>
      <c r="AC242" s="174" t="str">
        <f>Buildings_GridElectricity_Frontend[[#This Row],[Units]]</f>
        <v>kWh</v>
      </c>
      <c r="AD242" s="218">
        <f>Buildings_GridElectricity_Frontend[[#This Row],[Data]]</f>
        <v>0</v>
      </c>
      <c r="AE242" s="174" t="str">
        <f>Buildings_GridElectricity_Frontend[[#This Row],[Units]]</f>
        <v>kWh</v>
      </c>
      <c r="AF242" s="210" t="str">
        <f>IF(Buildings_GridElectricity_Frontend[[#This Row],[Data]]="","",_xlfn.XLOOKUP(_xlfn.CONCAT(Buildings_GridElectricity_Backend[[#This Row],[Level 1]:[Level 6]]),rng_EFConcat,rng_EF1)*Buildings_GridElectricity_Backend[[#This Row],[Converted data]]/1000)</f>
        <v/>
      </c>
      <c r="AG242" s="210" t="str">
        <f>IF(Buildings_GridElectricity_Frontend[[#This Row],[Data]]="","",_xlfn.XLOOKUP(_xlfn.CONCAT(Buildings_GridElectricity_Backend[[#This Row],[Level 1]:[Level 6]]),rng_EFConcat,rng_EF2)*Buildings_GridElectricity_Backend[[#This Row],[Converted data]]/1000)</f>
        <v/>
      </c>
      <c r="AH242" s="210" t="str">
        <f>IF(Buildings_GridElectricity_Frontend[[#This Row],[Data]]="","",_xlfn.XLOOKUP(_xlfn.CONCAT(Buildings_GridElectricity_Backend[[#This Row],[Level 1]:[Level 6]]),rng_EFConcat,rng_EF3)*Buildings_GridElectricity_Backend[[#This Row],[Converted data]]/1000)</f>
        <v/>
      </c>
      <c r="AI242" s="210" t="str">
        <f>IF(Buildings_GridElectricity_Frontend[[#This Row],[Data]]="","",_xlfn.XLOOKUP(_xlfn.CONCAT(Buildings_GridElectricity_Backend[[#This Row],[Level 1]:[Level 6]]),rng_EFConcat,rng_EF3WTT)*Buildings_GridElectricity_Backend[[#This Row],[Converted data]]/1000)</f>
        <v/>
      </c>
      <c r="AJ242" s="210" t="str">
        <f>IF(Buildings_GridElectricity_Frontend[[#This Row],[Data]]="","",_xlfn.XLOOKUP(_xlfn.CONCAT(Buildings_GridElectricity_Backend[[#This Row],[Level 1]:[Level 6]]),rng_EFConcat,rng_EF3TD)*Buildings_GridElectricity_Backend[[#This Row],[Converted data]]/1000)</f>
        <v/>
      </c>
      <c r="AK242" s="210" t="str">
        <f>IF(Buildings_GridElectricity_Frontend[[#This Row],[Data]]="","",_xlfn.XLOOKUP(_xlfn.CONCAT(Buildings_GridElectricity_Backend[[#This Row],[Level 1]:[Level 6]]),rng_EFConcat,rng_EF3WTTTD)*Buildings_GridElectricity_Backend[[#This Row],[Converted data]]/1000)</f>
        <v/>
      </c>
      <c r="AL242" s="220" t="str">
        <f>IF(Buildings_GridElectricity_Frontend[[#This Row],[Data]]="","",SUM(Buildings_GridElectricity_Backend[[#This Row],[Scope 1 (tCO2e)]:[Scope 3 WTT T&amp;D (tCO2e)]]))</f>
        <v/>
      </c>
      <c r="AM242" s="220" t="str">
        <f>IF(Buildings_GridElectricity_Frontend[[#This Row],[Data]]="","",Buildings_GridElectricity_Backend[[#This Row],[Total (tCO2e)]]*(1-Buildings_GridElectricity_Backend[[#This Row],[RSD]]))</f>
        <v/>
      </c>
      <c r="AN242" s="220" t="str">
        <f>IF(Buildings_GridElectricity_Frontend[[#This Row],[Data]]="","",Buildings_GridElectricity_Backend[[#This Row],[Total (tCO2e)]]*(1+Buildings_GridElectricity_Backend[[#This Row],[RSD]]))</f>
        <v/>
      </c>
      <c r="AO242" s="210" t="str">
        <f>IF(Buildings_GridElectricity_Frontend[[#This Row],[Data]]="","",_xlfn.XLOOKUP(_xlfn.CONCAT(Buildings_GridElectricity_Backend[[#This Row],[Level 1]:[Level 6]]),rng_EFConcat,rng_EFOOS)*Buildings_GridElectricity_Backend[[#This Row],[Converted data]]/1000)</f>
        <v/>
      </c>
      <c r="AP242" s="174">
        <f>Buildings_GridElectricity_Frontend[[#This Row],[Ease of collection]]</f>
        <v>0</v>
      </c>
      <c r="AQ242" s="213">
        <f>Buildings_GridElectricity_Frontend[[#This Row],[Completeness]]</f>
        <v>0</v>
      </c>
      <c r="AR242" s="220">
        <f>Buildings_GridElectricity_Frontend[[#This Row],[Notes]]</f>
        <v>0</v>
      </c>
    </row>
    <row r="243" spans="5:44" x14ac:dyDescent="0.3">
      <c r="E243" s="346"/>
      <c r="F243" s="449"/>
      <c r="G243" s="336"/>
      <c r="H243" s="334"/>
      <c r="I243" s="172" t="s">
        <v>316</v>
      </c>
      <c r="J243" s="337"/>
      <c r="K243" s="336"/>
      <c r="L243" s="336"/>
      <c r="M243" s="337"/>
      <c r="N243" s="242">
        <f t="shared" si="9"/>
        <v>3</v>
      </c>
      <c r="Q243" s="212" t="str">
        <f t="shared" si="8"/>
        <v/>
      </c>
      <c r="R243" s="174" t="s">
        <v>265</v>
      </c>
      <c r="S243" s="174" t="s">
        <v>273</v>
      </c>
      <c r="T243" s="174" t="str">
        <f>_xlfn.XLOOKUP(Buildings_GridElectricity_Backend[[#This Row],[Info 1]],Buildings_SiteInfo[Site name],Buildings_SiteInfo[Site type], "")</f>
        <v/>
      </c>
      <c r="U243" s="174" t="s">
        <v>281</v>
      </c>
      <c r="V243" s="174" t="str" cm="1">
        <f t="array" aca="1" ref="V243" ca="1">_xlfn.XLOOKUP(Buildings_GridElectricity_Backend[[#This Row],[Level 4]],rng_Level4Long,rng_Level5Long)</f>
        <v>Electricity</v>
      </c>
      <c r="W243" s="174" t="str" cm="1">
        <f t="array" aca="1" ref="W243" ca="1">_xlfn.XLOOKUP(Buildings_GridElectricity_Backend[[#This Row],[Level 4]],rng_Level4Long,rng_Level6Long)</f>
        <v>NaN</v>
      </c>
      <c r="X243" s="174">
        <f>Buildings_GridElectricity_Frontend[[#This Row],[Site Name]]</f>
        <v>0</v>
      </c>
      <c r="Y243" s="174">
        <f>Buildings_GridElectricity_Frontend[[#This Row],[Contracting]]</f>
        <v>0</v>
      </c>
      <c r="Z243" s="174">
        <f>Buildings_GridElectricity_Frontend[[#This Row],[Methodology]]</f>
        <v>0</v>
      </c>
      <c r="AA243" s="229" t="str" cm="1">
        <f t="array" ref="AA243">IF(Buildings_GridElectricity_Frontend[[#This Row],[Data]]="","",INDEX(_xlfn.SWITCH(Buildings_GridElectricity_Backend[[#This Row],[Methodology]],"Tier 1",rng_RSD1,"Tier 2",rng_RSD2,"Tier 3",rng_RSD3),MATCH(_xlfn.CONCAT(Buildings_GridElectricity_Backend[[#This Row],[Level 1]:[Level 6]]),rng_LevelsConcat,0)))</f>
        <v/>
      </c>
      <c r="AB243" s="220">
        <f>Buildings_GridElectricity_Frontend[[#This Row],[Data]]</f>
        <v>0</v>
      </c>
      <c r="AC243" s="174" t="str">
        <f>Buildings_GridElectricity_Frontend[[#This Row],[Units]]</f>
        <v>kWh</v>
      </c>
      <c r="AD243" s="218">
        <f>Buildings_GridElectricity_Frontend[[#This Row],[Data]]</f>
        <v>0</v>
      </c>
      <c r="AE243" s="174" t="str">
        <f>Buildings_GridElectricity_Frontend[[#This Row],[Units]]</f>
        <v>kWh</v>
      </c>
      <c r="AF243" s="210" t="str">
        <f>IF(Buildings_GridElectricity_Frontend[[#This Row],[Data]]="","",_xlfn.XLOOKUP(_xlfn.CONCAT(Buildings_GridElectricity_Backend[[#This Row],[Level 1]:[Level 6]]),rng_EFConcat,rng_EF1)*Buildings_GridElectricity_Backend[[#This Row],[Converted data]]/1000)</f>
        <v/>
      </c>
      <c r="AG243" s="210" t="str">
        <f>IF(Buildings_GridElectricity_Frontend[[#This Row],[Data]]="","",_xlfn.XLOOKUP(_xlfn.CONCAT(Buildings_GridElectricity_Backend[[#This Row],[Level 1]:[Level 6]]),rng_EFConcat,rng_EF2)*Buildings_GridElectricity_Backend[[#This Row],[Converted data]]/1000)</f>
        <v/>
      </c>
      <c r="AH243" s="210" t="str">
        <f>IF(Buildings_GridElectricity_Frontend[[#This Row],[Data]]="","",_xlfn.XLOOKUP(_xlfn.CONCAT(Buildings_GridElectricity_Backend[[#This Row],[Level 1]:[Level 6]]),rng_EFConcat,rng_EF3)*Buildings_GridElectricity_Backend[[#This Row],[Converted data]]/1000)</f>
        <v/>
      </c>
      <c r="AI243" s="210" t="str">
        <f>IF(Buildings_GridElectricity_Frontend[[#This Row],[Data]]="","",_xlfn.XLOOKUP(_xlfn.CONCAT(Buildings_GridElectricity_Backend[[#This Row],[Level 1]:[Level 6]]),rng_EFConcat,rng_EF3WTT)*Buildings_GridElectricity_Backend[[#This Row],[Converted data]]/1000)</f>
        <v/>
      </c>
      <c r="AJ243" s="210" t="str">
        <f>IF(Buildings_GridElectricity_Frontend[[#This Row],[Data]]="","",_xlfn.XLOOKUP(_xlfn.CONCAT(Buildings_GridElectricity_Backend[[#This Row],[Level 1]:[Level 6]]),rng_EFConcat,rng_EF3TD)*Buildings_GridElectricity_Backend[[#This Row],[Converted data]]/1000)</f>
        <v/>
      </c>
      <c r="AK243" s="210" t="str">
        <f>IF(Buildings_GridElectricity_Frontend[[#This Row],[Data]]="","",_xlfn.XLOOKUP(_xlfn.CONCAT(Buildings_GridElectricity_Backend[[#This Row],[Level 1]:[Level 6]]),rng_EFConcat,rng_EF3WTTTD)*Buildings_GridElectricity_Backend[[#This Row],[Converted data]]/1000)</f>
        <v/>
      </c>
      <c r="AL243" s="220" t="str">
        <f>IF(Buildings_GridElectricity_Frontend[[#This Row],[Data]]="","",SUM(Buildings_GridElectricity_Backend[[#This Row],[Scope 1 (tCO2e)]:[Scope 3 WTT T&amp;D (tCO2e)]]))</f>
        <v/>
      </c>
      <c r="AM243" s="220" t="str">
        <f>IF(Buildings_GridElectricity_Frontend[[#This Row],[Data]]="","",Buildings_GridElectricity_Backend[[#This Row],[Total (tCO2e)]]*(1-Buildings_GridElectricity_Backend[[#This Row],[RSD]]))</f>
        <v/>
      </c>
      <c r="AN243" s="220" t="str">
        <f>IF(Buildings_GridElectricity_Frontend[[#This Row],[Data]]="","",Buildings_GridElectricity_Backend[[#This Row],[Total (tCO2e)]]*(1+Buildings_GridElectricity_Backend[[#This Row],[RSD]]))</f>
        <v/>
      </c>
      <c r="AO243" s="210" t="str">
        <f>IF(Buildings_GridElectricity_Frontend[[#This Row],[Data]]="","",_xlfn.XLOOKUP(_xlfn.CONCAT(Buildings_GridElectricity_Backend[[#This Row],[Level 1]:[Level 6]]),rng_EFConcat,rng_EFOOS)*Buildings_GridElectricity_Backend[[#This Row],[Converted data]]/1000)</f>
        <v/>
      </c>
      <c r="AP243" s="174">
        <f>Buildings_GridElectricity_Frontend[[#This Row],[Ease of collection]]</f>
        <v>0</v>
      </c>
      <c r="AQ243" s="213">
        <f>Buildings_GridElectricity_Frontend[[#This Row],[Completeness]]</f>
        <v>0</v>
      </c>
      <c r="AR243" s="220">
        <f>Buildings_GridElectricity_Frontend[[#This Row],[Notes]]</f>
        <v>0</v>
      </c>
    </row>
    <row r="244" spans="5:44" x14ac:dyDescent="0.3">
      <c r="E244" s="346"/>
      <c r="F244" s="449"/>
      <c r="G244" s="336"/>
      <c r="H244" s="334"/>
      <c r="I244" s="172" t="s">
        <v>316</v>
      </c>
      <c r="J244" s="337"/>
      <c r="K244" s="336"/>
      <c r="L244" s="336"/>
      <c r="M244" s="337"/>
      <c r="N244" s="242">
        <f t="shared" si="9"/>
        <v>3</v>
      </c>
      <c r="Q244" s="212" t="str">
        <f t="shared" si="8"/>
        <v/>
      </c>
      <c r="R244" s="174" t="s">
        <v>265</v>
      </c>
      <c r="S244" s="174" t="s">
        <v>273</v>
      </c>
      <c r="T244" s="174" t="str">
        <f>_xlfn.XLOOKUP(Buildings_GridElectricity_Backend[[#This Row],[Info 1]],Buildings_SiteInfo[Site name],Buildings_SiteInfo[Site type], "")</f>
        <v/>
      </c>
      <c r="U244" s="174" t="s">
        <v>281</v>
      </c>
      <c r="V244" s="174" t="str" cm="1">
        <f t="array" aca="1" ref="V244" ca="1">_xlfn.XLOOKUP(Buildings_GridElectricity_Backend[[#This Row],[Level 4]],rng_Level4Long,rng_Level5Long)</f>
        <v>Electricity</v>
      </c>
      <c r="W244" s="174" t="str" cm="1">
        <f t="array" aca="1" ref="W244" ca="1">_xlfn.XLOOKUP(Buildings_GridElectricity_Backend[[#This Row],[Level 4]],rng_Level4Long,rng_Level6Long)</f>
        <v>NaN</v>
      </c>
      <c r="X244" s="174">
        <f>Buildings_GridElectricity_Frontend[[#This Row],[Site Name]]</f>
        <v>0</v>
      </c>
      <c r="Y244" s="174">
        <f>Buildings_GridElectricity_Frontend[[#This Row],[Contracting]]</f>
        <v>0</v>
      </c>
      <c r="Z244" s="174">
        <f>Buildings_GridElectricity_Frontend[[#This Row],[Methodology]]</f>
        <v>0</v>
      </c>
      <c r="AA244" s="229" t="str" cm="1">
        <f t="array" ref="AA244">IF(Buildings_GridElectricity_Frontend[[#This Row],[Data]]="","",INDEX(_xlfn.SWITCH(Buildings_GridElectricity_Backend[[#This Row],[Methodology]],"Tier 1",rng_RSD1,"Tier 2",rng_RSD2,"Tier 3",rng_RSD3),MATCH(_xlfn.CONCAT(Buildings_GridElectricity_Backend[[#This Row],[Level 1]:[Level 6]]),rng_LevelsConcat,0)))</f>
        <v/>
      </c>
      <c r="AB244" s="220">
        <f>Buildings_GridElectricity_Frontend[[#This Row],[Data]]</f>
        <v>0</v>
      </c>
      <c r="AC244" s="174" t="str">
        <f>Buildings_GridElectricity_Frontend[[#This Row],[Units]]</f>
        <v>kWh</v>
      </c>
      <c r="AD244" s="218">
        <f>Buildings_GridElectricity_Frontend[[#This Row],[Data]]</f>
        <v>0</v>
      </c>
      <c r="AE244" s="174" t="str">
        <f>Buildings_GridElectricity_Frontend[[#This Row],[Units]]</f>
        <v>kWh</v>
      </c>
      <c r="AF244" s="210" t="str">
        <f>IF(Buildings_GridElectricity_Frontend[[#This Row],[Data]]="","",_xlfn.XLOOKUP(_xlfn.CONCAT(Buildings_GridElectricity_Backend[[#This Row],[Level 1]:[Level 6]]),rng_EFConcat,rng_EF1)*Buildings_GridElectricity_Backend[[#This Row],[Converted data]]/1000)</f>
        <v/>
      </c>
      <c r="AG244" s="210" t="str">
        <f>IF(Buildings_GridElectricity_Frontend[[#This Row],[Data]]="","",_xlfn.XLOOKUP(_xlfn.CONCAT(Buildings_GridElectricity_Backend[[#This Row],[Level 1]:[Level 6]]),rng_EFConcat,rng_EF2)*Buildings_GridElectricity_Backend[[#This Row],[Converted data]]/1000)</f>
        <v/>
      </c>
      <c r="AH244" s="210" t="str">
        <f>IF(Buildings_GridElectricity_Frontend[[#This Row],[Data]]="","",_xlfn.XLOOKUP(_xlfn.CONCAT(Buildings_GridElectricity_Backend[[#This Row],[Level 1]:[Level 6]]),rng_EFConcat,rng_EF3)*Buildings_GridElectricity_Backend[[#This Row],[Converted data]]/1000)</f>
        <v/>
      </c>
      <c r="AI244" s="210" t="str">
        <f>IF(Buildings_GridElectricity_Frontend[[#This Row],[Data]]="","",_xlfn.XLOOKUP(_xlfn.CONCAT(Buildings_GridElectricity_Backend[[#This Row],[Level 1]:[Level 6]]),rng_EFConcat,rng_EF3WTT)*Buildings_GridElectricity_Backend[[#This Row],[Converted data]]/1000)</f>
        <v/>
      </c>
      <c r="AJ244" s="210" t="str">
        <f>IF(Buildings_GridElectricity_Frontend[[#This Row],[Data]]="","",_xlfn.XLOOKUP(_xlfn.CONCAT(Buildings_GridElectricity_Backend[[#This Row],[Level 1]:[Level 6]]),rng_EFConcat,rng_EF3TD)*Buildings_GridElectricity_Backend[[#This Row],[Converted data]]/1000)</f>
        <v/>
      </c>
      <c r="AK244" s="210" t="str">
        <f>IF(Buildings_GridElectricity_Frontend[[#This Row],[Data]]="","",_xlfn.XLOOKUP(_xlfn.CONCAT(Buildings_GridElectricity_Backend[[#This Row],[Level 1]:[Level 6]]),rng_EFConcat,rng_EF3WTTTD)*Buildings_GridElectricity_Backend[[#This Row],[Converted data]]/1000)</f>
        <v/>
      </c>
      <c r="AL244" s="220" t="str">
        <f>IF(Buildings_GridElectricity_Frontend[[#This Row],[Data]]="","",SUM(Buildings_GridElectricity_Backend[[#This Row],[Scope 1 (tCO2e)]:[Scope 3 WTT T&amp;D (tCO2e)]]))</f>
        <v/>
      </c>
      <c r="AM244" s="220" t="str">
        <f>IF(Buildings_GridElectricity_Frontend[[#This Row],[Data]]="","",Buildings_GridElectricity_Backend[[#This Row],[Total (tCO2e)]]*(1-Buildings_GridElectricity_Backend[[#This Row],[RSD]]))</f>
        <v/>
      </c>
      <c r="AN244" s="220" t="str">
        <f>IF(Buildings_GridElectricity_Frontend[[#This Row],[Data]]="","",Buildings_GridElectricity_Backend[[#This Row],[Total (tCO2e)]]*(1+Buildings_GridElectricity_Backend[[#This Row],[RSD]]))</f>
        <v/>
      </c>
      <c r="AO244" s="210" t="str">
        <f>IF(Buildings_GridElectricity_Frontend[[#This Row],[Data]]="","",_xlfn.XLOOKUP(_xlfn.CONCAT(Buildings_GridElectricity_Backend[[#This Row],[Level 1]:[Level 6]]),rng_EFConcat,rng_EFOOS)*Buildings_GridElectricity_Backend[[#This Row],[Converted data]]/1000)</f>
        <v/>
      </c>
      <c r="AP244" s="174">
        <f>Buildings_GridElectricity_Frontend[[#This Row],[Ease of collection]]</f>
        <v>0</v>
      </c>
      <c r="AQ244" s="213">
        <f>Buildings_GridElectricity_Frontend[[#This Row],[Completeness]]</f>
        <v>0</v>
      </c>
      <c r="AR244" s="220">
        <f>Buildings_GridElectricity_Frontend[[#This Row],[Notes]]</f>
        <v>0</v>
      </c>
    </row>
    <row r="245" spans="5:44" x14ac:dyDescent="0.3">
      <c r="E245" s="346"/>
      <c r="F245" s="449"/>
      <c r="G245" s="336"/>
      <c r="H245" s="334"/>
      <c r="I245" s="172" t="s">
        <v>316</v>
      </c>
      <c r="J245" s="337"/>
      <c r="K245" s="336"/>
      <c r="L245" s="336"/>
      <c r="M245" s="337"/>
      <c r="N245" s="242">
        <f t="shared" si="9"/>
        <v>3</v>
      </c>
      <c r="Q245" s="212" t="str">
        <f t="shared" si="8"/>
        <v/>
      </c>
      <c r="R245" s="174" t="s">
        <v>265</v>
      </c>
      <c r="S245" s="174" t="s">
        <v>273</v>
      </c>
      <c r="T245" s="174" t="str">
        <f>_xlfn.XLOOKUP(Buildings_GridElectricity_Backend[[#This Row],[Info 1]],Buildings_SiteInfo[Site name],Buildings_SiteInfo[Site type], "")</f>
        <v/>
      </c>
      <c r="U245" s="174" t="s">
        <v>281</v>
      </c>
      <c r="V245" s="174" t="str" cm="1">
        <f t="array" aca="1" ref="V245" ca="1">_xlfn.XLOOKUP(Buildings_GridElectricity_Backend[[#This Row],[Level 4]],rng_Level4Long,rng_Level5Long)</f>
        <v>Electricity</v>
      </c>
      <c r="W245" s="174" t="str" cm="1">
        <f t="array" aca="1" ref="W245" ca="1">_xlfn.XLOOKUP(Buildings_GridElectricity_Backend[[#This Row],[Level 4]],rng_Level4Long,rng_Level6Long)</f>
        <v>NaN</v>
      </c>
      <c r="X245" s="174">
        <f>Buildings_GridElectricity_Frontend[[#This Row],[Site Name]]</f>
        <v>0</v>
      </c>
      <c r="Y245" s="174">
        <f>Buildings_GridElectricity_Frontend[[#This Row],[Contracting]]</f>
        <v>0</v>
      </c>
      <c r="Z245" s="174">
        <f>Buildings_GridElectricity_Frontend[[#This Row],[Methodology]]</f>
        <v>0</v>
      </c>
      <c r="AA245" s="229" t="str" cm="1">
        <f t="array" ref="AA245">IF(Buildings_GridElectricity_Frontend[[#This Row],[Data]]="","",INDEX(_xlfn.SWITCH(Buildings_GridElectricity_Backend[[#This Row],[Methodology]],"Tier 1",rng_RSD1,"Tier 2",rng_RSD2,"Tier 3",rng_RSD3),MATCH(_xlfn.CONCAT(Buildings_GridElectricity_Backend[[#This Row],[Level 1]:[Level 6]]),rng_LevelsConcat,0)))</f>
        <v/>
      </c>
      <c r="AB245" s="220">
        <f>Buildings_GridElectricity_Frontend[[#This Row],[Data]]</f>
        <v>0</v>
      </c>
      <c r="AC245" s="174" t="str">
        <f>Buildings_GridElectricity_Frontend[[#This Row],[Units]]</f>
        <v>kWh</v>
      </c>
      <c r="AD245" s="218">
        <f>Buildings_GridElectricity_Frontend[[#This Row],[Data]]</f>
        <v>0</v>
      </c>
      <c r="AE245" s="174" t="str">
        <f>Buildings_GridElectricity_Frontend[[#This Row],[Units]]</f>
        <v>kWh</v>
      </c>
      <c r="AF245" s="210" t="str">
        <f>IF(Buildings_GridElectricity_Frontend[[#This Row],[Data]]="","",_xlfn.XLOOKUP(_xlfn.CONCAT(Buildings_GridElectricity_Backend[[#This Row],[Level 1]:[Level 6]]),rng_EFConcat,rng_EF1)*Buildings_GridElectricity_Backend[[#This Row],[Converted data]]/1000)</f>
        <v/>
      </c>
      <c r="AG245" s="210" t="str">
        <f>IF(Buildings_GridElectricity_Frontend[[#This Row],[Data]]="","",_xlfn.XLOOKUP(_xlfn.CONCAT(Buildings_GridElectricity_Backend[[#This Row],[Level 1]:[Level 6]]),rng_EFConcat,rng_EF2)*Buildings_GridElectricity_Backend[[#This Row],[Converted data]]/1000)</f>
        <v/>
      </c>
      <c r="AH245" s="210" t="str">
        <f>IF(Buildings_GridElectricity_Frontend[[#This Row],[Data]]="","",_xlfn.XLOOKUP(_xlfn.CONCAT(Buildings_GridElectricity_Backend[[#This Row],[Level 1]:[Level 6]]),rng_EFConcat,rng_EF3)*Buildings_GridElectricity_Backend[[#This Row],[Converted data]]/1000)</f>
        <v/>
      </c>
      <c r="AI245" s="210" t="str">
        <f>IF(Buildings_GridElectricity_Frontend[[#This Row],[Data]]="","",_xlfn.XLOOKUP(_xlfn.CONCAT(Buildings_GridElectricity_Backend[[#This Row],[Level 1]:[Level 6]]),rng_EFConcat,rng_EF3WTT)*Buildings_GridElectricity_Backend[[#This Row],[Converted data]]/1000)</f>
        <v/>
      </c>
      <c r="AJ245" s="210" t="str">
        <f>IF(Buildings_GridElectricity_Frontend[[#This Row],[Data]]="","",_xlfn.XLOOKUP(_xlfn.CONCAT(Buildings_GridElectricity_Backend[[#This Row],[Level 1]:[Level 6]]),rng_EFConcat,rng_EF3TD)*Buildings_GridElectricity_Backend[[#This Row],[Converted data]]/1000)</f>
        <v/>
      </c>
      <c r="AK245" s="210" t="str">
        <f>IF(Buildings_GridElectricity_Frontend[[#This Row],[Data]]="","",_xlfn.XLOOKUP(_xlfn.CONCAT(Buildings_GridElectricity_Backend[[#This Row],[Level 1]:[Level 6]]),rng_EFConcat,rng_EF3WTTTD)*Buildings_GridElectricity_Backend[[#This Row],[Converted data]]/1000)</f>
        <v/>
      </c>
      <c r="AL245" s="220" t="str">
        <f>IF(Buildings_GridElectricity_Frontend[[#This Row],[Data]]="","",SUM(Buildings_GridElectricity_Backend[[#This Row],[Scope 1 (tCO2e)]:[Scope 3 WTT T&amp;D (tCO2e)]]))</f>
        <v/>
      </c>
      <c r="AM245" s="220" t="str">
        <f>IF(Buildings_GridElectricity_Frontend[[#This Row],[Data]]="","",Buildings_GridElectricity_Backend[[#This Row],[Total (tCO2e)]]*(1-Buildings_GridElectricity_Backend[[#This Row],[RSD]]))</f>
        <v/>
      </c>
      <c r="AN245" s="220" t="str">
        <f>IF(Buildings_GridElectricity_Frontend[[#This Row],[Data]]="","",Buildings_GridElectricity_Backend[[#This Row],[Total (tCO2e)]]*(1+Buildings_GridElectricity_Backend[[#This Row],[RSD]]))</f>
        <v/>
      </c>
      <c r="AO245" s="210" t="str">
        <f>IF(Buildings_GridElectricity_Frontend[[#This Row],[Data]]="","",_xlfn.XLOOKUP(_xlfn.CONCAT(Buildings_GridElectricity_Backend[[#This Row],[Level 1]:[Level 6]]),rng_EFConcat,rng_EFOOS)*Buildings_GridElectricity_Backend[[#This Row],[Converted data]]/1000)</f>
        <v/>
      </c>
      <c r="AP245" s="174">
        <f>Buildings_GridElectricity_Frontend[[#This Row],[Ease of collection]]</f>
        <v>0</v>
      </c>
      <c r="AQ245" s="213">
        <f>Buildings_GridElectricity_Frontend[[#This Row],[Completeness]]</f>
        <v>0</v>
      </c>
      <c r="AR245" s="220">
        <f>Buildings_GridElectricity_Frontend[[#This Row],[Notes]]</f>
        <v>0</v>
      </c>
    </row>
    <row r="246" spans="5:44" x14ac:dyDescent="0.3">
      <c r="E246" s="346"/>
      <c r="F246" s="449"/>
      <c r="G246" s="336"/>
      <c r="H246" s="334"/>
      <c r="I246" s="172" t="s">
        <v>316</v>
      </c>
      <c r="J246" s="337"/>
      <c r="K246" s="336"/>
      <c r="L246" s="336"/>
      <c r="M246" s="337"/>
      <c r="N246" s="242">
        <f t="shared" si="9"/>
        <v>3</v>
      </c>
      <c r="Q246" s="212" t="str">
        <f t="shared" si="8"/>
        <v/>
      </c>
      <c r="R246" s="174" t="s">
        <v>265</v>
      </c>
      <c r="S246" s="174" t="s">
        <v>273</v>
      </c>
      <c r="T246" s="174" t="str">
        <f>_xlfn.XLOOKUP(Buildings_GridElectricity_Backend[[#This Row],[Info 1]],Buildings_SiteInfo[Site name],Buildings_SiteInfo[Site type], "")</f>
        <v/>
      </c>
      <c r="U246" s="174" t="s">
        <v>281</v>
      </c>
      <c r="V246" s="174" t="str" cm="1">
        <f t="array" aca="1" ref="V246" ca="1">_xlfn.XLOOKUP(Buildings_GridElectricity_Backend[[#This Row],[Level 4]],rng_Level4Long,rng_Level5Long)</f>
        <v>Electricity</v>
      </c>
      <c r="W246" s="174" t="str" cm="1">
        <f t="array" aca="1" ref="W246" ca="1">_xlfn.XLOOKUP(Buildings_GridElectricity_Backend[[#This Row],[Level 4]],rng_Level4Long,rng_Level6Long)</f>
        <v>NaN</v>
      </c>
      <c r="X246" s="174">
        <f>Buildings_GridElectricity_Frontend[[#This Row],[Site Name]]</f>
        <v>0</v>
      </c>
      <c r="Y246" s="174">
        <f>Buildings_GridElectricity_Frontend[[#This Row],[Contracting]]</f>
        <v>0</v>
      </c>
      <c r="Z246" s="174">
        <f>Buildings_GridElectricity_Frontend[[#This Row],[Methodology]]</f>
        <v>0</v>
      </c>
      <c r="AA246" s="229" t="str" cm="1">
        <f t="array" ref="AA246">IF(Buildings_GridElectricity_Frontend[[#This Row],[Data]]="","",INDEX(_xlfn.SWITCH(Buildings_GridElectricity_Backend[[#This Row],[Methodology]],"Tier 1",rng_RSD1,"Tier 2",rng_RSD2,"Tier 3",rng_RSD3),MATCH(_xlfn.CONCAT(Buildings_GridElectricity_Backend[[#This Row],[Level 1]:[Level 6]]),rng_LevelsConcat,0)))</f>
        <v/>
      </c>
      <c r="AB246" s="220">
        <f>Buildings_GridElectricity_Frontend[[#This Row],[Data]]</f>
        <v>0</v>
      </c>
      <c r="AC246" s="174" t="str">
        <f>Buildings_GridElectricity_Frontend[[#This Row],[Units]]</f>
        <v>kWh</v>
      </c>
      <c r="AD246" s="218">
        <f>Buildings_GridElectricity_Frontend[[#This Row],[Data]]</f>
        <v>0</v>
      </c>
      <c r="AE246" s="174" t="str">
        <f>Buildings_GridElectricity_Frontend[[#This Row],[Units]]</f>
        <v>kWh</v>
      </c>
      <c r="AF246" s="210" t="str">
        <f>IF(Buildings_GridElectricity_Frontend[[#This Row],[Data]]="","",_xlfn.XLOOKUP(_xlfn.CONCAT(Buildings_GridElectricity_Backend[[#This Row],[Level 1]:[Level 6]]),rng_EFConcat,rng_EF1)*Buildings_GridElectricity_Backend[[#This Row],[Converted data]]/1000)</f>
        <v/>
      </c>
      <c r="AG246" s="210" t="str">
        <f>IF(Buildings_GridElectricity_Frontend[[#This Row],[Data]]="","",_xlfn.XLOOKUP(_xlfn.CONCAT(Buildings_GridElectricity_Backend[[#This Row],[Level 1]:[Level 6]]),rng_EFConcat,rng_EF2)*Buildings_GridElectricity_Backend[[#This Row],[Converted data]]/1000)</f>
        <v/>
      </c>
      <c r="AH246" s="210" t="str">
        <f>IF(Buildings_GridElectricity_Frontend[[#This Row],[Data]]="","",_xlfn.XLOOKUP(_xlfn.CONCAT(Buildings_GridElectricity_Backend[[#This Row],[Level 1]:[Level 6]]),rng_EFConcat,rng_EF3)*Buildings_GridElectricity_Backend[[#This Row],[Converted data]]/1000)</f>
        <v/>
      </c>
      <c r="AI246" s="210" t="str">
        <f>IF(Buildings_GridElectricity_Frontend[[#This Row],[Data]]="","",_xlfn.XLOOKUP(_xlfn.CONCAT(Buildings_GridElectricity_Backend[[#This Row],[Level 1]:[Level 6]]),rng_EFConcat,rng_EF3WTT)*Buildings_GridElectricity_Backend[[#This Row],[Converted data]]/1000)</f>
        <v/>
      </c>
      <c r="AJ246" s="210" t="str">
        <f>IF(Buildings_GridElectricity_Frontend[[#This Row],[Data]]="","",_xlfn.XLOOKUP(_xlfn.CONCAT(Buildings_GridElectricity_Backend[[#This Row],[Level 1]:[Level 6]]),rng_EFConcat,rng_EF3TD)*Buildings_GridElectricity_Backend[[#This Row],[Converted data]]/1000)</f>
        <v/>
      </c>
      <c r="AK246" s="210" t="str">
        <f>IF(Buildings_GridElectricity_Frontend[[#This Row],[Data]]="","",_xlfn.XLOOKUP(_xlfn.CONCAT(Buildings_GridElectricity_Backend[[#This Row],[Level 1]:[Level 6]]),rng_EFConcat,rng_EF3WTTTD)*Buildings_GridElectricity_Backend[[#This Row],[Converted data]]/1000)</f>
        <v/>
      </c>
      <c r="AL246" s="220" t="str">
        <f>IF(Buildings_GridElectricity_Frontend[[#This Row],[Data]]="","",SUM(Buildings_GridElectricity_Backend[[#This Row],[Scope 1 (tCO2e)]:[Scope 3 WTT T&amp;D (tCO2e)]]))</f>
        <v/>
      </c>
      <c r="AM246" s="220" t="str">
        <f>IF(Buildings_GridElectricity_Frontend[[#This Row],[Data]]="","",Buildings_GridElectricity_Backend[[#This Row],[Total (tCO2e)]]*(1-Buildings_GridElectricity_Backend[[#This Row],[RSD]]))</f>
        <v/>
      </c>
      <c r="AN246" s="220" t="str">
        <f>IF(Buildings_GridElectricity_Frontend[[#This Row],[Data]]="","",Buildings_GridElectricity_Backend[[#This Row],[Total (tCO2e)]]*(1+Buildings_GridElectricity_Backend[[#This Row],[RSD]]))</f>
        <v/>
      </c>
      <c r="AO246" s="210" t="str">
        <f>IF(Buildings_GridElectricity_Frontend[[#This Row],[Data]]="","",_xlfn.XLOOKUP(_xlfn.CONCAT(Buildings_GridElectricity_Backend[[#This Row],[Level 1]:[Level 6]]),rng_EFConcat,rng_EFOOS)*Buildings_GridElectricity_Backend[[#This Row],[Converted data]]/1000)</f>
        <v/>
      </c>
      <c r="AP246" s="174">
        <f>Buildings_GridElectricity_Frontend[[#This Row],[Ease of collection]]</f>
        <v>0</v>
      </c>
      <c r="AQ246" s="213">
        <f>Buildings_GridElectricity_Frontend[[#This Row],[Completeness]]</f>
        <v>0</v>
      </c>
      <c r="AR246" s="220">
        <f>Buildings_GridElectricity_Frontend[[#This Row],[Notes]]</f>
        <v>0</v>
      </c>
    </row>
    <row r="247" spans="5:44" x14ac:dyDescent="0.3">
      <c r="E247" s="346"/>
      <c r="F247" s="449"/>
      <c r="G247" s="336"/>
      <c r="H247" s="334"/>
      <c r="I247" s="172" t="s">
        <v>316</v>
      </c>
      <c r="J247" s="337"/>
      <c r="K247" s="336"/>
      <c r="L247" s="336"/>
      <c r="M247" s="337"/>
      <c r="N247" s="242">
        <f t="shared" si="9"/>
        <v>3</v>
      </c>
      <c r="Q247" s="212" t="str">
        <f t="shared" si="8"/>
        <v/>
      </c>
      <c r="R247" s="174" t="s">
        <v>265</v>
      </c>
      <c r="S247" s="174" t="s">
        <v>273</v>
      </c>
      <c r="T247" s="174" t="str">
        <f>_xlfn.XLOOKUP(Buildings_GridElectricity_Backend[[#This Row],[Info 1]],Buildings_SiteInfo[Site name],Buildings_SiteInfo[Site type], "")</f>
        <v/>
      </c>
      <c r="U247" s="174" t="s">
        <v>281</v>
      </c>
      <c r="V247" s="174" t="str" cm="1">
        <f t="array" aca="1" ref="V247" ca="1">_xlfn.XLOOKUP(Buildings_GridElectricity_Backend[[#This Row],[Level 4]],rng_Level4Long,rng_Level5Long)</f>
        <v>Electricity</v>
      </c>
      <c r="W247" s="174" t="str" cm="1">
        <f t="array" aca="1" ref="W247" ca="1">_xlfn.XLOOKUP(Buildings_GridElectricity_Backend[[#This Row],[Level 4]],rng_Level4Long,rng_Level6Long)</f>
        <v>NaN</v>
      </c>
      <c r="X247" s="174">
        <f>Buildings_GridElectricity_Frontend[[#This Row],[Site Name]]</f>
        <v>0</v>
      </c>
      <c r="Y247" s="174">
        <f>Buildings_GridElectricity_Frontend[[#This Row],[Contracting]]</f>
        <v>0</v>
      </c>
      <c r="Z247" s="174">
        <f>Buildings_GridElectricity_Frontend[[#This Row],[Methodology]]</f>
        <v>0</v>
      </c>
      <c r="AA247" s="229" t="str" cm="1">
        <f t="array" ref="AA247">IF(Buildings_GridElectricity_Frontend[[#This Row],[Data]]="","",INDEX(_xlfn.SWITCH(Buildings_GridElectricity_Backend[[#This Row],[Methodology]],"Tier 1",rng_RSD1,"Tier 2",rng_RSD2,"Tier 3",rng_RSD3),MATCH(_xlfn.CONCAT(Buildings_GridElectricity_Backend[[#This Row],[Level 1]:[Level 6]]),rng_LevelsConcat,0)))</f>
        <v/>
      </c>
      <c r="AB247" s="220">
        <f>Buildings_GridElectricity_Frontend[[#This Row],[Data]]</f>
        <v>0</v>
      </c>
      <c r="AC247" s="174" t="str">
        <f>Buildings_GridElectricity_Frontend[[#This Row],[Units]]</f>
        <v>kWh</v>
      </c>
      <c r="AD247" s="218">
        <f>Buildings_GridElectricity_Frontend[[#This Row],[Data]]</f>
        <v>0</v>
      </c>
      <c r="AE247" s="174" t="str">
        <f>Buildings_GridElectricity_Frontend[[#This Row],[Units]]</f>
        <v>kWh</v>
      </c>
      <c r="AF247" s="210" t="str">
        <f>IF(Buildings_GridElectricity_Frontend[[#This Row],[Data]]="","",_xlfn.XLOOKUP(_xlfn.CONCAT(Buildings_GridElectricity_Backend[[#This Row],[Level 1]:[Level 6]]),rng_EFConcat,rng_EF1)*Buildings_GridElectricity_Backend[[#This Row],[Converted data]]/1000)</f>
        <v/>
      </c>
      <c r="AG247" s="210" t="str">
        <f>IF(Buildings_GridElectricity_Frontend[[#This Row],[Data]]="","",_xlfn.XLOOKUP(_xlfn.CONCAT(Buildings_GridElectricity_Backend[[#This Row],[Level 1]:[Level 6]]),rng_EFConcat,rng_EF2)*Buildings_GridElectricity_Backend[[#This Row],[Converted data]]/1000)</f>
        <v/>
      </c>
      <c r="AH247" s="210" t="str">
        <f>IF(Buildings_GridElectricity_Frontend[[#This Row],[Data]]="","",_xlfn.XLOOKUP(_xlfn.CONCAT(Buildings_GridElectricity_Backend[[#This Row],[Level 1]:[Level 6]]),rng_EFConcat,rng_EF3)*Buildings_GridElectricity_Backend[[#This Row],[Converted data]]/1000)</f>
        <v/>
      </c>
      <c r="AI247" s="210" t="str">
        <f>IF(Buildings_GridElectricity_Frontend[[#This Row],[Data]]="","",_xlfn.XLOOKUP(_xlfn.CONCAT(Buildings_GridElectricity_Backend[[#This Row],[Level 1]:[Level 6]]),rng_EFConcat,rng_EF3WTT)*Buildings_GridElectricity_Backend[[#This Row],[Converted data]]/1000)</f>
        <v/>
      </c>
      <c r="AJ247" s="210" t="str">
        <f>IF(Buildings_GridElectricity_Frontend[[#This Row],[Data]]="","",_xlfn.XLOOKUP(_xlfn.CONCAT(Buildings_GridElectricity_Backend[[#This Row],[Level 1]:[Level 6]]),rng_EFConcat,rng_EF3TD)*Buildings_GridElectricity_Backend[[#This Row],[Converted data]]/1000)</f>
        <v/>
      </c>
      <c r="AK247" s="210" t="str">
        <f>IF(Buildings_GridElectricity_Frontend[[#This Row],[Data]]="","",_xlfn.XLOOKUP(_xlfn.CONCAT(Buildings_GridElectricity_Backend[[#This Row],[Level 1]:[Level 6]]),rng_EFConcat,rng_EF3WTTTD)*Buildings_GridElectricity_Backend[[#This Row],[Converted data]]/1000)</f>
        <v/>
      </c>
      <c r="AL247" s="220" t="str">
        <f>IF(Buildings_GridElectricity_Frontend[[#This Row],[Data]]="","",SUM(Buildings_GridElectricity_Backend[[#This Row],[Scope 1 (tCO2e)]:[Scope 3 WTT T&amp;D (tCO2e)]]))</f>
        <v/>
      </c>
      <c r="AM247" s="220" t="str">
        <f>IF(Buildings_GridElectricity_Frontend[[#This Row],[Data]]="","",Buildings_GridElectricity_Backend[[#This Row],[Total (tCO2e)]]*(1-Buildings_GridElectricity_Backend[[#This Row],[RSD]]))</f>
        <v/>
      </c>
      <c r="AN247" s="220" t="str">
        <f>IF(Buildings_GridElectricity_Frontend[[#This Row],[Data]]="","",Buildings_GridElectricity_Backend[[#This Row],[Total (tCO2e)]]*(1+Buildings_GridElectricity_Backend[[#This Row],[RSD]]))</f>
        <v/>
      </c>
      <c r="AO247" s="210" t="str">
        <f>IF(Buildings_GridElectricity_Frontend[[#This Row],[Data]]="","",_xlfn.XLOOKUP(_xlfn.CONCAT(Buildings_GridElectricity_Backend[[#This Row],[Level 1]:[Level 6]]),rng_EFConcat,rng_EFOOS)*Buildings_GridElectricity_Backend[[#This Row],[Converted data]]/1000)</f>
        <v/>
      </c>
      <c r="AP247" s="174">
        <f>Buildings_GridElectricity_Frontend[[#This Row],[Ease of collection]]</f>
        <v>0</v>
      </c>
      <c r="AQ247" s="213">
        <f>Buildings_GridElectricity_Frontend[[#This Row],[Completeness]]</f>
        <v>0</v>
      </c>
      <c r="AR247" s="220">
        <f>Buildings_GridElectricity_Frontend[[#This Row],[Notes]]</f>
        <v>0</v>
      </c>
    </row>
    <row r="248" spans="5:44" x14ac:dyDescent="0.3">
      <c r="E248" s="346"/>
      <c r="F248" s="449"/>
      <c r="G248" s="336"/>
      <c r="H248" s="334"/>
      <c r="I248" s="172" t="s">
        <v>316</v>
      </c>
      <c r="J248" s="337"/>
      <c r="K248" s="336"/>
      <c r="L248" s="336"/>
      <c r="M248" s="337"/>
      <c r="N248" s="242">
        <f t="shared" si="9"/>
        <v>3</v>
      </c>
      <c r="Q248" s="212" t="str">
        <f t="shared" si="8"/>
        <v/>
      </c>
      <c r="R248" s="174" t="s">
        <v>265</v>
      </c>
      <c r="S248" s="174" t="s">
        <v>273</v>
      </c>
      <c r="T248" s="174" t="str">
        <f>_xlfn.XLOOKUP(Buildings_GridElectricity_Backend[[#This Row],[Info 1]],Buildings_SiteInfo[Site name],Buildings_SiteInfo[Site type], "")</f>
        <v/>
      </c>
      <c r="U248" s="174" t="s">
        <v>281</v>
      </c>
      <c r="V248" s="174" t="str" cm="1">
        <f t="array" aca="1" ref="V248" ca="1">_xlfn.XLOOKUP(Buildings_GridElectricity_Backend[[#This Row],[Level 4]],rng_Level4Long,rng_Level5Long)</f>
        <v>Electricity</v>
      </c>
      <c r="W248" s="174" t="str" cm="1">
        <f t="array" aca="1" ref="W248" ca="1">_xlfn.XLOOKUP(Buildings_GridElectricity_Backend[[#This Row],[Level 4]],rng_Level4Long,rng_Level6Long)</f>
        <v>NaN</v>
      </c>
      <c r="X248" s="174">
        <f>Buildings_GridElectricity_Frontend[[#This Row],[Site Name]]</f>
        <v>0</v>
      </c>
      <c r="Y248" s="174">
        <f>Buildings_GridElectricity_Frontend[[#This Row],[Contracting]]</f>
        <v>0</v>
      </c>
      <c r="Z248" s="174">
        <f>Buildings_GridElectricity_Frontend[[#This Row],[Methodology]]</f>
        <v>0</v>
      </c>
      <c r="AA248" s="229" t="str" cm="1">
        <f t="array" ref="AA248">IF(Buildings_GridElectricity_Frontend[[#This Row],[Data]]="","",INDEX(_xlfn.SWITCH(Buildings_GridElectricity_Backend[[#This Row],[Methodology]],"Tier 1",rng_RSD1,"Tier 2",rng_RSD2,"Tier 3",rng_RSD3),MATCH(_xlfn.CONCAT(Buildings_GridElectricity_Backend[[#This Row],[Level 1]:[Level 6]]),rng_LevelsConcat,0)))</f>
        <v/>
      </c>
      <c r="AB248" s="220">
        <f>Buildings_GridElectricity_Frontend[[#This Row],[Data]]</f>
        <v>0</v>
      </c>
      <c r="AC248" s="174" t="str">
        <f>Buildings_GridElectricity_Frontend[[#This Row],[Units]]</f>
        <v>kWh</v>
      </c>
      <c r="AD248" s="218">
        <f>Buildings_GridElectricity_Frontend[[#This Row],[Data]]</f>
        <v>0</v>
      </c>
      <c r="AE248" s="174" t="str">
        <f>Buildings_GridElectricity_Frontend[[#This Row],[Units]]</f>
        <v>kWh</v>
      </c>
      <c r="AF248" s="210" t="str">
        <f>IF(Buildings_GridElectricity_Frontend[[#This Row],[Data]]="","",_xlfn.XLOOKUP(_xlfn.CONCAT(Buildings_GridElectricity_Backend[[#This Row],[Level 1]:[Level 6]]),rng_EFConcat,rng_EF1)*Buildings_GridElectricity_Backend[[#This Row],[Converted data]]/1000)</f>
        <v/>
      </c>
      <c r="AG248" s="210" t="str">
        <f>IF(Buildings_GridElectricity_Frontend[[#This Row],[Data]]="","",_xlfn.XLOOKUP(_xlfn.CONCAT(Buildings_GridElectricity_Backend[[#This Row],[Level 1]:[Level 6]]),rng_EFConcat,rng_EF2)*Buildings_GridElectricity_Backend[[#This Row],[Converted data]]/1000)</f>
        <v/>
      </c>
      <c r="AH248" s="210" t="str">
        <f>IF(Buildings_GridElectricity_Frontend[[#This Row],[Data]]="","",_xlfn.XLOOKUP(_xlfn.CONCAT(Buildings_GridElectricity_Backend[[#This Row],[Level 1]:[Level 6]]),rng_EFConcat,rng_EF3)*Buildings_GridElectricity_Backend[[#This Row],[Converted data]]/1000)</f>
        <v/>
      </c>
      <c r="AI248" s="210" t="str">
        <f>IF(Buildings_GridElectricity_Frontend[[#This Row],[Data]]="","",_xlfn.XLOOKUP(_xlfn.CONCAT(Buildings_GridElectricity_Backend[[#This Row],[Level 1]:[Level 6]]),rng_EFConcat,rng_EF3WTT)*Buildings_GridElectricity_Backend[[#This Row],[Converted data]]/1000)</f>
        <v/>
      </c>
      <c r="AJ248" s="210" t="str">
        <f>IF(Buildings_GridElectricity_Frontend[[#This Row],[Data]]="","",_xlfn.XLOOKUP(_xlfn.CONCAT(Buildings_GridElectricity_Backend[[#This Row],[Level 1]:[Level 6]]),rng_EFConcat,rng_EF3TD)*Buildings_GridElectricity_Backend[[#This Row],[Converted data]]/1000)</f>
        <v/>
      </c>
      <c r="AK248" s="210" t="str">
        <f>IF(Buildings_GridElectricity_Frontend[[#This Row],[Data]]="","",_xlfn.XLOOKUP(_xlfn.CONCAT(Buildings_GridElectricity_Backend[[#This Row],[Level 1]:[Level 6]]),rng_EFConcat,rng_EF3WTTTD)*Buildings_GridElectricity_Backend[[#This Row],[Converted data]]/1000)</f>
        <v/>
      </c>
      <c r="AL248" s="220" t="str">
        <f>IF(Buildings_GridElectricity_Frontend[[#This Row],[Data]]="","",SUM(Buildings_GridElectricity_Backend[[#This Row],[Scope 1 (tCO2e)]:[Scope 3 WTT T&amp;D (tCO2e)]]))</f>
        <v/>
      </c>
      <c r="AM248" s="220" t="str">
        <f>IF(Buildings_GridElectricity_Frontend[[#This Row],[Data]]="","",Buildings_GridElectricity_Backend[[#This Row],[Total (tCO2e)]]*(1-Buildings_GridElectricity_Backend[[#This Row],[RSD]]))</f>
        <v/>
      </c>
      <c r="AN248" s="220" t="str">
        <f>IF(Buildings_GridElectricity_Frontend[[#This Row],[Data]]="","",Buildings_GridElectricity_Backend[[#This Row],[Total (tCO2e)]]*(1+Buildings_GridElectricity_Backend[[#This Row],[RSD]]))</f>
        <v/>
      </c>
      <c r="AO248" s="210" t="str">
        <f>IF(Buildings_GridElectricity_Frontend[[#This Row],[Data]]="","",_xlfn.XLOOKUP(_xlfn.CONCAT(Buildings_GridElectricity_Backend[[#This Row],[Level 1]:[Level 6]]),rng_EFConcat,rng_EFOOS)*Buildings_GridElectricity_Backend[[#This Row],[Converted data]]/1000)</f>
        <v/>
      </c>
      <c r="AP248" s="174">
        <f>Buildings_GridElectricity_Frontend[[#This Row],[Ease of collection]]</f>
        <v>0</v>
      </c>
      <c r="AQ248" s="213">
        <f>Buildings_GridElectricity_Frontend[[#This Row],[Completeness]]</f>
        <v>0</v>
      </c>
      <c r="AR248" s="220">
        <f>Buildings_GridElectricity_Frontend[[#This Row],[Notes]]</f>
        <v>0</v>
      </c>
    </row>
    <row r="249" spans="5:44" x14ac:dyDescent="0.3">
      <c r="E249" s="346"/>
      <c r="F249" s="449"/>
      <c r="G249" s="336"/>
      <c r="H249" s="334"/>
      <c r="I249" s="172" t="s">
        <v>316</v>
      </c>
      <c r="J249" s="337"/>
      <c r="K249" s="336"/>
      <c r="L249" s="336"/>
      <c r="M249" s="337"/>
      <c r="N249" s="242">
        <f t="shared" si="9"/>
        <v>3</v>
      </c>
      <c r="Q249" s="212" t="str">
        <f t="shared" si="8"/>
        <v/>
      </c>
      <c r="R249" s="174" t="s">
        <v>265</v>
      </c>
      <c r="S249" s="174" t="s">
        <v>273</v>
      </c>
      <c r="T249" s="174" t="str">
        <f>_xlfn.XLOOKUP(Buildings_GridElectricity_Backend[[#This Row],[Info 1]],Buildings_SiteInfo[Site name],Buildings_SiteInfo[Site type], "")</f>
        <v/>
      </c>
      <c r="U249" s="174" t="s">
        <v>281</v>
      </c>
      <c r="V249" s="174" t="str" cm="1">
        <f t="array" aca="1" ref="V249" ca="1">_xlfn.XLOOKUP(Buildings_GridElectricity_Backend[[#This Row],[Level 4]],rng_Level4Long,rng_Level5Long)</f>
        <v>Electricity</v>
      </c>
      <c r="W249" s="174" t="str" cm="1">
        <f t="array" aca="1" ref="W249" ca="1">_xlfn.XLOOKUP(Buildings_GridElectricity_Backend[[#This Row],[Level 4]],rng_Level4Long,rng_Level6Long)</f>
        <v>NaN</v>
      </c>
      <c r="X249" s="174">
        <f>Buildings_GridElectricity_Frontend[[#This Row],[Site Name]]</f>
        <v>0</v>
      </c>
      <c r="Y249" s="174">
        <f>Buildings_GridElectricity_Frontend[[#This Row],[Contracting]]</f>
        <v>0</v>
      </c>
      <c r="Z249" s="174">
        <f>Buildings_GridElectricity_Frontend[[#This Row],[Methodology]]</f>
        <v>0</v>
      </c>
      <c r="AA249" s="229" t="str" cm="1">
        <f t="array" ref="AA249">IF(Buildings_GridElectricity_Frontend[[#This Row],[Data]]="","",INDEX(_xlfn.SWITCH(Buildings_GridElectricity_Backend[[#This Row],[Methodology]],"Tier 1",rng_RSD1,"Tier 2",rng_RSD2,"Tier 3",rng_RSD3),MATCH(_xlfn.CONCAT(Buildings_GridElectricity_Backend[[#This Row],[Level 1]:[Level 6]]),rng_LevelsConcat,0)))</f>
        <v/>
      </c>
      <c r="AB249" s="220">
        <f>Buildings_GridElectricity_Frontend[[#This Row],[Data]]</f>
        <v>0</v>
      </c>
      <c r="AC249" s="174" t="str">
        <f>Buildings_GridElectricity_Frontend[[#This Row],[Units]]</f>
        <v>kWh</v>
      </c>
      <c r="AD249" s="218">
        <f>Buildings_GridElectricity_Frontend[[#This Row],[Data]]</f>
        <v>0</v>
      </c>
      <c r="AE249" s="174" t="str">
        <f>Buildings_GridElectricity_Frontend[[#This Row],[Units]]</f>
        <v>kWh</v>
      </c>
      <c r="AF249" s="210" t="str">
        <f>IF(Buildings_GridElectricity_Frontend[[#This Row],[Data]]="","",_xlfn.XLOOKUP(_xlfn.CONCAT(Buildings_GridElectricity_Backend[[#This Row],[Level 1]:[Level 6]]),rng_EFConcat,rng_EF1)*Buildings_GridElectricity_Backend[[#This Row],[Converted data]]/1000)</f>
        <v/>
      </c>
      <c r="AG249" s="210" t="str">
        <f>IF(Buildings_GridElectricity_Frontend[[#This Row],[Data]]="","",_xlfn.XLOOKUP(_xlfn.CONCAT(Buildings_GridElectricity_Backend[[#This Row],[Level 1]:[Level 6]]),rng_EFConcat,rng_EF2)*Buildings_GridElectricity_Backend[[#This Row],[Converted data]]/1000)</f>
        <v/>
      </c>
      <c r="AH249" s="210" t="str">
        <f>IF(Buildings_GridElectricity_Frontend[[#This Row],[Data]]="","",_xlfn.XLOOKUP(_xlfn.CONCAT(Buildings_GridElectricity_Backend[[#This Row],[Level 1]:[Level 6]]),rng_EFConcat,rng_EF3)*Buildings_GridElectricity_Backend[[#This Row],[Converted data]]/1000)</f>
        <v/>
      </c>
      <c r="AI249" s="210" t="str">
        <f>IF(Buildings_GridElectricity_Frontend[[#This Row],[Data]]="","",_xlfn.XLOOKUP(_xlfn.CONCAT(Buildings_GridElectricity_Backend[[#This Row],[Level 1]:[Level 6]]),rng_EFConcat,rng_EF3WTT)*Buildings_GridElectricity_Backend[[#This Row],[Converted data]]/1000)</f>
        <v/>
      </c>
      <c r="AJ249" s="210" t="str">
        <f>IF(Buildings_GridElectricity_Frontend[[#This Row],[Data]]="","",_xlfn.XLOOKUP(_xlfn.CONCAT(Buildings_GridElectricity_Backend[[#This Row],[Level 1]:[Level 6]]),rng_EFConcat,rng_EF3TD)*Buildings_GridElectricity_Backend[[#This Row],[Converted data]]/1000)</f>
        <v/>
      </c>
      <c r="AK249" s="210" t="str">
        <f>IF(Buildings_GridElectricity_Frontend[[#This Row],[Data]]="","",_xlfn.XLOOKUP(_xlfn.CONCAT(Buildings_GridElectricity_Backend[[#This Row],[Level 1]:[Level 6]]),rng_EFConcat,rng_EF3WTTTD)*Buildings_GridElectricity_Backend[[#This Row],[Converted data]]/1000)</f>
        <v/>
      </c>
      <c r="AL249" s="220" t="str">
        <f>IF(Buildings_GridElectricity_Frontend[[#This Row],[Data]]="","",SUM(Buildings_GridElectricity_Backend[[#This Row],[Scope 1 (tCO2e)]:[Scope 3 WTT T&amp;D (tCO2e)]]))</f>
        <v/>
      </c>
      <c r="AM249" s="220" t="str">
        <f>IF(Buildings_GridElectricity_Frontend[[#This Row],[Data]]="","",Buildings_GridElectricity_Backend[[#This Row],[Total (tCO2e)]]*(1-Buildings_GridElectricity_Backend[[#This Row],[RSD]]))</f>
        <v/>
      </c>
      <c r="AN249" s="220" t="str">
        <f>IF(Buildings_GridElectricity_Frontend[[#This Row],[Data]]="","",Buildings_GridElectricity_Backend[[#This Row],[Total (tCO2e)]]*(1+Buildings_GridElectricity_Backend[[#This Row],[RSD]]))</f>
        <v/>
      </c>
      <c r="AO249" s="210" t="str">
        <f>IF(Buildings_GridElectricity_Frontend[[#This Row],[Data]]="","",_xlfn.XLOOKUP(_xlfn.CONCAT(Buildings_GridElectricity_Backend[[#This Row],[Level 1]:[Level 6]]),rng_EFConcat,rng_EFOOS)*Buildings_GridElectricity_Backend[[#This Row],[Converted data]]/1000)</f>
        <v/>
      </c>
      <c r="AP249" s="174">
        <f>Buildings_GridElectricity_Frontend[[#This Row],[Ease of collection]]</f>
        <v>0</v>
      </c>
      <c r="AQ249" s="213">
        <f>Buildings_GridElectricity_Frontend[[#This Row],[Completeness]]</f>
        <v>0</v>
      </c>
      <c r="AR249" s="220">
        <f>Buildings_GridElectricity_Frontend[[#This Row],[Notes]]</f>
        <v>0</v>
      </c>
    </row>
    <row r="250" spans="5:44" x14ac:dyDescent="0.3">
      <c r="E250" s="346"/>
      <c r="F250" s="449"/>
      <c r="G250" s="336"/>
      <c r="H250" s="334"/>
      <c r="I250" s="172" t="s">
        <v>316</v>
      </c>
      <c r="J250" s="337"/>
      <c r="K250" s="336"/>
      <c r="L250" s="336"/>
      <c r="M250" s="337"/>
      <c r="N250" s="242">
        <f t="shared" si="9"/>
        <v>3</v>
      </c>
      <c r="Q250" s="212" t="str">
        <f t="shared" si="8"/>
        <v/>
      </c>
      <c r="R250" s="174" t="s">
        <v>265</v>
      </c>
      <c r="S250" s="174" t="s">
        <v>273</v>
      </c>
      <c r="T250" s="174" t="str">
        <f>_xlfn.XLOOKUP(Buildings_GridElectricity_Backend[[#This Row],[Info 1]],Buildings_SiteInfo[Site name],Buildings_SiteInfo[Site type], "")</f>
        <v/>
      </c>
      <c r="U250" s="174" t="s">
        <v>281</v>
      </c>
      <c r="V250" s="174" t="str" cm="1">
        <f t="array" aca="1" ref="V250" ca="1">_xlfn.XLOOKUP(Buildings_GridElectricity_Backend[[#This Row],[Level 4]],rng_Level4Long,rng_Level5Long)</f>
        <v>Electricity</v>
      </c>
      <c r="W250" s="174" t="str" cm="1">
        <f t="array" aca="1" ref="W250" ca="1">_xlfn.XLOOKUP(Buildings_GridElectricity_Backend[[#This Row],[Level 4]],rng_Level4Long,rng_Level6Long)</f>
        <v>NaN</v>
      </c>
      <c r="X250" s="174">
        <f>Buildings_GridElectricity_Frontend[[#This Row],[Site Name]]</f>
        <v>0</v>
      </c>
      <c r="Y250" s="174">
        <f>Buildings_GridElectricity_Frontend[[#This Row],[Contracting]]</f>
        <v>0</v>
      </c>
      <c r="Z250" s="174">
        <f>Buildings_GridElectricity_Frontend[[#This Row],[Methodology]]</f>
        <v>0</v>
      </c>
      <c r="AA250" s="229" t="str" cm="1">
        <f t="array" ref="AA250">IF(Buildings_GridElectricity_Frontend[[#This Row],[Data]]="","",INDEX(_xlfn.SWITCH(Buildings_GridElectricity_Backend[[#This Row],[Methodology]],"Tier 1",rng_RSD1,"Tier 2",rng_RSD2,"Tier 3",rng_RSD3),MATCH(_xlfn.CONCAT(Buildings_GridElectricity_Backend[[#This Row],[Level 1]:[Level 6]]),rng_LevelsConcat,0)))</f>
        <v/>
      </c>
      <c r="AB250" s="220">
        <f>Buildings_GridElectricity_Frontend[[#This Row],[Data]]</f>
        <v>0</v>
      </c>
      <c r="AC250" s="174" t="str">
        <f>Buildings_GridElectricity_Frontend[[#This Row],[Units]]</f>
        <v>kWh</v>
      </c>
      <c r="AD250" s="218">
        <f>Buildings_GridElectricity_Frontend[[#This Row],[Data]]</f>
        <v>0</v>
      </c>
      <c r="AE250" s="174" t="str">
        <f>Buildings_GridElectricity_Frontend[[#This Row],[Units]]</f>
        <v>kWh</v>
      </c>
      <c r="AF250" s="210" t="str">
        <f>IF(Buildings_GridElectricity_Frontend[[#This Row],[Data]]="","",_xlfn.XLOOKUP(_xlfn.CONCAT(Buildings_GridElectricity_Backend[[#This Row],[Level 1]:[Level 6]]),rng_EFConcat,rng_EF1)*Buildings_GridElectricity_Backend[[#This Row],[Converted data]]/1000)</f>
        <v/>
      </c>
      <c r="AG250" s="210" t="str">
        <f>IF(Buildings_GridElectricity_Frontend[[#This Row],[Data]]="","",_xlfn.XLOOKUP(_xlfn.CONCAT(Buildings_GridElectricity_Backend[[#This Row],[Level 1]:[Level 6]]),rng_EFConcat,rng_EF2)*Buildings_GridElectricity_Backend[[#This Row],[Converted data]]/1000)</f>
        <v/>
      </c>
      <c r="AH250" s="210" t="str">
        <f>IF(Buildings_GridElectricity_Frontend[[#This Row],[Data]]="","",_xlfn.XLOOKUP(_xlfn.CONCAT(Buildings_GridElectricity_Backend[[#This Row],[Level 1]:[Level 6]]),rng_EFConcat,rng_EF3)*Buildings_GridElectricity_Backend[[#This Row],[Converted data]]/1000)</f>
        <v/>
      </c>
      <c r="AI250" s="210" t="str">
        <f>IF(Buildings_GridElectricity_Frontend[[#This Row],[Data]]="","",_xlfn.XLOOKUP(_xlfn.CONCAT(Buildings_GridElectricity_Backend[[#This Row],[Level 1]:[Level 6]]),rng_EFConcat,rng_EF3WTT)*Buildings_GridElectricity_Backend[[#This Row],[Converted data]]/1000)</f>
        <v/>
      </c>
      <c r="AJ250" s="210" t="str">
        <f>IF(Buildings_GridElectricity_Frontend[[#This Row],[Data]]="","",_xlfn.XLOOKUP(_xlfn.CONCAT(Buildings_GridElectricity_Backend[[#This Row],[Level 1]:[Level 6]]),rng_EFConcat,rng_EF3TD)*Buildings_GridElectricity_Backend[[#This Row],[Converted data]]/1000)</f>
        <v/>
      </c>
      <c r="AK250" s="210" t="str">
        <f>IF(Buildings_GridElectricity_Frontend[[#This Row],[Data]]="","",_xlfn.XLOOKUP(_xlfn.CONCAT(Buildings_GridElectricity_Backend[[#This Row],[Level 1]:[Level 6]]),rng_EFConcat,rng_EF3WTTTD)*Buildings_GridElectricity_Backend[[#This Row],[Converted data]]/1000)</f>
        <v/>
      </c>
      <c r="AL250" s="220" t="str">
        <f>IF(Buildings_GridElectricity_Frontend[[#This Row],[Data]]="","",SUM(Buildings_GridElectricity_Backend[[#This Row],[Scope 1 (tCO2e)]:[Scope 3 WTT T&amp;D (tCO2e)]]))</f>
        <v/>
      </c>
      <c r="AM250" s="220" t="str">
        <f>IF(Buildings_GridElectricity_Frontend[[#This Row],[Data]]="","",Buildings_GridElectricity_Backend[[#This Row],[Total (tCO2e)]]*(1-Buildings_GridElectricity_Backend[[#This Row],[RSD]]))</f>
        <v/>
      </c>
      <c r="AN250" s="220" t="str">
        <f>IF(Buildings_GridElectricity_Frontend[[#This Row],[Data]]="","",Buildings_GridElectricity_Backend[[#This Row],[Total (tCO2e)]]*(1+Buildings_GridElectricity_Backend[[#This Row],[RSD]]))</f>
        <v/>
      </c>
      <c r="AO250" s="210" t="str">
        <f>IF(Buildings_GridElectricity_Frontend[[#This Row],[Data]]="","",_xlfn.XLOOKUP(_xlfn.CONCAT(Buildings_GridElectricity_Backend[[#This Row],[Level 1]:[Level 6]]),rng_EFConcat,rng_EFOOS)*Buildings_GridElectricity_Backend[[#This Row],[Converted data]]/1000)</f>
        <v/>
      </c>
      <c r="AP250" s="174">
        <f>Buildings_GridElectricity_Frontend[[#This Row],[Ease of collection]]</f>
        <v>0</v>
      </c>
      <c r="AQ250" s="213">
        <f>Buildings_GridElectricity_Frontend[[#This Row],[Completeness]]</f>
        <v>0</v>
      </c>
      <c r="AR250" s="220">
        <f>Buildings_GridElectricity_Frontend[[#This Row],[Notes]]</f>
        <v>0</v>
      </c>
    </row>
    <row r="251" spans="5:44" x14ac:dyDescent="0.3">
      <c r="E251" s="346"/>
      <c r="F251" s="449"/>
      <c r="G251" s="336"/>
      <c r="H251" s="334"/>
      <c r="I251" s="172" t="s">
        <v>316</v>
      </c>
      <c r="J251" s="337"/>
      <c r="K251" s="336"/>
      <c r="L251" s="336"/>
      <c r="M251" s="337"/>
      <c r="N251" s="242">
        <f t="shared" si="9"/>
        <v>3</v>
      </c>
      <c r="Q251" s="212" t="str">
        <f t="shared" si="8"/>
        <v/>
      </c>
      <c r="R251" s="174" t="s">
        <v>265</v>
      </c>
      <c r="S251" s="174" t="s">
        <v>273</v>
      </c>
      <c r="T251" s="174" t="str">
        <f>_xlfn.XLOOKUP(Buildings_GridElectricity_Backend[[#This Row],[Info 1]],Buildings_SiteInfo[Site name],Buildings_SiteInfo[Site type], "")</f>
        <v/>
      </c>
      <c r="U251" s="174" t="s">
        <v>281</v>
      </c>
      <c r="V251" s="174" t="str" cm="1">
        <f t="array" aca="1" ref="V251" ca="1">_xlfn.XLOOKUP(Buildings_GridElectricity_Backend[[#This Row],[Level 4]],rng_Level4Long,rng_Level5Long)</f>
        <v>Electricity</v>
      </c>
      <c r="W251" s="174" t="str" cm="1">
        <f t="array" aca="1" ref="W251" ca="1">_xlfn.XLOOKUP(Buildings_GridElectricity_Backend[[#This Row],[Level 4]],rng_Level4Long,rng_Level6Long)</f>
        <v>NaN</v>
      </c>
      <c r="X251" s="174">
        <f>Buildings_GridElectricity_Frontend[[#This Row],[Site Name]]</f>
        <v>0</v>
      </c>
      <c r="Y251" s="174">
        <f>Buildings_GridElectricity_Frontend[[#This Row],[Contracting]]</f>
        <v>0</v>
      </c>
      <c r="Z251" s="174">
        <f>Buildings_GridElectricity_Frontend[[#This Row],[Methodology]]</f>
        <v>0</v>
      </c>
      <c r="AA251" s="229" t="str" cm="1">
        <f t="array" ref="AA251">IF(Buildings_GridElectricity_Frontend[[#This Row],[Data]]="","",INDEX(_xlfn.SWITCH(Buildings_GridElectricity_Backend[[#This Row],[Methodology]],"Tier 1",rng_RSD1,"Tier 2",rng_RSD2,"Tier 3",rng_RSD3),MATCH(_xlfn.CONCAT(Buildings_GridElectricity_Backend[[#This Row],[Level 1]:[Level 6]]),rng_LevelsConcat,0)))</f>
        <v/>
      </c>
      <c r="AB251" s="220">
        <f>Buildings_GridElectricity_Frontend[[#This Row],[Data]]</f>
        <v>0</v>
      </c>
      <c r="AC251" s="174" t="str">
        <f>Buildings_GridElectricity_Frontend[[#This Row],[Units]]</f>
        <v>kWh</v>
      </c>
      <c r="AD251" s="218">
        <f>Buildings_GridElectricity_Frontend[[#This Row],[Data]]</f>
        <v>0</v>
      </c>
      <c r="AE251" s="174" t="str">
        <f>Buildings_GridElectricity_Frontend[[#This Row],[Units]]</f>
        <v>kWh</v>
      </c>
      <c r="AF251" s="210" t="str">
        <f>IF(Buildings_GridElectricity_Frontend[[#This Row],[Data]]="","",_xlfn.XLOOKUP(_xlfn.CONCAT(Buildings_GridElectricity_Backend[[#This Row],[Level 1]:[Level 6]]),rng_EFConcat,rng_EF1)*Buildings_GridElectricity_Backend[[#This Row],[Converted data]]/1000)</f>
        <v/>
      </c>
      <c r="AG251" s="210" t="str">
        <f>IF(Buildings_GridElectricity_Frontend[[#This Row],[Data]]="","",_xlfn.XLOOKUP(_xlfn.CONCAT(Buildings_GridElectricity_Backend[[#This Row],[Level 1]:[Level 6]]),rng_EFConcat,rng_EF2)*Buildings_GridElectricity_Backend[[#This Row],[Converted data]]/1000)</f>
        <v/>
      </c>
      <c r="AH251" s="210" t="str">
        <f>IF(Buildings_GridElectricity_Frontend[[#This Row],[Data]]="","",_xlfn.XLOOKUP(_xlfn.CONCAT(Buildings_GridElectricity_Backend[[#This Row],[Level 1]:[Level 6]]),rng_EFConcat,rng_EF3)*Buildings_GridElectricity_Backend[[#This Row],[Converted data]]/1000)</f>
        <v/>
      </c>
      <c r="AI251" s="210" t="str">
        <f>IF(Buildings_GridElectricity_Frontend[[#This Row],[Data]]="","",_xlfn.XLOOKUP(_xlfn.CONCAT(Buildings_GridElectricity_Backend[[#This Row],[Level 1]:[Level 6]]),rng_EFConcat,rng_EF3WTT)*Buildings_GridElectricity_Backend[[#This Row],[Converted data]]/1000)</f>
        <v/>
      </c>
      <c r="AJ251" s="210" t="str">
        <f>IF(Buildings_GridElectricity_Frontend[[#This Row],[Data]]="","",_xlfn.XLOOKUP(_xlfn.CONCAT(Buildings_GridElectricity_Backend[[#This Row],[Level 1]:[Level 6]]),rng_EFConcat,rng_EF3TD)*Buildings_GridElectricity_Backend[[#This Row],[Converted data]]/1000)</f>
        <v/>
      </c>
      <c r="AK251" s="210" t="str">
        <f>IF(Buildings_GridElectricity_Frontend[[#This Row],[Data]]="","",_xlfn.XLOOKUP(_xlfn.CONCAT(Buildings_GridElectricity_Backend[[#This Row],[Level 1]:[Level 6]]),rng_EFConcat,rng_EF3WTTTD)*Buildings_GridElectricity_Backend[[#This Row],[Converted data]]/1000)</f>
        <v/>
      </c>
      <c r="AL251" s="220" t="str">
        <f>IF(Buildings_GridElectricity_Frontend[[#This Row],[Data]]="","",SUM(Buildings_GridElectricity_Backend[[#This Row],[Scope 1 (tCO2e)]:[Scope 3 WTT T&amp;D (tCO2e)]]))</f>
        <v/>
      </c>
      <c r="AM251" s="220" t="str">
        <f>IF(Buildings_GridElectricity_Frontend[[#This Row],[Data]]="","",Buildings_GridElectricity_Backend[[#This Row],[Total (tCO2e)]]*(1-Buildings_GridElectricity_Backend[[#This Row],[RSD]]))</f>
        <v/>
      </c>
      <c r="AN251" s="220" t="str">
        <f>IF(Buildings_GridElectricity_Frontend[[#This Row],[Data]]="","",Buildings_GridElectricity_Backend[[#This Row],[Total (tCO2e)]]*(1+Buildings_GridElectricity_Backend[[#This Row],[RSD]]))</f>
        <v/>
      </c>
      <c r="AO251" s="210" t="str">
        <f>IF(Buildings_GridElectricity_Frontend[[#This Row],[Data]]="","",_xlfn.XLOOKUP(_xlfn.CONCAT(Buildings_GridElectricity_Backend[[#This Row],[Level 1]:[Level 6]]),rng_EFConcat,rng_EFOOS)*Buildings_GridElectricity_Backend[[#This Row],[Converted data]]/1000)</f>
        <v/>
      </c>
      <c r="AP251" s="174">
        <f>Buildings_GridElectricity_Frontend[[#This Row],[Ease of collection]]</f>
        <v>0</v>
      </c>
      <c r="AQ251" s="213">
        <f>Buildings_GridElectricity_Frontend[[#This Row],[Completeness]]</f>
        <v>0</v>
      </c>
      <c r="AR251" s="220">
        <f>Buildings_GridElectricity_Frontend[[#This Row],[Notes]]</f>
        <v>0</v>
      </c>
    </row>
    <row r="252" spans="5:44" x14ac:dyDescent="0.3">
      <c r="E252" s="346"/>
      <c r="F252" s="449"/>
      <c r="G252" s="336"/>
      <c r="H252" s="334"/>
      <c r="I252" s="172" t="s">
        <v>316</v>
      </c>
      <c r="J252" s="337"/>
      <c r="K252" s="336"/>
      <c r="L252" s="336"/>
      <c r="M252" s="337"/>
      <c r="N252" s="242">
        <f t="shared" si="9"/>
        <v>3</v>
      </c>
      <c r="Q252" s="212" t="str">
        <f t="shared" si="8"/>
        <v/>
      </c>
      <c r="R252" s="174" t="s">
        <v>265</v>
      </c>
      <c r="S252" s="174" t="s">
        <v>273</v>
      </c>
      <c r="T252" s="174" t="str">
        <f>_xlfn.XLOOKUP(Buildings_GridElectricity_Backend[[#This Row],[Info 1]],Buildings_SiteInfo[Site name],Buildings_SiteInfo[Site type], "")</f>
        <v/>
      </c>
      <c r="U252" s="174" t="s">
        <v>281</v>
      </c>
      <c r="V252" s="174" t="str" cm="1">
        <f t="array" aca="1" ref="V252" ca="1">_xlfn.XLOOKUP(Buildings_GridElectricity_Backend[[#This Row],[Level 4]],rng_Level4Long,rng_Level5Long)</f>
        <v>Electricity</v>
      </c>
      <c r="W252" s="174" t="str" cm="1">
        <f t="array" aca="1" ref="W252" ca="1">_xlfn.XLOOKUP(Buildings_GridElectricity_Backend[[#This Row],[Level 4]],rng_Level4Long,rng_Level6Long)</f>
        <v>NaN</v>
      </c>
      <c r="X252" s="174">
        <f>Buildings_GridElectricity_Frontend[[#This Row],[Site Name]]</f>
        <v>0</v>
      </c>
      <c r="Y252" s="174">
        <f>Buildings_GridElectricity_Frontend[[#This Row],[Contracting]]</f>
        <v>0</v>
      </c>
      <c r="Z252" s="174">
        <f>Buildings_GridElectricity_Frontend[[#This Row],[Methodology]]</f>
        <v>0</v>
      </c>
      <c r="AA252" s="229" t="str" cm="1">
        <f t="array" ref="AA252">IF(Buildings_GridElectricity_Frontend[[#This Row],[Data]]="","",INDEX(_xlfn.SWITCH(Buildings_GridElectricity_Backend[[#This Row],[Methodology]],"Tier 1",rng_RSD1,"Tier 2",rng_RSD2,"Tier 3",rng_RSD3),MATCH(_xlfn.CONCAT(Buildings_GridElectricity_Backend[[#This Row],[Level 1]:[Level 6]]),rng_LevelsConcat,0)))</f>
        <v/>
      </c>
      <c r="AB252" s="220">
        <f>Buildings_GridElectricity_Frontend[[#This Row],[Data]]</f>
        <v>0</v>
      </c>
      <c r="AC252" s="174" t="str">
        <f>Buildings_GridElectricity_Frontend[[#This Row],[Units]]</f>
        <v>kWh</v>
      </c>
      <c r="AD252" s="218">
        <f>Buildings_GridElectricity_Frontend[[#This Row],[Data]]</f>
        <v>0</v>
      </c>
      <c r="AE252" s="174" t="str">
        <f>Buildings_GridElectricity_Frontend[[#This Row],[Units]]</f>
        <v>kWh</v>
      </c>
      <c r="AF252" s="210" t="str">
        <f>IF(Buildings_GridElectricity_Frontend[[#This Row],[Data]]="","",_xlfn.XLOOKUP(_xlfn.CONCAT(Buildings_GridElectricity_Backend[[#This Row],[Level 1]:[Level 6]]),rng_EFConcat,rng_EF1)*Buildings_GridElectricity_Backend[[#This Row],[Converted data]]/1000)</f>
        <v/>
      </c>
      <c r="AG252" s="210" t="str">
        <f>IF(Buildings_GridElectricity_Frontend[[#This Row],[Data]]="","",_xlfn.XLOOKUP(_xlfn.CONCAT(Buildings_GridElectricity_Backend[[#This Row],[Level 1]:[Level 6]]),rng_EFConcat,rng_EF2)*Buildings_GridElectricity_Backend[[#This Row],[Converted data]]/1000)</f>
        <v/>
      </c>
      <c r="AH252" s="210" t="str">
        <f>IF(Buildings_GridElectricity_Frontend[[#This Row],[Data]]="","",_xlfn.XLOOKUP(_xlfn.CONCAT(Buildings_GridElectricity_Backend[[#This Row],[Level 1]:[Level 6]]),rng_EFConcat,rng_EF3)*Buildings_GridElectricity_Backend[[#This Row],[Converted data]]/1000)</f>
        <v/>
      </c>
      <c r="AI252" s="210" t="str">
        <f>IF(Buildings_GridElectricity_Frontend[[#This Row],[Data]]="","",_xlfn.XLOOKUP(_xlfn.CONCAT(Buildings_GridElectricity_Backend[[#This Row],[Level 1]:[Level 6]]),rng_EFConcat,rng_EF3WTT)*Buildings_GridElectricity_Backend[[#This Row],[Converted data]]/1000)</f>
        <v/>
      </c>
      <c r="AJ252" s="210" t="str">
        <f>IF(Buildings_GridElectricity_Frontend[[#This Row],[Data]]="","",_xlfn.XLOOKUP(_xlfn.CONCAT(Buildings_GridElectricity_Backend[[#This Row],[Level 1]:[Level 6]]),rng_EFConcat,rng_EF3TD)*Buildings_GridElectricity_Backend[[#This Row],[Converted data]]/1000)</f>
        <v/>
      </c>
      <c r="AK252" s="210" t="str">
        <f>IF(Buildings_GridElectricity_Frontend[[#This Row],[Data]]="","",_xlfn.XLOOKUP(_xlfn.CONCAT(Buildings_GridElectricity_Backend[[#This Row],[Level 1]:[Level 6]]),rng_EFConcat,rng_EF3WTTTD)*Buildings_GridElectricity_Backend[[#This Row],[Converted data]]/1000)</f>
        <v/>
      </c>
      <c r="AL252" s="220" t="str">
        <f>IF(Buildings_GridElectricity_Frontend[[#This Row],[Data]]="","",SUM(Buildings_GridElectricity_Backend[[#This Row],[Scope 1 (tCO2e)]:[Scope 3 WTT T&amp;D (tCO2e)]]))</f>
        <v/>
      </c>
      <c r="AM252" s="220" t="str">
        <f>IF(Buildings_GridElectricity_Frontend[[#This Row],[Data]]="","",Buildings_GridElectricity_Backend[[#This Row],[Total (tCO2e)]]*(1-Buildings_GridElectricity_Backend[[#This Row],[RSD]]))</f>
        <v/>
      </c>
      <c r="AN252" s="220" t="str">
        <f>IF(Buildings_GridElectricity_Frontend[[#This Row],[Data]]="","",Buildings_GridElectricity_Backend[[#This Row],[Total (tCO2e)]]*(1+Buildings_GridElectricity_Backend[[#This Row],[RSD]]))</f>
        <v/>
      </c>
      <c r="AO252" s="210" t="str">
        <f>IF(Buildings_GridElectricity_Frontend[[#This Row],[Data]]="","",_xlfn.XLOOKUP(_xlfn.CONCAT(Buildings_GridElectricity_Backend[[#This Row],[Level 1]:[Level 6]]),rng_EFConcat,rng_EFOOS)*Buildings_GridElectricity_Backend[[#This Row],[Converted data]]/1000)</f>
        <v/>
      </c>
      <c r="AP252" s="174">
        <f>Buildings_GridElectricity_Frontend[[#This Row],[Ease of collection]]</f>
        <v>0</v>
      </c>
      <c r="AQ252" s="213">
        <f>Buildings_GridElectricity_Frontend[[#This Row],[Completeness]]</f>
        <v>0</v>
      </c>
      <c r="AR252" s="220">
        <f>Buildings_GridElectricity_Frontend[[#This Row],[Notes]]</f>
        <v>0</v>
      </c>
    </row>
    <row r="253" spans="5:44" x14ac:dyDescent="0.3">
      <c r="E253" s="346"/>
      <c r="F253" s="449"/>
      <c r="G253" s="336"/>
      <c r="H253" s="334"/>
      <c r="I253" s="172" t="s">
        <v>316</v>
      </c>
      <c r="J253" s="337"/>
      <c r="K253" s="336"/>
      <c r="L253" s="336"/>
      <c r="M253" s="337"/>
      <c r="N253" s="242">
        <f t="shared" si="9"/>
        <v>3</v>
      </c>
      <c r="Q253" s="212" t="str">
        <f t="shared" si="8"/>
        <v/>
      </c>
      <c r="R253" s="174" t="s">
        <v>265</v>
      </c>
      <c r="S253" s="174" t="s">
        <v>273</v>
      </c>
      <c r="T253" s="174" t="str">
        <f>_xlfn.XLOOKUP(Buildings_GridElectricity_Backend[[#This Row],[Info 1]],Buildings_SiteInfo[Site name],Buildings_SiteInfo[Site type], "")</f>
        <v/>
      </c>
      <c r="U253" s="174" t="s">
        <v>281</v>
      </c>
      <c r="V253" s="174" t="str" cm="1">
        <f t="array" aca="1" ref="V253" ca="1">_xlfn.XLOOKUP(Buildings_GridElectricity_Backend[[#This Row],[Level 4]],rng_Level4Long,rng_Level5Long)</f>
        <v>Electricity</v>
      </c>
      <c r="W253" s="174" t="str" cm="1">
        <f t="array" aca="1" ref="W253" ca="1">_xlfn.XLOOKUP(Buildings_GridElectricity_Backend[[#This Row],[Level 4]],rng_Level4Long,rng_Level6Long)</f>
        <v>NaN</v>
      </c>
      <c r="X253" s="174">
        <f>Buildings_GridElectricity_Frontend[[#This Row],[Site Name]]</f>
        <v>0</v>
      </c>
      <c r="Y253" s="174">
        <f>Buildings_GridElectricity_Frontend[[#This Row],[Contracting]]</f>
        <v>0</v>
      </c>
      <c r="Z253" s="174">
        <f>Buildings_GridElectricity_Frontend[[#This Row],[Methodology]]</f>
        <v>0</v>
      </c>
      <c r="AA253" s="229" t="str" cm="1">
        <f t="array" ref="AA253">IF(Buildings_GridElectricity_Frontend[[#This Row],[Data]]="","",INDEX(_xlfn.SWITCH(Buildings_GridElectricity_Backend[[#This Row],[Methodology]],"Tier 1",rng_RSD1,"Tier 2",rng_RSD2,"Tier 3",rng_RSD3),MATCH(_xlfn.CONCAT(Buildings_GridElectricity_Backend[[#This Row],[Level 1]:[Level 6]]),rng_LevelsConcat,0)))</f>
        <v/>
      </c>
      <c r="AB253" s="220">
        <f>Buildings_GridElectricity_Frontend[[#This Row],[Data]]</f>
        <v>0</v>
      </c>
      <c r="AC253" s="174" t="str">
        <f>Buildings_GridElectricity_Frontend[[#This Row],[Units]]</f>
        <v>kWh</v>
      </c>
      <c r="AD253" s="218">
        <f>Buildings_GridElectricity_Frontend[[#This Row],[Data]]</f>
        <v>0</v>
      </c>
      <c r="AE253" s="174" t="str">
        <f>Buildings_GridElectricity_Frontend[[#This Row],[Units]]</f>
        <v>kWh</v>
      </c>
      <c r="AF253" s="210" t="str">
        <f>IF(Buildings_GridElectricity_Frontend[[#This Row],[Data]]="","",_xlfn.XLOOKUP(_xlfn.CONCAT(Buildings_GridElectricity_Backend[[#This Row],[Level 1]:[Level 6]]),rng_EFConcat,rng_EF1)*Buildings_GridElectricity_Backend[[#This Row],[Converted data]]/1000)</f>
        <v/>
      </c>
      <c r="AG253" s="210" t="str">
        <f>IF(Buildings_GridElectricity_Frontend[[#This Row],[Data]]="","",_xlfn.XLOOKUP(_xlfn.CONCAT(Buildings_GridElectricity_Backend[[#This Row],[Level 1]:[Level 6]]),rng_EFConcat,rng_EF2)*Buildings_GridElectricity_Backend[[#This Row],[Converted data]]/1000)</f>
        <v/>
      </c>
      <c r="AH253" s="210" t="str">
        <f>IF(Buildings_GridElectricity_Frontend[[#This Row],[Data]]="","",_xlfn.XLOOKUP(_xlfn.CONCAT(Buildings_GridElectricity_Backend[[#This Row],[Level 1]:[Level 6]]),rng_EFConcat,rng_EF3)*Buildings_GridElectricity_Backend[[#This Row],[Converted data]]/1000)</f>
        <v/>
      </c>
      <c r="AI253" s="210" t="str">
        <f>IF(Buildings_GridElectricity_Frontend[[#This Row],[Data]]="","",_xlfn.XLOOKUP(_xlfn.CONCAT(Buildings_GridElectricity_Backend[[#This Row],[Level 1]:[Level 6]]),rng_EFConcat,rng_EF3WTT)*Buildings_GridElectricity_Backend[[#This Row],[Converted data]]/1000)</f>
        <v/>
      </c>
      <c r="AJ253" s="210" t="str">
        <f>IF(Buildings_GridElectricity_Frontend[[#This Row],[Data]]="","",_xlfn.XLOOKUP(_xlfn.CONCAT(Buildings_GridElectricity_Backend[[#This Row],[Level 1]:[Level 6]]),rng_EFConcat,rng_EF3TD)*Buildings_GridElectricity_Backend[[#This Row],[Converted data]]/1000)</f>
        <v/>
      </c>
      <c r="AK253" s="210" t="str">
        <f>IF(Buildings_GridElectricity_Frontend[[#This Row],[Data]]="","",_xlfn.XLOOKUP(_xlfn.CONCAT(Buildings_GridElectricity_Backend[[#This Row],[Level 1]:[Level 6]]),rng_EFConcat,rng_EF3WTTTD)*Buildings_GridElectricity_Backend[[#This Row],[Converted data]]/1000)</f>
        <v/>
      </c>
      <c r="AL253" s="220" t="str">
        <f>IF(Buildings_GridElectricity_Frontend[[#This Row],[Data]]="","",SUM(Buildings_GridElectricity_Backend[[#This Row],[Scope 1 (tCO2e)]:[Scope 3 WTT T&amp;D (tCO2e)]]))</f>
        <v/>
      </c>
      <c r="AM253" s="220" t="str">
        <f>IF(Buildings_GridElectricity_Frontend[[#This Row],[Data]]="","",Buildings_GridElectricity_Backend[[#This Row],[Total (tCO2e)]]*(1-Buildings_GridElectricity_Backend[[#This Row],[RSD]]))</f>
        <v/>
      </c>
      <c r="AN253" s="220" t="str">
        <f>IF(Buildings_GridElectricity_Frontend[[#This Row],[Data]]="","",Buildings_GridElectricity_Backend[[#This Row],[Total (tCO2e)]]*(1+Buildings_GridElectricity_Backend[[#This Row],[RSD]]))</f>
        <v/>
      </c>
      <c r="AO253" s="210" t="str">
        <f>IF(Buildings_GridElectricity_Frontend[[#This Row],[Data]]="","",_xlfn.XLOOKUP(_xlfn.CONCAT(Buildings_GridElectricity_Backend[[#This Row],[Level 1]:[Level 6]]),rng_EFConcat,rng_EFOOS)*Buildings_GridElectricity_Backend[[#This Row],[Converted data]]/1000)</f>
        <v/>
      </c>
      <c r="AP253" s="174">
        <f>Buildings_GridElectricity_Frontend[[#This Row],[Ease of collection]]</f>
        <v>0</v>
      </c>
      <c r="AQ253" s="213">
        <f>Buildings_GridElectricity_Frontend[[#This Row],[Completeness]]</f>
        <v>0</v>
      </c>
      <c r="AR253" s="220">
        <f>Buildings_GridElectricity_Frontend[[#This Row],[Notes]]</f>
        <v>0</v>
      </c>
    </row>
    <row r="254" spans="5:44" x14ac:dyDescent="0.3">
      <c r="E254" s="346"/>
      <c r="F254" s="449"/>
      <c r="G254" s="336"/>
      <c r="H254" s="334"/>
      <c r="I254" s="172" t="s">
        <v>316</v>
      </c>
      <c r="J254" s="337"/>
      <c r="K254" s="336"/>
      <c r="L254" s="336"/>
      <c r="M254" s="337"/>
      <c r="N254" s="242">
        <f t="shared" si="9"/>
        <v>3</v>
      </c>
      <c r="Q254" s="212" t="str">
        <f t="shared" si="8"/>
        <v/>
      </c>
      <c r="R254" s="174" t="s">
        <v>265</v>
      </c>
      <c r="S254" s="174" t="s">
        <v>273</v>
      </c>
      <c r="T254" s="174" t="str">
        <f>_xlfn.XLOOKUP(Buildings_GridElectricity_Backend[[#This Row],[Info 1]],Buildings_SiteInfo[Site name],Buildings_SiteInfo[Site type], "")</f>
        <v/>
      </c>
      <c r="U254" s="174" t="s">
        <v>281</v>
      </c>
      <c r="V254" s="174" t="str" cm="1">
        <f t="array" aca="1" ref="V254" ca="1">_xlfn.XLOOKUP(Buildings_GridElectricity_Backend[[#This Row],[Level 4]],rng_Level4Long,rng_Level5Long)</f>
        <v>Electricity</v>
      </c>
      <c r="W254" s="174" t="str" cm="1">
        <f t="array" aca="1" ref="W254" ca="1">_xlfn.XLOOKUP(Buildings_GridElectricity_Backend[[#This Row],[Level 4]],rng_Level4Long,rng_Level6Long)</f>
        <v>NaN</v>
      </c>
      <c r="X254" s="174">
        <f>Buildings_GridElectricity_Frontend[[#This Row],[Site Name]]</f>
        <v>0</v>
      </c>
      <c r="Y254" s="174">
        <f>Buildings_GridElectricity_Frontend[[#This Row],[Contracting]]</f>
        <v>0</v>
      </c>
      <c r="Z254" s="174">
        <f>Buildings_GridElectricity_Frontend[[#This Row],[Methodology]]</f>
        <v>0</v>
      </c>
      <c r="AA254" s="229" t="str" cm="1">
        <f t="array" ref="AA254">IF(Buildings_GridElectricity_Frontend[[#This Row],[Data]]="","",INDEX(_xlfn.SWITCH(Buildings_GridElectricity_Backend[[#This Row],[Methodology]],"Tier 1",rng_RSD1,"Tier 2",rng_RSD2,"Tier 3",rng_RSD3),MATCH(_xlfn.CONCAT(Buildings_GridElectricity_Backend[[#This Row],[Level 1]:[Level 6]]),rng_LevelsConcat,0)))</f>
        <v/>
      </c>
      <c r="AB254" s="220">
        <f>Buildings_GridElectricity_Frontend[[#This Row],[Data]]</f>
        <v>0</v>
      </c>
      <c r="AC254" s="174" t="str">
        <f>Buildings_GridElectricity_Frontend[[#This Row],[Units]]</f>
        <v>kWh</v>
      </c>
      <c r="AD254" s="218">
        <f>Buildings_GridElectricity_Frontend[[#This Row],[Data]]</f>
        <v>0</v>
      </c>
      <c r="AE254" s="174" t="str">
        <f>Buildings_GridElectricity_Frontend[[#This Row],[Units]]</f>
        <v>kWh</v>
      </c>
      <c r="AF254" s="210" t="str">
        <f>IF(Buildings_GridElectricity_Frontend[[#This Row],[Data]]="","",_xlfn.XLOOKUP(_xlfn.CONCAT(Buildings_GridElectricity_Backend[[#This Row],[Level 1]:[Level 6]]),rng_EFConcat,rng_EF1)*Buildings_GridElectricity_Backend[[#This Row],[Converted data]]/1000)</f>
        <v/>
      </c>
      <c r="AG254" s="210" t="str">
        <f>IF(Buildings_GridElectricity_Frontend[[#This Row],[Data]]="","",_xlfn.XLOOKUP(_xlfn.CONCAT(Buildings_GridElectricity_Backend[[#This Row],[Level 1]:[Level 6]]),rng_EFConcat,rng_EF2)*Buildings_GridElectricity_Backend[[#This Row],[Converted data]]/1000)</f>
        <v/>
      </c>
      <c r="AH254" s="210" t="str">
        <f>IF(Buildings_GridElectricity_Frontend[[#This Row],[Data]]="","",_xlfn.XLOOKUP(_xlfn.CONCAT(Buildings_GridElectricity_Backend[[#This Row],[Level 1]:[Level 6]]),rng_EFConcat,rng_EF3)*Buildings_GridElectricity_Backend[[#This Row],[Converted data]]/1000)</f>
        <v/>
      </c>
      <c r="AI254" s="210" t="str">
        <f>IF(Buildings_GridElectricity_Frontend[[#This Row],[Data]]="","",_xlfn.XLOOKUP(_xlfn.CONCAT(Buildings_GridElectricity_Backend[[#This Row],[Level 1]:[Level 6]]),rng_EFConcat,rng_EF3WTT)*Buildings_GridElectricity_Backend[[#This Row],[Converted data]]/1000)</f>
        <v/>
      </c>
      <c r="AJ254" s="210" t="str">
        <f>IF(Buildings_GridElectricity_Frontend[[#This Row],[Data]]="","",_xlfn.XLOOKUP(_xlfn.CONCAT(Buildings_GridElectricity_Backend[[#This Row],[Level 1]:[Level 6]]),rng_EFConcat,rng_EF3TD)*Buildings_GridElectricity_Backend[[#This Row],[Converted data]]/1000)</f>
        <v/>
      </c>
      <c r="AK254" s="210" t="str">
        <f>IF(Buildings_GridElectricity_Frontend[[#This Row],[Data]]="","",_xlfn.XLOOKUP(_xlfn.CONCAT(Buildings_GridElectricity_Backend[[#This Row],[Level 1]:[Level 6]]),rng_EFConcat,rng_EF3WTTTD)*Buildings_GridElectricity_Backend[[#This Row],[Converted data]]/1000)</f>
        <v/>
      </c>
      <c r="AL254" s="220" t="str">
        <f>IF(Buildings_GridElectricity_Frontend[[#This Row],[Data]]="","",SUM(Buildings_GridElectricity_Backend[[#This Row],[Scope 1 (tCO2e)]:[Scope 3 WTT T&amp;D (tCO2e)]]))</f>
        <v/>
      </c>
      <c r="AM254" s="220" t="str">
        <f>IF(Buildings_GridElectricity_Frontend[[#This Row],[Data]]="","",Buildings_GridElectricity_Backend[[#This Row],[Total (tCO2e)]]*(1-Buildings_GridElectricity_Backend[[#This Row],[RSD]]))</f>
        <v/>
      </c>
      <c r="AN254" s="220" t="str">
        <f>IF(Buildings_GridElectricity_Frontend[[#This Row],[Data]]="","",Buildings_GridElectricity_Backend[[#This Row],[Total (tCO2e)]]*(1+Buildings_GridElectricity_Backend[[#This Row],[RSD]]))</f>
        <v/>
      </c>
      <c r="AO254" s="210" t="str">
        <f>IF(Buildings_GridElectricity_Frontend[[#This Row],[Data]]="","",_xlfn.XLOOKUP(_xlfn.CONCAT(Buildings_GridElectricity_Backend[[#This Row],[Level 1]:[Level 6]]),rng_EFConcat,rng_EFOOS)*Buildings_GridElectricity_Backend[[#This Row],[Converted data]]/1000)</f>
        <v/>
      </c>
      <c r="AP254" s="174">
        <f>Buildings_GridElectricity_Frontend[[#This Row],[Ease of collection]]</f>
        <v>0</v>
      </c>
      <c r="AQ254" s="213">
        <f>Buildings_GridElectricity_Frontend[[#This Row],[Completeness]]</f>
        <v>0</v>
      </c>
      <c r="AR254" s="220">
        <f>Buildings_GridElectricity_Frontend[[#This Row],[Notes]]</f>
        <v>0</v>
      </c>
    </row>
    <row r="255" spans="5:44" x14ac:dyDescent="0.3">
      <c r="E255" s="346"/>
      <c r="F255" s="449"/>
      <c r="G255" s="336"/>
      <c r="H255" s="334"/>
      <c r="I255" s="172" t="s">
        <v>316</v>
      </c>
      <c r="J255" s="337"/>
      <c r="K255" s="336"/>
      <c r="L255" s="336"/>
      <c r="M255" s="337"/>
      <c r="N255" s="242">
        <f t="shared" si="9"/>
        <v>3</v>
      </c>
      <c r="Q255" s="212" t="str">
        <f t="shared" si="8"/>
        <v/>
      </c>
      <c r="R255" s="174" t="s">
        <v>265</v>
      </c>
      <c r="S255" s="174" t="s">
        <v>273</v>
      </c>
      <c r="T255" s="174" t="str">
        <f>_xlfn.XLOOKUP(Buildings_GridElectricity_Backend[[#This Row],[Info 1]],Buildings_SiteInfo[Site name],Buildings_SiteInfo[Site type], "")</f>
        <v/>
      </c>
      <c r="U255" s="174" t="s">
        <v>281</v>
      </c>
      <c r="V255" s="174" t="str" cm="1">
        <f t="array" aca="1" ref="V255" ca="1">_xlfn.XLOOKUP(Buildings_GridElectricity_Backend[[#This Row],[Level 4]],rng_Level4Long,rng_Level5Long)</f>
        <v>Electricity</v>
      </c>
      <c r="W255" s="174" t="str" cm="1">
        <f t="array" aca="1" ref="W255" ca="1">_xlfn.XLOOKUP(Buildings_GridElectricity_Backend[[#This Row],[Level 4]],rng_Level4Long,rng_Level6Long)</f>
        <v>NaN</v>
      </c>
      <c r="X255" s="174">
        <f>Buildings_GridElectricity_Frontend[[#This Row],[Site Name]]</f>
        <v>0</v>
      </c>
      <c r="Y255" s="174">
        <f>Buildings_GridElectricity_Frontend[[#This Row],[Contracting]]</f>
        <v>0</v>
      </c>
      <c r="Z255" s="174">
        <f>Buildings_GridElectricity_Frontend[[#This Row],[Methodology]]</f>
        <v>0</v>
      </c>
      <c r="AA255" s="229" t="str" cm="1">
        <f t="array" ref="AA255">IF(Buildings_GridElectricity_Frontend[[#This Row],[Data]]="","",INDEX(_xlfn.SWITCH(Buildings_GridElectricity_Backend[[#This Row],[Methodology]],"Tier 1",rng_RSD1,"Tier 2",rng_RSD2,"Tier 3",rng_RSD3),MATCH(_xlfn.CONCAT(Buildings_GridElectricity_Backend[[#This Row],[Level 1]:[Level 6]]),rng_LevelsConcat,0)))</f>
        <v/>
      </c>
      <c r="AB255" s="220">
        <f>Buildings_GridElectricity_Frontend[[#This Row],[Data]]</f>
        <v>0</v>
      </c>
      <c r="AC255" s="174" t="str">
        <f>Buildings_GridElectricity_Frontend[[#This Row],[Units]]</f>
        <v>kWh</v>
      </c>
      <c r="AD255" s="218">
        <f>Buildings_GridElectricity_Frontend[[#This Row],[Data]]</f>
        <v>0</v>
      </c>
      <c r="AE255" s="174" t="str">
        <f>Buildings_GridElectricity_Frontend[[#This Row],[Units]]</f>
        <v>kWh</v>
      </c>
      <c r="AF255" s="210" t="str">
        <f>IF(Buildings_GridElectricity_Frontend[[#This Row],[Data]]="","",_xlfn.XLOOKUP(_xlfn.CONCAT(Buildings_GridElectricity_Backend[[#This Row],[Level 1]:[Level 6]]),rng_EFConcat,rng_EF1)*Buildings_GridElectricity_Backend[[#This Row],[Converted data]]/1000)</f>
        <v/>
      </c>
      <c r="AG255" s="210" t="str">
        <f>IF(Buildings_GridElectricity_Frontend[[#This Row],[Data]]="","",_xlfn.XLOOKUP(_xlfn.CONCAT(Buildings_GridElectricity_Backend[[#This Row],[Level 1]:[Level 6]]),rng_EFConcat,rng_EF2)*Buildings_GridElectricity_Backend[[#This Row],[Converted data]]/1000)</f>
        <v/>
      </c>
      <c r="AH255" s="210" t="str">
        <f>IF(Buildings_GridElectricity_Frontend[[#This Row],[Data]]="","",_xlfn.XLOOKUP(_xlfn.CONCAT(Buildings_GridElectricity_Backend[[#This Row],[Level 1]:[Level 6]]),rng_EFConcat,rng_EF3)*Buildings_GridElectricity_Backend[[#This Row],[Converted data]]/1000)</f>
        <v/>
      </c>
      <c r="AI255" s="210" t="str">
        <f>IF(Buildings_GridElectricity_Frontend[[#This Row],[Data]]="","",_xlfn.XLOOKUP(_xlfn.CONCAT(Buildings_GridElectricity_Backend[[#This Row],[Level 1]:[Level 6]]),rng_EFConcat,rng_EF3WTT)*Buildings_GridElectricity_Backend[[#This Row],[Converted data]]/1000)</f>
        <v/>
      </c>
      <c r="AJ255" s="210" t="str">
        <f>IF(Buildings_GridElectricity_Frontend[[#This Row],[Data]]="","",_xlfn.XLOOKUP(_xlfn.CONCAT(Buildings_GridElectricity_Backend[[#This Row],[Level 1]:[Level 6]]),rng_EFConcat,rng_EF3TD)*Buildings_GridElectricity_Backend[[#This Row],[Converted data]]/1000)</f>
        <v/>
      </c>
      <c r="AK255" s="210" t="str">
        <f>IF(Buildings_GridElectricity_Frontend[[#This Row],[Data]]="","",_xlfn.XLOOKUP(_xlfn.CONCAT(Buildings_GridElectricity_Backend[[#This Row],[Level 1]:[Level 6]]),rng_EFConcat,rng_EF3WTTTD)*Buildings_GridElectricity_Backend[[#This Row],[Converted data]]/1000)</f>
        <v/>
      </c>
      <c r="AL255" s="220" t="str">
        <f>IF(Buildings_GridElectricity_Frontend[[#This Row],[Data]]="","",SUM(Buildings_GridElectricity_Backend[[#This Row],[Scope 1 (tCO2e)]:[Scope 3 WTT T&amp;D (tCO2e)]]))</f>
        <v/>
      </c>
      <c r="AM255" s="220" t="str">
        <f>IF(Buildings_GridElectricity_Frontend[[#This Row],[Data]]="","",Buildings_GridElectricity_Backend[[#This Row],[Total (tCO2e)]]*(1-Buildings_GridElectricity_Backend[[#This Row],[RSD]]))</f>
        <v/>
      </c>
      <c r="AN255" s="220" t="str">
        <f>IF(Buildings_GridElectricity_Frontend[[#This Row],[Data]]="","",Buildings_GridElectricity_Backend[[#This Row],[Total (tCO2e)]]*(1+Buildings_GridElectricity_Backend[[#This Row],[RSD]]))</f>
        <v/>
      </c>
      <c r="AO255" s="210" t="str">
        <f>IF(Buildings_GridElectricity_Frontend[[#This Row],[Data]]="","",_xlfn.XLOOKUP(_xlfn.CONCAT(Buildings_GridElectricity_Backend[[#This Row],[Level 1]:[Level 6]]),rng_EFConcat,rng_EFOOS)*Buildings_GridElectricity_Backend[[#This Row],[Converted data]]/1000)</f>
        <v/>
      </c>
      <c r="AP255" s="174">
        <f>Buildings_GridElectricity_Frontend[[#This Row],[Ease of collection]]</f>
        <v>0</v>
      </c>
      <c r="AQ255" s="213">
        <f>Buildings_GridElectricity_Frontend[[#This Row],[Completeness]]</f>
        <v>0</v>
      </c>
      <c r="AR255" s="220">
        <f>Buildings_GridElectricity_Frontend[[#This Row],[Notes]]</f>
        <v>0</v>
      </c>
    </row>
    <row r="256" spans="5:44" x14ac:dyDescent="0.3">
      <c r="E256" s="346"/>
      <c r="F256" s="449"/>
      <c r="G256" s="336"/>
      <c r="H256" s="334"/>
      <c r="I256" s="172" t="s">
        <v>316</v>
      </c>
      <c r="J256" s="337"/>
      <c r="K256" s="336"/>
      <c r="L256" s="336"/>
      <c r="M256" s="337"/>
      <c r="N256" s="242">
        <f t="shared" si="9"/>
        <v>3</v>
      </c>
      <c r="Q256" s="212" t="str">
        <f t="shared" si="8"/>
        <v/>
      </c>
      <c r="R256" s="174" t="s">
        <v>265</v>
      </c>
      <c r="S256" s="174" t="s">
        <v>273</v>
      </c>
      <c r="T256" s="174" t="str">
        <f>_xlfn.XLOOKUP(Buildings_GridElectricity_Backend[[#This Row],[Info 1]],Buildings_SiteInfo[Site name],Buildings_SiteInfo[Site type], "")</f>
        <v/>
      </c>
      <c r="U256" s="174" t="s">
        <v>281</v>
      </c>
      <c r="V256" s="174" t="str" cm="1">
        <f t="array" aca="1" ref="V256" ca="1">_xlfn.XLOOKUP(Buildings_GridElectricity_Backend[[#This Row],[Level 4]],rng_Level4Long,rng_Level5Long)</f>
        <v>Electricity</v>
      </c>
      <c r="W256" s="174" t="str" cm="1">
        <f t="array" aca="1" ref="W256" ca="1">_xlfn.XLOOKUP(Buildings_GridElectricity_Backend[[#This Row],[Level 4]],rng_Level4Long,rng_Level6Long)</f>
        <v>NaN</v>
      </c>
      <c r="X256" s="174">
        <f>Buildings_GridElectricity_Frontend[[#This Row],[Site Name]]</f>
        <v>0</v>
      </c>
      <c r="Y256" s="174">
        <f>Buildings_GridElectricity_Frontend[[#This Row],[Contracting]]</f>
        <v>0</v>
      </c>
      <c r="Z256" s="174">
        <f>Buildings_GridElectricity_Frontend[[#This Row],[Methodology]]</f>
        <v>0</v>
      </c>
      <c r="AA256" s="229" t="str" cm="1">
        <f t="array" ref="AA256">IF(Buildings_GridElectricity_Frontend[[#This Row],[Data]]="","",INDEX(_xlfn.SWITCH(Buildings_GridElectricity_Backend[[#This Row],[Methodology]],"Tier 1",rng_RSD1,"Tier 2",rng_RSD2,"Tier 3",rng_RSD3),MATCH(_xlfn.CONCAT(Buildings_GridElectricity_Backend[[#This Row],[Level 1]:[Level 6]]),rng_LevelsConcat,0)))</f>
        <v/>
      </c>
      <c r="AB256" s="220">
        <f>Buildings_GridElectricity_Frontend[[#This Row],[Data]]</f>
        <v>0</v>
      </c>
      <c r="AC256" s="174" t="str">
        <f>Buildings_GridElectricity_Frontend[[#This Row],[Units]]</f>
        <v>kWh</v>
      </c>
      <c r="AD256" s="218">
        <f>Buildings_GridElectricity_Frontend[[#This Row],[Data]]</f>
        <v>0</v>
      </c>
      <c r="AE256" s="174" t="str">
        <f>Buildings_GridElectricity_Frontend[[#This Row],[Units]]</f>
        <v>kWh</v>
      </c>
      <c r="AF256" s="210" t="str">
        <f>IF(Buildings_GridElectricity_Frontend[[#This Row],[Data]]="","",_xlfn.XLOOKUP(_xlfn.CONCAT(Buildings_GridElectricity_Backend[[#This Row],[Level 1]:[Level 6]]),rng_EFConcat,rng_EF1)*Buildings_GridElectricity_Backend[[#This Row],[Converted data]]/1000)</f>
        <v/>
      </c>
      <c r="AG256" s="210" t="str">
        <f>IF(Buildings_GridElectricity_Frontend[[#This Row],[Data]]="","",_xlfn.XLOOKUP(_xlfn.CONCAT(Buildings_GridElectricity_Backend[[#This Row],[Level 1]:[Level 6]]),rng_EFConcat,rng_EF2)*Buildings_GridElectricity_Backend[[#This Row],[Converted data]]/1000)</f>
        <v/>
      </c>
      <c r="AH256" s="210" t="str">
        <f>IF(Buildings_GridElectricity_Frontend[[#This Row],[Data]]="","",_xlfn.XLOOKUP(_xlfn.CONCAT(Buildings_GridElectricity_Backend[[#This Row],[Level 1]:[Level 6]]),rng_EFConcat,rng_EF3)*Buildings_GridElectricity_Backend[[#This Row],[Converted data]]/1000)</f>
        <v/>
      </c>
      <c r="AI256" s="210" t="str">
        <f>IF(Buildings_GridElectricity_Frontend[[#This Row],[Data]]="","",_xlfn.XLOOKUP(_xlfn.CONCAT(Buildings_GridElectricity_Backend[[#This Row],[Level 1]:[Level 6]]),rng_EFConcat,rng_EF3WTT)*Buildings_GridElectricity_Backend[[#This Row],[Converted data]]/1000)</f>
        <v/>
      </c>
      <c r="AJ256" s="210" t="str">
        <f>IF(Buildings_GridElectricity_Frontend[[#This Row],[Data]]="","",_xlfn.XLOOKUP(_xlfn.CONCAT(Buildings_GridElectricity_Backend[[#This Row],[Level 1]:[Level 6]]),rng_EFConcat,rng_EF3TD)*Buildings_GridElectricity_Backend[[#This Row],[Converted data]]/1000)</f>
        <v/>
      </c>
      <c r="AK256" s="210" t="str">
        <f>IF(Buildings_GridElectricity_Frontend[[#This Row],[Data]]="","",_xlfn.XLOOKUP(_xlfn.CONCAT(Buildings_GridElectricity_Backend[[#This Row],[Level 1]:[Level 6]]),rng_EFConcat,rng_EF3WTTTD)*Buildings_GridElectricity_Backend[[#This Row],[Converted data]]/1000)</f>
        <v/>
      </c>
      <c r="AL256" s="220" t="str">
        <f>IF(Buildings_GridElectricity_Frontend[[#This Row],[Data]]="","",SUM(Buildings_GridElectricity_Backend[[#This Row],[Scope 1 (tCO2e)]:[Scope 3 WTT T&amp;D (tCO2e)]]))</f>
        <v/>
      </c>
      <c r="AM256" s="220" t="str">
        <f>IF(Buildings_GridElectricity_Frontend[[#This Row],[Data]]="","",Buildings_GridElectricity_Backend[[#This Row],[Total (tCO2e)]]*(1-Buildings_GridElectricity_Backend[[#This Row],[RSD]]))</f>
        <v/>
      </c>
      <c r="AN256" s="220" t="str">
        <f>IF(Buildings_GridElectricity_Frontend[[#This Row],[Data]]="","",Buildings_GridElectricity_Backend[[#This Row],[Total (tCO2e)]]*(1+Buildings_GridElectricity_Backend[[#This Row],[RSD]]))</f>
        <v/>
      </c>
      <c r="AO256" s="210" t="str">
        <f>IF(Buildings_GridElectricity_Frontend[[#This Row],[Data]]="","",_xlfn.XLOOKUP(_xlfn.CONCAT(Buildings_GridElectricity_Backend[[#This Row],[Level 1]:[Level 6]]),rng_EFConcat,rng_EFOOS)*Buildings_GridElectricity_Backend[[#This Row],[Converted data]]/1000)</f>
        <v/>
      </c>
      <c r="AP256" s="174">
        <f>Buildings_GridElectricity_Frontend[[#This Row],[Ease of collection]]</f>
        <v>0</v>
      </c>
      <c r="AQ256" s="213">
        <f>Buildings_GridElectricity_Frontend[[#This Row],[Completeness]]</f>
        <v>0</v>
      </c>
      <c r="AR256" s="220">
        <f>Buildings_GridElectricity_Frontend[[#This Row],[Notes]]</f>
        <v>0</v>
      </c>
    </row>
    <row r="257" spans="5:44" x14ac:dyDescent="0.3">
      <c r="E257" s="346"/>
      <c r="F257" s="449"/>
      <c r="G257" s="336"/>
      <c r="H257" s="334"/>
      <c r="I257" s="172" t="s">
        <v>316</v>
      </c>
      <c r="J257" s="337"/>
      <c r="K257" s="336"/>
      <c r="L257" s="336"/>
      <c r="M257" s="337"/>
      <c r="N257" s="242">
        <f t="shared" si="9"/>
        <v>3</v>
      </c>
      <c r="Q257" s="212" t="str">
        <f t="shared" si="8"/>
        <v/>
      </c>
      <c r="R257" s="174" t="s">
        <v>265</v>
      </c>
      <c r="S257" s="174" t="s">
        <v>273</v>
      </c>
      <c r="T257" s="174" t="str">
        <f>_xlfn.XLOOKUP(Buildings_GridElectricity_Backend[[#This Row],[Info 1]],Buildings_SiteInfo[Site name],Buildings_SiteInfo[Site type], "")</f>
        <v/>
      </c>
      <c r="U257" s="174" t="s">
        <v>281</v>
      </c>
      <c r="V257" s="174" t="str" cm="1">
        <f t="array" aca="1" ref="V257" ca="1">_xlfn.XLOOKUP(Buildings_GridElectricity_Backend[[#This Row],[Level 4]],rng_Level4Long,rng_Level5Long)</f>
        <v>Electricity</v>
      </c>
      <c r="W257" s="174" t="str" cm="1">
        <f t="array" aca="1" ref="W257" ca="1">_xlfn.XLOOKUP(Buildings_GridElectricity_Backend[[#This Row],[Level 4]],rng_Level4Long,rng_Level6Long)</f>
        <v>NaN</v>
      </c>
      <c r="X257" s="174">
        <f>Buildings_GridElectricity_Frontend[[#This Row],[Site Name]]</f>
        <v>0</v>
      </c>
      <c r="Y257" s="174">
        <f>Buildings_GridElectricity_Frontend[[#This Row],[Contracting]]</f>
        <v>0</v>
      </c>
      <c r="Z257" s="174">
        <f>Buildings_GridElectricity_Frontend[[#This Row],[Methodology]]</f>
        <v>0</v>
      </c>
      <c r="AA257" s="229" t="str" cm="1">
        <f t="array" ref="AA257">IF(Buildings_GridElectricity_Frontend[[#This Row],[Data]]="","",INDEX(_xlfn.SWITCH(Buildings_GridElectricity_Backend[[#This Row],[Methodology]],"Tier 1",rng_RSD1,"Tier 2",rng_RSD2,"Tier 3",rng_RSD3),MATCH(_xlfn.CONCAT(Buildings_GridElectricity_Backend[[#This Row],[Level 1]:[Level 6]]),rng_LevelsConcat,0)))</f>
        <v/>
      </c>
      <c r="AB257" s="220">
        <f>Buildings_GridElectricity_Frontend[[#This Row],[Data]]</f>
        <v>0</v>
      </c>
      <c r="AC257" s="174" t="str">
        <f>Buildings_GridElectricity_Frontend[[#This Row],[Units]]</f>
        <v>kWh</v>
      </c>
      <c r="AD257" s="218">
        <f>Buildings_GridElectricity_Frontend[[#This Row],[Data]]</f>
        <v>0</v>
      </c>
      <c r="AE257" s="174" t="str">
        <f>Buildings_GridElectricity_Frontend[[#This Row],[Units]]</f>
        <v>kWh</v>
      </c>
      <c r="AF257" s="210" t="str">
        <f>IF(Buildings_GridElectricity_Frontend[[#This Row],[Data]]="","",_xlfn.XLOOKUP(_xlfn.CONCAT(Buildings_GridElectricity_Backend[[#This Row],[Level 1]:[Level 6]]),rng_EFConcat,rng_EF1)*Buildings_GridElectricity_Backend[[#This Row],[Converted data]]/1000)</f>
        <v/>
      </c>
      <c r="AG257" s="210" t="str">
        <f>IF(Buildings_GridElectricity_Frontend[[#This Row],[Data]]="","",_xlfn.XLOOKUP(_xlfn.CONCAT(Buildings_GridElectricity_Backend[[#This Row],[Level 1]:[Level 6]]),rng_EFConcat,rng_EF2)*Buildings_GridElectricity_Backend[[#This Row],[Converted data]]/1000)</f>
        <v/>
      </c>
      <c r="AH257" s="210" t="str">
        <f>IF(Buildings_GridElectricity_Frontend[[#This Row],[Data]]="","",_xlfn.XLOOKUP(_xlfn.CONCAT(Buildings_GridElectricity_Backend[[#This Row],[Level 1]:[Level 6]]),rng_EFConcat,rng_EF3)*Buildings_GridElectricity_Backend[[#This Row],[Converted data]]/1000)</f>
        <v/>
      </c>
      <c r="AI257" s="210" t="str">
        <f>IF(Buildings_GridElectricity_Frontend[[#This Row],[Data]]="","",_xlfn.XLOOKUP(_xlfn.CONCAT(Buildings_GridElectricity_Backend[[#This Row],[Level 1]:[Level 6]]),rng_EFConcat,rng_EF3WTT)*Buildings_GridElectricity_Backend[[#This Row],[Converted data]]/1000)</f>
        <v/>
      </c>
      <c r="AJ257" s="210" t="str">
        <f>IF(Buildings_GridElectricity_Frontend[[#This Row],[Data]]="","",_xlfn.XLOOKUP(_xlfn.CONCAT(Buildings_GridElectricity_Backend[[#This Row],[Level 1]:[Level 6]]),rng_EFConcat,rng_EF3TD)*Buildings_GridElectricity_Backend[[#This Row],[Converted data]]/1000)</f>
        <v/>
      </c>
      <c r="AK257" s="210" t="str">
        <f>IF(Buildings_GridElectricity_Frontend[[#This Row],[Data]]="","",_xlfn.XLOOKUP(_xlfn.CONCAT(Buildings_GridElectricity_Backend[[#This Row],[Level 1]:[Level 6]]),rng_EFConcat,rng_EF3WTTTD)*Buildings_GridElectricity_Backend[[#This Row],[Converted data]]/1000)</f>
        <v/>
      </c>
      <c r="AL257" s="220" t="str">
        <f>IF(Buildings_GridElectricity_Frontend[[#This Row],[Data]]="","",SUM(Buildings_GridElectricity_Backend[[#This Row],[Scope 1 (tCO2e)]:[Scope 3 WTT T&amp;D (tCO2e)]]))</f>
        <v/>
      </c>
      <c r="AM257" s="220" t="str">
        <f>IF(Buildings_GridElectricity_Frontend[[#This Row],[Data]]="","",Buildings_GridElectricity_Backend[[#This Row],[Total (tCO2e)]]*(1-Buildings_GridElectricity_Backend[[#This Row],[RSD]]))</f>
        <v/>
      </c>
      <c r="AN257" s="220" t="str">
        <f>IF(Buildings_GridElectricity_Frontend[[#This Row],[Data]]="","",Buildings_GridElectricity_Backend[[#This Row],[Total (tCO2e)]]*(1+Buildings_GridElectricity_Backend[[#This Row],[RSD]]))</f>
        <v/>
      </c>
      <c r="AO257" s="210" t="str">
        <f>IF(Buildings_GridElectricity_Frontend[[#This Row],[Data]]="","",_xlfn.XLOOKUP(_xlfn.CONCAT(Buildings_GridElectricity_Backend[[#This Row],[Level 1]:[Level 6]]),rng_EFConcat,rng_EFOOS)*Buildings_GridElectricity_Backend[[#This Row],[Converted data]]/1000)</f>
        <v/>
      </c>
      <c r="AP257" s="174">
        <f>Buildings_GridElectricity_Frontend[[#This Row],[Ease of collection]]</f>
        <v>0</v>
      </c>
      <c r="AQ257" s="213">
        <f>Buildings_GridElectricity_Frontend[[#This Row],[Completeness]]</f>
        <v>0</v>
      </c>
      <c r="AR257" s="220">
        <f>Buildings_GridElectricity_Frontend[[#This Row],[Notes]]</f>
        <v>0</v>
      </c>
    </row>
    <row r="258" spans="5:44" x14ac:dyDescent="0.3">
      <c r="E258" s="346"/>
      <c r="F258" s="449"/>
      <c r="G258" s="336"/>
      <c r="H258" s="334"/>
      <c r="I258" s="172" t="s">
        <v>316</v>
      </c>
      <c r="J258" s="337"/>
      <c r="K258" s="336"/>
      <c r="L258" s="336"/>
      <c r="M258" s="337"/>
      <c r="N258" s="242">
        <f t="shared" si="9"/>
        <v>3</v>
      </c>
      <c r="Q258" s="212" t="str">
        <f t="shared" si="8"/>
        <v/>
      </c>
      <c r="R258" s="174" t="s">
        <v>265</v>
      </c>
      <c r="S258" s="174" t="s">
        <v>273</v>
      </c>
      <c r="T258" s="174" t="str">
        <f>_xlfn.XLOOKUP(Buildings_GridElectricity_Backend[[#This Row],[Info 1]],Buildings_SiteInfo[Site name],Buildings_SiteInfo[Site type], "")</f>
        <v/>
      </c>
      <c r="U258" s="174" t="s">
        <v>281</v>
      </c>
      <c r="V258" s="174" t="str" cm="1">
        <f t="array" aca="1" ref="V258" ca="1">_xlfn.XLOOKUP(Buildings_GridElectricity_Backend[[#This Row],[Level 4]],rng_Level4Long,rng_Level5Long)</f>
        <v>Electricity</v>
      </c>
      <c r="W258" s="174" t="str" cm="1">
        <f t="array" aca="1" ref="W258" ca="1">_xlfn.XLOOKUP(Buildings_GridElectricity_Backend[[#This Row],[Level 4]],rng_Level4Long,rng_Level6Long)</f>
        <v>NaN</v>
      </c>
      <c r="X258" s="174">
        <f>Buildings_GridElectricity_Frontend[[#This Row],[Site Name]]</f>
        <v>0</v>
      </c>
      <c r="Y258" s="174">
        <f>Buildings_GridElectricity_Frontend[[#This Row],[Contracting]]</f>
        <v>0</v>
      </c>
      <c r="Z258" s="174">
        <f>Buildings_GridElectricity_Frontend[[#This Row],[Methodology]]</f>
        <v>0</v>
      </c>
      <c r="AA258" s="229" t="str" cm="1">
        <f t="array" ref="AA258">IF(Buildings_GridElectricity_Frontend[[#This Row],[Data]]="","",INDEX(_xlfn.SWITCH(Buildings_GridElectricity_Backend[[#This Row],[Methodology]],"Tier 1",rng_RSD1,"Tier 2",rng_RSD2,"Tier 3",rng_RSD3),MATCH(_xlfn.CONCAT(Buildings_GridElectricity_Backend[[#This Row],[Level 1]:[Level 6]]),rng_LevelsConcat,0)))</f>
        <v/>
      </c>
      <c r="AB258" s="220">
        <f>Buildings_GridElectricity_Frontend[[#This Row],[Data]]</f>
        <v>0</v>
      </c>
      <c r="AC258" s="174" t="str">
        <f>Buildings_GridElectricity_Frontend[[#This Row],[Units]]</f>
        <v>kWh</v>
      </c>
      <c r="AD258" s="218">
        <f>Buildings_GridElectricity_Frontend[[#This Row],[Data]]</f>
        <v>0</v>
      </c>
      <c r="AE258" s="174" t="str">
        <f>Buildings_GridElectricity_Frontend[[#This Row],[Units]]</f>
        <v>kWh</v>
      </c>
      <c r="AF258" s="210" t="str">
        <f>IF(Buildings_GridElectricity_Frontend[[#This Row],[Data]]="","",_xlfn.XLOOKUP(_xlfn.CONCAT(Buildings_GridElectricity_Backend[[#This Row],[Level 1]:[Level 6]]),rng_EFConcat,rng_EF1)*Buildings_GridElectricity_Backend[[#This Row],[Converted data]]/1000)</f>
        <v/>
      </c>
      <c r="AG258" s="210" t="str">
        <f>IF(Buildings_GridElectricity_Frontend[[#This Row],[Data]]="","",_xlfn.XLOOKUP(_xlfn.CONCAT(Buildings_GridElectricity_Backend[[#This Row],[Level 1]:[Level 6]]),rng_EFConcat,rng_EF2)*Buildings_GridElectricity_Backend[[#This Row],[Converted data]]/1000)</f>
        <v/>
      </c>
      <c r="AH258" s="210" t="str">
        <f>IF(Buildings_GridElectricity_Frontend[[#This Row],[Data]]="","",_xlfn.XLOOKUP(_xlfn.CONCAT(Buildings_GridElectricity_Backend[[#This Row],[Level 1]:[Level 6]]),rng_EFConcat,rng_EF3)*Buildings_GridElectricity_Backend[[#This Row],[Converted data]]/1000)</f>
        <v/>
      </c>
      <c r="AI258" s="210" t="str">
        <f>IF(Buildings_GridElectricity_Frontend[[#This Row],[Data]]="","",_xlfn.XLOOKUP(_xlfn.CONCAT(Buildings_GridElectricity_Backend[[#This Row],[Level 1]:[Level 6]]),rng_EFConcat,rng_EF3WTT)*Buildings_GridElectricity_Backend[[#This Row],[Converted data]]/1000)</f>
        <v/>
      </c>
      <c r="AJ258" s="210" t="str">
        <f>IF(Buildings_GridElectricity_Frontend[[#This Row],[Data]]="","",_xlfn.XLOOKUP(_xlfn.CONCAT(Buildings_GridElectricity_Backend[[#This Row],[Level 1]:[Level 6]]),rng_EFConcat,rng_EF3TD)*Buildings_GridElectricity_Backend[[#This Row],[Converted data]]/1000)</f>
        <v/>
      </c>
      <c r="AK258" s="210" t="str">
        <f>IF(Buildings_GridElectricity_Frontend[[#This Row],[Data]]="","",_xlfn.XLOOKUP(_xlfn.CONCAT(Buildings_GridElectricity_Backend[[#This Row],[Level 1]:[Level 6]]),rng_EFConcat,rng_EF3WTTTD)*Buildings_GridElectricity_Backend[[#This Row],[Converted data]]/1000)</f>
        <v/>
      </c>
      <c r="AL258" s="220" t="str">
        <f>IF(Buildings_GridElectricity_Frontend[[#This Row],[Data]]="","",SUM(Buildings_GridElectricity_Backend[[#This Row],[Scope 1 (tCO2e)]:[Scope 3 WTT T&amp;D (tCO2e)]]))</f>
        <v/>
      </c>
      <c r="AM258" s="220" t="str">
        <f>IF(Buildings_GridElectricity_Frontend[[#This Row],[Data]]="","",Buildings_GridElectricity_Backend[[#This Row],[Total (tCO2e)]]*(1-Buildings_GridElectricity_Backend[[#This Row],[RSD]]))</f>
        <v/>
      </c>
      <c r="AN258" s="220" t="str">
        <f>IF(Buildings_GridElectricity_Frontend[[#This Row],[Data]]="","",Buildings_GridElectricity_Backend[[#This Row],[Total (tCO2e)]]*(1+Buildings_GridElectricity_Backend[[#This Row],[RSD]]))</f>
        <v/>
      </c>
      <c r="AO258" s="210" t="str">
        <f>IF(Buildings_GridElectricity_Frontend[[#This Row],[Data]]="","",_xlfn.XLOOKUP(_xlfn.CONCAT(Buildings_GridElectricity_Backend[[#This Row],[Level 1]:[Level 6]]),rng_EFConcat,rng_EFOOS)*Buildings_GridElectricity_Backend[[#This Row],[Converted data]]/1000)</f>
        <v/>
      </c>
      <c r="AP258" s="174">
        <f>Buildings_GridElectricity_Frontend[[#This Row],[Ease of collection]]</f>
        <v>0</v>
      </c>
      <c r="AQ258" s="213">
        <f>Buildings_GridElectricity_Frontend[[#This Row],[Completeness]]</f>
        <v>0</v>
      </c>
      <c r="AR258" s="220">
        <f>Buildings_GridElectricity_Frontend[[#This Row],[Notes]]</f>
        <v>0</v>
      </c>
    </row>
    <row r="259" spans="5:44" x14ac:dyDescent="0.3">
      <c r="E259" s="346"/>
      <c r="F259" s="449"/>
      <c r="G259" s="336"/>
      <c r="H259" s="334"/>
      <c r="I259" s="172" t="s">
        <v>316</v>
      </c>
      <c r="J259" s="337"/>
      <c r="K259" s="336"/>
      <c r="L259" s="336"/>
      <c r="M259" s="337"/>
      <c r="N259" s="242">
        <f t="shared" si="9"/>
        <v>3</v>
      </c>
      <c r="Q259" s="212" t="str">
        <f t="shared" si="8"/>
        <v/>
      </c>
      <c r="R259" s="174" t="s">
        <v>265</v>
      </c>
      <c r="S259" s="174" t="s">
        <v>273</v>
      </c>
      <c r="T259" s="174" t="str">
        <f>_xlfn.XLOOKUP(Buildings_GridElectricity_Backend[[#This Row],[Info 1]],Buildings_SiteInfo[Site name],Buildings_SiteInfo[Site type], "")</f>
        <v/>
      </c>
      <c r="U259" s="174" t="s">
        <v>281</v>
      </c>
      <c r="V259" s="174" t="str" cm="1">
        <f t="array" aca="1" ref="V259" ca="1">_xlfn.XLOOKUP(Buildings_GridElectricity_Backend[[#This Row],[Level 4]],rng_Level4Long,rng_Level5Long)</f>
        <v>Electricity</v>
      </c>
      <c r="W259" s="174" t="str" cm="1">
        <f t="array" aca="1" ref="W259" ca="1">_xlfn.XLOOKUP(Buildings_GridElectricity_Backend[[#This Row],[Level 4]],rng_Level4Long,rng_Level6Long)</f>
        <v>NaN</v>
      </c>
      <c r="X259" s="174">
        <f>Buildings_GridElectricity_Frontend[[#This Row],[Site Name]]</f>
        <v>0</v>
      </c>
      <c r="Y259" s="174">
        <f>Buildings_GridElectricity_Frontend[[#This Row],[Contracting]]</f>
        <v>0</v>
      </c>
      <c r="Z259" s="174">
        <f>Buildings_GridElectricity_Frontend[[#This Row],[Methodology]]</f>
        <v>0</v>
      </c>
      <c r="AA259" s="229" t="str" cm="1">
        <f t="array" ref="AA259">IF(Buildings_GridElectricity_Frontend[[#This Row],[Data]]="","",INDEX(_xlfn.SWITCH(Buildings_GridElectricity_Backend[[#This Row],[Methodology]],"Tier 1",rng_RSD1,"Tier 2",rng_RSD2,"Tier 3",rng_RSD3),MATCH(_xlfn.CONCAT(Buildings_GridElectricity_Backend[[#This Row],[Level 1]:[Level 6]]),rng_LevelsConcat,0)))</f>
        <v/>
      </c>
      <c r="AB259" s="220">
        <f>Buildings_GridElectricity_Frontend[[#This Row],[Data]]</f>
        <v>0</v>
      </c>
      <c r="AC259" s="174" t="str">
        <f>Buildings_GridElectricity_Frontend[[#This Row],[Units]]</f>
        <v>kWh</v>
      </c>
      <c r="AD259" s="218">
        <f>Buildings_GridElectricity_Frontend[[#This Row],[Data]]</f>
        <v>0</v>
      </c>
      <c r="AE259" s="174" t="str">
        <f>Buildings_GridElectricity_Frontend[[#This Row],[Units]]</f>
        <v>kWh</v>
      </c>
      <c r="AF259" s="210" t="str">
        <f>IF(Buildings_GridElectricity_Frontend[[#This Row],[Data]]="","",_xlfn.XLOOKUP(_xlfn.CONCAT(Buildings_GridElectricity_Backend[[#This Row],[Level 1]:[Level 6]]),rng_EFConcat,rng_EF1)*Buildings_GridElectricity_Backend[[#This Row],[Converted data]]/1000)</f>
        <v/>
      </c>
      <c r="AG259" s="210" t="str">
        <f>IF(Buildings_GridElectricity_Frontend[[#This Row],[Data]]="","",_xlfn.XLOOKUP(_xlfn.CONCAT(Buildings_GridElectricity_Backend[[#This Row],[Level 1]:[Level 6]]),rng_EFConcat,rng_EF2)*Buildings_GridElectricity_Backend[[#This Row],[Converted data]]/1000)</f>
        <v/>
      </c>
      <c r="AH259" s="210" t="str">
        <f>IF(Buildings_GridElectricity_Frontend[[#This Row],[Data]]="","",_xlfn.XLOOKUP(_xlfn.CONCAT(Buildings_GridElectricity_Backend[[#This Row],[Level 1]:[Level 6]]),rng_EFConcat,rng_EF3)*Buildings_GridElectricity_Backend[[#This Row],[Converted data]]/1000)</f>
        <v/>
      </c>
      <c r="AI259" s="210" t="str">
        <f>IF(Buildings_GridElectricity_Frontend[[#This Row],[Data]]="","",_xlfn.XLOOKUP(_xlfn.CONCAT(Buildings_GridElectricity_Backend[[#This Row],[Level 1]:[Level 6]]),rng_EFConcat,rng_EF3WTT)*Buildings_GridElectricity_Backend[[#This Row],[Converted data]]/1000)</f>
        <v/>
      </c>
      <c r="AJ259" s="210" t="str">
        <f>IF(Buildings_GridElectricity_Frontend[[#This Row],[Data]]="","",_xlfn.XLOOKUP(_xlfn.CONCAT(Buildings_GridElectricity_Backend[[#This Row],[Level 1]:[Level 6]]),rng_EFConcat,rng_EF3TD)*Buildings_GridElectricity_Backend[[#This Row],[Converted data]]/1000)</f>
        <v/>
      </c>
      <c r="AK259" s="210" t="str">
        <f>IF(Buildings_GridElectricity_Frontend[[#This Row],[Data]]="","",_xlfn.XLOOKUP(_xlfn.CONCAT(Buildings_GridElectricity_Backend[[#This Row],[Level 1]:[Level 6]]),rng_EFConcat,rng_EF3WTTTD)*Buildings_GridElectricity_Backend[[#This Row],[Converted data]]/1000)</f>
        <v/>
      </c>
      <c r="AL259" s="220" t="str">
        <f>IF(Buildings_GridElectricity_Frontend[[#This Row],[Data]]="","",SUM(Buildings_GridElectricity_Backend[[#This Row],[Scope 1 (tCO2e)]:[Scope 3 WTT T&amp;D (tCO2e)]]))</f>
        <v/>
      </c>
      <c r="AM259" s="220" t="str">
        <f>IF(Buildings_GridElectricity_Frontend[[#This Row],[Data]]="","",Buildings_GridElectricity_Backend[[#This Row],[Total (tCO2e)]]*(1-Buildings_GridElectricity_Backend[[#This Row],[RSD]]))</f>
        <v/>
      </c>
      <c r="AN259" s="220" t="str">
        <f>IF(Buildings_GridElectricity_Frontend[[#This Row],[Data]]="","",Buildings_GridElectricity_Backend[[#This Row],[Total (tCO2e)]]*(1+Buildings_GridElectricity_Backend[[#This Row],[RSD]]))</f>
        <v/>
      </c>
      <c r="AO259" s="210" t="str">
        <f>IF(Buildings_GridElectricity_Frontend[[#This Row],[Data]]="","",_xlfn.XLOOKUP(_xlfn.CONCAT(Buildings_GridElectricity_Backend[[#This Row],[Level 1]:[Level 6]]),rng_EFConcat,rng_EFOOS)*Buildings_GridElectricity_Backend[[#This Row],[Converted data]]/1000)</f>
        <v/>
      </c>
      <c r="AP259" s="174">
        <f>Buildings_GridElectricity_Frontend[[#This Row],[Ease of collection]]</f>
        <v>0</v>
      </c>
      <c r="AQ259" s="213">
        <f>Buildings_GridElectricity_Frontend[[#This Row],[Completeness]]</f>
        <v>0</v>
      </c>
      <c r="AR259" s="220">
        <f>Buildings_GridElectricity_Frontend[[#This Row],[Notes]]</f>
        <v>0</v>
      </c>
    </row>
    <row r="260" spans="5:44" x14ac:dyDescent="0.3">
      <c r="E260" s="346"/>
      <c r="F260" s="449"/>
      <c r="G260" s="336"/>
      <c r="H260" s="334"/>
      <c r="I260" s="172" t="s">
        <v>316</v>
      </c>
      <c r="J260" s="337"/>
      <c r="K260" s="336"/>
      <c r="L260" s="336"/>
      <c r="M260" s="337"/>
      <c r="N260" s="242">
        <f t="shared" si="9"/>
        <v>3</v>
      </c>
      <c r="Q260" s="212" t="str">
        <f t="shared" si="8"/>
        <v/>
      </c>
      <c r="R260" s="174" t="s">
        <v>265</v>
      </c>
      <c r="S260" s="174" t="s">
        <v>273</v>
      </c>
      <c r="T260" s="174" t="str">
        <f>_xlfn.XLOOKUP(Buildings_GridElectricity_Backend[[#This Row],[Info 1]],Buildings_SiteInfo[Site name],Buildings_SiteInfo[Site type], "")</f>
        <v/>
      </c>
      <c r="U260" s="174" t="s">
        <v>281</v>
      </c>
      <c r="V260" s="174" t="str" cm="1">
        <f t="array" aca="1" ref="V260" ca="1">_xlfn.XLOOKUP(Buildings_GridElectricity_Backend[[#This Row],[Level 4]],rng_Level4Long,rng_Level5Long)</f>
        <v>Electricity</v>
      </c>
      <c r="W260" s="174" t="str" cm="1">
        <f t="array" aca="1" ref="W260" ca="1">_xlfn.XLOOKUP(Buildings_GridElectricity_Backend[[#This Row],[Level 4]],rng_Level4Long,rng_Level6Long)</f>
        <v>NaN</v>
      </c>
      <c r="X260" s="174">
        <f>Buildings_GridElectricity_Frontend[[#This Row],[Site Name]]</f>
        <v>0</v>
      </c>
      <c r="Y260" s="174">
        <f>Buildings_GridElectricity_Frontend[[#This Row],[Contracting]]</f>
        <v>0</v>
      </c>
      <c r="Z260" s="174">
        <f>Buildings_GridElectricity_Frontend[[#This Row],[Methodology]]</f>
        <v>0</v>
      </c>
      <c r="AA260" s="229" t="str" cm="1">
        <f t="array" ref="AA260">IF(Buildings_GridElectricity_Frontend[[#This Row],[Data]]="","",INDEX(_xlfn.SWITCH(Buildings_GridElectricity_Backend[[#This Row],[Methodology]],"Tier 1",rng_RSD1,"Tier 2",rng_RSD2,"Tier 3",rng_RSD3),MATCH(_xlfn.CONCAT(Buildings_GridElectricity_Backend[[#This Row],[Level 1]:[Level 6]]),rng_LevelsConcat,0)))</f>
        <v/>
      </c>
      <c r="AB260" s="220">
        <f>Buildings_GridElectricity_Frontend[[#This Row],[Data]]</f>
        <v>0</v>
      </c>
      <c r="AC260" s="174" t="str">
        <f>Buildings_GridElectricity_Frontend[[#This Row],[Units]]</f>
        <v>kWh</v>
      </c>
      <c r="AD260" s="218">
        <f>Buildings_GridElectricity_Frontend[[#This Row],[Data]]</f>
        <v>0</v>
      </c>
      <c r="AE260" s="174" t="str">
        <f>Buildings_GridElectricity_Frontend[[#This Row],[Units]]</f>
        <v>kWh</v>
      </c>
      <c r="AF260" s="210" t="str">
        <f>IF(Buildings_GridElectricity_Frontend[[#This Row],[Data]]="","",_xlfn.XLOOKUP(_xlfn.CONCAT(Buildings_GridElectricity_Backend[[#This Row],[Level 1]:[Level 6]]),rng_EFConcat,rng_EF1)*Buildings_GridElectricity_Backend[[#This Row],[Converted data]]/1000)</f>
        <v/>
      </c>
      <c r="AG260" s="210" t="str">
        <f>IF(Buildings_GridElectricity_Frontend[[#This Row],[Data]]="","",_xlfn.XLOOKUP(_xlfn.CONCAT(Buildings_GridElectricity_Backend[[#This Row],[Level 1]:[Level 6]]),rng_EFConcat,rng_EF2)*Buildings_GridElectricity_Backend[[#This Row],[Converted data]]/1000)</f>
        <v/>
      </c>
      <c r="AH260" s="210" t="str">
        <f>IF(Buildings_GridElectricity_Frontend[[#This Row],[Data]]="","",_xlfn.XLOOKUP(_xlfn.CONCAT(Buildings_GridElectricity_Backend[[#This Row],[Level 1]:[Level 6]]),rng_EFConcat,rng_EF3)*Buildings_GridElectricity_Backend[[#This Row],[Converted data]]/1000)</f>
        <v/>
      </c>
      <c r="AI260" s="210" t="str">
        <f>IF(Buildings_GridElectricity_Frontend[[#This Row],[Data]]="","",_xlfn.XLOOKUP(_xlfn.CONCAT(Buildings_GridElectricity_Backend[[#This Row],[Level 1]:[Level 6]]),rng_EFConcat,rng_EF3WTT)*Buildings_GridElectricity_Backend[[#This Row],[Converted data]]/1000)</f>
        <v/>
      </c>
      <c r="AJ260" s="210" t="str">
        <f>IF(Buildings_GridElectricity_Frontend[[#This Row],[Data]]="","",_xlfn.XLOOKUP(_xlfn.CONCAT(Buildings_GridElectricity_Backend[[#This Row],[Level 1]:[Level 6]]),rng_EFConcat,rng_EF3TD)*Buildings_GridElectricity_Backend[[#This Row],[Converted data]]/1000)</f>
        <v/>
      </c>
      <c r="AK260" s="210" t="str">
        <f>IF(Buildings_GridElectricity_Frontend[[#This Row],[Data]]="","",_xlfn.XLOOKUP(_xlfn.CONCAT(Buildings_GridElectricity_Backend[[#This Row],[Level 1]:[Level 6]]),rng_EFConcat,rng_EF3WTTTD)*Buildings_GridElectricity_Backend[[#This Row],[Converted data]]/1000)</f>
        <v/>
      </c>
      <c r="AL260" s="220" t="str">
        <f>IF(Buildings_GridElectricity_Frontend[[#This Row],[Data]]="","",SUM(Buildings_GridElectricity_Backend[[#This Row],[Scope 1 (tCO2e)]:[Scope 3 WTT T&amp;D (tCO2e)]]))</f>
        <v/>
      </c>
      <c r="AM260" s="220" t="str">
        <f>IF(Buildings_GridElectricity_Frontend[[#This Row],[Data]]="","",Buildings_GridElectricity_Backend[[#This Row],[Total (tCO2e)]]*(1-Buildings_GridElectricity_Backend[[#This Row],[RSD]]))</f>
        <v/>
      </c>
      <c r="AN260" s="220" t="str">
        <f>IF(Buildings_GridElectricity_Frontend[[#This Row],[Data]]="","",Buildings_GridElectricity_Backend[[#This Row],[Total (tCO2e)]]*(1+Buildings_GridElectricity_Backend[[#This Row],[RSD]]))</f>
        <v/>
      </c>
      <c r="AO260" s="210" t="str">
        <f>IF(Buildings_GridElectricity_Frontend[[#This Row],[Data]]="","",_xlfn.XLOOKUP(_xlfn.CONCAT(Buildings_GridElectricity_Backend[[#This Row],[Level 1]:[Level 6]]),rng_EFConcat,rng_EFOOS)*Buildings_GridElectricity_Backend[[#This Row],[Converted data]]/1000)</f>
        <v/>
      </c>
      <c r="AP260" s="174">
        <f>Buildings_GridElectricity_Frontend[[#This Row],[Ease of collection]]</f>
        <v>0</v>
      </c>
      <c r="AQ260" s="213">
        <f>Buildings_GridElectricity_Frontend[[#This Row],[Completeness]]</f>
        <v>0</v>
      </c>
      <c r="AR260" s="220">
        <f>Buildings_GridElectricity_Frontend[[#This Row],[Notes]]</f>
        <v>0</v>
      </c>
    </row>
    <row r="261" spans="5:44" x14ac:dyDescent="0.3">
      <c r="E261" s="346"/>
      <c r="F261" s="449"/>
      <c r="G261" s="336"/>
      <c r="H261" s="334"/>
      <c r="I261" s="172" t="s">
        <v>316</v>
      </c>
      <c r="J261" s="337"/>
      <c r="K261" s="336"/>
      <c r="L261" s="336"/>
      <c r="M261" s="337"/>
      <c r="N261" s="242">
        <f t="shared" si="9"/>
        <v>3</v>
      </c>
      <c r="Q261" s="212" t="str">
        <f t="shared" si="8"/>
        <v/>
      </c>
      <c r="R261" s="174" t="s">
        <v>265</v>
      </c>
      <c r="S261" s="174" t="s">
        <v>273</v>
      </c>
      <c r="T261" s="174" t="str">
        <f>_xlfn.XLOOKUP(Buildings_GridElectricity_Backend[[#This Row],[Info 1]],Buildings_SiteInfo[Site name],Buildings_SiteInfo[Site type], "")</f>
        <v/>
      </c>
      <c r="U261" s="174" t="s">
        <v>281</v>
      </c>
      <c r="V261" s="174" t="str" cm="1">
        <f t="array" aca="1" ref="V261" ca="1">_xlfn.XLOOKUP(Buildings_GridElectricity_Backend[[#This Row],[Level 4]],rng_Level4Long,rng_Level5Long)</f>
        <v>Electricity</v>
      </c>
      <c r="W261" s="174" t="str" cm="1">
        <f t="array" aca="1" ref="W261" ca="1">_xlfn.XLOOKUP(Buildings_GridElectricity_Backend[[#This Row],[Level 4]],rng_Level4Long,rng_Level6Long)</f>
        <v>NaN</v>
      </c>
      <c r="X261" s="174">
        <f>Buildings_GridElectricity_Frontend[[#This Row],[Site Name]]</f>
        <v>0</v>
      </c>
      <c r="Y261" s="174">
        <f>Buildings_GridElectricity_Frontend[[#This Row],[Contracting]]</f>
        <v>0</v>
      </c>
      <c r="Z261" s="174">
        <f>Buildings_GridElectricity_Frontend[[#This Row],[Methodology]]</f>
        <v>0</v>
      </c>
      <c r="AA261" s="229" t="str" cm="1">
        <f t="array" ref="AA261">IF(Buildings_GridElectricity_Frontend[[#This Row],[Data]]="","",INDEX(_xlfn.SWITCH(Buildings_GridElectricity_Backend[[#This Row],[Methodology]],"Tier 1",rng_RSD1,"Tier 2",rng_RSD2,"Tier 3",rng_RSD3),MATCH(_xlfn.CONCAT(Buildings_GridElectricity_Backend[[#This Row],[Level 1]:[Level 6]]),rng_LevelsConcat,0)))</f>
        <v/>
      </c>
      <c r="AB261" s="220">
        <f>Buildings_GridElectricity_Frontend[[#This Row],[Data]]</f>
        <v>0</v>
      </c>
      <c r="AC261" s="174" t="str">
        <f>Buildings_GridElectricity_Frontend[[#This Row],[Units]]</f>
        <v>kWh</v>
      </c>
      <c r="AD261" s="218">
        <f>Buildings_GridElectricity_Frontend[[#This Row],[Data]]</f>
        <v>0</v>
      </c>
      <c r="AE261" s="174" t="str">
        <f>Buildings_GridElectricity_Frontend[[#This Row],[Units]]</f>
        <v>kWh</v>
      </c>
      <c r="AF261" s="210" t="str">
        <f>IF(Buildings_GridElectricity_Frontend[[#This Row],[Data]]="","",_xlfn.XLOOKUP(_xlfn.CONCAT(Buildings_GridElectricity_Backend[[#This Row],[Level 1]:[Level 6]]),rng_EFConcat,rng_EF1)*Buildings_GridElectricity_Backend[[#This Row],[Converted data]]/1000)</f>
        <v/>
      </c>
      <c r="AG261" s="210" t="str">
        <f>IF(Buildings_GridElectricity_Frontend[[#This Row],[Data]]="","",_xlfn.XLOOKUP(_xlfn.CONCAT(Buildings_GridElectricity_Backend[[#This Row],[Level 1]:[Level 6]]),rng_EFConcat,rng_EF2)*Buildings_GridElectricity_Backend[[#This Row],[Converted data]]/1000)</f>
        <v/>
      </c>
      <c r="AH261" s="210" t="str">
        <f>IF(Buildings_GridElectricity_Frontend[[#This Row],[Data]]="","",_xlfn.XLOOKUP(_xlfn.CONCAT(Buildings_GridElectricity_Backend[[#This Row],[Level 1]:[Level 6]]),rng_EFConcat,rng_EF3)*Buildings_GridElectricity_Backend[[#This Row],[Converted data]]/1000)</f>
        <v/>
      </c>
      <c r="AI261" s="210" t="str">
        <f>IF(Buildings_GridElectricity_Frontend[[#This Row],[Data]]="","",_xlfn.XLOOKUP(_xlfn.CONCAT(Buildings_GridElectricity_Backend[[#This Row],[Level 1]:[Level 6]]),rng_EFConcat,rng_EF3WTT)*Buildings_GridElectricity_Backend[[#This Row],[Converted data]]/1000)</f>
        <v/>
      </c>
      <c r="AJ261" s="210" t="str">
        <f>IF(Buildings_GridElectricity_Frontend[[#This Row],[Data]]="","",_xlfn.XLOOKUP(_xlfn.CONCAT(Buildings_GridElectricity_Backend[[#This Row],[Level 1]:[Level 6]]),rng_EFConcat,rng_EF3TD)*Buildings_GridElectricity_Backend[[#This Row],[Converted data]]/1000)</f>
        <v/>
      </c>
      <c r="AK261" s="210" t="str">
        <f>IF(Buildings_GridElectricity_Frontend[[#This Row],[Data]]="","",_xlfn.XLOOKUP(_xlfn.CONCAT(Buildings_GridElectricity_Backend[[#This Row],[Level 1]:[Level 6]]),rng_EFConcat,rng_EF3WTTTD)*Buildings_GridElectricity_Backend[[#This Row],[Converted data]]/1000)</f>
        <v/>
      </c>
      <c r="AL261" s="220" t="str">
        <f>IF(Buildings_GridElectricity_Frontend[[#This Row],[Data]]="","",SUM(Buildings_GridElectricity_Backend[[#This Row],[Scope 1 (tCO2e)]:[Scope 3 WTT T&amp;D (tCO2e)]]))</f>
        <v/>
      </c>
      <c r="AM261" s="220" t="str">
        <f>IF(Buildings_GridElectricity_Frontend[[#This Row],[Data]]="","",Buildings_GridElectricity_Backend[[#This Row],[Total (tCO2e)]]*(1-Buildings_GridElectricity_Backend[[#This Row],[RSD]]))</f>
        <v/>
      </c>
      <c r="AN261" s="220" t="str">
        <f>IF(Buildings_GridElectricity_Frontend[[#This Row],[Data]]="","",Buildings_GridElectricity_Backend[[#This Row],[Total (tCO2e)]]*(1+Buildings_GridElectricity_Backend[[#This Row],[RSD]]))</f>
        <v/>
      </c>
      <c r="AO261" s="210" t="str">
        <f>IF(Buildings_GridElectricity_Frontend[[#This Row],[Data]]="","",_xlfn.XLOOKUP(_xlfn.CONCAT(Buildings_GridElectricity_Backend[[#This Row],[Level 1]:[Level 6]]),rng_EFConcat,rng_EFOOS)*Buildings_GridElectricity_Backend[[#This Row],[Converted data]]/1000)</f>
        <v/>
      </c>
      <c r="AP261" s="174">
        <f>Buildings_GridElectricity_Frontend[[#This Row],[Ease of collection]]</f>
        <v>0</v>
      </c>
      <c r="AQ261" s="213">
        <f>Buildings_GridElectricity_Frontend[[#This Row],[Completeness]]</f>
        <v>0</v>
      </c>
      <c r="AR261" s="220">
        <f>Buildings_GridElectricity_Frontend[[#This Row],[Notes]]</f>
        <v>0</v>
      </c>
    </row>
    <row r="262" spans="5:44" x14ac:dyDescent="0.3">
      <c r="E262" s="346"/>
      <c r="F262" s="449"/>
      <c r="G262" s="336"/>
      <c r="H262" s="334"/>
      <c r="I262" s="172" t="s">
        <v>316</v>
      </c>
      <c r="J262" s="337"/>
      <c r="K262" s="336"/>
      <c r="L262" s="336"/>
      <c r="M262" s="337"/>
      <c r="N262" s="242">
        <f t="shared" si="9"/>
        <v>3</v>
      </c>
      <c r="Q262" s="212" t="str">
        <f t="shared" si="8"/>
        <v/>
      </c>
      <c r="R262" s="174" t="s">
        <v>265</v>
      </c>
      <c r="S262" s="174" t="s">
        <v>273</v>
      </c>
      <c r="T262" s="174" t="str">
        <f>_xlfn.XLOOKUP(Buildings_GridElectricity_Backend[[#This Row],[Info 1]],Buildings_SiteInfo[Site name],Buildings_SiteInfo[Site type], "")</f>
        <v/>
      </c>
      <c r="U262" s="174" t="s">
        <v>281</v>
      </c>
      <c r="V262" s="174" t="str" cm="1">
        <f t="array" aca="1" ref="V262" ca="1">_xlfn.XLOOKUP(Buildings_GridElectricity_Backend[[#This Row],[Level 4]],rng_Level4Long,rng_Level5Long)</f>
        <v>Electricity</v>
      </c>
      <c r="W262" s="174" t="str" cm="1">
        <f t="array" aca="1" ref="W262" ca="1">_xlfn.XLOOKUP(Buildings_GridElectricity_Backend[[#This Row],[Level 4]],rng_Level4Long,rng_Level6Long)</f>
        <v>NaN</v>
      </c>
      <c r="X262" s="174">
        <f>Buildings_GridElectricity_Frontend[[#This Row],[Site Name]]</f>
        <v>0</v>
      </c>
      <c r="Y262" s="174">
        <f>Buildings_GridElectricity_Frontend[[#This Row],[Contracting]]</f>
        <v>0</v>
      </c>
      <c r="Z262" s="174">
        <f>Buildings_GridElectricity_Frontend[[#This Row],[Methodology]]</f>
        <v>0</v>
      </c>
      <c r="AA262" s="229" t="str" cm="1">
        <f t="array" ref="AA262">IF(Buildings_GridElectricity_Frontend[[#This Row],[Data]]="","",INDEX(_xlfn.SWITCH(Buildings_GridElectricity_Backend[[#This Row],[Methodology]],"Tier 1",rng_RSD1,"Tier 2",rng_RSD2,"Tier 3",rng_RSD3),MATCH(_xlfn.CONCAT(Buildings_GridElectricity_Backend[[#This Row],[Level 1]:[Level 6]]),rng_LevelsConcat,0)))</f>
        <v/>
      </c>
      <c r="AB262" s="220">
        <f>Buildings_GridElectricity_Frontend[[#This Row],[Data]]</f>
        <v>0</v>
      </c>
      <c r="AC262" s="174" t="str">
        <f>Buildings_GridElectricity_Frontend[[#This Row],[Units]]</f>
        <v>kWh</v>
      </c>
      <c r="AD262" s="218">
        <f>Buildings_GridElectricity_Frontend[[#This Row],[Data]]</f>
        <v>0</v>
      </c>
      <c r="AE262" s="174" t="str">
        <f>Buildings_GridElectricity_Frontend[[#This Row],[Units]]</f>
        <v>kWh</v>
      </c>
      <c r="AF262" s="210" t="str">
        <f>IF(Buildings_GridElectricity_Frontend[[#This Row],[Data]]="","",_xlfn.XLOOKUP(_xlfn.CONCAT(Buildings_GridElectricity_Backend[[#This Row],[Level 1]:[Level 6]]),rng_EFConcat,rng_EF1)*Buildings_GridElectricity_Backend[[#This Row],[Converted data]]/1000)</f>
        <v/>
      </c>
      <c r="AG262" s="210" t="str">
        <f>IF(Buildings_GridElectricity_Frontend[[#This Row],[Data]]="","",_xlfn.XLOOKUP(_xlfn.CONCAT(Buildings_GridElectricity_Backend[[#This Row],[Level 1]:[Level 6]]),rng_EFConcat,rng_EF2)*Buildings_GridElectricity_Backend[[#This Row],[Converted data]]/1000)</f>
        <v/>
      </c>
      <c r="AH262" s="210" t="str">
        <f>IF(Buildings_GridElectricity_Frontend[[#This Row],[Data]]="","",_xlfn.XLOOKUP(_xlfn.CONCAT(Buildings_GridElectricity_Backend[[#This Row],[Level 1]:[Level 6]]),rng_EFConcat,rng_EF3)*Buildings_GridElectricity_Backend[[#This Row],[Converted data]]/1000)</f>
        <v/>
      </c>
      <c r="AI262" s="210" t="str">
        <f>IF(Buildings_GridElectricity_Frontend[[#This Row],[Data]]="","",_xlfn.XLOOKUP(_xlfn.CONCAT(Buildings_GridElectricity_Backend[[#This Row],[Level 1]:[Level 6]]),rng_EFConcat,rng_EF3WTT)*Buildings_GridElectricity_Backend[[#This Row],[Converted data]]/1000)</f>
        <v/>
      </c>
      <c r="AJ262" s="210" t="str">
        <f>IF(Buildings_GridElectricity_Frontend[[#This Row],[Data]]="","",_xlfn.XLOOKUP(_xlfn.CONCAT(Buildings_GridElectricity_Backend[[#This Row],[Level 1]:[Level 6]]),rng_EFConcat,rng_EF3TD)*Buildings_GridElectricity_Backend[[#This Row],[Converted data]]/1000)</f>
        <v/>
      </c>
      <c r="AK262" s="210" t="str">
        <f>IF(Buildings_GridElectricity_Frontend[[#This Row],[Data]]="","",_xlfn.XLOOKUP(_xlfn.CONCAT(Buildings_GridElectricity_Backend[[#This Row],[Level 1]:[Level 6]]),rng_EFConcat,rng_EF3WTTTD)*Buildings_GridElectricity_Backend[[#This Row],[Converted data]]/1000)</f>
        <v/>
      </c>
      <c r="AL262" s="220" t="str">
        <f>IF(Buildings_GridElectricity_Frontend[[#This Row],[Data]]="","",SUM(Buildings_GridElectricity_Backend[[#This Row],[Scope 1 (tCO2e)]:[Scope 3 WTT T&amp;D (tCO2e)]]))</f>
        <v/>
      </c>
      <c r="AM262" s="220" t="str">
        <f>IF(Buildings_GridElectricity_Frontend[[#This Row],[Data]]="","",Buildings_GridElectricity_Backend[[#This Row],[Total (tCO2e)]]*(1-Buildings_GridElectricity_Backend[[#This Row],[RSD]]))</f>
        <v/>
      </c>
      <c r="AN262" s="220" t="str">
        <f>IF(Buildings_GridElectricity_Frontend[[#This Row],[Data]]="","",Buildings_GridElectricity_Backend[[#This Row],[Total (tCO2e)]]*(1+Buildings_GridElectricity_Backend[[#This Row],[RSD]]))</f>
        <v/>
      </c>
      <c r="AO262" s="210" t="str">
        <f>IF(Buildings_GridElectricity_Frontend[[#This Row],[Data]]="","",_xlfn.XLOOKUP(_xlfn.CONCAT(Buildings_GridElectricity_Backend[[#This Row],[Level 1]:[Level 6]]),rng_EFConcat,rng_EFOOS)*Buildings_GridElectricity_Backend[[#This Row],[Converted data]]/1000)</f>
        <v/>
      </c>
      <c r="AP262" s="174">
        <f>Buildings_GridElectricity_Frontend[[#This Row],[Ease of collection]]</f>
        <v>0</v>
      </c>
      <c r="AQ262" s="213">
        <f>Buildings_GridElectricity_Frontend[[#This Row],[Completeness]]</f>
        <v>0</v>
      </c>
      <c r="AR262" s="220">
        <f>Buildings_GridElectricity_Frontend[[#This Row],[Notes]]</f>
        <v>0</v>
      </c>
    </row>
    <row r="263" spans="5:44" x14ac:dyDescent="0.3">
      <c r="E263" s="346"/>
      <c r="F263" s="449"/>
      <c r="G263" s="336"/>
      <c r="H263" s="334"/>
      <c r="I263" s="172" t="s">
        <v>316</v>
      </c>
      <c r="J263" s="337"/>
      <c r="K263" s="336"/>
      <c r="L263" s="336"/>
      <c r="M263" s="337"/>
      <c r="N263" s="242">
        <f t="shared" si="9"/>
        <v>3</v>
      </c>
      <c r="Q263" s="212" t="str">
        <f t="shared" si="8"/>
        <v/>
      </c>
      <c r="R263" s="174" t="s">
        <v>265</v>
      </c>
      <c r="S263" s="174" t="s">
        <v>273</v>
      </c>
      <c r="T263" s="174" t="str">
        <f>_xlfn.XLOOKUP(Buildings_GridElectricity_Backend[[#This Row],[Info 1]],Buildings_SiteInfo[Site name],Buildings_SiteInfo[Site type], "")</f>
        <v/>
      </c>
      <c r="U263" s="174" t="s">
        <v>281</v>
      </c>
      <c r="V263" s="174" t="str" cm="1">
        <f t="array" aca="1" ref="V263" ca="1">_xlfn.XLOOKUP(Buildings_GridElectricity_Backend[[#This Row],[Level 4]],rng_Level4Long,rng_Level5Long)</f>
        <v>Electricity</v>
      </c>
      <c r="W263" s="174" t="str" cm="1">
        <f t="array" aca="1" ref="W263" ca="1">_xlfn.XLOOKUP(Buildings_GridElectricity_Backend[[#This Row],[Level 4]],rng_Level4Long,rng_Level6Long)</f>
        <v>NaN</v>
      </c>
      <c r="X263" s="174">
        <f>Buildings_GridElectricity_Frontend[[#This Row],[Site Name]]</f>
        <v>0</v>
      </c>
      <c r="Y263" s="174">
        <f>Buildings_GridElectricity_Frontend[[#This Row],[Contracting]]</f>
        <v>0</v>
      </c>
      <c r="Z263" s="174">
        <f>Buildings_GridElectricity_Frontend[[#This Row],[Methodology]]</f>
        <v>0</v>
      </c>
      <c r="AA263" s="229" t="str" cm="1">
        <f t="array" ref="AA263">IF(Buildings_GridElectricity_Frontend[[#This Row],[Data]]="","",INDEX(_xlfn.SWITCH(Buildings_GridElectricity_Backend[[#This Row],[Methodology]],"Tier 1",rng_RSD1,"Tier 2",rng_RSD2,"Tier 3",rng_RSD3),MATCH(_xlfn.CONCAT(Buildings_GridElectricity_Backend[[#This Row],[Level 1]:[Level 6]]),rng_LevelsConcat,0)))</f>
        <v/>
      </c>
      <c r="AB263" s="220">
        <f>Buildings_GridElectricity_Frontend[[#This Row],[Data]]</f>
        <v>0</v>
      </c>
      <c r="AC263" s="174" t="str">
        <f>Buildings_GridElectricity_Frontend[[#This Row],[Units]]</f>
        <v>kWh</v>
      </c>
      <c r="AD263" s="218">
        <f>Buildings_GridElectricity_Frontend[[#This Row],[Data]]</f>
        <v>0</v>
      </c>
      <c r="AE263" s="174" t="str">
        <f>Buildings_GridElectricity_Frontend[[#This Row],[Units]]</f>
        <v>kWh</v>
      </c>
      <c r="AF263" s="210" t="str">
        <f>IF(Buildings_GridElectricity_Frontend[[#This Row],[Data]]="","",_xlfn.XLOOKUP(_xlfn.CONCAT(Buildings_GridElectricity_Backend[[#This Row],[Level 1]:[Level 6]]),rng_EFConcat,rng_EF1)*Buildings_GridElectricity_Backend[[#This Row],[Converted data]]/1000)</f>
        <v/>
      </c>
      <c r="AG263" s="210" t="str">
        <f>IF(Buildings_GridElectricity_Frontend[[#This Row],[Data]]="","",_xlfn.XLOOKUP(_xlfn.CONCAT(Buildings_GridElectricity_Backend[[#This Row],[Level 1]:[Level 6]]),rng_EFConcat,rng_EF2)*Buildings_GridElectricity_Backend[[#This Row],[Converted data]]/1000)</f>
        <v/>
      </c>
      <c r="AH263" s="210" t="str">
        <f>IF(Buildings_GridElectricity_Frontend[[#This Row],[Data]]="","",_xlfn.XLOOKUP(_xlfn.CONCAT(Buildings_GridElectricity_Backend[[#This Row],[Level 1]:[Level 6]]),rng_EFConcat,rng_EF3)*Buildings_GridElectricity_Backend[[#This Row],[Converted data]]/1000)</f>
        <v/>
      </c>
      <c r="AI263" s="210" t="str">
        <f>IF(Buildings_GridElectricity_Frontend[[#This Row],[Data]]="","",_xlfn.XLOOKUP(_xlfn.CONCAT(Buildings_GridElectricity_Backend[[#This Row],[Level 1]:[Level 6]]),rng_EFConcat,rng_EF3WTT)*Buildings_GridElectricity_Backend[[#This Row],[Converted data]]/1000)</f>
        <v/>
      </c>
      <c r="AJ263" s="210" t="str">
        <f>IF(Buildings_GridElectricity_Frontend[[#This Row],[Data]]="","",_xlfn.XLOOKUP(_xlfn.CONCAT(Buildings_GridElectricity_Backend[[#This Row],[Level 1]:[Level 6]]),rng_EFConcat,rng_EF3TD)*Buildings_GridElectricity_Backend[[#This Row],[Converted data]]/1000)</f>
        <v/>
      </c>
      <c r="AK263" s="210" t="str">
        <f>IF(Buildings_GridElectricity_Frontend[[#This Row],[Data]]="","",_xlfn.XLOOKUP(_xlfn.CONCAT(Buildings_GridElectricity_Backend[[#This Row],[Level 1]:[Level 6]]),rng_EFConcat,rng_EF3WTTTD)*Buildings_GridElectricity_Backend[[#This Row],[Converted data]]/1000)</f>
        <v/>
      </c>
      <c r="AL263" s="220" t="str">
        <f>IF(Buildings_GridElectricity_Frontend[[#This Row],[Data]]="","",SUM(Buildings_GridElectricity_Backend[[#This Row],[Scope 1 (tCO2e)]:[Scope 3 WTT T&amp;D (tCO2e)]]))</f>
        <v/>
      </c>
      <c r="AM263" s="220" t="str">
        <f>IF(Buildings_GridElectricity_Frontend[[#This Row],[Data]]="","",Buildings_GridElectricity_Backend[[#This Row],[Total (tCO2e)]]*(1-Buildings_GridElectricity_Backend[[#This Row],[RSD]]))</f>
        <v/>
      </c>
      <c r="AN263" s="220" t="str">
        <f>IF(Buildings_GridElectricity_Frontend[[#This Row],[Data]]="","",Buildings_GridElectricity_Backend[[#This Row],[Total (tCO2e)]]*(1+Buildings_GridElectricity_Backend[[#This Row],[RSD]]))</f>
        <v/>
      </c>
      <c r="AO263" s="210" t="str">
        <f>IF(Buildings_GridElectricity_Frontend[[#This Row],[Data]]="","",_xlfn.XLOOKUP(_xlfn.CONCAT(Buildings_GridElectricity_Backend[[#This Row],[Level 1]:[Level 6]]),rng_EFConcat,rng_EFOOS)*Buildings_GridElectricity_Backend[[#This Row],[Converted data]]/1000)</f>
        <v/>
      </c>
      <c r="AP263" s="174">
        <f>Buildings_GridElectricity_Frontend[[#This Row],[Ease of collection]]</f>
        <v>0</v>
      </c>
      <c r="AQ263" s="213">
        <f>Buildings_GridElectricity_Frontend[[#This Row],[Completeness]]</f>
        <v>0</v>
      </c>
      <c r="AR263" s="220">
        <f>Buildings_GridElectricity_Frontend[[#This Row],[Notes]]</f>
        <v>0</v>
      </c>
    </row>
    <row r="264" spans="5:44" x14ac:dyDescent="0.3">
      <c r="E264" s="346"/>
      <c r="F264" s="449"/>
      <c r="G264" s="336"/>
      <c r="H264" s="334"/>
      <c r="I264" s="172" t="s">
        <v>316</v>
      </c>
      <c r="J264" s="337"/>
      <c r="K264" s="336"/>
      <c r="L264" s="336"/>
      <c r="M264" s="337"/>
      <c r="N264" s="242">
        <f t="shared" si="9"/>
        <v>3</v>
      </c>
      <c r="Q264" s="212" t="str">
        <f t="shared" si="8"/>
        <v/>
      </c>
      <c r="R264" s="174" t="s">
        <v>265</v>
      </c>
      <c r="S264" s="174" t="s">
        <v>273</v>
      </c>
      <c r="T264" s="174" t="str">
        <f>_xlfn.XLOOKUP(Buildings_GridElectricity_Backend[[#This Row],[Info 1]],Buildings_SiteInfo[Site name],Buildings_SiteInfo[Site type], "")</f>
        <v/>
      </c>
      <c r="U264" s="174" t="s">
        <v>281</v>
      </c>
      <c r="V264" s="174" t="str" cm="1">
        <f t="array" aca="1" ref="V264" ca="1">_xlfn.XLOOKUP(Buildings_GridElectricity_Backend[[#This Row],[Level 4]],rng_Level4Long,rng_Level5Long)</f>
        <v>Electricity</v>
      </c>
      <c r="W264" s="174" t="str" cm="1">
        <f t="array" aca="1" ref="W264" ca="1">_xlfn.XLOOKUP(Buildings_GridElectricity_Backend[[#This Row],[Level 4]],rng_Level4Long,rng_Level6Long)</f>
        <v>NaN</v>
      </c>
      <c r="X264" s="174">
        <f>Buildings_GridElectricity_Frontend[[#This Row],[Site Name]]</f>
        <v>0</v>
      </c>
      <c r="Y264" s="174">
        <f>Buildings_GridElectricity_Frontend[[#This Row],[Contracting]]</f>
        <v>0</v>
      </c>
      <c r="Z264" s="174">
        <f>Buildings_GridElectricity_Frontend[[#This Row],[Methodology]]</f>
        <v>0</v>
      </c>
      <c r="AA264" s="229" t="str" cm="1">
        <f t="array" ref="AA264">IF(Buildings_GridElectricity_Frontend[[#This Row],[Data]]="","",INDEX(_xlfn.SWITCH(Buildings_GridElectricity_Backend[[#This Row],[Methodology]],"Tier 1",rng_RSD1,"Tier 2",rng_RSD2,"Tier 3",rng_RSD3),MATCH(_xlfn.CONCAT(Buildings_GridElectricity_Backend[[#This Row],[Level 1]:[Level 6]]),rng_LevelsConcat,0)))</f>
        <v/>
      </c>
      <c r="AB264" s="220">
        <f>Buildings_GridElectricity_Frontend[[#This Row],[Data]]</f>
        <v>0</v>
      </c>
      <c r="AC264" s="174" t="str">
        <f>Buildings_GridElectricity_Frontend[[#This Row],[Units]]</f>
        <v>kWh</v>
      </c>
      <c r="AD264" s="218">
        <f>Buildings_GridElectricity_Frontend[[#This Row],[Data]]</f>
        <v>0</v>
      </c>
      <c r="AE264" s="174" t="str">
        <f>Buildings_GridElectricity_Frontend[[#This Row],[Units]]</f>
        <v>kWh</v>
      </c>
      <c r="AF264" s="210" t="str">
        <f>IF(Buildings_GridElectricity_Frontend[[#This Row],[Data]]="","",_xlfn.XLOOKUP(_xlfn.CONCAT(Buildings_GridElectricity_Backend[[#This Row],[Level 1]:[Level 6]]),rng_EFConcat,rng_EF1)*Buildings_GridElectricity_Backend[[#This Row],[Converted data]]/1000)</f>
        <v/>
      </c>
      <c r="AG264" s="210" t="str">
        <f>IF(Buildings_GridElectricity_Frontend[[#This Row],[Data]]="","",_xlfn.XLOOKUP(_xlfn.CONCAT(Buildings_GridElectricity_Backend[[#This Row],[Level 1]:[Level 6]]),rng_EFConcat,rng_EF2)*Buildings_GridElectricity_Backend[[#This Row],[Converted data]]/1000)</f>
        <v/>
      </c>
      <c r="AH264" s="210" t="str">
        <f>IF(Buildings_GridElectricity_Frontend[[#This Row],[Data]]="","",_xlfn.XLOOKUP(_xlfn.CONCAT(Buildings_GridElectricity_Backend[[#This Row],[Level 1]:[Level 6]]),rng_EFConcat,rng_EF3)*Buildings_GridElectricity_Backend[[#This Row],[Converted data]]/1000)</f>
        <v/>
      </c>
      <c r="AI264" s="210" t="str">
        <f>IF(Buildings_GridElectricity_Frontend[[#This Row],[Data]]="","",_xlfn.XLOOKUP(_xlfn.CONCAT(Buildings_GridElectricity_Backend[[#This Row],[Level 1]:[Level 6]]),rng_EFConcat,rng_EF3WTT)*Buildings_GridElectricity_Backend[[#This Row],[Converted data]]/1000)</f>
        <v/>
      </c>
      <c r="AJ264" s="210" t="str">
        <f>IF(Buildings_GridElectricity_Frontend[[#This Row],[Data]]="","",_xlfn.XLOOKUP(_xlfn.CONCAT(Buildings_GridElectricity_Backend[[#This Row],[Level 1]:[Level 6]]),rng_EFConcat,rng_EF3TD)*Buildings_GridElectricity_Backend[[#This Row],[Converted data]]/1000)</f>
        <v/>
      </c>
      <c r="AK264" s="210" t="str">
        <f>IF(Buildings_GridElectricity_Frontend[[#This Row],[Data]]="","",_xlfn.XLOOKUP(_xlfn.CONCAT(Buildings_GridElectricity_Backend[[#This Row],[Level 1]:[Level 6]]),rng_EFConcat,rng_EF3WTTTD)*Buildings_GridElectricity_Backend[[#This Row],[Converted data]]/1000)</f>
        <v/>
      </c>
      <c r="AL264" s="220" t="str">
        <f>IF(Buildings_GridElectricity_Frontend[[#This Row],[Data]]="","",SUM(Buildings_GridElectricity_Backend[[#This Row],[Scope 1 (tCO2e)]:[Scope 3 WTT T&amp;D (tCO2e)]]))</f>
        <v/>
      </c>
      <c r="AM264" s="220" t="str">
        <f>IF(Buildings_GridElectricity_Frontend[[#This Row],[Data]]="","",Buildings_GridElectricity_Backend[[#This Row],[Total (tCO2e)]]*(1-Buildings_GridElectricity_Backend[[#This Row],[RSD]]))</f>
        <v/>
      </c>
      <c r="AN264" s="220" t="str">
        <f>IF(Buildings_GridElectricity_Frontend[[#This Row],[Data]]="","",Buildings_GridElectricity_Backend[[#This Row],[Total (tCO2e)]]*(1+Buildings_GridElectricity_Backend[[#This Row],[RSD]]))</f>
        <v/>
      </c>
      <c r="AO264" s="210" t="str">
        <f>IF(Buildings_GridElectricity_Frontend[[#This Row],[Data]]="","",_xlfn.XLOOKUP(_xlfn.CONCAT(Buildings_GridElectricity_Backend[[#This Row],[Level 1]:[Level 6]]),rng_EFConcat,rng_EFOOS)*Buildings_GridElectricity_Backend[[#This Row],[Converted data]]/1000)</f>
        <v/>
      </c>
      <c r="AP264" s="174">
        <f>Buildings_GridElectricity_Frontend[[#This Row],[Ease of collection]]</f>
        <v>0</v>
      </c>
      <c r="AQ264" s="213">
        <f>Buildings_GridElectricity_Frontend[[#This Row],[Completeness]]</f>
        <v>0</v>
      </c>
      <c r="AR264" s="220">
        <f>Buildings_GridElectricity_Frontend[[#This Row],[Notes]]</f>
        <v>0</v>
      </c>
    </row>
    <row r="265" spans="5:44" x14ac:dyDescent="0.3">
      <c r="E265" s="346"/>
      <c r="F265" s="449"/>
      <c r="G265" s="336"/>
      <c r="H265" s="334"/>
      <c r="I265" s="172" t="s">
        <v>316</v>
      </c>
      <c r="J265" s="337"/>
      <c r="K265" s="336"/>
      <c r="L265" s="336"/>
      <c r="M265" s="337"/>
      <c r="N265" s="242">
        <f t="shared" si="9"/>
        <v>3</v>
      </c>
      <c r="Q265" s="212" t="str">
        <f t="shared" si="8"/>
        <v/>
      </c>
      <c r="R265" s="174" t="s">
        <v>265</v>
      </c>
      <c r="S265" s="174" t="s">
        <v>273</v>
      </c>
      <c r="T265" s="174" t="str">
        <f>_xlfn.XLOOKUP(Buildings_GridElectricity_Backend[[#This Row],[Info 1]],Buildings_SiteInfo[Site name],Buildings_SiteInfo[Site type], "")</f>
        <v/>
      </c>
      <c r="U265" s="174" t="s">
        <v>281</v>
      </c>
      <c r="V265" s="174" t="str" cm="1">
        <f t="array" aca="1" ref="V265" ca="1">_xlfn.XLOOKUP(Buildings_GridElectricity_Backend[[#This Row],[Level 4]],rng_Level4Long,rng_Level5Long)</f>
        <v>Electricity</v>
      </c>
      <c r="W265" s="174" t="str" cm="1">
        <f t="array" aca="1" ref="W265" ca="1">_xlfn.XLOOKUP(Buildings_GridElectricity_Backend[[#This Row],[Level 4]],rng_Level4Long,rng_Level6Long)</f>
        <v>NaN</v>
      </c>
      <c r="X265" s="174">
        <f>Buildings_GridElectricity_Frontend[[#This Row],[Site Name]]</f>
        <v>0</v>
      </c>
      <c r="Y265" s="174">
        <f>Buildings_GridElectricity_Frontend[[#This Row],[Contracting]]</f>
        <v>0</v>
      </c>
      <c r="Z265" s="174">
        <f>Buildings_GridElectricity_Frontend[[#This Row],[Methodology]]</f>
        <v>0</v>
      </c>
      <c r="AA265" s="229" t="str" cm="1">
        <f t="array" ref="AA265">IF(Buildings_GridElectricity_Frontend[[#This Row],[Data]]="","",INDEX(_xlfn.SWITCH(Buildings_GridElectricity_Backend[[#This Row],[Methodology]],"Tier 1",rng_RSD1,"Tier 2",rng_RSD2,"Tier 3",rng_RSD3),MATCH(_xlfn.CONCAT(Buildings_GridElectricity_Backend[[#This Row],[Level 1]:[Level 6]]),rng_LevelsConcat,0)))</f>
        <v/>
      </c>
      <c r="AB265" s="220">
        <f>Buildings_GridElectricity_Frontend[[#This Row],[Data]]</f>
        <v>0</v>
      </c>
      <c r="AC265" s="174" t="str">
        <f>Buildings_GridElectricity_Frontend[[#This Row],[Units]]</f>
        <v>kWh</v>
      </c>
      <c r="AD265" s="218">
        <f>Buildings_GridElectricity_Frontend[[#This Row],[Data]]</f>
        <v>0</v>
      </c>
      <c r="AE265" s="174" t="str">
        <f>Buildings_GridElectricity_Frontend[[#This Row],[Units]]</f>
        <v>kWh</v>
      </c>
      <c r="AF265" s="210" t="str">
        <f>IF(Buildings_GridElectricity_Frontend[[#This Row],[Data]]="","",_xlfn.XLOOKUP(_xlfn.CONCAT(Buildings_GridElectricity_Backend[[#This Row],[Level 1]:[Level 6]]),rng_EFConcat,rng_EF1)*Buildings_GridElectricity_Backend[[#This Row],[Converted data]]/1000)</f>
        <v/>
      </c>
      <c r="AG265" s="210" t="str">
        <f>IF(Buildings_GridElectricity_Frontend[[#This Row],[Data]]="","",_xlfn.XLOOKUP(_xlfn.CONCAT(Buildings_GridElectricity_Backend[[#This Row],[Level 1]:[Level 6]]),rng_EFConcat,rng_EF2)*Buildings_GridElectricity_Backend[[#This Row],[Converted data]]/1000)</f>
        <v/>
      </c>
      <c r="AH265" s="210" t="str">
        <f>IF(Buildings_GridElectricity_Frontend[[#This Row],[Data]]="","",_xlfn.XLOOKUP(_xlfn.CONCAT(Buildings_GridElectricity_Backend[[#This Row],[Level 1]:[Level 6]]),rng_EFConcat,rng_EF3)*Buildings_GridElectricity_Backend[[#This Row],[Converted data]]/1000)</f>
        <v/>
      </c>
      <c r="AI265" s="210" t="str">
        <f>IF(Buildings_GridElectricity_Frontend[[#This Row],[Data]]="","",_xlfn.XLOOKUP(_xlfn.CONCAT(Buildings_GridElectricity_Backend[[#This Row],[Level 1]:[Level 6]]),rng_EFConcat,rng_EF3WTT)*Buildings_GridElectricity_Backend[[#This Row],[Converted data]]/1000)</f>
        <v/>
      </c>
      <c r="AJ265" s="210" t="str">
        <f>IF(Buildings_GridElectricity_Frontend[[#This Row],[Data]]="","",_xlfn.XLOOKUP(_xlfn.CONCAT(Buildings_GridElectricity_Backend[[#This Row],[Level 1]:[Level 6]]),rng_EFConcat,rng_EF3TD)*Buildings_GridElectricity_Backend[[#This Row],[Converted data]]/1000)</f>
        <v/>
      </c>
      <c r="AK265" s="210" t="str">
        <f>IF(Buildings_GridElectricity_Frontend[[#This Row],[Data]]="","",_xlfn.XLOOKUP(_xlfn.CONCAT(Buildings_GridElectricity_Backend[[#This Row],[Level 1]:[Level 6]]),rng_EFConcat,rng_EF3WTTTD)*Buildings_GridElectricity_Backend[[#This Row],[Converted data]]/1000)</f>
        <v/>
      </c>
      <c r="AL265" s="220" t="str">
        <f>IF(Buildings_GridElectricity_Frontend[[#This Row],[Data]]="","",SUM(Buildings_GridElectricity_Backend[[#This Row],[Scope 1 (tCO2e)]:[Scope 3 WTT T&amp;D (tCO2e)]]))</f>
        <v/>
      </c>
      <c r="AM265" s="220" t="str">
        <f>IF(Buildings_GridElectricity_Frontend[[#This Row],[Data]]="","",Buildings_GridElectricity_Backend[[#This Row],[Total (tCO2e)]]*(1-Buildings_GridElectricity_Backend[[#This Row],[RSD]]))</f>
        <v/>
      </c>
      <c r="AN265" s="220" t="str">
        <f>IF(Buildings_GridElectricity_Frontend[[#This Row],[Data]]="","",Buildings_GridElectricity_Backend[[#This Row],[Total (tCO2e)]]*(1+Buildings_GridElectricity_Backend[[#This Row],[RSD]]))</f>
        <v/>
      </c>
      <c r="AO265" s="210" t="str">
        <f>IF(Buildings_GridElectricity_Frontend[[#This Row],[Data]]="","",_xlfn.XLOOKUP(_xlfn.CONCAT(Buildings_GridElectricity_Backend[[#This Row],[Level 1]:[Level 6]]),rng_EFConcat,rng_EFOOS)*Buildings_GridElectricity_Backend[[#This Row],[Converted data]]/1000)</f>
        <v/>
      </c>
      <c r="AP265" s="174">
        <f>Buildings_GridElectricity_Frontend[[#This Row],[Ease of collection]]</f>
        <v>0</v>
      </c>
      <c r="AQ265" s="213">
        <f>Buildings_GridElectricity_Frontend[[#This Row],[Completeness]]</f>
        <v>0</v>
      </c>
      <c r="AR265" s="220">
        <f>Buildings_GridElectricity_Frontend[[#This Row],[Notes]]</f>
        <v>0</v>
      </c>
    </row>
    <row r="266" spans="5:44" x14ac:dyDescent="0.3">
      <c r="E266" s="346"/>
      <c r="F266" s="449"/>
      <c r="G266" s="336"/>
      <c r="H266" s="334"/>
      <c r="I266" s="172" t="s">
        <v>316</v>
      </c>
      <c r="J266" s="337"/>
      <c r="K266" s="336"/>
      <c r="L266" s="336"/>
      <c r="M266" s="337"/>
      <c r="N266" s="242">
        <f t="shared" si="9"/>
        <v>3</v>
      </c>
      <c r="Q266" s="212" t="str">
        <f t="shared" si="8"/>
        <v/>
      </c>
      <c r="R266" s="174" t="s">
        <v>265</v>
      </c>
      <c r="S266" s="174" t="s">
        <v>273</v>
      </c>
      <c r="T266" s="174" t="str">
        <f>_xlfn.XLOOKUP(Buildings_GridElectricity_Backend[[#This Row],[Info 1]],Buildings_SiteInfo[Site name],Buildings_SiteInfo[Site type], "")</f>
        <v/>
      </c>
      <c r="U266" s="174" t="s">
        <v>281</v>
      </c>
      <c r="V266" s="174" t="str" cm="1">
        <f t="array" aca="1" ref="V266" ca="1">_xlfn.XLOOKUP(Buildings_GridElectricity_Backend[[#This Row],[Level 4]],rng_Level4Long,rng_Level5Long)</f>
        <v>Electricity</v>
      </c>
      <c r="W266" s="174" t="str" cm="1">
        <f t="array" aca="1" ref="W266" ca="1">_xlfn.XLOOKUP(Buildings_GridElectricity_Backend[[#This Row],[Level 4]],rng_Level4Long,rng_Level6Long)</f>
        <v>NaN</v>
      </c>
      <c r="X266" s="174">
        <f>Buildings_GridElectricity_Frontend[[#This Row],[Site Name]]</f>
        <v>0</v>
      </c>
      <c r="Y266" s="174">
        <f>Buildings_GridElectricity_Frontend[[#This Row],[Contracting]]</f>
        <v>0</v>
      </c>
      <c r="Z266" s="174">
        <f>Buildings_GridElectricity_Frontend[[#This Row],[Methodology]]</f>
        <v>0</v>
      </c>
      <c r="AA266" s="229" t="str" cm="1">
        <f t="array" ref="AA266">IF(Buildings_GridElectricity_Frontend[[#This Row],[Data]]="","",INDEX(_xlfn.SWITCH(Buildings_GridElectricity_Backend[[#This Row],[Methodology]],"Tier 1",rng_RSD1,"Tier 2",rng_RSD2,"Tier 3",rng_RSD3),MATCH(_xlfn.CONCAT(Buildings_GridElectricity_Backend[[#This Row],[Level 1]:[Level 6]]),rng_LevelsConcat,0)))</f>
        <v/>
      </c>
      <c r="AB266" s="220">
        <f>Buildings_GridElectricity_Frontend[[#This Row],[Data]]</f>
        <v>0</v>
      </c>
      <c r="AC266" s="174" t="str">
        <f>Buildings_GridElectricity_Frontend[[#This Row],[Units]]</f>
        <v>kWh</v>
      </c>
      <c r="AD266" s="218">
        <f>Buildings_GridElectricity_Frontend[[#This Row],[Data]]</f>
        <v>0</v>
      </c>
      <c r="AE266" s="174" t="str">
        <f>Buildings_GridElectricity_Frontend[[#This Row],[Units]]</f>
        <v>kWh</v>
      </c>
      <c r="AF266" s="210" t="str">
        <f>IF(Buildings_GridElectricity_Frontend[[#This Row],[Data]]="","",_xlfn.XLOOKUP(_xlfn.CONCAT(Buildings_GridElectricity_Backend[[#This Row],[Level 1]:[Level 6]]),rng_EFConcat,rng_EF1)*Buildings_GridElectricity_Backend[[#This Row],[Converted data]]/1000)</f>
        <v/>
      </c>
      <c r="AG266" s="210" t="str">
        <f>IF(Buildings_GridElectricity_Frontend[[#This Row],[Data]]="","",_xlfn.XLOOKUP(_xlfn.CONCAT(Buildings_GridElectricity_Backend[[#This Row],[Level 1]:[Level 6]]),rng_EFConcat,rng_EF2)*Buildings_GridElectricity_Backend[[#This Row],[Converted data]]/1000)</f>
        <v/>
      </c>
      <c r="AH266" s="210" t="str">
        <f>IF(Buildings_GridElectricity_Frontend[[#This Row],[Data]]="","",_xlfn.XLOOKUP(_xlfn.CONCAT(Buildings_GridElectricity_Backend[[#This Row],[Level 1]:[Level 6]]),rng_EFConcat,rng_EF3)*Buildings_GridElectricity_Backend[[#This Row],[Converted data]]/1000)</f>
        <v/>
      </c>
      <c r="AI266" s="210" t="str">
        <f>IF(Buildings_GridElectricity_Frontend[[#This Row],[Data]]="","",_xlfn.XLOOKUP(_xlfn.CONCAT(Buildings_GridElectricity_Backend[[#This Row],[Level 1]:[Level 6]]),rng_EFConcat,rng_EF3WTT)*Buildings_GridElectricity_Backend[[#This Row],[Converted data]]/1000)</f>
        <v/>
      </c>
      <c r="AJ266" s="210" t="str">
        <f>IF(Buildings_GridElectricity_Frontend[[#This Row],[Data]]="","",_xlfn.XLOOKUP(_xlfn.CONCAT(Buildings_GridElectricity_Backend[[#This Row],[Level 1]:[Level 6]]),rng_EFConcat,rng_EF3TD)*Buildings_GridElectricity_Backend[[#This Row],[Converted data]]/1000)</f>
        <v/>
      </c>
      <c r="AK266" s="210" t="str">
        <f>IF(Buildings_GridElectricity_Frontend[[#This Row],[Data]]="","",_xlfn.XLOOKUP(_xlfn.CONCAT(Buildings_GridElectricity_Backend[[#This Row],[Level 1]:[Level 6]]),rng_EFConcat,rng_EF3WTTTD)*Buildings_GridElectricity_Backend[[#This Row],[Converted data]]/1000)</f>
        <v/>
      </c>
      <c r="AL266" s="220" t="str">
        <f>IF(Buildings_GridElectricity_Frontend[[#This Row],[Data]]="","",SUM(Buildings_GridElectricity_Backend[[#This Row],[Scope 1 (tCO2e)]:[Scope 3 WTT T&amp;D (tCO2e)]]))</f>
        <v/>
      </c>
      <c r="AM266" s="220" t="str">
        <f>IF(Buildings_GridElectricity_Frontend[[#This Row],[Data]]="","",Buildings_GridElectricity_Backend[[#This Row],[Total (tCO2e)]]*(1-Buildings_GridElectricity_Backend[[#This Row],[RSD]]))</f>
        <v/>
      </c>
      <c r="AN266" s="220" t="str">
        <f>IF(Buildings_GridElectricity_Frontend[[#This Row],[Data]]="","",Buildings_GridElectricity_Backend[[#This Row],[Total (tCO2e)]]*(1+Buildings_GridElectricity_Backend[[#This Row],[RSD]]))</f>
        <v/>
      </c>
      <c r="AO266" s="210" t="str">
        <f>IF(Buildings_GridElectricity_Frontend[[#This Row],[Data]]="","",_xlfn.XLOOKUP(_xlfn.CONCAT(Buildings_GridElectricity_Backend[[#This Row],[Level 1]:[Level 6]]),rng_EFConcat,rng_EFOOS)*Buildings_GridElectricity_Backend[[#This Row],[Converted data]]/1000)</f>
        <v/>
      </c>
      <c r="AP266" s="174">
        <f>Buildings_GridElectricity_Frontend[[#This Row],[Ease of collection]]</f>
        <v>0</v>
      </c>
      <c r="AQ266" s="213">
        <f>Buildings_GridElectricity_Frontend[[#This Row],[Completeness]]</f>
        <v>0</v>
      </c>
      <c r="AR266" s="220">
        <f>Buildings_GridElectricity_Frontend[[#This Row],[Notes]]</f>
        <v>0</v>
      </c>
    </row>
    <row r="267" spans="5:44" x14ac:dyDescent="0.3">
      <c r="E267" s="346"/>
      <c r="F267" s="449"/>
      <c r="G267" s="336"/>
      <c r="H267" s="334"/>
      <c r="I267" s="172" t="s">
        <v>316</v>
      </c>
      <c r="J267" s="337"/>
      <c r="K267" s="336"/>
      <c r="L267" s="336"/>
      <c r="M267" s="337"/>
      <c r="N267" s="242">
        <f t="shared" si="9"/>
        <v>3</v>
      </c>
      <c r="Q267" s="212" t="str">
        <f t="shared" si="8"/>
        <v/>
      </c>
      <c r="R267" s="174" t="s">
        <v>265</v>
      </c>
      <c r="S267" s="174" t="s">
        <v>273</v>
      </c>
      <c r="T267" s="174" t="str">
        <f>_xlfn.XLOOKUP(Buildings_GridElectricity_Backend[[#This Row],[Info 1]],Buildings_SiteInfo[Site name],Buildings_SiteInfo[Site type], "")</f>
        <v/>
      </c>
      <c r="U267" s="174" t="s">
        <v>281</v>
      </c>
      <c r="V267" s="174" t="str" cm="1">
        <f t="array" aca="1" ref="V267" ca="1">_xlfn.XLOOKUP(Buildings_GridElectricity_Backend[[#This Row],[Level 4]],rng_Level4Long,rng_Level5Long)</f>
        <v>Electricity</v>
      </c>
      <c r="W267" s="174" t="str" cm="1">
        <f t="array" aca="1" ref="W267" ca="1">_xlfn.XLOOKUP(Buildings_GridElectricity_Backend[[#This Row],[Level 4]],rng_Level4Long,rng_Level6Long)</f>
        <v>NaN</v>
      </c>
      <c r="X267" s="174">
        <f>Buildings_GridElectricity_Frontend[[#This Row],[Site Name]]</f>
        <v>0</v>
      </c>
      <c r="Y267" s="174">
        <f>Buildings_GridElectricity_Frontend[[#This Row],[Contracting]]</f>
        <v>0</v>
      </c>
      <c r="Z267" s="174">
        <f>Buildings_GridElectricity_Frontend[[#This Row],[Methodology]]</f>
        <v>0</v>
      </c>
      <c r="AA267" s="229" t="str" cm="1">
        <f t="array" ref="AA267">IF(Buildings_GridElectricity_Frontend[[#This Row],[Data]]="","",INDEX(_xlfn.SWITCH(Buildings_GridElectricity_Backend[[#This Row],[Methodology]],"Tier 1",rng_RSD1,"Tier 2",rng_RSD2,"Tier 3",rng_RSD3),MATCH(_xlfn.CONCAT(Buildings_GridElectricity_Backend[[#This Row],[Level 1]:[Level 6]]),rng_LevelsConcat,0)))</f>
        <v/>
      </c>
      <c r="AB267" s="220">
        <f>Buildings_GridElectricity_Frontend[[#This Row],[Data]]</f>
        <v>0</v>
      </c>
      <c r="AC267" s="174" t="str">
        <f>Buildings_GridElectricity_Frontend[[#This Row],[Units]]</f>
        <v>kWh</v>
      </c>
      <c r="AD267" s="218">
        <f>Buildings_GridElectricity_Frontend[[#This Row],[Data]]</f>
        <v>0</v>
      </c>
      <c r="AE267" s="174" t="str">
        <f>Buildings_GridElectricity_Frontend[[#This Row],[Units]]</f>
        <v>kWh</v>
      </c>
      <c r="AF267" s="210" t="str">
        <f>IF(Buildings_GridElectricity_Frontend[[#This Row],[Data]]="","",_xlfn.XLOOKUP(_xlfn.CONCAT(Buildings_GridElectricity_Backend[[#This Row],[Level 1]:[Level 6]]),rng_EFConcat,rng_EF1)*Buildings_GridElectricity_Backend[[#This Row],[Converted data]]/1000)</f>
        <v/>
      </c>
      <c r="AG267" s="210" t="str">
        <f>IF(Buildings_GridElectricity_Frontend[[#This Row],[Data]]="","",_xlfn.XLOOKUP(_xlfn.CONCAT(Buildings_GridElectricity_Backend[[#This Row],[Level 1]:[Level 6]]),rng_EFConcat,rng_EF2)*Buildings_GridElectricity_Backend[[#This Row],[Converted data]]/1000)</f>
        <v/>
      </c>
      <c r="AH267" s="210" t="str">
        <f>IF(Buildings_GridElectricity_Frontend[[#This Row],[Data]]="","",_xlfn.XLOOKUP(_xlfn.CONCAT(Buildings_GridElectricity_Backend[[#This Row],[Level 1]:[Level 6]]),rng_EFConcat,rng_EF3)*Buildings_GridElectricity_Backend[[#This Row],[Converted data]]/1000)</f>
        <v/>
      </c>
      <c r="AI267" s="210" t="str">
        <f>IF(Buildings_GridElectricity_Frontend[[#This Row],[Data]]="","",_xlfn.XLOOKUP(_xlfn.CONCAT(Buildings_GridElectricity_Backend[[#This Row],[Level 1]:[Level 6]]),rng_EFConcat,rng_EF3WTT)*Buildings_GridElectricity_Backend[[#This Row],[Converted data]]/1000)</f>
        <v/>
      </c>
      <c r="AJ267" s="210" t="str">
        <f>IF(Buildings_GridElectricity_Frontend[[#This Row],[Data]]="","",_xlfn.XLOOKUP(_xlfn.CONCAT(Buildings_GridElectricity_Backend[[#This Row],[Level 1]:[Level 6]]),rng_EFConcat,rng_EF3TD)*Buildings_GridElectricity_Backend[[#This Row],[Converted data]]/1000)</f>
        <v/>
      </c>
      <c r="AK267" s="210" t="str">
        <f>IF(Buildings_GridElectricity_Frontend[[#This Row],[Data]]="","",_xlfn.XLOOKUP(_xlfn.CONCAT(Buildings_GridElectricity_Backend[[#This Row],[Level 1]:[Level 6]]),rng_EFConcat,rng_EF3WTTTD)*Buildings_GridElectricity_Backend[[#This Row],[Converted data]]/1000)</f>
        <v/>
      </c>
      <c r="AL267" s="220" t="str">
        <f>IF(Buildings_GridElectricity_Frontend[[#This Row],[Data]]="","",SUM(Buildings_GridElectricity_Backend[[#This Row],[Scope 1 (tCO2e)]:[Scope 3 WTT T&amp;D (tCO2e)]]))</f>
        <v/>
      </c>
      <c r="AM267" s="220" t="str">
        <f>IF(Buildings_GridElectricity_Frontend[[#This Row],[Data]]="","",Buildings_GridElectricity_Backend[[#This Row],[Total (tCO2e)]]*(1-Buildings_GridElectricity_Backend[[#This Row],[RSD]]))</f>
        <v/>
      </c>
      <c r="AN267" s="220" t="str">
        <f>IF(Buildings_GridElectricity_Frontend[[#This Row],[Data]]="","",Buildings_GridElectricity_Backend[[#This Row],[Total (tCO2e)]]*(1+Buildings_GridElectricity_Backend[[#This Row],[RSD]]))</f>
        <v/>
      </c>
      <c r="AO267" s="210" t="str">
        <f>IF(Buildings_GridElectricity_Frontend[[#This Row],[Data]]="","",_xlfn.XLOOKUP(_xlfn.CONCAT(Buildings_GridElectricity_Backend[[#This Row],[Level 1]:[Level 6]]),rng_EFConcat,rng_EFOOS)*Buildings_GridElectricity_Backend[[#This Row],[Converted data]]/1000)</f>
        <v/>
      </c>
      <c r="AP267" s="174">
        <f>Buildings_GridElectricity_Frontend[[#This Row],[Ease of collection]]</f>
        <v>0</v>
      </c>
      <c r="AQ267" s="213">
        <f>Buildings_GridElectricity_Frontend[[#This Row],[Completeness]]</f>
        <v>0</v>
      </c>
      <c r="AR267" s="220">
        <f>Buildings_GridElectricity_Frontend[[#This Row],[Notes]]</f>
        <v>0</v>
      </c>
    </row>
    <row r="268" spans="5:44" x14ac:dyDescent="0.3">
      <c r="E268" s="346"/>
      <c r="F268" s="449"/>
      <c r="G268" s="336"/>
      <c r="H268" s="334"/>
      <c r="I268" s="172" t="s">
        <v>316</v>
      </c>
      <c r="J268" s="337"/>
      <c r="K268" s="336"/>
      <c r="L268" s="336"/>
      <c r="M268" s="337"/>
      <c r="N268" s="242">
        <f t="shared" si="9"/>
        <v>3</v>
      </c>
      <c r="Q268" s="212" t="str">
        <f t="shared" si="8"/>
        <v/>
      </c>
      <c r="R268" s="174" t="s">
        <v>265</v>
      </c>
      <c r="S268" s="174" t="s">
        <v>273</v>
      </c>
      <c r="T268" s="174" t="str">
        <f>_xlfn.XLOOKUP(Buildings_GridElectricity_Backend[[#This Row],[Info 1]],Buildings_SiteInfo[Site name],Buildings_SiteInfo[Site type], "")</f>
        <v/>
      </c>
      <c r="U268" s="174" t="s">
        <v>281</v>
      </c>
      <c r="V268" s="174" t="str" cm="1">
        <f t="array" aca="1" ref="V268" ca="1">_xlfn.XLOOKUP(Buildings_GridElectricity_Backend[[#This Row],[Level 4]],rng_Level4Long,rng_Level5Long)</f>
        <v>Electricity</v>
      </c>
      <c r="W268" s="174" t="str" cm="1">
        <f t="array" aca="1" ref="W268" ca="1">_xlfn.XLOOKUP(Buildings_GridElectricity_Backend[[#This Row],[Level 4]],rng_Level4Long,rng_Level6Long)</f>
        <v>NaN</v>
      </c>
      <c r="X268" s="174">
        <f>Buildings_GridElectricity_Frontend[[#This Row],[Site Name]]</f>
        <v>0</v>
      </c>
      <c r="Y268" s="174">
        <f>Buildings_GridElectricity_Frontend[[#This Row],[Contracting]]</f>
        <v>0</v>
      </c>
      <c r="Z268" s="174">
        <f>Buildings_GridElectricity_Frontend[[#This Row],[Methodology]]</f>
        <v>0</v>
      </c>
      <c r="AA268" s="229" t="str" cm="1">
        <f t="array" ref="AA268">IF(Buildings_GridElectricity_Frontend[[#This Row],[Data]]="","",INDEX(_xlfn.SWITCH(Buildings_GridElectricity_Backend[[#This Row],[Methodology]],"Tier 1",rng_RSD1,"Tier 2",rng_RSD2,"Tier 3",rng_RSD3),MATCH(_xlfn.CONCAT(Buildings_GridElectricity_Backend[[#This Row],[Level 1]:[Level 6]]),rng_LevelsConcat,0)))</f>
        <v/>
      </c>
      <c r="AB268" s="220">
        <f>Buildings_GridElectricity_Frontend[[#This Row],[Data]]</f>
        <v>0</v>
      </c>
      <c r="AC268" s="174" t="str">
        <f>Buildings_GridElectricity_Frontend[[#This Row],[Units]]</f>
        <v>kWh</v>
      </c>
      <c r="AD268" s="218">
        <f>Buildings_GridElectricity_Frontend[[#This Row],[Data]]</f>
        <v>0</v>
      </c>
      <c r="AE268" s="174" t="str">
        <f>Buildings_GridElectricity_Frontend[[#This Row],[Units]]</f>
        <v>kWh</v>
      </c>
      <c r="AF268" s="210" t="str">
        <f>IF(Buildings_GridElectricity_Frontend[[#This Row],[Data]]="","",_xlfn.XLOOKUP(_xlfn.CONCAT(Buildings_GridElectricity_Backend[[#This Row],[Level 1]:[Level 6]]),rng_EFConcat,rng_EF1)*Buildings_GridElectricity_Backend[[#This Row],[Converted data]]/1000)</f>
        <v/>
      </c>
      <c r="AG268" s="210" t="str">
        <f>IF(Buildings_GridElectricity_Frontend[[#This Row],[Data]]="","",_xlfn.XLOOKUP(_xlfn.CONCAT(Buildings_GridElectricity_Backend[[#This Row],[Level 1]:[Level 6]]),rng_EFConcat,rng_EF2)*Buildings_GridElectricity_Backend[[#This Row],[Converted data]]/1000)</f>
        <v/>
      </c>
      <c r="AH268" s="210" t="str">
        <f>IF(Buildings_GridElectricity_Frontend[[#This Row],[Data]]="","",_xlfn.XLOOKUP(_xlfn.CONCAT(Buildings_GridElectricity_Backend[[#This Row],[Level 1]:[Level 6]]),rng_EFConcat,rng_EF3)*Buildings_GridElectricity_Backend[[#This Row],[Converted data]]/1000)</f>
        <v/>
      </c>
      <c r="AI268" s="210" t="str">
        <f>IF(Buildings_GridElectricity_Frontend[[#This Row],[Data]]="","",_xlfn.XLOOKUP(_xlfn.CONCAT(Buildings_GridElectricity_Backend[[#This Row],[Level 1]:[Level 6]]),rng_EFConcat,rng_EF3WTT)*Buildings_GridElectricity_Backend[[#This Row],[Converted data]]/1000)</f>
        <v/>
      </c>
      <c r="AJ268" s="210" t="str">
        <f>IF(Buildings_GridElectricity_Frontend[[#This Row],[Data]]="","",_xlfn.XLOOKUP(_xlfn.CONCAT(Buildings_GridElectricity_Backend[[#This Row],[Level 1]:[Level 6]]),rng_EFConcat,rng_EF3TD)*Buildings_GridElectricity_Backend[[#This Row],[Converted data]]/1000)</f>
        <v/>
      </c>
      <c r="AK268" s="210" t="str">
        <f>IF(Buildings_GridElectricity_Frontend[[#This Row],[Data]]="","",_xlfn.XLOOKUP(_xlfn.CONCAT(Buildings_GridElectricity_Backend[[#This Row],[Level 1]:[Level 6]]),rng_EFConcat,rng_EF3WTTTD)*Buildings_GridElectricity_Backend[[#This Row],[Converted data]]/1000)</f>
        <v/>
      </c>
      <c r="AL268" s="220" t="str">
        <f>IF(Buildings_GridElectricity_Frontend[[#This Row],[Data]]="","",SUM(Buildings_GridElectricity_Backend[[#This Row],[Scope 1 (tCO2e)]:[Scope 3 WTT T&amp;D (tCO2e)]]))</f>
        <v/>
      </c>
      <c r="AM268" s="220" t="str">
        <f>IF(Buildings_GridElectricity_Frontend[[#This Row],[Data]]="","",Buildings_GridElectricity_Backend[[#This Row],[Total (tCO2e)]]*(1-Buildings_GridElectricity_Backend[[#This Row],[RSD]]))</f>
        <v/>
      </c>
      <c r="AN268" s="220" t="str">
        <f>IF(Buildings_GridElectricity_Frontend[[#This Row],[Data]]="","",Buildings_GridElectricity_Backend[[#This Row],[Total (tCO2e)]]*(1+Buildings_GridElectricity_Backend[[#This Row],[RSD]]))</f>
        <v/>
      </c>
      <c r="AO268" s="210" t="str">
        <f>IF(Buildings_GridElectricity_Frontend[[#This Row],[Data]]="","",_xlfn.XLOOKUP(_xlfn.CONCAT(Buildings_GridElectricity_Backend[[#This Row],[Level 1]:[Level 6]]),rng_EFConcat,rng_EFOOS)*Buildings_GridElectricity_Backend[[#This Row],[Converted data]]/1000)</f>
        <v/>
      </c>
      <c r="AP268" s="174">
        <f>Buildings_GridElectricity_Frontend[[#This Row],[Ease of collection]]</f>
        <v>0</v>
      </c>
      <c r="AQ268" s="213">
        <f>Buildings_GridElectricity_Frontend[[#This Row],[Completeness]]</f>
        <v>0</v>
      </c>
      <c r="AR268" s="220">
        <f>Buildings_GridElectricity_Frontend[[#This Row],[Notes]]</f>
        <v>0</v>
      </c>
    </row>
    <row r="269" spans="5:44" x14ac:dyDescent="0.3">
      <c r="E269" s="346"/>
      <c r="F269" s="449"/>
      <c r="G269" s="336"/>
      <c r="H269" s="334"/>
      <c r="I269" s="172" t="s">
        <v>316</v>
      </c>
      <c r="J269" s="337"/>
      <c r="K269" s="336"/>
      <c r="L269" s="336"/>
      <c r="M269" s="337"/>
      <c r="N269" s="242">
        <f t="shared" si="9"/>
        <v>3</v>
      </c>
      <c r="Q269" s="212" t="str">
        <f t="shared" si="8"/>
        <v/>
      </c>
      <c r="R269" s="174" t="s">
        <v>265</v>
      </c>
      <c r="S269" s="174" t="s">
        <v>273</v>
      </c>
      <c r="T269" s="174" t="str">
        <f>_xlfn.XLOOKUP(Buildings_GridElectricity_Backend[[#This Row],[Info 1]],Buildings_SiteInfo[Site name],Buildings_SiteInfo[Site type], "")</f>
        <v/>
      </c>
      <c r="U269" s="174" t="s">
        <v>281</v>
      </c>
      <c r="V269" s="174" t="str" cm="1">
        <f t="array" aca="1" ref="V269" ca="1">_xlfn.XLOOKUP(Buildings_GridElectricity_Backend[[#This Row],[Level 4]],rng_Level4Long,rng_Level5Long)</f>
        <v>Electricity</v>
      </c>
      <c r="W269" s="174" t="str" cm="1">
        <f t="array" aca="1" ref="W269" ca="1">_xlfn.XLOOKUP(Buildings_GridElectricity_Backend[[#This Row],[Level 4]],rng_Level4Long,rng_Level6Long)</f>
        <v>NaN</v>
      </c>
      <c r="X269" s="174">
        <f>Buildings_GridElectricity_Frontend[[#This Row],[Site Name]]</f>
        <v>0</v>
      </c>
      <c r="Y269" s="174">
        <f>Buildings_GridElectricity_Frontend[[#This Row],[Contracting]]</f>
        <v>0</v>
      </c>
      <c r="Z269" s="174">
        <f>Buildings_GridElectricity_Frontend[[#This Row],[Methodology]]</f>
        <v>0</v>
      </c>
      <c r="AA269" s="229" t="str" cm="1">
        <f t="array" ref="AA269">IF(Buildings_GridElectricity_Frontend[[#This Row],[Data]]="","",INDEX(_xlfn.SWITCH(Buildings_GridElectricity_Backend[[#This Row],[Methodology]],"Tier 1",rng_RSD1,"Tier 2",rng_RSD2,"Tier 3",rng_RSD3),MATCH(_xlfn.CONCAT(Buildings_GridElectricity_Backend[[#This Row],[Level 1]:[Level 6]]),rng_LevelsConcat,0)))</f>
        <v/>
      </c>
      <c r="AB269" s="220">
        <f>Buildings_GridElectricity_Frontend[[#This Row],[Data]]</f>
        <v>0</v>
      </c>
      <c r="AC269" s="174" t="str">
        <f>Buildings_GridElectricity_Frontend[[#This Row],[Units]]</f>
        <v>kWh</v>
      </c>
      <c r="AD269" s="218">
        <f>Buildings_GridElectricity_Frontend[[#This Row],[Data]]</f>
        <v>0</v>
      </c>
      <c r="AE269" s="174" t="str">
        <f>Buildings_GridElectricity_Frontend[[#This Row],[Units]]</f>
        <v>kWh</v>
      </c>
      <c r="AF269" s="210" t="str">
        <f>IF(Buildings_GridElectricity_Frontend[[#This Row],[Data]]="","",_xlfn.XLOOKUP(_xlfn.CONCAT(Buildings_GridElectricity_Backend[[#This Row],[Level 1]:[Level 6]]),rng_EFConcat,rng_EF1)*Buildings_GridElectricity_Backend[[#This Row],[Converted data]]/1000)</f>
        <v/>
      </c>
      <c r="AG269" s="210" t="str">
        <f>IF(Buildings_GridElectricity_Frontend[[#This Row],[Data]]="","",_xlfn.XLOOKUP(_xlfn.CONCAT(Buildings_GridElectricity_Backend[[#This Row],[Level 1]:[Level 6]]),rng_EFConcat,rng_EF2)*Buildings_GridElectricity_Backend[[#This Row],[Converted data]]/1000)</f>
        <v/>
      </c>
      <c r="AH269" s="210" t="str">
        <f>IF(Buildings_GridElectricity_Frontend[[#This Row],[Data]]="","",_xlfn.XLOOKUP(_xlfn.CONCAT(Buildings_GridElectricity_Backend[[#This Row],[Level 1]:[Level 6]]),rng_EFConcat,rng_EF3)*Buildings_GridElectricity_Backend[[#This Row],[Converted data]]/1000)</f>
        <v/>
      </c>
      <c r="AI269" s="210" t="str">
        <f>IF(Buildings_GridElectricity_Frontend[[#This Row],[Data]]="","",_xlfn.XLOOKUP(_xlfn.CONCAT(Buildings_GridElectricity_Backend[[#This Row],[Level 1]:[Level 6]]),rng_EFConcat,rng_EF3WTT)*Buildings_GridElectricity_Backend[[#This Row],[Converted data]]/1000)</f>
        <v/>
      </c>
      <c r="AJ269" s="210" t="str">
        <f>IF(Buildings_GridElectricity_Frontend[[#This Row],[Data]]="","",_xlfn.XLOOKUP(_xlfn.CONCAT(Buildings_GridElectricity_Backend[[#This Row],[Level 1]:[Level 6]]),rng_EFConcat,rng_EF3TD)*Buildings_GridElectricity_Backend[[#This Row],[Converted data]]/1000)</f>
        <v/>
      </c>
      <c r="AK269" s="210" t="str">
        <f>IF(Buildings_GridElectricity_Frontend[[#This Row],[Data]]="","",_xlfn.XLOOKUP(_xlfn.CONCAT(Buildings_GridElectricity_Backend[[#This Row],[Level 1]:[Level 6]]),rng_EFConcat,rng_EF3WTTTD)*Buildings_GridElectricity_Backend[[#This Row],[Converted data]]/1000)</f>
        <v/>
      </c>
      <c r="AL269" s="220" t="str">
        <f>IF(Buildings_GridElectricity_Frontend[[#This Row],[Data]]="","",SUM(Buildings_GridElectricity_Backend[[#This Row],[Scope 1 (tCO2e)]:[Scope 3 WTT T&amp;D (tCO2e)]]))</f>
        <v/>
      </c>
      <c r="AM269" s="220" t="str">
        <f>IF(Buildings_GridElectricity_Frontend[[#This Row],[Data]]="","",Buildings_GridElectricity_Backend[[#This Row],[Total (tCO2e)]]*(1-Buildings_GridElectricity_Backend[[#This Row],[RSD]]))</f>
        <v/>
      </c>
      <c r="AN269" s="220" t="str">
        <f>IF(Buildings_GridElectricity_Frontend[[#This Row],[Data]]="","",Buildings_GridElectricity_Backend[[#This Row],[Total (tCO2e)]]*(1+Buildings_GridElectricity_Backend[[#This Row],[RSD]]))</f>
        <v/>
      </c>
      <c r="AO269" s="210" t="str">
        <f>IF(Buildings_GridElectricity_Frontend[[#This Row],[Data]]="","",_xlfn.XLOOKUP(_xlfn.CONCAT(Buildings_GridElectricity_Backend[[#This Row],[Level 1]:[Level 6]]),rng_EFConcat,rng_EFOOS)*Buildings_GridElectricity_Backend[[#This Row],[Converted data]]/1000)</f>
        <v/>
      </c>
      <c r="AP269" s="174">
        <f>Buildings_GridElectricity_Frontend[[#This Row],[Ease of collection]]</f>
        <v>0</v>
      </c>
      <c r="AQ269" s="213">
        <f>Buildings_GridElectricity_Frontend[[#This Row],[Completeness]]</f>
        <v>0</v>
      </c>
      <c r="AR269" s="220">
        <f>Buildings_GridElectricity_Frontend[[#This Row],[Notes]]</f>
        <v>0</v>
      </c>
    </row>
    <row r="270" spans="5:44" x14ac:dyDescent="0.3">
      <c r="E270" s="346"/>
      <c r="F270" s="449"/>
      <c r="G270" s="336"/>
      <c r="H270" s="334"/>
      <c r="I270" s="172" t="s">
        <v>316</v>
      </c>
      <c r="J270" s="337"/>
      <c r="K270" s="336"/>
      <c r="L270" s="336"/>
      <c r="M270" s="337"/>
      <c r="N270" s="242">
        <f t="shared" si="9"/>
        <v>3</v>
      </c>
      <c r="Q270" s="212" t="str">
        <f t="shared" si="8"/>
        <v/>
      </c>
      <c r="R270" s="174" t="s">
        <v>265</v>
      </c>
      <c r="S270" s="174" t="s">
        <v>273</v>
      </c>
      <c r="T270" s="174" t="str">
        <f>_xlfn.XLOOKUP(Buildings_GridElectricity_Backend[[#This Row],[Info 1]],Buildings_SiteInfo[Site name],Buildings_SiteInfo[Site type], "")</f>
        <v/>
      </c>
      <c r="U270" s="174" t="s">
        <v>281</v>
      </c>
      <c r="V270" s="174" t="str" cm="1">
        <f t="array" aca="1" ref="V270" ca="1">_xlfn.XLOOKUP(Buildings_GridElectricity_Backend[[#This Row],[Level 4]],rng_Level4Long,rng_Level5Long)</f>
        <v>Electricity</v>
      </c>
      <c r="W270" s="174" t="str" cm="1">
        <f t="array" aca="1" ref="W270" ca="1">_xlfn.XLOOKUP(Buildings_GridElectricity_Backend[[#This Row],[Level 4]],rng_Level4Long,rng_Level6Long)</f>
        <v>NaN</v>
      </c>
      <c r="X270" s="174">
        <f>Buildings_GridElectricity_Frontend[[#This Row],[Site Name]]</f>
        <v>0</v>
      </c>
      <c r="Y270" s="174">
        <f>Buildings_GridElectricity_Frontend[[#This Row],[Contracting]]</f>
        <v>0</v>
      </c>
      <c r="Z270" s="174">
        <f>Buildings_GridElectricity_Frontend[[#This Row],[Methodology]]</f>
        <v>0</v>
      </c>
      <c r="AA270" s="229" t="str" cm="1">
        <f t="array" ref="AA270">IF(Buildings_GridElectricity_Frontend[[#This Row],[Data]]="","",INDEX(_xlfn.SWITCH(Buildings_GridElectricity_Backend[[#This Row],[Methodology]],"Tier 1",rng_RSD1,"Tier 2",rng_RSD2,"Tier 3",rng_RSD3),MATCH(_xlfn.CONCAT(Buildings_GridElectricity_Backend[[#This Row],[Level 1]:[Level 6]]),rng_LevelsConcat,0)))</f>
        <v/>
      </c>
      <c r="AB270" s="220">
        <f>Buildings_GridElectricity_Frontend[[#This Row],[Data]]</f>
        <v>0</v>
      </c>
      <c r="AC270" s="174" t="str">
        <f>Buildings_GridElectricity_Frontend[[#This Row],[Units]]</f>
        <v>kWh</v>
      </c>
      <c r="AD270" s="218">
        <f>Buildings_GridElectricity_Frontend[[#This Row],[Data]]</f>
        <v>0</v>
      </c>
      <c r="AE270" s="174" t="str">
        <f>Buildings_GridElectricity_Frontend[[#This Row],[Units]]</f>
        <v>kWh</v>
      </c>
      <c r="AF270" s="210" t="str">
        <f>IF(Buildings_GridElectricity_Frontend[[#This Row],[Data]]="","",_xlfn.XLOOKUP(_xlfn.CONCAT(Buildings_GridElectricity_Backend[[#This Row],[Level 1]:[Level 6]]),rng_EFConcat,rng_EF1)*Buildings_GridElectricity_Backend[[#This Row],[Converted data]]/1000)</f>
        <v/>
      </c>
      <c r="AG270" s="210" t="str">
        <f>IF(Buildings_GridElectricity_Frontend[[#This Row],[Data]]="","",_xlfn.XLOOKUP(_xlfn.CONCAT(Buildings_GridElectricity_Backend[[#This Row],[Level 1]:[Level 6]]),rng_EFConcat,rng_EF2)*Buildings_GridElectricity_Backend[[#This Row],[Converted data]]/1000)</f>
        <v/>
      </c>
      <c r="AH270" s="210" t="str">
        <f>IF(Buildings_GridElectricity_Frontend[[#This Row],[Data]]="","",_xlfn.XLOOKUP(_xlfn.CONCAT(Buildings_GridElectricity_Backend[[#This Row],[Level 1]:[Level 6]]),rng_EFConcat,rng_EF3)*Buildings_GridElectricity_Backend[[#This Row],[Converted data]]/1000)</f>
        <v/>
      </c>
      <c r="AI270" s="210" t="str">
        <f>IF(Buildings_GridElectricity_Frontend[[#This Row],[Data]]="","",_xlfn.XLOOKUP(_xlfn.CONCAT(Buildings_GridElectricity_Backend[[#This Row],[Level 1]:[Level 6]]),rng_EFConcat,rng_EF3WTT)*Buildings_GridElectricity_Backend[[#This Row],[Converted data]]/1000)</f>
        <v/>
      </c>
      <c r="AJ270" s="210" t="str">
        <f>IF(Buildings_GridElectricity_Frontend[[#This Row],[Data]]="","",_xlfn.XLOOKUP(_xlfn.CONCAT(Buildings_GridElectricity_Backend[[#This Row],[Level 1]:[Level 6]]),rng_EFConcat,rng_EF3TD)*Buildings_GridElectricity_Backend[[#This Row],[Converted data]]/1000)</f>
        <v/>
      </c>
      <c r="AK270" s="210" t="str">
        <f>IF(Buildings_GridElectricity_Frontend[[#This Row],[Data]]="","",_xlfn.XLOOKUP(_xlfn.CONCAT(Buildings_GridElectricity_Backend[[#This Row],[Level 1]:[Level 6]]),rng_EFConcat,rng_EF3WTTTD)*Buildings_GridElectricity_Backend[[#This Row],[Converted data]]/1000)</f>
        <v/>
      </c>
      <c r="AL270" s="220" t="str">
        <f>IF(Buildings_GridElectricity_Frontend[[#This Row],[Data]]="","",SUM(Buildings_GridElectricity_Backend[[#This Row],[Scope 1 (tCO2e)]:[Scope 3 WTT T&amp;D (tCO2e)]]))</f>
        <v/>
      </c>
      <c r="AM270" s="220" t="str">
        <f>IF(Buildings_GridElectricity_Frontend[[#This Row],[Data]]="","",Buildings_GridElectricity_Backend[[#This Row],[Total (tCO2e)]]*(1-Buildings_GridElectricity_Backend[[#This Row],[RSD]]))</f>
        <v/>
      </c>
      <c r="AN270" s="220" t="str">
        <f>IF(Buildings_GridElectricity_Frontend[[#This Row],[Data]]="","",Buildings_GridElectricity_Backend[[#This Row],[Total (tCO2e)]]*(1+Buildings_GridElectricity_Backend[[#This Row],[RSD]]))</f>
        <v/>
      </c>
      <c r="AO270" s="210" t="str">
        <f>IF(Buildings_GridElectricity_Frontend[[#This Row],[Data]]="","",_xlfn.XLOOKUP(_xlfn.CONCAT(Buildings_GridElectricity_Backend[[#This Row],[Level 1]:[Level 6]]),rng_EFConcat,rng_EFOOS)*Buildings_GridElectricity_Backend[[#This Row],[Converted data]]/1000)</f>
        <v/>
      </c>
      <c r="AP270" s="174">
        <f>Buildings_GridElectricity_Frontend[[#This Row],[Ease of collection]]</f>
        <v>0</v>
      </c>
      <c r="AQ270" s="213">
        <f>Buildings_GridElectricity_Frontend[[#This Row],[Completeness]]</f>
        <v>0</v>
      </c>
      <c r="AR270" s="220">
        <f>Buildings_GridElectricity_Frontend[[#This Row],[Notes]]</f>
        <v>0</v>
      </c>
    </row>
    <row r="271" spans="5:44" x14ac:dyDescent="0.3">
      <c r="E271" s="346"/>
      <c r="F271" s="449"/>
      <c r="G271" s="336"/>
      <c r="H271" s="334"/>
      <c r="I271" s="172" t="s">
        <v>316</v>
      </c>
      <c r="J271" s="337"/>
      <c r="K271" s="336"/>
      <c r="L271" s="336"/>
      <c r="M271" s="337"/>
      <c r="N271" s="242">
        <f t="shared" si="9"/>
        <v>3</v>
      </c>
      <c r="Q271" s="212" t="str">
        <f t="shared" si="8"/>
        <v/>
      </c>
      <c r="R271" s="174" t="s">
        <v>265</v>
      </c>
      <c r="S271" s="174" t="s">
        <v>273</v>
      </c>
      <c r="T271" s="174" t="str">
        <f>_xlfn.XLOOKUP(Buildings_GridElectricity_Backend[[#This Row],[Info 1]],Buildings_SiteInfo[Site name],Buildings_SiteInfo[Site type], "")</f>
        <v/>
      </c>
      <c r="U271" s="174" t="s">
        <v>281</v>
      </c>
      <c r="V271" s="174" t="str" cm="1">
        <f t="array" aca="1" ref="V271" ca="1">_xlfn.XLOOKUP(Buildings_GridElectricity_Backend[[#This Row],[Level 4]],rng_Level4Long,rng_Level5Long)</f>
        <v>Electricity</v>
      </c>
      <c r="W271" s="174" t="str" cm="1">
        <f t="array" aca="1" ref="W271" ca="1">_xlfn.XLOOKUP(Buildings_GridElectricity_Backend[[#This Row],[Level 4]],rng_Level4Long,rng_Level6Long)</f>
        <v>NaN</v>
      </c>
      <c r="X271" s="174">
        <f>Buildings_GridElectricity_Frontend[[#This Row],[Site Name]]</f>
        <v>0</v>
      </c>
      <c r="Y271" s="174">
        <f>Buildings_GridElectricity_Frontend[[#This Row],[Contracting]]</f>
        <v>0</v>
      </c>
      <c r="Z271" s="174">
        <f>Buildings_GridElectricity_Frontend[[#This Row],[Methodology]]</f>
        <v>0</v>
      </c>
      <c r="AA271" s="229" t="str" cm="1">
        <f t="array" ref="AA271">IF(Buildings_GridElectricity_Frontend[[#This Row],[Data]]="","",INDEX(_xlfn.SWITCH(Buildings_GridElectricity_Backend[[#This Row],[Methodology]],"Tier 1",rng_RSD1,"Tier 2",rng_RSD2,"Tier 3",rng_RSD3),MATCH(_xlfn.CONCAT(Buildings_GridElectricity_Backend[[#This Row],[Level 1]:[Level 6]]),rng_LevelsConcat,0)))</f>
        <v/>
      </c>
      <c r="AB271" s="220">
        <f>Buildings_GridElectricity_Frontend[[#This Row],[Data]]</f>
        <v>0</v>
      </c>
      <c r="AC271" s="174" t="str">
        <f>Buildings_GridElectricity_Frontend[[#This Row],[Units]]</f>
        <v>kWh</v>
      </c>
      <c r="AD271" s="218">
        <f>Buildings_GridElectricity_Frontend[[#This Row],[Data]]</f>
        <v>0</v>
      </c>
      <c r="AE271" s="174" t="str">
        <f>Buildings_GridElectricity_Frontend[[#This Row],[Units]]</f>
        <v>kWh</v>
      </c>
      <c r="AF271" s="210" t="str">
        <f>IF(Buildings_GridElectricity_Frontend[[#This Row],[Data]]="","",_xlfn.XLOOKUP(_xlfn.CONCAT(Buildings_GridElectricity_Backend[[#This Row],[Level 1]:[Level 6]]),rng_EFConcat,rng_EF1)*Buildings_GridElectricity_Backend[[#This Row],[Converted data]]/1000)</f>
        <v/>
      </c>
      <c r="AG271" s="210" t="str">
        <f>IF(Buildings_GridElectricity_Frontend[[#This Row],[Data]]="","",_xlfn.XLOOKUP(_xlfn.CONCAT(Buildings_GridElectricity_Backend[[#This Row],[Level 1]:[Level 6]]),rng_EFConcat,rng_EF2)*Buildings_GridElectricity_Backend[[#This Row],[Converted data]]/1000)</f>
        <v/>
      </c>
      <c r="AH271" s="210" t="str">
        <f>IF(Buildings_GridElectricity_Frontend[[#This Row],[Data]]="","",_xlfn.XLOOKUP(_xlfn.CONCAT(Buildings_GridElectricity_Backend[[#This Row],[Level 1]:[Level 6]]),rng_EFConcat,rng_EF3)*Buildings_GridElectricity_Backend[[#This Row],[Converted data]]/1000)</f>
        <v/>
      </c>
      <c r="AI271" s="210" t="str">
        <f>IF(Buildings_GridElectricity_Frontend[[#This Row],[Data]]="","",_xlfn.XLOOKUP(_xlfn.CONCAT(Buildings_GridElectricity_Backend[[#This Row],[Level 1]:[Level 6]]),rng_EFConcat,rng_EF3WTT)*Buildings_GridElectricity_Backend[[#This Row],[Converted data]]/1000)</f>
        <v/>
      </c>
      <c r="AJ271" s="210" t="str">
        <f>IF(Buildings_GridElectricity_Frontend[[#This Row],[Data]]="","",_xlfn.XLOOKUP(_xlfn.CONCAT(Buildings_GridElectricity_Backend[[#This Row],[Level 1]:[Level 6]]),rng_EFConcat,rng_EF3TD)*Buildings_GridElectricity_Backend[[#This Row],[Converted data]]/1000)</f>
        <v/>
      </c>
      <c r="AK271" s="210" t="str">
        <f>IF(Buildings_GridElectricity_Frontend[[#This Row],[Data]]="","",_xlfn.XLOOKUP(_xlfn.CONCAT(Buildings_GridElectricity_Backend[[#This Row],[Level 1]:[Level 6]]),rng_EFConcat,rng_EF3WTTTD)*Buildings_GridElectricity_Backend[[#This Row],[Converted data]]/1000)</f>
        <v/>
      </c>
      <c r="AL271" s="220" t="str">
        <f>IF(Buildings_GridElectricity_Frontend[[#This Row],[Data]]="","",SUM(Buildings_GridElectricity_Backend[[#This Row],[Scope 1 (tCO2e)]:[Scope 3 WTT T&amp;D (tCO2e)]]))</f>
        <v/>
      </c>
      <c r="AM271" s="220" t="str">
        <f>IF(Buildings_GridElectricity_Frontend[[#This Row],[Data]]="","",Buildings_GridElectricity_Backend[[#This Row],[Total (tCO2e)]]*(1-Buildings_GridElectricity_Backend[[#This Row],[RSD]]))</f>
        <v/>
      </c>
      <c r="AN271" s="220" t="str">
        <f>IF(Buildings_GridElectricity_Frontend[[#This Row],[Data]]="","",Buildings_GridElectricity_Backend[[#This Row],[Total (tCO2e)]]*(1+Buildings_GridElectricity_Backend[[#This Row],[RSD]]))</f>
        <v/>
      </c>
      <c r="AO271" s="210" t="str">
        <f>IF(Buildings_GridElectricity_Frontend[[#This Row],[Data]]="","",_xlfn.XLOOKUP(_xlfn.CONCAT(Buildings_GridElectricity_Backend[[#This Row],[Level 1]:[Level 6]]),rng_EFConcat,rng_EFOOS)*Buildings_GridElectricity_Backend[[#This Row],[Converted data]]/1000)</f>
        <v/>
      </c>
      <c r="AP271" s="174">
        <f>Buildings_GridElectricity_Frontend[[#This Row],[Ease of collection]]</f>
        <v>0</v>
      </c>
      <c r="AQ271" s="213">
        <f>Buildings_GridElectricity_Frontend[[#This Row],[Completeness]]</f>
        <v>0</v>
      </c>
      <c r="AR271" s="220">
        <f>Buildings_GridElectricity_Frontend[[#This Row],[Notes]]</f>
        <v>0</v>
      </c>
    </row>
    <row r="272" spans="5:44" x14ac:dyDescent="0.3">
      <c r="E272" s="346"/>
      <c r="F272" s="449"/>
      <c r="G272" s="336"/>
      <c r="H272" s="334"/>
      <c r="I272" s="172" t="s">
        <v>316</v>
      </c>
      <c r="J272" s="337"/>
      <c r="K272" s="336"/>
      <c r="L272" s="336"/>
      <c r="M272" s="337"/>
      <c r="N272" s="242">
        <f t="shared" si="9"/>
        <v>3</v>
      </c>
      <c r="Q272" s="212" t="str">
        <f t="shared" si="8"/>
        <v/>
      </c>
      <c r="R272" s="174" t="s">
        <v>265</v>
      </c>
      <c r="S272" s="174" t="s">
        <v>273</v>
      </c>
      <c r="T272" s="174" t="str">
        <f>_xlfn.XLOOKUP(Buildings_GridElectricity_Backend[[#This Row],[Info 1]],Buildings_SiteInfo[Site name],Buildings_SiteInfo[Site type], "")</f>
        <v/>
      </c>
      <c r="U272" s="174" t="s">
        <v>281</v>
      </c>
      <c r="V272" s="174" t="str" cm="1">
        <f t="array" aca="1" ref="V272" ca="1">_xlfn.XLOOKUP(Buildings_GridElectricity_Backend[[#This Row],[Level 4]],rng_Level4Long,rng_Level5Long)</f>
        <v>Electricity</v>
      </c>
      <c r="W272" s="174" t="str" cm="1">
        <f t="array" aca="1" ref="W272" ca="1">_xlfn.XLOOKUP(Buildings_GridElectricity_Backend[[#This Row],[Level 4]],rng_Level4Long,rng_Level6Long)</f>
        <v>NaN</v>
      </c>
      <c r="X272" s="174">
        <f>Buildings_GridElectricity_Frontend[[#This Row],[Site Name]]</f>
        <v>0</v>
      </c>
      <c r="Y272" s="174">
        <f>Buildings_GridElectricity_Frontend[[#This Row],[Contracting]]</f>
        <v>0</v>
      </c>
      <c r="Z272" s="174">
        <f>Buildings_GridElectricity_Frontend[[#This Row],[Methodology]]</f>
        <v>0</v>
      </c>
      <c r="AA272" s="229" t="str" cm="1">
        <f t="array" ref="AA272">IF(Buildings_GridElectricity_Frontend[[#This Row],[Data]]="","",INDEX(_xlfn.SWITCH(Buildings_GridElectricity_Backend[[#This Row],[Methodology]],"Tier 1",rng_RSD1,"Tier 2",rng_RSD2,"Tier 3",rng_RSD3),MATCH(_xlfn.CONCAT(Buildings_GridElectricity_Backend[[#This Row],[Level 1]:[Level 6]]),rng_LevelsConcat,0)))</f>
        <v/>
      </c>
      <c r="AB272" s="220">
        <f>Buildings_GridElectricity_Frontend[[#This Row],[Data]]</f>
        <v>0</v>
      </c>
      <c r="AC272" s="174" t="str">
        <f>Buildings_GridElectricity_Frontend[[#This Row],[Units]]</f>
        <v>kWh</v>
      </c>
      <c r="AD272" s="218">
        <f>Buildings_GridElectricity_Frontend[[#This Row],[Data]]</f>
        <v>0</v>
      </c>
      <c r="AE272" s="174" t="str">
        <f>Buildings_GridElectricity_Frontend[[#This Row],[Units]]</f>
        <v>kWh</v>
      </c>
      <c r="AF272" s="210" t="str">
        <f>IF(Buildings_GridElectricity_Frontend[[#This Row],[Data]]="","",_xlfn.XLOOKUP(_xlfn.CONCAT(Buildings_GridElectricity_Backend[[#This Row],[Level 1]:[Level 6]]),rng_EFConcat,rng_EF1)*Buildings_GridElectricity_Backend[[#This Row],[Converted data]]/1000)</f>
        <v/>
      </c>
      <c r="AG272" s="210" t="str">
        <f>IF(Buildings_GridElectricity_Frontend[[#This Row],[Data]]="","",_xlfn.XLOOKUP(_xlfn.CONCAT(Buildings_GridElectricity_Backend[[#This Row],[Level 1]:[Level 6]]),rng_EFConcat,rng_EF2)*Buildings_GridElectricity_Backend[[#This Row],[Converted data]]/1000)</f>
        <v/>
      </c>
      <c r="AH272" s="210" t="str">
        <f>IF(Buildings_GridElectricity_Frontend[[#This Row],[Data]]="","",_xlfn.XLOOKUP(_xlfn.CONCAT(Buildings_GridElectricity_Backend[[#This Row],[Level 1]:[Level 6]]),rng_EFConcat,rng_EF3)*Buildings_GridElectricity_Backend[[#This Row],[Converted data]]/1000)</f>
        <v/>
      </c>
      <c r="AI272" s="210" t="str">
        <f>IF(Buildings_GridElectricity_Frontend[[#This Row],[Data]]="","",_xlfn.XLOOKUP(_xlfn.CONCAT(Buildings_GridElectricity_Backend[[#This Row],[Level 1]:[Level 6]]),rng_EFConcat,rng_EF3WTT)*Buildings_GridElectricity_Backend[[#This Row],[Converted data]]/1000)</f>
        <v/>
      </c>
      <c r="AJ272" s="210" t="str">
        <f>IF(Buildings_GridElectricity_Frontend[[#This Row],[Data]]="","",_xlfn.XLOOKUP(_xlfn.CONCAT(Buildings_GridElectricity_Backend[[#This Row],[Level 1]:[Level 6]]),rng_EFConcat,rng_EF3TD)*Buildings_GridElectricity_Backend[[#This Row],[Converted data]]/1000)</f>
        <v/>
      </c>
      <c r="AK272" s="210" t="str">
        <f>IF(Buildings_GridElectricity_Frontend[[#This Row],[Data]]="","",_xlfn.XLOOKUP(_xlfn.CONCAT(Buildings_GridElectricity_Backend[[#This Row],[Level 1]:[Level 6]]),rng_EFConcat,rng_EF3WTTTD)*Buildings_GridElectricity_Backend[[#This Row],[Converted data]]/1000)</f>
        <v/>
      </c>
      <c r="AL272" s="220" t="str">
        <f>IF(Buildings_GridElectricity_Frontend[[#This Row],[Data]]="","",SUM(Buildings_GridElectricity_Backend[[#This Row],[Scope 1 (tCO2e)]:[Scope 3 WTT T&amp;D (tCO2e)]]))</f>
        <v/>
      </c>
      <c r="AM272" s="220" t="str">
        <f>IF(Buildings_GridElectricity_Frontend[[#This Row],[Data]]="","",Buildings_GridElectricity_Backend[[#This Row],[Total (tCO2e)]]*(1-Buildings_GridElectricity_Backend[[#This Row],[RSD]]))</f>
        <v/>
      </c>
      <c r="AN272" s="220" t="str">
        <f>IF(Buildings_GridElectricity_Frontend[[#This Row],[Data]]="","",Buildings_GridElectricity_Backend[[#This Row],[Total (tCO2e)]]*(1+Buildings_GridElectricity_Backend[[#This Row],[RSD]]))</f>
        <v/>
      </c>
      <c r="AO272" s="210" t="str">
        <f>IF(Buildings_GridElectricity_Frontend[[#This Row],[Data]]="","",_xlfn.XLOOKUP(_xlfn.CONCAT(Buildings_GridElectricity_Backend[[#This Row],[Level 1]:[Level 6]]),rng_EFConcat,rng_EFOOS)*Buildings_GridElectricity_Backend[[#This Row],[Converted data]]/1000)</f>
        <v/>
      </c>
      <c r="AP272" s="174">
        <f>Buildings_GridElectricity_Frontend[[#This Row],[Ease of collection]]</f>
        <v>0</v>
      </c>
      <c r="AQ272" s="213">
        <f>Buildings_GridElectricity_Frontend[[#This Row],[Completeness]]</f>
        <v>0</v>
      </c>
      <c r="AR272" s="220">
        <f>Buildings_GridElectricity_Frontend[[#This Row],[Notes]]</f>
        <v>0</v>
      </c>
    </row>
    <row r="273" spans="5:44" x14ac:dyDescent="0.3">
      <c r="E273" s="346"/>
      <c r="F273" s="449"/>
      <c r="G273" s="336"/>
      <c r="H273" s="334"/>
      <c r="I273" s="172" t="s">
        <v>316</v>
      </c>
      <c r="J273" s="337"/>
      <c r="K273" s="336"/>
      <c r="L273" s="336"/>
      <c r="M273" s="337"/>
      <c r="N273" s="242">
        <f t="shared" si="9"/>
        <v>3</v>
      </c>
      <c r="Q273" s="212" t="str">
        <f t="shared" si="8"/>
        <v/>
      </c>
      <c r="R273" s="174" t="s">
        <v>265</v>
      </c>
      <c r="S273" s="174" t="s">
        <v>273</v>
      </c>
      <c r="T273" s="174" t="str">
        <f>_xlfn.XLOOKUP(Buildings_GridElectricity_Backend[[#This Row],[Info 1]],Buildings_SiteInfo[Site name],Buildings_SiteInfo[Site type], "")</f>
        <v/>
      </c>
      <c r="U273" s="174" t="s">
        <v>281</v>
      </c>
      <c r="V273" s="174" t="str" cm="1">
        <f t="array" aca="1" ref="V273" ca="1">_xlfn.XLOOKUP(Buildings_GridElectricity_Backend[[#This Row],[Level 4]],rng_Level4Long,rng_Level5Long)</f>
        <v>Electricity</v>
      </c>
      <c r="W273" s="174" t="str" cm="1">
        <f t="array" aca="1" ref="W273" ca="1">_xlfn.XLOOKUP(Buildings_GridElectricity_Backend[[#This Row],[Level 4]],rng_Level4Long,rng_Level6Long)</f>
        <v>NaN</v>
      </c>
      <c r="X273" s="174">
        <f>Buildings_GridElectricity_Frontend[[#This Row],[Site Name]]</f>
        <v>0</v>
      </c>
      <c r="Y273" s="174">
        <f>Buildings_GridElectricity_Frontend[[#This Row],[Contracting]]</f>
        <v>0</v>
      </c>
      <c r="Z273" s="174">
        <f>Buildings_GridElectricity_Frontend[[#This Row],[Methodology]]</f>
        <v>0</v>
      </c>
      <c r="AA273" s="229" t="str" cm="1">
        <f t="array" ref="AA273">IF(Buildings_GridElectricity_Frontend[[#This Row],[Data]]="","",INDEX(_xlfn.SWITCH(Buildings_GridElectricity_Backend[[#This Row],[Methodology]],"Tier 1",rng_RSD1,"Tier 2",rng_RSD2,"Tier 3",rng_RSD3),MATCH(_xlfn.CONCAT(Buildings_GridElectricity_Backend[[#This Row],[Level 1]:[Level 6]]),rng_LevelsConcat,0)))</f>
        <v/>
      </c>
      <c r="AB273" s="220">
        <f>Buildings_GridElectricity_Frontend[[#This Row],[Data]]</f>
        <v>0</v>
      </c>
      <c r="AC273" s="174" t="str">
        <f>Buildings_GridElectricity_Frontend[[#This Row],[Units]]</f>
        <v>kWh</v>
      </c>
      <c r="AD273" s="218">
        <f>Buildings_GridElectricity_Frontend[[#This Row],[Data]]</f>
        <v>0</v>
      </c>
      <c r="AE273" s="174" t="str">
        <f>Buildings_GridElectricity_Frontend[[#This Row],[Units]]</f>
        <v>kWh</v>
      </c>
      <c r="AF273" s="210" t="str">
        <f>IF(Buildings_GridElectricity_Frontend[[#This Row],[Data]]="","",_xlfn.XLOOKUP(_xlfn.CONCAT(Buildings_GridElectricity_Backend[[#This Row],[Level 1]:[Level 6]]),rng_EFConcat,rng_EF1)*Buildings_GridElectricity_Backend[[#This Row],[Converted data]]/1000)</f>
        <v/>
      </c>
      <c r="AG273" s="210" t="str">
        <f>IF(Buildings_GridElectricity_Frontend[[#This Row],[Data]]="","",_xlfn.XLOOKUP(_xlfn.CONCAT(Buildings_GridElectricity_Backend[[#This Row],[Level 1]:[Level 6]]),rng_EFConcat,rng_EF2)*Buildings_GridElectricity_Backend[[#This Row],[Converted data]]/1000)</f>
        <v/>
      </c>
      <c r="AH273" s="210" t="str">
        <f>IF(Buildings_GridElectricity_Frontend[[#This Row],[Data]]="","",_xlfn.XLOOKUP(_xlfn.CONCAT(Buildings_GridElectricity_Backend[[#This Row],[Level 1]:[Level 6]]),rng_EFConcat,rng_EF3)*Buildings_GridElectricity_Backend[[#This Row],[Converted data]]/1000)</f>
        <v/>
      </c>
      <c r="AI273" s="210" t="str">
        <f>IF(Buildings_GridElectricity_Frontend[[#This Row],[Data]]="","",_xlfn.XLOOKUP(_xlfn.CONCAT(Buildings_GridElectricity_Backend[[#This Row],[Level 1]:[Level 6]]),rng_EFConcat,rng_EF3WTT)*Buildings_GridElectricity_Backend[[#This Row],[Converted data]]/1000)</f>
        <v/>
      </c>
      <c r="AJ273" s="210" t="str">
        <f>IF(Buildings_GridElectricity_Frontend[[#This Row],[Data]]="","",_xlfn.XLOOKUP(_xlfn.CONCAT(Buildings_GridElectricity_Backend[[#This Row],[Level 1]:[Level 6]]),rng_EFConcat,rng_EF3TD)*Buildings_GridElectricity_Backend[[#This Row],[Converted data]]/1000)</f>
        <v/>
      </c>
      <c r="AK273" s="210" t="str">
        <f>IF(Buildings_GridElectricity_Frontend[[#This Row],[Data]]="","",_xlfn.XLOOKUP(_xlfn.CONCAT(Buildings_GridElectricity_Backend[[#This Row],[Level 1]:[Level 6]]),rng_EFConcat,rng_EF3WTTTD)*Buildings_GridElectricity_Backend[[#This Row],[Converted data]]/1000)</f>
        <v/>
      </c>
      <c r="AL273" s="220" t="str">
        <f>IF(Buildings_GridElectricity_Frontend[[#This Row],[Data]]="","",SUM(Buildings_GridElectricity_Backend[[#This Row],[Scope 1 (tCO2e)]:[Scope 3 WTT T&amp;D (tCO2e)]]))</f>
        <v/>
      </c>
      <c r="AM273" s="220" t="str">
        <f>IF(Buildings_GridElectricity_Frontend[[#This Row],[Data]]="","",Buildings_GridElectricity_Backend[[#This Row],[Total (tCO2e)]]*(1-Buildings_GridElectricity_Backend[[#This Row],[RSD]]))</f>
        <v/>
      </c>
      <c r="AN273" s="220" t="str">
        <f>IF(Buildings_GridElectricity_Frontend[[#This Row],[Data]]="","",Buildings_GridElectricity_Backend[[#This Row],[Total (tCO2e)]]*(1+Buildings_GridElectricity_Backend[[#This Row],[RSD]]))</f>
        <v/>
      </c>
      <c r="AO273" s="210" t="str">
        <f>IF(Buildings_GridElectricity_Frontend[[#This Row],[Data]]="","",_xlfn.XLOOKUP(_xlfn.CONCAT(Buildings_GridElectricity_Backend[[#This Row],[Level 1]:[Level 6]]),rng_EFConcat,rng_EFOOS)*Buildings_GridElectricity_Backend[[#This Row],[Converted data]]/1000)</f>
        <v/>
      </c>
      <c r="AP273" s="174">
        <f>Buildings_GridElectricity_Frontend[[#This Row],[Ease of collection]]</f>
        <v>0</v>
      </c>
      <c r="AQ273" s="213">
        <f>Buildings_GridElectricity_Frontend[[#This Row],[Completeness]]</f>
        <v>0</v>
      </c>
      <c r="AR273" s="220">
        <f>Buildings_GridElectricity_Frontend[[#This Row],[Notes]]</f>
        <v>0</v>
      </c>
    </row>
    <row r="274" spans="5:44" x14ac:dyDescent="0.3">
      <c r="E274" s="346"/>
      <c r="F274" s="449"/>
      <c r="G274" s="336"/>
      <c r="H274" s="334"/>
      <c r="I274" s="172" t="s">
        <v>316</v>
      </c>
      <c r="J274" s="337"/>
      <c r="K274" s="336"/>
      <c r="L274" s="336"/>
      <c r="M274" s="337"/>
      <c r="N274" s="242">
        <f t="shared" si="9"/>
        <v>3</v>
      </c>
      <c r="Q274" s="212" t="str">
        <f t="shared" si="8"/>
        <v/>
      </c>
      <c r="R274" s="174" t="s">
        <v>265</v>
      </c>
      <c r="S274" s="174" t="s">
        <v>273</v>
      </c>
      <c r="T274" s="174" t="str">
        <f>_xlfn.XLOOKUP(Buildings_GridElectricity_Backend[[#This Row],[Info 1]],Buildings_SiteInfo[Site name],Buildings_SiteInfo[Site type], "")</f>
        <v/>
      </c>
      <c r="U274" s="174" t="s">
        <v>281</v>
      </c>
      <c r="V274" s="174" t="str" cm="1">
        <f t="array" aca="1" ref="V274" ca="1">_xlfn.XLOOKUP(Buildings_GridElectricity_Backend[[#This Row],[Level 4]],rng_Level4Long,rng_Level5Long)</f>
        <v>Electricity</v>
      </c>
      <c r="W274" s="174" t="str" cm="1">
        <f t="array" aca="1" ref="W274" ca="1">_xlfn.XLOOKUP(Buildings_GridElectricity_Backend[[#This Row],[Level 4]],rng_Level4Long,rng_Level6Long)</f>
        <v>NaN</v>
      </c>
      <c r="X274" s="174">
        <f>Buildings_GridElectricity_Frontend[[#This Row],[Site Name]]</f>
        <v>0</v>
      </c>
      <c r="Y274" s="174">
        <f>Buildings_GridElectricity_Frontend[[#This Row],[Contracting]]</f>
        <v>0</v>
      </c>
      <c r="Z274" s="174">
        <f>Buildings_GridElectricity_Frontend[[#This Row],[Methodology]]</f>
        <v>0</v>
      </c>
      <c r="AA274" s="229" t="str" cm="1">
        <f t="array" ref="AA274">IF(Buildings_GridElectricity_Frontend[[#This Row],[Data]]="","",INDEX(_xlfn.SWITCH(Buildings_GridElectricity_Backend[[#This Row],[Methodology]],"Tier 1",rng_RSD1,"Tier 2",rng_RSD2,"Tier 3",rng_RSD3),MATCH(_xlfn.CONCAT(Buildings_GridElectricity_Backend[[#This Row],[Level 1]:[Level 6]]),rng_LevelsConcat,0)))</f>
        <v/>
      </c>
      <c r="AB274" s="220">
        <f>Buildings_GridElectricity_Frontend[[#This Row],[Data]]</f>
        <v>0</v>
      </c>
      <c r="AC274" s="174" t="str">
        <f>Buildings_GridElectricity_Frontend[[#This Row],[Units]]</f>
        <v>kWh</v>
      </c>
      <c r="AD274" s="218">
        <f>Buildings_GridElectricity_Frontend[[#This Row],[Data]]</f>
        <v>0</v>
      </c>
      <c r="AE274" s="174" t="str">
        <f>Buildings_GridElectricity_Frontend[[#This Row],[Units]]</f>
        <v>kWh</v>
      </c>
      <c r="AF274" s="210" t="str">
        <f>IF(Buildings_GridElectricity_Frontend[[#This Row],[Data]]="","",_xlfn.XLOOKUP(_xlfn.CONCAT(Buildings_GridElectricity_Backend[[#This Row],[Level 1]:[Level 6]]),rng_EFConcat,rng_EF1)*Buildings_GridElectricity_Backend[[#This Row],[Converted data]]/1000)</f>
        <v/>
      </c>
      <c r="AG274" s="210" t="str">
        <f>IF(Buildings_GridElectricity_Frontend[[#This Row],[Data]]="","",_xlfn.XLOOKUP(_xlfn.CONCAT(Buildings_GridElectricity_Backend[[#This Row],[Level 1]:[Level 6]]),rng_EFConcat,rng_EF2)*Buildings_GridElectricity_Backend[[#This Row],[Converted data]]/1000)</f>
        <v/>
      </c>
      <c r="AH274" s="210" t="str">
        <f>IF(Buildings_GridElectricity_Frontend[[#This Row],[Data]]="","",_xlfn.XLOOKUP(_xlfn.CONCAT(Buildings_GridElectricity_Backend[[#This Row],[Level 1]:[Level 6]]),rng_EFConcat,rng_EF3)*Buildings_GridElectricity_Backend[[#This Row],[Converted data]]/1000)</f>
        <v/>
      </c>
      <c r="AI274" s="210" t="str">
        <f>IF(Buildings_GridElectricity_Frontend[[#This Row],[Data]]="","",_xlfn.XLOOKUP(_xlfn.CONCAT(Buildings_GridElectricity_Backend[[#This Row],[Level 1]:[Level 6]]),rng_EFConcat,rng_EF3WTT)*Buildings_GridElectricity_Backend[[#This Row],[Converted data]]/1000)</f>
        <v/>
      </c>
      <c r="AJ274" s="210" t="str">
        <f>IF(Buildings_GridElectricity_Frontend[[#This Row],[Data]]="","",_xlfn.XLOOKUP(_xlfn.CONCAT(Buildings_GridElectricity_Backend[[#This Row],[Level 1]:[Level 6]]),rng_EFConcat,rng_EF3TD)*Buildings_GridElectricity_Backend[[#This Row],[Converted data]]/1000)</f>
        <v/>
      </c>
      <c r="AK274" s="210" t="str">
        <f>IF(Buildings_GridElectricity_Frontend[[#This Row],[Data]]="","",_xlfn.XLOOKUP(_xlfn.CONCAT(Buildings_GridElectricity_Backend[[#This Row],[Level 1]:[Level 6]]),rng_EFConcat,rng_EF3WTTTD)*Buildings_GridElectricity_Backend[[#This Row],[Converted data]]/1000)</f>
        <v/>
      </c>
      <c r="AL274" s="220" t="str">
        <f>IF(Buildings_GridElectricity_Frontend[[#This Row],[Data]]="","",SUM(Buildings_GridElectricity_Backend[[#This Row],[Scope 1 (tCO2e)]:[Scope 3 WTT T&amp;D (tCO2e)]]))</f>
        <v/>
      </c>
      <c r="AM274" s="220" t="str">
        <f>IF(Buildings_GridElectricity_Frontend[[#This Row],[Data]]="","",Buildings_GridElectricity_Backend[[#This Row],[Total (tCO2e)]]*(1-Buildings_GridElectricity_Backend[[#This Row],[RSD]]))</f>
        <v/>
      </c>
      <c r="AN274" s="220" t="str">
        <f>IF(Buildings_GridElectricity_Frontend[[#This Row],[Data]]="","",Buildings_GridElectricity_Backend[[#This Row],[Total (tCO2e)]]*(1+Buildings_GridElectricity_Backend[[#This Row],[RSD]]))</f>
        <v/>
      </c>
      <c r="AO274" s="210" t="str">
        <f>IF(Buildings_GridElectricity_Frontend[[#This Row],[Data]]="","",_xlfn.XLOOKUP(_xlfn.CONCAT(Buildings_GridElectricity_Backend[[#This Row],[Level 1]:[Level 6]]),rng_EFConcat,rng_EFOOS)*Buildings_GridElectricity_Backend[[#This Row],[Converted data]]/1000)</f>
        <v/>
      </c>
      <c r="AP274" s="174">
        <f>Buildings_GridElectricity_Frontend[[#This Row],[Ease of collection]]</f>
        <v>0</v>
      </c>
      <c r="AQ274" s="213">
        <f>Buildings_GridElectricity_Frontend[[#This Row],[Completeness]]</f>
        <v>0</v>
      </c>
      <c r="AR274" s="220">
        <f>Buildings_GridElectricity_Frontend[[#This Row],[Notes]]</f>
        <v>0</v>
      </c>
    </row>
    <row r="275" spans="5:44" x14ac:dyDescent="0.3">
      <c r="E275" s="346"/>
      <c r="F275" s="449"/>
      <c r="G275" s="336"/>
      <c r="H275" s="334"/>
      <c r="I275" s="172" t="s">
        <v>316</v>
      </c>
      <c r="J275" s="337"/>
      <c r="K275" s="336"/>
      <c r="L275" s="336"/>
      <c r="M275" s="337"/>
      <c r="N275" s="242">
        <f t="shared" si="9"/>
        <v>3</v>
      </c>
      <c r="Q275" s="212" t="str">
        <f t="shared" si="8"/>
        <v/>
      </c>
      <c r="R275" s="174" t="s">
        <v>265</v>
      </c>
      <c r="S275" s="174" t="s">
        <v>273</v>
      </c>
      <c r="T275" s="174" t="str">
        <f>_xlfn.XLOOKUP(Buildings_GridElectricity_Backend[[#This Row],[Info 1]],Buildings_SiteInfo[Site name],Buildings_SiteInfo[Site type], "")</f>
        <v/>
      </c>
      <c r="U275" s="174" t="s">
        <v>281</v>
      </c>
      <c r="V275" s="174" t="str" cm="1">
        <f t="array" aca="1" ref="V275" ca="1">_xlfn.XLOOKUP(Buildings_GridElectricity_Backend[[#This Row],[Level 4]],rng_Level4Long,rng_Level5Long)</f>
        <v>Electricity</v>
      </c>
      <c r="W275" s="174" t="str" cm="1">
        <f t="array" aca="1" ref="W275" ca="1">_xlfn.XLOOKUP(Buildings_GridElectricity_Backend[[#This Row],[Level 4]],rng_Level4Long,rng_Level6Long)</f>
        <v>NaN</v>
      </c>
      <c r="X275" s="174">
        <f>Buildings_GridElectricity_Frontend[[#This Row],[Site Name]]</f>
        <v>0</v>
      </c>
      <c r="Y275" s="174">
        <f>Buildings_GridElectricity_Frontend[[#This Row],[Contracting]]</f>
        <v>0</v>
      </c>
      <c r="Z275" s="174">
        <f>Buildings_GridElectricity_Frontend[[#This Row],[Methodology]]</f>
        <v>0</v>
      </c>
      <c r="AA275" s="229" t="str" cm="1">
        <f t="array" ref="AA275">IF(Buildings_GridElectricity_Frontend[[#This Row],[Data]]="","",INDEX(_xlfn.SWITCH(Buildings_GridElectricity_Backend[[#This Row],[Methodology]],"Tier 1",rng_RSD1,"Tier 2",rng_RSD2,"Tier 3",rng_RSD3),MATCH(_xlfn.CONCAT(Buildings_GridElectricity_Backend[[#This Row],[Level 1]:[Level 6]]),rng_LevelsConcat,0)))</f>
        <v/>
      </c>
      <c r="AB275" s="220">
        <f>Buildings_GridElectricity_Frontend[[#This Row],[Data]]</f>
        <v>0</v>
      </c>
      <c r="AC275" s="174" t="str">
        <f>Buildings_GridElectricity_Frontend[[#This Row],[Units]]</f>
        <v>kWh</v>
      </c>
      <c r="AD275" s="218">
        <f>Buildings_GridElectricity_Frontend[[#This Row],[Data]]</f>
        <v>0</v>
      </c>
      <c r="AE275" s="174" t="str">
        <f>Buildings_GridElectricity_Frontend[[#This Row],[Units]]</f>
        <v>kWh</v>
      </c>
      <c r="AF275" s="210" t="str">
        <f>IF(Buildings_GridElectricity_Frontend[[#This Row],[Data]]="","",_xlfn.XLOOKUP(_xlfn.CONCAT(Buildings_GridElectricity_Backend[[#This Row],[Level 1]:[Level 6]]),rng_EFConcat,rng_EF1)*Buildings_GridElectricity_Backend[[#This Row],[Converted data]]/1000)</f>
        <v/>
      </c>
      <c r="AG275" s="210" t="str">
        <f>IF(Buildings_GridElectricity_Frontend[[#This Row],[Data]]="","",_xlfn.XLOOKUP(_xlfn.CONCAT(Buildings_GridElectricity_Backend[[#This Row],[Level 1]:[Level 6]]),rng_EFConcat,rng_EF2)*Buildings_GridElectricity_Backend[[#This Row],[Converted data]]/1000)</f>
        <v/>
      </c>
      <c r="AH275" s="210" t="str">
        <f>IF(Buildings_GridElectricity_Frontend[[#This Row],[Data]]="","",_xlfn.XLOOKUP(_xlfn.CONCAT(Buildings_GridElectricity_Backend[[#This Row],[Level 1]:[Level 6]]),rng_EFConcat,rng_EF3)*Buildings_GridElectricity_Backend[[#This Row],[Converted data]]/1000)</f>
        <v/>
      </c>
      <c r="AI275" s="210" t="str">
        <f>IF(Buildings_GridElectricity_Frontend[[#This Row],[Data]]="","",_xlfn.XLOOKUP(_xlfn.CONCAT(Buildings_GridElectricity_Backend[[#This Row],[Level 1]:[Level 6]]),rng_EFConcat,rng_EF3WTT)*Buildings_GridElectricity_Backend[[#This Row],[Converted data]]/1000)</f>
        <v/>
      </c>
      <c r="AJ275" s="210" t="str">
        <f>IF(Buildings_GridElectricity_Frontend[[#This Row],[Data]]="","",_xlfn.XLOOKUP(_xlfn.CONCAT(Buildings_GridElectricity_Backend[[#This Row],[Level 1]:[Level 6]]),rng_EFConcat,rng_EF3TD)*Buildings_GridElectricity_Backend[[#This Row],[Converted data]]/1000)</f>
        <v/>
      </c>
      <c r="AK275" s="210" t="str">
        <f>IF(Buildings_GridElectricity_Frontend[[#This Row],[Data]]="","",_xlfn.XLOOKUP(_xlfn.CONCAT(Buildings_GridElectricity_Backend[[#This Row],[Level 1]:[Level 6]]),rng_EFConcat,rng_EF3WTTTD)*Buildings_GridElectricity_Backend[[#This Row],[Converted data]]/1000)</f>
        <v/>
      </c>
      <c r="AL275" s="220" t="str">
        <f>IF(Buildings_GridElectricity_Frontend[[#This Row],[Data]]="","",SUM(Buildings_GridElectricity_Backend[[#This Row],[Scope 1 (tCO2e)]:[Scope 3 WTT T&amp;D (tCO2e)]]))</f>
        <v/>
      </c>
      <c r="AM275" s="220" t="str">
        <f>IF(Buildings_GridElectricity_Frontend[[#This Row],[Data]]="","",Buildings_GridElectricity_Backend[[#This Row],[Total (tCO2e)]]*(1-Buildings_GridElectricity_Backend[[#This Row],[RSD]]))</f>
        <v/>
      </c>
      <c r="AN275" s="220" t="str">
        <f>IF(Buildings_GridElectricity_Frontend[[#This Row],[Data]]="","",Buildings_GridElectricity_Backend[[#This Row],[Total (tCO2e)]]*(1+Buildings_GridElectricity_Backend[[#This Row],[RSD]]))</f>
        <v/>
      </c>
      <c r="AO275" s="210" t="str">
        <f>IF(Buildings_GridElectricity_Frontend[[#This Row],[Data]]="","",_xlfn.XLOOKUP(_xlfn.CONCAT(Buildings_GridElectricity_Backend[[#This Row],[Level 1]:[Level 6]]),rng_EFConcat,rng_EFOOS)*Buildings_GridElectricity_Backend[[#This Row],[Converted data]]/1000)</f>
        <v/>
      </c>
      <c r="AP275" s="174">
        <f>Buildings_GridElectricity_Frontend[[#This Row],[Ease of collection]]</f>
        <v>0</v>
      </c>
      <c r="AQ275" s="213">
        <f>Buildings_GridElectricity_Frontend[[#This Row],[Completeness]]</f>
        <v>0</v>
      </c>
      <c r="AR275" s="220">
        <f>Buildings_GridElectricity_Frontend[[#This Row],[Notes]]</f>
        <v>0</v>
      </c>
    </row>
    <row r="276" spans="5:44" x14ac:dyDescent="0.3">
      <c r="E276" s="346"/>
      <c r="F276" s="449"/>
      <c r="G276" s="336"/>
      <c r="H276" s="334"/>
      <c r="I276" s="172" t="s">
        <v>316</v>
      </c>
      <c r="J276" s="337"/>
      <c r="K276" s="336"/>
      <c r="L276" s="336"/>
      <c r="M276" s="337"/>
      <c r="N276" s="242">
        <f t="shared" si="9"/>
        <v>3</v>
      </c>
      <c r="Q276" s="212" t="str">
        <f t="shared" si="8"/>
        <v/>
      </c>
      <c r="R276" s="174" t="s">
        <v>265</v>
      </c>
      <c r="S276" s="174" t="s">
        <v>273</v>
      </c>
      <c r="T276" s="174" t="str">
        <f>_xlfn.XLOOKUP(Buildings_GridElectricity_Backend[[#This Row],[Info 1]],Buildings_SiteInfo[Site name],Buildings_SiteInfo[Site type], "")</f>
        <v/>
      </c>
      <c r="U276" s="174" t="s">
        <v>281</v>
      </c>
      <c r="V276" s="174" t="str" cm="1">
        <f t="array" aca="1" ref="V276" ca="1">_xlfn.XLOOKUP(Buildings_GridElectricity_Backend[[#This Row],[Level 4]],rng_Level4Long,rng_Level5Long)</f>
        <v>Electricity</v>
      </c>
      <c r="W276" s="174" t="str" cm="1">
        <f t="array" aca="1" ref="W276" ca="1">_xlfn.XLOOKUP(Buildings_GridElectricity_Backend[[#This Row],[Level 4]],rng_Level4Long,rng_Level6Long)</f>
        <v>NaN</v>
      </c>
      <c r="X276" s="174">
        <f>Buildings_GridElectricity_Frontend[[#This Row],[Site Name]]</f>
        <v>0</v>
      </c>
      <c r="Y276" s="174">
        <f>Buildings_GridElectricity_Frontend[[#This Row],[Contracting]]</f>
        <v>0</v>
      </c>
      <c r="Z276" s="174">
        <f>Buildings_GridElectricity_Frontend[[#This Row],[Methodology]]</f>
        <v>0</v>
      </c>
      <c r="AA276" s="229" t="str" cm="1">
        <f t="array" ref="AA276">IF(Buildings_GridElectricity_Frontend[[#This Row],[Data]]="","",INDEX(_xlfn.SWITCH(Buildings_GridElectricity_Backend[[#This Row],[Methodology]],"Tier 1",rng_RSD1,"Tier 2",rng_RSD2,"Tier 3",rng_RSD3),MATCH(_xlfn.CONCAT(Buildings_GridElectricity_Backend[[#This Row],[Level 1]:[Level 6]]),rng_LevelsConcat,0)))</f>
        <v/>
      </c>
      <c r="AB276" s="220">
        <f>Buildings_GridElectricity_Frontend[[#This Row],[Data]]</f>
        <v>0</v>
      </c>
      <c r="AC276" s="174" t="str">
        <f>Buildings_GridElectricity_Frontend[[#This Row],[Units]]</f>
        <v>kWh</v>
      </c>
      <c r="AD276" s="218">
        <f>Buildings_GridElectricity_Frontend[[#This Row],[Data]]</f>
        <v>0</v>
      </c>
      <c r="AE276" s="174" t="str">
        <f>Buildings_GridElectricity_Frontend[[#This Row],[Units]]</f>
        <v>kWh</v>
      </c>
      <c r="AF276" s="210" t="str">
        <f>IF(Buildings_GridElectricity_Frontend[[#This Row],[Data]]="","",_xlfn.XLOOKUP(_xlfn.CONCAT(Buildings_GridElectricity_Backend[[#This Row],[Level 1]:[Level 6]]),rng_EFConcat,rng_EF1)*Buildings_GridElectricity_Backend[[#This Row],[Converted data]]/1000)</f>
        <v/>
      </c>
      <c r="AG276" s="210" t="str">
        <f>IF(Buildings_GridElectricity_Frontend[[#This Row],[Data]]="","",_xlfn.XLOOKUP(_xlfn.CONCAT(Buildings_GridElectricity_Backend[[#This Row],[Level 1]:[Level 6]]),rng_EFConcat,rng_EF2)*Buildings_GridElectricity_Backend[[#This Row],[Converted data]]/1000)</f>
        <v/>
      </c>
      <c r="AH276" s="210" t="str">
        <f>IF(Buildings_GridElectricity_Frontend[[#This Row],[Data]]="","",_xlfn.XLOOKUP(_xlfn.CONCAT(Buildings_GridElectricity_Backend[[#This Row],[Level 1]:[Level 6]]),rng_EFConcat,rng_EF3)*Buildings_GridElectricity_Backend[[#This Row],[Converted data]]/1000)</f>
        <v/>
      </c>
      <c r="AI276" s="210" t="str">
        <f>IF(Buildings_GridElectricity_Frontend[[#This Row],[Data]]="","",_xlfn.XLOOKUP(_xlfn.CONCAT(Buildings_GridElectricity_Backend[[#This Row],[Level 1]:[Level 6]]),rng_EFConcat,rng_EF3WTT)*Buildings_GridElectricity_Backend[[#This Row],[Converted data]]/1000)</f>
        <v/>
      </c>
      <c r="AJ276" s="210" t="str">
        <f>IF(Buildings_GridElectricity_Frontend[[#This Row],[Data]]="","",_xlfn.XLOOKUP(_xlfn.CONCAT(Buildings_GridElectricity_Backend[[#This Row],[Level 1]:[Level 6]]),rng_EFConcat,rng_EF3TD)*Buildings_GridElectricity_Backend[[#This Row],[Converted data]]/1000)</f>
        <v/>
      </c>
      <c r="AK276" s="210" t="str">
        <f>IF(Buildings_GridElectricity_Frontend[[#This Row],[Data]]="","",_xlfn.XLOOKUP(_xlfn.CONCAT(Buildings_GridElectricity_Backend[[#This Row],[Level 1]:[Level 6]]),rng_EFConcat,rng_EF3WTTTD)*Buildings_GridElectricity_Backend[[#This Row],[Converted data]]/1000)</f>
        <v/>
      </c>
      <c r="AL276" s="220" t="str">
        <f>IF(Buildings_GridElectricity_Frontend[[#This Row],[Data]]="","",SUM(Buildings_GridElectricity_Backend[[#This Row],[Scope 1 (tCO2e)]:[Scope 3 WTT T&amp;D (tCO2e)]]))</f>
        <v/>
      </c>
      <c r="AM276" s="220" t="str">
        <f>IF(Buildings_GridElectricity_Frontend[[#This Row],[Data]]="","",Buildings_GridElectricity_Backend[[#This Row],[Total (tCO2e)]]*(1-Buildings_GridElectricity_Backend[[#This Row],[RSD]]))</f>
        <v/>
      </c>
      <c r="AN276" s="220" t="str">
        <f>IF(Buildings_GridElectricity_Frontend[[#This Row],[Data]]="","",Buildings_GridElectricity_Backend[[#This Row],[Total (tCO2e)]]*(1+Buildings_GridElectricity_Backend[[#This Row],[RSD]]))</f>
        <v/>
      </c>
      <c r="AO276" s="210" t="str">
        <f>IF(Buildings_GridElectricity_Frontend[[#This Row],[Data]]="","",_xlfn.XLOOKUP(_xlfn.CONCAT(Buildings_GridElectricity_Backend[[#This Row],[Level 1]:[Level 6]]),rng_EFConcat,rng_EFOOS)*Buildings_GridElectricity_Backend[[#This Row],[Converted data]]/1000)</f>
        <v/>
      </c>
      <c r="AP276" s="174">
        <f>Buildings_GridElectricity_Frontend[[#This Row],[Ease of collection]]</f>
        <v>0</v>
      </c>
      <c r="AQ276" s="213">
        <f>Buildings_GridElectricity_Frontend[[#This Row],[Completeness]]</f>
        <v>0</v>
      </c>
      <c r="AR276" s="220">
        <f>Buildings_GridElectricity_Frontend[[#This Row],[Notes]]</f>
        <v>0</v>
      </c>
    </row>
    <row r="277" spans="5:44" x14ac:dyDescent="0.3">
      <c r="E277" s="346"/>
      <c r="F277" s="449"/>
      <c r="G277" s="336"/>
      <c r="H277" s="334"/>
      <c r="I277" s="172" t="s">
        <v>316</v>
      </c>
      <c r="J277" s="337"/>
      <c r="K277" s="336"/>
      <c r="L277" s="336"/>
      <c r="M277" s="337"/>
      <c r="N277" s="242">
        <f t="shared" si="9"/>
        <v>3</v>
      </c>
      <c r="Q277" s="212" t="str">
        <f t="shared" si="8"/>
        <v/>
      </c>
      <c r="R277" s="174" t="s">
        <v>265</v>
      </c>
      <c r="S277" s="174" t="s">
        <v>273</v>
      </c>
      <c r="T277" s="174" t="str">
        <f>_xlfn.XLOOKUP(Buildings_GridElectricity_Backend[[#This Row],[Info 1]],Buildings_SiteInfo[Site name],Buildings_SiteInfo[Site type], "")</f>
        <v/>
      </c>
      <c r="U277" s="174" t="s">
        <v>281</v>
      </c>
      <c r="V277" s="174" t="str" cm="1">
        <f t="array" aca="1" ref="V277" ca="1">_xlfn.XLOOKUP(Buildings_GridElectricity_Backend[[#This Row],[Level 4]],rng_Level4Long,rng_Level5Long)</f>
        <v>Electricity</v>
      </c>
      <c r="W277" s="174" t="str" cm="1">
        <f t="array" aca="1" ref="W277" ca="1">_xlfn.XLOOKUP(Buildings_GridElectricity_Backend[[#This Row],[Level 4]],rng_Level4Long,rng_Level6Long)</f>
        <v>NaN</v>
      </c>
      <c r="X277" s="174">
        <f>Buildings_GridElectricity_Frontend[[#This Row],[Site Name]]</f>
        <v>0</v>
      </c>
      <c r="Y277" s="174">
        <f>Buildings_GridElectricity_Frontend[[#This Row],[Contracting]]</f>
        <v>0</v>
      </c>
      <c r="Z277" s="174">
        <f>Buildings_GridElectricity_Frontend[[#This Row],[Methodology]]</f>
        <v>0</v>
      </c>
      <c r="AA277" s="229" t="str" cm="1">
        <f t="array" ref="AA277">IF(Buildings_GridElectricity_Frontend[[#This Row],[Data]]="","",INDEX(_xlfn.SWITCH(Buildings_GridElectricity_Backend[[#This Row],[Methodology]],"Tier 1",rng_RSD1,"Tier 2",rng_RSD2,"Tier 3",rng_RSD3),MATCH(_xlfn.CONCAT(Buildings_GridElectricity_Backend[[#This Row],[Level 1]:[Level 6]]),rng_LevelsConcat,0)))</f>
        <v/>
      </c>
      <c r="AB277" s="220">
        <f>Buildings_GridElectricity_Frontend[[#This Row],[Data]]</f>
        <v>0</v>
      </c>
      <c r="AC277" s="174" t="str">
        <f>Buildings_GridElectricity_Frontend[[#This Row],[Units]]</f>
        <v>kWh</v>
      </c>
      <c r="AD277" s="218">
        <f>Buildings_GridElectricity_Frontend[[#This Row],[Data]]</f>
        <v>0</v>
      </c>
      <c r="AE277" s="174" t="str">
        <f>Buildings_GridElectricity_Frontend[[#This Row],[Units]]</f>
        <v>kWh</v>
      </c>
      <c r="AF277" s="210" t="str">
        <f>IF(Buildings_GridElectricity_Frontend[[#This Row],[Data]]="","",_xlfn.XLOOKUP(_xlfn.CONCAT(Buildings_GridElectricity_Backend[[#This Row],[Level 1]:[Level 6]]),rng_EFConcat,rng_EF1)*Buildings_GridElectricity_Backend[[#This Row],[Converted data]]/1000)</f>
        <v/>
      </c>
      <c r="AG277" s="210" t="str">
        <f>IF(Buildings_GridElectricity_Frontend[[#This Row],[Data]]="","",_xlfn.XLOOKUP(_xlfn.CONCAT(Buildings_GridElectricity_Backend[[#This Row],[Level 1]:[Level 6]]),rng_EFConcat,rng_EF2)*Buildings_GridElectricity_Backend[[#This Row],[Converted data]]/1000)</f>
        <v/>
      </c>
      <c r="AH277" s="210" t="str">
        <f>IF(Buildings_GridElectricity_Frontend[[#This Row],[Data]]="","",_xlfn.XLOOKUP(_xlfn.CONCAT(Buildings_GridElectricity_Backend[[#This Row],[Level 1]:[Level 6]]),rng_EFConcat,rng_EF3)*Buildings_GridElectricity_Backend[[#This Row],[Converted data]]/1000)</f>
        <v/>
      </c>
      <c r="AI277" s="210" t="str">
        <f>IF(Buildings_GridElectricity_Frontend[[#This Row],[Data]]="","",_xlfn.XLOOKUP(_xlfn.CONCAT(Buildings_GridElectricity_Backend[[#This Row],[Level 1]:[Level 6]]),rng_EFConcat,rng_EF3WTT)*Buildings_GridElectricity_Backend[[#This Row],[Converted data]]/1000)</f>
        <v/>
      </c>
      <c r="AJ277" s="210" t="str">
        <f>IF(Buildings_GridElectricity_Frontend[[#This Row],[Data]]="","",_xlfn.XLOOKUP(_xlfn.CONCAT(Buildings_GridElectricity_Backend[[#This Row],[Level 1]:[Level 6]]),rng_EFConcat,rng_EF3TD)*Buildings_GridElectricity_Backend[[#This Row],[Converted data]]/1000)</f>
        <v/>
      </c>
      <c r="AK277" s="210" t="str">
        <f>IF(Buildings_GridElectricity_Frontend[[#This Row],[Data]]="","",_xlfn.XLOOKUP(_xlfn.CONCAT(Buildings_GridElectricity_Backend[[#This Row],[Level 1]:[Level 6]]),rng_EFConcat,rng_EF3WTTTD)*Buildings_GridElectricity_Backend[[#This Row],[Converted data]]/1000)</f>
        <v/>
      </c>
      <c r="AL277" s="220" t="str">
        <f>IF(Buildings_GridElectricity_Frontend[[#This Row],[Data]]="","",SUM(Buildings_GridElectricity_Backend[[#This Row],[Scope 1 (tCO2e)]:[Scope 3 WTT T&amp;D (tCO2e)]]))</f>
        <v/>
      </c>
      <c r="AM277" s="220" t="str">
        <f>IF(Buildings_GridElectricity_Frontend[[#This Row],[Data]]="","",Buildings_GridElectricity_Backend[[#This Row],[Total (tCO2e)]]*(1-Buildings_GridElectricity_Backend[[#This Row],[RSD]]))</f>
        <v/>
      </c>
      <c r="AN277" s="220" t="str">
        <f>IF(Buildings_GridElectricity_Frontend[[#This Row],[Data]]="","",Buildings_GridElectricity_Backend[[#This Row],[Total (tCO2e)]]*(1+Buildings_GridElectricity_Backend[[#This Row],[RSD]]))</f>
        <v/>
      </c>
      <c r="AO277" s="210" t="str">
        <f>IF(Buildings_GridElectricity_Frontend[[#This Row],[Data]]="","",_xlfn.XLOOKUP(_xlfn.CONCAT(Buildings_GridElectricity_Backend[[#This Row],[Level 1]:[Level 6]]),rng_EFConcat,rng_EFOOS)*Buildings_GridElectricity_Backend[[#This Row],[Converted data]]/1000)</f>
        <v/>
      </c>
      <c r="AP277" s="174">
        <f>Buildings_GridElectricity_Frontend[[#This Row],[Ease of collection]]</f>
        <v>0</v>
      </c>
      <c r="AQ277" s="213">
        <f>Buildings_GridElectricity_Frontend[[#This Row],[Completeness]]</f>
        <v>0</v>
      </c>
      <c r="AR277" s="220">
        <f>Buildings_GridElectricity_Frontend[[#This Row],[Notes]]</f>
        <v>0</v>
      </c>
    </row>
    <row r="278" spans="5:44" x14ac:dyDescent="0.3">
      <c r="E278" s="346"/>
      <c r="F278" s="449"/>
      <c r="G278" s="336"/>
      <c r="H278" s="334"/>
      <c r="I278" s="172" t="s">
        <v>316</v>
      </c>
      <c r="J278" s="337"/>
      <c r="K278" s="336"/>
      <c r="L278" s="336"/>
      <c r="M278" s="337"/>
      <c r="N278" s="242">
        <f t="shared" si="9"/>
        <v>3</v>
      </c>
      <c r="Q278" s="212" t="str">
        <f t="shared" si="8"/>
        <v/>
      </c>
      <c r="R278" s="174" t="s">
        <v>265</v>
      </c>
      <c r="S278" s="174" t="s">
        <v>273</v>
      </c>
      <c r="T278" s="174" t="str">
        <f>_xlfn.XLOOKUP(Buildings_GridElectricity_Backend[[#This Row],[Info 1]],Buildings_SiteInfo[Site name],Buildings_SiteInfo[Site type], "")</f>
        <v/>
      </c>
      <c r="U278" s="174" t="s">
        <v>281</v>
      </c>
      <c r="V278" s="174" t="str" cm="1">
        <f t="array" aca="1" ref="V278" ca="1">_xlfn.XLOOKUP(Buildings_GridElectricity_Backend[[#This Row],[Level 4]],rng_Level4Long,rng_Level5Long)</f>
        <v>Electricity</v>
      </c>
      <c r="W278" s="174" t="str" cm="1">
        <f t="array" aca="1" ref="W278" ca="1">_xlfn.XLOOKUP(Buildings_GridElectricity_Backend[[#This Row],[Level 4]],rng_Level4Long,rng_Level6Long)</f>
        <v>NaN</v>
      </c>
      <c r="X278" s="174">
        <f>Buildings_GridElectricity_Frontend[[#This Row],[Site Name]]</f>
        <v>0</v>
      </c>
      <c r="Y278" s="174">
        <f>Buildings_GridElectricity_Frontend[[#This Row],[Contracting]]</f>
        <v>0</v>
      </c>
      <c r="Z278" s="174">
        <f>Buildings_GridElectricity_Frontend[[#This Row],[Methodology]]</f>
        <v>0</v>
      </c>
      <c r="AA278" s="229" t="str" cm="1">
        <f t="array" ref="AA278">IF(Buildings_GridElectricity_Frontend[[#This Row],[Data]]="","",INDEX(_xlfn.SWITCH(Buildings_GridElectricity_Backend[[#This Row],[Methodology]],"Tier 1",rng_RSD1,"Tier 2",rng_RSD2,"Tier 3",rng_RSD3),MATCH(_xlfn.CONCAT(Buildings_GridElectricity_Backend[[#This Row],[Level 1]:[Level 6]]),rng_LevelsConcat,0)))</f>
        <v/>
      </c>
      <c r="AB278" s="220">
        <f>Buildings_GridElectricity_Frontend[[#This Row],[Data]]</f>
        <v>0</v>
      </c>
      <c r="AC278" s="174" t="str">
        <f>Buildings_GridElectricity_Frontend[[#This Row],[Units]]</f>
        <v>kWh</v>
      </c>
      <c r="AD278" s="218">
        <f>Buildings_GridElectricity_Frontend[[#This Row],[Data]]</f>
        <v>0</v>
      </c>
      <c r="AE278" s="174" t="str">
        <f>Buildings_GridElectricity_Frontend[[#This Row],[Units]]</f>
        <v>kWh</v>
      </c>
      <c r="AF278" s="210" t="str">
        <f>IF(Buildings_GridElectricity_Frontend[[#This Row],[Data]]="","",_xlfn.XLOOKUP(_xlfn.CONCAT(Buildings_GridElectricity_Backend[[#This Row],[Level 1]:[Level 6]]),rng_EFConcat,rng_EF1)*Buildings_GridElectricity_Backend[[#This Row],[Converted data]]/1000)</f>
        <v/>
      </c>
      <c r="AG278" s="210" t="str">
        <f>IF(Buildings_GridElectricity_Frontend[[#This Row],[Data]]="","",_xlfn.XLOOKUP(_xlfn.CONCAT(Buildings_GridElectricity_Backend[[#This Row],[Level 1]:[Level 6]]),rng_EFConcat,rng_EF2)*Buildings_GridElectricity_Backend[[#This Row],[Converted data]]/1000)</f>
        <v/>
      </c>
      <c r="AH278" s="210" t="str">
        <f>IF(Buildings_GridElectricity_Frontend[[#This Row],[Data]]="","",_xlfn.XLOOKUP(_xlfn.CONCAT(Buildings_GridElectricity_Backend[[#This Row],[Level 1]:[Level 6]]),rng_EFConcat,rng_EF3)*Buildings_GridElectricity_Backend[[#This Row],[Converted data]]/1000)</f>
        <v/>
      </c>
      <c r="AI278" s="210" t="str">
        <f>IF(Buildings_GridElectricity_Frontend[[#This Row],[Data]]="","",_xlfn.XLOOKUP(_xlfn.CONCAT(Buildings_GridElectricity_Backend[[#This Row],[Level 1]:[Level 6]]),rng_EFConcat,rng_EF3WTT)*Buildings_GridElectricity_Backend[[#This Row],[Converted data]]/1000)</f>
        <v/>
      </c>
      <c r="AJ278" s="210" t="str">
        <f>IF(Buildings_GridElectricity_Frontend[[#This Row],[Data]]="","",_xlfn.XLOOKUP(_xlfn.CONCAT(Buildings_GridElectricity_Backend[[#This Row],[Level 1]:[Level 6]]),rng_EFConcat,rng_EF3TD)*Buildings_GridElectricity_Backend[[#This Row],[Converted data]]/1000)</f>
        <v/>
      </c>
      <c r="AK278" s="210" t="str">
        <f>IF(Buildings_GridElectricity_Frontend[[#This Row],[Data]]="","",_xlfn.XLOOKUP(_xlfn.CONCAT(Buildings_GridElectricity_Backend[[#This Row],[Level 1]:[Level 6]]),rng_EFConcat,rng_EF3WTTTD)*Buildings_GridElectricity_Backend[[#This Row],[Converted data]]/1000)</f>
        <v/>
      </c>
      <c r="AL278" s="220" t="str">
        <f>IF(Buildings_GridElectricity_Frontend[[#This Row],[Data]]="","",SUM(Buildings_GridElectricity_Backend[[#This Row],[Scope 1 (tCO2e)]:[Scope 3 WTT T&amp;D (tCO2e)]]))</f>
        <v/>
      </c>
      <c r="AM278" s="220" t="str">
        <f>IF(Buildings_GridElectricity_Frontend[[#This Row],[Data]]="","",Buildings_GridElectricity_Backend[[#This Row],[Total (tCO2e)]]*(1-Buildings_GridElectricity_Backend[[#This Row],[RSD]]))</f>
        <v/>
      </c>
      <c r="AN278" s="220" t="str">
        <f>IF(Buildings_GridElectricity_Frontend[[#This Row],[Data]]="","",Buildings_GridElectricity_Backend[[#This Row],[Total (tCO2e)]]*(1+Buildings_GridElectricity_Backend[[#This Row],[RSD]]))</f>
        <v/>
      </c>
      <c r="AO278" s="210" t="str">
        <f>IF(Buildings_GridElectricity_Frontend[[#This Row],[Data]]="","",_xlfn.XLOOKUP(_xlfn.CONCAT(Buildings_GridElectricity_Backend[[#This Row],[Level 1]:[Level 6]]),rng_EFConcat,rng_EFOOS)*Buildings_GridElectricity_Backend[[#This Row],[Converted data]]/1000)</f>
        <v/>
      </c>
      <c r="AP278" s="174">
        <f>Buildings_GridElectricity_Frontend[[#This Row],[Ease of collection]]</f>
        <v>0</v>
      </c>
      <c r="AQ278" s="213">
        <f>Buildings_GridElectricity_Frontend[[#This Row],[Completeness]]</f>
        <v>0</v>
      </c>
      <c r="AR278" s="220">
        <f>Buildings_GridElectricity_Frontend[[#This Row],[Notes]]</f>
        <v>0</v>
      </c>
    </row>
    <row r="279" spans="5:44" x14ac:dyDescent="0.3">
      <c r="E279" s="346"/>
      <c r="F279" s="449"/>
      <c r="G279" s="336"/>
      <c r="H279" s="334"/>
      <c r="I279" s="172" t="s">
        <v>316</v>
      </c>
      <c r="J279" s="337"/>
      <c r="K279" s="336"/>
      <c r="L279" s="336"/>
      <c r="M279" s="337"/>
      <c r="N279" s="242">
        <f t="shared" si="9"/>
        <v>3</v>
      </c>
      <c r="Q279" s="212" t="str">
        <f t="shared" si="8"/>
        <v/>
      </c>
      <c r="R279" s="174" t="s">
        <v>265</v>
      </c>
      <c r="S279" s="174" t="s">
        <v>273</v>
      </c>
      <c r="T279" s="174" t="str">
        <f>_xlfn.XLOOKUP(Buildings_GridElectricity_Backend[[#This Row],[Info 1]],Buildings_SiteInfo[Site name],Buildings_SiteInfo[Site type], "")</f>
        <v/>
      </c>
      <c r="U279" s="174" t="s">
        <v>281</v>
      </c>
      <c r="V279" s="174" t="str" cm="1">
        <f t="array" aca="1" ref="V279" ca="1">_xlfn.XLOOKUP(Buildings_GridElectricity_Backend[[#This Row],[Level 4]],rng_Level4Long,rng_Level5Long)</f>
        <v>Electricity</v>
      </c>
      <c r="W279" s="174" t="str" cm="1">
        <f t="array" aca="1" ref="W279" ca="1">_xlfn.XLOOKUP(Buildings_GridElectricity_Backend[[#This Row],[Level 4]],rng_Level4Long,rng_Level6Long)</f>
        <v>NaN</v>
      </c>
      <c r="X279" s="174">
        <f>Buildings_GridElectricity_Frontend[[#This Row],[Site Name]]</f>
        <v>0</v>
      </c>
      <c r="Y279" s="174">
        <f>Buildings_GridElectricity_Frontend[[#This Row],[Contracting]]</f>
        <v>0</v>
      </c>
      <c r="Z279" s="174">
        <f>Buildings_GridElectricity_Frontend[[#This Row],[Methodology]]</f>
        <v>0</v>
      </c>
      <c r="AA279" s="229" t="str" cm="1">
        <f t="array" ref="AA279">IF(Buildings_GridElectricity_Frontend[[#This Row],[Data]]="","",INDEX(_xlfn.SWITCH(Buildings_GridElectricity_Backend[[#This Row],[Methodology]],"Tier 1",rng_RSD1,"Tier 2",rng_RSD2,"Tier 3",rng_RSD3),MATCH(_xlfn.CONCAT(Buildings_GridElectricity_Backend[[#This Row],[Level 1]:[Level 6]]),rng_LevelsConcat,0)))</f>
        <v/>
      </c>
      <c r="AB279" s="220">
        <f>Buildings_GridElectricity_Frontend[[#This Row],[Data]]</f>
        <v>0</v>
      </c>
      <c r="AC279" s="174" t="str">
        <f>Buildings_GridElectricity_Frontend[[#This Row],[Units]]</f>
        <v>kWh</v>
      </c>
      <c r="AD279" s="218">
        <f>Buildings_GridElectricity_Frontend[[#This Row],[Data]]</f>
        <v>0</v>
      </c>
      <c r="AE279" s="174" t="str">
        <f>Buildings_GridElectricity_Frontend[[#This Row],[Units]]</f>
        <v>kWh</v>
      </c>
      <c r="AF279" s="210" t="str">
        <f>IF(Buildings_GridElectricity_Frontend[[#This Row],[Data]]="","",_xlfn.XLOOKUP(_xlfn.CONCAT(Buildings_GridElectricity_Backend[[#This Row],[Level 1]:[Level 6]]),rng_EFConcat,rng_EF1)*Buildings_GridElectricity_Backend[[#This Row],[Converted data]]/1000)</f>
        <v/>
      </c>
      <c r="AG279" s="210" t="str">
        <f>IF(Buildings_GridElectricity_Frontend[[#This Row],[Data]]="","",_xlfn.XLOOKUP(_xlfn.CONCAT(Buildings_GridElectricity_Backend[[#This Row],[Level 1]:[Level 6]]),rng_EFConcat,rng_EF2)*Buildings_GridElectricity_Backend[[#This Row],[Converted data]]/1000)</f>
        <v/>
      </c>
      <c r="AH279" s="210" t="str">
        <f>IF(Buildings_GridElectricity_Frontend[[#This Row],[Data]]="","",_xlfn.XLOOKUP(_xlfn.CONCAT(Buildings_GridElectricity_Backend[[#This Row],[Level 1]:[Level 6]]),rng_EFConcat,rng_EF3)*Buildings_GridElectricity_Backend[[#This Row],[Converted data]]/1000)</f>
        <v/>
      </c>
      <c r="AI279" s="210" t="str">
        <f>IF(Buildings_GridElectricity_Frontend[[#This Row],[Data]]="","",_xlfn.XLOOKUP(_xlfn.CONCAT(Buildings_GridElectricity_Backend[[#This Row],[Level 1]:[Level 6]]),rng_EFConcat,rng_EF3WTT)*Buildings_GridElectricity_Backend[[#This Row],[Converted data]]/1000)</f>
        <v/>
      </c>
      <c r="AJ279" s="210" t="str">
        <f>IF(Buildings_GridElectricity_Frontend[[#This Row],[Data]]="","",_xlfn.XLOOKUP(_xlfn.CONCAT(Buildings_GridElectricity_Backend[[#This Row],[Level 1]:[Level 6]]),rng_EFConcat,rng_EF3TD)*Buildings_GridElectricity_Backend[[#This Row],[Converted data]]/1000)</f>
        <v/>
      </c>
      <c r="AK279" s="210" t="str">
        <f>IF(Buildings_GridElectricity_Frontend[[#This Row],[Data]]="","",_xlfn.XLOOKUP(_xlfn.CONCAT(Buildings_GridElectricity_Backend[[#This Row],[Level 1]:[Level 6]]),rng_EFConcat,rng_EF3WTTTD)*Buildings_GridElectricity_Backend[[#This Row],[Converted data]]/1000)</f>
        <v/>
      </c>
      <c r="AL279" s="220" t="str">
        <f>IF(Buildings_GridElectricity_Frontend[[#This Row],[Data]]="","",SUM(Buildings_GridElectricity_Backend[[#This Row],[Scope 1 (tCO2e)]:[Scope 3 WTT T&amp;D (tCO2e)]]))</f>
        <v/>
      </c>
      <c r="AM279" s="220" t="str">
        <f>IF(Buildings_GridElectricity_Frontend[[#This Row],[Data]]="","",Buildings_GridElectricity_Backend[[#This Row],[Total (tCO2e)]]*(1-Buildings_GridElectricity_Backend[[#This Row],[RSD]]))</f>
        <v/>
      </c>
      <c r="AN279" s="220" t="str">
        <f>IF(Buildings_GridElectricity_Frontend[[#This Row],[Data]]="","",Buildings_GridElectricity_Backend[[#This Row],[Total (tCO2e)]]*(1+Buildings_GridElectricity_Backend[[#This Row],[RSD]]))</f>
        <v/>
      </c>
      <c r="AO279" s="210" t="str">
        <f>IF(Buildings_GridElectricity_Frontend[[#This Row],[Data]]="","",_xlfn.XLOOKUP(_xlfn.CONCAT(Buildings_GridElectricity_Backend[[#This Row],[Level 1]:[Level 6]]),rng_EFConcat,rng_EFOOS)*Buildings_GridElectricity_Backend[[#This Row],[Converted data]]/1000)</f>
        <v/>
      </c>
      <c r="AP279" s="174">
        <f>Buildings_GridElectricity_Frontend[[#This Row],[Ease of collection]]</f>
        <v>0</v>
      </c>
      <c r="AQ279" s="213">
        <f>Buildings_GridElectricity_Frontend[[#This Row],[Completeness]]</f>
        <v>0</v>
      </c>
      <c r="AR279" s="220">
        <f>Buildings_GridElectricity_Frontend[[#This Row],[Notes]]</f>
        <v>0</v>
      </c>
    </row>
    <row r="280" spans="5:44" x14ac:dyDescent="0.3">
      <c r="E280" s="346"/>
      <c r="F280" s="449"/>
      <c r="G280" s="336"/>
      <c r="H280" s="334"/>
      <c r="I280" s="172" t="s">
        <v>316</v>
      </c>
      <c r="J280" s="337"/>
      <c r="K280" s="336"/>
      <c r="L280" s="336"/>
      <c r="M280" s="337"/>
      <c r="N280" s="242">
        <f t="shared" si="9"/>
        <v>3</v>
      </c>
      <c r="Q280" s="212" t="str">
        <f t="shared" si="8"/>
        <v/>
      </c>
      <c r="R280" s="174" t="s">
        <v>265</v>
      </c>
      <c r="S280" s="174" t="s">
        <v>273</v>
      </c>
      <c r="T280" s="174" t="str">
        <f>_xlfn.XLOOKUP(Buildings_GridElectricity_Backend[[#This Row],[Info 1]],Buildings_SiteInfo[Site name],Buildings_SiteInfo[Site type], "")</f>
        <v/>
      </c>
      <c r="U280" s="174" t="s">
        <v>281</v>
      </c>
      <c r="V280" s="174" t="str" cm="1">
        <f t="array" aca="1" ref="V280" ca="1">_xlfn.XLOOKUP(Buildings_GridElectricity_Backend[[#This Row],[Level 4]],rng_Level4Long,rng_Level5Long)</f>
        <v>Electricity</v>
      </c>
      <c r="W280" s="174" t="str" cm="1">
        <f t="array" aca="1" ref="W280" ca="1">_xlfn.XLOOKUP(Buildings_GridElectricity_Backend[[#This Row],[Level 4]],rng_Level4Long,rng_Level6Long)</f>
        <v>NaN</v>
      </c>
      <c r="X280" s="174">
        <f>Buildings_GridElectricity_Frontend[[#This Row],[Site Name]]</f>
        <v>0</v>
      </c>
      <c r="Y280" s="174">
        <f>Buildings_GridElectricity_Frontend[[#This Row],[Contracting]]</f>
        <v>0</v>
      </c>
      <c r="Z280" s="174">
        <f>Buildings_GridElectricity_Frontend[[#This Row],[Methodology]]</f>
        <v>0</v>
      </c>
      <c r="AA280" s="229" t="str" cm="1">
        <f t="array" ref="AA280">IF(Buildings_GridElectricity_Frontend[[#This Row],[Data]]="","",INDEX(_xlfn.SWITCH(Buildings_GridElectricity_Backend[[#This Row],[Methodology]],"Tier 1",rng_RSD1,"Tier 2",rng_RSD2,"Tier 3",rng_RSD3),MATCH(_xlfn.CONCAT(Buildings_GridElectricity_Backend[[#This Row],[Level 1]:[Level 6]]),rng_LevelsConcat,0)))</f>
        <v/>
      </c>
      <c r="AB280" s="220">
        <f>Buildings_GridElectricity_Frontend[[#This Row],[Data]]</f>
        <v>0</v>
      </c>
      <c r="AC280" s="174" t="str">
        <f>Buildings_GridElectricity_Frontend[[#This Row],[Units]]</f>
        <v>kWh</v>
      </c>
      <c r="AD280" s="218">
        <f>Buildings_GridElectricity_Frontend[[#This Row],[Data]]</f>
        <v>0</v>
      </c>
      <c r="AE280" s="174" t="str">
        <f>Buildings_GridElectricity_Frontend[[#This Row],[Units]]</f>
        <v>kWh</v>
      </c>
      <c r="AF280" s="210" t="str">
        <f>IF(Buildings_GridElectricity_Frontend[[#This Row],[Data]]="","",_xlfn.XLOOKUP(_xlfn.CONCAT(Buildings_GridElectricity_Backend[[#This Row],[Level 1]:[Level 6]]),rng_EFConcat,rng_EF1)*Buildings_GridElectricity_Backend[[#This Row],[Converted data]]/1000)</f>
        <v/>
      </c>
      <c r="AG280" s="210" t="str">
        <f>IF(Buildings_GridElectricity_Frontend[[#This Row],[Data]]="","",_xlfn.XLOOKUP(_xlfn.CONCAT(Buildings_GridElectricity_Backend[[#This Row],[Level 1]:[Level 6]]),rng_EFConcat,rng_EF2)*Buildings_GridElectricity_Backend[[#This Row],[Converted data]]/1000)</f>
        <v/>
      </c>
      <c r="AH280" s="210" t="str">
        <f>IF(Buildings_GridElectricity_Frontend[[#This Row],[Data]]="","",_xlfn.XLOOKUP(_xlfn.CONCAT(Buildings_GridElectricity_Backend[[#This Row],[Level 1]:[Level 6]]),rng_EFConcat,rng_EF3)*Buildings_GridElectricity_Backend[[#This Row],[Converted data]]/1000)</f>
        <v/>
      </c>
      <c r="AI280" s="210" t="str">
        <f>IF(Buildings_GridElectricity_Frontend[[#This Row],[Data]]="","",_xlfn.XLOOKUP(_xlfn.CONCAT(Buildings_GridElectricity_Backend[[#This Row],[Level 1]:[Level 6]]),rng_EFConcat,rng_EF3WTT)*Buildings_GridElectricity_Backend[[#This Row],[Converted data]]/1000)</f>
        <v/>
      </c>
      <c r="AJ280" s="210" t="str">
        <f>IF(Buildings_GridElectricity_Frontend[[#This Row],[Data]]="","",_xlfn.XLOOKUP(_xlfn.CONCAT(Buildings_GridElectricity_Backend[[#This Row],[Level 1]:[Level 6]]),rng_EFConcat,rng_EF3TD)*Buildings_GridElectricity_Backend[[#This Row],[Converted data]]/1000)</f>
        <v/>
      </c>
      <c r="AK280" s="210" t="str">
        <f>IF(Buildings_GridElectricity_Frontend[[#This Row],[Data]]="","",_xlfn.XLOOKUP(_xlfn.CONCAT(Buildings_GridElectricity_Backend[[#This Row],[Level 1]:[Level 6]]),rng_EFConcat,rng_EF3WTTTD)*Buildings_GridElectricity_Backend[[#This Row],[Converted data]]/1000)</f>
        <v/>
      </c>
      <c r="AL280" s="220" t="str">
        <f>IF(Buildings_GridElectricity_Frontend[[#This Row],[Data]]="","",SUM(Buildings_GridElectricity_Backend[[#This Row],[Scope 1 (tCO2e)]:[Scope 3 WTT T&amp;D (tCO2e)]]))</f>
        <v/>
      </c>
      <c r="AM280" s="220" t="str">
        <f>IF(Buildings_GridElectricity_Frontend[[#This Row],[Data]]="","",Buildings_GridElectricity_Backend[[#This Row],[Total (tCO2e)]]*(1-Buildings_GridElectricity_Backend[[#This Row],[RSD]]))</f>
        <v/>
      </c>
      <c r="AN280" s="220" t="str">
        <f>IF(Buildings_GridElectricity_Frontend[[#This Row],[Data]]="","",Buildings_GridElectricity_Backend[[#This Row],[Total (tCO2e)]]*(1+Buildings_GridElectricity_Backend[[#This Row],[RSD]]))</f>
        <v/>
      </c>
      <c r="AO280" s="210" t="str">
        <f>IF(Buildings_GridElectricity_Frontend[[#This Row],[Data]]="","",_xlfn.XLOOKUP(_xlfn.CONCAT(Buildings_GridElectricity_Backend[[#This Row],[Level 1]:[Level 6]]),rng_EFConcat,rng_EFOOS)*Buildings_GridElectricity_Backend[[#This Row],[Converted data]]/1000)</f>
        <v/>
      </c>
      <c r="AP280" s="174">
        <f>Buildings_GridElectricity_Frontend[[#This Row],[Ease of collection]]</f>
        <v>0</v>
      </c>
      <c r="AQ280" s="213">
        <f>Buildings_GridElectricity_Frontend[[#This Row],[Completeness]]</f>
        <v>0</v>
      </c>
      <c r="AR280" s="220">
        <f>Buildings_GridElectricity_Frontend[[#This Row],[Notes]]</f>
        <v>0</v>
      </c>
    </row>
    <row r="281" spans="5:44" x14ac:dyDescent="0.3">
      <c r="E281" s="346"/>
      <c r="F281" s="449"/>
      <c r="G281" s="336"/>
      <c r="H281" s="334"/>
      <c r="I281" s="172" t="s">
        <v>316</v>
      </c>
      <c r="J281" s="337"/>
      <c r="K281" s="336"/>
      <c r="L281" s="336"/>
      <c r="M281" s="337"/>
      <c r="N281" s="242">
        <f t="shared" si="9"/>
        <v>3</v>
      </c>
      <c r="Q281" s="212" t="str">
        <f t="shared" si="8"/>
        <v/>
      </c>
      <c r="R281" s="174" t="s">
        <v>265</v>
      </c>
      <c r="S281" s="174" t="s">
        <v>273</v>
      </c>
      <c r="T281" s="174" t="str">
        <f>_xlfn.XLOOKUP(Buildings_GridElectricity_Backend[[#This Row],[Info 1]],Buildings_SiteInfo[Site name],Buildings_SiteInfo[Site type], "")</f>
        <v/>
      </c>
      <c r="U281" s="174" t="s">
        <v>281</v>
      </c>
      <c r="V281" s="174" t="str" cm="1">
        <f t="array" aca="1" ref="V281" ca="1">_xlfn.XLOOKUP(Buildings_GridElectricity_Backend[[#This Row],[Level 4]],rng_Level4Long,rng_Level5Long)</f>
        <v>Electricity</v>
      </c>
      <c r="W281" s="174" t="str" cm="1">
        <f t="array" aca="1" ref="W281" ca="1">_xlfn.XLOOKUP(Buildings_GridElectricity_Backend[[#This Row],[Level 4]],rng_Level4Long,rng_Level6Long)</f>
        <v>NaN</v>
      </c>
      <c r="X281" s="174">
        <f>Buildings_GridElectricity_Frontend[[#This Row],[Site Name]]</f>
        <v>0</v>
      </c>
      <c r="Y281" s="174">
        <f>Buildings_GridElectricity_Frontend[[#This Row],[Contracting]]</f>
        <v>0</v>
      </c>
      <c r="Z281" s="174">
        <f>Buildings_GridElectricity_Frontend[[#This Row],[Methodology]]</f>
        <v>0</v>
      </c>
      <c r="AA281" s="229" t="str" cm="1">
        <f t="array" ref="AA281">IF(Buildings_GridElectricity_Frontend[[#This Row],[Data]]="","",INDEX(_xlfn.SWITCH(Buildings_GridElectricity_Backend[[#This Row],[Methodology]],"Tier 1",rng_RSD1,"Tier 2",rng_RSD2,"Tier 3",rng_RSD3),MATCH(_xlfn.CONCAT(Buildings_GridElectricity_Backend[[#This Row],[Level 1]:[Level 6]]),rng_LevelsConcat,0)))</f>
        <v/>
      </c>
      <c r="AB281" s="220">
        <f>Buildings_GridElectricity_Frontend[[#This Row],[Data]]</f>
        <v>0</v>
      </c>
      <c r="AC281" s="174" t="str">
        <f>Buildings_GridElectricity_Frontend[[#This Row],[Units]]</f>
        <v>kWh</v>
      </c>
      <c r="AD281" s="218">
        <f>Buildings_GridElectricity_Frontend[[#This Row],[Data]]</f>
        <v>0</v>
      </c>
      <c r="AE281" s="174" t="str">
        <f>Buildings_GridElectricity_Frontend[[#This Row],[Units]]</f>
        <v>kWh</v>
      </c>
      <c r="AF281" s="210" t="str">
        <f>IF(Buildings_GridElectricity_Frontend[[#This Row],[Data]]="","",_xlfn.XLOOKUP(_xlfn.CONCAT(Buildings_GridElectricity_Backend[[#This Row],[Level 1]:[Level 6]]),rng_EFConcat,rng_EF1)*Buildings_GridElectricity_Backend[[#This Row],[Converted data]]/1000)</f>
        <v/>
      </c>
      <c r="AG281" s="210" t="str">
        <f>IF(Buildings_GridElectricity_Frontend[[#This Row],[Data]]="","",_xlfn.XLOOKUP(_xlfn.CONCAT(Buildings_GridElectricity_Backend[[#This Row],[Level 1]:[Level 6]]),rng_EFConcat,rng_EF2)*Buildings_GridElectricity_Backend[[#This Row],[Converted data]]/1000)</f>
        <v/>
      </c>
      <c r="AH281" s="210" t="str">
        <f>IF(Buildings_GridElectricity_Frontend[[#This Row],[Data]]="","",_xlfn.XLOOKUP(_xlfn.CONCAT(Buildings_GridElectricity_Backend[[#This Row],[Level 1]:[Level 6]]),rng_EFConcat,rng_EF3)*Buildings_GridElectricity_Backend[[#This Row],[Converted data]]/1000)</f>
        <v/>
      </c>
      <c r="AI281" s="210" t="str">
        <f>IF(Buildings_GridElectricity_Frontend[[#This Row],[Data]]="","",_xlfn.XLOOKUP(_xlfn.CONCAT(Buildings_GridElectricity_Backend[[#This Row],[Level 1]:[Level 6]]),rng_EFConcat,rng_EF3WTT)*Buildings_GridElectricity_Backend[[#This Row],[Converted data]]/1000)</f>
        <v/>
      </c>
      <c r="AJ281" s="210" t="str">
        <f>IF(Buildings_GridElectricity_Frontend[[#This Row],[Data]]="","",_xlfn.XLOOKUP(_xlfn.CONCAT(Buildings_GridElectricity_Backend[[#This Row],[Level 1]:[Level 6]]),rng_EFConcat,rng_EF3TD)*Buildings_GridElectricity_Backend[[#This Row],[Converted data]]/1000)</f>
        <v/>
      </c>
      <c r="AK281" s="210" t="str">
        <f>IF(Buildings_GridElectricity_Frontend[[#This Row],[Data]]="","",_xlfn.XLOOKUP(_xlfn.CONCAT(Buildings_GridElectricity_Backend[[#This Row],[Level 1]:[Level 6]]),rng_EFConcat,rng_EF3WTTTD)*Buildings_GridElectricity_Backend[[#This Row],[Converted data]]/1000)</f>
        <v/>
      </c>
      <c r="AL281" s="220" t="str">
        <f>IF(Buildings_GridElectricity_Frontend[[#This Row],[Data]]="","",SUM(Buildings_GridElectricity_Backend[[#This Row],[Scope 1 (tCO2e)]:[Scope 3 WTT T&amp;D (tCO2e)]]))</f>
        <v/>
      </c>
      <c r="AM281" s="220" t="str">
        <f>IF(Buildings_GridElectricity_Frontend[[#This Row],[Data]]="","",Buildings_GridElectricity_Backend[[#This Row],[Total (tCO2e)]]*(1-Buildings_GridElectricity_Backend[[#This Row],[RSD]]))</f>
        <v/>
      </c>
      <c r="AN281" s="220" t="str">
        <f>IF(Buildings_GridElectricity_Frontend[[#This Row],[Data]]="","",Buildings_GridElectricity_Backend[[#This Row],[Total (tCO2e)]]*(1+Buildings_GridElectricity_Backend[[#This Row],[RSD]]))</f>
        <v/>
      </c>
      <c r="AO281" s="210" t="str">
        <f>IF(Buildings_GridElectricity_Frontend[[#This Row],[Data]]="","",_xlfn.XLOOKUP(_xlfn.CONCAT(Buildings_GridElectricity_Backend[[#This Row],[Level 1]:[Level 6]]),rng_EFConcat,rng_EFOOS)*Buildings_GridElectricity_Backend[[#This Row],[Converted data]]/1000)</f>
        <v/>
      </c>
      <c r="AP281" s="174">
        <f>Buildings_GridElectricity_Frontend[[#This Row],[Ease of collection]]</f>
        <v>0</v>
      </c>
      <c r="AQ281" s="213">
        <f>Buildings_GridElectricity_Frontend[[#This Row],[Completeness]]</f>
        <v>0</v>
      </c>
      <c r="AR281" s="220">
        <f>Buildings_GridElectricity_Frontend[[#This Row],[Notes]]</f>
        <v>0</v>
      </c>
    </row>
    <row r="282" spans="5:44" x14ac:dyDescent="0.3">
      <c r="E282" s="346"/>
      <c r="F282" s="449"/>
      <c r="G282" s="336"/>
      <c r="H282" s="334"/>
      <c r="I282" s="172" t="s">
        <v>316</v>
      </c>
      <c r="J282" s="337"/>
      <c r="K282" s="336"/>
      <c r="L282" s="336"/>
      <c r="M282" s="337"/>
      <c r="N282" s="242">
        <f t="shared" si="9"/>
        <v>3</v>
      </c>
      <c r="Q282" s="212" t="str">
        <f t="shared" si="8"/>
        <v/>
      </c>
      <c r="R282" s="174" t="s">
        <v>265</v>
      </c>
      <c r="S282" s="174" t="s">
        <v>273</v>
      </c>
      <c r="T282" s="174" t="str">
        <f>_xlfn.XLOOKUP(Buildings_GridElectricity_Backend[[#This Row],[Info 1]],Buildings_SiteInfo[Site name],Buildings_SiteInfo[Site type], "")</f>
        <v/>
      </c>
      <c r="U282" s="174" t="s">
        <v>281</v>
      </c>
      <c r="V282" s="174" t="str" cm="1">
        <f t="array" aca="1" ref="V282" ca="1">_xlfn.XLOOKUP(Buildings_GridElectricity_Backend[[#This Row],[Level 4]],rng_Level4Long,rng_Level5Long)</f>
        <v>Electricity</v>
      </c>
      <c r="W282" s="174" t="str" cm="1">
        <f t="array" aca="1" ref="W282" ca="1">_xlfn.XLOOKUP(Buildings_GridElectricity_Backend[[#This Row],[Level 4]],rng_Level4Long,rng_Level6Long)</f>
        <v>NaN</v>
      </c>
      <c r="X282" s="174">
        <f>Buildings_GridElectricity_Frontend[[#This Row],[Site Name]]</f>
        <v>0</v>
      </c>
      <c r="Y282" s="174">
        <f>Buildings_GridElectricity_Frontend[[#This Row],[Contracting]]</f>
        <v>0</v>
      </c>
      <c r="Z282" s="174">
        <f>Buildings_GridElectricity_Frontend[[#This Row],[Methodology]]</f>
        <v>0</v>
      </c>
      <c r="AA282" s="229" t="str" cm="1">
        <f t="array" ref="AA282">IF(Buildings_GridElectricity_Frontend[[#This Row],[Data]]="","",INDEX(_xlfn.SWITCH(Buildings_GridElectricity_Backend[[#This Row],[Methodology]],"Tier 1",rng_RSD1,"Tier 2",rng_RSD2,"Tier 3",rng_RSD3),MATCH(_xlfn.CONCAT(Buildings_GridElectricity_Backend[[#This Row],[Level 1]:[Level 6]]),rng_LevelsConcat,0)))</f>
        <v/>
      </c>
      <c r="AB282" s="220">
        <f>Buildings_GridElectricity_Frontend[[#This Row],[Data]]</f>
        <v>0</v>
      </c>
      <c r="AC282" s="174" t="str">
        <f>Buildings_GridElectricity_Frontend[[#This Row],[Units]]</f>
        <v>kWh</v>
      </c>
      <c r="AD282" s="218">
        <f>Buildings_GridElectricity_Frontend[[#This Row],[Data]]</f>
        <v>0</v>
      </c>
      <c r="AE282" s="174" t="str">
        <f>Buildings_GridElectricity_Frontend[[#This Row],[Units]]</f>
        <v>kWh</v>
      </c>
      <c r="AF282" s="210" t="str">
        <f>IF(Buildings_GridElectricity_Frontend[[#This Row],[Data]]="","",_xlfn.XLOOKUP(_xlfn.CONCAT(Buildings_GridElectricity_Backend[[#This Row],[Level 1]:[Level 6]]),rng_EFConcat,rng_EF1)*Buildings_GridElectricity_Backend[[#This Row],[Converted data]]/1000)</f>
        <v/>
      </c>
      <c r="AG282" s="210" t="str">
        <f>IF(Buildings_GridElectricity_Frontend[[#This Row],[Data]]="","",_xlfn.XLOOKUP(_xlfn.CONCAT(Buildings_GridElectricity_Backend[[#This Row],[Level 1]:[Level 6]]),rng_EFConcat,rng_EF2)*Buildings_GridElectricity_Backend[[#This Row],[Converted data]]/1000)</f>
        <v/>
      </c>
      <c r="AH282" s="210" t="str">
        <f>IF(Buildings_GridElectricity_Frontend[[#This Row],[Data]]="","",_xlfn.XLOOKUP(_xlfn.CONCAT(Buildings_GridElectricity_Backend[[#This Row],[Level 1]:[Level 6]]),rng_EFConcat,rng_EF3)*Buildings_GridElectricity_Backend[[#This Row],[Converted data]]/1000)</f>
        <v/>
      </c>
      <c r="AI282" s="210" t="str">
        <f>IF(Buildings_GridElectricity_Frontend[[#This Row],[Data]]="","",_xlfn.XLOOKUP(_xlfn.CONCAT(Buildings_GridElectricity_Backend[[#This Row],[Level 1]:[Level 6]]),rng_EFConcat,rng_EF3WTT)*Buildings_GridElectricity_Backend[[#This Row],[Converted data]]/1000)</f>
        <v/>
      </c>
      <c r="AJ282" s="210" t="str">
        <f>IF(Buildings_GridElectricity_Frontend[[#This Row],[Data]]="","",_xlfn.XLOOKUP(_xlfn.CONCAT(Buildings_GridElectricity_Backend[[#This Row],[Level 1]:[Level 6]]),rng_EFConcat,rng_EF3TD)*Buildings_GridElectricity_Backend[[#This Row],[Converted data]]/1000)</f>
        <v/>
      </c>
      <c r="AK282" s="210" t="str">
        <f>IF(Buildings_GridElectricity_Frontend[[#This Row],[Data]]="","",_xlfn.XLOOKUP(_xlfn.CONCAT(Buildings_GridElectricity_Backend[[#This Row],[Level 1]:[Level 6]]),rng_EFConcat,rng_EF3WTTTD)*Buildings_GridElectricity_Backend[[#This Row],[Converted data]]/1000)</f>
        <v/>
      </c>
      <c r="AL282" s="220" t="str">
        <f>IF(Buildings_GridElectricity_Frontend[[#This Row],[Data]]="","",SUM(Buildings_GridElectricity_Backend[[#This Row],[Scope 1 (tCO2e)]:[Scope 3 WTT T&amp;D (tCO2e)]]))</f>
        <v/>
      </c>
      <c r="AM282" s="220" t="str">
        <f>IF(Buildings_GridElectricity_Frontend[[#This Row],[Data]]="","",Buildings_GridElectricity_Backend[[#This Row],[Total (tCO2e)]]*(1-Buildings_GridElectricity_Backend[[#This Row],[RSD]]))</f>
        <v/>
      </c>
      <c r="AN282" s="220" t="str">
        <f>IF(Buildings_GridElectricity_Frontend[[#This Row],[Data]]="","",Buildings_GridElectricity_Backend[[#This Row],[Total (tCO2e)]]*(1+Buildings_GridElectricity_Backend[[#This Row],[RSD]]))</f>
        <v/>
      </c>
      <c r="AO282" s="210" t="str">
        <f>IF(Buildings_GridElectricity_Frontend[[#This Row],[Data]]="","",_xlfn.XLOOKUP(_xlfn.CONCAT(Buildings_GridElectricity_Backend[[#This Row],[Level 1]:[Level 6]]),rng_EFConcat,rng_EFOOS)*Buildings_GridElectricity_Backend[[#This Row],[Converted data]]/1000)</f>
        <v/>
      </c>
      <c r="AP282" s="174">
        <f>Buildings_GridElectricity_Frontend[[#This Row],[Ease of collection]]</f>
        <v>0</v>
      </c>
      <c r="AQ282" s="213">
        <f>Buildings_GridElectricity_Frontend[[#This Row],[Completeness]]</f>
        <v>0</v>
      </c>
      <c r="AR282" s="220">
        <f>Buildings_GridElectricity_Frontend[[#This Row],[Notes]]</f>
        <v>0</v>
      </c>
    </row>
    <row r="283" spans="5:44" x14ac:dyDescent="0.3">
      <c r="E283" s="346"/>
      <c r="F283" s="449"/>
      <c r="G283" s="336"/>
      <c r="H283" s="334"/>
      <c r="I283" s="172" t="s">
        <v>316</v>
      </c>
      <c r="J283" s="337"/>
      <c r="K283" s="336"/>
      <c r="L283" s="336"/>
      <c r="M283" s="337"/>
      <c r="N283" s="242">
        <f t="shared" si="9"/>
        <v>3</v>
      </c>
      <c r="Q283" s="212" t="str">
        <f t="shared" si="8"/>
        <v/>
      </c>
      <c r="R283" s="174" t="s">
        <v>265</v>
      </c>
      <c r="S283" s="174" t="s">
        <v>273</v>
      </c>
      <c r="T283" s="174" t="str">
        <f>_xlfn.XLOOKUP(Buildings_GridElectricity_Backend[[#This Row],[Info 1]],Buildings_SiteInfo[Site name],Buildings_SiteInfo[Site type], "")</f>
        <v/>
      </c>
      <c r="U283" s="174" t="s">
        <v>281</v>
      </c>
      <c r="V283" s="174" t="str" cm="1">
        <f t="array" aca="1" ref="V283" ca="1">_xlfn.XLOOKUP(Buildings_GridElectricity_Backend[[#This Row],[Level 4]],rng_Level4Long,rng_Level5Long)</f>
        <v>Electricity</v>
      </c>
      <c r="W283" s="174" t="str" cm="1">
        <f t="array" aca="1" ref="W283" ca="1">_xlfn.XLOOKUP(Buildings_GridElectricity_Backend[[#This Row],[Level 4]],rng_Level4Long,rng_Level6Long)</f>
        <v>NaN</v>
      </c>
      <c r="X283" s="174">
        <f>Buildings_GridElectricity_Frontend[[#This Row],[Site Name]]</f>
        <v>0</v>
      </c>
      <c r="Y283" s="174">
        <f>Buildings_GridElectricity_Frontend[[#This Row],[Contracting]]</f>
        <v>0</v>
      </c>
      <c r="Z283" s="174">
        <f>Buildings_GridElectricity_Frontend[[#This Row],[Methodology]]</f>
        <v>0</v>
      </c>
      <c r="AA283" s="229" t="str" cm="1">
        <f t="array" ref="AA283">IF(Buildings_GridElectricity_Frontend[[#This Row],[Data]]="","",INDEX(_xlfn.SWITCH(Buildings_GridElectricity_Backend[[#This Row],[Methodology]],"Tier 1",rng_RSD1,"Tier 2",rng_RSD2,"Tier 3",rng_RSD3),MATCH(_xlfn.CONCAT(Buildings_GridElectricity_Backend[[#This Row],[Level 1]:[Level 6]]),rng_LevelsConcat,0)))</f>
        <v/>
      </c>
      <c r="AB283" s="220">
        <f>Buildings_GridElectricity_Frontend[[#This Row],[Data]]</f>
        <v>0</v>
      </c>
      <c r="AC283" s="174" t="str">
        <f>Buildings_GridElectricity_Frontend[[#This Row],[Units]]</f>
        <v>kWh</v>
      </c>
      <c r="AD283" s="218">
        <f>Buildings_GridElectricity_Frontend[[#This Row],[Data]]</f>
        <v>0</v>
      </c>
      <c r="AE283" s="174" t="str">
        <f>Buildings_GridElectricity_Frontend[[#This Row],[Units]]</f>
        <v>kWh</v>
      </c>
      <c r="AF283" s="210" t="str">
        <f>IF(Buildings_GridElectricity_Frontend[[#This Row],[Data]]="","",_xlfn.XLOOKUP(_xlfn.CONCAT(Buildings_GridElectricity_Backend[[#This Row],[Level 1]:[Level 6]]),rng_EFConcat,rng_EF1)*Buildings_GridElectricity_Backend[[#This Row],[Converted data]]/1000)</f>
        <v/>
      </c>
      <c r="AG283" s="210" t="str">
        <f>IF(Buildings_GridElectricity_Frontend[[#This Row],[Data]]="","",_xlfn.XLOOKUP(_xlfn.CONCAT(Buildings_GridElectricity_Backend[[#This Row],[Level 1]:[Level 6]]),rng_EFConcat,rng_EF2)*Buildings_GridElectricity_Backend[[#This Row],[Converted data]]/1000)</f>
        <v/>
      </c>
      <c r="AH283" s="210" t="str">
        <f>IF(Buildings_GridElectricity_Frontend[[#This Row],[Data]]="","",_xlfn.XLOOKUP(_xlfn.CONCAT(Buildings_GridElectricity_Backend[[#This Row],[Level 1]:[Level 6]]),rng_EFConcat,rng_EF3)*Buildings_GridElectricity_Backend[[#This Row],[Converted data]]/1000)</f>
        <v/>
      </c>
      <c r="AI283" s="210" t="str">
        <f>IF(Buildings_GridElectricity_Frontend[[#This Row],[Data]]="","",_xlfn.XLOOKUP(_xlfn.CONCAT(Buildings_GridElectricity_Backend[[#This Row],[Level 1]:[Level 6]]),rng_EFConcat,rng_EF3WTT)*Buildings_GridElectricity_Backend[[#This Row],[Converted data]]/1000)</f>
        <v/>
      </c>
      <c r="AJ283" s="210" t="str">
        <f>IF(Buildings_GridElectricity_Frontend[[#This Row],[Data]]="","",_xlfn.XLOOKUP(_xlfn.CONCAT(Buildings_GridElectricity_Backend[[#This Row],[Level 1]:[Level 6]]),rng_EFConcat,rng_EF3TD)*Buildings_GridElectricity_Backend[[#This Row],[Converted data]]/1000)</f>
        <v/>
      </c>
      <c r="AK283" s="210" t="str">
        <f>IF(Buildings_GridElectricity_Frontend[[#This Row],[Data]]="","",_xlfn.XLOOKUP(_xlfn.CONCAT(Buildings_GridElectricity_Backend[[#This Row],[Level 1]:[Level 6]]),rng_EFConcat,rng_EF3WTTTD)*Buildings_GridElectricity_Backend[[#This Row],[Converted data]]/1000)</f>
        <v/>
      </c>
      <c r="AL283" s="220" t="str">
        <f>IF(Buildings_GridElectricity_Frontend[[#This Row],[Data]]="","",SUM(Buildings_GridElectricity_Backend[[#This Row],[Scope 1 (tCO2e)]:[Scope 3 WTT T&amp;D (tCO2e)]]))</f>
        <v/>
      </c>
      <c r="AM283" s="220" t="str">
        <f>IF(Buildings_GridElectricity_Frontend[[#This Row],[Data]]="","",Buildings_GridElectricity_Backend[[#This Row],[Total (tCO2e)]]*(1-Buildings_GridElectricity_Backend[[#This Row],[RSD]]))</f>
        <v/>
      </c>
      <c r="AN283" s="220" t="str">
        <f>IF(Buildings_GridElectricity_Frontend[[#This Row],[Data]]="","",Buildings_GridElectricity_Backend[[#This Row],[Total (tCO2e)]]*(1+Buildings_GridElectricity_Backend[[#This Row],[RSD]]))</f>
        <v/>
      </c>
      <c r="AO283" s="210" t="str">
        <f>IF(Buildings_GridElectricity_Frontend[[#This Row],[Data]]="","",_xlfn.XLOOKUP(_xlfn.CONCAT(Buildings_GridElectricity_Backend[[#This Row],[Level 1]:[Level 6]]),rng_EFConcat,rng_EFOOS)*Buildings_GridElectricity_Backend[[#This Row],[Converted data]]/1000)</f>
        <v/>
      </c>
      <c r="AP283" s="174">
        <f>Buildings_GridElectricity_Frontend[[#This Row],[Ease of collection]]</f>
        <v>0</v>
      </c>
      <c r="AQ283" s="213">
        <f>Buildings_GridElectricity_Frontend[[#This Row],[Completeness]]</f>
        <v>0</v>
      </c>
      <c r="AR283" s="220">
        <f>Buildings_GridElectricity_Frontend[[#This Row],[Notes]]</f>
        <v>0</v>
      </c>
    </row>
    <row r="284" spans="5:44" x14ac:dyDescent="0.3">
      <c r="E284" s="346"/>
      <c r="F284" s="449"/>
      <c r="G284" s="336"/>
      <c r="H284" s="334"/>
      <c r="I284" s="172" t="s">
        <v>316</v>
      </c>
      <c r="J284" s="337"/>
      <c r="K284" s="336"/>
      <c r="L284" s="336"/>
      <c r="M284" s="337"/>
      <c r="N284" s="242">
        <f t="shared" si="9"/>
        <v>3</v>
      </c>
      <c r="Q284" s="212" t="str">
        <f t="shared" ref="Q284:Q347" si="10">IF(N284=0,SUBSTITUTE(2025&amp;TRIM(cl_org_name_select)&amp;TRIM($E$25)&amp;(ROW(N284)-ROW($N$28))," ",""),"")</f>
        <v/>
      </c>
      <c r="R284" s="174" t="s">
        <v>265</v>
      </c>
      <c r="S284" s="174" t="s">
        <v>273</v>
      </c>
      <c r="T284" s="174" t="str">
        <f>_xlfn.XLOOKUP(Buildings_GridElectricity_Backend[[#This Row],[Info 1]],Buildings_SiteInfo[Site name],Buildings_SiteInfo[Site type], "")</f>
        <v/>
      </c>
      <c r="U284" s="174" t="s">
        <v>281</v>
      </c>
      <c r="V284" s="174" t="str" cm="1">
        <f t="array" aca="1" ref="V284" ca="1">_xlfn.XLOOKUP(Buildings_GridElectricity_Backend[[#This Row],[Level 4]],rng_Level4Long,rng_Level5Long)</f>
        <v>Electricity</v>
      </c>
      <c r="W284" s="174" t="str" cm="1">
        <f t="array" aca="1" ref="W284" ca="1">_xlfn.XLOOKUP(Buildings_GridElectricity_Backend[[#This Row],[Level 4]],rng_Level4Long,rng_Level6Long)</f>
        <v>NaN</v>
      </c>
      <c r="X284" s="174">
        <f>Buildings_GridElectricity_Frontend[[#This Row],[Site Name]]</f>
        <v>0</v>
      </c>
      <c r="Y284" s="174">
        <f>Buildings_GridElectricity_Frontend[[#This Row],[Contracting]]</f>
        <v>0</v>
      </c>
      <c r="Z284" s="174">
        <f>Buildings_GridElectricity_Frontend[[#This Row],[Methodology]]</f>
        <v>0</v>
      </c>
      <c r="AA284" s="229" t="str" cm="1">
        <f t="array" ref="AA284">IF(Buildings_GridElectricity_Frontend[[#This Row],[Data]]="","",INDEX(_xlfn.SWITCH(Buildings_GridElectricity_Backend[[#This Row],[Methodology]],"Tier 1",rng_RSD1,"Tier 2",rng_RSD2,"Tier 3",rng_RSD3),MATCH(_xlfn.CONCAT(Buildings_GridElectricity_Backend[[#This Row],[Level 1]:[Level 6]]),rng_LevelsConcat,0)))</f>
        <v/>
      </c>
      <c r="AB284" s="220">
        <f>Buildings_GridElectricity_Frontend[[#This Row],[Data]]</f>
        <v>0</v>
      </c>
      <c r="AC284" s="174" t="str">
        <f>Buildings_GridElectricity_Frontend[[#This Row],[Units]]</f>
        <v>kWh</v>
      </c>
      <c r="AD284" s="218">
        <f>Buildings_GridElectricity_Frontend[[#This Row],[Data]]</f>
        <v>0</v>
      </c>
      <c r="AE284" s="174" t="str">
        <f>Buildings_GridElectricity_Frontend[[#This Row],[Units]]</f>
        <v>kWh</v>
      </c>
      <c r="AF284" s="210" t="str">
        <f>IF(Buildings_GridElectricity_Frontend[[#This Row],[Data]]="","",_xlfn.XLOOKUP(_xlfn.CONCAT(Buildings_GridElectricity_Backend[[#This Row],[Level 1]:[Level 6]]),rng_EFConcat,rng_EF1)*Buildings_GridElectricity_Backend[[#This Row],[Converted data]]/1000)</f>
        <v/>
      </c>
      <c r="AG284" s="210" t="str">
        <f>IF(Buildings_GridElectricity_Frontend[[#This Row],[Data]]="","",_xlfn.XLOOKUP(_xlfn.CONCAT(Buildings_GridElectricity_Backend[[#This Row],[Level 1]:[Level 6]]),rng_EFConcat,rng_EF2)*Buildings_GridElectricity_Backend[[#This Row],[Converted data]]/1000)</f>
        <v/>
      </c>
      <c r="AH284" s="210" t="str">
        <f>IF(Buildings_GridElectricity_Frontend[[#This Row],[Data]]="","",_xlfn.XLOOKUP(_xlfn.CONCAT(Buildings_GridElectricity_Backend[[#This Row],[Level 1]:[Level 6]]),rng_EFConcat,rng_EF3)*Buildings_GridElectricity_Backend[[#This Row],[Converted data]]/1000)</f>
        <v/>
      </c>
      <c r="AI284" s="210" t="str">
        <f>IF(Buildings_GridElectricity_Frontend[[#This Row],[Data]]="","",_xlfn.XLOOKUP(_xlfn.CONCAT(Buildings_GridElectricity_Backend[[#This Row],[Level 1]:[Level 6]]),rng_EFConcat,rng_EF3WTT)*Buildings_GridElectricity_Backend[[#This Row],[Converted data]]/1000)</f>
        <v/>
      </c>
      <c r="AJ284" s="210" t="str">
        <f>IF(Buildings_GridElectricity_Frontend[[#This Row],[Data]]="","",_xlfn.XLOOKUP(_xlfn.CONCAT(Buildings_GridElectricity_Backend[[#This Row],[Level 1]:[Level 6]]),rng_EFConcat,rng_EF3TD)*Buildings_GridElectricity_Backend[[#This Row],[Converted data]]/1000)</f>
        <v/>
      </c>
      <c r="AK284" s="210" t="str">
        <f>IF(Buildings_GridElectricity_Frontend[[#This Row],[Data]]="","",_xlfn.XLOOKUP(_xlfn.CONCAT(Buildings_GridElectricity_Backend[[#This Row],[Level 1]:[Level 6]]),rng_EFConcat,rng_EF3WTTTD)*Buildings_GridElectricity_Backend[[#This Row],[Converted data]]/1000)</f>
        <v/>
      </c>
      <c r="AL284" s="220" t="str">
        <f>IF(Buildings_GridElectricity_Frontend[[#This Row],[Data]]="","",SUM(Buildings_GridElectricity_Backend[[#This Row],[Scope 1 (tCO2e)]:[Scope 3 WTT T&amp;D (tCO2e)]]))</f>
        <v/>
      </c>
      <c r="AM284" s="220" t="str">
        <f>IF(Buildings_GridElectricity_Frontend[[#This Row],[Data]]="","",Buildings_GridElectricity_Backend[[#This Row],[Total (tCO2e)]]*(1-Buildings_GridElectricity_Backend[[#This Row],[RSD]]))</f>
        <v/>
      </c>
      <c r="AN284" s="220" t="str">
        <f>IF(Buildings_GridElectricity_Frontend[[#This Row],[Data]]="","",Buildings_GridElectricity_Backend[[#This Row],[Total (tCO2e)]]*(1+Buildings_GridElectricity_Backend[[#This Row],[RSD]]))</f>
        <v/>
      </c>
      <c r="AO284" s="210" t="str">
        <f>IF(Buildings_GridElectricity_Frontend[[#This Row],[Data]]="","",_xlfn.XLOOKUP(_xlfn.CONCAT(Buildings_GridElectricity_Backend[[#This Row],[Level 1]:[Level 6]]),rng_EFConcat,rng_EFOOS)*Buildings_GridElectricity_Backend[[#This Row],[Converted data]]/1000)</f>
        <v/>
      </c>
      <c r="AP284" s="174">
        <f>Buildings_GridElectricity_Frontend[[#This Row],[Ease of collection]]</f>
        <v>0</v>
      </c>
      <c r="AQ284" s="213">
        <f>Buildings_GridElectricity_Frontend[[#This Row],[Completeness]]</f>
        <v>0</v>
      </c>
      <c r="AR284" s="220">
        <f>Buildings_GridElectricity_Frontend[[#This Row],[Notes]]</f>
        <v>0</v>
      </c>
    </row>
    <row r="285" spans="5:44" x14ac:dyDescent="0.3">
      <c r="E285" s="346"/>
      <c r="F285" s="449"/>
      <c r="G285" s="336"/>
      <c r="H285" s="334"/>
      <c r="I285" s="172" t="s">
        <v>316</v>
      </c>
      <c r="J285" s="337"/>
      <c r="K285" s="336"/>
      <c r="L285" s="336"/>
      <c r="M285" s="337"/>
      <c r="N285" s="242">
        <f t="shared" ref="N285:N348" si="11">ISBLANK(E285)+ISBLANK(G285)+ISBLANK(H285)</f>
        <v>3</v>
      </c>
      <c r="Q285" s="212" t="str">
        <f t="shared" si="10"/>
        <v/>
      </c>
      <c r="R285" s="174" t="s">
        <v>265</v>
      </c>
      <c r="S285" s="174" t="s">
        <v>273</v>
      </c>
      <c r="T285" s="174" t="str">
        <f>_xlfn.XLOOKUP(Buildings_GridElectricity_Backend[[#This Row],[Info 1]],Buildings_SiteInfo[Site name],Buildings_SiteInfo[Site type], "")</f>
        <v/>
      </c>
      <c r="U285" s="174" t="s">
        <v>281</v>
      </c>
      <c r="V285" s="174" t="str" cm="1">
        <f t="array" aca="1" ref="V285" ca="1">_xlfn.XLOOKUP(Buildings_GridElectricity_Backend[[#This Row],[Level 4]],rng_Level4Long,rng_Level5Long)</f>
        <v>Electricity</v>
      </c>
      <c r="W285" s="174" t="str" cm="1">
        <f t="array" aca="1" ref="W285" ca="1">_xlfn.XLOOKUP(Buildings_GridElectricity_Backend[[#This Row],[Level 4]],rng_Level4Long,rng_Level6Long)</f>
        <v>NaN</v>
      </c>
      <c r="X285" s="174">
        <f>Buildings_GridElectricity_Frontend[[#This Row],[Site Name]]</f>
        <v>0</v>
      </c>
      <c r="Y285" s="174">
        <f>Buildings_GridElectricity_Frontend[[#This Row],[Contracting]]</f>
        <v>0</v>
      </c>
      <c r="Z285" s="174">
        <f>Buildings_GridElectricity_Frontend[[#This Row],[Methodology]]</f>
        <v>0</v>
      </c>
      <c r="AA285" s="229" t="str" cm="1">
        <f t="array" ref="AA285">IF(Buildings_GridElectricity_Frontend[[#This Row],[Data]]="","",INDEX(_xlfn.SWITCH(Buildings_GridElectricity_Backend[[#This Row],[Methodology]],"Tier 1",rng_RSD1,"Tier 2",rng_RSD2,"Tier 3",rng_RSD3),MATCH(_xlfn.CONCAT(Buildings_GridElectricity_Backend[[#This Row],[Level 1]:[Level 6]]),rng_LevelsConcat,0)))</f>
        <v/>
      </c>
      <c r="AB285" s="220">
        <f>Buildings_GridElectricity_Frontend[[#This Row],[Data]]</f>
        <v>0</v>
      </c>
      <c r="AC285" s="174" t="str">
        <f>Buildings_GridElectricity_Frontend[[#This Row],[Units]]</f>
        <v>kWh</v>
      </c>
      <c r="AD285" s="218">
        <f>Buildings_GridElectricity_Frontend[[#This Row],[Data]]</f>
        <v>0</v>
      </c>
      <c r="AE285" s="174" t="str">
        <f>Buildings_GridElectricity_Frontend[[#This Row],[Units]]</f>
        <v>kWh</v>
      </c>
      <c r="AF285" s="210" t="str">
        <f>IF(Buildings_GridElectricity_Frontend[[#This Row],[Data]]="","",_xlfn.XLOOKUP(_xlfn.CONCAT(Buildings_GridElectricity_Backend[[#This Row],[Level 1]:[Level 6]]),rng_EFConcat,rng_EF1)*Buildings_GridElectricity_Backend[[#This Row],[Converted data]]/1000)</f>
        <v/>
      </c>
      <c r="AG285" s="210" t="str">
        <f>IF(Buildings_GridElectricity_Frontend[[#This Row],[Data]]="","",_xlfn.XLOOKUP(_xlfn.CONCAT(Buildings_GridElectricity_Backend[[#This Row],[Level 1]:[Level 6]]),rng_EFConcat,rng_EF2)*Buildings_GridElectricity_Backend[[#This Row],[Converted data]]/1000)</f>
        <v/>
      </c>
      <c r="AH285" s="210" t="str">
        <f>IF(Buildings_GridElectricity_Frontend[[#This Row],[Data]]="","",_xlfn.XLOOKUP(_xlfn.CONCAT(Buildings_GridElectricity_Backend[[#This Row],[Level 1]:[Level 6]]),rng_EFConcat,rng_EF3)*Buildings_GridElectricity_Backend[[#This Row],[Converted data]]/1000)</f>
        <v/>
      </c>
      <c r="AI285" s="210" t="str">
        <f>IF(Buildings_GridElectricity_Frontend[[#This Row],[Data]]="","",_xlfn.XLOOKUP(_xlfn.CONCAT(Buildings_GridElectricity_Backend[[#This Row],[Level 1]:[Level 6]]),rng_EFConcat,rng_EF3WTT)*Buildings_GridElectricity_Backend[[#This Row],[Converted data]]/1000)</f>
        <v/>
      </c>
      <c r="AJ285" s="210" t="str">
        <f>IF(Buildings_GridElectricity_Frontend[[#This Row],[Data]]="","",_xlfn.XLOOKUP(_xlfn.CONCAT(Buildings_GridElectricity_Backend[[#This Row],[Level 1]:[Level 6]]),rng_EFConcat,rng_EF3TD)*Buildings_GridElectricity_Backend[[#This Row],[Converted data]]/1000)</f>
        <v/>
      </c>
      <c r="AK285" s="210" t="str">
        <f>IF(Buildings_GridElectricity_Frontend[[#This Row],[Data]]="","",_xlfn.XLOOKUP(_xlfn.CONCAT(Buildings_GridElectricity_Backend[[#This Row],[Level 1]:[Level 6]]),rng_EFConcat,rng_EF3WTTTD)*Buildings_GridElectricity_Backend[[#This Row],[Converted data]]/1000)</f>
        <v/>
      </c>
      <c r="AL285" s="220" t="str">
        <f>IF(Buildings_GridElectricity_Frontend[[#This Row],[Data]]="","",SUM(Buildings_GridElectricity_Backend[[#This Row],[Scope 1 (tCO2e)]:[Scope 3 WTT T&amp;D (tCO2e)]]))</f>
        <v/>
      </c>
      <c r="AM285" s="220" t="str">
        <f>IF(Buildings_GridElectricity_Frontend[[#This Row],[Data]]="","",Buildings_GridElectricity_Backend[[#This Row],[Total (tCO2e)]]*(1-Buildings_GridElectricity_Backend[[#This Row],[RSD]]))</f>
        <v/>
      </c>
      <c r="AN285" s="220" t="str">
        <f>IF(Buildings_GridElectricity_Frontend[[#This Row],[Data]]="","",Buildings_GridElectricity_Backend[[#This Row],[Total (tCO2e)]]*(1+Buildings_GridElectricity_Backend[[#This Row],[RSD]]))</f>
        <v/>
      </c>
      <c r="AO285" s="210" t="str">
        <f>IF(Buildings_GridElectricity_Frontend[[#This Row],[Data]]="","",_xlfn.XLOOKUP(_xlfn.CONCAT(Buildings_GridElectricity_Backend[[#This Row],[Level 1]:[Level 6]]),rng_EFConcat,rng_EFOOS)*Buildings_GridElectricity_Backend[[#This Row],[Converted data]]/1000)</f>
        <v/>
      </c>
      <c r="AP285" s="174">
        <f>Buildings_GridElectricity_Frontend[[#This Row],[Ease of collection]]</f>
        <v>0</v>
      </c>
      <c r="AQ285" s="213">
        <f>Buildings_GridElectricity_Frontend[[#This Row],[Completeness]]</f>
        <v>0</v>
      </c>
      <c r="AR285" s="220">
        <f>Buildings_GridElectricity_Frontend[[#This Row],[Notes]]</f>
        <v>0</v>
      </c>
    </row>
    <row r="286" spans="5:44" x14ac:dyDescent="0.3">
      <c r="E286" s="346"/>
      <c r="F286" s="449"/>
      <c r="G286" s="336"/>
      <c r="H286" s="334"/>
      <c r="I286" s="172" t="s">
        <v>316</v>
      </c>
      <c r="J286" s="337"/>
      <c r="K286" s="336"/>
      <c r="L286" s="336"/>
      <c r="M286" s="337"/>
      <c r="N286" s="242">
        <f t="shared" si="11"/>
        <v>3</v>
      </c>
      <c r="Q286" s="212" t="str">
        <f t="shared" si="10"/>
        <v/>
      </c>
      <c r="R286" s="174" t="s">
        <v>265</v>
      </c>
      <c r="S286" s="174" t="s">
        <v>273</v>
      </c>
      <c r="T286" s="174" t="str">
        <f>_xlfn.XLOOKUP(Buildings_GridElectricity_Backend[[#This Row],[Info 1]],Buildings_SiteInfo[Site name],Buildings_SiteInfo[Site type], "")</f>
        <v/>
      </c>
      <c r="U286" s="174" t="s">
        <v>281</v>
      </c>
      <c r="V286" s="174" t="str" cm="1">
        <f t="array" aca="1" ref="V286" ca="1">_xlfn.XLOOKUP(Buildings_GridElectricity_Backend[[#This Row],[Level 4]],rng_Level4Long,rng_Level5Long)</f>
        <v>Electricity</v>
      </c>
      <c r="W286" s="174" t="str" cm="1">
        <f t="array" aca="1" ref="W286" ca="1">_xlfn.XLOOKUP(Buildings_GridElectricity_Backend[[#This Row],[Level 4]],rng_Level4Long,rng_Level6Long)</f>
        <v>NaN</v>
      </c>
      <c r="X286" s="174">
        <f>Buildings_GridElectricity_Frontend[[#This Row],[Site Name]]</f>
        <v>0</v>
      </c>
      <c r="Y286" s="174">
        <f>Buildings_GridElectricity_Frontend[[#This Row],[Contracting]]</f>
        <v>0</v>
      </c>
      <c r="Z286" s="174">
        <f>Buildings_GridElectricity_Frontend[[#This Row],[Methodology]]</f>
        <v>0</v>
      </c>
      <c r="AA286" s="229" t="str" cm="1">
        <f t="array" ref="AA286">IF(Buildings_GridElectricity_Frontend[[#This Row],[Data]]="","",INDEX(_xlfn.SWITCH(Buildings_GridElectricity_Backend[[#This Row],[Methodology]],"Tier 1",rng_RSD1,"Tier 2",rng_RSD2,"Tier 3",rng_RSD3),MATCH(_xlfn.CONCAT(Buildings_GridElectricity_Backend[[#This Row],[Level 1]:[Level 6]]),rng_LevelsConcat,0)))</f>
        <v/>
      </c>
      <c r="AB286" s="220">
        <f>Buildings_GridElectricity_Frontend[[#This Row],[Data]]</f>
        <v>0</v>
      </c>
      <c r="AC286" s="174" t="str">
        <f>Buildings_GridElectricity_Frontend[[#This Row],[Units]]</f>
        <v>kWh</v>
      </c>
      <c r="AD286" s="218">
        <f>Buildings_GridElectricity_Frontend[[#This Row],[Data]]</f>
        <v>0</v>
      </c>
      <c r="AE286" s="174" t="str">
        <f>Buildings_GridElectricity_Frontend[[#This Row],[Units]]</f>
        <v>kWh</v>
      </c>
      <c r="AF286" s="210" t="str">
        <f>IF(Buildings_GridElectricity_Frontend[[#This Row],[Data]]="","",_xlfn.XLOOKUP(_xlfn.CONCAT(Buildings_GridElectricity_Backend[[#This Row],[Level 1]:[Level 6]]),rng_EFConcat,rng_EF1)*Buildings_GridElectricity_Backend[[#This Row],[Converted data]]/1000)</f>
        <v/>
      </c>
      <c r="AG286" s="210" t="str">
        <f>IF(Buildings_GridElectricity_Frontend[[#This Row],[Data]]="","",_xlfn.XLOOKUP(_xlfn.CONCAT(Buildings_GridElectricity_Backend[[#This Row],[Level 1]:[Level 6]]),rng_EFConcat,rng_EF2)*Buildings_GridElectricity_Backend[[#This Row],[Converted data]]/1000)</f>
        <v/>
      </c>
      <c r="AH286" s="210" t="str">
        <f>IF(Buildings_GridElectricity_Frontend[[#This Row],[Data]]="","",_xlfn.XLOOKUP(_xlfn.CONCAT(Buildings_GridElectricity_Backend[[#This Row],[Level 1]:[Level 6]]),rng_EFConcat,rng_EF3)*Buildings_GridElectricity_Backend[[#This Row],[Converted data]]/1000)</f>
        <v/>
      </c>
      <c r="AI286" s="210" t="str">
        <f>IF(Buildings_GridElectricity_Frontend[[#This Row],[Data]]="","",_xlfn.XLOOKUP(_xlfn.CONCAT(Buildings_GridElectricity_Backend[[#This Row],[Level 1]:[Level 6]]),rng_EFConcat,rng_EF3WTT)*Buildings_GridElectricity_Backend[[#This Row],[Converted data]]/1000)</f>
        <v/>
      </c>
      <c r="AJ286" s="210" t="str">
        <f>IF(Buildings_GridElectricity_Frontend[[#This Row],[Data]]="","",_xlfn.XLOOKUP(_xlfn.CONCAT(Buildings_GridElectricity_Backend[[#This Row],[Level 1]:[Level 6]]),rng_EFConcat,rng_EF3TD)*Buildings_GridElectricity_Backend[[#This Row],[Converted data]]/1000)</f>
        <v/>
      </c>
      <c r="AK286" s="210" t="str">
        <f>IF(Buildings_GridElectricity_Frontend[[#This Row],[Data]]="","",_xlfn.XLOOKUP(_xlfn.CONCAT(Buildings_GridElectricity_Backend[[#This Row],[Level 1]:[Level 6]]),rng_EFConcat,rng_EF3WTTTD)*Buildings_GridElectricity_Backend[[#This Row],[Converted data]]/1000)</f>
        <v/>
      </c>
      <c r="AL286" s="220" t="str">
        <f>IF(Buildings_GridElectricity_Frontend[[#This Row],[Data]]="","",SUM(Buildings_GridElectricity_Backend[[#This Row],[Scope 1 (tCO2e)]:[Scope 3 WTT T&amp;D (tCO2e)]]))</f>
        <v/>
      </c>
      <c r="AM286" s="220" t="str">
        <f>IF(Buildings_GridElectricity_Frontend[[#This Row],[Data]]="","",Buildings_GridElectricity_Backend[[#This Row],[Total (tCO2e)]]*(1-Buildings_GridElectricity_Backend[[#This Row],[RSD]]))</f>
        <v/>
      </c>
      <c r="AN286" s="220" t="str">
        <f>IF(Buildings_GridElectricity_Frontend[[#This Row],[Data]]="","",Buildings_GridElectricity_Backend[[#This Row],[Total (tCO2e)]]*(1+Buildings_GridElectricity_Backend[[#This Row],[RSD]]))</f>
        <v/>
      </c>
      <c r="AO286" s="210" t="str">
        <f>IF(Buildings_GridElectricity_Frontend[[#This Row],[Data]]="","",_xlfn.XLOOKUP(_xlfn.CONCAT(Buildings_GridElectricity_Backend[[#This Row],[Level 1]:[Level 6]]),rng_EFConcat,rng_EFOOS)*Buildings_GridElectricity_Backend[[#This Row],[Converted data]]/1000)</f>
        <v/>
      </c>
      <c r="AP286" s="174">
        <f>Buildings_GridElectricity_Frontend[[#This Row],[Ease of collection]]</f>
        <v>0</v>
      </c>
      <c r="AQ286" s="213">
        <f>Buildings_GridElectricity_Frontend[[#This Row],[Completeness]]</f>
        <v>0</v>
      </c>
      <c r="AR286" s="220">
        <f>Buildings_GridElectricity_Frontend[[#This Row],[Notes]]</f>
        <v>0</v>
      </c>
    </row>
    <row r="287" spans="5:44" x14ac:dyDescent="0.3">
      <c r="E287" s="346"/>
      <c r="F287" s="449"/>
      <c r="G287" s="336"/>
      <c r="H287" s="334"/>
      <c r="I287" s="172" t="s">
        <v>316</v>
      </c>
      <c r="J287" s="337"/>
      <c r="K287" s="336"/>
      <c r="L287" s="336"/>
      <c r="M287" s="337"/>
      <c r="N287" s="242">
        <f t="shared" si="11"/>
        <v>3</v>
      </c>
      <c r="Q287" s="212" t="str">
        <f t="shared" si="10"/>
        <v/>
      </c>
      <c r="R287" s="174" t="s">
        <v>265</v>
      </c>
      <c r="S287" s="174" t="s">
        <v>273</v>
      </c>
      <c r="T287" s="174" t="str">
        <f>_xlfn.XLOOKUP(Buildings_GridElectricity_Backend[[#This Row],[Info 1]],Buildings_SiteInfo[Site name],Buildings_SiteInfo[Site type], "")</f>
        <v/>
      </c>
      <c r="U287" s="174" t="s">
        <v>281</v>
      </c>
      <c r="V287" s="174" t="str" cm="1">
        <f t="array" aca="1" ref="V287" ca="1">_xlfn.XLOOKUP(Buildings_GridElectricity_Backend[[#This Row],[Level 4]],rng_Level4Long,rng_Level5Long)</f>
        <v>Electricity</v>
      </c>
      <c r="W287" s="174" t="str" cm="1">
        <f t="array" aca="1" ref="W287" ca="1">_xlfn.XLOOKUP(Buildings_GridElectricity_Backend[[#This Row],[Level 4]],rng_Level4Long,rng_Level6Long)</f>
        <v>NaN</v>
      </c>
      <c r="X287" s="174">
        <f>Buildings_GridElectricity_Frontend[[#This Row],[Site Name]]</f>
        <v>0</v>
      </c>
      <c r="Y287" s="174">
        <f>Buildings_GridElectricity_Frontend[[#This Row],[Contracting]]</f>
        <v>0</v>
      </c>
      <c r="Z287" s="174">
        <f>Buildings_GridElectricity_Frontend[[#This Row],[Methodology]]</f>
        <v>0</v>
      </c>
      <c r="AA287" s="229" t="str" cm="1">
        <f t="array" ref="AA287">IF(Buildings_GridElectricity_Frontend[[#This Row],[Data]]="","",INDEX(_xlfn.SWITCH(Buildings_GridElectricity_Backend[[#This Row],[Methodology]],"Tier 1",rng_RSD1,"Tier 2",rng_RSD2,"Tier 3",rng_RSD3),MATCH(_xlfn.CONCAT(Buildings_GridElectricity_Backend[[#This Row],[Level 1]:[Level 6]]),rng_LevelsConcat,0)))</f>
        <v/>
      </c>
      <c r="AB287" s="220">
        <f>Buildings_GridElectricity_Frontend[[#This Row],[Data]]</f>
        <v>0</v>
      </c>
      <c r="AC287" s="174" t="str">
        <f>Buildings_GridElectricity_Frontend[[#This Row],[Units]]</f>
        <v>kWh</v>
      </c>
      <c r="AD287" s="218">
        <f>Buildings_GridElectricity_Frontend[[#This Row],[Data]]</f>
        <v>0</v>
      </c>
      <c r="AE287" s="174" t="str">
        <f>Buildings_GridElectricity_Frontend[[#This Row],[Units]]</f>
        <v>kWh</v>
      </c>
      <c r="AF287" s="210" t="str">
        <f>IF(Buildings_GridElectricity_Frontend[[#This Row],[Data]]="","",_xlfn.XLOOKUP(_xlfn.CONCAT(Buildings_GridElectricity_Backend[[#This Row],[Level 1]:[Level 6]]),rng_EFConcat,rng_EF1)*Buildings_GridElectricity_Backend[[#This Row],[Converted data]]/1000)</f>
        <v/>
      </c>
      <c r="AG287" s="210" t="str">
        <f>IF(Buildings_GridElectricity_Frontend[[#This Row],[Data]]="","",_xlfn.XLOOKUP(_xlfn.CONCAT(Buildings_GridElectricity_Backend[[#This Row],[Level 1]:[Level 6]]),rng_EFConcat,rng_EF2)*Buildings_GridElectricity_Backend[[#This Row],[Converted data]]/1000)</f>
        <v/>
      </c>
      <c r="AH287" s="210" t="str">
        <f>IF(Buildings_GridElectricity_Frontend[[#This Row],[Data]]="","",_xlfn.XLOOKUP(_xlfn.CONCAT(Buildings_GridElectricity_Backend[[#This Row],[Level 1]:[Level 6]]),rng_EFConcat,rng_EF3)*Buildings_GridElectricity_Backend[[#This Row],[Converted data]]/1000)</f>
        <v/>
      </c>
      <c r="AI287" s="210" t="str">
        <f>IF(Buildings_GridElectricity_Frontend[[#This Row],[Data]]="","",_xlfn.XLOOKUP(_xlfn.CONCAT(Buildings_GridElectricity_Backend[[#This Row],[Level 1]:[Level 6]]),rng_EFConcat,rng_EF3WTT)*Buildings_GridElectricity_Backend[[#This Row],[Converted data]]/1000)</f>
        <v/>
      </c>
      <c r="AJ287" s="210" t="str">
        <f>IF(Buildings_GridElectricity_Frontend[[#This Row],[Data]]="","",_xlfn.XLOOKUP(_xlfn.CONCAT(Buildings_GridElectricity_Backend[[#This Row],[Level 1]:[Level 6]]),rng_EFConcat,rng_EF3TD)*Buildings_GridElectricity_Backend[[#This Row],[Converted data]]/1000)</f>
        <v/>
      </c>
      <c r="AK287" s="210" t="str">
        <f>IF(Buildings_GridElectricity_Frontend[[#This Row],[Data]]="","",_xlfn.XLOOKUP(_xlfn.CONCAT(Buildings_GridElectricity_Backend[[#This Row],[Level 1]:[Level 6]]),rng_EFConcat,rng_EF3WTTTD)*Buildings_GridElectricity_Backend[[#This Row],[Converted data]]/1000)</f>
        <v/>
      </c>
      <c r="AL287" s="220" t="str">
        <f>IF(Buildings_GridElectricity_Frontend[[#This Row],[Data]]="","",SUM(Buildings_GridElectricity_Backend[[#This Row],[Scope 1 (tCO2e)]:[Scope 3 WTT T&amp;D (tCO2e)]]))</f>
        <v/>
      </c>
      <c r="AM287" s="220" t="str">
        <f>IF(Buildings_GridElectricity_Frontend[[#This Row],[Data]]="","",Buildings_GridElectricity_Backend[[#This Row],[Total (tCO2e)]]*(1-Buildings_GridElectricity_Backend[[#This Row],[RSD]]))</f>
        <v/>
      </c>
      <c r="AN287" s="220" t="str">
        <f>IF(Buildings_GridElectricity_Frontend[[#This Row],[Data]]="","",Buildings_GridElectricity_Backend[[#This Row],[Total (tCO2e)]]*(1+Buildings_GridElectricity_Backend[[#This Row],[RSD]]))</f>
        <v/>
      </c>
      <c r="AO287" s="210" t="str">
        <f>IF(Buildings_GridElectricity_Frontend[[#This Row],[Data]]="","",_xlfn.XLOOKUP(_xlfn.CONCAT(Buildings_GridElectricity_Backend[[#This Row],[Level 1]:[Level 6]]),rng_EFConcat,rng_EFOOS)*Buildings_GridElectricity_Backend[[#This Row],[Converted data]]/1000)</f>
        <v/>
      </c>
      <c r="AP287" s="174">
        <f>Buildings_GridElectricity_Frontend[[#This Row],[Ease of collection]]</f>
        <v>0</v>
      </c>
      <c r="AQ287" s="213">
        <f>Buildings_GridElectricity_Frontend[[#This Row],[Completeness]]</f>
        <v>0</v>
      </c>
      <c r="AR287" s="220">
        <f>Buildings_GridElectricity_Frontend[[#This Row],[Notes]]</f>
        <v>0</v>
      </c>
    </row>
    <row r="288" spans="5:44" x14ac:dyDescent="0.3">
      <c r="E288" s="346"/>
      <c r="F288" s="449"/>
      <c r="G288" s="336"/>
      <c r="H288" s="334"/>
      <c r="I288" s="172" t="s">
        <v>316</v>
      </c>
      <c r="J288" s="337"/>
      <c r="K288" s="336"/>
      <c r="L288" s="336"/>
      <c r="M288" s="337"/>
      <c r="N288" s="242">
        <f t="shared" si="11"/>
        <v>3</v>
      </c>
      <c r="Q288" s="212" t="str">
        <f t="shared" si="10"/>
        <v/>
      </c>
      <c r="R288" s="174" t="s">
        <v>265</v>
      </c>
      <c r="S288" s="174" t="s">
        <v>273</v>
      </c>
      <c r="T288" s="174" t="str">
        <f>_xlfn.XLOOKUP(Buildings_GridElectricity_Backend[[#This Row],[Info 1]],Buildings_SiteInfo[Site name],Buildings_SiteInfo[Site type], "")</f>
        <v/>
      </c>
      <c r="U288" s="174" t="s">
        <v>281</v>
      </c>
      <c r="V288" s="174" t="str" cm="1">
        <f t="array" aca="1" ref="V288" ca="1">_xlfn.XLOOKUP(Buildings_GridElectricity_Backend[[#This Row],[Level 4]],rng_Level4Long,rng_Level5Long)</f>
        <v>Electricity</v>
      </c>
      <c r="W288" s="174" t="str" cm="1">
        <f t="array" aca="1" ref="W288" ca="1">_xlfn.XLOOKUP(Buildings_GridElectricity_Backend[[#This Row],[Level 4]],rng_Level4Long,rng_Level6Long)</f>
        <v>NaN</v>
      </c>
      <c r="X288" s="174">
        <f>Buildings_GridElectricity_Frontend[[#This Row],[Site Name]]</f>
        <v>0</v>
      </c>
      <c r="Y288" s="174">
        <f>Buildings_GridElectricity_Frontend[[#This Row],[Contracting]]</f>
        <v>0</v>
      </c>
      <c r="Z288" s="174">
        <f>Buildings_GridElectricity_Frontend[[#This Row],[Methodology]]</f>
        <v>0</v>
      </c>
      <c r="AA288" s="229" t="str" cm="1">
        <f t="array" ref="AA288">IF(Buildings_GridElectricity_Frontend[[#This Row],[Data]]="","",INDEX(_xlfn.SWITCH(Buildings_GridElectricity_Backend[[#This Row],[Methodology]],"Tier 1",rng_RSD1,"Tier 2",rng_RSD2,"Tier 3",rng_RSD3),MATCH(_xlfn.CONCAT(Buildings_GridElectricity_Backend[[#This Row],[Level 1]:[Level 6]]),rng_LevelsConcat,0)))</f>
        <v/>
      </c>
      <c r="AB288" s="220">
        <f>Buildings_GridElectricity_Frontend[[#This Row],[Data]]</f>
        <v>0</v>
      </c>
      <c r="AC288" s="174" t="str">
        <f>Buildings_GridElectricity_Frontend[[#This Row],[Units]]</f>
        <v>kWh</v>
      </c>
      <c r="AD288" s="218">
        <f>Buildings_GridElectricity_Frontend[[#This Row],[Data]]</f>
        <v>0</v>
      </c>
      <c r="AE288" s="174" t="str">
        <f>Buildings_GridElectricity_Frontend[[#This Row],[Units]]</f>
        <v>kWh</v>
      </c>
      <c r="AF288" s="210" t="str">
        <f>IF(Buildings_GridElectricity_Frontend[[#This Row],[Data]]="","",_xlfn.XLOOKUP(_xlfn.CONCAT(Buildings_GridElectricity_Backend[[#This Row],[Level 1]:[Level 6]]),rng_EFConcat,rng_EF1)*Buildings_GridElectricity_Backend[[#This Row],[Converted data]]/1000)</f>
        <v/>
      </c>
      <c r="AG288" s="210" t="str">
        <f>IF(Buildings_GridElectricity_Frontend[[#This Row],[Data]]="","",_xlfn.XLOOKUP(_xlfn.CONCAT(Buildings_GridElectricity_Backend[[#This Row],[Level 1]:[Level 6]]),rng_EFConcat,rng_EF2)*Buildings_GridElectricity_Backend[[#This Row],[Converted data]]/1000)</f>
        <v/>
      </c>
      <c r="AH288" s="210" t="str">
        <f>IF(Buildings_GridElectricity_Frontend[[#This Row],[Data]]="","",_xlfn.XLOOKUP(_xlfn.CONCAT(Buildings_GridElectricity_Backend[[#This Row],[Level 1]:[Level 6]]),rng_EFConcat,rng_EF3)*Buildings_GridElectricity_Backend[[#This Row],[Converted data]]/1000)</f>
        <v/>
      </c>
      <c r="AI288" s="210" t="str">
        <f>IF(Buildings_GridElectricity_Frontend[[#This Row],[Data]]="","",_xlfn.XLOOKUP(_xlfn.CONCAT(Buildings_GridElectricity_Backend[[#This Row],[Level 1]:[Level 6]]),rng_EFConcat,rng_EF3WTT)*Buildings_GridElectricity_Backend[[#This Row],[Converted data]]/1000)</f>
        <v/>
      </c>
      <c r="AJ288" s="210" t="str">
        <f>IF(Buildings_GridElectricity_Frontend[[#This Row],[Data]]="","",_xlfn.XLOOKUP(_xlfn.CONCAT(Buildings_GridElectricity_Backend[[#This Row],[Level 1]:[Level 6]]),rng_EFConcat,rng_EF3TD)*Buildings_GridElectricity_Backend[[#This Row],[Converted data]]/1000)</f>
        <v/>
      </c>
      <c r="AK288" s="210" t="str">
        <f>IF(Buildings_GridElectricity_Frontend[[#This Row],[Data]]="","",_xlfn.XLOOKUP(_xlfn.CONCAT(Buildings_GridElectricity_Backend[[#This Row],[Level 1]:[Level 6]]),rng_EFConcat,rng_EF3WTTTD)*Buildings_GridElectricity_Backend[[#This Row],[Converted data]]/1000)</f>
        <v/>
      </c>
      <c r="AL288" s="220" t="str">
        <f>IF(Buildings_GridElectricity_Frontend[[#This Row],[Data]]="","",SUM(Buildings_GridElectricity_Backend[[#This Row],[Scope 1 (tCO2e)]:[Scope 3 WTT T&amp;D (tCO2e)]]))</f>
        <v/>
      </c>
      <c r="AM288" s="220" t="str">
        <f>IF(Buildings_GridElectricity_Frontend[[#This Row],[Data]]="","",Buildings_GridElectricity_Backend[[#This Row],[Total (tCO2e)]]*(1-Buildings_GridElectricity_Backend[[#This Row],[RSD]]))</f>
        <v/>
      </c>
      <c r="AN288" s="220" t="str">
        <f>IF(Buildings_GridElectricity_Frontend[[#This Row],[Data]]="","",Buildings_GridElectricity_Backend[[#This Row],[Total (tCO2e)]]*(1+Buildings_GridElectricity_Backend[[#This Row],[RSD]]))</f>
        <v/>
      </c>
      <c r="AO288" s="210" t="str">
        <f>IF(Buildings_GridElectricity_Frontend[[#This Row],[Data]]="","",_xlfn.XLOOKUP(_xlfn.CONCAT(Buildings_GridElectricity_Backend[[#This Row],[Level 1]:[Level 6]]),rng_EFConcat,rng_EFOOS)*Buildings_GridElectricity_Backend[[#This Row],[Converted data]]/1000)</f>
        <v/>
      </c>
      <c r="AP288" s="174">
        <f>Buildings_GridElectricity_Frontend[[#This Row],[Ease of collection]]</f>
        <v>0</v>
      </c>
      <c r="AQ288" s="213">
        <f>Buildings_GridElectricity_Frontend[[#This Row],[Completeness]]</f>
        <v>0</v>
      </c>
      <c r="AR288" s="220">
        <f>Buildings_GridElectricity_Frontend[[#This Row],[Notes]]</f>
        <v>0</v>
      </c>
    </row>
    <row r="289" spans="5:44" x14ac:dyDescent="0.3">
      <c r="E289" s="346"/>
      <c r="F289" s="449"/>
      <c r="G289" s="336"/>
      <c r="H289" s="334"/>
      <c r="I289" s="172" t="s">
        <v>316</v>
      </c>
      <c r="J289" s="337"/>
      <c r="K289" s="336"/>
      <c r="L289" s="336"/>
      <c r="M289" s="337"/>
      <c r="N289" s="242">
        <f t="shared" si="11"/>
        <v>3</v>
      </c>
      <c r="Q289" s="212" t="str">
        <f t="shared" si="10"/>
        <v/>
      </c>
      <c r="R289" s="174" t="s">
        <v>265</v>
      </c>
      <c r="S289" s="174" t="s">
        <v>273</v>
      </c>
      <c r="T289" s="174" t="str">
        <f>_xlfn.XLOOKUP(Buildings_GridElectricity_Backend[[#This Row],[Info 1]],Buildings_SiteInfo[Site name],Buildings_SiteInfo[Site type], "")</f>
        <v/>
      </c>
      <c r="U289" s="174" t="s">
        <v>281</v>
      </c>
      <c r="V289" s="174" t="str" cm="1">
        <f t="array" aca="1" ref="V289" ca="1">_xlfn.XLOOKUP(Buildings_GridElectricity_Backend[[#This Row],[Level 4]],rng_Level4Long,rng_Level5Long)</f>
        <v>Electricity</v>
      </c>
      <c r="W289" s="174" t="str" cm="1">
        <f t="array" aca="1" ref="W289" ca="1">_xlfn.XLOOKUP(Buildings_GridElectricity_Backend[[#This Row],[Level 4]],rng_Level4Long,rng_Level6Long)</f>
        <v>NaN</v>
      </c>
      <c r="X289" s="174">
        <f>Buildings_GridElectricity_Frontend[[#This Row],[Site Name]]</f>
        <v>0</v>
      </c>
      <c r="Y289" s="174">
        <f>Buildings_GridElectricity_Frontend[[#This Row],[Contracting]]</f>
        <v>0</v>
      </c>
      <c r="Z289" s="174">
        <f>Buildings_GridElectricity_Frontend[[#This Row],[Methodology]]</f>
        <v>0</v>
      </c>
      <c r="AA289" s="229" t="str" cm="1">
        <f t="array" ref="AA289">IF(Buildings_GridElectricity_Frontend[[#This Row],[Data]]="","",INDEX(_xlfn.SWITCH(Buildings_GridElectricity_Backend[[#This Row],[Methodology]],"Tier 1",rng_RSD1,"Tier 2",rng_RSD2,"Tier 3",rng_RSD3),MATCH(_xlfn.CONCAT(Buildings_GridElectricity_Backend[[#This Row],[Level 1]:[Level 6]]),rng_LevelsConcat,0)))</f>
        <v/>
      </c>
      <c r="AB289" s="220">
        <f>Buildings_GridElectricity_Frontend[[#This Row],[Data]]</f>
        <v>0</v>
      </c>
      <c r="AC289" s="174" t="str">
        <f>Buildings_GridElectricity_Frontend[[#This Row],[Units]]</f>
        <v>kWh</v>
      </c>
      <c r="AD289" s="218">
        <f>Buildings_GridElectricity_Frontend[[#This Row],[Data]]</f>
        <v>0</v>
      </c>
      <c r="AE289" s="174" t="str">
        <f>Buildings_GridElectricity_Frontend[[#This Row],[Units]]</f>
        <v>kWh</v>
      </c>
      <c r="AF289" s="210" t="str">
        <f>IF(Buildings_GridElectricity_Frontend[[#This Row],[Data]]="","",_xlfn.XLOOKUP(_xlfn.CONCAT(Buildings_GridElectricity_Backend[[#This Row],[Level 1]:[Level 6]]),rng_EFConcat,rng_EF1)*Buildings_GridElectricity_Backend[[#This Row],[Converted data]]/1000)</f>
        <v/>
      </c>
      <c r="AG289" s="210" t="str">
        <f>IF(Buildings_GridElectricity_Frontend[[#This Row],[Data]]="","",_xlfn.XLOOKUP(_xlfn.CONCAT(Buildings_GridElectricity_Backend[[#This Row],[Level 1]:[Level 6]]),rng_EFConcat,rng_EF2)*Buildings_GridElectricity_Backend[[#This Row],[Converted data]]/1000)</f>
        <v/>
      </c>
      <c r="AH289" s="210" t="str">
        <f>IF(Buildings_GridElectricity_Frontend[[#This Row],[Data]]="","",_xlfn.XLOOKUP(_xlfn.CONCAT(Buildings_GridElectricity_Backend[[#This Row],[Level 1]:[Level 6]]),rng_EFConcat,rng_EF3)*Buildings_GridElectricity_Backend[[#This Row],[Converted data]]/1000)</f>
        <v/>
      </c>
      <c r="AI289" s="210" t="str">
        <f>IF(Buildings_GridElectricity_Frontend[[#This Row],[Data]]="","",_xlfn.XLOOKUP(_xlfn.CONCAT(Buildings_GridElectricity_Backend[[#This Row],[Level 1]:[Level 6]]),rng_EFConcat,rng_EF3WTT)*Buildings_GridElectricity_Backend[[#This Row],[Converted data]]/1000)</f>
        <v/>
      </c>
      <c r="AJ289" s="210" t="str">
        <f>IF(Buildings_GridElectricity_Frontend[[#This Row],[Data]]="","",_xlfn.XLOOKUP(_xlfn.CONCAT(Buildings_GridElectricity_Backend[[#This Row],[Level 1]:[Level 6]]),rng_EFConcat,rng_EF3TD)*Buildings_GridElectricity_Backend[[#This Row],[Converted data]]/1000)</f>
        <v/>
      </c>
      <c r="AK289" s="210" t="str">
        <f>IF(Buildings_GridElectricity_Frontend[[#This Row],[Data]]="","",_xlfn.XLOOKUP(_xlfn.CONCAT(Buildings_GridElectricity_Backend[[#This Row],[Level 1]:[Level 6]]),rng_EFConcat,rng_EF3WTTTD)*Buildings_GridElectricity_Backend[[#This Row],[Converted data]]/1000)</f>
        <v/>
      </c>
      <c r="AL289" s="220" t="str">
        <f>IF(Buildings_GridElectricity_Frontend[[#This Row],[Data]]="","",SUM(Buildings_GridElectricity_Backend[[#This Row],[Scope 1 (tCO2e)]:[Scope 3 WTT T&amp;D (tCO2e)]]))</f>
        <v/>
      </c>
      <c r="AM289" s="220" t="str">
        <f>IF(Buildings_GridElectricity_Frontend[[#This Row],[Data]]="","",Buildings_GridElectricity_Backend[[#This Row],[Total (tCO2e)]]*(1-Buildings_GridElectricity_Backend[[#This Row],[RSD]]))</f>
        <v/>
      </c>
      <c r="AN289" s="220" t="str">
        <f>IF(Buildings_GridElectricity_Frontend[[#This Row],[Data]]="","",Buildings_GridElectricity_Backend[[#This Row],[Total (tCO2e)]]*(1+Buildings_GridElectricity_Backend[[#This Row],[RSD]]))</f>
        <v/>
      </c>
      <c r="AO289" s="210" t="str">
        <f>IF(Buildings_GridElectricity_Frontend[[#This Row],[Data]]="","",_xlfn.XLOOKUP(_xlfn.CONCAT(Buildings_GridElectricity_Backend[[#This Row],[Level 1]:[Level 6]]),rng_EFConcat,rng_EFOOS)*Buildings_GridElectricity_Backend[[#This Row],[Converted data]]/1000)</f>
        <v/>
      </c>
      <c r="AP289" s="174">
        <f>Buildings_GridElectricity_Frontend[[#This Row],[Ease of collection]]</f>
        <v>0</v>
      </c>
      <c r="AQ289" s="213">
        <f>Buildings_GridElectricity_Frontend[[#This Row],[Completeness]]</f>
        <v>0</v>
      </c>
      <c r="AR289" s="220">
        <f>Buildings_GridElectricity_Frontend[[#This Row],[Notes]]</f>
        <v>0</v>
      </c>
    </row>
    <row r="290" spans="5:44" x14ac:dyDescent="0.3">
      <c r="E290" s="346"/>
      <c r="F290" s="449"/>
      <c r="G290" s="336"/>
      <c r="H290" s="334"/>
      <c r="I290" s="172" t="s">
        <v>316</v>
      </c>
      <c r="J290" s="337"/>
      <c r="K290" s="336"/>
      <c r="L290" s="336"/>
      <c r="M290" s="337"/>
      <c r="N290" s="242">
        <f t="shared" si="11"/>
        <v>3</v>
      </c>
      <c r="Q290" s="212" t="str">
        <f t="shared" si="10"/>
        <v/>
      </c>
      <c r="R290" s="174" t="s">
        <v>265</v>
      </c>
      <c r="S290" s="174" t="s">
        <v>273</v>
      </c>
      <c r="T290" s="174" t="str">
        <f>_xlfn.XLOOKUP(Buildings_GridElectricity_Backend[[#This Row],[Info 1]],Buildings_SiteInfo[Site name],Buildings_SiteInfo[Site type], "")</f>
        <v/>
      </c>
      <c r="U290" s="174" t="s">
        <v>281</v>
      </c>
      <c r="V290" s="174" t="str" cm="1">
        <f t="array" aca="1" ref="V290" ca="1">_xlfn.XLOOKUP(Buildings_GridElectricity_Backend[[#This Row],[Level 4]],rng_Level4Long,rng_Level5Long)</f>
        <v>Electricity</v>
      </c>
      <c r="W290" s="174" t="str" cm="1">
        <f t="array" aca="1" ref="W290" ca="1">_xlfn.XLOOKUP(Buildings_GridElectricity_Backend[[#This Row],[Level 4]],rng_Level4Long,rng_Level6Long)</f>
        <v>NaN</v>
      </c>
      <c r="X290" s="174">
        <f>Buildings_GridElectricity_Frontend[[#This Row],[Site Name]]</f>
        <v>0</v>
      </c>
      <c r="Y290" s="174">
        <f>Buildings_GridElectricity_Frontend[[#This Row],[Contracting]]</f>
        <v>0</v>
      </c>
      <c r="Z290" s="174">
        <f>Buildings_GridElectricity_Frontend[[#This Row],[Methodology]]</f>
        <v>0</v>
      </c>
      <c r="AA290" s="229" t="str" cm="1">
        <f t="array" ref="AA290">IF(Buildings_GridElectricity_Frontend[[#This Row],[Data]]="","",INDEX(_xlfn.SWITCH(Buildings_GridElectricity_Backend[[#This Row],[Methodology]],"Tier 1",rng_RSD1,"Tier 2",rng_RSD2,"Tier 3",rng_RSD3),MATCH(_xlfn.CONCAT(Buildings_GridElectricity_Backend[[#This Row],[Level 1]:[Level 6]]),rng_LevelsConcat,0)))</f>
        <v/>
      </c>
      <c r="AB290" s="220">
        <f>Buildings_GridElectricity_Frontend[[#This Row],[Data]]</f>
        <v>0</v>
      </c>
      <c r="AC290" s="174" t="str">
        <f>Buildings_GridElectricity_Frontend[[#This Row],[Units]]</f>
        <v>kWh</v>
      </c>
      <c r="AD290" s="218">
        <f>Buildings_GridElectricity_Frontend[[#This Row],[Data]]</f>
        <v>0</v>
      </c>
      <c r="AE290" s="174" t="str">
        <f>Buildings_GridElectricity_Frontend[[#This Row],[Units]]</f>
        <v>kWh</v>
      </c>
      <c r="AF290" s="210" t="str">
        <f>IF(Buildings_GridElectricity_Frontend[[#This Row],[Data]]="","",_xlfn.XLOOKUP(_xlfn.CONCAT(Buildings_GridElectricity_Backend[[#This Row],[Level 1]:[Level 6]]),rng_EFConcat,rng_EF1)*Buildings_GridElectricity_Backend[[#This Row],[Converted data]]/1000)</f>
        <v/>
      </c>
      <c r="AG290" s="210" t="str">
        <f>IF(Buildings_GridElectricity_Frontend[[#This Row],[Data]]="","",_xlfn.XLOOKUP(_xlfn.CONCAT(Buildings_GridElectricity_Backend[[#This Row],[Level 1]:[Level 6]]),rng_EFConcat,rng_EF2)*Buildings_GridElectricity_Backend[[#This Row],[Converted data]]/1000)</f>
        <v/>
      </c>
      <c r="AH290" s="210" t="str">
        <f>IF(Buildings_GridElectricity_Frontend[[#This Row],[Data]]="","",_xlfn.XLOOKUP(_xlfn.CONCAT(Buildings_GridElectricity_Backend[[#This Row],[Level 1]:[Level 6]]),rng_EFConcat,rng_EF3)*Buildings_GridElectricity_Backend[[#This Row],[Converted data]]/1000)</f>
        <v/>
      </c>
      <c r="AI290" s="210" t="str">
        <f>IF(Buildings_GridElectricity_Frontend[[#This Row],[Data]]="","",_xlfn.XLOOKUP(_xlfn.CONCAT(Buildings_GridElectricity_Backend[[#This Row],[Level 1]:[Level 6]]),rng_EFConcat,rng_EF3WTT)*Buildings_GridElectricity_Backend[[#This Row],[Converted data]]/1000)</f>
        <v/>
      </c>
      <c r="AJ290" s="210" t="str">
        <f>IF(Buildings_GridElectricity_Frontend[[#This Row],[Data]]="","",_xlfn.XLOOKUP(_xlfn.CONCAT(Buildings_GridElectricity_Backend[[#This Row],[Level 1]:[Level 6]]),rng_EFConcat,rng_EF3TD)*Buildings_GridElectricity_Backend[[#This Row],[Converted data]]/1000)</f>
        <v/>
      </c>
      <c r="AK290" s="210" t="str">
        <f>IF(Buildings_GridElectricity_Frontend[[#This Row],[Data]]="","",_xlfn.XLOOKUP(_xlfn.CONCAT(Buildings_GridElectricity_Backend[[#This Row],[Level 1]:[Level 6]]),rng_EFConcat,rng_EF3WTTTD)*Buildings_GridElectricity_Backend[[#This Row],[Converted data]]/1000)</f>
        <v/>
      </c>
      <c r="AL290" s="220" t="str">
        <f>IF(Buildings_GridElectricity_Frontend[[#This Row],[Data]]="","",SUM(Buildings_GridElectricity_Backend[[#This Row],[Scope 1 (tCO2e)]:[Scope 3 WTT T&amp;D (tCO2e)]]))</f>
        <v/>
      </c>
      <c r="AM290" s="220" t="str">
        <f>IF(Buildings_GridElectricity_Frontend[[#This Row],[Data]]="","",Buildings_GridElectricity_Backend[[#This Row],[Total (tCO2e)]]*(1-Buildings_GridElectricity_Backend[[#This Row],[RSD]]))</f>
        <v/>
      </c>
      <c r="AN290" s="220" t="str">
        <f>IF(Buildings_GridElectricity_Frontend[[#This Row],[Data]]="","",Buildings_GridElectricity_Backend[[#This Row],[Total (tCO2e)]]*(1+Buildings_GridElectricity_Backend[[#This Row],[RSD]]))</f>
        <v/>
      </c>
      <c r="AO290" s="210" t="str">
        <f>IF(Buildings_GridElectricity_Frontend[[#This Row],[Data]]="","",_xlfn.XLOOKUP(_xlfn.CONCAT(Buildings_GridElectricity_Backend[[#This Row],[Level 1]:[Level 6]]),rng_EFConcat,rng_EFOOS)*Buildings_GridElectricity_Backend[[#This Row],[Converted data]]/1000)</f>
        <v/>
      </c>
      <c r="AP290" s="174">
        <f>Buildings_GridElectricity_Frontend[[#This Row],[Ease of collection]]</f>
        <v>0</v>
      </c>
      <c r="AQ290" s="213">
        <f>Buildings_GridElectricity_Frontend[[#This Row],[Completeness]]</f>
        <v>0</v>
      </c>
      <c r="AR290" s="220">
        <f>Buildings_GridElectricity_Frontend[[#This Row],[Notes]]</f>
        <v>0</v>
      </c>
    </row>
    <row r="291" spans="5:44" x14ac:dyDescent="0.3">
      <c r="E291" s="346"/>
      <c r="F291" s="449"/>
      <c r="G291" s="336"/>
      <c r="H291" s="334"/>
      <c r="I291" s="172" t="s">
        <v>316</v>
      </c>
      <c r="J291" s="337"/>
      <c r="K291" s="336"/>
      <c r="L291" s="336"/>
      <c r="M291" s="337"/>
      <c r="N291" s="242">
        <f t="shared" si="11"/>
        <v>3</v>
      </c>
      <c r="Q291" s="212" t="str">
        <f t="shared" si="10"/>
        <v/>
      </c>
      <c r="R291" s="174" t="s">
        <v>265</v>
      </c>
      <c r="S291" s="174" t="s">
        <v>273</v>
      </c>
      <c r="T291" s="174" t="str">
        <f>_xlfn.XLOOKUP(Buildings_GridElectricity_Backend[[#This Row],[Info 1]],Buildings_SiteInfo[Site name],Buildings_SiteInfo[Site type], "")</f>
        <v/>
      </c>
      <c r="U291" s="174" t="s">
        <v>281</v>
      </c>
      <c r="V291" s="174" t="str" cm="1">
        <f t="array" aca="1" ref="V291" ca="1">_xlfn.XLOOKUP(Buildings_GridElectricity_Backend[[#This Row],[Level 4]],rng_Level4Long,rng_Level5Long)</f>
        <v>Electricity</v>
      </c>
      <c r="W291" s="174" t="str" cm="1">
        <f t="array" aca="1" ref="W291" ca="1">_xlfn.XLOOKUP(Buildings_GridElectricity_Backend[[#This Row],[Level 4]],rng_Level4Long,rng_Level6Long)</f>
        <v>NaN</v>
      </c>
      <c r="X291" s="174">
        <f>Buildings_GridElectricity_Frontend[[#This Row],[Site Name]]</f>
        <v>0</v>
      </c>
      <c r="Y291" s="174">
        <f>Buildings_GridElectricity_Frontend[[#This Row],[Contracting]]</f>
        <v>0</v>
      </c>
      <c r="Z291" s="174">
        <f>Buildings_GridElectricity_Frontend[[#This Row],[Methodology]]</f>
        <v>0</v>
      </c>
      <c r="AA291" s="229" t="str" cm="1">
        <f t="array" ref="AA291">IF(Buildings_GridElectricity_Frontend[[#This Row],[Data]]="","",INDEX(_xlfn.SWITCH(Buildings_GridElectricity_Backend[[#This Row],[Methodology]],"Tier 1",rng_RSD1,"Tier 2",rng_RSD2,"Tier 3",rng_RSD3),MATCH(_xlfn.CONCAT(Buildings_GridElectricity_Backend[[#This Row],[Level 1]:[Level 6]]),rng_LevelsConcat,0)))</f>
        <v/>
      </c>
      <c r="AB291" s="220">
        <f>Buildings_GridElectricity_Frontend[[#This Row],[Data]]</f>
        <v>0</v>
      </c>
      <c r="AC291" s="174" t="str">
        <f>Buildings_GridElectricity_Frontend[[#This Row],[Units]]</f>
        <v>kWh</v>
      </c>
      <c r="AD291" s="218">
        <f>Buildings_GridElectricity_Frontend[[#This Row],[Data]]</f>
        <v>0</v>
      </c>
      <c r="AE291" s="174" t="str">
        <f>Buildings_GridElectricity_Frontend[[#This Row],[Units]]</f>
        <v>kWh</v>
      </c>
      <c r="AF291" s="210" t="str">
        <f>IF(Buildings_GridElectricity_Frontend[[#This Row],[Data]]="","",_xlfn.XLOOKUP(_xlfn.CONCAT(Buildings_GridElectricity_Backend[[#This Row],[Level 1]:[Level 6]]),rng_EFConcat,rng_EF1)*Buildings_GridElectricity_Backend[[#This Row],[Converted data]]/1000)</f>
        <v/>
      </c>
      <c r="AG291" s="210" t="str">
        <f>IF(Buildings_GridElectricity_Frontend[[#This Row],[Data]]="","",_xlfn.XLOOKUP(_xlfn.CONCAT(Buildings_GridElectricity_Backend[[#This Row],[Level 1]:[Level 6]]),rng_EFConcat,rng_EF2)*Buildings_GridElectricity_Backend[[#This Row],[Converted data]]/1000)</f>
        <v/>
      </c>
      <c r="AH291" s="210" t="str">
        <f>IF(Buildings_GridElectricity_Frontend[[#This Row],[Data]]="","",_xlfn.XLOOKUP(_xlfn.CONCAT(Buildings_GridElectricity_Backend[[#This Row],[Level 1]:[Level 6]]),rng_EFConcat,rng_EF3)*Buildings_GridElectricity_Backend[[#This Row],[Converted data]]/1000)</f>
        <v/>
      </c>
      <c r="AI291" s="210" t="str">
        <f>IF(Buildings_GridElectricity_Frontend[[#This Row],[Data]]="","",_xlfn.XLOOKUP(_xlfn.CONCAT(Buildings_GridElectricity_Backend[[#This Row],[Level 1]:[Level 6]]),rng_EFConcat,rng_EF3WTT)*Buildings_GridElectricity_Backend[[#This Row],[Converted data]]/1000)</f>
        <v/>
      </c>
      <c r="AJ291" s="210" t="str">
        <f>IF(Buildings_GridElectricity_Frontend[[#This Row],[Data]]="","",_xlfn.XLOOKUP(_xlfn.CONCAT(Buildings_GridElectricity_Backend[[#This Row],[Level 1]:[Level 6]]),rng_EFConcat,rng_EF3TD)*Buildings_GridElectricity_Backend[[#This Row],[Converted data]]/1000)</f>
        <v/>
      </c>
      <c r="AK291" s="210" t="str">
        <f>IF(Buildings_GridElectricity_Frontend[[#This Row],[Data]]="","",_xlfn.XLOOKUP(_xlfn.CONCAT(Buildings_GridElectricity_Backend[[#This Row],[Level 1]:[Level 6]]),rng_EFConcat,rng_EF3WTTTD)*Buildings_GridElectricity_Backend[[#This Row],[Converted data]]/1000)</f>
        <v/>
      </c>
      <c r="AL291" s="220" t="str">
        <f>IF(Buildings_GridElectricity_Frontend[[#This Row],[Data]]="","",SUM(Buildings_GridElectricity_Backend[[#This Row],[Scope 1 (tCO2e)]:[Scope 3 WTT T&amp;D (tCO2e)]]))</f>
        <v/>
      </c>
      <c r="AM291" s="220" t="str">
        <f>IF(Buildings_GridElectricity_Frontend[[#This Row],[Data]]="","",Buildings_GridElectricity_Backend[[#This Row],[Total (tCO2e)]]*(1-Buildings_GridElectricity_Backend[[#This Row],[RSD]]))</f>
        <v/>
      </c>
      <c r="AN291" s="220" t="str">
        <f>IF(Buildings_GridElectricity_Frontend[[#This Row],[Data]]="","",Buildings_GridElectricity_Backend[[#This Row],[Total (tCO2e)]]*(1+Buildings_GridElectricity_Backend[[#This Row],[RSD]]))</f>
        <v/>
      </c>
      <c r="AO291" s="210" t="str">
        <f>IF(Buildings_GridElectricity_Frontend[[#This Row],[Data]]="","",_xlfn.XLOOKUP(_xlfn.CONCAT(Buildings_GridElectricity_Backend[[#This Row],[Level 1]:[Level 6]]),rng_EFConcat,rng_EFOOS)*Buildings_GridElectricity_Backend[[#This Row],[Converted data]]/1000)</f>
        <v/>
      </c>
      <c r="AP291" s="174">
        <f>Buildings_GridElectricity_Frontend[[#This Row],[Ease of collection]]</f>
        <v>0</v>
      </c>
      <c r="AQ291" s="213">
        <f>Buildings_GridElectricity_Frontend[[#This Row],[Completeness]]</f>
        <v>0</v>
      </c>
      <c r="AR291" s="220">
        <f>Buildings_GridElectricity_Frontend[[#This Row],[Notes]]</f>
        <v>0</v>
      </c>
    </row>
    <row r="292" spans="5:44" x14ac:dyDescent="0.3">
      <c r="E292" s="346"/>
      <c r="F292" s="449"/>
      <c r="G292" s="336"/>
      <c r="H292" s="334"/>
      <c r="I292" s="172" t="s">
        <v>316</v>
      </c>
      <c r="J292" s="337"/>
      <c r="K292" s="336"/>
      <c r="L292" s="336"/>
      <c r="M292" s="337"/>
      <c r="N292" s="242">
        <f t="shared" si="11"/>
        <v>3</v>
      </c>
      <c r="Q292" s="212" t="str">
        <f t="shared" si="10"/>
        <v/>
      </c>
      <c r="R292" s="174" t="s">
        <v>265</v>
      </c>
      <c r="S292" s="174" t="s">
        <v>273</v>
      </c>
      <c r="T292" s="174" t="str">
        <f>_xlfn.XLOOKUP(Buildings_GridElectricity_Backend[[#This Row],[Info 1]],Buildings_SiteInfo[Site name],Buildings_SiteInfo[Site type], "")</f>
        <v/>
      </c>
      <c r="U292" s="174" t="s">
        <v>281</v>
      </c>
      <c r="V292" s="174" t="str" cm="1">
        <f t="array" aca="1" ref="V292" ca="1">_xlfn.XLOOKUP(Buildings_GridElectricity_Backend[[#This Row],[Level 4]],rng_Level4Long,rng_Level5Long)</f>
        <v>Electricity</v>
      </c>
      <c r="W292" s="174" t="str" cm="1">
        <f t="array" aca="1" ref="W292" ca="1">_xlfn.XLOOKUP(Buildings_GridElectricity_Backend[[#This Row],[Level 4]],rng_Level4Long,rng_Level6Long)</f>
        <v>NaN</v>
      </c>
      <c r="X292" s="174">
        <f>Buildings_GridElectricity_Frontend[[#This Row],[Site Name]]</f>
        <v>0</v>
      </c>
      <c r="Y292" s="174">
        <f>Buildings_GridElectricity_Frontend[[#This Row],[Contracting]]</f>
        <v>0</v>
      </c>
      <c r="Z292" s="174">
        <f>Buildings_GridElectricity_Frontend[[#This Row],[Methodology]]</f>
        <v>0</v>
      </c>
      <c r="AA292" s="229" t="str" cm="1">
        <f t="array" ref="AA292">IF(Buildings_GridElectricity_Frontend[[#This Row],[Data]]="","",INDEX(_xlfn.SWITCH(Buildings_GridElectricity_Backend[[#This Row],[Methodology]],"Tier 1",rng_RSD1,"Tier 2",rng_RSD2,"Tier 3",rng_RSD3),MATCH(_xlfn.CONCAT(Buildings_GridElectricity_Backend[[#This Row],[Level 1]:[Level 6]]),rng_LevelsConcat,0)))</f>
        <v/>
      </c>
      <c r="AB292" s="220">
        <f>Buildings_GridElectricity_Frontend[[#This Row],[Data]]</f>
        <v>0</v>
      </c>
      <c r="AC292" s="174" t="str">
        <f>Buildings_GridElectricity_Frontend[[#This Row],[Units]]</f>
        <v>kWh</v>
      </c>
      <c r="AD292" s="218">
        <f>Buildings_GridElectricity_Frontend[[#This Row],[Data]]</f>
        <v>0</v>
      </c>
      <c r="AE292" s="174" t="str">
        <f>Buildings_GridElectricity_Frontend[[#This Row],[Units]]</f>
        <v>kWh</v>
      </c>
      <c r="AF292" s="210" t="str">
        <f>IF(Buildings_GridElectricity_Frontend[[#This Row],[Data]]="","",_xlfn.XLOOKUP(_xlfn.CONCAT(Buildings_GridElectricity_Backend[[#This Row],[Level 1]:[Level 6]]),rng_EFConcat,rng_EF1)*Buildings_GridElectricity_Backend[[#This Row],[Converted data]]/1000)</f>
        <v/>
      </c>
      <c r="AG292" s="210" t="str">
        <f>IF(Buildings_GridElectricity_Frontend[[#This Row],[Data]]="","",_xlfn.XLOOKUP(_xlfn.CONCAT(Buildings_GridElectricity_Backend[[#This Row],[Level 1]:[Level 6]]),rng_EFConcat,rng_EF2)*Buildings_GridElectricity_Backend[[#This Row],[Converted data]]/1000)</f>
        <v/>
      </c>
      <c r="AH292" s="210" t="str">
        <f>IF(Buildings_GridElectricity_Frontend[[#This Row],[Data]]="","",_xlfn.XLOOKUP(_xlfn.CONCAT(Buildings_GridElectricity_Backend[[#This Row],[Level 1]:[Level 6]]),rng_EFConcat,rng_EF3)*Buildings_GridElectricity_Backend[[#This Row],[Converted data]]/1000)</f>
        <v/>
      </c>
      <c r="AI292" s="210" t="str">
        <f>IF(Buildings_GridElectricity_Frontend[[#This Row],[Data]]="","",_xlfn.XLOOKUP(_xlfn.CONCAT(Buildings_GridElectricity_Backend[[#This Row],[Level 1]:[Level 6]]),rng_EFConcat,rng_EF3WTT)*Buildings_GridElectricity_Backend[[#This Row],[Converted data]]/1000)</f>
        <v/>
      </c>
      <c r="AJ292" s="210" t="str">
        <f>IF(Buildings_GridElectricity_Frontend[[#This Row],[Data]]="","",_xlfn.XLOOKUP(_xlfn.CONCAT(Buildings_GridElectricity_Backend[[#This Row],[Level 1]:[Level 6]]),rng_EFConcat,rng_EF3TD)*Buildings_GridElectricity_Backend[[#This Row],[Converted data]]/1000)</f>
        <v/>
      </c>
      <c r="AK292" s="210" t="str">
        <f>IF(Buildings_GridElectricity_Frontend[[#This Row],[Data]]="","",_xlfn.XLOOKUP(_xlfn.CONCAT(Buildings_GridElectricity_Backend[[#This Row],[Level 1]:[Level 6]]),rng_EFConcat,rng_EF3WTTTD)*Buildings_GridElectricity_Backend[[#This Row],[Converted data]]/1000)</f>
        <v/>
      </c>
      <c r="AL292" s="220" t="str">
        <f>IF(Buildings_GridElectricity_Frontend[[#This Row],[Data]]="","",SUM(Buildings_GridElectricity_Backend[[#This Row],[Scope 1 (tCO2e)]:[Scope 3 WTT T&amp;D (tCO2e)]]))</f>
        <v/>
      </c>
      <c r="AM292" s="220" t="str">
        <f>IF(Buildings_GridElectricity_Frontend[[#This Row],[Data]]="","",Buildings_GridElectricity_Backend[[#This Row],[Total (tCO2e)]]*(1-Buildings_GridElectricity_Backend[[#This Row],[RSD]]))</f>
        <v/>
      </c>
      <c r="AN292" s="220" t="str">
        <f>IF(Buildings_GridElectricity_Frontend[[#This Row],[Data]]="","",Buildings_GridElectricity_Backend[[#This Row],[Total (tCO2e)]]*(1+Buildings_GridElectricity_Backend[[#This Row],[RSD]]))</f>
        <v/>
      </c>
      <c r="AO292" s="210" t="str">
        <f>IF(Buildings_GridElectricity_Frontend[[#This Row],[Data]]="","",_xlfn.XLOOKUP(_xlfn.CONCAT(Buildings_GridElectricity_Backend[[#This Row],[Level 1]:[Level 6]]),rng_EFConcat,rng_EFOOS)*Buildings_GridElectricity_Backend[[#This Row],[Converted data]]/1000)</f>
        <v/>
      </c>
      <c r="AP292" s="174">
        <f>Buildings_GridElectricity_Frontend[[#This Row],[Ease of collection]]</f>
        <v>0</v>
      </c>
      <c r="AQ292" s="213">
        <f>Buildings_GridElectricity_Frontend[[#This Row],[Completeness]]</f>
        <v>0</v>
      </c>
      <c r="AR292" s="220">
        <f>Buildings_GridElectricity_Frontend[[#This Row],[Notes]]</f>
        <v>0</v>
      </c>
    </row>
    <row r="293" spans="5:44" x14ac:dyDescent="0.3">
      <c r="E293" s="346"/>
      <c r="F293" s="449"/>
      <c r="G293" s="336"/>
      <c r="H293" s="334"/>
      <c r="I293" s="172" t="s">
        <v>316</v>
      </c>
      <c r="J293" s="337"/>
      <c r="K293" s="336"/>
      <c r="L293" s="336"/>
      <c r="M293" s="337"/>
      <c r="N293" s="242">
        <f t="shared" si="11"/>
        <v>3</v>
      </c>
      <c r="Q293" s="212" t="str">
        <f t="shared" si="10"/>
        <v/>
      </c>
      <c r="R293" s="174" t="s">
        <v>265</v>
      </c>
      <c r="S293" s="174" t="s">
        <v>273</v>
      </c>
      <c r="T293" s="174" t="str">
        <f>_xlfn.XLOOKUP(Buildings_GridElectricity_Backend[[#This Row],[Info 1]],Buildings_SiteInfo[Site name],Buildings_SiteInfo[Site type], "")</f>
        <v/>
      </c>
      <c r="U293" s="174" t="s">
        <v>281</v>
      </c>
      <c r="V293" s="174" t="str" cm="1">
        <f t="array" aca="1" ref="V293" ca="1">_xlfn.XLOOKUP(Buildings_GridElectricity_Backend[[#This Row],[Level 4]],rng_Level4Long,rng_Level5Long)</f>
        <v>Electricity</v>
      </c>
      <c r="W293" s="174" t="str" cm="1">
        <f t="array" aca="1" ref="W293" ca="1">_xlfn.XLOOKUP(Buildings_GridElectricity_Backend[[#This Row],[Level 4]],rng_Level4Long,rng_Level6Long)</f>
        <v>NaN</v>
      </c>
      <c r="X293" s="174">
        <f>Buildings_GridElectricity_Frontend[[#This Row],[Site Name]]</f>
        <v>0</v>
      </c>
      <c r="Y293" s="174">
        <f>Buildings_GridElectricity_Frontend[[#This Row],[Contracting]]</f>
        <v>0</v>
      </c>
      <c r="Z293" s="174">
        <f>Buildings_GridElectricity_Frontend[[#This Row],[Methodology]]</f>
        <v>0</v>
      </c>
      <c r="AA293" s="229" t="str" cm="1">
        <f t="array" ref="AA293">IF(Buildings_GridElectricity_Frontend[[#This Row],[Data]]="","",INDEX(_xlfn.SWITCH(Buildings_GridElectricity_Backend[[#This Row],[Methodology]],"Tier 1",rng_RSD1,"Tier 2",rng_RSD2,"Tier 3",rng_RSD3),MATCH(_xlfn.CONCAT(Buildings_GridElectricity_Backend[[#This Row],[Level 1]:[Level 6]]),rng_LevelsConcat,0)))</f>
        <v/>
      </c>
      <c r="AB293" s="220">
        <f>Buildings_GridElectricity_Frontend[[#This Row],[Data]]</f>
        <v>0</v>
      </c>
      <c r="AC293" s="174" t="str">
        <f>Buildings_GridElectricity_Frontend[[#This Row],[Units]]</f>
        <v>kWh</v>
      </c>
      <c r="AD293" s="218">
        <f>Buildings_GridElectricity_Frontend[[#This Row],[Data]]</f>
        <v>0</v>
      </c>
      <c r="AE293" s="174" t="str">
        <f>Buildings_GridElectricity_Frontend[[#This Row],[Units]]</f>
        <v>kWh</v>
      </c>
      <c r="AF293" s="210" t="str">
        <f>IF(Buildings_GridElectricity_Frontend[[#This Row],[Data]]="","",_xlfn.XLOOKUP(_xlfn.CONCAT(Buildings_GridElectricity_Backend[[#This Row],[Level 1]:[Level 6]]),rng_EFConcat,rng_EF1)*Buildings_GridElectricity_Backend[[#This Row],[Converted data]]/1000)</f>
        <v/>
      </c>
      <c r="AG293" s="210" t="str">
        <f>IF(Buildings_GridElectricity_Frontend[[#This Row],[Data]]="","",_xlfn.XLOOKUP(_xlfn.CONCAT(Buildings_GridElectricity_Backend[[#This Row],[Level 1]:[Level 6]]),rng_EFConcat,rng_EF2)*Buildings_GridElectricity_Backend[[#This Row],[Converted data]]/1000)</f>
        <v/>
      </c>
      <c r="AH293" s="210" t="str">
        <f>IF(Buildings_GridElectricity_Frontend[[#This Row],[Data]]="","",_xlfn.XLOOKUP(_xlfn.CONCAT(Buildings_GridElectricity_Backend[[#This Row],[Level 1]:[Level 6]]),rng_EFConcat,rng_EF3)*Buildings_GridElectricity_Backend[[#This Row],[Converted data]]/1000)</f>
        <v/>
      </c>
      <c r="AI293" s="210" t="str">
        <f>IF(Buildings_GridElectricity_Frontend[[#This Row],[Data]]="","",_xlfn.XLOOKUP(_xlfn.CONCAT(Buildings_GridElectricity_Backend[[#This Row],[Level 1]:[Level 6]]),rng_EFConcat,rng_EF3WTT)*Buildings_GridElectricity_Backend[[#This Row],[Converted data]]/1000)</f>
        <v/>
      </c>
      <c r="AJ293" s="210" t="str">
        <f>IF(Buildings_GridElectricity_Frontend[[#This Row],[Data]]="","",_xlfn.XLOOKUP(_xlfn.CONCAT(Buildings_GridElectricity_Backend[[#This Row],[Level 1]:[Level 6]]),rng_EFConcat,rng_EF3TD)*Buildings_GridElectricity_Backend[[#This Row],[Converted data]]/1000)</f>
        <v/>
      </c>
      <c r="AK293" s="210" t="str">
        <f>IF(Buildings_GridElectricity_Frontend[[#This Row],[Data]]="","",_xlfn.XLOOKUP(_xlfn.CONCAT(Buildings_GridElectricity_Backend[[#This Row],[Level 1]:[Level 6]]),rng_EFConcat,rng_EF3WTTTD)*Buildings_GridElectricity_Backend[[#This Row],[Converted data]]/1000)</f>
        <v/>
      </c>
      <c r="AL293" s="220" t="str">
        <f>IF(Buildings_GridElectricity_Frontend[[#This Row],[Data]]="","",SUM(Buildings_GridElectricity_Backend[[#This Row],[Scope 1 (tCO2e)]:[Scope 3 WTT T&amp;D (tCO2e)]]))</f>
        <v/>
      </c>
      <c r="AM293" s="220" t="str">
        <f>IF(Buildings_GridElectricity_Frontend[[#This Row],[Data]]="","",Buildings_GridElectricity_Backend[[#This Row],[Total (tCO2e)]]*(1-Buildings_GridElectricity_Backend[[#This Row],[RSD]]))</f>
        <v/>
      </c>
      <c r="AN293" s="220" t="str">
        <f>IF(Buildings_GridElectricity_Frontend[[#This Row],[Data]]="","",Buildings_GridElectricity_Backend[[#This Row],[Total (tCO2e)]]*(1+Buildings_GridElectricity_Backend[[#This Row],[RSD]]))</f>
        <v/>
      </c>
      <c r="AO293" s="210" t="str">
        <f>IF(Buildings_GridElectricity_Frontend[[#This Row],[Data]]="","",_xlfn.XLOOKUP(_xlfn.CONCAT(Buildings_GridElectricity_Backend[[#This Row],[Level 1]:[Level 6]]),rng_EFConcat,rng_EFOOS)*Buildings_GridElectricity_Backend[[#This Row],[Converted data]]/1000)</f>
        <v/>
      </c>
      <c r="AP293" s="174">
        <f>Buildings_GridElectricity_Frontend[[#This Row],[Ease of collection]]</f>
        <v>0</v>
      </c>
      <c r="AQ293" s="213">
        <f>Buildings_GridElectricity_Frontend[[#This Row],[Completeness]]</f>
        <v>0</v>
      </c>
      <c r="AR293" s="220">
        <f>Buildings_GridElectricity_Frontend[[#This Row],[Notes]]</f>
        <v>0</v>
      </c>
    </row>
    <row r="294" spans="5:44" x14ac:dyDescent="0.3">
      <c r="E294" s="346"/>
      <c r="F294" s="449"/>
      <c r="G294" s="336"/>
      <c r="H294" s="334"/>
      <c r="I294" s="172" t="s">
        <v>316</v>
      </c>
      <c r="J294" s="337"/>
      <c r="K294" s="336"/>
      <c r="L294" s="336"/>
      <c r="M294" s="337"/>
      <c r="N294" s="242">
        <f t="shared" si="11"/>
        <v>3</v>
      </c>
      <c r="Q294" s="212" t="str">
        <f t="shared" si="10"/>
        <v/>
      </c>
      <c r="R294" s="174" t="s">
        <v>265</v>
      </c>
      <c r="S294" s="174" t="s">
        <v>273</v>
      </c>
      <c r="T294" s="174" t="str">
        <f>_xlfn.XLOOKUP(Buildings_GridElectricity_Backend[[#This Row],[Info 1]],Buildings_SiteInfo[Site name],Buildings_SiteInfo[Site type], "")</f>
        <v/>
      </c>
      <c r="U294" s="174" t="s">
        <v>281</v>
      </c>
      <c r="V294" s="174" t="str" cm="1">
        <f t="array" aca="1" ref="V294" ca="1">_xlfn.XLOOKUP(Buildings_GridElectricity_Backend[[#This Row],[Level 4]],rng_Level4Long,rng_Level5Long)</f>
        <v>Electricity</v>
      </c>
      <c r="W294" s="174" t="str" cm="1">
        <f t="array" aca="1" ref="W294" ca="1">_xlfn.XLOOKUP(Buildings_GridElectricity_Backend[[#This Row],[Level 4]],rng_Level4Long,rng_Level6Long)</f>
        <v>NaN</v>
      </c>
      <c r="X294" s="174">
        <f>Buildings_GridElectricity_Frontend[[#This Row],[Site Name]]</f>
        <v>0</v>
      </c>
      <c r="Y294" s="174">
        <f>Buildings_GridElectricity_Frontend[[#This Row],[Contracting]]</f>
        <v>0</v>
      </c>
      <c r="Z294" s="174">
        <f>Buildings_GridElectricity_Frontend[[#This Row],[Methodology]]</f>
        <v>0</v>
      </c>
      <c r="AA294" s="229" t="str" cm="1">
        <f t="array" ref="AA294">IF(Buildings_GridElectricity_Frontend[[#This Row],[Data]]="","",INDEX(_xlfn.SWITCH(Buildings_GridElectricity_Backend[[#This Row],[Methodology]],"Tier 1",rng_RSD1,"Tier 2",rng_RSD2,"Tier 3",rng_RSD3),MATCH(_xlfn.CONCAT(Buildings_GridElectricity_Backend[[#This Row],[Level 1]:[Level 6]]),rng_LevelsConcat,0)))</f>
        <v/>
      </c>
      <c r="AB294" s="220">
        <f>Buildings_GridElectricity_Frontend[[#This Row],[Data]]</f>
        <v>0</v>
      </c>
      <c r="AC294" s="174" t="str">
        <f>Buildings_GridElectricity_Frontend[[#This Row],[Units]]</f>
        <v>kWh</v>
      </c>
      <c r="AD294" s="218">
        <f>Buildings_GridElectricity_Frontend[[#This Row],[Data]]</f>
        <v>0</v>
      </c>
      <c r="AE294" s="174" t="str">
        <f>Buildings_GridElectricity_Frontend[[#This Row],[Units]]</f>
        <v>kWh</v>
      </c>
      <c r="AF294" s="210" t="str">
        <f>IF(Buildings_GridElectricity_Frontend[[#This Row],[Data]]="","",_xlfn.XLOOKUP(_xlfn.CONCAT(Buildings_GridElectricity_Backend[[#This Row],[Level 1]:[Level 6]]),rng_EFConcat,rng_EF1)*Buildings_GridElectricity_Backend[[#This Row],[Converted data]]/1000)</f>
        <v/>
      </c>
      <c r="AG294" s="210" t="str">
        <f>IF(Buildings_GridElectricity_Frontend[[#This Row],[Data]]="","",_xlfn.XLOOKUP(_xlfn.CONCAT(Buildings_GridElectricity_Backend[[#This Row],[Level 1]:[Level 6]]),rng_EFConcat,rng_EF2)*Buildings_GridElectricity_Backend[[#This Row],[Converted data]]/1000)</f>
        <v/>
      </c>
      <c r="AH294" s="210" t="str">
        <f>IF(Buildings_GridElectricity_Frontend[[#This Row],[Data]]="","",_xlfn.XLOOKUP(_xlfn.CONCAT(Buildings_GridElectricity_Backend[[#This Row],[Level 1]:[Level 6]]),rng_EFConcat,rng_EF3)*Buildings_GridElectricity_Backend[[#This Row],[Converted data]]/1000)</f>
        <v/>
      </c>
      <c r="AI294" s="210" t="str">
        <f>IF(Buildings_GridElectricity_Frontend[[#This Row],[Data]]="","",_xlfn.XLOOKUP(_xlfn.CONCAT(Buildings_GridElectricity_Backend[[#This Row],[Level 1]:[Level 6]]),rng_EFConcat,rng_EF3WTT)*Buildings_GridElectricity_Backend[[#This Row],[Converted data]]/1000)</f>
        <v/>
      </c>
      <c r="AJ294" s="210" t="str">
        <f>IF(Buildings_GridElectricity_Frontend[[#This Row],[Data]]="","",_xlfn.XLOOKUP(_xlfn.CONCAT(Buildings_GridElectricity_Backend[[#This Row],[Level 1]:[Level 6]]),rng_EFConcat,rng_EF3TD)*Buildings_GridElectricity_Backend[[#This Row],[Converted data]]/1000)</f>
        <v/>
      </c>
      <c r="AK294" s="210" t="str">
        <f>IF(Buildings_GridElectricity_Frontend[[#This Row],[Data]]="","",_xlfn.XLOOKUP(_xlfn.CONCAT(Buildings_GridElectricity_Backend[[#This Row],[Level 1]:[Level 6]]),rng_EFConcat,rng_EF3WTTTD)*Buildings_GridElectricity_Backend[[#This Row],[Converted data]]/1000)</f>
        <v/>
      </c>
      <c r="AL294" s="220" t="str">
        <f>IF(Buildings_GridElectricity_Frontend[[#This Row],[Data]]="","",SUM(Buildings_GridElectricity_Backend[[#This Row],[Scope 1 (tCO2e)]:[Scope 3 WTT T&amp;D (tCO2e)]]))</f>
        <v/>
      </c>
      <c r="AM294" s="220" t="str">
        <f>IF(Buildings_GridElectricity_Frontend[[#This Row],[Data]]="","",Buildings_GridElectricity_Backend[[#This Row],[Total (tCO2e)]]*(1-Buildings_GridElectricity_Backend[[#This Row],[RSD]]))</f>
        <v/>
      </c>
      <c r="AN294" s="220" t="str">
        <f>IF(Buildings_GridElectricity_Frontend[[#This Row],[Data]]="","",Buildings_GridElectricity_Backend[[#This Row],[Total (tCO2e)]]*(1+Buildings_GridElectricity_Backend[[#This Row],[RSD]]))</f>
        <v/>
      </c>
      <c r="AO294" s="210" t="str">
        <f>IF(Buildings_GridElectricity_Frontend[[#This Row],[Data]]="","",_xlfn.XLOOKUP(_xlfn.CONCAT(Buildings_GridElectricity_Backend[[#This Row],[Level 1]:[Level 6]]),rng_EFConcat,rng_EFOOS)*Buildings_GridElectricity_Backend[[#This Row],[Converted data]]/1000)</f>
        <v/>
      </c>
      <c r="AP294" s="174">
        <f>Buildings_GridElectricity_Frontend[[#This Row],[Ease of collection]]</f>
        <v>0</v>
      </c>
      <c r="AQ294" s="213">
        <f>Buildings_GridElectricity_Frontend[[#This Row],[Completeness]]</f>
        <v>0</v>
      </c>
      <c r="AR294" s="220">
        <f>Buildings_GridElectricity_Frontend[[#This Row],[Notes]]</f>
        <v>0</v>
      </c>
    </row>
    <row r="295" spans="5:44" x14ac:dyDescent="0.3">
      <c r="E295" s="346"/>
      <c r="F295" s="449"/>
      <c r="G295" s="336"/>
      <c r="H295" s="334"/>
      <c r="I295" s="172" t="s">
        <v>316</v>
      </c>
      <c r="J295" s="337"/>
      <c r="K295" s="336"/>
      <c r="L295" s="336"/>
      <c r="M295" s="337"/>
      <c r="N295" s="242">
        <f t="shared" si="11"/>
        <v>3</v>
      </c>
      <c r="Q295" s="212" t="str">
        <f t="shared" si="10"/>
        <v/>
      </c>
      <c r="R295" s="174" t="s">
        <v>265</v>
      </c>
      <c r="S295" s="174" t="s">
        <v>273</v>
      </c>
      <c r="T295" s="174" t="str">
        <f>_xlfn.XLOOKUP(Buildings_GridElectricity_Backend[[#This Row],[Info 1]],Buildings_SiteInfo[Site name],Buildings_SiteInfo[Site type], "")</f>
        <v/>
      </c>
      <c r="U295" s="174" t="s">
        <v>281</v>
      </c>
      <c r="V295" s="174" t="str" cm="1">
        <f t="array" aca="1" ref="V295" ca="1">_xlfn.XLOOKUP(Buildings_GridElectricity_Backend[[#This Row],[Level 4]],rng_Level4Long,rng_Level5Long)</f>
        <v>Electricity</v>
      </c>
      <c r="W295" s="174" t="str" cm="1">
        <f t="array" aca="1" ref="W295" ca="1">_xlfn.XLOOKUP(Buildings_GridElectricity_Backend[[#This Row],[Level 4]],rng_Level4Long,rng_Level6Long)</f>
        <v>NaN</v>
      </c>
      <c r="X295" s="174">
        <f>Buildings_GridElectricity_Frontend[[#This Row],[Site Name]]</f>
        <v>0</v>
      </c>
      <c r="Y295" s="174">
        <f>Buildings_GridElectricity_Frontend[[#This Row],[Contracting]]</f>
        <v>0</v>
      </c>
      <c r="Z295" s="174">
        <f>Buildings_GridElectricity_Frontend[[#This Row],[Methodology]]</f>
        <v>0</v>
      </c>
      <c r="AA295" s="229" t="str" cm="1">
        <f t="array" ref="AA295">IF(Buildings_GridElectricity_Frontend[[#This Row],[Data]]="","",INDEX(_xlfn.SWITCH(Buildings_GridElectricity_Backend[[#This Row],[Methodology]],"Tier 1",rng_RSD1,"Tier 2",rng_RSD2,"Tier 3",rng_RSD3),MATCH(_xlfn.CONCAT(Buildings_GridElectricity_Backend[[#This Row],[Level 1]:[Level 6]]),rng_LevelsConcat,0)))</f>
        <v/>
      </c>
      <c r="AB295" s="220">
        <f>Buildings_GridElectricity_Frontend[[#This Row],[Data]]</f>
        <v>0</v>
      </c>
      <c r="AC295" s="174" t="str">
        <f>Buildings_GridElectricity_Frontend[[#This Row],[Units]]</f>
        <v>kWh</v>
      </c>
      <c r="AD295" s="218">
        <f>Buildings_GridElectricity_Frontend[[#This Row],[Data]]</f>
        <v>0</v>
      </c>
      <c r="AE295" s="174" t="str">
        <f>Buildings_GridElectricity_Frontend[[#This Row],[Units]]</f>
        <v>kWh</v>
      </c>
      <c r="AF295" s="210" t="str">
        <f>IF(Buildings_GridElectricity_Frontend[[#This Row],[Data]]="","",_xlfn.XLOOKUP(_xlfn.CONCAT(Buildings_GridElectricity_Backend[[#This Row],[Level 1]:[Level 6]]),rng_EFConcat,rng_EF1)*Buildings_GridElectricity_Backend[[#This Row],[Converted data]]/1000)</f>
        <v/>
      </c>
      <c r="AG295" s="210" t="str">
        <f>IF(Buildings_GridElectricity_Frontend[[#This Row],[Data]]="","",_xlfn.XLOOKUP(_xlfn.CONCAT(Buildings_GridElectricity_Backend[[#This Row],[Level 1]:[Level 6]]),rng_EFConcat,rng_EF2)*Buildings_GridElectricity_Backend[[#This Row],[Converted data]]/1000)</f>
        <v/>
      </c>
      <c r="AH295" s="210" t="str">
        <f>IF(Buildings_GridElectricity_Frontend[[#This Row],[Data]]="","",_xlfn.XLOOKUP(_xlfn.CONCAT(Buildings_GridElectricity_Backend[[#This Row],[Level 1]:[Level 6]]),rng_EFConcat,rng_EF3)*Buildings_GridElectricity_Backend[[#This Row],[Converted data]]/1000)</f>
        <v/>
      </c>
      <c r="AI295" s="210" t="str">
        <f>IF(Buildings_GridElectricity_Frontend[[#This Row],[Data]]="","",_xlfn.XLOOKUP(_xlfn.CONCAT(Buildings_GridElectricity_Backend[[#This Row],[Level 1]:[Level 6]]),rng_EFConcat,rng_EF3WTT)*Buildings_GridElectricity_Backend[[#This Row],[Converted data]]/1000)</f>
        <v/>
      </c>
      <c r="AJ295" s="210" t="str">
        <f>IF(Buildings_GridElectricity_Frontend[[#This Row],[Data]]="","",_xlfn.XLOOKUP(_xlfn.CONCAT(Buildings_GridElectricity_Backend[[#This Row],[Level 1]:[Level 6]]),rng_EFConcat,rng_EF3TD)*Buildings_GridElectricity_Backend[[#This Row],[Converted data]]/1000)</f>
        <v/>
      </c>
      <c r="AK295" s="210" t="str">
        <f>IF(Buildings_GridElectricity_Frontend[[#This Row],[Data]]="","",_xlfn.XLOOKUP(_xlfn.CONCAT(Buildings_GridElectricity_Backend[[#This Row],[Level 1]:[Level 6]]),rng_EFConcat,rng_EF3WTTTD)*Buildings_GridElectricity_Backend[[#This Row],[Converted data]]/1000)</f>
        <v/>
      </c>
      <c r="AL295" s="220" t="str">
        <f>IF(Buildings_GridElectricity_Frontend[[#This Row],[Data]]="","",SUM(Buildings_GridElectricity_Backend[[#This Row],[Scope 1 (tCO2e)]:[Scope 3 WTT T&amp;D (tCO2e)]]))</f>
        <v/>
      </c>
      <c r="AM295" s="220" t="str">
        <f>IF(Buildings_GridElectricity_Frontend[[#This Row],[Data]]="","",Buildings_GridElectricity_Backend[[#This Row],[Total (tCO2e)]]*(1-Buildings_GridElectricity_Backend[[#This Row],[RSD]]))</f>
        <v/>
      </c>
      <c r="AN295" s="220" t="str">
        <f>IF(Buildings_GridElectricity_Frontend[[#This Row],[Data]]="","",Buildings_GridElectricity_Backend[[#This Row],[Total (tCO2e)]]*(1+Buildings_GridElectricity_Backend[[#This Row],[RSD]]))</f>
        <v/>
      </c>
      <c r="AO295" s="210" t="str">
        <f>IF(Buildings_GridElectricity_Frontend[[#This Row],[Data]]="","",_xlfn.XLOOKUP(_xlfn.CONCAT(Buildings_GridElectricity_Backend[[#This Row],[Level 1]:[Level 6]]),rng_EFConcat,rng_EFOOS)*Buildings_GridElectricity_Backend[[#This Row],[Converted data]]/1000)</f>
        <v/>
      </c>
      <c r="AP295" s="174">
        <f>Buildings_GridElectricity_Frontend[[#This Row],[Ease of collection]]</f>
        <v>0</v>
      </c>
      <c r="AQ295" s="213">
        <f>Buildings_GridElectricity_Frontend[[#This Row],[Completeness]]</f>
        <v>0</v>
      </c>
      <c r="AR295" s="220">
        <f>Buildings_GridElectricity_Frontend[[#This Row],[Notes]]</f>
        <v>0</v>
      </c>
    </row>
    <row r="296" spans="5:44" x14ac:dyDescent="0.3">
      <c r="E296" s="346"/>
      <c r="F296" s="449"/>
      <c r="G296" s="336"/>
      <c r="H296" s="334"/>
      <c r="I296" s="172" t="s">
        <v>316</v>
      </c>
      <c r="J296" s="337"/>
      <c r="K296" s="336"/>
      <c r="L296" s="336"/>
      <c r="M296" s="337"/>
      <c r="N296" s="242">
        <f t="shared" si="11"/>
        <v>3</v>
      </c>
      <c r="Q296" s="212" t="str">
        <f t="shared" si="10"/>
        <v/>
      </c>
      <c r="R296" s="174" t="s">
        <v>265</v>
      </c>
      <c r="S296" s="174" t="s">
        <v>273</v>
      </c>
      <c r="T296" s="174" t="str">
        <f>_xlfn.XLOOKUP(Buildings_GridElectricity_Backend[[#This Row],[Info 1]],Buildings_SiteInfo[Site name],Buildings_SiteInfo[Site type], "")</f>
        <v/>
      </c>
      <c r="U296" s="174" t="s">
        <v>281</v>
      </c>
      <c r="V296" s="174" t="str" cm="1">
        <f t="array" aca="1" ref="V296" ca="1">_xlfn.XLOOKUP(Buildings_GridElectricity_Backend[[#This Row],[Level 4]],rng_Level4Long,rng_Level5Long)</f>
        <v>Electricity</v>
      </c>
      <c r="W296" s="174" t="str" cm="1">
        <f t="array" aca="1" ref="W296" ca="1">_xlfn.XLOOKUP(Buildings_GridElectricity_Backend[[#This Row],[Level 4]],rng_Level4Long,rng_Level6Long)</f>
        <v>NaN</v>
      </c>
      <c r="X296" s="174">
        <f>Buildings_GridElectricity_Frontend[[#This Row],[Site Name]]</f>
        <v>0</v>
      </c>
      <c r="Y296" s="174">
        <f>Buildings_GridElectricity_Frontend[[#This Row],[Contracting]]</f>
        <v>0</v>
      </c>
      <c r="Z296" s="174">
        <f>Buildings_GridElectricity_Frontend[[#This Row],[Methodology]]</f>
        <v>0</v>
      </c>
      <c r="AA296" s="229" t="str" cm="1">
        <f t="array" ref="AA296">IF(Buildings_GridElectricity_Frontend[[#This Row],[Data]]="","",INDEX(_xlfn.SWITCH(Buildings_GridElectricity_Backend[[#This Row],[Methodology]],"Tier 1",rng_RSD1,"Tier 2",rng_RSD2,"Tier 3",rng_RSD3),MATCH(_xlfn.CONCAT(Buildings_GridElectricity_Backend[[#This Row],[Level 1]:[Level 6]]),rng_LevelsConcat,0)))</f>
        <v/>
      </c>
      <c r="AB296" s="220">
        <f>Buildings_GridElectricity_Frontend[[#This Row],[Data]]</f>
        <v>0</v>
      </c>
      <c r="AC296" s="174" t="str">
        <f>Buildings_GridElectricity_Frontend[[#This Row],[Units]]</f>
        <v>kWh</v>
      </c>
      <c r="AD296" s="218">
        <f>Buildings_GridElectricity_Frontend[[#This Row],[Data]]</f>
        <v>0</v>
      </c>
      <c r="AE296" s="174" t="str">
        <f>Buildings_GridElectricity_Frontend[[#This Row],[Units]]</f>
        <v>kWh</v>
      </c>
      <c r="AF296" s="210" t="str">
        <f>IF(Buildings_GridElectricity_Frontend[[#This Row],[Data]]="","",_xlfn.XLOOKUP(_xlfn.CONCAT(Buildings_GridElectricity_Backend[[#This Row],[Level 1]:[Level 6]]),rng_EFConcat,rng_EF1)*Buildings_GridElectricity_Backend[[#This Row],[Converted data]]/1000)</f>
        <v/>
      </c>
      <c r="AG296" s="210" t="str">
        <f>IF(Buildings_GridElectricity_Frontend[[#This Row],[Data]]="","",_xlfn.XLOOKUP(_xlfn.CONCAT(Buildings_GridElectricity_Backend[[#This Row],[Level 1]:[Level 6]]),rng_EFConcat,rng_EF2)*Buildings_GridElectricity_Backend[[#This Row],[Converted data]]/1000)</f>
        <v/>
      </c>
      <c r="AH296" s="210" t="str">
        <f>IF(Buildings_GridElectricity_Frontend[[#This Row],[Data]]="","",_xlfn.XLOOKUP(_xlfn.CONCAT(Buildings_GridElectricity_Backend[[#This Row],[Level 1]:[Level 6]]),rng_EFConcat,rng_EF3)*Buildings_GridElectricity_Backend[[#This Row],[Converted data]]/1000)</f>
        <v/>
      </c>
      <c r="AI296" s="210" t="str">
        <f>IF(Buildings_GridElectricity_Frontend[[#This Row],[Data]]="","",_xlfn.XLOOKUP(_xlfn.CONCAT(Buildings_GridElectricity_Backend[[#This Row],[Level 1]:[Level 6]]),rng_EFConcat,rng_EF3WTT)*Buildings_GridElectricity_Backend[[#This Row],[Converted data]]/1000)</f>
        <v/>
      </c>
      <c r="AJ296" s="210" t="str">
        <f>IF(Buildings_GridElectricity_Frontend[[#This Row],[Data]]="","",_xlfn.XLOOKUP(_xlfn.CONCAT(Buildings_GridElectricity_Backend[[#This Row],[Level 1]:[Level 6]]),rng_EFConcat,rng_EF3TD)*Buildings_GridElectricity_Backend[[#This Row],[Converted data]]/1000)</f>
        <v/>
      </c>
      <c r="AK296" s="210" t="str">
        <f>IF(Buildings_GridElectricity_Frontend[[#This Row],[Data]]="","",_xlfn.XLOOKUP(_xlfn.CONCAT(Buildings_GridElectricity_Backend[[#This Row],[Level 1]:[Level 6]]),rng_EFConcat,rng_EF3WTTTD)*Buildings_GridElectricity_Backend[[#This Row],[Converted data]]/1000)</f>
        <v/>
      </c>
      <c r="AL296" s="220" t="str">
        <f>IF(Buildings_GridElectricity_Frontend[[#This Row],[Data]]="","",SUM(Buildings_GridElectricity_Backend[[#This Row],[Scope 1 (tCO2e)]:[Scope 3 WTT T&amp;D (tCO2e)]]))</f>
        <v/>
      </c>
      <c r="AM296" s="220" t="str">
        <f>IF(Buildings_GridElectricity_Frontend[[#This Row],[Data]]="","",Buildings_GridElectricity_Backend[[#This Row],[Total (tCO2e)]]*(1-Buildings_GridElectricity_Backend[[#This Row],[RSD]]))</f>
        <v/>
      </c>
      <c r="AN296" s="220" t="str">
        <f>IF(Buildings_GridElectricity_Frontend[[#This Row],[Data]]="","",Buildings_GridElectricity_Backend[[#This Row],[Total (tCO2e)]]*(1+Buildings_GridElectricity_Backend[[#This Row],[RSD]]))</f>
        <v/>
      </c>
      <c r="AO296" s="210" t="str">
        <f>IF(Buildings_GridElectricity_Frontend[[#This Row],[Data]]="","",_xlfn.XLOOKUP(_xlfn.CONCAT(Buildings_GridElectricity_Backend[[#This Row],[Level 1]:[Level 6]]),rng_EFConcat,rng_EFOOS)*Buildings_GridElectricity_Backend[[#This Row],[Converted data]]/1000)</f>
        <v/>
      </c>
      <c r="AP296" s="174">
        <f>Buildings_GridElectricity_Frontend[[#This Row],[Ease of collection]]</f>
        <v>0</v>
      </c>
      <c r="AQ296" s="213">
        <f>Buildings_GridElectricity_Frontend[[#This Row],[Completeness]]</f>
        <v>0</v>
      </c>
      <c r="AR296" s="220">
        <f>Buildings_GridElectricity_Frontend[[#This Row],[Notes]]</f>
        <v>0</v>
      </c>
    </row>
    <row r="297" spans="5:44" x14ac:dyDescent="0.3">
      <c r="E297" s="346"/>
      <c r="F297" s="449"/>
      <c r="G297" s="336"/>
      <c r="H297" s="334"/>
      <c r="I297" s="172" t="s">
        <v>316</v>
      </c>
      <c r="J297" s="337"/>
      <c r="K297" s="336"/>
      <c r="L297" s="336"/>
      <c r="M297" s="337"/>
      <c r="N297" s="242">
        <f t="shared" si="11"/>
        <v>3</v>
      </c>
      <c r="Q297" s="212" t="str">
        <f t="shared" si="10"/>
        <v/>
      </c>
      <c r="R297" s="174" t="s">
        <v>265</v>
      </c>
      <c r="S297" s="174" t="s">
        <v>273</v>
      </c>
      <c r="T297" s="174" t="str">
        <f>_xlfn.XLOOKUP(Buildings_GridElectricity_Backend[[#This Row],[Info 1]],Buildings_SiteInfo[Site name],Buildings_SiteInfo[Site type], "")</f>
        <v/>
      </c>
      <c r="U297" s="174" t="s">
        <v>281</v>
      </c>
      <c r="V297" s="174" t="str" cm="1">
        <f t="array" aca="1" ref="V297" ca="1">_xlfn.XLOOKUP(Buildings_GridElectricity_Backend[[#This Row],[Level 4]],rng_Level4Long,rng_Level5Long)</f>
        <v>Electricity</v>
      </c>
      <c r="W297" s="174" t="str" cm="1">
        <f t="array" aca="1" ref="W297" ca="1">_xlfn.XLOOKUP(Buildings_GridElectricity_Backend[[#This Row],[Level 4]],rng_Level4Long,rng_Level6Long)</f>
        <v>NaN</v>
      </c>
      <c r="X297" s="174">
        <f>Buildings_GridElectricity_Frontend[[#This Row],[Site Name]]</f>
        <v>0</v>
      </c>
      <c r="Y297" s="174">
        <f>Buildings_GridElectricity_Frontend[[#This Row],[Contracting]]</f>
        <v>0</v>
      </c>
      <c r="Z297" s="174">
        <f>Buildings_GridElectricity_Frontend[[#This Row],[Methodology]]</f>
        <v>0</v>
      </c>
      <c r="AA297" s="229" t="str" cm="1">
        <f t="array" ref="AA297">IF(Buildings_GridElectricity_Frontend[[#This Row],[Data]]="","",INDEX(_xlfn.SWITCH(Buildings_GridElectricity_Backend[[#This Row],[Methodology]],"Tier 1",rng_RSD1,"Tier 2",rng_RSD2,"Tier 3",rng_RSD3),MATCH(_xlfn.CONCAT(Buildings_GridElectricity_Backend[[#This Row],[Level 1]:[Level 6]]),rng_LevelsConcat,0)))</f>
        <v/>
      </c>
      <c r="AB297" s="220">
        <f>Buildings_GridElectricity_Frontend[[#This Row],[Data]]</f>
        <v>0</v>
      </c>
      <c r="AC297" s="174" t="str">
        <f>Buildings_GridElectricity_Frontend[[#This Row],[Units]]</f>
        <v>kWh</v>
      </c>
      <c r="AD297" s="218">
        <f>Buildings_GridElectricity_Frontend[[#This Row],[Data]]</f>
        <v>0</v>
      </c>
      <c r="AE297" s="174" t="str">
        <f>Buildings_GridElectricity_Frontend[[#This Row],[Units]]</f>
        <v>kWh</v>
      </c>
      <c r="AF297" s="210" t="str">
        <f>IF(Buildings_GridElectricity_Frontend[[#This Row],[Data]]="","",_xlfn.XLOOKUP(_xlfn.CONCAT(Buildings_GridElectricity_Backend[[#This Row],[Level 1]:[Level 6]]),rng_EFConcat,rng_EF1)*Buildings_GridElectricity_Backend[[#This Row],[Converted data]]/1000)</f>
        <v/>
      </c>
      <c r="AG297" s="210" t="str">
        <f>IF(Buildings_GridElectricity_Frontend[[#This Row],[Data]]="","",_xlfn.XLOOKUP(_xlfn.CONCAT(Buildings_GridElectricity_Backend[[#This Row],[Level 1]:[Level 6]]),rng_EFConcat,rng_EF2)*Buildings_GridElectricity_Backend[[#This Row],[Converted data]]/1000)</f>
        <v/>
      </c>
      <c r="AH297" s="210" t="str">
        <f>IF(Buildings_GridElectricity_Frontend[[#This Row],[Data]]="","",_xlfn.XLOOKUP(_xlfn.CONCAT(Buildings_GridElectricity_Backend[[#This Row],[Level 1]:[Level 6]]),rng_EFConcat,rng_EF3)*Buildings_GridElectricity_Backend[[#This Row],[Converted data]]/1000)</f>
        <v/>
      </c>
      <c r="AI297" s="210" t="str">
        <f>IF(Buildings_GridElectricity_Frontend[[#This Row],[Data]]="","",_xlfn.XLOOKUP(_xlfn.CONCAT(Buildings_GridElectricity_Backend[[#This Row],[Level 1]:[Level 6]]),rng_EFConcat,rng_EF3WTT)*Buildings_GridElectricity_Backend[[#This Row],[Converted data]]/1000)</f>
        <v/>
      </c>
      <c r="AJ297" s="210" t="str">
        <f>IF(Buildings_GridElectricity_Frontend[[#This Row],[Data]]="","",_xlfn.XLOOKUP(_xlfn.CONCAT(Buildings_GridElectricity_Backend[[#This Row],[Level 1]:[Level 6]]),rng_EFConcat,rng_EF3TD)*Buildings_GridElectricity_Backend[[#This Row],[Converted data]]/1000)</f>
        <v/>
      </c>
      <c r="AK297" s="210" t="str">
        <f>IF(Buildings_GridElectricity_Frontend[[#This Row],[Data]]="","",_xlfn.XLOOKUP(_xlfn.CONCAT(Buildings_GridElectricity_Backend[[#This Row],[Level 1]:[Level 6]]),rng_EFConcat,rng_EF3WTTTD)*Buildings_GridElectricity_Backend[[#This Row],[Converted data]]/1000)</f>
        <v/>
      </c>
      <c r="AL297" s="220" t="str">
        <f>IF(Buildings_GridElectricity_Frontend[[#This Row],[Data]]="","",SUM(Buildings_GridElectricity_Backend[[#This Row],[Scope 1 (tCO2e)]:[Scope 3 WTT T&amp;D (tCO2e)]]))</f>
        <v/>
      </c>
      <c r="AM297" s="220" t="str">
        <f>IF(Buildings_GridElectricity_Frontend[[#This Row],[Data]]="","",Buildings_GridElectricity_Backend[[#This Row],[Total (tCO2e)]]*(1-Buildings_GridElectricity_Backend[[#This Row],[RSD]]))</f>
        <v/>
      </c>
      <c r="AN297" s="220" t="str">
        <f>IF(Buildings_GridElectricity_Frontend[[#This Row],[Data]]="","",Buildings_GridElectricity_Backend[[#This Row],[Total (tCO2e)]]*(1+Buildings_GridElectricity_Backend[[#This Row],[RSD]]))</f>
        <v/>
      </c>
      <c r="AO297" s="210" t="str">
        <f>IF(Buildings_GridElectricity_Frontend[[#This Row],[Data]]="","",_xlfn.XLOOKUP(_xlfn.CONCAT(Buildings_GridElectricity_Backend[[#This Row],[Level 1]:[Level 6]]),rng_EFConcat,rng_EFOOS)*Buildings_GridElectricity_Backend[[#This Row],[Converted data]]/1000)</f>
        <v/>
      </c>
      <c r="AP297" s="174">
        <f>Buildings_GridElectricity_Frontend[[#This Row],[Ease of collection]]</f>
        <v>0</v>
      </c>
      <c r="AQ297" s="213">
        <f>Buildings_GridElectricity_Frontend[[#This Row],[Completeness]]</f>
        <v>0</v>
      </c>
      <c r="AR297" s="220">
        <f>Buildings_GridElectricity_Frontend[[#This Row],[Notes]]</f>
        <v>0</v>
      </c>
    </row>
    <row r="298" spans="5:44" x14ac:dyDescent="0.3">
      <c r="E298" s="346"/>
      <c r="F298" s="449"/>
      <c r="G298" s="336"/>
      <c r="H298" s="334"/>
      <c r="I298" s="172" t="s">
        <v>316</v>
      </c>
      <c r="J298" s="337"/>
      <c r="K298" s="336"/>
      <c r="L298" s="336"/>
      <c r="M298" s="337"/>
      <c r="N298" s="242">
        <f t="shared" si="11"/>
        <v>3</v>
      </c>
      <c r="Q298" s="212" t="str">
        <f t="shared" si="10"/>
        <v/>
      </c>
      <c r="R298" s="174" t="s">
        <v>265</v>
      </c>
      <c r="S298" s="174" t="s">
        <v>273</v>
      </c>
      <c r="T298" s="174" t="str">
        <f>_xlfn.XLOOKUP(Buildings_GridElectricity_Backend[[#This Row],[Info 1]],Buildings_SiteInfo[Site name],Buildings_SiteInfo[Site type], "")</f>
        <v/>
      </c>
      <c r="U298" s="174" t="s">
        <v>281</v>
      </c>
      <c r="V298" s="174" t="str" cm="1">
        <f t="array" aca="1" ref="V298" ca="1">_xlfn.XLOOKUP(Buildings_GridElectricity_Backend[[#This Row],[Level 4]],rng_Level4Long,rng_Level5Long)</f>
        <v>Electricity</v>
      </c>
      <c r="W298" s="174" t="str" cm="1">
        <f t="array" aca="1" ref="W298" ca="1">_xlfn.XLOOKUP(Buildings_GridElectricity_Backend[[#This Row],[Level 4]],rng_Level4Long,rng_Level6Long)</f>
        <v>NaN</v>
      </c>
      <c r="X298" s="174">
        <f>Buildings_GridElectricity_Frontend[[#This Row],[Site Name]]</f>
        <v>0</v>
      </c>
      <c r="Y298" s="174">
        <f>Buildings_GridElectricity_Frontend[[#This Row],[Contracting]]</f>
        <v>0</v>
      </c>
      <c r="Z298" s="174">
        <f>Buildings_GridElectricity_Frontend[[#This Row],[Methodology]]</f>
        <v>0</v>
      </c>
      <c r="AA298" s="229" t="str" cm="1">
        <f t="array" ref="AA298">IF(Buildings_GridElectricity_Frontend[[#This Row],[Data]]="","",INDEX(_xlfn.SWITCH(Buildings_GridElectricity_Backend[[#This Row],[Methodology]],"Tier 1",rng_RSD1,"Tier 2",rng_RSD2,"Tier 3",rng_RSD3),MATCH(_xlfn.CONCAT(Buildings_GridElectricity_Backend[[#This Row],[Level 1]:[Level 6]]),rng_LevelsConcat,0)))</f>
        <v/>
      </c>
      <c r="AB298" s="220">
        <f>Buildings_GridElectricity_Frontend[[#This Row],[Data]]</f>
        <v>0</v>
      </c>
      <c r="AC298" s="174" t="str">
        <f>Buildings_GridElectricity_Frontend[[#This Row],[Units]]</f>
        <v>kWh</v>
      </c>
      <c r="AD298" s="218">
        <f>Buildings_GridElectricity_Frontend[[#This Row],[Data]]</f>
        <v>0</v>
      </c>
      <c r="AE298" s="174" t="str">
        <f>Buildings_GridElectricity_Frontend[[#This Row],[Units]]</f>
        <v>kWh</v>
      </c>
      <c r="AF298" s="210" t="str">
        <f>IF(Buildings_GridElectricity_Frontend[[#This Row],[Data]]="","",_xlfn.XLOOKUP(_xlfn.CONCAT(Buildings_GridElectricity_Backend[[#This Row],[Level 1]:[Level 6]]),rng_EFConcat,rng_EF1)*Buildings_GridElectricity_Backend[[#This Row],[Converted data]]/1000)</f>
        <v/>
      </c>
      <c r="AG298" s="210" t="str">
        <f>IF(Buildings_GridElectricity_Frontend[[#This Row],[Data]]="","",_xlfn.XLOOKUP(_xlfn.CONCAT(Buildings_GridElectricity_Backend[[#This Row],[Level 1]:[Level 6]]),rng_EFConcat,rng_EF2)*Buildings_GridElectricity_Backend[[#This Row],[Converted data]]/1000)</f>
        <v/>
      </c>
      <c r="AH298" s="210" t="str">
        <f>IF(Buildings_GridElectricity_Frontend[[#This Row],[Data]]="","",_xlfn.XLOOKUP(_xlfn.CONCAT(Buildings_GridElectricity_Backend[[#This Row],[Level 1]:[Level 6]]),rng_EFConcat,rng_EF3)*Buildings_GridElectricity_Backend[[#This Row],[Converted data]]/1000)</f>
        <v/>
      </c>
      <c r="AI298" s="210" t="str">
        <f>IF(Buildings_GridElectricity_Frontend[[#This Row],[Data]]="","",_xlfn.XLOOKUP(_xlfn.CONCAT(Buildings_GridElectricity_Backend[[#This Row],[Level 1]:[Level 6]]),rng_EFConcat,rng_EF3WTT)*Buildings_GridElectricity_Backend[[#This Row],[Converted data]]/1000)</f>
        <v/>
      </c>
      <c r="AJ298" s="210" t="str">
        <f>IF(Buildings_GridElectricity_Frontend[[#This Row],[Data]]="","",_xlfn.XLOOKUP(_xlfn.CONCAT(Buildings_GridElectricity_Backend[[#This Row],[Level 1]:[Level 6]]),rng_EFConcat,rng_EF3TD)*Buildings_GridElectricity_Backend[[#This Row],[Converted data]]/1000)</f>
        <v/>
      </c>
      <c r="AK298" s="210" t="str">
        <f>IF(Buildings_GridElectricity_Frontend[[#This Row],[Data]]="","",_xlfn.XLOOKUP(_xlfn.CONCAT(Buildings_GridElectricity_Backend[[#This Row],[Level 1]:[Level 6]]),rng_EFConcat,rng_EF3WTTTD)*Buildings_GridElectricity_Backend[[#This Row],[Converted data]]/1000)</f>
        <v/>
      </c>
      <c r="AL298" s="220" t="str">
        <f>IF(Buildings_GridElectricity_Frontend[[#This Row],[Data]]="","",SUM(Buildings_GridElectricity_Backend[[#This Row],[Scope 1 (tCO2e)]:[Scope 3 WTT T&amp;D (tCO2e)]]))</f>
        <v/>
      </c>
      <c r="AM298" s="220" t="str">
        <f>IF(Buildings_GridElectricity_Frontend[[#This Row],[Data]]="","",Buildings_GridElectricity_Backend[[#This Row],[Total (tCO2e)]]*(1-Buildings_GridElectricity_Backend[[#This Row],[RSD]]))</f>
        <v/>
      </c>
      <c r="AN298" s="220" t="str">
        <f>IF(Buildings_GridElectricity_Frontend[[#This Row],[Data]]="","",Buildings_GridElectricity_Backend[[#This Row],[Total (tCO2e)]]*(1+Buildings_GridElectricity_Backend[[#This Row],[RSD]]))</f>
        <v/>
      </c>
      <c r="AO298" s="210" t="str">
        <f>IF(Buildings_GridElectricity_Frontend[[#This Row],[Data]]="","",_xlfn.XLOOKUP(_xlfn.CONCAT(Buildings_GridElectricity_Backend[[#This Row],[Level 1]:[Level 6]]),rng_EFConcat,rng_EFOOS)*Buildings_GridElectricity_Backend[[#This Row],[Converted data]]/1000)</f>
        <v/>
      </c>
      <c r="AP298" s="174">
        <f>Buildings_GridElectricity_Frontend[[#This Row],[Ease of collection]]</f>
        <v>0</v>
      </c>
      <c r="AQ298" s="213">
        <f>Buildings_GridElectricity_Frontend[[#This Row],[Completeness]]</f>
        <v>0</v>
      </c>
      <c r="AR298" s="220">
        <f>Buildings_GridElectricity_Frontend[[#This Row],[Notes]]</f>
        <v>0</v>
      </c>
    </row>
    <row r="299" spans="5:44" x14ac:dyDescent="0.3">
      <c r="E299" s="346"/>
      <c r="F299" s="449"/>
      <c r="G299" s="336"/>
      <c r="H299" s="334"/>
      <c r="I299" s="172" t="s">
        <v>316</v>
      </c>
      <c r="J299" s="337"/>
      <c r="K299" s="336"/>
      <c r="L299" s="336"/>
      <c r="M299" s="337"/>
      <c r="N299" s="242">
        <f t="shared" si="11"/>
        <v>3</v>
      </c>
      <c r="Q299" s="212" t="str">
        <f t="shared" si="10"/>
        <v/>
      </c>
      <c r="R299" s="174" t="s">
        <v>265</v>
      </c>
      <c r="S299" s="174" t="s">
        <v>273</v>
      </c>
      <c r="T299" s="174" t="str">
        <f>_xlfn.XLOOKUP(Buildings_GridElectricity_Backend[[#This Row],[Info 1]],Buildings_SiteInfo[Site name],Buildings_SiteInfo[Site type], "")</f>
        <v/>
      </c>
      <c r="U299" s="174" t="s">
        <v>281</v>
      </c>
      <c r="V299" s="174" t="str" cm="1">
        <f t="array" aca="1" ref="V299" ca="1">_xlfn.XLOOKUP(Buildings_GridElectricity_Backend[[#This Row],[Level 4]],rng_Level4Long,rng_Level5Long)</f>
        <v>Electricity</v>
      </c>
      <c r="W299" s="174" t="str" cm="1">
        <f t="array" aca="1" ref="W299" ca="1">_xlfn.XLOOKUP(Buildings_GridElectricity_Backend[[#This Row],[Level 4]],rng_Level4Long,rng_Level6Long)</f>
        <v>NaN</v>
      </c>
      <c r="X299" s="174">
        <f>Buildings_GridElectricity_Frontend[[#This Row],[Site Name]]</f>
        <v>0</v>
      </c>
      <c r="Y299" s="174">
        <f>Buildings_GridElectricity_Frontend[[#This Row],[Contracting]]</f>
        <v>0</v>
      </c>
      <c r="Z299" s="174">
        <f>Buildings_GridElectricity_Frontend[[#This Row],[Methodology]]</f>
        <v>0</v>
      </c>
      <c r="AA299" s="229" t="str" cm="1">
        <f t="array" ref="AA299">IF(Buildings_GridElectricity_Frontend[[#This Row],[Data]]="","",INDEX(_xlfn.SWITCH(Buildings_GridElectricity_Backend[[#This Row],[Methodology]],"Tier 1",rng_RSD1,"Tier 2",rng_RSD2,"Tier 3",rng_RSD3),MATCH(_xlfn.CONCAT(Buildings_GridElectricity_Backend[[#This Row],[Level 1]:[Level 6]]),rng_LevelsConcat,0)))</f>
        <v/>
      </c>
      <c r="AB299" s="220">
        <f>Buildings_GridElectricity_Frontend[[#This Row],[Data]]</f>
        <v>0</v>
      </c>
      <c r="AC299" s="174" t="str">
        <f>Buildings_GridElectricity_Frontend[[#This Row],[Units]]</f>
        <v>kWh</v>
      </c>
      <c r="AD299" s="218">
        <f>Buildings_GridElectricity_Frontend[[#This Row],[Data]]</f>
        <v>0</v>
      </c>
      <c r="AE299" s="174" t="str">
        <f>Buildings_GridElectricity_Frontend[[#This Row],[Units]]</f>
        <v>kWh</v>
      </c>
      <c r="AF299" s="210" t="str">
        <f>IF(Buildings_GridElectricity_Frontend[[#This Row],[Data]]="","",_xlfn.XLOOKUP(_xlfn.CONCAT(Buildings_GridElectricity_Backend[[#This Row],[Level 1]:[Level 6]]),rng_EFConcat,rng_EF1)*Buildings_GridElectricity_Backend[[#This Row],[Converted data]]/1000)</f>
        <v/>
      </c>
      <c r="AG299" s="210" t="str">
        <f>IF(Buildings_GridElectricity_Frontend[[#This Row],[Data]]="","",_xlfn.XLOOKUP(_xlfn.CONCAT(Buildings_GridElectricity_Backend[[#This Row],[Level 1]:[Level 6]]),rng_EFConcat,rng_EF2)*Buildings_GridElectricity_Backend[[#This Row],[Converted data]]/1000)</f>
        <v/>
      </c>
      <c r="AH299" s="210" t="str">
        <f>IF(Buildings_GridElectricity_Frontend[[#This Row],[Data]]="","",_xlfn.XLOOKUP(_xlfn.CONCAT(Buildings_GridElectricity_Backend[[#This Row],[Level 1]:[Level 6]]),rng_EFConcat,rng_EF3)*Buildings_GridElectricity_Backend[[#This Row],[Converted data]]/1000)</f>
        <v/>
      </c>
      <c r="AI299" s="210" t="str">
        <f>IF(Buildings_GridElectricity_Frontend[[#This Row],[Data]]="","",_xlfn.XLOOKUP(_xlfn.CONCAT(Buildings_GridElectricity_Backend[[#This Row],[Level 1]:[Level 6]]),rng_EFConcat,rng_EF3WTT)*Buildings_GridElectricity_Backend[[#This Row],[Converted data]]/1000)</f>
        <v/>
      </c>
      <c r="AJ299" s="210" t="str">
        <f>IF(Buildings_GridElectricity_Frontend[[#This Row],[Data]]="","",_xlfn.XLOOKUP(_xlfn.CONCAT(Buildings_GridElectricity_Backend[[#This Row],[Level 1]:[Level 6]]),rng_EFConcat,rng_EF3TD)*Buildings_GridElectricity_Backend[[#This Row],[Converted data]]/1000)</f>
        <v/>
      </c>
      <c r="AK299" s="210" t="str">
        <f>IF(Buildings_GridElectricity_Frontend[[#This Row],[Data]]="","",_xlfn.XLOOKUP(_xlfn.CONCAT(Buildings_GridElectricity_Backend[[#This Row],[Level 1]:[Level 6]]),rng_EFConcat,rng_EF3WTTTD)*Buildings_GridElectricity_Backend[[#This Row],[Converted data]]/1000)</f>
        <v/>
      </c>
      <c r="AL299" s="220" t="str">
        <f>IF(Buildings_GridElectricity_Frontend[[#This Row],[Data]]="","",SUM(Buildings_GridElectricity_Backend[[#This Row],[Scope 1 (tCO2e)]:[Scope 3 WTT T&amp;D (tCO2e)]]))</f>
        <v/>
      </c>
      <c r="AM299" s="220" t="str">
        <f>IF(Buildings_GridElectricity_Frontend[[#This Row],[Data]]="","",Buildings_GridElectricity_Backend[[#This Row],[Total (tCO2e)]]*(1-Buildings_GridElectricity_Backend[[#This Row],[RSD]]))</f>
        <v/>
      </c>
      <c r="AN299" s="220" t="str">
        <f>IF(Buildings_GridElectricity_Frontend[[#This Row],[Data]]="","",Buildings_GridElectricity_Backend[[#This Row],[Total (tCO2e)]]*(1+Buildings_GridElectricity_Backend[[#This Row],[RSD]]))</f>
        <v/>
      </c>
      <c r="AO299" s="210" t="str">
        <f>IF(Buildings_GridElectricity_Frontend[[#This Row],[Data]]="","",_xlfn.XLOOKUP(_xlfn.CONCAT(Buildings_GridElectricity_Backend[[#This Row],[Level 1]:[Level 6]]),rng_EFConcat,rng_EFOOS)*Buildings_GridElectricity_Backend[[#This Row],[Converted data]]/1000)</f>
        <v/>
      </c>
      <c r="AP299" s="174">
        <f>Buildings_GridElectricity_Frontend[[#This Row],[Ease of collection]]</f>
        <v>0</v>
      </c>
      <c r="AQ299" s="213">
        <f>Buildings_GridElectricity_Frontend[[#This Row],[Completeness]]</f>
        <v>0</v>
      </c>
      <c r="AR299" s="220">
        <f>Buildings_GridElectricity_Frontend[[#This Row],[Notes]]</f>
        <v>0</v>
      </c>
    </row>
    <row r="300" spans="5:44" x14ac:dyDescent="0.3">
      <c r="E300" s="346"/>
      <c r="F300" s="449"/>
      <c r="G300" s="336"/>
      <c r="H300" s="334"/>
      <c r="I300" s="172" t="s">
        <v>316</v>
      </c>
      <c r="J300" s="337"/>
      <c r="K300" s="336"/>
      <c r="L300" s="336"/>
      <c r="M300" s="337"/>
      <c r="N300" s="242">
        <f t="shared" si="11"/>
        <v>3</v>
      </c>
      <c r="Q300" s="212" t="str">
        <f t="shared" si="10"/>
        <v/>
      </c>
      <c r="R300" s="174" t="s">
        <v>265</v>
      </c>
      <c r="S300" s="174" t="s">
        <v>273</v>
      </c>
      <c r="T300" s="174" t="str">
        <f>_xlfn.XLOOKUP(Buildings_GridElectricity_Backend[[#This Row],[Info 1]],Buildings_SiteInfo[Site name],Buildings_SiteInfo[Site type], "")</f>
        <v/>
      </c>
      <c r="U300" s="174" t="s">
        <v>281</v>
      </c>
      <c r="V300" s="174" t="str" cm="1">
        <f t="array" aca="1" ref="V300" ca="1">_xlfn.XLOOKUP(Buildings_GridElectricity_Backend[[#This Row],[Level 4]],rng_Level4Long,rng_Level5Long)</f>
        <v>Electricity</v>
      </c>
      <c r="W300" s="174" t="str" cm="1">
        <f t="array" aca="1" ref="W300" ca="1">_xlfn.XLOOKUP(Buildings_GridElectricity_Backend[[#This Row],[Level 4]],rng_Level4Long,rng_Level6Long)</f>
        <v>NaN</v>
      </c>
      <c r="X300" s="174">
        <f>Buildings_GridElectricity_Frontend[[#This Row],[Site Name]]</f>
        <v>0</v>
      </c>
      <c r="Y300" s="174">
        <f>Buildings_GridElectricity_Frontend[[#This Row],[Contracting]]</f>
        <v>0</v>
      </c>
      <c r="Z300" s="174">
        <f>Buildings_GridElectricity_Frontend[[#This Row],[Methodology]]</f>
        <v>0</v>
      </c>
      <c r="AA300" s="229" t="str" cm="1">
        <f t="array" ref="AA300">IF(Buildings_GridElectricity_Frontend[[#This Row],[Data]]="","",INDEX(_xlfn.SWITCH(Buildings_GridElectricity_Backend[[#This Row],[Methodology]],"Tier 1",rng_RSD1,"Tier 2",rng_RSD2,"Tier 3",rng_RSD3),MATCH(_xlfn.CONCAT(Buildings_GridElectricity_Backend[[#This Row],[Level 1]:[Level 6]]),rng_LevelsConcat,0)))</f>
        <v/>
      </c>
      <c r="AB300" s="220">
        <f>Buildings_GridElectricity_Frontend[[#This Row],[Data]]</f>
        <v>0</v>
      </c>
      <c r="AC300" s="174" t="str">
        <f>Buildings_GridElectricity_Frontend[[#This Row],[Units]]</f>
        <v>kWh</v>
      </c>
      <c r="AD300" s="218">
        <f>Buildings_GridElectricity_Frontend[[#This Row],[Data]]</f>
        <v>0</v>
      </c>
      <c r="AE300" s="174" t="str">
        <f>Buildings_GridElectricity_Frontend[[#This Row],[Units]]</f>
        <v>kWh</v>
      </c>
      <c r="AF300" s="210" t="str">
        <f>IF(Buildings_GridElectricity_Frontend[[#This Row],[Data]]="","",_xlfn.XLOOKUP(_xlfn.CONCAT(Buildings_GridElectricity_Backend[[#This Row],[Level 1]:[Level 6]]),rng_EFConcat,rng_EF1)*Buildings_GridElectricity_Backend[[#This Row],[Converted data]]/1000)</f>
        <v/>
      </c>
      <c r="AG300" s="210" t="str">
        <f>IF(Buildings_GridElectricity_Frontend[[#This Row],[Data]]="","",_xlfn.XLOOKUP(_xlfn.CONCAT(Buildings_GridElectricity_Backend[[#This Row],[Level 1]:[Level 6]]),rng_EFConcat,rng_EF2)*Buildings_GridElectricity_Backend[[#This Row],[Converted data]]/1000)</f>
        <v/>
      </c>
      <c r="AH300" s="210" t="str">
        <f>IF(Buildings_GridElectricity_Frontend[[#This Row],[Data]]="","",_xlfn.XLOOKUP(_xlfn.CONCAT(Buildings_GridElectricity_Backend[[#This Row],[Level 1]:[Level 6]]),rng_EFConcat,rng_EF3)*Buildings_GridElectricity_Backend[[#This Row],[Converted data]]/1000)</f>
        <v/>
      </c>
      <c r="AI300" s="210" t="str">
        <f>IF(Buildings_GridElectricity_Frontend[[#This Row],[Data]]="","",_xlfn.XLOOKUP(_xlfn.CONCAT(Buildings_GridElectricity_Backend[[#This Row],[Level 1]:[Level 6]]),rng_EFConcat,rng_EF3WTT)*Buildings_GridElectricity_Backend[[#This Row],[Converted data]]/1000)</f>
        <v/>
      </c>
      <c r="AJ300" s="210" t="str">
        <f>IF(Buildings_GridElectricity_Frontend[[#This Row],[Data]]="","",_xlfn.XLOOKUP(_xlfn.CONCAT(Buildings_GridElectricity_Backend[[#This Row],[Level 1]:[Level 6]]),rng_EFConcat,rng_EF3TD)*Buildings_GridElectricity_Backend[[#This Row],[Converted data]]/1000)</f>
        <v/>
      </c>
      <c r="AK300" s="210" t="str">
        <f>IF(Buildings_GridElectricity_Frontend[[#This Row],[Data]]="","",_xlfn.XLOOKUP(_xlfn.CONCAT(Buildings_GridElectricity_Backend[[#This Row],[Level 1]:[Level 6]]),rng_EFConcat,rng_EF3WTTTD)*Buildings_GridElectricity_Backend[[#This Row],[Converted data]]/1000)</f>
        <v/>
      </c>
      <c r="AL300" s="220" t="str">
        <f>IF(Buildings_GridElectricity_Frontend[[#This Row],[Data]]="","",SUM(Buildings_GridElectricity_Backend[[#This Row],[Scope 1 (tCO2e)]:[Scope 3 WTT T&amp;D (tCO2e)]]))</f>
        <v/>
      </c>
      <c r="AM300" s="220" t="str">
        <f>IF(Buildings_GridElectricity_Frontend[[#This Row],[Data]]="","",Buildings_GridElectricity_Backend[[#This Row],[Total (tCO2e)]]*(1-Buildings_GridElectricity_Backend[[#This Row],[RSD]]))</f>
        <v/>
      </c>
      <c r="AN300" s="220" t="str">
        <f>IF(Buildings_GridElectricity_Frontend[[#This Row],[Data]]="","",Buildings_GridElectricity_Backend[[#This Row],[Total (tCO2e)]]*(1+Buildings_GridElectricity_Backend[[#This Row],[RSD]]))</f>
        <v/>
      </c>
      <c r="AO300" s="210" t="str">
        <f>IF(Buildings_GridElectricity_Frontend[[#This Row],[Data]]="","",_xlfn.XLOOKUP(_xlfn.CONCAT(Buildings_GridElectricity_Backend[[#This Row],[Level 1]:[Level 6]]),rng_EFConcat,rng_EFOOS)*Buildings_GridElectricity_Backend[[#This Row],[Converted data]]/1000)</f>
        <v/>
      </c>
      <c r="AP300" s="174">
        <f>Buildings_GridElectricity_Frontend[[#This Row],[Ease of collection]]</f>
        <v>0</v>
      </c>
      <c r="AQ300" s="213">
        <f>Buildings_GridElectricity_Frontend[[#This Row],[Completeness]]</f>
        <v>0</v>
      </c>
      <c r="AR300" s="220">
        <f>Buildings_GridElectricity_Frontend[[#This Row],[Notes]]</f>
        <v>0</v>
      </c>
    </row>
    <row r="301" spans="5:44" x14ac:dyDescent="0.3">
      <c r="E301" s="346"/>
      <c r="F301" s="449"/>
      <c r="G301" s="336"/>
      <c r="H301" s="334"/>
      <c r="I301" s="172" t="s">
        <v>316</v>
      </c>
      <c r="J301" s="337"/>
      <c r="K301" s="336"/>
      <c r="L301" s="336"/>
      <c r="M301" s="337"/>
      <c r="N301" s="242">
        <f t="shared" si="11"/>
        <v>3</v>
      </c>
      <c r="Q301" s="212" t="str">
        <f t="shared" si="10"/>
        <v/>
      </c>
      <c r="R301" s="174" t="s">
        <v>265</v>
      </c>
      <c r="S301" s="174" t="s">
        <v>273</v>
      </c>
      <c r="T301" s="174" t="str">
        <f>_xlfn.XLOOKUP(Buildings_GridElectricity_Backend[[#This Row],[Info 1]],Buildings_SiteInfo[Site name],Buildings_SiteInfo[Site type], "")</f>
        <v/>
      </c>
      <c r="U301" s="174" t="s">
        <v>281</v>
      </c>
      <c r="V301" s="174" t="str" cm="1">
        <f t="array" aca="1" ref="V301" ca="1">_xlfn.XLOOKUP(Buildings_GridElectricity_Backend[[#This Row],[Level 4]],rng_Level4Long,rng_Level5Long)</f>
        <v>Electricity</v>
      </c>
      <c r="W301" s="174" t="str" cm="1">
        <f t="array" aca="1" ref="W301" ca="1">_xlfn.XLOOKUP(Buildings_GridElectricity_Backend[[#This Row],[Level 4]],rng_Level4Long,rng_Level6Long)</f>
        <v>NaN</v>
      </c>
      <c r="X301" s="174">
        <f>Buildings_GridElectricity_Frontend[[#This Row],[Site Name]]</f>
        <v>0</v>
      </c>
      <c r="Y301" s="174">
        <f>Buildings_GridElectricity_Frontend[[#This Row],[Contracting]]</f>
        <v>0</v>
      </c>
      <c r="Z301" s="174">
        <f>Buildings_GridElectricity_Frontend[[#This Row],[Methodology]]</f>
        <v>0</v>
      </c>
      <c r="AA301" s="229" t="str" cm="1">
        <f t="array" ref="AA301">IF(Buildings_GridElectricity_Frontend[[#This Row],[Data]]="","",INDEX(_xlfn.SWITCH(Buildings_GridElectricity_Backend[[#This Row],[Methodology]],"Tier 1",rng_RSD1,"Tier 2",rng_RSD2,"Tier 3",rng_RSD3),MATCH(_xlfn.CONCAT(Buildings_GridElectricity_Backend[[#This Row],[Level 1]:[Level 6]]),rng_LevelsConcat,0)))</f>
        <v/>
      </c>
      <c r="AB301" s="220">
        <f>Buildings_GridElectricity_Frontend[[#This Row],[Data]]</f>
        <v>0</v>
      </c>
      <c r="AC301" s="174" t="str">
        <f>Buildings_GridElectricity_Frontend[[#This Row],[Units]]</f>
        <v>kWh</v>
      </c>
      <c r="AD301" s="218">
        <f>Buildings_GridElectricity_Frontend[[#This Row],[Data]]</f>
        <v>0</v>
      </c>
      <c r="AE301" s="174" t="str">
        <f>Buildings_GridElectricity_Frontend[[#This Row],[Units]]</f>
        <v>kWh</v>
      </c>
      <c r="AF301" s="210" t="str">
        <f>IF(Buildings_GridElectricity_Frontend[[#This Row],[Data]]="","",_xlfn.XLOOKUP(_xlfn.CONCAT(Buildings_GridElectricity_Backend[[#This Row],[Level 1]:[Level 6]]),rng_EFConcat,rng_EF1)*Buildings_GridElectricity_Backend[[#This Row],[Converted data]]/1000)</f>
        <v/>
      </c>
      <c r="AG301" s="210" t="str">
        <f>IF(Buildings_GridElectricity_Frontend[[#This Row],[Data]]="","",_xlfn.XLOOKUP(_xlfn.CONCAT(Buildings_GridElectricity_Backend[[#This Row],[Level 1]:[Level 6]]),rng_EFConcat,rng_EF2)*Buildings_GridElectricity_Backend[[#This Row],[Converted data]]/1000)</f>
        <v/>
      </c>
      <c r="AH301" s="210" t="str">
        <f>IF(Buildings_GridElectricity_Frontend[[#This Row],[Data]]="","",_xlfn.XLOOKUP(_xlfn.CONCAT(Buildings_GridElectricity_Backend[[#This Row],[Level 1]:[Level 6]]),rng_EFConcat,rng_EF3)*Buildings_GridElectricity_Backend[[#This Row],[Converted data]]/1000)</f>
        <v/>
      </c>
      <c r="AI301" s="210" t="str">
        <f>IF(Buildings_GridElectricity_Frontend[[#This Row],[Data]]="","",_xlfn.XLOOKUP(_xlfn.CONCAT(Buildings_GridElectricity_Backend[[#This Row],[Level 1]:[Level 6]]),rng_EFConcat,rng_EF3WTT)*Buildings_GridElectricity_Backend[[#This Row],[Converted data]]/1000)</f>
        <v/>
      </c>
      <c r="AJ301" s="210" t="str">
        <f>IF(Buildings_GridElectricity_Frontend[[#This Row],[Data]]="","",_xlfn.XLOOKUP(_xlfn.CONCAT(Buildings_GridElectricity_Backend[[#This Row],[Level 1]:[Level 6]]),rng_EFConcat,rng_EF3TD)*Buildings_GridElectricity_Backend[[#This Row],[Converted data]]/1000)</f>
        <v/>
      </c>
      <c r="AK301" s="210" t="str">
        <f>IF(Buildings_GridElectricity_Frontend[[#This Row],[Data]]="","",_xlfn.XLOOKUP(_xlfn.CONCAT(Buildings_GridElectricity_Backend[[#This Row],[Level 1]:[Level 6]]),rng_EFConcat,rng_EF3WTTTD)*Buildings_GridElectricity_Backend[[#This Row],[Converted data]]/1000)</f>
        <v/>
      </c>
      <c r="AL301" s="220" t="str">
        <f>IF(Buildings_GridElectricity_Frontend[[#This Row],[Data]]="","",SUM(Buildings_GridElectricity_Backend[[#This Row],[Scope 1 (tCO2e)]:[Scope 3 WTT T&amp;D (tCO2e)]]))</f>
        <v/>
      </c>
      <c r="AM301" s="220" t="str">
        <f>IF(Buildings_GridElectricity_Frontend[[#This Row],[Data]]="","",Buildings_GridElectricity_Backend[[#This Row],[Total (tCO2e)]]*(1-Buildings_GridElectricity_Backend[[#This Row],[RSD]]))</f>
        <v/>
      </c>
      <c r="AN301" s="220" t="str">
        <f>IF(Buildings_GridElectricity_Frontend[[#This Row],[Data]]="","",Buildings_GridElectricity_Backend[[#This Row],[Total (tCO2e)]]*(1+Buildings_GridElectricity_Backend[[#This Row],[RSD]]))</f>
        <v/>
      </c>
      <c r="AO301" s="210" t="str">
        <f>IF(Buildings_GridElectricity_Frontend[[#This Row],[Data]]="","",_xlfn.XLOOKUP(_xlfn.CONCAT(Buildings_GridElectricity_Backend[[#This Row],[Level 1]:[Level 6]]),rng_EFConcat,rng_EFOOS)*Buildings_GridElectricity_Backend[[#This Row],[Converted data]]/1000)</f>
        <v/>
      </c>
      <c r="AP301" s="174">
        <f>Buildings_GridElectricity_Frontend[[#This Row],[Ease of collection]]</f>
        <v>0</v>
      </c>
      <c r="AQ301" s="213">
        <f>Buildings_GridElectricity_Frontend[[#This Row],[Completeness]]</f>
        <v>0</v>
      </c>
      <c r="AR301" s="220">
        <f>Buildings_GridElectricity_Frontend[[#This Row],[Notes]]</f>
        <v>0</v>
      </c>
    </row>
    <row r="302" spans="5:44" x14ac:dyDescent="0.3">
      <c r="E302" s="346"/>
      <c r="F302" s="449"/>
      <c r="G302" s="336"/>
      <c r="H302" s="334"/>
      <c r="I302" s="172" t="s">
        <v>316</v>
      </c>
      <c r="J302" s="337"/>
      <c r="K302" s="336"/>
      <c r="L302" s="336"/>
      <c r="M302" s="337"/>
      <c r="N302" s="242">
        <f t="shared" si="11"/>
        <v>3</v>
      </c>
      <c r="Q302" s="212" t="str">
        <f t="shared" si="10"/>
        <v/>
      </c>
      <c r="R302" s="174" t="s">
        <v>265</v>
      </c>
      <c r="S302" s="174" t="s">
        <v>273</v>
      </c>
      <c r="T302" s="174" t="str">
        <f>_xlfn.XLOOKUP(Buildings_GridElectricity_Backend[[#This Row],[Info 1]],Buildings_SiteInfo[Site name],Buildings_SiteInfo[Site type], "")</f>
        <v/>
      </c>
      <c r="U302" s="174" t="s">
        <v>281</v>
      </c>
      <c r="V302" s="174" t="str" cm="1">
        <f t="array" aca="1" ref="V302" ca="1">_xlfn.XLOOKUP(Buildings_GridElectricity_Backend[[#This Row],[Level 4]],rng_Level4Long,rng_Level5Long)</f>
        <v>Electricity</v>
      </c>
      <c r="W302" s="174" t="str" cm="1">
        <f t="array" aca="1" ref="W302" ca="1">_xlfn.XLOOKUP(Buildings_GridElectricity_Backend[[#This Row],[Level 4]],rng_Level4Long,rng_Level6Long)</f>
        <v>NaN</v>
      </c>
      <c r="X302" s="174">
        <f>Buildings_GridElectricity_Frontend[[#This Row],[Site Name]]</f>
        <v>0</v>
      </c>
      <c r="Y302" s="174">
        <f>Buildings_GridElectricity_Frontend[[#This Row],[Contracting]]</f>
        <v>0</v>
      </c>
      <c r="Z302" s="174">
        <f>Buildings_GridElectricity_Frontend[[#This Row],[Methodology]]</f>
        <v>0</v>
      </c>
      <c r="AA302" s="229" t="str" cm="1">
        <f t="array" ref="AA302">IF(Buildings_GridElectricity_Frontend[[#This Row],[Data]]="","",INDEX(_xlfn.SWITCH(Buildings_GridElectricity_Backend[[#This Row],[Methodology]],"Tier 1",rng_RSD1,"Tier 2",rng_RSD2,"Tier 3",rng_RSD3),MATCH(_xlfn.CONCAT(Buildings_GridElectricity_Backend[[#This Row],[Level 1]:[Level 6]]),rng_LevelsConcat,0)))</f>
        <v/>
      </c>
      <c r="AB302" s="220">
        <f>Buildings_GridElectricity_Frontend[[#This Row],[Data]]</f>
        <v>0</v>
      </c>
      <c r="AC302" s="174" t="str">
        <f>Buildings_GridElectricity_Frontend[[#This Row],[Units]]</f>
        <v>kWh</v>
      </c>
      <c r="AD302" s="218">
        <f>Buildings_GridElectricity_Frontend[[#This Row],[Data]]</f>
        <v>0</v>
      </c>
      <c r="AE302" s="174" t="str">
        <f>Buildings_GridElectricity_Frontend[[#This Row],[Units]]</f>
        <v>kWh</v>
      </c>
      <c r="AF302" s="210" t="str">
        <f>IF(Buildings_GridElectricity_Frontend[[#This Row],[Data]]="","",_xlfn.XLOOKUP(_xlfn.CONCAT(Buildings_GridElectricity_Backend[[#This Row],[Level 1]:[Level 6]]),rng_EFConcat,rng_EF1)*Buildings_GridElectricity_Backend[[#This Row],[Converted data]]/1000)</f>
        <v/>
      </c>
      <c r="AG302" s="210" t="str">
        <f>IF(Buildings_GridElectricity_Frontend[[#This Row],[Data]]="","",_xlfn.XLOOKUP(_xlfn.CONCAT(Buildings_GridElectricity_Backend[[#This Row],[Level 1]:[Level 6]]),rng_EFConcat,rng_EF2)*Buildings_GridElectricity_Backend[[#This Row],[Converted data]]/1000)</f>
        <v/>
      </c>
      <c r="AH302" s="210" t="str">
        <f>IF(Buildings_GridElectricity_Frontend[[#This Row],[Data]]="","",_xlfn.XLOOKUP(_xlfn.CONCAT(Buildings_GridElectricity_Backend[[#This Row],[Level 1]:[Level 6]]),rng_EFConcat,rng_EF3)*Buildings_GridElectricity_Backend[[#This Row],[Converted data]]/1000)</f>
        <v/>
      </c>
      <c r="AI302" s="210" t="str">
        <f>IF(Buildings_GridElectricity_Frontend[[#This Row],[Data]]="","",_xlfn.XLOOKUP(_xlfn.CONCAT(Buildings_GridElectricity_Backend[[#This Row],[Level 1]:[Level 6]]),rng_EFConcat,rng_EF3WTT)*Buildings_GridElectricity_Backend[[#This Row],[Converted data]]/1000)</f>
        <v/>
      </c>
      <c r="AJ302" s="210" t="str">
        <f>IF(Buildings_GridElectricity_Frontend[[#This Row],[Data]]="","",_xlfn.XLOOKUP(_xlfn.CONCAT(Buildings_GridElectricity_Backend[[#This Row],[Level 1]:[Level 6]]),rng_EFConcat,rng_EF3TD)*Buildings_GridElectricity_Backend[[#This Row],[Converted data]]/1000)</f>
        <v/>
      </c>
      <c r="AK302" s="210" t="str">
        <f>IF(Buildings_GridElectricity_Frontend[[#This Row],[Data]]="","",_xlfn.XLOOKUP(_xlfn.CONCAT(Buildings_GridElectricity_Backend[[#This Row],[Level 1]:[Level 6]]),rng_EFConcat,rng_EF3WTTTD)*Buildings_GridElectricity_Backend[[#This Row],[Converted data]]/1000)</f>
        <v/>
      </c>
      <c r="AL302" s="220" t="str">
        <f>IF(Buildings_GridElectricity_Frontend[[#This Row],[Data]]="","",SUM(Buildings_GridElectricity_Backend[[#This Row],[Scope 1 (tCO2e)]:[Scope 3 WTT T&amp;D (tCO2e)]]))</f>
        <v/>
      </c>
      <c r="AM302" s="220" t="str">
        <f>IF(Buildings_GridElectricity_Frontend[[#This Row],[Data]]="","",Buildings_GridElectricity_Backend[[#This Row],[Total (tCO2e)]]*(1-Buildings_GridElectricity_Backend[[#This Row],[RSD]]))</f>
        <v/>
      </c>
      <c r="AN302" s="220" t="str">
        <f>IF(Buildings_GridElectricity_Frontend[[#This Row],[Data]]="","",Buildings_GridElectricity_Backend[[#This Row],[Total (tCO2e)]]*(1+Buildings_GridElectricity_Backend[[#This Row],[RSD]]))</f>
        <v/>
      </c>
      <c r="AO302" s="210" t="str">
        <f>IF(Buildings_GridElectricity_Frontend[[#This Row],[Data]]="","",_xlfn.XLOOKUP(_xlfn.CONCAT(Buildings_GridElectricity_Backend[[#This Row],[Level 1]:[Level 6]]),rng_EFConcat,rng_EFOOS)*Buildings_GridElectricity_Backend[[#This Row],[Converted data]]/1000)</f>
        <v/>
      </c>
      <c r="AP302" s="174">
        <f>Buildings_GridElectricity_Frontend[[#This Row],[Ease of collection]]</f>
        <v>0</v>
      </c>
      <c r="AQ302" s="213">
        <f>Buildings_GridElectricity_Frontend[[#This Row],[Completeness]]</f>
        <v>0</v>
      </c>
      <c r="AR302" s="220">
        <f>Buildings_GridElectricity_Frontend[[#This Row],[Notes]]</f>
        <v>0</v>
      </c>
    </row>
    <row r="303" spans="5:44" x14ac:dyDescent="0.3">
      <c r="E303" s="346"/>
      <c r="F303" s="449"/>
      <c r="G303" s="336"/>
      <c r="H303" s="334"/>
      <c r="I303" s="172" t="s">
        <v>316</v>
      </c>
      <c r="J303" s="337"/>
      <c r="K303" s="336"/>
      <c r="L303" s="336"/>
      <c r="M303" s="337"/>
      <c r="N303" s="242">
        <f t="shared" si="11"/>
        <v>3</v>
      </c>
      <c r="Q303" s="212" t="str">
        <f t="shared" si="10"/>
        <v/>
      </c>
      <c r="R303" s="174" t="s">
        <v>265</v>
      </c>
      <c r="S303" s="174" t="s">
        <v>273</v>
      </c>
      <c r="T303" s="174" t="str">
        <f>_xlfn.XLOOKUP(Buildings_GridElectricity_Backend[[#This Row],[Info 1]],Buildings_SiteInfo[Site name],Buildings_SiteInfo[Site type], "")</f>
        <v/>
      </c>
      <c r="U303" s="174" t="s">
        <v>281</v>
      </c>
      <c r="V303" s="174" t="str" cm="1">
        <f t="array" aca="1" ref="V303" ca="1">_xlfn.XLOOKUP(Buildings_GridElectricity_Backend[[#This Row],[Level 4]],rng_Level4Long,rng_Level5Long)</f>
        <v>Electricity</v>
      </c>
      <c r="W303" s="174" t="str" cm="1">
        <f t="array" aca="1" ref="W303" ca="1">_xlfn.XLOOKUP(Buildings_GridElectricity_Backend[[#This Row],[Level 4]],rng_Level4Long,rng_Level6Long)</f>
        <v>NaN</v>
      </c>
      <c r="X303" s="174">
        <f>Buildings_GridElectricity_Frontend[[#This Row],[Site Name]]</f>
        <v>0</v>
      </c>
      <c r="Y303" s="174">
        <f>Buildings_GridElectricity_Frontend[[#This Row],[Contracting]]</f>
        <v>0</v>
      </c>
      <c r="Z303" s="174">
        <f>Buildings_GridElectricity_Frontend[[#This Row],[Methodology]]</f>
        <v>0</v>
      </c>
      <c r="AA303" s="229" t="str" cm="1">
        <f t="array" ref="AA303">IF(Buildings_GridElectricity_Frontend[[#This Row],[Data]]="","",INDEX(_xlfn.SWITCH(Buildings_GridElectricity_Backend[[#This Row],[Methodology]],"Tier 1",rng_RSD1,"Tier 2",rng_RSD2,"Tier 3",rng_RSD3),MATCH(_xlfn.CONCAT(Buildings_GridElectricity_Backend[[#This Row],[Level 1]:[Level 6]]),rng_LevelsConcat,0)))</f>
        <v/>
      </c>
      <c r="AB303" s="220">
        <f>Buildings_GridElectricity_Frontend[[#This Row],[Data]]</f>
        <v>0</v>
      </c>
      <c r="AC303" s="174" t="str">
        <f>Buildings_GridElectricity_Frontend[[#This Row],[Units]]</f>
        <v>kWh</v>
      </c>
      <c r="AD303" s="218">
        <f>Buildings_GridElectricity_Frontend[[#This Row],[Data]]</f>
        <v>0</v>
      </c>
      <c r="AE303" s="174" t="str">
        <f>Buildings_GridElectricity_Frontend[[#This Row],[Units]]</f>
        <v>kWh</v>
      </c>
      <c r="AF303" s="210" t="str">
        <f>IF(Buildings_GridElectricity_Frontend[[#This Row],[Data]]="","",_xlfn.XLOOKUP(_xlfn.CONCAT(Buildings_GridElectricity_Backend[[#This Row],[Level 1]:[Level 6]]),rng_EFConcat,rng_EF1)*Buildings_GridElectricity_Backend[[#This Row],[Converted data]]/1000)</f>
        <v/>
      </c>
      <c r="AG303" s="210" t="str">
        <f>IF(Buildings_GridElectricity_Frontend[[#This Row],[Data]]="","",_xlfn.XLOOKUP(_xlfn.CONCAT(Buildings_GridElectricity_Backend[[#This Row],[Level 1]:[Level 6]]),rng_EFConcat,rng_EF2)*Buildings_GridElectricity_Backend[[#This Row],[Converted data]]/1000)</f>
        <v/>
      </c>
      <c r="AH303" s="210" t="str">
        <f>IF(Buildings_GridElectricity_Frontend[[#This Row],[Data]]="","",_xlfn.XLOOKUP(_xlfn.CONCAT(Buildings_GridElectricity_Backend[[#This Row],[Level 1]:[Level 6]]),rng_EFConcat,rng_EF3)*Buildings_GridElectricity_Backend[[#This Row],[Converted data]]/1000)</f>
        <v/>
      </c>
      <c r="AI303" s="210" t="str">
        <f>IF(Buildings_GridElectricity_Frontend[[#This Row],[Data]]="","",_xlfn.XLOOKUP(_xlfn.CONCAT(Buildings_GridElectricity_Backend[[#This Row],[Level 1]:[Level 6]]),rng_EFConcat,rng_EF3WTT)*Buildings_GridElectricity_Backend[[#This Row],[Converted data]]/1000)</f>
        <v/>
      </c>
      <c r="AJ303" s="210" t="str">
        <f>IF(Buildings_GridElectricity_Frontend[[#This Row],[Data]]="","",_xlfn.XLOOKUP(_xlfn.CONCAT(Buildings_GridElectricity_Backend[[#This Row],[Level 1]:[Level 6]]),rng_EFConcat,rng_EF3TD)*Buildings_GridElectricity_Backend[[#This Row],[Converted data]]/1000)</f>
        <v/>
      </c>
      <c r="AK303" s="210" t="str">
        <f>IF(Buildings_GridElectricity_Frontend[[#This Row],[Data]]="","",_xlfn.XLOOKUP(_xlfn.CONCAT(Buildings_GridElectricity_Backend[[#This Row],[Level 1]:[Level 6]]),rng_EFConcat,rng_EF3WTTTD)*Buildings_GridElectricity_Backend[[#This Row],[Converted data]]/1000)</f>
        <v/>
      </c>
      <c r="AL303" s="220" t="str">
        <f>IF(Buildings_GridElectricity_Frontend[[#This Row],[Data]]="","",SUM(Buildings_GridElectricity_Backend[[#This Row],[Scope 1 (tCO2e)]:[Scope 3 WTT T&amp;D (tCO2e)]]))</f>
        <v/>
      </c>
      <c r="AM303" s="220" t="str">
        <f>IF(Buildings_GridElectricity_Frontend[[#This Row],[Data]]="","",Buildings_GridElectricity_Backend[[#This Row],[Total (tCO2e)]]*(1-Buildings_GridElectricity_Backend[[#This Row],[RSD]]))</f>
        <v/>
      </c>
      <c r="AN303" s="220" t="str">
        <f>IF(Buildings_GridElectricity_Frontend[[#This Row],[Data]]="","",Buildings_GridElectricity_Backend[[#This Row],[Total (tCO2e)]]*(1+Buildings_GridElectricity_Backend[[#This Row],[RSD]]))</f>
        <v/>
      </c>
      <c r="AO303" s="210" t="str">
        <f>IF(Buildings_GridElectricity_Frontend[[#This Row],[Data]]="","",_xlfn.XLOOKUP(_xlfn.CONCAT(Buildings_GridElectricity_Backend[[#This Row],[Level 1]:[Level 6]]),rng_EFConcat,rng_EFOOS)*Buildings_GridElectricity_Backend[[#This Row],[Converted data]]/1000)</f>
        <v/>
      </c>
      <c r="AP303" s="174">
        <f>Buildings_GridElectricity_Frontend[[#This Row],[Ease of collection]]</f>
        <v>0</v>
      </c>
      <c r="AQ303" s="213">
        <f>Buildings_GridElectricity_Frontend[[#This Row],[Completeness]]</f>
        <v>0</v>
      </c>
      <c r="AR303" s="220">
        <f>Buildings_GridElectricity_Frontend[[#This Row],[Notes]]</f>
        <v>0</v>
      </c>
    </row>
    <row r="304" spans="5:44" x14ac:dyDescent="0.3">
      <c r="E304" s="346"/>
      <c r="F304" s="449"/>
      <c r="G304" s="336"/>
      <c r="H304" s="334"/>
      <c r="I304" s="172" t="s">
        <v>316</v>
      </c>
      <c r="J304" s="337"/>
      <c r="K304" s="336"/>
      <c r="L304" s="336"/>
      <c r="M304" s="337"/>
      <c r="N304" s="242">
        <f t="shared" si="11"/>
        <v>3</v>
      </c>
      <c r="Q304" s="212" t="str">
        <f t="shared" si="10"/>
        <v/>
      </c>
      <c r="R304" s="174" t="s">
        <v>265</v>
      </c>
      <c r="S304" s="174" t="s">
        <v>273</v>
      </c>
      <c r="T304" s="174" t="str">
        <f>_xlfn.XLOOKUP(Buildings_GridElectricity_Backend[[#This Row],[Info 1]],Buildings_SiteInfo[Site name],Buildings_SiteInfo[Site type], "")</f>
        <v/>
      </c>
      <c r="U304" s="174" t="s">
        <v>281</v>
      </c>
      <c r="V304" s="174" t="str" cm="1">
        <f t="array" aca="1" ref="V304" ca="1">_xlfn.XLOOKUP(Buildings_GridElectricity_Backend[[#This Row],[Level 4]],rng_Level4Long,rng_Level5Long)</f>
        <v>Electricity</v>
      </c>
      <c r="W304" s="174" t="str" cm="1">
        <f t="array" aca="1" ref="W304" ca="1">_xlfn.XLOOKUP(Buildings_GridElectricity_Backend[[#This Row],[Level 4]],rng_Level4Long,rng_Level6Long)</f>
        <v>NaN</v>
      </c>
      <c r="X304" s="174">
        <f>Buildings_GridElectricity_Frontend[[#This Row],[Site Name]]</f>
        <v>0</v>
      </c>
      <c r="Y304" s="174">
        <f>Buildings_GridElectricity_Frontend[[#This Row],[Contracting]]</f>
        <v>0</v>
      </c>
      <c r="Z304" s="174">
        <f>Buildings_GridElectricity_Frontend[[#This Row],[Methodology]]</f>
        <v>0</v>
      </c>
      <c r="AA304" s="229" t="str" cm="1">
        <f t="array" ref="AA304">IF(Buildings_GridElectricity_Frontend[[#This Row],[Data]]="","",INDEX(_xlfn.SWITCH(Buildings_GridElectricity_Backend[[#This Row],[Methodology]],"Tier 1",rng_RSD1,"Tier 2",rng_RSD2,"Tier 3",rng_RSD3),MATCH(_xlfn.CONCAT(Buildings_GridElectricity_Backend[[#This Row],[Level 1]:[Level 6]]),rng_LevelsConcat,0)))</f>
        <v/>
      </c>
      <c r="AB304" s="220">
        <f>Buildings_GridElectricity_Frontend[[#This Row],[Data]]</f>
        <v>0</v>
      </c>
      <c r="AC304" s="174" t="str">
        <f>Buildings_GridElectricity_Frontend[[#This Row],[Units]]</f>
        <v>kWh</v>
      </c>
      <c r="AD304" s="218">
        <f>Buildings_GridElectricity_Frontend[[#This Row],[Data]]</f>
        <v>0</v>
      </c>
      <c r="AE304" s="174" t="str">
        <f>Buildings_GridElectricity_Frontend[[#This Row],[Units]]</f>
        <v>kWh</v>
      </c>
      <c r="AF304" s="210" t="str">
        <f>IF(Buildings_GridElectricity_Frontend[[#This Row],[Data]]="","",_xlfn.XLOOKUP(_xlfn.CONCAT(Buildings_GridElectricity_Backend[[#This Row],[Level 1]:[Level 6]]),rng_EFConcat,rng_EF1)*Buildings_GridElectricity_Backend[[#This Row],[Converted data]]/1000)</f>
        <v/>
      </c>
      <c r="AG304" s="210" t="str">
        <f>IF(Buildings_GridElectricity_Frontend[[#This Row],[Data]]="","",_xlfn.XLOOKUP(_xlfn.CONCAT(Buildings_GridElectricity_Backend[[#This Row],[Level 1]:[Level 6]]),rng_EFConcat,rng_EF2)*Buildings_GridElectricity_Backend[[#This Row],[Converted data]]/1000)</f>
        <v/>
      </c>
      <c r="AH304" s="210" t="str">
        <f>IF(Buildings_GridElectricity_Frontend[[#This Row],[Data]]="","",_xlfn.XLOOKUP(_xlfn.CONCAT(Buildings_GridElectricity_Backend[[#This Row],[Level 1]:[Level 6]]),rng_EFConcat,rng_EF3)*Buildings_GridElectricity_Backend[[#This Row],[Converted data]]/1000)</f>
        <v/>
      </c>
      <c r="AI304" s="210" t="str">
        <f>IF(Buildings_GridElectricity_Frontend[[#This Row],[Data]]="","",_xlfn.XLOOKUP(_xlfn.CONCAT(Buildings_GridElectricity_Backend[[#This Row],[Level 1]:[Level 6]]),rng_EFConcat,rng_EF3WTT)*Buildings_GridElectricity_Backend[[#This Row],[Converted data]]/1000)</f>
        <v/>
      </c>
      <c r="AJ304" s="210" t="str">
        <f>IF(Buildings_GridElectricity_Frontend[[#This Row],[Data]]="","",_xlfn.XLOOKUP(_xlfn.CONCAT(Buildings_GridElectricity_Backend[[#This Row],[Level 1]:[Level 6]]),rng_EFConcat,rng_EF3TD)*Buildings_GridElectricity_Backend[[#This Row],[Converted data]]/1000)</f>
        <v/>
      </c>
      <c r="AK304" s="210" t="str">
        <f>IF(Buildings_GridElectricity_Frontend[[#This Row],[Data]]="","",_xlfn.XLOOKUP(_xlfn.CONCAT(Buildings_GridElectricity_Backend[[#This Row],[Level 1]:[Level 6]]),rng_EFConcat,rng_EF3WTTTD)*Buildings_GridElectricity_Backend[[#This Row],[Converted data]]/1000)</f>
        <v/>
      </c>
      <c r="AL304" s="220" t="str">
        <f>IF(Buildings_GridElectricity_Frontend[[#This Row],[Data]]="","",SUM(Buildings_GridElectricity_Backend[[#This Row],[Scope 1 (tCO2e)]:[Scope 3 WTT T&amp;D (tCO2e)]]))</f>
        <v/>
      </c>
      <c r="AM304" s="220" t="str">
        <f>IF(Buildings_GridElectricity_Frontend[[#This Row],[Data]]="","",Buildings_GridElectricity_Backend[[#This Row],[Total (tCO2e)]]*(1-Buildings_GridElectricity_Backend[[#This Row],[RSD]]))</f>
        <v/>
      </c>
      <c r="AN304" s="220" t="str">
        <f>IF(Buildings_GridElectricity_Frontend[[#This Row],[Data]]="","",Buildings_GridElectricity_Backend[[#This Row],[Total (tCO2e)]]*(1+Buildings_GridElectricity_Backend[[#This Row],[RSD]]))</f>
        <v/>
      </c>
      <c r="AO304" s="210" t="str">
        <f>IF(Buildings_GridElectricity_Frontend[[#This Row],[Data]]="","",_xlfn.XLOOKUP(_xlfn.CONCAT(Buildings_GridElectricity_Backend[[#This Row],[Level 1]:[Level 6]]),rng_EFConcat,rng_EFOOS)*Buildings_GridElectricity_Backend[[#This Row],[Converted data]]/1000)</f>
        <v/>
      </c>
      <c r="AP304" s="174">
        <f>Buildings_GridElectricity_Frontend[[#This Row],[Ease of collection]]</f>
        <v>0</v>
      </c>
      <c r="AQ304" s="213">
        <f>Buildings_GridElectricity_Frontend[[#This Row],[Completeness]]</f>
        <v>0</v>
      </c>
      <c r="AR304" s="220">
        <f>Buildings_GridElectricity_Frontend[[#This Row],[Notes]]</f>
        <v>0</v>
      </c>
    </row>
    <row r="305" spans="5:44" x14ac:dyDescent="0.3">
      <c r="E305" s="346"/>
      <c r="F305" s="449"/>
      <c r="G305" s="336"/>
      <c r="H305" s="334"/>
      <c r="I305" s="172" t="s">
        <v>316</v>
      </c>
      <c r="J305" s="337"/>
      <c r="K305" s="336"/>
      <c r="L305" s="336"/>
      <c r="M305" s="337"/>
      <c r="N305" s="242">
        <f t="shared" si="11"/>
        <v>3</v>
      </c>
      <c r="Q305" s="212" t="str">
        <f t="shared" si="10"/>
        <v/>
      </c>
      <c r="R305" s="174" t="s">
        <v>265</v>
      </c>
      <c r="S305" s="174" t="s">
        <v>273</v>
      </c>
      <c r="T305" s="174" t="str">
        <f>_xlfn.XLOOKUP(Buildings_GridElectricity_Backend[[#This Row],[Info 1]],Buildings_SiteInfo[Site name],Buildings_SiteInfo[Site type], "")</f>
        <v/>
      </c>
      <c r="U305" s="174" t="s">
        <v>281</v>
      </c>
      <c r="V305" s="174" t="str" cm="1">
        <f t="array" aca="1" ref="V305" ca="1">_xlfn.XLOOKUP(Buildings_GridElectricity_Backend[[#This Row],[Level 4]],rng_Level4Long,rng_Level5Long)</f>
        <v>Electricity</v>
      </c>
      <c r="W305" s="174" t="str" cm="1">
        <f t="array" aca="1" ref="W305" ca="1">_xlfn.XLOOKUP(Buildings_GridElectricity_Backend[[#This Row],[Level 4]],rng_Level4Long,rng_Level6Long)</f>
        <v>NaN</v>
      </c>
      <c r="X305" s="174">
        <f>Buildings_GridElectricity_Frontend[[#This Row],[Site Name]]</f>
        <v>0</v>
      </c>
      <c r="Y305" s="174">
        <f>Buildings_GridElectricity_Frontend[[#This Row],[Contracting]]</f>
        <v>0</v>
      </c>
      <c r="Z305" s="174">
        <f>Buildings_GridElectricity_Frontend[[#This Row],[Methodology]]</f>
        <v>0</v>
      </c>
      <c r="AA305" s="229" t="str" cm="1">
        <f t="array" ref="AA305">IF(Buildings_GridElectricity_Frontend[[#This Row],[Data]]="","",INDEX(_xlfn.SWITCH(Buildings_GridElectricity_Backend[[#This Row],[Methodology]],"Tier 1",rng_RSD1,"Tier 2",rng_RSD2,"Tier 3",rng_RSD3),MATCH(_xlfn.CONCAT(Buildings_GridElectricity_Backend[[#This Row],[Level 1]:[Level 6]]),rng_LevelsConcat,0)))</f>
        <v/>
      </c>
      <c r="AB305" s="220">
        <f>Buildings_GridElectricity_Frontend[[#This Row],[Data]]</f>
        <v>0</v>
      </c>
      <c r="AC305" s="174" t="str">
        <f>Buildings_GridElectricity_Frontend[[#This Row],[Units]]</f>
        <v>kWh</v>
      </c>
      <c r="AD305" s="218">
        <f>Buildings_GridElectricity_Frontend[[#This Row],[Data]]</f>
        <v>0</v>
      </c>
      <c r="AE305" s="174" t="str">
        <f>Buildings_GridElectricity_Frontend[[#This Row],[Units]]</f>
        <v>kWh</v>
      </c>
      <c r="AF305" s="210" t="str">
        <f>IF(Buildings_GridElectricity_Frontend[[#This Row],[Data]]="","",_xlfn.XLOOKUP(_xlfn.CONCAT(Buildings_GridElectricity_Backend[[#This Row],[Level 1]:[Level 6]]),rng_EFConcat,rng_EF1)*Buildings_GridElectricity_Backend[[#This Row],[Converted data]]/1000)</f>
        <v/>
      </c>
      <c r="AG305" s="210" t="str">
        <f>IF(Buildings_GridElectricity_Frontend[[#This Row],[Data]]="","",_xlfn.XLOOKUP(_xlfn.CONCAT(Buildings_GridElectricity_Backend[[#This Row],[Level 1]:[Level 6]]),rng_EFConcat,rng_EF2)*Buildings_GridElectricity_Backend[[#This Row],[Converted data]]/1000)</f>
        <v/>
      </c>
      <c r="AH305" s="210" t="str">
        <f>IF(Buildings_GridElectricity_Frontend[[#This Row],[Data]]="","",_xlfn.XLOOKUP(_xlfn.CONCAT(Buildings_GridElectricity_Backend[[#This Row],[Level 1]:[Level 6]]),rng_EFConcat,rng_EF3)*Buildings_GridElectricity_Backend[[#This Row],[Converted data]]/1000)</f>
        <v/>
      </c>
      <c r="AI305" s="210" t="str">
        <f>IF(Buildings_GridElectricity_Frontend[[#This Row],[Data]]="","",_xlfn.XLOOKUP(_xlfn.CONCAT(Buildings_GridElectricity_Backend[[#This Row],[Level 1]:[Level 6]]),rng_EFConcat,rng_EF3WTT)*Buildings_GridElectricity_Backend[[#This Row],[Converted data]]/1000)</f>
        <v/>
      </c>
      <c r="AJ305" s="210" t="str">
        <f>IF(Buildings_GridElectricity_Frontend[[#This Row],[Data]]="","",_xlfn.XLOOKUP(_xlfn.CONCAT(Buildings_GridElectricity_Backend[[#This Row],[Level 1]:[Level 6]]),rng_EFConcat,rng_EF3TD)*Buildings_GridElectricity_Backend[[#This Row],[Converted data]]/1000)</f>
        <v/>
      </c>
      <c r="AK305" s="210" t="str">
        <f>IF(Buildings_GridElectricity_Frontend[[#This Row],[Data]]="","",_xlfn.XLOOKUP(_xlfn.CONCAT(Buildings_GridElectricity_Backend[[#This Row],[Level 1]:[Level 6]]),rng_EFConcat,rng_EF3WTTTD)*Buildings_GridElectricity_Backend[[#This Row],[Converted data]]/1000)</f>
        <v/>
      </c>
      <c r="AL305" s="220" t="str">
        <f>IF(Buildings_GridElectricity_Frontend[[#This Row],[Data]]="","",SUM(Buildings_GridElectricity_Backend[[#This Row],[Scope 1 (tCO2e)]:[Scope 3 WTT T&amp;D (tCO2e)]]))</f>
        <v/>
      </c>
      <c r="AM305" s="220" t="str">
        <f>IF(Buildings_GridElectricity_Frontend[[#This Row],[Data]]="","",Buildings_GridElectricity_Backend[[#This Row],[Total (tCO2e)]]*(1-Buildings_GridElectricity_Backend[[#This Row],[RSD]]))</f>
        <v/>
      </c>
      <c r="AN305" s="220" t="str">
        <f>IF(Buildings_GridElectricity_Frontend[[#This Row],[Data]]="","",Buildings_GridElectricity_Backend[[#This Row],[Total (tCO2e)]]*(1+Buildings_GridElectricity_Backend[[#This Row],[RSD]]))</f>
        <v/>
      </c>
      <c r="AO305" s="210" t="str">
        <f>IF(Buildings_GridElectricity_Frontend[[#This Row],[Data]]="","",_xlfn.XLOOKUP(_xlfn.CONCAT(Buildings_GridElectricity_Backend[[#This Row],[Level 1]:[Level 6]]),rng_EFConcat,rng_EFOOS)*Buildings_GridElectricity_Backend[[#This Row],[Converted data]]/1000)</f>
        <v/>
      </c>
      <c r="AP305" s="174">
        <f>Buildings_GridElectricity_Frontend[[#This Row],[Ease of collection]]</f>
        <v>0</v>
      </c>
      <c r="AQ305" s="213">
        <f>Buildings_GridElectricity_Frontend[[#This Row],[Completeness]]</f>
        <v>0</v>
      </c>
      <c r="AR305" s="220">
        <f>Buildings_GridElectricity_Frontend[[#This Row],[Notes]]</f>
        <v>0</v>
      </c>
    </row>
    <row r="306" spans="5:44" x14ac:dyDescent="0.3">
      <c r="E306" s="346"/>
      <c r="F306" s="449"/>
      <c r="G306" s="336"/>
      <c r="H306" s="334"/>
      <c r="I306" s="172" t="s">
        <v>316</v>
      </c>
      <c r="J306" s="337"/>
      <c r="K306" s="336"/>
      <c r="L306" s="336"/>
      <c r="M306" s="337"/>
      <c r="N306" s="242">
        <f t="shared" si="11"/>
        <v>3</v>
      </c>
      <c r="Q306" s="212" t="str">
        <f t="shared" si="10"/>
        <v/>
      </c>
      <c r="R306" s="174" t="s">
        <v>265</v>
      </c>
      <c r="S306" s="174" t="s">
        <v>273</v>
      </c>
      <c r="T306" s="174" t="str">
        <f>_xlfn.XLOOKUP(Buildings_GridElectricity_Backend[[#This Row],[Info 1]],Buildings_SiteInfo[Site name],Buildings_SiteInfo[Site type], "")</f>
        <v/>
      </c>
      <c r="U306" s="174" t="s">
        <v>281</v>
      </c>
      <c r="V306" s="174" t="str" cm="1">
        <f t="array" aca="1" ref="V306" ca="1">_xlfn.XLOOKUP(Buildings_GridElectricity_Backend[[#This Row],[Level 4]],rng_Level4Long,rng_Level5Long)</f>
        <v>Electricity</v>
      </c>
      <c r="W306" s="174" t="str" cm="1">
        <f t="array" aca="1" ref="W306" ca="1">_xlfn.XLOOKUP(Buildings_GridElectricity_Backend[[#This Row],[Level 4]],rng_Level4Long,rng_Level6Long)</f>
        <v>NaN</v>
      </c>
      <c r="X306" s="174">
        <f>Buildings_GridElectricity_Frontend[[#This Row],[Site Name]]</f>
        <v>0</v>
      </c>
      <c r="Y306" s="174">
        <f>Buildings_GridElectricity_Frontend[[#This Row],[Contracting]]</f>
        <v>0</v>
      </c>
      <c r="Z306" s="174">
        <f>Buildings_GridElectricity_Frontend[[#This Row],[Methodology]]</f>
        <v>0</v>
      </c>
      <c r="AA306" s="229" t="str" cm="1">
        <f t="array" ref="AA306">IF(Buildings_GridElectricity_Frontend[[#This Row],[Data]]="","",INDEX(_xlfn.SWITCH(Buildings_GridElectricity_Backend[[#This Row],[Methodology]],"Tier 1",rng_RSD1,"Tier 2",rng_RSD2,"Tier 3",rng_RSD3),MATCH(_xlfn.CONCAT(Buildings_GridElectricity_Backend[[#This Row],[Level 1]:[Level 6]]),rng_LevelsConcat,0)))</f>
        <v/>
      </c>
      <c r="AB306" s="220">
        <f>Buildings_GridElectricity_Frontend[[#This Row],[Data]]</f>
        <v>0</v>
      </c>
      <c r="AC306" s="174" t="str">
        <f>Buildings_GridElectricity_Frontend[[#This Row],[Units]]</f>
        <v>kWh</v>
      </c>
      <c r="AD306" s="218">
        <f>Buildings_GridElectricity_Frontend[[#This Row],[Data]]</f>
        <v>0</v>
      </c>
      <c r="AE306" s="174" t="str">
        <f>Buildings_GridElectricity_Frontend[[#This Row],[Units]]</f>
        <v>kWh</v>
      </c>
      <c r="AF306" s="210" t="str">
        <f>IF(Buildings_GridElectricity_Frontend[[#This Row],[Data]]="","",_xlfn.XLOOKUP(_xlfn.CONCAT(Buildings_GridElectricity_Backend[[#This Row],[Level 1]:[Level 6]]),rng_EFConcat,rng_EF1)*Buildings_GridElectricity_Backend[[#This Row],[Converted data]]/1000)</f>
        <v/>
      </c>
      <c r="AG306" s="210" t="str">
        <f>IF(Buildings_GridElectricity_Frontend[[#This Row],[Data]]="","",_xlfn.XLOOKUP(_xlfn.CONCAT(Buildings_GridElectricity_Backend[[#This Row],[Level 1]:[Level 6]]),rng_EFConcat,rng_EF2)*Buildings_GridElectricity_Backend[[#This Row],[Converted data]]/1000)</f>
        <v/>
      </c>
      <c r="AH306" s="210" t="str">
        <f>IF(Buildings_GridElectricity_Frontend[[#This Row],[Data]]="","",_xlfn.XLOOKUP(_xlfn.CONCAT(Buildings_GridElectricity_Backend[[#This Row],[Level 1]:[Level 6]]),rng_EFConcat,rng_EF3)*Buildings_GridElectricity_Backend[[#This Row],[Converted data]]/1000)</f>
        <v/>
      </c>
      <c r="AI306" s="210" t="str">
        <f>IF(Buildings_GridElectricity_Frontend[[#This Row],[Data]]="","",_xlfn.XLOOKUP(_xlfn.CONCAT(Buildings_GridElectricity_Backend[[#This Row],[Level 1]:[Level 6]]),rng_EFConcat,rng_EF3WTT)*Buildings_GridElectricity_Backend[[#This Row],[Converted data]]/1000)</f>
        <v/>
      </c>
      <c r="AJ306" s="210" t="str">
        <f>IF(Buildings_GridElectricity_Frontend[[#This Row],[Data]]="","",_xlfn.XLOOKUP(_xlfn.CONCAT(Buildings_GridElectricity_Backend[[#This Row],[Level 1]:[Level 6]]),rng_EFConcat,rng_EF3TD)*Buildings_GridElectricity_Backend[[#This Row],[Converted data]]/1000)</f>
        <v/>
      </c>
      <c r="AK306" s="210" t="str">
        <f>IF(Buildings_GridElectricity_Frontend[[#This Row],[Data]]="","",_xlfn.XLOOKUP(_xlfn.CONCAT(Buildings_GridElectricity_Backend[[#This Row],[Level 1]:[Level 6]]),rng_EFConcat,rng_EF3WTTTD)*Buildings_GridElectricity_Backend[[#This Row],[Converted data]]/1000)</f>
        <v/>
      </c>
      <c r="AL306" s="220" t="str">
        <f>IF(Buildings_GridElectricity_Frontend[[#This Row],[Data]]="","",SUM(Buildings_GridElectricity_Backend[[#This Row],[Scope 1 (tCO2e)]:[Scope 3 WTT T&amp;D (tCO2e)]]))</f>
        <v/>
      </c>
      <c r="AM306" s="220" t="str">
        <f>IF(Buildings_GridElectricity_Frontend[[#This Row],[Data]]="","",Buildings_GridElectricity_Backend[[#This Row],[Total (tCO2e)]]*(1-Buildings_GridElectricity_Backend[[#This Row],[RSD]]))</f>
        <v/>
      </c>
      <c r="AN306" s="220" t="str">
        <f>IF(Buildings_GridElectricity_Frontend[[#This Row],[Data]]="","",Buildings_GridElectricity_Backend[[#This Row],[Total (tCO2e)]]*(1+Buildings_GridElectricity_Backend[[#This Row],[RSD]]))</f>
        <v/>
      </c>
      <c r="AO306" s="210" t="str">
        <f>IF(Buildings_GridElectricity_Frontend[[#This Row],[Data]]="","",_xlfn.XLOOKUP(_xlfn.CONCAT(Buildings_GridElectricity_Backend[[#This Row],[Level 1]:[Level 6]]),rng_EFConcat,rng_EFOOS)*Buildings_GridElectricity_Backend[[#This Row],[Converted data]]/1000)</f>
        <v/>
      </c>
      <c r="AP306" s="174">
        <f>Buildings_GridElectricity_Frontend[[#This Row],[Ease of collection]]</f>
        <v>0</v>
      </c>
      <c r="AQ306" s="213">
        <f>Buildings_GridElectricity_Frontend[[#This Row],[Completeness]]</f>
        <v>0</v>
      </c>
      <c r="AR306" s="220">
        <f>Buildings_GridElectricity_Frontend[[#This Row],[Notes]]</f>
        <v>0</v>
      </c>
    </row>
    <row r="307" spans="5:44" x14ac:dyDescent="0.3">
      <c r="E307" s="346"/>
      <c r="F307" s="449"/>
      <c r="G307" s="336"/>
      <c r="H307" s="334"/>
      <c r="I307" s="172" t="s">
        <v>316</v>
      </c>
      <c r="J307" s="337"/>
      <c r="K307" s="336"/>
      <c r="L307" s="336"/>
      <c r="M307" s="337"/>
      <c r="N307" s="242">
        <f t="shared" si="11"/>
        <v>3</v>
      </c>
      <c r="Q307" s="212" t="str">
        <f t="shared" si="10"/>
        <v/>
      </c>
      <c r="R307" s="174" t="s">
        <v>265</v>
      </c>
      <c r="S307" s="174" t="s">
        <v>273</v>
      </c>
      <c r="T307" s="174" t="str">
        <f>_xlfn.XLOOKUP(Buildings_GridElectricity_Backend[[#This Row],[Info 1]],Buildings_SiteInfo[Site name],Buildings_SiteInfo[Site type], "")</f>
        <v/>
      </c>
      <c r="U307" s="174" t="s">
        <v>281</v>
      </c>
      <c r="V307" s="174" t="str" cm="1">
        <f t="array" aca="1" ref="V307" ca="1">_xlfn.XLOOKUP(Buildings_GridElectricity_Backend[[#This Row],[Level 4]],rng_Level4Long,rng_Level5Long)</f>
        <v>Electricity</v>
      </c>
      <c r="W307" s="174" t="str" cm="1">
        <f t="array" aca="1" ref="W307" ca="1">_xlfn.XLOOKUP(Buildings_GridElectricity_Backend[[#This Row],[Level 4]],rng_Level4Long,rng_Level6Long)</f>
        <v>NaN</v>
      </c>
      <c r="X307" s="174">
        <f>Buildings_GridElectricity_Frontend[[#This Row],[Site Name]]</f>
        <v>0</v>
      </c>
      <c r="Y307" s="174">
        <f>Buildings_GridElectricity_Frontend[[#This Row],[Contracting]]</f>
        <v>0</v>
      </c>
      <c r="Z307" s="174">
        <f>Buildings_GridElectricity_Frontend[[#This Row],[Methodology]]</f>
        <v>0</v>
      </c>
      <c r="AA307" s="229" t="str" cm="1">
        <f t="array" ref="AA307">IF(Buildings_GridElectricity_Frontend[[#This Row],[Data]]="","",INDEX(_xlfn.SWITCH(Buildings_GridElectricity_Backend[[#This Row],[Methodology]],"Tier 1",rng_RSD1,"Tier 2",rng_RSD2,"Tier 3",rng_RSD3),MATCH(_xlfn.CONCAT(Buildings_GridElectricity_Backend[[#This Row],[Level 1]:[Level 6]]),rng_LevelsConcat,0)))</f>
        <v/>
      </c>
      <c r="AB307" s="220">
        <f>Buildings_GridElectricity_Frontend[[#This Row],[Data]]</f>
        <v>0</v>
      </c>
      <c r="AC307" s="174" t="str">
        <f>Buildings_GridElectricity_Frontend[[#This Row],[Units]]</f>
        <v>kWh</v>
      </c>
      <c r="AD307" s="218">
        <f>Buildings_GridElectricity_Frontend[[#This Row],[Data]]</f>
        <v>0</v>
      </c>
      <c r="AE307" s="174" t="str">
        <f>Buildings_GridElectricity_Frontend[[#This Row],[Units]]</f>
        <v>kWh</v>
      </c>
      <c r="AF307" s="210" t="str">
        <f>IF(Buildings_GridElectricity_Frontend[[#This Row],[Data]]="","",_xlfn.XLOOKUP(_xlfn.CONCAT(Buildings_GridElectricity_Backend[[#This Row],[Level 1]:[Level 6]]),rng_EFConcat,rng_EF1)*Buildings_GridElectricity_Backend[[#This Row],[Converted data]]/1000)</f>
        <v/>
      </c>
      <c r="AG307" s="210" t="str">
        <f>IF(Buildings_GridElectricity_Frontend[[#This Row],[Data]]="","",_xlfn.XLOOKUP(_xlfn.CONCAT(Buildings_GridElectricity_Backend[[#This Row],[Level 1]:[Level 6]]),rng_EFConcat,rng_EF2)*Buildings_GridElectricity_Backend[[#This Row],[Converted data]]/1000)</f>
        <v/>
      </c>
      <c r="AH307" s="210" t="str">
        <f>IF(Buildings_GridElectricity_Frontend[[#This Row],[Data]]="","",_xlfn.XLOOKUP(_xlfn.CONCAT(Buildings_GridElectricity_Backend[[#This Row],[Level 1]:[Level 6]]),rng_EFConcat,rng_EF3)*Buildings_GridElectricity_Backend[[#This Row],[Converted data]]/1000)</f>
        <v/>
      </c>
      <c r="AI307" s="210" t="str">
        <f>IF(Buildings_GridElectricity_Frontend[[#This Row],[Data]]="","",_xlfn.XLOOKUP(_xlfn.CONCAT(Buildings_GridElectricity_Backend[[#This Row],[Level 1]:[Level 6]]),rng_EFConcat,rng_EF3WTT)*Buildings_GridElectricity_Backend[[#This Row],[Converted data]]/1000)</f>
        <v/>
      </c>
      <c r="AJ307" s="210" t="str">
        <f>IF(Buildings_GridElectricity_Frontend[[#This Row],[Data]]="","",_xlfn.XLOOKUP(_xlfn.CONCAT(Buildings_GridElectricity_Backend[[#This Row],[Level 1]:[Level 6]]),rng_EFConcat,rng_EF3TD)*Buildings_GridElectricity_Backend[[#This Row],[Converted data]]/1000)</f>
        <v/>
      </c>
      <c r="AK307" s="210" t="str">
        <f>IF(Buildings_GridElectricity_Frontend[[#This Row],[Data]]="","",_xlfn.XLOOKUP(_xlfn.CONCAT(Buildings_GridElectricity_Backend[[#This Row],[Level 1]:[Level 6]]),rng_EFConcat,rng_EF3WTTTD)*Buildings_GridElectricity_Backend[[#This Row],[Converted data]]/1000)</f>
        <v/>
      </c>
      <c r="AL307" s="220" t="str">
        <f>IF(Buildings_GridElectricity_Frontend[[#This Row],[Data]]="","",SUM(Buildings_GridElectricity_Backend[[#This Row],[Scope 1 (tCO2e)]:[Scope 3 WTT T&amp;D (tCO2e)]]))</f>
        <v/>
      </c>
      <c r="AM307" s="220" t="str">
        <f>IF(Buildings_GridElectricity_Frontend[[#This Row],[Data]]="","",Buildings_GridElectricity_Backend[[#This Row],[Total (tCO2e)]]*(1-Buildings_GridElectricity_Backend[[#This Row],[RSD]]))</f>
        <v/>
      </c>
      <c r="AN307" s="220" t="str">
        <f>IF(Buildings_GridElectricity_Frontend[[#This Row],[Data]]="","",Buildings_GridElectricity_Backend[[#This Row],[Total (tCO2e)]]*(1+Buildings_GridElectricity_Backend[[#This Row],[RSD]]))</f>
        <v/>
      </c>
      <c r="AO307" s="210" t="str">
        <f>IF(Buildings_GridElectricity_Frontend[[#This Row],[Data]]="","",_xlfn.XLOOKUP(_xlfn.CONCAT(Buildings_GridElectricity_Backend[[#This Row],[Level 1]:[Level 6]]),rng_EFConcat,rng_EFOOS)*Buildings_GridElectricity_Backend[[#This Row],[Converted data]]/1000)</f>
        <v/>
      </c>
      <c r="AP307" s="174">
        <f>Buildings_GridElectricity_Frontend[[#This Row],[Ease of collection]]</f>
        <v>0</v>
      </c>
      <c r="AQ307" s="213">
        <f>Buildings_GridElectricity_Frontend[[#This Row],[Completeness]]</f>
        <v>0</v>
      </c>
      <c r="AR307" s="220">
        <f>Buildings_GridElectricity_Frontend[[#This Row],[Notes]]</f>
        <v>0</v>
      </c>
    </row>
    <row r="308" spans="5:44" x14ac:dyDescent="0.3">
      <c r="E308" s="346"/>
      <c r="F308" s="449"/>
      <c r="G308" s="336"/>
      <c r="H308" s="334"/>
      <c r="I308" s="172" t="s">
        <v>316</v>
      </c>
      <c r="J308" s="337"/>
      <c r="K308" s="336"/>
      <c r="L308" s="336"/>
      <c r="M308" s="337"/>
      <c r="N308" s="242">
        <f t="shared" si="11"/>
        <v>3</v>
      </c>
      <c r="Q308" s="212" t="str">
        <f t="shared" si="10"/>
        <v/>
      </c>
      <c r="R308" s="174" t="s">
        <v>265</v>
      </c>
      <c r="S308" s="174" t="s">
        <v>273</v>
      </c>
      <c r="T308" s="174" t="str">
        <f>_xlfn.XLOOKUP(Buildings_GridElectricity_Backend[[#This Row],[Info 1]],Buildings_SiteInfo[Site name],Buildings_SiteInfo[Site type], "")</f>
        <v/>
      </c>
      <c r="U308" s="174" t="s">
        <v>281</v>
      </c>
      <c r="V308" s="174" t="str" cm="1">
        <f t="array" aca="1" ref="V308" ca="1">_xlfn.XLOOKUP(Buildings_GridElectricity_Backend[[#This Row],[Level 4]],rng_Level4Long,rng_Level5Long)</f>
        <v>Electricity</v>
      </c>
      <c r="W308" s="174" t="str" cm="1">
        <f t="array" aca="1" ref="W308" ca="1">_xlfn.XLOOKUP(Buildings_GridElectricity_Backend[[#This Row],[Level 4]],rng_Level4Long,rng_Level6Long)</f>
        <v>NaN</v>
      </c>
      <c r="X308" s="174">
        <f>Buildings_GridElectricity_Frontend[[#This Row],[Site Name]]</f>
        <v>0</v>
      </c>
      <c r="Y308" s="174">
        <f>Buildings_GridElectricity_Frontend[[#This Row],[Contracting]]</f>
        <v>0</v>
      </c>
      <c r="Z308" s="174">
        <f>Buildings_GridElectricity_Frontend[[#This Row],[Methodology]]</f>
        <v>0</v>
      </c>
      <c r="AA308" s="229" t="str" cm="1">
        <f t="array" ref="AA308">IF(Buildings_GridElectricity_Frontend[[#This Row],[Data]]="","",INDEX(_xlfn.SWITCH(Buildings_GridElectricity_Backend[[#This Row],[Methodology]],"Tier 1",rng_RSD1,"Tier 2",rng_RSD2,"Tier 3",rng_RSD3),MATCH(_xlfn.CONCAT(Buildings_GridElectricity_Backend[[#This Row],[Level 1]:[Level 6]]),rng_LevelsConcat,0)))</f>
        <v/>
      </c>
      <c r="AB308" s="220">
        <f>Buildings_GridElectricity_Frontend[[#This Row],[Data]]</f>
        <v>0</v>
      </c>
      <c r="AC308" s="174" t="str">
        <f>Buildings_GridElectricity_Frontend[[#This Row],[Units]]</f>
        <v>kWh</v>
      </c>
      <c r="AD308" s="218">
        <f>Buildings_GridElectricity_Frontend[[#This Row],[Data]]</f>
        <v>0</v>
      </c>
      <c r="AE308" s="174" t="str">
        <f>Buildings_GridElectricity_Frontend[[#This Row],[Units]]</f>
        <v>kWh</v>
      </c>
      <c r="AF308" s="210" t="str">
        <f>IF(Buildings_GridElectricity_Frontend[[#This Row],[Data]]="","",_xlfn.XLOOKUP(_xlfn.CONCAT(Buildings_GridElectricity_Backend[[#This Row],[Level 1]:[Level 6]]),rng_EFConcat,rng_EF1)*Buildings_GridElectricity_Backend[[#This Row],[Converted data]]/1000)</f>
        <v/>
      </c>
      <c r="AG308" s="210" t="str">
        <f>IF(Buildings_GridElectricity_Frontend[[#This Row],[Data]]="","",_xlfn.XLOOKUP(_xlfn.CONCAT(Buildings_GridElectricity_Backend[[#This Row],[Level 1]:[Level 6]]),rng_EFConcat,rng_EF2)*Buildings_GridElectricity_Backend[[#This Row],[Converted data]]/1000)</f>
        <v/>
      </c>
      <c r="AH308" s="210" t="str">
        <f>IF(Buildings_GridElectricity_Frontend[[#This Row],[Data]]="","",_xlfn.XLOOKUP(_xlfn.CONCAT(Buildings_GridElectricity_Backend[[#This Row],[Level 1]:[Level 6]]),rng_EFConcat,rng_EF3)*Buildings_GridElectricity_Backend[[#This Row],[Converted data]]/1000)</f>
        <v/>
      </c>
      <c r="AI308" s="210" t="str">
        <f>IF(Buildings_GridElectricity_Frontend[[#This Row],[Data]]="","",_xlfn.XLOOKUP(_xlfn.CONCAT(Buildings_GridElectricity_Backend[[#This Row],[Level 1]:[Level 6]]),rng_EFConcat,rng_EF3WTT)*Buildings_GridElectricity_Backend[[#This Row],[Converted data]]/1000)</f>
        <v/>
      </c>
      <c r="AJ308" s="210" t="str">
        <f>IF(Buildings_GridElectricity_Frontend[[#This Row],[Data]]="","",_xlfn.XLOOKUP(_xlfn.CONCAT(Buildings_GridElectricity_Backend[[#This Row],[Level 1]:[Level 6]]),rng_EFConcat,rng_EF3TD)*Buildings_GridElectricity_Backend[[#This Row],[Converted data]]/1000)</f>
        <v/>
      </c>
      <c r="AK308" s="210" t="str">
        <f>IF(Buildings_GridElectricity_Frontend[[#This Row],[Data]]="","",_xlfn.XLOOKUP(_xlfn.CONCAT(Buildings_GridElectricity_Backend[[#This Row],[Level 1]:[Level 6]]),rng_EFConcat,rng_EF3WTTTD)*Buildings_GridElectricity_Backend[[#This Row],[Converted data]]/1000)</f>
        <v/>
      </c>
      <c r="AL308" s="220" t="str">
        <f>IF(Buildings_GridElectricity_Frontend[[#This Row],[Data]]="","",SUM(Buildings_GridElectricity_Backend[[#This Row],[Scope 1 (tCO2e)]:[Scope 3 WTT T&amp;D (tCO2e)]]))</f>
        <v/>
      </c>
      <c r="AM308" s="220" t="str">
        <f>IF(Buildings_GridElectricity_Frontend[[#This Row],[Data]]="","",Buildings_GridElectricity_Backend[[#This Row],[Total (tCO2e)]]*(1-Buildings_GridElectricity_Backend[[#This Row],[RSD]]))</f>
        <v/>
      </c>
      <c r="AN308" s="220" t="str">
        <f>IF(Buildings_GridElectricity_Frontend[[#This Row],[Data]]="","",Buildings_GridElectricity_Backend[[#This Row],[Total (tCO2e)]]*(1+Buildings_GridElectricity_Backend[[#This Row],[RSD]]))</f>
        <v/>
      </c>
      <c r="AO308" s="210" t="str">
        <f>IF(Buildings_GridElectricity_Frontend[[#This Row],[Data]]="","",_xlfn.XLOOKUP(_xlfn.CONCAT(Buildings_GridElectricity_Backend[[#This Row],[Level 1]:[Level 6]]),rng_EFConcat,rng_EFOOS)*Buildings_GridElectricity_Backend[[#This Row],[Converted data]]/1000)</f>
        <v/>
      </c>
      <c r="AP308" s="174">
        <f>Buildings_GridElectricity_Frontend[[#This Row],[Ease of collection]]</f>
        <v>0</v>
      </c>
      <c r="AQ308" s="213">
        <f>Buildings_GridElectricity_Frontend[[#This Row],[Completeness]]</f>
        <v>0</v>
      </c>
      <c r="AR308" s="220">
        <f>Buildings_GridElectricity_Frontend[[#This Row],[Notes]]</f>
        <v>0</v>
      </c>
    </row>
    <row r="309" spans="5:44" x14ac:dyDescent="0.3">
      <c r="E309" s="346"/>
      <c r="F309" s="449"/>
      <c r="G309" s="336"/>
      <c r="H309" s="334"/>
      <c r="I309" s="172" t="s">
        <v>316</v>
      </c>
      <c r="J309" s="337"/>
      <c r="K309" s="336"/>
      <c r="L309" s="336"/>
      <c r="M309" s="337"/>
      <c r="N309" s="242">
        <f t="shared" si="11"/>
        <v>3</v>
      </c>
      <c r="Q309" s="212" t="str">
        <f t="shared" si="10"/>
        <v/>
      </c>
      <c r="R309" s="174" t="s">
        <v>265</v>
      </c>
      <c r="S309" s="174" t="s">
        <v>273</v>
      </c>
      <c r="T309" s="174" t="str">
        <f>_xlfn.XLOOKUP(Buildings_GridElectricity_Backend[[#This Row],[Info 1]],Buildings_SiteInfo[Site name],Buildings_SiteInfo[Site type], "")</f>
        <v/>
      </c>
      <c r="U309" s="174" t="s">
        <v>281</v>
      </c>
      <c r="V309" s="174" t="str" cm="1">
        <f t="array" aca="1" ref="V309" ca="1">_xlfn.XLOOKUP(Buildings_GridElectricity_Backend[[#This Row],[Level 4]],rng_Level4Long,rng_Level5Long)</f>
        <v>Electricity</v>
      </c>
      <c r="W309" s="174" t="str" cm="1">
        <f t="array" aca="1" ref="W309" ca="1">_xlfn.XLOOKUP(Buildings_GridElectricity_Backend[[#This Row],[Level 4]],rng_Level4Long,rng_Level6Long)</f>
        <v>NaN</v>
      </c>
      <c r="X309" s="174">
        <f>Buildings_GridElectricity_Frontend[[#This Row],[Site Name]]</f>
        <v>0</v>
      </c>
      <c r="Y309" s="174">
        <f>Buildings_GridElectricity_Frontend[[#This Row],[Contracting]]</f>
        <v>0</v>
      </c>
      <c r="Z309" s="174">
        <f>Buildings_GridElectricity_Frontend[[#This Row],[Methodology]]</f>
        <v>0</v>
      </c>
      <c r="AA309" s="229" t="str" cm="1">
        <f t="array" ref="AA309">IF(Buildings_GridElectricity_Frontend[[#This Row],[Data]]="","",INDEX(_xlfn.SWITCH(Buildings_GridElectricity_Backend[[#This Row],[Methodology]],"Tier 1",rng_RSD1,"Tier 2",rng_RSD2,"Tier 3",rng_RSD3),MATCH(_xlfn.CONCAT(Buildings_GridElectricity_Backend[[#This Row],[Level 1]:[Level 6]]),rng_LevelsConcat,0)))</f>
        <v/>
      </c>
      <c r="AB309" s="220">
        <f>Buildings_GridElectricity_Frontend[[#This Row],[Data]]</f>
        <v>0</v>
      </c>
      <c r="AC309" s="174" t="str">
        <f>Buildings_GridElectricity_Frontend[[#This Row],[Units]]</f>
        <v>kWh</v>
      </c>
      <c r="AD309" s="218">
        <f>Buildings_GridElectricity_Frontend[[#This Row],[Data]]</f>
        <v>0</v>
      </c>
      <c r="AE309" s="174" t="str">
        <f>Buildings_GridElectricity_Frontend[[#This Row],[Units]]</f>
        <v>kWh</v>
      </c>
      <c r="AF309" s="210" t="str">
        <f>IF(Buildings_GridElectricity_Frontend[[#This Row],[Data]]="","",_xlfn.XLOOKUP(_xlfn.CONCAT(Buildings_GridElectricity_Backend[[#This Row],[Level 1]:[Level 6]]),rng_EFConcat,rng_EF1)*Buildings_GridElectricity_Backend[[#This Row],[Converted data]]/1000)</f>
        <v/>
      </c>
      <c r="AG309" s="210" t="str">
        <f>IF(Buildings_GridElectricity_Frontend[[#This Row],[Data]]="","",_xlfn.XLOOKUP(_xlfn.CONCAT(Buildings_GridElectricity_Backend[[#This Row],[Level 1]:[Level 6]]),rng_EFConcat,rng_EF2)*Buildings_GridElectricity_Backend[[#This Row],[Converted data]]/1000)</f>
        <v/>
      </c>
      <c r="AH309" s="210" t="str">
        <f>IF(Buildings_GridElectricity_Frontend[[#This Row],[Data]]="","",_xlfn.XLOOKUP(_xlfn.CONCAT(Buildings_GridElectricity_Backend[[#This Row],[Level 1]:[Level 6]]),rng_EFConcat,rng_EF3)*Buildings_GridElectricity_Backend[[#This Row],[Converted data]]/1000)</f>
        <v/>
      </c>
      <c r="AI309" s="210" t="str">
        <f>IF(Buildings_GridElectricity_Frontend[[#This Row],[Data]]="","",_xlfn.XLOOKUP(_xlfn.CONCAT(Buildings_GridElectricity_Backend[[#This Row],[Level 1]:[Level 6]]),rng_EFConcat,rng_EF3WTT)*Buildings_GridElectricity_Backend[[#This Row],[Converted data]]/1000)</f>
        <v/>
      </c>
      <c r="AJ309" s="210" t="str">
        <f>IF(Buildings_GridElectricity_Frontend[[#This Row],[Data]]="","",_xlfn.XLOOKUP(_xlfn.CONCAT(Buildings_GridElectricity_Backend[[#This Row],[Level 1]:[Level 6]]),rng_EFConcat,rng_EF3TD)*Buildings_GridElectricity_Backend[[#This Row],[Converted data]]/1000)</f>
        <v/>
      </c>
      <c r="AK309" s="210" t="str">
        <f>IF(Buildings_GridElectricity_Frontend[[#This Row],[Data]]="","",_xlfn.XLOOKUP(_xlfn.CONCAT(Buildings_GridElectricity_Backend[[#This Row],[Level 1]:[Level 6]]),rng_EFConcat,rng_EF3WTTTD)*Buildings_GridElectricity_Backend[[#This Row],[Converted data]]/1000)</f>
        <v/>
      </c>
      <c r="AL309" s="220" t="str">
        <f>IF(Buildings_GridElectricity_Frontend[[#This Row],[Data]]="","",SUM(Buildings_GridElectricity_Backend[[#This Row],[Scope 1 (tCO2e)]:[Scope 3 WTT T&amp;D (tCO2e)]]))</f>
        <v/>
      </c>
      <c r="AM309" s="220" t="str">
        <f>IF(Buildings_GridElectricity_Frontend[[#This Row],[Data]]="","",Buildings_GridElectricity_Backend[[#This Row],[Total (tCO2e)]]*(1-Buildings_GridElectricity_Backend[[#This Row],[RSD]]))</f>
        <v/>
      </c>
      <c r="AN309" s="220" t="str">
        <f>IF(Buildings_GridElectricity_Frontend[[#This Row],[Data]]="","",Buildings_GridElectricity_Backend[[#This Row],[Total (tCO2e)]]*(1+Buildings_GridElectricity_Backend[[#This Row],[RSD]]))</f>
        <v/>
      </c>
      <c r="AO309" s="210" t="str">
        <f>IF(Buildings_GridElectricity_Frontend[[#This Row],[Data]]="","",_xlfn.XLOOKUP(_xlfn.CONCAT(Buildings_GridElectricity_Backend[[#This Row],[Level 1]:[Level 6]]),rng_EFConcat,rng_EFOOS)*Buildings_GridElectricity_Backend[[#This Row],[Converted data]]/1000)</f>
        <v/>
      </c>
      <c r="AP309" s="174">
        <f>Buildings_GridElectricity_Frontend[[#This Row],[Ease of collection]]</f>
        <v>0</v>
      </c>
      <c r="AQ309" s="213">
        <f>Buildings_GridElectricity_Frontend[[#This Row],[Completeness]]</f>
        <v>0</v>
      </c>
      <c r="AR309" s="220">
        <f>Buildings_GridElectricity_Frontend[[#This Row],[Notes]]</f>
        <v>0</v>
      </c>
    </row>
    <row r="310" spans="5:44" x14ac:dyDescent="0.3">
      <c r="E310" s="346"/>
      <c r="F310" s="449"/>
      <c r="G310" s="336"/>
      <c r="H310" s="334"/>
      <c r="I310" s="172" t="s">
        <v>316</v>
      </c>
      <c r="J310" s="337"/>
      <c r="K310" s="336"/>
      <c r="L310" s="336"/>
      <c r="M310" s="337"/>
      <c r="N310" s="242">
        <f t="shared" si="11"/>
        <v>3</v>
      </c>
      <c r="Q310" s="212" t="str">
        <f t="shared" si="10"/>
        <v/>
      </c>
      <c r="R310" s="174" t="s">
        <v>265</v>
      </c>
      <c r="S310" s="174" t="s">
        <v>273</v>
      </c>
      <c r="T310" s="174" t="str">
        <f>_xlfn.XLOOKUP(Buildings_GridElectricity_Backend[[#This Row],[Info 1]],Buildings_SiteInfo[Site name],Buildings_SiteInfo[Site type], "")</f>
        <v/>
      </c>
      <c r="U310" s="174" t="s">
        <v>281</v>
      </c>
      <c r="V310" s="174" t="str" cm="1">
        <f t="array" aca="1" ref="V310" ca="1">_xlfn.XLOOKUP(Buildings_GridElectricity_Backend[[#This Row],[Level 4]],rng_Level4Long,rng_Level5Long)</f>
        <v>Electricity</v>
      </c>
      <c r="W310" s="174" t="str" cm="1">
        <f t="array" aca="1" ref="W310" ca="1">_xlfn.XLOOKUP(Buildings_GridElectricity_Backend[[#This Row],[Level 4]],rng_Level4Long,rng_Level6Long)</f>
        <v>NaN</v>
      </c>
      <c r="X310" s="174">
        <f>Buildings_GridElectricity_Frontend[[#This Row],[Site Name]]</f>
        <v>0</v>
      </c>
      <c r="Y310" s="174">
        <f>Buildings_GridElectricity_Frontend[[#This Row],[Contracting]]</f>
        <v>0</v>
      </c>
      <c r="Z310" s="174">
        <f>Buildings_GridElectricity_Frontend[[#This Row],[Methodology]]</f>
        <v>0</v>
      </c>
      <c r="AA310" s="229" t="str" cm="1">
        <f t="array" ref="AA310">IF(Buildings_GridElectricity_Frontend[[#This Row],[Data]]="","",INDEX(_xlfn.SWITCH(Buildings_GridElectricity_Backend[[#This Row],[Methodology]],"Tier 1",rng_RSD1,"Tier 2",rng_RSD2,"Tier 3",rng_RSD3),MATCH(_xlfn.CONCAT(Buildings_GridElectricity_Backend[[#This Row],[Level 1]:[Level 6]]),rng_LevelsConcat,0)))</f>
        <v/>
      </c>
      <c r="AB310" s="220">
        <f>Buildings_GridElectricity_Frontend[[#This Row],[Data]]</f>
        <v>0</v>
      </c>
      <c r="AC310" s="174" t="str">
        <f>Buildings_GridElectricity_Frontend[[#This Row],[Units]]</f>
        <v>kWh</v>
      </c>
      <c r="AD310" s="218">
        <f>Buildings_GridElectricity_Frontend[[#This Row],[Data]]</f>
        <v>0</v>
      </c>
      <c r="AE310" s="174" t="str">
        <f>Buildings_GridElectricity_Frontend[[#This Row],[Units]]</f>
        <v>kWh</v>
      </c>
      <c r="AF310" s="210" t="str">
        <f>IF(Buildings_GridElectricity_Frontend[[#This Row],[Data]]="","",_xlfn.XLOOKUP(_xlfn.CONCAT(Buildings_GridElectricity_Backend[[#This Row],[Level 1]:[Level 6]]),rng_EFConcat,rng_EF1)*Buildings_GridElectricity_Backend[[#This Row],[Converted data]]/1000)</f>
        <v/>
      </c>
      <c r="AG310" s="210" t="str">
        <f>IF(Buildings_GridElectricity_Frontend[[#This Row],[Data]]="","",_xlfn.XLOOKUP(_xlfn.CONCAT(Buildings_GridElectricity_Backend[[#This Row],[Level 1]:[Level 6]]),rng_EFConcat,rng_EF2)*Buildings_GridElectricity_Backend[[#This Row],[Converted data]]/1000)</f>
        <v/>
      </c>
      <c r="AH310" s="210" t="str">
        <f>IF(Buildings_GridElectricity_Frontend[[#This Row],[Data]]="","",_xlfn.XLOOKUP(_xlfn.CONCAT(Buildings_GridElectricity_Backend[[#This Row],[Level 1]:[Level 6]]),rng_EFConcat,rng_EF3)*Buildings_GridElectricity_Backend[[#This Row],[Converted data]]/1000)</f>
        <v/>
      </c>
      <c r="AI310" s="210" t="str">
        <f>IF(Buildings_GridElectricity_Frontend[[#This Row],[Data]]="","",_xlfn.XLOOKUP(_xlfn.CONCAT(Buildings_GridElectricity_Backend[[#This Row],[Level 1]:[Level 6]]),rng_EFConcat,rng_EF3WTT)*Buildings_GridElectricity_Backend[[#This Row],[Converted data]]/1000)</f>
        <v/>
      </c>
      <c r="AJ310" s="210" t="str">
        <f>IF(Buildings_GridElectricity_Frontend[[#This Row],[Data]]="","",_xlfn.XLOOKUP(_xlfn.CONCAT(Buildings_GridElectricity_Backend[[#This Row],[Level 1]:[Level 6]]),rng_EFConcat,rng_EF3TD)*Buildings_GridElectricity_Backend[[#This Row],[Converted data]]/1000)</f>
        <v/>
      </c>
      <c r="AK310" s="210" t="str">
        <f>IF(Buildings_GridElectricity_Frontend[[#This Row],[Data]]="","",_xlfn.XLOOKUP(_xlfn.CONCAT(Buildings_GridElectricity_Backend[[#This Row],[Level 1]:[Level 6]]),rng_EFConcat,rng_EF3WTTTD)*Buildings_GridElectricity_Backend[[#This Row],[Converted data]]/1000)</f>
        <v/>
      </c>
      <c r="AL310" s="220" t="str">
        <f>IF(Buildings_GridElectricity_Frontend[[#This Row],[Data]]="","",SUM(Buildings_GridElectricity_Backend[[#This Row],[Scope 1 (tCO2e)]:[Scope 3 WTT T&amp;D (tCO2e)]]))</f>
        <v/>
      </c>
      <c r="AM310" s="220" t="str">
        <f>IF(Buildings_GridElectricity_Frontend[[#This Row],[Data]]="","",Buildings_GridElectricity_Backend[[#This Row],[Total (tCO2e)]]*(1-Buildings_GridElectricity_Backend[[#This Row],[RSD]]))</f>
        <v/>
      </c>
      <c r="AN310" s="220" t="str">
        <f>IF(Buildings_GridElectricity_Frontend[[#This Row],[Data]]="","",Buildings_GridElectricity_Backend[[#This Row],[Total (tCO2e)]]*(1+Buildings_GridElectricity_Backend[[#This Row],[RSD]]))</f>
        <v/>
      </c>
      <c r="AO310" s="210" t="str">
        <f>IF(Buildings_GridElectricity_Frontend[[#This Row],[Data]]="","",_xlfn.XLOOKUP(_xlfn.CONCAT(Buildings_GridElectricity_Backend[[#This Row],[Level 1]:[Level 6]]),rng_EFConcat,rng_EFOOS)*Buildings_GridElectricity_Backend[[#This Row],[Converted data]]/1000)</f>
        <v/>
      </c>
      <c r="AP310" s="174">
        <f>Buildings_GridElectricity_Frontend[[#This Row],[Ease of collection]]</f>
        <v>0</v>
      </c>
      <c r="AQ310" s="213">
        <f>Buildings_GridElectricity_Frontend[[#This Row],[Completeness]]</f>
        <v>0</v>
      </c>
      <c r="AR310" s="220">
        <f>Buildings_GridElectricity_Frontend[[#This Row],[Notes]]</f>
        <v>0</v>
      </c>
    </row>
    <row r="311" spans="5:44" x14ac:dyDescent="0.3">
      <c r="E311" s="346"/>
      <c r="F311" s="449"/>
      <c r="G311" s="336"/>
      <c r="H311" s="334"/>
      <c r="I311" s="172" t="s">
        <v>316</v>
      </c>
      <c r="J311" s="337"/>
      <c r="K311" s="336"/>
      <c r="L311" s="336"/>
      <c r="M311" s="337"/>
      <c r="N311" s="242">
        <f t="shared" si="11"/>
        <v>3</v>
      </c>
      <c r="Q311" s="212" t="str">
        <f t="shared" si="10"/>
        <v/>
      </c>
      <c r="R311" s="174" t="s">
        <v>265</v>
      </c>
      <c r="S311" s="174" t="s">
        <v>273</v>
      </c>
      <c r="T311" s="174" t="str">
        <f>_xlfn.XLOOKUP(Buildings_GridElectricity_Backend[[#This Row],[Info 1]],Buildings_SiteInfo[Site name],Buildings_SiteInfo[Site type], "")</f>
        <v/>
      </c>
      <c r="U311" s="174" t="s">
        <v>281</v>
      </c>
      <c r="V311" s="174" t="str" cm="1">
        <f t="array" aca="1" ref="V311" ca="1">_xlfn.XLOOKUP(Buildings_GridElectricity_Backend[[#This Row],[Level 4]],rng_Level4Long,rng_Level5Long)</f>
        <v>Electricity</v>
      </c>
      <c r="W311" s="174" t="str" cm="1">
        <f t="array" aca="1" ref="W311" ca="1">_xlfn.XLOOKUP(Buildings_GridElectricity_Backend[[#This Row],[Level 4]],rng_Level4Long,rng_Level6Long)</f>
        <v>NaN</v>
      </c>
      <c r="X311" s="174">
        <f>Buildings_GridElectricity_Frontend[[#This Row],[Site Name]]</f>
        <v>0</v>
      </c>
      <c r="Y311" s="174">
        <f>Buildings_GridElectricity_Frontend[[#This Row],[Contracting]]</f>
        <v>0</v>
      </c>
      <c r="Z311" s="174">
        <f>Buildings_GridElectricity_Frontend[[#This Row],[Methodology]]</f>
        <v>0</v>
      </c>
      <c r="AA311" s="229" t="str" cm="1">
        <f t="array" ref="AA311">IF(Buildings_GridElectricity_Frontend[[#This Row],[Data]]="","",INDEX(_xlfn.SWITCH(Buildings_GridElectricity_Backend[[#This Row],[Methodology]],"Tier 1",rng_RSD1,"Tier 2",rng_RSD2,"Tier 3",rng_RSD3),MATCH(_xlfn.CONCAT(Buildings_GridElectricity_Backend[[#This Row],[Level 1]:[Level 6]]),rng_LevelsConcat,0)))</f>
        <v/>
      </c>
      <c r="AB311" s="220">
        <f>Buildings_GridElectricity_Frontend[[#This Row],[Data]]</f>
        <v>0</v>
      </c>
      <c r="AC311" s="174" t="str">
        <f>Buildings_GridElectricity_Frontend[[#This Row],[Units]]</f>
        <v>kWh</v>
      </c>
      <c r="AD311" s="218">
        <f>Buildings_GridElectricity_Frontend[[#This Row],[Data]]</f>
        <v>0</v>
      </c>
      <c r="AE311" s="174" t="str">
        <f>Buildings_GridElectricity_Frontend[[#This Row],[Units]]</f>
        <v>kWh</v>
      </c>
      <c r="AF311" s="210" t="str">
        <f>IF(Buildings_GridElectricity_Frontend[[#This Row],[Data]]="","",_xlfn.XLOOKUP(_xlfn.CONCAT(Buildings_GridElectricity_Backend[[#This Row],[Level 1]:[Level 6]]),rng_EFConcat,rng_EF1)*Buildings_GridElectricity_Backend[[#This Row],[Converted data]]/1000)</f>
        <v/>
      </c>
      <c r="AG311" s="210" t="str">
        <f>IF(Buildings_GridElectricity_Frontend[[#This Row],[Data]]="","",_xlfn.XLOOKUP(_xlfn.CONCAT(Buildings_GridElectricity_Backend[[#This Row],[Level 1]:[Level 6]]),rng_EFConcat,rng_EF2)*Buildings_GridElectricity_Backend[[#This Row],[Converted data]]/1000)</f>
        <v/>
      </c>
      <c r="AH311" s="210" t="str">
        <f>IF(Buildings_GridElectricity_Frontend[[#This Row],[Data]]="","",_xlfn.XLOOKUP(_xlfn.CONCAT(Buildings_GridElectricity_Backend[[#This Row],[Level 1]:[Level 6]]),rng_EFConcat,rng_EF3)*Buildings_GridElectricity_Backend[[#This Row],[Converted data]]/1000)</f>
        <v/>
      </c>
      <c r="AI311" s="210" t="str">
        <f>IF(Buildings_GridElectricity_Frontend[[#This Row],[Data]]="","",_xlfn.XLOOKUP(_xlfn.CONCAT(Buildings_GridElectricity_Backend[[#This Row],[Level 1]:[Level 6]]),rng_EFConcat,rng_EF3WTT)*Buildings_GridElectricity_Backend[[#This Row],[Converted data]]/1000)</f>
        <v/>
      </c>
      <c r="AJ311" s="210" t="str">
        <f>IF(Buildings_GridElectricity_Frontend[[#This Row],[Data]]="","",_xlfn.XLOOKUP(_xlfn.CONCAT(Buildings_GridElectricity_Backend[[#This Row],[Level 1]:[Level 6]]),rng_EFConcat,rng_EF3TD)*Buildings_GridElectricity_Backend[[#This Row],[Converted data]]/1000)</f>
        <v/>
      </c>
      <c r="AK311" s="210" t="str">
        <f>IF(Buildings_GridElectricity_Frontend[[#This Row],[Data]]="","",_xlfn.XLOOKUP(_xlfn.CONCAT(Buildings_GridElectricity_Backend[[#This Row],[Level 1]:[Level 6]]),rng_EFConcat,rng_EF3WTTTD)*Buildings_GridElectricity_Backend[[#This Row],[Converted data]]/1000)</f>
        <v/>
      </c>
      <c r="AL311" s="220" t="str">
        <f>IF(Buildings_GridElectricity_Frontend[[#This Row],[Data]]="","",SUM(Buildings_GridElectricity_Backend[[#This Row],[Scope 1 (tCO2e)]:[Scope 3 WTT T&amp;D (tCO2e)]]))</f>
        <v/>
      </c>
      <c r="AM311" s="220" t="str">
        <f>IF(Buildings_GridElectricity_Frontend[[#This Row],[Data]]="","",Buildings_GridElectricity_Backend[[#This Row],[Total (tCO2e)]]*(1-Buildings_GridElectricity_Backend[[#This Row],[RSD]]))</f>
        <v/>
      </c>
      <c r="AN311" s="220" t="str">
        <f>IF(Buildings_GridElectricity_Frontend[[#This Row],[Data]]="","",Buildings_GridElectricity_Backend[[#This Row],[Total (tCO2e)]]*(1+Buildings_GridElectricity_Backend[[#This Row],[RSD]]))</f>
        <v/>
      </c>
      <c r="AO311" s="210" t="str">
        <f>IF(Buildings_GridElectricity_Frontend[[#This Row],[Data]]="","",_xlfn.XLOOKUP(_xlfn.CONCAT(Buildings_GridElectricity_Backend[[#This Row],[Level 1]:[Level 6]]),rng_EFConcat,rng_EFOOS)*Buildings_GridElectricity_Backend[[#This Row],[Converted data]]/1000)</f>
        <v/>
      </c>
      <c r="AP311" s="174">
        <f>Buildings_GridElectricity_Frontend[[#This Row],[Ease of collection]]</f>
        <v>0</v>
      </c>
      <c r="AQ311" s="213">
        <f>Buildings_GridElectricity_Frontend[[#This Row],[Completeness]]</f>
        <v>0</v>
      </c>
      <c r="AR311" s="220">
        <f>Buildings_GridElectricity_Frontend[[#This Row],[Notes]]</f>
        <v>0</v>
      </c>
    </row>
    <row r="312" spans="5:44" x14ac:dyDescent="0.3">
      <c r="E312" s="346"/>
      <c r="F312" s="449"/>
      <c r="G312" s="336"/>
      <c r="H312" s="334"/>
      <c r="I312" s="172" t="s">
        <v>316</v>
      </c>
      <c r="J312" s="337"/>
      <c r="K312" s="336"/>
      <c r="L312" s="336"/>
      <c r="M312" s="337"/>
      <c r="N312" s="242">
        <f t="shared" si="11"/>
        <v>3</v>
      </c>
      <c r="Q312" s="212" t="str">
        <f t="shared" si="10"/>
        <v/>
      </c>
      <c r="R312" s="174" t="s">
        <v>265</v>
      </c>
      <c r="S312" s="174" t="s">
        <v>273</v>
      </c>
      <c r="T312" s="174" t="str">
        <f>_xlfn.XLOOKUP(Buildings_GridElectricity_Backend[[#This Row],[Info 1]],Buildings_SiteInfo[Site name],Buildings_SiteInfo[Site type], "")</f>
        <v/>
      </c>
      <c r="U312" s="174" t="s">
        <v>281</v>
      </c>
      <c r="V312" s="174" t="str" cm="1">
        <f t="array" aca="1" ref="V312" ca="1">_xlfn.XLOOKUP(Buildings_GridElectricity_Backend[[#This Row],[Level 4]],rng_Level4Long,rng_Level5Long)</f>
        <v>Electricity</v>
      </c>
      <c r="W312" s="174" t="str" cm="1">
        <f t="array" aca="1" ref="W312" ca="1">_xlfn.XLOOKUP(Buildings_GridElectricity_Backend[[#This Row],[Level 4]],rng_Level4Long,rng_Level6Long)</f>
        <v>NaN</v>
      </c>
      <c r="X312" s="174">
        <f>Buildings_GridElectricity_Frontend[[#This Row],[Site Name]]</f>
        <v>0</v>
      </c>
      <c r="Y312" s="174">
        <f>Buildings_GridElectricity_Frontend[[#This Row],[Contracting]]</f>
        <v>0</v>
      </c>
      <c r="Z312" s="174">
        <f>Buildings_GridElectricity_Frontend[[#This Row],[Methodology]]</f>
        <v>0</v>
      </c>
      <c r="AA312" s="229" t="str" cm="1">
        <f t="array" ref="AA312">IF(Buildings_GridElectricity_Frontend[[#This Row],[Data]]="","",INDEX(_xlfn.SWITCH(Buildings_GridElectricity_Backend[[#This Row],[Methodology]],"Tier 1",rng_RSD1,"Tier 2",rng_RSD2,"Tier 3",rng_RSD3),MATCH(_xlfn.CONCAT(Buildings_GridElectricity_Backend[[#This Row],[Level 1]:[Level 6]]),rng_LevelsConcat,0)))</f>
        <v/>
      </c>
      <c r="AB312" s="220">
        <f>Buildings_GridElectricity_Frontend[[#This Row],[Data]]</f>
        <v>0</v>
      </c>
      <c r="AC312" s="174" t="str">
        <f>Buildings_GridElectricity_Frontend[[#This Row],[Units]]</f>
        <v>kWh</v>
      </c>
      <c r="AD312" s="218">
        <f>Buildings_GridElectricity_Frontend[[#This Row],[Data]]</f>
        <v>0</v>
      </c>
      <c r="AE312" s="174" t="str">
        <f>Buildings_GridElectricity_Frontend[[#This Row],[Units]]</f>
        <v>kWh</v>
      </c>
      <c r="AF312" s="210" t="str">
        <f>IF(Buildings_GridElectricity_Frontend[[#This Row],[Data]]="","",_xlfn.XLOOKUP(_xlfn.CONCAT(Buildings_GridElectricity_Backend[[#This Row],[Level 1]:[Level 6]]),rng_EFConcat,rng_EF1)*Buildings_GridElectricity_Backend[[#This Row],[Converted data]]/1000)</f>
        <v/>
      </c>
      <c r="AG312" s="210" t="str">
        <f>IF(Buildings_GridElectricity_Frontend[[#This Row],[Data]]="","",_xlfn.XLOOKUP(_xlfn.CONCAT(Buildings_GridElectricity_Backend[[#This Row],[Level 1]:[Level 6]]),rng_EFConcat,rng_EF2)*Buildings_GridElectricity_Backend[[#This Row],[Converted data]]/1000)</f>
        <v/>
      </c>
      <c r="AH312" s="210" t="str">
        <f>IF(Buildings_GridElectricity_Frontend[[#This Row],[Data]]="","",_xlfn.XLOOKUP(_xlfn.CONCAT(Buildings_GridElectricity_Backend[[#This Row],[Level 1]:[Level 6]]),rng_EFConcat,rng_EF3)*Buildings_GridElectricity_Backend[[#This Row],[Converted data]]/1000)</f>
        <v/>
      </c>
      <c r="AI312" s="210" t="str">
        <f>IF(Buildings_GridElectricity_Frontend[[#This Row],[Data]]="","",_xlfn.XLOOKUP(_xlfn.CONCAT(Buildings_GridElectricity_Backend[[#This Row],[Level 1]:[Level 6]]),rng_EFConcat,rng_EF3WTT)*Buildings_GridElectricity_Backend[[#This Row],[Converted data]]/1000)</f>
        <v/>
      </c>
      <c r="AJ312" s="210" t="str">
        <f>IF(Buildings_GridElectricity_Frontend[[#This Row],[Data]]="","",_xlfn.XLOOKUP(_xlfn.CONCAT(Buildings_GridElectricity_Backend[[#This Row],[Level 1]:[Level 6]]),rng_EFConcat,rng_EF3TD)*Buildings_GridElectricity_Backend[[#This Row],[Converted data]]/1000)</f>
        <v/>
      </c>
      <c r="AK312" s="210" t="str">
        <f>IF(Buildings_GridElectricity_Frontend[[#This Row],[Data]]="","",_xlfn.XLOOKUP(_xlfn.CONCAT(Buildings_GridElectricity_Backend[[#This Row],[Level 1]:[Level 6]]),rng_EFConcat,rng_EF3WTTTD)*Buildings_GridElectricity_Backend[[#This Row],[Converted data]]/1000)</f>
        <v/>
      </c>
      <c r="AL312" s="220" t="str">
        <f>IF(Buildings_GridElectricity_Frontend[[#This Row],[Data]]="","",SUM(Buildings_GridElectricity_Backend[[#This Row],[Scope 1 (tCO2e)]:[Scope 3 WTT T&amp;D (tCO2e)]]))</f>
        <v/>
      </c>
      <c r="AM312" s="220" t="str">
        <f>IF(Buildings_GridElectricity_Frontend[[#This Row],[Data]]="","",Buildings_GridElectricity_Backend[[#This Row],[Total (tCO2e)]]*(1-Buildings_GridElectricity_Backend[[#This Row],[RSD]]))</f>
        <v/>
      </c>
      <c r="AN312" s="220" t="str">
        <f>IF(Buildings_GridElectricity_Frontend[[#This Row],[Data]]="","",Buildings_GridElectricity_Backend[[#This Row],[Total (tCO2e)]]*(1+Buildings_GridElectricity_Backend[[#This Row],[RSD]]))</f>
        <v/>
      </c>
      <c r="AO312" s="210" t="str">
        <f>IF(Buildings_GridElectricity_Frontend[[#This Row],[Data]]="","",_xlfn.XLOOKUP(_xlfn.CONCAT(Buildings_GridElectricity_Backend[[#This Row],[Level 1]:[Level 6]]),rng_EFConcat,rng_EFOOS)*Buildings_GridElectricity_Backend[[#This Row],[Converted data]]/1000)</f>
        <v/>
      </c>
      <c r="AP312" s="174">
        <f>Buildings_GridElectricity_Frontend[[#This Row],[Ease of collection]]</f>
        <v>0</v>
      </c>
      <c r="AQ312" s="213">
        <f>Buildings_GridElectricity_Frontend[[#This Row],[Completeness]]</f>
        <v>0</v>
      </c>
      <c r="AR312" s="220">
        <f>Buildings_GridElectricity_Frontend[[#This Row],[Notes]]</f>
        <v>0</v>
      </c>
    </row>
    <row r="313" spans="5:44" x14ac:dyDescent="0.3">
      <c r="E313" s="346"/>
      <c r="F313" s="449"/>
      <c r="G313" s="336"/>
      <c r="H313" s="334"/>
      <c r="I313" s="172" t="s">
        <v>316</v>
      </c>
      <c r="J313" s="337"/>
      <c r="K313" s="336"/>
      <c r="L313" s="336"/>
      <c r="M313" s="337"/>
      <c r="N313" s="242">
        <f t="shared" si="11"/>
        <v>3</v>
      </c>
      <c r="Q313" s="212" t="str">
        <f t="shared" si="10"/>
        <v/>
      </c>
      <c r="R313" s="174" t="s">
        <v>265</v>
      </c>
      <c r="S313" s="174" t="s">
        <v>273</v>
      </c>
      <c r="T313" s="174" t="str">
        <f>_xlfn.XLOOKUP(Buildings_GridElectricity_Backend[[#This Row],[Info 1]],Buildings_SiteInfo[Site name],Buildings_SiteInfo[Site type], "")</f>
        <v/>
      </c>
      <c r="U313" s="174" t="s">
        <v>281</v>
      </c>
      <c r="V313" s="174" t="str" cm="1">
        <f t="array" aca="1" ref="V313" ca="1">_xlfn.XLOOKUP(Buildings_GridElectricity_Backend[[#This Row],[Level 4]],rng_Level4Long,rng_Level5Long)</f>
        <v>Electricity</v>
      </c>
      <c r="W313" s="174" t="str" cm="1">
        <f t="array" aca="1" ref="W313" ca="1">_xlfn.XLOOKUP(Buildings_GridElectricity_Backend[[#This Row],[Level 4]],rng_Level4Long,rng_Level6Long)</f>
        <v>NaN</v>
      </c>
      <c r="X313" s="174">
        <f>Buildings_GridElectricity_Frontend[[#This Row],[Site Name]]</f>
        <v>0</v>
      </c>
      <c r="Y313" s="174">
        <f>Buildings_GridElectricity_Frontend[[#This Row],[Contracting]]</f>
        <v>0</v>
      </c>
      <c r="Z313" s="174">
        <f>Buildings_GridElectricity_Frontend[[#This Row],[Methodology]]</f>
        <v>0</v>
      </c>
      <c r="AA313" s="229" t="str" cm="1">
        <f t="array" ref="AA313">IF(Buildings_GridElectricity_Frontend[[#This Row],[Data]]="","",INDEX(_xlfn.SWITCH(Buildings_GridElectricity_Backend[[#This Row],[Methodology]],"Tier 1",rng_RSD1,"Tier 2",rng_RSD2,"Tier 3",rng_RSD3),MATCH(_xlfn.CONCAT(Buildings_GridElectricity_Backend[[#This Row],[Level 1]:[Level 6]]),rng_LevelsConcat,0)))</f>
        <v/>
      </c>
      <c r="AB313" s="220">
        <f>Buildings_GridElectricity_Frontend[[#This Row],[Data]]</f>
        <v>0</v>
      </c>
      <c r="AC313" s="174" t="str">
        <f>Buildings_GridElectricity_Frontend[[#This Row],[Units]]</f>
        <v>kWh</v>
      </c>
      <c r="AD313" s="218">
        <f>Buildings_GridElectricity_Frontend[[#This Row],[Data]]</f>
        <v>0</v>
      </c>
      <c r="AE313" s="174" t="str">
        <f>Buildings_GridElectricity_Frontend[[#This Row],[Units]]</f>
        <v>kWh</v>
      </c>
      <c r="AF313" s="210" t="str">
        <f>IF(Buildings_GridElectricity_Frontend[[#This Row],[Data]]="","",_xlfn.XLOOKUP(_xlfn.CONCAT(Buildings_GridElectricity_Backend[[#This Row],[Level 1]:[Level 6]]),rng_EFConcat,rng_EF1)*Buildings_GridElectricity_Backend[[#This Row],[Converted data]]/1000)</f>
        <v/>
      </c>
      <c r="AG313" s="210" t="str">
        <f>IF(Buildings_GridElectricity_Frontend[[#This Row],[Data]]="","",_xlfn.XLOOKUP(_xlfn.CONCAT(Buildings_GridElectricity_Backend[[#This Row],[Level 1]:[Level 6]]),rng_EFConcat,rng_EF2)*Buildings_GridElectricity_Backend[[#This Row],[Converted data]]/1000)</f>
        <v/>
      </c>
      <c r="AH313" s="210" t="str">
        <f>IF(Buildings_GridElectricity_Frontend[[#This Row],[Data]]="","",_xlfn.XLOOKUP(_xlfn.CONCAT(Buildings_GridElectricity_Backend[[#This Row],[Level 1]:[Level 6]]),rng_EFConcat,rng_EF3)*Buildings_GridElectricity_Backend[[#This Row],[Converted data]]/1000)</f>
        <v/>
      </c>
      <c r="AI313" s="210" t="str">
        <f>IF(Buildings_GridElectricity_Frontend[[#This Row],[Data]]="","",_xlfn.XLOOKUP(_xlfn.CONCAT(Buildings_GridElectricity_Backend[[#This Row],[Level 1]:[Level 6]]),rng_EFConcat,rng_EF3WTT)*Buildings_GridElectricity_Backend[[#This Row],[Converted data]]/1000)</f>
        <v/>
      </c>
      <c r="AJ313" s="210" t="str">
        <f>IF(Buildings_GridElectricity_Frontend[[#This Row],[Data]]="","",_xlfn.XLOOKUP(_xlfn.CONCAT(Buildings_GridElectricity_Backend[[#This Row],[Level 1]:[Level 6]]),rng_EFConcat,rng_EF3TD)*Buildings_GridElectricity_Backend[[#This Row],[Converted data]]/1000)</f>
        <v/>
      </c>
      <c r="AK313" s="210" t="str">
        <f>IF(Buildings_GridElectricity_Frontend[[#This Row],[Data]]="","",_xlfn.XLOOKUP(_xlfn.CONCAT(Buildings_GridElectricity_Backend[[#This Row],[Level 1]:[Level 6]]),rng_EFConcat,rng_EF3WTTTD)*Buildings_GridElectricity_Backend[[#This Row],[Converted data]]/1000)</f>
        <v/>
      </c>
      <c r="AL313" s="220" t="str">
        <f>IF(Buildings_GridElectricity_Frontend[[#This Row],[Data]]="","",SUM(Buildings_GridElectricity_Backend[[#This Row],[Scope 1 (tCO2e)]:[Scope 3 WTT T&amp;D (tCO2e)]]))</f>
        <v/>
      </c>
      <c r="AM313" s="220" t="str">
        <f>IF(Buildings_GridElectricity_Frontend[[#This Row],[Data]]="","",Buildings_GridElectricity_Backend[[#This Row],[Total (tCO2e)]]*(1-Buildings_GridElectricity_Backend[[#This Row],[RSD]]))</f>
        <v/>
      </c>
      <c r="AN313" s="220" t="str">
        <f>IF(Buildings_GridElectricity_Frontend[[#This Row],[Data]]="","",Buildings_GridElectricity_Backend[[#This Row],[Total (tCO2e)]]*(1+Buildings_GridElectricity_Backend[[#This Row],[RSD]]))</f>
        <v/>
      </c>
      <c r="AO313" s="210" t="str">
        <f>IF(Buildings_GridElectricity_Frontend[[#This Row],[Data]]="","",_xlfn.XLOOKUP(_xlfn.CONCAT(Buildings_GridElectricity_Backend[[#This Row],[Level 1]:[Level 6]]),rng_EFConcat,rng_EFOOS)*Buildings_GridElectricity_Backend[[#This Row],[Converted data]]/1000)</f>
        <v/>
      </c>
      <c r="AP313" s="174">
        <f>Buildings_GridElectricity_Frontend[[#This Row],[Ease of collection]]</f>
        <v>0</v>
      </c>
      <c r="AQ313" s="213">
        <f>Buildings_GridElectricity_Frontend[[#This Row],[Completeness]]</f>
        <v>0</v>
      </c>
      <c r="AR313" s="220">
        <f>Buildings_GridElectricity_Frontend[[#This Row],[Notes]]</f>
        <v>0</v>
      </c>
    </row>
    <row r="314" spans="5:44" x14ac:dyDescent="0.3">
      <c r="E314" s="346"/>
      <c r="F314" s="449"/>
      <c r="G314" s="336"/>
      <c r="H314" s="334"/>
      <c r="I314" s="172" t="s">
        <v>316</v>
      </c>
      <c r="J314" s="337"/>
      <c r="K314" s="336"/>
      <c r="L314" s="336"/>
      <c r="M314" s="337"/>
      <c r="N314" s="242">
        <f t="shared" si="11"/>
        <v>3</v>
      </c>
      <c r="Q314" s="212" t="str">
        <f t="shared" si="10"/>
        <v/>
      </c>
      <c r="R314" s="174" t="s">
        <v>265</v>
      </c>
      <c r="S314" s="174" t="s">
        <v>273</v>
      </c>
      <c r="T314" s="174" t="str">
        <f>_xlfn.XLOOKUP(Buildings_GridElectricity_Backend[[#This Row],[Info 1]],Buildings_SiteInfo[Site name],Buildings_SiteInfo[Site type], "")</f>
        <v/>
      </c>
      <c r="U314" s="174" t="s">
        <v>281</v>
      </c>
      <c r="V314" s="174" t="str" cm="1">
        <f t="array" aca="1" ref="V314" ca="1">_xlfn.XLOOKUP(Buildings_GridElectricity_Backend[[#This Row],[Level 4]],rng_Level4Long,rng_Level5Long)</f>
        <v>Electricity</v>
      </c>
      <c r="W314" s="174" t="str" cm="1">
        <f t="array" aca="1" ref="W314" ca="1">_xlfn.XLOOKUP(Buildings_GridElectricity_Backend[[#This Row],[Level 4]],rng_Level4Long,rng_Level6Long)</f>
        <v>NaN</v>
      </c>
      <c r="X314" s="174">
        <f>Buildings_GridElectricity_Frontend[[#This Row],[Site Name]]</f>
        <v>0</v>
      </c>
      <c r="Y314" s="174">
        <f>Buildings_GridElectricity_Frontend[[#This Row],[Contracting]]</f>
        <v>0</v>
      </c>
      <c r="Z314" s="174">
        <f>Buildings_GridElectricity_Frontend[[#This Row],[Methodology]]</f>
        <v>0</v>
      </c>
      <c r="AA314" s="229" t="str" cm="1">
        <f t="array" ref="AA314">IF(Buildings_GridElectricity_Frontend[[#This Row],[Data]]="","",INDEX(_xlfn.SWITCH(Buildings_GridElectricity_Backend[[#This Row],[Methodology]],"Tier 1",rng_RSD1,"Tier 2",rng_RSD2,"Tier 3",rng_RSD3),MATCH(_xlfn.CONCAT(Buildings_GridElectricity_Backend[[#This Row],[Level 1]:[Level 6]]),rng_LevelsConcat,0)))</f>
        <v/>
      </c>
      <c r="AB314" s="220">
        <f>Buildings_GridElectricity_Frontend[[#This Row],[Data]]</f>
        <v>0</v>
      </c>
      <c r="AC314" s="174" t="str">
        <f>Buildings_GridElectricity_Frontend[[#This Row],[Units]]</f>
        <v>kWh</v>
      </c>
      <c r="AD314" s="218">
        <f>Buildings_GridElectricity_Frontend[[#This Row],[Data]]</f>
        <v>0</v>
      </c>
      <c r="AE314" s="174" t="str">
        <f>Buildings_GridElectricity_Frontend[[#This Row],[Units]]</f>
        <v>kWh</v>
      </c>
      <c r="AF314" s="210" t="str">
        <f>IF(Buildings_GridElectricity_Frontend[[#This Row],[Data]]="","",_xlfn.XLOOKUP(_xlfn.CONCAT(Buildings_GridElectricity_Backend[[#This Row],[Level 1]:[Level 6]]),rng_EFConcat,rng_EF1)*Buildings_GridElectricity_Backend[[#This Row],[Converted data]]/1000)</f>
        <v/>
      </c>
      <c r="AG314" s="210" t="str">
        <f>IF(Buildings_GridElectricity_Frontend[[#This Row],[Data]]="","",_xlfn.XLOOKUP(_xlfn.CONCAT(Buildings_GridElectricity_Backend[[#This Row],[Level 1]:[Level 6]]),rng_EFConcat,rng_EF2)*Buildings_GridElectricity_Backend[[#This Row],[Converted data]]/1000)</f>
        <v/>
      </c>
      <c r="AH314" s="210" t="str">
        <f>IF(Buildings_GridElectricity_Frontend[[#This Row],[Data]]="","",_xlfn.XLOOKUP(_xlfn.CONCAT(Buildings_GridElectricity_Backend[[#This Row],[Level 1]:[Level 6]]),rng_EFConcat,rng_EF3)*Buildings_GridElectricity_Backend[[#This Row],[Converted data]]/1000)</f>
        <v/>
      </c>
      <c r="AI314" s="210" t="str">
        <f>IF(Buildings_GridElectricity_Frontend[[#This Row],[Data]]="","",_xlfn.XLOOKUP(_xlfn.CONCAT(Buildings_GridElectricity_Backend[[#This Row],[Level 1]:[Level 6]]),rng_EFConcat,rng_EF3WTT)*Buildings_GridElectricity_Backend[[#This Row],[Converted data]]/1000)</f>
        <v/>
      </c>
      <c r="AJ314" s="210" t="str">
        <f>IF(Buildings_GridElectricity_Frontend[[#This Row],[Data]]="","",_xlfn.XLOOKUP(_xlfn.CONCAT(Buildings_GridElectricity_Backend[[#This Row],[Level 1]:[Level 6]]),rng_EFConcat,rng_EF3TD)*Buildings_GridElectricity_Backend[[#This Row],[Converted data]]/1000)</f>
        <v/>
      </c>
      <c r="AK314" s="210" t="str">
        <f>IF(Buildings_GridElectricity_Frontend[[#This Row],[Data]]="","",_xlfn.XLOOKUP(_xlfn.CONCAT(Buildings_GridElectricity_Backend[[#This Row],[Level 1]:[Level 6]]),rng_EFConcat,rng_EF3WTTTD)*Buildings_GridElectricity_Backend[[#This Row],[Converted data]]/1000)</f>
        <v/>
      </c>
      <c r="AL314" s="220" t="str">
        <f>IF(Buildings_GridElectricity_Frontend[[#This Row],[Data]]="","",SUM(Buildings_GridElectricity_Backend[[#This Row],[Scope 1 (tCO2e)]:[Scope 3 WTT T&amp;D (tCO2e)]]))</f>
        <v/>
      </c>
      <c r="AM314" s="220" t="str">
        <f>IF(Buildings_GridElectricity_Frontend[[#This Row],[Data]]="","",Buildings_GridElectricity_Backend[[#This Row],[Total (tCO2e)]]*(1-Buildings_GridElectricity_Backend[[#This Row],[RSD]]))</f>
        <v/>
      </c>
      <c r="AN314" s="220" t="str">
        <f>IF(Buildings_GridElectricity_Frontend[[#This Row],[Data]]="","",Buildings_GridElectricity_Backend[[#This Row],[Total (tCO2e)]]*(1+Buildings_GridElectricity_Backend[[#This Row],[RSD]]))</f>
        <v/>
      </c>
      <c r="AO314" s="210" t="str">
        <f>IF(Buildings_GridElectricity_Frontend[[#This Row],[Data]]="","",_xlfn.XLOOKUP(_xlfn.CONCAT(Buildings_GridElectricity_Backend[[#This Row],[Level 1]:[Level 6]]),rng_EFConcat,rng_EFOOS)*Buildings_GridElectricity_Backend[[#This Row],[Converted data]]/1000)</f>
        <v/>
      </c>
      <c r="AP314" s="174">
        <f>Buildings_GridElectricity_Frontend[[#This Row],[Ease of collection]]</f>
        <v>0</v>
      </c>
      <c r="AQ314" s="213">
        <f>Buildings_GridElectricity_Frontend[[#This Row],[Completeness]]</f>
        <v>0</v>
      </c>
      <c r="AR314" s="220">
        <f>Buildings_GridElectricity_Frontend[[#This Row],[Notes]]</f>
        <v>0</v>
      </c>
    </row>
    <row r="315" spans="5:44" x14ac:dyDescent="0.3">
      <c r="E315" s="346"/>
      <c r="F315" s="449"/>
      <c r="G315" s="336"/>
      <c r="H315" s="334"/>
      <c r="I315" s="172" t="s">
        <v>316</v>
      </c>
      <c r="J315" s="337"/>
      <c r="K315" s="336"/>
      <c r="L315" s="336"/>
      <c r="M315" s="337"/>
      <c r="N315" s="242">
        <f t="shared" si="11"/>
        <v>3</v>
      </c>
      <c r="Q315" s="212" t="str">
        <f t="shared" si="10"/>
        <v/>
      </c>
      <c r="R315" s="174" t="s">
        <v>265</v>
      </c>
      <c r="S315" s="174" t="s">
        <v>273</v>
      </c>
      <c r="T315" s="174" t="str">
        <f>_xlfn.XLOOKUP(Buildings_GridElectricity_Backend[[#This Row],[Info 1]],Buildings_SiteInfo[Site name],Buildings_SiteInfo[Site type], "")</f>
        <v/>
      </c>
      <c r="U315" s="174" t="s">
        <v>281</v>
      </c>
      <c r="V315" s="174" t="str" cm="1">
        <f t="array" aca="1" ref="V315" ca="1">_xlfn.XLOOKUP(Buildings_GridElectricity_Backend[[#This Row],[Level 4]],rng_Level4Long,rng_Level5Long)</f>
        <v>Electricity</v>
      </c>
      <c r="W315" s="174" t="str" cm="1">
        <f t="array" aca="1" ref="W315" ca="1">_xlfn.XLOOKUP(Buildings_GridElectricity_Backend[[#This Row],[Level 4]],rng_Level4Long,rng_Level6Long)</f>
        <v>NaN</v>
      </c>
      <c r="X315" s="174">
        <f>Buildings_GridElectricity_Frontend[[#This Row],[Site Name]]</f>
        <v>0</v>
      </c>
      <c r="Y315" s="174">
        <f>Buildings_GridElectricity_Frontend[[#This Row],[Contracting]]</f>
        <v>0</v>
      </c>
      <c r="Z315" s="174">
        <f>Buildings_GridElectricity_Frontend[[#This Row],[Methodology]]</f>
        <v>0</v>
      </c>
      <c r="AA315" s="229" t="str" cm="1">
        <f t="array" ref="AA315">IF(Buildings_GridElectricity_Frontend[[#This Row],[Data]]="","",INDEX(_xlfn.SWITCH(Buildings_GridElectricity_Backend[[#This Row],[Methodology]],"Tier 1",rng_RSD1,"Tier 2",rng_RSD2,"Tier 3",rng_RSD3),MATCH(_xlfn.CONCAT(Buildings_GridElectricity_Backend[[#This Row],[Level 1]:[Level 6]]),rng_LevelsConcat,0)))</f>
        <v/>
      </c>
      <c r="AB315" s="220">
        <f>Buildings_GridElectricity_Frontend[[#This Row],[Data]]</f>
        <v>0</v>
      </c>
      <c r="AC315" s="174" t="str">
        <f>Buildings_GridElectricity_Frontend[[#This Row],[Units]]</f>
        <v>kWh</v>
      </c>
      <c r="AD315" s="218">
        <f>Buildings_GridElectricity_Frontend[[#This Row],[Data]]</f>
        <v>0</v>
      </c>
      <c r="AE315" s="174" t="str">
        <f>Buildings_GridElectricity_Frontend[[#This Row],[Units]]</f>
        <v>kWh</v>
      </c>
      <c r="AF315" s="210" t="str">
        <f>IF(Buildings_GridElectricity_Frontend[[#This Row],[Data]]="","",_xlfn.XLOOKUP(_xlfn.CONCAT(Buildings_GridElectricity_Backend[[#This Row],[Level 1]:[Level 6]]),rng_EFConcat,rng_EF1)*Buildings_GridElectricity_Backend[[#This Row],[Converted data]]/1000)</f>
        <v/>
      </c>
      <c r="AG315" s="210" t="str">
        <f>IF(Buildings_GridElectricity_Frontend[[#This Row],[Data]]="","",_xlfn.XLOOKUP(_xlfn.CONCAT(Buildings_GridElectricity_Backend[[#This Row],[Level 1]:[Level 6]]),rng_EFConcat,rng_EF2)*Buildings_GridElectricity_Backend[[#This Row],[Converted data]]/1000)</f>
        <v/>
      </c>
      <c r="AH315" s="210" t="str">
        <f>IF(Buildings_GridElectricity_Frontend[[#This Row],[Data]]="","",_xlfn.XLOOKUP(_xlfn.CONCAT(Buildings_GridElectricity_Backend[[#This Row],[Level 1]:[Level 6]]),rng_EFConcat,rng_EF3)*Buildings_GridElectricity_Backend[[#This Row],[Converted data]]/1000)</f>
        <v/>
      </c>
      <c r="AI315" s="210" t="str">
        <f>IF(Buildings_GridElectricity_Frontend[[#This Row],[Data]]="","",_xlfn.XLOOKUP(_xlfn.CONCAT(Buildings_GridElectricity_Backend[[#This Row],[Level 1]:[Level 6]]),rng_EFConcat,rng_EF3WTT)*Buildings_GridElectricity_Backend[[#This Row],[Converted data]]/1000)</f>
        <v/>
      </c>
      <c r="AJ315" s="210" t="str">
        <f>IF(Buildings_GridElectricity_Frontend[[#This Row],[Data]]="","",_xlfn.XLOOKUP(_xlfn.CONCAT(Buildings_GridElectricity_Backend[[#This Row],[Level 1]:[Level 6]]),rng_EFConcat,rng_EF3TD)*Buildings_GridElectricity_Backend[[#This Row],[Converted data]]/1000)</f>
        <v/>
      </c>
      <c r="AK315" s="210" t="str">
        <f>IF(Buildings_GridElectricity_Frontend[[#This Row],[Data]]="","",_xlfn.XLOOKUP(_xlfn.CONCAT(Buildings_GridElectricity_Backend[[#This Row],[Level 1]:[Level 6]]),rng_EFConcat,rng_EF3WTTTD)*Buildings_GridElectricity_Backend[[#This Row],[Converted data]]/1000)</f>
        <v/>
      </c>
      <c r="AL315" s="220" t="str">
        <f>IF(Buildings_GridElectricity_Frontend[[#This Row],[Data]]="","",SUM(Buildings_GridElectricity_Backend[[#This Row],[Scope 1 (tCO2e)]:[Scope 3 WTT T&amp;D (tCO2e)]]))</f>
        <v/>
      </c>
      <c r="AM315" s="220" t="str">
        <f>IF(Buildings_GridElectricity_Frontend[[#This Row],[Data]]="","",Buildings_GridElectricity_Backend[[#This Row],[Total (tCO2e)]]*(1-Buildings_GridElectricity_Backend[[#This Row],[RSD]]))</f>
        <v/>
      </c>
      <c r="AN315" s="220" t="str">
        <f>IF(Buildings_GridElectricity_Frontend[[#This Row],[Data]]="","",Buildings_GridElectricity_Backend[[#This Row],[Total (tCO2e)]]*(1+Buildings_GridElectricity_Backend[[#This Row],[RSD]]))</f>
        <v/>
      </c>
      <c r="AO315" s="210" t="str">
        <f>IF(Buildings_GridElectricity_Frontend[[#This Row],[Data]]="","",_xlfn.XLOOKUP(_xlfn.CONCAT(Buildings_GridElectricity_Backend[[#This Row],[Level 1]:[Level 6]]),rng_EFConcat,rng_EFOOS)*Buildings_GridElectricity_Backend[[#This Row],[Converted data]]/1000)</f>
        <v/>
      </c>
      <c r="AP315" s="174">
        <f>Buildings_GridElectricity_Frontend[[#This Row],[Ease of collection]]</f>
        <v>0</v>
      </c>
      <c r="AQ315" s="213">
        <f>Buildings_GridElectricity_Frontend[[#This Row],[Completeness]]</f>
        <v>0</v>
      </c>
      <c r="AR315" s="220">
        <f>Buildings_GridElectricity_Frontend[[#This Row],[Notes]]</f>
        <v>0</v>
      </c>
    </row>
    <row r="316" spans="5:44" x14ac:dyDescent="0.3">
      <c r="E316" s="346"/>
      <c r="F316" s="449"/>
      <c r="G316" s="336"/>
      <c r="H316" s="334"/>
      <c r="I316" s="172" t="s">
        <v>316</v>
      </c>
      <c r="J316" s="337"/>
      <c r="K316" s="336"/>
      <c r="L316" s="336"/>
      <c r="M316" s="337"/>
      <c r="N316" s="242">
        <f t="shared" si="11"/>
        <v>3</v>
      </c>
      <c r="Q316" s="212" t="str">
        <f t="shared" si="10"/>
        <v/>
      </c>
      <c r="R316" s="174" t="s">
        <v>265</v>
      </c>
      <c r="S316" s="174" t="s">
        <v>273</v>
      </c>
      <c r="T316" s="174" t="str">
        <f>_xlfn.XLOOKUP(Buildings_GridElectricity_Backend[[#This Row],[Info 1]],Buildings_SiteInfo[Site name],Buildings_SiteInfo[Site type], "")</f>
        <v/>
      </c>
      <c r="U316" s="174" t="s">
        <v>281</v>
      </c>
      <c r="V316" s="174" t="str" cm="1">
        <f t="array" aca="1" ref="V316" ca="1">_xlfn.XLOOKUP(Buildings_GridElectricity_Backend[[#This Row],[Level 4]],rng_Level4Long,rng_Level5Long)</f>
        <v>Electricity</v>
      </c>
      <c r="W316" s="174" t="str" cm="1">
        <f t="array" aca="1" ref="W316" ca="1">_xlfn.XLOOKUP(Buildings_GridElectricity_Backend[[#This Row],[Level 4]],rng_Level4Long,rng_Level6Long)</f>
        <v>NaN</v>
      </c>
      <c r="X316" s="174">
        <f>Buildings_GridElectricity_Frontend[[#This Row],[Site Name]]</f>
        <v>0</v>
      </c>
      <c r="Y316" s="174">
        <f>Buildings_GridElectricity_Frontend[[#This Row],[Contracting]]</f>
        <v>0</v>
      </c>
      <c r="Z316" s="174">
        <f>Buildings_GridElectricity_Frontend[[#This Row],[Methodology]]</f>
        <v>0</v>
      </c>
      <c r="AA316" s="229" t="str" cm="1">
        <f t="array" ref="AA316">IF(Buildings_GridElectricity_Frontend[[#This Row],[Data]]="","",INDEX(_xlfn.SWITCH(Buildings_GridElectricity_Backend[[#This Row],[Methodology]],"Tier 1",rng_RSD1,"Tier 2",rng_RSD2,"Tier 3",rng_RSD3),MATCH(_xlfn.CONCAT(Buildings_GridElectricity_Backend[[#This Row],[Level 1]:[Level 6]]),rng_LevelsConcat,0)))</f>
        <v/>
      </c>
      <c r="AB316" s="220">
        <f>Buildings_GridElectricity_Frontend[[#This Row],[Data]]</f>
        <v>0</v>
      </c>
      <c r="AC316" s="174" t="str">
        <f>Buildings_GridElectricity_Frontend[[#This Row],[Units]]</f>
        <v>kWh</v>
      </c>
      <c r="AD316" s="218">
        <f>Buildings_GridElectricity_Frontend[[#This Row],[Data]]</f>
        <v>0</v>
      </c>
      <c r="AE316" s="174" t="str">
        <f>Buildings_GridElectricity_Frontend[[#This Row],[Units]]</f>
        <v>kWh</v>
      </c>
      <c r="AF316" s="210" t="str">
        <f>IF(Buildings_GridElectricity_Frontend[[#This Row],[Data]]="","",_xlfn.XLOOKUP(_xlfn.CONCAT(Buildings_GridElectricity_Backend[[#This Row],[Level 1]:[Level 6]]),rng_EFConcat,rng_EF1)*Buildings_GridElectricity_Backend[[#This Row],[Converted data]]/1000)</f>
        <v/>
      </c>
      <c r="AG316" s="210" t="str">
        <f>IF(Buildings_GridElectricity_Frontend[[#This Row],[Data]]="","",_xlfn.XLOOKUP(_xlfn.CONCAT(Buildings_GridElectricity_Backend[[#This Row],[Level 1]:[Level 6]]),rng_EFConcat,rng_EF2)*Buildings_GridElectricity_Backend[[#This Row],[Converted data]]/1000)</f>
        <v/>
      </c>
      <c r="AH316" s="210" t="str">
        <f>IF(Buildings_GridElectricity_Frontend[[#This Row],[Data]]="","",_xlfn.XLOOKUP(_xlfn.CONCAT(Buildings_GridElectricity_Backend[[#This Row],[Level 1]:[Level 6]]),rng_EFConcat,rng_EF3)*Buildings_GridElectricity_Backend[[#This Row],[Converted data]]/1000)</f>
        <v/>
      </c>
      <c r="AI316" s="210" t="str">
        <f>IF(Buildings_GridElectricity_Frontend[[#This Row],[Data]]="","",_xlfn.XLOOKUP(_xlfn.CONCAT(Buildings_GridElectricity_Backend[[#This Row],[Level 1]:[Level 6]]),rng_EFConcat,rng_EF3WTT)*Buildings_GridElectricity_Backend[[#This Row],[Converted data]]/1000)</f>
        <v/>
      </c>
      <c r="AJ316" s="210" t="str">
        <f>IF(Buildings_GridElectricity_Frontend[[#This Row],[Data]]="","",_xlfn.XLOOKUP(_xlfn.CONCAT(Buildings_GridElectricity_Backend[[#This Row],[Level 1]:[Level 6]]),rng_EFConcat,rng_EF3TD)*Buildings_GridElectricity_Backend[[#This Row],[Converted data]]/1000)</f>
        <v/>
      </c>
      <c r="AK316" s="210" t="str">
        <f>IF(Buildings_GridElectricity_Frontend[[#This Row],[Data]]="","",_xlfn.XLOOKUP(_xlfn.CONCAT(Buildings_GridElectricity_Backend[[#This Row],[Level 1]:[Level 6]]),rng_EFConcat,rng_EF3WTTTD)*Buildings_GridElectricity_Backend[[#This Row],[Converted data]]/1000)</f>
        <v/>
      </c>
      <c r="AL316" s="220" t="str">
        <f>IF(Buildings_GridElectricity_Frontend[[#This Row],[Data]]="","",SUM(Buildings_GridElectricity_Backend[[#This Row],[Scope 1 (tCO2e)]:[Scope 3 WTT T&amp;D (tCO2e)]]))</f>
        <v/>
      </c>
      <c r="AM316" s="220" t="str">
        <f>IF(Buildings_GridElectricity_Frontend[[#This Row],[Data]]="","",Buildings_GridElectricity_Backend[[#This Row],[Total (tCO2e)]]*(1-Buildings_GridElectricity_Backend[[#This Row],[RSD]]))</f>
        <v/>
      </c>
      <c r="AN316" s="220" t="str">
        <f>IF(Buildings_GridElectricity_Frontend[[#This Row],[Data]]="","",Buildings_GridElectricity_Backend[[#This Row],[Total (tCO2e)]]*(1+Buildings_GridElectricity_Backend[[#This Row],[RSD]]))</f>
        <v/>
      </c>
      <c r="AO316" s="210" t="str">
        <f>IF(Buildings_GridElectricity_Frontend[[#This Row],[Data]]="","",_xlfn.XLOOKUP(_xlfn.CONCAT(Buildings_GridElectricity_Backend[[#This Row],[Level 1]:[Level 6]]),rng_EFConcat,rng_EFOOS)*Buildings_GridElectricity_Backend[[#This Row],[Converted data]]/1000)</f>
        <v/>
      </c>
      <c r="AP316" s="174">
        <f>Buildings_GridElectricity_Frontend[[#This Row],[Ease of collection]]</f>
        <v>0</v>
      </c>
      <c r="AQ316" s="213">
        <f>Buildings_GridElectricity_Frontend[[#This Row],[Completeness]]</f>
        <v>0</v>
      </c>
      <c r="AR316" s="220">
        <f>Buildings_GridElectricity_Frontend[[#This Row],[Notes]]</f>
        <v>0</v>
      </c>
    </row>
    <row r="317" spans="5:44" x14ac:dyDescent="0.3">
      <c r="E317" s="346"/>
      <c r="F317" s="449"/>
      <c r="G317" s="336"/>
      <c r="H317" s="334"/>
      <c r="I317" s="172" t="s">
        <v>316</v>
      </c>
      <c r="J317" s="337"/>
      <c r="K317" s="336"/>
      <c r="L317" s="336"/>
      <c r="M317" s="337"/>
      <c r="N317" s="242">
        <f t="shared" si="11"/>
        <v>3</v>
      </c>
      <c r="Q317" s="212" t="str">
        <f t="shared" si="10"/>
        <v/>
      </c>
      <c r="R317" s="174" t="s">
        <v>265</v>
      </c>
      <c r="S317" s="174" t="s">
        <v>273</v>
      </c>
      <c r="T317" s="174" t="str">
        <f>_xlfn.XLOOKUP(Buildings_GridElectricity_Backend[[#This Row],[Info 1]],Buildings_SiteInfo[Site name],Buildings_SiteInfo[Site type], "")</f>
        <v/>
      </c>
      <c r="U317" s="174" t="s">
        <v>281</v>
      </c>
      <c r="V317" s="174" t="str" cm="1">
        <f t="array" aca="1" ref="V317" ca="1">_xlfn.XLOOKUP(Buildings_GridElectricity_Backend[[#This Row],[Level 4]],rng_Level4Long,rng_Level5Long)</f>
        <v>Electricity</v>
      </c>
      <c r="W317" s="174" t="str" cm="1">
        <f t="array" aca="1" ref="W317" ca="1">_xlfn.XLOOKUP(Buildings_GridElectricity_Backend[[#This Row],[Level 4]],rng_Level4Long,rng_Level6Long)</f>
        <v>NaN</v>
      </c>
      <c r="X317" s="174">
        <f>Buildings_GridElectricity_Frontend[[#This Row],[Site Name]]</f>
        <v>0</v>
      </c>
      <c r="Y317" s="174">
        <f>Buildings_GridElectricity_Frontend[[#This Row],[Contracting]]</f>
        <v>0</v>
      </c>
      <c r="Z317" s="174">
        <f>Buildings_GridElectricity_Frontend[[#This Row],[Methodology]]</f>
        <v>0</v>
      </c>
      <c r="AA317" s="229" t="str" cm="1">
        <f t="array" ref="AA317">IF(Buildings_GridElectricity_Frontend[[#This Row],[Data]]="","",INDEX(_xlfn.SWITCH(Buildings_GridElectricity_Backend[[#This Row],[Methodology]],"Tier 1",rng_RSD1,"Tier 2",rng_RSD2,"Tier 3",rng_RSD3),MATCH(_xlfn.CONCAT(Buildings_GridElectricity_Backend[[#This Row],[Level 1]:[Level 6]]),rng_LevelsConcat,0)))</f>
        <v/>
      </c>
      <c r="AB317" s="220">
        <f>Buildings_GridElectricity_Frontend[[#This Row],[Data]]</f>
        <v>0</v>
      </c>
      <c r="AC317" s="174" t="str">
        <f>Buildings_GridElectricity_Frontend[[#This Row],[Units]]</f>
        <v>kWh</v>
      </c>
      <c r="AD317" s="218">
        <f>Buildings_GridElectricity_Frontend[[#This Row],[Data]]</f>
        <v>0</v>
      </c>
      <c r="AE317" s="174" t="str">
        <f>Buildings_GridElectricity_Frontend[[#This Row],[Units]]</f>
        <v>kWh</v>
      </c>
      <c r="AF317" s="210" t="str">
        <f>IF(Buildings_GridElectricity_Frontend[[#This Row],[Data]]="","",_xlfn.XLOOKUP(_xlfn.CONCAT(Buildings_GridElectricity_Backend[[#This Row],[Level 1]:[Level 6]]),rng_EFConcat,rng_EF1)*Buildings_GridElectricity_Backend[[#This Row],[Converted data]]/1000)</f>
        <v/>
      </c>
      <c r="AG317" s="210" t="str">
        <f>IF(Buildings_GridElectricity_Frontend[[#This Row],[Data]]="","",_xlfn.XLOOKUP(_xlfn.CONCAT(Buildings_GridElectricity_Backend[[#This Row],[Level 1]:[Level 6]]),rng_EFConcat,rng_EF2)*Buildings_GridElectricity_Backend[[#This Row],[Converted data]]/1000)</f>
        <v/>
      </c>
      <c r="AH317" s="210" t="str">
        <f>IF(Buildings_GridElectricity_Frontend[[#This Row],[Data]]="","",_xlfn.XLOOKUP(_xlfn.CONCAT(Buildings_GridElectricity_Backend[[#This Row],[Level 1]:[Level 6]]),rng_EFConcat,rng_EF3)*Buildings_GridElectricity_Backend[[#This Row],[Converted data]]/1000)</f>
        <v/>
      </c>
      <c r="AI317" s="210" t="str">
        <f>IF(Buildings_GridElectricity_Frontend[[#This Row],[Data]]="","",_xlfn.XLOOKUP(_xlfn.CONCAT(Buildings_GridElectricity_Backend[[#This Row],[Level 1]:[Level 6]]),rng_EFConcat,rng_EF3WTT)*Buildings_GridElectricity_Backend[[#This Row],[Converted data]]/1000)</f>
        <v/>
      </c>
      <c r="AJ317" s="210" t="str">
        <f>IF(Buildings_GridElectricity_Frontend[[#This Row],[Data]]="","",_xlfn.XLOOKUP(_xlfn.CONCAT(Buildings_GridElectricity_Backend[[#This Row],[Level 1]:[Level 6]]),rng_EFConcat,rng_EF3TD)*Buildings_GridElectricity_Backend[[#This Row],[Converted data]]/1000)</f>
        <v/>
      </c>
      <c r="AK317" s="210" t="str">
        <f>IF(Buildings_GridElectricity_Frontend[[#This Row],[Data]]="","",_xlfn.XLOOKUP(_xlfn.CONCAT(Buildings_GridElectricity_Backend[[#This Row],[Level 1]:[Level 6]]),rng_EFConcat,rng_EF3WTTTD)*Buildings_GridElectricity_Backend[[#This Row],[Converted data]]/1000)</f>
        <v/>
      </c>
      <c r="AL317" s="220" t="str">
        <f>IF(Buildings_GridElectricity_Frontend[[#This Row],[Data]]="","",SUM(Buildings_GridElectricity_Backend[[#This Row],[Scope 1 (tCO2e)]:[Scope 3 WTT T&amp;D (tCO2e)]]))</f>
        <v/>
      </c>
      <c r="AM317" s="220" t="str">
        <f>IF(Buildings_GridElectricity_Frontend[[#This Row],[Data]]="","",Buildings_GridElectricity_Backend[[#This Row],[Total (tCO2e)]]*(1-Buildings_GridElectricity_Backend[[#This Row],[RSD]]))</f>
        <v/>
      </c>
      <c r="AN317" s="220" t="str">
        <f>IF(Buildings_GridElectricity_Frontend[[#This Row],[Data]]="","",Buildings_GridElectricity_Backend[[#This Row],[Total (tCO2e)]]*(1+Buildings_GridElectricity_Backend[[#This Row],[RSD]]))</f>
        <v/>
      </c>
      <c r="AO317" s="210" t="str">
        <f>IF(Buildings_GridElectricity_Frontend[[#This Row],[Data]]="","",_xlfn.XLOOKUP(_xlfn.CONCAT(Buildings_GridElectricity_Backend[[#This Row],[Level 1]:[Level 6]]),rng_EFConcat,rng_EFOOS)*Buildings_GridElectricity_Backend[[#This Row],[Converted data]]/1000)</f>
        <v/>
      </c>
      <c r="AP317" s="174">
        <f>Buildings_GridElectricity_Frontend[[#This Row],[Ease of collection]]</f>
        <v>0</v>
      </c>
      <c r="AQ317" s="213">
        <f>Buildings_GridElectricity_Frontend[[#This Row],[Completeness]]</f>
        <v>0</v>
      </c>
      <c r="AR317" s="220">
        <f>Buildings_GridElectricity_Frontend[[#This Row],[Notes]]</f>
        <v>0</v>
      </c>
    </row>
    <row r="318" spans="5:44" x14ac:dyDescent="0.3">
      <c r="E318" s="346"/>
      <c r="F318" s="449"/>
      <c r="G318" s="336"/>
      <c r="H318" s="334"/>
      <c r="I318" s="172" t="s">
        <v>316</v>
      </c>
      <c r="J318" s="337"/>
      <c r="K318" s="336"/>
      <c r="L318" s="336"/>
      <c r="M318" s="337"/>
      <c r="N318" s="242">
        <f t="shared" si="11"/>
        <v>3</v>
      </c>
      <c r="Q318" s="212" t="str">
        <f t="shared" si="10"/>
        <v/>
      </c>
      <c r="R318" s="174" t="s">
        <v>265</v>
      </c>
      <c r="S318" s="174" t="s">
        <v>273</v>
      </c>
      <c r="T318" s="174" t="str">
        <f>_xlfn.XLOOKUP(Buildings_GridElectricity_Backend[[#This Row],[Info 1]],Buildings_SiteInfo[Site name],Buildings_SiteInfo[Site type], "")</f>
        <v/>
      </c>
      <c r="U318" s="174" t="s">
        <v>281</v>
      </c>
      <c r="V318" s="174" t="str" cm="1">
        <f t="array" aca="1" ref="V318" ca="1">_xlfn.XLOOKUP(Buildings_GridElectricity_Backend[[#This Row],[Level 4]],rng_Level4Long,rng_Level5Long)</f>
        <v>Electricity</v>
      </c>
      <c r="W318" s="174" t="str" cm="1">
        <f t="array" aca="1" ref="W318" ca="1">_xlfn.XLOOKUP(Buildings_GridElectricity_Backend[[#This Row],[Level 4]],rng_Level4Long,rng_Level6Long)</f>
        <v>NaN</v>
      </c>
      <c r="X318" s="174">
        <f>Buildings_GridElectricity_Frontend[[#This Row],[Site Name]]</f>
        <v>0</v>
      </c>
      <c r="Y318" s="174">
        <f>Buildings_GridElectricity_Frontend[[#This Row],[Contracting]]</f>
        <v>0</v>
      </c>
      <c r="Z318" s="174">
        <f>Buildings_GridElectricity_Frontend[[#This Row],[Methodology]]</f>
        <v>0</v>
      </c>
      <c r="AA318" s="229" t="str" cm="1">
        <f t="array" ref="AA318">IF(Buildings_GridElectricity_Frontend[[#This Row],[Data]]="","",INDEX(_xlfn.SWITCH(Buildings_GridElectricity_Backend[[#This Row],[Methodology]],"Tier 1",rng_RSD1,"Tier 2",rng_RSD2,"Tier 3",rng_RSD3),MATCH(_xlfn.CONCAT(Buildings_GridElectricity_Backend[[#This Row],[Level 1]:[Level 6]]),rng_LevelsConcat,0)))</f>
        <v/>
      </c>
      <c r="AB318" s="220">
        <f>Buildings_GridElectricity_Frontend[[#This Row],[Data]]</f>
        <v>0</v>
      </c>
      <c r="AC318" s="174" t="str">
        <f>Buildings_GridElectricity_Frontend[[#This Row],[Units]]</f>
        <v>kWh</v>
      </c>
      <c r="AD318" s="218">
        <f>Buildings_GridElectricity_Frontend[[#This Row],[Data]]</f>
        <v>0</v>
      </c>
      <c r="AE318" s="174" t="str">
        <f>Buildings_GridElectricity_Frontend[[#This Row],[Units]]</f>
        <v>kWh</v>
      </c>
      <c r="AF318" s="210" t="str">
        <f>IF(Buildings_GridElectricity_Frontend[[#This Row],[Data]]="","",_xlfn.XLOOKUP(_xlfn.CONCAT(Buildings_GridElectricity_Backend[[#This Row],[Level 1]:[Level 6]]),rng_EFConcat,rng_EF1)*Buildings_GridElectricity_Backend[[#This Row],[Converted data]]/1000)</f>
        <v/>
      </c>
      <c r="AG318" s="210" t="str">
        <f>IF(Buildings_GridElectricity_Frontend[[#This Row],[Data]]="","",_xlfn.XLOOKUP(_xlfn.CONCAT(Buildings_GridElectricity_Backend[[#This Row],[Level 1]:[Level 6]]),rng_EFConcat,rng_EF2)*Buildings_GridElectricity_Backend[[#This Row],[Converted data]]/1000)</f>
        <v/>
      </c>
      <c r="AH318" s="210" t="str">
        <f>IF(Buildings_GridElectricity_Frontend[[#This Row],[Data]]="","",_xlfn.XLOOKUP(_xlfn.CONCAT(Buildings_GridElectricity_Backend[[#This Row],[Level 1]:[Level 6]]),rng_EFConcat,rng_EF3)*Buildings_GridElectricity_Backend[[#This Row],[Converted data]]/1000)</f>
        <v/>
      </c>
      <c r="AI318" s="210" t="str">
        <f>IF(Buildings_GridElectricity_Frontend[[#This Row],[Data]]="","",_xlfn.XLOOKUP(_xlfn.CONCAT(Buildings_GridElectricity_Backend[[#This Row],[Level 1]:[Level 6]]),rng_EFConcat,rng_EF3WTT)*Buildings_GridElectricity_Backend[[#This Row],[Converted data]]/1000)</f>
        <v/>
      </c>
      <c r="AJ318" s="210" t="str">
        <f>IF(Buildings_GridElectricity_Frontend[[#This Row],[Data]]="","",_xlfn.XLOOKUP(_xlfn.CONCAT(Buildings_GridElectricity_Backend[[#This Row],[Level 1]:[Level 6]]),rng_EFConcat,rng_EF3TD)*Buildings_GridElectricity_Backend[[#This Row],[Converted data]]/1000)</f>
        <v/>
      </c>
      <c r="AK318" s="210" t="str">
        <f>IF(Buildings_GridElectricity_Frontend[[#This Row],[Data]]="","",_xlfn.XLOOKUP(_xlfn.CONCAT(Buildings_GridElectricity_Backend[[#This Row],[Level 1]:[Level 6]]),rng_EFConcat,rng_EF3WTTTD)*Buildings_GridElectricity_Backend[[#This Row],[Converted data]]/1000)</f>
        <v/>
      </c>
      <c r="AL318" s="220" t="str">
        <f>IF(Buildings_GridElectricity_Frontend[[#This Row],[Data]]="","",SUM(Buildings_GridElectricity_Backend[[#This Row],[Scope 1 (tCO2e)]:[Scope 3 WTT T&amp;D (tCO2e)]]))</f>
        <v/>
      </c>
      <c r="AM318" s="220" t="str">
        <f>IF(Buildings_GridElectricity_Frontend[[#This Row],[Data]]="","",Buildings_GridElectricity_Backend[[#This Row],[Total (tCO2e)]]*(1-Buildings_GridElectricity_Backend[[#This Row],[RSD]]))</f>
        <v/>
      </c>
      <c r="AN318" s="220" t="str">
        <f>IF(Buildings_GridElectricity_Frontend[[#This Row],[Data]]="","",Buildings_GridElectricity_Backend[[#This Row],[Total (tCO2e)]]*(1+Buildings_GridElectricity_Backend[[#This Row],[RSD]]))</f>
        <v/>
      </c>
      <c r="AO318" s="210" t="str">
        <f>IF(Buildings_GridElectricity_Frontend[[#This Row],[Data]]="","",_xlfn.XLOOKUP(_xlfn.CONCAT(Buildings_GridElectricity_Backend[[#This Row],[Level 1]:[Level 6]]),rng_EFConcat,rng_EFOOS)*Buildings_GridElectricity_Backend[[#This Row],[Converted data]]/1000)</f>
        <v/>
      </c>
      <c r="AP318" s="174">
        <f>Buildings_GridElectricity_Frontend[[#This Row],[Ease of collection]]</f>
        <v>0</v>
      </c>
      <c r="AQ318" s="213">
        <f>Buildings_GridElectricity_Frontend[[#This Row],[Completeness]]</f>
        <v>0</v>
      </c>
      <c r="AR318" s="220">
        <f>Buildings_GridElectricity_Frontend[[#This Row],[Notes]]</f>
        <v>0</v>
      </c>
    </row>
    <row r="319" spans="5:44" x14ac:dyDescent="0.3">
      <c r="E319" s="346"/>
      <c r="F319" s="449"/>
      <c r="G319" s="336"/>
      <c r="H319" s="334"/>
      <c r="I319" s="172" t="s">
        <v>316</v>
      </c>
      <c r="J319" s="337"/>
      <c r="K319" s="336"/>
      <c r="L319" s="336"/>
      <c r="M319" s="337"/>
      <c r="N319" s="242">
        <f t="shared" si="11"/>
        <v>3</v>
      </c>
      <c r="Q319" s="212" t="str">
        <f t="shared" si="10"/>
        <v/>
      </c>
      <c r="R319" s="174" t="s">
        <v>265</v>
      </c>
      <c r="S319" s="174" t="s">
        <v>273</v>
      </c>
      <c r="T319" s="174" t="str">
        <f>_xlfn.XLOOKUP(Buildings_GridElectricity_Backend[[#This Row],[Info 1]],Buildings_SiteInfo[Site name],Buildings_SiteInfo[Site type], "")</f>
        <v/>
      </c>
      <c r="U319" s="174" t="s">
        <v>281</v>
      </c>
      <c r="V319" s="174" t="str" cm="1">
        <f t="array" aca="1" ref="V319" ca="1">_xlfn.XLOOKUP(Buildings_GridElectricity_Backend[[#This Row],[Level 4]],rng_Level4Long,rng_Level5Long)</f>
        <v>Electricity</v>
      </c>
      <c r="W319" s="174" t="str" cm="1">
        <f t="array" aca="1" ref="W319" ca="1">_xlfn.XLOOKUP(Buildings_GridElectricity_Backend[[#This Row],[Level 4]],rng_Level4Long,rng_Level6Long)</f>
        <v>NaN</v>
      </c>
      <c r="X319" s="174">
        <f>Buildings_GridElectricity_Frontend[[#This Row],[Site Name]]</f>
        <v>0</v>
      </c>
      <c r="Y319" s="174">
        <f>Buildings_GridElectricity_Frontend[[#This Row],[Contracting]]</f>
        <v>0</v>
      </c>
      <c r="Z319" s="174">
        <f>Buildings_GridElectricity_Frontend[[#This Row],[Methodology]]</f>
        <v>0</v>
      </c>
      <c r="AA319" s="229" t="str" cm="1">
        <f t="array" ref="AA319">IF(Buildings_GridElectricity_Frontend[[#This Row],[Data]]="","",INDEX(_xlfn.SWITCH(Buildings_GridElectricity_Backend[[#This Row],[Methodology]],"Tier 1",rng_RSD1,"Tier 2",rng_RSD2,"Tier 3",rng_RSD3),MATCH(_xlfn.CONCAT(Buildings_GridElectricity_Backend[[#This Row],[Level 1]:[Level 6]]),rng_LevelsConcat,0)))</f>
        <v/>
      </c>
      <c r="AB319" s="220">
        <f>Buildings_GridElectricity_Frontend[[#This Row],[Data]]</f>
        <v>0</v>
      </c>
      <c r="AC319" s="174" t="str">
        <f>Buildings_GridElectricity_Frontend[[#This Row],[Units]]</f>
        <v>kWh</v>
      </c>
      <c r="AD319" s="218">
        <f>Buildings_GridElectricity_Frontend[[#This Row],[Data]]</f>
        <v>0</v>
      </c>
      <c r="AE319" s="174" t="str">
        <f>Buildings_GridElectricity_Frontend[[#This Row],[Units]]</f>
        <v>kWh</v>
      </c>
      <c r="AF319" s="210" t="str">
        <f>IF(Buildings_GridElectricity_Frontend[[#This Row],[Data]]="","",_xlfn.XLOOKUP(_xlfn.CONCAT(Buildings_GridElectricity_Backend[[#This Row],[Level 1]:[Level 6]]),rng_EFConcat,rng_EF1)*Buildings_GridElectricity_Backend[[#This Row],[Converted data]]/1000)</f>
        <v/>
      </c>
      <c r="AG319" s="210" t="str">
        <f>IF(Buildings_GridElectricity_Frontend[[#This Row],[Data]]="","",_xlfn.XLOOKUP(_xlfn.CONCAT(Buildings_GridElectricity_Backend[[#This Row],[Level 1]:[Level 6]]),rng_EFConcat,rng_EF2)*Buildings_GridElectricity_Backend[[#This Row],[Converted data]]/1000)</f>
        <v/>
      </c>
      <c r="AH319" s="210" t="str">
        <f>IF(Buildings_GridElectricity_Frontend[[#This Row],[Data]]="","",_xlfn.XLOOKUP(_xlfn.CONCAT(Buildings_GridElectricity_Backend[[#This Row],[Level 1]:[Level 6]]),rng_EFConcat,rng_EF3)*Buildings_GridElectricity_Backend[[#This Row],[Converted data]]/1000)</f>
        <v/>
      </c>
      <c r="AI319" s="210" t="str">
        <f>IF(Buildings_GridElectricity_Frontend[[#This Row],[Data]]="","",_xlfn.XLOOKUP(_xlfn.CONCAT(Buildings_GridElectricity_Backend[[#This Row],[Level 1]:[Level 6]]),rng_EFConcat,rng_EF3WTT)*Buildings_GridElectricity_Backend[[#This Row],[Converted data]]/1000)</f>
        <v/>
      </c>
      <c r="AJ319" s="210" t="str">
        <f>IF(Buildings_GridElectricity_Frontend[[#This Row],[Data]]="","",_xlfn.XLOOKUP(_xlfn.CONCAT(Buildings_GridElectricity_Backend[[#This Row],[Level 1]:[Level 6]]),rng_EFConcat,rng_EF3TD)*Buildings_GridElectricity_Backend[[#This Row],[Converted data]]/1000)</f>
        <v/>
      </c>
      <c r="AK319" s="210" t="str">
        <f>IF(Buildings_GridElectricity_Frontend[[#This Row],[Data]]="","",_xlfn.XLOOKUP(_xlfn.CONCAT(Buildings_GridElectricity_Backend[[#This Row],[Level 1]:[Level 6]]),rng_EFConcat,rng_EF3WTTTD)*Buildings_GridElectricity_Backend[[#This Row],[Converted data]]/1000)</f>
        <v/>
      </c>
      <c r="AL319" s="220" t="str">
        <f>IF(Buildings_GridElectricity_Frontend[[#This Row],[Data]]="","",SUM(Buildings_GridElectricity_Backend[[#This Row],[Scope 1 (tCO2e)]:[Scope 3 WTT T&amp;D (tCO2e)]]))</f>
        <v/>
      </c>
      <c r="AM319" s="220" t="str">
        <f>IF(Buildings_GridElectricity_Frontend[[#This Row],[Data]]="","",Buildings_GridElectricity_Backend[[#This Row],[Total (tCO2e)]]*(1-Buildings_GridElectricity_Backend[[#This Row],[RSD]]))</f>
        <v/>
      </c>
      <c r="AN319" s="220" t="str">
        <f>IF(Buildings_GridElectricity_Frontend[[#This Row],[Data]]="","",Buildings_GridElectricity_Backend[[#This Row],[Total (tCO2e)]]*(1+Buildings_GridElectricity_Backend[[#This Row],[RSD]]))</f>
        <v/>
      </c>
      <c r="AO319" s="210" t="str">
        <f>IF(Buildings_GridElectricity_Frontend[[#This Row],[Data]]="","",_xlfn.XLOOKUP(_xlfn.CONCAT(Buildings_GridElectricity_Backend[[#This Row],[Level 1]:[Level 6]]),rng_EFConcat,rng_EFOOS)*Buildings_GridElectricity_Backend[[#This Row],[Converted data]]/1000)</f>
        <v/>
      </c>
      <c r="AP319" s="174">
        <f>Buildings_GridElectricity_Frontend[[#This Row],[Ease of collection]]</f>
        <v>0</v>
      </c>
      <c r="AQ319" s="213">
        <f>Buildings_GridElectricity_Frontend[[#This Row],[Completeness]]</f>
        <v>0</v>
      </c>
      <c r="AR319" s="220">
        <f>Buildings_GridElectricity_Frontend[[#This Row],[Notes]]</f>
        <v>0</v>
      </c>
    </row>
    <row r="320" spans="5:44" x14ac:dyDescent="0.3">
      <c r="E320" s="346"/>
      <c r="F320" s="449"/>
      <c r="G320" s="336"/>
      <c r="H320" s="334"/>
      <c r="I320" s="172" t="s">
        <v>316</v>
      </c>
      <c r="J320" s="337"/>
      <c r="K320" s="336"/>
      <c r="L320" s="336"/>
      <c r="M320" s="337"/>
      <c r="N320" s="242">
        <f t="shared" si="11"/>
        <v>3</v>
      </c>
      <c r="Q320" s="212" t="str">
        <f t="shared" si="10"/>
        <v/>
      </c>
      <c r="R320" s="174" t="s">
        <v>265</v>
      </c>
      <c r="S320" s="174" t="s">
        <v>273</v>
      </c>
      <c r="T320" s="174" t="str">
        <f>_xlfn.XLOOKUP(Buildings_GridElectricity_Backend[[#This Row],[Info 1]],Buildings_SiteInfo[Site name],Buildings_SiteInfo[Site type], "")</f>
        <v/>
      </c>
      <c r="U320" s="174" t="s">
        <v>281</v>
      </c>
      <c r="V320" s="174" t="str" cm="1">
        <f t="array" aca="1" ref="V320" ca="1">_xlfn.XLOOKUP(Buildings_GridElectricity_Backend[[#This Row],[Level 4]],rng_Level4Long,rng_Level5Long)</f>
        <v>Electricity</v>
      </c>
      <c r="W320" s="174" t="str" cm="1">
        <f t="array" aca="1" ref="W320" ca="1">_xlfn.XLOOKUP(Buildings_GridElectricity_Backend[[#This Row],[Level 4]],rng_Level4Long,rng_Level6Long)</f>
        <v>NaN</v>
      </c>
      <c r="X320" s="174">
        <f>Buildings_GridElectricity_Frontend[[#This Row],[Site Name]]</f>
        <v>0</v>
      </c>
      <c r="Y320" s="174">
        <f>Buildings_GridElectricity_Frontend[[#This Row],[Contracting]]</f>
        <v>0</v>
      </c>
      <c r="Z320" s="174">
        <f>Buildings_GridElectricity_Frontend[[#This Row],[Methodology]]</f>
        <v>0</v>
      </c>
      <c r="AA320" s="229" t="str" cm="1">
        <f t="array" ref="AA320">IF(Buildings_GridElectricity_Frontend[[#This Row],[Data]]="","",INDEX(_xlfn.SWITCH(Buildings_GridElectricity_Backend[[#This Row],[Methodology]],"Tier 1",rng_RSD1,"Tier 2",rng_RSD2,"Tier 3",rng_RSD3),MATCH(_xlfn.CONCAT(Buildings_GridElectricity_Backend[[#This Row],[Level 1]:[Level 6]]),rng_LevelsConcat,0)))</f>
        <v/>
      </c>
      <c r="AB320" s="220">
        <f>Buildings_GridElectricity_Frontend[[#This Row],[Data]]</f>
        <v>0</v>
      </c>
      <c r="AC320" s="174" t="str">
        <f>Buildings_GridElectricity_Frontend[[#This Row],[Units]]</f>
        <v>kWh</v>
      </c>
      <c r="AD320" s="218">
        <f>Buildings_GridElectricity_Frontend[[#This Row],[Data]]</f>
        <v>0</v>
      </c>
      <c r="AE320" s="174" t="str">
        <f>Buildings_GridElectricity_Frontend[[#This Row],[Units]]</f>
        <v>kWh</v>
      </c>
      <c r="AF320" s="210" t="str">
        <f>IF(Buildings_GridElectricity_Frontend[[#This Row],[Data]]="","",_xlfn.XLOOKUP(_xlfn.CONCAT(Buildings_GridElectricity_Backend[[#This Row],[Level 1]:[Level 6]]),rng_EFConcat,rng_EF1)*Buildings_GridElectricity_Backend[[#This Row],[Converted data]]/1000)</f>
        <v/>
      </c>
      <c r="AG320" s="210" t="str">
        <f>IF(Buildings_GridElectricity_Frontend[[#This Row],[Data]]="","",_xlfn.XLOOKUP(_xlfn.CONCAT(Buildings_GridElectricity_Backend[[#This Row],[Level 1]:[Level 6]]),rng_EFConcat,rng_EF2)*Buildings_GridElectricity_Backend[[#This Row],[Converted data]]/1000)</f>
        <v/>
      </c>
      <c r="AH320" s="210" t="str">
        <f>IF(Buildings_GridElectricity_Frontend[[#This Row],[Data]]="","",_xlfn.XLOOKUP(_xlfn.CONCAT(Buildings_GridElectricity_Backend[[#This Row],[Level 1]:[Level 6]]),rng_EFConcat,rng_EF3)*Buildings_GridElectricity_Backend[[#This Row],[Converted data]]/1000)</f>
        <v/>
      </c>
      <c r="AI320" s="210" t="str">
        <f>IF(Buildings_GridElectricity_Frontend[[#This Row],[Data]]="","",_xlfn.XLOOKUP(_xlfn.CONCAT(Buildings_GridElectricity_Backend[[#This Row],[Level 1]:[Level 6]]),rng_EFConcat,rng_EF3WTT)*Buildings_GridElectricity_Backend[[#This Row],[Converted data]]/1000)</f>
        <v/>
      </c>
      <c r="AJ320" s="210" t="str">
        <f>IF(Buildings_GridElectricity_Frontend[[#This Row],[Data]]="","",_xlfn.XLOOKUP(_xlfn.CONCAT(Buildings_GridElectricity_Backend[[#This Row],[Level 1]:[Level 6]]),rng_EFConcat,rng_EF3TD)*Buildings_GridElectricity_Backend[[#This Row],[Converted data]]/1000)</f>
        <v/>
      </c>
      <c r="AK320" s="210" t="str">
        <f>IF(Buildings_GridElectricity_Frontend[[#This Row],[Data]]="","",_xlfn.XLOOKUP(_xlfn.CONCAT(Buildings_GridElectricity_Backend[[#This Row],[Level 1]:[Level 6]]),rng_EFConcat,rng_EF3WTTTD)*Buildings_GridElectricity_Backend[[#This Row],[Converted data]]/1000)</f>
        <v/>
      </c>
      <c r="AL320" s="220" t="str">
        <f>IF(Buildings_GridElectricity_Frontend[[#This Row],[Data]]="","",SUM(Buildings_GridElectricity_Backend[[#This Row],[Scope 1 (tCO2e)]:[Scope 3 WTT T&amp;D (tCO2e)]]))</f>
        <v/>
      </c>
      <c r="AM320" s="220" t="str">
        <f>IF(Buildings_GridElectricity_Frontend[[#This Row],[Data]]="","",Buildings_GridElectricity_Backend[[#This Row],[Total (tCO2e)]]*(1-Buildings_GridElectricity_Backend[[#This Row],[RSD]]))</f>
        <v/>
      </c>
      <c r="AN320" s="220" t="str">
        <f>IF(Buildings_GridElectricity_Frontend[[#This Row],[Data]]="","",Buildings_GridElectricity_Backend[[#This Row],[Total (tCO2e)]]*(1+Buildings_GridElectricity_Backend[[#This Row],[RSD]]))</f>
        <v/>
      </c>
      <c r="AO320" s="210" t="str">
        <f>IF(Buildings_GridElectricity_Frontend[[#This Row],[Data]]="","",_xlfn.XLOOKUP(_xlfn.CONCAT(Buildings_GridElectricity_Backend[[#This Row],[Level 1]:[Level 6]]),rng_EFConcat,rng_EFOOS)*Buildings_GridElectricity_Backend[[#This Row],[Converted data]]/1000)</f>
        <v/>
      </c>
      <c r="AP320" s="174">
        <f>Buildings_GridElectricity_Frontend[[#This Row],[Ease of collection]]</f>
        <v>0</v>
      </c>
      <c r="AQ320" s="213">
        <f>Buildings_GridElectricity_Frontend[[#This Row],[Completeness]]</f>
        <v>0</v>
      </c>
      <c r="AR320" s="220">
        <f>Buildings_GridElectricity_Frontend[[#This Row],[Notes]]</f>
        <v>0</v>
      </c>
    </row>
    <row r="321" spans="5:44" x14ac:dyDescent="0.3">
      <c r="E321" s="346"/>
      <c r="F321" s="449"/>
      <c r="G321" s="336"/>
      <c r="H321" s="334"/>
      <c r="I321" s="172" t="s">
        <v>316</v>
      </c>
      <c r="J321" s="337"/>
      <c r="K321" s="336"/>
      <c r="L321" s="336"/>
      <c r="M321" s="337"/>
      <c r="N321" s="242">
        <f t="shared" si="11"/>
        <v>3</v>
      </c>
      <c r="Q321" s="212" t="str">
        <f t="shared" si="10"/>
        <v/>
      </c>
      <c r="R321" s="174" t="s">
        <v>265</v>
      </c>
      <c r="S321" s="174" t="s">
        <v>273</v>
      </c>
      <c r="T321" s="174" t="str">
        <f>_xlfn.XLOOKUP(Buildings_GridElectricity_Backend[[#This Row],[Info 1]],Buildings_SiteInfo[Site name],Buildings_SiteInfo[Site type], "")</f>
        <v/>
      </c>
      <c r="U321" s="174" t="s">
        <v>281</v>
      </c>
      <c r="V321" s="174" t="str" cm="1">
        <f t="array" aca="1" ref="V321" ca="1">_xlfn.XLOOKUP(Buildings_GridElectricity_Backend[[#This Row],[Level 4]],rng_Level4Long,rng_Level5Long)</f>
        <v>Electricity</v>
      </c>
      <c r="W321" s="174" t="str" cm="1">
        <f t="array" aca="1" ref="W321" ca="1">_xlfn.XLOOKUP(Buildings_GridElectricity_Backend[[#This Row],[Level 4]],rng_Level4Long,rng_Level6Long)</f>
        <v>NaN</v>
      </c>
      <c r="X321" s="174">
        <f>Buildings_GridElectricity_Frontend[[#This Row],[Site Name]]</f>
        <v>0</v>
      </c>
      <c r="Y321" s="174">
        <f>Buildings_GridElectricity_Frontend[[#This Row],[Contracting]]</f>
        <v>0</v>
      </c>
      <c r="Z321" s="174">
        <f>Buildings_GridElectricity_Frontend[[#This Row],[Methodology]]</f>
        <v>0</v>
      </c>
      <c r="AA321" s="229" t="str" cm="1">
        <f t="array" ref="AA321">IF(Buildings_GridElectricity_Frontend[[#This Row],[Data]]="","",INDEX(_xlfn.SWITCH(Buildings_GridElectricity_Backend[[#This Row],[Methodology]],"Tier 1",rng_RSD1,"Tier 2",rng_RSD2,"Tier 3",rng_RSD3),MATCH(_xlfn.CONCAT(Buildings_GridElectricity_Backend[[#This Row],[Level 1]:[Level 6]]),rng_LevelsConcat,0)))</f>
        <v/>
      </c>
      <c r="AB321" s="220">
        <f>Buildings_GridElectricity_Frontend[[#This Row],[Data]]</f>
        <v>0</v>
      </c>
      <c r="AC321" s="174" t="str">
        <f>Buildings_GridElectricity_Frontend[[#This Row],[Units]]</f>
        <v>kWh</v>
      </c>
      <c r="AD321" s="218">
        <f>Buildings_GridElectricity_Frontend[[#This Row],[Data]]</f>
        <v>0</v>
      </c>
      <c r="AE321" s="174" t="str">
        <f>Buildings_GridElectricity_Frontend[[#This Row],[Units]]</f>
        <v>kWh</v>
      </c>
      <c r="AF321" s="210" t="str">
        <f>IF(Buildings_GridElectricity_Frontend[[#This Row],[Data]]="","",_xlfn.XLOOKUP(_xlfn.CONCAT(Buildings_GridElectricity_Backend[[#This Row],[Level 1]:[Level 6]]),rng_EFConcat,rng_EF1)*Buildings_GridElectricity_Backend[[#This Row],[Converted data]]/1000)</f>
        <v/>
      </c>
      <c r="AG321" s="210" t="str">
        <f>IF(Buildings_GridElectricity_Frontend[[#This Row],[Data]]="","",_xlfn.XLOOKUP(_xlfn.CONCAT(Buildings_GridElectricity_Backend[[#This Row],[Level 1]:[Level 6]]),rng_EFConcat,rng_EF2)*Buildings_GridElectricity_Backend[[#This Row],[Converted data]]/1000)</f>
        <v/>
      </c>
      <c r="AH321" s="210" t="str">
        <f>IF(Buildings_GridElectricity_Frontend[[#This Row],[Data]]="","",_xlfn.XLOOKUP(_xlfn.CONCAT(Buildings_GridElectricity_Backend[[#This Row],[Level 1]:[Level 6]]),rng_EFConcat,rng_EF3)*Buildings_GridElectricity_Backend[[#This Row],[Converted data]]/1000)</f>
        <v/>
      </c>
      <c r="AI321" s="210" t="str">
        <f>IF(Buildings_GridElectricity_Frontend[[#This Row],[Data]]="","",_xlfn.XLOOKUP(_xlfn.CONCAT(Buildings_GridElectricity_Backend[[#This Row],[Level 1]:[Level 6]]),rng_EFConcat,rng_EF3WTT)*Buildings_GridElectricity_Backend[[#This Row],[Converted data]]/1000)</f>
        <v/>
      </c>
      <c r="AJ321" s="210" t="str">
        <f>IF(Buildings_GridElectricity_Frontend[[#This Row],[Data]]="","",_xlfn.XLOOKUP(_xlfn.CONCAT(Buildings_GridElectricity_Backend[[#This Row],[Level 1]:[Level 6]]),rng_EFConcat,rng_EF3TD)*Buildings_GridElectricity_Backend[[#This Row],[Converted data]]/1000)</f>
        <v/>
      </c>
      <c r="AK321" s="210" t="str">
        <f>IF(Buildings_GridElectricity_Frontend[[#This Row],[Data]]="","",_xlfn.XLOOKUP(_xlfn.CONCAT(Buildings_GridElectricity_Backend[[#This Row],[Level 1]:[Level 6]]),rng_EFConcat,rng_EF3WTTTD)*Buildings_GridElectricity_Backend[[#This Row],[Converted data]]/1000)</f>
        <v/>
      </c>
      <c r="AL321" s="220" t="str">
        <f>IF(Buildings_GridElectricity_Frontend[[#This Row],[Data]]="","",SUM(Buildings_GridElectricity_Backend[[#This Row],[Scope 1 (tCO2e)]:[Scope 3 WTT T&amp;D (tCO2e)]]))</f>
        <v/>
      </c>
      <c r="AM321" s="220" t="str">
        <f>IF(Buildings_GridElectricity_Frontend[[#This Row],[Data]]="","",Buildings_GridElectricity_Backend[[#This Row],[Total (tCO2e)]]*(1-Buildings_GridElectricity_Backend[[#This Row],[RSD]]))</f>
        <v/>
      </c>
      <c r="AN321" s="220" t="str">
        <f>IF(Buildings_GridElectricity_Frontend[[#This Row],[Data]]="","",Buildings_GridElectricity_Backend[[#This Row],[Total (tCO2e)]]*(1+Buildings_GridElectricity_Backend[[#This Row],[RSD]]))</f>
        <v/>
      </c>
      <c r="AO321" s="210" t="str">
        <f>IF(Buildings_GridElectricity_Frontend[[#This Row],[Data]]="","",_xlfn.XLOOKUP(_xlfn.CONCAT(Buildings_GridElectricity_Backend[[#This Row],[Level 1]:[Level 6]]),rng_EFConcat,rng_EFOOS)*Buildings_GridElectricity_Backend[[#This Row],[Converted data]]/1000)</f>
        <v/>
      </c>
      <c r="AP321" s="174">
        <f>Buildings_GridElectricity_Frontend[[#This Row],[Ease of collection]]</f>
        <v>0</v>
      </c>
      <c r="AQ321" s="213">
        <f>Buildings_GridElectricity_Frontend[[#This Row],[Completeness]]</f>
        <v>0</v>
      </c>
      <c r="AR321" s="220">
        <f>Buildings_GridElectricity_Frontend[[#This Row],[Notes]]</f>
        <v>0</v>
      </c>
    </row>
    <row r="322" spans="5:44" x14ac:dyDescent="0.3">
      <c r="E322" s="346"/>
      <c r="F322" s="449"/>
      <c r="G322" s="336"/>
      <c r="H322" s="334"/>
      <c r="I322" s="172" t="s">
        <v>316</v>
      </c>
      <c r="J322" s="337"/>
      <c r="K322" s="336"/>
      <c r="L322" s="336"/>
      <c r="M322" s="337"/>
      <c r="N322" s="242">
        <f t="shared" si="11"/>
        <v>3</v>
      </c>
      <c r="Q322" s="212" t="str">
        <f t="shared" si="10"/>
        <v/>
      </c>
      <c r="R322" s="174" t="s">
        <v>265</v>
      </c>
      <c r="S322" s="174" t="s">
        <v>273</v>
      </c>
      <c r="T322" s="174" t="str">
        <f>_xlfn.XLOOKUP(Buildings_GridElectricity_Backend[[#This Row],[Info 1]],Buildings_SiteInfo[Site name],Buildings_SiteInfo[Site type], "")</f>
        <v/>
      </c>
      <c r="U322" s="174" t="s">
        <v>281</v>
      </c>
      <c r="V322" s="174" t="str" cm="1">
        <f t="array" aca="1" ref="V322" ca="1">_xlfn.XLOOKUP(Buildings_GridElectricity_Backend[[#This Row],[Level 4]],rng_Level4Long,rng_Level5Long)</f>
        <v>Electricity</v>
      </c>
      <c r="W322" s="174" t="str" cm="1">
        <f t="array" aca="1" ref="W322" ca="1">_xlfn.XLOOKUP(Buildings_GridElectricity_Backend[[#This Row],[Level 4]],rng_Level4Long,rng_Level6Long)</f>
        <v>NaN</v>
      </c>
      <c r="X322" s="174">
        <f>Buildings_GridElectricity_Frontend[[#This Row],[Site Name]]</f>
        <v>0</v>
      </c>
      <c r="Y322" s="174">
        <f>Buildings_GridElectricity_Frontend[[#This Row],[Contracting]]</f>
        <v>0</v>
      </c>
      <c r="Z322" s="174">
        <f>Buildings_GridElectricity_Frontend[[#This Row],[Methodology]]</f>
        <v>0</v>
      </c>
      <c r="AA322" s="229" t="str" cm="1">
        <f t="array" ref="AA322">IF(Buildings_GridElectricity_Frontend[[#This Row],[Data]]="","",INDEX(_xlfn.SWITCH(Buildings_GridElectricity_Backend[[#This Row],[Methodology]],"Tier 1",rng_RSD1,"Tier 2",rng_RSD2,"Tier 3",rng_RSD3),MATCH(_xlfn.CONCAT(Buildings_GridElectricity_Backend[[#This Row],[Level 1]:[Level 6]]),rng_LevelsConcat,0)))</f>
        <v/>
      </c>
      <c r="AB322" s="220">
        <f>Buildings_GridElectricity_Frontend[[#This Row],[Data]]</f>
        <v>0</v>
      </c>
      <c r="AC322" s="174" t="str">
        <f>Buildings_GridElectricity_Frontend[[#This Row],[Units]]</f>
        <v>kWh</v>
      </c>
      <c r="AD322" s="218">
        <f>Buildings_GridElectricity_Frontend[[#This Row],[Data]]</f>
        <v>0</v>
      </c>
      <c r="AE322" s="174" t="str">
        <f>Buildings_GridElectricity_Frontend[[#This Row],[Units]]</f>
        <v>kWh</v>
      </c>
      <c r="AF322" s="210" t="str">
        <f>IF(Buildings_GridElectricity_Frontend[[#This Row],[Data]]="","",_xlfn.XLOOKUP(_xlfn.CONCAT(Buildings_GridElectricity_Backend[[#This Row],[Level 1]:[Level 6]]),rng_EFConcat,rng_EF1)*Buildings_GridElectricity_Backend[[#This Row],[Converted data]]/1000)</f>
        <v/>
      </c>
      <c r="AG322" s="210" t="str">
        <f>IF(Buildings_GridElectricity_Frontend[[#This Row],[Data]]="","",_xlfn.XLOOKUP(_xlfn.CONCAT(Buildings_GridElectricity_Backend[[#This Row],[Level 1]:[Level 6]]),rng_EFConcat,rng_EF2)*Buildings_GridElectricity_Backend[[#This Row],[Converted data]]/1000)</f>
        <v/>
      </c>
      <c r="AH322" s="210" t="str">
        <f>IF(Buildings_GridElectricity_Frontend[[#This Row],[Data]]="","",_xlfn.XLOOKUP(_xlfn.CONCAT(Buildings_GridElectricity_Backend[[#This Row],[Level 1]:[Level 6]]),rng_EFConcat,rng_EF3)*Buildings_GridElectricity_Backend[[#This Row],[Converted data]]/1000)</f>
        <v/>
      </c>
      <c r="AI322" s="210" t="str">
        <f>IF(Buildings_GridElectricity_Frontend[[#This Row],[Data]]="","",_xlfn.XLOOKUP(_xlfn.CONCAT(Buildings_GridElectricity_Backend[[#This Row],[Level 1]:[Level 6]]),rng_EFConcat,rng_EF3WTT)*Buildings_GridElectricity_Backend[[#This Row],[Converted data]]/1000)</f>
        <v/>
      </c>
      <c r="AJ322" s="210" t="str">
        <f>IF(Buildings_GridElectricity_Frontend[[#This Row],[Data]]="","",_xlfn.XLOOKUP(_xlfn.CONCAT(Buildings_GridElectricity_Backend[[#This Row],[Level 1]:[Level 6]]),rng_EFConcat,rng_EF3TD)*Buildings_GridElectricity_Backend[[#This Row],[Converted data]]/1000)</f>
        <v/>
      </c>
      <c r="AK322" s="210" t="str">
        <f>IF(Buildings_GridElectricity_Frontend[[#This Row],[Data]]="","",_xlfn.XLOOKUP(_xlfn.CONCAT(Buildings_GridElectricity_Backend[[#This Row],[Level 1]:[Level 6]]),rng_EFConcat,rng_EF3WTTTD)*Buildings_GridElectricity_Backend[[#This Row],[Converted data]]/1000)</f>
        <v/>
      </c>
      <c r="AL322" s="220" t="str">
        <f>IF(Buildings_GridElectricity_Frontend[[#This Row],[Data]]="","",SUM(Buildings_GridElectricity_Backend[[#This Row],[Scope 1 (tCO2e)]:[Scope 3 WTT T&amp;D (tCO2e)]]))</f>
        <v/>
      </c>
      <c r="AM322" s="220" t="str">
        <f>IF(Buildings_GridElectricity_Frontend[[#This Row],[Data]]="","",Buildings_GridElectricity_Backend[[#This Row],[Total (tCO2e)]]*(1-Buildings_GridElectricity_Backend[[#This Row],[RSD]]))</f>
        <v/>
      </c>
      <c r="AN322" s="220" t="str">
        <f>IF(Buildings_GridElectricity_Frontend[[#This Row],[Data]]="","",Buildings_GridElectricity_Backend[[#This Row],[Total (tCO2e)]]*(1+Buildings_GridElectricity_Backend[[#This Row],[RSD]]))</f>
        <v/>
      </c>
      <c r="AO322" s="210" t="str">
        <f>IF(Buildings_GridElectricity_Frontend[[#This Row],[Data]]="","",_xlfn.XLOOKUP(_xlfn.CONCAT(Buildings_GridElectricity_Backend[[#This Row],[Level 1]:[Level 6]]),rng_EFConcat,rng_EFOOS)*Buildings_GridElectricity_Backend[[#This Row],[Converted data]]/1000)</f>
        <v/>
      </c>
      <c r="AP322" s="174">
        <f>Buildings_GridElectricity_Frontend[[#This Row],[Ease of collection]]</f>
        <v>0</v>
      </c>
      <c r="AQ322" s="213">
        <f>Buildings_GridElectricity_Frontend[[#This Row],[Completeness]]</f>
        <v>0</v>
      </c>
      <c r="AR322" s="220">
        <f>Buildings_GridElectricity_Frontend[[#This Row],[Notes]]</f>
        <v>0</v>
      </c>
    </row>
    <row r="323" spans="5:44" x14ac:dyDescent="0.3">
      <c r="E323" s="346"/>
      <c r="F323" s="449"/>
      <c r="G323" s="336"/>
      <c r="H323" s="334"/>
      <c r="I323" s="172" t="s">
        <v>316</v>
      </c>
      <c r="J323" s="337"/>
      <c r="K323" s="336"/>
      <c r="L323" s="336"/>
      <c r="M323" s="337"/>
      <c r="N323" s="242">
        <f t="shared" si="11"/>
        <v>3</v>
      </c>
      <c r="Q323" s="212" t="str">
        <f t="shared" si="10"/>
        <v/>
      </c>
      <c r="R323" s="174" t="s">
        <v>265</v>
      </c>
      <c r="S323" s="174" t="s">
        <v>273</v>
      </c>
      <c r="T323" s="174" t="str">
        <f>_xlfn.XLOOKUP(Buildings_GridElectricity_Backend[[#This Row],[Info 1]],Buildings_SiteInfo[Site name],Buildings_SiteInfo[Site type], "")</f>
        <v/>
      </c>
      <c r="U323" s="174" t="s">
        <v>281</v>
      </c>
      <c r="V323" s="174" t="str" cm="1">
        <f t="array" aca="1" ref="V323" ca="1">_xlfn.XLOOKUP(Buildings_GridElectricity_Backend[[#This Row],[Level 4]],rng_Level4Long,rng_Level5Long)</f>
        <v>Electricity</v>
      </c>
      <c r="W323" s="174" t="str" cm="1">
        <f t="array" aca="1" ref="W323" ca="1">_xlfn.XLOOKUP(Buildings_GridElectricity_Backend[[#This Row],[Level 4]],rng_Level4Long,rng_Level6Long)</f>
        <v>NaN</v>
      </c>
      <c r="X323" s="174">
        <f>Buildings_GridElectricity_Frontend[[#This Row],[Site Name]]</f>
        <v>0</v>
      </c>
      <c r="Y323" s="174">
        <f>Buildings_GridElectricity_Frontend[[#This Row],[Contracting]]</f>
        <v>0</v>
      </c>
      <c r="Z323" s="174">
        <f>Buildings_GridElectricity_Frontend[[#This Row],[Methodology]]</f>
        <v>0</v>
      </c>
      <c r="AA323" s="229" t="str" cm="1">
        <f t="array" ref="AA323">IF(Buildings_GridElectricity_Frontend[[#This Row],[Data]]="","",INDEX(_xlfn.SWITCH(Buildings_GridElectricity_Backend[[#This Row],[Methodology]],"Tier 1",rng_RSD1,"Tier 2",rng_RSD2,"Tier 3",rng_RSD3),MATCH(_xlfn.CONCAT(Buildings_GridElectricity_Backend[[#This Row],[Level 1]:[Level 6]]),rng_LevelsConcat,0)))</f>
        <v/>
      </c>
      <c r="AB323" s="220">
        <f>Buildings_GridElectricity_Frontend[[#This Row],[Data]]</f>
        <v>0</v>
      </c>
      <c r="AC323" s="174" t="str">
        <f>Buildings_GridElectricity_Frontend[[#This Row],[Units]]</f>
        <v>kWh</v>
      </c>
      <c r="AD323" s="218">
        <f>Buildings_GridElectricity_Frontend[[#This Row],[Data]]</f>
        <v>0</v>
      </c>
      <c r="AE323" s="174" t="str">
        <f>Buildings_GridElectricity_Frontend[[#This Row],[Units]]</f>
        <v>kWh</v>
      </c>
      <c r="AF323" s="210" t="str">
        <f>IF(Buildings_GridElectricity_Frontend[[#This Row],[Data]]="","",_xlfn.XLOOKUP(_xlfn.CONCAT(Buildings_GridElectricity_Backend[[#This Row],[Level 1]:[Level 6]]),rng_EFConcat,rng_EF1)*Buildings_GridElectricity_Backend[[#This Row],[Converted data]]/1000)</f>
        <v/>
      </c>
      <c r="AG323" s="210" t="str">
        <f>IF(Buildings_GridElectricity_Frontend[[#This Row],[Data]]="","",_xlfn.XLOOKUP(_xlfn.CONCAT(Buildings_GridElectricity_Backend[[#This Row],[Level 1]:[Level 6]]),rng_EFConcat,rng_EF2)*Buildings_GridElectricity_Backend[[#This Row],[Converted data]]/1000)</f>
        <v/>
      </c>
      <c r="AH323" s="210" t="str">
        <f>IF(Buildings_GridElectricity_Frontend[[#This Row],[Data]]="","",_xlfn.XLOOKUP(_xlfn.CONCAT(Buildings_GridElectricity_Backend[[#This Row],[Level 1]:[Level 6]]),rng_EFConcat,rng_EF3)*Buildings_GridElectricity_Backend[[#This Row],[Converted data]]/1000)</f>
        <v/>
      </c>
      <c r="AI323" s="210" t="str">
        <f>IF(Buildings_GridElectricity_Frontend[[#This Row],[Data]]="","",_xlfn.XLOOKUP(_xlfn.CONCAT(Buildings_GridElectricity_Backend[[#This Row],[Level 1]:[Level 6]]),rng_EFConcat,rng_EF3WTT)*Buildings_GridElectricity_Backend[[#This Row],[Converted data]]/1000)</f>
        <v/>
      </c>
      <c r="AJ323" s="210" t="str">
        <f>IF(Buildings_GridElectricity_Frontend[[#This Row],[Data]]="","",_xlfn.XLOOKUP(_xlfn.CONCAT(Buildings_GridElectricity_Backend[[#This Row],[Level 1]:[Level 6]]),rng_EFConcat,rng_EF3TD)*Buildings_GridElectricity_Backend[[#This Row],[Converted data]]/1000)</f>
        <v/>
      </c>
      <c r="AK323" s="210" t="str">
        <f>IF(Buildings_GridElectricity_Frontend[[#This Row],[Data]]="","",_xlfn.XLOOKUP(_xlfn.CONCAT(Buildings_GridElectricity_Backend[[#This Row],[Level 1]:[Level 6]]),rng_EFConcat,rng_EF3WTTTD)*Buildings_GridElectricity_Backend[[#This Row],[Converted data]]/1000)</f>
        <v/>
      </c>
      <c r="AL323" s="220" t="str">
        <f>IF(Buildings_GridElectricity_Frontend[[#This Row],[Data]]="","",SUM(Buildings_GridElectricity_Backend[[#This Row],[Scope 1 (tCO2e)]:[Scope 3 WTT T&amp;D (tCO2e)]]))</f>
        <v/>
      </c>
      <c r="AM323" s="220" t="str">
        <f>IF(Buildings_GridElectricity_Frontend[[#This Row],[Data]]="","",Buildings_GridElectricity_Backend[[#This Row],[Total (tCO2e)]]*(1-Buildings_GridElectricity_Backend[[#This Row],[RSD]]))</f>
        <v/>
      </c>
      <c r="AN323" s="220" t="str">
        <f>IF(Buildings_GridElectricity_Frontend[[#This Row],[Data]]="","",Buildings_GridElectricity_Backend[[#This Row],[Total (tCO2e)]]*(1+Buildings_GridElectricity_Backend[[#This Row],[RSD]]))</f>
        <v/>
      </c>
      <c r="AO323" s="210" t="str">
        <f>IF(Buildings_GridElectricity_Frontend[[#This Row],[Data]]="","",_xlfn.XLOOKUP(_xlfn.CONCAT(Buildings_GridElectricity_Backend[[#This Row],[Level 1]:[Level 6]]),rng_EFConcat,rng_EFOOS)*Buildings_GridElectricity_Backend[[#This Row],[Converted data]]/1000)</f>
        <v/>
      </c>
      <c r="AP323" s="174">
        <f>Buildings_GridElectricity_Frontend[[#This Row],[Ease of collection]]</f>
        <v>0</v>
      </c>
      <c r="AQ323" s="213">
        <f>Buildings_GridElectricity_Frontend[[#This Row],[Completeness]]</f>
        <v>0</v>
      </c>
      <c r="AR323" s="220">
        <f>Buildings_GridElectricity_Frontend[[#This Row],[Notes]]</f>
        <v>0</v>
      </c>
    </row>
    <row r="324" spans="5:44" x14ac:dyDescent="0.3">
      <c r="E324" s="346"/>
      <c r="F324" s="449"/>
      <c r="G324" s="336"/>
      <c r="H324" s="334"/>
      <c r="I324" s="172" t="s">
        <v>316</v>
      </c>
      <c r="J324" s="337"/>
      <c r="K324" s="336"/>
      <c r="L324" s="336"/>
      <c r="M324" s="337"/>
      <c r="N324" s="242">
        <f t="shared" si="11"/>
        <v>3</v>
      </c>
      <c r="Q324" s="212" t="str">
        <f t="shared" si="10"/>
        <v/>
      </c>
      <c r="R324" s="174" t="s">
        <v>265</v>
      </c>
      <c r="S324" s="174" t="s">
        <v>273</v>
      </c>
      <c r="T324" s="174" t="str">
        <f>_xlfn.XLOOKUP(Buildings_GridElectricity_Backend[[#This Row],[Info 1]],Buildings_SiteInfo[Site name],Buildings_SiteInfo[Site type], "")</f>
        <v/>
      </c>
      <c r="U324" s="174" t="s">
        <v>281</v>
      </c>
      <c r="V324" s="174" t="str" cm="1">
        <f t="array" aca="1" ref="V324" ca="1">_xlfn.XLOOKUP(Buildings_GridElectricity_Backend[[#This Row],[Level 4]],rng_Level4Long,rng_Level5Long)</f>
        <v>Electricity</v>
      </c>
      <c r="W324" s="174" t="str" cm="1">
        <f t="array" aca="1" ref="W324" ca="1">_xlfn.XLOOKUP(Buildings_GridElectricity_Backend[[#This Row],[Level 4]],rng_Level4Long,rng_Level6Long)</f>
        <v>NaN</v>
      </c>
      <c r="X324" s="174">
        <f>Buildings_GridElectricity_Frontend[[#This Row],[Site Name]]</f>
        <v>0</v>
      </c>
      <c r="Y324" s="174">
        <f>Buildings_GridElectricity_Frontend[[#This Row],[Contracting]]</f>
        <v>0</v>
      </c>
      <c r="Z324" s="174">
        <f>Buildings_GridElectricity_Frontend[[#This Row],[Methodology]]</f>
        <v>0</v>
      </c>
      <c r="AA324" s="229" t="str" cm="1">
        <f t="array" ref="AA324">IF(Buildings_GridElectricity_Frontend[[#This Row],[Data]]="","",INDEX(_xlfn.SWITCH(Buildings_GridElectricity_Backend[[#This Row],[Methodology]],"Tier 1",rng_RSD1,"Tier 2",rng_RSD2,"Tier 3",rng_RSD3),MATCH(_xlfn.CONCAT(Buildings_GridElectricity_Backend[[#This Row],[Level 1]:[Level 6]]),rng_LevelsConcat,0)))</f>
        <v/>
      </c>
      <c r="AB324" s="220">
        <f>Buildings_GridElectricity_Frontend[[#This Row],[Data]]</f>
        <v>0</v>
      </c>
      <c r="AC324" s="174" t="str">
        <f>Buildings_GridElectricity_Frontend[[#This Row],[Units]]</f>
        <v>kWh</v>
      </c>
      <c r="AD324" s="218">
        <f>Buildings_GridElectricity_Frontend[[#This Row],[Data]]</f>
        <v>0</v>
      </c>
      <c r="AE324" s="174" t="str">
        <f>Buildings_GridElectricity_Frontend[[#This Row],[Units]]</f>
        <v>kWh</v>
      </c>
      <c r="AF324" s="210" t="str">
        <f>IF(Buildings_GridElectricity_Frontend[[#This Row],[Data]]="","",_xlfn.XLOOKUP(_xlfn.CONCAT(Buildings_GridElectricity_Backend[[#This Row],[Level 1]:[Level 6]]),rng_EFConcat,rng_EF1)*Buildings_GridElectricity_Backend[[#This Row],[Converted data]]/1000)</f>
        <v/>
      </c>
      <c r="AG324" s="210" t="str">
        <f>IF(Buildings_GridElectricity_Frontend[[#This Row],[Data]]="","",_xlfn.XLOOKUP(_xlfn.CONCAT(Buildings_GridElectricity_Backend[[#This Row],[Level 1]:[Level 6]]),rng_EFConcat,rng_EF2)*Buildings_GridElectricity_Backend[[#This Row],[Converted data]]/1000)</f>
        <v/>
      </c>
      <c r="AH324" s="210" t="str">
        <f>IF(Buildings_GridElectricity_Frontend[[#This Row],[Data]]="","",_xlfn.XLOOKUP(_xlfn.CONCAT(Buildings_GridElectricity_Backend[[#This Row],[Level 1]:[Level 6]]),rng_EFConcat,rng_EF3)*Buildings_GridElectricity_Backend[[#This Row],[Converted data]]/1000)</f>
        <v/>
      </c>
      <c r="AI324" s="210" t="str">
        <f>IF(Buildings_GridElectricity_Frontend[[#This Row],[Data]]="","",_xlfn.XLOOKUP(_xlfn.CONCAT(Buildings_GridElectricity_Backend[[#This Row],[Level 1]:[Level 6]]),rng_EFConcat,rng_EF3WTT)*Buildings_GridElectricity_Backend[[#This Row],[Converted data]]/1000)</f>
        <v/>
      </c>
      <c r="AJ324" s="210" t="str">
        <f>IF(Buildings_GridElectricity_Frontend[[#This Row],[Data]]="","",_xlfn.XLOOKUP(_xlfn.CONCAT(Buildings_GridElectricity_Backend[[#This Row],[Level 1]:[Level 6]]),rng_EFConcat,rng_EF3TD)*Buildings_GridElectricity_Backend[[#This Row],[Converted data]]/1000)</f>
        <v/>
      </c>
      <c r="AK324" s="210" t="str">
        <f>IF(Buildings_GridElectricity_Frontend[[#This Row],[Data]]="","",_xlfn.XLOOKUP(_xlfn.CONCAT(Buildings_GridElectricity_Backend[[#This Row],[Level 1]:[Level 6]]),rng_EFConcat,rng_EF3WTTTD)*Buildings_GridElectricity_Backend[[#This Row],[Converted data]]/1000)</f>
        <v/>
      </c>
      <c r="AL324" s="220" t="str">
        <f>IF(Buildings_GridElectricity_Frontend[[#This Row],[Data]]="","",SUM(Buildings_GridElectricity_Backend[[#This Row],[Scope 1 (tCO2e)]:[Scope 3 WTT T&amp;D (tCO2e)]]))</f>
        <v/>
      </c>
      <c r="AM324" s="220" t="str">
        <f>IF(Buildings_GridElectricity_Frontend[[#This Row],[Data]]="","",Buildings_GridElectricity_Backend[[#This Row],[Total (tCO2e)]]*(1-Buildings_GridElectricity_Backend[[#This Row],[RSD]]))</f>
        <v/>
      </c>
      <c r="AN324" s="220" t="str">
        <f>IF(Buildings_GridElectricity_Frontend[[#This Row],[Data]]="","",Buildings_GridElectricity_Backend[[#This Row],[Total (tCO2e)]]*(1+Buildings_GridElectricity_Backend[[#This Row],[RSD]]))</f>
        <v/>
      </c>
      <c r="AO324" s="210" t="str">
        <f>IF(Buildings_GridElectricity_Frontend[[#This Row],[Data]]="","",_xlfn.XLOOKUP(_xlfn.CONCAT(Buildings_GridElectricity_Backend[[#This Row],[Level 1]:[Level 6]]),rng_EFConcat,rng_EFOOS)*Buildings_GridElectricity_Backend[[#This Row],[Converted data]]/1000)</f>
        <v/>
      </c>
      <c r="AP324" s="174">
        <f>Buildings_GridElectricity_Frontend[[#This Row],[Ease of collection]]</f>
        <v>0</v>
      </c>
      <c r="AQ324" s="213">
        <f>Buildings_GridElectricity_Frontend[[#This Row],[Completeness]]</f>
        <v>0</v>
      </c>
      <c r="AR324" s="220">
        <f>Buildings_GridElectricity_Frontend[[#This Row],[Notes]]</f>
        <v>0</v>
      </c>
    </row>
    <row r="325" spans="5:44" x14ac:dyDescent="0.3">
      <c r="E325" s="346"/>
      <c r="F325" s="449"/>
      <c r="G325" s="336"/>
      <c r="H325" s="334"/>
      <c r="I325" s="172" t="s">
        <v>316</v>
      </c>
      <c r="J325" s="337"/>
      <c r="K325" s="336"/>
      <c r="L325" s="336"/>
      <c r="M325" s="337"/>
      <c r="N325" s="242">
        <f t="shared" si="11"/>
        <v>3</v>
      </c>
      <c r="Q325" s="212" t="str">
        <f t="shared" si="10"/>
        <v/>
      </c>
      <c r="R325" s="174" t="s">
        <v>265</v>
      </c>
      <c r="S325" s="174" t="s">
        <v>273</v>
      </c>
      <c r="T325" s="174" t="str">
        <f>_xlfn.XLOOKUP(Buildings_GridElectricity_Backend[[#This Row],[Info 1]],Buildings_SiteInfo[Site name],Buildings_SiteInfo[Site type], "")</f>
        <v/>
      </c>
      <c r="U325" s="174" t="s">
        <v>281</v>
      </c>
      <c r="V325" s="174" t="str" cm="1">
        <f t="array" aca="1" ref="V325" ca="1">_xlfn.XLOOKUP(Buildings_GridElectricity_Backend[[#This Row],[Level 4]],rng_Level4Long,rng_Level5Long)</f>
        <v>Electricity</v>
      </c>
      <c r="W325" s="174" t="str" cm="1">
        <f t="array" aca="1" ref="W325" ca="1">_xlfn.XLOOKUP(Buildings_GridElectricity_Backend[[#This Row],[Level 4]],rng_Level4Long,rng_Level6Long)</f>
        <v>NaN</v>
      </c>
      <c r="X325" s="174">
        <f>Buildings_GridElectricity_Frontend[[#This Row],[Site Name]]</f>
        <v>0</v>
      </c>
      <c r="Y325" s="174">
        <f>Buildings_GridElectricity_Frontend[[#This Row],[Contracting]]</f>
        <v>0</v>
      </c>
      <c r="Z325" s="174">
        <f>Buildings_GridElectricity_Frontend[[#This Row],[Methodology]]</f>
        <v>0</v>
      </c>
      <c r="AA325" s="229" t="str" cm="1">
        <f t="array" ref="AA325">IF(Buildings_GridElectricity_Frontend[[#This Row],[Data]]="","",INDEX(_xlfn.SWITCH(Buildings_GridElectricity_Backend[[#This Row],[Methodology]],"Tier 1",rng_RSD1,"Tier 2",rng_RSD2,"Tier 3",rng_RSD3),MATCH(_xlfn.CONCAT(Buildings_GridElectricity_Backend[[#This Row],[Level 1]:[Level 6]]),rng_LevelsConcat,0)))</f>
        <v/>
      </c>
      <c r="AB325" s="220">
        <f>Buildings_GridElectricity_Frontend[[#This Row],[Data]]</f>
        <v>0</v>
      </c>
      <c r="AC325" s="174" t="str">
        <f>Buildings_GridElectricity_Frontend[[#This Row],[Units]]</f>
        <v>kWh</v>
      </c>
      <c r="AD325" s="218">
        <f>Buildings_GridElectricity_Frontend[[#This Row],[Data]]</f>
        <v>0</v>
      </c>
      <c r="AE325" s="174" t="str">
        <f>Buildings_GridElectricity_Frontend[[#This Row],[Units]]</f>
        <v>kWh</v>
      </c>
      <c r="AF325" s="210" t="str">
        <f>IF(Buildings_GridElectricity_Frontend[[#This Row],[Data]]="","",_xlfn.XLOOKUP(_xlfn.CONCAT(Buildings_GridElectricity_Backend[[#This Row],[Level 1]:[Level 6]]),rng_EFConcat,rng_EF1)*Buildings_GridElectricity_Backend[[#This Row],[Converted data]]/1000)</f>
        <v/>
      </c>
      <c r="AG325" s="210" t="str">
        <f>IF(Buildings_GridElectricity_Frontend[[#This Row],[Data]]="","",_xlfn.XLOOKUP(_xlfn.CONCAT(Buildings_GridElectricity_Backend[[#This Row],[Level 1]:[Level 6]]),rng_EFConcat,rng_EF2)*Buildings_GridElectricity_Backend[[#This Row],[Converted data]]/1000)</f>
        <v/>
      </c>
      <c r="AH325" s="210" t="str">
        <f>IF(Buildings_GridElectricity_Frontend[[#This Row],[Data]]="","",_xlfn.XLOOKUP(_xlfn.CONCAT(Buildings_GridElectricity_Backend[[#This Row],[Level 1]:[Level 6]]),rng_EFConcat,rng_EF3)*Buildings_GridElectricity_Backend[[#This Row],[Converted data]]/1000)</f>
        <v/>
      </c>
      <c r="AI325" s="210" t="str">
        <f>IF(Buildings_GridElectricity_Frontend[[#This Row],[Data]]="","",_xlfn.XLOOKUP(_xlfn.CONCAT(Buildings_GridElectricity_Backend[[#This Row],[Level 1]:[Level 6]]),rng_EFConcat,rng_EF3WTT)*Buildings_GridElectricity_Backend[[#This Row],[Converted data]]/1000)</f>
        <v/>
      </c>
      <c r="AJ325" s="210" t="str">
        <f>IF(Buildings_GridElectricity_Frontend[[#This Row],[Data]]="","",_xlfn.XLOOKUP(_xlfn.CONCAT(Buildings_GridElectricity_Backend[[#This Row],[Level 1]:[Level 6]]),rng_EFConcat,rng_EF3TD)*Buildings_GridElectricity_Backend[[#This Row],[Converted data]]/1000)</f>
        <v/>
      </c>
      <c r="AK325" s="210" t="str">
        <f>IF(Buildings_GridElectricity_Frontend[[#This Row],[Data]]="","",_xlfn.XLOOKUP(_xlfn.CONCAT(Buildings_GridElectricity_Backend[[#This Row],[Level 1]:[Level 6]]),rng_EFConcat,rng_EF3WTTTD)*Buildings_GridElectricity_Backend[[#This Row],[Converted data]]/1000)</f>
        <v/>
      </c>
      <c r="AL325" s="220" t="str">
        <f>IF(Buildings_GridElectricity_Frontend[[#This Row],[Data]]="","",SUM(Buildings_GridElectricity_Backend[[#This Row],[Scope 1 (tCO2e)]:[Scope 3 WTT T&amp;D (tCO2e)]]))</f>
        <v/>
      </c>
      <c r="AM325" s="220" t="str">
        <f>IF(Buildings_GridElectricity_Frontend[[#This Row],[Data]]="","",Buildings_GridElectricity_Backend[[#This Row],[Total (tCO2e)]]*(1-Buildings_GridElectricity_Backend[[#This Row],[RSD]]))</f>
        <v/>
      </c>
      <c r="AN325" s="220" t="str">
        <f>IF(Buildings_GridElectricity_Frontend[[#This Row],[Data]]="","",Buildings_GridElectricity_Backend[[#This Row],[Total (tCO2e)]]*(1+Buildings_GridElectricity_Backend[[#This Row],[RSD]]))</f>
        <v/>
      </c>
      <c r="AO325" s="210" t="str">
        <f>IF(Buildings_GridElectricity_Frontend[[#This Row],[Data]]="","",_xlfn.XLOOKUP(_xlfn.CONCAT(Buildings_GridElectricity_Backend[[#This Row],[Level 1]:[Level 6]]),rng_EFConcat,rng_EFOOS)*Buildings_GridElectricity_Backend[[#This Row],[Converted data]]/1000)</f>
        <v/>
      </c>
      <c r="AP325" s="174">
        <f>Buildings_GridElectricity_Frontend[[#This Row],[Ease of collection]]</f>
        <v>0</v>
      </c>
      <c r="AQ325" s="213">
        <f>Buildings_GridElectricity_Frontend[[#This Row],[Completeness]]</f>
        <v>0</v>
      </c>
      <c r="AR325" s="220">
        <f>Buildings_GridElectricity_Frontend[[#This Row],[Notes]]</f>
        <v>0</v>
      </c>
    </row>
    <row r="326" spans="5:44" x14ac:dyDescent="0.3">
      <c r="E326" s="346"/>
      <c r="F326" s="449"/>
      <c r="G326" s="336"/>
      <c r="H326" s="334"/>
      <c r="I326" s="172" t="s">
        <v>316</v>
      </c>
      <c r="J326" s="337"/>
      <c r="K326" s="336"/>
      <c r="L326" s="336"/>
      <c r="M326" s="337"/>
      <c r="N326" s="242">
        <f t="shared" si="11"/>
        <v>3</v>
      </c>
      <c r="Q326" s="212" t="str">
        <f t="shared" si="10"/>
        <v/>
      </c>
      <c r="R326" s="174" t="s">
        <v>265</v>
      </c>
      <c r="S326" s="174" t="s">
        <v>273</v>
      </c>
      <c r="T326" s="174" t="str">
        <f>_xlfn.XLOOKUP(Buildings_GridElectricity_Backend[[#This Row],[Info 1]],Buildings_SiteInfo[Site name],Buildings_SiteInfo[Site type], "")</f>
        <v/>
      </c>
      <c r="U326" s="174" t="s">
        <v>281</v>
      </c>
      <c r="V326" s="174" t="str" cm="1">
        <f t="array" aca="1" ref="V326" ca="1">_xlfn.XLOOKUP(Buildings_GridElectricity_Backend[[#This Row],[Level 4]],rng_Level4Long,rng_Level5Long)</f>
        <v>Electricity</v>
      </c>
      <c r="W326" s="174" t="str" cm="1">
        <f t="array" aca="1" ref="W326" ca="1">_xlfn.XLOOKUP(Buildings_GridElectricity_Backend[[#This Row],[Level 4]],rng_Level4Long,rng_Level6Long)</f>
        <v>NaN</v>
      </c>
      <c r="X326" s="174">
        <f>Buildings_GridElectricity_Frontend[[#This Row],[Site Name]]</f>
        <v>0</v>
      </c>
      <c r="Y326" s="174">
        <f>Buildings_GridElectricity_Frontend[[#This Row],[Contracting]]</f>
        <v>0</v>
      </c>
      <c r="Z326" s="174">
        <f>Buildings_GridElectricity_Frontend[[#This Row],[Methodology]]</f>
        <v>0</v>
      </c>
      <c r="AA326" s="229" t="str" cm="1">
        <f t="array" ref="AA326">IF(Buildings_GridElectricity_Frontend[[#This Row],[Data]]="","",INDEX(_xlfn.SWITCH(Buildings_GridElectricity_Backend[[#This Row],[Methodology]],"Tier 1",rng_RSD1,"Tier 2",rng_RSD2,"Tier 3",rng_RSD3),MATCH(_xlfn.CONCAT(Buildings_GridElectricity_Backend[[#This Row],[Level 1]:[Level 6]]),rng_LevelsConcat,0)))</f>
        <v/>
      </c>
      <c r="AB326" s="220">
        <f>Buildings_GridElectricity_Frontend[[#This Row],[Data]]</f>
        <v>0</v>
      </c>
      <c r="AC326" s="174" t="str">
        <f>Buildings_GridElectricity_Frontend[[#This Row],[Units]]</f>
        <v>kWh</v>
      </c>
      <c r="AD326" s="218">
        <f>Buildings_GridElectricity_Frontend[[#This Row],[Data]]</f>
        <v>0</v>
      </c>
      <c r="AE326" s="174" t="str">
        <f>Buildings_GridElectricity_Frontend[[#This Row],[Units]]</f>
        <v>kWh</v>
      </c>
      <c r="AF326" s="210" t="str">
        <f>IF(Buildings_GridElectricity_Frontend[[#This Row],[Data]]="","",_xlfn.XLOOKUP(_xlfn.CONCAT(Buildings_GridElectricity_Backend[[#This Row],[Level 1]:[Level 6]]),rng_EFConcat,rng_EF1)*Buildings_GridElectricity_Backend[[#This Row],[Converted data]]/1000)</f>
        <v/>
      </c>
      <c r="AG326" s="210" t="str">
        <f>IF(Buildings_GridElectricity_Frontend[[#This Row],[Data]]="","",_xlfn.XLOOKUP(_xlfn.CONCAT(Buildings_GridElectricity_Backend[[#This Row],[Level 1]:[Level 6]]),rng_EFConcat,rng_EF2)*Buildings_GridElectricity_Backend[[#This Row],[Converted data]]/1000)</f>
        <v/>
      </c>
      <c r="AH326" s="210" t="str">
        <f>IF(Buildings_GridElectricity_Frontend[[#This Row],[Data]]="","",_xlfn.XLOOKUP(_xlfn.CONCAT(Buildings_GridElectricity_Backend[[#This Row],[Level 1]:[Level 6]]),rng_EFConcat,rng_EF3)*Buildings_GridElectricity_Backend[[#This Row],[Converted data]]/1000)</f>
        <v/>
      </c>
      <c r="AI326" s="210" t="str">
        <f>IF(Buildings_GridElectricity_Frontend[[#This Row],[Data]]="","",_xlfn.XLOOKUP(_xlfn.CONCAT(Buildings_GridElectricity_Backend[[#This Row],[Level 1]:[Level 6]]),rng_EFConcat,rng_EF3WTT)*Buildings_GridElectricity_Backend[[#This Row],[Converted data]]/1000)</f>
        <v/>
      </c>
      <c r="AJ326" s="210" t="str">
        <f>IF(Buildings_GridElectricity_Frontend[[#This Row],[Data]]="","",_xlfn.XLOOKUP(_xlfn.CONCAT(Buildings_GridElectricity_Backend[[#This Row],[Level 1]:[Level 6]]),rng_EFConcat,rng_EF3TD)*Buildings_GridElectricity_Backend[[#This Row],[Converted data]]/1000)</f>
        <v/>
      </c>
      <c r="AK326" s="210" t="str">
        <f>IF(Buildings_GridElectricity_Frontend[[#This Row],[Data]]="","",_xlfn.XLOOKUP(_xlfn.CONCAT(Buildings_GridElectricity_Backend[[#This Row],[Level 1]:[Level 6]]),rng_EFConcat,rng_EF3WTTTD)*Buildings_GridElectricity_Backend[[#This Row],[Converted data]]/1000)</f>
        <v/>
      </c>
      <c r="AL326" s="220" t="str">
        <f>IF(Buildings_GridElectricity_Frontend[[#This Row],[Data]]="","",SUM(Buildings_GridElectricity_Backend[[#This Row],[Scope 1 (tCO2e)]:[Scope 3 WTT T&amp;D (tCO2e)]]))</f>
        <v/>
      </c>
      <c r="AM326" s="220" t="str">
        <f>IF(Buildings_GridElectricity_Frontend[[#This Row],[Data]]="","",Buildings_GridElectricity_Backend[[#This Row],[Total (tCO2e)]]*(1-Buildings_GridElectricity_Backend[[#This Row],[RSD]]))</f>
        <v/>
      </c>
      <c r="AN326" s="220" t="str">
        <f>IF(Buildings_GridElectricity_Frontend[[#This Row],[Data]]="","",Buildings_GridElectricity_Backend[[#This Row],[Total (tCO2e)]]*(1+Buildings_GridElectricity_Backend[[#This Row],[RSD]]))</f>
        <v/>
      </c>
      <c r="AO326" s="210" t="str">
        <f>IF(Buildings_GridElectricity_Frontend[[#This Row],[Data]]="","",_xlfn.XLOOKUP(_xlfn.CONCAT(Buildings_GridElectricity_Backend[[#This Row],[Level 1]:[Level 6]]),rng_EFConcat,rng_EFOOS)*Buildings_GridElectricity_Backend[[#This Row],[Converted data]]/1000)</f>
        <v/>
      </c>
      <c r="AP326" s="174">
        <f>Buildings_GridElectricity_Frontend[[#This Row],[Ease of collection]]</f>
        <v>0</v>
      </c>
      <c r="AQ326" s="213">
        <f>Buildings_GridElectricity_Frontend[[#This Row],[Completeness]]</f>
        <v>0</v>
      </c>
      <c r="AR326" s="220">
        <f>Buildings_GridElectricity_Frontend[[#This Row],[Notes]]</f>
        <v>0</v>
      </c>
    </row>
    <row r="327" spans="5:44" x14ac:dyDescent="0.3">
      <c r="E327" s="346"/>
      <c r="F327" s="449"/>
      <c r="G327" s="336"/>
      <c r="H327" s="334"/>
      <c r="I327" s="172" t="s">
        <v>316</v>
      </c>
      <c r="J327" s="337"/>
      <c r="K327" s="336"/>
      <c r="L327" s="336"/>
      <c r="M327" s="337"/>
      <c r="N327" s="242">
        <f t="shared" si="11"/>
        <v>3</v>
      </c>
      <c r="Q327" s="212" t="str">
        <f t="shared" si="10"/>
        <v/>
      </c>
      <c r="R327" s="174" t="s">
        <v>265</v>
      </c>
      <c r="S327" s="174" t="s">
        <v>273</v>
      </c>
      <c r="T327" s="174" t="str">
        <f>_xlfn.XLOOKUP(Buildings_GridElectricity_Backend[[#This Row],[Info 1]],Buildings_SiteInfo[Site name],Buildings_SiteInfo[Site type], "")</f>
        <v/>
      </c>
      <c r="U327" s="174" t="s">
        <v>281</v>
      </c>
      <c r="V327" s="174" t="str" cm="1">
        <f t="array" aca="1" ref="V327" ca="1">_xlfn.XLOOKUP(Buildings_GridElectricity_Backend[[#This Row],[Level 4]],rng_Level4Long,rng_Level5Long)</f>
        <v>Electricity</v>
      </c>
      <c r="W327" s="174" t="str" cm="1">
        <f t="array" aca="1" ref="W327" ca="1">_xlfn.XLOOKUP(Buildings_GridElectricity_Backend[[#This Row],[Level 4]],rng_Level4Long,rng_Level6Long)</f>
        <v>NaN</v>
      </c>
      <c r="X327" s="174">
        <f>Buildings_GridElectricity_Frontend[[#This Row],[Site Name]]</f>
        <v>0</v>
      </c>
      <c r="Y327" s="174">
        <f>Buildings_GridElectricity_Frontend[[#This Row],[Contracting]]</f>
        <v>0</v>
      </c>
      <c r="Z327" s="174">
        <f>Buildings_GridElectricity_Frontend[[#This Row],[Methodology]]</f>
        <v>0</v>
      </c>
      <c r="AA327" s="229" t="str" cm="1">
        <f t="array" ref="AA327">IF(Buildings_GridElectricity_Frontend[[#This Row],[Data]]="","",INDEX(_xlfn.SWITCH(Buildings_GridElectricity_Backend[[#This Row],[Methodology]],"Tier 1",rng_RSD1,"Tier 2",rng_RSD2,"Tier 3",rng_RSD3),MATCH(_xlfn.CONCAT(Buildings_GridElectricity_Backend[[#This Row],[Level 1]:[Level 6]]),rng_LevelsConcat,0)))</f>
        <v/>
      </c>
      <c r="AB327" s="220">
        <f>Buildings_GridElectricity_Frontend[[#This Row],[Data]]</f>
        <v>0</v>
      </c>
      <c r="AC327" s="174" t="str">
        <f>Buildings_GridElectricity_Frontend[[#This Row],[Units]]</f>
        <v>kWh</v>
      </c>
      <c r="AD327" s="218">
        <f>Buildings_GridElectricity_Frontend[[#This Row],[Data]]</f>
        <v>0</v>
      </c>
      <c r="AE327" s="174" t="str">
        <f>Buildings_GridElectricity_Frontend[[#This Row],[Units]]</f>
        <v>kWh</v>
      </c>
      <c r="AF327" s="210" t="str">
        <f>IF(Buildings_GridElectricity_Frontend[[#This Row],[Data]]="","",_xlfn.XLOOKUP(_xlfn.CONCAT(Buildings_GridElectricity_Backend[[#This Row],[Level 1]:[Level 6]]),rng_EFConcat,rng_EF1)*Buildings_GridElectricity_Backend[[#This Row],[Converted data]]/1000)</f>
        <v/>
      </c>
      <c r="AG327" s="210" t="str">
        <f>IF(Buildings_GridElectricity_Frontend[[#This Row],[Data]]="","",_xlfn.XLOOKUP(_xlfn.CONCAT(Buildings_GridElectricity_Backend[[#This Row],[Level 1]:[Level 6]]),rng_EFConcat,rng_EF2)*Buildings_GridElectricity_Backend[[#This Row],[Converted data]]/1000)</f>
        <v/>
      </c>
      <c r="AH327" s="210" t="str">
        <f>IF(Buildings_GridElectricity_Frontend[[#This Row],[Data]]="","",_xlfn.XLOOKUP(_xlfn.CONCAT(Buildings_GridElectricity_Backend[[#This Row],[Level 1]:[Level 6]]),rng_EFConcat,rng_EF3)*Buildings_GridElectricity_Backend[[#This Row],[Converted data]]/1000)</f>
        <v/>
      </c>
      <c r="AI327" s="210" t="str">
        <f>IF(Buildings_GridElectricity_Frontend[[#This Row],[Data]]="","",_xlfn.XLOOKUP(_xlfn.CONCAT(Buildings_GridElectricity_Backend[[#This Row],[Level 1]:[Level 6]]),rng_EFConcat,rng_EF3WTT)*Buildings_GridElectricity_Backend[[#This Row],[Converted data]]/1000)</f>
        <v/>
      </c>
      <c r="AJ327" s="210" t="str">
        <f>IF(Buildings_GridElectricity_Frontend[[#This Row],[Data]]="","",_xlfn.XLOOKUP(_xlfn.CONCAT(Buildings_GridElectricity_Backend[[#This Row],[Level 1]:[Level 6]]),rng_EFConcat,rng_EF3TD)*Buildings_GridElectricity_Backend[[#This Row],[Converted data]]/1000)</f>
        <v/>
      </c>
      <c r="AK327" s="210" t="str">
        <f>IF(Buildings_GridElectricity_Frontend[[#This Row],[Data]]="","",_xlfn.XLOOKUP(_xlfn.CONCAT(Buildings_GridElectricity_Backend[[#This Row],[Level 1]:[Level 6]]),rng_EFConcat,rng_EF3WTTTD)*Buildings_GridElectricity_Backend[[#This Row],[Converted data]]/1000)</f>
        <v/>
      </c>
      <c r="AL327" s="220" t="str">
        <f>IF(Buildings_GridElectricity_Frontend[[#This Row],[Data]]="","",SUM(Buildings_GridElectricity_Backend[[#This Row],[Scope 1 (tCO2e)]:[Scope 3 WTT T&amp;D (tCO2e)]]))</f>
        <v/>
      </c>
      <c r="AM327" s="220" t="str">
        <f>IF(Buildings_GridElectricity_Frontend[[#This Row],[Data]]="","",Buildings_GridElectricity_Backend[[#This Row],[Total (tCO2e)]]*(1-Buildings_GridElectricity_Backend[[#This Row],[RSD]]))</f>
        <v/>
      </c>
      <c r="AN327" s="220" t="str">
        <f>IF(Buildings_GridElectricity_Frontend[[#This Row],[Data]]="","",Buildings_GridElectricity_Backend[[#This Row],[Total (tCO2e)]]*(1+Buildings_GridElectricity_Backend[[#This Row],[RSD]]))</f>
        <v/>
      </c>
      <c r="AO327" s="210" t="str">
        <f>IF(Buildings_GridElectricity_Frontend[[#This Row],[Data]]="","",_xlfn.XLOOKUP(_xlfn.CONCAT(Buildings_GridElectricity_Backend[[#This Row],[Level 1]:[Level 6]]),rng_EFConcat,rng_EFOOS)*Buildings_GridElectricity_Backend[[#This Row],[Converted data]]/1000)</f>
        <v/>
      </c>
      <c r="AP327" s="174">
        <f>Buildings_GridElectricity_Frontend[[#This Row],[Ease of collection]]</f>
        <v>0</v>
      </c>
      <c r="AQ327" s="213">
        <f>Buildings_GridElectricity_Frontend[[#This Row],[Completeness]]</f>
        <v>0</v>
      </c>
      <c r="AR327" s="220">
        <f>Buildings_GridElectricity_Frontend[[#This Row],[Notes]]</f>
        <v>0</v>
      </c>
    </row>
    <row r="328" spans="5:44" x14ac:dyDescent="0.3">
      <c r="E328" s="346"/>
      <c r="F328" s="449"/>
      <c r="G328" s="336"/>
      <c r="H328" s="334"/>
      <c r="I328" s="172" t="s">
        <v>316</v>
      </c>
      <c r="J328" s="337"/>
      <c r="K328" s="336"/>
      <c r="L328" s="336"/>
      <c r="M328" s="337"/>
      <c r="N328" s="242">
        <f t="shared" si="11"/>
        <v>3</v>
      </c>
      <c r="Q328" s="212" t="str">
        <f t="shared" si="10"/>
        <v/>
      </c>
      <c r="R328" s="174" t="s">
        <v>265</v>
      </c>
      <c r="S328" s="174" t="s">
        <v>273</v>
      </c>
      <c r="T328" s="174" t="str">
        <f>_xlfn.XLOOKUP(Buildings_GridElectricity_Backend[[#This Row],[Info 1]],Buildings_SiteInfo[Site name],Buildings_SiteInfo[Site type], "")</f>
        <v/>
      </c>
      <c r="U328" s="174" t="s">
        <v>281</v>
      </c>
      <c r="V328" s="174" t="str" cm="1">
        <f t="array" aca="1" ref="V328" ca="1">_xlfn.XLOOKUP(Buildings_GridElectricity_Backend[[#This Row],[Level 4]],rng_Level4Long,rng_Level5Long)</f>
        <v>Electricity</v>
      </c>
      <c r="W328" s="174" t="str" cm="1">
        <f t="array" aca="1" ref="W328" ca="1">_xlfn.XLOOKUP(Buildings_GridElectricity_Backend[[#This Row],[Level 4]],rng_Level4Long,rng_Level6Long)</f>
        <v>NaN</v>
      </c>
      <c r="X328" s="174">
        <f>Buildings_GridElectricity_Frontend[[#This Row],[Site Name]]</f>
        <v>0</v>
      </c>
      <c r="Y328" s="174">
        <f>Buildings_GridElectricity_Frontend[[#This Row],[Contracting]]</f>
        <v>0</v>
      </c>
      <c r="Z328" s="174">
        <f>Buildings_GridElectricity_Frontend[[#This Row],[Methodology]]</f>
        <v>0</v>
      </c>
      <c r="AA328" s="229" t="str" cm="1">
        <f t="array" ref="AA328">IF(Buildings_GridElectricity_Frontend[[#This Row],[Data]]="","",INDEX(_xlfn.SWITCH(Buildings_GridElectricity_Backend[[#This Row],[Methodology]],"Tier 1",rng_RSD1,"Tier 2",rng_RSD2,"Tier 3",rng_RSD3),MATCH(_xlfn.CONCAT(Buildings_GridElectricity_Backend[[#This Row],[Level 1]:[Level 6]]),rng_LevelsConcat,0)))</f>
        <v/>
      </c>
      <c r="AB328" s="220">
        <f>Buildings_GridElectricity_Frontend[[#This Row],[Data]]</f>
        <v>0</v>
      </c>
      <c r="AC328" s="174" t="str">
        <f>Buildings_GridElectricity_Frontend[[#This Row],[Units]]</f>
        <v>kWh</v>
      </c>
      <c r="AD328" s="218">
        <f>Buildings_GridElectricity_Frontend[[#This Row],[Data]]</f>
        <v>0</v>
      </c>
      <c r="AE328" s="174" t="str">
        <f>Buildings_GridElectricity_Frontend[[#This Row],[Units]]</f>
        <v>kWh</v>
      </c>
      <c r="AF328" s="210" t="str">
        <f>IF(Buildings_GridElectricity_Frontend[[#This Row],[Data]]="","",_xlfn.XLOOKUP(_xlfn.CONCAT(Buildings_GridElectricity_Backend[[#This Row],[Level 1]:[Level 6]]),rng_EFConcat,rng_EF1)*Buildings_GridElectricity_Backend[[#This Row],[Converted data]]/1000)</f>
        <v/>
      </c>
      <c r="AG328" s="210" t="str">
        <f>IF(Buildings_GridElectricity_Frontend[[#This Row],[Data]]="","",_xlfn.XLOOKUP(_xlfn.CONCAT(Buildings_GridElectricity_Backend[[#This Row],[Level 1]:[Level 6]]),rng_EFConcat,rng_EF2)*Buildings_GridElectricity_Backend[[#This Row],[Converted data]]/1000)</f>
        <v/>
      </c>
      <c r="AH328" s="210" t="str">
        <f>IF(Buildings_GridElectricity_Frontend[[#This Row],[Data]]="","",_xlfn.XLOOKUP(_xlfn.CONCAT(Buildings_GridElectricity_Backend[[#This Row],[Level 1]:[Level 6]]),rng_EFConcat,rng_EF3)*Buildings_GridElectricity_Backend[[#This Row],[Converted data]]/1000)</f>
        <v/>
      </c>
      <c r="AI328" s="210" t="str">
        <f>IF(Buildings_GridElectricity_Frontend[[#This Row],[Data]]="","",_xlfn.XLOOKUP(_xlfn.CONCAT(Buildings_GridElectricity_Backend[[#This Row],[Level 1]:[Level 6]]),rng_EFConcat,rng_EF3WTT)*Buildings_GridElectricity_Backend[[#This Row],[Converted data]]/1000)</f>
        <v/>
      </c>
      <c r="AJ328" s="210" t="str">
        <f>IF(Buildings_GridElectricity_Frontend[[#This Row],[Data]]="","",_xlfn.XLOOKUP(_xlfn.CONCAT(Buildings_GridElectricity_Backend[[#This Row],[Level 1]:[Level 6]]),rng_EFConcat,rng_EF3TD)*Buildings_GridElectricity_Backend[[#This Row],[Converted data]]/1000)</f>
        <v/>
      </c>
      <c r="AK328" s="210" t="str">
        <f>IF(Buildings_GridElectricity_Frontend[[#This Row],[Data]]="","",_xlfn.XLOOKUP(_xlfn.CONCAT(Buildings_GridElectricity_Backend[[#This Row],[Level 1]:[Level 6]]),rng_EFConcat,rng_EF3WTTTD)*Buildings_GridElectricity_Backend[[#This Row],[Converted data]]/1000)</f>
        <v/>
      </c>
      <c r="AL328" s="220" t="str">
        <f>IF(Buildings_GridElectricity_Frontend[[#This Row],[Data]]="","",SUM(Buildings_GridElectricity_Backend[[#This Row],[Scope 1 (tCO2e)]:[Scope 3 WTT T&amp;D (tCO2e)]]))</f>
        <v/>
      </c>
      <c r="AM328" s="220" t="str">
        <f>IF(Buildings_GridElectricity_Frontend[[#This Row],[Data]]="","",Buildings_GridElectricity_Backend[[#This Row],[Total (tCO2e)]]*(1-Buildings_GridElectricity_Backend[[#This Row],[RSD]]))</f>
        <v/>
      </c>
      <c r="AN328" s="220" t="str">
        <f>IF(Buildings_GridElectricity_Frontend[[#This Row],[Data]]="","",Buildings_GridElectricity_Backend[[#This Row],[Total (tCO2e)]]*(1+Buildings_GridElectricity_Backend[[#This Row],[RSD]]))</f>
        <v/>
      </c>
      <c r="AO328" s="210" t="str">
        <f>IF(Buildings_GridElectricity_Frontend[[#This Row],[Data]]="","",_xlfn.XLOOKUP(_xlfn.CONCAT(Buildings_GridElectricity_Backend[[#This Row],[Level 1]:[Level 6]]),rng_EFConcat,rng_EFOOS)*Buildings_GridElectricity_Backend[[#This Row],[Converted data]]/1000)</f>
        <v/>
      </c>
      <c r="AP328" s="174">
        <f>Buildings_GridElectricity_Frontend[[#This Row],[Ease of collection]]</f>
        <v>0</v>
      </c>
      <c r="AQ328" s="213">
        <f>Buildings_GridElectricity_Frontend[[#This Row],[Completeness]]</f>
        <v>0</v>
      </c>
      <c r="AR328" s="220">
        <f>Buildings_GridElectricity_Frontend[[#This Row],[Notes]]</f>
        <v>0</v>
      </c>
    </row>
    <row r="329" spans="5:44" x14ac:dyDescent="0.3">
      <c r="E329" s="346"/>
      <c r="F329" s="449"/>
      <c r="G329" s="336"/>
      <c r="H329" s="334"/>
      <c r="I329" s="172" t="s">
        <v>316</v>
      </c>
      <c r="J329" s="337"/>
      <c r="K329" s="336"/>
      <c r="L329" s="336"/>
      <c r="M329" s="337"/>
      <c r="N329" s="242">
        <f t="shared" si="11"/>
        <v>3</v>
      </c>
      <c r="Q329" s="212" t="str">
        <f t="shared" si="10"/>
        <v/>
      </c>
      <c r="R329" s="174" t="s">
        <v>265</v>
      </c>
      <c r="S329" s="174" t="s">
        <v>273</v>
      </c>
      <c r="T329" s="174" t="str">
        <f>_xlfn.XLOOKUP(Buildings_GridElectricity_Backend[[#This Row],[Info 1]],Buildings_SiteInfo[Site name],Buildings_SiteInfo[Site type], "")</f>
        <v/>
      </c>
      <c r="U329" s="174" t="s">
        <v>281</v>
      </c>
      <c r="V329" s="174" t="str" cm="1">
        <f t="array" aca="1" ref="V329" ca="1">_xlfn.XLOOKUP(Buildings_GridElectricity_Backend[[#This Row],[Level 4]],rng_Level4Long,rng_Level5Long)</f>
        <v>Electricity</v>
      </c>
      <c r="W329" s="174" t="str" cm="1">
        <f t="array" aca="1" ref="W329" ca="1">_xlfn.XLOOKUP(Buildings_GridElectricity_Backend[[#This Row],[Level 4]],rng_Level4Long,rng_Level6Long)</f>
        <v>NaN</v>
      </c>
      <c r="X329" s="174">
        <f>Buildings_GridElectricity_Frontend[[#This Row],[Site Name]]</f>
        <v>0</v>
      </c>
      <c r="Y329" s="174">
        <f>Buildings_GridElectricity_Frontend[[#This Row],[Contracting]]</f>
        <v>0</v>
      </c>
      <c r="Z329" s="174">
        <f>Buildings_GridElectricity_Frontend[[#This Row],[Methodology]]</f>
        <v>0</v>
      </c>
      <c r="AA329" s="229" t="str" cm="1">
        <f t="array" ref="AA329">IF(Buildings_GridElectricity_Frontend[[#This Row],[Data]]="","",INDEX(_xlfn.SWITCH(Buildings_GridElectricity_Backend[[#This Row],[Methodology]],"Tier 1",rng_RSD1,"Tier 2",rng_RSD2,"Tier 3",rng_RSD3),MATCH(_xlfn.CONCAT(Buildings_GridElectricity_Backend[[#This Row],[Level 1]:[Level 6]]),rng_LevelsConcat,0)))</f>
        <v/>
      </c>
      <c r="AB329" s="220">
        <f>Buildings_GridElectricity_Frontend[[#This Row],[Data]]</f>
        <v>0</v>
      </c>
      <c r="AC329" s="174" t="str">
        <f>Buildings_GridElectricity_Frontend[[#This Row],[Units]]</f>
        <v>kWh</v>
      </c>
      <c r="AD329" s="218">
        <f>Buildings_GridElectricity_Frontend[[#This Row],[Data]]</f>
        <v>0</v>
      </c>
      <c r="AE329" s="174" t="str">
        <f>Buildings_GridElectricity_Frontend[[#This Row],[Units]]</f>
        <v>kWh</v>
      </c>
      <c r="AF329" s="210" t="str">
        <f>IF(Buildings_GridElectricity_Frontend[[#This Row],[Data]]="","",_xlfn.XLOOKUP(_xlfn.CONCAT(Buildings_GridElectricity_Backend[[#This Row],[Level 1]:[Level 6]]),rng_EFConcat,rng_EF1)*Buildings_GridElectricity_Backend[[#This Row],[Converted data]]/1000)</f>
        <v/>
      </c>
      <c r="AG329" s="210" t="str">
        <f>IF(Buildings_GridElectricity_Frontend[[#This Row],[Data]]="","",_xlfn.XLOOKUP(_xlfn.CONCAT(Buildings_GridElectricity_Backend[[#This Row],[Level 1]:[Level 6]]),rng_EFConcat,rng_EF2)*Buildings_GridElectricity_Backend[[#This Row],[Converted data]]/1000)</f>
        <v/>
      </c>
      <c r="AH329" s="210" t="str">
        <f>IF(Buildings_GridElectricity_Frontend[[#This Row],[Data]]="","",_xlfn.XLOOKUP(_xlfn.CONCAT(Buildings_GridElectricity_Backend[[#This Row],[Level 1]:[Level 6]]),rng_EFConcat,rng_EF3)*Buildings_GridElectricity_Backend[[#This Row],[Converted data]]/1000)</f>
        <v/>
      </c>
      <c r="AI329" s="210" t="str">
        <f>IF(Buildings_GridElectricity_Frontend[[#This Row],[Data]]="","",_xlfn.XLOOKUP(_xlfn.CONCAT(Buildings_GridElectricity_Backend[[#This Row],[Level 1]:[Level 6]]),rng_EFConcat,rng_EF3WTT)*Buildings_GridElectricity_Backend[[#This Row],[Converted data]]/1000)</f>
        <v/>
      </c>
      <c r="AJ329" s="210" t="str">
        <f>IF(Buildings_GridElectricity_Frontend[[#This Row],[Data]]="","",_xlfn.XLOOKUP(_xlfn.CONCAT(Buildings_GridElectricity_Backend[[#This Row],[Level 1]:[Level 6]]),rng_EFConcat,rng_EF3TD)*Buildings_GridElectricity_Backend[[#This Row],[Converted data]]/1000)</f>
        <v/>
      </c>
      <c r="AK329" s="210" t="str">
        <f>IF(Buildings_GridElectricity_Frontend[[#This Row],[Data]]="","",_xlfn.XLOOKUP(_xlfn.CONCAT(Buildings_GridElectricity_Backend[[#This Row],[Level 1]:[Level 6]]),rng_EFConcat,rng_EF3WTTTD)*Buildings_GridElectricity_Backend[[#This Row],[Converted data]]/1000)</f>
        <v/>
      </c>
      <c r="AL329" s="220" t="str">
        <f>IF(Buildings_GridElectricity_Frontend[[#This Row],[Data]]="","",SUM(Buildings_GridElectricity_Backend[[#This Row],[Scope 1 (tCO2e)]:[Scope 3 WTT T&amp;D (tCO2e)]]))</f>
        <v/>
      </c>
      <c r="AM329" s="220" t="str">
        <f>IF(Buildings_GridElectricity_Frontend[[#This Row],[Data]]="","",Buildings_GridElectricity_Backend[[#This Row],[Total (tCO2e)]]*(1-Buildings_GridElectricity_Backend[[#This Row],[RSD]]))</f>
        <v/>
      </c>
      <c r="AN329" s="220" t="str">
        <f>IF(Buildings_GridElectricity_Frontend[[#This Row],[Data]]="","",Buildings_GridElectricity_Backend[[#This Row],[Total (tCO2e)]]*(1+Buildings_GridElectricity_Backend[[#This Row],[RSD]]))</f>
        <v/>
      </c>
      <c r="AO329" s="210" t="str">
        <f>IF(Buildings_GridElectricity_Frontend[[#This Row],[Data]]="","",_xlfn.XLOOKUP(_xlfn.CONCAT(Buildings_GridElectricity_Backend[[#This Row],[Level 1]:[Level 6]]),rng_EFConcat,rng_EFOOS)*Buildings_GridElectricity_Backend[[#This Row],[Converted data]]/1000)</f>
        <v/>
      </c>
      <c r="AP329" s="174">
        <f>Buildings_GridElectricity_Frontend[[#This Row],[Ease of collection]]</f>
        <v>0</v>
      </c>
      <c r="AQ329" s="213">
        <f>Buildings_GridElectricity_Frontend[[#This Row],[Completeness]]</f>
        <v>0</v>
      </c>
      <c r="AR329" s="220">
        <f>Buildings_GridElectricity_Frontend[[#This Row],[Notes]]</f>
        <v>0</v>
      </c>
    </row>
    <row r="330" spans="5:44" x14ac:dyDescent="0.3">
      <c r="E330" s="346"/>
      <c r="F330" s="449"/>
      <c r="G330" s="336"/>
      <c r="H330" s="334"/>
      <c r="I330" s="172" t="s">
        <v>316</v>
      </c>
      <c r="J330" s="337"/>
      <c r="K330" s="336"/>
      <c r="L330" s="336"/>
      <c r="M330" s="337"/>
      <c r="N330" s="242">
        <f t="shared" si="11"/>
        <v>3</v>
      </c>
      <c r="Q330" s="212" t="str">
        <f t="shared" si="10"/>
        <v/>
      </c>
      <c r="R330" s="174" t="s">
        <v>265</v>
      </c>
      <c r="S330" s="174" t="s">
        <v>273</v>
      </c>
      <c r="T330" s="174" t="str">
        <f>_xlfn.XLOOKUP(Buildings_GridElectricity_Backend[[#This Row],[Info 1]],Buildings_SiteInfo[Site name],Buildings_SiteInfo[Site type], "")</f>
        <v/>
      </c>
      <c r="U330" s="174" t="s">
        <v>281</v>
      </c>
      <c r="V330" s="174" t="str" cm="1">
        <f t="array" aca="1" ref="V330" ca="1">_xlfn.XLOOKUP(Buildings_GridElectricity_Backend[[#This Row],[Level 4]],rng_Level4Long,rng_Level5Long)</f>
        <v>Electricity</v>
      </c>
      <c r="W330" s="174" t="str" cm="1">
        <f t="array" aca="1" ref="W330" ca="1">_xlfn.XLOOKUP(Buildings_GridElectricity_Backend[[#This Row],[Level 4]],rng_Level4Long,rng_Level6Long)</f>
        <v>NaN</v>
      </c>
      <c r="X330" s="174">
        <f>Buildings_GridElectricity_Frontend[[#This Row],[Site Name]]</f>
        <v>0</v>
      </c>
      <c r="Y330" s="174">
        <f>Buildings_GridElectricity_Frontend[[#This Row],[Contracting]]</f>
        <v>0</v>
      </c>
      <c r="Z330" s="174">
        <f>Buildings_GridElectricity_Frontend[[#This Row],[Methodology]]</f>
        <v>0</v>
      </c>
      <c r="AA330" s="229" t="str" cm="1">
        <f t="array" ref="AA330">IF(Buildings_GridElectricity_Frontend[[#This Row],[Data]]="","",INDEX(_xlfn.SWITCH(Buildings_GridElectricity_Backend[[#This Row],[Methodology]],"Tier 1",rng_RSD1,"Tier 2",rng_RSD2,"Tier 3",rng_RSD3),MATCH(_xlfn.CONCAT(Buildings_GridElectricity_Backend[[#This Row],[Level 1]:[Level 6]]),rng_LevelsConcat,0)))</f>
        <v/>
      </c>
      <c r="AB330" s="220">
        <f>Buildings_GridElectricity_Frontend[[#This Row],[Data]]</f>
        <v>0</v>
      </c>
      <c r="AC330" s="174" t="str">
        <f>Buildings_GridElectricity_Frontend[[#This Row],[Units]]</f>
        <v>kWh</v>
      </c>
      <c r="AD330" s="218">
        <f>Buildings_GridElectricity_Frontend[[#This Row],[Data]]</f>
        <v>0</v>
      </c>
      <c r="AE330" s="174" t="str">
        <f>Buildings_GridElectricity_Frontend[[#This Row],[Units]]</f>
        <v>kWh</v>
      </c>
      <c r="AF330" s="210" t="str">
        <f>IF(Buildings_GridElectricity_Frontend[[#This Row],[Data]]="","",_xlfn.XLOOKUP(_xlfn.CONCAT(Buildings_GridElectricity_Backend[[#This Row],[Level 1]:[Level 6]]),rng_EFConcat,rng_EF1)*Buildings_GridElectricity_Backend[[#This Row],[Converted data]]/1000)</f>
        <v/>
      </c>
      <c r="AG330" s="210" t="str">
        <f>IF(Buildings_GridElectricity_Frontend[[#This Row],[Data]]="","",_xlfn.XLOOKUP(_xlfn.CONCAT(Buildings_GridElectricity_Backend[[#This Row],[Level 1]:[Level 6]]),rng_EFConcat,rng_EF2)*Buildings_GridElectricity_Backend[[#This Row],[Converted data]]/1000)</f>
        <v/>
      </c>
      <c r="AH330" s="210" t="str">
        <f>IF(Buildings_GridElectricity_Frontend[[#This Row],[Data]]="","",_xlfn.XLOOKUP(_xlfn.CONCAT(Buildings_GridElectricity_Backend[[#This Row],[Level 1]:[Level 6]]),rng_EFConcat,rng_EF3)*Buildings_GridElectricity_Backend[[#This Row],[Converted data]]/1000)</f>
        <v/>
      </c>
      <c r="AI330" s="210" t="str">
        <f>IF(Buildings_GridElectricity_Frontend[[#This Row],[Data]]="","",_xlfn.XLOOKUP(_xlfn.CONCAT(Buildings_GridElectricity_Backend[[#This Row],[Level 1]:[Level 6]]),rng_EFConcat,rng_EF3WTT)*Buildings_GridElectricity_Backend[[#This Row],[Converted data]]/1000)</f>
        <v/>
      </c>
      <c r="AJ330" s="210" t="str">
        <f>IF(Buildings_GridElectricity_Frontend[[#This Row],[Data]]="","",_xlfn.XLOOKUP(_xlfn.CONCAT(Buildings_GridElectricity_Backend[[#This Row],[Level 1]:[Level 6]]),rng_EFConcat,rng_EF3TD)*Buildings_GridElectricity_Backend[[#This Row],[Converted data]]/1000)</f>
        <v/>
      </c>
      <c r="AK330" s="210" t="str">
        <f>IF(Buildings_GridElectricity_Frontend[[#This Row],[Data]]="","",_xlfn.XLOOKUP(_xlfn.CONCAT(Buildings_GridElectricity_Backend[[#This Row],[Level 1]:[Level 6]]),rng_EFConcat,rng_EF3WTTTD)*Buildings_GridElectricity_Backend[[#This Row],[Converted data]]/1000)</f>
        <v/>
      </c>
      <c r="AL330" s="220" t="str">
        <f>IF(Buildings_GridElectricity_Frontend[[#This Row],[Data]]="","",SUM(Buildings_GridElectricity_Backend[[#This Row],[Scope 1 (tCO2e)]:[Scope 3 WTT T&amp;D (tCO2e)]]))</f>
        <v/>
      </c>
      <c r="AM330" s="220" t="str">
        <f>IF(Buildings_GridElectricity_Frontend[[#This Row],[Data]]="","",Buildings_GridElectricity_Backend[[#This Row],[Total (tCO2e)]]*(1-Buildings_GridElectricity_Backend[[#This Row],[RSD]]))</f>
        <v/>
      </c>
      <c r="AN330" s="220" t="str">
        <f>IF(Buildings_GridElectricity_Frontend[[#This Row],[Data]]="","",Buildings_GridElectricity_Backend[[#This Row],[Total (tCO2e)]]*(1+Buildings_GridElectricity_Backend[[#This Row],[RSD]]))</f>
        <v/>
      </c>
      <c r="AO330" s="210" t="str">
        <f>IF(Buildings_GridElectricity_Frontend[[#This Row],[Data]]="","",_xlfn.XLOOKUP(_xlfn.CONCAT(Buildings_GridElectricity_Backend[[#This Row],[Level 1]:[Level 6]]),rng_EFConcat,rng_EFOOS)*Buildings_GridElectricity_Backend[[#This Row],[Converted data]]/1000)</f>
        <v/>
      </c>
      <c r="AP330" s="174">
        <f>Buildings_GridElectricity_Frontend[[#This Row],[Ease of collection]]</f>
        <v>0</v>
      </c>
      <c r="AQ330" s="213">
        <f>Buildings_GridElectricity_Frontend[[#This Row],[Completeness]]</f>
        <v>0</v>
      </c>
      <c r="AR330" s="220">
        <f>Buildings_GridElectricity_Frontend[[#This Row],[Notes]]</f>
        <v>0</v>
      </c>
    </row>
    <row r="331" spans="5:44" x14ac:dyDescent="0.3">
      <c r="E331" s="346"/>
      <c r="F331" s="449"/>
      <c r="G331" s="336"/>
      <c r="H331" s="334"/>
      <c r="I331" s="172" t="s">
        <v>316</v>
      </c>
      <c r="J331" s="337"/>
      <c r="K331" s="336"/>
      <c r="L331" s="336"/>
      <c r="M331" s="337"/>
      <c r="N331" s="242">
        <f t="shared" si="11"/>
        <v>3</v>
      </c>
      <c r="Q331" s="212" t="str">
        <f t="shared" si="10"/>
        <v/>
      </c>
      <c r="R331" s="174" t="s">
        <v>265</v>
      </c>
      <c r="S331" s="174" t="s">
        <v>273</v>
      </c>
      <c r="T331" s="174" t="str">
        <f>_xlfn.XLOOKUP(Buildings_GridElectricity_Backend[[#This Row],[Info 1]],Buildings_SiteInfo[Site name],Buildings_SiteInfo[Site type], "")</f>
        <v/>
      </c>
      <c r="U331" s="174" t="s">
        <v>281</v>
      </c>
      <c r="V331" s="174" t="str" cm="1">
        <f t="array" aca="1" ref="V331" ca="1">_xlfn.XLOOKUP(Buildings_GridElectricity_Backend[[#This Row],[Level 4]],rng_Level4Long,rng_Level5Long)</f>
        <v>Electricity</v>
      </c>
      <c r="W331" s="174" t="str" cm="1">
        <f t="array" aca="1" ref="W331" ca="1">_xlfn.XLOOKUP(Buildings_GridElectricity_Backend[[#This Row],[Level 4]],rng_Level4Long,rng_Level6Long)</f>
        <v>NaN</v>
      </c>
      <c r="X331" s="174">
        <f>Buildings_GridElectricity_Frontend[[#This Row],[Site Name]]</f>
        <v>0</v>
      </c>
      <c r="Y331" s="174">
        <f>Buildings_GridElectricity_Frontend[[#This Row],[Contracting]]</f>
        <v>0</v>
      </c>
      <c r="Z331" s="174">
        <f>Buildings_GridElectricity_Frontend[[#This Row],[Methodology]]</f>
        <v>0</v>
      </c>
      <c r="AA331" s="229" t="str" cm="1">
        <f t="array" ref="AA331">IF(Buildings_GridElectricity_Frontend[[#This Row],[Data]]="","",INDEX(_xlfn.SWITCH(Buildings_GridElectricity_Backend[[#This Row],[Methodology]],"Tier 1",rng_RSD1,"Tier 2",rng_RSD2,"Tier 3",rng_RSD3),MATCH(_xlfn.CONCAT(Buildings_GridElectricity_Backend[[#This Row],[Level 1]:[Level 6]]),rng_LevelsConcat,0)))</f>
        <v/>
      </c>
      <c r="AB331" s="220">
        <f>Buildings_GridElectricity_Frontend[[#This Row],[Data]]</f>
        <v>0</v>
      </c>
      <c r="AC331" s="174" t="str">
        <f>Buildings_GridElectricity_Frontend[[#This Row],[Units]]</f>
        <v>kWh</v>
      </c>
      <c r="AD331" s="218">
        <f>Buildings_GridElectricity_Frontend[[#This Row],[Data]]</f>
        <v>0</v>
      </c>
      <c r="AE331" s="174" t="str">
        <f>Buildings_GridElectricity_Frontend[[#This Row],[Units]]</f>
        <v>kWh</v>
      </c>
      <c r="AF331" s="210" t="str">
        <f>IF(Buildings_GridElectricity_Frontend[[#This Row],[Data]]="","",_xlfn.XLOOKUP(_xlfn.CONCAT(Buildings_GridElectricity_Backend[[#This Row],[Level 1]:[Level 6]]),rng_EFConcat,rng_EF1)*Buildings_GridElectricity_Backend[[#This Row],[Converted data]]/1000)</f>
        <v/>
      </c>
      <c r="AG331" s="210" t="str">
        <f>IF(Buildings_GridElectricity_Frontend[[#This Row],[Data]]="","",_xlfn.XLOOKUP(_xlfn.CONCAT(Buildings_GridElectricity_Backend[[#This Row],[Level 1]:[Level 6]]),rng_EFConcat,rng_EF2)*Buildings_GridElectricity_Backend[[#This Row],[Converted data]]/1000)</f>
        <v/>
      </c>
      <c r="AH331" s="210" t="str">
        <f>IF(Buildings_GridElectricity_Frontend[[#This Row],[Data]]="","",_xlfn.XLOOKUP(_xlfn.CONCAT(Buildings_GridElectricity_Backend[[#This Row],[Level 1]:[Level 6]]),rng_EFConcat,rng_EF3)*Buildings_GridElectricity_Backend[[#This Row],[Converted data]]/1000)</f>
        <v/>
      </c>
      <c r="AI331" s="210" t="str">
        <f>IF(Buildings_GridElectricity_Frontend[[#This Row],[Data]]="","",_xlfn.XLOOKUP(_xlfn.CONCAT(Buildings_GridElectricity_Backend[[#This Row],[Level 1]:[Level 6]]),rng_EFConcat,rng_EF3WTT)*Buildings_GridElectricity_Backend[[#This Row],[Converted data]]/1000)</f>
        <v/>
      </c>
      <c r="AJ331" s="210" t="str">
        <f>IF(Buildings_GridElectricity_Frontend[[#This Row],[Data]]="","",_xlfn.XLOOKUP(_xlfn.CONCAT(Buildings_GridElectricity_Backend[[#This Row],[Level 1]:[Level 6]]),rng_EFConcat,rng_EF3TD)*Buildings_GridElectricity_Backend[[#This Row],[Converted data]]/1000)</f>
        <v/>
      </c>
      <c r="AK331" s="210" t="str">
        <f>IF(Buildings_GridElectricity_Frontend[[#This Row],[Data]]="","",_xlfn.XLOOKUP(_xlfn.CONCAT(Buildings_GridElectricity_Backend[[#This Row],[Level 1]:[Level 6]]),rng_EFConcat,rng_EF3WTTTD)*Buildings_GridElectricity_Backend[[#This Row],[Converted data]]/1000)</f>
        <v/>
      </c>
      <c r="AL331" s="220" t="str">
        <f>IF(Buildings_GridElectricity_Frontend[[#This Row],[Data]]="","",SUM(Buildings_GridElectricity_Backend[[#This Row],[Scope 1 (tCO2e)]:[Scope 3 WTT T&amp;D (tCO2e)]]))</f>
        <v/>
      </c>
      <c r="AM331" s="220" t="str">
        <f>IF(Buildings_GridElectricity_Frontend[[#This Row],[Data]]="","",Buildings_GridElectricity_Backend[[#This Row],[Total (tCO2e)]]*(1-Buildings_GridElectricity_Backend[[#This Row],[RSD]]))</f>
        <v/>
      </c>
      <c r="AN331" s="220" t="str">
        <f>IF(Buildings_GridElectricity_Frontend[[#This Row],[Data]]="","",Buildings_GridElectricity_Backend[[#This Row],[Total (tCO2e)]]*(1+Buildings_GridElectricity_Backend[[#This Row],[RSD]]))</f>
        <v/>
      </c>
      <c r="AO331" s="210" t="str">
        <f>IF(Buildings_GridElectricity_Frontend[[#This Row],[Data]]="","",_xlfn.XLOOKUP(_xlfn.CONCAT(Buildings_GridElectricity_Backend[[#This Row],[Level 1]:[Level 6]]),rng_EFConcat,rng_EFOOS)*Buildings_GridElectricity_Backend[[#This Row],[Converted data]]/1000)</f>
        <v/>
      </c>
      <c r="AP331" s="174">
        <f>Buildings_GridElectricity_Frontend[[#This Row],[Ease of collection]]</f>
        <v>0</v>
      </c>
      <c r="AQ331" s="213">
        <f>Buildings_GridElectricity_Frontend[[#This Row],[Completeness]]</f>
        <v>0</v>
      </c>
      <c r="AR331" s="220">
        <f>Buildings_GridElectricity_Frontend[[#This Row],[Notes]]</f>
        <v>0</v>
      </c>
    </row>
    <row r="332" spans="5:44" x14ac:dyDescent="0.3">
      <c r="E332" s="346"/>
      <c r="F332" s="449"/>
      <c r="G332" s="336"/>
      <c r="H332" s="334"/>
      <c r="I332" s="172" t="s">
        <v>316</v>
      </c>
      <c r="J332" s="337"/>
      <c r="K332" s="336"/>
      <c r="L332" s="336"/>
      <c r="M332" s="337"/>
      <c r="N332" s="242">
        <f t="shared" si="11"/>
        <v>3</v>
      </c>
      <c r="Q332" s="212" t="str">
        <f t="shared" si="10"/>
        <v/>
      </c>
      <c r="R332" s="174" t="s">
        <v>265</v>
      </c>
      <c r="S332" s="174" t="s">
        <v>273</v>
      </c>
      <c r="T332" s="174" t="str">
        <f>_xlfn.XLOOKUP(Buildings_GridElectricity_Backend[[#This Row],[Info 1]],Buildings_SiteInfo[Site name],Buildings_SiteInfo[Site type], "")</f>
        <v/>
      </c>
      <c r="U332" s="174" t="s">
        <v>281</v>
      </c>
      <c r="V332" s="174" t="str" cm="1">
        <f t="array" aca="1" ref="V332" ca="1">_xlfn.XLOOKUP(Buildings_GridElectricity_Backend[[#This Row],[Level 4]],rng_Level4Long,rng_Level5Long)</f>
        <v>Electricity</v>
      </c>
      <c r="W332" s="174" t="str" cm="1">
        <f t="array" aca="1" ref="W332" ca="1">_xlfn.XLOOKUP(Buildings_GridElectricity_Backend[[#This Row],[Level 4]],rng_Level4Long,rng_Level6Long)</f>
        <v>NaN</v>
      </c>
      <c r="X332" s="174">
        <f>Buildings_GridElectricity_Frontend[[#This Row],[Site Name]]</f>
        <v>0</v>
      </c>
      <c r="Y332" s="174">
        <f>Buildings_GridElectricity_Frontend[[#This Row],[Contracting]]</f>
        <v>0</v>
      </c>
      <c r="Z332" s="174">
        <f>Buildings_GridElectricity_Frontend[[#This Row],[Methodology]]</f>
        <v>0</v>
      </c>
      <c r="AA332" s="229" t="str" cm="1">
        <f t="array" ref="AA332">IF(Buildings_GridElectricity_Frontend[[#This Row],[Data]]="","",INDEX(_xlfn.SWITCH(Buildings_GridElectricity_Backend[[#This Row],[Methodology]],"Tier 1",rng_RSD1,"Tier 2",rng_RSD2,"Tier 3",rng_RSD3),MATCH(_xlfn.CONCAT(Buildings_GridElectricity_Backend[[#This Row],[Level 1]:[Level 6]]),rng_LevelsConcat,0)))</f>
        <v/>
      </c>
      <c r="AB332" s="220">
        <f>Buildings_GridElectricity_Frontend[[#This Row],[Data]]</f>
        <v>0</v>
      </c>
      <c r="AC332" s="174" t="str">
        <f>Buildings_GridElectricity_Frontend[[#This Row],[Units]]</f>
        <v>kWh</v>
      </c>
      <c r="AD332" s="218">
        <f>Buildings_GridElectricity_Frontend[[#This Row],[Data]]</f>
        <v>0</v>
      </c>
      <c r="AE332" s="174" t="str">
        <f>Buildings_GridElectricity_Frontend[[#This Row],[Units]]</f>
        <v>kWh</v>
      </c>
      <c r="AF332" s="210" t="str">
        <f>IF(Buildings_GridElectricity_Frontend[[#This Row],[Data]]="","",_xlfn.XLOOKUP(_xlfn.CONCAT(Buildings_GridElectricity_Backend[[#This Row],[Level 1]:[Level 6]]),rng_EFConcat,rng_EF1)*Buildings_GridElectricity_Backend[[#This Row],[Converted data]]/1000)</f>
        <v/>
      </c>
      <c r="AG332" s="210" t="str">
        <f>IF(Buildings_GridElectricity_Frontend[[#This Row],[Data]]="","",_xlfn.XLOOKUP(_xlfn.CONCAT(Buildings_GridElectricity_Backend[[#This Row],[Level 1]:[Level 6]]),rng_EFConcat,rng_EF2)*Buildings_GridElectricity_Backend[[#This Row],[Converted data]]/1000)</f>
        <v/>
      </c>
      <c r="AH332" s="210" t="str">
        <f>IF(Buildings_GridElectricity_Frontend[[#This Row],[Data]]="","",_xlfn.XLOOKUP(_xlfn.CONCAT(Buildings_GridElectricity_Backend[[#This Row],[Level 1]:[Level 6]]),rng_EFConcat,rng_EF3)*Buildings_GridElectricity_Backend[[#This Row],[Converted data]]/1000)</f>
        <v/>
      </c>
      <c r="AI332" s="210" t="str">
        <f>IF(Buildings_GridElectricity_Frontend[[#This Row],[Data]]="","",_xlfn.XLOOKUP(_xlfn.CONCAT(Buildings_GridElectricity_Backend[[#This Row],[Level 1]:[Level 6]]),rng_EFConcat,rng_EF3WTT)*Buildings_GridElectricity_Backend[[#This Row],[Converted data]]/1000)</f>
        <v/>
      </c>
      <c r="AJ332" s="210" t="str">
        <f>IF(Buildings_GridElectricity_Frontend[[#This Row],[Data]]="","",_xlfn.XLOOKUP(_xlfn.CONCAT(Buildings_GridElectricity_Backend[[#This Row],[Level 1]:[Level 6]]),rng_EFConcat,rng_EF3TD)*Buildings_GridElectricity_Backend[[#This Row],[Converted data]]/1000)</f>
        <v/>
      </c>
      <c r="AK332" s="210" t="str">
        <f>IF(Buildings_GridElectricity_Frontend[[#This Row],[Data]]="","",_xlfn.XLOOKUP(_xlfn.CONCAT(Buildings_GridElectricity_Backend[[#This Row],[Level 1]:[Level 6]]),rng_EFConcat,rng_EF3WTTTD)*Buildings_GridElectricity_Backend[[#This Row],[Converted data]]/1000)</f>
        <v/>
      </c>
      <c r="AL332" s="220" t="str">
        <f>IF(Buildings_GridElectricity_Frontend[[#This Row],[Data]]="","",SUM(Buildings_GridElectricity_Backend[[#This Row],[Scope 1 (tCO2e)]:[Scope 3 WTT T&amp;D (tCO2e)]]))</f>
        <v/>
      </c>
      <c r="AM332" s="220" t="str">
        <f>IF(Buildings_GridElectricity_Frontend[[#This Row],[Data]]="","",Buildings_GridElectricity_Backend[[#This Row],[Total (tCO2e)]]*(1-Buildings_GridElectricity_Backend[[#This Row],[RSD]]))</f>
        <v/>
      </c>
      <c r="AN332" s="220" t="str">
        <f>IF(Buildings_GridElectricity_Frontend[[#This Row],[Data]]="","",Buildings_GridElectricity_Backend[[#This Row],[Total (tCO2e)]]*(1+Buildings_GridElectricity_Backend[[#This Row],[RSD]]))</f>
        <v/>
      </c>
      <c r="AO332" s="210" t="str">
        <f>IF(Buildings_GridElectricity_Frontend[[#This Row],[Data]]="","",_xlfn.XLOOKUP(_xlfn.CONCAT(Buildings_GridElectricity_Backend[[#This Row],[Level 1]:[Level 6]]),rng_EFConcat,rng_EFOOS)*Buildings_GridElectricity_Backend[[#This Row],[Converted data]]/1000)</f>
        <v/>
      </c>
      <c r="AP332" s="174">
        <f>Buildings_GridElectricity_Frontend[[#This Row],[Ease of collection]]</f>
        <v>0</v>
      </c>
      <c r="AQ332" s="213">
        <f>Buildings_GridElectricity_Frontend[[#This Row],[Completeness]]</f>
        <v>0</v>
      </c>
      <c r="AR332" s="220">
        <f>Buildings_GridElectricity_Frontend[[#This Row],[Notes]]</f>
        <v>0</v>
      </c>
    </row>
    <row r="333" spans="5:44" x14ac:dyDescent="0.3">
      <c r="E333" s="346"/>
      <c r="F333" s="449"/>
      <c r="G333" s="336"/>
      <c r="H333" s="334"/>
      <c r="I333" s="172" t="s">
        <v>316</v>
      </c>
      <c r="J333" s="337"/>
      <c r="K333" s="336"/>
      <c r="L333" s="336"/>
      <c r="M333" s="337"/>
      <c r="N333" s="242">
        <f t="shared" si="11"/>
        <v>3</v>
      </c>
      <c r="Q333" s="212" t="str">
        <f t="shared" si="10"/>
        <v/>
      </c>
      <c r="R333" s="174" t="s">
        <v>265</v>
      </c>
      <c r="S333" s="174" t="s">
        <v>273</v>
      </c>
      <c r="T333" s="174" t="str">
        <f>_xlfn.XLOOKUP(Buildings_GridElectricity_Backend[[#This Row],[Info 1]],Buildings_SiteInfo[Site name],Buildings_SiteInfo[Site type], "")</f>
        <v/>
      </c>
      <c r="U333" s="174" t="s">
        <v>281</v>
      </c>
      <c r="V333" s="174" t="str" cm="1">
        <f t="array" aca="1" ref="V333" ca="1">_xlfn.XLOOKUP(Buildings_GridElectricity_Backend[[#This Row],[Level 4]],rng_Level4Long,rng_Level5Long)</f>
        <v>Electricity</v>
      </c>
      <c r="W333" s="174" t="str" cm="1">
        <f t="array" aca="1" ref="W333" ca="1">_xlfn.XLOOKUP(Buildings_GridElectricity_Backend[[#This Row],[Level 4]],rng_Level4Long,rng_Level6Long)</f>
        <v>NaN</v>
      </c>
      <c r="X333" s="174">
        <f>Buildings_GridElectricity_Frontend[[#This Row],[Site Name]]</f>
        <v>0</v>
      </c>
      <c r="Y333" s="174">
        <f>Buildings_GridElectricity_Frontend[[#This Row],[Contracting]]</f>
        <v>0</v>
      </c>
      <c r="Z333" s="174">
        <f>Buildings_GridElectricity_Frontend[[#This Row],[Methodology]]</f>
        <v>0</v>
      </c>
      <c r="AA333" s="229" t="str" cm="1">
        <f t="array" ref="AA333">IF(Buildings_GridElectricity_Frontend[[#This Row],[Data]]="","",INDEX(_xlfn.SWITCH(Buildings_GridElectricity_Backend[[#This Row],[Methodology]],"Tier 1",rng_RSD1,"Tier 2",rng_RSD2,"Tier 3",rng_RSD3),MATCH(_xlfn.CONCAT(Buildings_GridElectricity_Backend[[#This Row],[Level 1]:[Level 6]]),rng_LevelsConcat,0)))</f>
        <v/>
      </c>
      <c r="AB333" s="220">
        <f>Buildings_GridElectricity_Frontend[[#This Row],[Data]]</f>
        <v>0</v>
      </c>
      <c r="AC333" s="174" t="str">
        <f>Buildings_GridElectricity_Frontend[[#This Row],[Units]]</f>
        <v>kWh</v>
      </c>
      <c r="AD333" s="218">
        <f>Buildings_GridElectricity_Frontend[[#This Row],[Data]]</f>
        <v>0</v>
      </c>
      <c r="AE333" s="174" t="str">
        <f>Buildings_GridElectricity_Frontend[[#This Row],[Units]]</f>
        <v>kWh</v>
      </c>
      <c r="AF333" s="210" t="str">
        <f>IF(Buildings_GridElectricity_Frontend[[#This Row],[Data]]="","",_xlfn.XLOOKUP(_xlfn.CONCAT(Buildings_GridElectricity_Backend[[#This Row],[Level 1]:[Level 6]]),rng_EFConcat,rng_EF1)*Buildings_GridElectricity_Backend[[#This Row],[Converted data]]/1000)</f>
        <v/>
      </c>
      <c r="AG333" s="210" t="str">
        <f>IF(Buildings_GridElectricity_Frontend[[#This Row],[Data]]="","",_xlfn.XLOOKUP(_xlfn.CONCAT(Buildings_GridElectricity_Backend[[#This Row],[Level 1]:[Level 6]]),rng_EFConcat,rng_EF2)*Buildings_GridElectricity_Backend[[#This Row],[Converted data]]/1000)</f>
        <v/>
      </c>
      <c r="AH333" s="210" t="str">
        <f>IF(Buildings_GridElectricity_Frontend[[#This Row],[Data]]="","",_xlfn.XLOOKUP(_xlfn.CONCAT(Buildings_GridElectricity_Backend[[#This Row],[Level 1]:[Level 6]]),rng_EFConcat,rng_EF3)*Buildings_GridElectricity_Backend[[#This Row],[Converted data]]/1000)</f>
        <v/>
      </c>
      <c r="AI333" s="210" t="str">
        <f>IF(Buildings_GridElectricity_Frontend[[#This Row],[Data]]="","",_xlfn.XLOOKUP(_xlfn.CONCAT(Buildings_GridElectricity_Backend[[#This Row],[Level 1]:[Level 6]]),rng_EFConcat,rng_EF3WTT)*Buildings_GridElectricity_Backend[[#This Row],[Converted data]]/1000)</f>
        <v/>
      </c>
      <c r="AJ333" s="210" t="str">
        <f>IF(Buildings_GridElectricity_Frontend[[#This Row],[Data]]="","",_xlfn.XLOOKUP(_xlfn.CONCAT(Buildings_GridElectricity_Backend[[#This Row],[Level 1]:[Level 6]]),rng_EFConcat,rng_EF3TD)*Buildings_GridElectricity_Backend[[#This Row],[Converted data]]/1000)</f>
        <v/>
      </c>
      <c r="AK333" s="210" t="str">
        <f>IF(Buildings_GridElectricity_Frontend[[#This Row],[Data]]="","",_xlfn.XLOOKUP(_xlfn.CONCAT(Buildings_GridElectricity_Backend[[#This Row],[Level 1]:[Level 6]]),rng_EFConcat,rng_EF3WTTTD)*Buildings_GridElectricity_Backend[[#This Row],[Converted data]]/1000)</f>
        <v/>
      </c>
      <c r="AL333" s="220" t="str">
        <f>IF(Buildings_GridElectricity_Frontend[[#This Row],[Data]]="","",SUM(Buildings_GridElectricity_Backend[[#This Row],[Scope 1 (tCO2e)]:[Scope 3 WTT T&amp;D (tCO2e)]]))</f>
        <v/>
      </c>
      <c r="AM333" s="220" t="str">
        <f>IF(Buildings_GridElectricity_Frontend[[#This Row],[Data]]="","",Buildings_GridElectricity_Backend[[#This Row],[Total (tCO2e)]]*(1-Buildings_GridElectricity_Backend[[#This Row],[RSD]]))</f>
        <v/>
      </c>
      <c r="AN333" s="220" t="str">
        <f>IF(Buildings_GridElectricity_Frontend[[#This Row],[Data]]="","",Buildings_GridElectricity_Backend[[#This Row],[Total (tCO2e)]]*(1+Buildings_GridElectricity_Backend[[#This Row],[RSD]]))</f>
        <v/>
      </c>
      <c r="AO333" s="210" t="str">
        <f>IF(Buildings_GridElectricity_Frontend[[#This Row],[Data]]="","",_xlfn.XLOOKUP(_xlfn.CONCAT(Buildings_GridElectricity_Backend[[#This Row],[Level 1]:[Level 6]]),rng_EFConcat,rng_EFOOS)*Buildings_GridElectricity_Backend[[#This Row],[Converted data]]/1000)</f>
        <v/>
      </c>
      <c r="AP333" s="174">
        <f>Buildings_GridElectricity_Frontend[[#This Row],[Ease of collection]]</f>
        <v>0</v>
      </c>
      <c r="AQ333" s="213">
        <f>Buildings_GridElectricity_Frontend[[#This Row],[Completeness]]</f>
        <v>0</v>
      </c>
      <c r="AR333" s="220">
        <f>Buildings_GridElectricity_Frontend[[#This Row],[Notes]]</f>
        <v>0</v>
      </c>
    </row>
    <row r="334" spans="5:44" x14ac:dyDescent="0.3">
      <c r="E334" s="346"/>
      <c r="F334" s="449"/>
      <c r="G334" s="336"/>
      <c r="H334" s="334"/>
      <c r="I334" s="172" t="s">
        <v>316</v>
      </c>
      <c r="J334" s="337"/>
      <c r="K334" s="336"/>
      <c r="L334" s="336"/>
      <c r="M334" s="337"/>
      <c r="N334" s="242">
        <f t="shared" si="11"/>
        <v>3</v>
      </c>
      <c r="Q334" s="212" t="str">
        <f t="shared" si="10"/>
        <v/>
      </c>
      <c r="R334" s="174" t="s">
        <v>265</v>
      </c>
      <c r="S334" s="174" t="s">
        <v>273</v>
      </c>
      <c r="T334" s="174" t="str">
        <f>_xlfn.XLOOKUP(Buildings_GridElectricity_Backend[[#This Row],[Info 1]],Buildings_SiteInfo[Site name],Buildings_SiteInfo[Site type], "")</f>
        <v/>
      </c>
      <c r="U334" s="174" t="s">
        <v>281</v>
      </c>
      <c r="V334" s="174" t="str" cm="1">
        <f t="array" aca="1" ref="V334" ca="1">_xlfn.XLOOKUP(Buildings_GridElectricity_Backend[[#This Row],[Level 4]],rng_Level4Long,rng_Level5Long)</f>
        <v>Electricity</v>
      </c>
      <c r="W334" s="174" t="str" cm="1">
        <f t="array" aca="1" ref="W334" ca="1">_xlfn.XLOOKUP(Buildings_GridElectricity_Backend[[#This Row],[Level 4]],rng_Level4Long,rng_Level6Long)</f>
        <v>NaN</v>
      </c>
      <c r="X334" s="174">
        <f>Buildings_GridElectricity_Frontend[[#This Row],[Site Name]]</f>
        <v>0</v>
      </c>
      <c r="Y334" s="174">
        <f>Buildings_GridElectricity_Frontend[[#This Row],[Contracting]]</f>
        <v>0</v>
      </c>
      <c r="Z334" s="174">
        <f>Buildings_GridElectricity_Frontend[[#This Row],[Methodology]]</f>
        <v>0</v>
      </c>
      <c r="AA334" s="229" t="str" cm="1">
        <f t="array" ref="AA334">IF(Buildings_GridElectricity_Frontend[[#This Row],[Data]]="","",INDEX(_xlfn.SWITCH(Buildings_GridElectricity_Backend[[#This Row],[Methodology]],"Tier 1",rng_RSD1,"Tier 2",rng_RSD2,"Tier 3",rng_RSD3),MATCH(_xlfn.CONCAT(Buildings_GridElectricity_Backend[[#This Row],[Level 1]:[Level 6]]),rng_LevelsConcat,0)))</f>
        <v/>
      </c>
      <c r="AB334" s="220">
        <f>Buildings_GridElectricity_Frontend[[#This Row],[Data]]</f>
        <v>0</v>
      </c>
      <c r="AC334" s="174" t="str">
        <f>Buildings_GridElectricity_Frontend[[#This Row],[Units]]</f>
        <v>kWh</v>
      </c>
      <c r="AD334" s="218">
        <f>Buildings_GridElectricity_Frontend[[#This Row],[Data]]</f>
        <v>0</v>
      </c>
      <c r="AE334" s="174" t="str">
        <f>Buildings_GridElectricity_Frontend[[#This Row],[Units]]</f>
        <v>kWh</v>
      </c>
      <c r="AF334" s="210" t="str">
        <f>IF(Buildings_GridElectricity_Frontend[[#This Row],[Data]]="","",_xlfn.XLOOKUP(_xlfn.CONCAT(Buildings_GridElectricity_Backend[[#This Row],[Level 1]:[Level 6]]),rng_EFConcat,rng_EF1)*Buildings_GridElectricity_Backend[[#This Row],[Converted data]]/1000)</f>
        <v/>
      </c>
      <c r="AG334" s="210" t="str">
        <f>IF(Buildings_GridElectricity_Frontend[[#This Row],[Data]]="","",_xlfn.XLOOKUP(_xlfn.CONCAT(Buildings_GridElectricity_Backend[[#This Row],[Level 1]:[Level 6]]),rng_EFConcat,rng_EF2)*Buildings_GridElectricity_Backend[[#This Row],[Converted data]]/1000)</f>
        <v/>
      </c>
      <c r="AH334" s="210" t="str">
        <f>IF(Buildings_GridElectricity_Frontend[[#This Row],[Data]]="","",_xlfn.XLOOKUP(_xlfn.CONCAT(Buildings_GridElectricity_Backend[[#This Row],[Level 1]:[Level 6]]),rng_EFConcat,rng_EF3)*Buildings_GridElectricity_Backend[[#This Row],[Converted data]]/1000)</f>
        <v/>
      </c>
      <c r="AI334" s="210" t="str">
        <f>IF(Buildings_GridElectricity_Frontend[[#This Row],[Data]]="","",_xlfn.XLOOKUP(_xlfn.CONCAT(Buildings_GridElectricity_Backend[[#This Row],[Level 1]:[Level 6]]),rng_EFConcat,rng_EF3WTT)*Buildings_GridElectricity_Backend[[#This Row],[Converted data]]/1000)</f>
        <v/>
      </c>
      <c r="AJ334" s="210" t="str">
        <f>IF(Buildings_GridElectricity_Frontend[[#This Row],[Data]]="","",_xlfn.XLOOKUP(_xlfn.CONCAT(Buildings_GridElectricity_Backend[[#This Row],[Level 1]:[Level 6]]),rng_EFConcat,rng_EF3TD)*Buildings_GridElectricity_Backend[[#This Row],[Converted data]]/1000)</f>
        <v/>
      </c>
      <c r="AK334" s="210" t="str">
        <f>IF(Buildings_GridElectricity_Frontend[[#This Row],[Data]]="","",_xlfn.XLOOKUP(_xlfn.CONCAT(Buildings_GridElectricity_Backend[[#This Row],[Level 1]:[Level 6]]),rng_EFConcat,rng_EF3WTTTD)*Buildings_GridElectricity_Backend[[#This Row],[Converted data]]/1000)</f>
        <v/>
      </c>
      <c r="AL334" s="220" t="str">
        <f>IF(Buildings_GridElectricity_Frontend[[#This Row],[Data]]="","",SUM(Buildings_GridElectricity_Backend[[#This Row],[Scope 1 (tCO2e)]:[Scope 3 WTT T&amp;D (tCO2e)]]))</f>
        <v/>
      </c>
      <c r="AM334" s="220" t="str">
        <f>IF(Buildings_GridElectricity_Frontend[[#This Row],[Data]]="","",Buildings_GridElectricity_Backend[[#This Row],[Total (tCO2e)]]*(1-Buildings_GridElectricity_Backend[[#This Row],[RSD]]))</f>
        <v/>
      </c>
      <c r="AN334" s="220" t="str">
        <f>IF(Buildings_GridElectricity_Frontend[[#This Row],[Data]]="","",Buildings_GridElectricity_Backend[[#This Row],[Total (tCO2e)]]*(1+Buildings_GridElectricity_Backend[[#This Row],[RSD]]))</f>
        <v/>
      </c>
      <c r="AO334" s="210" t="str">
        <f>IF(Buildings_GridElectricity_Frontend[[#This Row],[Data]]="","",_xlfn.XLOOKUP(_xlfn.CONCAT(Buildings_GridElectricity_Backend[[#This Row],[Level 1]:[Level 6]]),rng_EFConcat,rng_EFOOS)*Buildings_GridElectricity_Backend[[#This Row],[Converted data]]/1000)</f>
        <v/>
      </c>
      <c r="AP334" s="174">
        <f>Buildings_GridElectricity_Frontend[[#This Row],[Ease of collection]]</f>
        <v>0</v>
      </c>
      <c r="AQ334" s="213">
        <f>Buildings_GridElectricity_Frontend[[#This Row],[Completeness]]</f>
        <v>0</v>
      </c>
      <c r="AR334" s="220">
        <f>Buildings_GridElectricity_Frontend[[#This Row],[Notes]]</f>
        <v>0</v>
      </c>
    </row>
    <row r="335" spans="5:44" x14ac:dyDescent="0.3">
      <c r="E335" s="346"/>
      <c r="F335" s="449"/>
      <c r="G335" s="336"/>
      <c r="H335" s="334"/>
      <c r="I335" s="172" t="s">
        <v>316</v>
      </c>
      <c r="J335" s="337"/>
      <c r="K335" s="336"/>
      <c r="L335" s="336"/>
      <c r="M335" s="337"/>
      <c r="N335" s="242">
        <f t="shared" si="11"/>
        <v>3</v>
      </c>
      <c r="Q335" s="212" t="str">
        <f t="shared" si="10"/>
        <v/>
      </c>
      <c r="R335" s="174" t="s">
        <v>265</v>
      </c>
      <c r="S335" s="174" t="s">
        <v>273</v>
      </c>
      <c r="T335" s="174" t="str">
        <f>_xlfn.XLOOKUP(Buildings_GridElectricity_Backend[[#This Row],[Info 1]],Buildings_SiteInfo[Site name],Buildings_SiteInfo[Site type], "")</f>
        <v/>
      </c>
      <c r="U335" s="174" t="s">
        <v>281</v>
      </c>
      <c r="V335" s="174" t="str" cm="1">
        <f t="array" aca="1" ref="V335" ca="1">_xlfn.XLOOKUP(Buildings_GridElectricity_Backend[[#This Row],[Level 4]],rng_Level4Long,rng_Level5Long)</f>
        <v>Electricity</v>
      </c>
      <c r="W335" s="174" t="str" cm="1">
        <f t="array" aca="1" ref="W335" ca="1">_xlfn.XLOOKUP(Buildings_GridElectricity_Backend[[#This Row],[Level 4]],rng_Level4Long,rng_Level6Long)</f>
        <v>NaN</v>
      </c>
      <c r="X335" s="174">
        <f>Buildings_GridElectricity_Frontend[[#This Row],[Site Name]]</f>
        <v>0</v>
      </c>
      <c r="Y335" s="174">
        <f>Buildings_GridElectricity_Frontend[[#This Row],[Contracting]]</f>
        <v>0</v>
      </c>
      <c r="Z335" s="174">
        <f>Buildings_GridElectricity_Frontend[[#This Row],[Methodology]]</f>
        <v>0</v>
      </c>
      <c r="AA335" s="229" t="str" cm="1">
        <f t="array" ref="AA335">IF(Buildings_GridElectricity_Frontend[[#This Row],[Data]]="","",INDEX(_xlfn.SWITCH(Buildings_GridElectricity_Backend[[#This Row],[Methodology]],"Tier 1",rng_RSD1,"Tier 2",rng_RSD2,"Tier 3",rng_RSD3),MATCH(_xlfn.CONCAT(Buildings_GridElectricity_Backend[[#This Row],[Level 1]:[Level 6]]),rng_LevelsConcat,0)))</f>
        <v/>
      </c>
      <c r="AB335" s="220">
        <f>Buildings_GridElectricity_Frontend[[#This Row],[Data]]</f>
        <v>0</v>
      </c>
      <c r="AC335" s="174" t="str">
        <f>Buildings_GridElectricity_Frontend[[#This Row],[Units]]</f>
        <v>kWh</v>
      </c>
      <c r="AD335" s="218">
        <f>Buildings_GridElectricity_Frontend[[#This Row],[Data]]</f>
        <v>0</v>
      </c>
      <c r="AE335" s="174" t="str">
        <f>Buildings_GridElectricity_Frontend[[#This Row],[Units]]</f>
        <v>kWh</v>
      </c>
      <c r="AF335" s="210" t="str">
        <f>IF(Buildings_GridElectricity_Frontend[[#This Row],[Data]]="","",_xlfn.XLOOKUP(_xlfn.CONCAT(Buildings_GridElectricity_Backend[[#This Row],[Level 1]:[Level 6]]),rng_EFConcat,rng_EF1)*Buildings_GridElectricity_Backend[[#This Row],[Converted data]]/1000)</f>
        <v/>
      </c>
      <c r="AG335" s="210" t="str">
        <f>IF(Buildings_GridElectricity_Frontend[[#This Row],[Data]]="","",_xlfn.XLOOKUP(_xlfn.CONCAT(Buildings_GridElectricity_Backend[[#This Row],[Level 1]:[Level 6]]),rng_EFConcat,rng_EF2)*Buildings_GridElectricity_Backend[[#This Row],[Converted data]]/1000)</f>
        <v/>
      </c>
      <c r="AH335" s="210" t="str">
        <f>IF(Buildings_GridElectricity_Frontend[[#This Row],[Data]]="","",_xlfn.XLOOKUP(_xlfn.CONCAT(Buildings_GridElectricity_Backend[[#This Row],[Level 1]:[Level 6]]),rng_EFConcat,rng_EF3)*Buildings_GridElectricity_Backend[[#This Row],[Converted data]]/1000)</f>
        <v/>
      </c>
      <c r="AI335" s="210" t="str">
        <f>IF(Buildings_GridElectricity_Frontend[[#This Row],[Data]]="","",_xlfn.XLOOKUP(_xlfn.CONCAT(Buildings_GridElectricity_Backend[[#This Row],[Level 1]:[Level 6]]),rng_EFConcat,rng_EF3WTT)*Buildings_GridElectricity_Backend[[#This Row],[Converted data]]/1000)</f>
        <v/>
      </c>
      <c r="AJ335" s="210" t="str">
        <f>IF(Buildings_GridElectricity_Frontend[[#This Row],[Data]]="","",_xlfn.XLOOKUP(_xlfn.CONCAT(Buildings_GridElectricity_Backend[[#This Row],[Level 1]:[Level 6]]),rng_EFConcat,rng_EF3TD)*Buildings_GridElectricity_Backend[[#This Row],[Converted data]]/1000)</f>
        <v/>
      </c>
      <c r="AK335" s="210" t="str">
        <f>IF(Buildings_GridElectricity_Frontend[[#This Row],[Data]]="","",_xlfn.XLOOKUP(_xlfn.CONCAT(Buildings_GridElectricity_Backend[[#This Row],[Level 1]:[Level 6]]),rng_EFConcat,rng_EF3WTTTD)*Buildings_GridElectricity_Backend[[#This Row],[Converted data]]/1000)</f>
        <v/>
      </c>
      <c r="AL335" s="220" t="str">
        <f>IF(Buildings_GridElectricity_Frontend[[#This Row],[Data]]="","",SUM(Buildings_GridElectricity_Backend[[#This Row],[Scope 1 (tCO2e)]:[Scope 3 WTT T&amp;D (tCO2e)]]))</f>
        <v/>
      </c>
      <c r="AM335" s="220" t="str">
        <f>IF(Buildings_GridElectricity_Frontend[[#This Row],[Data]]="","",Buildings_GridElectricity_Backend[[#This Row],[Total (tCO2e)]]*(1-Buildings_GridElectricity_Backend[[#This Row],[RSD]]))</f>
        <v/>
      </c>
      <c r="AN335" s="220" t="str">
        <f>IF(Buildings_GridElectricity_Frontend[[#This Row],[Data]]="","",Buildings_GridElectricity_Backend[[#This Row],[Total (tCO2e)]]*(1+Buildings_GridElectricity_Backend[[#This Row],[RSD]]))</f>
        <v/>
      </c>
      <c r="AO335" s="210" t="str">
        <f>IF(Buildings_GridElectricity_Frontend[[#This Row],[Data]]="","",_xlfn.XLOOKUP(_xlfn.CONCAT(Buildings_GridElectricity_Backend[[#This Row],[Level 1]:[Level 6]]),rng_EFConcat,rng_EFOOS)*Buildings_GridElectricity_Backend[[#This Row],[Converted data]]/1000)</f>
        <v/>
      </c>
      <c r="AP335" s="174">
        <f>Buildings_GridElectricity_Frontend[[#This Row],[Ease of collection]]</f>
        <v>0</v>
      </c>
      <c r="AQ335" s="213">
        <f>Buildings_GridElectricity_Frontend[[#This Row],[Completeness]]</f>
        <v>0</v>
      </c>
      <c r="AR335" s="220">
        <f>Buildings_GridElectricity_Frontend[[#This Row],[Notes]]</f>
        <v>0</v>
      </c>
    </row>
    <row r="336" spans="5:44" x14ac:dyDescent="0.3">
      <c r="E336" s="346"/>
      <c r="F336" s="449"/>
      <c r="G336" s="336"/>
      <c r="H336" s="334"/>
      <c r="I336" s="172" t="s">
        <v>316</v>
      </c>
      <c r="J336" s="337"/>
      <c r="K336" s="336"/>
      <c r="L336" s="336"/>
      <c r="M336" s="337"/>
      <c r="N336" s="242">
        <f t="shared" si="11"/>
        <v>3</v>
      </c>
      <c r="Q336" s="212" t="str">
        <f t="shared" si="10"/>
        <v/>
      </c>
      <c r="R336" s="174" t="s">
        <v>265</v>
      </c>
      <c r="S336" s="174" t="s">
        <v>273</v>
      </c>
      <c r="T336" s="174" t="str">
        <f>_xlfn.XLOOKUP(Buildings_GridElectricity_Backend[[#This Row],[Info 1]],Buildings_SiteInfo[Site name],Buildings_SiteInfo[Site type], "")</f>
        <v/>
      </c>
      <c r="U336" s="174" t="s">
        <v>281</v>
      </c>
      <c r="V336" s="174" t="str" cm="1">
        <f t="array" aca="1" ref="V336" ca="1">_xlfn.XLOOKUP(Buildings_GridElectricity_Backend[[#This Row],[Level 4]],rng_Level4Long,rng_Level5Long)</f>
        <v>Electricity</v>
      </c>
      <c r="W336" s="174" t="str" cm="1">
        <f t="array" aca="1" ref="W336" ca="1">_xlfn.XLOOKUP(Buildings_GridElectricity_Backend[[#This Row],[Level 4]],rng_Level4Long,rng_Level6Long)</f>
        <v>NaN</v>
      </c>
      <c r="X336" s="174">
        <f>Buildings_GridElectricity_Frontend[[#This Row],[Site Name]]</f>
        <v>0</v>
      </c>
      <c r="Y336" s="174">
        <f>Buildings_GridElectricity_Frontend[[#This Row],[Contracting]]</f>
        <v>0</v>
      </c>
      <c r="Z336" s="174">
        <f>Buildings_GridElectricity_Frontend[[#This Row],[Methodology]]</f>
        <v>0</v>
      </c>
      <c r="AA336" s="229" t="str" cm="1">
        <f t="array" ref="AA336">IF(Buildings_GridElectricity_Frontend[[#This Row],[Data]]="","",INDEX(_xlfn.SWITCH(Buildings_GridElectricity_Backend[[#This Row],[Methodology]],"Tier 1",rng_RSD1,"Tier 2",rng_RSD2,"Tier 3",rng_RSD3),MATCH(_xlfn.CONCAT(Buildings_GridElectricity_Backend[[#This Row],[Level 1]:[Level 6]]),rng_LevelsConcat,0)))</f>
        <v/>
      </c>
      <c r="AB336" s="220">
        <f>Buildings_GridElectricity_Frontend[[#This Row],[Data]]</f>
        <v>0</v>
      </c>
      <c r="AC336" s="174" t="str">
        <f>Buildings_GridElectricity_Frontend[[#This Row],[Units]]</f>
        <v>kWh</v>
      </c>
      <c r="AD336" s="218">
        <f>Buildings_GridElectricity_Frontend[[#This Row],[Data]]</f>
        <v>0</v>
      </c>
      <c r="AE336" s="174" t="str">
        <f>Buildings_GridElectricity_Frontend[[#This Row],[Units]]</f>
        <v>kWh</v>
      </c>
      <c r="AF336" s="210" t="str">
        <f>IF(Buildings_GridElectricity_Frontend[[#This Row],[Data]]="","",_xlfn.XLOOKUP(_xlfn.CONCAT(Buildings_GridElectricity_Backend[[#This Row],[Level 1]:[Level 6]]),rng_EFConcat,rng_EF1)*Buildings_GridElectricity_Backend[[#This Row],[Converted data]]/1000)</f>
        <v/>
      </c>
      <c r="AG336" s="210" t="str">
        <f>IF(Buildings_GridElectricity_Frontend[[#This Row],[Data]]="","",_xlfn.XLOOKUP(_xlfn.CONCAT(Buildings_GridElectricity_Backend[[#This Row],[Level 1]:[Level 6]]),rng_EFConcat,rng_EF2)*Buildings_GridElectricity_Backend[[#This Row],[Converted data]]/1000)</f>
        <v/>
      </c>
      <c r="AH336" s="210" t="str">
        <f>IF(Buildings_GridElectricity_Frontend[[#This Row],[Data]]="","",_xlfn.XLOOKUP(_xlfn.CONCAT(Buildings_GridElectricity_Backend[[#This Row],[Level 1]:[Level 6]]),rng_EFConcat,rng_EF3)*Buildings_GridElectricity_Backend[[#This Row],[Converted data]]/1000)</f>
        <v/>
      </c>
      <c r="AI336" s="210" t="str">
        <f>IF(Buildings_GridElectricity_Frontend[[#This Row],[Data]]="","",_xlfn.XLOOKUP(_xlfn.CONCAT(Buildings_GridElectricity_Backend[[#This Row],[Level 1]:[Level 6]]),rng_EFConcat,rng_EF3WTT)*Buildings_GridElectricity_Backend[[#This Row],[Converted data]]/1000)</f>
        <v/>
      </c>
      <c r="AJ336" s="210" t="str">
        <f>IF(Buildings_GridElectricity_Frontend[[#This Row],[Data]]="","",_xlfn.XLOOKUP(_xlfn.CONCAT(Buildings_GridElectricity_Backend[[#This Row],[Level 1]:[Level 6]]),rng_EFConcat,rng_EF3TD)*Buildings_GridElectricity_Backend[[#This Row],[Converted data]]/1000)</f>
        <v/>
      </c>
      <c r="AK336" s="210" t="str">
        <f>IF(Buildings_GridElectricity_Frontend[[#This Row],[Data]]="","",_xlfn.XLOOKUP(_xlfn.CONCAT(Buildings_GridElectricity_Backend[[#This Row],[Level 1]:[Level 6]]),rng_EFConcat,rng_EF3WTTTD)*Buildings_GridElectricity_Backend[[#This Row],[Converted data]]/1000)</f>
        <v/>
      </c>
      <c r="AL336" s="220" t="str">
        <f>IF(Buildings_GridElectricity_Frontend[[#This Row],[Data]]="","",SUM(Buildings_GridElectricity_Backend[[#This Row],[Scope 1 (tCO2e)]:[Scope 3 WTT T&amp;D (tCO2e)]]))</f>
        <v/>
      </c>
      <c r="AM336" s="220" t="str">
        <f>IF(Buildings_GridElectricity_Frontend[[#This Row],[Data]]="","",Buildings_GridElectricity_Backend[[#This Row],[Total (tCO2e)]]*(1-Buildings_GridElectricity_Backend[[#This Row],[RSD]]))</f>
        <v/>
      </c>
      <c r="AN336" s="220" t="str">
        <f>IF(Buildings_GridElectricity_Frontend[[#This Row],[Data]]="","",Buildings_GridElectricity_Backend[[#This Row],[Total (tCO2e)]]*(1+Buildings_GridElectricity_Backend[[#This Row],[RSD]]))</f>
        <v/>
      </c>
      <c r="AO336" s="210" t="str">
        <f>IF(Buildings_GridElectricity_Frontend[[#This Row],[Data]]="","",_xlfn.XLOOKUP(_xlfn.CONCAT(Buildings_GridElectricity_Backend[[#This Row],[Level 1]:[Level 6]]),rng_EFConcat,rng_EFOOS)*Buildings_GridElectricity_Backend[[#This Row],[Converted data]]/1000)</f>
        <v/>
      </c>
      <c r="AP336" s="174">
        <f>Buildings_GridElectricity_Frontend[[#This Row],[Ease of collection]]</f>
        <v>0</v>
      </c>
      <c r="AQ336" s="213">
        <f>Buildings_GridElectricity_Frontend[[#This Row],[Completeness]]</f>
        <v>0</v>
      </c>
      <c r="AR336" s="220">
        <f>Buildings_GridElectricity_Frontend[[#This Row],[Notes]]</f>
        <v>0</v>
      </c>
    </row>
    <row r="337" spans="5:44" x14ac:dyDescent="0.3">
      <c r="E337" s="346"/>
      <c r="F337" s="449"/>
      <c r="G337" s="336"/>
      <c r="H337" s="334"/>
      <c r="I337" s="172" t="s">
        <v>316</v>
      </c>
      <c r="J337" s="337"/>
      <c r="K337" s="336"/>
      <c r="L337" s="336"/>
      <c r="M337" s="337"/>
      <c r="N337" s="242">
        <f t="shared" si="11"/>
        <v>3</v>
      </c>
      <c r="Q337" s="212" t="str">
        <f t="shared" si="10"/>
        <v/>
      </c>
      <c r="R337" s="174" t="s">
        <v>265</v>
      </c>
      <c r="S337" s="174" t="s">
        <v>273</v>
      </c>
      <c r="T337" s="174" t="str">
        <f>_xlfn.XLOOKUP(Buildings_GridElectricity_Backend[[#This Row],[Info 1]],Buildings_SiteInfo[Site name],Buildings_SiteInfo[Site type], "")</f>
        <v/>
      </c>
      <c r="U337" s="174" t="s">
        <v>281</v>
      </c>
      <c r="V337" s="174" t="str" cm="1">
        <f t="array" aca="1" ref="V337" ca="1">_xlfn.XLOOKUP(Buildings_GridElectricity_Backend[[#This Row],[Level 4]],rng_Level4Long,rng_Level5Long)</f>
        <v>Electricity</v>
      </c>
      <c r="W337" s="174" t="str" cm="1">
        <f t="array" aca="1" ref="W337" ca="1">_xlfn.XLOOKUP(Buildings_GridElectricity_Backend[[#This Row],[Level 4]],rng_Level4Long,rng_Level6Long)</f>
        <v>NaN</v>
      </c>
      <c r="X337" s="174">
        <f>Buildings_GridElectricity_Frontend[[#This Row],[Site Name]]</f>
        <v>0</v>
      </c>
      <c r="Y337" s="174">
        <f>Buildings_GridElectricity_Frontend[[#This Row],[Contracting]]</f>
        <v>0</v>
      </c>
      <c r="Z337" s="174">
        <f>Buildings_GridElectricity_Frontend[[#This Row],[Methodology]]</f>
        <v>0</v>
      </c>
      <c r="AA337" s="229" t="str" cm="1">
        <f t="array" ref="AA337">IF(Buildings_GridElectricity_Frontend[[#This Row],[Data]]="","",INDEX(_xlfn.SWITCH(Buildings_GridElectricity_Backend[[#This Row],[Methodology]],"Tier 1",rng_RSD1,"Tier 2",rng_RSD2,"Tier 3",rng_RSD3),MATCH(_xlfn.CONCAT(Buildings_GridElectricity_Backend[[#This Row],[Level 1]:[Level 6]]),rng_LevelsConcat,0)))</f>
        <v/>
      </c>
      <c r="AB337" s="220">
        <f>Buildings_GridElectricity_Frontend[[#This Row],[Data]]</f>
        <v>0</v>
      </c>
      <c r="AC337" s="174" t="str">
        <f>Buildings_GridElectricity_Frontend[[#This Row],[Units]]</f>
        <v>kWh</v>
      </c>
      <c r="AD337" s="218">
        <f>Buildings_GridElectricity_Frontend[[#This Row],[Data]]</f>
        <v>0</v>
      </c>
      <c r="AE337" s="174" t="str">
        <f>Buildings_GridElectricity_Frontend[[#This Row],[Units]]</f>
        <v>kWh</v>
      </c>
      <c r="AF337" s="210" t="str">
        <f>IF(Buildings_GridElectricity_Frontend[[#This Row],[Data]]="","",_xlfn.XLOOKUP(_xlfn.CONCAT(Buildings_GridElectricity_Backend[[#This Row],[Level 1]:[Level 6]]),rng_EFConcat,rng_EF1)*Buildings_GridElectricity_Backend[[#This Row],[Converted data]]/1000)</f>
        <v/>
      </c>
      <c r="AG337" s="210" t="str">
        <f>IF(Buildings_GridElectricity_Frontend[[#This Row],[Data]]="","",_xlfn.XLOOKUP(_xlfn.CONCAT(Buildings_GridElectricity_Backend[[#This Row],[Level 1]:[Level 6]]),rng_EFConcat,rng_EF2)*Buildings_GridElectricity_Backend[[#This Row],[Converted data]]/1000)</f>
        <v/>
      </c>
      <c r="AH337" s="210" t="str">
        <f>IF(Buildings_GridElectricity_Frontend[[#This Row],[Data]]="","",_xlfn.XLOOKUP(_xlfn.CONCAT(Buildings_GridElectricity_Backend[[#This Row],[Level 1]:[Level 6]]),rng_EFConcat,rng_EF3)*Buildings_GridElectricity_Backend[[#This Row],[Converted data]]/1000)</f>
        <v/>
      </c>
      <c r="AI337" s="210" t="str">
        <f>IF(Buildings_GridElectricity_Frontend[[#This Row],[Data]]="","",_xlfn.XLOOKUP(_xlfn.CONCAT(Buildings_GridElectricity_Backend[[#This Row],[Level 1]:[Level 6]]),rng_EFConcat,rng_EF3WTT)*Buildings_GridElectricity_Backend[[#This Row],[Converted data]]/1000)</f>
        <v/>
      </c>
      <c r="AJ337" s="210" t="str">
        <f>IF(Buildings_GridElectricity_Frontend[[#This Row],[Data]]="","",_xlfn.XLOOKUP(_xlfn.CONCAT(Buildings_GridElectricity_Backend[[#This Row],[Level 1]:[Level 6]]),rng_EFConcat,rng_EF3TD)*Buildings_GridElectricity_Backend[[#This Row],[Converted data]]/1000)</f>
        <v/>
      </c>
      <c r="AK337" s="210" t="str">
        <f>IF(Buildings_GridElectricity_Frontend[[#This Row],[Data]]="","",_xlfn.XLOOKUP(_xlfn.CONCAT(Buildings_GridElectricity_Backend[[#This Row],[Level 1]:[Level 6]]),rng_EFConcat,rng_EF3WTTTD)*Buildings_GridElectricity_Backend[[#This Row],[Converted data]]/1000)</f>
        <v/>
      </c>
      <c r="AL337" s="220" t="str">
        <f>IF(Buildings_GridElectricity_Frontend[[#This Row],[Data]]="","",SUM(Buildings_GridElectricity_Backend[[#This Row],[Scope 1 (tCO2e)]:[Scope 3 WTT T&amp;D (tCO2e)]]))</f>
        <v/>
      </c>
      <c r="AM337" s="220" t="str">
        <f>IF(Buildings_GridElectricity_Frontend[[#This Row],[Data]]="","",Buildings_GridElectricity_Backend[[#This Row],[Total (tCO2e)]]*(1-Buildings_GridElectricity_Backend[[#This Row],[RSD]]))</f>
        <v/>
      </c>
      <c r="AN337" s="220" t="str">
        <f>IF(Buildings_GridElectricity_Frontend[[#This Row],[Data]]="","",Buildings_GridElectricity_Backend[[#This Row],[Total (tCO2e)]]*(1+Buildings_GridElectricity_Backend[[#This Row],[RSD]]))</f>
        <v/>
      </c>
      <c r="AO337" s="210" t="str">
        <f>IF(Buildings_GridElectricity_Frontend[[#This Row],[Data]]="","",_xlfn.XLOOKUP(_xlfn.CONCAT(Buildings_GridElectricity_Backend[[#This Row],[Level 1]:[Level 6]]),rng_EFConcat,rng_EFOOS)*Buildings_GridElectricity_Backend[[#This Row],[Converted data]]/1000)</f>
        <v/>
      </c>
      <c r="AP337" s="174">
        <f>Buildings_GridElectricity_Frontend[[#This Row],[Ease of collection]]</f>
        <v>0</v>
      </c>
      <c r="AQ337" s="213">
        <f>Buildings_GridElectricity_Frontend[[#This Row],[Completeness]]</f>
        <v>0</v>
      </c>
      <c r="AR337" s="220">
        <f>Buildings_GridElectricity_Frontend[[#This Row],[Notes]]</f>
        <v>0</v>
      </c>
    </row>
    <row r="338" spans="5:44" x14ac:dyDescent="0.3">
      <c r="E338" s="346"/>
      <c r="F338" s="449"/>
      <c r="G338" s="336"/>
      <c r="H338" s="334"/>
      <c r="I338" s="172" t="s">
        <v>316</v>
      </c>
      <c r="J338" s="337"/>
      <c r="K338" s="336"/>
      <c r="L338" s="336"/>
      <c r="M338" s="337"/>
      <c r="N338" s="242">
        <f t="shared" si="11"/>
        <v>3</v>
      </c>
      <c r="Q338" s="212" t="str">
        <f t="shared" si="10"/>
        <v/>
      </c>
      <c r="R338" s="174" t="s">
        <v>265</v>
      </c>
      <c r="S338" s="174" t="s">
        <v>273</v>
      </c>
      <c r="T338" s="174" t="str">
        <f>_xlfn.XLOOKUP(Buildings_GridElectricity_Backend[[#This Row],[Info 1]],Buildings_SiteInfo[Site name],Buildings_SiteInfo[Site type], "")</f>
        <v/>
      </c>
      <c r="U338" s="174" t="s">
        <v>281</v>
      </c>
      <c r="V338" s="174" t="str" cm="1">
        <f t="array" aca="1" ref="V338" ca="1">_xlfn.XLOOKUP(Buildings_GridElectricity_Backend[[#This Row],[Level 4]],rng_Level4Long,rng_Level5Long)</f>
        <v>Electricity</v>
      </c>
      <c r="W338" s="174" t="str" cm="1">
        <f t="array" aca="1" ref="W338" ca="1">_xlfn.XLOOKUP(Buildings_GridElectricity_Backend[[#This Row],[Level 4]],rng_Level4Long,rng_Level6Long)</f>
        <v>NaN</v>
      </c>
      <c r="X338" s="174">
        <f>Buildings_GridElectricity_Frontend[[#This Row],[Site Name]]</f>
        <v>0</v>
      </c>
      <c r="Y338" s="174">
        <f>Buildings_GridElectricity_Frontend[[#This Row],[Contracting]]</f>
        <v>0</v>
      </c>
      <c r="Z338" s="174">
        <f>Buildings_GridElectricity_Frontend[[#This Row],[Methodology]]</f>
        <v>0</v>
      </c>
      <c r="AA338" s="229" t="str" cm="1">
        <f t="array" ref="AA338">IF(Buildings_GridElectricity_Frontend[[#This Row],[Data]]="","",INDEX(_xlfn.SWITCH(Buildings_GridElectricity_Backend[[#This Row],[Methodology]],"Tier 1",rng_RSD1,"Tier 2",rng_RSD2,"Tier 3",rng_RSD3),MATCH(_xlfn.CONCAT(Buildings_GridElectricity_Backend[[#This Row],[Level 1]:[Level 6]]),rng_LevelsConcat,0)))</f>
        <v/>
      </c>
      <c r="AB338" s="220">
        <f>Buildings_GridElectricity_Frontend[[#This Row],[Data]]</f>
        <v>0</v>
      </c>
      <c r="AC338" s="174" t="str">
        <f>Buildings_GridElectricity_Frontend[[#This Row],[Units]]</f>
        <v>kWh</v>
      </c>
      <c r="AD338" s="218">
        <f>Buildings_GridElectricity_Frontend[[#This Row],[Data]]</f>
        <v>0</v>
      </c>
      <c r="AE338" s="174" t="str">
        <f>Buildings_GridElectricity_Frontend[[#This Row],[Units]]</f>
        <v>kWh</v>
      </c>
      <c r="AF338" s="210" t="str">
        <f>IF(Buildings_GridElectricity_Frontend[[#This Row],[Data]]="","",_xlfn.XLOOKUP(_xlfn.CONCAT(Buildings_GridElectricity_Backend[[#This Row],[Level 1]:[Level 6]]),rng_EFConcat,rng_EF1)*Buildings_GridElectricity_Backend[[#This Row],[Converted data]]/1000)</f>
        <v/>
      </c>
      <c r="AG338" s="210" t="str">
        <f>IF(Buildings_GridElectricity_Frontend[[#This Row],[Data]]="","",_xlfn.XLOOKUP(_xlfn.CONCAT(Buildings_GridElectricity_Backend[[#This Row],[Level 1]:[Level 6]]),rng_EFConcat,rng_EF2)*Buildings_GridElectricity_Backend[[#This Row],[Converted data]]/1000)</f>
        <v/>
      </c>
      <c r="AH338" s="210" t="str">
        <f>IF(Buildings_GridElectricity_Frontend[[#This Row],[Data]]="","",_xlfn.XLOOKUP(_xlfn.CONCAT(Buildings_GridElectricity_Backend[[#This Row],[Level 1]:[Level 6]]),rng_EFConcat,rng_EF3)*Buildings_GridElectricity_Backend[[#This Row],[Converted data]]/1000)</f>
        <v/>
      </c>
      <c r="AI338" s="210" t="str">
        <f>IF(Buildings_GridElectricity_Frontend[[#This Row],[Data]]="","",_xlfn.XLOOKUP(_xlfn.CONCAT(Buildings_GridElectricity_Backend[[#This Row],[Level 1]:[Level 6]]),rng_EFConcat,rng_EF3WTT)*Buildings_GridElectricity_Backend[[#This Row],[Converted data]]/1000)</f>
        <v/>
      </c>
      <c r="AJ338" s="210" t="str">
        <f>IF(Buildings_GridElectricity_Frontend[[#This Row],[Data]]="","",_xlfn.XLOOKUP(_xlfn.CONCAT(Buildings_GridElectricity_Backend[[#This Row],[Level 1]:[Level 6]]),rng_EFConcat,rng_EF3TD)*Buildings_GridElectricity_Backend[[#This Row],[Converted data]]/1000)</f>
        <v/>
      </c>
      <c r="AK338" s="210" t="str">
        <f>IF(Buildings_GridElectricity_Frontend[[#This Row],[Data]]="","",_xlfn.XLOOKUP(_xlfn.CONCAT(Buildings_GridElectricity_Backend[[#This Row],[Level 1]:[Level 6]]),rng_EFConcat,rng_EF3WTTTD)*Buildings_GridElectricity_Backend[[#This Row],[Converted data]]/1000)</f>
        <v/>
      </c>
      <c r="AL338" s="220" t="str">
        <f>IF(Buildings_GridElectricity_Frontend[[#This Row],[Data]]="","",SUM(Buildings_GridElectricity_Backend[[#This Row],[Scope 1 (tCO2e)]:[Scope 3 WTT T&amp;D (tCO2e)]]))</f>
        <v/>
      </c>
      <c r="AM338" s="220" t="str">
        <f>IF(Buildings_GridElectricity_Frontend[[#This Row],[Data]]="","",Buildings_GridElectricity_Backend[[#This Row],[Total (tCO2e)]]*(1-Buildings_GridElectricity_Backend[[#This Row],[RSD]]))</f>
        <v/>
      </c>
      <c r="AN338" s="220" t="str">
        <f>IF(Buildings_GridElectricity_Frontend[[#This Row],[Data]]="","",Buildings_GridElectricity_Backend[[#This Row],[Total (tCO2e)]]*(1+Buildings_GridElectricity_Backend[[#This Row],[RSD]]))</f>
        <v/>
      </c>
      <c r="AO338" s="210" t="str">
        <f>IF(Buildings_GridElectricity_Frontend[[#This Row],[Data]]="","",_xlfn.XLOOKUP(_xlfn.CONCAT(Buildings_GridElectricity_Backend[[#This Row],[Level 1]:[Level 6]]),rng_EFConcat,rng_EFOOS)*Buildings_GridElectricity_Backend[[#This Row],[Converted data]]/1000)</f>
        <v/>
      </c>
      <c r="AP338" s="174">
        <f>Buildings_GridElectricity_Frontend[[#This Row],[Ease of collection]]</f>
        <v>0</v>
      </c>
      <c r="AQ338" s="213">
        <f>Buildings_GridElectricity_Frontend[[#This Row],[Completeness]]</f>
        <v>0</v>
      </c>
      <c r="AR338" s="220">
        <f>Buildings_GridElectricity_Frontend[[#This Row],[Notes]]</f>
        <v>0</v>
      </c>
    </row>
    <row r="339" spans="5:44" x14ac:dyDescent="0.3">
      <c r="E339" s="346"/>
      <c r="F339" s="449"/>
      <c r="G339" s="336"/>
      <c r="H339" s="334"/>
      <c r="I339" s="172" t="s">
        <v>316</v>
      </c>
      <c r="J339" s="337"/>
      <c r="K339" s="336"/>
      <c r="L339" s="336"/>
      <c r="M339" s="337"/>
      <c r="N339" s="242">
        <f t="shared" si="11"/>
        <v>3</v>
      </c>
      <c r="Q339" s="212" t="str">
        <f t="shared" si="10"/>
        <v/>
      </c>
      <c r="R339" s="174" t="s">
        <v>265</v>
      </c>
      <c r="S339" s="174" t="s">
        <v>273</v>
      </c>
      <c r="T339" s="174" t="str">
        <f>_xlfn.XLOOKUP(Buildings_GridElectricity_Backend[[#This Row],[Info 1]],Buildings_SiteInfo[Site name],Buildings_SiteInfo[Site type], "")</f>
        <v/>
      </c>
      <c r="U339" s="174" t="s">
        <v>281</v>
      </c>
      <c r="V339" s="174" t="str" cm="1">
        <f t="array" aca="1" ref="V339" ca="1">_xlfn.XLOOKUP(Buildings_GridElectricity_Backend[[#This Row],[Level 4]],rng_Level4Long,rng_Level5Long)</f>
        <v>Electricity</v>
      </c>
      <c r="W339" s="174" t="str" cm="1">
        <f t="array" aca="1" ref="W339" ca="1">_xlfn.XLOOKUP(Buildings_GridElectricity_Backend[[#This Row],[Level 4]],rng_Level4Long,rng_Level6Long)</f>
        <v>NaN</v>
      </c>
      <c r="X339" s="174">
        <f>Buildings_GridElectricity_Frontend[[#This Row],[Site Name]]</f>
        <v>0</v>
      </c>
      <c r="Y339" s="174">
        <f>Buildings_GridElectricity_Frontend[[#This Row],[Contracting]]</f>
        <v>0</v>
      </c>
      <c r="Z339" s="174">
        <f>Buildings_GridElectricity_Frontend[[#This Row],[Methodology]]</f>
        <v>0</v>
      </c>
      <c r="AA339" s="229" t="str" cm="1">
        <f t="array" ref="AA339">IF(Buildings_GridElectricity_Frontend[[#This Row],[Data]]="","",INDEX(_xlfn.SWITCH(Buildings_GridElectricity_Backend[[#This Row],[Methodology]],"Tier 1",rng_RSD1,"Tier 2",rng_RSD2,"Tier 3",rng_RSD3),MATCH(_xlfn.CONCAT(Buildings_GridElectricity_Backend[[#This Row],[Level 1]:[Level 6]]),rng_LevelsConcat,0)))</f>
        <v/>
      </c>
      <c r="AB339" s="220">
        <f>Buildings_GridElectricity_Frontend[[#This Row],[Data]]</f>
        <v>0</v>
      </c>
      <c r="AC339" s="174" t="str">
        <f>Buildings_GridElectricity_Frontend[[#This Row],[Units]]</f>
        <v>kWh</v>
      </c>
      <c r="AD339" s="218">
        <f>Buildings_GridElectricity_Frontend[[#This Row],[Data]]</f>
        <v>0</v>
      </c>
      <c r="AE339" s="174" t="str">
        <f>Buildings_GridElectricity_Frontend[[#This Row],[Units]]</f>
        <v>kWh</v>
      </c>
      <c r="AF339" s="210" t="str">
        <f>IF(Buildings_GridElectricity_Frontend[[#This Row],[Data]]="","",_xlfn.XLOOKUP(_xlfn.CONCAT(Buildings_GridElectricity_Backend[[#This Row],[Level 1]:[Level 6]]),rng_EFConcat,rng_EF1)*Buildings_GridElectricity_Backend[[#This Row],[Converted data]]/1000)</f>
        <v/>
      </c>
      <c r="AG339" s="210" t="str">
        <f>IF(Buildings_GridElectricity_Frontend[[#This Row],[Data]]="","",_xlfn.XLOOKUP(_xlfn.CONCAT(Buildings_GridElectricity_Backend[[#This Row],[Level 1]:[Level 6]]),rng_EFConcat,rng_EF2)*Buildings_GridElectricity_Backend[[#This Row],[Converted data]]/1000)</f>
        <v/>
      </c>
      <c r="AH339" s="210" t="str">
        <f>IF(Buildings_GridElectricity_Frontend[[#This Row],[Data]]="","",_xlfn.XLOOKUP(_xlfn.CONCAT(Buildings_GridElectricity_Backend[[#This Row],[Level 1]:[Level 6]]),rng_EFConcat,rng_EF3)*Buildings_GridElectricity_Backend[[#This Row],[Converted data]]/1000)</f>
        <v/>
      </c>
      <c r="AI339" s="210" t="str">
        <f>IF(Buildings_GridElectricity_Frontend[[#This Row],[Data]]="","",_xlfn.XLOOKUP(_xlfn.CONCAT(Buildings_GridElectricity_Backend[[#This Row],[Level 1]:[Level 6]]),rng_EFConcat,rng_EF3WTT)*Buildings_GridElectricity_Backend[[#This Row],[Converted data]]/1000)</f>
        <v/>
      </c>
      <c r="AJ339" s="210" t="str">
        <f>IF(Buildings_GridElectricity_Frontend[[#This Row],[Data]]="","",_xlfn.XLOOKUP(_xlfn.CONCAT(Buildings_GridElectricity_Backend[[#This Row],[Level 1]:[Level 6]]),rng_EFConcat,rng_EF3TD)*Buildings_GridElectricity_Backend[[#This Row],[Converted data]]/1000)</f>
        <v/>
      </c>
      <c r="AK339" s="210" t="str">
        <f>IF(Buildings_GridElectricity_Frontend[[#This Row],[Data]]="","",_xlfn.XLOOKUP(_xlfn.CONCAT(Buildings_GridElectricity_Backend[[#This Row],[Level 1]:[Level 6]]),rng_EFConcat,rng_EF3WTTTD)*Buildings_GridElectricity_Backend[[#This Row],[Converted data]]/1000)</f>
        <v/>
      </c>
      <c r="AL339" s="220" t="str">
        <f>IF(Buildings_GridElectricity_Frontend[[#This Row],[Data]]="","",SUM(Buildings_GridElectricity_Backend[[#This Row],[Scope 1 (tCO2e)]:[Scope 3 WTT T&amp;D (tCO2e)]]))</f>
        <v/>
      </c>
      <c r="AM339" s="220" t="str">
        <f>IF(Buildings_GridElectricity_Frontend[[#This Row],[Data]]="","",Buildings_GridElectricity_Backend[[#This Row],[Total (tCO2e)]]*(1-Buildings_GridElectricity_Backend[[#This Row],[RSD]]))</f>
        <v/>
      </c>
      <c r="AN339" s="220" t="str">
        <f>IF(Buildings_GridElectricity_Frontend[[#This Row],[Data]]="","",Buildings_GridElectricity_Backend[[#This Row],[Total (tCO2e)]]*(1+Buildings_GridElectricity_Backend[[#This Row],[RSD]]))</f>
        <v/>
      </c>
      <c r="AO339" s="210" t="str">
        <f>IF(Buildings_GridElectricity_Frontend[[#This Row],[Data]]="","",_xlfn.XLOOKUP(_xlfn.CONCAT(Buildings_GridElectricity_Backend[[#This Row],[Level 1]:[Level 6]]),rng_EFConcat,rng_EFOOS)*Buildings_GridElectricity_Backend[[#This Row],[Converted data]]/1000)</f>
        <v/>
      </c>
      <c r="AP339" s="174">
        <f>Buildings_GridElectricity_Frontend[[#This Row],[Ease of collection]]</f>
        <v>0</v>
      </c>
      <c r="AQ339" s="213">
        <f>Buildings_GridElectricity_Frontend[[#This Row],[Completeness]]</f>
        <v>0</v>
      </c>
      <c r="AR339" s="220">
        <f>Buildings_GridElectricity_Frontend[[#This Row],[Notes]]</f>
        <v>0</v>
      </c>
    </row>
    <row r="340" spans="5:44" x14ac:dyDescent="0.3">
      <c r="E340" s="346"/>
      <c r="F340" s="449"/>
      <c r="G340" s="336"/>
      <c r="H340" s="334"/>
      <c r="I340" s="172" t="s">
        <v>316</v>
      </c>
      <c r="J340" s="337"/>
      <c r="K340" s="336"/>
      <c r="L340" s="336"/>
      <c r="M340" s="337"/>
      <c r="N340" s="242">
        <f t="shared" si="11"/>
        <v>3</v>
      </c>
      <c r="Q340" s="212" t="str">
        <f t="shared" si="10"/>
        <v/>
      </c>
      <c r="R340" s="174" t="s">
        <v>265</v>
      </c>
      <c r="S340" s="174" t="s">
        <v>273</v>
      </c>
      <c r="T340" s="174" t="str">
        <f>_xlfn.XLOOKUP(Buildings_GridElectricity_Backend[[#This Row],[Info 1]],Buildings_SiteInfo[Site name],Buildings_SiteInfo[Site type], "")</f>
        <v/>
      </c>
      <c r="U340" s="174" t="s">
        <v>281</v>
      </c>
      <c r="V340" s="174" t="str" cm="1">
        <f t="array" aca="1" ref="V340" ca="1">_xlfn.XLOOKUP(Buildings_GridElectricity_Backend[[#This Row],[Level 4]],rng_Level4Long,rng_Level5Long)</f>
        <v>Electricity</v>
      </c>
      <c r="W340" s="174" t="str" cm="1">
        <f t="array" aca="1" ref="W340" ca="1">_xlfn.XLOOKUP(Buildings_GridElectricity_Backend[[#This Row],[Level 4]],rng_Level4Long,rng_Level6Long)</f>
        <v>NaN</v>
      </c>
      <c r="X340" s="174">
        <f>Buildings_GridElectricity_Frontend[[#This Row],[Site Name]]</f>
        <v>0</v>
      </c>
      <c r="Y340" s="174">
        <f>Buildings_GridElectricity_Frontend[[#This Row],[Contracting]]</f>
        <v>0</v>
      </c>
      <c r="Z340" s="174">
        <f>Buildings_GridElectricity_Frontend[[#This Row],[Methodology]]</f>
        <v>0</v>
      </c>
      <c r="AA340" s="229" t="str" cm="1">
        <f t="array" ref="AA340">IF(Buildings_GridElectricity_Frontend[[#This Row],[Data]]="","",INDEX(_xlfn.SWITCH(Buildings_GridElectricity_Backend[[#This Row],[Methodology]],"Tier 1",rng_RSD1,"Tier 2",rng_RSD2,"Tier 3",rng_RSD3),MATCH(_xlfn.CONCAT(Buildings_GridElectricity_Backend[[#This Row],[Level 1]:[Level 6]]),rng_LevelsConcat,0)))</f>
        <v/>
      </c>
      <c r="AB340" s="220">
        <f>Buildings_GridElectricity_Frontend[[#This Row],[Data]]</f>
        <v>0</v>
      </c>
      <c r="AC340" s="174" t="str">
        <f>Buildings_GridElectricity_Frontend[[#This Row],[Units]]</f>
        <v>kWh</v>
      </c>
      <c r="AD340" s="218">
        <f>Buildings_GridElectricity_Frontend[[#This Row],[Data]]</f>
        <v>0</v>
      </c>
      <c r="AE340" s="174" t="str">
        <f>Buildings_GridElectricity_Frontend[[#This Row],[Units]]</f>
        <v>kWh</v>
      </c>
      <c r="AF340" s="210" t="str">
        <f>IF(Buildings_GridElectricity_Frontend[[#This Row],[Data]]="","",_xlfn.XLOOKUP(_xlfn.CONCAT(Buildings_GridElectricity_Backend[[#This Row],[Level 1]:[Level 6]]),rng_EFConcat,rng_EF1)*Buildings_GridElectricity_Backend[[#This Row],[Converted data]]/1000)</f>
        <v/>
      </c>
      <c r="AG340" s="210" t="str">
        <f>IF(Buildings_GridElectricity_Frontend[[#This Row],[Data]]="","",_xlfn.XLOOKUP(_xlfn.CONCAT(Buildings_GridElectricity_Backend[[#This Row],[Level 1]:[Level 6]]),rng_EFConcat,rng_EF2)*Buildings_GridElectricity_Backend[[#This Row],[Converted data]]/1000)</f>
        <v/>
      </c>
      <c r="AH340" s="210" t="str">
        <f>IF(Buildings_GridElectricity_Frontend[[#This Row],[Data]]="","",_xlfn.XLOOKUP(_xlfn.CONCAT(Buildings_GridElectricity_Backend[[#This Row],[Level 1]:[Level 6]]),rng_EFConcat,rng_EF3)*Buildings_GridElectricity_Backend[[#This Row],[Converted data]]/1000)</f>
        <v/>
      </c>
      <c r="AI340" s="210" t="str">
        <f>IF(Buildings_GridElectricity_Frontend[[#This Row],[Data]]="","",_xlfn.XLOOKUP(_xlfn.CONCAT(Buildings_GridElectricity_Backend[[#This Row],[Level 1]:[Level 6]]),rng_EFConcat,rng_EF3WTT)*Buildings_GridElectricity_Backend[[#This Row],[Converted data]]/1000)</f>
        <v/>
      </c>
      <c r="AJ340" s="210" t="str">
        <f>IF(Buildings_GridElectricity_Frontend[[#This Row],[Data]]="","",_xlfn.XLOOKUP(_xlfn.CONCAT(Buildings_GridElectricity_Backend[[#This Row],[Level 1]:[Level 6]]),rng_EFConcat,rng_EF3TD)*Buildings_GridElectricity_Backend[[#This Row],[Converted data]]/1000)</f>
        <v/>
      </c>
      <c r="AK340" s="210" t="str">
        <f>IF(Buildings_GridElectricity_Frontend[[#This Row],[Data]]="","",_xlfn.XLOOKUP(_xlfn.CONCAT(Buildings_GridElectricity_Backend[[#This Row],[Level 1]:[Level 6]]),rng_EFConcat,rng_EF3WTTTD)*Buildings_GridElectricity_Backend[[#This Row],[Converted data]]/1000)</f>
        <v/>
      </c>
      <c r="AL340" s="220" t="str">
        <f>IF(Buildings_GridElectricity_Frontend[[#This Row],[Data]]="","",SUM(Buildings_GridElectricity_Backend[[#This Row],[Scope 1 (tCO2e)]:[Scope 3 WTT T&amp;D (tCO2e)]]))</f>
        <v/>
      </c>
      <c r="AM340" s="220" t="str">
        <f>IF(Buildings_GridElectricity_Frontend[[#This Row],[Data]]="","",Buildings_GridElectricity_Backend[[#This Row],[Total (tCO2e)]]*(1-Buildings_GridElectricity_Backend[[#This Row],[RSD]]))</f>
        <v/>
      </c>
      <c r="AN340" s="220" t="str">
        <f>IF(Buildings_GridElectricity_Frontend[[#This Row],[Data]]="","",Buildings_GridElectricity_Backend[[#This Row],[Total (tCO2e)]]*(1+Buildings_GridElectricity_Backend[[#This Row],[RSD]]))</f>
        <v/>
      </c>
      <c r="AO340" s="210" t="str">
        <f>IF(Buildings_GridElectricity_Frontend[[#This Row],[Data]]="","",_xlfn.XLOOKUP(_xlfn.CONCAT(Buildings_GridElectricity_Backend[[#This Row],[Level 1]:[Level 6]]),rng_EFConcat,rng_EFOOS)*Buildings_GridElectricity_Backend[[#This Row],[Converted data]]/1000)</f>
        <v/>
      </c>
      <c r="AP340" s="174">
        <f>Buildings_GridElectricity_Frontend[[#This Row],[Ease of collection]]</f>
        <v>0</v>
      </c>
      <c r="AQ340" s="213">
        <f>Buildings_GridElectricity_Frontend[[#This Row],[Completeness]]</f>
        <v>0</v>
      </c>
      <c r="AR340" s="220">
        <f>Buildings_GridElectricity_Frontend[[#This Row],[Notes]]</f>
        <v>0</v>
      </c>
    </row>
    <row r="341" spans="5:44" x14ac:dyDescent="0.3">
      <c r="E341" s="346"/>
      <c r="F341" s="449"/>
      <c r="G341" s="336"/>
      <c r="H341" s="334"/>
      <c r="I341" s="172" t="s">
        <v>316</v>
      </c>
      <c r="J341" s="337"/>
      <c r="K341" s="336"/>
      <c r="L341" s="336"/>
      <c r="M341" s="337"/>
      <c r="N341" s="242">
        <f t="shared" si="11"/>
        <v>3</v>
      </c>
      <c r="Q341" s="212" t="str">
        <f t="shared" si="10"/>
        <v/>
      </c>
      <c r="R341" s="174" t="s">
        <v>265</v>
      </c>
      <c r="S341" s="174" t="s">
        <v>273</v>
      </c>
      <c r="T341" s="174" t="str">
        <f>_xlfn.XLOOKUP(Buildings_GridElectricity_Backend[[#This Row],[Info 1]],Buildings_SiteInfo[Site name],Buildings_SiteInfo[Site type], "")</f>
        <v/>
      </c>
      <c r="U341" s="174" t="s">
        <v>281</v>
      </c>
      <c r="V341" s="174" t="str" cm="1">
        <f t="array" aca="1" ref="V341" ca="1">_xlfn.XLOOKUP(Buildings_GridElectricity_Backend[[#This Row],[Level 4]],rng_Level4Long,rng_Level5Long)</f>
        <v>Electricity</v>
      </c>
      <c r="W341" s="174" t="str" cm="1">
        <f t="array" aca="1" ref="W341" ca="1">_xlfn.XLOOKUP(Buildings_GridElectricity_Backend[[#This Row],[Level 4]],rng_Level4Long,rng_Level6Long)</f>
        <v>NaN</v>
      </c>
      <c r="X341" s="174">
        <f>Buildings_GridElectricity_Frontend[[#This Row],[Site Name]]</f>
        <v>0</v>
      </c>
      <c r="Y341" s="174">
        <f>Buildings_GridElectricity_Frontend[[#This Row],[Contracting]]</f>
        <v>0</v>
      </c>
      <c r="Z341" s="174">
        <f>Buildings_GridElectricity_Frontend[[#This Row],[Methodology]]</f>
        <v>0</v>
      </c>
      <c r="AA341" s="229" t="str" cm="1">
        <f t="array" ref="AA341">IF(Buildings_GridElectricity_Frontend[[#This Row],[Data]]="","",INDEX(_xlfn.SWITCH(Buildings_GridElectricity_Backend[[#This Row],[Methodology]],"Tier 1",rng_RSD1,"Tier 2",rng_RSD2,"Tier 3",rng_RSD3),MATCH(_xlfn.CONCAT(Buildings_GridElectricity_Backend[[#This Row],[Level 1]:[Level 6]]),rng_LevelsConcat,0)))</f>
        <v/>
      </c>
      <c r="AB341" s="220">
        <f>Buildings_GridElectricity_Frontend[[#This Row],[Data]]</f>
        <v>0</v>
      </c>
      <c r="AC341" s="174" t="str">
        <f>Buildings_GridElectricity_Frontend[[#This Row],[Units]]</f>
        <v>kWh</v>
      </c>
      <c r="AD341" s="218">
        <f>Buildings_GridElectricity_Frontend[[#This Row],[Data]]</f>
        <v>0</v>
      </c>
      <c r="AE341" s="174" t="str">
        <f>Buildings_GridElectricity_Frontend[[#This Row],[Units]]</f>
        <v>kWh</v>
      </c>
      <c r="AF341" s="210" t="str">
        <f>IF(Buildings_GridElectricity_Frontend[[#This Row],[Data]]="","",_xlfn.XLOOKUP(_xlfn.CONCAT(Buildings_GridElectricity_Backend[[#This Row],[Level 1]:[Level 6]]),rng_EFConcat,rng_EF1)*Buildings_GridElectricity_Backend[[#This Row],[Converted data]]/1000)</f>
        <v/>
      </c>
      <c r="AG341" s="210" t="str">
        <f>IF(Buildings_GridElectricity_Frontend[[#This Row],[Data]]="","",_xlfn.XLOOKUP(_xlfn.CONCAT(Buildings_GridElectricity_Backend[[#This Row],[Level 1]:[Level 6]]),rng_EFConcat,rng_EF2)*Buildings_GridElectricity_Backend[[#This Row],[Converted data]]/1000)</f>
        <v/>
      </c>
      <c r="AH341" s="210" t="str">
        <f>IF(Buildings_GridElectricity_Frontend[[#This Row],[Data]]="","",_xlfn.XLOOKUP(_xlfn.CONCAT(Buildings_GridElectricity_Backend[[#This Row],[Level 1]:[Level 6]]),rng_EFConcat,rng_EF3)*Buildings_GridElectricity_Backend[[#This Row],[Converted data]]/1000)</f>
        <v/>
      </c>
      <c r="AI341" s="210" t="str">
        <f>IF(Buildings_GridElectricity_Frontend[[#This Row],[Data]]="","",_xlfn.XLOOKUP(_xlfn.CONCAT(Buildings_GridElectricity_Backend[[#This Row],[Level 1]:[Level 6]]),rng_EFConcat,rng_EF3WTT)*Buildings_GridElectricity_Backend[[#This Row],[Converted data]]/1000)</f>
        <v/>
      </c>
      <c r="AJ341" s="210" t="str">
        <f>IF(Buildings_GridElectricity_Frontend[[#This Row],[Data]]="","",_xlfn.XLOOKUP(_xlfn.CONCAT(Buildings_GridElectricity_Backend[[#This Row],[Level 1]:[Level 6]]),rng_EFConcat,rng_EF3TD)*Buildings_GridElectricity_Backend[[#This Row],[Converted data]]/1000)</f>
        <v/>
      </c>
      <c r="AK341" s="210" t="str">
        <f>IF(Buildings_GridElectricity_Frontend[[#This Row],[Data]]="","",_xlfn.XLOOKUP(_xlfn.CONCAT(Buildings_GridElectricity_Backend[[#This Row],[Level 1]:[Level 6]]),rng_EFConcat,rng_EF3WTTTD)*Buildings_GridElectricity_Backend[[#This Row],[Converted data]]/1000)</f>
        <v/>
      </c>
      <c r="AL341" s="220" t="str">
        <f>IF(Buildings_GridElectricity_Frontend[[#This Row],[Data]]="","",SUM(Buildings_GridElectricity_Backend[[#This Row],[Scope 1 (tCO2e)]:[Scope 3 WTT T&amp;D (tCO2e)]]))</f>
        <v/>
      </c>
      <c r="AM341" s="220" t="str">
        <f>IF(Buildings_GridElectricity_Frontend[[#This Row],[Data]]="","",Buildings_GridElectricity_Backend[[#This Row],[Total (tCO2e)]]*(1-Buildings_GridElectricity_Backend[[#This Row],[RSD]]))</f>
        <v/>
      </c>
      <c r="AN341" s="220" t="str">
        <f>IF(Buildings_GridElectricity_Frontend[[#This Row],[Data]]="","",Buildings_GridElectricity_Backend[[#This Row],[Total (tCO2e)]]*(1+Buildings_GridElectricity_Backend[[#This Row],[RSD]]))</f>
        <v/>
      </c>
      <c r="AO341" s="210" t="str">
        <f>IF(Buildings_GridElectricity_Frontend[[#This Row],[Data]]="","",_xlfn.XLOOKUP(_xlfn.CONCAT(Buildings_GridElectricity_Backend[[#This Row],[Level 1]:[Level 6]]),rng_EFConcat,rng_EFOOS)*Buildings_GridElectricity_Backend[[#This Row],[Converted data]]/1000)</f>
        <v/>
      </c>
      <c r="AP341" s="174">
        <f>Buildings_GridElectricity_Frontend[[#This Row],[Ease of collection]]</f>
        <v>0</v>
      </c>
      <c r="AQ341" s="213">
        <f>Buildings_GridElectricity_Frontend[[#This Row],[Completeness]]</f>
        <v>0</v>
      </c>
      <c r="AR341" s="220">
        <f>Buildings_GridElectricity_Frontend[[#This Row],[Notes]]</f>
        <v>0</v>
      </c>
    </row>
    <row r="342" spans="5:44" x14ac:dyDescent="0.3">
      <c r="E342" s="346"/>
      <c r="F342" s="449"/>
      <c r="G342" s="336"/>
      <c r="H342" s="334"/>
      <c r="I342" s="172" t="s">
        <v>316</v>
      </c>
      <c r="J342" s="337"/>
      <c r="K342" s="336"/>
      <c r="L342" s="336"/>
      <c r="M342" s="337"/>
      <c r="N342" s="242">
        <f t="shared" si="11"/>
        <v>3</v>
      </c>
      <c r="Q342" s="212" t="str">
        <f t="shared" si="10"/>
        <v/>
      </c>
      <c r="R342" s="174" t="s">
        <v>265</v>
      </c>
      <c r="S342" s="174" t="s">
        <v>273</v>
      </c>
      <c r="T342" s="174" t="str">
        <f>_xlfn.XLOOKUP(Buildings_GridElectricity_Backend[[#This Row],[Info 1]],Buildings_SiteInfo[Site name],Buildings_SiteInfo[Site type], "")</f>
        <v/>
      </c>
      <c r="U342" s="174" t="s">
        <v>281</v>
      </c>
      <c r="V342" s="174" t="str" cm="1">
        <f t="array" aca="1" ref="V342" ca="1">_xlfn.XLOOKUP(Buildings_GridElectricity_Backend[[#This Row],[Level 4]],rng_Level4Long,rng_Level5Long)</f>
        <v>Electricity</v>
      </c>
      <c r="W342" s="174" t="str" cm="1">
        <f t="array" aca="1" ref="W342" ca="1">_xlfn.XLOOKUP(Buildings_GridElectricity_Backend[[#This Row],[Level 4]],rng_Level4Long,rng_Level6Long)</f>
        <v>NaN</v>
      </c>
      <c r="X342" s="174">
        <f>Buildings_GridElectricity_Frontend[[#This Row],[Site Name]]</f>
        <v>0</v>
      </c>
      <c r="Y342" s="174">
        <f>Buildings_GridElectricity_Frontend[[#This Row],[Contracting]]</f>
        <v>0</v>
      </c>
      <c r="Z342" s="174">
        <f>Buildings_GridElectricity_Frontend[[#This Row],[Methodology]]</f>
        <v>0</v>
      </c>
      <c r="AA342" s="229" t="str" cm="1">
        <f t="array" ref="AA342">IF(Buildings_GridElectricity_Frontend[[#This Row],[Data]]="","",INDEX(_xlfn.SWITCH(Buildings_GridElectricity_Backend[[#This Row],[Methodology]],"Tier 1",rng_RSD1,"Tier 2",rng_RSD2,"Tier 3",rng_RSD3),MATCH(_xlfn.CONCAT(Buildings_GridElectricity_Backend[[#This Row],[Level 1]:[Level 6]]),rng_LevelsConcat,0)))</f>
        <v/>
      </c>
      <c r="AB342" s="220">
        <f>Buildings_GridElectricity_Frontend[[#This Row],[Data]]</f>
        <v>0</v>
      </c>
      <c r="AC342" s="174" t="str">
        <f>Buildings_GridElectricity_Frontend[[#This Row],[Units]]</f>
        <v>kWh</v>
      </c>
      <c r="AD342" s="218">
        <f>Buildings_GridElectricity_Frontend[[#This Row],[Data]]</f>
        <v>0</v>
      </c>
      <c r="AE342" s="174" t="str">
        <f>Buildings_GridElectricity_Frontend[[#This Row],[Units]]</f>
        <v>kWh</v>
      </c>
      <c r="AF342" s="210" t="str">
        <f>IF(Buildings_GridElectricity_Frontend[[#This Row],[Data]]="","",_xlfn.XLOOKUP(_xlfn.CONCAT(Buildings_GridElectricity_Backend[[#This Row],[Level 1]:[Level 6]]),rng_EFConcat,rng_EF1)*Buildings_GridElectricity_Backend[[#This Row],[Converted data]]/1000)</f>
        <v/>
      </c>
      <c r="AG342" s="210" t="str">
        <f>IF(Buildings_GridElectricity_Frontend[[#This Row],[Data]]="","",_xlfn.XLOOKUP(_xlfn.CONCAT(Buildings_GridElectricity_Backend[[#This Row],[Level 1]:[Level 6]]),rng_EFConcat,rng_EF2)*Buildings_GridElectricity_Backend[[#This Row],[Converted data]]/1000)</f>
        <v/>
      </c>
      <c r="AH342" s="210" t="str">
        <f>IF(Buildings_GridElectricity_Frontend[[#This Row],[Data]]="","",_xlfn.XLOOKUP(_xlfn.CONCAT(Buildings_GridElectricity_Backend[[#This Row],[Level 1]:[Level 6]]),rng_EFConcat,rng_EF3)*Buildings_GridElectricity_Backend[[#This Row],[Converted data]]/1000)</f>
        <v/>
      </c>
      <c r="AI342" s="210" t="str">
        <f>IF(Buildings_GridElectricity_Frontend[[#This Row],[Data]]="","",_xlfn.XLOOKUP(_xlfn.CONCAT(Buildings_GridElectricity_Backend[[#This Row],[Level 1]:[Level 6]]),rng_EFConcat,rng_EF3WTT)*Buildings_GridElectricity_Backend[[#This Row],[Converted data]]/1000)</f>
        <v/>
      </c>
      <c r="AJ342" s="210" t="str">
        <f>IF(Buildings_GridElectricity_Frontend[[#This Row],[Data]]="","",_xlfn.XLOOKUP(_xlfn.CONCAT(Buildings_GridElectricity_Backend[[#This Row],[Level 1]:[Level 6]]),rng_EFConcat,rng_EF3TD)*Buildings_GridElectricity_Backend[[#This Row],[Converted data]]/1000)</f>
        <v/>
      </c>
      <c r="AK342" s="210" t="str">
        <f>IF(Buildings_GridElectricity_Frontend[[#This Row],[Data]]="","",_xlfn.XLOOKUP(_xlfn.CONCAT(Buildings_GridElectricity_Backend[[#This Row],[Level 1]:[Level 6]]),rng_EFConcat,rng_EF3WTTTD)*Buildings_GridElectricity_Backend[[#This Row],[Converted data]]/1000)</f>
        <v/>
      </c>
      <c r="AL342" s="220" t="str">
        <f>IF(Buildings_GridElectricity_Frontend[[#This Row],[Data]]="","",SUM(Buildings_GridElectricity_Backend[[#This Row],[Scope 1 (tCO2e)]:[Scope 3 WTT T&amp;D (tCO2e)]]))</f>
        <v/>
      </c>
      <c r="AM342" s="220" t="str">
        <f>IF(Buildings_GridElectricity_Frontend[[#This Row],[Data]]="","",Buildings_GridElectricity_Backend[[#This Row],[Total (tCO2e)]]*(1-Buildings_GridElectricity_Backend[[#This Row],[RSD]]))</f>
        <v/>
      </c>
      <c r="AN342" s="220" t="str">
        <f>IF(Buildings_GridElectricity_Frontend[[#This Row],[Data]]="","",Buildings_GridElectricity_Backend[[#This Row],[Total (tCO2e)]]*(1+Buildings_GridElectricity_Backend[[#This Row],[RSD]]))</f>
        <v/>
      </c>
      <c r="AO342" s="210" t="str">
        <f>IF(Buildings_GridElectricity_Frontend[[#This Row],[Data]]="","",_xlfn.XLOOKUP(_xlfn.CONCAT(Buildings_GridElectricity_Backend[[#This Row],[Level 1]:[Level 6]]),rng_EFConcat,rng_EFOOS)*Buildings_GridElectricity_Backend[[#This Row],[Converted data]]/1000)</f>
        <v/>
      </c>
      <c r="AP342" s="174">
        <f>Buildings_GridElectricity_Frontend[[#This Row],[Ease of collection]]</f>
        <v>0</v>
      </c>
      <c r="AQ342" s="213">
        <f>Buildings_GridElectricity_Frontend[[#This Row],[Completeness]]</f>
        <v>0</v>
      </c>
      <c r="AR342" s="220">
        <f>Buildings_GridElectricity_Frontend[[#This Row],[Notes]]</f>
        <v>0</v>
      </c>
    </row>
    <row r="343" spans="5:44" x14ac:dyDescent="0.3">
      <c r="E343" s="346"/>
      <c r="F343" s="449"/>
      <c r="G343" s="336"/>
      <c r="H343" s="334"/>
      <c r="I343" s="172" t="s">
        <v>316</v>
      </c>
      <c r="J343" s="337"/>
      <c r="K343" s="336"/>
      <c r="L343" s="336"/>
      <c r="M343" s="337"/>
      <c r="N343" s="242">
        <f t="shared" si="11"/>
        <v>3</v>
      </c>
      <c r="Q343" s="212" t="str">
        <f t="shared" si="10"/>
        <v/>
      </c>
      <c r="R343" s="174" t="s">
        <v>265</v>
      </c>
      <c r="S343" s="174" t="s">
        <v>273</v>
      </c>
      <c r="T343" s="174" t="str">
        <f>_xlfn.XLOOKUP(Buildings_GridElectricity_Backend[[#This Row],[Info 1]],Buildings_SiteInfo[Site name],Buildings_SiteInfo[Site type], "")</f>
        <v/>
      </c>
      <c r="U343" s="174" t="s">
        <v>281</v>
      </c>
      <c r="V343" s="174" t="str" cm="1">
        <f t="array" aca="1" ref="V343" ca="1">_xlfn.XLOOKUP(Buildings_GridElectricity_Backend[[#This Row],[Level 4]],rng_Level4Long,rng_Level5Long)</f>
        <v>Electricity</v>
      </c>
      <c r="W343" s="174" t="str" cm="1">
        <f t="array" aca="1" ref="W343" ca="1">_xlfn.XLOOKUP(Buildings_GridElectricity_Backend[[#This Row],[Level 4]],rng_Level4Long,rng_Level6Long)</f>
        <v>NaN</v>
      </c>
      <c r="X343" s="174">
        <f>Buildings_GridElectricity_Frontend[[#This Row],[Site Name]]</f>
        <v>0</v>
      </c>
      <c r="Y343" s="174">
        <f>Buildings_GridElectricity_Frontend[[#This Row],[Contracting]]</f>
        <v>0</v>
      </c>
      <c r="Z343" s="174">
        <f>Buildings_GridElectricity_Frontend[[#This Row],[Methodology]]</f>
        <v>0</v>
      </c>
      <c r="AA343" s="229" t="str" cm="1">
        <f t="array" ref="AA343">IF(Buildings_GridElectricity_Frontend[[#This Row],[Data]]="","",INDEX(_xlfn.SWITCH(Buildings_GridElectricity_Backend[[#This Row],[Methodology]],"Tier 1",rng_RSD1,"Tier 2",rng_RSD2,"Tier 3",rng_RSD3),MATCH(_xlfn.CONCAT(Buildings_GridElectricity_Backend[[#This Row],[Level 1]:[Level 6]]),rng_LevelsConcat,0)))</f>
        <v/>
      </c>
      <c r="AB343" s="220">
        <f>Buildings_GridElectricity_Frontend[[#This Row],[Data]]</f>
        <v>0</v>
      </c>
      <c r="AC343" s="174" t="str">
        <f>Buildings_GridElectricity_Frontend[[#This Row],[Units]]</f>
        <v>kWh</v>
      </c>
      <c r="AD343" s="218">
        <f>Buildings_GridElectricity_Frontend[[#This Row],[Data]]</f>
        <v>0</v>
      </c>
      <c r="AE343" s="174" t="str">
        <f>Buildings_GridElectricity_Frontend[[#This Row],[Units]]</f>
        <v>kWh</v>
      </c>
      <c r="AF343" s="210" t="str">
        <f>IF(Buildings_GridElectricity_Frontend[[#This Row],[Data]]="","",_xlfn.XLOOKUP(_xlfn.CONCAT(Buildings_GridElectricity_Backend[[#This Row],[Level 1]:[Level 6]]),rng_EFConcat,rng_EF1)*Buildings_GridElectricity_Backend[[#This Row],[Converted data]]/1000)</f>
        <v/>
      </c>
      <c r="AG343" s="210" t="str">
        <f>IF(Buildings_GridElectricity_Frontend[[#This Row],[Data]]="","",_xlfn.XLOOKUP(_xlfn.CONCAT(Buildings_GridElectricity_Backend[[#This Row],[Level 1]:[Level 6]]),rng_EFConcat,rng_EF2)*Buildings_GridElectricity_Backend[[#This Row],[Converted data]]/1000)</f>
        <v/>
      </c>
      <c r="AH343" s="210" t="str">
        <f>IF(Buildings_GridElectricity_Frontend[[#This Row],[Data]]="","",_xlfn.XLOOKUP(_xlfn.CONCAT(Buildings_GridElectricity_Backend[[#This Row],[Level 1]:[Level 6]]),rng_EFConcat,rng_EF3)*Buildings_GridElectricity_Backend[[#This Row],[Converted data]]/1000)</f>
        <v/>
      </c>
      <c r="AI343" s="210" t="str">
        <f>IF(Buildings_GridElectricity_Frontend[[#This Row],[Data]]="","",_xlfn.XLOOKUP(_xlfn.CONCAT(Buildings_GridElectricity_Backend[[#This Row],[Level 1]:[Level 6]]),rng_EFConcat,rng_EF3WTT)*Buildings_GridElectricity_Backend[[#This Row],[Converted data]]/1000)</f>
        <v/>
      </c>
      <c r="AJ343" s="210" t="str">
        <f>IF(Buildings_GridElectricity_Frontend[[#This Row],[Data]]="","",_xlfn.XLOOKUP(_xlfn.CONCAT(Buildings_GridElectricity_Backend[[#This Row],[Level 1]:[Level 6]]),rng_EFConcat,rng_EF3TD)*Buildings_GridElectricity_Backend[[#This Row],[Converted data]]/1000)</f>
        <v/>
      </c>
      <c r="AK343" s="210" t="str">
        <f>IF(Buildings_GridElectricity_Frontend[[#This Row],[Data]]="","",_xlfn.XLOOKUP(_xlfn.CONCAT(Buildings_GridElectricity_Backend[[#This Row],[Level 1]:[Level 6]]),rng_EFConcat,rng_EF3WTTTD)*Buildings_GridElectricity_Backend[[#This Row],[Converted data]]/1000)</f>
        <v/>
      </c>
      <c r="AL343" s="220" t="str">
        <f>IF(Buildings_GridElectricity_Frontend[[#This Row],[Data]]="","",SUM(Buildings_GridElectricity_Backend[[#This Row],[Scope 1 (tCO2e)]:[Scope 3 WTT T&amp;D (tCO2e)]]))</f>
        <v/>
      </c>
      <c r="AM343" s="220" t="str">
        <f>IF(Buildings_GridElectricity_Frontend[[#This Row],[Data]]="","",Buildings_GridElectricity_Backend[[#This Row],[Total (tCO2e)]]*(1-Buildings_GridElectricity_Backend[[#This Row],[RSD]]))</f>
        <v/>
      </c>
      <c r="AN343" s="220" t="str">
        <f>IF(Buildings_GridElectricity_Frontend[[#This Row],[Data]]="","",Buildings_GridElectricity_Backend[[#This Row],[Total (tCO2e)]]*(1+Buildings_GridElectricity_Backend[[#This Row],[RSD]]))</f>
        <v/>
      </c>
      <c r="AO343" s="210" t="str">
        <f>IF(Buildings_GridElectricity_Frontend[[#This Row],[Data]]="","",_xlfn.XLOOKUP(_xlfn.CONCAT(Buildings_GridElectricity_Backend[[#This Row],[Level 1]:[Level 6]]),rng_EFConcat,rng_EFOOS)*Buildings_GridElectricity_Backend[[#This Row],[Converted data]]/1000)</f>
        <v/>
      </c>
      <c r="AP343" s="174">
        <f>Buildings_GridElectricity_Frontend[[#This Row],[Ease of collection]]</f>
        <v>0</v>
      </c>
      <c r="AQ343" s="213">
        <f>Buildings_GridElectricity_Frontend[[#This Row],[Completeness]]</f>
        <v>0</v>
      </c>
      <c r="AR343" s="220">
        <f>Buildings_GridElectricity_Frontend[[#This Row],[Notes]]</f>
        <v>0</v>
      </c>
    </row>
    <row r="344" spans="5:44" x14ac:dyDescent="0.3">
      <c r="E344" s="346"/>
      <c r="F344" s="449"/>
      <c r="G344" s="336"/>
      <c r="H344" s="334"/>
      <c r="I344" s="172" t="s">
        <v>316</v>
      </c>
      <c r="J344" s="337"/>
      <c r="K344" s="336"/>
      <c r="L344" s="336"/>
      <c r="M344" s="337"/>
      <c r="N344" s="242">
        <f t="shared" si="11"/>
        <v>3</v>
      </c>
      <c r="Q344" s="212" t="str">
        <f t="shared" si="10"/>
        <v/>
      </c>
      <c r="R344" s="174" t="s">
        <v>265</v>
      </c>
      <c r="S344" s="174" t="s">
        <v>273</v>
      </c>
      <c r="T344" s="174" t="str">
        <f>_xlfn.XLOOKUP(Buildings_GridElectricity_Backend[[#This Row],[Info 1]],Buildings_SiteInfo[Site name],Buildings_SiteInfo[Site type], "")</f>
        <v/>
      </c>
      <c r="U344" s="174" t="s">
        <v>281</v>
      </c>
      <c r="V344" s="174" t="str" cm="1">
        <f t="array" aca="1" ref="V344" ca="1">_xlfn.XLOOKUP(Buildings_GridElectricity_Backend[[#This Row],[Level 4]],rng_Level4Long,rng_Level5Long)</f>
        <v>Electricity</v>
      </c>
      <c r="W344" s="174" t="str" cm="1">
        <f t="array" aca="1" ref="W344" ca="1">_xlfn.XLOOKUP(Buildings_GridElectricity_Backend[[#This Row],[Level 4]],rng_Level4Long,rng_Level6Long)</f>
        <v>NaN</v>
      </c>
      <c r="X344" s="174">
        <f>Buildings_GridElectricity_Frontend[[#This Row],[Site Name]]</f>
        <v>0</v>
      </c>
      <c r="Y344" s="174">
        <f>Buildings_GridElectricity_Frontend[[#This Row],[Contracting]]</f>
        <v>0</v>
      </c>
      <c r="Z344" s="174">
        <f>Buildings_GridElectricity_Frontend[[#This Row],[Methodology]]</f>
        <v>0</v>
      </c>
      <c r="AA344" s="229" t="str" cm="1">
        <f t="array" ref="AA344">IF(Buildings_GridElectricity_Frontend[[#This Row],[Data]]="","",INDEX(_xlfn.SWITCH(Buildings_GridElectricity_Backend[[#This Row],[Methodology]],"Tier 1",rng_RSD1,"Tier 2",rng_RSD2,"Tier 3",rng_RSD3),MATCH(_xlfn.CONCAT(Buildings_GridElectricity_Backend[[#This Row],[Level 1]:[Level 6]]),rng_LevelsConcat,0)))</f>
        <v/>
      </c>
      <c r="AB344" s="220">
        <f>Buildings_GridElectricity_Frontend[[#This Row],[Data]]</f>
        <v>0</v>
      </c>
      <c r="AC344" s="174" t="str">
        <f>Buildings_GridElectricity_Frontend[[#This Row],[Units]]</f>
        <v>kWh</v>
      </c>
      <c r="AD344" s="218">
        <f>Buildings_GridElectricity_Frontend[[#This Row],[Data]]</f>
        <v>0</v>
      </c>
      <c r="AE344" s="174" t="str">
        <f>Buildings_GridElectricity_Frontend[[#This Row],[Units]]</f>
        <v>kWh</v>
      </c>
      <c r="AF344" s="210" t="str">
        <f>IF(Buildings_GridElectricity_Frontend[[#This Row],[Data]]="","",_xlfn.XLOOKUP(_xlfn.CONCAT(Buildings_GridElectricity_Backend[[#This Row],[Level 1]:[Level 6]]),rng_EFConcat,rng_EF1)*Buildings_GridElectricity_Backend[[#This Row],[Converted data]]/1000)</f>
        <v/>
      </c>
      <c r="AG344" s="210" t="str">
        <f>IF(Buildings_GridElectricity_Frontend[[#This Row],[Data]]="","",_xlfn.XLOOKUP(_xlfn.CONCAT(Buildings_GridElectricity_Backend[[#This Row],[Level 1]:[Level 6]]),rng_EFConcat,rng_EF2)*Buildings_GridElectricity_Backend[[#This Row],[Converted data]]/1000)</f>
        <v/>
      </c>
      <c r="AH344" s="210" t="str">
        <f>IF(Buildings_GridElectricity_Frontend[[#This Row],[Data]]="","",_xlfn.XLOOKUP(_xlfn.CONCAT(Buildings_GridElectricity_Backend[[#This Row],[Level 1]:[Level 6]]),rng_EFConcat,rng_EF3)*Buildings_GridElectricity_Backend[[#This Row],[Converted data]]/1000)</f>
        <v/>
      </c>
      <c r="AI344" s="210" t="str">
        <f>IF(Buildings_GridElectricity_Frontend[[#This Row],[Data]]="","",_xlfn.XLOOKUP(_xlfn.CONCAT(Buildings_GridElectricity_Backend[[#This Row],[Level 1]:[Level 6]]),rng_EFConcat,rng_EF3WTT)*Buildings_GridElectricity_Backend[[#This Row],[Converted data]]/1000)</f>
        <v/>
      </c>
      <c r="AJ344" s="210" t="str">
        <f>IF(Buildings_GridElectricity_Frontend[[#This Row],[Data]]="","",_xlfn.XLOOKUP(_xlfn.CONCAT(Buildings_GridElectricity_Backend[[#This Row],[Level 1]:[Level 6]]),rng_EFConcat,rng_EF3TD)*Buildings_GridElectricity_Backend[[#This Row],[Converted data]]/1000)</f>
        <v/>
      </c>
      <c r="AK344" s="210" t="str">
        <f>IF(Buildings_GridElectricity_Frontend[[#This Row],[Data]]="","",_xlfn.XLOOKUP(_xlfn.CONCAT(Buildings_GridElectricity_Backend[[#This Row],[Level 1]:[Level 6]]),rng_EFConcat,rng_EF3WTTTD)*Buildings_GridElectricity_Backend[[#This Row],[Converted data]]/1000)</f>
        <v/>
      </c>
      <c r="AL344" s="220" t="str">
        <f>IF(Buildings_GridElectricity_Frontend[[#This Row],[Data]]="","",SUM(Buildings_GridElectricity_Backend[[#This Row],[Scope 1 (tCO2e)]:[Scope 3 WTT T&amp;D (tCO2e)]]))</f>
        <v/>
      </c>
      <c r="AM344" s="220" t="str">
        <f>IF(Buildings_GridElectricity_Frontend[[#This Row],[Data]]="","",Buildings_GridElectricity_Backend[[#This Row],[Total (tCO2e)]]*(1-Buildings_GridElectricity_Backend[[#This Row],[RSD]]))</f>
        <v/>
      </c>
      <c r="AN344" s="220" t="str">
        <f>IF(Buildings_GridElectricity_Frontend[[#This Row],[Data]]="","",Buildings_GridElectricity_Backend[[#This Row],[Total (tCO2e)]]*(1+Buildings_GridElectricity_Backend[[#This Row],[RSD]]))</f>
        <v/>
      </c>
      <c r="AO344" s="210" t="str">
        <f>IF(Buildings_GridElectricity_Frontend[[#This Row],[Data]]="","",_xlfn.XLOOKUP(_xlfn.CONCAT(Buildings_GridElectricity_Backend[[#This Row],[Level 1]:[Level 6]]),rng_EFConcat,rng_EFOOS)*Buildings_GridElectricity_Backend[[#This Row],[Converted data]]/1000)</f>
        <v/>
      </c>
      <c r="AP344" s="174">
        <f>Buildings_GridElectricity_Frontend[[#This Row],[Ease of collection]]</f>
        <v>0</v>
      </c>
      <c r="AQ344" s="213">
        <f>Buildings_GridElectricity_Frontend[[#This Row],[Completeness]]</f>
        <v>0</v>
      </c>
      <c r="AR344" s="220">
        <f>Buildings_GridElectricity_Frontend[[#This Row],[Notes]]</f>
        <v>0</v>
      </c>
    </row>
    <row r="345" spans="5:44" x14ac:dyDescent="0.3">
      <c r="E345" s="346"/>
      <c r="F345" s="449"/>
      <c r="G345" s="336"/>
      <c r="H345" s="334"/>
      <c r="I345" s="172" t="s">
        <v>316</v>
      </c>
      <c r="J345" s="337"/>
      <c r="K345" s="336"/>
      <c r="L345" s="336"/>
      <c r="M345" s="337"/>
      <c r="N345" s="242">
        <f t="shared" si="11"/>
        <v>3</v>
      </c>
      <c r="Q345" s="212" t="str">
        <f t="shared" si="10"/>
        <v/>
      </c>
      <c r="R345" s="174" t="s">
        <v>265</v>
      </c>
      <c r="S345" s="174" t="s">
        <v>273</v>
      </c>
      <c r="T345" s="174" t="str">
        <f>_xlfn.XLOOKUP(Buildings_GridElectricity_Backend[[#This Row],[Info 1]],Buildings_SiteInfo[Site name],Buildings_SiteInfo[Site type], "")</f>
        <v/>
      </c>
      <c r="U345" s="174" t="s">
        <v>281</v>
      </c>
      <c r="V345" s="174" t="str" cm="1">
        <f t="array" aca="1" ref="V345" ca="1">_xlfn.XLOOKUP(Buildings_GridElectricity_Backend[[#This Row],[Level 4]],rng_Level4Long,rng_Level5Long)</f>
        <v>Electricity</v>
      </c>
      <c r="W345" s="174" t="str" cm="1">
        <f t="array" aca="1" ref="W345" ca="1">_xlfn.XLOOKUP(Buildings_GridElectricity_Backend[[#This Row],[Level 4]],rng_Level4Long,rng_Level6Long)</f>
        <v>NaN</v>
      </c>
      <c r="X345" s="174">
        <f>Buildings_GridElectricity_Frontend[[#This Row],[Site Name]]</f>
        <v>0</v>
      </c>
      <c r="Y345" s="174">
        <f>Buildings_GridElectricity_Frontend[[#This Row],[Contracting]]</f>
        <v>0</v>
      </c>
      <c r="Z345" s="174">
        <f>Buildings_GridElectricity_Frontend[[#This Row],[Methodology]]</f>
        <v>0</v>
      </c>
      <c r="AA345" s="229" t="str" cm="1">
        <f t="array" ref="AA345">IF(Buildings_GridElectricity_Frontend[[#This Row],[Data]]="","",INDEX(_xlfn.SWITCH(Buildings_GridElectricity_Backend[[#This Row],[Methodology]],"Tier 1",rng_RSD1,"Tier 2",rng_RSD2,"Tier 3",rng_RSD3),MATCH(_xlfn.CONCAT(Buildings_GridElectricity_Backend[[#This Row],[Level 1]:[Level 6]]),rng_LevelsConcat,0)))</f>
        <v/>
      </c>
      <c r="AB345" s="220">
        <f>Buildings_GridElectricity_Frontend[[#This Row],[Data]]</f>
        <v>0</v>
      </c>
      <c r="AC345" s="174" t="str">
        <f>Buildings_GridElectricity_Frontend[[#This Row],[Units]]</f>
        <v>kWh</v>
      </c>
      <c r="AD345" s="218">
        <f>Buildings_GridElectricity_Frontend[[#This Row],[Data]]</f>
        <v>0</v>
      </c>
      <c r="AE345" s="174" t="str">
        <f>Buildings_GridElectricity_Frontend[[#This Row],[Units]]</f>
        <v>kWh</v>
      </c>
      <c r="AF345" s="210" t="str">
        <f>IF(Buildings_GridElectricity_Frontend[[#This Row],[Data]]="","",_xlfn.XLOOKUP(_xlfn.CONCAT(Buildings_GridElectricity_Backend[[#This Row],[Level 1]:[Level 6]]),rng_EFConcat,rng_EF1)*Buildings_GridElectricity_Backend[[#This Row],[Converted data]]/1000)</f>
        <v/>
      </c>
      <c r="AG345" s="210" t="str">
        <f>IF(Buildings_GridElectricity_Frontend[[#This Row],[Data]]="","",_xlfn.XLOOKUP(_xlfn.CONCAT(Buildings_GridElectricity_Backend[[#This Row],[Level 1]:[Level 6]]),rng_EFConcat,rng_EF2)*Buildings_GridElectricity_Backend[[#This Row],[Converted data]]/1000)</f>
        <v/>
      </c>
      <c r="AH345" s="210" t="str">
        <f>IF(Buildings_GridElectricity_Frontend[[#This Row],[Data]]="","",_xlfn.XLOOKUP(_xlfn.CONCAT(Buildings_GridElectricity_Backend[[#This Row],[Level 1]:[Level 6]]),rng_EFConcat,rng_EF3)*Buildings_GridElectricity_Backend[[#This Row],[Converted data]]/1000)</f>
        <v/>
      </c>
      <c r="AI345" s="210" t="str">
        <f>IF(Buildings_GridElectricity_Frontend[[#This Row],[Data]]="","",_xlfn.XLOOKUP(_xlfn.CONCAT(Buildings_GridElectricity_Backend[[#This Row],[Level 1]:[Level 6]]),rng_EFConcat,rng_EF3WTT)*Buildings_GridElectricity_Backend[[#This Row],[Converted data]]/1000)</f>
        <v/>
      </c>
      <c r="AJ345" s="210" t="str">
        <f>IF(Buildings_GridElectricity_Frontend[[#This Row],[Data]]="","",_xlfn.XLOOKUP(_xlfn.CONCAT(Buildings_GridElectricity_Backend[[#This Row],[Level 1]:[Level 6]]),rng_EFConcat,rng_EF3TD)*Buildings_GridElectricity_Backend[[#This Row],[Converted data]]/1000)</f>
        <v/>
      </c>
      <c r="AK345" s="210" t="str">
        <f>IF(Buildings_GridElectricity_Frontend[[#This Row],[Data]]="","",_xlfn.XLOOKUP(_xlfn.CONCAT(Buildings_GridElectricity_Backend[[#This Row],[Level 1]:[Level 6]]),rng_EFConcat,rng_EF3WTTTD)*Buildings_GridElectricity_Backend[[#This Row],[Converted data]]/1000)</f>
        <v/>
      </c>
      <c r="AL345" s="220" t="str">
        <f>IF(Buildings_GridElectricity_Frontend[[#This Row],[Data]]="","",SUM(Buildings_GridElectricity_Backend[[#This Row],[Scope 1 (tCO2e)]:[Scope 3 WTT T&amp;D (tCO2e)]]))</f>
        <v/>
      </c>
      <c r="AM345" s="220" t="str">
        <f>IF(Buildings_GridElectricity_Frontend[[#This Row],[Data]]="","",Buildings_GridElectricity_Backend[[#This Row],[Total (tCO2e)]]*(1-Buildings_GridElectricity_Backend[[#This Row],[RSD]]))</f>
        <v/>
      </c>
      <c r="AN345" s="220" t="str">
        <f>IF(Buildings_GridElectricity_Frontend[[#This Row],[Data]]="","",Buildings_GridElectricity_Backend[[#This Row],[Total (tCO2e)]]*(1+Buildings_GridElectricity_Backend[[#This Row],[RSD]]))</f>
        <v/>
      </c>
      <c r="AO345" s="210" t="str">
        <f>IF(Buildings_GridElectricity_Frontend[[#This Row],[Data]]="","",_xlfn.XLOOKUP(_xlfn.CONCAT(Buildings_GridElectricity_Backend[[#This Row],[Level 1]:[Level 6]]),rng_EFConcat,rng_EFOOS)*Buildings_GridElectricity_Backend[[#This Row],[Converted data]]/1000)</f>
        <v/>
      </c>
      <c r="AP345" s="174">
        <f>Buildings_GridElectricity_Frontend[[#This Row],[Ease of collection]]</f>
        <v>0</v>
      </c>
      <c r="AQ345" s="213">
        <f>Buildings_GridElectricity_Frontend[[#This Row],[Completeness]]</f>
        <v>0</v>
      </c>
      <c r="AR345" s="220">
        <f>Buildings_GridElectricity_Frontend[[#This Row],[Notes]]</f>
        <v>0</v>
      </c>
    </row>
    <row r="346" spans="5:44" x14ac:dyDescent="0.3">
      <c r="E346" s="346"/>
      <c r="F346" s="449"/>
      <c r="G346" s="336"/>
      <c r="H346" s="334"/>
      <c r="I346" s="172" t="s">
        <v>316</v>
      </c>
      <c r="J346" s="337"/>
      <c r="K346" s="336"/>
      <c r="L346" s="336"/>
      <c r="M346" s="337"/>
      <c r="N346" s="242">
        <f t="shared" si="11"/>
        <v>3</v>
      </c>
      <c r="Q346" s="212" t="str">
        <f t="shared" si="10"/>
        <v/>
      </c>
      <c r="R346" s="174" t="s">
        <v>265</v>
      </c>
      <c r="S346" s="174" t="s">
        <v>273</v>
      </c>
      <c r="T346" s="174" t="str">
        <f>_xlfn.XLOOKUP(Buildings_GridElectricity_Backend[[#This Row],[Info 1]],Buildings_SiteInfo[Site name],Buildings_SiteInfo[Site type], "")</f>
        <v/>
      </c>
      <c r="U346" s="174" t="s">
        <v>281</v>
      </c>
      <c r="V346" s="174" t="str" cm="1">
        <f t="array" aca="1" ref="V346" ca="1">_xlfn.XLOOKUP(Buildings_GridElectricity_Backend[[#This Row],[Level 4]],rng_Level4Long,rng_Level5Long)</f>
        <v>Electricity</v>
      </c>
      <c r="W346" s="174" t="str" cm="1">
        <f t="array" aca="1" ref="W346" ca="1">_xlfn.XLOOKUP(Buildings_GridElectricity_Backend[[#This Row],[Level 4]],rng_Level4Long,rng_Level6Long)</f>
        <v>NaN</v>
      </c>
      <c r="X346" s="174">
        <f>Buildings_GridElectricity_Frontend[[#This Row],[Site Name]]</f>
        <v>0</v>
      </c>
      <c r="Y346" s="174">
        <f>Buildings_GridElectricity_Frontend[[#This Row],[Contracting]]</f>
        <v>0</v>
      </c>
      <c r="Z346" s="174">
        <f>Buildings_GridElectricity_Frontend[[#This Row],[Methodology]]</f>
        <v>0</v>
      </c>
      <c r="AA346" s="229" t="str" cm="1">
        <f t="array" ref="AA346">IF(Buildings_GridElectricity_Frontend[[#This Row],[Data]]="","",INDEX(_xlfn.SWITCH(Buildings_GridElectricity_Backend[[#This Row],[Methodology]],"Tier 1",rng_RSD1,"Tier 2",rng_RSD2,"Tier 3",rng_RSD3),MATCH(_xlfn.CONCAT(Buildings_GridElectricity_Backend[[#This Row],[Level 1]:[Level 6]]),rng_LevelsConcat,0)))</f>
        <v/>
      </c>
      <c r="AB346" s="220">
        <f>Buildings_GridElectricity_Frontend[[#This Row],[Data]]</f>
        <v>0</v>
      </c>
      <c r="AC346" s="174" t="str">
        <f>Buildings_GridElectricity_Frontend[[#This Row],[Units]]</f>
        <v>kWh</v>
      </c>
      <c r="AD346" s="218">
        <f>Buildings_GridElectricity_Frontend[[#This Row],[Data]]</f>
        <v>0</v>
      </c>
      <c r="AE346" s="174" t="str">
        <f>Buildings_GridElectricity_Frontend[[#This Row],[Units]]</f>
        <v>kWh</v>
      </c>
      <c r="AF346" s="210" t="str">
        <f>IF(Buildings_GridElectricity_Frontend[[#This Row],[Data]]="","",_xlfn.XLOOKUP(_xlfn.CONCAT(Buildings_GridElectricity_Backend[[#This Row],[Level 1]:[Level 6]]),rng_EFConcat,rng_EF1)*Buildings_GridElectricity_Backend[[#This Row],[Converted data]]/1000)</f>
        <v/>
      </c>
      <c r="AG346" s="210" t="str">
        <f>IF(Buildings_GridElectricity_Frontend[[#This Row],[Data]]="","",_xlfn.XLOOKUP(_xlfn.CONCAT(Buildings_GridElectricity_Backend[[#This Row],[Level 1]:[Level 6]]),rng_EFConcat,rng_EF2)*Buildings_GridElectricity_Backend[[#This Row],[Converted data]]/1000)</f>
        <v/>
      </c>
      <c r="AH346" s="210" t="str">
        <f>IF(Buildings_GridElectricity_Frontend[[#This Row],[Data]]="","",_xlfn.XLOOKUP(_xlfn.CONCAT(Buildings_GridElectricity_Backend[[#This Row],[Level 1]:[Level 6]]),rng_EFConcat,rng_EF3)*Buildings_GridElectricity_Backend[[#This Row],[Converted data]]/1000)</f>
        <v/>
      </c>
      <c r="AI346" s="210" t="str">
        <f>IF(Buildings_GridElectricity_Frontend[[#This Row],[Data]]="","",_xlfn.XLOOKUP(_xlfn.CONCAT(Buildings_GridElectricity_Backend[[#This Row],[Level 1]:[Level 6]]),rng_EFConcat,rng_EF3WTT)*Buildings_GridElectricity_Backend[[#This Row],[Converted data]]/1000)</f>
        <v/>
      </c>
      <c r="AJ346" s="210" t="str">
        <f>IF(Buildings_GridElectricity_Frontend[[#This Row],[Data]]="","",_xlfn.XLOOKUP(_xlfn.CONCAT(Buildings_GridElectricity_Backend[[#This Row],[Level 1]:[Level 6]]),rng_EFConcat,rng_EF3TD)*Buildings_GridElectricity_Backend[[#This Row],[Converted data]]/1000)</f>
        <v/>
      </c>
      <c r="AK346" s="210" t="str">
        <f>IF(Buildings_GridElectricity_Frontend[[#This Row],[Data]]="","",_xlfn.XLOOKUP(_xlfn.CONCAT(Buildings_GridElectricity_Backend[[#This Row],[Level 1]:[Level 6]]),rng_EFConcat,rng_EF3WTTTD)*Buildings_GridElectricity_Backend[[#This Row],[Converted data]]/1000)</f>
        <v/>
      </c>
      <c r="AL346" s="220" t="str">
        <f>IF(Buildings_GridElectricity_Frontend[[#This Row],[Data]]="","",SUM(Buildings_GridElectricity_Backend[[#This Row],[Scope 1 (tCO2e)]:[Scope 3 WTT T&amp;D (tCO2e)]]))</f>
        <v/>
      </c>
      <c r="AM346" s="220" t="str">
        <f>IF(Buildings_GridElectricity_Frontend[[#This Row],[Data]]="","",Buildings_GridElectricity_Backend[[#This Row],[Total (tCO2e)]]*(1-Buildings_GridElectricity_Backend[[#This Row],[RSD]]))</f>
        <v/>
      </c>
      <c r="AN346" s="220" t="str">
        <f>IF(Buildings_GridElectricity_Frontend[[#This Row],[Data]]="","",Buildings_GridElectricity_Backend[[#This Row],[Total (tCO2e)]]*(1+Buildings_GridElectricity_Backend[[#This Row],[RSD]]))</f>
        <v/>
      </c>
      <c r="AO346" s="210" t="str">
        <f>IF(Buildings_GridElectricity_Frontend[[#This Row],[Data]]="","",_xlfn.XLOOKUP(_xlfn.CONCAT(Buildings_GridElectricity_Backend[[#This Row],[Level 1]:[Level 6]]),rng_EFConcat,rng_EFOOS)*Buildings_GridElectricity_Backend[[#This Row],[Converted data]]/1000)</f>
        <v/>
      </c>
      <c r="AP346" s="174">
        <f>Buildings_GridElectricity_Frontend[[#This Row],[Ease of collection]]</f>
        <v>0</v>
      </c>
      <c r="AQ346" s="213">
        <f>Buildings_GridElectricity_Frontend[[#This Row],[Completeness]]</f>
        <v>0</v>
      </c>
      <c r="AR346" s="220">
        <f>Buildings_GridElectricity_Frontend[[#This Row],[Notes]]</f>
        <v>0</v>
      </c>
    </row>
    <row r="347" spans="5:44" x14ac:dyDescent="0.3">
      <c r="E347" s="346"/>
      <c r="F347" s="449"/>
      <c r="G347" s="336"/>
      <c r="H347" s="334"/>
      <c r="I347" s="172" t="s">
        <v>316</v>
      </c>
      <c r="J347" s="337"/>
      <c r="K347" s="336"/>
      <c r="L347" s="336"/>
      <c r="M347" s="337"/>
      <c r="N347" s="242">
        <f t="shared" si="11"/>
        <v>3</v>
      </c>
      <c r="Q347" s="212" t="str">
        <f t="shared" si="10"/>
        <v/>
      </c>
      <c r="R347" s="174" t="s">
        <v>265</v>
      </c>
      <c r="S347" s="174" t="s">
        <v>273</v>
      </c>
      <c r="T347" s="174" t="str">
        <f>_xlfn.XLOOKUP(Buildings_GridElectricity_Backend[[#This Row],[Info 1]],Buildings_SiteInfo[Site name],Buildings_SiteInfo[Site type], "")</f>
        <v/>
      </c>
      <c r="U347" s="174" t="s">
        <v>281</v>
      </c>
      <c r="V347" s="174" t="str" cm="1">
        <f t="array" aca="1" ref="V347" ca="1">_xlfn.XLOOKUP(Buildings_GridElectricity_Backend[[#This Row],[Level 4]],rng_Level4Long,rng_Level5Long)</f>
        <v>Electricity</v>
      </c>
      <c r="W347" s="174" t="str" cm="1">
        <f t="array" aca="1" ref="W347" ca="1">_xlfn.XLOOKUP(Buildings_GridElectricity_Backend[[#This Row],[Level 4]],rng_Level4Long,rng_Level6Long)</f>
        <v>NaN</v>
      </c>
      <c r="X347" s="174">
        <f>Buildings_GridElectricity_Frontend[[#This Row],[Site Name]]</f>
        <v>0</v>
      </c>
      <c r="Y347" s="174">
        <f>Buildings_GridElectricity_Frontend[[#This Row],[Contracting]]</f>
        <v>0</v>
      </c>
      <c r="Z347" s="174">
        <f>Buildings_GridElectricity_Frontend[[#This Row],[Methodology]]</f>
        <v>0</v>
      </c>
      <c r="AA347" s="229" t="str" cm="1">
        <f t="array" ref="AA347">IF(Buildings_GridElectricity_Frontend[[#This Row],[Data]]="","",INDEX(_xlfn.SWITCH(Buildings_GridElectricity_Backend[[#This Row],[Methodology]],"Tier 1",rng_RSD1,"Tier 2",rng_RSD2,"Tier 3",rng_RSD3),MATCH(_xlfn.CONCAT(Buildings_GridElectricity_Backend[[#This Row],[Level 1]:[Level 6]]),rng_LevelsConcat,0)))</f>
        <v/>
      </c>
      <c r="AB347" s="220">
        <f>Buildings_GridElectricity_Frontend[[#This Row],[Data]]</f>
        <v>0</v>
      </c>
      <c r="AC347" s="174" t="str">
        <f>Buildings_GridElectricity_Frontend[[#This Row],[Units]]</f>
        <v>kWh</v>
      </c>
      <c r="AD347" s="218">
        <f>Buildings_GridElectricity_Frontend[[#This Row],[Data]]</f>
        <v>0</v>
      </c>
      <c r="AE347" s="174" t="str">
        <f>Buildings_GridElectricity_Frontend[[#This Row],[Units]]</f>
        <v>kWh</v>
      </c>
      <c r="AF347" s="210" t="str">
        <f>IF(Buildings_GridElectricity_Frontend[[#This Row],[Data]]="","",_xlfn.XLOOKUP(_xlfn.CONCAT(Buildings_GridElectricity_Backend[[#This Row],[Level 1]:[Level 6]]),rng_EFConcat,rng_EF1)*Buildings_GridElectricity_Backend[[#This Row],[Converted data]]/1000)</f>
        <v/>
      </c>
      <c r="AG347" s="210" t="str">
        <f>IF(Buildings_GridElectricity_Frontend[[#This Row],[Data]]="","",_xlfn.XLOOKUP(_xlfn.CONCAT(Buildings_GridElectricity_Backend[[#This Row],[Level 1]:[Level 6]]),rng_EFConcat,rng_EF2)*Buildings_GridElectricity_Backend[[#This Row],[Converted data]]/1000)</f>
        <v/>
      </c>
      <c r="AH347" s="210" t="str">
        <f>IF(Buildings_GridElectricity_Frontend[[#This Row],[Data]]="","",_xlfn.XLOOKUP(_xlfn.CONCAT(Buildings_GridElectricity_Backend[[#This Row],[Level 1]:[Level 6]]),rng_EFConcat,rng_EF3)*Buildings_GridElectricity_Backend[[#This Row],[Converted data]]/1000)</f>
        <v/>
      </c>
      <c r="AI347" s="210" t="str">
        <f>IF(Buildings_GridElectricity_Frontend[[#This Row],[Data]]="","",_xlfn.XLOOKUP(_xlfn.CONCAT(Buildings_GridElectricity_Backend[[#This Row],[Level 1]:[Level 6]]),rng_EFConcat,rng_EF3WTT)*Buildings_GridElectricity_Backend[[#This Row],[Converted data]]/1000)</f>
        <v/>
      </c>
      <c r="AJ347" s="210" t="str">
        <f>IF(Buildings_GridElectricity_Frontend[[#This Row],[Data]]="","",_xlfn.XLOOKUP(_xlfn.CONCAT(Buildings_GridElectricity_Backend[[#This Row],[Level 1]:[Level 6]]),rng_EFConcat,rng_EF3TD)*Buildings_GridElectricity_Backend[[#This Row],[Converted data]]/1000)</f>
        <v/>
      </c>
      <c r="AK347" s="210" t="str">
        <f>IF(Buildings_GridElectricity_Frontend[[#This Row],[Data]]="","",_xlfn.XLOOKUP(_xlfn.CONCAT(Buildings_GridElectricity_Backend[[#This Row],[Level 1]:[Level 6]]),rng_EFConcat,rng_EF3WTTTD)*Buildings_GridElectricity_Backend[[#This Row],[Converted data]]/1000)</f>
        <v/>
      </c>
      <c r="AL347" s="220" t="str">
        <f>IF(Buildings_GridElectricity_Frontend[[#This Row],[Data]]="","",SUM(Buildings_GridElectricity_Backend[[#This Row],[Scope 1 (tCO2e)]:[Scope 3 WTT T&amp;D (tCO2e)]]))</f>
        <v/>
      </c>
      <c r="AM347" s="220" t="str">
        <f>IF(Buildings_GridElectricity_Frontend[[#This Row],[Data]]="","",Buildings_GridElectricity_Backend[[#This Row],[Total (tCO2e)]]*(1-Buildings_GridElectricity_Backend[[#This Row],[RSD]]))</f>
        <v/>
      </c>
      <c r="AN347" s="220" t="str">
        <f>IF(Buildings_GridElectricity_Frontend[[#This Row],[Data]]="","",Buildings_GridElectricity_Backend[[#This Row],[Total (tCO2e)]]*(1+Buildings_GridElectricity_Backend[[#This Row],[RSD]]))</f>
        <v/>
      </c>
      <c r="AO347" s="210" t="str">
        <f>IF(Buildings_GridElectricity_Frontend[[#This Row],[Data]]="","",_xlfn.XLOOKUP(_xlfn.CONCAT(Buildings_GridElectricity_Backend[[#This Row],[Level 1]:[Level 6]]),rng_EFConcat,rng_EFOOS)*Buildings_GridElectricity_Backend[[#This Row],[Converted data]]/1000)</f>
        <v/>
      </c>
      <c r="AP347" s="174">
        <f>Buildings_GridElectricity_Frontend[[#This Row],[Ease of collection]]</f>
        <v>0</v>
      </c>
      <c r="AQ347" s="213">
        <f>Buildings_GridElectricity_Frontend[[#This Row],[Completeness]]</f>
        <v>0</v>
      </c>
      <c r="AR347" s="220">
        <f>Buildings_GridElectricity_Frontend[[#This Row],[Notes]]</f>
        <v>0</v>
      </c>
    </row>
    <row r="348" spans="5:44" x14ac:dyDescent="0.3">
      <c r="E348" s="346"/>
      <c r="F348" s="449"/>
      <c r="G348" s="336"/>
      <c r="H348" s="334"/>
      <c r="I348" s="172" t="s">
        <v>316</v>
      </c>
      <c r="J348" s="337"/>
      <c r="K348" s="336"/>
      <c r="L348" s="336"/>
      <c r="M348" s="337"/>
      <c r="N348" s="242">
        <f t="shared" si="11"/>
        <v>3</v>
      </c>
      <c r="Q348" s="212" t="str">
        <f t="shared" ref="Q348:Q411" si="12">IF(N348=0,SUBSTITUTE(2025&amp;TRIM(cl_org_name_select)&amp;TRIM($E$25)&amp;(ROW(N348)-ROW($N$28))," ",""),"")</f>
        <v/>
      </c>
      <c r="R348" s="174" t="s">
        <v>265</v>
      </c>
      <c r="S348" s="174" t="s">
        <v>273</v>
      </c>
      <c r="T348" s="174" t="str">
        <f>_xlfn.XLOOKUP(Buildings_GridElectricity_Backend[[#This Row],[Info 1]],Buildings_SiteInfo[Site name],Buildings_SiteInfo[Site type], "")</f>
        <v/>
      </c>
      <c r="U348" s="174" t="s">
        <v>281</v>
      </c>
      <c r="V348" s="174" t="str" cm="1">
        <f t="array" aca="1" ref="V348" ca="1">_xlfn.XLOOKUP(Buildings_GridElectricity_Backend[[#This Row],[Level 4]],rng_Level4Long,rng_Level5Long)</f>
        <v>Electricity</v>
      </c>
      <c r="W348" s="174" t="str" cm="1">
        <f t="array" aca="1" ref="W348" ca="1">_xlfn.XLOOKUP(Buildings_GridElectricity_Backend[[#This Row],[Level 4]],rng_Level4Long,rng_Level6Long)</f>
        <v>NaN</v>
      </c>
      <c r="X348" s="174">
        <f>Buildings_GridElectricity_Frontend[[#This Row],[Site Name]]</f>
        <v>0</v>
      </c>
      <c r="Y348" s="174">
        <f>Buildings_GridElectricity_Frontend[[#This Row],[Contracting]]</f>
        <v>0</v>
      </c>
      <c r="Z348" s="174">
        <f>Buildings_GridElectricity_Frontend[[#This Row],[Methodology]]</f>
        <v>0</v>
      </c>
      <c r="AA348" s="229" t="str" cm="1">
        <f t="array" ref="AA348">IF(Buildings_GridElectricity_Frontend[[#This Row],[Data]]="","",INDEX(_xlfn.SWITCH(Buildings_GridElectricity_Backend[[#This Row],[Methodology]],"Tier 1",rng_RSD1,"Tier 2",rng_RSD2,"Tier 3",rng_RSD3),MATCH(_xlfn.CONCAT(Buildings_GridElectricity_Backend[[#This Row],[Level 1]:[Level 6]]),rng_LevelsConcat,0)))</f>
        <v/>
      </c>
      <c r="AB348" s="220">
        <f>Buildings_GridElectricity_Frontend[[#This Row],[Data]]</f>
        <v>0</v>
      </c>
      <c r="AC348" s="174" t="str">
        <f>Buildings_GridElectricity_Frontend[[#This Row],[Units]]</f>
        <v>kWh</v>
      </c>
      <c r="AD348" s="218">
        <f>Buildings_GridElectricity_Frontend[[#This Row],[Data]]</f>
        <v>0</v>
      </c>
      <c r="AE348" s="174" t="str">
        <f>Buildings_GridElectricity_Frontend[[#This Row],[Units]]</f>
        <v>kWh</v>
      </c>
      <c r="AF348" s="210" t="str">
        <f>IF(Buildings_GridElectricity_Frontend[[#This Row],[Data]]="","",_xlfn.XLOOKUP(_xlfn.CONCAT(Buildings_GridElectricity_Backend[[#This Row],[Level 1]:[Level 6]]),rng_EFConcat,rng_EF1)*Buildings_GridElectricity_Backend[[#This Row],[Converted data]]/1000)</f>
        <v/>
      </c>
      <c r="AG348" s="210" t="str">
        <f>IF(Buildings_GridElectricity_Frontend[[#This Row],[Data]]="","",_xlfn.XLOOKUP(_xlfn.CONCAT(Buildings_GridElectricity_Backend[[#This Row],[Level 1]:[Level 6]]),rng_EFConcat,rng_EF2)*Buildings_GridElectricity_Backend[[#This Row],[Converted data]]/1000)</f>
        <v/>
      </c>
      <c r="AH348" s="210" t="str">
        <f>IF(Buildings_GridElectricity_Frontend[[#This Row],[Data]]="","",_xlfn.XLOOKUP(_xlfn.CONCAT(Buildings_GridElectricity_Backend[[#This Row],[Level 1]:[Level 6]]),rng_EFConcat,rng_EF3)*Buildings_GridElectricity_Backend[[#This Row],[Converted data]]/1000)</f>
        <v/>
      </c>
      <c r="AI348" s="210" t="str">
        <f>IF(Buildings_GridElectricity_Frontend[[#This Row],[Data]]="","",_xlfn.XLOOKUP(_xlfn.CONCAT(Buildings_GridElectricity_Backend[[#This Row],[Level 1]:[Level 6]]),rng_EFConcat,rng_EF3WTT)*Buildings_GridElectricity_Backend[[#This Row],[Converted data]]/1000)</f>
        <v/>
      </c>
      <c r="AJ348" s="210" t="str">
        <f>IF(Buildings_GridElectricity_Frontend[[#This Row],[Data]]="","",_xlfn.XLOOKUP(_xlfn.CONCAT(Buildings_GridElectricity_Backend[[#This Row],[Level 1]:[Level 6]]),rng_EFConcat,rng_EF3TD)*Buildings_GridElectricity_Backend[[#This Row],[Converted data]]/1000)</f>
        <v/>
      </c>
      <c r="AK348" s="210" t="str">
        <f>IF(Buildings_GridElectricity_Frontend[[#This Row],[Data]]="","",_xlfn.XLOOKUP(_xlfn.CONCAT(Buildings_GridElectricity_Backend[[#This Row],[Level 1]:[Level 6]]),rng_EFConcat,rng_EF3WTTTD)*Buildings_GridElectricity_Backend[[#This Row],[Converted data]]/1000)</f>
        <v/>
      </c>
      <c r="AL348" s="220" t="str">
        <f>IF(Buildings_GridElectricity_Frontend[[#This Row],[Data]]="","",SUM(Buildings_GridElectricity_Backend[[#This Row],[Scope 1 (tCO2e)]:[Scope 3 WTT T&amp;D (tCO2e)]]))</f>
        <v/>
      </c>
      <c r="AM348" s="220" t="str">
        <f>IF(Buildings_GridElectricity_Frontend[[#This Row],[Data]]="","",Buildings_GridElectricity_Backend[[#This Row],[Total (tCO2e)]]*(1-Buildings_GridElectricity_Backend[[#This Row],[RSD]]))</f>
        <v/>
      </c>
      <c r="AN348" s="220" t="str">
        <f>IF(Buildings_GridElectricity_Frontend[[#This Row],[Data]]="","",Buildings_GridElectricity_Backend[[#This Row],[Total (tCO2e)]]*(1+Buildings_GridElectricity_Backend[[#This Row],[RSD]]))</f>
        <v/>
      </c>
      <c r="AO348" s="210" t="str">
        <f>IF(Buildings_GridElectricity_Frontend[[#This Row],[Data]]="","",_xlfn.XLOOKUP(_xlfn.CONCAT(Buildings_GridElectricity_Backend[[#This Row],[Level 1]:[Level 6]]),rng_EFConcat,rng_EFOOS)*Buildings_GridElectricity_Backend[[#This Row],[Converted data]]/1000)</f>
        <v/>
      </c>
      <c r="AP348" s="174">
        <f>Buildings_GridElectricity_Frontend[[#This Row],[Ease of collection]]</f>
        <v>0</v>
      </c>
      <c r="AQ348" s="213">
        <f>Buildings_GridElectricity_Frontend[[#This Row],[Completeness]]</f>
        <v>0</v>
      </c>
      <c r="AR348" s="220">
        <f>Buildings_GridElectricity_Frontend[[#This Row],[Notes]]</f>
        <v>0</v>
      </c>
    </row>
    <row r="349" spans="5:44" x14ac:dyDescent="0.3">
      <c r="E349" s="346"/>
      <c r="F349" s="449"/>
      <c r="G349" s="336"/>
      <c r="H349" s="334"/>
      <c r="I349" s="172" t="s">
        <v>316</v>
      </c>
      <c r="J349" s="337"/>
      <c r="K349" s="336"/>
      <c r="L349" s="336"/>
      <c r="M349" s="337"/>
      <c r="N349" s="242">
        <f t="shared" ref="N349:N412" si="13">ISBLANK(E349)+ISBLANK(G349)+ISBLANK(H349)</f>
        <v>3</v>
      </c>
      <c r="Q349" s="212" t="str">
        <f t="shared" si="12"/>
        <v/>
      </c>
      <c r="R349" s="174" t="s">
        <v>265</v>
      </c>
      <c r="S349" s="174" t="s">
        <v>273</v>
      </c>
      <c r="T349" s="174" t="str">
        <f>_xlfn.XLOOKUP(Buildings_GridElectricity_Backend[[#This Row],[Info 1]],Buildings_SiteInfo[Site name],Buildings_SiteInfo[Site type], "")</f>
        <v/>
      </c>
      <c r="U349" s="174" t="s">
        <v>281</v>
      </c>
      <c r="V349" s="174" t="str" cm="1">
        <f t="array" aca="1" ref="V349" ca="1">_xlfn.XLOOKUP(Buildings_GridElectricity_Backend[[#This Row],[Level 4]],rng_Level4Long,rng_Level5Long)</f>
        <v>Electricity</v>
      </c>
      <c r="W349" s="174" t="str" cm="1">
        <f t="array" aca="1" ref="W349" ca="1">_xlfn.XLOOKUP(Buildings_GridElectricity_Backend[[#This Row],[Level 4]],rng_Level4Long,rng_Level6Long)</f>
        <v>NaN</v>
      </c>
      <c r="X349" s="174">
        <f>Buildings_GridElectricity_Frontend[[#This Row],[Site Name]]</f>
        <v>0</v>
      </c>
      <c r="Y349" s="174">
        <f>Buildings_GridElectricity_Frontend[[#This Row],[Contracting]]</f>
        <v>0</v>
      </c>
      <c r="Z349" s="174">
        <f>Buildings_GridElectricity_Frontend[[#This Row],[Methodology]]</f>
        <v>0</v>
      </c>
      <c r="AA349" s="229" t="str" cm="1">
        <f t="array" ref="AA349">IF(Buildings_GridElectricity_Frontend[[#This Row],[Data]]="","",INDEX(_xlfn.SWITCH(Buildings_GridElectricity_Backend[[#This Row],[Methodology]],"Tier 1",rng_RSD1,"Tier 2",rng_RSD2,"Tier 3",rng_RSD3),MATCH(_xlfn.CONCAT(Buildings_GridElectricity_Backend[[#This Row],[Level 1]:[Level 6]]),rng_LevelsConcat,0)))</f>
        <v/>
      </c>
      <c r="AB349" s="220">
        <f>Buildings_GridElectricity_Frontend[[#This Row],[Data]]</f>
        <v>0</v>
      </c>
      <c r="AC349" s="174" t="str">
        <f>Buildings_GridElectricity_Frontend[[#This Row],[Units]]</f>
        <v>kWh</v>
      </c>
      <c r="AD349" s="218">
        <f>Buildings_GridElectricity_Frontend[[#This Row],[Data]]</f>
        <v>0</v>
      </c>
      <c r="AE349" s="174" t="str">
        <f>Buildings_GridElectricity_Frontend[[#This Row],[Units]]</f>
        <v>kWh</v>
      </c>
      <c r="AF349" s="210" t="str">
        <f>IF(Buildings_GridElectricity_Frontend[[#This Row],[Data]]="","",_xlfn.XLOOKUP(_xlfn.CONCAT(Buildings_GridElectricity_Backend[[#This Row],[Level 1]:[Level 6]]),rng_EFConcat,rng_EF1)*Buildings_GridElectricity_Backend[[#This Row],[Converted data]]/1000)</f>
        <v/>
      </c>
      <c r="AG349" s="210" t="str">
        <f>IF(Buildings_GridElectricity_Frontend[[#This Row],[Data]]="","",_xlfn.XLOOKUP(_xlfn.CONCAT(Buildings_GridElectricity_Backend[[#This Row],[Level 1]:[Level 6]]),rng_EFConcat,rng_EF2)*Buildings_GridElectricity_Backend[[#This Row],[Converted data]]/1000)</f>
        <v/>
      </c>
      <c r="AH349" s="210" t="str">
        <f>IF(Buildings_GridElectricity_Frontend[[#This Row],[Data]]="","",_xlfn.XLOOKUP(_xlfn.CONCAT(Buildings_GridElectricity_Backend[[#This Row],[Level 1]:[Level 6]]),rng_EFConcat,rng_EF3)*Buildings_GridElectricity_Backend[[#This Row],[Converted data]]/1000)</f>
        <v/>
      </c>
      <c r="AI349" s="210" t="str">
        <f>IF(Buildings_GridElectricity_Frontend[[#This Row],[Data]]="","",_xlfn.XLOOKUP(_xlfn.CONCAT(Buildings_GridElectricity_Backend[[#This Row],[Level 1]:[Level 6]]),rng_EFConcat,rng_EF3WTT)*Buildings_GridElectricity_Backend[[#This Row],[Converted data]]/1000)</f>
        <v/>
      </c>
      <c r="AJ349" s="210" t="str">
        <f>IF(Buildings_GridElectricity_Frontend[[#This Row],[Data]]="","",_xlfn.XLOOKUP(_xlfn.CONCAT(Buildings_GridElectricity_Backend[[#This Row],[Level 1]:[Level 6]]),rng_EFConcat,rng_EF3TD)*Buildings_GridElectricity_Backend[[#This Row],[Converted data]]/1000)</f>
        <v/>
      </c>
      <c r="AK349" s="210" t="str">
        <f>IF(Buildings_GridElectricity_Frontend[[#This Row],[Data]]="","",_xlfn.XLOOKUP(_xlfn.CONCAT(Buildings_GridElectricity_Backend[[#This Row],[Level 1]:[Level 6]]),rng_EFConcat,rng_EF3WTTTD)*Buildings_GridElectricity_Backend[[#This Row],[Converted data]]/1000)</f>
        <v/>
      </c>
      <c r="AL349" s="220" t="str">
        <f>IF(Buildings_GridElectricity_Frontend[[#This Row],[Data]]="","",SUM(Buildings_GridElectricity_Backend[[#This Row],[Scope 1 (tCO2e)]:[Scope 3 WTT T&amp;D (tCO2e)]]))</f>
        <v/>
      </c>
      <c r="AM349" s="220" t="str">
        <f>IF(Buildings_GridElectricity_Frontend[[#This Row],[Data]]="","",Buildings_GridElectricity_Backend[[#This Row],[Total (tCO2e)]]*(1-Buildings_GridElectricity_Backend[[#This Row],[RSD]]))</f>
        <v/>
      </c>
      <c r="AN349" s="220" t="str">
        <f>IF(Buildings_GridElectricity_Frontend[[#This Row],[Data]]="","",Buildings_GridElectricity_Backend[[#This Row],[Total (tCO2e)]]*(1+Buildings_GridElectricity_Backend[[#This Row],[RSD]]))</f>
        <v/>
      </c>
      <c r="AO349" s="210" t="str">
        <f>IF(Buildings_GridElectricity_Frontend[[#This Row],[Data]]="","",_xlfn.XLOOKUP(_xlfn.CONCAT(Buildings_GridElectricity_Backend[[#This Row],[Level 1]:[Level 6]]),rng_EFConcat,rng_EFOOS)*Buildings_GridElectricity_Backend[[#This Row],[Converted data]]/1000)</f>
        <v/>
      </c>
      <c r="AP349" s="174">
        <f>Buildings_GridElectricity_Frontend[[#This Row],[Ease of collection]]</f>
        <v>0</v>
      </c>
      <c r="AQ349" s="213">
        <f>Buildings_GridElectricity_Frontend[[#This Row],[Completeness]]</f>
        <v>0</v>
      </c>
      <c r="AR349" s="220">
        <f>Buildings_GridElectricity_Frontend[[#This Row],[Notes]]</f>
        <v>0</v>
      </c>
    </row>
    <row r="350" spans="5:44" x14ac:dyDescent="0.3">
      <c r="E350" s="346"/>
      <c r="F350" s="449"/>
      <c r="G350" s="336"/>
      <c r="H350" s="334"/>
      <c r="I350" s="172" t="s">
        <v>316</v>
      </c>
      <c r="J350" s="337"/>
      <c r="K350" s="336"/>
      <c r="L350" s="336"/>
      <c r="M350" s="337"/>
      <c r="N350" s="242">
        <f t="shared" si="13"/>
        <v>3</v>
      </c>
      <c r="Q350" s="212" t="str">
        <f t="shared" si="12"/>
        <v/>
      </c>
      <c r="R350" s="174" t="s">
        <v>265</v>
      </c>
      <c r="S350" s="174" t="s">
        <v>273</v>
      </c>
      <c r="T350" s="174" t="str">
        <f>_xlfn.XLOOKUP(Buildings_GridElectricity_Backend[[#This Row],[Info 1]],Buildings_SiteInfo[Site name],Buildings_SiteInfo[Site type], "")</f>
        <v/>
      </c>
      <c r="U350" s="174" t="s">
        <v>281</v>
      </c>
      <c r="V350" s="174" t="str" cm="1">
        <f t="array" aca="1" ref="V350" ca="1">_xlfn.XLOOKUP(Buildings_GridElectricity_Backend[[#This Row],[Level 4]],rng_Level4Long,rng_Level5Long)</f>
        <v>Electricity</v>
      </c>
      <c r="W350" s="174" t="str" cm="1">
        <f t="array" aca="1" ref="W350" ca="1">_xlfn.XLOOKUP(Buildings_GridElectricity_Backend[[#This Row],[Level 4]],rng_Level4Long,rng_Level6Long)</f>
        <v>NaN</v>
      </c>
      <c r="X350" s="174">
        <f>Buildings_GridElectricity_Frontend[[#This Row],[Site Name]]</f>
        <v>0</v>
      </c>
      <c r="Y350" s="174">
        <f>Buildings_GridElectricity_Frontend[[#This Row],[Contracting]]</f>
        <v>0</v>
      </c>
      <c r="Z350" s="174">
        <f>Buildings_GridElectricity_Frontend[[#This Row],[Methodology]]</f>
        <v>0</v>
      </c>
      <c r="AA350" s="229" t="str" cm="1">
        <f t="array" ref="AA350">IF(Buildings_GridElectricity_Frontend[[#This Row],[Data]]="","",INDEX(_xlfn.SWITCH(Buildings_GridElectricity_Backend[[#This Row],[Methodology]],"Tier 1",rng_RSD1,"Tier 2",rng_RSD2,"Tier 3",rng_RSD3),MATCH(_xlfn.CONCAT(Buildings_GridElectricity_Backend[[#This Row],[Level 1]:[Level 6]]),rng_LevelsConcat,0)))</f>
        <v/>
      </c>
      <c r="AB350" s="220">
        <f>Buildings_GridElectricity_Frontend[[#This Row],[Data]]</f>
        <v>0</v>
      </c>
      <c r="AC350" s="174" t="str">
        <f>Buildings_GridElectricity_Frontend[[#This Row],[Units]]</f>
        <v>kWh</v>
      </c>
      <c r="AD350" s="218">
        <f>Buildings_GridElectricity_Frontend[[#This Row],[Data]]</f>
        <v>0</v>
      </c>
      <c r="AE350" s="174" t="str">
        <f>Buildings_GridElectricity_Frontend[[#This Row],[Units]]</f>
        <v>kWh</v>
      </c>
      <c r="AF350" s="210" t="str">
        <f>IF(Buildings_GridElectricity_Frontend[[#This Row],[Data]]="","",_xlfn.XLOOKUP(_xlfn.CONCAT(Buildings_GridElectricity_Backend[[#This Row],[Level 1]:[Level 6]]),rng_EFConcat,rng_EF1)*Buildings_GridElectricity_Backend[[#This Row],[Converted data]]/1000)</f>
        <v/>
      </c>
      <c r="AG350" s="210" t="str">
        <f>IF(Buildings_GridElectricity_Frontend[[#This Row],[Data]]="","",_xlfn.XLOOKUP(_xlfn.CONCAT(Buildings_GridElectricity_Backend[[#This Row],[Level 1]:[Level 6]]),rng_EFConcat,rng_EF2)*Buildings_GridElectricity_Backend[[#This Row],[Converted data]]/1000)</f>
        <v/>
      </c>
      <c r="AH350" s="210" t="str">
        <f>IF(Buildings_GridElectricity_Frontend[[#This Row],[Data]]="","",_xlfn.XLOOKUP(_xlfn.CONCAT(Buildings_GridElectricity_Backend[[#This Row],[Level 1]:[Level 6]]),rng_EFConcat,rng_EF3)*Buildings_GridElectricity_Backend[[#This Row],[Converted data]]/1000)</f>
        <v/>
      </c>
      <c r="AI350" s="210" t="str">
        <f>IF(Buildings_GridElectricity_Frontend[[#This Row],[Data]]="","",_xlfn.XLOOKUP(_xlfn.CONCAT(Buildings_GridElectricity_Backend[[#This Row],[Level 1]:[Level 6]]),rng_EFConcat,rng_EF3WTT)*Buildings_GridElectricity_Backend[[#This Row],[Converted data]]/1000)</f>
        <v/>
      </c>
      <c r="AJ350" s="210" t="str">
        <f>IF(Buildings_GridElectricity_Frontend[[#This Row],[Data]]="","",_xlfn.XLOOKUP(_xlfn.CONCAT(Buildings_GridElectricity_Backend[[#This Row],[Level 1]:[Level 6]]),rng_EFConcat,rng_EF3TD)*Buildings_GridElectricity_Backend[[#This Row],[Converted data]]/1000)</f>
        <v/>
      </c>
      <c r="AK350" s="210" t="str">
        <f>IF(Buildings_GridElectricity_Frontend[[#This Row],[Data]]="","",_xlfn.XLOOKUP(_xlfn.CONCAT(Buildings_GridElectricity_Backend[[#This Row],[Level 1]:[Level 6]]),rng_EFConcat,rng_EF3WTTTD)*Buildings_GridElectricity_Backend[[#This Row],[Converted data]]/1000)</f>
        <v/>
      </c>
      <c r="AL350" s="220" t="str">
        <f>IF(Buildings_GridElectricity_Frontend[[#This Row],[Data]]="","",SUM(Buildings_GridElectricity_Backend[[#This Row],[Scope 1 (tCO2e)]:[Scope 3 WTT T&amp;D (tCO2e)]]))</f>
        <v/>
      </c>
      <c r="AM350" s="220" t="str">
        <f>IF(Buildings_GridElectricity_Frontend[[#This Row],[Data]]="","",Buildings_GridElectricity_Backend[[#This Row],[Total (tCO2e)]]*(1-Buildings_GridElectricity_Backend[[#This Row],[RSD]]))</f>
        <v/>
      </c>
      <c r="AN350" s="220" t="str">
        <f>IF(Buildings_GridElectricity_Frontend[[#This Row],[Data]]="","",Buildings_GridElectricity_Backend[[#This Row],[Total (tCO2e)]]*(1+Buildings_GridElectricity_Backend[[#This Row],[RSD]]))</f>
        <v/>
      </c>
      <c r="AO350" s="210" t="str">
        <f>IF(Buildings_GridElectricity_Frontend[[#This Row],[Data]]="","",_xlfn.XLOOKUP(_xlfn.CONCAT(Buildings_GridElectricity_Backend[[#This Row],[Level 1]:[Level 6]]),rng_EFConcat,rng_EFOOS)*Buildings_GridElectricity_Backend[[#This Row],[Converted data]]/1000)</f>
        <v/>
      </c>
      <c r="AP350" s="174">
        <f>Buildings_GridElectricity_Frontend[[#This Row],[Ease of collection]]</f>
        <v>0</v>
      </c>
      <c r="AQ350" s="213">
        <f>Buildings_GridElectricity_Frontend[[#This Row],[Completeness]]</f>
        <v>0</v>
      </c>
      <c r="AR350" s="220">
        <f>Buildings_GridElectricity_Frontend[[#This Row],[Notes]]</f>
        <v>0</v>
      </c>
    </row>
    <row r="351" spans="5:44" x14ac:dyDescent="0.3">
      <c r="E351" s="346"/>
      <c r="F351" s="449"/>
      <c r="G351" s="336"/>
      <c r="H351" s="334"/>
      <c r="I351" s="172" t="s">
        <v>316</v>
      </c>
      <c r="J351" s="337"/>
      <c r="K351" s="336"/>
      <c r="L351" s="336"/>
      <c r="M351" s="337"/>
      <c r="N351" s="242">
        <f t="shared" si="13"/>
        <v>3</v>
      </c>
      <c r="Q351" s="212" t="str">
        <f t="shared" si="12"/>
        <v/>
      </c>
      <c r="R351" s="174" t="s">
        <v>265</v>
      </c>
      <c r="S351" s="174" t="s">
        <v>273</v>
      </c>
      <c r="T351" s="174" t="str">
        <f>_xlfn.XLOOKUP(Buildings_GridElectricity_Backend[[#This Row],[Info 1]],Buildings_SiteInfo[Site name],Buildings_SiteInfo[Site type], "")</f>
        <v/>
      </c>
      <c r="U351" s="174" t="s">
        <v>281</v>
      </c>
      <c r="V351" s="174" t="str" cm="1">
        <f t="array" aca="1" ref="V351" ca="1">_xlfn.XLOOKUP(Buildings_GridElectricity_Backend[[#This Row],[Level 4]],rng_Level4Long,rng_Level5Long)</f>
        <v>Electricity</v>
      </c>
      <c r="W351" s="174" t="str" cm="1">
        <f t="array" aca="1" ref="W351" ca="1">_xlfn.XLOOKUP(Buildings_GridElectricity_Backend[[#This Row],[Level 4]],rng_Level4Long,rng_Level6Long)</f>
        <v>NaN</v>
      </c>
      <c r="X351" s="174">
        <f>Buildings_GridElectricity_Frontend[[#This Row],[Site Name]]</f>
        <v>0</v>
      </c>
      <c r="Y351" s="174">
        <f>Buildings_GridElectricity_Frontend[[#This Row],[Contracting]]</f>
        <v>0</v>
      </c>
      <c r="Z351" s="174">
        <f>Buildings_GridElectricity_Frontend[[#This Row],[Methodology]]</f>
        <v>0</v>
      </c>
      <c r="AA351" s="229" t="str" cm="1">
        <f t="array" ref="AA351">IF(Buildings_GridElectricity_Frontend[[#This Row],[Data]]="","",INDEX(_xlfn.SWITCH(Buildings_GridElectricity_Backend[[#This Row],[Methodology]],"Tier 1",rng_RSD1,"Tier 2",rng_RSD2,"Tier 3",rng_RSD3),MATCH(_xlfn.CONCAT(Buildings_GridElectricity_Backend[[#This Row],[Level 1]:[Level 6]]),rng_LevelsConcat,0)))</f>
        <v/>
      </c>
      <c r="AB351" s="220">
        <f>Buildings_GridElectricity_Frontend[[#This Row],[Data]]</f>
        <v>0</v>
      </c>
      <c r="AC351" s="174" t="str">
        <f>Buildings_GridElectricity_Frontend[[#This Row],[Units]]</f>
        <v>kWh</v>
      </c>
      <c r="AD351" s="218">
        <f>Buildings_GridElectricity_Frontend[[#This Row],[Data]]</f>
        <v>0</v>
      </c>
      <c r="AE351" s="174" t="str">
        <f>Buildings_GridElectricity_Frontend[[#This Row],[Units]]</f>
        <v>kWh</v>
      </c>
      <c r="AF351" s="210" t="str">
        <f>IF(Buildings_GridElectricity_Frontend[[#This Row],[Data]]="","",_xlfn.XLOOKUP(_xlfn.CONCAT(Buildings_GridElectricity_Backend[[#This Row],[Level 1]:[Level 6]]),rng_EFConcat,rng_EF1)*Buildings_GridElectricity_Backend[[#This Row],[Converted data]]/1000)</f>
        <v/>
      </c>
      <c r="AG351" s="210" t="str">
        <f>IF(Buildings_GridElectricity_Frontend[[#This Row],[Data]]="","",_xlfn.XLOOKUP(_xlfn.CONCAT(Buildings_GridElectricity_Backend[[#This Row],[Level 1]:[Level 6]]),rng_EFConcat,rng_EF2)*Buildings_GridElectricity_Backend[[#This Row],[Converted data]]/1000)</f>
        <v/>
      </c>
      <c r="AH351" s="210" t="str">
        <f>IF(Buildings_GridElectricity_Frontend[[#This Row],[Data]]="","",_xlfn.XLOOKUP(_xlfn.CONCAT(Buildings_GridElectricity_Backend[[#This Row],[Level 1]:[Level 6]]),rng_EFConcat,rng_EF3)*Buildings_GridElectricity_Backend[[#This Row],[Converted data]]/1000)</f>
        <v/>
      </c>
      <c r="AI351" s="210" t="str">
        <f>IF(Buildings_GridElectricity_Frontend[[#This Row],[Data]]="","",_xlfn.XLOOKUP(_xlfn.CONCAT(Buildings_GridElectricity_Backend[[#This Row],[Level 1]:[Level 6]]),rng_EFConcat,rng_EF3WTT)*Buildings_GridElectricity_Backend[[#This Row],[Converted data]]/1000)</f>
        <v/>
      </c>
      <c r="AJ351" s="210" t="str">
        <f>IF(Buildings_GridElectricity_Frontend[[#This Row],[Data]]="","",_xlfn.XLOOKUP(_xlfn.CONCAT(Buildings_GridElectricity_Backend[[#This Row],[Level 1]:[Level 6]]),rng_EFConcat,rng_EF3TD)*Buildings_GridElectricity_Backend[[#This Row],[Converted data]]/1000)</f>
        <v/>
      </c>
      <c r="AK351" s="210" t="str">
        <f>IF(Buildings_GridElectricity_Frontend[[#This Row],[Data]]="","",_xlfn.XLOOKUP(_xlfn.CONCAT(Buildings_GridElectricity_Backend[[#This Row],[Level 1]:[Level 6]]),rng_EFConcat,rng_EF3WTTTD)*Buildings_GridElectricity_Backend[[#This Row],[Converted data]]/1000)</f>
        <v/>
      </c>
      <c r="AL351" s="220" t="str">
        <f>IF(Buildings_GridElectricity_Frontend[[#This Row],[Data]]="","",SUM(Buildings_GridElectricity_Backend[[#This Row],[Scope 1 (tCO2e)]:[Scope 3 WTT T&amp;D (tCO2e)]]))</f>
        <v/>
      </c>
      <c r="AM351" s="220" t="str">
        <f>IF(Buildings_GridElectricity_Frontend[[#This Row],[Data]]="","",Buildings_GridElectricity_Backend[[#This Row],[Total (tCO2e)]]*(1-Buildings_GridElectricity_Backend[[#This Row],[RSD]]))</f>
        <v/>
      </c>
      <c r="AN351" s="220" t="str">
        <f>IF(Buildings_GridElectricity_Frontend[[#This Row],[Data]]="","",Buildings_GridElectricity_Backend[[#This Row],[Total (tCO2e)]]*(1+Buildings_GridElectricity_Backend[[#This Row],[RSD]]))</f>
        <v/>
      </c>
      <c r="AO351" s="210" t="str">
        <f>IF(Buildings_GridElectricity_Frontend[[#This Row],[Data]]="","",_xlfn.XLOOKUP(_xlfn.CONCAT(Buildings_GridElectricity_Backend[[#This Row],[Level 1]:[Level 6]]),rng_EFConcat,rng_EFOOS)*Buildings_GridElectricity_Backend[[#This Row],[Converted data]]/1000)</f>
        <v/>
      </c>
      <c r="AP351" s="174">
        <f>Buildings_GridElectricity_Frontend[[#This Row],[Ease of collection]]</f>
        <v>0</v>
      </c>
      <c r="AQ351" s="213">
        <f>Buildings_GridElectricity_Frontend[[#This Row],[Completeness]]</f>
        <v>0</v>
      </c>
      <c r="AR351" s="220">
        <f>Buildings_GridElectricity_Frontend[[#This Row],[Notes]]</f>
        <v>0</v>
      </c>
    </row>
    <row r="352" spans="5:44" x14ac:dyDescent="0.3">
      <c r="E352" s="346"/>
      <c r="F352" s="449"/>
      <c r="G352" s="336"/>
      <c r="H352" s="334"/>
      <c r="I352" s="172" t="s">
        <v>316</v>
      </c>
      <c r="J352" s="337"/>
      <c r="K352" s="336"/>
      <c r="L352" s="336"/>
      <c r="M352" s="337"/>
      <c r="N352" s="242">
        <f t="shared" si="13"/>
        <v>3</v>
      </c>
      <c r="Q352" s="212" t="str">
        <f t="shared" si="12"/>
        <v/>
      </c>
      <c r="R352" s="174" t="s">
        <v>265</v>
      </c>
      <c r="S352" s="174" t="s">
        <v>273</v>
      </c>
      <c r="T352" s="174" t="str">
        <f>_xlfn.XLOOKUP(Buildings_GridElectricity_Backend[[#This Row],[Info 1]],Buildings_SiteInfo[Site name],Buildings_SiteInfo[Site type], "")</f>
        <v/>
      </c>
      <c r="U352" s="174" t="s">
        <v>281</v>
      </c>
      <c r="V352" s="174" t="str" cm="1">
        <f t="array" aca="1" ref="V352" ca="1">_xlfn.XLOOKUP(Buildings_GridElectricity_Backend[[#This Row],[Level 4]],rng_Level4Long,rng_Level5Long)</f>
        <v>Electricity</v>
      </c>
      <c r="W352" s="174" t="str" cm="1">
        <f t="array" aca="1" ref="W352" ca="1">_xlfn.XLOOKUP(Buildings_GridElectricity_Backend[[#This Row],[Level 4]],rng_Level4Long,rng_Level6Long)</f>
        <v>NaN</v>
      </c>
      <c r="X352" s="174">
        <f>Buildings_GridElectricity_Frontend[[#This Row],[Site Name]]</f>
        <v>0</v>
      </c>
      <c r="Y352" s="174">
        <f>Buildings_GridElectricity_Frontend[[#This Row],[Contracting]]</f>
        <v>0</v>
      </c>
      <c r="Z352" s="174">
        <f>Buildings_GridElectricity_Frontend[[#This Row],[Methodology]]</f>
        <v>0</v>
      </c>
      <c r="AA352" s="229" t="str" cm="1">
        <f t="array" ref="AA352">IF(Buildings_GridElectricity_Frontend[[#This Row],[Data]]="","",INDEX(_xlfn.SWITCH(Buildings_GridElectricity_Backend[[#This Row],[Methodology]],"Tier 1",rng_RSD1,"Tier 2",rng_RSD2,"Tier 3",rng_RSD3),MATCH(_xlfn.CONCAT(Buildings_GridElectricity_Backend[[#This Row],[Level 1]:[Level 6]]),rng_LevelsConcat,0)))</f>
        <v/>
      </c>
      <c r="AB352" s="220">
        <f>Buildings_GridElectricity_Frontend[[#This Row],[Data]]</f>
        <v>0</v>
      </c>
      <c r="AC352" s="174" t="str">
        <f>Buildings_GridElectricity_Frontend[[#This Row],[Units]]</f>
        <v>kWh</v>
      </c>
      <c r="AD352" s="218">
        <f>Buildings_GridElectricity_Frontend[[#This Row],[Data]]</f>
        <v>0</v>
      </c>
      <c r="AE352" s="174" t="str">
        <f>Buildings_GridElectricity_Frontend[[#This Row],[Units]]</f>
        <v>kWh</v>
      </c>
      <c r="AF352" s="210" t="str">
        <f>IF(Buildings_GridElectricity_Frontend[[#This Row],[Data]]="","",_xlfn.XLOOKUP(_xlfn.CONCAT(Buildings_GridElectricity_Backend[[#This Row],[Level 1]:[Level 6]]),rng_EFConcat,rng_EF1)*Buildings_GridElectricity_Backend[[#This Row],[Converted data]]/1000)</f>
        <v/>
      </c>
      <c r="AG352" s="210" t="str">
        <f>IF(Buildings_GridElectricity_Frontend[[#This Row],[Data]]="","",_xlfn.XLOOKUP(_xlfn.CONCAT(Buildings_GridElectricity_Backend[[#This Row],[Level 1]:[Level 6]]),rng_EFConcat,rng_EF2)*Buildings_GridElectricity_Backend[[#This Row],[Converted data]]/1000)</f>
        <v/>
      </c>
      <c r="AH352" s="210" t="str">
        <f>IF(Buildings_GridElectricity_Frontend[[#This Row],[Data]]="","",_xlfn.XLOOKUP(_xlfn.CONCAT(Buildings_GridElectricity_Backend[[#This Row],[Level 1]:[Level 6]]),rng_EFConcat,rng_EF3)*Buildings_GridElectricity_Backend[[#This Row],[Converted data]]/1000)</f>
        <v/>
      </c>
      <c r="AI352" s="210" t="str">
        <f>IF(Buildings_GridElectricity_Frontend[[#This Row],[Data]]="","",_xlfn.XLOOKUP(_xlfn.CONCAT(Buildings_GridElectricity_Backend[[#This Row],[Level 1]:[Level 6]]),rng_EFConcat,rng_EF3WTT)*Buildings_GridElectricity_Backend[[#This Row],[Converted data]]/1000)</f>
        <v/>
      </c>
      <c r="AJ352" s="210" t="str">
        <f>IF(Buildings_GridElectricity_Frontend[[#This Row],[Data]]="","",_xlfn.XLOOKUP(_xlfn.CONCAT(Buildings_GridElectricity_Backend[[#This Row],[Level 1]:[Level 6]]),rng_EFConcat,rng_EF3TD)*Buildings_GridElectricity_Backend[[#This Row],[Converted data]]/1000)</f>
        <v/>
      </c>
      <c r="AK352" s="210" t="str">
        <f>IF(Buildings_GridElectricity_Frontend[[#This Row],[Data]]="","",_xlfn.XLOOKUP(_xlfn.CONCAT(Buildings_GridElectricity_Backend[[#This Row],[Level 1]:[Level 6]]),rng_EFConcat,rng_EF3WTTTD)*Buildings_GridElectricity_Backend[[#This Row],[Converted data]]/1000)</f>
        <v/>
      </c>
      <c r="AL352" s="220" t="str">
        <f>IF(Buildings_GridElectricity_Frontend[[#This Row],[Data]]="","",SUM(Buildings_GridElectricity_Backend[[#This Row],[Scope 1 (tCO2e)]:[Scope 3 WTT T&amp;D (tCO2e)]]))</f>
        <v/>
      </c>
      <c r="AM352" s="220" t="str">
        <f>IF(Buildings_GridElectricity_Frontend[[#This Row],[Data]]="","",Buildings_GridElectricity_Backend[[#This Row],[Total (tCO2e)]]*(1-Buildings_GridElectricity_Backend[[#This Row],[RSD]]))</f>
        <v/>
      </c>
      <c r="AN352" s="220" t="str">
        <f>IF(Buildings_GridElectricity_Frontend[[#This Row],[Data]]="","",Buildings_GridElectricity_Backend[[#This Row],[Total (tCO2e)]]*(1+Buildings_GridElectricity_Backend[[#This Row],[RSD]]))</f>
        <v/>
      </c>
      <c r="AO352" s="210" t="str">
        <f>IF(Buildings_GridElectricity_Frontend[[#This Row],[Data]]="","",_xlfn.XLOOKUP(_xlfn.CONCAT(Buildings_GridElectricity_Backend[[#This Row],[Level 1]:[Level 6]]),rng_EFConcat,rng_EFOOS)*Buildings_GridElectricity_Backend[[#This Row],[Converted data]]/1000)</f>
        <v/>
      </c>
      <c r="AP352" s="174">
        <f>Buildings_GridElectricity_Frontend[[#This Row],[Ease of collection]]</f>
        <v>0</v>
      </c>
      <c r="AQ352" s="213">
        <f>Buildings_GridElectricity_Frontend[[#This Row],[Completeness]]</f>
        <v>0</v>
      </c>
      <c r="AR352" s="220">
        <f>Buildings_GridElectricity_Frontend[[#This Row],[Notes]]</f>
        <v>0</v>
      </c>
    </row>
    <row r="353" spans="5:44" x14ac:dyDescent="0.3">
      <c r="E353" s="346"/>
      <c r="F353" s="449"/>
      <c r="G353" s="336"/>
      <c r="H353" s="334"/>
      <c r="I353" s="172" t="s">
        <v>316</v>
      </c>
      <c r="J353" s="337"/>
      <c r="K353" s="336"/>
      <c r="L353" s="336"/>
      <c r="M353" s="337"/>
      <c r="N353" s="242">
        <f t="shared" si="13"/>
        <v>3</v>
      </c>
      <c r="Q353" s="212" t="str">
        <f t="shared" si="12"/>
        <v/>
      </c>
      <c r="R353" s="174" t="s">
        <v>265</v>
      </c>
      <c r="S353" s="174" t="s">
        <v>273</v>
      </c>
      <c r="T353" s="174" t="str">
        <f>_xlfn.XLOOKUP(Buildings_GridElectricity_Backend[[#This Row],[Info 1]],Buildings_SiteInfo[Site name],Buildings_SiteInfo[Site type], "")</f>
        <v/>
      </c>
      <c r="U353" s="174" t="s">
        <v>281</v>
      </c>
      <c r="V353" s="174" t="str" cm="1">
        <f t="array" aca="1" ref="V353" ca="1">_xlfn.XLOOKUP(Buildings_GridElectricity_Backend[[#This Row],[Level 4]],rng_Level4Long,rng_Level5Long)</f>
        <v>Electricity</v>
      </c>
      <c r="W353" s="174" t="str" cm="1">
        <f t="array" aca="1" ref="W353" ca="1">_xlfn.XLOOKUP(Buildings_GridElectricity_Backend[[#This Row],[Level 4]],rng_Level4Long,rng_Level6Long)</f>
        <v>NaN</v>
      </c>
      <c r="X353" s="174">
        <f>Buildings_GridElectricity_Frontend[[#This Row],[Site Name]]</f>
        <v>0</v>
      </c>
      <c r="Y353" s="174">
        <f>Buildings_GridElectricity_Frontend[[#This Row],[Contracting]]</f>
        <v>0</v>
      </c>
      <c r="Z353" s="174">
        <f>Buildings_GridElectricity_Frontend[[#This Row],[Methodology]]</f>
        <v>0</v>
      </c>
      <c r="AA353" s="229" t="str" cm="1">
        <f t="array" ref="AA353">IF(Buildings_GridElectricity_Frontend[[#This Row],[Data]]="","",INDEX(_xlfn.SWITCH(Buildings_GridElectricity_Backend[[#This Row],[Methodology]],"Tier 1",rng_RSD1,"Tier 2",rng_RSD2,"Tier 3",rng_RSD3),MATCH(_xlfn.CONCAT(Buildings_GridElectricity_Backend[[#This Row],[Level 1]:[Level 6]]),rng_LevelsConcat,0)))</f>
        <v/>
      </c>
      <c r="AB353" s="220">
        <f>Buildings_GridElectricity_Frontend[[#This Row],[Data]]</f>
        <v>0</v>
      </c>
      <c r="AC353" s="174" t="str">
        <f>Buildings_GridElectricity_Frontend[[#This Row],[Units]]</f>
        <v>kWh</v>
      </c>
      <c r="AD353" s="218">
        <f>Buildings_GridElectricity_Frontend[[#This Row],[Data]]</f>
        <v>0</v>
      </c>
      <c r="AE353" s="174" t="str">
        <f>Buildings_GridElectricity_Frontend[[#This Row],[Units]]</f>
        <v>kWh</v>
      </c>
      <c r="AF353" s="210" t="str">
        <f>IF(Buildings_GridElectricity_Frontend[[#This Row],[Data]]="","",_xlfn.XLOOKUP(_xlfn.CONCAT(Buildings_GridElectricity_Backend[[#This Row],[Level 1]:[Level 6]]),rng_EFConcat,rng_EF1)*Buildings_GridElectricity_Backend[[#This Row],[Converted data]]/1000)</f>
        <v/>
      </c>
      <c r="AG353" s="210" t="str">
        <f>IF(Buildings_GridElectricity_Frontend[[#This Row],[Data]]="","",_xlfn.XLOOKUP(_xlfn.CONCAT(Buildings_GridElectricity_Backend[[#This Row],[Level 1]:[Level 6]]),rng_EFConcat,rng_EF2)*Buildings_GridElectricity_Backend[[#This Row],[Converted data]]/1000)</f>
        <v/>
      </c>
      <c r="AH353" s="210" t="str">
        <f>IF(Buildings_GridElectricity_Frontend[[#This Row],[Data]]="","",_xlfn.XLOOKUP(_xlfn.CONCAT(Buildings_GridElectricity_Backend[[#This Row],[Level 1]:[Level 6]]),rng_EFConcat,rng_EF3)*Buildings_GridElectricity_Backend[[#This Row],[Converted data]]/1000)</f>
        <v/>
      </c>
      <c r="AI353" s="210" t="str">
        <f>IF(Buildings_GridElectricity_Frontend[[#This Row],[Data]]="","",_xlfn.XLOOKUP(_xlfn.CONCAT(Buildings_GridElectricity_Backend[[#This Row],[Level 1]:[Level 6]]),rng_EFConcat,rng_EF3WTT)*Buildings_GridElectricity_Backend[[#This Row],[Converted data]]/1000)</f>
        <v/>
      </c>
      <c r="AJ353" s="210" t="str">
        <f>IF(Buildings_GridElectricity_Frontend[[#This Row],[Data]]="","",_xlfn.XLOOKUP(_xlfn.CONCAT(Buildings_GridElectricity_Backend[[#This Row],[Level 1]:[Level 6]]),rng_EFConcat,rng_EF3TD)*Buildings_GridElectricity_Backend[[#This Row],[Converted data]]/1000)</f>
        <v/>
      </c>
      <c r="AK353" s="210" t="str">
        <f>IF(Buildings_GridElectricity_Frontend[[#This Row],[Data]]="","",_xlfn.XLOOKUP(_xlfn.CONCAT(Buildings_GridElectricity_Backend[[#This Row],[Level 1]:[Level 6]]),rng_EFConcat,rng_EF3WTTTD)*Buildings_GridElectricity_Backend[[#This Row],[Converted data]]/1000)</f>
        <v/>
      </c>
      <c r="AL353" s="220" t="str">
        <f>IF(Buildings_GridElectricity_Frontend[[#This Row],[Data]]="","",SUM(Buildings_GridElectricity_Backend[[#This Row],[Scope 1 (tCO2e)]:[Scope 3 WTT T&amp;D (tCO2e)]]))</f>
        <v/>
      </c>
      <c r="AM353" s="220" t="str">
        <f>IF(Buildings_GridElectricity_Frontend[[#This Row],[Data]]="","",Buildings_GridElectricity_Backend[[#This Row],[Total (tCO2e)]]*(1-Buildings_GridElectricity_Backend[[#This Row],[RSD]]))</f>
        <v/>
      </c>
      <c r="AN353" s="220" t="str">
        <f>IF(Buildings_GridElectricity_Frontend[[#This Row],[Data]]="","",Buildings_GridElectricity_Backend[[#This Row],[Total (tCO2e)]]*(1+Buildings_GridElectricity_Backend[[#This Row],[RSD]]))</f>
        <v/>
      </c>
      <c r="AO353" s="210" t="str">
        <f>IF(Buildings_GridElectricity_Frontend[[#This Row],[Data]]="","",_xlfn.XLOOKUP(_xlfn.CONCAT(Buildings_GridElectricity_Backend[[#This Row],[Level 1]:[Level 6]]),rng_EFConcat,rng_EFOOS)*Buildings_GridElectricity_Backend[[#This Row],[Converted data]]/1000)</f>
        <v/>
      </c>
      <c r="AP353" s="174">
        <f>Buildings_GridElectricity_Frontend[[#This Row],[Ease of collection]]</f>
        <v>0</v>
      </c>
      <c r="AQ353" s="213">
        <f>Buildings_GridElectricity_Frontend[[#This Row],[Completeness]]</f>
        <v>0</v>
      </c>
      <c r="AR353" s="220">
        <f>Buildings_GridElectricity_Frontend[[#This Row],[Notes]]</f>
        <v>0</v>
      </c>
    </row>
    <row r="354" spans="5:44" x14ac:dyDescent="0.3">
      <c r="E354" s="346"/>
      <c r="F354" s="449"/>
      <c r="G354" s="336"/>
      <c r="H354" s="334"/>
      <c r="I354" s="172" t="s">
        <v>316</v>
      </c>
      <c r="J354" s="337"/>
      <c r="K354" s="336"/>
      <c r="L354" s="336"/>
      <c r="M354" s="337"/>
      <c r="N354" s="242">
        <f t="shared" si="13"/>
        <v>3</v>
      </c>
      <c r="Q354" s="212" t="str">
        <f t="shared" si="12"/>
        <v/>
      </c>
      <c r="R354" s="174" t="s">
        <v>265</v>
      </c>
      <c r="S354" s="174" t="s">
        <v>273</v>
      </c>
      <c r="T354" s="174" t="str">
        <f>_xlfn.XLOOKUP(Buildings_GridElectricity_Backend[[#This Row],[Info 1]],Buildings_SiteInfo[Site name],Buildings_SiteInfo[Site type], "")</f>
        <v/>
      </c>
      <c r="U354" s="174" t="s">
        <v>281</v>
      </c>
      <c r="V354" s="174" t="str" cm="1">
        <f t="array" aca="1" ref="V354" ca="1">_xlfn.XLOOKUP(Buildings_GridElectricity_Backend[[#This Row],[Level 4]],rng_Level4Long,rng_Level5Long)</f>
        <v>Electricity</v>
      </c>
      <c r="W354" s="174" t="str" cm="1">
        <f t="array" aca="1" ref="W354" ca="1">_xlfn.XLOOKUP(Buildings_GridElectricity_Backend[[#This Row],[Level 4]],rng_Level4Long,rng_Level6Long)</f>
        <v>NaN</v>
      </c>
      <c r="X354" s="174">
        <f>Buildings_GridElectricity_Frontend[[#This Row],[Site Name]]</f>
        <v>0</v>
      </c>
      <c r="Y354" s="174">
        <f>Buildings_GridElectricity_Frontend[[#This Row],[Contracting]]</f>
        <v>0</v>
      </c>
      <c r="Z354" s="174">
        <f>Buildings_GridElectricity_Frontend[[#This Row],[Methodology]]</f>
        <v>0</v>
      </c>
      <c r="AA354" s="229" t="str" cm="1">
        <f t="array" ref="AA354">IF(Buildings_GridElectricity_Frontend[[#This Row],[Data]]="","",INDEX(_xlfn.SWITCH(Buildings_GridElectricity_Backend[[#This Row],[Methodology]],"Tier 1",rng_RSD1,"Tier 2",rng_RSD2,"Tier 3",rng_RSD3),MATCH(_xlfn.CONCAT(Buildings_GridElectricity_Backend[[#This Row],[Level 1]:[Level 6]]),rng_LevelsConcat,0)))</f>
        <v/>
      </c>
      <c r="AB354" s="220">
        <f>Buildings_GridElectricity_Frontend[[#This Row],[Data]]</f>
        <v>0</v>
      </c>
      <c r="AC354" s="174" t="str">
        <f>Buildings_GridElectricity_Frontend[[#This Row],[Units]]</f>
        <v>kWh</v>
      </c>
      <c r="AD354" s="218">
        <f>Buildings_GridElectricity_Frontend[[#This Row],[Data]]</f>
        <v>0</v>
      </c>
      <c r="AE354" s="174" t="str">
        <f>Buildings_GridElectricity_Frontend[[#This Row],[Units]]</f>
        <v>kWh</v>
      </c>
      <c r="AF354" s="210" t="str">
        <f>IF(Buildings_GridElectricity_Frontend[[#This Row],[Data]]="","",_xlfn.XLOOKUP(_xlfn.CONCAT(Buildings_GridElectricity_Backend[[#This Row],[Level 1]:[Level 6]]),rng_EFConcat,rng_EF1)*Buildings_GridElectricity_Backend[[#This Row],[Converted data]]/1000)</f>
        <v/>
      </c>
      <c r="AG354" s="210" t="str">
        <f>IF(Buildings_GridElectricity_Frontend[[#This Row],[Data]]="","",_xlfn.XLOOKUP(_xlfn.CONCAT(Buildings_GridElectricity_Backend[[#This Row],[Level 1]:[Level 6]]),rng_EFConcat,rng_EF2)*Buildings_GridElectricity_Backend[[#This Row],[Converted data]]/1000)</f>
        <v/>
      </c>
      <c r="AH354" s="210" t="str">
        <f>IF(Buildings_GridElectricity_Frontend[[#This Row],[Data]]="","",_xlfn.XLOOKUP(_xlfn.CONCAT(Buildings_GridElectricity_Backend[[#This Row],[Level 1]:[Level 6]]),rng_EFConcat,rng_EF3)*Buildings_GridElectricity_Backend[[#This Row],[Converted data]]/1000)</f>
        <v/>
      </c>
      <c r="AI354" s="210" t="str">
        <f>IF(Buildings_GridElectricity_Frontend[[#This Row],[Data]]="","",_xlfn.XLOOKUP(_xlfn.CONCAT(Buildings_GridElectricity_Backend[[#This Row],[Level 1]:[Level 6]]),rng_EFConcat,rng_EF3WTT)*Buildings_GridElectricity_Backend[[#This Row],[Converted data]]/1000)</f>
        <v/>
      </c>
      <c r="AJ354" s="210" t="str">
        <f>IF(Buildings_GridElectricity_Frontend[[#This Row],[Data]]="","",_xlfn.XLOOKUP(_xlfn.CONCAT(Buildings_GridElectricity_Backend[[#This Row],[Level 1]:[Level 6]]),rng_EFConcat,rng_EF3TD)*Buildings_GridElectricity_Backend[[#This Row],[Converted data]]/1000)</f>
        <v/>
      </c>
      <c r="AK354" s="210" t="str">
        <f>IF(Buildings_GridElectricity_Frontend[[#This Row],[Data]]="","",_xlfn.XLOOKUP(_xlfn.CONCAT(Buildings_GridElectricity_Backend[[#This Row],[Level 1]:[Level 6]]),rng_EFConcat,rng_EF3WTTTD)*Buildings_GridElectricity_Backend[[#This Row],[Converted data]]/1000)</f>
        <v/>
      </c>
      <c r="AL354" s="220" t="str">
        <f>IF(Buildings_GridElectricity_Frontend[[#This Row],[Data]]="","",SUM(Buildings_GridElectricity_Backend[[#This Row],[Scope 1 (tCO2e)]:[Scope 3 WTT T&amp;D (tCO2e)]]))</f>
        <v/>
      </c>
      <c r="AM354" s="220" t="str">
        <f>IF(Buildings_GridElectricity_Frontend[[#This Row],[Data]]="","",Buildings_GridElectricity_Backend[[#This Row],[Total (tCO2e)]]*(1-Buildings_GridElectricity_Backend[[#This Row],[RSD]]))</f>
        <v/>
      </c>
      <c r="AN354" s="220" t="str">
        <f>IF(Buildings_GridElectricity_Frontend[[#This Row],[Data]]="","",Buildings_GridElectricity_Backend[[#This Row],[Total (tCO2e)]]*(1+Buildings_GridElectricity_Backend[[#This Row],[RSD]]))</f>
        <v/>
      </c>
      <c r="AO354" s="210" t="str">
        <f>IF(Buildings_GridElectricity_Frontend[[#This Row],[Data]]="","",_xlfn.XLOOKUP(_xlfn.CONCAT(Buildings_GridElectricity_Backend[[#This Row],[Level 1]:[Level 6]]),rng_EFConcat,rng_EFOOS)*Buildings_GridElectricity_Backend[[#This Row],[Converted data]]/1000)</f>
        <v/>
      </c>
      <c r="AP354" s="174">
        <f>Buildings_GridElectricity_Frontend[[#This Row],[Ease of collection]]</f>
        <v>0</v>
      </c>
      <c r="AQ354" s="213">
        <f>Buildings_GridElectricity_Frontend[[#This Row],[Completeness]]</f>
        <v>0</v>
      </c>
      <c r="AR354" s="220">
        <f>Buildings_GridElectricity_Frontend[[#This Row],[Notes]]</f>
        <v>0</v>
      </c>
    </row>
    <row r="355" spans="5:44" x14ac:dyDescent="0.3">
      <c r="E355" s="346"/>
      <c r="F355" s="449"/>
      <c r="G355" s="336"/>
      <c r="H355" s="334"/>
      <c r="I355" s="172" t="s">
        <v>316</v>
      </c>
      <c r="J355" s="337"/>
      <c r="K355" s="336"/>
      <c r="L355" s="336"/>
      <c r="M355" s="337"/>
      <c r="N355" s="242">
        <f t="shared" si="13"/>
        <v>3</v>
      </c>
      <c r="Q355" s="212" t="str">
        <f t="shared" si="12"/>
        <v/>
      </c>
      <c r="R355" s="174" t="s">
        <v>265</v>
      </c>
      <c r="S355" s="174" t="s">
        <v>273</v>
      </c>
      <c r="T355" s="174" t="str">
        <f>_xlfn.XLOOKUP(Buildings_GridElectricity_Backend[[#This Row],[Info 1]],Buildings_SiteInfo[Site name],Buildings_SiteInfo[Site type], "")</f>
        <v/>
      </c>
      <c r="U355" s="174" t="s">
        <v>281</v>
      </c>
      <c r="V355" s="174" t="str" cm="1">
        <f t="array" aca="1" ref="V355" ca="1">_xlfn.XLOOKUP(Buildings_GridElectricity_Backend[[#This Row],[Level 4]],rng_Level4Long,rng_Level5Long)</f>
        <v>Electricity</v>
      </c>
      <c r="W355" s="174" t="str" cm="1">
        <f t="array" aca="1" ref="W355" ca="1">_xlfn.XLOOKUP(Buildings_GridElectricity_Backend[[#This Row],[Level 4]],rng_Level4Long,rng_Level6Long)</f>
        <v>NaN</v>
      </c>
      <c r="X355" s="174">
        <f>Buildings_GridElectricity_Frontend[[#This Row],[Site Name]]</f>
        <v>0</v>
      </c>
      <c r="Y355" s="174">
        <f>Buildings_GridElectricity_Frontend[[#This Row],[Contracting]]</f>
        <v>0</v>
      </c>
      <c r="Z355" s="174">
        <f>Buildings_GridElectricity_Frontend[[#This Row],[Methodology]]</f>
        <v>0</v>
      </c>
      <c r="AA355" s="229" t="str" cm="1">
        <f t="array" ref="AA355">IF(Buildings_GridElectricity_Frontend[[#This Row],[Data]]="","",INDEX(_xlfn.SWITCH(Buildings_GridElectricity_Backend[[#This Row],[Methodology]],"Tier 1",rng_RSD1,"Tier 2",rng_RSD2,"Tier 3",rng_RSD3),MATCH(_xlfn.CONCAT(Buildings_GridElectricity_Backend[[#This Row],[Level 1]:[Level 6]]),rng_LevelsConcat,0)))</f>
        <v/>
      </c>
      <c r="AB355" s="220">
        <f>Buildings_GridElectricity_Frontend[[#This Row],[Data]]</f>
        <v>0</v>
      </c>
      <c r="AC355" s="174" t="str">
        <f>Buildings_GridElectricity_Frontend[[#This Row],[Units]]</f>
        <v>kWh</v>
      </c>
      <c r="AD355" s="218">
        <f>Buildings_GridElectricity_Frontend[[#This Row],[Data]]</f>
        <v>0</v>
      </c>
      <c r="AE355" s="174" t="str">
        <f>Buildings_GridElectricity_Frontend[[#This Row],[Units]]</f>
        <v>kWh</v>
      </c>
      <c r="AF355" s="210" t="str">
        <f>IF(Buildings_GridElectricity_Frontend[[#This Row],[Data]]="","",_xlfn.XLOOKUP(_xlfn.CONCAT(Buildings_GridElectricity_Backend[[#This Row],[Level 1]:[Level 6]]),rng_EFConcat,rng_EF1)*Buildings_GridElectricity_Backend[[#This Row],[Converted data]]/1000)</f>
        <v/>
      </c>
      <c r="AG355" s="210" t="str">
        <f>IF(Buildings_GridElectricity_Frontend[[#This Row],[Data]]="","",_xlfn.XLOOKUP(_xlfn.CONCAT(Buildings_GridElectricity_Backend[[#This Row],[Level 1]:[Level 6]]),rng_EFConcat,rng_EF2)*Buildings_GridElectricity_Backend[[#This Row],[Converted data]]/1000)</f>
        <v/>
      </c>
      <c r="AH355" s="210" t="str">
        <f>IF(Buildings_GridElectricity_Frontend[[#This Row],[Data]]="","",_xlfn.XLOOKUP(_xlfn.CONCAT(Buildings_GridElectricity_Backend[[#This Row],[Level 1]:[Level 6]]),rng_EFConcat,rng_EF3)*Buildings_GridElectricity_Backend[[#This Row],[Converted data]]/1000)</f>
        <v/>
      </c>
      <c r="AI355" s="210" t="str">
        <f>IF(Buildings_GridElectricity_Frontend[[#This Row],[Data]]="","",_xlfn.XLOOKUP(_xlfn.CONCAT(Buildings_GridElectricity_Backend[[#This Row],[Level 1]:[Level 6]]),rng_EFConcat,rng_EF3WTT)*Buildings_GridElectricity_Backend[[#This Row],[Converted data]]/1000)</f>
        <v/>
      </c>
      <c r="AJ355" s="210" t="str">
        <f>IF(Buildings_GridElectricity_Frontend[[#This Row],[Data]]="","",_xlfn.XLOOKUP(_xlfn.CONCAT(Buildings_GridElectricity_Backend[[#This Row],[Level 1]:[Level 6]]),rng_EFConcat,rng_EF3TD)*Buildings_GridElectricity_Backend[[#This Row],[Converted data]]/1000)</f>
        <v/>
      </c>
      <c r="AK355" s="210" t="str">
        <f>IF(Buildings_GridElectricity_Frontend[[#This Row],[Data]]="","",_xlfn.XLOOKUP(_xlfn.CONCAT(Buildings_GridElectricity_Backend[[#This Row],[Level 1]:[Level 6]]),rng_EFConcat,rng_EF3WTTTD)*Buildings_GridElectricity_Backend[[#This Row],[Converted data]]/1000)</f>
        <v/>
      </c>
      <c r="AL355" s="220" t="str">
        <f>IF(Buildings_GridElectricity_Frontend[[#This Row],[Data]]="","",SUM(Buildings_GridElectricity_Backend[[#This Row],[Scope 1 (tCO2e)]:[Scope 3 WTT T&amp;D (tCO2e)]]))</f>
        <v/>
      </c>
      <c r="AM355" s="220" t="str">
        <f>IF(Buildings_GridElectricity_Frontend[[#This Row],[Data]]="","",Buildings_GridElectricity_Backend[[#This Row],[Total (tCO2e)]]*(1-Buildings_GridElectricity_Backend[[#This Row],[RSD]]))</f>
        <v/>
      </c>
      <c r="AN355" s="220" t="str">
        <f>IF(Buildings_GridElectricity_Frontend[[#This Row],[Data]]="","",Buildings_GridElectricity_Backend[[#This Row],[Total (tCO2e)]]*(1+Buildings_GridElectricity_Backend[[#This Row],[RSD]]))</f>
        <v/>
      </c>
      <c r="AO355" s="210" t="str">
        <f>IF(Buildings_GridElectricity_Frontend[[#This Row],[Data]]="","",_xlfn.XLOOKUP(_xlfn.CONCAT(Buildings_GridElectricity_Backend[[#This Row],[Level 1]:[Level 6]]),rng_EFConcat,rng_EFOOS)*Buildings_GridElectricity_Backend[[#This Row],[Converted data]]/1000)</f>
        <v/>
      </c>
      <c r="AP355" s="174">
        <f>Buildings_GridElectricity_Frontend[[#This Row],[Ease of collection]]</f>
        <v>0</v>
      </c>
      <c r="AQ355" s="213">
        <f>Buildings_GridElectricity_Frontend[[#This Row],[Completeness]]</f>
        <v>0</v>
      </c>
      <c r="AR355" s="220">
        <f>Buildings_GridElectricity_Frontend[[#This Row],[Notes]]</f>
        <v>0</v>
      </c>
    </row>
    <row r="356" spans="5:44" x14ac:dyDescent="0.3">
      <c r="E356" s="346"/>
      <c r="F356" s="449"/>
      <c r="G356" s="336"/>
      <c r="H356" s="334"/>
      <c r="I356" s="172" t="s">
        <v>316</v>
      </c>
      <c r="J356" s="337"/>
      <c r="K356" s="336"/>
      <c r="L356" s="336"/>
      <c r="M356" s="337"/>
      <c r="N356" s="242">
        <f t="shared" si="13"/>
        <v>3</v>
      </c>
      <c r="Q356" s="212" t="str">
        <f t="shared" si="12"/>
        <v/>
      </c>
      <c r="R356" s="174" t="s">
        <v>265</v>
      </c>
      <c r="S356" s="174" t="s">
        <v>273</v>
      </c>
      <c r="T356" s="174" t="str">
        <f>_xlfn.XLOOKUP(Buildings_GridElectricity_Backend[[#This Row],[Info 1]],Buildings_SiteInfo[Site name],Buildings_SiteInfo[Site type], "")</f>
        <v/>
      </c>
      <c r="U356" s="174" t="s">
        <v>281</v>
      </c>
      <c r="V356" s="174" t="str" cm="1">
        <f t="array" aca="1" ref="V356" ca="1">_xlfn.XLOOKUP(Buildings_GridElectricity_Backend[[#This Row],[Level 4]],rng_Level4Long,rng_Level5Long)</f>
        <v>Electricity</v>
      </c>
      <c r="W356" s="174" t="str" cm="1">
        <f t="array" aca="1" ref="W356" ca="1">_xlfn.XLOOKUP(Buildings_GridElectricity_Backend[[#This Row],[Level 4]],rng_Level4Long,rng_Level6Long)</f>
        <v>NaN</v>
      </c>
      <c r="X356" s="174">
        <f>Buildings_GridElectricity_Frontend[[#This Row],[Site Name]]</f>
        <v>0</v>
      </c>
      <c r="Y356" s="174">
        <f>Buildings_GridElectricity_Frontend[[#This Row],[Contracting]]</f>
        <v>0</v>
      </c>
      <c r="Z356" s="174">
        <f>Buildings_GridElectricity_Frontend[[#This Row],[Methodology]]</f>
        <v>0</v>
      </c>
      <c r="AA356" s="229" t="str" cm="1">
        <f t="array" ref="AA356">IF(Buildings_GridElectricity_Frontend[[#This Row],[Data]]="","",INDEX(_xlfn.SWITCH(Buildings_GridElectricity_Backend[[#This Row],[Methodology]],"Tier 1",rng_RSD1,"Tier 2",rng_RSD2,"Tier 3",rng_RSD3),MATCH(_xlfn.CONCAT(Buildings_GridElectricity_Backend[[#This Row],[Level 1]:[Level 6]]),rng_LevelsConcat,0)))</f>
        <v/>
      </c>
      <c r="AB356" s="220">
        <f>Buildings_GridElectricity_Frontend[[#This Row],[Data]]</f>
        <v>0</v>
      </c>
      <c r="AC356" s="174" t="str">
        <f>Buildings_GridElectricity_Frontend[[#This Row],[Units]]</f>
        <v>kWh</v>
      </c>
      <c r="AD356" s="218">
        <f>Buildings_GridElectricity_Frontend[[#This Row],[Data]]</f>
        <v>0</v>
      </c>
      <c r="AE356" s="174" t="str">
        <f>Buildings_GridElectricity_Frontend[[#This Row],[Units]]</f>
        <v>kWh</v>
      </c>
      <c r="AF356" s="210" t="str">
        <f>IF(Buildings_GridElectricity_Frontend[[#This Row],[Data]]="","",_xlfn.XLOOKUP(_xlfn.CONCAT(Buildings_GridElectricity_Backend[[#This Row],[Level 1]:[Level 6]]),rng_EFConcat,rng_EF1)*Buildings_GridElectricity_Backend[[#This Row],[Converted data]]/1000)</f>
        <v/>
      </c>
      <c r="AG356" s="210" t="str">
        <f>IF(Buildings_GridElectricity_Frontend[[#This Row],[Data]]="","",_xlfn.XLOOKUP(_xlfn.CONCAT(Buildings_GridElectricity_Backend[[#This Row],[Level 1]:[Level 6]]),rng_EFConcat,rng_EF2)*Buildings_GridElectricity_Backend[[#This Row],[Converted data]]/1000)</f>
        <v/>
      </c>
      <c r="AH356" s="210" t="str">
        <f>IF(Buildings_GridElectricity_Frontend[[#This Row],[Data]]="","",_xlfn.XLOOKUP(_xlfn.CONCAT(Buildings_GridElectricity_Backend[[#This Row],[Level 1]:[Level 6]]),rng_EFConcat,rng_EF3)*Buildings_GridElectricity_Backend[[#This Row],[Converted data]]/1000)</f>
        <v/>
      </c>
      <c r="AI356" s="210" t="str">
        <f>IF(Buildings_GridElectricity_Frontend[[#This Row],[Data]]="","",_xlfn.XLOOKUP(_xlfn.CONCAT(Buildings_GridElectricity_Backend[[#This Row],[Level 1]:[Level 6]]),rng_EFConcat,rng_EF3WTT)*Buildings_GridElectricity_Backend[[#This Row],[Converted data]]/1000)</f>
        <v/>
      </c>
      <c r="AJ356" s="210" t="str">
        <f>IF(Buildings_GridElectricity_Frontend[[#This Row],[Data]]="","",_xlfn.XLOOKUP(_xlfn.CONCAT(Buildings_GridElectricity_Backend[[#This Row],[Level 1]:[Level 6]]),rng_EFConcat,rng_EF3TD)*Buildings_GridElectricity_Backend[[#This Row],[Converted data]]/1000)</f>
        <v/>
      </c>
      <c r="AK356" s="210" t="str">
        <f>IF(Buildings_GridElectricity_Frontend[[#This Row],[Data]]="","",_xlfn.XLOOKUP(_xlfn.CONCAT(Buildings_GridElectricity_Backend[[#This Row],[Level 1]:[Level 6]]),rng_EFConcat,rng_EF3WTTTD)*Buildings_GridElectricity_Backend[[#This Row],[Converted data]]/1000)</f>
        <v/>
      </c>
      <c r="AL356" s="220" t="str">
        <f>IF(Buildings_GridElectricity_Frontend[[#This Row],[Data]]="","",SUM(Buildings_GridElectricity_Backend[[#This Row],[Scope 1 (tCO2e)]:[Scope 3 WTT T&amp;D (tCO2e)]]))</f>
        <v/>
      </c>
      <c r="AM356" s="220" t="str">
        <f>IF(Buildings_GridElectricity_Frontend[[#This Row],[Data]]="","",Buildings_GridElectricity_Backend[[#This Row],[Total (tCO2e)]]*(1-Buildings_GridElectricity_Backend[[#This Row],[RSD]]))</f>
        <v/>
      </c>
      <c r="AN356" s="220" t="str">
        <f>IF(Buildings_GridElectricity_Frontend[[#This Row],[Data]]="","",Buildings_GridElectricity_Backend[[#This Row],[Total (tCO2e)]]*(1+Buildings_GridElectricity_Backend[[#This Row],[RSD]]))</f>
        <v/>
      </c>
      <c r="AO356" s="210" t="str">
        <f>IF(Buildings_GridElectricity_Frontend[[#This Row],[Data]]="","",_xlfn.XLOOKUP(_xlfn.CONCAT(Buildings_GridElectricity_Backend[[#This Row],[Level 1]:[Level 6]]),rng_EFConcat,rng_EFOOS)*Buildings_GridElectricity_Backend[[#This Row],[Converted data]]/1000)</f>
        <v/>
      </c>
      <c r="AP356" s="174">
        <f>Buildings_GridElectricity_Frontend[[#This Row],[Ease of collection]]</f>
        <v>0</v>
      </c>
      <c r="AQ356" s="213">
        <f>Buildings_GridElectricity_Frontend[[#This Row],[Completeness]]</f>
        <v>0</v>
      </c>
      <c r="AR356" s="220">
        <f>Buildings_GridElectricity_Frontend[[#This Row],[Notes]]</f>
        <v>0</v>
      </c>
    </row>
    <row r="357" spans="5:44" x14ac:dyDescent="0.3">
      <c r="E357" s="346"/>
      <c r="F357" s="449"/>
      <c r="G357" s="336"/>
      <c r="H357" s="334"/>
      <c r="I357" s="172" t="s">
        <v>316</v>
      </c>
      <c r="J357" s="337"/>
      <c r="K357" s="336"/>
      <c r="L357" s="336"/>
      <c r="M357" s="337"/>
      <c r="N357" s="242">
        <f t="shared" si="13"/>
        <v>3</v>
      </c>
      <c r="Q357" s="212" t="str">
        <f t="shared" si="12"/>
        <v/>
      </c>
      <c r="R357" s="174" t="s">
        <v>265</v>
      </c>
      <c r="S357" s="174" t="s">
        <v>273</v>
      </c>
      <c r="T357" s="174" t="str">
        <f>_xlfn.XLOOKUP(Buildings_GridElectricity_Backend[[#This Row],[Info 1]],Buildings_SiteInfo[Site name],Buildings_SiteInfo[Site type], "")</f>
        <v/>
      </c>
      <c r="U357" s="174" t="s">
        <v>281</v>
      </c>
      <c r="V357" s="174" t="str" cm="1">
        <f t="array" aca="1" ref="V357" ca="1">_xlfn.XLOOKUP(Buildings_GridElectricity_Backend[[#This Row],[Level 4]],rng_Level4Long,rng_Level5Long)</f>
        <v>Electricity</v>
      </c>
      <c r="W357" s="174" t="str" cm="1">
        <f t="array" aca="1" ref="W357" ca="1">_xlfn.XLOOKUP(Buildings_GridElectricity_Backend[[#This Row],[Level 4]],rng_Level4Long,rng_Level6Long)</f>
        <v>NaN</v>
      </c>
      <c r="X357" s="174">
        <f>Buildings_GridElectricity_Frontend[[#This Row],[Site Name]]</f>
        <v>0</v>
      </c>
      <c r="Y357" s="174">
        <f>Buildings_GridElectricity_Frontend[[#This Row],[Contracting]]</f>
        <v>0</v>
      </c>
      <c r="Z357" s="174">
        <f>Buildings_GridElectricity_Frontend[[#This Row],[Methodology]]</f>
        <v>0</v>
      </c>
      <c r="AA357" s="229" t="str" cm="1">
        <f t="array" ref="AA357">IF(Buildings_GridElectricity_Frontend[[#This Row],[Data]]="","",INDEX(_xlfn.SWITCH(Buildings_GridElectricity_Backend[[#This Row],[Methodology]],"Tier 1",rng_RSD1,"Tier 2",rng_RSD2,"Tier 3",rng_RSD3),MATCH(_xlfn.CONCAT(Buildings_GridElectricity_Backend[[#This Row],[Level 1]:[Level 6]]),rng_LevelsConcat,0)))</f>
        <v/>
      </c>
      <c r="AB357" s="220">
        <f>Buildings_GridElectricity_Frontend[[#This Row],[Data]]</f>
        <v>0</v>
      </c>
      <c r="AC357" s="174" t="str">
        <f>Buildings_GridElectricity_Frontend[[#This Row],[Units]]</f>
        <v>kWh</v>
      </c>
      <c r="AD357" s="218">
        <f>Buildings_GridElectricity_Frontend[[#This Row],[Data]]</f>
        <v>0</v>
      </c>
      <c r="AE357" s="174" t="str">
        <f>Buildings_GridElectricity_Frontend[[#This Row],[Units]]</f>
        <v>kWh</v>
      </c>
      <c r="AF357" s="210" t="str">
        <f>IF(Buildings_GridElectricity_Frontend[[#This Row],[Data]]="","",_xlfn.XLOOKUP(_xlfn.CONCAT(Buildings_GridElectricity_Backend[[#This Row],[Level 1]:[Level 6]]),rng_EFConcat,rng_EF1)*Buildings_GridElectricity_Backend[[#This Row],[Converted data]]/1000)</f>
        <v/>
      </c>
      <c r="AG357" s="210" t="str">
        <f>IF(Buildings_GridElectricity_Frontend[[#This Row],[Data]]="","",_xlfn.XLOOKUP(_xlfn.CONCAT(Buildings_GridElectricity_Backend[[#This Row],[Level 1]:[Level 6]]),rng_EFConcat,rng_EF2)*Buildings_GridElectricity_Backend[[#This Row],[Converted data]]/1000)</f>
        <v/>
      </c>
      <c r="AH357" s="210" t="str">
        <f>IF(Buildings_GridElectricity_Frontend[[#This Row],[Data]]="","",_xlfn.XLOOKUP(_xlfn.CONCAT(Buildings_GridElectricity_Backend[[#This Row],[Level 1]:[Level 6]]),rng_EFConcat,rng_EF3)*Buildings_GridElectricity_Backend[[#This Row],[Converted data]]/1000)</f>
        <v/>
      </c>
      <c r="AI357" s="210" t="str">
        <f>IF(Buildings_GridElectricity_Frontend[[#This Row],[Data]]="","",_xlfn.XLOOKUP(_xlfn.CONCAT(Buildings_GridElectricity_Backend[[#This Row],[Level 1]:[Level 6]]),rng_EFConcat,rng_EF3WTT)*Buildings_GridElectricity_Backend[[#This Row],[Converted data]]/1000)</f>
        <v/>
      </c>
      <c r="AJ357" s="210" t="str">
        <f>IF(Buildings_GridElectricity_Frontend[[#This Row],[Data]]="","",_xlfn.XLOOKUP(_xlfn.CONCAT(Buildings_GridElectricity_Backend[[#This Row],[Level 1]:[Level 6]]),rng_EFConcat,rng_EF3TD)*Buildings_GridElectricity_Backend[[#This Row],[Converted data]]/1000)</f>
        <v/>
      </c>
      <c r="AK357" s="210" t="str">
        <f>IF(Buildings_GridElectricity_Frontend[[#This Row],[Data]]="","",_xlfn.XLOOKUP(_xlfn.CONCAT(Buildings_GridElectricity_Backend[[#This Row],[Level 1]:[Level 6]]),rng_EFConcat,rng_EF3WTTTD)*Buildings_GridElectricity_Backend[[#This Row],[Converted data]]/1000)</f>
        <v/>
      </c>
      <c r="AL357" s="220" t="str">
        <f>IF(Buildings_GridElectricity_Frontend[[#This Row],[Data]]="","",SUM(Buildings_GridElectricity_Backend[[#This Row],[Scope 1 (tCO2e)]:[Scope 3 WTT T&amp;D (tCO2e)]]))</f>
        <v/>
      </c>
      <c r="AM357" s="220" t="str">
        <f>IF(Buildings_GridElectricity_Frontend[[#This Row],[Data]]="","",Buildings_GridElectricity_Backend[[#This Row],[Total (tCO2e)]]*(1-Buildings_GridElectricity_Backend[[#This Row],[RSD]]))</f>
        <v/>
      </c>
      <c r="AN357" s="220" t="str">
        <f>IF(Buildings_GridElectricity_Frontend[[#This Row],[Data]]="","",Buildings_GridElectricity_Backend[[#This Row],[Total (tCO2e)]]*(1+Buildings_GridElectricity_Backend[[#This Row],[RSD]]))</f>
        <v/>
      </c>
      <c r="AO357" s="210" t="str">
        <f>IF(Buildings_GridElectricity_Frontend[[#This Row],[Data]]="","",_xlfn.XLOOKUP(_xlfn.CONCAT(Buildings_GridElectricity_Backend[[#This Row],[Level 1]:[Level 6]]),rng_EFConcat,rng_EFOOS)*Buildings_GridElectricity_Backend[[#This Row],[Converted data]]/1000)</f>
        <v/>
      </c>
      <c r="AP357" s="174">
        <f>Buildings_GridElectricity_Frontend[[#This Row],[Ease of collection]]</f>
        <v>0</v>
      </c>
      <c r="AQ357" s="213">
        <f>Buildings_GridElectricity_Frontend[[#This Row],[Completeness]]</f>
        <v>0</v>
      </c>
      <c r="AR357" s="220">
        <f>Buildings_GridElectricity_Frontend[[#This Row],[Notes]]</f>
        <v>0</v>
      </c>
    </row>
    <row r="358" spans="5:44" x14ac:dyDescent="0.3">
      <c r="E358" s="346"/>
      <c r="F358" s="449"/>
      <c r="G358" s="336"/>
      <c r="H358" s="334"/>
      <c r="I358" s="172" t="s">
        <v>316</v>
      </c>
      <c r="J358" s="337"/>
      <c r="K358" s="336"/>
      <c r="L358" s="336"/>
      <c r="M358" s="337"/>
      <c r="N358" s="242">
        <f t="shared" si="13"/>
        <v>3</v>
      </c>
      <c r="Q358" s="212" t="str">
        <f t="shared" si="12"/>
        <v/>
      </c>
      <c r="R358" s="174" t="s">
        <v>265</v>
      </c>
      <c r="S358" s="174" t="s">
        <v>273</v>
      </c>
      <c r="T358" s="174" t="str">
        <f>_xlfn.XLOOKUP(Buildings_GridElectricity_Backend[[#This Row],[Info 1]],Buildings_SiteInfo[Site name],Buildings_SiteInfo[Site type], "")</f>
        <v/>
      </c>
      <c r="U358" s="174" t="s">
        <v>281</v>
      </c>
      <c r="V358" s="174" t="str" cm="1">
        <f t="array" aca="1" ref="V358" ca="1">_xlfn.XLOOKUP(Buildings_GridElectricity_Backend[[#This Row],[Level 4]],rng_Level4Long,rng_Level5Long)</f>
        <v>Electricity</v>
      </c>
      <c r="W358" s="174" t="str" cm="1">
        <f t="array" aca="1" ref="W358" ca="1">_xlfn.XLOOKUP(Buildings_GridElectricity_Backend[[#This Row],[Level 4]],rng_Level4Long,rng_Level6Long)</f>
        <v>NaN</v>
      </c>
      <c r="X358" s="174">
        <f>Buildings_GridElectricity_Frontend[[#This Row],[Site Name]]</f>
        <v>0</v>
      </c>
      <c r="Y358" s="174">
        <f>Buildings_GridElectricity_Frontend[[#This Row],[Contracting]]</f>
        <v>0</v>
      </c>
      <c r="Z358" s="174">
        <f>Buildings_GridElectricity_Frontend[[#This Row],[Methodology]]</f>
        <v>0</v>
      </c>
      <c r="AA358" s="229" t="str" cm="1">
        <f t="array" ref="AA358">IF(Buildings_GridElectricity_Frontend[[#This Row],[Data]]="","",INDEX(_xlfn.SWITCH(Buildings_GridElectricity_Backend[[#This Row],[Methodology]],"Tier 1",rng_RSD1,"Tier 2",rng_RSD2,"Tier 3",rng_RSD3),MATCH(_xlfn.CONCAT(Buildings_GridElectricity_Backend[[#This Row],[Level 1]:[Level 6]]),rng_LevelsConcat,0)))</f>
        <v/>
      </c>
      <c r="AB358" s="220">
        <f>Buildings_GridElectricity_Frontend[[#This Row],[Data]]</f>
        <v>0</v>
      </c>
      <c r="AC358" s="174" t="str">
        <f>Buildings_GridElectricity_Frontend[[#This Row],[Units]]</f>
        <v>kWh</v>
      </c>
      <c r="AD358" s="218">
        <f>Buildings_GridElectricity_Frontend[[#This Row],[Data]]</f>
        <v>0</v>
      </c>
      <c r="AE358" s="174" t="str">
        <f>Buildings_GridElectricity_Frontend[[#This Row],[Units]]</f>
        <v>kWh</v>
      </c>
      <c r="AF358" s="210" t="str">
        <f>IF(Buildings_GridElectricity_Frontend[[#This Row],[Data]]="","",_xlfn.XLOOKUP(_xlfn.CONCAT(Buildings_GridElectricity_Backend[[#This Row],[Level 1]:[Level 6]]),rng_EFConcat,rng_EF1)*Buildings_GridElectricity_Backend[[#This Row],[Converted data]]/1000)</f>
        <v/>
      </c>
      <c r="AG358" s="210" t="str">
        <f>IF(Buildings_GridElectricity_Frontend[[#This Row],[Data]]="","",_xlfn.XLOOKUP(_xlfn.CONCAT(Buildings_GridElectricity_Backend[[#This Row],[Level 1]:[Level 6]]),rng_EFConcat,rng_EF2)*Buildings_GridElectricity_Backend[[#This Row],[Converted data]]/1000)</f>
        <v/>
      </c>
      <c r="AH358" s="210" t="str">
        <f>IF(Buildings_GridElectricity_Frontend[[#This Row],[Data]]="","",_xlfn.XLOOKUP(_xlfn.CONCAT(Buildings_GridElectricity_Backend[[#This Row],[Level 1]:[Level 6]]),rng_EFConcat,rng_EF3)*Buildings_GridElectricity_Backend[[#This Row],[Converted data]]/1000)</f>
        <v/>
      </c>
      <c r="AI358" s="210" t="str">
        <f>IF(Buildings_GridElectricity_Frontend[[#This Row],[Data]]="","",_xlfn.XLOOKUP(_xlfn.CONCAT(Buildings_GridElectricity_Backend[[#This Row],[Level 1]:[Level 6]]),rng_EFConcat,rng_EF3WTT)*Buildings_GridElectricity_Backend[[#This Row],[Converted data]]/1000)</f>
        <v/>
      </c>
      <c r="AJ358" s="210" t="str">
        <f>IF(Buildings_GridElectricity_Frontend[[#This Row],[Data]]="","",_xlfn.XLOOKUP(_xlfn.CONCAT(Buildings_GridElectricity_Backend[[#This Row],[Level 1]:[Level 6]]),rng_EFConcat,rng_EF3TD)*Buildings_GridElectricity_Backend[[#This Row],[Converted data]]/1000)</f>
        <v/>
      </c>
      <c r="AK358" s="210" t="str">
        <f>IF(Buildings_GridElectricity_Frontend[[#This Row],[Data]]="","",_xlfn.XLOOKUP(_xlfn.CONCAT(Buildings_GridElectricity_Backend[[#This Row],[Level 1]:[Level 6]]),rng_EFConcat,rng_EF3WTTTD)*Buildings_GridElectricity_Backend[[#This Row],[Converted data]]/1000)</f>
        <v/>
      </c>
      <c r="AL358" s="220" t="str">
        <f>IF(Buildings_GridElectricity_Frontend[[#This Row],[Data]]="","",SUM(Buildings_GridElectricity_Backend[[#This Row],[Scope 1 (tCO2e)]:[Scope 3 WTT T&amp;D (tCO2e)]]))</f>
        <v/>
      </c>
      <c r="AM358" s="220" t="str">
        <f>IF(Buildings_GridElectricity_Frontend[[#This Row],[Data]]="","",Buildings_GridElectricity_Backend[[#This Row],[Total (tCO2e)]]*(1-Buildings_GridElectricity_Backend[[#This Row],[RSD]]))</f>
        <v/>
      </c>
      <c r="AN358" s="220" t="str">
        <f>IF(Buildings_GridElectricity_Frontend[[#This Row],[Data]]="","",Buildings_GridElectricity_Backend[[#This Row],[Total (tCO2e)]]*(1+Buildings_GridElectricity_Backend[[#This Row],[RSD]]))</f>
        <v/>
      </c>
      <c r="AO358" s="210" t="str">
        <f>IF(Buildings_GridElectricity_Frontend[[#This Row],[Data]]="","",_xlfn.XLOOKUP(_xlfn.CONCAT(Buildings_GridElectricity_Backend[[#This Row],[Level 1]:[Level 6]]),rng_EFConcat,rng_EFOOS)*Buildings_GridElectricity_Backend[[#This Row],[Converted data]]/1000)</f>
        <v/>
      </c>
      <c r="AP358" s="174">
        <f>Buildings_GridElectricity_Frontend[[#This Row],[Ease of collection]]</f>
        <v>0</v>
      </c>
      <c r="AQ358" s="213">
        <f>Buildings_GridElectricity_Frontend[[#This Row],[Completeness]]</f>
        <v>0</v>
      </c>
      <c r="AR358" s="220">
        <f>Buildings_GridElectricity_Frontend[[#This Row],[Notes]]</f>
        <v>0</v>
      </c>
    </row>
    <row r="359" spans="5:44" x14ac:dyDescent="0.3">
      <c r="E359" s="346"/>
      <c r="F359" s="449"/>
      <c r="G359" s="336"/>
      <c r="H359" s="334"/>
      <c r="I359" s="172" t="s">
        <v>316</v>
      </c>
      <c r="J359" s="337"/>
      <c r="K359" s="336"/>
      <c r="L359" s="336"/>
      <c r="M359" s="337"/>
      <c r="N359" s="242">
        <f t="shared" si="13"/>
        <v>3</v>
      </c>
      <c r="Q359" s="212" t="str">
        <f t="shared" si="12"/>
        <v/>
      </c>
      <c r="R359" s="174" t="s">
        <v>265</v>
      </c>
      <c r="S359" s="174" t="s">
        <v>273</v>
      </c>
      <c r="T359" s="174" t="str">
        <f>_xlfn.XLOOKUP(Buildings_GridElectricity_Backend[[#This Row],[Info 1]],Buildings_SiteInfo[Site name],Buildings_SiteInfo[Site type], "")</f>
        <v/>
      </c>
      <c r="U359" s="174" t="s">
        <v>281</v>
      </c>
      <c r="V359" s="174" t="str" cm="1">
        <f t="array" aca="1" ref="V359" ca="1">_xlfn.XLOOKUP(Buildings_GridElectricity_Backend[[#This Row],[Level 4]],rng_Level4Long,rng_Level5Long)</f>
        <v>Electricity</v>
      </c>
      <c r="W359" s="174" t="str" cm="1">
        <f t="array" aca="1" ref="W359" ca="1">_xlfn.XLOOKUP(Buildings_GridElectricity_Backend[[#This Row],[Level 4]],rng_Level4Long,rng_Level6Long)</f>
        <v>NaN</v>
      </c>
      <c r="X359" s="174">
        <f>Buildings_GridElectricity_Frontend[[#This Row],[Site Name]]</f>
        <v>0</v>
      </c>
      <c r="Y359" s="174">
        <f>Buildings_GridElectricity_Frontend[[#This Row],[Contracting]]</f>
        <v>0</v>
      </c>
      <c r="Z359" s="174">
        <f>Buildings_GridElectricity_Frontend[[#This Row],[Methodology]]</f>
        <v>0</v>
      </c>
      <c r="AA359" s="229" t="str" cm="1">
        <f t="array" ref="AA359">IF(Buildings_GridElectricity_Frontend[[#This Row],[Data]]="","",INDEX(_xlfn.SWITCH(Buildings_GridElectricity_Backend[[#This Row],[Methodology]],"Tier 1",rng_RSD1,"Tier 2",rng_RSD2,"Tier 3",rng_RSD3),MATCH(_xlfn.CONCAT(Buildings_GridElectricity_Backend[[#This Row],[Level 1]:[Level 6]]),rng_LevelsConcat,0)))</f>
        <v/>
      </c>
      <c r="AB359" s="220">
        <f>Buildings_GridElectricity_Frontend[[#This Row],[Data]]</f>
        <v>0</v>
      </c>
      <c r="AC359" s="174" t="str">
        <f>Buildings_GridElectricity_Frontend[[#This Row],[Units]]</f>
        <v>kWh</v>
      </c>
      <c r="AD359" s="218">
        <f>Buildings_GridElectricity_Frontend[[#This Row],[Data]]</f>
        <v>0</v>
      </c>
      <c r="AE359" s="174" t="str">
        <f>Buildings_GridElectricity_Frontend[[#This Row],[Units]]</f>
        <v>kWh</v>
      </c>
      <c r="AF359" s="210" t="str">
        <f>IF(Buildings_GridElectricity_Frontend[[#This Row],[Data]]="","",_xlfn.XLOOKUP(_xlfn.CONCAT(Buildings_GridElectricity_Backend[[#This Row],[Level 1]:[Level 6]]),rng_EFConcat,rng_EF1)*Buildings_GridElectricity_Backend[[#This Row],[Converted data]]/1000)</f>
        <v/>
      </c>
      <c r="AG359" s="210" t="str">
        <f>IF(Buildings_GridElectricity_Frontend[[#This Row],[Data]]="","",_xlfn.XLOOKUP(_xlfn.CONCAT(Buildings_GridElectricity_Backend[[#This Row],[Level 1]:[Level 6]]),rng_EFConcat,rng_EF2)*Buildings_GridElectricity_Backend[[#This Row],[Converted data]]/1000)</f>
        <v/>
      </c>
      <c r="AH359" s="210" t="str">
        <f>IF(Buildings_GridElectricity_Frontend[[#This Row],[Data]]="","",_xlfn.XLOOKUP(_xlfn.CONCAT(Buildings_GridElectricity_Backend[[#This Row],[Level 1]:[Level 6]]),rng_EFConcat,rng_EF3)*Buildings_GridElectricity_Backend[[#This Row],[Converted data]]/1000)</f>
        <v/>
      </c>
      <c r="AI359" s="210" t="str">
        <f>IF(Buildings_GridElectricity_Frontend[[#This Row],[Data]]="","",_xlfn.XLOOKUP(_xlfn.CONCAT(Buildings_GridElectricity_Backend[[#This Row],[Level 1]:[Level 6]]),rng_EFConcat,rng_EF3WTT)*Buildings_GridElectricity_Backend[[#This Row],[Converted data]]/1000)</f>
        <v/>
      </c>
      <c r="AJ359" s="210" t="str">
        <f>IF(Buildings_GridElectricity_Frontend[[#This Row],[Data]]="","",_xlfn.XLOOKUP(_xlfn.CONCAT(Buildings_GridElectricity_Backend[[#This Row],[Level 1]:[Level 6]]),rng_EFConcat,rng_EF3TD)*Buildings_GridElectricity_Backend[[#This Row],[Converted data]]/1000)</f>
        <v/>
      </c>
      <c r="AK359" s="210" t="str">
        <f>IF(Buildings_GridElectricity_Frontend[[#This Row],[Data]]="","",_xlfn.XLOOKUP(_xlfn.CONCAT(Buildings_GridElectricity_Backend[[#This Row],[Level 1]:[Level 6]]),rng_EFConcat,rng_EF3WTTTD)*Buildings_GridElectricity_Backend[[#This Row],[Converted data]]/1000)</f>
        <v/>
      </c>
      <c r="AL359" s="220" t="str">
        <f>IF(Buildings_GridElectricity_Frontend[[#This Row],[Data]]="","",SUM(Buildings_GridElectricity_Backend[[#This Row],[Scope 1 (tCO2e)]:[Scope 3 WTT T&amp;D (tCO2e)]]))</f>
        <v/>
      </c>
      <c r="AM359" s="220" t="str">
        <f>IF(Buildings_GridElectricity_Frontend[[#This Row],[Data]]="","",Buildings_GridElectricity_Backend[[#This Row],[Total (tCO2e)]]*(1-Buildings_GridElectricity_Backend[[#This Row],[RSD]]))</f>
        <v/>
      </c>
      <c r="AN359" s="220" t="str">
        <f>IF(Buildings_GridElectricity_Frontend[[#This Row],[Data]]="","",Buildings_GridElectricity_Backend[[#This Row],[Total (tCO2e)]]*(1+Buildings_GridElectricity_Backend[[#This Row],[RSD]]))</f>
        <v/>
      </c>
      <c r="AO359" s="210" t="str">
        <f>IF(Buildings_GridElectricity_Frontend[[#This Row],[Data]]="","",_xlfn.XLOOKUP(_xlfn.CONCAT(Buildings_GridElectricity_Backend[[#This Row],[Level 1]:[Level 6]]),rng_EFConcat,rng_EFOOS)*Buildings_GridElectricity_Backend[[#This Row],[Converted data]]/1000)</f>
        <v/>
      </c>
      <c r="AP359" s="174">
        <f>Buildings_GridElectricity_Frontend[[#This Row],[Ease of collection]]</f>
        <v>0</v>
      </c>
      <c r="AQ359" s="213">
        <f>Buildings_GridElectricity_Frontend[[#This Row],[Completeness]]</f>
        <v>0</v>
      </c>
      <c r="AR359" s="220">
        <f>Buildings_GridElectricity_Frontend[[#This Row],[Notes]]</f>
        <v>0</v>
      </c>
    </row>
    <row r="360" spans="5:44" x14ac:dyDescent="0.3">
      <c r="E360" s="346"/>
      <c r="F360" s="449"/>
      <c r="G360" s="336"/>
      <c r="H360" s="334"/>
      <c r="I360" s="172" t="s">
        <v>316</v>
      </c>
      <c r="J360" s="337"/>
      <c r="K360" s="336"/>
      <c r="L360" s="336"/>
      <c r="M360" s="337"/>
      <c r="N360" s="242">
        <f t="shared" si="13"/>
        <v>3</v>
      </c>
      <c r="Q360" s="212" t="str">
        <f t="shared" si="12"/>
        <v/>
      </c>
      <c r="R360" s="174" t="s">
        <v>265</v>
      </c>
      <c r="S360" s="174" t="s">
        <v>273</v>
      </c>
      <c r="T360" s="174" t="str">
        <f>_xlfn.XLOOKUP(Buildings_GridElectricity_Backend[[#This Row],[Info 1]],Buildings_SiteInfo[Site name],Buildings_SiteInfo[Site type], "")</f>
        <v/>
      </c>
      <c r="U360" s="174" t="s">
        <v>281</v>
      </c>
      <c r="V360" s="174" t="str" cm="1">
        <f t="array" aca="1" ref="V360" ca="1">_xlfn.XLOOKUP(Buildings_GridElectricity_Backend[[#This Row],[Level 4]],rng_Level4Long,rng_Level5Long)</f>
        <v>Electricity</v>
      </c>
      <c r="W360" s="174" t="str" cm="1">
        <f t="array" aca="1" ref="W360" ca="1">_xlfn.XLOOKUP(Buildings_GridElectricity_Backend[[#This Row],[Level 4]],rng_Level4Long,rng_Level6Long)</f>
        <v>NaN</v>
      </c>
      <c r="X360" s="174">
        <f>Buildings_GridElectricity_Frontend[[#This Row],[Site Name]]</f>
        <v>0</v>
      </c>
      <c r="Y360" s="174">
        <f>Buildings_GridElectricity_Frontend[[#This Row],[Contracting]]</f>
        <v>0</v>
      </c>
      <c r="Z360" s="174">
        <f>Buildings_GridElectricity_Frontend[[#This Row],[Methodology]]</f>
        <v>0</v>
      </c>
      <c r="AA360" s="229" t="str" cm="1">
        <f t="array" ref="AA360">IF(Buildings_GridElectricity_Frontend[[#This Row],[Data]]="","",INDEX(_xlfn.SWITCH(Buildings_GridElectricity_Backend[[#This Row],[Methodology]],"Tier 1",rng_RSD1,"Tier 2",rng_RSD2,"Tier 3",rng_RSD3),MATCH(_xlfn.CONCAT(Buildings_GridElectricity_Backend[[#This Row],[Level 1]:[Level 6]]),rng_LevelsConcat,0)))</f>
        <v/>
      </c>
      <c r="AB360" s="220">
        <f>Buildings_GridElectricity_Frontend[[#This Row],[Data]]</f>
        <v>0</v>
      </c>
      <c r="AC360" s="174" t="str">
        <f>Buildings_GridElectricity_Frontend[[#This Row],[Units]]</f>
        <v>kWh</v>
      </c>
      <c r="AD360" s="218">
        <f>Buildings_GridElectricity_Frontend[[#This Row],[Data]]</f>
        <v>0</v>
      </c>
      <c r="AE360" s="174" t="str">
        <f>Buildings_GridElectricity_Frontend[[#This Row],[Units]]</f>
        <v>kWh</v>
      </c>
      <c r="AF360" s="210" t="str">
        <f>IF(Buildings_GridElectricity_Frontend[[#This Row],[Data]]="","",_xlfn.XLOOKUP(_xlfn.CONCAT(Buildings_GridElectricity_Backend[[#This Row],[Level 1]:[Level 6]]),rng_EFConcat,rng_EF1)*Buildings_GridElectricity_Backend[[#This Row],[Converted data]]/1000)</f>
        <v/>
      </c>
      <c r="AG360" s="210" t="str">
        <f>IF(Buildings_GridElectricity_Frontend[[#This Row],[Data]]="","",_xlfn.XLOOKUP(_xlfn.CONCAT(Buildings_GridElectricity_Backend[[#This Row],[Level 1]:[Level 6]]),rng_EFConcat,rng_EF2)*Buildings_GridElectricity_Backend[[#This Row],[Converted data]]/1000)</f>
        <v/>
      </c>
      <c r="AH360" s="210" t="str">
        <f>IF(Buildings_GridElectricity_Frontend[[#This Row],[Data]]="","",_xlfn.XLOOKUP(_xlfn.CONCAT(Buildings_GridElectricity_Backend[[#This Row],[Level 1]:[Level 6]]),rng_EFConcat,rng_EF3)*Buildings_GridElectricity_Backend[[#This Row],[Converted data]]/1000)</f>
        <v/>
      </c>
      <c r="AI360" s="210" t="str">
        <f>IF(Buildings_GridElectricity_Frontend[[#This Row],[Data]]="","",_xlfn.XLOOKUP(_xlfn.CONCAT(Buildings_GridElectricity_Backend[[#This Row],[Level 1]:[Level 6]]),rng_EFConcat,rng_EF3WTT)*Buildings_GridElectricity_Backend[[#This Row],[Converted data]]/1000)</f>
        <v/>
      </c>
      <c r="AJ360" s="210" t="str">
        <f>IF(Buildings_GridElectricity_Frontend[[#This Row],[Data]]="","",_xlfn.XLOOKUP(_xlfn.CONCAT(Buildings_GridElectricity_Backend[[#This Row],[Level 1]:[Level 6]]),rng_EFConcat,rng_EF3TD)*Buildings_GridElectricity_Backend[[#This Row],[Converted data]]/1000)</f>
        <v/>
      </c>
      <c r="AK360" s="210" t="str">
        <f>IF(Buildings_GridElectricity_Frontend[[#This Row],[Data]]="","",_xlfn.XLOOKUP(_xlfn.CONCAT(Buildings_GridElectricity_Backend[[#This Row],[Level 1]:[Level 6]]),rng_EFConcat,rng_EF3WTTTD)*Buildings_GridElectricity_Backend[[#This Row],[Converted data]]/1000)</f>
        <v/>
      </c>
      <c r="AL360" s="220" t="str">
        <f>IF(Buildings_GridElectricity_Frontend[[#This Row],[Data]]="","",SUM(Buildings_GridElectricity_Backend[[#This Row],[Scope 1 (tCO2e)]:[Scope 3 WTT T&amp;D (tCO2e)]]))</f>
        <v/>
      </c>
      <c r="AM360" s="220" t="str">
        <f>IF(Buildings_GridElectricity_Frontend[[#This Row],[Data]]="","",Buildings_GridElectricity_Backend[[#This Row],[Total (tCO2e)]]*(1-Buildings_GridElectricity_Backend[[#This Row],[RSD]]))</f>
        <v/>
      </c>
      <c r="AN360" s="220" t="str">
        <f>IF(Buildings_GridElectricity_Frontend[[#This Row],[Data]]="","",Buildings_GridElectricity_Backend[[#This Row],[Total (tCO2e)]]*(1+Buildings_GridElectricity_Backend[[#This Row],[RSD]]))</f>
        <v/>
      </c>
      <c r="AO360" s="210" t="str">
        <f>IF(Buildings_GridElectricity_Frontend[[#This Row],[Data]]="","",_xlfn.XLOOKUP(_xlfn.CONCAT(Buildings_GridElectricity_Backend[[#This Row],[Level 1]:[Level 6]]),rng_EFConcat,rng_EFOOS)*Buildings_GridElectricity_Backend[[#This Row],[Converted data]]/1000)</f>
        <v/>
      </c>
      <c r="AP360" s="174">
        <f>Buildings_GridElectricity_Frontend[[#This Row],[Ease of collection]]</f>
        <v>0</v>
      </c>
      <c r="AQ360" s="213">
        <f>Buildings_GridElectricity_Frontend[[#This Row],[Completeness]]</f>
        <v>0</v>
      </c>
      <c r="AR360" s="220">
        <f>Buildings_GridElectricity_Frontend[[#This Row],[Notes]]</f>
        <v>0</v>
      </c>
    </row>
    <row r="361" spans="5:44" x14ac:dyDescent="0.3">
      <c r="E361" s="346"/>
      <c r="F361" s="449"/>
      <c r="G361" s="336"/>
      <c r="H361" s="334"/>
      <c r="I361" s="172" t="s">
        <v>316</v>
      </c>
      <c r="J361" s="337"/>
      <c r="K361" s="336"/>
      <c r="L361" s="336"/>
      <c r="M361" s="337"/>
      <c r="N361" s="242">
        <f t="shared" si="13"/>
        <v>3</v>
      </c>
      <c r="Q361" s="212" t="str">
        <f t="shared" si="12"/>
        <v/>
      </c>
      <c r="R361" s="174" t="s">
        <v>265</v>
      </c>
      <c r="S361" s="174" t="s">
        <v>273</v>
      </c>
      <c r="T361" s="174" t="str">
        <f>_xlfn.XLOOKUP(Buildings_GridElectricity_Backend[[#This Row],[Info 1]],Buildings_SiteInfo[Site name],Buildings_SiteInfo[Site type], "")</f>
        <v/>
      </c>
      <c r="U361" s="174" t="s">
        <v>281</v>
      </c>
      <c r="V361" s="174" t="str" cm="1">
        <f t="array" aca="1" ref="V361" ca="1">_xlfn.XLOOKUP(Buildings_GridElectricity_Backend[[#This Row],[Level 4]],rng_Level4Long,rng_Level5Long)</f>
        <v>Electricity</v>
      </c>
      <c r="W361" s="174" t="str" cm="1">
        <f t="array" aca="1" ref="W361" ca="1">_xlfn.XLOOKUP(Buildings_GridElectricity_Backend[[#This Row],[Level 4]],rng_Level4Long,rng_Level6Long)</f>
        <v>NaN</v>
      </c>
      <c r="X361" s="174">
        <f>Buildings_GridElectricity_Frontend[[#This Row],[Site Name]]</f>
        <v>0</v>
      </c>
      <c r="Y361" s="174">
        <f>Buildings_GridElectricity_Frontend[[#This Row],[Contracting]]</f>
        <v>0</v>
      </c>
      <c r="Z361" s="174">
        <f>Buildings_GridElectricity_Frontend[[#This Row],[Methodology]]</f>
        <v>0</v>
      </c>
      <c r="AA361" s="229" t="str" cm="1">
        <f t="array" ref="AA361">IF(Buildings_GridElectricity_Frontend[[#This Row],[Data]]="","",INDEX(_xlfn.SWITCH(Buildings_GridElectricity_Backend[[#This Row],[Methodology]],"Tier 1",rng_RSD1,"Tier 2",rng_RSD2,"Tier 3",rng_RSD3),MATCH(_xlfn.CONCAT(Buildings_GridElectricity_Backend[[#This Row],[Level 1]:[Level 6]]),rng_LevelsConcat,0)))</f>
        <v/>
      </c>
      <c r="AB361" s="220">
        <f>Buildings_GridElectricity_Frontend[[#This Row],[Data]]</f>
        <v>0</v>
      </c>
      <c r="AC361" s="174" t="str">
        <f>Buildings_GridElectricity_Frontend[[#This Row],[Units]]</f>
        <v>kWh</v>
      </c>
      <c r="AD361" s="218">
        <f>Buildings_GridElectricity_Frontend[[#This Row],[Data]]</f>
        <v>0</v>
      </c>
      <c r="AE361" s="174" t="str">
        <f>Buildings_GridElectricity_Frontend[[#This Row],[Units]]</f>
        <v>kWh</v>
      </c>
      <c r="AF361" s="210" t="str">
        <f>IF(Buildings_GridElectricity_Frontend[[#This Row],[Data]]="","",_xlfn.XLOOKUP(_xlfn.CONCAT(Buildings_GridElectricity_Backend[[#This Row],[Level 1]:[Level 6]]),rng_EFConcat,rng_EF1)*Buildings_GridElectricity_Backend[[#This Row],[Converted data]]/1000)</f>
        <v/>
      </c>
      <c r="AG361" s="210" t="str">
        <f>IF(Buildings_GridElectricity_Frontend[[#This Row],[Data]]="","",_xlfn.XLOOKUP(_xlfn.CONCAT(Buildings_GridElectricity_Backend[[#This Row],[Level 1]:[Level 6]]),rng_EFConcat,rng_EF2)*Buildings_GridElectricity_Backend[[#This Row],[Converted data]]/1000)</f>
        <v/>
      </c>
      <c r="AH361" s="210" t="str">
        <f>IF(Buildings_GridElectricity_Frontend[[#This Row],[Data]]="","",_xlfn.XLOOKUP(_xlfn.CONCAT(Buildings_GridElectricity_Backend[[#This Row],[Level 1]:[Level 6]]),rng_EFConcat,rng_EF3)*Buildings_GridElectricity_Backend[[#This Row],[Converted data]]/1000)</f>
        <v/>
      </c>
      <c r="AI361" s="210" t="str">
        <f>IF(Buildings_GridElectricity_Frontend[[#This Row],[Data]]="","",_xlfn.XLOOKUP(_xlfn.CONCAT(Buildings_GridElectricity_Backend[[#This Row],[Level 1]:[Level 6]]),rng_EFConcat,rng_EF3WTT)*Buildings_GridElectricity_Backend[[#This Row],[Converted data]]/1000)</f>
        <v/>
      </c>
      <c r="AJ361" s="210" t="str">
        <f>IF(Buildings_GridElectricity_Frontend[[#This Row],[Data]]="","",_xlfn.XLOOKUP(_xlfn.CONCAT(Buildings_GridElectricity_Backend[[#This Row],[Level 1]:[Level 6]]),rng_EFConcat,rng_EF3TD)*Buildings_GridElectricity_Backend[[#This Row],[Converted data]]/1000)</f>
        <v/>
      </c>
      <c r="AK361" s="210" t="str">
        <f>IF(Buildings_GridElectricity_Frontend[[#This Row],[Data]]="","",_xlfn.XLOOKUP(_xlfn.CONCAT(Buildings_GridElectricity_Backend[[#This Row],[Level 1]:[Level 6]]),rng_EFConcat,rng_EF3WTTTD)*Buildings_GridElectricity_Backend[[#This Row],[Converted data]]/1000)</f>
        <v/>
      </c>
      <c r="AL361" s="220" t="str">
        <f>IF(Buildings_GridElectricity_Frontend[[#This Row],[Data]]="","",SUM(Buildings_GridElectricity_Backend[[#This Row],[Scope 1 (tCO2e)]:[Scope 3 WTT T&amp;D (tCO2e)]]))</f>
        <v/>
      </c>
      <c r="AM361" s="220" t="str">
        <f>IF(Buildings_GridElectricity_Frontend[[#This Row],[Data]]="","",Buildings_GridElectricity_Backend[[#This Row],[Total (tCO2e)]]*(1-Buildings_GridElectricity_Backend[[#This Row],[RSD]]))</f>
        <v/>
      </c>
      <c r="AN361" s="220" t="str">
        <f>IF(Buildings_GridElectricity_Frontend[[#This Row],[Data]]="","",Buildings_GridElectricity_Backend[[#This Row],[Total (tCO2e)]]*(1+Buildings_GridElectricity_Backend[[#This Row],[RSD]]))</f>
        <v/>
      </c>
      <c r="AO361" s="210" t="str">
        <f>IF(Buildings_GridElectricity_Frontend[[#This Row],[Data]]="","",_xlfn.XLOOKUP(_xlfn.CONCAT(Buildings_GridElectricity_Backend[[#This Row],[Level 1]:[Level 6]]),rng_EFConcat,rng_EFOOS)*Buildings_GridElectricity_Backend[[#This Row],[Converted data]]/1000)</f>
        <v/>
      </c>
      <c r="AP361" s="174">
        <f>Buildings_GridElectricity_Frontend[[#This Row],[Ease of collection]]</f>
        <v>0</v>
      </c>
      <c r="AQ361" s="213">
        <f>Buildings_GridElectricity_Frontend[[#This Row],[Completeness]]</f>
        <v>0</v>
      </c>
      <c r="AR361" s="220">
        <f>Buildings_GridElectricity_Frontend[[#This Row],[Notes]]</f>
        <v>0</v>
      </c>
    </row>
    <row r="362" spans="5:44" x14ac:dyDescent="0.3">
      <c r="E362" s="346"/>
      <c r="F362" s="449"/>
      <c r="G362" s="336"/>
      <c r="H362" s="334"/>
      <c r="I362" s="172" t="s">
        <v>316</v>
      </c>
      <c r="J362" s="337"/>
      <c r="K362" s="336"/>
      <c r="L362" s="336"/>
      <c r="M362" s="337"/>
      <c r="N362" s="242">
        <f t="shared" si="13"/>
        <v>3</v>
      </c>
      <c r="Q362" s="212" t="str">
        <f t="shared" si="12"/>
        <v/>
      </c>
      <c r="R362" s="174" t="s">
        <v>265</v>
      </c>
      <c r="S362" s="174" t="s">
        <v>273</v>
      </c>
      <c r="T362" s="174" t="str">
        <f>_xlfn.XLOOKUP(Buildings_GridElectricity_Backend[[#This Row],[Info 1]],Buildings_SiteInfo[Site name],Buildings_SiteInfo[Site type], "")</f>
        <v/>
      </c>
      <c r="U362" s="174" t="s">
        <v>281</v>
      </c>
      <c r="V362" s="174" t="str" cm="1">
        <f t="array" aca="1" ref="V362" ca="1">_xlfn.XLOOKUP(Buildings_GridElectricity_Backend[[#This Row],[Level 4]],rng_Level4Long,rng_Level5Long)</f>
        <v>Electricity</v>
      </c>
      <c r="W362" s="174" t="str" cm="1">
        <f t="array" aca="1" ref="W362" ca="1">_xlfn.XLOOKUP(Buildings_GridElectricity_Backend[[#This Row],[Level 4]],rng_Level4Long,rng_Level6Long)</f>
        <v>NaN</v>
      </c>
      <c r="X362" s="174">
        <f>Buildings_GridElectricity_Frontend[[#This Row],[Site Name]]</f>
        <v>0</v>
      </c>
      <c r="Y362" s="174">
        <f>Buildings_GridElectricity_Frontend[[#This Row],[Contracting]]</f>
        <v>0</v>
      </c>
      <c r="Z362" s="174">
        <f>Buildings_GridElectricity_Frontend[[#This Row],[Methodology]]</f>
        <v>0</v>
      </c>
      <c r="AA362" s="229" t="str" cm="1">
        <f t="array" ref="AA362">IF(Buildings_GridElectricity_Frontend[[#This Row],[Data]]="","",INDEX(_xlfn.SWITCH(Buildings_GridElectricity_Backend[[#This Row],[Methodology]],"Tier 1",rng_RSD1,"Tier 2",rng_RSD2,"Tier 3",rng_RSD3),MATCH(_xlfn.CONCAT(Buildings_GridElectricity_Backend[[#This Row],[Level 1]:[Level 6]]),rng_LevelsConcat,0)))</f>
        <v/>
      </c>
      <c r="AB362" s="220">
        <f>Buildings_GridElectricity_Frontend[[#This Row],[Data]]</f>
        <v>0</v>
      </c>
      <c r="AC362" s="174" t="str">
        <f>Buildings_GridElectricity_Frontend[[#This Row],[Units]]</f>
        <v>kWh</v>
      </c>
      <c r="AD362" s="218">
        <f>Buildings_GridElectricity_Frontend[[#This Row],[Data]]</f>
        <v>0</v>
      </c>
      <c r="AE362" s="174" t="str">
        <f>Buildings_GridElectricity_Frontend[[#This Row],[Units]]</f>
        <v>kWh</v>
      </c>
      <c r="AF362" s="210" t="str">
        <f>IF(Buildings_GridElectricity_Frontend[[#This Row],[Data]]="","",_xlfn.XLOOKUP(_xlfn.CONCAT(Buildings_GridElectricity_Backend[[#This Row],[Level 1]:[Level 6]]),rng_EFConcat,rng_EF1)*Buildings_GridElectricity_Backend[[#This Row],[Converted data]]/1000)</f>
        <v/>
      </c>
      <c r="AG362" s="210" t="str">
        <f>IF(Buildings_GridElectricity_Frontend[[#This Row],[Data]]="","",_xlfn.XLOOKUP(_xlfn.CONCAT(Buildings_GridElectricity_Backend[[#This Row],[Level 1]:[Level 6]]),rng_EFConcat,rng_EF2)*Buildings_GridElectricity_Backend[[#This Row],[Converted data]]/1000)</f>
        <v/>
      </c>
      <c r="AH362" s="210" t="str">
        <f>IF(Buildings_GridElectricity_Frontend[[#This Row],[Data]]="","",_xlfn.XLOOKUP(_xlfn.CONCAT(Buildings_GridElectricity_Backend[[#This Row],[Level 1]:[Level 6]]),rng_EFConcat,rng_EF3)*Buildings_GridElectricity_Backend[[#This Row],[Converted data]]/1000)</f>
        <v/>
      </c>
      <c r="AI362" s="210" t="str">
        <f>IF(Buildings_GridElectricity_Frontend[[#This Row],[Data]]="","",_xlfn.XLOOKUP(_xlfn.CONCAT(Buildings_GridElectricity_Backend[[#This Row],[Level 1]:[Level 6]]),rng_EFConcat,rng_EF3WTT)*Buildings_GridElectricity_Backend[[#This Row],[Converted data]]/1000)</f>
        <v/>
      </c>
      <c r="AJ362" s="210" t="str">
        <f>IF(Buildings_GridElectricity_Frontend[[#This Row],[Data]]="","",_xlfn.XLOOKUP(_xlfn.CONCAT(Buildings_GridElectricity_Backend[[#This Row],[Level 1]:[Level 6]]),rng_EFConcat,rng_EF3TD)*Buildings_GridElectricity_Backend[[#This Row],[Converted data]]/1000)</f>
        <v/>
      </c>
      <c r="AK362" s="210" t="str">
        <f>IF(Buildings_GridElectricity_Frontend[[#This Row],[Data]]="","",_xlfn.XLOOKUP(_xlfn.CONCAT(Buildings_GridElectricity_Backend[[#This Row],[Level 1]:[Level 6]]),rng_EFConcat,rng_EF3WTTTD)*Buildings_GridElectricity_Backend[[#This Row],[Converted data]]/1000)</f>
        <v/>
      </c>
      <c r="AL362" s="220" t="str">
        <f>IF(Buildings_GridElectricity_Frontend[[#This Row],[Data]]="","",SUM(Buildings_GridElectricity_Backend[[#This Row],[Scope 1 (tCO2e)]:[Scope 3 WTT T&amp;D (tCO2e)]]))</f>
        <v/>
      </c>
      <c r="AM362" s="220" t="str">
        <f>IF(Buildings_GridElectricity_Frontend[[#This Row],[Data]]="","",Buildings_GridElectricity_Backend[[#This Row],[Total (tCO2e)]]*(1-Buildings_GridElectricity_Backend[[#This Row],[RSD]]))</f>
        <v/>
      </c>
      <c r="AN362" s="220" t="str">
        <f>IF(Buildings_GridElectricity_Frontend[[#This Row],[Data]]="","",Buildings_GridElectricity_Backend[[#This Row],[Total (tCO2e)]]*(1+Buildings_GridElectricity_Backend[[#This Row],[RSD]]))</f>
        <v/>
      </c>
      <c r="AO362" s="210" t="str">
        <f>IF(Buildings_GridElectricity_Frontend[[#This Row],[Data]]="","",_xlfn.XLOOKUP(_xlfn.CONCAT(Buildings_GridElectricity_Backend[[#This Row],[Level 1]:[Level 6]]),rng_EFConcat,rng_EFOOS)*Buildings_GridElectricity_Backend[[#This Row],[Converted data]]/1000)</f>
        <v/>
      </c>
      <c r="AP362" s="174">
        <f>Buildings_GridElectricity_Frontend[[#This Row],[Ease of collection]]</f>
        <v>0</v>
      </c>
      <c r="AQ362" s="213">
        <f>Buildings_GridElectricity_Frontend[[#This Row],[Completeness]]</f>
        <v>0</v>
      </c>
      <c r="AR362" s="220">
        <f>Buildings_GridElectricity_Frontend[[#This Row],[Notes]]</f>
        <v>0</v>
      </c>
    </row>
    <row r="363" spans="5:44" x14ac:dyDescent="0.3">
      <c r="E363" s="346"/>
      <c r="F363" s="449"/>
      <c r="G363" s="336"/>
      <c r="H363" s="334"/>
      <c r="I363" s="172" t="s">
        <v>316</v>
      </c>
      <c r="J363" s="337"/>
      <c r="K363" s="336"/>
      <c r="L363" s="336"/>
      <c r="M363" s="337"/>
      <c r="N363" s="242">
        <f t="shared" si="13"/>
        <v>3</v>
      </c>
      <c r="Q363" s="212" t="str">
        <f t="shared" si="12"/>
        <v/>
      </c>
      <c r="R363" s="174" t="s">
        <v>265</v>
      </c>
      <c r="S363" s="174" t="s">
        <v>273</v>
      </c>
      <c r="T363" s="174" t="str">
        <f>_xlfn.XLOOKUP(Buildings_GridElectricity_Backend[[#This Row],[Info 1]],Buildings_SiteInfo[Site name],Buildings_SiteInfo[Site type], "")</f>
        <v/>
      </c>
      <c r="U363" s="174" t="s">
        <v>281</v>
      </c>
      <c r="V363" s="174" t="str" cm="1">
        <f t="array" aca="1" ref="V363" ca="1">_xlfn.XLOOKUP(Buildings_GridElectricity_Backend[[#This Row],[Level 4]],rng_Level4Long,rng_Level5Long)</f>
        <v>Electricity</v>
      </c>
      <c r="W363" s="174" t="str" cm="1">
        <f t="array" aca="1" ref="W363" ca="1">_xlfn.XLOOKUP(Buildings_GridElectricity_Backend[[#This Row],[Level 4]],rng_Level4Long,rng_Level6Long)</f>
        <v>NaN</v>
      </c>
      <c r="X363" s="174">
        <f>Buildings_GridElectricity_Frontend[[#This Row],[Site Name]]</f>
        <v>0</v>
      </c>
      <c r="Y363" s="174">
        <f>Buildings_GridElectricity_Frontend[[#This Row],[Contracting]]</f>
        <v>0</v>
      </c>
      <c r="Z363" s="174">
        <f>Buildings_GridElectricity_Frontend[[#This Row],[Methodology]]</f>
        <v>0</v>
      </c>
      <c r="AA363" s="229" t="str" cm="1">
        <f t="array" ref="AA363">IF(Buildings_GridElectricity_Frontend[[#This Row],[Data]]="","",INDEX(_xlfn.SWITCH(Buildings_GridElectricity_Backend[[#This Row],[Methodology]],"Tier 1",rng_RSD1,"Tier 2",rng_RSD2,"Tier 3",rng_RSD3),MATCH(_xlfn.CONCAT(Buildings_GridElectricity_Backend[[#This Row],[Level 1]:[Level 6]]),rng_LevelsConcat,0)))</f>
        <v/>
      </c>
      <c r="AB363" s="220">
        <f>Buildings_GridElectricity_Frontend[[#This Row],[Data]]</f>
        <v>0</v>
      </c>
      <c r="AC363" s="174" t="str">
        <f>Buildings_GridElectricity_Frontend[[#This Row],[Units]]</f>
        <v>kWh</v>
      </c>
      <c r="AD363" s="218">
        <f>Buildings_GridElectricity_Frontend[[#This Row],[Data]]</f>
        <v>0</v>
      </c>
      <c r="AE363" s="174" t="str">
        <f>Buildings_GridElectricity_Frontend[[#This Row],[Units]]</f>
        <v>kWh</v>
      </c>
      <c r="AF363" s="210" t="str">
        <f>IF(Buildings_GridElectricity_Frontend[[#This Row],[Data]]="","",_xlfn.XLOOKUP(_xlfn.CONCAT(Buildings_GridElectricity_Backend[[#This Row],[Level 1]:[Level 6]]),rng_EFConcat,rng_EF1)*Buildings_GridElectricity_Backend[[#This Row],[Converted data]]/1000)</f>
        <v/>
      </c>
      <c r="AG363" s="210" t="str">
        <f>IF(Buildings_GridElectricity_Frontend[[#This Row],[Data]]="","",_xlfn.XLOOKUP(_xlfn.CONCAT(Buildings_GridElectricity_Backend[[#This Row],[Level 1]:[Level 6]]),rng_EFConcat,rng_EF2)*Buildings_GridElectricity_Backend[[#This Row],[Converted data]]/1000)</f>
        <v/>
      </c>
      <c r="AH363" s="210" t="str">
        <f>IF(Buildings_GridElectricity_Frontend[[#This Row],[Data]]="","",_xlfn.XLOOKUP(_xlfn.CONCAT(Buildings_GridElectricity_Backend[[#This Row],[Level 1]:[Level 6]]),rng_EFConcat,rng_EF3)*Buildings_GridElectricity_Backend[[#This Row],[Converted data]]/1000)</f>
        <v/>
      </c>
      <c r="AI363" s="210" t="str">
        <f>IF(Buildings_GridElectricity_Frontend[[#This Row],[Data]]="","",_xlfn.XLOOKUP(_xlfn.CONCAT(Buildings_GridElectricity_Backend[[#This Row],[Level 1]:[Level 6]]),rng_EFConcat,rng_EF3WTT)*Buildings_GridElectricity_Backend[[#This Row],[Converted data]]/1000)</f>
        <v/>
      </c>
      <c r="AJ363" s="210" t="str">
        <f>IF(Buildings_GridElectricity_Frontend[[#This Row],[Data]]="","",_xlfn.XLOOKUP(_xlfn.CONCAT(Buildings_GridElectricity_Backend[[#This Row],[Level 1]:[Level 6]]),rng_EFConcat,rng_EF3TD)*Buildings_GridElectricity_Backend[[#This Row],[Converted data]]/1000)</f>
        <v/>
      </c>
      <c r="AK363" s="210" t="str">
        <f>IF(Buildings_GridElectricity_Frontend[[#This Row],[Data]]="","",_xlfn.XLOOKUP(_xlfn.CONCAT(Buildings_GridElectricity_Backend[[#This Row],[Level 1]:[Level 6]]),rng_EFConcat,rng_EF3WTTTD)*Buildings_GridElectricity_Backend[[#This Row],[Converted data]]/1000)</f>
        <v/>
      </c>
      <c r="AL363" s="220" t="str">
        <f>IF(Buildings_GridElectricity_Frontend[[#This Row],[Data]]="","",SUM(Buildings_GridElectricity_Backend[[#This Row],[Scope 1 (tCO2e)]:[Scope 3 WTT T&amp;D (tCO2e)]]))</f>
        <v/>
      </c>
      <c r="AM363" s="220" t="str">
        <f>IF(Buildings_GridElectricity_Frontend[[#This Row],[Data]]="","",Buildings_GridElectricity_Backend[[#This Row],[Total (tCO2e)]]*(1-Buildings_GridElectricity_Backend[[#This Row],[RSD]]))</f>
        <v/>
      </c>
      <c r="AN363" s="220" t="str">
        <f>IF(Buildings_GridElectricity_Frontend[[#This Row],[Data]]="","",Buildings_GridElectricity_Backend[[#This Row],[Total (tCO2e)]]*(1+Buildings_GridElectricity_Backend[[#This Row],[RSD]]))</f>
        <v/>
      </c>
      <c r="AO363" s="210" t="str">
        <f>IF(Buildings_GridElectricity_Frontend[[#This Row],[Data]]="","",_xlfn.XLOOKUP(_xlfn.CONCAT(Buildings_GridElectricity_Backend[[#This Row],[Level 1]:[Level 6]]),rng_EFConcat,rng_EFOOS)*Buildings_GridElectricity_Backend[[#This Row],[Converted data]]/1000)</f>
        <v/>
      </c>
      <c r="AP363" s="174">
        <f>Buildings_GridElectricity_Frontend[[#This Row],[Ease of collection]]</f>
        <v>0</v>
      </c>
      <c r="AQ363" s="213">
        <f>Buildings_GridElectricity_Frontend[[#This Row],[Completeness]]</f>
        <v>0</v>
      </c>
      <c r="AR363" s="220">
        <f>Buildings_GridElectricity_Frontend[[#This Row],[Notes]]</f>
        <v>0</v>
      </c>
    </row>
    <row r="364" spans="5:44" x14ac:dyDescent="0.3">
      <c r="E364" s="346"/>
      <c r="F364" s="449"/>
      <c r="G364" s="336"/>
      <c r="H364" s="334"/>
      <c r="I364" s="172" t="s">
        <v>316</v>
      </c>
      <c r="J364" s="337"/>
      <c r="K364" s="336"/>
      <c r="L364" s="336"/>
      <c r="M364" s="337"/>
      <c r="N364" s="242">
        <f t="shared" si="13"/>
        <v>3</v>
      </c>
      <c r="Q364" s="212" t="str">
        <f t="shared" si="12"/>
        <v/>
      </c>
      <c r="R364" s="174" t="s">
        <v>265</v>
      </c>
      <c r="S364" s="174" t="s">
        <v>273</v>
      </c>
      <c r="T364" s="174" t="str">
        <f>_xlfn.XLOOKUP(Buildings_GridElectricity_Backend[[#This Row],[Info 1]],Buildings_SiteInfo[Site name],Buildings_SiteInfo[Site type], "")</f>
        <v/>
      </c>
      <c r="U364" s="174" t="s">
        <v>281</v>
      </c>
      <c r="V364" s="174" t="str" cm="1">
        <f t="array" aca="1" ref="V364" ca="1">_xlfn.XLOOKUP(Buildings_GridElectricity_Backend[[#This Row],[Level 4]],rng_Level4Long,rng_Level5Long)</f>
        <v>Electricity</v>
      </c>
      <c r="W364" s="174" t="str" cm="1">
        <f t="array" aca="1" ref="W364" ca="1">_xlfn.XLOOKUP(Buildings_GridElectricity_Backend[[#This Row],[Level 4]],rng_Level4Long,rng_Level6Long)</f>
        <v>NaN</v>
      </c>
      <c r="X364" s="174">
        <f>Buildings_GridElectricity_Frontend[[#This Row],[Site Name]]</f>
        <v>0</v>
      </c>
      <c r="Y364" s="174">
        <f>Buildings_GridElectricity_Frontend[[#This Row],[Contracting]]</f>
        <v>0</v>
      </c>
      <c r="Z364" s="174">
        <f>Buildings_GridElectricity_Frontend[[#This Row],[Methodology]]</f>
        <v>0</v>
      </c>
      <c r="AA364" s="229" t="str" cm="1">
        <f t="array" ref="AA364">IF(Buildings_GridElectricity_Frontend[[#This Row],[Data]]="","",INDEX(_xlfn.SWITCH(Buildings_GridElectricity_Backend[[#This Row],[Methodology]],"Tier 1",rng_RSD1,"Tier 2",rng_RSD2,"Tier 3",rng_RSD3),MATCH(_xlfn.CONCAT(Buildings_GridElectricity_Backend[[#This Row],[Level 1]:[Level 6]]),rng_LevelsConcat,0)))</f>
        <v/>
      </c>
      <c r="AB364" s="220">
        <f>Buildings_GridElectricity_Frontend[[#This Row],[Data]]</f>
        <v>0</v>
      </c>
      <c r="AC364" s="174" t="str">
        <f>Buildings_GridElectricity_Frontend[[#This Row],[Units]]</f>
        <v>kWh</v>
      </c>
      <c r="AD364" s="218">
        <f>Buildings_GridElectricity_Frontend[[#This Row],[Data]]</f>
        <v>0</v>
      </c>
      <c r="AE364" s="174" t="str">
        <f>Buildings_GridElectricity_Frontend[[#This Row],[Units]]</f>
        <v>kWh</v>
      </c>
      <c r="AF364" s="210" t="str">
        <f>IF(Buildings_GridElectricity_Frontend[[#This Row],[Data]]="","",_xlfn.XLOOKUP(_xlfn.CONCAT(Buildings_GridElectricity_Backend[[#This Row],[Level 1]:[Level 6]]),rng_EFConcat,rng_EF1)*Buildings_GridElectricity_Backend[[#This Row],[Converted data]]/1000)</f>
        <v/>
      </c>
      <c r="AG364" s="210" t="str">
        <f>IF(Buildings_GridElectricity_Frontend[[#This Row],[Data]]="","",_xlfn.XLOOKUP(_xlfn.CONCAT(Buildings_GridElectricity_Backend[[#This Row],[Level 1]:[Level 6]]),rng_EFConcat,rng_EF2)*Buildings_GridElectricity_Backend[[#This Row],[Converted data]]/1000)</f>
        <v/>
      </c>
      <c r="AH364" s="210" t="str">
        <f>IF(Buildings_GridElectricity_Frontend[[#This Row],[Data]]="","",_xlfn.XLOOKUP(_xlfn.CONCAT(Buildings_GridElectricity_Backend[[#This Row],[Level 1]:[Level 6]]),rng_EFConcat,rng_EF3)*Buildings_GridElectricity_Backend[[#This Row],[Converted data]]/1000)</f>
        <v/>
      </c>
      <c r="AI364" s="210" t="str">
        <f>IF(Buildings_GridElectricity_Frontend[[#This Row],[Data]]="","",_xlfn.XLOOKUP(_xlfn.CONCAT(Buildings_GridElectricity_Backend[[#This Row],[Level 1]:[Level 6]]),rng_EFConcat,rng_EF3WTT)*Buildings_GridElectricity_Backend[[#This Row],[Converted data]]/1000)</f>
        <v/>
      </c>
      <c r="AJ364" s="210" t="str">
        <f>IF(Buildings_GridElectricity_Frontend[[#This Row],[Data]]="","",_xlfn.XLOOKUP(_xlfn.CONCAT(Buildings_GridElectricity_Backend[[#This Row],[Level 1]:[Level 6]]),rng_EFConcat,rng_EF3TD)*Buildings_GridElectricity_Backend[[#This Row],[Converted data]]/1000)</f>
        <v/>
      </c>
      <c r="AK364" s="210" t="str">
        <f>IF(Buildings_GridElectricity_Frontend[[#This Row],[Data]]="","",_xlfn.XLOOKUP(_xlfn.CONCAT(Buildings_GridElectricity_Backend[[#This Row],[Level 1]:[Level 6]]),rng_EFConcat,rng_EF3WTTTD)*Buildings_GridElectricity_Backend[[#This Row],[Converted data]]/1000)</f>
        <v/>
      </c>
      <c r="AL364" s="220" t="str">
        <f>IF(Buildings_GridElectricity_Frontend[[#This Row],[Data]]="","",SUM(Buildings_GridElectricity_Backend[[#This Row],[Scope 1 (tCO2e)]:[Scope 3 WTT T&amp;D (tCO2e)]]))</f>
        <v/>
      </c>
      <c r="AM364" s="220" t="str">
        <f>IF(Buildings_GridElectricity_Frontend[[#This Row],[Data]]="","",Buildings_GridElectricity_Backend[[#This Row],[Total (tCO2e)]]*(1-Buildings_GridElectricity_Backend[[#This Row],[RSD]]))</f>
        <v/>
      </c>
      <c r="AN364" s="220" t="str">
        <f>IF(Buildings_GridElectricity_Frontend[[#This Row],[Data]]="","",Buildings_GridElectricity_Backend[[#This Row],[Total (tCO2e)]]*(1+Buildings_GridElectricity_Backend[[#This Row],[RSD]]))</f>
        <v/>
      </c>
      <c r="AO364" s="210" t="str">
        <f>IF(Buildings_GridElectricity_Frontend[[#This Row],[Data]]="","",_xlfn.XLOOKUP(_xlfn.CONCAT(Buildings_GridElectricity_Backend[[#This Row],[Level 1]:[Level 6]]),rng_EFConcat,rng_EFOOS)*Buildings_GridElectricity_Backend[[#This Row],[Converted data]]/1000)</f>
        <v/>
      </c>
      <c r="AP364" s="174">
        <f>Buildings_GridElectricity_Frontend[[#This Row],[Ease of collection]]</f>
        <v>0</v>
      </c>
      <c r="AQ364" s="213">
        <f>Buildings_GridElectricity_Frontend[[#This Row],[Completeness]]</f>
        <v>0</v>
      </c>
      <c r="AR364" s="220">
        <f>Buildings_GridElectricity_Frontend[[#This Row],[Notes]]</f>
        <v>0</v>
      </c>
    </row>
    <row r="365" spans="5:44" x14ac:dyDescent="0.3">
      <c r="E365" s="346"/>
      <c r="F365" s="449"/>
      <c r="G365" s="336"/>
      <c r="H365" s="334"/>
      <c r="I365" s="172" t="s">
        <v>316</v>
      </c>
      <c r="J365" s="337"/>
      <c r="K365" s="336"/>
      <c r="L365" s="336"/>
      <c r="M365" s="337"/>
      <c r="N365" s="242">
        <f t="shared" si="13"/>
        <v>3</v>
      </c>
      <c r="Q365" s="212" t="str">
        <f t="shared" si="12"/>
        <v/>
      </c>
      <c r="R365" s="174" t="s">
        <v>265</v>
      </c>
      <c r="S365" s="174" t="s">
        <v>273</v>
      </c>
      <c r="T365" s="174" t="str">
        <f>_xlfn.XLOOKUP(Buildings_GridElectricity_Backend[[#This Row],[Info 1]],Buildings_SiteInfo[Site name],Buildings_SiteInfo[Site type], "")</f>
        <v/>
      </c>
      <c r="U365" s="174" t="s">
        <v>281</v>
      </c>
      <c r="V365" s="174" t="str" cm="1">
        <f t="array" aca="1" ref="V365" ca="1">_xlfn.XLOOKUP(Buildings_GridElectricity_Backend[[#This Row],[Level 4]],rng_Level4Long,rng_Level5Long)</f>
        <v>Electricity</v>
      </c>
      <c r="W365" s="174" t="str" cm="1">
        <f t="array" aca="1" ref="W365" ca="1">_xlfn.XLOOKUP(Buildings_GridElectricity_Backend[[#This Row],[Level 4]],rng_Level4Long,rng_Level6Long)</f>
        <v>NaN</v>
      </c>
      <c r="X365" s="174">
        <f>Buildings_GridElectricity_Frontend[[#This Row],[Site Name]]</f>
        <v>0</v>
      </c>
      <c r="Y365" s="174">
        <f>Buildings_GridElectricity_Frontend[[#This Row],[Contracting]]</f>
        <v>0</v>
      </c>
      <c r="Z365" s="174">
        <f>Buildings_GridElectricity_Frontend[[#This Row],[Methodology]]</f>
        <v>0</v>
      </c>
      <c r="AA365" s="229" t="str" cm="1">
        <f t="array" ref="AA365">IF(Buildings_GridElectricity_Frontend[[#This Row],[Data]]="","",INDEX(_xlfn.SWITCH(Buildings_GridElectricity_Backend[[#This Row],[Methodology]],"Tier 1",rng_RSD1,"Tier 2",rng_RSD2,"Tier 3",rng_RSD3),MATCH(_xlfn.CONCAT(Buildings_GridElectricity_Backend[[#This Row],[Level 1]:[Level 6]]),rng_LevelsConcat,0)))</f>
        <v/>
      </c>
      <c r="AB365" s="220">
        <f>Buildings_GridElectricity_Frontend[[#This Row],[Data]]</f>
        <v>0</v>
      </c>
      <c r="AC365" s="174" t="str">
        <f>Buildings_GridElectricity_Frontend[[#This Row],[Units]]</f>
        <v>kWh</v>
      </c>
      <c r="AD365" s="218">
        <f>Buildings_GridElectricity_Frontend[[#This Row],[Data]]</f>
        <v>0</v>
      </c>
      <c r="AE365" s="174" t="str">
        <f>Buildings_GridElectricity_Frontend[[#This Row],[Units]]</f>
        <v>kWh</v>
      </c>
      <c r="AF365" s="210" t="str">
        <f>IF(Buildings_GridElectricity_Frontend[[#This Row],[Data]]="","",_xlfn.XLOOKUP(_xlfn.CONCAT(Buildings_GridElectricity_Backend[[#This Row],[Level 1]:[Level 6]]),rng_EFConcat,rng_EF1)*Buildings_GridElectricity_Backend[[#This Row],[Converted data]]/1000)</f>
        <v/>
      </c>
      <c r="AG365" s="210" t="str">
        <f>IF(Buildings_GridElectricity_Frontend[[#This Row],[Data]]="","",_xlfn.XLOOKUP(_xlfn.CONCAT(Buildings_GridElectricity_Backend[[#This Row],[Level 1]:[Level 6]]),rng_EFConcat,rng_EF2)*Buildings_GridElectricity_Backend[[#This Row],[Converted data]]/1000)</f>
        <v/>
      </c>
      <c r="AH365" s="210" t="str">
        <f>IF(Buildings_GridElectricity_Frontend[[#This Row],[Data]]="","",_xlfn.XLOOKUP(_xlfn.CONCAT(Buildings_GridElectricity_Backend[[#This Row],[Level 1]:[Level 6]]),rng_EFConcat,rng_EF3)*Buildings_GridElectricity_Backend[[#This Row],[Converted data]]/1000)</f>
        <v/>
      </c>
      <c r="AI365" s="210" t="str">
        <f>IF(Buildings_GridElectricity_Frontend[[#This Row],[Data]]="","",_xlfn.XLOOKUP(_xlfn.CONCAT(Buildings_GridElectricity_Backend[[#This Row],[Level 1]:[Level 6]]),rng_EFConcat,rng_EF3WTT)*Buildings_GridElectricity_Backend[[#This Row],[Converted data]]/1000)</f>
        <v/>
      </c>
      <c r="AJ365" s="210" t="str">
        <f>IF(Buildings_GridElectricity_Frontend[[#This Row],[Data]]="","",_xlfn.XLOOKUP(_xlfn.CONCAT(Buildings_GridElectricity_Backend[[#This Row],[Level 1]:[Level 6]]),rng_EFConcat,rng_EF3TD)*Buildings_GridElectricity_Backend[[#This Row],[Converted data]]/1000)</f>
        <v/>
      </c>
      <c r="AK365" s="210" t="str">
        <f>IF(Buildings_GridElectricity_Frontend[[#This Row],[Data]]="","",_xlfn.XLOOKUP(_xlfn.CONCAT(Buildings_GridElectricity_Backend[[#This Row],[Level 1]:[Level 6]]),rng_EFConcat,rng_EF3WTTTD)*Buildings_GridElectricity_Backend[[#This Row],[Converted data]]/1000)</f>
        <v/>
      </c>
      <c r="AL365" s="220" t="str">
        <f>IF(Buildings_GridElectricity_Frontend[[#This Row],[Data]]="","",SUM(Buildings_GridElectricity_Backend[[#This Row],[Scope 1 (tCO2e)]:[Scope 3 WTT T&amp;D (tCO2e)]]))</f>
        <v/>
      </c>
      <c r="AM365" s="220" t="str">
        <f>IF(Buildings_GridElectricity_Frontend[[#This Row],[Data]]="","",Buildings_GridElectricity_Backend[[#This Row],[Total (tCO2e)]]*(1-Buildings_GridElectricity_Backend[[#This Row],[RSD]]))</f>
        <v/>
      </c>
      <c r="AN365" s="220" t="str">
        <f>IF(Buildings_GridElectricity_Frontend[[#This Row],[Data]]="","",Buildings_GridElectricity_Backend[[#This Row],[Total (tCO2e)]]*(1+Buildings_GridElectricity_Backend[[#This Row],[RSD]]))</f>
        <v/>
      </c>
      <c r="AO365" s="210" t="str">
        <f>IF(Buildings_GridElectricity_Frontend[[#This Row],[Data]]="","",_xlfn.XLOOKUP(_xlfn.CONCAT(Buildings_GridElectricity_Backend[[#This Row],[Level 1]:[Level 6]]),rng_EFConcat,rng_EFOOS)*Buildings_GridElectricity_Backend[[#This Row],[Converted data]]/1000)</f>
        <v/>
      </c>
      <c r="AP365" s="174">
        <f>Buildings_GridElectricity_Frontend[[#This Row],[Ease of collection]]</f>
        <v>0</v>
      </c>
      <c r="AQ365" s="213">
        <f>Buildings_GridElectricity_Frontend[[#This Row],[Completeness]]</f>
        <v>0</v>
      </c>
      <c r="AR365" s="220">
        <f>Buildings_GridElectricity_Frontend[[#This Row],[Notes]]</f>
        <v>0</v>
      </c>
    </row>
    <row r="366" spans="5:44" x14ac:dyDescent="0.3">
      <c r="E366" s="346"/>
      <c r="F366" s="449"/>
      <c r="G366" s="336"/>
      <c r="H366" s="334"/>
      <c r="I366" s="172" t="s">
        <v>316</v>
      </c>
      <c r="J366" s="337"/>
      <c r="K366" s="336"/>
      <c r="L366" s="336"/>
      <c r="M366" s="337"/>
      <c r="N366" s="242">
        <f t="shared" si="13"/>
        <v>3</v>
      </c>
      <c r="Q366" s="212" t="str">
        <f t="shared" si="12"/>
        <v/>
      </c>
      <c r="R366" s="174" t="s">
        <v>265</v>
      </c>
      <c r="S366" s="174" t="s">
        <v>273</v>
      </c>
      <c r="T366" s="174" t="str">
        <f>_xlfn.XLOOKUP(Buildings_GridElectricity_Backend[[#This Row],[Info 1]],Buildings_SiteInfo[Site name],Buildings_SiteInfo[Site type], "")</f>
        <v/>
      </c>
      <c r="U366" s="174" t="s">
        <v>281</v>
      </c>
      <c r="V366" s="174" t="str" cm="1">
        <f t="array" aca="1" ref="V366" ca="1">_xlfn.XLOOKUP(Buildings_GridElectricity_Backend[[#This Row],[Level 4]],rng_Level4Long,rng_Level5Long)</f>
        <v>Electricity</v>
      </c>
      <c r="W366" s="174" t="str" cm="1">
        <f t="array" aca="1" ref="W366" ca="1">_xlfn.XLOOKUP(Buildings_GridElectricity_Backend[[#This Row],[Level 4]],rng_Level4Long,rng_Level6Long)</f>
        <v>NaN</v>
      </c>
      <c r="X366" s="174">
        <f>Buildings_GridElectricity_Frontend[[#This Row],[Site Name]]</f>
        <v>0</v>
      </c>
      <c r="Y366" s="174">
        <f>Buildings_GridElectricity_Frontend[[#This Row],[Contracting]]</f>
        <v>0</v>
      </c>
      <c r="Z366" s="174">
        <f>Buildings_GridElectricity_Frontend[[#This Row],[Methodology]]</f>
        <v>0</v>
      </c>
      <c r="AA366" s="229" t="str" cm="1">
        <f t="array" ref="AA366">IF(Buildings_GridElectricity_Frontend[[#This Row],[Data]]="","",INDEX(_xlfn.SWITCH(Buildings_GridElectricity_Backend[[#This Row],[Methodology]],"Tier 1",rng_RSD1,"Tier 2",rng_RSD2,"Tier 3",rng_RSD3),MATCH(_xlfn.CONCAT(Buildings_GridElectricity_Backend[[#This Row],[Level 1]:[Level 6]]),rng_LevelsConcat,0)))</f>
        <v/>
      </c>
      <c r="AB366" s="220">
        <f>Buildings_GridElectricity_Frontend[[#This Row],[Data]]</f>
        <v>0</v>
      </c>
      <c r="AC366" s="174" t="str">
        <f>Buildings_GridElectricity_Frontend[[#This Row],[Units]]</f>
        <v>kWh</v>
      </c>
      <c r="AD366" s="218">
        <f>Buildings_GridElectricity_Frontend[[#This Row],[Data]]</f>
        <v>0</v>
      </c>
      <c r="AE366" s="174" t="str">
        <f>Buildings_GridElectricity_Frontend[[#This Row],[Units]]</f>
        <v>kWh</v>
      </c>
      <c r="AF366" s="210" t="str">
        <f>IF(Buildings_GridElectricity_Frontend[[#This Row],[Data]]="","",_xlfn.XLOOKUP(_xlfn.CONCAT(Buildings_GridElectricity_Backend[[#This Row],[Level 1]:[Level 6]]),rng_EFConcat,rng_EF1)*Buildings_GridElectricity_Backend[[#This Row],[Converted data]]/1000)</f>
        <v/>
      </c>
      <c r="AG366" s="210" t="str">
        <f>IF(Buildings_GridElectricity_Frontend[[#This Row],[Data]]="","",_xlfn.XLOOKUP(_xlfn.CONCAT(Buildings_GridElectricity_Backend[[#This Row],[Level 1]:[Level 6]]),rng_EFConcat,rng_EF2)*Buildings_GridElectricity_Backend[[#This Row],[Converted data]]/1000)</f>
        <v/>
      </c>
      <c r="AH366" s="210" t="str">
        <f>IF(Buildings_GridElectricity_Frontend[[#This Row],[Data]]="","",_xlfn.XLOOKUP(_xlfn.CONCAT(Buildings_GridElectricity_Backend[[#This Row],[Level 1]:[Level 6]]),rng_EFConcat,rng_EF3)*Buildings_GridElectricity_Backend[[#This Row],[Converted data]]/1000)</f>
        <v/>
      </c>
      <c r="AI366" s="210" t="str">
        <f>IF(Buildings_GridElectricity_Frontend[[#This Row],[Data]]="","",_xlfn.XLOOKUP(_xlfn.CONCAT(Buildings_GridElectricity_Backend[[#This Row],[Level 1]:[Level 6]]),rng_EFConcat,rng_EF3WTT)*Buildings_GridElectricity_Backend[[#This Row],[Converted data]]/1000)</f>
        <v/>
      </c>
      <c r="AJ366" s="210" t="str">
        <f>IF(Buildings_GridElectricity_Frontend[[#This Row],[Data]]="","",_xlfn.XLOOKUP(_xlfn.CONCAT(Buildings_GridElectricity_Backend[[#This Row],[Level 1]:[Level 6]]),rng_EFConcat,rng_EF3TD)*Buildings_GridElectricity_Backend[[#This Row],[Converted data]]/1000)</f>
        <v/>
      </c>
      <c r="AK366" s="210" t="str">
        <f>IF(Buildings_GridElectricity_Frontend[[#This Row],[Data]]="","",_xlfn.XLOOKUP(_xlfn.CONCAT(Buildings_GridElectricity_Backend[[#This Row],[Level 1]:[Level 6]]),rng_EFConcat,rng_EF3WTTTD)*Buildings_GridElectricity_Backend[[#This Row],[Converted data]]/1000)</f>
        <v/>
      </c>
      <c r="AL366" s="220" t="str">
        <f>IF(Buildings_GridElectricity_Frontend[[#This Row],[Data]]="","",SUM(Buildings_GridElectricity_Backend[[#This Row],[Scope 1 (tCO2e)]:[Scope 3 WTT T&amp;D (tCO2e)]]))</f>
        <v/>
      </c>
      <c r="AM366" s="220" t="str">
        <f>IF(Buildings_GridElectricity_Frontend[[#This Row],[Data]]="","",Buildings_GridElectricity_Backend[[#This Row],[Total (tCO2e)]]*(1-Buildings_GridElectricity_Backend[[#This Row],[RSD]]))</f>
        <v/>
      </c>
      <c r="AN366" s="220" t="str">
        <f>IF(Buildings_GridElectricity_Frontend[[#This Row],[Data]]="","",Buildings_GridElectricity_Backend[[#This Row],[Total (tCO2e)]]*(1+Buildings_GridElectricity_Backend[[#This Row],[RSD]]))</f>
        <v/>
      </c>
      <c r="AO366" s="210" t="str">
        <f>IF(Buildings_GridElectricity_Frontend[[#This Row],[Data]]="","",_xlfn.XLOOKUP(_xlfn.CONCAT(Buildings_GridElectricity_Backend[[#This Row],[Level 1]:[Level 6]]),rng_EFConcat,rng_EFOOS)*Buildings_GridElectricity_Backend[[#This Row],[Converted data]]/1000)</f>
        <v/>
      </c>
      <c r="AP366" s="174">
        <f>Buildings_GridElectricity_Frontend[[#This Row],[Ease of collection]]</f>
        <v>0</v>
      </c>
      <c r="AQ366" s="213">
        <f>Buildings_GridElectricity_Frontend[[#This Row],[Completeness]]</f>
        <v>0</v>
      </c>
      <c r="AR366" s="220">
        <f>Buildings_GridElectricity_Frontend[[#This Row],[Notes]]</f>
        <v>0</v>
      </c>
    </row>
    <row r="367" spans="5:44" x14ac:dyDescent="0.3">
      <c r="E367" s="346"/>
      <c r="F367" s="449"/>
      <c r="G367" s="336"/>
      <c r="H367" s="334"/>
      <c r="I367" s="172" t="s">
        <v>316</v>
      </c>
      <c r="J367" s="337"/>
      <c r="K367" s="336"/>
      <c r="L367" s="336"/>
      <c r="M367" s="337"/>
      <c r="N367" s="242">
        <f t="shared" si="13"/>
        <v>3</v>
      </c>
      <c r="Q367" s="212" t="str">
        <f t="shared" si="12"/>
        <v/>
      </c>
      <c r="R367" s="174" t="s">
        <v>265</v>
      </c>
      <c r="S367" s="174" t="s">
        <v>273</v>
      </c>
      <c r="T367" s="174" t="str">
        <f>_xlfn.XLOOKUP(Buildings_GridElectricity_Backend[[#This Row],[Info 1]],Buildings_SiteInfo[Site name],Buildings_SiteInfo[Site type], "")</f>
        <v/>
      </c>
      <c r="U367" s="174" t="s">
        <v>281</v>
      </c>
      <c r="V367" s="174" t="str" cm="1">
        <f t="array" aca="1" ref="V367" ca="1">_xlfn.XLOOKUP(Buildings_GridElectricity_Backend[[#This Row],[Level 4]],rng_Level4Long,rng_Level5Long)</f>
        <v>Electricity</v>
      </c>
      <c r="W367" s="174" t="str" cm="1">
        <f t="array" aca="1" ref="W367" ca="1">_xlfn.XLOOKUP(Buildings_GridElectricity_Backend[[#This Row],[Level 4]],rng_Level4Long,rng_Level6Long)</f>
        <v>NaN</v>
      </c>
      <c r="X367" s="174">
        <f>Buildings_GridElectricity_Frontend[[#This Row],[Site Name]]</f>
        <v>0</v>
      </c>
      <c r="Y367" s="174">
        <f>Buildings_GridElectricity_Frontend[[#This Row],[Contracting]]</f>
        <v>0</v>
      </c>
      <c r="Z367" s="174">
        <f>Buildings_GridElectricity_Frontend[[#This Row],[Methodology]]</f>
        <v>0</v>
      </c>
      <c r="AA367" s="229" t="str" cm="1">
        <f t="array" ref="AA367">IF(Buildings_GridElectricity_Frontend[[#This Row],[Data]]="","",INDEX(_xlfn.SWITCH(Buildings_GridElectricity_Backend[[#This Row],[Methodology]],"Tier 1",rng_RSD1,"Tier 2",rng_RSD2,"Tier 3",rng_RSD3),MATCH(_xlfn.CONCAT(Buildings_GridElectricity_Backend[[#This Row],[Level 1]:[Level 6]]),rng_LevelsConcat,0)))</f>
        <v/>
      </c>
      <c r="AB367" s="220">
        <f>Buildings_GridElectricity_Frontend[[#This Row],[Data]]</f>
        <v>0</v>
      </c>
      <c r="AC367" s="174" t="str">
        <f>Buildings_GridElectricity_Frontend[[#This Row],[Units]]</f>
        <v>kWh</v>
      </c>
      <c r="AD367" s="218">
        <f>Buildings_GridElectricity_Frontend[[#This Row],[Data]]</f>
        <v>0</v>
      </c>
      <c r="AE367" s="174" t="str">
        <f>Buildings_GridElectricity_Frontend[[#This Row],[Units]]</f>
        <v>kWh</v>
      </c>
      <c r="AF367" s="210" t="str">
        <f>IF(Buildings_GridElectricity_Frontend[[#This Row],[Data]]="","",_xlfn.XLOOKUP(_xlfn.CONCAT(Buildings_GridElectricity_Backend[[#This Row],[Level 1]:[Level 6]]),rng_EFConcat,rng_EF1)*Buildings_GridElectricity_Backend[[#This Row],[Converted data]]/1000)</f>
        <v/>
      </c>
      <c r="AG367" s="210" t="str">
        <f>IF(Buildings_GridElectricity_Frontend[[#This Row],[Data]]="","",_xlfn.XLOOKUP(_xlfn.CONCAT(Buildings_GridElectricity_Backend[[#This Row],[Level 1]:[Level 6]]),rng_EFConcat,rng_EF2)*Buildings_GridElectricity_Backend[[#This Row],[Converted data]]/1000)</f>
        <v/>
      </c>
      <c r="AH367" s="210" t="str">
        <f>IF(Buildings_GridElectricity_Frontend[[#This Row],[Data]]="","",_xlfn.XLOOKUP(_xlfn.CONCAT(Buildings_GridElectricity_Backend[[#This Row],[Level 1]:[Level 6]]),rng_EFConcat,rng_EF3)*Buildings_GridElectricity_Backend[[#This Row],[Converted data]]/1000)</f>
        <v/>
      </c>
      <c r="AI367" s="210" t="str">
        <f>IF(Buildings_GridElectricity_Frontend[[#This Row],[Data]]="","",_xlfn.XLOOKUP(_xlfn.CONCAT(Buildings_GridElectricity_Backend[[#This Row],[Level 1]:[Level 6]]),rng_EFConcat,rng_EF3WTT)*Buildings_GridElectricity_Backend[[#This Row],[Converted data]]/1000)</f>
        <v/>
      </c>
      <c r="AJ367" s="210" t="str">
        <f>IF(Buildings_GridElectricity_Frontend[[#This Row],[Data]]="","",_xlfn.XLOOKUP(_xlfn.CONCAT(Buildings_GridElectricity_Backend[[#This Row],[Level 1]:[Level 6]]),rng_EFConcat,rng_EF3TD)*Buildings_GridElectricity_Backend[[#This Row],[Converted data]]/1000)</f>
        <v/>
      </c>
      <c r="AK367" s="210" t="str">
        <f>IF(Buildings_GridElectricity_Frontend[[#This Row],[Data]]="","",_xlfn.XLOOKUP(_xlfn.CONCAT(Buildings_GridElectricity_Backend[[#This Row],[Level 1]:[Level 6]]),rng_EFConcat,rng_EF3WTTTD)*Buildings_GridElectricity_Backend[[#This Row],[Converted data]]/1000)</f>
        <v/>
      </c>
      <c r="AL367" s="220" t="str">
        <f>IF(Buildings_GridElectricity_Frontend[[#This Row],[Data]]="","",SUM(Buildings_GridElectricity_Backend[[#This Row],[Scope 1 (tCO2e)]:[Scope 3 WTT T&amp;D (tCO2e)]]))</f>
        <v/>
      </c>
      <c r="AM367" s="220" t="str">
        <f>IF(Buildings_GridElectricity_Frontend[[#This Row],[Data]]="","",Buildings_GridElectricity_Backend[[#This Row],[Total (tCO2e)]]*(1-Buildings_GridElectricity_Backend[[#This Row],[RSD]]))</f>
        <v/>
      </c>
      <c r="AN367" s="220" t="str">
        <f>IF(Buildings_GridElectricity_Frontend[[#This Row],[Data]]="","",Buildings_GridElectricity_Backend[[#This Row],[Total (tCO2e)]]*(1+Buildings_GridElectricity_Backend[[#This Row],[RSD]]))</f>
        <v/>
      </c>
      <c r="AO367" s="210" t="str">
        <f>IF(Buildings_GridElectricity_Frontend[[#This Row],[Data]]="","",_xlfn.XLOOKUP(_xlfn.CONCAT(Buildings_GridElectricity_Backend[[#This Row],[Level 1]:[Level 6]]),rng_EFConcat,rng_EFOOS)*Buildings_GridElectricity_Backend[[#This Row],[Converted data]]/1000)</f>
        <v/>
      </c>
      <c r="AP367" s="174">
        <f>Buildings_GridElectricity_Frontend[[#This Row],[Ease of collection]]</f>
        <v>0</v>
      </c>
      <c r="AQ367" s="213">
        <f>Buildings_GridElectricity_Frontend[[#This Row],[Completeness]]</f>
        <v>0</v>
      </c>
      <c r="AR367" s="220">
        <f>Buildings_GridElectricity_Frontend[[#This Row],[Notes]]</f>
        <v>0</v>
      </c>
    </row>
    <row r="368" spans="5:44" x14ac:dyDescent="0.3">
      <c r="E368" s="346"/>
      <c r="F368" s="449"/>
      <c r="G368" s="336"/>
      <c r="H368" s="334"/>
      <c r="I368" s="172" t="s">
        <v>316</v>
      </c>
      <c r="J368" s="337"/>
      <c r="K368" s="336"/>
      <c r="L368" s="336"/>
      <c r="M368" s="337"/>
      <c r="N368" s="242">
        <f t="shared" si="13"/>
        <v>3</v>
      </c>
      <c r="Q368" s="212" t="str">
        <f t="shared" si="12"/>
        <v/>
      </c>
      <c r="R368" s="174" t="s">
        <v>265</v>
      </c>
      <c r="S368" s="174" t="s">
        <v>273</v>
      </c>
      <c r="T368" s="174" t="str">
        <f>_xlfn.XLOOKUP(Buildings_GridElectricity_Backend[[#This Row],[Info 1]],Buildings_SiteInfo[Site name],Buildings_SiteInfo[Site type], "")</f>
        <v/>
      </c>
      <c r="U368" s="174" t="s">
        <v>281</v>
      </c>
      <c r="V368" s="174" t="str" cm="1">
        <f t="array" aca="1" ref="V368" ca="1">_xlfn.XLOOKUP(Buildings_GridElectricity_Backend[[#This Row],[Level 4]],rng_Level4Long,rng_Level5Long)</f>
        <v>Electricity</v>
      </c>
      <c r="W368" s="174" t="str" cm="1">
        <f t="array" aca="1" ref="W368" ca="1">_xlfn.XLOOKUP(Buildings_GridElectricity_Backend[[#This Row],[Level 4]],rng_Level4Long,rng_Level6Long)</f>
        <v>NaN</v>
      </c>
      <c r="X368" s="174">
        <f>Buildings_GridElectricity_Frontend[[#This Row],[Site Name]]</f>
        <v>0</v>
      </c>
      <c r="Y368" s="174">
        <f>Buildings_GridElectricity_Frontend[[#This Row],[Contracting]]</f>
        <v>0</v>
      </c>
      <c r="Z368" s="174">
        <f>Buildings_GridElectricity_Frontend[[#This Row],[Methodology]]</f>
        <v>0</v>
      </c>
      <c r="AA368" s="229" t="str" cm="1">
        <f t="array" ref="AA368">IF(Buildings_GridElectricity_Frontend[[#This Row],[Data]]="","",INDEX(_xlfn.SWITCH(Buildings_GridElectricity_Backend[[#This Row],[Methodology]],"Tier 1",rng_RSD1,"Tier 2",rng_RSD2,"Tier 3",rng_RSD3),MATCH(_xlfn.CONCAT(Buildings_GridElectricity_Backend[[#This Row],[Level 1]:[Level 6]]),rng_LevelsConcat,0)))</f>
        <v/>
      </c>
      <c r="AB368" s="220">
        <f>Buildings_GridElectricity_Frontend[[#This Row],[Data]]</f>
        <v>0</v>
      </c>
      <c r="AC368" s="174" t="str">
        <f>Buildings_GridElectricity_Frontend[[#This Row],[Units]]</f>
        <v>kWh</v>
      </c>
      <c r="AD368" s="218">
        <f>Buildings_GridElectricity_Frontend[[#This Row],[Data]]</f>
        <v>0</v>
      </c>
      <c r="AE368" s="174" t="str">
        <f>Buildings_GridElectricity_Frontend[[#This Row],[Units]]</f>
        <v>kWh</v>
      </c>
      <c r="AF368" s="210" t="str">
        <f>IF(Buildings_GridElectricity_Frontend[[#This Row],[Data]]="","",_xlfn.XLOOKUP(_xlfn.CONCAT(Buildings_GridElectricity_Backend[[#This Row],[Level 1]:[Level 6]]),rng_EFConcat,rng_EF1)*Buildings_GridElectricity_Backend[[#This Row],[Converted data]]/1000)</f>
        <v/>
      </c>
      <c r="AG368" s="210" t="str">
        <f>IF(Buildings_GridElectricity_Frontend[[#This Row],[Data]]="","",_xlfn.XLOOKUP(_xlfn.CONCAT(Buildings_GridElectricity_Backend[[#This Row],[Level 1]:[Level 6]]),rng_EFConcat,rng_EF2)*Buildings_GridElectricity_Backend[[#This Row],[Converted data]]/1000)</f>
        <v/>
      </c>
      <c r="AH368" s="210" t="str">
        <f>IF(Buildings_GridElectricity_Frontend[[#This Row],[Data]]="","",_xlfn.XLOOKUP(_xlfn.CONCAT(Buildings_GridElectricity_Backend[[#This Row],[Level 1]:[Level 6]]),rng_EFConcat,rng_EF3)*Buildings_GridElectricity_Backend[[#This Row],[Converted data]]/1000)</f>
        <v/>
      </c>
      <c r="AI368" s="210" t="str">
        <f>IF(Buildings_GridElectricity_Frontend[[#This Row],[Data]]="","",_xlfn.XLOOKUP(_xlfn.CONCAT(Buildings_GridElectricity_Backend[[#This Row],[Level 1]:[Level 6]]),rng_EFConcat,rng_EF3WTT)*Buildings_GridElectricity_Backend[[#This Row],[Converted data]]/1000)</f>
        <v/>
      </c>
      <c r="AJ368" s="210" t="str">
        <f>IF(Buildings_GridElectricity_Frontend[[#This Row],[Data]]="","",_xlfn.XLOOKUP(_xlfn.CONCAT(Buildings_GridElectricity_Backend[[#This Row],[Level 1]:[Level 6]]),rng_EFConcat,rng_EF3TD)*Buildings_GridElectricity_Backend[[#This Row],[Converted data]]/1000)</f>
        <v/>
      </c>
      <c r="AK368" s="210" t="str">
        <f>IF(Buildings_GridElectricity_Frontend[[#This Row],[Data]]="","",_xlfn.XLOOKUP(_xlfn.CONCAT(Buildings_GridElectricity_Backend[[#This Row],[Level 1]:[Level 6]]),rng_EFConcat,rng_EF3WTTTD)*Buildings_GridElectricity_Backend[[#This Row],[Converted data]]/1000)</f>
        <v/>
      </c>
      <c r="AL368" s="220" t="str">
        <f>IF(Buildings_GridElectricity_Frontend[[#This Row],[Data]]="","",SUM(Buildings_GridElectricity_Backend[[#This Row],[Scope 1 (tCO2e)]:[Scope 3 WTT T&amp;D (tCO2e)]]))</f>
        <v/>
      </c>
      <c r="AM368" s="220" t="str">
        <f>IF(Buildings_GridElectricity_Frontend[[#This Row],[Data]]="","",Buildings_GridElectricity_Backend[[#This Row],[Total (tCO2e)]]*(1-Buildings_GridElectricity_Backend[[#This Row],[RSD]]))</f>
        <v/>
      </c>
      <c r="AN368" s="220" t="str">
        <f>IF(Buildings_GridElectricity_Frontend[[#This Row],[Data]]="","",Buildings_GridElectricity_Backend[[#This Row],[Total (tCO2e)]]*(1+Buildings_GridElectricity_Backend[[#This Row],[RSD]]))</f>
        <v/>
      </c>
      <c r="AO368" s="210" t="str">
        <f>IF(Buildings_GridElectricity_Frontend[[#This Row],[Data]]="","",_xlfn.XLOOKUP(_xlfn.CONCAT(Buildings_GridElectricity_Backend[[#This Row],[Level 1]:[Level 6]]),rng_EFConcat,rng_EFOOS)*Buildings_GridElectricity_Backend[[#This Row],[Converted data]]/1000)</f>
        <v/>
      </c>
      <c r="AP368" s="174">
        <f>Buildings_GridElectricity_Frontend[[#This Row],[Ease of collection]]</f>
        <v>0</v>
      </c>
      <c r="AQ368" s="213">
        <f>Buildings_GridElectricity_Frontend[[#This Row],[Completeness]]</f>
        <v>0</v>
      </c>
      <c r="AR368" s="220">
        <f>Buildings_GridElectricity_Frontend[[#This Row],[Notes]]</f>
        <v>0</v>
      </c>
    </row>
    <row r="369" spans="5:44" x14ac:dyDescent="0.3">
      <c r="E369" s="346"/>
      <c r="F369" s="449"/>
      <c r="G369" s="336"/>
      <c r="H369" s="334"/>
      <c r="I369" s="172" t="s">
        <v>316</v>
      </c>
      <c r="J369" s="337"/>
      <c r="K369" s="336"/>
      <c r="L369" s="336"/>
      <c r="M369" s="337"/>
      <c r="N369" s="242">
        <f t="shared" si="13"/>
        <v>3</v>
      </c>
      <c r="Q369" s="212" t="str">
        <f t="shared" si="12"/>
        <v/>
      </c>
      <c r="R369" s="174" t="s">
        <v>265</v>
      </c>
      <c r="S369" s="174" t="s">
        <v>273</v>
      </c>
      <c r="T369" s="174" t="str">
        <f>_xlfn.XLOOKUP(Buildings_GridElectricity_Backend[[#This Row],[Info 1]],Buildings_SiteInfo[Site name],Buildings_SiteInfo[Site type], "")</f>
        <v/>
      </c>
      <c r="U369" s="174" t="s">
        <v>281</v>
      </c>
      <c r="V369" s="174" t="str" cm="1">
        <f t="array" aca="1" ref="V369" ca="1">_xlfn.XLOOKUP(Buildings_GridElectricity_Backend[[#This Row],[Level 4]],rng_Level4Long,rng_Level5Long)</f>
        <v>Electricity</v>
      </c>
      <c r="W369" s="174" t="str" cm="1">
        <f t="array" aca="1" ref="W369" ca="1">_xlfn.XLOOKUP(Buildings_GridElectricity_Backend[[#This Row],[Level 4]],rng_Level4Long,rng_Level6Long)</f>
        <v>NaN</v>
      </c>
      <c r="X369" s="174">
        <f>Buildings_GridElectricity_Frontend[[#This Row],[Site Name]]</f>
        <v>0</v>
      </c>
      <c r="Y369" s="174">
        <f>Buildings_GridElectricity_Frontend[[#This Row],[Contracting]]</f>
        <v>0</v>
      </c>
      <c r="Z369" s="174">
        <f>Buildings_GridElectricity_Frontend[[#This Row],[Methodology]]</f>
        <v>0</v>
      </c>
      <c r="AA369" s="229" t="str" cm="1">
        <f t="array" ref="AA369">IF(Buildings_GridElectricity_Frontend[[#This Row],[Data]]="","",INDEX(_xlfn.SWITCH(Buildings_GridElectricity_Backend[[#This Row],[Methodology]],"Tier 1",rng_RSD1,"Tier 2",rng_RSD2,"Tier 3",rng_RSD3),MATCH(_xlfn.CONCAT(Buildings_GridElectricity_Backend[[#This Row],[Level 1]:[Level 6]]),rng_LevelsConcat,0)))</f>
        <v/>
      </c>
      <c r="AB369" s="220">
        <f>Buildings_GridElectricity_Frontend[[#This Row],[Data]]</f>
        <v>0</v>
      </c>
      <c r="AC369" s="174" t="str">
        <f>Buildings_GridElectricity_Frontend[[#This Row],[Units]]</f>
        <v>kWh</v>
      </c>
      <c r="AD369" s="218">
        <f>Buildings_GridElectricity_Frontend[[#This Row],[Data]]</f>
        <v>0</v>
      </c>
      <c r="AE369" s="174" t="str">
        <f>Buildings_GridElectricity_Frontend[[#This Row],[Units]]</f>
        <v>kWh</v>
      </c>
      <c r="AF369" s="210" t="str">
        <f>IF(Buildings_GridElectricity_Frontend[[#This Row],[Data]]="","",_xlfn.XLOOKUP(_xlfn.CONCAT(Buildings_GridElectricity_Backend[[#This Row],[Level 1]:[Level 6]]),rng_EFConcat,rng_EF1)*Buildings_GridElectricity_Backend[[#This Row],[Converted data]]/1000)</f>
        <v/>
      </c>
      <c r="AG369" s="210" t="str">
        <f>IF(Buildings_GridElectricity_Frontend[[#This Row],[Data]]="","",_xlfn.XLOOKUP(_xlfn.CONCAT(Buildings_GridElectricity_Backend[[#This Row],[Level 1]:[Level 6]]),rng_EFConcat,rng_EF2)*Buildings_GridElectricity_Backend[[#This Row],[Converted data]]/1000)</f>
        <v/>
      </c>
      <c r="AH369" s="210" t="str">
        <f>IF(Buildings_GridElectricity_Frontend[[#This Row],[Data]]="","",_xlfn.XLOOKUP(_xlfn.CONCAT(Buildings_GridElectricity_Backend[[#This Row],[Level 1]:[Level 6]]),rng_EFConcat,rng_EF3)*Buildings_GridElectricity_Backend[[#This Row],[Converted data]]/1000)</f>
        <v/>
      </c>
      <c r="AI369" s="210" t="str">
        <f>IF(Buildings_GridElectricity_Frontend[[#This Row],[Data]]="","",_xlfn.XLOOKUP(_xlfn.CONCAT(Buildings_GridElectricity_Backend[[#This Row],[Level 1]:[Level 6]]),rng_EFConcat,rng_EF3WTT)*Buildings_GridElectricity_Backend[[#This Row],[Converted data]]/1000)</f>
        <v/>
      </c>
      <c r="AJ369" s="210" t="str">
        <f>IF(Buildings_GridElectricity_Frontend[[#This Row],[Data]]="","",_xlfn.XLOOKUP(_xlfn.CONCAT(Buildings_GridElectricity_Backend[[#This Row],[Level 1]:[Level 6]]),rng_EFConcat,rng_EF3TD)*Buildings_GridElectricity_Backend[[#This Row],[Converted data]]/1000)</f>
        <v/>
      </c>
      <c r="AK369" s="210" t="str">
        <f>IF(Buildings_GridElectricity_Frontend[[#This Row],[Data]]="","",_xlfn.XLOOKUP(_xlfn.CONCAT(Buildings_GridElectricity_Backend[[#This Row],[Level 1]:[Level 6]]),rng_EFConcat,rng_EF3WTTTD)*Buildings_GridElectricity_Backend[[#This Row],[Converted data]]/1000)</f>
        <v/>
      </c>
      <c r="AL369" s="220" t="str">
        <f>IF(Buildings_GridElectricity_Frontend[[#This Row],[Data]]="","",SUM(Buildings_GridElectricity_Backend[[#This Row],[Scope 1 (tCO2e)]:[Scope 3 WTT T&amp;D (tCO2e)]]))</f>
        <v/>
      </c>
      <c r="AM369" s="220" t="str">
        <f>IF(Buildings_GridElectricity_Frontend[[#This Row],[Data]]="","",Buildings_GridElectricity_Backend[[#This Row],[Total (tCO2e)]]*(1-Buildings_GridElectricity_Backend[[#This Row],[RSD]]))</f>
        <v/>
      </c>
      <c r="AN369" s="220" t="str">
        <f>IF(Buildings_GridElectricity_Frontend[[#This Row],[Data]]="","",Buildings_GridElectricity_Backend[[#This Row],[Total (tCO2e)]]*(1+Buildings_GridElectricity_Backend[[#This Row],[RSD]]))</f>
        <v/>
      </c>
      <c r="AO369" s="210" t="str">
        <f>IF(Buildings_GridElectricity_Frontend[[#This Row],[Data]]="","",_xlfn.XLOOKUP(_xlfn.CONCAT(Buildings_GridElectricity_Backend[[#This Row],[Level 1]:[Level 6]]),rng_EFConcat,rng_EFOOS)*Buildings_GridElectricity_Backend[[#This Row],[Converted data]]/1000)</f>
        <v/>
      </c>
      <c r="AP369" s="174">
        <f>Buildings_GridElectricity_Frontend[[#This Row],[Ease of collection]]</f>
        <v>0</v>
      </c>
      <c r="AQ369" s="213">
        <f>Buildings_GridElectricity_Frontend[[#This Row],[Completeness]]</f>
        <v>0</v>
      </c>
      <c r="AR369" s="220">
        <f>Buildings_GridElectricity_Frontend[[#This Row],[Notes]]</f>
        <v>0</v>
      </c>
    </row>
    <row r="370" spans="5:44" x14ac:dyDescent="0.3">
      <c r="E370" s="346"/>
      <c r="F370" s="449"/>
      <c r="G370" s="336"/>
      <c r="H370" s="334"/>
      <c r="I370" s="172" t="s">
        <v>316</v>
      </c>
      <c r="J370" s="337"/>
      <c r="K370" s="336"/>
      <c r="L370" s="336"/>
      <c r="M370" s="337"/>
      <c r="N370" s="242">
        <f t="shared" si="13"/>
        <v>3</v>
      </c>
      <c r="Q370" s="212" t="str">
        <f t="shared" si="12"/>
        <v/>
      </c>
      <c r="R370" s="174" t="s">
        <v>265</v>
      </c>
      <c r="S370" s="174" t="s">
        <v>273</v>
      </c>
      <c r="T370" s="174" t="str">
        <f>_xlfn.XLOOKUP(Buildings_GridElectricity_Backend[[#This Row],[Info 1]],Buildings_SiteInfo[Site name],Buildings_SiteInfo[Site type], "")</f>
        <v/>
      </c>
      <c r="U370" s="174" t="s">
        <v>281</v>
      </c>
      <c r="V370" s="174" t="str" cm="1">
        <f t="array" aca="1" ref="V370" ca="1">_xlfn.XLOOKUP(Buildings_GridElectricity_Backend[[#This Row],[Level 4]],rng_Level4Long,rng_Level5Long)</f>
        <v>Electricity</v>
      </c>
      <c r="W370" s="174" t="str" cm="1">
        <f t="array" aca="1" ref="W370" ca="1">_xlfn.XLOOKUP(Buildings_GridElectricity_Backend[[#This Row],[Level 4]],rng_Level4Long,rng_Level6Long)</f>
        <v>NaN</v>
      </c>
      <c r="X370" s="174">
        <f>Buildings_GridElectricity_Frontend[[#This Row],[Site Name]]</f>
        <v>0</v>
      </c>
      <c r="Y370" s="174">
        <f>Buildings_GridElectricity_Frontend[[#This Row],[Contracting]]</f>
        <v>0</v>
      </c>
      <c r="Z370" s="174">
        <f>Buildings_GridElectricity_Frontend[[#This Row],[Methodology]]</f>
        <v>0</v>
      </c>
      <c r="AA370" s="229" t="str" cm="1">
        <f t="array" ref="AA370">IF(Buildings_GridElectricity_Frontend[[#This Row],[Data]]="","",INDEX(_xlfn.SWITCH(Buildings_GridElectricity_Backend[[#This Row],[Methodology]],"Tier 1",rng_RSD1,"Tier 2",rng_RSD2,"Tier 3",rng_RSD3),MATCH(_xlfn.CONCAT(Buildings_GridElectricity_Backend[[#This Row],[Level 1]:[Level 6]]),rng_LevelsConcat,0)))</f>
        <v/>
      </c>
      <c r="AB370" s="220">
        <f>Buildings_GridElectricity_Frontend[[#This Row],[Data]]</f>
        <v>0</v>
      </c>
      <c r="AC370" s="174" t="str">
        <f>Buildings_GridElectricity_Frontend[[#This Row],[Units]]</f>
        <v>kWh</v>
      </c>
      <c r="AD370" s="218">
        <f>Buildings_GridElectricity_Frontend[[#This Row],[Data]]</f>
        <v>0</v>
      </c>
      <c r="AE370" s="174" t="str">
        <f>Buildings_GridElectricity_Frontend[[#This Row],[Units]]</f>
        <v>kWh</v>
      </c>
      <c r="AF370" s="210" t="str">
        <f>IF(Buildings_GridElectricity_Frontend[[#This Row],[Data]]="","",_xlfn.XLOOKUP(_xlfn.CONCAT(Buildings_GridElectricity_Backend[[#This Row],[Level 1]:[Level 6]]),rng_EFConcat,rng_EF1)*Buildings_GridElectricity_Backend[[#This Row],[Converted data]]/1000)</f>
        <v/>
      </c>
      <c r="AG370" s="210" t="str">
        <f>IF(Buildings_GridElectricity_Frontend[[#This Row],[Data]]="","",_xlfn.XLOOKUP(_xlfn.CONCAT(Buildings_GridElectricity_Backend[[#This Row],[Level 1]:[Level 6]]),rng_EFConcat,rng_EF2)*Buildings_GridElectricity_Backend[[#This Row],[Converted data]]/1000)</f>
        <v/>
      </c>
      <c r="AH370" s="210" t="str">
        <f>IF(Buildings_GridElectricity_Frontend[[#This Row],[Data]]="","",_xlfn.XLOOKUP(_xlfn.CONCAT(Buildings_GridElectricity_Backend[[#This Row],[Level 1]:[Level 6]]),rng_EFConcat,rng_EF3)*Buildings_GridElectricity_Backend[[#This Row],[Converted data]]/1000)</f>
        <v/>
      </c>
      <c r="AI370" s="210" t="str">
        <f>IF(Buildings_GridElectricity_Frontend[[#This Row],[Data]]="","",_xlfn.XLOOKUP(_xlfn.CONCAT(Buildings_GridElectricity_Backend[[#This Row],[Level 1]:[Level 6]]),rng_EFConcat,rng_EF3WTT)*Buildings_GridElectricity_Backend[[#This Row],[Converted data]]/1000)</f>
        <v/>
      </c>
      <c r="AJ370" s="210" t="str">
        <f>IF(Buildings_GridElectricity_Frontend[[#This Row],[Data]]="","",_xlfn.XLOOKUP(_xlfn.CONCAT(Buildings_GridElectricity_Backend[[#This Row],[Level 1]:[Level 6]]),rng_EFConcat,rng_EF3TD)*Buildings_GridElectricity_Backend[[#This Row],[Converted data]]/1000)</f>
        <v/>
      </c>
      <c r="AK370" s="210" t="str">
        <f>IF(Buildings_GridElectricity_Frontend[[#This Row],[Data]]="","",_xlfn.XLOOKUP(_xlfn.CONCAT(Buildings_GridElectricity_Backend[[#This Row],[Level 1]:[Level 6]]),rng_EFConcat,rng_EF3WTTTD)*Buildings_GridElectricity_Backend[[#This Row],[Converted data]]/1000)</f>
        <v/>
      </c>
      <c r="AL370" s="220" t="str">
        <f>IF(Buildings_GridElectricity_Frontend[[#This Row],[Data]]="","",SUM(Buildings_GridElectricity_Backend[[#This Row],[Scope 1 (tCO2e)]:[Scope 3 WTT T&amp;D (tCO2e)]]))</f>
        <v/>
      </c>
      <c r="AM370" s="220" t="str">
        <f>IF(Buildings_GridElectricity_Frontend[[#This Row],[Data]]="","",Buildings_GridElectricity_Backend[[#This Row],[Total (tCO2e)]]*(1-Buildings_GridElectricity_Backend[[#This Row],[RSD]]))</f>
        <v/>
      </c>
      <c r="AN370" s="220" t="str">
        <f>IF(Buildings_GridElectricity_Frontend[[#This Row],[Data]]="","",Buildings_GridElectricity_Backend[[#This Row],[Total (tCO2e)]]*(1+Buildings_GridElectricity_Backend[[#This Row],[RSD]]))</f>
        <v/>
      </c>
      <c r="AO370" s="210" t="str">
        <f>IF(Buildings_GridElectricity_Frontend[[#This Row],[Data]]="","",_xlfn.XLOOKUP(_xlfn.CONCAT(Buildings_GridElectricity_Backend[[#This Row],[Level 1]:[Level 6]]),rng_EFConcat,rng_EFOOS)*Buildings_GridElectricity_Backend[[#This Row],[Converted data]]/1000)</f>
        <v/>
      </c>
      <c r="AP370" s="174">
        <f>Buildings_GridElectricity_Frontend[[#This Row],[Ease of collection]]</f>
        <v>0</v>
      </c>
      <c r="AQ370" s="213">
        <f>Buildings_GridElectricity_Frontend[[#This Row],[Completeness]]</f>
        <v>0</v>
      </c>
      <c r="AR370" s="220">
        <f>Buildings_GridElectricity_Frontend[[#This Row],[Notes]]</f>
        <v>0</v>
      </c>
    </row>
    <row r="371" spans="5:44" x14ac:dyDescent="0.3">
      <c r="E371" s="346"/>
      <c r="F371" s="449"/>
      <c r="G371" s="336"/>
      <c r="H371" s="334"/>
      <c r="I371" s="172" t="s">
        <v>316</v>
      </c>
      <c r="J371" s="337"/>
      <c r="K371" s="336"/>
      <c r="L371" s="336"/>
      <c r="M371" s="337"/>
      <c r="N371" s="242">
        <f t="shared" si="13"/>
        <v>3</v>
      </c>
      <c r="Q371" s="212" t="str">
        <f t="shared" si="12"/>
        <v/>
      </c>
      <c r="R371" s="174" t="s">
        <v>265</v>
      </c>
      <c r="S371" s="174" t="s">
        <v>273</v>
      </c>
      <c r="T371" s="174" t="str">
        <f>_xlfn.XLOOKUP(Buildings_GridElectricity_Backend[[#This Row],[Info 1]],Buildings_SiteInfo[Site name],Buildings_SiteInfo[Site type], "")</f>
        <v/>
      </c>
      <c r="U371" s="174" t="s">
        <v>281</v>
      </c>
      <c r="V371" s="174" t="str" cm="1">
        <f t="array" aca="1" ref="V371" ca="1">_xlfn.XLOOKUP(Buildings_GridElectricity_Backend[[#This Row],[Level 4]],rng_Level4Long,rng_Level5Long)</f>
        <v>Electricity</v>
      </c>
      <c r="W371" s="174" t="str" cm="1">
        <f t="array" aca="1" ref="W371" ca="1">_xlfn.XLOOKUP(Buildings_GridElectricity_Backend[[#This Row],[Level 4]],rng_Level4Long,rng_Level6Long)</f>
        <v>NaN</v>
      </c>
      <c r="X371" s="174">
        <f>Buildings_GridElectricity_Frontend[[#This Row],[Site Name]]</f>
        <v>0</v>
      </c>
      <c r="Y371" s="174">
        <f>Buildings_GridElectricity_Frontend[[#This Row],[Contracting]]</f>
        <v>0</v>
      </c>
      <c r="Z371" s="174">
        <f>Buildings_GridElectricity_Frontend[[#This Row],[Methodology]]</f>
        <v>0</v>
      </c>
      <c r="AA371" s="229" t="str" cm="1">
        <f t="array" ref="AA371">IF(Buildings_GridElectricity_Frontend[[#This Row],[Data]]="","",INDEX(_xlfn.SWITCH(Buildings_GridElectricity_Backend[[#This Row],[Methodology]],"Tier 1",rng_RSD1,"Tier 2",rng_RSD2,"Tier 3",rng_RSD3),MATCH(_xlfn.CONCAT(Buildings_GridElectricity_Backend[[#This Row],[Level 1]:[Level 6]]),rng_LevelsConcat,0)))</f>
        <v/>
      </c>
      <c r="AB371" s="220">
        <f>Buildings_GridElectricity_Frontend[[#This Row],[Data]]</f>
        <v>0</v>
      </c>
      <c r="AC371" s="174" t="str">
        <f>Buildings_GridElectricity_Frontend[[#This Row],[Units]]</f>
        <v>kWh</v>
      </c>
      <c r="AD371" s="218">
        <f>Buildings_GridElectricity_Frontend[[#This Row],[Data]]</f>
        <v>0</v>
      </c>
      <c r="AE371" s="174" t="str">
        <f>Buildings_GridElectricity_Frontend[[#This Row],[Units]]</f>
        <v>kWh</v>
      </c>
      <c r="AF371" s="210" t="str">
        <f>IF(Buildings_GridElectricity_Frontend[[#This Row],[Data]]="","",_xlfn.XLOOKUP(_xlfn.CONCAT(Buildings_GridElectricity_Backend[[#This Row],[Level 1]:[Level 6]]),rng_EFConcat,rng_EF1)*Buildings_GridElectricity_Backend[[#This Row],[Converted data]]/1000)</f>
        <v/>
      </c>
      <c r="AG371" s="210" t="str">
        <f>IF(Buildings_GridElectricity_Frontend[[#This Row],[Data]]="","",_xlfn.XLOOKUP(_xlfn.CONCAT(Buildings_GridElectricity_Backend[[#This Row],[Level 1]:[Level 6]]),rng_EFConcat,rng_EF2)*Buildings_GridElectricity_Backend[[#This Row],[Converted data]]/1000)</f>
        <v/>
      </c>
      <c r="AH371" s="210" t="str">
        <f>IF(Buildings_GridElectricity_Frontend[[#This Row],[Data]]="","",_xlfn.XLOOKUP(_xlfn.CONCAT(Buildings_GridElectricity_Backend[[#This Row],[Level 1]:[Level 6]]),rng_EFConcat,rng_EF3)*Buildings_GridElectricity_Backend[[#This Row],[Converted data]]/1000)</f>
        <v/>
      </c>
      <c r="AI371" s="210" t="str">
        <f>IF(Buildings_GridElectricity_Frontend[[#This Row],[Data]]="","",_xlfn.XLOOKUP(_xlfn.CONCAT(Buildings_GridElectricity_Backend[[#This Row],[Level 1]:[Level 6]]),rng_EFConcat,rng_EF3WTT)*Buildings_GridElectricity_Backend[[#This Row],[Converted data]]/1000)</f>
        <v/>
      </c>
      <c r="AJ371" s="210" t="str">
        <f>IF(Buildings_GridElectricity_Frontend[[#This Row],[Data]]="","",_xlfn.XLOOKUP(_xlfn.CONCAT(Buildings_GridElectricity_Backend[[#This Row],[Level 1]:[Level 6]]),rng_EFConcat,rng_EF3TD)*Buildings_GridElectricity_Backend[[#This Row],[Converted data]]/1000)</f>
        <v/>
      </c>
      <c r="AK371" s="210" t="str">
        <f>IF(Buildings_GridElectricity_Frontend[[#This Row],[Data]]="","",_xlfn.XLOOKUP(_xlfn.CONCAT(Buildings_GridElectricity_Backend[[#This Row],[Level 1]:[Level 6]]),rng_EFConcat,rng_EF3WTTTD)*Buildings_GridElectricity_Backend[[#This Row],[Converted data]]/1000)</f>
        <v/>
      </c>
      <c r="AL371" s="220" t="str">
        <f>IF(Buildings_GridElectricity_Frontend[[#This Row],[Data]]="","",SUM(Buildings_GridElectricity_Backend[[#This Row],[Scope 1 (tCO2e)]:[Scope 3 WTT T&amp;D (tCO2e)]]))</f>
        <v/>
      </c>
      <c r="AM371" s="220" t="str">
        <f>IF(Buildings_GridElectricity_Frontend[[#This Row],[Data]]="","",Buildings_GridElectricity_Backend[[#This Row],[Total (tCO2e)]]*(1-Buildings_GridElectricity_Backend[[#This Row],[RSD]]))</f>
        <v/>
      </c>
      <c r="AN371" s="220" t="str">
        <f>IF(Buildings_GridElectricity_Frontend[[#This Row],[Data]]="","",Buildings_GridElectricity_Backend[[#This Row],[Total (tCO2e)]]*(1+Buildings_GridElectricity_Backend[[#This Row],[RSD]]))</f>
        <v/>
      </c>
      <c r="AO371" s="210" t="str">
        <f>IF(Buildings_GridElectricity_Frontend[[#This Row],[Data]]="","",_xlfn.XLOOKUP(_xlfn.CONCAT(Buildings_GridElectricity_Backend[[#This Row],[Level 1]:[Level 6]]),rng_EFConcat,rng_EFOOS)*Buildings_GridElectricity_Backend[[#This Row],[Converted data]]/1000)</f>
        <v/>
      </c>
      <c r="AP371" s="174">
        <f>Buildings_GridElectricity_Frontend[[#This Row],[Ease of collection]]</f>
        <v>0</v>
      </c>
      <c r="AQ371" s="213">
        <f>Buildings_GridElectricity_Frontend[[#This Row],[Completeness]]</f>
        <v>0</v>
      </c>
      <c r="AR371" s="220">
        <f>Buildings_GridElectricity_Frontend[[#This Row],[Notes]]</f>
        <v>0</v>
      </c>
    </row>
    <row r="372" spans="5:44" x14ac:dyDescent="0.3">
      <c r="E372" s="346"/>
      <c r="F372" s="449"/>
      <c r="G372" s="336"/>
      <c r="H372" s="334"/>
      <c r="I372" s="172" t="s">
        <v>316</v>
      </c>
      <c r="J372" s="337"/>
      <c r="K372" s="336"/>
      <c r="L372" s="336"/>
      <c r="M372" s="337"/>
      <c r="N372" s="242">
        <f t="shared" si="13"/>
        <v>3</v>
      </c>
      <c r="Q372" s="212" t="str">
        <f t="shared" si="12"/>
        <v/>
      </c>
      <c r="R372" s="174" t="s">
        <v>265</v>
      </c>
      <c r="S372" s="174" t="s">
        <v>273</v>
      </c>
      <c r="T372" s="174" t="str">
        <f>_xlfn.XLOOKUP(Buildings_GridElectricity_Backend[[#This Row],[Info 1]],Buildings_SiteInfo[Site name],Buildings_SiteInfo[Site type], "")</f>
        <v/>
      </c>
      <c r="U372" s="174" t="s">
        <v>281</v>
      </c>
      <c r="V372" s="174" t="str" cm="1">
        <f t="array" aca="1" ref="V372" ca="1">_xlfn.XLOOKUP(Buildings_GridElectricity_Backend[[#This Row],[Level 4]],rng_Level4Long,rng_Level5Long)</f>
        <v>Electricity</v>
      </c>
      <c r="W372" s="174" t="str" cm="1">
        <f t="array" aca="1" ref="W372" ca="1">_xlfn.XLOOKUP(Buildings_GridElectricity_Backend[[#This Row],[Level 4]],rng_Level4Long,rng_Level6Long)</f>
        <v>NaN</v>
      </c>
      <c r="X372" s="174">
        <f>Buildings_GridElectricity_Frontend[[#This Row],[Site Name]]</f>
        <v>0</v>
      </c>
      <c r="Y372" s="174">
        <f>Buildings_GridElectricity_Frontend[[#This Row],[Contracting]]</f>
        <v>0</v>
      </c>
      <c r="Z372" s="174">
        <f>Buildings_GridElectricity_Frontend[[#This Row],[Methodology]]</f>
        <v>0</v>
      </c>
      <c r="AA372" s="229" t="str" cm="1">
        <f t="array" ref="AA372">IF(Buildings_GridElectricity_Frontend[[#This Row],[Data]]="","",INDEX(_xlfn.SWITCH(Buildings_GridElectricity_Backend[[#This Row],[Methodology]],"Tier 1",rng_RSD1,"Tier 2",rng_RSD2,"Tier 3",rng_RSD3),MATCH(_xlfn.CONCAT(Buildings_GridElectricity_Backend[[#This Row],[Level 1]:[Level 6]]),rng_LevelsConcat,0)))</f>
        <v/>
      </c>
      <c r="AB372" s="220">
        <f>Buildings_GridElectricity_Frontend[[#This Row],[Data]]</f>
        <v>0</v>
      </c>
      <c r="AC372" s="174" t="str">
        <f>Buildings_GridElectricity_Frontend[[#This Row],[Units]]</f>
        <v>kWh</v>
      </c>
      <c r="AD372" s="218">
        <f>Buildings_GridElectricity_Frontend[[#This Row],[Data]]</f>
        <v>0</v>
      </c>
      <c r="AE372" s="174" t="str">
        <f>Buildings_GridElectricity_Frontend[[#This Row],[Units]]</f>
        <v>kWh</v>
      </c>
      <c r="AF372" s="210" t="str">
        <f>IF(Buildings_GridElectricity_Frontend[[#This Row],[Data]]="","",_xlfn.XLOOKUP(_xlfn.CONCAT(Buildings_GridElectricity_Backend[[#This Row],[Level 1]:[Level 6]]),rng_EFConcat,rng_EF1)*Buildings_GridElectricity_Backend[[#This Row],[Converted data]]/1000)</f>
        <v/>
      </c>
      <c r="AG372" s="210" t="str">
        <f>IF(Buildings_GridElectricity_Frontend[[#This Row],[Data]]="","",_xlfn.XLOOKUP(_xlfn.CONCAT(Buildings_GridElectricity_Backend[[#This Row],[Level 1]:[Level 6]]),rng_EFConcat,rng_EF2)*Buildings_GridElectricity_Backend[[#This Row],[Converted data]]/1000)</f>
        <v/>
      </c>
      <c r="AH372" s="210" t="str">
        <f>IF(Buildings_GridElectricity_Frontend[[#This Row],[Data]]="","",_xlfn.XLOOKUP(_xlfn.CONCAT(Buildings_GridElectricity_Backend[[#This Row],[Level 1]:[Level 6]]),rng_EFConcat,rng_EF3)*Buildings_GridElectricity_Backend[[#This Row],[Converted data]]/1000)</f>
        <v/>
      </c>
      <c r="AI372" s="210" t="str">
        <f>IF(Buildings_GridElectricity_Frontend[[#This Row],[Data]]="","",_xlfn.XLOOKUP(_xlfn.CONCAT(Buildings_GridElectricity_Backend[[#This Row],[Level 1]:[Level 6]]),rng_EFConcat,rng_EF3WTT)*Buildings_GridElectricity_Backend[[#This Row],[Converted data]]/1000)</f>
        <v/>
      </c>
      <c r="AJ372" s="210" t="str">
        <f>IF(Buildings_GridElectricity_Frontend[[#This Row],[Data]]="","",_xlfn.XLOOKUP(_xlfn.CONCAT(Buildings_GridElectricity_Backend[[#This Row],[Level 1]:[Level 6]]),rng_EFConcat,rng_EF3TD)*Buildings_GridElectricity_Backend[[#This Row],[Converted data]]/1000)</f>
        <v/>
      </c>
      <c r="AK372" s="210" t="str">
        <f>IF(Buildings_GridElectricity_Frontend[[#This Row],[Data]]="","",_xlfn.XLOOKUP(_xlfn.CONCAT(Buildings_GridElectricity_Backend[[#This Row],[Level 1]:[Level 6]]),rng_EFConcat,rng_EF3WTTTD)*Buildings_GridElectricity_Backend[[#This Row],[Converted data]]/1000)</f>
        <v/>
      </c>
      <c r="AL372" s="220" t="str">
        <f>IF(Buildings_GridElectricity_Frontend[[#This Row],[Data]]="","",SUM(Buildings_GridElectricity_Backend[[#This Row],[Scope 1 (tCO2e)]:[Scope 3 WTT T&amp;D (tCO2e)]]))</f>
        <v/>
      </c>
      <c r="AM372" s="220" t="str">
        <f>IF(Buildings_GridElectricity_Frontend[[#This Row],[Data]]="","",Buildings_GridElectricity_Backend[[#This Row],[Total (tCO2e)]]*(1-Buildings_GridElectricity_Backend[[#This Row],[RSD]]))</f>
        <v/>
      </c>
      <c r="AN372" s="220" t="str">
        <f>IF(Buildings_GridElectricity_Frontend[[#This Row],[Data]]="","",Buildings_GridElectricity_Backend[[#This Row],[Total (tCO2e)]]*(1+Buildings_GridElectricity_Backend[[#This Row],[RSD]]))</f>
        <v/>
      </c>
      <c r="AO372" s="210" t="str">
        <f>IF(Buildings_GridElectricity_Frontend[[#This Row],[Data]]="","",_xlfn.XLOOKUP(_xlfn.CONCAT(Buildings_GridElectricity_Backend[[#This Row],[Level 1]:[Level 6]]),rng_EFConcat,rng_EFOOS)*Buildings_GridElectricity_Backend[[#This Row],[Converted data]]/1000)</f>
        <v/>
      </c>
      <c r="AP372" s="174">
        <f>Buildings_GridElectricity_Frontend[[#This Row],[Ease of collection]]</f>
        <v>0</v>
      </c>
      <c r="AQ372" s="213">
        <f>Buildings_GridElectricity_Frontend[[#This Row],[Completeness]]</f>
        <v>0</v>
      </c>
      <c r="AR372" s="220">
        <f>Buildings_GridElectricity_Frontend[[#This Row],[Notes]]</f>
        <v>0</v>
      </c>
    </row>
    <row r="373" spans="5:44" x14ac:dyDescent="0.3">
      <c r="E373" s="346"/>
      <c r="F373" s="449"/>
      <c r="G373" s="336"/>
      <c r="H373" s="334"/>
      <c r="I373" s="172" t="s">
        <v>316</v>
      </c>
      <c r="J373" s="337"/>
      <c r="K373" s="336"/>
      <c r="L373" s="336"/>
      <c r="M373" s="337"/>
      <c r="N373" s="242">
        <f t="shared" si="13"/>
        <v>3</v>
      </c>
      <c r="Q373" s="212" t="str">
        <f t="shared" si="12"/>
        <v/>
      </c>
      <c r="R373" s="174" t="s">
        <v>265</v>
      </c>
      <c r="S373" s="174" t="s">
        <v>273</v>
      </c>
      <c r="T373" s="174" t="str">
        <f>_xlfn.XLOOKUP(Buildings_GridElectricity_Backend[[#This Row],[Info 1]],Buildings_SiteInfo[Site name],Buildings_SiteInfo[Site type], "")</f>
        <v/>
      </c>
      <c r="U373" s="174" t="s">
        <v>281</v>
      </c>
      <c r="V373" s="174" t="str" cm="1">
        <f t="array" aca="1" ref="V373" ca="1">_xlfn.XLOOKUP(Buildings_GridElectricity_Backend[[#This Row],[Level 4]],rng_Level4Long,rng_Level5Long)</f>
        <v>Electricity</v>
      </c>
      <c r="W373" s="174" t="str" cm="1">
        <f t="array" aca="1" ref="W373" ca="1">_xlfn.XLOOKUP(Buildings_GridElectricity_Backend[[#This Row],[Level 4]],rng_Level4Long,rng_Level6Long)</f>
        <v>NaN</v>
      </c>
      <c r="X373" s="174">
        <f>Buildings_GridElectricity_Frontend[[#This Row],[Site Name]]</f>
        <v>0</v>
      </c>
      <c r="Y373" s="174">
        <f>Buildings_GridElectricity_Frontend[[#This Row],[Contracting]]</f>
        <v>0</v>
      </c>
      <c r="Z373" s="174">
        <f>Buildings_GridElectricity_Frontend[[#This Row],[Methodology]]</f>
        <v>0</v>
      </c>
      <c r="AA373" s="229" t="str" cm="1">
        <f t="array" ref="AA373">IF(Buildings_GridElectricity_Frontend[[#This Row],[Data]]="","",INDEX(_xlfn.SWITCH(Buildings_GridElectricity_Backend[[#This Row],[Methodology]],"Tier 1",rng_RSD1,"Tier 2",rng_RSD2,"Tier 3",rng_RSD3),MATCH(_xlfn.CONCAT(Buildings_GridElectricity_Backend[[#This Row],[Level 1]:[Level 6]]),rng_LevelsConcat,0)))</f>
        <v/>
      </c>
      <c r="AB373" s="220">
        <f>Buildings_GridElectricity_Frontend[[#This Row],[Data]]</f>
        <v>0</v>
      </c>
      <c r="AC373" s="174" t="str">
        <f>Buildings_GridElectricity_Frontend[[#This Row],[Units]]</f>
        <v>kWh</v>
      </c>
      <c r="AD373" s="218">
        <f>Buildings_GridElectricity_Frontend[[#This Row],[Data]]</f>
        <v>0</v>
      </c>
      <c r="AE373" s="174" t="str">
        <f>Buildings_GridElectricity_Frontend[[#This Row],[Units]]</f>
        <v>kWh</v>
      </c>
      <c r="AF373" s="210" t="str">
        <f>IF(Buildings_GridElectricity_Frontend[[#This Row],[Data]]="","",_xlfn.XLOOKUP(_xlfn.CONCAT(Buildings_GridElectricity_Backend[[#This Row],[Level 1]:[Level 6]]),rng_EFConcat,rng_EF1)*Buildings_GridElectricity_Backend[[#This Row],[Converted data]]/1000)</f>
        <v/>
      </c>
      <c r="AG373" s="210" t="str">
        <f>IF(Buildings_GridElectricity_Frontend[[#This Row],[Data]]="","",_xlfn.XLOOKUP(_xlfn.CONCAT(Buildings_GridElectricity_Backend[[#This Row],[Level 1]:[Level 6]]),rng_EFConcat,rng_EF2)*Buildings_GridElectricity_Backend[[#This Row],[Converted data]]/1000)</f>
        <v/>
      </c>
      <c r="AH373" s="210" t="str">
        <f>IF(Buildings_GridElectricity_Frontend[[#This Row],[Data]]="","",_xlfn.XLOOKUP(_xlfn.CONCAT(Buildings_GridElectricity_Backend[[#This Row],[Level 1]:[Level 6]]),rng_EFConcat,rng_EF3)*Buildings_GridElectricity_Backend[[#This Row],[Converted data]]/1000)</f>
        <v/>
      </c>
      <c r="AI373" s="210" t="str">
        <f>IF(Buildings_GridElectricity_Frontend[[#This Row],[Data]]="","",_xlfn.XLOOKUP(_xlfn.CONCAT(Buildings_GridElectricity_Backend[[#This Row],[Level 1]:[Level 6]]),rng_EFConcat,rng_EF3WTT)*Buildings_GridElectricity_Backend[[#This Row],[Converted data]]/1000)</f>
        <v/>
      </c>
      <c r="AJ373" s="210" t="str">
        <f>IF(Buildings_GridElectricity_Frontend[[#This Row],[Data]]="","",_xlfn.XLOOKUP(_xlfn.CONCAT(Buildings_GridElectricity_Backend[[#This Row],[Level 1]:[Level 6]]),rng_EFConcat,rng_EF3TD)*Buildings_GridElectricity_Backend[[#This Row],[Converted data]]/1000)</f>
        <v/>
      </c>
      <c r="AK373" s="210" t="str">
        <f>IF(Buildings_GridElectricity_Frontend[[#This Row],[Data]]="","",_xlfn.XLOOKUP(_xlfn.CONCAT(Buildings_GridElectricity_Backend[[#This Row],[Level 1]:[Level 6]]),rng_EFConcat,rng_EF3WTTTD)*Buildings_GridElectricity_Backend[[#This Row],[Converted data]]/1000)</f>
        <v/>
      </c>
      <c r="AL373" s="220" t="str">
        <f>IF(Buildings_GridElectricity_Frontend[[#This Row],[Data]]="","",SUM(Buildings_GridElectricity_Backend[[#This Row],[Scope 1 (tCO2e)]:[Scope 3 WTT T&amp;D (tCO2e)]]))</f>
        <v/>
      </c>
      <c r="AM373" s="220" t="str">
        <f>IF(Buildings_GridElectricity_Frontend[[#This Row],[Data]]="","",Buildings_GridElectricity_Backend[[#This Row],[Total (tCO2e)]]*(1-Buildings_GridElectricity_Backend[[#This Row],[RSD]]))</f>
        <v/>
      </c>
      <c r="AN373" s="220" t="str">
        <f>IF(Buildings_GridElectricity_Frontend[[#This Row],[Data]]="","",Buildings_GridElectricity_Backend[[#This Row],[Total (tCO2e)]]*(1+Buildings_GridElectricity_Backend[[#This Row],[RSD]]))</f>
        <v/>
      </c>
      <c r="AO373" s="210" t="str">
        <f>IF(Buildings_GridElectricity_Frontend[[#This Row],[Data]]="","",_xlfn.XLOOKUP(_xlfn.CONCAT(Buildings_GridElectricity_Backend[[#This Row],[Level 1]:[Level 6]]),rng_EFConcat,rng_EFOOS)*Buildings_GridElectricity_Backend[[#This Row],[Converted data]]/1000)</f>
        <v/>
      </c>
      <c r="AP373" s="174">
        <f>Buildings_GridElectricity_Frontend[[#This Row],[Ease of collection]]</f>
        <v>0</v>
      </c>
      <c r="AQ373" s="213">
        <f>Buildings_GridElectricity_Frontend[[#This Row],[Completeness]]</f>
        <v>0</v>
      </c>
      <c r="AR373" s="220">
        <f>Buildings_GridElectricity_Frontend[[#This Row],[Notes]]</f>
        <v>0</v>
      </c>
    </row>
    <row r="374" spans="5:44" x14ac:dyDescent="0.3">
      <c r="E374" s="346"/>
      <c r="F374" s="449"/>
      <c r="G374" s="336"/>
      <c r="H374" s="334"/>
      <c r="I374" s="172" t="s">
        <v>316</v>
      </c>
      <c r="J374" s="337"/>
      <c r="K374" s="336"/>
      <c r="L374" s="336"/>
      <c r="M374" s="337"/>
      <c r="N374" s="242">
        <f t="shared" si="13"/>
        <v>3</v>
      </c>
      <c r="Q374" s="212" t="str">
        <f t="shared" si="12"/>
        <v/>
      </c>
      <c r="R374" s="174" t="s">
        <v>265</v>
      </c>
      <c r="S374" s="174" t="s">
        <v>273</v>
      </c>
      <c r="T374" s="174" t="str">
        <f>_xlfn.XLOOKUP(Buildings_GridElectricity_Backend[[#This Row],[Info 1]],Buildings_SiteInfo[Site name],Buildings_SiteInfo[Site type], "")</f>
        <v/>
      </c>
      <c r="U374" s="174" t="s">
        <v>281</v>
      </c>
      <c r="V374" s="174" t="str" cm="1">
        <f t="array" aca="1" ref="V374" ca="1">_xlfn.XLOOKUP(Buildings_GridElectricity_Backend[[#This Row],[Level 4]],rng_Level4Long,rng_Level5Long)</f>
        <v>Electricity</v>
      </c>
      <c r="W374" s="174" t="str" cm="1">
        <f t="array" aca="1" ref="W374" ca="1">_xlfn.XLOOKUP(Buildings_GridElectricity_Backend[[#This Row],[Level 4]],rng_Level4Long,rng_Level6Long)</f>
        <v>NaN</v>
      </c>
      <c r="X374" s="174">
        <f>Buildings_GridElectricity_Frontend[[#This Row],[Site Name]]</f>
        <v>0</v>
      </c>
      <c r="Y374" s="174">
        <f>Buildings_GridElectricity_Frontend[[#This Row],[Contracting]]</f>
        <v>0</v>
      </c>
      <c r="Z374" s="174">
        <f>Buildings_GridElectricity_Frontend[[#This Row],[Methodology]]</f>
        <v>0</v>
      </c>
      <c r="AA374" s="229" t="str" cm="1">
        <f t="array" ref="AA374">IF(Buildings_GridElectricity_Frontend[[#This Row],[Data]]="","",INDEX(_xlfn.SWITCH(Buildings_GridElectricity_Backend[[#This Row],[Methodology]],"Tier 1",rng_RSD1,"Tier 2",rng_RSD2,"Tier 3",rng_RSD3),MATCH(_xlfn.CONCAT(Buildings_GridElectricity_Backend[[#This Row],[Level 1]:[Level 6]]),rng_LevelsConcat,0)))</f>
        <v/>
      </c>
      <c r="AB374" s="220">
        <f>Buildings_GridElectricity_Frontend[[#This Row],[Data]]</f>
        <v>0</v>
      </c>
      <c r="AC374" s="174" t="str">
        <f>Buildings_GridElectricity_Frontend[[#This Row],[Units]]</f>
        <v>kWh</v>
      </c>
      <c r="AD374" s="218">
        <f>Buildings_GridElectricity_Frontend[[#This Row],[Data]]</f>
        <v>0</v>
      </c>
      <c r="AE374" s="174" t="str">
        <f>Buildings_GridElectricity_Frontend[[#This Row],[Units]]</f>
        <v>kWh</v>
      </c>
      <c r="AF374" s="210" t="str">
        <f>IF(Buildings_GridElectricity_Frontend[[#This Row],[Data]]="","",_xlfn.XLOOKUP(_xlfn.CONCAT(Buildings_GridElectricity_Backend[[#This Row],[Level 1]:[Level 6]]),rng_EFConcat,rng_EF1)*Buildings_GridElectricity_Backend[[#This Row],[Converted data]]/1000)</f>
        <v/>
      </c>
      <c r="AG374" s="210" t="str">
        <f>IF(Buildings_GridElectricity_Frontend[[#This Row],[Data]]="","",_xlfn.XLOOKUP(_xlfn.CONCAT(Buildings_GridElectricity_Backend[[#This Row],[Level 1]:[Level 6]]),rng_EFConcat,rng_EF2)*Buildings_GridElectricity_Backend[[#This Row],[Converted data]]/1000)</f>
        <v/>
      </c>
      <c r="AH374" s="210" t="str">
        <f>IF(Buildings_GridElectricity_Frontend[[#This Row],[Data]]="","",_xlfn.XLOOKUP(_xlfn.CONCAT(Buildings_GridElectricity_Backend[[#This Row],[Level 1]:[Level 6]]),rng_EFConcat,rng_EF3)*Buildings_GridElectricity_Backend[[#This Row],[Converted data]]/1000)</f>
        <v/>
      </c>
      <c r="AI374" s="210" t="str">
        <f>IF(Buildings_GridElectricity_Frontend[[#This Row],[Data]]="","",_xlfn.XLOOKUP(_xlfn.CONCAT(Buildings_GridElectricity_Backend[[#This Row],[Level 1]:[Level 6]]),rng_EFConcat,rng_EF3WTT)*Buildings_GridElectricity_Backend[[#This Row],[Converted data]]/1000)</f>
        <v/>
      </c>
      <c r="AJ374" s="210" t="str">
        <f>IF(Buildings_GridElectricity_Frontend[[#This Row],[Data]]="","",_xlfn.XLOOKUP(_xlfn.CONCAT(Buildings_GridElectricity_Backend[[#This Row],[Level 1]:[Level 6]]),rng_EFConcat,rng_EF3TD)*Buildings_GridElectricity_Backend[[#This Row],[Converted data]]/1000)</f>
        <v/>
      </c>
      <c r="AK374" s="210" t="str">
        <f>IF(Buildings_GridElectricity_Frontend[[#This Row],[Data]]="","",_xlfn.XLOOKUP(_xlfn.CONCAT(Buildings_GridElectricity_Backend[[#This Row],[Level 1]:[Level 6]]),rng_EFConcat,rng_EF3WTTTD)*Buildings_GridElectricity_Backend[[#This Row],[Converted data]]/1000)</f>
        <v/>
      </c>
      <c r="AL374" s="220" t="str">
        <f>IF(Buildings_GridElectricity_Frontend[[#This Row],[Data]]="","",SUM(Buildings_GridElectricity_Backend[[#This Row],[Scope 1 (tCO2e)]:[Scope 3 WTT T&amp;D (tCO2e)]]))</f>
        <v/>
      </c>
      <c r="AM374" s="220" t="str">
        <f>IF(Buildings_GridElectricity_Frontend[[#This Row],[Data]]="","",Buildings_GridElectricity_Backend[[#This Row],[Total (tCO2e)]]*(1-Buildings_GridElectricity_Backend[[#This Row],[RSD]]))</f>
        <v/>
      </c>
      <c r="AN374" s="220" t="str">
        <f>IF(Buildings_GridElectricity_Frontend[[#This Row],[Data]]="","",Buildings_GridElectricity_Backend[[#This Row],[Total (tCO2e)]]*(1+Buildings_GridElectricity_Backend[[#This Row],[RSD]]))</f>
        <v/>
      </c>
      <c r="AO374" s="210" t="str">
        <f>IF(Buildings_GridElectricity_Frontend[[#This Row],[Data]]="","",_xlfn.XLOOKUP(_xlfn.CONCAT(Buildings_GridElectricity_Backend[[#This Row],[Level 1]:[Level 6]]),rng_EFConcat,rng_EFOOS)*Buildings_GridElectricity_Backend[[#This Row],[Converted data]]/1000)</f>
        <v/>
      </c>
      <c r="AP374" s="174">
        <f>Buildings_GridElectricity_Frontend[[#This Row],[Ease of collection]]</f>
        <v>0</v>
      </c>
      <c r="AQ374" s="213">
        <f>Buildings_GridElectricity_Frontend[[#This Row],[Completeness]]</f>
        <v>0</v>
      </c>
      <c r="AR374" s="220">
        <f>Buildings_GridElectricity_Frontend[[#This Row],[Notes]]</f>
        <v>0</v>
      </c>
    </row>
    <row r="375" spans="5:44" x14ac:dyDescent="0.3">
      <c r="E375" s="346"/>
      <c r="F375" s="449"/>
      <c r="G375" s="336"/>
      <c r="H375" s="334"/>
      <c r="I375" s="172" t="s">
        <v>316</v>
      </c>
      <c r="J375" s="337"/>
      <c r="K375" s="336"/>
      <c r="L375" s="336"/>
      <c r="M375" s="337"/>
      <c r="N375" s="242">
        <f t="shared" si="13"/>
        <v>3</v>
      </c>
      <c r="Q375" s="212" t="str">
        <f t="shared" si="12"/>
        <v/>
      </c>
      <c r="R375" s="174" t="s">
        <v>265</v>
      </c>
      <c r="S375" s="174" t="s">
        <v>273</v>
      </c>
      <c r="T375" s="174" t="str">
        <f>_xlfn.XLOOKUP(Buildings_GridElectricity_Backend[[#This Row],[Info 1]],Buildings_SiteInfo[Site name],Buildings_SiteInfo[Site type], "")</f>
        <v/>
      </c>
      <c r="U375" s="174" t="s">
        <v>281</v>
      </c>
      <c r="V375" s="174" t="str" cm="1">
        <f t="array" aca="1" ref="V375" ca="1">_xlfn.XLOOKUP(Buildings_GridElectricity_Backend[[#This Row],[Level 4]],rng_Level4Long,rng_Level5Long)</f>
        <v>Electricity</v>
      </c>
      <c r="W375" s="174" t="str" cm="1">
        <f t="array" aca="1" ref="W375" ca="1">_xlfn.XLOOKUP(Buildings_GridElectricity_Backend[[#This Row],[Level 4]],rng_Level4Long,rng_Level6Long)</f>
        <v>NaN</v>
      </c>
      <c r="X375" s="174">
        <f>Buildings_GridElectricity_Frontend[[#This Row],[Site Name]]</f>
        <v>0</v>
      </c>
      <c r="Y375" s="174">
        <f>Buildings_GridElectricity_Frontend[[#This Row],[Contracting]]</f>
        <v>0</v>
      </c>
      <c r="Z375" s="174">
        <f>Buildings_GridElectricity_Frontend[[#This Row],[Methodology]]</f>
        <v>0</v>
      </c>
      <c r="AA375" s="229" t="str" cm="1">
        <f t="array" ref="AA375">IF(Buildings_GridElectricity_Frontend[[#This Row],[Data]]="","",INDEX(_xlfn.SWITCH(Buildings_GridElectricity_Backend[[#This Row],[Methodology]],"Tier 1",rng_RSD1,"Tier 2",rng_RSD2,"Tier 3",rng_RSD3),MATCH(_xlfn.CONCAT(Buildings_GridElectricity_Backend[[#This Row],[Level 1]:[Level 6]]),rng_LevelsConcat,0)))</f>
        <v/>
      </c>
      <c r="AB375" s="220">
        <f>Buildings_GridElectricity_Frontend[[#This Row],[Data]]</f>
        <v>0</v>
      </c>
      <c r="AC375" s="174" t="str">
        <f>Buildings_GridElectricity_Frontend[[#This Row],[Units]]</f>
        <v>kWh</v>
      </c>
      <c r="AD375" s="218">
        <f>Buildings_GridElectricity_Frontend[[#This Row],[Data]]</f>
        <v>0</v>
      </c>
      <c r="AE375" s="174" t="str">
        <f>Buildings_GridElectricity_Frontend[[#This Row],[Units]]</f>
        <v>kWh</v>
      </c>
      <c r="AF375" s="210" t="str">
        <f>IF(Buildings_GridElectricity_Frontend[[#This Row],[Data]]="","",_xlfn.XLOOKUP(_xlfn.CONCAT(Buildings_GridElectricity_Backend[[#This Row],[Level 1]:[Level 6]]),rng_EFConcat,rng_EF1)*Buildings_GridElectricity_Backend[[#This Row],[Converted data]]/1000)</f>
        <v/>
      </c>
      <c r="AG375" s="210" t="str">
        <f>IF(Buildings_GridElectricity_Frontend[[#This Row],[Data]]="","",_xlfn.XLOOKUP(_xlfn.CONCAT(Buildings_GridElectricity_Backend[[#This Row],[Level 1]:[Level 6]]),rng_EFConcat,rng_EF2)*Buildings_GridElectricity_Backend[[#This Row],[Converted data]]/1000)</f>
        <v/>
      </c>
      <c r="AH375" s="210" t="str">
        <f>IF(Buildings_GridElectricity_Frontend[[#This Row],[Data]]="","",_xlfn.XLOOKUP(_xlfn.CONCAT(Buildings_GridElectricity_Backend[[#This Row],[Level 1]:[Level 6]]),rng_EFConcat,rng_EF3)*Buildings_GridElectricity_Backend[[#This Row],[Converted data]]/1000)</f>
        <v/>
      </c>
      <c r="AI375" s="210" t="str">
        <f>IF(Buildings_GridElectricity_Frontend[[#This Row],[Data]]="","",_xlfn.XLOOKUP(_xlfn.CONCAT(Buildings_GridElectricity_Backend[[#This Row],[Level 1]:[Level 6]]),rng_EFConcat,rng_EF3WTT)*Buildings_GridElectricity_Backend[[#This Row],[Converted data]]/1000)</f>
        <v/>
      </c>
      <c r="AJ375" s="210" t="str">
        <f>IF(Buildings_GridElectricity_Frontend[[#This Row],[Data]]="","",_xlfn.XLOOKUP(_xlfn.CONCAT(Buildings_GridElectricity_Backend[[#This Row],[Level 1]:[Level 6]]),rng_EFConcat,rng_EF3TD)*Buildings_GridElectricity_Backend[[#This Row],[Converted data]]/1000)</f>
        <v/>
      </c>
      <c r="AK375" s="210" t="str">
        <f>IF(Buildings_GridElectricity_Frontend[[#This Row],[Data]]="","",_xlfn.XLOOKUP(_xlfn.CONCAT(Buildings_GridElectricity_Backend[[#This Row],[Level 1]:[Level 6]]),rng_EFConcat,rng_EF3WTTTD)*Buildings_GridElectricity_Backend[[#This Row],[Converted data]]/1000)</f>
        <v/>
      </c>
      <c r="AL375" s="220" t="str">
        <f>IF(Buildings_GridElectricity_Frontend[[#This Row],[Data]]="","",SUM(Buildings_GridElectricity_Backend[[#This Row],[Scope 1 (tCO2e)]:[Scope 3 WTT T&amp;D (tCO2e)]]))</f>
        <v/>
      </c>
      <c r="AM375" s="220" t="str">
        <f>IF(Buildings_GridElectricity_Frontend[[#This Row],[Data]]="","",Buildings_GridElectricity_Backend[[#This Row],[Total (tCO2e)]]*(1-Buildings_GridElectricity_Backend[[#This Row],[RSD]]))</f>
        <v/>
      </c>
      <c r="AN375" s="220" t="str">
        <f>IF(Buildings_GridElectricity_Frontend[[#This Row],[Data]]="","",Buildings_GridElectricity_Backend[[#This Row],[Total (tCO2e)]]*(1+Buildings_GridElectricity_Backend[[#This Row],[RSD]]))</f>
        <v/>
      </c>
      <c r="AO375" s="210" t="str">
        <f>IF(Buildings_GridElectricity_Frontend[[#This Row],[Data]]="","",_xlfn.XLOOKUP(_xlfn.CONCAT(Buildings_GridElectricity_Backend[[#This Row],[Level 1]:[Level 6]]),rng_EFConcat,rng_EFOOS)*Buildings_GridElectricity_Backend[[#This Row],[Converted data]]/1000)</f>
        <v/>
      </c>
      <c r="AP375" s="174">
        <f>Buildings_GridElectricity_Frontend[[#This Row],[Ease of collection]]</f>
        <v>0</v>
      </c>
      <c r="AQ375" s="213">
        <f>Buildings_GridElectricity_Frontend[[#This Row],[Completeness]]</f>
        <v>0</v>
      </c>
      <c r="AR375" s="220">
        <f>Buildings_GridElectricity_Frontend[[#This Row],[Notes]]</f>
        <v>0</v>
      </c>
    </row>
    <row r="376" spans="5:44" x14ac:dyDescent="0.3">
      <c r="E376" s="346"/>
      <c r="F376" s="449"/>
      <c r="G376" s="336"/>
      <c r="H376" s="334"/>
      <c r="I376" s="172" t="s">
        <v>316</v>
      </c>
      <c r="J376" s="337"/>
      <c r="K376" s="336"/>
      <c r="L376" s="336"/>
      <c r="M376" s="337"/>
      <c r="N376" s="242">
        <f t="shared" si="13"/>
        <v>3</v>
      </c>
      <c r="Q376" s="212" t="str">
        <f t="shared" si="12"/>
        <v/>
      </c>
      <c r="R376" s="174" t="s">
        <v>265</v>
      </c>
      <c r="S376" s="174" t="s">
        <v>273</v>
      </c>
      <c r="T376" s="174" t="str">
        <f>_xlfn.XLOOKUP(Buildings_GridElectricity_Backend[[#This Row],[Info 1]],Buildings_SiteInfo[Site name],Buildings_SiteInfo[Site type], "")</f>
        <v/>
      </c>
      <c r="U376" s="174" t="s">
        <v>281</v>
      </c>
      <c r="V376" s="174" t="str" cm="1">
        <f t="array" aca="1" ref="V376" ca="1">_xlfn.XLOOKUP(Buildings_GridElectricity_Backend[[#This Row],[Level 4]],rng_Level4Long,rng_Level5Long)</f>
        <v>Electricity</v>
      </c>
      <c r="W376" s="174" t="str" cm="1">
        <f t="array" aca="1" ref="W376" ca="1">_xlfn.XLOOKUP(Buildings_GridElectricity_Backend[[#This Row],[Level 4]],rng_Level4Long,rng_Level6Long)</f>
        <v>NaN</v>
      </c>
      <c r="X376" s="174">
        <f>Buildings_GridElectricity_Frontend[[#This Row],[Site Name]]</f>
        <v>0</v>
      </c>
      <c r="Y376" s="174">
        <f>Buildings_GridElectricity_Frontend[[#This Row],[Contracting]]</f>
        <v>0</v>
      </c>
      <c r="Z376" s="174">
        <f>Buildings_GridElectricity_Frontend[[#This Row],[Methodology]]</f>
        <v>0</v>
      </c>
      <c r="AA376" s="229" t="str" cm="1">
        <f t="array" ref="AA376">IF(Buildings_GridElectricity_Frontend[[#This Row],[Data]]="","",INDEX(_xlfn.SWITCH(Buildings_GridElectricity_Backend[[#This Row],[Methodology]],"Tier 1",rng_RSD1,"Tier 2",rng_RSD2,"Tier 3",rng_RSD3),MATCH(_xlfn.CONCAT(Buildings_GridElectricity_Backend[[#This Row],[Level 1]:[Level 6]]),rng_LevelsConcat,0)))</f>
        <v/>
      </c>
      <c r="AB376" s="220">
        <f>Buildings_GridElectricity_Frontend[[#This Row],[Data]]</f>
        <v>0</v>
      </c>
      <c r="AC376" s="174" t="str">
        <f>Buildings_GridElectricity_Frontend[[#This Row],[Units]]</f>
        <v>kWh</v>
      </c>
      <c r="AD376" s="218">
        <f>Buildings_GridElectricity_Frontend[[#This Row],[Data]]</f>
        <v>0</v>
      </c>
      <c r="AE376" s="174" t="str">
        <f>Buildings_GridElectricity_Frontend[[#This Row],[Units]]</f>
        <v>kWh</v>
      </c>
      <c r="AF376" s="210" t="str">
        <f>IF(Buildings_GridElectricity_Frontend[[#This Row],[Data]]="","",_xlfn.XLOOKUP(_xlfn.CONCAT(Buildings_GridElectricity_Backend[[#This Row],[Level 1]:[Level 6]]),rng_EFConcat,rng_EF1)*Buildings_GridElectricity_Backend[[#This Row],[Converted data]]/1000)</f>
        <v/>
      </c>
      <c r="AG376" s="210" t="str">
        <f>IF(Buildings_GridElectricity_Frontend[[#This Row],[Data]]="","",_xlfn.XLOOKUP(_xlfn.CONCAT(Buildings_GridElectricity_Backend[[#This Row],[Level 1]:[Level 6]]),rng_EFConcat,rng_EF2)*Buildings_GridElectricity_Backend[[#This Row],[Converted data]]/1000)</f>
        <v/>
      </c>
      <c r="AH376" s="210" t="str">
        <f>IF(Buildings_GridElectricity_Frontend[[#This Row],[Data]]="","",_xlfn.XLOOKUP(_xlfn.CONCAT(Buildings_GridElectricity_Backend[[#This Row],[Level 1]:[Level 6]]),rng_EFConcat,rng_EF3)*Buildings_GridElectricity_Backend[[#This Row],[Converted data]]/1000)</f>
        <v/>
      </c>
      <c r="AI376" s="210" t="str">
        <f>IF(Buildings_GridElectricity_Frontend[[#This Row],[Data]]="","",_xlfn.XLOOKUP(_xlfn.CONCAT(Buildings_GridElectricity_Backend[[#This Row],[Level 1]:[Level 6]]),rng_EFConcat,rng_EF3WTT)*Buildings_GridElectricity_Backend[[#This Row],[Converted data]]/1000)</f>
        <v/>
      </c>
      <c r="AJ376" s="210" t="str">
        <f>IF(Buildings_GridElectricity_Frontend[[#This Row],[Data]]="","",_xlfn.XLOOKUP(_xlfn.CONCAT(Buildings_GridElectricity_Backend[[#This Row],[Level 1]:[Level 6]]),rng_EFConcat,rng_EF3TD)*Buildings_GridElectricity_Backend[[#This Row],[Converted data]]/1000)</f>
        <v/>
      </c>
      <c r="AK376" s="210" t="str">
        <f>IF(Buildings_GridElectricity_Frontend[[#This Row],[Data]]="","",_xlfn.XLOOKUP(_xlfn.CONCAT(Buildings_GridElectricity_Backend[[#This Row],[Level 1]:[Level 6]]),rng_EFConcat,rng_EF3WTTTD)*Buildings_GridElectricity_Backend[[#This Row],[Converted data]]/1000)</f>
        <v/>
      </c>
      <c r="AL376" s="220" t="str">
        <f>IF(Buildings_GridElectricity_Frontend[[#This Row],[Data]]="","",SUM(Buildings_GridElectricity_Backend[[#This Row],[Scope 1 (tCO2e)]:[Scope 3 WTT T&amp;D (tCO2e)]]))</f>
        <v/>
      </c>
      <c r="AM376" s="220" t="str">
        <f>IF(Buildings_GridElectricity_Frontend[[#This Row],[Data]]="","",Buildings_GridElectricity_Backend[[#This Row],[Total (tCO2e)]]*(1-Buildings_GridElectricity_Backend[[#This Row],[RSD]]))</f>
        <v/>
      </c>
      <c r="AN376" s="220" t="str">
        <f>IF(Buildings_GridElectricity_Frontend[[#This Row],[Data]]="","",Buildings_GridElectricity_Backend[[#This Row],[Total (tCO2e)]]*(1+Buildings_GridElectricity_Backend[[#This Row],[RSD]]))</f>
        <v/>
      </c>
      <c r="AO376" s="210" t="str">
        <f>IF(Buildings_GridElectricity_Frontend[[#This Row],[Data]]="","",_xlfn.XLOOKUP(_xlfn.CONCAT(Buildings_GridElectricity_Backend[[#This Row],[Level 1]:[Level 6]]),rng_EFConcat,rng_EFOOS)*Buildings_GridElectricity_Backend[[#This Row],[Converted data]]/1000)</f>
        <v/>
      </c>
      <c r="AP376" s="174">
        <f>Buildings_GridElectricity_Frontend[[#This Row],[Ease of collection]]</f>
        <v>0</v>
      </c>
      <c r="AQ376" s="213">
        <f>Buildings_GridElectricity_Frontend[[#This Row],[Completeness]]</f>
        <v>0</v>
      </c>
      <c r="AR376" s="220">
        <f>Buildings_GridElectricity_Frontend[[#This Row],[Notes]]</f>
        <v>0</v>
      </c>
    </row>
    <row r="377" spans="5:44" x14ac:dyDescent="0.3">
      <c r="E377" s="346"/>
      <c r="F377" s="449"/>
      <c r="G377" s="336"/>
      <c r="H377" s="334"/>
      <c r="I377" s="172" t="s">
        <v>316</v>
      </c>
      <c r="J377" s="337"/>
      <c r="K377" s="336"/>
      <c r="L377" s="336"/>
      <c r="M377" s="337"/>
      <c r="N377" s="242">
        <f t="shared" si="13"/>
        <v>3</v>
      </c>
      <c r="Q377" s="212" t="str">
        <f t="shared" si="12"/>
        <v/>
      </c>
      <c r="R377" s="174" t="s">
        <v>265</v>
      </c>
      <c r="S377" s="174" t="s">
        <v>273</v>
      </c>
      <c r="T377" s="174" t="str">
        <f>_xlfn.XLOOKUP(Buildings_GridElectricity_Backend[[#This Row],[Info 1]],Buildings_SiteInfo[Site name],Buildings_SiteInfo[Site type], "")</f>
        <v/>
      </c>
      <c r="U377" s="174" t="s">
        <v>281</v>
      </c>
      <c r="V377" s="174" t="str" cm="1">
        <f t="array" aca="1" ref="V377" ca="1">_xlfn.XLOOKUP(Buildings_GridElectricity_Backend[[#This Row],[Level 4]],rng_Level4Long,rng_Level5Long)</f>
        <v>Electricity</v>
      </c>
      <c r="W377" s="174" t="str" cm="1">
        <f t="array" aca="1" ref="W377" ca="1">_xlfn.XLOOKUP(Buildings_GridElectricity_Backend[[#This Row],[Level 4]],rng_Level4Long,rng_Level6Long)</f>
        <v>NaN</v>
      </c>
      <c r="X377" s="174">
        <f>Buildings_GridElectricity_Frontend[[#This Row],[Site Name]]</f>
        <v>0</v>
      </c>
      <c r="Y377" s="174">
        <f>Buildings_GridElectricity_Frontend[[#This Row],[Contracting]]</f>
        <v>0</v>
      </c>
      <c r="Z377" s="174">
        <f>Buildings_GridElectricity_Frontend[[#This Row],[Methodology]]</f>
        <v>0</v>
      </c>
      <c r="AA377" s="229" t="str" cm="1">
        <f t="array" ref="AA377">IF(Buildings_GridElectricity_Frontend[[#This Row],[Data]]="","",INDEX(_xlfn.SWITCH(Buildings_GridElectricity_Backend[[#This Row],[Methodology]],"Tier 1",rng_RSD1,"Tier 2",rng_RSD2,"Tier 3",rng_RSD3),MATCH(_xlfn.CONCAT(Buildings_GridElectricity_Backend[[#This Row],[Level 1]:[Level 6]]),rng_LevelsConcat,0)))</f>
        <v/>
      </c>
      <c r="AB377" s="220">
        <f>Buildings_GridElectricity_Frontend[[#This Row],[Data]]</f>
        <v>0</v>
      </c>
      <c r="AC377" s="174" t="str">
        <f>Buildings_GridElectricity_Frontend[[#This Row],[Units]]</f>
        <v>kWh</v>
      </c>
      <c r="AD377" s="218">
        <f>Buildings_GridElectricity_Frontend[[#This Row],[Data]]</f>
        <v>0</v>
      </c>
      <c r="AE377" s="174" t="str">
        <f>Buildings_GridElectricity_Frontend[[#This Row],[Units]]</f>
        <v>kWh</v>
      </c>
      <c r="AF377" s="210" t="str">
        <f>IF(Buildings_GridElectricity_Frontend[[#This Row],[Data]]="","",_xlfn.XLOOKUP(_xlfn.CONCAT(Buildings_GridElectricity_Backend[[#This Row],[Level 1]:[Level 6]]),rng_EFConcat,rng_EF1)*Buildings_GridElectricity_Backend[[#This Row],[Converted data]]/1000)</f>
        <v/>
      </c>
      <c r="AG377" s="210" t="str">
        <f>IF(Buildings_GridElectricity_Frontend[[#This Row],[Data]]="","",_xlfn.XLOOKUP(_xlfn.CONCAT(Buildings_GridElectricity_Backend[[#This Row],[Level 1]:[Level 6]]),rng_EFConcat,rng_EF2)*Buildings_GridElectricity_Backend[[#This Row],[Converted data]]/1000)</f>
        <v/>
      </c>
      <c r="AH377" s="210" t="str">
        <f>IF(Buildings_GridElectricity_Frontend[[#This Row],[Data]]="","",_xlfn.XLOOKUP(_xlfn.CONCAT(Buildings_GridElectricity_Backend[[#This Row],[Level 1]:[Level 6]]),rng_EFConcat,rng_EF3)*Buildings_GridElectricity_Backend[[#This Row],[Converted data]]/1000)</f>
        <v/>
      </c>
      <c r="AI377" s="210" t="str">
        <f>IF(Buildings_GridElectricity_Frontend[[#This Row],[Data]]="","",_xlfn.XLOOKUP(_xlfn.CONCAT(Buildings_GridElectricity_Backend[[#This Row],[Level 1]:[Level 6]]),rng_EFConcat,rng_EF3WTT)*Buildings_GridElectricity_Backend[[#This Row],[Converted data]]/1000)</f>
        <v/>
      </c>
      <c r="AJ377" s="210" t="str">
        <f>IF(Buildings_GridElectricity_Frontend[[#This Row],[Data]]="","",_xlfn.XLOOKUP(_xlfn.CONCAT(Buildings_GridElectricity_Backend[[#This Row],[Level 1]:[Level 6]]),rng_EFConcat,rng_EF3TD)*Buildings_GridElectricity_Backend[[#This Row],[Converted data]]/1000)</f>
        <v/>
      </c>
      <c r="AK377" s="210" t="str">
        <f>IF(Buildings_GridElectricity_Frontend[[#This Row],[Data]]="","",_xlfn.XLOOKUP(_xlfn.CONCAT(Buildings_GridElectricity_Backend[[#This Row],[Level 1]:[Level 6]]),rng_EFConcat,rng_EF3WTTTD)*Buildings_GridElectricity_Backend[[#This Row],[Converted data]]/1000)</f>
        <v/>
      </c>
      <c r="AL377" s="220" t="str">
        <f>IF(Buildings_GridElectricity_Frontend[[#This Row],[Data]]="","",SUM(Buildings_GridElectricity_Backend[[#This Row],[Scope 1 (tCO2e)]:[Scope 3 WTT T&amp;D (tCO2e)]]))</f>
        <v/>
      </c>
      <c r="AM377" s="220" t="str">
        <f>IF(Buildings_GridElectricity_Frontend[[#This Row],[Data]]="","",Buildings_GridElectricity_Backend[[#This Row],[Total (tCO2e)]]*(1-Buildings_GridElectricity_Backend[[#This Row],[RSD]]))</f>
        <v/>
      </c>
      <c r="AN377" s="220" t="str">
        <f>IF(Buildings_GridElectricity_Frontend[[#This Row],[Data]]="","",Buildings_GridElectricity_Backend[[#This Row],[Total (tCO2e)]]*(1+Buildings_GridElectricity_Backend[[#This Row],[RSD]]))</f>
        <v/>
      </c>
      <c r="AO377" s="210" t="str">
        <f>IF(Buildings_GridElectricity_Frontend[[#This Row],[Data]]="","",_xlfn.XLOOKUP(_xlfn.CONCAT(Buildings_GridElectricity_Backend[[#This Row],[Level 1]:[Level 6]]),rng_EFConcat,rng_EFOOS)*Buildings_GridElectricity_Backend[[#This Row],[Converted data]]/1000)</f>
        <v/>
      </c>
      <c r="AP377" s="174">
        <f>Buildings_GridElectricity_Frontend[[#This Row],[Ease of collection]]</f>
        <v>0</v>
      </c>
      <c r="AQ377" s="213">
        <f>Buildings_GridElectricity_Frontend[[#This Row],[Completeness]]</f>
        <v>0</v>
      </c>
      <c r="AR377" s="220">
        <f>Buildings_GridElectricity_Frontend[[#This Row],[Notes]]</f>
        <v>0</v>
      </c>
    </row>
    <row r="378" spans="5:44" x14ac:dyDescent="0.3">
      <c r="E378" s="346"/>
      <c r="F378" s="449"/>
      <c r="G378" s="336"/>
      <c r="H378" s="334"/>
      <c r="I378" s="172" t="s">
        <v>316</v>
      </c>
      <c r="J378" s="337"/>
      <c r="K378" s="336"/>
      <c r="L378" s="336"/>
      <c r="M378" s="337"/>
      <c r="N378" s="242">
        <f t="shared" si="13"/>
        <v>3</v>
      </c>
      <c r="Q378" s="212" t="str">
        <f t="shared" si="12"/>
        <v/>
      </c>
      <c r="R378" s="174" t="s">
        <v>265</v>
      </c>
      <c r="S378" s="174" t="s">
        <v>273</v>
      </c>
      <c r="T378" s="174" t="str">
        <f>_xlfn.XLOOKUP(Buildings_GridElectricity_Backend[[#This Row],[Info 1]],Buildings_SiteInfo[Site name],Buildings_SiteInfo[Site type], "")</f>
        <v/>
      </c>
      <c r="U378" s="174" t="s">
        <v>281</v>
      </c>
      <c r="V378" s="174" t="str" cm="1">
        <f t="array" aca="1" ref="V378" ca="1">_xlfn.XLOOKUP(Buildings_GridElectricity_Backend[[#This Row],[Level 4]],rng_Level4Long,rng_Level5Long)</f>
        <v>Electricity</v>
      </c>
      <c r="W378" s="174" t="str" cm="1">
        <f t="array" aca="1" ref="W378" ca="1">_xlfn.XLOOKUP(Buildings_GridElectricity_Backend[[#This Row],[Level 4]],rng_Level4Long,rng_Level6Long)</f>
        <v>NaN</v>
      </c>
      <c r="X378" s="174">
        <f>Buildings_GridElectricity_Frontend[[#This Row],[Site Name]]</f>
        <v>0</v>
      </c>
      <c r="Y378" s="174">
        <f>Buildings_GridElectricity_Frontend[[#This Row],[Contracting]]</f>
        <v>0</v>
      </c>
      <c r="Z378" s="174">
        <f>Buildings_GridElectricity_Frontend[[#This Row],[Methodology]]</f>
        <v>0</v>
      </c>
      <c r="AA378" s="229" t="str" cm="1">
        <f t="array" ref="AA378">IF(Buildings_GridElectricity_Frontend[[#This Row],[Data]]="","",INDEX(_xlfn.SWITCH(Buildings_GridElectricity_Backend[[#This Row],[Methodology]],"Tier 1",rng_RSD1,"Tier 2",rng_RSD2,"Tier 3",rng_RSD3),MATCH(_xlfn.CONCAT(Buildings_GridElectricity_Backend[[#This Row],[Level 1]:[Level 6]]),rng_LevelsConcat,0)))</f>
        <v/>
      </c>
      <c r="AB378" s="220">
        <f>Buildings_GridElectricity_Frontend[[#This Row],[Data]]</f>
        <v>0</v>
      </c>
      <c r="AC378" s="174" t="str">
        <f>Buildings_GridElectricity_Frontend[[#This Row],[Units]]</f>
        <v>kWh</v>
      </c>
      <c r="AD378" s="218">
        <f>Buildings_GridElectricity_Frontend[[#This Row],[Data]]</f>
        <v>0</v>
      </c>
      <c r="AE378" s="174" t="str">
        <f>Buildings_GridElectricity_Frontend[[#This Row],[Units]]</f>
        <v>kWh</v>
      </c>
      <c r="AF378" s="210" t="str">
        <f>IF(Buildings_GridElectricity_Frontend[[#This Row],[Data]]="","",_xlfn.XLOOKUP(_xlfn.CONCAT(Buildings_GridElectricity_Backend[[#This Row],[Level 1]:[Level 6]]),rng_EFConcat,rng_EF1)*Buildings_GridElectricity_Backend[[#This Row],[Converted data]]/1000)</f>
        <v/>
      </c>
      <c r="AG378" s="210" t="str">
        <f>IF(Buildings_GridElectricity_Frontend[[#This Row],[Data]]="","",_xlfn.XLOOKUP(_xlfn.CONCAT(Buildings_GridElectricity_Backend[[#This Row],[Level 1]:[Level 6]]),rng_EFConcat,rng_EF2)*Buildings_GridElectricity_Backend[[#This Row],[Converted data]]/1000)</f>
        <v/>
      </c>
      <c r="AH378" s="210" t="str">
        <f>IF(Buildings_GridElectricity_Frontend[[#This Row],[Data]]="","",_xlfn.XLOOKUP(_xlfn.CONCAT(Buildings_GridElectricity_Backend[[#This Row],[Level 1]:[Level 6]]),rng_EFConcat,rng_EF3)*Buildings_GridElectricity_Backend[[#This Row],[Converted data]]/1000)</f>
        <v/>
      </c>
      <c r="AI378" s="210" t="str">
        <f>IF(Buildings_GridElectricity_Frontend[[#This Row],[Data]]="","",_xlfn.XLOOKUP(_xlfn.CONCAT(Buildings_GridElectricity_Backend[[#This Row],[Level 1]:[Level 6]]),rng_EFConcat,rng_EF3WTT)*Buildings_GridElectricity_Backend[[#This Row],[Converted data]]/1000)</f>
        <v/>
      </c>
      <c r="AJ378" s="210" t="str">
        <f>IF(Buildings_GridElectricity_Frontend[[#This Row],[Data]]="","",_xlfn.XLOOKUP(_xlfn.CONCAT(Buildings_GridElectricity_Backend[[#This Row],[Level 1]:[Level 6]]),rng_EFConcat,rng_EF3TD)*Buildings_GridElectricity_Backend[[#This Row],[Converted data]]/1000)</f>
        <v/>
      </c>
      <c r="AK378" s="210" t="str">
        <f>IF(Buildings_GridElectricity_Frontend[[#This Row],[Data]]="","",_xlfn.XLOOKUP(_xlfn.CONCAT(Buildings_GridElectricity_Backend[[#This Row],[Level 1]:[Level 6]]),rng_EFConcat,rng_EF3WTTTD)*Buildings_GridElectricity_Backend[[#This Row],[Converted data]]/1000)</f>
        <v/>
      </c>
      <c r="AL378" s="220" t="str">
        <f>IF(Buildings_GridElectricity_Frontend[[#This Row],[Data]]="","",SUM(Buildings_GridElectricity_Backend[[#This Row],[Scope 1 (tCO2e)]:[Scope 3 WTT T&amp;D (tCO2e)]]))</f>
        <v/>
      </c>
      <c r="AM378" s="220" t="str">
        <f>IF(Buildings_GridElectricity_Frontend[[#This Row],[Data]]="","",Buildings_GridElectricity_Backend[[#This Row],[Total (tCO2e)]]*(1-Buildings_GridElectricity_Backend[[#This Row],[RSD]]))</f>
        <v/>
      </c>
      <c r="AN378" s="220" t="str">
        <f>IF(Buildings_GridElectricity_Frontend[[#This Row],[Data]]="","",Buildings_GridElectricity_Backend[[#This Row],[Total (tCO2e)]]*(1+Buildings_GridElectricity_Backend[[#This Row],[RSD]]))</f>
        <v/>
      </c>
      <c r="AO378" s="210" t="str">
        <f>IF(Buildings_GridElectricity_Frontend[[#This Row],[Data]]="","",_xlfn.XLOOKUP(_xlfn.CONCAT(Buildings_GridElectricity_Backend[[#This Row],[Level 1]:[Level 6]]),rng_EFConcat,rng_EFOOS)*Buildings_GridElectricity_Backend[[#This Row],[Converted data]]/1000)</f>
        <v/>
      </c>
      <c r="AP378" s="174">
        <f>Buildings_GridElectricity_Frontend[[#This Row],[Ease of collection]]</f>
        <v>0</v>
      </c>
      <c r="AQ378" s="213">
        <f>Buildings_GridElectricity_Frontend[[#This Row],[Completeness]]</f>
        <v>0</v>
      </c>
      <c r="AR378" s="220">
        <f>Buildings_GridElectricity_Frontend[[#This Row],[Notes]]</f>
        <v>0</v>
      </c>
    </row>
    <row r="379" spans="5:44" x14ac:dyDescent="0.3">
      <c r="E379" s="346"/>
      <c r="F379" s="449"/>
      <c r="G379" s="336"/>
      <c r="H379" s="334"/>
      <c r="I379" s="172" t="s">
        <v>316</v>
      </c>
      <c r="J379" s="337"/>
      <c r="K379" s="336"/>
      <c r="L379" s="336"/>
      <c r="M379" s="337"/>
      <c r="N379" s="242">
        <f t="shared" si="13"/>
        <v>3</v>
      </c>
      <c r="Q379" s="212" t="str">
        <f t="shared" si="12"/>
        <v/>
      </c>
      <c r="R379" s="174" t="s">
        <v>265</v>
      </c>
      <c r="S379" s="174" t="s">
        <v>273</v>
      </c>
      <c r="T379" s="174" t="str">
        <f>_xlfn.XLOOKUP(Buildings_GridElectricity_Backend[[#This Row],[Info 1]],Buildings_SiteInfo[Site name],Buildings_SiteInfo[Site type], "")</f>
        <v/>
      </c>
      <c r="U379" s="174" t="s">
        <v>281</v>
      </c>
      <c r="V379" s="174" t="str" cm="1">
        <f t="array" aca="1" ref="V379" ca="1">_xlfn.XLOOKUP(Buildings_GridElectricity_Backend[[#This Row],[Level 4]],rng_Level4Long,rng_Level5Long)</f>
        <v>Electricity</v>
      </c>
      <c r="W379" s="174" t="str" cm="1">
        <f t="array" aca="1" ref="W379" ca="1">_xlfn.XLOOKUP(Buildings_GridElectricity_Backend[[#This Row],[Level 4]],rng_Level4Long,rng_Level6Long)</f>
        <v>NaN</v>
      </c>
      <c r="X379" s="174">
        <f>Buildings_GridElectricity_Frontend[[#This Row],[Site Name]]</f>
        <v>0</v>
      </c>
      <c r="Y379" s="174">
        <f>Buildings_GridElectricity_Frontend[[#This Row],[Contracting]]</f>
        <v>0</v>
      </c>
      <c r="Z379" s="174">
        <f>Buildings_GridElectricity_Frontend[[#This Row],[Methodology]]</f>
        <v>0</v>
      </c>
      <c r="AA379" s="229" t="str" cm="1">
        <f t="array" ref="AA379">IF(Buildings_GridElectricity_Frontend[[#This Row],[Data]]="","",INDEX(_xlfn.SWITCH(Buildings_GridElectricity_Backend[[#This Row],[Methodology]],"Tier 1",rng_RSD1,"Tier 2",rng_RSD2,"Tier 3",rng_RSD3),MATCH(_xlfn.CONCAT(Buildings_GridElectricity_Backend[[#This Row],[Level 1]:[Level 6]]),rng_LevelsConcat,0)))</f>
        <v/>
      </c>
      <c r="AB379" s="220">
        <f>Buildings_GridElectricity_Frontend[[#This Row],[Data]]</f>
        <v>0</v>
      </c>
      <c r="AC379" s="174" t="str">
        <f>Buildings_GridElectricity_Frontend[[#This Row],[Units]]</f>
        <v>kWh</v>
      </c>
      <c r="AD379" s="218">
        <f>Buildings_GridElectricity_Frontend[[#This Row],[Data]]</f>
        <v>0</v>
      </c>
      <c r="AE379" s="174" t="str">
        <f>Buildings_GridElectricity_Frontend[[#This Row],[Units]]</f>
        <v>kWh</v>
      </c>
      <c r="AF379" s="210" t="str">
        <f>IF(Buildings_GridElectricity_Frontend[[#This Row],[Data]]="","",_xlfn.XLOOKUP(_xlfn.CONCAT(Buildings_GridElectricity_Backend[[#This Row],[Level 1]:[Level 6]]),rng_EFConcat,rng_EF1)*Buildings_GridElectricity_Backend[[#This Row],[Converted data]]/1000)</f>
        <v/>
      </c>
      <c r="AG379" s="210" t="str">
        <f>IF(Buildings_GridElectricity_Frontend[[#This Row],[Data]]="","",_xlfn.XLOOKUP(_xlfn.CONCAT(Buildings_GridElectricity_Backend[[#This Row],[Level 1]:[Level 6]]),rng_EFConcat,rng_EF2)*Buildings_GridElectricity_Backend[[#This Row],[Converted data]]/1000)</f>
        <v/>
      </c>
      <c r="AH379" s="210" t="str">
        <f>IF(Buildings_GridElectricity_Frontend[[#This Row],[Data]]="","",_xlfn.XLOOKUP(_xlfn.CONCAT(Buildings_GridElectricity_Backend[[#This Row],[Level 1]:[Level 6]]),rng_EFConcat,rng_EF3)*Buildings_GridElectricity_Backend[[#This Row],[Converted data]]/1000)</f>
        <v/>
      </c>
      <c r="AI379" s="210" t="str">
        <f>IF(Buildings_GridElectricity_Frontend[[#This Row],[Data]]="","",_xlfn.XLOOKUP(_xlfn.CONCAT(Buildings_GridElectricity_Backend[[#This Row],[Level 1]:[Level 6]]),rng_EFConcat,rng_EF3WTT)*Buildings_GridElectricity_Backend[[#This Row],[Converted data]]/1000)</f>
        <v/>
      </c>
      <c r="AJ379" s="210" t="str">
        <f>IF(Buildings_GridElectricity_Frontend[[#This Row],[Data]]="","",_xlfn.XLOOKUP(_xlfn.CONCAT(Buildings_GridElectricity_Backend[[#This Row],[Level 1]:[Level 6]]),rng_EFConcat,rng_EF3TD)*Buildings_GridElectricity_Backend[[#This Row],[Converted data]]/1000)</f>
        <v/>
      </c>
      <c r="AK379" s="210" t="str">
        <f>IF(Buildings_GridElectricity_Frontend[[#This Row],[Data]]="","",_xlfn.XLOOKUP(_xlfn.CONCAT(Buildings_GridElectricity_Backend[[#This Row],[Level 1]:[Level 6]]),rng_EFConcat,rng_EF3WTTTD)*Buildings_GridElectricity_Backend[[#This Row],[Converted data]]/1000)</f>
        <v/>
      </c>
      <c r="AL379" s="220" t="str">
        <f>IF(Buildings_GridElectricity_Frontend[[#This Row],[Data]]="","",SUM(Buildings_GridElectricity_Backend[[#This Row],[Scope 1 (tCO2e)]:[Scope 3 WTT T&amp;D (tCO2e)]]))</f>
        <v/>
      </c>
      <c r="AM379" s="220" t="str">
        <f>IF(Buildings_GridElectricity_Frontend[[#This Row],[Data]]="","",Buildings_GridElectricity_Backend[[#This Row],[Total (tCO2e)]]*(1-Buildings_GridElectricity_Backend[[#This Row],[RSD]]))</f>
        <v/>
      </c>
      <c r="AN379" s="220" t="str">
        <f>IF(Buildings_GridElectricity_Frontend[[#This Row],[Data]]="","",Buildings_GridElectricity_Backend[[#This Row],[Total (tCO2e)]]*(1+Buildings_GridElectricity_Backend[[#This Row],[RSD]]))</f>
        <v/>
      </c>
      <c r="AO379" s="210" t="str">
        <f>IF(Buildings_GridElectricity_Frontend[[#This Row],[Data]]="","",_xlfn.XLOOKUP(_xlfn.CONCAT(Buildings_GridElectricity_Backend[[#This Row],[Level 1]:[Level 6]]),rng_EFConcat,rng_EFOOS)*Buildings_GridElectricity_Backend[[#This Row],[Converted data]]/1000)</f>
        <v/>
      </c>
      <c r="AP379" s="174">
        <f>Buildings_GridElectricity_Frontend[[#This Row],[Ease of collection]]</f>
        <v>0</v>
      </c>
      <c r="AQ379" s="213">
        <f>Buildings_GridElectricity_Frontend[[#This Row],[Completeness]]</f>
        <v>0</v>
      </c>
      <c r="AR379" s="220">
        <f>Buildings_GridElectricity_Frontend[[#This Row],[Notes]]</f>
        <v>0</v>
      </c>
    </row>
    <row r="380" spans="5:44" x14ac:dyDescent="0.3">
      <c r="E380" s="346"/>
      <c r="F380" s="449"/>
      <c r="G380" s="336"/>
      <c r="H380" s="334"/>
      <c r="I380" s="172" t="s">
        <v>316</v>
      </c>
      <c r="J380" s="337"/>
      <c r="K380" s="336"/>
      <c r="L380" s="336"/>
      <c r="M380" s="337"/>
      <c r="N380" s="242">
        <f t="shared" si="13"/>
        <v>3</v>
      </c>
      <c r="Q380" s="212" t="str">
        <f t="shared" si="12"/>
        <v/>
      </c>
      <c r="R380" s="174" t="s">
        <v>265</v>
      </c>
      <c r="S380" s="174" t="s">
        <v>273</v>
      </c>
      <c r="T380" s="174" t="str">
        <f>_xlfn.XLOOKUP(Buildings_GridElectricity_Backend[[#This Row],[Info 1]],Buildings_SiteInfo[Site name],Buildings_SiteInfo[Site type], "")</f>
        <v/>
      </c>
      <c r="U380" s="174" t="s">
        <v>281</v>
      </c>
      <c r="V380" s="174" t="str" cm="1">
        <f t="array" aca="1" ref="V380" ca="1">_xlfn.XLOOKUP(Buildings_GridElectricity_Backend[[#This Row],[Level 4]],rng_Level4Long,rng_Level5Long)</f>
        <v>Electricity</v>
      </c>
      <c r="W380" s="174" t="str" cm="1">
        <f t="array" aca="1" ref="W380" ca="1">_xlfn.XLOOKUP(Buildings_GridElectricity_Backend[[#This Row],[Level 4]],rng_Level4Long,rng_Level6Long)</f>
        <v>NaN</v>
      </c>
      <c r="X380" s="174">
        <f>Buildings_GridElectricity_Frontend[[#This Row],[Site Name]]</f>
        <v>0</v>
      </c>
      <c r="Y380" s="174">
        <f>Buildings_GridElectricity_Frontend[[#This Row],[Contracting]]</f>
        <v>0</v>
      </c>
      <c r="Z380" s="174">
        <f>Buildings_GridElectricity_Frontend[[#This Row],[Methodology]]</f>
        <v>0</v>
      </c>
      <c r="AA380" s="229" t="str" cm="1">
        <f t="array" ref="AA380">IF(Buildings_GridElectricity_Frontend[[#This Row],[Data]]="","",INDEX(_xlfn.SWITCH(Buildings_GridElectricity_Backend[[#This Row],[Methodology]],"Tier 1",rng_RSD1,"Tier 2",rng_RSD2,"Tier 3",rng_RSD3),MATCH(_xlfn.CONCAT(Buildings_GridElectricity_Backend[[#This Row],[Level 1]:[Level 6]]),rng_LevelsConcat,0)))</f>
        <v/>
      </c>
      <c r="AB380" s="220">
        <f>Buildings_GridElectricity_Frontend[[#This Row],[Data]]</f>
        <v>0</v>
      </c>
      <c r="AC380" s="174" t="str">
        <f>Buildings_GridElectricity_Frontend[[#This Row],[Units]]</f>
        <v>kWh</v>
      </c>
      <c r="AD380" s="218">
        <f>Buildings_GridElectricity_Frontend[[#This Row],[Data]]</f>
        <v>0</v>
      </c>
      <c r="AE380" s="174" t="str">
        <f>Buildings_GridElectricity_Frontend[[#This Row],[Units]]</f>
        <v>kWh</v>
      </c>
      <c r="AF380" s="210" t="str">
        <f>IF(Buildings_GridElectricity_Frontend[[#This Row],[Data]]="","",_xlfn.XLOOKUP(_xlfn.CONCAT(Buildings_GridElectricity_Backend[[#This Row],[Level 1]:[Level 6]]),rng_EFConcat,rng_EF1)*Buildings_GridElectricity_Backend[[#This Row],[Converted data]]/1000)</f>
        <v/>
      </c>
      <c r="AG380" s="210" t="str">
        <f>IF(Buildings_GridElectricity_Frontend[[#This Row],[Data]]="","",_xlfn.XLOOKUP(_xlfn.CONCAT(Buildings_GridElectricity_Backend[[#This Row],[Level 1]:[Level 6]]),rng_EFConcat,rng_EF2)*Buildings_GridElectricity_Backend[[#This Row],[Converted data]]/1000)</f>
        <v/>
      </c>
      <c r="AH380" s="210" t="str">
        <f>IF(Buildings_GridElectricity_Frontend[[#This Row],[Data]]="","",_xlfn.XLOOKUP(_xlfn.CONCAT(Buildings_GridElectricity_Backend[[#This Row],[Level 1]:[Level 6]]),rng_EFConcat,rng_EF3)*Buildings_GridElectricity_Backend[[#This Row],[Converted data]]/1000)</f>
        <v/>
      </c>
      <c r="AI380" s="210" t="str">
        <f>IF(Buildings_GridElectricity_Frontend[[#This Row],[Data]]="","",_xlfn.XLOOKUP(_xlfn.CONCAT(Buildings_GridElectricity_Backend[[#This Row],[Level 1]:[Level 6]]),rng_EFConcat,rng_EF3WTT)*Buildings_GridElectricity_Backend[[#This Row],[Converted data]]/1000)</f>
        <v/>
      </c>
      <c r="AJ380" s="210" t="str">
        <f>IF(Buildings_GridElectricity_Frontend[[#This Row],[Data]]="","",_xlfn.XLOOKUP(_xlfn.CONCAT(Buildings_GridElectricity_Backend[[#This Row],[Level 1]:[Level 6]]),rng_EFConcat,rng_EF3TD)*Buildings_GridElectricity_Backend[[#This Row],[Converted data]]/1000)</f>
        <v/>
      </c>
      <c r="AK380" s="210" t="str">
        <f>IF(Buildings_GridElectricity_Frontend[[#This Row],[Data]]="","",_xlfn.XLOOKUP(_xlfn.CONCAT(Buildings_GridElectricity_Backend[[#This Row],[Level 1]:[Level 6]]),rng_EFConcat,rng_EF3WTTTD)*Buildings_GridElectricity_Backend[[#This Row],[Converted data]]/1000)</f>
        <v/>
      </c>
      <c r="AL380" s="220" t="str">
        <f>IF(Buildings_GridElectricity_Frontend[[#This Row],[Data]]="","",SUM(Buildings_GridElectricity_Backend[[#This Row],[Scope 1 (tCO2e)]:[Scope 3 WTT T&amp;D (tCO2e)]]))</f>
        <v/>
      </c>
      <c r="AM380" s="220" t="str">
        <f>IF(Buildings_GridElectricity_Frontend[[#This Row],[Data]]="","",Buildings_GridElectricity_Backend[[#This Row],[Total (tCO2e)]]*(1-Buildings_GridElectricity_Backend[[#This Row],[RSD]]))</f>
        <v/>
      </c>
      <c r="AN380" s="220" t="str">
        <f>IF(Buildings_GridElectricity_Frontend[[#This Row],[Data]]="","",Buildings_GridElectricity_Backend[[#This Row],[Total (tCO2e)]]*(1+Buildings_GridElectricity_Backend[[#This Row],[RSD]]))</f>
        <v/>
      </c>
      <c r="AO380" s="210" t="str">
        <f>IF(Buildings_GridElectricity_Frontend[[#This Row],[Data]]="","",_xlfn.XLOOKUP(_xlfn.CONCAT(Buildings_GridElectricity_Backend[[#This Row],[Level 1]:[Level 6]]),rng_EFConcat,rng_EFOOS)*Buildings_GridElectricity_Backend[[#This Row],[Converted data]]/1000)</f>
        <v/>
      </c>
      <c r="AP380" s="174">
        <f>Buildings_GridElectricity_Frontend[[#This Row],[Ease of collection]]</f>
        <v>0</v>
      </c>
      <c r="AQ380" s="213">
        <f>Buildings_GridElectricity_Frontend[[#This Row],[Completeness]]</f>
        <v>0</v>
      </c>
      <c r="AR380" s="220">
        <f>Buildings_GridElectricity_Frontend[[#This Row],[Notes]]</f>
        <v>0</v>
      </c>
    </row>
    <row r="381" spans="5:44" x14ac:dyDescent="0.3">
      <c r="E381" s="346"/>
      <c r="F381" s="449"/>
      <c r="G381" s="336"/>
      <c r="H381" s="334"/>
      <c r="I381" s="172" t="s">
        <v>316</v>
      </c>
      <c r="J381" s="337"/>
      <c r="K381" s="336"/>
      <c r="L381" s="336"/>
      <c r="M381" s="337"/>
      <c r="N381" s="242">
        <f t="shared" si="13"/>
        <v>3</v>
      </c>
      <c r="Q381" s="212" t="str">
        <f t="shared" si="12"/>
        <v/>
      </c>
      <c r="R381" s="174" t="s">
        <v>265</v>
      </c>
      <c r="S381" s="174" t="s">
        <v>273</v>
      </c>
      <c r="T381" s="174" t="str">
        <f>_xlfn.XLOOKUP(Buildings_GridElectricity_Backend[[#This Row],[Info 1]],Buildings_SiteInfo[Site name],Buildings_SiteInfo[Site type], "")</f>
        <v/>
      </c>
      <c r="U381" s="174" t="s">
        <v>281</v>
      </c>
      <c r="V381" s="174" t="str" cm="1">
        <f t="array" aca="1" ref="V381" ca="1">_xlfn.XLOOKUP(Buildings_GridElectricity_Backend[[#This Row],[Level 4]],rng_Level4Long,rng_Level5Long)</f>
        <v>Electricity</v>
      </c>
      <c r="W381" s="174" t="str" cm="1">
        <f t="array" aca="1" ref="W381" ca="1">_xlfn.XLOOKUP(Buildings_GridElectricity_Backend[[#This Row],[Level 4]],rng_Level4Long,rng_Level6Long)</f>
        <v>NaN</v>
      </c>
      <c r="X381" s="174">
        <f>Buildings_GridElectricity_Frontend[[#This Row],[Site Name]]</f>
        <v>0</v>
      </c>
      <c r="Y381" s="174">
        <f>Buildings_GridElectricity_Frontend[[#This Row],[Contracting]]</f>
        <v>0</v>
      </c>
      <c r="Z381" s="174">
        <f>Buildings_GridElectricity_Frontend[[#This Row],[Methodology]]</f>
        <v>0</v>
      </c>
      <c r="AA381" s="229" t="str" cm="1">
        <f t="array" ref="AA381">IF(Buildings_GridElectricity_Frontend[[#This Row],[Data]]="","",INDEX(_xlfn.SWITCH(Buildings_GridElectricity_Backend[[#This Row],[Methodology]],"Tier 1",rng_RSD1,"Tier 2",rng_RSD2,"Tier 3",rng_RSD3),MATCH(_xlfn.CONCAT(Buildings_GridElectricity_Backend[[#This Row],[Level 1]:[Level 6]]),rng_LevelsConcat,0)))</f>
        <v/>
      </c>
      <c r="AB381" s="220">
        <f>Buildings_GridElectricity_Frontend[[#This Row],[Data]]</f>
        <v>0</v>
      </c>
      <c r="AC381" s="174" t="str">
        <f>Buildings_GridElectricity_Frontend[[#This Row],[Units]]</f>
        <v>kWh</v>
      </c>
      <c r="AD381" s="218">
        <f>Buildings_GridElectricity_Frontend[[#This Row],[Data]]</f>
        <v>0</v>
      </c>
      <c r="AE381" s="174" t="str">
        <f>Buildings_GridElectricity_Frontend[[#This Row],[Units]]</f>
        <v>kWh</v>
      </c>
      <c r="AF381" s="210" t="str">
        <f>IF(Buildings_GridElectricity_Frontend[[#This Row],[Data]]="","",_xlfn.XLOOKUP(_xlfn.CONCAT(Buildings_GridElectricity_Backend[[#This Row],[Level 1]:[Level 6]]),rng_EFConcat,rng_EF1)*Buildings_GridElectricity_Backend[[#This Row],[Converted data]]/1000)</f>
        <v/>
      </c>
      <c r="AG381" s="210" t="str">
        <f>IF(Buildings_GridElectricity_Frontend[[#This Row],[Data]]="","",_xlfn.XLOOKUP(_xlfn.CONCAT(Buildings_GridElectricity_Backend[[#This Row],[Level 1]:[Level 6]]),rng_EFConcat,rng_EF2)*Buildings_GridElectricity_Backend[[#This Row],[Converted data]]/1000)</f>
        <v/>
      </c>
      <c r="AH381" s="210" t="str">
        <f>IF(Buildings_GridElectricity_Frontend[[#This Row],[Data]]="","",_xlfn.XLOOKUP(_xlfn.CONCAT(Buildings_GridElectricity_Backend[[#This Row],[Level 1]:[Level 6]]),rng_EFConcat,rng_EF3)*Buildings_GridElectricity_Backend[[#This Row],[Converted data]]/1000)</f>
        <v/>
      </c>
      <c r="AI381" s="210" t="str">
        <f>IF(Buildings_GridElectricity_Frontend[[#This Row],[Data]]="","",_xlfn.XLOOKUP(_xlfn.CONCAT(Buildings_GridElectricity_Backend[[#This Row],[Level 1]:[Level 6]]),rng_EFConcat,rng_EF3WTT)*Buildings_GridElectricity_Backend[[#This Row],[Converted data]]/1000)</f>
        <v/>
      </c>
      <c r="AJ381" s="210" t="str">
        <f>IF(Buildings_GridElectricity_Frontend[[#This Row],[Data]]="","",_xlfn.XLOOKUP(_xlfn.CONCAT(Buildings_GridElectricity_Backend[[#This Row],[Level 1]:[Level 6]]),rng_EFConcat,rng_EF3TD)*Buildings_GridElectricity_Backend[[#This Row],[Converted data]]/1000)</f>
        <v/>
      </c>
      <c r="AK381" s="210" t="str">
        <f>IF(Buildings_GridElectricity_Frontend[[#This Row],[Data]]="","",_xlfn.XLOOKUP(_xlfn.CONCAT(Buildings_GridElectricity_Backend[[#This Row],[Level 1]:[Level 6]]),rng_EFConcat,rng_EF3WTTTD)*Buildings_GridElectricity_Backend[[#This Row],[Converted data]]/1000)</f>
        <v/>
      </c>
      <c r="AL381" s="220" t="str">
        <f>IF(Buildings_GridElectricity_Frontend[[#This Row],[Data]]="","",SUM(Buildings_GridElectricity_Backend[[#This Row],[Scope 1 (tCO2e)]:[Scope 3 WTT T&amp;D (tCO2e)]]))</f>
        <v/>
      </c>
      <c r="AM381" s="220" t="str">
        <f>IF(Buildings_GridElectricity_Frontend[[#This Row],[Data]]="","",Buildings_GridElectricity_Backend[[#This Row],[Total (tCO2e)]]*(1-Buildings_GridElectricity_Backend[[#This Row],[RSD]]))</f>
        <v/>
      </c>
      <c r="AN381" s="220" t="str">
        <f>IF(Buildings_GridElectricity_Frontend[[#This Row],[Data]]="","",Buildings_GridElectricity_Backend[[#This Row],[Total (tCO2e)]]*(1+Buildings_GridElectricity_Backend[[#This Row],[RSD]]))</f>
        <v/>
      </c>
      <c r="AO381" s="210" t="str">
        <f>IF(Buildings_GridElectricity_Frontend[[#This Row],[Data]]="","",_xlfn.XLOOKUP(_xlfn.CONCAT(Buildings_GridElectricity_Backend[[#This Row],[Level 1]:[Level 6]]),rng_EFConcat,rng_EFOOS)*Buildings_GridElectricity_Backend[[#This Row],[Converted data]]/1000)</f>
        <v/>
      </c>
      <c r="AP381" s="174">
        <f>Buildings_GridElectricity_Frontend[[#This Row],[Ease of collection]]</f>
        <v>0</v>
      </c>
      <c r="AQ381" s="213">
        <f>Buildings_GridElectricity_Frontend[[#This Row],[Completeness]]</f>
        <v>0</v>
      </c>
      <c r="AR381" s="220">
        <f>Buildings_GridElectricity_Frontend[[#This Row],[Notes]]</f>
        <v>0</v>
      </c>
    </row>
    <row r="382" spans="5:44" x14ac:dyDescent="0.3">
      <c r="E382" s="346"/>
      <c r="F382" s="449"/>
      <c r="G382" s="336"/>
      <c r="H382" s="334"/>
      <c r="I382" s="172" t="s">
        <v>316</v>
      </c>
      <c r="J382" s="337"/>
      <c r="K382" s="336"/>
      <c r="L382" s="336"/>
      <c r="M382" s="337"/>
      <c r="N382" s="242">
        <f t="shared" si="13"/>
        <v>3</v>
      </c>
      <c r="Q382" s="212" t="str">
        <f t="shared" si="12"/>
        <v/>
      </c>
      <c r="R382" s="174" t="s">
        <v>265</v>
      </c>
      <c r="S382" s="174" t="s">
        <v>273</v>
      </c>
      <c r="T382" s="174" t="str">
        <f>_xlfn.XLOOKUP(Buildings_GridElectricity_Backend[[#This Row],[Info 1]],Buildings_SiteInfo[Site name],Buildings_SiteInfo[Site type], "")</f>
        <v/>
      </c>
      <c r="U382" s="174" t="s">
        <v>281</v>
      </c>
      <c r="V382" s="174" t="str" cm="1">
        <f t="array" aca="1" ref="V382" ca="1">_xlfn.XLOOKUP(Buildings_GridElectricity_Backend[[#This Row],[Level 4]],rng_Level4Long,rng_Level5Long)</f>
        <v>Electricity</v>
      </c>
      <c r="W382" s="174" t="str" cm="1">
        <f t="array" aca="1" ref="W382" ca="1">_xlfn.XLOOKUP(Buildings_GridElectricity_Backend[[#This Row],[Level 4]],rng_Level4Long,rng_Level6Long)</f>
        <v>NaN</v>
      </c>
      <c r="X382" s="174">
        <f>Buildings_GridElectricity_Frontend[[#This Row],[Site Name]]</f>
        <v>0</v>
      </c>
      <c r="Y382" s="174">
        <f>Buildings_GridElectricity_Frontend[[#This Row],[Contracting]]</f>
        <v>0</v>
      </c>
      <c r="Z382" s="174">
        <f>Buildings_GridElectricity_Frontend[[#This Row],[Methodology]]</f>
        <v>0</v>
      </c>
      <c r="AA382" s="229" t="str" cm="1">
        <f t="array" ref="AA382">IF(Buildings_GridElectricity_Frontend[[#This Row],[Data]]="","",INDEX(_xlfn.SWITCH(Buildings_GridElectricity_Backend[[#This Row],[Methodology]],"Tier 1",rng_RSD1,"Tier 2",rng_RSD2,"Tier 3",rng_RSD3),MATCH(_xlfn.CONCAT(Buildings_GridElectricity_Backend[[#This Row],[Level 1]:[Level 6]]),rng_LevelsConcat,0)))</f>
        <v/>
      </c>
      <c r="AB382" s="220">
        <f>Buildings_GridElectricity_Frontend[[#This Row],[Data]]</f>
        <v>0</v>
      </c>
      <c r="AC382" s="174" t="str">
        <f>Buildings_GridElectricity_Frontend[[#This Row],[Units]]</f>
        <v>kWh</v>
      </c>
      <c r="AD382" s="218">
        <f>Buildings_GridElectricity_Frontend[[#This Row],[Data]]</f>
        <v>0</v>
      </c>
      <c r="AE382" s="174" t="str">
        <f>Buildings_GridElectricity_Frontend[[#This Row],[Units]]</f>
        <v>kWh</v>
      </c>
      <c r="AF382" s="210" t="str">
        <f>IF(Buildings_GridElectricity_Frontend[[#This Row],[Data]]="","",_xlfn.XLOOKUP(_xlfn.CONCAT(Buildings_GridElectricity_Backend[[#This Row],[Level 1]:[Level 6]]),rng_EFConcat,rng_EF1)*Buildings_GridElectricity_Backend[[#This Row],[Converted data]]/1000)</f>
        <v/>
      </c>
      <c r="AG382" s="210" t="str">
        <f>IF(Buildings_GridElectricity_Frontend[[#This Row],[Data]]="","",_xlfn.XLOOKUP(_xlfn.CONCAT(Buildings_GridElectricity_Backend[[#This Row],[Level 1]:[Level 6]]),rng_EFConcat,rng_EF2)*Buildings_GridElectricity_Backend[[#This Row],[Converted data]]/1000)</f>
        <v/>
      </c>
      <c r="AH382" s="210" t="str">
        <f>IF(Buildings_GridElectricity_Frontend[[#This Row],[Data]]="","",_xlfn.XLOOKUP(_xlfn.CONCAT(Buildings_GridElectricity_Backend[[#This Row],[Level 1]:[Level 6]]),rng_EFConcat,rng_EF3)*Buildings_GridElectricity_Backend[[#This Row],[Converted data]]/1000)</f>
        <v/>
      </c>
      <c r="AI382" s="210" t="str">
        <f>IF(Buildings_GridElectricity_Frontend[[#This Row],[Data]]="","",_xlfn.XLOOKUP(_xlfn.CONCAT(Buildings_GridElectricity_Backend[[#This Row],[Level 1]:[Level 6]]),rng_EFConcat,rng_EF3WTT)*Buildings_GridElectricity_Backend[[#This Row],[Converted data]]/1000)</f>
        <v/>
      </c>
      <c r="AJ382" s="210" t="str">
        <f>IF(Buildings_GridElectricity_Frontend[[#This Row],[Data]]="","",_xlfn.XLOOKUP(_xlfn.CONCAT(Buildings_GridElectricity_Backend[[#This Row],[Level 1]:[Level 6]]),rng_EFConcat,rng_EF3TD)*Buildings_GridElectricity_Backend[[#This Row],[Converted data]]/1000)</f>
        <v/>
      </c>
      <c r="AK382" s="210" t="str">
        <f>IF(Buildings_GridElectricity_Frontend[[#This Row],[Data]]="","",_xlfn.XLOOKUP(_xlfn.CONCAT(Buildings_GridElectricity_Backend[[#This Row],[Level 1]:[Level 6]]),rng_EFConcat,rng_EF3WTTTD)*Buildings_GridElectricity_Backend[[#This Row],[Converted data]]/1000)</f>
        <v/>
      </c>
      <c r="AL382" s="220" t="str">
        <f>IF(Buildings_GridElectricity_Frontend[[#This Row],[Data]]="","",SUM(Buildings_GridElectricity_Backend[[#This Row],[Scope 1 (tCO2e)]:[Scope 3 WTT T&amp;D (tCO2e)]]))</f>
        <v/>
      </c>
      <c r="AM382" s="220" t="str">
        <f>IF(Buildings_GridElectricity_Frontend[[#This Row],[Data]]="","",Buildings_GridElectricity_Backend[[#This Row],[Total (tCO2e)]]*(1-Buildings_GridElectricity_Backend[[#This Row],[RSD]]))</f>
        <v/>
      </c>
      <c r="AN382" s="220" t="str">
        <f>IF(Buildings_GridElectricity_Frontend[[#This Row],[Data]]="","",Buildings_GridElectricity_Backend[[#This Row],[Total (tCO2e)]]*(1+Buildings_GridElectricity_Backend[[#This Row],[RSD]]))</f>
        <v/>
      </c>
      <c r="AO382" s="210" t="str">
        <f>IF(Buildings_GridElectricity_Frontend[[#This Row],[Data]]="","",_xlfn.XLOOKUP(_xlfn.CONCAT(Buildings_GridElectricity_Backend[[#This Row],[Level 1]:[Level 6]]),rng_EFConcat,rng_EFOOS)*Buildings_GridElectricity_Backend[[#This Row],[Converted data]]/1000)</f>
        <v/>
      </c>
      <c r="AP382" s="174">
        <f>Buildings_GridElectricity_Frontend[[#This Row],[Ease of collection]]</f>
        <v>0</v>
      </c>
      <c r="AQ382" s="213">
        <f>Buildings_GridElectricity_Frontend[[#This Row],[Completeness]]</f>
        <v>0</v>
      </c>
      <c r="AR382" s="220">
        <f>Buildings_GridElectricity_Frontend[[#This Row],[Notes]]</f>
        <v>0</v>
      </c>
    </row>
    <row r="383" spans="5:44" x14ac:dyDescent="0.3">
      <c r="E383" s="346"/>
      <c r="F383" s="449"/>
      <c r="G383" s="336"/>
      <c r="H383" s="334"/>
      <c r="I383" s="172" t="s">
        <v>316</v>
      </c>
      <c r="J383" s="337"/>
      <c r="K383" s="336"/>
      <c r="L383" s="336"/>
      <c r="M383" s="337"/>
      <c r="N383" s="242">
        <f t="shared" si="13"/>
        <v>3</v>
      </c>
      <c r="Q383" s="212" t="str">
        <f t="shared" si="12"/>
        <v/>
      </c>
      <c r="R383" s="174" t="s">
        <v>265</v>
      </c>
      <c r="S383" s="174" t="s">
        <v>273</v>
      </c>
      <c r="T383" s="174" t="str">
        <f>_xlfn.XLOOKUP(Buildings_GridElectricity_Backend[[#This Row],[Info 1]],Buildings_SiteInfo[Site name],Buildings_SiteInfo[Site type], "")</f>
        <v/>
      </c>
      <c r="U383" s="174" t="s">
        <v>281</v>
      </c>
      <c r="V383" s="174" t="str" cm="1">
        <f t="array" aca="1" ref="V383" ca="1">_xlfn.XLOOKUP(Buildings_GridElectricity_Backend[[#This Row],[Level 4]],rng_Level4Long,rng_Level5Long)</f>
        <v>Electricity</v>
      </c>
      <c r="W383" s="174" t="str" cm="1">
        <f t="array" aca="1" ref="W383" ca="1">_xlfn.XLOOKUP(Buildings_GridElectricity_Backend[[#This Row],[Level 4]],rng_Level4Long,rng_Level6Long)</f>
        <v>NaN</v>
      </c>
      <c r="X383" s="174">
        <f>Buildings_GridElectricity_Frontend[[#This Row],[Site Name]]</f>
        <v>0</v>
      </c>
      <c r="Y383" s="174">
        <f>Buildings_GridElectricity_Frontend[[#This Row],[Contracting]]</f>
        <v>0</v>
      </c>
      <c r="Z383" s="174">
        <f>Buildings_GridElectricity_Frontend[[#This Row],[Methodology]]</f>
        <v>0</v>
      </c>
      <c r="AA383" s="229" t="str" cm="1">
        <f t="array" ref="AA383">IF(Buildings_GridElectricity_Frontend[[#This Row],[Data]]="","",INDEX(_xlfn.SWITCH(Buildings_GridElectricity_Backend[[#This Row],[Methodology]],"Tier 1",rng_RSD1,"Tier 2",rng_RSD2,"Tier 3",rng_RSD3),MATCH(_xlfn.CONCAT(Buildings_GridElectricity_Backend[[#This Row],[Level 1]:[Level 6]]),rng_LevelsConcat,0)))</f>
        <v/>
      </c>
      <c r="AB383" s="220">
        <f>Buildings_GridElectricity_Frontend[[#This Row],[Data]]</f>
        <v>0</v>
      </c>
      <c r="AC383" s="174" t="str">
        <f>Buildings_GridElectricity_Frontend[[#This Row],[Units]]</f>
        <v>kWh</v>
      </c>
      <c r="AD383" s="218">
        <f>Buildings_GridElectricity_Frontend[[#This Row],[Data]]</f>
        <v>0</v>
      </c>
      <c r="AE383" s="174" t="str">
        <f>Buildings_GridElectricity_Frontend[[#This Row],[Units]]</f>
        <v>kWh</v>
      </c>
      <c r="AF383" s="210" t="str">
        <f>IF(Buildings_GridElectricity_Frontend[[#This Row],[Data]]="","",_xlfn.XLOOKUP(_xlfn.CONCAT(Buildings_GridElectricity_Backend[[#This Row],[Level 1]:[Level 6]]),rng_EFConcat,rng_EF1)*Buildings_GridElectricity_Backend[[#This Row],[Converted data]]/1000)</f>
        <v/>
      </c>
      <c r="AG383" s="210" t="str">
        <f>IF(Buildings_GridElectricity_Frontend[[#This Row],[Data]]="","",_xlfn.XLOOKUP(_xlfn.CONCAT(Buildings_GridElectricity_Backend[[#This Row],[Level 1]:[Level 6]]),rng_EFConcat,rng_EF2)*Buildings_GridElectricity_Backend[[#This Row],[Converted data]]/1000)</f>
        <v/>
      </c>
      <c r="AH383" s="210" t="str">
        <f>IF(Buildings_GridElectricity_Frontend[[#This Row],[Data]]="","",_xlfn.XLOOKUP(_xlfn.CONCAT(Buildings_GridElectricity_Backend[[#This Row],[Level 1]:[Level 6]]),rng_EFConcat,rng_EF3)*Buildings_GridElectricity_Backend[[#This Row],[Converted data]]/1000)</f>
        <v/>
      </c>
      <c r="AI383" s="210" t="str">
        <f>IF(Buildings_GridElectricity_Frontend[[#This Row],[Data]]="","",_xlfn.XLOOKUP(_xlfn.CONCAT(Buildings_GridElectricity_Backend[[#This Row],[Level 1]:[Level 6]]),rng_EFConcat,rng_EF3WTT)*Buildings_GridElectricity_Backend[[#This Row],[Converted data]]/1000)</f>
        <v/>
      </c>
      <c r="AJ383" s="210" t="str">
        <f>IF(Buildings_GridElectricity_Frontend[[#This Row],[Data]]="","",_xlfn.XLOOKUP(_xlfn.CONCAT(Buildings_GridElectricity_Backend[[#This Row],[Level 1]:[Level 6]]),rng_EFConcat,rng_EF3TD)*Buildings_GridElectricity_Backend[[#This Row],[Converted data]]/1000)</f>
        <v/>
      </c>
      <c r="AK383" s="210" t="str">
        <f>IF(Buildings_GridElectricity_Frontend[[#This Row],[Data]]="","",_xlfn.XLOOKUP(_xlfn.CONCAT(Buildings_GridElectricity_Backend[[#This Row],[Level 1]:[Level 6]]),rng_EFConcat,rng_EF3WTTTD)*Buildings_GridElectricity_Backend[[#This Row],[Converted data]]/1000)</f>
        <v/>
      </c>
      <c r="AL383" s="220" t="str">
        <f>IF(Buildings_GridElectricity_Frontend[[#This Row],[Data]]="","",SUM(Buildings_GridElectricity_Backend[[#This Row],[Scope 1 (tCO2e)]:[Scope 3 WTT T&amp;D (tCO2e)]]))</f>
        <v/>
      </c>
      <c r="AM383" s="220" t="str">
        <f>IF(Buildings_GridElectricity_Frontend[[#This Row],[Data]]="","",Buildings_GridElectricity_Backend[[#This Row],[Total (tCO2e)]]*(1-Buildings_GridElectricity_Backend[[#This Row],[RSD]]))</f>
        <v/>
      </c>
      <c r="AN383" s="220" t="str">
        <f>IF(Buildings_GridElectricity_Frontend[[#This Row],[Data]]="","",Buildings_GridElectricity_Backend[[#This Row],[Total (tCO2e)]]*(1+Buildings_GridElectricity_Backend[[#This Row],[RSD]]))</f>
        <v/>
      </c>
      <c r="AO383" s="210" t="str">
        <f>IF(Buildings_GridElectricity_Frontend[[#This Row],[Data]]="","",_xlfn.XLOOKUP(_xlfn.CONCAT(Buildings_GridElectricity_Backend[[#This Row],[Level 1]:[Level 6]]),rng_EFConcat,rng_EFOOS)*Buildings_GridElectricity_Backend[[#This Row],[Converted data]]/1000)</f>
        <v/>
      </c>
      <c r="AP383" s="174">
        <f>Buildings_GridElectricity_Frontend[[#This Row],[Ease of collection]]</f>
        <v>0</v>
      </c>
      <c r="AQ383" s="213">
        <f>Buildings_GridElectricity_Frontend[[#This Row],[Completeness]]</f>
        <v>0</v>
      </c>
      <c r="AR383" s="220">
        <f>Buildings_GridElectricity_Frontend[[#This Row],[Notes]]</f>
        <v>0</v>
      </c>
    </row>
    <row r="384" spans="5:44" x14ac:dyDescent="0.3">
      <c r="E384" s="346"/>
      <c r="F384" s="449"/>
      <c r="G384" s="336"/>
      <c r="H384" s="334"/>
      <c r="I384" s="172" t="s">
        <v>316</v>
      </c>
      <c r="J384" s="337"/>
      <c r="K384" s="336"/>
      <c r="L384" s="336"/>
      <c r="M384" s="337"/>
      <c r="N384" s="242">
        <f t="shared" si="13"/>
        <v>3</v>
      </c>
      <c r="Q384" s="212" t="str">
        <f t="shared" si="12"/>
        <v/>
      </c>
      <c r="R384" s="174" t="s">
        <v>265</v>
      </c>
      <c r="S384" s="174" t="s">
        <v>273</v>
      </c>
      <c r="T384" s="174" t="str">
        <f>_xlfn.XLOOKUP(Buildings_GridElectricity_Backend[[#This Row],[Info 1]],Buildings_SiteInfo[Site name],Buildings_SiteInfo[Site type], "")</f>
        <v/>
      </c>
      <c r="U384" s="174" t="s">
        <v>281</v>
      </c>
      <c r="V384" s="174" t="str" cm="1">
        <f t="array" aca="1" ref="V384" ca="1">_xlfn.XLOOKUP(Buildings_GridElectricity_Backend[[#This Row],[Level 4]],rng_Level4Long,rng_Level5Long)</f>
        <v>Electricity</v>
      </c>
      <c r="W384" s="174" t="str" cm="1">
        <f t="array" aca="1" ref="W384" ca="1">_xlfn.XLOOKUP(Buildings_GridElectricity_Backend[[#This Row],[Level 4]],rng_Level4Long,rng_Level6Long)</f>
        <v>NaN</v>
      </c>
      <c r="X384" s="174">
        <f>Buildings_GridElectricity_Frontend[[#This Row],[Site Name]]</f>
        <v>0</v>
      </c>
      <c r="Y384" s="174">
        <f>Buildings_GridElectricity_Frontend[[#This Row],[Contracting]]</f>
        <v>0</v>
      </c>
      <c r="Z384" s="174">
        <f>Buildings_GridElectricity_Frontend[[#This Row],[Methodology]]</f>
        <v>0</v>
      </c>
      <c r="AA384" s="229" t="str" cm="1">
        <f t="array" ref="AA384">IF(Buildings_GridElectricity_Frontend[[#This Row],[Data]]="","",INDEX(_xlfn.SWITCH(Buildings_GridElectricity_Backend[[#This Row],[Methodology]],"Tier 1",rng_RSD1,"Tier 2",rng_RSD2,"Tier 3",rng_RSD3),MATCH(_xlfn.CONCAT(Buildings_GridElectricity_Backend[[#This Row],[Level 1]:[Level 6]]),rng_LevelsConcat,0)))</f>
        <v/>
      </c>
      <c r="AB384" s="220">
        <f>Buildings_GridElectricity_Frontend[[#This Row],[Data]]</f>
        <v>0</v>
      </c>
      <c r="AC384" s="174" t="str">
        <f>Buildings_GridElectricity_Frontend[[#This Row],[Units]]</f>
        <v>kWh</v>
      </c>
      <c r="AD384" s="218">
        <f>Buildings_GridElectricity_Frontend[[#This Row],[Data]]</f>
        <v>0</v>
      </c>
      <c r="AE384" s="174" t="str">
        <f>Buildings_GridElectricity_Frontend[[#This Row],[Units]]</f>
        <v>kWh</v>
      </c>
      <c r="AF384" s="210" t="str">
        <f>IF(Buildings_GridElectricity_Frontend[[#This Row],[Data]]="","",_xlfn.XLOOKUP(_xlfn.CONCAT(Buildings_GridElectricity_Backend[[#This Row],[Level 1]:[Level 6]]),rng_EFConcat,rng_EF1)*Buildings_GridElectricity_Backend[[#This Row],[Converted data]]/1000)</f>
        <v/>
      </c>
      <c r="AG384" s="210" t="str">
        <f>IF(Buildings_GridElectricity_Frontend[[#This Row],[Data]]="","",_xlfn.XLOOKUP(_xlfn.CONCAT(Buildings_GridElectricity_Backend[[#This Row],[Level 1]:[Level 6]]),rng_EFConcat,rng_EF2)*Buildings_GridElectricity_Backend[[#This Row],[Converted data]]/1000)</f>
        <v/>
      </c>
      <c r="AH384" s="210" t="str">
        <f>IF(Buildings_GridElectricity_Frontend[[#This Row],[Data]]="","",_xlfn.XLOOKUP(_xlfn.CONCAT(Buildings_GridElectricity_Backend[[#This Row],[Level 1]:[Level 6]]),rng_EFConcat,rng_EF3)*Buildings_GridElectricity_Backend[[#This Row],[Converted data]]/1000)</f>
        <v/>
      </c>
      <c r="AI384" s="210" t="str">
        <f>IF(Buildings_GridElectricity_Frontend[[#This Row],[Data]]="","",_xlfn.XLOOKUP(_xlfn.CONCAT(Buildings_GridElectricity_Backend[[#This Row],[Level 1]:[Level 6]]),rng_EFConcat,rng_EF3WTT)*Buildings_GridElectricity_Backend[[#This Row],[Converted data]]/1000)</f>
        <v/>
      </c>
      <c r="AJ384" s="210" t="str">
        <f>IF(Buildings_GridElectricity_Frontend[[#This Row],[Data]]="","",_xlfn.XLOOKUP(_xlfn.CONCAT(Buildings_GridElectricity_Backend[[#This Row],[Level 1]:[Level 6]]),rng_EFConcat,rng_EF3TD)*Buildings_GridElectricity_Backend[[#This Row],[Converted data]]/1000)</f>
        <v/>
      </c>
      <c r="AK384" s="210" t="str">
        <f>IF(Buildings_GridElectricity_Frontend[[#This Row],[Data]]="","",_xlfn.XLOOKUP(_xlfn.CONCAT(Buildings_GridElectricity_Backend[[#This Row],[Level 1]:[Level 6]]),rng_EFConcat,rng_EF3WTTTD)*Buildings_GridElectricity_Backend[[#This Row],[Converted data]]/1000)</f>
        <v/>
      </c>
      <c r="AL384" s="220" t="str">
        <f>IF(Buildings_GridElectricity_Frontend[[#This Row],[Data]]="","",SUM(Buildings_GridElectricity_Backend[[#This Row],[Scope 1 (tCO2e)]:[Scope 3 WTT T&amp;D (tCO2e)]]))</f>
        <v/>
      </c>
      <c r="AM384" s="220" t="str">
        <f>IF(Buildings_GridElectricity_Frontend[[#This Row],[Data]]="","",Buildings_GridElectricity_Backend[[#This Row],[Total (tCO2e)]]*(1-Buildings_GridElectricity_Backend[[#This Row],[RSD]]))</f>
        <v/>
      </c>
      <c r="AN384" s="220" t="str">
        <f>IF(Buildings_GridElectricity_Frontend[[#This Row],[Data]]="","",Buildings_GridElectricity_Backend[[#This Row],[Total (tCO2e)]]*(1+Buildings_GridElectricity_Backend[[#This Row],[RSD]]))</f>
        <v/>
      </c>
      <c r="AO384" s="210" t="str">
        <f>IF(Buildings_GridElectricity_Frontend[[#This Row],[Data]]="","",_xlfn.XLOOKUP(_xlfn.CONCAT(Buildings_GridElectricity_Backend[[#This Row],[Level 1]:[Level 6]]),rng_EFConcat,rng_EFOOS)*Buildings_GridElectricity_Backend[[#This Row],[Converted data]]/1000)</f>
        <v/>
      </c>
      <c r="AP384" s="174">
        <f>Buildings_GridElectricity_Frontend[[#This Row],[Ease of collection]]</f>
        <v>0</v>
      </c>
      <c r="AQ384" s="213">
        <f>Buildings_GridElectricity_Frontend[[#This Row],[Completeness]]</f>
        <v>0</v>
      </c>
      <c r="AR384" s="220">
        <f>Buildings_GridElectricity_Frontend[[#This Row],[Notes]]</f>
        <v>0</v>
      </c>
    </row>
    <row r="385" spans="5:44" x14ac:dyDescent="0.3">
      <c r="E385" s="346"/>
      <c r="F385" s="449"/>
      <c r="G385" s="336"/>
      <c r="H385" s="334"/>
      <c r="I385" s="172" t="s">
        <v>316</v>
      </c>
      <c r="J385" s="337"/>
      <c r="K385" s="336"/>
      <c r="L385" s="336"/>
      <c r="M385" s="337"/>
      <c r="N385" s="242">
        <f t="shared" si="13"/>
        <v>3</v>
      </c>
      <c r="Q385" s="212" t="str">
        <f t="shared" si="12"/>
        <v/>
      </c>
      <c r="R385" s="174" t="s">
        <v>265</v>
      </c>
      <c r="S385" s="174" t="s">
        <v>273</v>
      </c>
      <c r="T385" s="174" t="str">
        <f>_xlfn.XLOOKUP(Buildings_GridElectricity_Backend[[#This Row],[Info 1]],Buildings_SiteInfo[Site name],Buildings_SiteInfo[Site type], "")</f>
        <v/>
      </c>
      <c r="U385" s="174" t="s">
        <v>281</v>
      </c>
      <c r="V385" s="174" t="str" cm="1">
        <f t="array" aca="1" ref="V385" ca="1">_xlfn.XLOOKUP(Buildings_GridElectricity_Backend[[#This Row],[Level 4]],rng_Level4Long,rng_Level5Long)</f>
        <v>Electricity</v>
      </c>
      <c r="W385" s="174" t="str" cm="1">
        <f t="array" aca="1" ref="W385" ca="1">_xlfn.XLOOKUP(Buildings_GridElectricity_Backend[[#This Row],[Level 4]],rng_Level4Long,rng_Level6Long)</f>
        <v>NaN</v>
      </c>
      <c r="X385" s="174">
        <f>Buildings_GridElectricity_Frontend[[#This Row],[Site Name]]</f>
        <v>0</v>
      </c>
      <c r="Y385" s="174">
        <f>Buildings_GridElectricity_Frontend[[#This Row],[Contracting]]</f>
        <v>0</v>
      </c>
      <c r="Z385" s="174">
        <f>Buildings_GridElectricity_Frontend[[#This Row],[Methodology]]</f>
        <v>0</v>
      </c>
      <c r="AA385" s="229" t="str" cm="1">
        <f t="array" ref="AA385">IF(Buildings_GridElectricity_Frontend[[#This Row],[Data]]="","",INDEX(_xlfn.SWITCH(Buildings_GridElectricity_Backend[[#This Row],[Methodology]],"Tier 1",rng_RSD1,"Tier 2",rng_RSD2,"Tier 3",rng_RSD3),MATCH(_xlfn.CONCAT(Buildings_GridElectricity_Backend[[#This Row],[Level 1]:[Level 6]]),rng_LevelsConcat,0)))</f>
        <v/>
      </c>
      <c r="AB385" s="220">
        <f>Buildings_GridElectricity_Frontend[[#This Row],[Data]]</f>
        <v>0</v>
      </c>
      <c r="AC385" s="174" t="str">
        <f>Buildings_GridElectricity_Frontend[[#This Row],[Units]]</f>
        <v>kWh</v>
      </c>
      <c r="AD385" s="218">
        <f>Buildings_GridElectricity_Frontend[[#This Row],[Data]]</f>
        <v>0</v>
      </c>
      <c r="AE385" s="174" t="str">
        <f>Buildings_GridElectricity_Frontend[[#This Row],[Units]]</f>
        <v>kWh</v>
      </c>
      <c r="AF385" s="210" t="str">
        <f>IF(Buildings_GridElectricity_Frontend[[#This Row],[Data]]="","",_xlfn.XLOOKUP(_xlfn.CONCAT(Buildings_GridElectricity_Backend[[#This Row],[Level 1]:[Level 6]]),rng_EFConcat,rng_EF1)*Buildings_GridElectricity_Backend[[#This Row],[Converted data]]/1000)</f>
        <v/>
      </c>
      <c r="AG385" s="210" t="str">
        <f>IF(Buildings_GridElectricity_Frontend[[#This Row],[Data]]="","",_xlfn.XLOOKUP(_xlfn.CONCAT(Buildings_GridElectricity_Backend[[#This Row],[Level 1]:[Level 6]]),rng_EFConcat,rng_EF2)*Buildings_GridElectricity_Backend[[#This Row],[Converted data]]/1000)</f>
        <v/>
      </c>
      <c r="AH385" s="210" t="str">
        <f>IF(Buildings_GridElectricity_Frontend[[#This Row],[Data]]="","",_xlfn.XLOOKUP(_xlfn.CONCAT(Buildings_GridElectricity_Backend[[#This Row],[Level 1]:[Level 6]]),rng_EFConcat,rng_EF3)*Buildings_GridElectricity_Backend[[#This Row],[Converted data]]/1000)</f>
        <v/>
      </c>
      <c r="AI385" s="210" t="str">
        <f>IF(Buildings_GridElectricity_Frontend[[#This Row],[Data]]="","",_xlfn.XLOOKUP(_xlfn.CONCAT(Buildings_GridElectricity_Backend[[#This Row],[Level 1]:[Level 6]]),rng_EFConcat,rng_EF3WTT)*Buildings_GridElectricity_Backend[[#This Row],[Converted data]]/1000)</f>
        <v/>
      </c>
      <c r="AJ385" s="210" t="str">
        <f>IF(Buildings_GridElectricity_Frontend[[#This Row],[Data]]="","",_xlfn.XLOOKUP(_xlfn.CONCAT(Buildings_GridElectricity_Backend[[#This Row],[Level 1]:[Level 6]]),rng_EFConcat,rng_EF3TD)*Buildings_GridElectricity_Backend[[#This Row],[Converted data]]/1000)</f>
        <v/>
      </c>
      <c r="AK385" s="210" t="str">
        <f>IF(Buildings_GridElectricity_Frontend[[#This Row],[Data]]="","",_xlfn.XLOOKUP(_xlfn.CONCAT(Buildings_GridElectricity_Backend[[#This Row],[Level 1]:[Level 6]]),rng_EFConcat,rng_EF3WTTTD)*Buildings_GridElectricity_Backend[[#This Row],[Converted data]]/1000)</f>
        <v/>
      </c>
      <c r="AL385" s="220" t="str">
        <f>IF(Buildings_GridElectricity_Frontend[[#This Row],[Data]]="","",SUM(Buildings_GridElectricity_Backend[[#This Row],[Scope 1 (tCO2e)]:[Scope 3 WTT T&amp;D (tCO2e)]]))</f>
        <v/>
      </c>
      <c r="AM385" s="220" t="str">
        <f>IF(Buildings_GridElectricity_Frontend[[#This Row],[Data]]="","",Buildings_GridElectricity_Backend[[#This Row],[Total (tCO2e)]]*(1-Buildings_GridElectricity_Backend[[#This Row],[RSD]]))</f>
        <v/>
      </c>
      <c r="AN385" s="220" t="str">
        <f>IF(Buildings_GridElectricity_Frontend[[#This Row],[Data]]="","",Buildings_GridElectricity_Backend[[#This Row],[Total (tCO2e)]]*(1+Buildings_GridElectricity_Backend[[#This Row],[RSD]]))</f>
        <v/>
      </c>
      <c r="AO385" s="210" t="str">
        <f>IF(Buildings_GridElectricity_Frontend[[#This Row],[Data]]="","",_xlfn.XLOOKUP(_xlfn.CONCAT(Buildings_GridElectricity_Backend[[#This Row],[Level 1]:[Level 6]]),rng_EFConcat,rng_EFOOS)*Buildings_GridElectricity_Backend[[#This Row],[Converted data]]/1000)</f>
        <v/>
      </c>
      <c r="AP385" s="174">
        <f>Buildings_GridElectricity_Frontend[[#This Row],[Ease of collection]]</f>
        <v>0</v>
      </c>
      <c r="AQ385" s="213">
        <f>Buildings_GridElectricity_Frontend[[#This Row],[Completeness]]</f>
        <v>0</v>
      </c>
      <c r="AR385" s="220">
        <f>Buildings_GridElectricity_Frontend[[#This Row],[Notes]]</f>
        <v>0</v>
      </c>
    </row>
    <row r="386" spans="5:44" x14ac:dyDescent="0.3">
      <c r="E386" s="346"/>
      <c r="F386" s="449"/>
      <c r="G386" s="336"/>
      <c r="H386" s="334"/>
      <c r="I386" s="172" t="s">
        <v>316</v>
      </c>
      <c r="J386" s="337"/>
      <c r="K386" s="336"/>
      <c r="L386" s="336"/>
      <c r="M386" s="337"/>
      <c r="N386" s="242">
        <f t="shared" si="13"/>
        <v>3</v>
      </c>
      <c r="Q386" s="212" t="str">
        <f t="shared" si="12"/>
        <v/>
      </c>
      <c r="R386" s="174" t="s">
        <v>265</v>
      </c>
      <c r="S386" s="174" t="s">
        <v>273</v>
      </c>
      <c r="T386" s="174" t="str">
        <f>_xlfn.XLOOKUP(Buildings_GridElectricity_Backend[[#This Row],[Info 1]],Buildings_SiteInfo[Site name],Buildings_SiteInfo[Site type], "")</f>
        <v/>
      </c>
      <c r="U386" s="174" t="s">
        <v>281</v>
      </c>
      <c r="V386" s="174" t="str" cm="1">
        <f t="array" aca="1" ref="V386" ca="1">_xlfn.XLOOKUP(Buildings_GridElectricity_Backend[[#This Row],[Level 4]],rng_Level4Long,rng_Level5Long)</f>
        <v>Electricity</v>
      </c>
      <c r="W386" s="174" t="str" cm="1">
        <f t="array" aca="1" ref="W386" ca="1">_xlfn.XLOOKUP(Buildings_GridElectricity_Backend[[#This Row],[Level 4]],rng_Level4Long,rng_Level6Long)</f>
        <v>NaN</v>
      </c>
      <c r="X386" s="174">
        <f>Buildings_GridElectricity_Frontend[[#This Row],[Site Name]]</f>
        <v>0</v>
      </c>
      <c r="Y386" s="174">
        <f>Buildings_GridElectricity_Frontend[[#This Row],[Contracting]]</f>
        <v>0</v>
      </c>
      <c r="Z386" s="174">
        <f>Buildings_GridElectricity_Frontend[[#This Row],[Methodology]]</f>
        <v>0</v>
      </c>
      <c r="AA386" s="229" t="str" cm="1">
        <f t="array" ref="AA386">IF(Buildings_GridElectricity_Frontend[[#This Row],[Data]]="","",INDEX(_xlfn.SWITCH(Buildings_GridElectricity_Backend[[#This Row],[Methodology]],"Tier 1",rng_RSD1,"Tier 2",rng_RSD2,"Tier 3",rng_RSD3),MATCH(_xlfn.CONCAT(Buildings_GridElectricity_Backend[[#This Row],[Level 1]:[Level 6]]),rng_LevelsConcat,0)))</f>
        <v/>
      </c>
      <c r="AB386" s="220">
        <f>Buildings_GridElectricity_Frontend[[#This Row],[Data]]</f>
        <v>0</v>
      </c>
      <c r="AC386" s="174" t="str">
        <f>Buildings_GridElectricity_Frontend[[#This Row],[Units]]</f>
        <v>kWh</v>
      </c>
      <c r="AD386" s="218">
        <f>Buildings_GridElectricity_Frontend[[#This Row],[Data]]</f>
        <v>0</v>
      </c>
      <c r="AE386" s="174" t="str">
        <f>Buildings_GridElectricity_Frontend[[#This Row],[Units]]</f>
        <v>kWh</v>
      </c>
      <c r="AF386" s="210" t="str">
        <f>IF(Buildings_GridElectricity_Frontend[[#This Row],[Data]]="","",_xlfn.XLOOKUP(_xlfn.CONCAT(Buildings_GridElectricity_Backend[[#This Row],[Level 1]:[Level 6]]),rng_EFConcat,rng_EF1)*Buildings_GridElectricity_Backend[[#This Row],[Converted data]]/1000)</f>
        <v/>
      </c>
      <c r="AG386" s="210" t="str">
        <f>IF(Buildings_GridElectricity_Frontend[[#This Row],[Data]]="","",_xlfn.XLOOKUP(_xlfn.CONCAT(Buildings_GridElectricity_Backend[[#This Row],[Level 1]:[Level 6]]),rng_EFConcat,rng_EF2)*Buildings_GridElectricity_Backend[[#This Row],[Converted data]]/1000)</f>
        <v/>
      </c>
      <c r="AH386" s="210" t="str">
        <f>IF(Buildings_GridElectricity_Frontend[[#This Row],[Data]]="","",_xlfn.XLOOKUP(_xlfn.CONCAT(Buildings_GridElectricity_Backend[[#This Row],[Level 1]:[Level 6]]),rng_EFConcat,rng_EF3)*Buildings_GridElectricity_Backend[[#This Row],[Converted data]]/1000)</f>
        <v/>
      </c>
      <c r="AI386" s="210" t="str">
        <f>IF(Buildings_GridElectricity_Frontend[[#This Row],[Data]]="","",_xlfn.XLOOKUP(_xlfn.CONCAT(Buildings_GridElectricity_Backend[[#This Row],[Level 1]:[Level 6]]),rng_EFConcat,rng_EF3WTT)*Buildings_GridElectricity_Backend[[#This Row],[Converted data]]/1000)</f>
        <v/>
      </c>
      <c r="AJ386" s="210" t="str">
        <f>IF(Buildings_GridElectricity_Frontend[[#This Row],[Data]]="","",_xlfn.XLOOKUP(_xlfn.CONCAT(Buildings_GridElectricity_Backend[[#This Row],[Level 1]:[Level 6]]),rng_EFConcat,rng_EF3TD)*Buildings_GridElectricity_Backend[[#This Row],[Converted data]]/1000)</f>
        <v/>
      </c>
      <c r="AK386" s="210" t="str">
        <f>IF(Buildings_GridElectricity_Frontend[[#This Row],[Data]]="","",_xlfn.XLOOKUP(_xlfn.CONCAT(Buildings_GridElectricity_Backend[[#This Row],[Level 1]:[Level 6]]),rng_EFConcat,rng_EF3WTTTD)*Buildings_GridElectricity_Backend[[#This Row],[Converted data]]/1000)</f>
        <v/>
      </c>
      <c r="AL386" s="220" t="str">
        <f>IF(Buildings_GridElectricity_Frontend[[#This Row],[Data]]="","",SUM(Buildings_GridElectricity_Backend[[#This Row],[Scope 1 (tCO2e)]:[Scope 3 WTT T&amp;D (tCO2e)]]))</f>
        <v/>
      </c>
      <c r="AM386" s="220" t="str">
        <f>IF(Buildings_GridElectricity_Frontend[[#This Row],[Data]]="","",Buildings_GridElectricity_Backend[[#This Row],[Total (tCO2e)]]*(1-Buildings_GridElectricity_Backend[[#This Row],[RSD]]))</f>
        <v/>
      </c>
      <c r="AN386" s="220" t="str">
        <f>IF(Buildings_GridElectricity_Frontend[[#This Row],[Data]]="","",Buildings_GridElectricity_Backend[[#This Row],[Total (tCO2e)]]*(1+Buildings_GridElectricity_Backend[[#This Row],[RSD]]))</f>
        <v/>
      </c>
      <c r="AO386" s="210" t="str">
        <f>IF(Buildings_GridElectricity_Frontend[[#This Row],[Data]]="","",_xlfn.XLOOKUP(_xlfn.CONCAT(Buildings_GridElectricity_Backend[[#This Row],[Level 1]:[Level 6]]),rng_EFConcat,rng_EFOOS)*Buildings_GridElectricity_Backend[[#This Row],[Converted data]]/1000)</f>
        <v/>
      </c>
      <c r="AP386" s="174">
        <f>Buildings_GridElectricity_Frontend[[#This Row],[Ease of collection]]</f>
        <v>0</v>
      </c>
      <c r="AQ386" s="213">
        <f>Buildings_GridElectricity_Frontend[[#This Row],[Completeness]]</f>
        <v>0</v>
      </c>
      <c r="AR386" s="220">
        <f>Buildings_GridElectricity_Frontend[[#This Row],[Notes]]</f>
        <v>0</v>
      </c>
    </row>
    <row r="387" spans="5:44" x14ac:dyDescent="0.3">
      <c r="E387" s="346"/>
      <c r="F387" s="449"/>
      <c r="G387" s="336"/>
      <c r="H387" s="334"/>
      <c r="I387" s="172" t="s">
        <v>316</v>
      </c>
      <c r="J387" s="337"/>
      <c r="K387" s="336"/>
      <c r="L387" s="336"/>
      <c r="M387" s="337"/>
      <c r="N387" s="242">
        <f t="shared" si="13"/>
        <v>3</v>
      </c>
      <c r="Q387" s="212" t="str">
        <f t="shared" si="12"/>
        <v/>
      </c>
      <c r="R387" s="174" t="s">
        <v>265</v>
      </c>
      <c r="S387" s="174" t="s">
        <v>273</v>
      </c>
      <c r="T387" s="174" t="str">
        <f>_xlfn.XLOOKUP(Buildings_GridElectricity_Backend[[#This Row],[Info 1]],Buildings_SiteInfo[Site name],Buildings_SiteInfo[Site type], "")</f>
        <v/>
      </c>
      <c r="U387" s="174" t="s">
        <v>281</v>
      </c>
      <c r="V387" s="174" t="str" cm="1">
        <f t="array" aca="1" ref="V387" ca="1">_xlfn.XLOOKUP(Buildings_GridElectricity_Backend[[#This Row],[Level 4]],rng_Level4Long,rng_Level5Long)</f>
        <v>Electricity</v>
      </c>
      <c r="W387" s="174" t="str" cm="1">
        <f t="array" aca="1" ref="W387" ca="1">_xlfn.XLOOKUP(Buildings_GridElectricity_Backend[[#This Row],[Level 4]],rng_Level4Long,rng_Level6Long)</f>
        <v>NaN</v>
      </c>
      <c r="X387" s="174">
        <f>Buildings_GridElectricity_Frontend[[#This Row],[Site Name]]</f>
        <v>0</v>
      </c>
      <c r="Y387" s="174">
        <f>Buildings_GridElectricity_Frontend[[#This Row],[Contracting]]</f>
        <v>0</v>
      </c>
      <c r="Z387" s="174">
        <f>Buildings_GridElectricity_Frontend[[#This Row],[Methodology]]</f>
        <v>0</v>
      </c>
      <c r="AA387" s="229" t="str" cm="1">
        <f t="array" ref="AA387">IF(Buildings_GridElectricity_Frontend[[#This Row],[Data]]="","",INDEX(_xlfn.SWITCH(Buildings_GridElectricity_Backend[[#This Row],[Methodology]],"Tier 1",rng_RSD1,"Tier 2",rng_RSD2,"Tier 3",rng_RSD3),MATCH(_xlfn.CONCAT(Buildings_GridElectricity_Backend[[#This Row],[Level 1]:[Level 6]]),rng_LevelsConcat,0)))</f>
        <v/>
      </c>
      <c r="AB387" s="220">
        <f>Buildings_GridElectricity_Frontend[[#This Row],[Data]]</f>
        <v>0</v>
      </c>
      <c r="AC387" s="174" t="str">
        <f>Buildings_GridElectricity_Frontend[[#This Row],[Units]]</f>
        <v>kWh</v>
      </c>
      <c r="AD387" s="218">
        <f>Buildings_GridElectricity_Frontend[[#This Row],[Data]]</f>
        <v>0</v>
      </c>
      <c r="AE387" s="174" t="str">
        <f>Buildings_GridElectricity_Frontend[[#This Row],[Units]]</f>
        <v>kWh</v>
      </c>
      <c r="AF387" s="210" t="str">
        <f>IF(Buildings_GridElectricity_Frontend[[#This Row],[Data]]="","",_xlfn.XLOOKUP(_xlfn.CONCAT(Buildings_GridElectricity_Backend[[#This Row],[Level 1]:[Level 6]]),rng_EFConcat,rng_EF1)*Buildings_GridElectricity_Backend[[#This Row],[Converted data]]/1000)</f>
        <v/>
      </c>
      <c r="AG387" s="210" t="str">
        <f>IF(Buildings_GridElectricity_Frontend[[#This Row],[Data]]="","",_xlfn.XLOOKUP(_xlfn.CONCAT(Buildings_GridElectricity_Backend[[#This Row],[Level 1]:[Level 6]]),rng_EFConcat,rng_EF2)*Buildings_GridElectricity_Backend[[#This Row],[Converted data]]/1000)</f>
        <v/>
      </c>
      <c r="AH387" s="210" t="str">
        <f>IF(Buildings_GridElectricity_Frontend[[#This Row],[Data]]="","",_xlfn.XLOOKUP(_xlfn.CONCAT(Buildings_GridElectricity_Backend[[#This Row],[Level 1]:[Level 6]]),rng_EFConcat,rng_EF3)*Buildings_GridElectricity_Backend[[#This Row],[Converted data]]/1000)</f>
        <v/>
      </c>
      <c r="AI387" s="210" t="str">
        <f>IF(Buildings_GridElectricity_Frontend[[#This Row],[Data]]="","",_xlfn.XLOOKUP(_xlfn.CONCAT(Buildings_GridElectricity_Backend[[#This Row],[Level 1]:[Level 6]]),rng_EFConcat,rng_EF3WTT)*Buildings_GridElectricity_Backend[[#This Row],[Converted data]]/1000)</f>
        <v/>
      </c>
      <c r="AJ387" s="210" t="str">
        <f>IF(Buildings_GridElectricity_Frontend[[#This Row],[Data]]="","",_xlfn.XLOOKUP(_xlfn.CONCAT(Buildings_GridElectricity_Backend[[#This Row],[Level 1]:[Level 6]]),rng_EFConcat,rng_EF3TD)*Buildings_GridElectricity_Backend[[#This Row],[Converted data]]/1000)</f>
        <v/>
      </c>
      <c r="AK387" s="210" t="str">
        <f>IF(Buildings_GridElectricity_Frontend[[#This Row],[Data]]="","",_xlfn.XLOOKUP(_xlfn.CONCAT(Buildings_GridElectricity_Backend[[#This Row],[Level 1]:[Level 6]]),rng_EFConcat,rng_EF3WTTTD)*Buildings_GridElectricity_Backend[[#This Row],[Converted data]]/1000)</f>
        <v/>
      </c>
      <c r="AL387" s="220" t="str">
        <f>IF(Buildings_GridElectricity_Frontend[[#This Row],[Data]]="","",SUM(Buildings_GridElectricity_Backend[[#This Row],[Scope 1 (tCO2e)]:[Scope 3 WTT T&amp;D (tCO2e)]]))</f>
        <v/>
      </c>
      <c r="AM387" s="220" t="str">
        <f>IF(Buildings_GridElectricity_Frontend[[#This Row],[Data]]="","",Buildings_GridElectricity_Backend[[#This Row],[Total (tCO2e)]]*(1-Buildings_GridElectricity_Backend[[#This Row],[RSD]]))</f>
        <v/>
      </c>
      <c r="AN387" s="220" t="str">
        <f>IF(Buildings_GridElectricity_Frontend[[#This Row],[Data]]="","",Buildings_GridElectricity_Backend[[#This Row],[Total (tCO2e)]]*(1+Buildings_GridElectricity_Backend[[#This Row],[RSD]]))</f>
        <v/>
      </c>
      <c r="AO387" s="210" t="str">
        <f>IF(Buildings_GridElectricity_Frontend[[#This Row],[Data]]="","",_xlfn.XLOOKUP(_xlfn.CONCAT(Buildings_GridElectricity_Backend[[#This Row],[Level 1]:[Level 6]]),rng_EFConcat,rng_EFOOS)*Buildings_GridElectricity_Backend[[#This Row],[Converted data]]/1000)</f>
        <v/>
      </c>
      <c r="AP387" s="174">
        <f>Buildings_GridElectricity_Frontend[[#This Row],[Ease of collection]]</f>
        <v>0</v>
      </c>
      <c r="AQ387" s="213">
        <f>Buildings_GridElectricity_Frontend[[#This Row],[Completeness]]</f>
        <v>0</v>
      </c>
      <c r="AR387" s="220">
        <f>Buildings_GridElectricity_Frontend[[#This Row],[Notes]]</f>
        <v>0</v>
      </c>
    </row>
    <row r="388" spans="5:44" x14ac:dyDescent="0.3">
      <c r="E388" s="346"/>
      <c r="F388" s="449"/>
      <c r="G388" s="336"/>
      <c r="H388" s="334"/>
      <c r="I388" s="172" t="s">
        <v>316</v>
      </c>
      <c r="J388" s="337"/>
      <c r="K388" s="336"/>
      <c r="L388" s="336"/>
      <c r="M388" s="337"/>
      <c r="N388" s="242">
        <f t="shared" si="13"/>
        <v>3</v>
      </c>
      <c r="Q388" s="212" t="str">
        <f t="shared" si="12"/>
        <v/>
      </c>
      <c r="R388" s="174" t="s">
        <v>265</v>
      </c>
      <c r="S388" s="174" t="s">
        <v>273</v>
      </c>
      <c r="T388" s="174" t="str">
        <f>_xlfn.XLOOKUP(Buildings_GridElectricity_Backend[[#This Row],[Info 1]],Buildings_SiteInfo[Site name],Buildings_SiteInfo[Site type], "")</f>
        <v/>
      </c>
      <c r="U388" s="174" t="s">
        <v>281</v>
      </c>
      <c r="V388" s="174" t="str" cm="1">
        <f t="array" aca="1" ref="V388" ca="1">_xlfn.XLOOKUP(Buildings_GridElectricity_Backend[[#This Row],[Level 4]],rng_Level4Long,rng_Level5Long)</f>
        <v>Electricity</v>
      </c>
      <c r="W388" s="174" t="str" cm="1">
        <f t="array" aca="1" ref="W388" ca="1">_xlfn.XLOOKUP(Buildings_GridElectricity_Backend[[#This Row],[Level 4]],rng_Level4Long,rng_Level6Long)</f>
        <v>NaN</v>
      </c>
      <c r="X388" s="174">
        <f>Buildings_GridElectricity_Frontend[[#This Row],[Site Name]]</f>
        <v>0</v>
      </c>
      <c r="Y388" s="174">
        <f>Buildings_GridElectricity_Frontend[[#This Row],[Contracting]]</f>
        <v>0</v>
      </c>
      <c r="Z388" s="174">
        <f>Buildings_GridElectricity_Frontend[[#This Row],[Methodology]]</f>
        <v>0</v>
      </c>
      <c r="AA388" s="229" t="str" cm="1">
        <f t="array" ref="AA388">IF(Buildings_GridElectricity_Frontend[[#This Row],[Data]]="","",INDEX(_xlfn.SWITCH(Buildings_GridElectricity_Backend[[#This Row],[Methodology]],"Tier 1",rng_RSD1,"Tier 2",rng_RSD2,"Tier 3",rng_RSD3),MATCH(_xlfn.CONCAT(Buildings_GridElectricity_Backend[[#This Row],[Level 1]:[Level 6]]),rng_LevelsConcat,0)))</f>
        <v/>
      </c>
      <c r="AB388" s="220">
        <f>Buildings_GridElectricity_Frontend[[#This Row],[Data]]</f>
        <v>0</v>
      </c>
      <c r="AC388" s="174" t="str">
        <f>Buildings_GridElectricity_Frontend[[#This Row],[Units]]</f>
        <v>kWh</v>
      </c>
      <c r="AD388" s="218">
        <f>Buildings_GridElectricity_Frontend[[#This Row],[Data]]</f>
        <v>0</v>
      </c>
      <c r="AE388" s="174" t="str">
        <f>Buildings_GridElectricity_Frontend[[#This Row],[Units]]</f>
        <v>kWh</v>
      </c>
      <c r="AF388" s="210" t="str">
        <f>IF(Buildings_GridElectricity_Frontend[[#This Row],[Data]]="","",_xlfn.XLOOKUP(_xlfn.CONCAT(Buildings_GridElectricity_Backend[[#This Row],[Level 1]:[Level 6]]),rng_EFConcat,rng_EF1)*Buildings_GridElectricity_Backend[[#This Row],[Converted data]]/1000)</f>
        <v/>
      </c>
      <c r="AG388" s="210" t="str">
        <f>IF(Buildings_GridElectricity_Frontend[[#This Row],[Data]]="","",_xlfn.XLOOKUP(_xlfn.CONCAT(Buildings_GridElectricity_Backend[[#This Row],[Level 1]:[Level 6]]),rng_EFConcat,rng_EF2)*Buildings_GridElectricity_Backend[[#This Row],[Converted data]]/1000)</f>
        <v/>
      </c>
      <c r="AH388" s="210" t="str">
        <f>IF(Buildings_GridElectricity_Frontend[[#This Row],[Data]]="","",_xlfn.XLOOKUP(_xlfn.CONCAT(Buildings_GridElectricity_Backend[[#This Row],[Level 1]:[Level 6]]),rng_EFConcat,rng_EF3)*Buildings_GridElectricity_Backend[[#This Row],[Converted data]]/1000)</f>
        <v/>
      </c>
      <c r="AI388" s="210" t="str">
        <f>IF(Buildings_GridElectricity_Frontend[[#This Row],[Data]]="","",_xlfn.XLOOKUP(_xlfn.CONCAT(Buildings_GridElectricity_Backend[[#This Row],[Level 1]:[Level 6]]),rng_EFConcat,rng_EF3WTT)*Buildings_GridElectricity_Backend[[#This Row],[Converted data]]/1000)</f>
        <v/>
      </c>
      <c r="AJ388" s="210" t="str">
        <f>IF(Buildings_GridElectricity_Frontend[[#This Row],[Data]]="","",_xlfn.XLOOKUP(_xlfn.CONCAT(Buildings_GridElectricity_Backend[[#This Row],[Level 1]:[Level 6]]),rng_EFConcat,rng_EF3TD)*Buildings_GridElectricity_Backend[[#This Row],[Converted data]]/1000)</f>
        <v/>
      </c>
      <c r="AK388" s="210" t="str">
        <f>IF(Buildings_GridElectricity_Frontend[[#This Row],[Data]]="","",_xlfn.XLOOKUP(_xlfn.CONCAT(Buildings_GridElectricity_Backend[[#This Row],[Level 1]:[Level 6]]),rng_EFConcat,rng_EF3WTTTD)*Buildings_GridElectricity_Backend[[#This Row],[Converted data]]/1000)</f>
        <v/>
      </c>
      <c r="AL388" s="220" t="str">
        <f>IF(Buildings_GridElectricity_Frontend[[#This Row],[Data]]="","",SUM(Buildings_GridElectricity_Backend[[#This Row],[Scope 1 (tCO2e)]:[Scope 3 WTT T&amp;D (tCO2e)]]))</f>
        <v/>
      </c>
      <c r="AM388" s="220" t="str">
        <f>IF(Buildings_GridElectricity_Frontend[[#This Row],[Data]]="","",Buildings_GridElectricity_Backend[[#This Row],[Total (tCO2e)]]*(1-Buildings_GridElectricity_Backend[[#This Row],[RSD]]))</f>
        <v/>
      </c>
      <c r="AN388" s="220" t="str">
        <f>IF(Buildings_GridElectricity_Frontend[[#This Row],[Data]]="","",Buildings_GridElectricity_Backend[[#This Row],[Total (tCO2e)]]*(1+Buildings_GridElectricity_Backend[[#This Row],[RSD]]))</f>
        <v/>
      </c>
      <c r="AO388" s="210" t="str">
        <f>IF(Buildings_GridElectricity_Frontend[[#This Row],[Data]]="","",_xlfn.XLOOKUP(_xlfn.CONCAT(Buildings_GridElectricity_Backend[[#This Row],[Level 1]:[Level 6]]),rng_EFConcat,rng_EFOOS)*Buildings_GridElectricity_Backend[[#This Row],[Converted data]]/1000)</f>
        <v/>
      </c>
      <c r="AP388" s="174">
        <f>Buildings_GridElectricity_Frontend[[#This Row],[Ease of collection]]</f>
        <v>0</v>
      </c>
      <c r="AQ388" s="213">
        <f>Buildings_GridElectricity_Frontend[[#This Row],[Completeness]]</f>
        <v>0</v>
      </c>
      <c r="AR388" s="220">
        <f>Buildings_GridElectricity_Frontend[[#This Row],[Notes]]</f>
        <v>0</v>
      </c>
    </row>
    <row r="389" spans="5:44" x14ac:dyDescent="0.3">
      <c r="E389" s="346"/>
      <c r="F389" s="449"/>
      <c r="G389" s="336"/>
      <c r="H389" s="334"/>
      <c r="I389" s="172" t="s">
        <v>316</v>
      </c>
      <c r="J389" s="337"/>
      <c r="K389" s="336"/>
      <c r="L389" s="336"/>
      <c r="M389" s="337"/>
      <c r="N389" s="242">
        <f t="shared" si="13"/>
        <v>3</v>
      </c>
      <c r="Q389" s="212" t="str">
        <f t="shared" si="12"/>
        <v/>
      </c>
      <c r="R389" s="174" t="s">
        <v>265</v>
      </c>
      <c r="S389" s="174" t="s">
        <v>273</v>
      </c>
      <c r="T389" s="174" t="str">
        <f>_xlfn.XLOOKUP(Buildings_GridElectricity_Backend[[#This Row],[Info 1]],Buildings_SiteInfo[Site name],Buildings_SiteInfo[Site type], "")</f>
        <v/>
      </c>
      <c r="U389" s="174" t="s">
        <v>281</v>
      </c>
      <c r="V389" s="174" t="str" cm="1">
        <f t="array" aca="1" ref="V389" ca="1">_xlfn.XLOOKUP(Buildings_GridElectricity_Backend[[#This Row],[Level 4]],rng_Level4Long,rng_Level5Long)</f>
        <v>Electricity</v>
      </c>
      <c r="W389" s="174" t="str" cm="1">
        <f t="array" aca="1" ref="W389" ca="1">_xlfn.XLOOKUP(Buildings_GridElectricity_Backend[[#This Row],[Level 4]],rng_Level4Long,rng_Level6Long)</f>
        <v>NaN</v>
      </c>
      <c r="X389" s="174">
        <f>Buildings_GridElectricity_Frontend[[#This Row],[Site Name]]</f>
        <v>0</v>
      </c>
      <c r="Y389" s="174">
        <f>Buildings_GridElectricity_Frontend[[#This Row],[Contracting]]</f>
        <v>0</v>
      </c>
      <c r="Z389" s="174">
        <f>Buildings_GridElectricity_Frontend[[#This Row],[Methodology]]</f>
        <v>0</v>
      </c>
      <c r="AA389" s="229" t="str" cm="1">
        <f t="array" ref="AA389">IF(Buildings_GridElectricity_Frontend[[#This Row],[Data]]="","",INDEX(_xlfn.SWITCH(Buildings_GridElectricity_Backend[[#This Row],[Methodology]],"Tier 1",rng_RSD1,"Tier 2",rng_RSD2,"Tier 3",rng_RSD3),MATCH(_xlfn.CONCAT(Buildings_GridElectricity_Backend[[#This Row],[Level 1]:[Level 6]]),rng_LevelsConcat,0)))</f>
        <v/>
      </c>
      <c r="AB389" s="220">
        <f>Buildings_GridElectricity_Frontend[[#This Row],[Data]]</f>
        <v>0</v>
      </c>
      <c r="AC389" s="174" t="str">
        <f>Buildings_GridElectricity_Frontend[[#This Row],[Units]]</f>
        <v>kWh</v>
      </c>
      <c r="AD389" s="218">
        <f>Buildings_GridElectricity_Frontend[[#This Row],[Data]]</f>
        <v>0</v>
      </c>
      <c r="AE389" s="174" t="str">
        <f>Buildings_GridElectricity_Frontend[[#This Row],[Units]]</f>
        <v>kWh</v>
      </c>
      <c r="AF389" s="210" t="str">
        <f>IF(Buildings_GridElectricity_Frontend[[#This Row],[Data]]="","",_xlfn.XLOOKUP(_xlfn.CONCAT(Buildings_GridElectricity_Backend[[#This Row],[Level 1]:[Level 6]]),rng_EFConcat,rng_EF1)*Buildings_GridElectricity_Backend[[#This Row],[Converted data]]/1000)</f>
        <v/>
      </c>
      <c r="AG389" s="210" t="str">
        <f>IF(Buildings_GridElectricity_Frontend[[#This Row],[Data]]="","",_xlfn.XLOOKUP(_xlfn.CONCAT(Buildings_GridElectricity_Backend[[#This Row],[Level 1]:[Level 6]]),rng_EFConcat,rng_EF2)*Buildings_GridElectricity_Backend[[#This Row],[Converted data]]/1000)</f>
        <v/>
      </c>
      <c r="AH389" s="210" t="str">
        <f>IF(Buildings_GridElectricity_Frontend[[#This Row],[Data]]="","",_xlfn.XLOOKUP(_xlfn.CONCAT(Buildings_GridElectricity_Backend[[#This Row],[Level 1]:[Level 6]]),rng_EFConcat,rng_EF3)*Buildings_GridElectricity_Backend[[#This Row],[Converted data]]/1000)</f>
        <v/>
      </c>
      <c r="AI389" s="210" t="str">
        <f>IF(Buildings_GridElectricity_Frontend[[#This Row],[Data]]="","",_xlfn.XLOOKUP(_xlfn.CONCAT(Buildings_GridElectricity_Backend[[#This Row],[Level 1]:[Level 6]]),rng_EFConcat,rng_EF3WTT)*Buildings_GridElectricity_Backend[[#This Row],[Converted data]]/1000)</f>
        <v/>
      </c>
      <c r="AJ389" s="210" t="str">
        <f>IF(Buildings_GridElectricity_Frontend[[#This Row],[Data]]="","",_xlfn.XLOOKUP(_xlfn.CONCAT(Buildings_GridElectricity_Backend[[#This Row],[Level 1]:[Level 6]]),rng_EFConcat,rng_EF3TD)*Buildings_GridElectricity_Backend[[#This Row],[Converted data]]/1000)</f>
        <v/>
      </c>
      <c r="AK389" s="210" t="str">
        <f>IF(Buildings_GridElectricity_Frontend[[#This Row],[Data]]="","",_xlfn.XLOOKUP(_xlfn.CONCAT(Buildings_GridElectricity_Backend[[#This Row],[Level 1]:[Level 6]]),rng_EFConcat,rng_EF3WTTTD)*Buildings_GridElectricity_Backend[[#This Row],[Converted data]]/1000)</f>
        <v/>
      </c>
      <c r="AL389" s="220" t="str">
        <f>IF(Buildings_GridElectricity_Frontend[[#This Row],[Data]]="","",SUM(Buildings_GridElectricity_Backend[[#This Row],[Scope 1 (tCO2e)]:[Scope 3 WTT T&amp;D (tCO2e)]]))</f>
        <v/>
      </c>
      <c r="AM389" s="220" t="str">
        <f>IF(Buildings_GridElectricity_Frontend[[#This Row],[Data]]="","",Buildings_GridElectricity_Backend[[#This Row],[Total (tCO2e)]]*(1-Buildings_GridElectricity_Backend[[#This Row],[RSD]]))</f>
        <v/>
      </c>
      <c r="AN389" s="220" t="str">
        <f>IF(Buildings_GridElectricity_Frontend[[#This Row],[Data]]="","",Buildings_GridElectricity_Backend[[#This Row],[Total (tCO2e)]]*(1+Buildings_GridElectricity_Backend[[#This Row],[RSD]]))</f>
        <v/>
      </c>
      <c r="AO389" s="210" t="str">
        <f>IF(Buildings_GridElectricity_Frontend[[#This Row],[Data]]="","",_xlfn.XLOOKUP(_xlfn.CONCAT(Buildings_GridElectricity_Backend[[#This Row],[Level 1]:[Level 6]]),rng_EFConcat,rng_EFOOS)*Buildings_GridElectricity_Backend[[#This Row],[Converted data]]/1000)</f>
        <v/>
      </c>
      <c r="AP389" s="174">
        <f>Buildings_GridElectricity_Frontend[[#This Row],[Ease of collection]]</f>
        <v>0</v>
      </c>
      <c r="AQ389" s="213">
        <f>Buildings_GridElectricity_Frontend[[#This Row],[Completeness]]</f>
        <v>0</v>
      </c>
      <c r="AR389" s="220">
        <f>Buildings_GridElectricity_Frontend[[#This Row],[Notes]]</f>
        <v>0</v>
      </c>
    </row>
    <row r="390" spans="5:44" x14ac:dyDescent="0.3">
      <c r="E390" s="346"/>
      <c r="F390" s="449"/>
      <c r="G390" s="336"/>
      <c r="H390" s="334"/>
      <c r="I390" s="172" t="s">
        <v>316</v>
      </c>
      <c r="J390" s="337"/>
      <c r="K390" s="336"/>
      <c r="L390" s="336"/>
      <c r="M390" s="337"/>
      <c r="N390" s="242">
        <f t="shared" si="13"/>
        <v>3</v>
      </c>
      <c r="Q390" s="212" t="str">
        <f t="shared" si="12"/>
        <v/>
      </c>
      <c r="R390" s="174" t="s">
        <v>265</v>
      </c>
      <c r="S390" s="174" t="s">
        <v>273</v>
      </c>
      <c r="T390" s="174" t="str">
        <f>_xlfn.XLOOKUP(Buildings_GridElectricity_Backend[[#This Row],[Info 1]],Buildings_SiteInfo[Site name],Buildings_SiteInfo[Site type], "")</f>
        <v/>
      </c>
      <c r="U390" s="174" t="s">
        <v>281</v>
      </c>
      <c r="V390" s="174" t="str" cm="1">
        <f t="array" aca="1" ref="V390" ca="1">_xlfn.XLOOKUP(Buildings_GridElectricity_Backend[[#This Row],[Level 4]],rng_Level4Long,rng_Level5Long)</f>
        <v>Electricity</v>
      </c>
      <c r="W390" s="174" t="str" cm="1">
        <f t="array" aca="1" ref="W390" ca="1">_xlfn.XLOOKUP(Buildings_GridElectricity_Backend[[#This Row],[Level 4]],rng_Level4Long,rng_Level6Long)</f>
        <v>NaN</v>
      </c>
      <c r="X390" s="174">
        <f>Buildings_GridElectricity_Frontend[[#This Row],[Site Name]]</f>
        <v>0</v>
      </c>
      <c r="Y390" s="174">
        <f>Buildings_GridElectricity_Frontend[[#This Row],[Contracting]]</f>
        <v>0</v>
      </c>
      <c r="Z390" s="174">
        <f>Buildings_GridElectricity_Frontend[[#This Row],[Methodology]]</f>
        <v>0</v>
      </c>
      <c r="AA390" s="229" t="str" cm="1">
        <f t="array" ref="AA390">IF(Buildings_GridElectricity_Frontend[[#This Row],[Data]]="","",INDEX(_xlfn.SWITCH(Buildings_GridElectricity_Backend[[#This Row],[Methodology]],"Tier 1",rng_RSD1,"Tier 2",rng_RSD2,"Tier 3",rng_RSD3),MATCH(_xlfn.CONCAT(Buildings_GridElectricity_Backend[[#This Row],[Level 1]:[Level 6]]),rng_LevelsConcat,0)))</f>
        <v/>
      </c>
      <c r="AB390" s="220">
        <f>Buildings_GridElectricity_Frontend[[#This Row],[Data]]</f>
        <v>0</v>
      </c>
      <c r="AC390" s="174" t="str">
        <f>Buildings_GridElectricity_Frontend[[#This Row],[Units]]</f>
        <v>kWh</v>
      </c>
      <c r="AD390" s="218">
        <f>Buildings_GridElectricity_Frontend[[#This Row],[Data]]</f>
        <v>0</v>
      </c>
      <c r="AE390" s="174" t="str">
        <f>Buildings_GridElectricity_Frontend[[#This Row],[Units]]</f>
        <v>kWh</v>
      </c>
      <c r="AF390" s="210" t="str">
        <f>IF(Buildings_GridElectricity_Frontend[[#This Row],[Data]]="","",_xlfn.XLOOKUP(_xlfn.CONCAT(Buildings_GridElectricity_Backend[[#This Row],[Level 1]:[Level 6]]),rng_EFConcat,rng_EF1)*Buildings_GridElectricity_Backend[[#This Row],[Converted data]]/1000)</f>
        <v/>
      </c>
      <c r="AG390" s="210" t="str">
        <f>IF(Buildings_GridElectricity_Frontend[[#This Row],[Data]]="","",_xlfn.XLOOKUP(_xlfn.CONCAT(Buildings_GridElectricity_Backend[[#This Row],[Level 1]:[Level 6]]),rng_EFConcat,rng_EF2)*Buildings_GridElectricity_Backend[[#This Row],[Converted data]]/1000)</f>
        <v/>
      </c>
      <c r="AH390" s="210" t="str">
        <f>IF(Buildings_GridElectricity_Frontend[[#This Row],[Data]]="","",_xlfn.XLOOKUP(_xlfn.CONCAT(Buildings_GridElectricity_Backend[[#This Row],[Level 1]:[Level 6]]),rng_EFConcat,rng_EF3)*Buildings_GridElectricity_Backend[[#This Row],[Converted data]]/1000)</f>
        <v/>
      </c>
      <c r="AI390" s="210" t="str">
        <f>IF(Buildings_GridElectricity_Frontend[[#This Row],[Data]]="","",_xlfn.XLOOKUP(_xlfn.CONCAT(Buildings_GridElectricity_Backend[[#This Row],[Level 1]:[Level 6]]),rng_EFConcat,rng_EF3WTT)*Buildings_GridElectricity_Backend[[#This Row],[Converted data]]/1000)</f>
        <v/>
      </c>
      <c r="AJ390" s="210" t="str">
        <f>IF(Buildings_GridElectricity_Frontend[[#This Row],[Data]]="","",_xlfn.XLOOKUP(_xlfn.CONCAT(Buildings_GridElectricity_Backend[[#This Row],[Level 1]:[Level 6]]),rng_EFConcat,rng_EF3TD)*Buildings_GridElectricity_Backend[[#This Row],[Converted data]]/1000)</f>
        <v/>
      </c>
      <c r="AK390" s="210" t="str">
        <f>IF(Buildings_GridElectricity_Frontend[[#This Row],[Data]]="","",_xlfn.XLOOKUP(_xlfn.CONCAT(Buildings_GridElectricity_Backend[[#This Row],[Level 1]:[Level 6]]),rng_EFConcat,rng_EF3WTTTD)*Buildings_GridElectricity_Backend[[#This Row],[Converted data]]/1000)</f>
        <v/>
      </c>
      <c r="AL390" s="220" t="str">
        <f>IF(Buildings_GridElectricity_Frontend[[#This Row],[Data]]="","",SUM(Buildings_GridElectricity_Backend[[#This Row],[Scope 1 (tCO2e)]:[Scope 3 WTT T&amp;D (tCO2e)]]))</f>
        <v/>
      </c>
      <c r="AM390" s="220" t="str">
        <f>IF(Buildings_GridElectricity_Frontend[[#This Row],[Data]]="","",Buildings_GridElectricity_Backend[[#This Row],[Total (tCO2e)]]*(1-Buildings_GridElectricity_Backend[[#This Row],[RSD]]))</f>
        <v/>
      </c>
      <c r="AN390" s="220" t="str">
        <f>IF(Buildings_GridElectricity_Frontend[[#This Row],[Data]]="","",Buildings_GridElectricity_Backend[[#This Row],[Total (tCO2e)]]*(1+Buildings_GridElectricity_Backend[[#This Row],[RSD]]))</f>
        <v/>
      </c>
      <c r="AO390" s="210" t="str">
        <f>IF(Buildings_GridElectricity_Frontend[[#This Row],[Data]]="","",_xlfn.XLOOKUP(_xlfn.CONCAT(Buildings_GridElectricity_Backend[[#This Row],[Level 1]:[Level 6]]),rng_EFConcat,rng_EFOOS)*Buildings_GridElectricity_Backend[[#This Row],[Converted data]]/1000)</f>
        <v/>
      </c>
      <c r="AP390" s="174">
        <f>Buildings_GridElectricity_Frontend[[#This Row],[Ease of collection]]</f>
        <v>0</v>
      </c>
      <c r="AQ390" s="213">
        <f>Buildings_GridElectricity_Frontend[[#This Row],[Completeness]]</f>
        <v>0</v>
      </c>
      <c r="AR390" s="220">
        <f>Buildings_GridElectricity_Frontend[[#This Row],[Notes]]</f>
        <v>0</v>
      </c>
    </row>
    <row r="391" spans="5:44" x14ac:dyDescent="0.3">
      <c r="E391" s="346"/>
      <c r="F391" s="449"/>
      <c r="G391" s="336"/>
      <c r="H391" s="334"/>
      <c r="I391" s="172" t="s">
        <v>316</v>
      </c>
      <c r="J391" s="337"/>
      <c r="K391" s="336"/>
      <c r="L391" s="336"/>
      <c r="M391" s="337"/>
      <c r="N391" s="242">
        <f t="shared" si="13"/>
        <v>3</v>
      </c>
      <c r="Q391" s="212" t="str">
        <f t="shared" si="12"/>
        <v/>
      </c>
      <c r="R391" s="174" t="s">
        <v>265</v>
      </c>
      <c r="S391" s="174" t="s">
        <v>273</v>
      </c>
      <c r="T391" s="174" t="str">
        <f>_xlfn.XLOOKUP(Buildings_GridElectricity_Backend[[#This Row],[Info 1]],Buildings_SiteInfo[Site name],Buildings_SiteInfo[Site type], "")</f>
        <v/>
      </c>
      <c r="U391" s="174" t="s">
        <v>281</v>
      </c>
      <c r="V391" s="174" t="str" cm="1">
        <f t="array" aca="1" ref="V391" ca="1">_xlfn.XLOOKUP(Buildings_GridElectricity_Backend[[#This Row],[Level 4]],rng_Level4Long,rng_Level5Long)</f>
        <v>Electricity</v>
      </c>
      <c r="W391" s="174" t="str" cm="1">
        <f t="array" aca="1" ref="W391" ca="1">_xlfn.XLOOKUP(Buildings_GridElectricity_Backend[[#This Row],[Level 4]],rng_Level4Long,rng_Level6Long)</f>
        <v>NaN</v>
      </c>
      <c r="X391" s="174">
        <f>Buildings_GridElectricity_Frontend[[#This Row],[Site Name]]</f>
        <v>0</v>
      </c>
      <c r="Y391" s="174">
        <f>Buildings_GridElectricity_Frontend[[#This Row],[Contracting]]</f>
        <v>0</v>
      </c>
      <c r="Z391" s="174">
        <f>Buildings_GridElectricity_Frontend[[#This Row],[Methodology]]</f>
        <v>0</v>
      </c>
      <c r="AA391" s="229" t="str" cm="1">
        <f t="array" ref="AA391">IF(Buildings_GridElectricity_Frontend[[#This Row],[Data]]="","",INDEX(_xlfn.SWITCH(Buildings_GridElectricity_Backend[[#This Row],[Methodology]],"Tier 1",rng_RSD1,"Tier 2",rng_RSD2,"Tier 3",rng_RSD3),MATCH(_xlfn.CONCAT(Buildings_GridElectricity_Backend[[#This Row],[Level 1]:[Level 6]]),rng_LevelsConcat,0)))</f>
        <v/>
      </c>
      <c r="AB391" s="220">
        <f>Buildings_GridElectricity_Frontend[[#This Row],[Data]]</f>
        <v>0</v>
      </c>
      <c r="AC391" s="174" t="str">
        <f>Buildings_GridElectricity_Frontend[[#This Row],[Units]]</f>
        <v>kWh</v>
      </c>
      <c r="AD391" s="218">
        <f>Buildings_GridElectricity_Frontend[[#This Row],[Data]]</f>
        <v>0</v>
      </c>
      <c r="AE391" s="174" t="str">
        <f>Buildings_GridElectricity_Frontend[[#This Row],[Units]]</f>
        <v>kWh</v>
      </c>
      <c r="AF391" s="210" t="str">
        <f>IF(Buildings_GridElectricity_Frontend[[#This Row],[Data]]="","",_xlfn.XLOOKUP(_xlfn.CONCAT(Buildings_GridElectricity_Backend[[#This Row],[Level 1]:[Level 6]]),rng_EFConcat,rng_EF1)*Buildings_GridElectricity_Backend[[#This Row],[Converted data]]/1000)</f>
        <v/>
      </c>
      <c r="AG391" s="210" t="str">
        <f>IF(Buildings_GridElectricity_Frontend[[#This Row],[Data]]="","",_xlfn.XLOOKUP(_xlfn.CONCAT(Buildings_GridElectricity_Backend[[#This Row],[Level 1]:[Level 6]]),rng_EFConcat,rng_EF2)*Buildings_GridElectricity_Backend[[#This Row],[Converted data]]/1000)</f>
        <v/>
      </c>
      <c r="AH391" s="210" t="str">
        <f>IF(Buildings_GridElectricity_Frontend[[#This Row],[Data]]="","",_xlfn.XLOOKUP(_xlfn.CONCAT(Buildings_GridElectricity_Backend[[#This Row],[Level 1]:[Level 6]]),rng_EFConcat,rng_EF3)*Buildings_GridElectricity_Backend[[#This Row],[Converted data]]/1000)</f>
        <v/>
      </c>
      <c r="AI391" s="210" t="str">
        <f>IF(Buildings_GridElectricity_Frontend[[#This Row],[Data]]="","",_xlfn.XLOOKUP(_xlfn.CONCAT(Buildings_GridElectricity_Backend[[#This Row],[Level 1]:[Level 6]]),rng_EFConcat,rng_EF3WTT)*Buildings_GridElectricity_Backend[[#This Row],[Converted data]]/1000)</f>
        <v/>
      </c>
      <c r="AJ391" s="210" t="str">
        <f>IF(Buildings_GridElectricity_Frontend[[#This Row],[Data]]="","",_xlfn.XLOOKUP(_xlfn.CONCAT(Buildings_GridElectricity_Backend[[#This Row],[Level 1]:[Level 6]]),rng_EFConcat,rng_EF3TD)*Buildings_GridElectricity_Backend[[#This Row],[Converted data]]/1000)</f>
        <v/>
      </c>
      <c r="AK391" s="210" t="str">
        <f>IF(Buildings_GridElectricity_Frontend[[#This Row],[Data]]="","",_xlfn.XLOOKUP(_xlfn.CONCAT(Buildings_GridElectricity_Backend[[#This Row],[Level 1]:[Level 6]]),rng_EFConcat,rng_EF3WTTTD)*Buildings_GridElectricity_Backend[[#This Row],[Converted data]]/1000)</f>
        <v/>
      </c>
      <c r="AL391" s="220" t="str">
        <f>IF(Buildings_GridElectricity_Frontend[[#This Row],[Data]]="","",SUM(Buildings_GridElectricity_Backend[[#This Row],[Scope 1 (tCO2e)]:[Scope 3 WTT T&amp;D (tCO2e)]]))</f>
        <v/>
      </c>
      <c r="AM391" s="220" t="str">
        <f>IF(Buildings_GridElectricity_Frontend[[#This Row],[Data]]="","",Buildings_GridElectricity_Backend[[#This Row],[Total (tCO2e)]]*(1-Buildings_GridElectricity_Backend[[#This Row],[RSD]]))</f>
        <v/>
      </c>
      <c r="AN391" s="220" t="str">
        <f>IF(Buildings_GridElectricity_Frontend[[#This Row],[Data]]="","",Buildings_GridElectricity_Backend[[#This Row],[Total (tCO2e)]]*(1+Buildings_GridElectricity_Backend[[#This Row],[RSD]]))</f>
        <v/>
      </c>
      <c r="AO391" s="210" t="str">
        <f>IF(Buildings_GridElectricity_Frontend[[#This Row],[Data]]="","",_xlfn.XLOOKUP(_xlfn.CONCAT(Buildings_GridElectricity_Backend[[#This Row],[Level 1]:[Level 6]]),rng_EFConcat,rng_EFOOS)*Buildings_GridElectricity_Backend[[#This Row],[Converted data]]/1000)</f>
        <v/>
      </c>
      <c r="AP391" s="174">
        <f>Buildings_GridElectricity_Frontend[[#This Row],[Ease of collection]]</f>
        <v>0</v>
      </c>
      <c r="AQ391" s="213">
        <f>Buildings_GridElectricity_Frontend[[#This Row],[Completeness]]</f>
        <v>0</v>
      </c>
      <c r="AR391" s="220">
        <f>Buildings_GridElectricity_Frontend[[#This Row],[Notes]]</f>
        <v>0</v>
      </c>
    </row>
    <row r="392" spans="5:44" x14ac:dyDescent="0.3">
      <c r="E392" s="346"/>
      <c r="F392" s="449"/>
      <c r="G392" s="336"/>
      <c r="H392" s="334"/>
      <c r="I392" s="172" t="s">
        <v>316</v>
      </c>
      <c r="J392" s="337"/>
      <c r="K392" s="336"/>
      <c r="L392" s="336"/>
      <c r="M392" s="337"/>
      <c r="N392" s="242">
        <f t="shared" si="13"/>
        <v>3</v>
      </c>
      <c r="Q392" s="212" t="str">
        <f t="shared" si="12"/>
        <v/>
      </c>
      <c r="R392" s="174" t="s">
        <v>265</v>
      </c>
      <c r="S392" s="174" t="s">
        <v>273</v>
      </c>
      <c r="T392" s="174" t="str">
        <f>_xlfn.XLOOKUP(Buildings_GridElectricity_Backend[[#This Row],[Info 1]],Buildings_SiteInfo[Site name],Buildings_SiteInfo[Site type], "")</f>
        <v/>
      </c>
      <c r="U392" s="174" t="s">
        <v>281</v>
      </c>
      <c r="V392" s="174" t="str" cm="1">
        <f t="array" aca="1" ref="V392" ca="1">_xlfn.XLOOKUP(Buildings_GridElectricity_Backend[[#This Row],[Level 4]],rng_Level4Long,rng_Level5Long)</f>
        <v>Electricity</v>
      </c>
      <c r="W392" s="174" t="str" cm="1">
        <f t="array" aca="1" ref="W392" ca="1">_xlfn.XLOOKUP(Buildings_GridElectricity_Backend[[#This Row],[Level 4]],rng_Level4Long,rng_Level6Long)</f>
        <v>NaN</v>
      </c>
      <c r="X392" s="174">
        <f>Buildings_GridElectricity_Frontend[[#This Row],[Site Name]]</f>
        <v>0</v>
      </c>
      <c r="Y392" s="174">
        <f>Buildings_GridElectricity_Frontend[[#This Row],[Contracting]]</f>
        <v>0</v>
      </c>
      <c r="Z392" s="174">
        <f>Buildings_GridElectricity_Frontend[[#This Row],[Methodology]]</f>
        <v>0</v>
      </c>
      <c r="AA392" s="229" t="str" cm="1">
        <f t="array" ref="AA392">IF(Buildings_GridElectricity_Frontend[[#This Row],[Data]]="","",INDEX(_xlfn.SWITCH(Buildings_GridElectricity_Backend[[#This Row],[Methodology]],"Tier 1",rng_RSD1,"Tier 2",rng_RSD2,"Tier 3",rng_RSD3),MATCH(_xlfn.CONCAT(Buildings_GridElectricity_Backend[[#This Row],[Level 1]:[Level 6]]),rng_LevelsConcat,0)))</f>
        <v/>
      </c>
      <c r="AB392" s="220">
        <f>Buildings_GridElectricity_Frontend[[#This Row],[Data]]</f>
        <v>0</v>
      </c>
      <c r="AC392" s="174" t="str">
        <f>Buildings_GridElectricity_Frontend[[#This Row],[Units]]</f>
        <v>kWh</v>
      </c>
      <c r="AD392" s="218">
        <f>Buildings_GridElectricity_Frontend[[#This Row],[Data]]</f>
        <v>0</v>
      </c>
      <c r="AE392" s="174" t="str">
        <f>Buildings_GridElectricity_Frontend[[#This Row],[Units]]</f>
        <v>kWh</v>
      </c>
      <c r="AF392" s="210" t="str">
        <f>IF(Buildings_GridElectricity_Frontend[[#This Row],[Data]]="","",_xlfn.XLOOKUP(_xlfn.CONCAT(Buildings_GridElectricity_Backend[[#This Row],[Level 1]:[Level 6]]),rng_EFConcat,rng_EF1)*Buildings_GridElectricity_Backend[[#This Row],[Converted data]]/1000)</f>
        <v/>
      </c>
      <c r="AG392" s="210" t="str">
        <f>IF(Buildings_GridElectricity_Frontend[[#This Row],[Data]]="","",_xlfn.XLOOKUP(_xlfn.CONCAT(Buildings_GridElectricity_Backend[[#This Row],[Level 1]:[Level 6]]),rng_EFConcat,rng_EF2)*Buildings_GridElectricity_Backend[[#This Row],[Converted data]]/1000)</f>
        <v/>
      </c>
      <c r="AH392" s="210" t="str">
        <f>IF(Buildings_GridElectricity_Frontend[[#This Row],[Data]]="","",_xlfn.XLOOKUP(_xlfn.CONCAT(Buildings_GridElectricity_Backend[[#This Row],[Level 1]:[Level 6]]),rng_EFConcat,rng_EF3)*Buildings_GridElectricity_Backend[[#This Row],[Converted data]]/1000)</f>
        <v/>
      </c>
      <c r="AI392" s="210" t="str">
        <f>IF(Buildings_GridElectricity_Frontend[[#This Row],[Data]]="","",_xlfn.XLOOKUP(_xlfn.CONCAT(Buildings_GridElectricity_Backend[[#This Row],[Level 1]:[Level 6]]),rng_EFConcat,rng_EF3WTT)*Buildings_GridElectricity_Backend[[#This Row],[Converted data]]/1000)</f>
        <v/>
      </c>
      <c r="AJ392" s="210" t="str">
        <f>IF(Buildings_GridElectricity_Frontend[[#This Row],[Data]]="","",_xlfn.XLOOKUP(_xlfn.CONCAT(Buildings_GridElectricity_Backend[[#This Row],[Level 1]:[Level 6]]),rng_EFConcat,rng_EF3TD)*Buildings_GridElectricity_Backend[[#This Row],[Converted data]]/1000)</f>
        <v/>
      </c>
      <c r="AK392" s="210" t="str">
        <f>IF(Buildings_GridElectricity_Frontend[[#This Row],[Data]]="","",_xlfn.XLOOKUP(_xlfn.CONCAT(Buildings_GridElectricity_Backend[[#This Row],[Level 1]:[Level 6]]),rng_EFConcat,rng_EF3WTTTD)*Buildings_GridElectricity_Backend[[#This Row],[Converted data]]/1000)</f>
        <v/>
      </c>
      <c r="AL392" s="220" t="str">
        <f>IF(Buildings_GridElectricity_Frontend[[#This Row],[Data]]="","",SUM(Buildings_GridElectricity_Backend[[#This Row],[Scope 1 (tCO2e)]:[Scope 3 WTT T&amp;D (tCO2e)]]))</f>
        <v/>
      </c>
      <c r="AM392" s="220" t="str">
        <f>IF(Buildings_GridElectricity_Frontend[[#This Row],[Data]]="","",Buildings_GridElectricity_Backend[[#This Row],[Total (tCO2e)]]*(1-Buildings_GridElectricity_Backend[[#This Row],[RSD]]))</f>
        <v/>
      </c>
      <c r="AN392" s="220" t="str">
        <f>IF(Buildings_GridElectricity_Frontend[[#This Row],[Data]]="","",Buildings_GridElectricity_Backend[[#This Row],[Total (tCO2e)]]*(1+Buildings_GridElectricity_Backend[[#This Row],[RSD]]))</f>
        <v/>
      </c>
      <c r="AO392" s="210" t="str">
        <f>IF(Buildings_GridElectricity_Frontend[[#This Row],[Data]]="","",_xlfn.XLOOKUP(_xlfn.CONCAT(Buildings_GridElectricity_Backend[[#This Row],[Level 1]:[Level 6]]),rng_EFConcat,rng_EFOOS)*Buildings_GridElectricity_Backend[[#This Row],[Converted data]]/1000)</f>
        <v/>
      </c>
      <c r="AP392" s="174">
        <f>Buildings_GridElectricity_Frontend[[#This Row],[Ease of collection]]</f>
        <v>0</v>
      </c>
      <c r="AQ392" s="213">
        <f>Buildings_GridElectricity_Frontend[[#This Row],[Completeness]]</f>
        <v>0</v>
      </c>
      <c r="AR392" s="220">
        <f>Buildings_GridElectricity_Frontend[[#This Row],[Notes]]</f>
        <v>0</v>
      </c>
    </row>
    <row r="393" spans="5:44" x14ac:dyDescent="0.3">
      <c r="E393" s="346"/>
      <c r="F393" s="449"/>
      <c r="G393" s="336"/>
      <c r="H393" s="334"/>
      <c r="I393" s="172" t="s">
        <v>316</v>
      </c>
      <c r="J393" s="337"/>
      <c r="K393" s="336"/>
      <c r="L393" s="336"/>
      <c r="M393" s="337"/>
      <c r="N393" s="242">
        <f t="shared" si="13"/>
        <v>3</v>
      </c>
      <c r="Q393" s="212" t="str">
        <f t="shared" si="12"/>
        <v/>
      </c>
      <c r="R393" s="174" t="s">
        <v>265</v>
      </c>
      <c r="S393" s="174" t="s">
        <v>273</v>
      </c>
      <c r="T393" s="174" t="str">
        <f>_xlfn.XLOOKUP(Buildings_GridElectricity_Backend[[#This Row],[Info 1]],Buildings_SiteInfo[Site name],Buildings_SiteInfo[Site type], "")</f>
        <v/>
      </c>
      <c r="U393" s="174" t="s">
        <v>281</v>
      </c>
      <c r="V393" s="174" t="str" cm="1">
        <f t="array" aca="1" ref="V393" ca="1">_xlfn.XLOOKUP(Buildings_GridElectricity_Backend[[#This Row],[Level 4]],rng_Level4Long,rng_Level5Long)</f>
        <v>Electricity</v>
      </c>
      <c r="W393" s="174" t="str" cm="1">
        <f t="array" aca="1" ref="W393" ca="1">_xlfn.XLOOKUP(Buildings_GridElectricity_Backend[[#This Row],[Level 4]],rng_Level4Long,rng_Level6Long)</f>
        <v>NaN</v>
      </c>
      <c r="X393" s="174">
        <f>Buildings_GridElectricity_Frontend[[#This Row],[Site Name]]</f>
        <v>0</v>
      </c>
      <c r="Y393" s="174">
        <f>Buildings_GridElectricity_Frontend[[#This Row],[Contracting]]</f>
        <v>0</v>
      </c>
      <c r="Z393" s="174">
        <f>Buildings_GridElectricity_Frontend[[#This Row],[Methodology]]</f>
        <v>0</v>
      </c>
      <c r="AA393" s="229" t="str" cm="1">
        <f t="array" ref="AA393">IF(Buildings_GridElectricity_Frontend[[#This Row],[Data]]="","",INDEX(_xlfn.SWITCH(Buildings_GridElectricity_Backend[[#This Row],[Methodology]],"Tier 1",rng_RSD1,"Tier 2",rng_RSD2,"Tier 3",rng_RSD3),MATCH(_xlfn.CONCAT(Buildings_GridElectricity_Backend[[#This Row],[Level 1]:[Level 6]]),rng_LevelsConcat,0)))</f>
        <v/>
      </c>
      <c r="AB393" s="220">
        <f>Buildings_GridElectricity_Frontend[[#This Row],[Data]]</f>
        <v>0</v>
      </c>
      <c r="AC393" s="174" t="str">
        <f>Buildings_GridElectricity_Frontend[[#This Row],[Units]]</f>
        <v>kWh</v>
      </c>
      <c r="AD393" s="218">
        <f>Buildings_GridElectricity_Frontend[[#This Row],[Data]]</f>
        <v>0</v>
      </c>
      <c r="AE393" s="174" t="str">
        <f>Buildings_GridElectricity_Frontend[[#This Row],[Units]]</f>
        <v>kWh</v>
      </c>
      <c r="AF393" s="210" t="str">
        <f>IF(Buildings_GridElectricity_Frontend[[#This Row],[Data]]="","",_xlfn.XLOOKUP(_xlfn.CONCAT(Buildings_GridElectricity_Backend[[#This Row],[Level 1]:[Level 6]]),rng_EFConcat,rng_EF1)*Buildings_GridElectricity_Backend[[#This Row],[Converted data]]/1000)</f>
        <v/>
      </c>
      <c r="AG393" s="210" t="str">
        <f>IF(Buildings_GridElectricity_Frontend[[#This Row],[Data]]="","",_xlfn.XLOOKUP(_xlfn.CONCAT(Buildings_GridElectricity_Backend[[#This Row],[Level 1]:[Level 6]]),rng_EFConcat,rng_EF2)*Buildings_GridElectricity_Backend[[#This Row],[Converted data]]/1000)</f>
        <v/>
      </c>
      <c r="AH393" s="210" t="str">
        <f>IF(Buildings_GridElectricity_Frontend[[#This Row],[Data]]="","",_xlfn.XLOOKUP(_xlfn.CONCAT(Buildings_GridElectricity_Backend[[#This Row],[Level 1]:[Level 6]]),rng_EFConcat,rng_EF3)*Buildings_GridElectricity_Backend[[#This Row],[Converted data]]/1000)</f>
        <v/>
      </c>
      <c r="AI393" s="210" t="str">
        <f>IF(Buildings_GridElectricity_Frontend[[#This Row],[Data]]="","",_xlfn.XLOOKUP(_xlfn.CONCAT(Buildings_GridElectricity_Backend[[#This Row],[Level 1]:[Level 6]]),rng_EFConcat,rng_EF3WTT)*Buildings_GridElectricity_Backend[[#This Row],[Converted data]]/1000)</f>
        <v/>
      </c>
      <c r="AJ393" s="210" t="str">
        <f>IF(Buildings_GridElectricity_Frontend[[#This Row],[Data]]="","",_xlfn.XLOOKUP(_xlfn.CONCAT(Buildings_GridElectricity_Backend[[#This Row],[Level 1]:[Level 6]]),rng_EFConcat,rng_EF3TD)*Buildings_GridElectricity_Backend[[#This Row],[Converted data]]/1000)</f>
        <v/>
      </c>
      <c r="AK393" s="210" t="str">
        <f>IF(Buildings_GridElectricity_Frontend[[#This Row],[Data]]="","",_xlfn.XLOOKUP(_xlfn.CONCAT(Buildings_GridElectricity_Backend[[#This Row],[Level 1]:[Level 6]]),rng_EFConcat,rng_EF3WTTTD)*Buildings_GridElectricity_Backend[[#This Row],[Converted data]]/1000)</f>
        <v/>
      </c>
      <c r="AL393" s="220" t="str">
        <f>IF(Buildings_GridElectricity_Frontend[[#This Row],[Data]]="","",SUM(Buildings_GridElectricity_Backend[[#This Row],[Scope 1 (tCO2e)]:[Scope 3 WTT T&amp;D (tCO2e)]]))</f>
        <v/>
      </c>
      <c r="AM393" s="220" t="str">
        <f>IF(Buildings_GridElectricity_Frontend[[#This Row],[Data]]="","",Buildings_GridElectricity_Backend[[#This Row],[Total (tCO2e)]]*(1-Buildings_GridElectricity_Backend[[#This Row],[RSD]]))</f>
        <v/>
      </c>
      <c r="AN393" s="220" t="str">
        <f>IF(Buildings_GridElectricity_Frontend[[#This Row],[Data]]="","",Buildings_GridElectricity_Backend[[#This Row],[Total (tCO2e)]]*(1+Buildings_GridElectricity_Backend[[#This Row],[RSD]]))</f>
        <v/>
      </c>
      <c r="AO393" s="210" t="str">
        <f>IF(Buildings_GridElectricity_Frontend[[#This Row],[Data]]="","",_xlfn.XLOOKUP(_xlfn.CONCAT(Buildings_GridElectricity_Backend[[#This Row],[Level 1]:[Level 6]]),rng_EFConcat,rng_EFOOS)*Buildings_GridElectricity_Backend[[#This Row],[Converted data]]/1000)</f>
        <v/>
      </c>
      <c r="AP393" s="174">
        <f>Buildings_GridElectricity_Frontend[[#This Row],[Ease of collection]]</f>
        <v>0</v>
      </c>
      <c r="AQ393" s="213">
        <f>Buildings_GridElectricity_Frontend[[#This Row],[Completeness]]</f>
        <v>0</v>
      </c>
      <c r="AR393" s="220">
        <f>Buildings_GridElectricity_Frontend[[#This Row],[Notes]]</f>
        <v>0</v>
      </c>
    </row>
    <row r="394" spans="5:44" x14ac:dyDescent="0.3">
      <c r="E394" s="346"/>
      <c r="F394" s="449"/>
      <c r="G394" s="336"/>
      <c r="H394" s="334"/>
      <c r="I394" s="172" t="s">
        <v>316</v>
      </c>
      <c r="J394" s="337"/>
      <c r="K394" s="336"/>
      <c r="L394" s="336"/>
      <c r="M394" s="337"/>
      <c r="N394" s="242">
        <f t="shared" si="13"/>
        <v>3</v>
      </c>
      <c r="Q394" s="212" t="str">
        <f t="shared" si="12"/>
        <v/>
      </c>
      <c r="R394" s="174" t="s">
        <v>265</v>
      </c>
      <c r="S394" s="174" t="s">
        <v>273</v>
      </c>
      <c r="T394" s="174" t="str">
        <f>_xlfn.XLOOKUP(Buildings_GridElectricity_Backend[[#This Row],[Info 1]],Buildings_SiteInfo[Site name],Buildings_SiteInfo[Site type], "")</f>
        <v/>
      </c>
      <c r="U394" s="174" t="s">
        <v>281</v>
      </c>
      <c r="V394" s="174" t="str" cm="1">
        <f t="array" aca="1" ref="V394" ca="1">_xlfn.XLOOKUP(Buildings_GridElectricity_Backend[[#This Row],[Level 4]],rng_Level4Long,rng_Level5Long)</f>
        <v>Electricity</v>
      </c>
      <c r="W394" s="174" t="str" cm="1">
        <f t="array" aca="1" ref="W394" ca="1">_xlfn.XLOOKUP(Buildings_GridElectricity_Backend[[#This Row],[Level 4]],rng_Level4Long,rng_Level6Long)</f>
        <v>NaN</v>
      </c>
      <c r="X394" s="174">
        <f>Buildings_GridElectricity_Frontend[[#This Row],[Site Name]]</f>
        <v>0</v>
      </c>
      <c r="Y394" s="174">
        <f>Buildings_GridElectricity_Frontend[[#This Row],[Contracting]]</f>
        <v>0</v>
      </c>
      <c r="Z394" s="174">
        <f>Buildings_GridElectricity_Frontend[[#This Row],[Methodology]]</f>
        <v>0</v>
      </c>
      <c r="AA394" s="229" t="str" cm="1">
        <f t="array" ref="AA394">IF(Buildings_GridElectricity_Frontend[[#This Row],[Data]]="","",INDEX(_xlfn.SWITCH(Buildings_GridElectricity_Backend[[#This Row],[Methodology]],"Tier 1",rng_RSD1,"Tier 2",rng_RSD2,"Tier 3",rng_RSD3),MATCH(_xlfn.CONCAT(Buildings_GridElectricity_Backend[[#This Row],[Level 1]:[Level 6]]),rng_LevelsConcat,0)))</f>
        <v/>
      </c>
      <c r="AB394" s="220">
        <f>Buildings_GridElectricity_Frontend[[#This Row],[Data]]</f>
        <v>0</v>
      </c>
      <c r="AC394" s="174" t="str">
        <f>Buildings_GridElectricity_Frontend[[#This Row],[Units]]</f>
        <v>kWh</v>
      </c>
      <c r="AD394" s="218">
        <f>Buildings_GridElectricity_Frontend[[#This Row],[Data]]</f>
        <v>0</v>
      </c>
      <c r="AE394" s="174" t="str">
        <f>Buildings_GridElectricity_Frontend[[#This Row],[Units]]</f>
        <v>kWh</v>
      </c>
      <c r="AF394" s="210" t="str">
        <f>IF(Buildings_GridElectricity_Frontend[[#This Row],[Data]]="","",_xlfn.XLOOKUP(_xlfn.CONCAT(Buildings_GridElectricity_Backend[[#This Row],[Level 1]:[Level 6]]),rng_EFConcat,rng_EF1)*Buildings_GridElectricity_Backend[[#This Row],[Converted data]]/1000)</f>
        <v/>
      </c>
      <c r="AG394" s="210" t="str">
        <f>IF(Buildings_GridElectricity_Frontend[[#This Row],[Data]]="","",_xlfn.XLOOKUP(_xlfn.CONCAT(Buildings_GridElectricity_Backend[[#This Row],[Level 1]:[Level 6]]),rng_EFConcat,rng_EF2)*Buildings_GridElectricity_Backend[[#This Row],[Converted data]]/1000)</f>
        <v/>
      </c>
      <c r="AH394" s="210" t="str">
        <f>IF(Buildings_GridElectricity_Frontend[[#This Row],[Data]]="","",_xlfn.XLOOKUP(_xlfn.CONCAT(Buildings_GridElectricity_Backend[[#This Row],[Level 1]:[Level 6]]),rng_EFConcat,rng_EF3)*Buildings_GridElectricity_Backend[[#This Row],[Converted data]]/1000)</f>
        <v/>
      </c>
      <c r="AI394" s="210" t="str">
        <f>IF(Buildings_GridElectricity_Frontend[[#This Row],[Data]]="","",_xlfn.XLOOKUP(_xlfn.CONCAT(Buildings_GridElectricity_Backend[[#This Row],[Level 1]:[Level 6]]),rng_EFConcat,rng_EF3WTT)*Buildings_GridElectricity_Backend[[#This Row],[Converted data]]/1000)</f>
        <v/>
      </c>
      <c r="AJ394" s="210" t="str">
        <f>IF(Buildings_GridElectricity_Frontend[[#This Row],[Data]]="","",_xlfn.XLOOKUP(_xlfn.CONCAT(Buildings_GridElectricity_Backend[[#This Row],[Level 1]:[Level 6]]),rng_EFConcat,rng_EF3TD)*Buildings_GridElectricity_Backend[[#This Row],[Converted data]]/1000)</f>
        <v/>
      </c>
      <c r="AK394" s="210" t="str">
        <f>IF(Buildings_GridElectricity_Frontend[[#This Row],[Data]]="","",_xlfn.XLOOKUP(_xlfn.CONCAT(Buildings_GridElectricity_Backend[[#This Row],[Level 1]:[Level 6]]),rng_EFConcat,rng_EF3WTTTD)*Buildings_GridElectricity_Backend[[#This Row],[Converted data]]/1000)</f>
        <v/>
      </c>
      <c r="AL394" s="220" t="str">
        <f>IF(Buildings_GridElectricity_Frontend[[#This Row],[Data]]="","",SUM(Buildings_GridElectricity_Backend[[#This Row],[Scope 1 (tCO2e)]:[Scope 3 WTT T&amp;D (tCO2e)]]))</f>
        <v/>
      </c>
      <c r="AM394" s="220" t="str">
        <f>IF(Buildings_GridElectricity_Frontend[[#This Row],[Data]]="","",Buildings_GridElectricity_Backend[[#This Row],[Total (tCO2e)]]*(1-Buildings_GridElectricity_Backend[[#This Row],[RSD]]))</f>
        <v/>
      </c>
      <c r="AN394" s="220" t="str">
        <f>IF(Buildings_GridElectricity_Frontend[[#This Row],[Data]]="","",Buildings_GridElectricity_Backend[[#This Row],[Total (tCO2e)]]*(1+Buildings_GridElectricity_Backend[[#This Row],[RSD]]))</f>
        <v/>
      </c>
      <c r="AO394" s="210" t="str">
        <f>IF(Buildings_GridElectricity_Frontend[[#This Row],[Data]]="","",_xlfn.XLOOKUP(_xlfn.CONCAT(Buildings_GridElectricity_Backend[[#This Row],[Level 1]:[Level 6]]),rng_EFConcat,rng_EFOOS)*Buildings_GridElectricity_Backend[[#This Row],[Converted data]]/1000)</f>
        <v/>
      </c>
      <c r="AP394" s="174">
        <f>Buildings_GridElectricity_Frontend[[#This Row],[Ease of collection]]</f>
        <v>0</v>
      </c>
      <c r="AQ394" s="213">
        <f>Buildings_GridElectricity_Frontend[[#This Row],[Completeness]]</f>
        <v>0</v>
      </c>
      <c r="AR394" s="220">
        <f>Buildings_GridElectricity_Frontend[[#This Row],[Notes]]</f>
        <v>0</v>
      </c>
    </row>
    <row r="395" spans="5:44" x14ac:dyDescent="0.3">
      <c r="E395" s="346"/>
      <c r="F395" s="449"/>
      <c r="G395" s="336"/>
      <c r="H395" s="334"/>
      <c r="I395" s="172" t="s">
        <v>316</v>
      </c>
      <c r="J395" s="337"/>
      <c r="K395" s="336"/>
      <c r="L395" s="336"/>
      <c r="M395" s="337"/>
      <c r="N395" s="242">
        <f t="shared" si="13"/>
        <v>3</v>
      </c>
      <c r="Q395" s="212" t="str">
        <f t="shared" si="12"/>
        <v/>
      </c>
      <c r="R395" s="174" t="s">
        <v>265</v>
      </c>
      <c r="S395" s="174" t="s">
        <v>273</v>
      </c>
      <c r="T395" s="174" t="str">
        <f>_xlfn.XLOOKUP(Buildings_GridElectricity_Backend[[#This Row],[Info 1]],Buildings_SiteInfo[Site name],Buildings_SiteInfo[Site type], "")</f>
        <v/>
      </c>
      <c r="U395" s="174" t="s">
        <v>281</v>
      </c>
      <c r="V395" s="174" t="str" cm="1">
        <f t="array" aca="1" ref="V395" ca="1">_xlfn.XLOOKUP(Buildings_GridElectricity_Backend[[#This Row],[Level 4]],rng_Level4Long,rng_Level5Long)</f>
        <v>Electricity</v>
      </c>
      <c r="W395" s="174" t="str" cm="1">
        <f t="array" aca="1" ref="W395" ca="1">_xlfn.XLOOKUP(Buildings_GridElectricity_Backend[[#This Row],[Level 4]],rng_Level4Long,rng_Level6Long)</f>
        <v>NaN</v>
      </c>
      <c r="X395" s="174">
        <f>Buildings_GridElectricity_Frontend[[#This Row],[Site Name]]</f>
        <v>0</v>
      </c>
      <c r="Y395" s="174">
        <f>Buildings_GridElectricity_Frontend[[#This Row],[Contracting]]</f>
        <v>0</v>
      </c>
      <c r="Z395" s="174">
        <f>Buildings_GridElectricity_Frontend[[#This Row],[Methodology]]</f>
        <v>0</v>
      </c>
      <c r="AA395" s="229" t="str" cm="1">
        <f t="array" ref="AA395">IF(Buildings_GridElectricity_Frontend[[#This Row],[Data]]="","",INDEX(_xlfn.SWITCH(Buildings_GridElectricity_Backend[[#This Row],[Methodology]],"Tier 1",rng_RSD1,"Tier 2",rng_RSD2,"Tier 3",rng_RSD3),MATCH(_xlfn.CONCAT(Buildings_GridElectricity_Backend[[#This Row],[Level 1]:[Level 6]]),rng_LevelsConcat,0)))</f>
        <v/>
      </c>
      <c r="AB395" s="220">
        <f>Buildings_GridElectricity_Frontend[[#This Row],[Data]]</f>
        <v>0</v>
      </c>
      <c r="AC395" s="174" t="str">
        <f>Buildings_GridElectricity_Frontend[[#This Row],[Units]]</f>
        <v>kWh</v>
      </c>
      <c r="AD395" s="218">
        <f>Buildings_GridElectricity_Frontend[[#This Row],[Data]]</f>
        <v>0</v>
      </c>
      <c r="AE395" s="174" t="str">
        <f>Buildings_GridElectricity_Frontend[[#This Row],[Units]]</f>
        <v>kWh</v>
      </c>
      <c r="AF395" s="210" t="str">
        <f>IF(Buildings_GridElectricity_Frontend[[#This Row],[Data]]="","",_xlfn.XLOOKUP(_xlfn.CONCAT(Buildings_GridElectricity_Backend[[#This Row],[Level 1]:[Level 6]]),rng_EFConcat,rng_EF1)*Buildings_GridElectricity_Backend[[#This Row],[Converted data]]/1000)</f>
        <v/>
      </c>
      <c r="AG395" s="210" t="str">
        <f>IF(Buildings_GridElectricity_Frontend[[#This Row],[Data]]="","",_xlfn.XLOOKUP(_xlfn.CONCAT(Buildings_GridElectricity_Backend[[#This Row],[Level 1]:[Level 6]]),rng_EFConcat,rng_EF2)*Buildings_GridElectricity_Backend[[#This Row],[Converted data]]/1000)</f>
        <v/>
      </c>
      <c r="AH395" s="210" t="str">
        <f>IF(Buildings_GridElectricity_Frontend[[#This Row],[Data]]="","",_xlfn.XLOOKUP(_xlfn.CONCAT(Buildings_GridElectricity_Backend[[#This Row],[Level 1]:[Level 6]]),rng_EFConcat,rng_EF3)*Buildings_GridElectricity_Backend[[#This Row],[Converted data]]/1000)</f>
        <v/>
      </c>
      <c r="AI395" s="210" t="str">
        <f>IF(Buildings_GridElectricity_Frontend[[#This Row],[Data]]="","",_xlfn.XLOOKUP(_xlfn.CONCAT(Buildings_GridElectricity_Backend[[#This Row],[Level 1]:[Level 6]]),rng_EFConcat,rng_EF3WTT)*Buildings_GridElectricity_Backend[[#This Row],[Converted data]]/1000)</f>
        <v/>
      </c>
      <c r="AJ395" s="210" t="str">
        <f>IF(Buildings_GridElectricity_Frontend[[#This Row],[Data]]="","",_xlfn.XLOOKUP(_xlfn.CONCAT(Buildings_GridElectricity_Backend[[#This Row],[Level 1]:[Level 6]]),rng_EFConcat,rng_EF3TD)*Buildings_GridElectricity_Backend[[#This Row],[Converted data]]/1000)</f>
        <v/>
      </c>
      <c r="AK395" s="210" t="str">
        <f>IF(Buildings_GridElectricity_Frontend[[#This Row],[Data]]="","",_xlfn.XLOOKUP(_xlfn.CONCAT(Buildings_GridElectricity_Backend[[#This Row],[Level 1]:[Level 6]]),rng_EFConcat,rng_EF3WTTTD)*Buildings_GridElectricity_Backend[[#This Row],[Converted data]]/1000)</f>
        <v/>
      </c>
      <c r="AL395" s="220" t="str">
        <f>IF(Buildings_GridElectricity_Frontend[[#This Row],[Data]]="","",SUM(Buildings_GridElectricity_Backend[[#This Row],[Scope 1 (tCO2e)]:[Scope 3 WTT T&amp;D (tCO2e)]]))</f>
        <v/>
      </c>
      <c r="AM395" s="220" t="str">
        <f>IF(Buildings_GridElectricity_Frontend[[#This Row],[Data]]="","",Buildings_GridElectricity_Backend[[#This Row],[Total (tCO2e)]]*(1-Buildings_GridElectricity_Backend[[#This Row],[RSD]]))</f>
        <v/>
      </c>
      <c r="AN395" s="220" t="str">
        <f>IF(Buildings_GridElectricity_Frontend[[#This Row],[Data]]="","",Buildings_GridElectricity_Backend[[#This Row],[Total (tCO2e)]]*(1+Buildings_GridElectricity_Backend[[#This Row],[RSD]]))</f>
        <v/>
      </c>
      <c r="AO395" s="210" t="str">
        <f>IF(Buildings_GridElectricity_Frontend[[#This Row],[Data]]="","",_xlfn.XLOOKUP(_xlfn.CONCAT(Buildings_GridElectricity_Backend[[#This Row],[Level 1]:[Level 6]]),rng_EFConcat,rng_EFOOS)*Buildings_GridElectricity_Backend[[#This Row],[Converted data]]/1000)</f>
        <v/>
      </c>
      <c r="AP395" s="174">
        <f>Buildings_GridElectricity_Frontend[[#This Row],[Ease of collection]]</f>
        <v>0</v>
      </c>
      <c r="AQ395" s="213">
        <f>Buildings_GridElectricity_Frontend[[#This Row],[Completeness]]</f>
        <v>0</v>
      </c>
      <c r="AR395" s="220">
        <f>Buildings_GridElectricity_Frontend[[#This Row],[Notes]]</f>
        <v>0</v>
      </c>
    </row>
    <row r="396" spans="5:44" x14ac:dyDescent="0.3">
      <c r="E396" s="346"/>
      <c r="F396" s="449"/>
      <c r="G396" s="336"/>
      <c r="H396" s="334"/>
      <c r="I396" s="172" t="s">
        <v>316</v>
      </c>
      <c r="J396" s="337"/>
      <c r="K396" s="336"/>
      <c r="L396" s="336"/>
      <c r="M396" s="337"/>
      <c r="N396" s="242">
        <f t="shared" si="13"/>
        <v>3</v>
      </c>
      <c r="Q396" s="212" t="str">
        <f t="shared" si="12"/>
        <v/>
      </c>
      <c r="R396" s="174" t="s">
        <v>265</v>
      </c>
      <c r="S396" s="174" t="s">
        <v>273</v>
      </c>
      <c r="T396" s="174" t="str">
        <f>_xlfn.XLOOKUP(Buildings_GridElectricity_Backend[[#This Row],[Info 1]],Buildings_SiteInfo[Site name],Buildings_SiteInfo[Site type], "")</f>
        <v/>
      </c>
      <c r="U396" s="174" t="s">
        <v>281</v>
      </c>
      <c r="V396" s="174" t="str" cm="1">
        <f t="array" aca="1" ref="V396" ca="1">_xlfn.XLOOKUP(Buildings_GridElectricity_Backend[[#This Row],[Level 4]],rng_Level4Long,rng_Level5Long)</f>
        <v>Electricity</v>
      </c>
      <c r="W396" s="174" t="str" cm="1">
        <f t="array" aca="1" ref="W396" ca="1">_xlfn.XLOOKUP(Buildings_GridElectricity_Backend[[#This Row],[Level 4]],rng_Level4Long,rng_Level6Long)</f>
        <v>NaN</v>
      </c>
      <c r="X396" s="174">
        <f>Buildings_GridElectricity_Frontend[[#This Row],[Site Name]]</f>
        <v>0</v>
      </c>
      <c r="Y396" s="174">
        <f>Buildings_GridElectricity_Frontend[[#This Row],[Contracting]]</f>
        <v>0</v>
      </c>
      <c r="Z396" s="174">
        <f>Buildings_GridElectricity_Frontend[[#This Row],[Methodology]]</f>
        <v>0</v>
      </c>
      <c r="AA396" s="229" t="str" cm="1">
        <f t="array" ref="AA396">IF(Buildings_GridElectricity_Frontend[[#This Row],[Data]]="","",INDEX(_xlfn.SWITCH(Buildings_GridElectricity_Backend[[#This Row],[Methodology]],"Tier 1",rng_RSD1,"Tier 2",rng_RSD2,"Tier 3",rng_RSD3),MATCH(_xlfn.CONCAT(Buildings_GridElectricity_Backend[[#This Row],[Level 1]:[Level 6]]),rng_LevelsConcat,0)))</f>
        <v/>
      </c>
      <c r="AB396" s="220">
        <f>Buildings_GridElectricity_Frontend[[#This Row],[Data]]</f>
        <v>0</v>
      </c>
      <c r="AC396" s="174" t="str">
        <f>Buildings_GridElectricity_Frontend[[#This Row],[Units]]</f>
        <v>kWh</v>
      </c>
      <c r="AD396" s="218">
        <f>Buildings_GridElectricity_Frontend[[#This Row],[Data]]</f>
        <v>0</v>
      </c>
      <c r="AE396" s="174" t="str">
        <f>Buildings_GridElectricity_Frontend[[#This Row],[Units]]</f>
        <v>kWh</v>
      </c>
      <c r="AF396" s="210" t="str">
        <f>IF(Buildings_GridElectricity_Frontend[[#This Row],[Data]]="","",_xlfn.XLOOKUP(_xlfn.CONCAT(Buildings_GridElectricity_Backend[[#This Row],[Level 1]:[Level 6]]),rng_EFConcat,rng_EF1)*Buildings_GridElectricity_Backend[[#This Row],[Converted data]]/1000)</f>
        <v/>
      </c>
      <c r="AG396" s="210" t="str">
        <f>IF(Buildings_GridElectricity_Frontend[[#This Row],[Data]]="","",_xlfn.XLOOKUP(_xlfn.CONCAT(Buildings_GridElectricity_Backend[[#This Row],[Level 1]:[Level 6]]),rng_EFConcat,rng_EF2)*Buildings_GridElectricity_Backend[[#This Row],[Converted data]]/1000)</f>
        <v/>
      </c>
      <c r="AH396" s="210" t="str">
        <f>IF(Buildings_GridElectricity_Frontend[[#This Row],[Data]]="","",_xlfn.XLOOKUP(_xlfn.CONCAT(Buildings_GridElectricity_Backend[[#This Row],[Level 1]:[Level 6]]),rng_EFConcat,rng_EF3)*Buildings_GridElectricity_Backend[[#This Row],[Converted data]]/1000)</f>
        <v/>
      </c>
      <c r="AI396" s="210" t="str">
        <f>IF(Buildings_GridElectricity_Frontend[[#This Row],[Data]]="","",_xlfn.XLOOKUP(_xlfn.CONCAT(Buildings_GridElectricity_Backend[[#This Row],[Level 1]:[Level 6]]),rng_EFConcat,rng_EF3WTT)*Buildings_GridElectricity_Backend[[#This Row],[Converted data]]/1000)</f>
        <v/>
      </c>
      <c r="AJ396" s="210" t="str">
        <f>IF(Buildings_GridElectricity_Frontend[[#This Row],[Data]]="","",_xlfn.XLOOKUP(_xlfn.CONCAT(Buildings_GridElectricity_Backend[[#This Row],[Level 1]:[Level 6]]),rng_EFConcat,rng_EF3TD)*Buildings_GridElectricity_Backend[[#This Row],[Converted data]]/1000)</f>
        <v/>
      </c>
      <c r="AK396" s="210" t="str">
        <f>IF(Buildings_GridElectricity_Frontend[[#This Row],[Data]]="","",_xlfn.XLOOKUP(_xlfn.CONCAT(Buildings_GridElectricity_Backend[[#This Row],[Level 1]:[Level 6]]),rng_EFConcat,rng_EF3WTTTD)*Buildings_GridElectricity_Backend[[#This Row],[Converted data]]/1000)</f>
        <v/>
      </c>
      <c r="AL396" s="220" t="str">
        <f>IF(Buildings_GridElectricity_Frontend[[#This Row],[Data]]="","",SUM(Buildings_GridElectricity_Backend[[#This Row],[Scope 1 (tCO2e)]:[Scope 3 WTT T&amp;D (tCO2e)]]))</f>
        <v/>
      </c>
      <c r="AM396" s="220" t="str">
        <f>IF(Buildings_GridElectricity_Frontend[[#This Row],[Data]]="","",Buildings_GridElectricity_Backend[[#This Row],[Total (tCO2e)]]*(1-Buildings_GridElectricity_Backend[[#This Row],[RSD]]))</f>
        <v/>
      </c>
      <c r="AN396" s="220" t="str">
        <f>IF(Buildings_GridElectricity_Frontend[[#This Row],[Data]]="","",Buildings_GridElectricity_Backend[[#This Row],[Total (tCO2e)]]*(1+Buildings_GridElectricity_Backend[[#This Row],[RSD]]))</f>
        <v/>
      </c>
      <c r="AO396" s="210" t="str">
        <f>IF(Buildings_GridElectricity_Frontend[[#This Row],[Data]]="","",_xlfn.XLOOKUP(_xlfn.CONCAT(Buildings_GridElectricity_Backend[[#This Row],[Level 1]:[Level 6]]),rng_EFConcat,rng_EFOOS)*Buildings_GridElectricity_Backend[[#This Row],[Converted data]]/1000)</f>
        <v/>
      </c>
      <c r="AP396" s="174">
        <f>Buildings_GridElectricity_Frontend[[#This Row],[Ease of collection]]</f>
        <v>0</v>
      </c>
      <c r="AQ396" s="213">
        <f>Buildings_GridElectricity_Frontend[[#This Row],[Completeness]]</f>
        <v>0</v>
      </c>
      <c r="AR396" s="220">
        <f>Buildings_GridElectricity_Frontend[[#This Row],[Notes]]</f>
        <v>0</v>
      </c>
    </row>
    <row r="397" spans="5:44" x14ac:dyDescent="0.3">
      <c r="E397" s="346"/>
      <c r="F397" s="449"/>
      <c r="G397" s="336"/>
      <c r="H397" s="334"/>
      <c r="I397" s="172" t="s">
        <v>316</v>
      </c>
      <c r="J397" s="337"/>
      <c r="K397" s="336"/>
      <c r="L397" s="336"/>
      <c r="M397" s="337"/>
      <c r="N397" s="242">
        <f t="shared" si="13"/>
        <v>3</v>
      </c>
      <c r="Q397" s="212" t="str">
        <f t="shared" si="12"/>
        <v/>
      </c>
      <c r="R397" s="174" t="s">
        <v>265</v>
      </c>
      <c r="S397" s="174" t="s">
        <v>273</v>
      </c>
      <c r="T397" s="174" t="str">
        <f>_xlfn.XLOOKUP(Buildings_GridElectricity_Backend[[#This Row],[Info 1]],Buildings_SiteInfo[Site name],Buildings_SiteInfo[Site type], "")</f>
        <v/>
      </c>
      <c r="U397" s="174" t="s">
        <v>281</v>
      </c>
      <c r="V397" s="174" t="str" cm="1">
        <f t="array" aca="1" ref="V397" ca="1">_xlfn.XLOOKUP(Buildings_GridElectricity_Backend[[#This Row],[Level 4]],rng_Level4Long,rng_Level5Long)</f>
        <v>Electricity</v>
      </c>
      <c r="W397" s="174" t="str" cm="1">
        <f t="array" aca="1" ref="W397" ca="1">_xlfn.XLOOKUP(Buildings_GridElectricity_Backend[[#This Row],[Level 4]],rng_Level4Long,rng_Level6Long)</f>
        <v>NaN</v>
      </c>
      <c r="X397" s="174">
        <f>Buildings_GridElectricity_Frontend[[#This Row],[Site Name]]</f>
        <v>0</v>
      </c>
      <c r="Y397" s="174">
        <f>Buildings_GridElectricity_Frontend[[#This Row],[Contracting]]</f>
        <v>0</v>
      </c>
      <c r="Z397" s="174">
        <f>Buildings_GridElectricity_Frontend[[#This Row],[Methodology]]</f>
        <v>0</v>
      </c>
      <c r="AA397" s="229" t="str" cm="1">
        <f t="array" ref="AA397">IF(Buildings_GridElectricity_Frontend[[#This Row],[Data]]="","",INDEX(_xlfn.SWITCH(Buildings_GridElectricity_Backend[[#This Row],[Methodology]],"Tier 1",rng_RSD1,"Tier 2",rng_RSD2,"Tier 3",rng_RSD3),MATCH(_xlfn.CONCAT(Buildings_GridElectricity_Backend[[#This Row],[Level 1]:[Level 6]]),rng_LevelsConcat,0)))</f>
        <v/>
      </c>
      <c r="AB397" s="220">
        <f>Buildings_GridElectricity_Frontend[[#This Row],[Data]]</f>
        <v>0</v>
      </c>
      <c r="AC397" s="174" t="str">
        <f>Buildings_GridElectricity_Frontend[[#This Row],[Units]]</f>
        <v>kWh</v>
      </c>
      <c r="AD397" s="218">
        <f>Buildings_GridElectricity_Frontend[[#This Row],[Data]]</f>
        <v>0</v>
      </c>
      <c r="AE397" s="174" t="str">
        <f>Buildings_GridElectricity_Frontend[[#This Row],[Units]]</f>
        <v>kWh</v>
      </c>
      <c r="AF397" s="210" t="str">
        <f>IF(Buildings_GridElectricity_Frontend[[#This Row],[Data]]="","",_xlfn.XLOOKUP(_xlfn.CONCAT(Buildings_GridElectricity_Backend[[#This Row],[Level 1]:[Level 6]]),rng_EFConcat,rng_EF1)*Buildings_GridElectricity_Backend[[#This Row],[Converted data]]/1000)</f>
        <v/>
      </c>
      <c r="AG397" s="210" t="str">
        <f>IF(Buildings_GridElectricity_Frontend[[#This Row],[Data]]="","",_xlfn.XLOOKUP(_xlfn.CONCAT(Buildings_GridElectricity_Backend[[#This Row],[Level 1]:[Level 6]]),rng_EFConcat,rng_EF2)*Buildings_GridElectricity_Backend[[#This Row],[Converted data]]/1000)</f>
        <v/>
      </c>
      <c r="AH397" s="210" t="str">
        <f>IF(Buildings_GridElectricity_Frontend[[#This Row],[Data]]="","",_xlfn.XLOOKUP(_xlfn.CONCAT(Buildings_GridElectricity_Backend[[#This Row],[Level 1]:[Level 6]]),rng_EFConcat,rng_EF3)*Buildings_GridElectricity_Backend[[#This Row],[Converted data]]/1000)</f>
        <v/>
      </c>
      <c r="AI397" s="210" t="str">
        <f>IF(Buildings_GridElectricity_Frontend[[#This Row],[Data]]="","",_xlfn.XLOOKUP(_xlfn.CONCAT(Buildings_GridElectricity_Backend[[#This Row],[Level 1]:[Level 6]]),rng_EFConcat,rng_EF3WTT)*Buildings_GridElectricity_Backend[[#This Row],[Converted data]]/1000)</f>
        <v/>
      </c>
      <c r="AJ397" s="210" t="str">
        <f>IF(Buildings_GridElectricity_Frontend[[#This Row],[Data]]="","",_xlfn.XLOOKUP(_xlfn.CONCAT(Buildings_GridElectricity_Backend[[#This Row],[Level 1]:[Level 6]]),rng_EFConcat,rng_EF3TD)*Buildings_GridElectricity_Backend[[#This Row],[Converted data]]/1000)</f>
        <v/>
      </c>
      <c r="AK397" s="210" t="str">
        <f>IF(Buildings_GridElectricity_Frontend[[#This Row],[Data]]="","",_xlfn.XLOOKUP(_xlfn.CONCAT(Buildings_GridElectricity_Backend[[#This Row],[Level 1]:[Level 6]]),rng_EFConcat,rng_EF3WTTTD)*Buildings_GridElectricity_Backend[[#This Row],[Converted data]]/1000)</f>
        <v/>
      </c>
      <c r="AL397" s="220" t="str">
        <f>IF(Buildings_GridElectricity_Frontend[[#This Row],[Data]]="","",SUM(Buildings_GridElectricity_Backend[[#This Row],[Scope 1 (tCO2e)]:[Scope 3 WTT T&amp;D (tCO2e)]]))</f>
        <v/>
      </c>
      <c r="AM397" s="220" t="str">
        <f>IF(Buildings_GridElectricity_Frontend[[#This Row],[Data]]="","",Buildings_GridElectricity_Backend[[#This Row],[Total (tCO2e)]]*(1-Buildings_GridElectricity_Backend[[#This Row],[RSD]]))</f>
        <v/>
      </c>
      <c r="AN397" s="220" t="str">
        <f>IF(Buildings_GridElectricity_Frontend[[#This Row],[Data]]="","",Buildings_GridElectricity_Backend[[#This Row],[Total (tCO2e)]]*(1+Buildings_GridElectricity_Backend[[#This Row],[RSD]]))</f>
        <v/>
      </c>
      <c r="AO397" s="210" t="str">
        <f>IF(Buildings_GridElectricity_Frontend[[#This Row],[Data]]="","",_xlfn.XLOOKUP(_xlfn.CONCAT(Buildings_GridElectricity_Backend[[#This Row],[Level 1]:[Level 6]]),rng_EFConcat,rng_EFOOS)*Buildings_GridElectricity_Backend[[#This Row],[Converted data]]/1000)</f>
        <v/>
      </c>
      <c r="AP397" s="174">
        <f>Buildings_GridElectricity_Frontend[[#This Row],[Ease of collection]]</f>
        <v>0</v>
      </c>
      <c r="AQ397" s="213">
        <f>Buildings_GridElectricity_Frontend[[#This Row],[Completeness]]</f>
        <v>0</v>
      </c>
      <c r="AR397" s="220">
        <f>Buildings_GridElectricity_Frontend[[#This Row],[Notes]]</f>
        <v>0</v>
      </c>
    </row>
    <row r="398" spans="5:44" x14ac:dyDescent="0.3">
      <c r="E398" s="346"/>
      <c r="F398" s="449"/>
      <c r="G398" s="336"/>
      <c r="H398" s="334"/>
      <c r="I398" s="172" t="s">
        <v>316</v>
      </c>
      <c r="J398" s="337"/>
      <c r="K398" s="336"/>
      <c r="L398" s="336"/>
      <c r="M398" s="337"/>
      <c r="N398" s="242">
        <f t="shared" si="13"/>
        <v>3</v>
      </c>
      <c r="Q398" s="212" t="str">
        <f t="shared" si="12"/>
        <v/>
      </c>
      <c r="R398" s="174" t="s">
        <v>265</v>
      </c>
      <c r="S398" s="174" t="s">
        <v>273</v>
      </c>
      <c r="T398" s="174" t="str">
        <f>_xlfn.XLOOKUP(Buildings_GridElectricity_Backend[[#This Row],[Info 1]],Buildings_SiteInfo[Site name],Buildings_SiteInfo[Site type], "")</f>
        <v/>
      </c>
      <c r="U398" s="174" t="s">
        <v>281</v>
      </c>
      <c r="V398" s="174" t="str" cm="1">
        <f t="array" aca="1" ref="V398" ca="1">_xlfn.XLOOKUP(Buildings_GridElectricity_Backend[[#This Row],[Level 4]],rng_Level4Long,rng_Level5Long)</f>
        <v>Electricity</v>
      </c>
      <c r="W398" s="174" t="str" cm="1">
        <f t="array" aca="1" ref="W398" ca="1">_xlfn.XLOOKUP(Buildings_GridElectricity_Backend[[#This Row],[Level 4]],rng_Level4Long,rng_Level6Long)</f>
        <v>NaN</v>
      </c>
      <c r="X398" s="174">
        <f>Buildings_GridElectricity_Frontend[[#This Row],[Site Name]]</f>
        <v>0</v>
      </c>
      <c r="Y398" s="174">
        <f>Buildings_GridElectricity_Frontend[[#This Row],[Contracting]]</f>
        <v>0</v>
      </c>
      <c r="Z398" s="174">
        <f>Buildings_GridElectricity_Frontend[[#This Row],[Methodology]]</f>
        <v>0</v>
      </c>
      <c r="AA398" s="229" t="str" cm="1">
        <f t="array" ref="AA398">IF(Buildings_GridElectricity_Frontend[[#This Row],[Data]]="","",INDEX(_xlfn.SWITCH(Buildings_GridElectricity_Backend[[#This Row],[Methodology]],"Tier 1",rng_RSD1,"Tier 2",rng_RSD2,"Tier 3",rng_RSD3),MATCH(_xlfn.CONCAT(Buildings_GridElectricity_Backend[[#This Row],[Level 1]:[Level 6]]),rng_LevelsConcat,0)))</f>
        <v/>
      </c>
      <c r="AB398" s="220">
        <f>Buildings_GridElectricity_Frontend[[#This Row],[Data]]</f>
        <v>0</v>
      </c>
      <c r="AC398" s="174" t="str">
        <f>Buildings_GridElectricity_Frontend[[#This Row],[Units]]</f>
        <v>kWh</v>
      </c>
      <c r="AD398" s="218">
        <f>Buildings_GridElectricity_Frontend[[#This Row],[Data]]</f>
        <v>0</v>
      </c>
      <c r="AE398" s="174" t="str">
        <f>Buildings_GridElectricity_Frontend[[#This Row],[Units]]</f>
        <v>kWh</v>
      </c>
      <c r="AF398" s="210" t="str">
        <f>IF(Buildings_GridElectricity_Frontend[[#This Row],[Data]]="","",_xlfn.XLOOKUP(_xlfn.CONCAT(Buildings_GridElectricity_Backend[[#This Row],[Level 1]:[Level 6]]),rng_EFConcat,rng_EF1)*Buildings_GridElectricity_Backend[[#This Row],[Converted data]]/1000)</f>
        <v/>
      </c>
      <c r="AG398" s="210" t="str">
        <f>IF(Buildings_GridElectricity_Frontend[[#This Row],[Data]]="","",_xlfn.XLOOKUP(_xlfn.CONCAT(Buildings_GridElectricity_Backend[[#This Row],[Level 1]:[Level 6]]),rng_EFConcat,rng_EF2)*Buildings_GridElectricity_Backend[[#This Row],[Converted data]]/1000)</f>
        <v/>
      </c>
      <c r="AH398" s="210" t="str">
        <f>IF(Buildings_GridElectricity_Frontend[[#This Row],[Data]]="","",_xlfn.XLOOKUP(_xlfn.CONCAT(Buildings_GridElectricity_Backend[[#This Row],[Level 1]:[Level 6]]),rng_EFConcat,rng_EF3)*Buildings_GridElectricity_Backend[[#This Row],[Converted data]]/1000)</f>
        <v/>
      </c>
      <c r="AI398" s="210" t="str">
        <f>IF(Buildings_GridElectricity_Frontend[[#This Row],[Data]]="","",_xlfn.XLOOKUP(_xlfn.CONCAT(Buildings_GridElectricity_Backend[[#This Row],[Level 1]:[Level 6]]),rng_EFConcat,rng_EF3WTT)*Buildings_GridElectricity_Backend[[#This Row],[Converted data]]/1000)</f>
        <v/>
      </c>
      <c r="AJ398" s="210" t="str">
        <f>IF(Buildings_GridElectricity_Frontend[[#This Row],[Data]]="","",_xlfn.XLOOKUP(_xlfn.CONCAT(Buildings_GridElectricity_Backend[[#This Row],[Level 1]:[Level 6]]),rng_EFConcat,rng_EF3TD)*Buildings_GridElectricity_Backend[[#This Row],[Converted data]]/1000)</f>
        <v/>
      </c>
      <c r="AK398" s="210" t="str">
        <f>IF(Buildings_GridElectricity_Frontend[[#This Row],[Data]]="","",_xlfn.XLOOKUP(_xlfn.CONCAT(Buildings_GridElectricity_Backend[[#This Row],[Level 1]:[Level 6]]),rng_EFConcat,rng_EF3WTTTD)*Buildings_GridElectricity_Backend[[#This Row],[Converted data]]/1000)</f>
        <v/>
      </c>
      <c r="AL398" s="220" t="str">
        <f>IF(Buildings_GridElectricity_Frontend[[#This Row],[Data]]="","",SUM(Buildings_GridElectricity_Backend[[#This Row],[Scope 1 (tCO2e)]:[Scope 3 WTT T&amp;D (tCO2e)]]))</f>
        <v/>
      </c>
      <c r="AM398" s="220" t="str">
        <f>IF(Buildings_GridElectricity_Frontend[[#This Row],[Data]]="","",Buildings_GridElectricity_Backend[[#This Row],[Total (tCO2e)]]*(1-Buildings_GridElectricity_Backend[[#This Row],[RSD]]))</f>
        <v/>
      </c>
      <c r="AN398" s="220" t="str">
        <f>IF(Buildings_GridElectricity_Frontend[[#This Row],[Data]]="","",Buildings_GridElectricity_Backend[[#This Row],[Total (tCO2e)]]*(1+Buildings_GridElectricity_Backend[[#This Row],[RSD]]))</f>
        <v/>
      </c>
      <c r="AO398" s="210" t="str">
        <f>IF(Buildings_GridElectricity_Frontend[[#This Row],[Data]]="","",_xlfn.XLOOKUP(_xlfn.CONCAT(Buildings_GridElectricity_Backend[[#This Row],[Level 1]:[Level 6]]),rng_EFConcat,rng_EFOOS)*Buildings_GridElectricity_Backend[[#This Row],[Converted data]]/1000)</f>
        <v/>
      </c>
      <c r="AP398" s="174">
        <f>Buildings_GridElectricity_Frontend[[#This Row],[Ease of collection]]</f>
        <v>0</v>
      </c>
      <c r="AQ398" s="213">
        <f>Buildings_GridElectricity_Frontend[[#This Row],[Completeness]]</f>
        <v>0</v>
      </c>
      <c r="AR398" s="220">
        <f>Buildings_GridElectricity_Frontend[[#This Row],[Notes]]</f>
        <v>0</v>
      </c>
    </row>
    <row r="399" spans="5:44" x14ac:dyDescent="0.3">
      <c r="E399" s="346"/>
      <c r="F399" s="449"/>
      <c r="G399" s="336"/>
      <c r="H399" s="334"/>
      <c r="I399" s="172" t="s">
        <v>316</v>
      </c>
      <c r="J399" s="337"/>
      <c r="K399" s="336"/>
      <c r="L399" s="336"/>
      <c r="M399" s="337"/>
      <c r="N399" s="242">
        <f t="shared" si="13"/>
        <v>3</v>
      </c>
      <c r="Q399" s="212" t="str">
        <f t="shared" si="12"/>
        <v/>
      </c>
      <c r="R399" s="174" t="s">
        <v>265</v>
      </c>
      <c r="S399" s="174" t="s">
        <v>273</v>
      </c>
      <c r="T399" s="174" t="str">
        <f>_xlfn.XLOOKUP(Buildings_GridElectricity_Backend[[#This Row],[Info 1]],Buildings_SiteInfo[Site name],Buildings_SiteInfo[Site type], "")</f>
        <v/>
      </c>
      <c r="U399" s="174" t="s">
        <v>281</v>
      </c>
      <c r="V399" s="174" t="str" cm="1">
        <f t="array" aca="1" ref="V399" ca="1">_xlfn.XLOOKUP(Buildings_GridElectricity_Backend[[#This Row],[Level 4]],rng_Level4Long,rng_Level5Long)</f>
        <v>Electricity</v>
      </c>
      <c r="W399" s="174" t="str" cm="1">
        <f t="array" aca="1" ref="W399" ca="1">_xlfn.XLOOKUP(Buildings_GridElectricity_Backend[[#This Row],[Level 4]],rng_Level4Long,rng_Level6Long)</f>
        <v>NaN</v>
      </c>
      <c r="X399" s="174">
        <f>Buildings_GridElectricity_Frontend[[#This Row],[Site Name]]</f>
        <v>0</v>
      </c>
      <c r="Y399" s="174">
        <f>Buildings_GridElectricity_Frontend[[#This Row],[Contracting]]</f>
        <v>0</v>
      </c>
      <c r="Z399" s="174">
        <f>Buildings_GridElectricity_Frontend[[#This Row],[Methodology]]</f>
        <v>0</v>
      </c>
      <c r="AA399" s="229" t="str" cm="1">
        <f t="array" ref="AA399">IF(Buildings_GridElectricity_Frontend[[#This Row],[Data]]="","",INDEX(_xlfn.SWITCH(Buildings_GridElectricity_Backend[[#This Row],[Methodology]],"Tier 1",rng_RSD1,"Tier 2",rng_RSD2,"Tier 3",rng_RSD3),MATCH(_xlfn.CONCAT(Buildings_GridElectricity_Backend[[#This Row],[Level 1]:[Level 6]]),rng_LevelsConcat,0)))</f>
        <v/>
      </c>
      <c r="AB399" s="220">
        <f>Buildings_GridElectricity_Frontend[[#This Row],[Data]]</f>
        <v>0</v>
      </c>
      <c r="AC399" s="174" t="str">
        <f>Buildings_GridElectricity_Frontend[[#This Row],[Units]]</f>
        <v>kWh</v>
      </c>
      <c r="AD399" s="218">
        <f>Buildings_GridElectricity_Frontend[[#This Row],[Data]]</f>
        <v>0</v>
      </c>
      <c r="AE399" s="174" t="str">
        <f>Buildings_GridElectricity_Frontend[[#This Row],[Units]]</f>
        <v>kWh</v>
      </c>
      <c r="AF399" s="210" t="str">
        <f>IF(Buildings_GridElectricity_Frontend[[#This Row],[Data]]="","",_xlfn.XLOOKUP(_xlfn.CONCAT(Buildings_GridElectricity_Backend[[#This Row],[Level 1]:[Level 6]]),rng_EFConcat,rng_EF1)*Buildings_GridElectricity_Backend[[#This Row],[Converted data]]/1000)</f>
        <v/>
      </c>
      <c r="AG399" s="210" t="str">
        <f>IF(Buildings_GridElectricity_Frontend[[#This Row],[Data]]="","",_xlfn.XLOOKUP(_xlfn.CONCAT(Buildings_GridElectricity_Backend[[#This Row],[Level 1]:[Level 6]]),rng_EFConcat,rng_EF2)*Buildings_GridElectricity_Backend[[#This Row],[Converted data]]/1000)</f>
        <v/>
      </c>
      <c r="AH399" s="210" t="str">
        <f>IF(Buildings_GridElectricity_Frontend[[#This Row],[Data]]="","",_xlfn.XLOOKUP(_xlfn.CONCAT(Buildings_GridElectricity_Backend[[#This Row],[Level 1]:[Level 6]]),rng_EFConcat,rng_EF3)*Buildings_GridElectricity_Backend[[#This Row],[Converted data]]/1000)</f>
        <v/>
      </c>
      <c r="AI399" s="210" t="str">
        <f>IF(Buildings_GridElectricity_Frontend[[#This Row],[Data]]="","",_xlfn.XLOOKUP(_xlfn.CONCAT(Buildings_GridElectricity_Backend[[#This Row],[Level 1]:[Level 6]]),rng_EFConcat,rng_EF3WTT)*Buildings_GridElectricity_Backend[[#This Row],[Converted data]]/1000)</f>
        <v/>
      </c>
      <c r="AJ399" s="210" t="str">
        <f>IF(Buildings_GridElectricity_Frontend[[#This Row],[Data]]="","",_xlfn.XLOOKUP(_xlfn.CONCAT(Buildings_GridElectricity_Backend[[#This Row],[Level 1]:[Level 6]]),rng_EFConcat,rng_EF3TD)*Buildings_GridElectricity_Backend[[#This Row],[Converted data]]/1000)</f>
        <v/>
      </c>
      <c r="AK399" s="210" t="str">
        <f>IF(Buildings_GridElectricity_Frontend[[#This Row],[Data]]="","",_xlfn.XLOOKUP(_xlfn.CONCAT(Buildings_GridElectricity_Backend[[#This Row],[Level 1]:[Level 6]]),rng_EFConcat,rng_EF3WTTTD)*Buildings_GridElectricity_Backend[[#This Row],[Converted data]]/1000)</f>
        <v/>
      </c>
      <c r="AL399" s="220" t="str">
        <f>IF(Buildings_GridElectricity_Frontend[[#This Row],[Data]]="","",SUM(Buildings_GridElectricity_Backend[[#This Row],[Scope 1 (tCO2e)]:[Scope 3 WTT T&amp;D (tCO2e)]]))</f>
        <v/>
      </c>
      <c r="AM399" s="220" t="str">
        <f>IF(Buildings_GridElectricity_Frontend[[#This Row],[Data]]="","",Buildings_GridElectricity_Backend[[#This Row],[Total (tCO2e)]]*(1-Buildings_GridElectricity_Backend[[#This Row],[RSD]]))</f>
        <v/>
      </c>
      <c r="AN399" s="220" t="str">
        <f>IF(Buildings_GridElectricity_Frontend[[#This Row],[Data]]="","",Buildings_GridElectricity_Backend[[#This Row],[Total (tCO2e)]]*(1+Buildings_GridElectricity_Backend[[#This Row],[RSD]]))</f>
        <v/>
      </c>
      <c r="AO399" s="210" t="str">
        <f>IF(Buildings_GridElectricity_Frontend[[#This Row],[Data]]="","",_xlfn.XLOOKUP(_xlfn.CONCAT(Buildings_GridElectricity_Backend[[#This Row],[Level 1]:[Level 6]]),rng_EFConcat,rng_EFOOS)*Buildings_GridElectricity_Backend[[#This Row],[Converted data]]/1000)</f>
        <v/>
      </c>
      <c r="AP399" s="174">
        <f>Buildings_GridElectricity_Frontend[[#This Row],[Ease of collection]]</f>
        <v>0</v>
      </c>
      <c r="AQ399" s="213">
        <f>Buildings_GridElectricity_Frontend[[#This Row],[Completeness]]</f>
        <v>0</v>
      </c>
      <c r="AR399" s="220">
        <f>Buildings_GridElectricity_Frontend[[#This Row],[Notes]]</f>
        <v>0</v>
      </c>
    </row>
    <row r="400" spans="5:44" x14ac:dyDescent="0.3">
      <c r="E400" s="346"/>
      <c r="F400" s="449"/>
      <c r="G400" s="336"/>
      <c r="H400" s="334"/>
      <c r="I400" s="172" t="s">
        <v>316</v>
      </c>
      <c r="J400" s="337"/>
      <c r="K400" s="336"/>
      <c r="L400" s="336"/>
      <c r="M400" s="337"/>
      <c r="N400" s="242">
        <f t="shared" si="13"/>
        <v>3</v>
      </c>
      <c r="Q400" s="212" t="str">
        <f t="shared" si="12"/>
        <v/>
      </c>
      <c r="R400" s="174" t="s">
        <v>265</v>
      </c>
      <c r="S400" s="174" t="s">
        <v>273</v>
      </c>
      <c r="T400" s="174" t="str">
        <f>_xlfn.XLOOKUP(Buildings_GridElectricity_Backend[[#This Row],[Info 1]],Buildings_SiteInfo[Site name],Buildings_SiteInfo[Site type], "")</f>
        <v/>
      </c>
      <c r="U400" s="174" t="s">
        <v>281</v>
      </c>
      <c r="V400" s="174" t="str" cm="1">
        <f t="array" aca="1" ref="V400" ca="1">_xlfn.XLOOKUP(Buildings_GridElectricity_Backend[[#This Row],[Level 4]],rng_Level4Long,rng_Level5Long)</f>
        <v>Electricity</v>
      </c>
      <c r="W400" s="174" t="str" cm="1">
        <f t="array" aca="1" ref="W400" ca="1">_xlfn.XLOOKUP(Buildings_GridElectricity_Backend[[#This Row],[Level 4]],rng_Level4Long,rng_Level6Long)</f>
        <v>NaN</v>
      </c>
      <c r="X400" s="174">
        <f>Buildings_GridElectricity_Frontend[[#This Row],[Site Name]]</f>
        <v>0</v>
      </c>
      <c r="Y400" s="174">
        <f>Buildings_GridElectricity_Frontend[[#This Row],[Contracting]]</f>
        <v>0</v>
      </c>
      <c r="Z400" s="174">
        <f>Buildings_GridElectricity_Frontend[[#This Row],[Methodology]]</f>
        <v>0</v>
      </c>
      <c r="AA400" s="229" t="str" cm="1">
        <f t="array" ref="AA400">IF(Buildings_GridElectricity_Frontend[[#This Row],[Data]]="","",INDEX(_xlfn.SWITCH(Buildings_GridElectricity_Backend[[#This Row],[Methodology]],"Tier 1",rng_RSD1,"Tier 2",rng_RSD2,"Tier 3",rng_RSD3),MATCH(_xlfn.CONCAT(Buildings_GridElectricity_Backend[[#This Row],[Level 1]:[Level 6]]),rng_LevelsConcat,0)))</f>
        <v/>
      </c>
      <c r="AB400" s="220">
        <f>Buildings_GridElectricity_Frontend[[#This Row],[Data]]</f>
        <v>0</v>
      </c>
      <c r="AC400" s="174" t="str">
        <f>Buildings_GridElectricity_Frontend[[#This Row],[Units]]</f>
        <v>kWh</v>
      </c>
      <c r="AD400" s="218">
        <f>Buildings_GridElectricity_Frontend[[#This Row],[Data]]</f>
        <v>0</v>
      </c>
      <c r="AE400" s="174" t="str">
        <f>Buildings_GridElectricity_Frontend[[#This Row],[Units]]</f>
        <v>kWh</v>
      </c>
      <c r="AF400" s="210" t="str">
        <f>IF(Buildings_GridElectricity_Frontend[[#This Row],[Data]]="","",_xlfn.XLOOKUP(_xlfn.CONCAT(Buildings_GridElectricity_Backend[[#This Row],[Level 1]:[Level 6]]),rng_EFConcat,rng_EF1)*Buildings_GridElectricity_Backend[[#This Row],[Converted data]]/1000)</f>
        <v/>
      </c>
      <c r="AG400" s="210" t="str">
        <f>IF(Buildings_GridElectricity_Frontend[[#This Row],[Data]]="","",_xlfn.XLOOKUP(_xlfn.CONCAT(Buildings_GridElectricity_Backend[[#This Row],[Level 1]:[Level 6]]),rng_EFConcat,rng_EF2)*Buildings_GridElectricity_Backend[[#This Row],[Converted data]]/1000)</f>
        <v/>
      </c>
      <c r="AH400" s="210" t="str">
        <f>IF(Buildings_GridElectricity_Frontend[[#This Row],[Data]]="","",_xlfn.XLOOKUP(_xlfn.CONCAT(Buildings_GridElectricity_Backend[[#This Row],[Level 1]:[Level 6]]),rng_EFConcat,rng_EF3)*Buildings_GridElectricity_Backend[[#This Row],[Converted data]]/1000)</f>
        <v/>
      </c>
      <c r="AI400" s="210" t="str">
        <f>IF(Buildings_GridElectricity_Frontend[[#This Row],[Data]]="","",_xlfn.XLOOKUP(_xlfn.CONCAT(Buildings_GridElectricity_Backend[[#This Row],[Level 1]:[Level 6]]),rng_EFConcat,rng_EF3WTT)*Buildings_GridElectricity_Backend[[#This Row],[Converted data]]/1000)</f>
        <v/>
      </c>
      <c r="AJ400" s="210" t="str">
        <f>IF(Buildings_GridElectricity_Frontend[[#This Row],[Data]]="","",_xlfn.XLOOKUP(_xlfn.CONCAT(Buildings_GridElectricity_Backend[[#This Row],[Level 1]:[Level 6]]),rng_EFConcat,rng_EF3TD)*Buildings_GridElectricity_Backend[[#This Row],[Converted data]]/1000)</f>
        <v/>
      </c>
      <c r="AK400" s="210" t="str">
        <f>IF(Buildings_GridElectricity_Frontend[[#This Row],[Data]]="","",_xlfn.XLOOKUP(_xlfn.CONCAT(Buildings_GridElectricity_Backend[[#This Row],[Level 1]:[Level 6]]),rng_EFConcat,rng_EF3WTTTD)*Buildings_GridElectricity_Backend[[#This Row],[Converted data]]/1000)</f>
        <v/>
      </c>
      <c r="AL400" s="220" t="str">
        <f>IF(Buildings_GridElectricity_Frontend[[#This Row],[Data]]="","",SUM(Buildings_GridElectricity_Backend[[#This Row],[Scope 1 (tCO2e)]:[Scope 3 WTT T&amp;D (tCO2e)]]))</f>
        <v/>
      </c>
      <c r="AM400" s="220" t="str">
        <f>IF(Buildings_GridElectricity_Frontend[[#This Row],[Data]]="","",Buildings_GridElectricity_Backend[[#This Row],[Total (tCO2e)]]*(1-Buildings_GridElectricity_Backend[[#This Row],[RSD]]))</f>
        <v/>
      </c>
      <c r="AN400" s="220" t="str">
        <f>IF(Buildings_GridElectricity_Frontend[[#This Row],[Data]]="","",Buildings_GridElectricity_Backend[[#This Row],[Total (tCO2e)]]*(1+Buildings_GridElectricity_Backend[[#This Row],[RSD]]))</f>
        <v/>
      </c>
      <c r="AO400" s="210" t="str">
        <f>IF(Buildings_GridElectricity_Frontend[[#This Row],[Data]]="","",_xlfn.XLOOKUP(_xlfn.CONCAT(Buildings_GridElectricity_Backend[[#This Row],[Level 1]:[Level 6]]),rng_EFConcat,rng_EFOOS)*Buildings_GridElectricity_Backend[[#This Row],[Converted data]]/1000)</f>
        <v/>
      </c>
      <c r="AP400" s="174">
        <f>Buildings_GridElectricity_Frontend[[#This Row],[Ease of collection]]</f>
        <v>0</v>
      </c>
      <c r="AQ400" s="213">
        <f>Buildings_GridElectricity_Frontend[[#This Row],[Completeness]]</f>
        <v>0</v>
      </c>
      <c r="AR400" s="220">
        <f>Buildings_GridElectricity_Frontend[[#This Row],[Notes]]</f>
        <v>0</v>
      </c>
    </row>
    <row r="401" spans="5:44" x14ac:dyDescent="0.3">
      <c r="E401" s="346"/>
      <c r="F401" s="449"/>
      <c r="G401" s="336"/>
      <c r="H401" s="334"/>
      <c r="I401" s="172" t="s">
        <v>316</v>
      </c>
      <c r="J401" s="337"/>
      <c r="K401" s="336"/>
      <c r="L401" s="336"/>
      <c r="M401" s="337"/>
      <c r="N401" s="242">
        <f t="shared" si="13"/>
        <v>3</v>
      </c>
      <c r="Q401" s="212" t="str">
        <f t="shared" si="12"/>
        <v/>
      </c>
      <c r="R401" s="174" t="s">
        <v>265</v>
      </c>
      <c r="S401" s="174" t="s">
        <v>273</v>
      </c>
      <c r="T401" s="174" t="str">
        <f>_xlfn.XLOOKUP(Buildings_GridElectricity_Backend[[#This Row],[Info 1]],Buildings_SiteInfo[Site name],Buildings_SiteInfo[Site type], "")</f>
        <v/>
      </c>
      <c r="U401" s="174" t="s">
        <v>281</v>
      </c>
      <c r="V401" s="174" t="str" cm="1">
        <f t="array" aca="1" ref="V401" ca="1">_xlfn.XLOOKUP(Buildings_GridElectricity_Backend[[#This Row],[Level 4]],rng_Level4Long,rng_Level5Long)</f>
        <v>Electricity</v>
      </c>
      <c r="W401" s="174" t="str" cm="1">
        <f t="array" aca="1" ref="W401" ca="1">_xlfn.XLOOKUP(Buildings_GridElectricity_Backend[[#This Row],[Level 4]],rng_Level4Long,rng_Level6Long)</f>
        <v>NaN</v>
      </c>
      <c r="X401" s="174">
        <f>Buildings_GridElectricity_Frontend[[#This Row],[Site Name]]</f>
        <v>0</v>
      </c>
      <c r="Y401" s="174">
        <f>Buildings_GridElectricity_Frontend[[#This Row],[Contracting]]</f>
        <v>0</v>
      </c>
      <c r="Z401" s="174">
        <f>Buildings_GridElectricity_Frontend[[#This Row],[Methodology]]</f>
        <v>0</v>
      </c>
      <c r="AA401" s="229" t="str" cm="1">
        <f t="array" ref="AA401">IF(Buildings_GridElectricity_Frontend[[#This Row],[Data]]="","",INDEX(_xlfn.SWITCH(Buildings_GridElectricity_Backend[[#This Row],[Methodology]],"Tier 1",rng_RSD1,"Tier 2",rng_RSD2,"Tier 3",rng_RSD3),MATCH(_xlfn.CONCAT(Buildings_GridElectricity_Backend[[#This Row],[Level 1]:[Level 6]]),rng_LevelsConcat,0)))</f>
        <v/>
      </c>
      <c r="AB401" s="220">
        <f>Buildings_GridElectricity_Frontend[[#This Row],[Data]]</f>
        <v>0</v>
      </c>
      <c r="AC401" s="174" t="str">
        <f>Buildings_GridElectricity_Frontend[[#This Row],[Units]]</f>
        <v>kWh</v>
      </c>
      <c r="AD401" s="218">
        <f>Buildings_GridElectricity_Frontend[[#This Row],[Data]]</f>
        <v>0</v>
      </c>
      <c r="AE401" s="174" t="str">
        <f>Buildings_GridElectricity_Frontend[[#This Row],[Units]]</f>
        <v>kWh</v>
      </c>
      <c r="AF401" s="210" t="str">
        <f>IF(Buildings_GridElectricity_Frontend[[#This Row],[Data]]="","",_xlfn.XLOOKUP(_xlfn.CONCAT(Buildings_GridElectricity_Backend[[#This Row],[Level 1]:[Level 6]]),rng_EFConcat,rng_EF1)*Buildings_GridElectricity_Backend[[#This Row],[Converted data]]/1000)</f>
        <v/>
      </c>
      <c r="AG401" s="210" t="str">
        <f>IF(Buildings_GridElectricity_Frontend[[#This Row],[Data]]="","",_xlfn.XLOOKUP(_xlfn.CONCAT(Buildings_GridElectricity_Backend[[#This Row],[Level 1]:[Level 6]]),rng_EFConcat,rng_EF2)*Buildings_GridElectricity_Backend[[#This Row],[Converted data]]/1000)</f>
        <v/>
      </c>
      <c r="AH401" s="210" t="str">
        <f>IF(Buildings_GridElectricity_Frontend[[#This Row],[Data]]="","",_xlfn.XLOOKUP(_xlfn.CONCAT(Buildings_GridElectricity_Backend[[#This Row],[Level 1]:[Level 6]]),rng_EFConcat,rng_EF3)*Buildings_GridElectricity_Backend[[#This Row],[Converted data]]/1000)</f>
        <v/>
      </c>
      <c r="AI401" s="210" t="str">
        <f>IF(Buildings_GridElectricity_Frontend[[#This Row],[Data]]="","",_xlfn.XLOOKUP(_xlfn.CONCAT(Buildings_GridElectricity_Backend[[#This Row],[Level 1]:[Level 6]]),rng_EFConcat,rng_EF3WTT)*Buildings_GridElectricity_Backend[[#This Row],[Converted data]]/1000)</f>
        <v/>
      </c>
      <c r="AJ401" s="210" t="str">
        <f>IF(Buildings_GridElectricity_Frontend[[#This Row],[Data]]="","",_xlfn.XLOOKUP(_xlfn.CONCAT(Buildings_GridElectricity_Backend[[#This Row],[Level 1]:[Level 6]]),rng_EFConcat,rng_EF3TD)*Buildings_GridElectricity_Backend[[#This Row],[Converted data]]/1000)</f>
        <v/>
      </c>
      <c r="AK401" s="210" t="str">
        <f>IF(Buildings_GridElectricity_Frontend[[#This Row],[Data]]="","",_xlfn.XLOOKUP(_xlfn.CONCAT(Buildings_GridElectricity_Backend[[#This Row],[Level 1]:[Level 6]]),rng_EFConcat,rng_EF3WTTTD)*Buildings_GridElectricity_Backend[[#This Row],[Converted data]]/1000)</f>
        <v/>
      </c>
      <c r="AL401" s="220" t="str">
        <f>IF(Buildings_GridElectricity_Frontend[[#This Row],[Data]]="","",SUM(Buildings_GridElectricity_Backend[[#This Row],[Scope 1 (tCO2e)]:[Scope 3 WTT T&amp;D (tCO2e)]]))</f>
        <v/>
      </c>
      <c r="AM401" s="220" t="str">
        <f>IF(Buildings_GridElectricity_Frontend[[#This Row],[Data]]="","",Buildings_GridElectricity_Backend[[#This Row],[Total (tCO2e)]]*(1-Buildings_GridElectricity_Backend[[#This Row],[RSD]]))</f>
        <v/>
      </c>
      <c r="AN401" s="220" t="str">
        <f>IF(Buildings_GridElectricity_Frontend[[#This Row],[Data]]="","",Buildings_GridElectricity_Backend[[#This Row],[Total (tCO2e)]]*(1+Buildings_GridElectricity_Backend[[#This Row],[RSD]]))</f>
        <v/>
      </c>
      <c r="AO401" s="210" t="str">
        <f>IF(Buildings_GridElectricity_Frontend[[#This Row],[Data]]="","",_xlfn.XLOOKUP(_xlfn.CONCAT(Buildings_GridElectricity_Backend[[#This Row],[Level 1]:[Level 6]]),rng_EFConcat,rng_EFOOS)*Buildings_GridElectricity_Backend[[#This Row],[Converted data]]/1000)</f>
        <v/>
      </c>
      <c r="AP401" s="174">
        <f>Buildings_GridElectricity_Frontend[[#This Row],[Ease of collection]]</f>
        <v>0</v>
      </c>
      <c r="AQ401" s="213">
        <f>Buildings_GridElectricity_Frontend[[#This Row],[Completeness]]</f>
        <v>0</v>
      </c>
      <c r="AR401" s="220">
        <f>Buildings_GridElectricity_Frontend[[#This Row],[Notes]]</f>
        <v>0</v>
      </c>
    </row>
    <row r="402" spans="5:44" x14ac:dyDescent="0.3">
      <c r="E402" s="346"/>
      <c r="F402" s="449"/>
      <c r="G402" s="336"/>
      <c r="H402" s="334"/>
      <c r="I402" s="172" t="s">
        <v>316</v>
      </c>
      <c r="J402" s="337"/>
      <c r="K402" s="336"/>
      <c r="L402" s="336"/>
      <c r="M402" s="337"/>
      <c r="N402" s="242">
        <f t="shared" si="13"/>
        <v>3</v>
      </c>
      <c r="Q402" s="212" t="str">
        <f t="shared" si="12"/>
        <v/>
      </c>
      <c r="R402" s="174" t="s">
        <v>265</v>
      </c>
      <c r="S402" s="174" t="s">
        <v>273</v>
      </c>
      <c r="T402" s="174" t="str">
        <f>_xlfn.XLOOKUP(Buildings_GridElectricity_Backend[[#This Row],[Info 1]],Buildings_SiteInfo[Site name],Buildings_SiteInfo[Site type], "")</f>
        <v/>
      </c>
      <c r="U402" s="174" t="s">
        <v>281</v>
      </c>
      <c r="V402" s="174" t="str" cm="1">
        <f t="array" aca="1" ref="V402" ca="1">_xlfn.XLOOKUP(Buildings_GridElectricity_Backend[[#This Row],[Level 4]],rng_Level4Long,rng_Level5Long)</f>
        <v>Electricity</v>
      </c>
      <c r="W402" s="174" t="str" cm="1">
        <f t="array" aca="1" ref="W402" ca="1">_xlfn.XLOOKUP(Buildings_GridElectricity_Backend[[#This Row],[Level 4]],rng_Level4Long,rng_Level6Long)</f>
        <v>NaN</v>
      </c>
      <c r="X402" s="174">
        <f>Buildings_GridElectricity_Frontend[[#This Row],[Site Name]]</f>
        <v>0</v>
      </c>
      <c r="Y402" s="174">
        <f>Buildings_GridElectricity_Frontend[[#This Row],[Contracting]]</f>
        <v>0</v>
      </c>
      <c r="Z402" s="174">
        <f>Buildings_GridElectricity_Frontend[[#This Row],[Methodology]]</f>
        <v>0</v>
      </c>
      <c r="AA402" s="229" t="str" cm="1">
        <f t="array" ref="AA402">IF(Buildings_GridElectricity_Frontend[[#This Row],[Data]]="","",INDEX(_xlfn.SWITCH(Buildings_GridElectricity_Backend[[#This Row],[Methodology]],"Tier 1",rng_RSD1,"Tier 2",rng_RSD2,"Tier 3",rng_RSD3),MATCH(_xlfn.CONCAT(Buildings_GridElectricity_Backend[[#This Row],[Level 1]:[Level 6]]),rng_LevelsConcat,0)))</f>
        <v/>
      </c>
      <c r="AB402" s="220">
        <f>Buildings_GridElectricity_Frontend[[#This Row],[Data]]</f>
        <v>0</v>
      </c>
      <c r="AC402" s="174" t="str">
        <f>Buildings_GridElectricity_Frontend[[#This Row],[Units]]</f>
        <v>kWh</v>
      </c>
      <c r="AD402" s="218">
        <f>Buildings_GridElectricity_Frontend[[#This Row],[Data]]</f>
        <v>0</v>
      </c>
      <c r="AE402" s="174" t="str">
        <f>Buildings_GridElectricity_Frontend[[#This Row],[Units]]</f>
        <v>kWh</v>
      </c>
      <c r="AF402" s="210" t="str">
        <f>IF(Buildings_GridElectricity_Frontend[[#This Row],[Data]]="","",_xlfn.XLOOKUP(_xlfn.CONCAT(Buildings_GridElectricity_Backend[[#This Row],[Level 1]:[Level 6]]),rng_EFConcat,rng_EF1)*Buildings_GridElectricity_Backend[[#This Row],[Converted data]]/1000)</f>
        <v/>
      </c>
      <c r="AG402" s="210" t="str">
        <f>IF(Buildings_GridElectricity_Frontend[[#This Row],[Data]]="","",_xlfn.XLOOKUP(_xlfn.CONCAT(Buildings_GridElectricity_Backend[[#This Row],[Level 1]:[Level 6]]),rng_EFConcat,rng_EF2)*Buildings_GridElectricity_Backend[[#This Row],[Converted data]]/1000)</f>
        <v/>
      </c>
      <c r="AH402" s="210" t="str">
        <f>IF(Buildings_GridElectricity_Frontend[[#This Row],[Data]]="","",_xlfn.XLOOKUP(_xlfn.CONCAT(Buildings_GridElectricity_Backend[[#This Row],[Level 1]:[Level 6]]),rng_EFConcat,rng_EF3)*Buildings_GridElectricity_Backend[[#This Row],[Converted data]]/1000)</f>
        <v/>
      </c>
      <c r="AI402" s="210" t="str">
        <f>IF(Buildings_GridElectricity_Frontend[[#This Row],[Data]]="","",_xlfn.XLOOKUP(_xlfn.CONCAT(Buildings_GridElectricity_Backend[[#This Row],[Level 1]:[Level 6]]),rng_EFConcat,rng_EF3WTT)*Buildings_GridElectricity_Backend[[#This Row],[Converted data]]/1000)</f>
        <v/>
      </c>
      <c r="AJ402" s="210" t="str">
        <f>IF(Buildings_GridElectricity_Frontend[[#This Row],[Data]]="","",_xlfn.XLOOKUP(_xlfn.CONCAT(Buildings_GridElectricity_Backend[[#This Row],[Level 1]:[Level 6]]),rng_EFConcat,rng_EF3TD)*Buildings_GridElectricity_Backend[[#This Row],[Converted data]]/1000)</f>
        <v/>
      </c>
      <c r="AK402" s="210" t="str">
        <f>IF(Buildings_GridElectricity_Frontend[[#This Row],[Data]]="","",_xlfn.XLOOKUP(_xlfn.CONCAT(Buildings_GridElectricity_Backend[[#This Row],[Level 1]:[Level 6]]),rng_EFConcat,rng_EF3WTTTD)*Buildings_GridElectricity_Backend[[#This Row],[Converted data]]/1000)</f>
        <v/>
      </c>
      <c r="AL402" s="220" t="str">
        <f>IF(Buildings_GridElectricity_Frontend[[#This Row],[Data]]="","",SUM(Buildings_GridElectricity_Backend[[#This Row],[Scope 1 (tCO2e)]:[Scope 3 WTT T&amp;D (tCO2e)]]))</f>
        <v/>
      </c>
      <c r="AM402" s="220" t="str">
        <f>IF(Buildings_GridElectricity_Frontend[[#This Row],[Data]]="","",Buildings_GridElectricity_Backend[[#This Row],[Total (tCO2e)]]*(1-Buildings_GridElectricity_Backend[[#This Row],[RSD]]))</f>
        <v/>
      </c>
      <c r="AN402" s="220" t="str">
        <f>IF(Buildings_GridElectricity_Frontend[[#This Row],[Data]]="","",Buildings_GridElectricity_Backend[[#This Row],[Total (tCO2e)]]*(1+Buildings_GridElectricity_Backend[[#This Row],[RSD]]))</f>
        <v/>
      </c>
      <c r="AO402" s="210" t="str">
        <f>IF(Buildings_GridElectricity_Frontend[[#This Row],[Data]]="","",_xlfn.XLOOKUP(_xlfn.CONCAT(Buildings_GridElectricity_Backend[[#This Row],[Level 1]:[Level 6]]),rng_EFConcat,rng_EFOOS)*Buildings_GridElectricity_Backend[[#This Row],[Converted data]]/1000)</f>
        <v/>
      </c>
      <c r="AP402" s="174">
        <f>Buildings_GridElectricity_Frontend[[#This Row],[Ease of collection]]</f>
        <v>0</v>
      </c>
      <c r="AQ402" s="213">
        <f>Buildings_GridElectricity_Frontend[[#This Row],[Completeness]]</f>
        <v>0</v>
      </c>
      <c r="AR402" s="220">
        <f>Buildings_GridElectricity_Frontend[[#This Row],[Notes]]</f>
        <v>0</v>
      </c>
    </row>
    <row r="403" spans="5:44" x14ac:dyDescent="0.3">
      <c r="E403" s="346"/>
      <c r="F403" s="449"/>
      <c r="G403" s="336"/>
      <c r="H403" s="334"/>
      <c r="I403" s="172" t="s">
        <v>316</v>
      </c>
      <c r="J403" s="337"/>
      <c r="K403" s="336"/>
      <c r="L403" s="336"/>
      <c r="M403" s="337"/>
      <c r="N403" s="242">
        <f t="shared" si="13"/>
        <v>3</v>
      </c>
      <c r="Q403" s="212" t="str">
        <f t="shared" si="12"/>
        <v/>
      </c>
      <c r="R403" s="174" t="s">
        <v>265</v>
      </c>
      <c r="S403" s="174" t="s">
        <v>273</v>
      </c>
      <c r="T403" s="174" t="str">
        <f>_xlfn.XLOOKUP(Buildings_GridElectricity_Backend[[#This Row],[Info 1]],Buildings_SiteInfo[Site name],Buildings_SiteInfo[Site type], "")</f>
        <v/>
      </c>
      <c r="U403" s="174" t="s">
        <v>281</v>
      </c>
      <c r="V403" s="174" t="str" cm="1">
        <f t="array" aca="1" ref="V403" ca="1">_xlfn.XLOOKUP(Buildings_GridElectricity_Backend[[#This Row],[Level 4]],rng_Level4Long,rng_Level5Long)</f>
        <v>Electricity</v>
      </c>
      <c r="W403" s="174" t="str" cm="1">
        <f t="array" aca="1" ref="W403" ca="1">_xlfn.XLOOKUP(Buildings_GridElectricity_Backend[[#This Row],[Level 4]],rng_Level4Long,rng_Level6Long)</f>
        <v>NaN</v>
      </c>
      <c r="X403" s="174">
        <f>Buildings_GridElectricity_Frontend[[#This Row],[Site Name]]</f>
        <v>0</v>
      </c>
      <c r="Y403" s="174">
        <f>Buildings_GridElectricity_Frontend[[#This Row],[Contracting]]</f>
        <v>0</v>
      </c>
      <c r="Z403" s="174">
        <f>Buildings_GridElectricity_Frontend[[#This Row],[Methodology]]</f>
        <v>0</v>
      </c>
      <c r="AA403" s="229" t="str" cm="1">
        <f t="array" ref="AA403">IF(Buildings_GridElectricity_Frontend[[#This Row],[Data]]="","",INDEX(_xlfn.SWITCH(Buildings_GridElectricity_Backend[[#This Row],[Methodology]],"Tier 1",rng_RSD1,"Tier 2",rng_RSD2,"Tier 3",rng_RSD3),MATCH(_xlfn.CONCAT(Buildings_GridElectricity_Backend[[#This Row],[Level 1]:[Level 6]]),rng_LevelsConcat,0)))</f>
        <v/>
      </c>
      <c r="AB403" s="220">
        <f>Buildings_GridElectricity_Frontend[[#This Row],[Data]]</f>
        <v>0</v>
      </c>
      <c r="AC403" s="174" t="str">
        <f>Buildings_GridElectricity_Frontend[[#This Row],[Units]]</f>
        <v>kWh</v>
      </c>
      <c r="AD403" s="218">
        <f>Buildings_GridElectricity_Frontend[[#This Row],[Data]]</f>
        <v>0</v>
      </c>
      <c r="AE403" s="174" t="str">
        <f>Buildings_GridElectricity_Frontend[[#This Row],[Units]]</f>
        <v>kWh</v>
      </c>
      <c r="AF403" s="210" t="str">
        <f>IF(Buildings_GridElectricity_Frontend[[#This Row],[Data]]="","",_xlfn.XLOOKUP(_xlfn.CONCAT(Buildings_GridElectricity_Backend[[#This Row],[Level 1]:[Level 6]]),rng_EFConcat,rng_EF1)*Buildings_GridElectricity_Backend[[#This Row],[Converted data]]/1000)</f>
        <v/>
      </c>
      <c r="AG403" s="210" t="str">
        <f>IF(Buildings_GridElectricity_Frontend[[#This Row],[Data]]="","",_xlfn.XLOOKUP(_xlfn.CONCAT(Buildings_GridElectricity_Backend[[#This Row],[Level 1]:[Level 6]]),rng_EFConcat,rng_EF2)*Buildings_GridElectricity_Backend[[#This Row],[Converted data]]/1000)</f>
        <v/>
      </c>
      <c r="AH403" s="210" t="str">
        <f>IF(Buildings_GridElectricity_Frontend[[#This Row],[Data]]="","",_xlfn.XLOOKUP(_xlfn.CONCAT(Buildings_GridElectricity_Backend[[#This Row],[Level 1]:[Level 6]]),rng_EFConcat,rng_EF3)*Buildings_GridElectricity_Backend[[#This Row],[Converted data]]/1000)</f>
        <v/>
      </c>
      <c r="AI403" s="210" t="str">
        <f>IF(Buildings_GridElectricity_Frontend[[#This Row],[Data]]="","",_xlfn.XLOOKUP(_xlfn.CONCAT(Buildings_GridElectricity_Backend[[#This Row],[Level 1]:[Level 6]]),rng_EFConcat,rng_EF3WTT)*Buildings_GridElectricity_Backend[[#This Row],[Converted data]]/1000)</f>
        <v/>
      </c>
      <c r="AJ403" s="210" t="str">
        <f>IF(Buildings_GridElectricity_Frontend[[#This Row],[Data]]="","",_xlfn.XLOOKUP(_xlfn.CONCAT(Buildings_GridElectricity_Backend[[#This Row],[Level 1]:[Level 6]]),rng_EFConcat,rng_EF3TD)*Buildings_GridElectricity_Backend[[#This Row],[Converted data]]/1000)</f>
        <v/>
      </c>
      <c r="AK403" s="210" t="str">
        <f>IF(Buildings_GridElectricity_Frontend[[#This Row],[Data]]="","",_xlfn.XLOOKUP(_xlfn.CONCAT(Buildings_GridElectricity_Backend[[#This Row],[Level 1]:[Level 6]]),rng_EFConcat,rng_EF3WTTTD)*Buildings_GridElectricity_Backend[[#This Row],[Converted data]]/1000)</f>
        <v/>
      </c>
      <c r="AL403" s="220" t="str">
        <f>IF(Buildings_GridElectricity_Frontend[[#This Row],[Data]]="","",SUM(Buildings_GridElectricity_Backend[[#This Row],[Scope 1 (tCO2e)]:[Scope 3 WTT T&amp;D (tCO2e)]]))</f>
        <v/>
      </c>
      <c r="AM403" s="220" t="str">
        <f>IF(Buildings_GridElectricity_Frontend[[#This Row],[Data]]="","",Buildings_GridElectricity_Backend[[#This Row],[Total (tCO2e)]]*(1-Buildings_GridElectricity_Backend[[#This Row],[RSD]]))</f>
        <v/>
      </c>
      <c r="AN403" s="220" t="str">
        <f>IF(Buildings_GridElectricity_Frontend[[#This Row],[Data]]="","",Buildings_GridElectricity_Backend[[#This Row],[Total (tCO2e)]]*(1+Buildings_GridElectricity_Backend[[#This Row],[RSD]]))</f>
        <v/>
      </c>
      <c r="AO403" s="210" t="str">
        <f>IF(Buildings_GridElectricity_Frontend[[#This Row],[Data]]="","",_xlfn.XLOOKUP(_xlfn.CONCAT(Buildings_GridElectricity_Backend[[#This Row],[Level 1]:[Level 6]]),rng_EFConcat,rng_EFOOS)*Buildings_GridElectricity_Backend[[#This Row],[Converted data]]/1000)</f>
        <v/>
      </c>
      <c r="AP403" s="174">
        <f>Buildings_GridElectricity_Frontend[[#This Row],[Ease of collection]]</f>
        <v>0</v>
      </c>
      <c r="AQ403" s="213">
        <f>Buildings_GridElectricity_Frontend[[#This Row],[Completeness]]</f>
        <v>0</v>
      </c>
      <c r="AR403" s="220">
        <f>Buildings_GridElectricity_Frontend[[#This Row],[Notes]]</f>
        <v>0</v>
      </c>
    </row>
    <row r="404" spans="5:44" x14ac:dyDescent="0.3">
      <c r="E404" s="346"/>
      <c r="F404" s="449"/>
      <c r="G404" s="336"/>
      <c r="H404" s="334"/>
      <c r="I404" s="172" t="s">
        <v>316</v>
      </c>
      <c r="J404" s="337"/>
      <c r="K404" s="336"/>
      <c r="L404" s="336"/>
      <c r="M404" s="337"/>
      <c r="N404" s="242">
        <f t="shared" si="13"/>
        <v>3</v>
      </c>
      <c r="Q404" s="212" t="str">
        <f t="shared" si="12"/>
        <v/>
      </c>
      <c r="R404" s="174" t="s">
        <v>265</v>
      </c>
      <c r="S404" s="174" t="s">
        <v>273</v>
      </c>
      <c r="T404" s="174" t="str">
        <f>_xlfn.XLOOKUP(Buildings_GridElectricity_Backend[[#This Row],[Info 1]],Buildings_SiteInfo[Site name],Buildings_SiteInfo[Site type], "")</f>
        <v/>
      </c>
      <c r="U404" s="174" t="s">
        <v>281</v>
      </c>
      <c r="V404" s="174" t="str" cm="1">
        <f t="array" aca="1" ref="V404" ca="1">_xlfn.XLOOKUP(Buildings_GridElectricity_Backend[[#This Row],[Level 4]],rng_Level4Long,rng_Level5Long)</f>
        <v>Electricity</v>
      </c>
      <c r="W404" s="174" t="str" cm="1">
        <f t="array" aca="1" ref="W404" ca="1">_xlfn.XLOOKUP(Buildings_GridElectricity_Backend[[#This Row],[Level 4]],rng_Level4Long,rng_Level6Long)</f>
        <v>NaN</v>
      </c>
      <c r="X404" s="174">
        <f>Buildings_GridElectricity_Frontend[[#This Row],[Site Name]]</f>
        <v>0</v>
      </c>
      <c r="Y404" s="174">
        <f>Buildings_GridElectricity_Frontend[[#This Row],[Contracting]]</f>
        <v>0</v>
      </c>
      <c r="Z404" s="174">
        <f>Buildings_GridElectricity_Frontend[[#This Row],[Methodology]]</f>
        <v>0</v>
      </c>
      <c r="AA404" s="229" t="str" cm="1">
        <f t="array" ref="AA404">IF(Buildings_GridElectricity_Frontend[[#This Row],[Data]]="","",INDEX(_xlfn.SWITCH(Buildings_GridElectricity_Backend[[#This Row],[Methodology]],"Tier 1",rng_RSD1,"Tier 2",rng_RSD2,"Tier 3",rng_RSD3),MATCH(_xlfn.CONCAT(Buildings_GridElectricity_Backend[[#This Row],[Level 1]:[Level 6]]),rng_LevelsConcat,0)))</f>
        <v/>
      </c>
      <c r="AB404" s="220">
        <f>Buildings_GridElectricity_Frontend[[#This Row],[Data]]</f>
        <v>0</v>
      </c>
      <c r="AC404" s="174" t="str">
        <f>Buildings_GridElectricity_Frontend[[#This Row],[Units]]</f>
        <v>kWh</v>
      </c>
      <c r="AD404" s="218">
        <f>Buildings_GridElectricity_Frontend[[#This Row],[Data]]</f>
        <v>0</v>
      </c>
      <c r="AE404" s="174" t="str">
        <f>Buildings_GridElectricity_Frontend[[#This Row],[Units]]</f>
        <v>kWh</v>
      </c>
      <c r="AF404" s="210" t="str">
        <f>IF(Buildings_GridElectricity_Frontend[[#This Row],[Data]]="","",_xlfn.XLOOKUP(_xlfn.CONCAT(Buildings_GridElectricity_Backend[[#This Row],[Level 1]:[Level 6]]),rng_EFConcat,rng_EF1)*Buildings_GridElectricity_Backend[[#This Row],[Converted data]]/1000)</f>
        <v/>
      </c>
      <c r="AG404" s="210" t="str">
        <f>IF(Buildings_GridElectricity_Frontend[[#This Row],[Data]]="","",_xlfn.XLOOKUP(_xlfn.CONCAT(Buildings_GridElectricity_Backend[[#This Row],[Level 1]:[Level 6]]),rng_EFConcat,rng_EF2)*Buildings_GridElectricity_Backend[[#This Row],[Converted data]]/1000)</f>
        <v/>
      </c>
      <c r="AH404" s="210" t="str">
        <f>IF(Buildings_GridElectricity_Frontend[[#This Row],[Data]]="","",_xlfn.XLOOKUP(_xlfn.CONCAT(Buildings_GridElectricity_Backend[[#This Row],[Level 1]:[Level 6]]),rng_EFConcat,rng_EF3)*Buildings_GridElectricity_Backend[[#This Row],[Converted data]]/1000)</f>
        <v/>
      </c>
      <c r="AI404" s="210" t="str">
        <f>IF(Buildings_GridElectricity_Frontend[[#This Row],[Data]]="","",_xlfn.XLOOKUP(_xlfn.CONCAT(Buildings_GridElectricity_Backend[[#This Row],[Level 1]:[Level 6]]),rng_EFConcat,rng_EF3WTT)*Buildings_GridElectricity_Backend[[#This Row],[Converted data]]/1000)</f>
        <v/>
      </c>
      <c r="AJ404" s="210" t="str">
        <f>IF(Buildings_GridElectricity_Frontend[[#This Row],[Data]]="","",_xlfn.XLOOKUP(_xlfn.CONCAT(Buildings_GridElectricity_Backend[[#This Row],[Level 1]:[Level 6]]),rng_EFConcat,rng_EF3TD)*Buildings_GridElectricity_Backend[[#This Row],[Converted data]]/1000)</f>
        <v/>
      </c>
      <c r="AK404" s="210" t="str">
        <f>IF(Buildings_GridElectricity_Frontend[[#This Row],[Data]]="","",_xlfn.XLOOKUP(_xlfn.CONCAT(Buildings_GridElectricity_Backend[[#This Row],[Level 1]:[Level 6]]),rng_EFConcat,rng_EF3WTTTD)*Buildings_GridElectricity_Backend[[#This Row],[Converted data]]/1000)</f>
        <v/>
      </c>
      <c r="AL404" s="220" t="str">
        <f>IF(Buildings_GridElectricity_Frontend[[#This Row],[Data]]="","",SUM(Buildings_GridElectricity_Backend[[#This Row],[Scope 1 (tCO2e)]:[Scope 3 WTT T&amp;D (tCO2e)]]))</f>
        <v/>
      </c>
      <c r="AM404" s="220" t="str">
        <f>IF(Buildings_GridElectricity_Frontend[[#This Row],[Data]]="","",Buildings_GridElectricity_Backend[[#This Row],[Total (tCO2e)]]*(1-Buildings_GridElectricity_Backend[[#This Row],[RSD]]))</f>
        <v/>
      </c>
      <c r="AN404" s="220" t="str">
        <f>IF(Buildings_GridElectricity_Frontend[[#This Row],[Data]]="","",Buildings_GridElectricity_Backend[[#This Row],[Total (tCO2e)]]*(1+Buildings_GridElectricity_Backend[[#This Row],[RSD]]))</f>
        <v/>
      </c>
      <c r="AO404" s="210" t="str">
        <f>IF(Buildings_GridElectricity_Frontend[[#This Row],[Data]]="","",_xlfn.XLOOKUP(_xlfn.CONCAT(Buildings_GridElectricity_Backend[[#This Row],[Level 1]:[Level 6]]),rng_EFConcat,rng_EFOOS)*Buildings_GridElectricity_Backend[[#This Row],[Converted data]]/1000)</f>
        <v/>
      </c>
      <c r="AP404" s="174">
        <f>Buildings_GridElectricity_Frontend[[#This Row],[Ease of collection]]</f>
        <v>0</v>
      </c>
      <c r="AQ404" s="213">
        <f>Buildings_GridElectricity_Frontend[[#This Row],[Completeness]]</f>
        <v>0</v>
      </c>
      <c r="AR404" s="220">
        <f>Buildings_GridElectricity_Frontend[[#This Row],[Notes]]</f>
        <v>0</v>
      </c>
    </row>
    <row r="405" spans="5:44" x14ac:dyDescent="0.3">
      <c r="E405" s="346"/>
      <c r="F405" s="449"/>
      <c r="G405" s="336"/>
      <c r="H405" s="334"/>
      <c r="I405" s="172" t="s">
        <v>316</v>
      </c>
      <c r="J405" s="337"/>
      <c r="K405" s="336"/>
      <c r="L405" s="336"/>
      <c r="M405" s="337"/>
      <c r="N405" s="242">
        <f t="shared" si="13"/>
        <v>3</v>
      </c>
      <c r="Q405" s="212" t="str">
        <f t="shared" si="12"/>
        <v/>
      </c>
      <c r="R405" s="174" t="s">
        <v>265</v>
      </c>
      <c r="S405" s="174" t="s">
        <v>273</v>
      </c>
      <c r="T405" s="174" t="str">
        <f>_xlfn.XLOOKUP(Buildings_GridElectricity_Backend[[#This Row],[Info 1]],Buildings_SiteInfo[Site name],Buildings_SiteInfo[Site type], "")</f>
        <v/>
      </c>
      <c r="U405" s="174" t="s">
        <v>281</v>
      </c>
      <c r="V405" s="174" t="str" cm="1">
        <f t="array" aca="1" ref="V405" ca="1">_xlfn.XLOOKUP(Buildings_GridElectricity_Backend[[#This Row],[Level 4]],rng_Level4Long,rng_Level5Long)</f>
        <v>Electricity</v>
      </c>
      <c r="W405" s="174" t="str" cm="1">
        <f t="array" aca="1" ref="W405" ca="1">_xlfn.XLOOKUP(Buildings_GridElectricity_Backend[[#This Row],[Level 4]],rng_Level4Long,rng_Level6Long)</f>
        <v>NaN</v>
      </c>
      <c r="X405" s="174">
        <f>Buildings_GridElectricity_Frontend[[#This Row],[Site Name]]</f>
        <v>0</v>
      </c>
      <c r="Y405" s="174">
        <f>Buildings_GridElectricity_Frontend[[#This Row],[Contracting]]</f>
        <v>0</v>
      </c>
      <c r="Z405" s="174">
        <f>Buildings_GridElectricity_Frontend[[#This Row],[Methodology]]</f>
        <v>0</v>
      </c>
      <c r="AA405" s="229" t="str" cm="1">
        <f t="array" ref="AA405">IF(Buildings_GridElectricity_Frontend[[#This Row],[Data]]="","",INDEX(_xlfn.SWITCH(Buildings_GridElectricity_Backend[[#This Row],[Methodology]],"Tier 1",rng_RSD1,"Tier 2",rng_RSD2,"Tier 3",rng_RSD3),MATCH(_xlfn.CONCAT(Buildings_GridElectricity_Backend[[#This Row],[Level 1]:[Level 6]]),rng_LevelsConcat,0)))</f>
        <v/>
      </c>
      <c r="AB405" s="220">
        <f>Buildings_GridElectricity_Frontend[[#This Row],[Data]]</f>
        <v>0</v>
      </c>
      <c r="AC405" s="174" t="str">
        <f>Buildings_GridElectricity_Frontend[[#This Row],[Units]]</f>
        <v>kWh</v>
      </c>
      <c r="AD405" s="218">
        <f>Buildings_GridElectricity_Frontend[[#This Row],[Data]]</f>
        <v>0</v>
      </c>
      <c r="AE405" s="174" t="str">
        <f>Buildings_GridElectricity_Frontend[[#This Row],[Units]]</f>
        <v>kWh</v>
      </c>
      <c r="AF405" s="210" t="str">
        <f>IF(Buildings_GridElectricity_Frontend[[#This Row],[Data]]="","",_xlfn.XLOOKUP(_xlfn.CONCAT(Buildings_GridElectricity_Backend[[#This Row],[Level 1]:[Level 6]]),rng_EFConcat,rng_EF1)*Buildings_GridElectricity_Backend[[#This Row],[Converted data]]/1000)</f>
        <v/>
      </c>
      <c r="AG405" s="210" t="str">
        <f>IF(Buildings_GridElectricity_Frontend[[#This Row],[Data]]="","",_xlfn.XLOOKUP(_xlfn.CONCAT(Buildings_GridElectricity_Backend[[#This Row],[Level 1]:[Level 6]]),rng_EFConcat,rng_EF2)*Buildings_GridElectricity_Backend[[#This Row],[Converted data]]/1000)</f>
        <v/>
      </c>
      <c r="AH405" s="210" t="str">
        <f>IF(Buildings_GridElectricity_Frontend[[#This Row],[Data]]="","",_xlfn.XLOOKUP(_xlfn.CONCAT(Buildings_GridElectricity_Backend[[#This Row],[Level 1]:[Level 6]]),rng_EFConcat,rng_EF3)*Buildings_GridElectricity_Backend[[#This Row],[Converted data]]/1000)</f>
        <v/>
      </c>
      <c r="AI405" s="210" t="str">
        <f>IF(Buildings_GridElectricity_Frontend[[#This Row],[Data]]="","",_xlfn.XLOOKUP(_xlfn.CONCAT(Buildings_GridElectricity_Backend[[#This Row],[Level 1]:[Level 6]]),rng_EFConcat,rng_EF3WTT)*Buildings_GridElectricity_Backend[[#This Row],[Converted data]]/1000)</f>
        <v/>
      </c>
      <c r="AJ405" s="210" t="str">
        <f>IF(Buildings_GridElectricity_Frontend[[#This Row],[Data]]="","",_xlfn.XLOOKUP(_xlfn.CONCAT(Buildings_GridElectricity_Backend[[#This Row],[Level 1]:[Level 6]]),rng_EFConcat,rng_EF3TD)*Buildings_GridElectricity_Backend[[#This Row],[Converted data]]/1000)</f>
        <v/>
      </c>
      <c r="AK405" s="210" t="str">
        <f>IF(Buildings_GridElectricity_Frontend[[#This Row],[Data]]="","",_xlfn.XLOOKUP(_xlfn.CONCAT(Buildings_GridElectricity_Backend[[#This Row],[Level 1]:[Level 6]]),rng_EFConcat,rng_EF3WTTTD)*Buildings_GridElectricity_Backend[[#This Row],[Converted data]]/1000)</f>
        <v/>
      </c>
      <c r="AL405" s="220" t="str">
        <f>IF(Buildings_GridElectricity_Frontend[[#This Row],[Data]]="","",SUM(Buildings_GridElectricity_Backend[[#This Row],[Scope 1 (tCO2e)]:[Scope 3 WTT T&amp;D (tCO2e)]]))</f>
        <v/>
      </c>
      <c r="AM405" s="220" t="str">
        <f>IF(Buildings_GridElectricity_Frontend[[#This Row],[Data]]="","",Buildings_GridElectricity_Backend[[#This Row],[Total (tCO2e)]]*(1-Buildings_GridElectricity_Backend[[#This Row],[RSD]]))</f>
        <v/>
      </c>
      <c r="AN405" s="220" t="str">
        <f>IF(Buildings_GridElectricity_Frontend[[#This Row],[Data]]="","",Buildings_GridElectricity_Backend[[#This Row],[Total (tCO2e)]]*(1+Buildings_GridElectricity_Backend[[#This Row],[RSD]]))</f>
        <v/>
      </c>
      <c r="AO405" s="210" t="str">
        <f>IF(Buildings_GridElectricity_Frontend[[#This Row],[Data]]="","",_xlfn.XLOOKUP(_xlfn.CONCAT(Buildings_GridElectricity_Backend[[#This Row],[Level 1]:[Level 6]]),rng_EFConcat,rng_EFOOS)*Buildings_GridElectricity_Backend[[#This Row],[Converted data]]/1000)</f>
        <v/>
      </c>
      <c r="AP405" s="174">
        <f>Buildings_GridElectricity_Frontend[[#This Row],[Ease of collection]]</f>
        <v>0</v>
      </c>
      <c r="AQ405" s="213">
        <f>Buildings_GridElectricity_Frontend[[#This Row],[Completeness]]</f>
        <v>0</v>
      </c>
      <c r="AR405" s="220">
        <f>Buildings_GridElectricity_Frontend[[#This Row],[Notes]]</f>
        <v>0</v>
      </c>
    </row>
    <row r="406" spans="5:44" x14ac:dyDescent="0.3">
      <c r="E406" s="346"/>
      <c r="F406" s="449"/>
      <c r="G406" s="336"/>
      <c r="H406" s="334"/>
      <c r="I406" s="172" t="s">
        <v>316</v>
      </c>
      <c r="J406" s="337"/>
      <c r="K406" s="336"/>
      <c r="L406" s="336"/>
      <c r="M406" s="337"/>
      <c r="N406" s="242">
        <f t="shared" si="13"/>
        <v>3</v>
      </c>
      <c r="Q406" s="212" t="str">
        <f t="shared" si="12"/>
        <v/>
      </c>
      <c r="R406" s="174" t="s">
        <v>265</v>
      </c>
      <c r="S406" s="174" t="s">
        <v>273</v>
      </c>
      <c r="T406" s="174" t="str">
        <f>_xlfn.XLOOKUP(Buildings_GridElectricity_Backend[[#This Row],[Info 1]],Buildings_SiteInfo[Site name],Buildings_SiteInfo[Site type], "")</f>
        <v/>
      </c>
      <c r="U406" s="174" t="s">
        <v>281</v>
      </c>
      <c r="V406" s="174" t="str" cm="1">
        <f t="array" aca="1" ref="V406" ca="1">_xlfn.XLOOKUP(Buildings_GridElectricity_Backend[[#This Row],[Level 4]],rng_Level4Long,rng_Level5Long)</f>
        <v>Electricity</v>
      </c>
      <c r="W406" s="174" t="str" cm="1">
        <f t="array" aca="1" ref="W406" ca="1">_xlfn.XLOOKUP(Buildings_GridElectricity_Backend[[#This Row],[Level 4]],rng_Level4Long,rng_Level6Long)</f>
        <v>NaN</v>
      </c>
      <c r="X406" s="174">
        <f>Buildings_GridElectricity_Frontend[[#This Row],[Site Name]]</f>
        <v>0</v>
      </c>
      <c r="Y406" s="174">
        <f>Buildings_GridElectricity_Frontend[[#This Row],[Contracting]]</f>
        <v>0</v>
      </c>
      <c r="Z406" s="174">
        <f>Buildings_GridElectricity_Frontend[[#This Row],[Methodology]]</f>
        <v>0</v>
      </c>
      <c r="AA406" s="229" t="str" cm="1">
        <f t="array" ref="AA406">IF(Buildings_GridElectricity_Frontend[[#This Row],[Data]]="","",INDEX(_xlfn.SWITCH(Buildings_GridElectricity_Backend[[#This Row],[Methodology]],"Tier 1",rng_RSD1,"Tier 2",rng_RSD2,"Tier 3",rng_RSD3),MATCH(_xlfn.CONCAT(Buildings_GridElectricity_Backend[[#This Row],[Level 1]:[Level 6]]),rng_LevelsConcat,0)))</f>
        <v/>
      </c>
      <c r="AB406" s="220">
        <f>Buildings_GridElectricity_Frontend[[#This Row],[Data]]</f>
        <v>0</v>
      </c>
      <c r="AC406" s="174" t="str">
        <f>Buildings_GridElectricity_Frontend[[#This Row],[Units]]</f>
        <v>kWh</v>
      </c>
      <c r="AD406" s="218">
        <f>Buildings_GridElectricity_Frontend[[#This Row],[Data]]</f>
        <v>0</v>
      </c>
      <c r="AE406" s="174" t="str">
        <f>Buildings_GridElectricity_Frontend[[#This Row],[Units]]</f>
        <v>kWh</v>
      </c>
      <c r="AF406" s="210" t="str">
        <f>IF(Buildings_GridElectricity_Frontend[[#This Row],[Data]]="","",_xlfn.XLOOKUP(_xlfn.CONCAT(Buildings_GridElectricity_Backend[[#This Row],[Level 1]:[Level 6]]),rng_EFConcat,rng_EF1)*Buildings_GridElectricity_Backend[[#This Row],[Converted data]]/1000)</f>
        <v/>
      </c>
      <c r="AG406" s="210" t="str">
        <f>IF(Buildings_GridElectricity_Frontend[[#This Row],[Data]]="","",_xlfn.XLOOKUP(_xlfn.CONCAT(Buildings_GridElectricity_Backend[[#This Row],[Level 1]:[Level 6]]),rng_EFConcat,rng_EF2)*Buildings_GridElectricity_Backend[[#This Row],[Converted data]]/1000)</f>
        <v/>
      </c>
      <c r="AH406" s="210" t="str">
        <f>IF(Buildings_GridElectricity_Frontend[[#This Row],[Data]]="","",_xlfn.XLOOKUP(_xlfn.CONCAT(Buildings_GridElectricity_Backend[[#This Row],[Level 1]:[Level 6]]),rng_EFConcat,rng_EF3)*Buildings_GridElectricity_Backend[[#This Row],[Converted data]]/1000)</f>
        <v/>
      </c>
      <c r="AI406" s="210" t="str">
        <f>IF(Buildings_GridElectricity_Frontend[[#This Row],[Data]]="","",_xlfn.XLOOKUP(_xlfn.CONCAT(Buildings_GridElectricity_Backend[[#This Row],[Level 1]:[Level 6]]),rng_EFConcat,rng_EF3WTT)*Buildings_GridElectricity_Backend[[#This Row],[Converted data]]/1000)</f>
        <v/>
      </c>
      <c r="AJ406" s="210" t="str">
        <f>IF(Buildings_GridElectricity_Frontend[[#This Row],[Data]]="","",_xlfn.XLOOKUP(_xlfn.CONCAT(Buildings_GridElectricity_Backend[[#This Row],[Level 1]:[Level 6]]),rng_EFConcat,rng_EF3TD)*Buildings_GridElectricity_Backend[[#This Row],[Converted data]]/1000)</f>
        <v/>
      </c>
      <c r="AK406" s="210" t="str">
        <f>IF(Buildings_GridElectricity_Frontend[[#This Row],[Data]]="","",_xlfn.XLOOKUP(_xlfn.CONCAT(Buildings_GridElectricity_Backend[[#This Row],[Level 1]:[Level 6]]),rng_EFConcat,rng_EF3WTTTD)*Buildings_GridElectricity_Backend[[#This Row],[Converted data]]/1000)</f>
        <v/>
      </c>
      <c r="AL406" s="220" t="str">
        <f>IF(Buildings_GridElectricity_Frontend[[#This Row],[Data]]="","",SUM(Buildings_GridElectricity_Backend[[#This Row],[Scope 1 (tCO2e)]:[Scope 3 WTT T&amp;D (tCO2e)]]))</f>
        <v/>
      </c>
      <c r="AM406" s="220" t="str">
        <f>IF(Buildings_GridElectricity_Frontend[[#This Row],[Data]]="","",Buildings_GridElectricity_Backend[[#This Row],[Total (tCO2e)]]*(1-Buildings_GridElectricity_Backend[[#This Row],[RSD]]))</f>
        <v/>
      </c>
      <c r="AN406" s="220" t="str">
        <f>IF(Buildings_GridElectricity_Frontend[[#This Row],[Data]]="","",Buildings_GridElectricity_Backend[[#This Row],[Total (tCO2e)]]*(1+Buildings_GridElectricity_Backend[[#This Row],[RSD]]))</f>
        <v/>
      </c>
      <c r="AO406" s="210" t="str">
        <f>IF(Buildings_GridElectricity_Frontend[[#This Row],[Data]]="","",_xlfn.XLOOKUP(_xlfn.CONCAT(Buildings_GridElectricity_Backend[[#This Row],[Level 1]:[Level 6]]),rng_EFConcat,rng_EFOOS)*Buildings_GridElectricity_Backend[[#This Row],[Converted data]]/1000)</f>
        <v/>
      </c>
      <c r="AP406" s="174">
        <f>Buildings_GridElectricity_Frontend[[#This Row],[Ease of collection]]</f>
        <v>0</v>
      </c>
      <c r="AQ406" s="213">
        <f>Buildings_GridElectricity_Frontend[[#This Row],[Completeness]]</f>
        <v>0</v>
      </c>
      <c r="AR406" s="220">
        <f>Buildings_GridElectricity_Frontend[[#This Row],[Notes]]</f>
        <v>0</v>
      </c>
    </row>
    <row r="407" spans="5:44" x14ac:dyDescent="0.3">
      <c r="E407" s="346"/>
      <c r="F407" s="449"/>
      <c r="G407" s="336"/>
      <c r="H407" s="334"/>
      <c r="I407" s="172" t="s">
        <v>316</v>
      </c>
      <c r="J407" s="337"/>
      <c r="K407" s="336"/>
      <c r="L407" s="336"/>
      <c r="M407" s="337"/>
      <c r="N407" s="242">
        <f t="shared" si="13"/>
        <v>3</v>
      </c>
      <c r="Q407" s="212" t="str">
        <f t="shared" si="12"/>
        <v/>
      </c>
      <c r="R407" s="174" t="s">
        <v>265</v>
      </c>
      <c r="S407" s="174" t="s">
        <v>273</v>
      </c>
      <c r="T407" s="174" t="str">
        <f>_xlfn.XLOOKUP(Buildings_GridElectricity_Backend[[#This Row],[Info 1]],Buildings_SiteInfo[Site name],Buildings_SiteInfo[Site type], "")</f>
        <v/>
      </c>
      <c r="U407" s="174" t="s">
        <v>281</v>
      </c>
      <c r="V407" s="174" t="str" cm="1">
        <f t="array" aca="1" ref="V407" ca="1">_xlfn.XLOOKUP(Buildings_GridElectricity_Backend[[#This Row],[Level 4]],rng_Level4Long,rng_Level5Long)</f>
        <v>Electricity</v>
      </c>
      <c r="W407" s="174" t="str" cm="1">
        <f t="array" aca="1" ref="W407" ca="1">_xlfn.XLOOKUP(Buildings_GridElectricity_Backend[[#This Row],[Level 4]],rng_Level4Long,rng_Level6Long)</f>
        <v>NaN</v>
      </c>
      <c r="X407" s="174">
        <f>Buildings_GridElectricity_Frontend[[#This Row],[Site Name]]</f>
        <v>0</v>
      </c>
      <c r="Y407" s="174">
        <f>Buildings_GridElectricity_Frontend[[#This Row],[Contracting]]</f>
        <v>0</v>
      </c>
      <c r="Z407" s="174">
        <f>Buildings_GridElectricity_Frontend[[#This Row],[Methodology]]</f>
        <v>0</v>
      </c>
      <c r="AA407" s="229" t="str" cm="1">
        <f t="array" ref="AA407">IF(Buildings_GridElectricity_Frontend[[#This Row],[Data]]="","",INDEX(_xlfn.SWITCH(Buildings_GridElectricity_Backend[[#This Row],[Methodology]],"Tier 1",rng_RSD1,"Tier 2",rng_RSD2,"Tier 3",rng_RSD3),MATCH(_xlfn.CONCAT(Buildings_GridElectricity_Backend[[#This Row],[Level 1]:[Level 6]]),rng_LevelsConcat,0)))</f>
        <v/>
      </c>
      <c r="AB407" s="220">
        <f>Buildings_GridElectricity_Frontend[[#This Row],[Data]]</f>
        <v>0</v>
      </c>
      <c r="AC407" s="174" t="str">
        <f>Buildings_GridElectricity_Frontend[[#This Row],[Units]]</f>
        <v>kWh</v>
      </c>
      <c r="AD407" s="218">
        <f>Buildings_GridElectricity_Frontend[[#This Row],[Data]]</f>
        <v>0</v>
      </c>
      <c r="AE407" s="174" t="str">
        <f>Buildings_GridElectricity_Frontend[[#This Row],[Units]]</f>
        <v>kWh</v>
      </c>
      <c r="AF407" s="210" t="str">
        <f>IF(Buildings_GridElectricity_Frontend[[#This Row],[Data]]="","",_xlfn.XLOOKUP(_xlfn.CONCAT(Buildings_GridElectricity_Backend[[#This Row],[Level 1]:[Level 6]]),rng_EFConcat,rng_EF1)*Buildings_GridElectricity_Backend[[#This Row],[Converted data]]/1000)</f>
        <v/>
      </c>
      <c r="AG407" s="210" t="str">
        <f>IF(Buildings_GridElectricity_Frontend[[#This Row],[Data]]="","",_xlfn.XLOOKUP(_xlfn.CONCAT(Buildings_GridElectricity_Backend[[#This Row],[Level 1]:[Level 6]]),rng_EFConcat,rng_EF2)*Buildings_GridElectricity_Backend[[#This Row],[Converted data]]/1000)</f>
        <v/>
      </c>
      <c r="AH407" s="210" t="str">
        <f>IF(Buildings_GridElectricity_Frontend[[#This Row],[Data]]="","",_xlfn.XLOOKUP(_xlfn.CONCAT(Buildings_GridElectricity_Backend[[#This Row],[Level 1]:[Level 6]]),rng_EFConcat,rng_EF3)*Buildings_GridElectricity_Backend[[#This Row],[Converted data]]/1000)</f>
        <v/>
      </c>
      <c r="AI407" s="210" t="str">
        <f>IF(Buildings_GridElectricity_Frontend[[#This Row],[Data]]="","",_xlfn.XLOOKUP(_xlfn.CONCAT(Buildings_GridElectricity_Backend[[#This Row],[Level 1]:[Level 6]]),rng_EFConcat,rng_EF3WTT)*Buildings_GridElectricity_Backend[[#This Row],[Converted data]]/1000)</f>
        <v/>
      </c>
      <c r="AJ407" s="210" t="str">
        <f>IF(Buildings_GridElectricity_Frontend[[#This Row],[Data]]="","",_xlfn.XLOOKUP(_xlfn.CONCAT(Buildings_GridElectricity_Backend[[#This Row],[Level 1]:[Level 6]]),rng_EFConcat,rng_EF3TD)*Buildings_GridElectricity_Backend[[#This Row],[Converted data]]/1000)</f>
        <v/>
      </c>
      <c r="AK407" s="210" t="str">
        <f>IF(Buildings_GridElectricity_Frontend[[#This Row],[Data]]="","",_xlfn.XLOOKUP(_xlfn.CONCAT(Buildings_GridElectricity_Backend[[#This Row],[Level 1]:[Level 6]]),rng_EFConcat,rng_EF3WTTTD)*Buildings_GridElectricity_Backend[[#This Row],[Converted data]]/1000)</f>
        <v/>
      </c>
      <c r="AL407" s="220" t="str">
        <f>IF(Buildings_GridElectricity_Frontend[[#This Row],[Data]]="","",SUM(Buildings_GridElectricity_Backend[[#This Row],[Scope 1 (tCO2e)]:[Scope 3 WTT T&amp;D (tCO2e)]]))</f>
        <v/>
      </c>
      <c r="AM407" s="220" t="str">
        <f>IF(Buildings_GridElectricity_Frontend[[#This Row],[Data]]="","",Buildings_GridElectricity_Backend[[#This Row],[Total (tCO2e)]]*(1-Buildings_GridElectricity_Backend[[#This Row],[RSD]]))</f>
        <v/>
      </c>
      <c r="AN407" s="220" t="str">
        <f>IF(Buildings_GridElectricity_Frontend[[#This Row],[Data]]="","",Buildings_GridElectricity_Backend[[#This Row],[Total (tCO2e)]]*(1+Buildings_GridElectricity_Backend[[#This Row],[RSD]]))</f>
        <v/>
      </c>
      <c r="AO407" s="210" t="str">
        <f>IF(Buildings_GridElectricity_Frontend[[#This Row],[Data]]="","",_xlfn.XLOOKUP(_xlfn.CONCAT(Buildings_GridElectricity_Backend[[#This Row],[Level 1]:[Level 6]]),rng_EFConcat,rng_EFOOS)*Buildings_GridElectricity_Backend[[#This Row],[Converted data]]/1000)</f>
        <v/>
      </c>
      <c r="AP407" s="174">
        <f>Buildings_GridElectricity_Frontend[[#This Row],[Ease of collection]]</f>
        <v>0</v>
      </c>
      <c r="AQ407" s="213">
        <f>Buildings_GridElectricity_Frontend[[#This Row],[Completeness]]</f>
        <v>0</v>
      </c>
      <c r="AR407" s="220">
        <f>Buildings_GridElectricity_Frontend[[#This Row],[Notes]]</f>
        <v>0</v>
      </c>
    </row>
    <row r="408" spans="5:44" x14ac:dyDescent="0.3">
      <c r="E408" s="346"/>
      <c r="F408" s="449"/>
      <c r="G408" s="336"/>
      <c r="H408" s="334"/>
      <c r="I408" s="172" t="s">
        <v>316</v>
      </c>
      <c r="J408" s="337"/>
      <c r="K408" s="336"/>
      <c r="L408" s="336"/>
      <c r="M408" s="337"/>
      <c r="N408" s="242">
        <f t="shared" si="13"/>
        <v>3</v>
      </c>
      <c r="Q408" s="212" t="str">
        <f t="shared" si="12"/>
        <v/>
      </c>
      <c r="R408" s="174" t="s">
        <v>265</v>
      </c>
      <c r="S408" s="174" t="s">
        <v>273</v>
      </c>
      <c r="T408" s="174" t="str">
        <f>_xlfn.XLOOKUP(Buildings_GridElectricity_Backend[[#This Row],[Info 1]],Buildings_SiteInfo[Site name],Buildings_SiteInfo[Site type], "")</f>
        <v/>
      </c>
      <c r="U408" s="174" t="s">
        <v>281</v>
      </c>
      <c r="V408" s="174" t="str" cm="1">
        <f t="array" aca="1" ref="V408" ca="1">_xlfn.XLOOKUP(Buildings_GridElectricity_Backend[[#This Row],[Level 4]],rng_Level4Long,rng_Level5Long)</f>
        <v>Electricity</v>
      </c>
      <c r="W408" s="174" t="str" cm="1">
        <f t="array" aca="1" ref="W408" ca="1">_xlfn.XLOOKUP(Buildings_GridElectricity_Backend[[#This Row],[Level 4]],rng_Level4Long,rng_Level6Long)</f>
        <v>NaN</v>
      </c>
      <c r="X408" s="174">
        <f>Buildings_GridElectricity_Frontend[[#This Row],[Site Name]]</f>
        <v>0</v>
      </c>
      <c r="Y408" s="174">
        <f>Buildings_GridElectricity_Frontend[[#This Row],[Contracting]]</f>
        <v>0</v>
      </c>
      <c r="Z408" s="174">
        <f>Buildings_GridElectricity_Frontend[[#This Row],[Methodology]]</f>
        <v>0</v>
      </c>
      <c r="AA408" s="229" t="str" cm="1">
        <f t="array" ref="AA408">IF(Buildings_GridElectricity_Frontend[[#This Row],[Data]]="","",INDEX(_xlfn.SWITCH(Buildings_GridElectricity_Backend[[#This Row],[Methodology]],"Tier 1",rng_RSD1,"Tier 2",rng_RSD2,"Tier 3",rng_RSD3),MATCH(_xlfn.CONCAT(Buildings_GridElectricity_Backend[[#This Row],[Level 1]:[Level 6]]),rng_LevelsConcat,0)))</f>
        <v/>
      </c>
      <c r="AB408" s="220">
        <f>Buildings_GridElectricity_Frontend[[#This Row],[Data]]</f>
        <v>0</v>
      </c>
      <c r="AC408" s="174" t="str">
        <f>Buildings_GridElectricity_Frontend[[#This Row],[Units]]</f>
        <v>kWh</v>
      </c>
      <c r="AD408" s="218">
        <f>Buildings_GridElectricity_Frontend[[#This Row],[Data]]</f>
        <v>0</v>
      </c>
      <c r="AE408" s="174" t="str">
        <f>Buildings_GridElectricity_Frontend[[#This Row],[Units]]</f>
        <v>kWh</v>
      </c>
      <c r="AF408" s="210" t="str">
        <f>IF(Buildings_GridElectricity_Frontend[[#This Row],[Data]]="","",_xlfn.XLOOKUP(_xlfn.CONCAT(Buildings_GridElectricity_Backend[[#This Row],[Level 1]:[Level 6]]),rng_EFConcat,rng_EF1)*Buildings_GridElectricity_Backend[[#This Row],[Converted data]]/1000)</f>
        <v/>
      </c>
      <c r="AG408" s="210" t="str">
        <f>IF(Buildings_GridElectricity_Frontend[[#This Row],[Data]]="","",_xlfn.XLOOKUP(_xlfn.CONCAT(Buildings_GridElectricity_Backend[[#This Row],[Level 1]:[Level 6]]),rng_EFConcat,rng_EF2)*Buildings_GridElectricity_Backend[[#This Row],[Converted data]]/1000)</f>
        <v/>
      </c>
      <c r="AH408" s="210" t="str">
        <f>IF(Buildings_GridElectricity_Frontend[[#This Row],[Data]]="","",_xlfn.XLOOKUP(_xlfn.CONCAT(Buildings_GridElectricity_Backend[[#This Row],[Level 1]:[Level 6]]),rng_EFConcat,rng_EF3)*Buildings_GridElectricity_Backend[[#This Row],[Converted data]]/1000)</f>
        <v/>
      </c>
      <c r="AI408" s="210" t="str">
        <f>IF(Buildings_GridElectricity_Frontend[[#This Row],[Data]]="","",_xlfn.XLOOKUP(_xlfn.CONCAT(Buildings_GridElectricity_Backend[[#This Row],[Level 1]:[Level 6]]),rng_EFConcat,rng_EF3WTT)*Buildings_GridElectricity_Backend[[#This Row],[Converted data]]/1000)</f>
        <v/>
      </c>
      <c r="AJ408" s="210" t="str">
        <f>IF(Buildings_GridElectricity_Frontend[[#This Row],[Data]]="","",_xlfn.XLOOKUP(_xlfn.CONCAT(Buildings_GridElectricity_Backend[[#This Row],[Level 1]:[Level 6]]),rng_EFConcat,rng_EF3TD)*Buildings_GridElectricity_Backend[[#This Row],[Converted data]]/1000)</f>
        <v/>
      </c>
      <c r="AK408" s="210" t="str">
        <f>IF(Buildings_GridElectricity_Frontend[[#This Row],[Data]]="","",_xlfn.XLOOKUP(_xlfn.CONCAT(Buildings_GridElectricity_Backend[[#This Row],[Level 1]:[Level 6]]),rng_EFConcat,rng_EF3WTTTD)*Buildings_GridElectricity_Backend[[#This Row],[Converted data]]/1000)</f>
        <v/>
      </c>
      <c r="AL408" s="220" t="str">
        <f>IF(Buildings_GridElectricity_Frontend[[#This Row],[Data]]="","",SUM(Buildings_GridElectricity_Backend[[#This Row],[Scope 1 (tCO2e)]:[Scope 3 WTT T&amp;D (tCO2e)]]))</f>
        <v/>
      </c>
      <c r="AM408" s="220" t="str">
        <f>IF(Buildings_GridElectricity_Frontend[[#This Row],[Data]]="","",Buildings_GridElectricity_Backend[[#This Row],[Total (tCO2e)]]*(1-Buildings_GridElectricity_Backend[[#This Row],[RSD]]))</f>
        <v/>
      </c>
      <c r="AN408" s="220" t="str">
        <f>IF(Buildings_GridElectricity_Frontend[[#This Row],[Data]]="","",Buildings_GridElectricity_Backend[[#This Row],[Total (tCO2e)]]*(1+Buildings_GridElectricity_Backend[[#This Row],[RSD]]))</f>
        <v/>
      </c>
      <c r="AO408" s="210" t="str">
        <f>IF(Buildings_GridElectricity_Frontend[[#This Row],[Data]]="","",_xlfn.XLOOKUP(_xlfn.CONCAT(Buildings_GridElectricity_Backend[[#This Row],[Level 1]:[Level 6]]),rng_EFConcat,rng_EFOOS)*Buildings_GridElectricity_Backend[[#This Row],[Converted data]]/1000)</f>
        <v/>
      </c>
      <c r="AP408" s="174">
        <f>Buildings_GridElectricity_Frontend[[#This Row],[Ease of collection]]</f>
        <v>0</v>
      </c>
      <c r="AQ408" s="213">
        <f>Buildings_GridElectricity_Frontend[[#This Row],[Completeness]]</f>
        <v>0</v>
      </c>
      <c r="AR408" s="220">
        <f>Buildings_GridElectricity_Frontend[[#This Row],[Notes]]</f>
        <v>0</v>
      </c>
    </row>
    <row r="409" spans="5:44" x14ac:dyDescent="0.3">
      <c r="E409" s="346"/>
      <c r="F409" s="449"/>
      <c r="G409" s="336"/>
      <c r="H409" s="334"/>
      <c r="I409" s="172" t="s">
        <v>316</v>
      </c>
      <c r="J409" s="337"/>
      <c r="K409" s="336"/>
      <c r="L409" s="336"/>
      <c r="M409" s="337"/>
      <c r="N409" s="242">
        <f t="shared" si="13"/>
        <v>3</v>
      </c>
      <c r="Q409" s="212" t="str">
        <f t="shared" si="12"/>
        <v/>
      </c>
      <c r="R409" s="174" t="s">
        <v>265</v>
      </c>
      <c r="S409" s="174" t="s">
        <v>273</v>
      </c>
      <c r="T409" s="174" t="str">
        <f>_xlfn.XLOOKUP(Buildings_GridElectricity_Backend[[#This Row],[Info 1]],Buildings_SiteInfo[Site name],Buildings_SiteInfo[Site type], "")</f>
        <v/>
      </c>
      <c r="U409" s="174" t="s">
        <v>281</v>
      </c>
      <c r="V409" s="174" t="str" cm="1">
        <f t="array" aca="1" ref="V409" ca="1">_xlfn.XLOOKUP(Buildings_GridElectricity_Backend[[#This Row],[Level 4]],rng_Level4Long,rng_Level5Long)</f>
        <v>Electricity</v>
      </c>
      <c r="W409" s="174" t="str" cm="1">
        <f t="array" aca="1" ref="W409" ca="1">_xlfn.XLOOKUP(Buildings_GridElectricity_Backend[[#This Row],[Level 4]],rng_Level4Long,rng_Level6Long)</f>
        <v>NaN</v>
      </c>
      <c r="X409" s="174">
        <f>Buildings_GridElectricity_Frontend[[#This Row],[Site Name]]</f>
        <v>0</v>
      </c>
      <c r="Y409" s="174">
        <f>Buildings_GridElectricity_Frontend[[#This Row],[Contracting]]</f>
        <v>0</v>
      </c>
      <c r="Z409" s="174">
        <f>Buildings_GridElectricity_Frontend[[#This Row],[Methodology]]</f>
        <v>0</v>
      </c>
      <c r="AA409" s="229" t="str" cm="1">
        <f t="array" ref="AA409">IF(Buildings_GridElectricity_Frontend[[#This Row],[Data]]="","",INDEX(_xlfn.SWITCH(Buildings_GridElectricity_Backend[[#This Row],[Methodology]],"Tier 1",rng_RSD1,"Tier 2",rng_RSD2,"Tier 3",rng_RSD3),MATCH(_xlfn.CONCAT(Buildings_GridElectricity_Backend[[#This Row],[Level 1]:[Level 6]]),rng_LevelsConcat,0)))</f>
        <v/>
      </c>
      <c r="AB409" s="220">
        <f>Buildings_GridElectricity_Frontend[[#This Row],[Data]]</f>
        <v>0</v>
      </c>
      <c r="AC409" s="174" t="str">
        <f>Buildings_GridElectricity_Frontend[[#This Row],[Units]]</f>
        <v>kWh</v>
      </c>
      <c r="AD409" s="218">
        <f>Buildings_GridElectricity_Frontend[[#This Row],[Data]]</f>
        <v>0</v>
      </c>
      <c r="AE409" s="174" t="str">
        <f>Buildings_GridElectricity_Frontend[[#This Row],[Units]]</f>
        <v>kWh</v>
      </c>
      <c r="AF409" s="210" t="str">
        <f>IF(Buildings_GridElectricity_Frontend[[#This Row],[Data]]="","",_xlfn.XLOOKUP(_xlfn.CONCAT(Buildings_GridElectricity_Backend[[#This Row],[Level 1]:[Level 6]]),rng_EFConcat,rng_EF1)*Buildings_GridElectricity_Backend[[#This Row],[Converted data]]/1000)</f>
        <v/>
      </c>
      <c r="AG409" s="210" t="str">
        <f>IF(Buildings_GridElectricity_Frontend[[#This Row],[Data]]="","",_xlfn.XLOOKUP(_xlfn.CONCAT(Buildings_GridElectricity_Backend[[#This Row],[Level 1]:[Level 6]]),rng_EFConcat,rng_EF2)*Buildings_GridElectricity_Backend[[#This Row],[Converted data]]/1000)</f>
        <v/>
      </c>
      <c r="AH409" s="210" t="str">
        <f>IF(Buildings_GridElectricity_Frontend[[#This Row],[Data]]="","",_xlfn.XLOOKUP(_xlfn.CONCAT(Buildings_GridElectricity_Backend[[#This Row],[Level 1]:[Level 6]]),rng_EFConcat,rng_EF3)*Buildings_GridElectricity_Backend[[#This Row],[Converted data]]/1000)</f>
        <v/>
      </c>
      <c r="AI409" s="210" t="str">
        <f>IF(Buildings_GridElectricity_Frontend[[#This Row],[Data]]="","",_xlfn.XLOOKUP(_xlfn.CONCAT(Buildings_GridElectricity_Backend[[#This Row],[Level 1]:[Level 6]]),rng_EFConcat,rng_EF3WTT)*Buildings_GridElectricity_Backend[[#This Row],[Converted data]]/1000)</f>
        <v/>
      </c>
      <c r="AJ409" s="210" t="str">
        <f>IF(Buildings_GridElectricity_Frontend[[#This Row],[Data]]="","",_xlfn.XLOOKUP(_xlfn.CONCAT(Buildings_GridElectricity_Backend[[#This Row],[Level 1]:[Level 6]]),rng_EFConcat,rng_EF3TD)*Buildings_GridElectricity_Backend[[#This Row],[Converted data]]/1000)</f>
        <v/>
      </c>
      <c r="AK409" s="210" t="str">
        <f>IF(Buildings_GridElectricity_Frontend[[#This Row],[Data]]="","",_xlfn.XLOOKUP(_xlfn.CONCAT(Buildings_GridElectricity_Backend[[#This Row],[Level 1]:[Level 6]]),rng_EFConcat,rng_EF3WTTTD)*Buildings_GridElectricity_Backend[[#This Row],[Converted data]]/1000)</f>
        <v/>
      </c>
      <c r="AL409" s="220" t="str">
        <f>IF(Buildings_GridElectricity_Frontend[[#This Row],[Data]]="","",SUM(Buildings_GridElectricity_Backend[[#This Row],[Scope 1 (tCO2e)]:[Scope 3 WTT T&amp;D (tCO2e)]]))</f>
        <v/>
      </c>
      <c r="AM409" s="220" t="str">
        <f>IF(Buildings_GridElectricity_Frontend[[#This Row],[Data]]="","",Buildings_GridElectricity_Backend[[#This Row],[Total (tCO2e)]]*(1-Buildings_GridElectricity_Backend[[#This Row],[RSD]]))</f>
        <v/>
      </c>
      <c r="AN409" s="220" t="str">
        <f>IF(Buildings_GridElectricity_Frontend[[#This Row],[Data]]="","",Buildings_GridElectricity_Backend[[#This Row],[Total (tCO2e)]]*(1+Buildings_GridElectricity_Backend[[#This Row],[RSD]]))</f>
        <v/>
      </c>
      <c r="AO409" s="210" t="str">
        <f>IF(Buildings_GridElectricity_Frontend[[#This Row],[Data]]="","",_xlfn.XLOOKUP(_xlfn.CONCAT(Buildings_GridElectricity_Backend[[#This Row],[Level 1]:[Level 6]]),rng_EFConcat,rng_EFOOS)*Buildings_GridElectricity_Backend[[#This Row],[Converted data]]/1000)</f>
        <v/>
      </c>
      <c r="AP409" s="174">
        <f>Buildings_GridElectricity_Frontend[[#This Row],[Ease of collection]]</f>
        <v>0</v>
      </c>
      <c r="AQ409" s="213">
        <f>Buildings_GridElectricity_Frontend[[#This Row],[Completeness]]</f>
        <v>0</v>
      </c>
      <c r="AR409" s="220">
        <f>Buildings_GridElectricity_Frontend[[#This Row],[Notes]]</f>
        <v>0</v>
      </c>
    </row>
    <row r="410" spans="5:44" x14ac:dyDescent="0.3">
      <c r="E410" s="346"/>
      <c r="F410" s="449"/>
      <c r="G410" s="336"/>
      <c r="H410" s="334"/>
      <c r="I410" s="172" t="s">
        <v>316</v>
      </c>
      <c r="J410" s="337"/>
      <c r="K410" s="336"/>
      <c r="L410" s="336"/>
      <c r="M410" s="337"/>
      <c r="N410" s="242">
        <f t="shared" si="13"/>
        <v>3</v>
      </c>
      <c r="Q410" s="212" t="str">
        <f t="shared" si="12"/>
        <v/>
      </c>
      <c r="R410" s="174" t="s">
        <v>265</v>
      </c>
      <c r="S410" s="174" t="s">
        <v>273</v>
      </c>
      <c r="T410" s="174" t="str">
        <f>_xlfn.XLOOKUP(Buildings_GridElectricity_Backend[[#This Row],[Info 1]],Buildings_SiteInfo[Site name],Buildings_SiteInfo[Site type], "")</f>
        <v/>
      </c>
      <c r="U410" s="174" t="s">
        <v>281</v>
      </c>
      <c r="V410" s="174" t="str" cm="1">
        <f t="array" aca="1" ref="V410" ca="1">_xlfn.XLOOKUP(Buildings_GridElectricity_Backend[[#This Row],[Level 4]],rng_Level4Long,rng_Level5Long)</f>
        <v>Electricity</v>
      </c>
      <c r="W410" s="174" t="str" cm="1">
        <f t="array" aca="1" ref="W410" ca="1">_xlfn.XLOOKUP(Buildings_GridElectricity_Backend[[#This Row],[Level 4]],rng_Level4Long,rng_Level6Long)</f>
        <v>NaN</v>
      </c>
      <c r="X410" s="174">
        <f>Buildings_GridElectricity_Frontend[[#This Row],[Site Name]]</f>
        <v>0</v>
      </c>
      <c r="Y410" s="174">
        <f>Buildings_GridElectricity_Frontend[[#This Row],[Contracting]]</f>
        <v>0</v>
      </c>
      <c r="Z410" s="174">
        <f>Buildings_GridElectricity_Frontend[[#This Row],[Methodology]]</f>
        <v>0</v>
      </c>
      <c r="AA410" s="229" t="str" cm="1">
        <f t="array" ref="AA410">IF(Buildings_GridElectricity_Frontend[[#This Row],[Data]]="","",INDEX(_xlfn.SWITCH(Buildings_GridElectricity_Backend[[#This Row],[Methodology]],"Tier 1",rng_RSD1,"Tier 2",rng_RSD2,"Tier 3",rng_RSD3),MATCH(_xlfn.CONCAT(Buildings_GridElectricity_Backend[[#This Row],[Level 1]:[Level 6]]),rng_LevelsConcat,0)))</f>
        <v/>
      </c>
      <c r="AB410" s="220">
        <f>Buildings_GridElectricity_Frontend[[#This Row],[Data]]</f>
        <v>0</v>
      </c>
      <c r="AC410" s="174" t="str">
        <f>Buildings_GridElectricity_Frontend[[#This Row],[Units]]</f>
        <v>kWh</v>
      </c>
      <c r="AD410" s="218">
        <f>Buildings_GridElectricity_Frontend[[#This Row],[Data]]</f>
        <v>0</v>
      </c>
      <c r="AE410" s="174" t="str">
        <f>Buildings_GridElectricity_Frontend[[#This Row],[Units]]</f>
        <v>kWh</v>
      </c>
      <c r="AF410" s="210" t="str">
        <f>IF(Buildings_GridElectricity_Frontend[[#This Row],[Data]]="","",_xlfn.XLOOKUP(_xlfn.CONCAT(Buildings_GridElectricity_Backend[[#This Row],[Level 1]:[Level 6]]),rng_EFConcat,rng_EF1)*Buildings_GridElectricity_Backend[[#This Row],[Converted data]]/1000)</f>
        <v/>
      </c>
      <c r="AG410" s="210" t="str">
        <f>IF(Buildings_GridElectricity_Frontend[[#This Row],[Data]]="","",_xlfn.XLOOKUP(_xlfn.CONCAT(Buildings_GridElectricity_Backend[[#This Row],[Level 1]:[Level 6]]),rng_EFConcat,rng_EF2)*Buildings_GridElectricity_Backend[[#This Row],[Converted data]]/1000)</f>
        <v/>
      </c>
      <c r="AH410" s="210" t="str">
        <f>IF(Buildings_GridElectricity_Frontend[[#This Row],[Data]]="","",_xlfn.XLOOKUP(_xlfn.CONCAT(Buildings_GridElectricity_Backend[[#This Row],[Level 1]:[Level 6]]),rng_EFConcat,rng_EF3)*Buildings_GridElectricity_Backend[[#This Row],[Converted data]]/1000)</f>
        <v/>
      </c>
      <c r="AI410" s="210" t="str">
        <f>IF(Buildings_GridElectricity_Frontend[[#This Row],[Data]]="","",_xlfn.XLOOKUP(_xlfn.CONCAT(Buildings_GridElectricity_Backend[[#This Row],[Level 1]:[Level 6]]),rng_EFConcat,rng_EF3WTT)*Buildings_GridElectricity_Backend[[#This Row],[Converted data]]/1000)</f>
        <v/>
      </c>
      <c r="AJ410" s="210" t="str">
        <f>IF(Buildings_GridElectricity_Frontend[[#This Row],[Data]]="","",_xlfn.XLOOKUP(_xlfn.CONCAT(Buildings_GridElectricity_Backend[[#This Row],[Level 1]:[Level 6]]),rng_EFConcat,rng_EF3TD)*Buildings_GridElectricity_Backend[[#This Row],[Converted data]]/1000)</f>
        <v/>
      </c>
      <c r="AK410" s="210" t="str">
        <f>IF(Buildings_GridElectricity_Frontend[[#This Row],[Data]]="","",_xlfn.XLOOKUP(_xlfn.CONCAT(Buildings_GridElectricity_Backend[[#This Row],[Level 1]:[Level 6]]),rng_EFConcat,rng_EF3WTTTD)*Buildings_GridElectricity_Backend[[#This Row],[Converted data]]/1000)</f>
        <v/>
      </c>
      <c r="AL410" s="220" t="str">
        <f>IF(Buildings_GridElectricity_Frontend[[#This Row],[Data]]="","",SUM(Buildings_GridElectricity_Backend[[#This Row],[Scope 1 (tCO2e)]:[Scope 3 WTT T&amp;D (tCO2e)]]))</f>
        <v/>
      </c>
      <c r="AM410" s="220" t="str">
        <f>IF(Buildings_GridElectricity_Frontend[[#This Row],[Data]]="","",Buildings_GridElectricity_Backend[[#This Row],[Total (tCO2e)]]*(1-Buildings_GridElectricity_Backend[[#This Row],[RSD]]))</f>
        <v/>
      </c>
      <c r="AN410" s="220" t="str">
        <f>IF(Buildings_GridElectricity_Frontend[[#This Row],[Data]]="","",Buildings_GridElectricity_Backend[[#This Row],[Total (tCO2e)]]*(1+Buildings_GridElectricity_Backend[[#This Row],[RSD]]))</f>
        <v/>
      </c>
      <c r="AO410" s="210" t="str">
        <f>IF(Buildings_GridElectricity_Frontend[[#This Row],[Data]]="","",_xlfn.XLOOKUP(_xlfn.CONCAT(Buildings_GridElectricity_Backend[[#This Row],[Level 1]:[Level 6]]),rng_EFConcat,rng_EFOOS)*Buildings_GridElectricity_Backend[[#This Row],[Converted data]]/1000)</f>
        <v/>
      </c>
      <c r="AP410" s="174">
        <f>Buildings_GridElectricity_Frontend[[#This Row],[Ease of collection]]</f>
        <v>0</v>
      </c>
      <c r="AQ410" s="213">
        <f>Buildings_GridElectricity_Frontend[[#This Row],[Completeness]]</f>
        <v>0</v>
      </c>
      <c r="AR410" s="220">
        <f>Buildings_GridElectricity_Frontend[[#This Row],[Notes]]</f>
        <v>0</v>
      </c>
    </row>
    <row r="411" spans="5:44" x14ac:dyDescent="0.3">
      <c r="E411" s="346"/>
      <c r="F411" s="449"/>
      <c r="G411" s="336"/>
      <c r="H411" s="334"/>
      <c r="I411" s="172" t="s">
        <v>316</v>
      </c>
      <c r="J411" s="337"/>
      <c r="K411" s="336"/>
      <c r="L411" s="336"/>
      <c r="M411" s="337"/>
      <c r="N411" s="242">
        <f t="shared" si="13"/>
        <v>3</v>
      </c>
      <c r="Q411" s="212" t="str">
        <f t="shared" si="12"/>
        <v/>
      </c>
      <c r="R411" s="174" t="s">
        <v>265</v>
      </c>
      <c r="S411" s="174" t="s">
        <v>273</v>
      </c>
      <c r="T411" s="174" t="str">
        <f>_xlfn.XLOOKUP(Buildings_GridElectricity_Backend[[#This Row],[Info 1]],Buildings_SiteInfo[Site name],Buildings_SiteInfo[Site type], "")</f>
        <v/>
      </c>
      <c r="U411" s="174" t="s">
        <v>281</v>
      </c>
      <c r="V411" s="174" t="str" cm="1">
        <f t="array" aca="1" ref="V411" ca="1">_xlfn.XLOOKUP(Buildings_GridElectricity_Backend[[#This Row],[Level 4]],rng_Level4Long,rng_Level5Long)</f>
        <v>Electricity</v>
      </c>
      <c r="W411" s="174" t="str" cm="1">
        <f t="array" aca="1" ref="W411" ca="1">_xlfn.XLOOKUP(Buildings_GridElectricity_Backend[[#This Row],[Level 4]],rng_Level4Long,rng_Level6Long)</f>
        <v>NaN</v>
      </c>
      <c r="X411" s="174">
        <f>Buildings_GridElectricity_Frontend[[#This Row],[Site Name]]</f>
        <v>0</v>
      </c>
      <c r="Y411" s="174">
        <f>Buildings_GridElectricity_Frontend[[#This Row],[Contracting]]</f>
        <v>0</v>
      </c>
      <c r="Z411" s="174">
        <f>Buildings_GridElectricity_Frontend[[#This Row],[Methodology]]</f>
        <v>0</v>
      </c>
      <c r="AA411" s="229" t="str" cm="1">
        <f t="array" ref="AA411">IF(Buildings_GridElectricity_Frontend[[#This Row],[Data]]="","",INDEX(_xlfn.SWITCH(Buildings_GridElectricity_Backend[[#This Row],[Methodology]],"Tier 1",rng_RSD1,"Tier 2",rng_RSD2,"Tier 3",rng_RSD3),MATCH(_xlfn.CONCAT(Buildings_GridElectricity_Backend[[#This Row],[Level 1]:[Level 6]]),rng_LevelsConcat,0)))</f>
        <v/>
      </c>
      <c r="AB411" s="220">
        <f>Buildings_GridElectricity_Frontend[[#This Row],[Data]]</f>
        <v>0</v>
      </c>
      <c r="AC411" s="174" t="str">
        <f>Buildings_GridElectricity_Frontend[[#This Row],[Units]]</f>
        <v>kWh</v>
      </c>
      <c r="AD411" s="218">
        <f>Buildings_GridElectricity_Frontend[[#This Row],[Data]]</f>
        <v>0</v>
      </c>
      <c r="AE411" s="174" t="str">
        <f>Buildings_GridElectricity_Frontend[[#This Row],[Units]]</f>
        <v>kWh</v>
      </c>
      <c r="AF411" s="210" t="str">
        <f>IF(Buildings_GridElectricity_Frontend[[#This Row],[Data]]="","",_xlfn.XLOOKUP(_xlfn.CONCAT(Buildings_GridElectricity_Backend[[#This Row],[Level 1]:[Level 6]]),rng_EFConcat,rng_EF1)*Buildings_GridElectricity_Backend[[#This Row],[Converted data]]/1000)</f>
        <v/>
      </c>
      <c r="AG411" s="210" t="str">
        <f>IF(Buildings_GridElectricity_Frontend[[#This Row],[Data]]="","",_xlfn.XLOOKUP(_xlfn.CONCAT(Buildings_GridElectricity_Backend[[#This Row],[Level 1]:[Level 6]]),rng_EFConcat,rng_EF2)*Buildings_GridElectricity_Backend[[#This Row],[Converted data]]/1000)</f>
        <v/>
      </c>
      <c r="AH411" s="210" t="str">
        <f>IF(Buildings_GridElectricity_Frontend[[#This Row],[Data]]="","",_xlfn.XLOOKUP(_xlfn.CONCAT(Buildings_GridElectricity_Backend[[#This Row],[Level 1]:[Level 6]]),rng_EFConcat,rng_EF3)*Buildings_GridElectricity_Backend[[#This Row],[Converted data]]/1000)</f>
        <v/>
      </c>
      <c r="AI411" s="210" t="str">
        <f>IF(Buildings_GridElectricity_Frontend[[#This Row],[Data]]="","",_xlfn.XLOOKUP(_xlfn.CONCAT(Buildings_GridElectricity_Backend[[#This Row],[Level 1]:[Level 6]]),rng_EFConcat,rng_EF3WTT)*Buildings_GridElectricity_Backend[[#This Row],[Converted data]]/1000)</f>
        <v/>
      </c>
      <c r="AJ411" s="210" t="str">
        <f>IF(Buildings_GridElectricity_Frontend[[#This Row],[Data]]="","",_xlfn.XLOOKUP(_xlfn.CONCAT(Buildings_GridElectricity_Backend[[#This Row],[Level 1]:[Level 6]]),rng_EFConcat,rng_EF3TD)*Buildings_GridElectricity_Backend[[#This Row],[Converted data]]/1000)</f>
        <v/>
      </c>
      <c r="AK411" s="210" t="str">
        <f>IF(Buildings_GridElectricity_Frontend[[#This Row],[Data]]="","",_xlfn.XLOOKUP(_xlfn.CONCAT(Buildings_GridElectricity_Backend[[#This Row],[Level 1]:[Level 6]]),rng_EFConcat,rng_EF3WTTTD)*Buildings_GridElectricity_Backend[[#This Row],[Converted data]]/1000)</f>
        <v/>
      </c>
      <c r="AL411" s="220" t="str">
        <f>IF(Buildings_GridElectricity_Frontend[[#This Row],[Data]]="","",SUM(Buildings_GridElectricity_Backend[[#This Row],[Scope 1 (tCO2e)]:[Scope 3 WTT T&amp;D (tCO2e)]]))</f>
        <v/>
      </c>
      <c r="AM411" s="220" t="str">
        <f>IF(Buildings_GridElectricity_Frontend[[#This Row],[Data]]="","",Buildings_GridElectricity_Backend[[#This Row],[Total (tCO2e)]]*(1-Buildings_GridElectricity_Backend[[#This Row],[RSD]]))</f>
        <v/>
      </c>
      <c r="AN411" s="220" t="str">
        <f>IF(Buildings_GridElectricity_Frontend[[#This Row],[Data]]="","",Buildings_GridElectricity_Backend[[#This Row],[Total (tCO2e)]]*(1+Buildings_GridElectricity_Backend[[#This Row],[RSD]]))</f>
        <v/>
      </c>
      <c r="AO411" s="210" t="str">
        <f>IF(Buildings_GridElectricity_Frontend[[#This Row],[Data]]="","",_xlfn.XLOOKUP(_xlfn.CONCAT(Buildings_GridElectricity_Backend[[#This Row],[Level 1]:[Level 6]]),rng_EFConcat,rng_EFOOS)*Buildings_GridElectricity_Backend[[#This Row],[Converted data]]/1000)</f>
        <v/>
      </c>
      <c r="AP411" s="174">
        <f>Buildings_GridElectricity_Frontend[[#This Row],[Ease of collection]]</f>
        <v>0</v>
      </c>
      <c r="AQ411" s="213">
        <f>Buildings_GridElectricity_Frontend[[#This Row],[Completeness]]</f>
        <v>0</v>
      </c>
      <c r="AR411" s="220">
        <f>Buildings_GridElectricity_Frontend[[#This Row],[Notes]]</f>
        <v>0</v>
      </c>
    </row>
    <row r="412" spans="5:44" x14ac:dyDescent="0.3">
      <c r="E412" s="346"/>
      <c r="F412" s="449"/>
      <c r="G412" s="336"/>
      <c r="H412" s="334"/>
      <c r="I412" s="172" t="s">
        <v>316</v>
      </c>
      <c r="J412" s="337"/>
      <c r="K412" s="336"/>
      <c r="L412" s="336"/>
      <c r="M412" s="337"/>
      <c r="N412" s="242">
        <f t="shared" si="13"/>
        <v>3</v>
      </c>
      <c r="Q412" s="212" t="str">
        <f t="shared" ref="Q412:Q475" si="14">IF(N412=0,SUBSTITUTE(2025&amp;TRIM(cl_org_name_select)&amp;TRIM($E$25)&amp;(ROW(N412)-ROW($N$28))," ",""),"")</f>
        <v/>
      </c>
      <c r="R412" s="174" t="s">
        <v>265</v>
      </c>
      <c r="S412" s="174" t="s">
        <v>273</v>
      </c>
      <c r="T412" s="174" t="str">
        <f>_xlfn.XLOOKUP(Buildings_GridElectricity_Backend[[#This Row],[Info 1]],Buildings_SiteInfo[Site name],Buildings_SiteInfo[Site type], "")</f>
        <v/>
      </c>
      <c r="U412" s="174" t="s">
        <v>281</v>
      </c>
      <c r="V412" s="174" t="str" cm="1">
        <f t="array" aca="1" ref="V412" ca="1">_xlfn.XLOOKUP(Buildings_GridElectricity_Backend[[#This Row],[Level 4]],rng_Level4Long,rng_Level5Long)</f>
        <v>Electricity</v>
      </c>
      <c r="W412" s="174" t="str" cm="1">
        <f t="array" aca="1" ref="W412" ca="1">_xlfn.XLOOKUP(Buildings_GridElectricity_Backend[[#This Row],[Level 4]],rng_Level4Long,rng_Level6Long)</f>
        <v>NaN</v>
      </c>
      <c r="X412" s="174">
        <f>Buildings_GridElectricity_Frontend[[#This Row],[Site Name]]</f>
        <v>0</v>
      </c>
      <c r="Y412" s="174">
        <f>Buildings_GridElectricity_Frontend[[#This Row],[Contracting]]</f>
        <v>0</v>
      </c>
      <c r="Z412" s="174">
        <f>Buildings_GridElectricity_Frontend[[#This Row],[Methodology]]</f>
        <v>0</v>
      </c>
      <c r="AA412" s="229" t="str" cm="1">
        <f t="array" ref="AA412">IF(Buildings_GridElectricity_Frontend[[#This Row],[Data]]="","",INDEX(_xlfn.SWITCH(Buildings_GridElectricity_Backend[[#This Row],[Methodology]],"Tier 1",rng_RSD1,"Tier 2",rng_RSD2,"Tier 3",rng_RSD3),MATCH(_xlfn.CONCAT(Buildings_GridElectricity_Backend[[#This Row],[Level 1]:[Level 6]]),rng_LevelsConcat,0)))</f>
        <v/>
      </c>
      <c r="AB412" s="220">
        <f>Buildings_GridElectricity_Frontend[[#This Row],[Data]]</f>
        <v>0</v>
      </c>
      <c r="AC412" s="174" t="str">
        <f>Buildings_GridElectricity_Frontend[[#This Row],[Units]]</f>
        <v>kWh</v>
      </c>
      <c r="AD412" s="218">
        <f>Buildings_GridElectricity_Frontend[[#This Row],[Data]]</f>
        <v>0</v>
      </c>
      <c r="AE412" s="174" t="str">
        <f>Buildings_GridElectricity_Frontend[[#This Row],[Units]]</f>
        <v>kWh</v>
      </c>
      <c r="AF412" s="210" t="str">
        <f>IF(Buildings_GridElectricity_Frontend[[#This Row],[Data]]="","",_xlfn.XLOOKUP(_xlfn.CONCAT(Buildings_GridElectricity_Backend[[#This Row],[Level 1]:[Level 6]]),rng_EFConcat,rng_EF1)*Buildings_GridElectricity_Backend[[#This Row],[Converted data]]/1000)</f>
        <v/>
      </c>
      <c r="AG412" s="210" t="str">
        <f>IF(Buildings_GridElectricity_Frontend[[#This Row],[Data]]="","",_xlfn.XLOOKUP(_xlfn.CONCAT(Buildings_GridElectricity_Backend[[#This Row],[Level 1]:[Level 6]]),rng_EFConcat,rng_EF2)*Buildings_GridElectricity_Backend[[#This Row],[Converted data]]/1000)</f>
        <v/>
      </c>
      <c r="AH412" s="210" t="str">
        <f>IF(Buildings_GridElectricity_Frontend[[#This Row],[Data]]="","",_xlfn.XLOOKUP(_xlfn.CONCAT(Buildings_GridElectricity_Backend[[#This Row],[Level 1]:[Level 6]]),rng_EFConcat,rng_EF3)*Buildings_GridElectricity_Backend[[#This Row],[Converted data]]/1000)</f>
        <v/>
      </c>
      <c r="AI412" s="210" t="str">
        <f>IF(Buildings_GridElectricity_Frontend[[#This Row],[Data]]="","",_xlfn.XLOOKUP(_xlfn.CONCAT(Buildings_GridElectricity_Backend[[#This Row],[Level 1]:[Level 6]]),rng_EFConcat,rng_EF3WTT)*Buildings_GridElectricity_Backend[[#This Row],[Converted data]]/1000)</f>
        <v/>
      </c>
      <c r="AJ412" s="210" t="str">
        <f>IF(Buildings_GridElectricity_Frontend[[#This Row],[Data]]="","",_xlfn.XLOOKUP(_xlfn.CONCAT(Buildings_GridElectricity_Backend[[#This Row],[Level 1]:[Level 6]]),rng_EFConcat,rng_EF3TD)*Buildings_GridElectricity_Backend[[#This Row],[Converted data]]/1000)</f>
        <v/>
      </c>
      <c r="AK412" s="210" t="str">
        <f>IF(Buildings_GridElectricity_Frontend[[#This Row],[Data]]="","",_xlfn.XLOOKUP(_xlfn.CONCAT(Buildings_GridElectricity_Backend[[#This Row],[Level 1]:[Level 6]]),rng_EFConcat,rng_EF3WTTTD)*Buildings_GridElectricity_Backend[[#This Row],[Converted data]]/1000)</f>
        <v/>
      </c>
      <c r="AL412" s="220" t="str">
        <f>IF(Buildings_GridElectricity_Frontend[[#This Row],[Data]]="","",SUM(Buildings_GridElectricity_Backend[[#This Row],[Scope 1 (tCO2e)]:[Scope 3 WTT T&amp;D (tCO2e)]]))</f>
        <v/>
      </c>
      <c r="AM412" s="220" t="str">
        <f>IF(Buildings_GridElectricity_Frontend[[#This Row],[Data]]="","",Buildings_GridElectricity_Backend[[#This Row],[Total (tCO2e)]]*(1-Buildings_GridElectricity_Backend[[#This Row],[RSD]]))</f>
        <v/>
      </c>
      <c r="AN412" s="220" t="str">
        <f>IF(Buildings_GridElectricity_Frontend[[#This Row],[Data]]="","",Buildings_GridElectricity_Backend[[#This Row],[Total (tCO2e)]]*(1+Buildings_GridElectricity_Backend[[#This Row],[RSD]]))</f>
        <v/>
      </c>
      <c r="AO412" s="210" t="str">
        <f>IF(Buildings_GridElectricity_Frontend[[#This Row],[Data]]="","",_xlfn.XLOOKUP(_xlfn.CONCAT(Buildings_GridElectricity_Backend[[#This Row],[Level 1]:[Level 6]]),rng_EFConcat,rng_EFOOS)*Buildings_GridElectricity_Backend[[#This Row],[Converted data]]/1000)</f>
        <v/>
      </c>
      <c r="AP412" s="174">
        <f>Buildings_GridElectricity_Frontend[[#This Row],[Ease of collection]]</f>
        <v>0</v>
      </c>
      <c r="AQ412" s="213">
        <f>Buildings_GridElectricity_Frontend[[#This Row],[Completeness]]</f>
        <v>0</v>
      </c>
      <c r="AR412" s="220">
        <f>Buildings_GridElectricity_Frontend[[#This Row],[Notes]]</f>
        <v>0</v>
      </c>
    </row>
    <row r="413" spans="5:44" x14ac:dyDescent="0.3">
      <c r="E413" s="346"/>
      <c r="F413" s="449"/>
      <c r="G413" s="336"/>
      <c r="H413" s="334"/>
      <c r="I413" s="172" t="s">
        <v>316</v>
      </c>
      <c r="J413" s="337"/>
      <c r="K413" s="336"/>
      <c r="L413" s="336"/>
      <c r="M413" s="337"/>
      <c r="N413" s="242">
        <f t="shared" ref="N413:N476" si="15">ISBLANK(E413)+ISBLANK(G413)+ISBLANK(H413)</f>
        <v>3</v>
      </c>
      <c r="Q413" s="212" t="str">
        <f t="shared" si="14"/>
        <v/>
      </c>
      <c r="R413" s="174" t="s">
        <v>265</v>
      </c>
      <c r="S413" s="174" t="s">
        <v>273</v>
      </c>
      <c r="T413" s="174" t="str">
        <f>_xlfn.XLOOKUP(Buildings_GridElectricity_Backend[[#This Row],[Info 1]],Buildings_SiteInfo[Site name],Buildings_SiteInfo[Site type], "")</f>
        <v/>
      </c>
      <c r="U413" s="174" t="s">
        <v>281</v>
      </c>
      <c r="V413" s="174" t="str" cm="1">
        <f t="array" aca="1" ref="V413" ca="1">_xlfn.XLOOKUP(Buildings_GridElectricity_Backend[[#This Row],[Level 4]],rng_Level4Long,rng_Level5Long)</f>
        <v>Electricity</v>
      </c>
      <c r="W413" s="174" t="str" cm="1">
        <f t="array" aca="1" ref="W413" ca="1">_xlfn.XLOOKUP(Buildings_GridElectricity_Backend[[#This Row],[Level 4]],rng_Level4Long,rng_Level6Long)</f>
        <v>NaN</v>
      </c>
      <c r="X413" s="174">
        <f>Buildings_GridElectricity_Frontend[[#This Row],[Site Name]]</f>
        <v>0</v>
      </c>
      <c r="Y413" s="174">
        <f>Buildings_GridElectricity_Frontend[[#This Row],[Contracting]]</f>
        <v>0</v>
      </c>
      <c r="Z413" s="174">
        <f>Buildings_GridElectricity_Frontend[[#This Row],[Methodology]]</f>
        <v>0</v>
      </c>
      <c r="AA413" s="229" t="str" cm="1">
        <f t="array" ref="AA413">IF(Buildings_GridElectricity_Frontend[[#This Row],[Data]]="","",INDEX(_xlfn.SWITCH(Buildings_GridElectricity_Backend[[#This Row],[Methodology]],"Tier 1",rng_RSD1,"Tier 2",rng_RSD2,"Tier 3",rng_RSD3),MATCH(_xlfn.CONCAT(Buildings_GridElectricity_Backend[[#This Row],[Level 1]:[Level 6]]),rng_LevelsConcat,0)))</f>
        <v/>
      </c>
      <c r="AB413" s="220">
        <f>Buildings_GridElectricity_Frontend[[#This Row],[Data]]</f>
        <v>0</v>
      </c>
      <c r="AC413" s="174" t="str">
        <f>Buildings_GridElectricity_Frontend[[#This Row],[Units]]</f>
        <v>kWh</v>
      </c>
      <c r="AD413" s="218">
        <f>Buildings_GridElectricity_Frontend[[#This Row],[Data]]</f>
        <v>0</v>
      </c>
      <c r="AE413" s="174" t="str">
        <f>Buildings_GridElectricity_Frontend[[#This Row],[Units]]</f>
        <v>kWh</v>
      </c>
      <c r="AF413" s="210" t="str">
        <f>IF(Buildings_GridElectricity_Frontend[[#This Row],[Data]]="","",_xlfn.XLOOKUP(_xlfn.CONCAT(Buildings_GridElectricity_Backend[[#This Row],[Level 1]:[Level 6]]),rng_EFConcat,rng_EF1)*Buildings_GridElectricity_Backend[[#This Row],[Converted data]]/1000)</f>
        <v/>
      </c>
      <c r="AG413" s="210" t="str">
        <f>IF(Buildings_GridElectricity_Frontend[[#This Row],[Data]]="","",_xlfn.XLOOKUP(_xlfn.CONCAT(Buildings_GridElectricity_Backend[[#This Row],[Level 1]:[Level 6]]),rng_EFConcat,rng_EF2)*Buildings_GridElectricity_Backend[[#This Row],[Converted data]]/1000)</f>
        <v/>
      </c>
      <c r="AH413" s="210" t="str">
        <f>IF(Buildings_GridElectricity_Frontend[[#This Row],[Data]]="","",_xlfn.XLOOKUP(_xlfn.CONCAT(Buildings_GridElectricity_Backend[[#This Row],[Level 1]:[Level 6]]),rng_EFConcat,rng_EF3)*Buildings_GridElectricity_Backend[[#This Row],[Converted data]]/1000)</f>
        <v/>
      </c>
      <c r="AI413" s="210" t="str">
        <f>IF(Buildings_GridElectricity_Frontend[[#This Row],[Data]]="","",_xlfn.XLOOKUP(_xlfn.CONCAT(Buildings_GridElectricity_Backend[[#This Row],[Level 1]:[Level 6]]),rng_EFConcat,rng_EF3WTT)*Buildings_GridElectricity_Backend[[#This Row],[Converted data]]/1000)</f>
        <v/>
      </c>
      <c r="AJ413" s="210" t="str">
        <f>IF(Buildings_GridElectricity_Frontend[[#This Row],[Data]]="","",_xlfn.XLOOKUP(_xlfn.CONCAT(Buildings_GridElectricity_Backend[[#This Row],[Level 1]:[Level 6]]),rng_EFConcat,rng_EF3TD)*Buildings_GridElectricity_Backend[[#This Row],[Converted data]]/1000)</f>
        <v/>
      </c>
      <c r="AK413" s="210" t="str">
        <f>IF(Buildings_GridElectricity_Frontend[[#This Row],[Data]]="","",_xlfn.XLOOKUP(_xlfn.CONCAT(Buildings_GridElectricity_Backend[[#This Row],[Level 1]:[Level 6]]),rng_EFConcat,rng_EF3WTTTD)*Buildings_GridElectricity_Backend[[#This Row],[Converted data]]/1000)</f>
        <v/>
      </c>
      <c r="AL413" s="220" t="str">
        <f>IF(Buildings_GridElectricity_Frontend[[#This Row],[Data]]="","",SUM(Buildings_GridElectricity_Backend[[#This Row],[Scope 1 (tCO2e)]:[Scope 3 WTT T&amp;D (tCO2e)]]))</f>
        <v/>
      </c>
      <c r="AM413" s="220" t="str">
        <f>IF(Buildings_GridElectricity_Frontend[[#This Row],[Data]]="","",Buildings_GridElectricity_Backend[[#This Row],[Total (tCO2e)]]*(1-Buildings_GridElectricity_Backend[[#This Row],[RSD]]))</f>
        <v/>
      </c>
      <c r="AN413" s="220" t="str">
        <f>IF(Buildings_GridElectricity_Frontend[[#This Row],[Data]]="","",Buildings_GridElectricity_Backend[[#This Row],[Total (tCO2e)]]*(1+Buildings_GridElectricity_Backend[[#This Row],[RSD]]))</f>
        <v/>
      </c>
      <c r="AO413" s="210" t="str">
        <f>IF(Buildings_GridElectricity_Frontend[[#This Row],[Data]]="","",_xlfn.XLOOKUP(_xlfn.CONCAT(Buildings_GridElectricity_Backend[[#This Row],[Level 1]:[Level 6]]),rng_EFConcat,rng_EFOOS)*Buildings_GridElectricity_Backend[[#This Row],[Converted data]]/1000)</f>
        <v/>
      </c>
      <c r="AP413" s="174">
        <f>Buildings_GridElectricity_Frontend[[#This Row],[Ease of collection]]</f>
        <v>0</v>
      </c>
      <c r="AQ413" s="213">
        <f>Buildings_GridElectricity_Frontend[[#This Row],[Completeness]]</f>
        <v>0</v>
      </c>
      <c r="AR413" s="220">
        <f>Buildings_GridElectricity_Frontend[[#This Row],[Notes]]</f>
        <v>0</v>
      </c>
    </row>
    <row r="414" spans="5:44" x14ac:dyDescent="0.3">
      <c r="E414" s="346"/>
      <c r="F414" s="449"/>
      <c r="G414" s="336"/>
      <c r="H414" s="334"/>
      <c r="I414" s="172" t="s">
        <v>316</v>
      </c>
      <c r="J414" s="337"/>
      <c r="K414" s="336"/>
      <c r="L414" s="336"/>
      <c r="M414" s="337"/>
      <c r="N414" s="242">
        <f t="shared" si="15"/>
        <v>3</v>
      </c>
      <c r="Q414" s="212" t="str">
        <f t="shared" si="14"/>
        <v/>
      </c>
      <c r="R414" s="174" t="s">
        <v>265</v>
      </c>
      <c r="S414" s="174" t="s">
        <v>273</v>
      </c>
      <c r="T414" s="174" t="str">
        <f>_xlfn.XLOOKUP(Buildings_GridElectricity_Backend[[#This Row],[Info 1]],Buildings_SiteInfo[Site name],Buildings_SiteInfo[Site type], "")</f>
        <v/>
      </c>
      <c r="U414" s="174" t="s">
        <v>281</v>
      </c>
      <c r="V414" s="174" t="str" cm="1">
        <f t="array" aca="1" ref="V414" ca="1">_xlfn.XLOOKUP(Buildings_GridElectricity_Backend[[#This Row],[Level 4]],rng_Level4Long,rng_Level5Long)</f>
        <v>Electricity</v>
      </c>
      <c r="W414" s="174" t="str" cm="1">
        <f t="array" aca="1" ref="W414" ca="1">_xlfn.XLOOKUP(Buildings_GridElectricity_Backend[[#This Row],[Level 4]],rng_Level4Long,rng_Level6Long)</f>
        <v>NaN</v>
      </c>
      <c r="X414" s="174">
        <f>Buildings_GridElectricity_Frontend[[#This Row],[Site Name]]</f>
        <v>0</v>
      </c>
      <c r="Y414" s="174">
        <f>Buildings_GridElectricity_Frontend[[#This Row],[Contracting]]</f>
        <v>0</v>
      </c>
      <c r="Z414" s="174">
        <f>Buildings_GridElectricity_Frontend[[#This Row],[Methodology]]</f>
        <v>0</v>
      </c>
      <c r="AA414" s="229" t="str" cm="1">
        <f t="array" ref="AA414">IF(Buildings_GridElectricity_Frontend[[#This Row],[Data]]="","",INDEX(_xlfn.SWITCH(Buildings_GridElectricity_Backend[[#This Row],[Methodology]],"Tier 1",rng_RSD1,"Tier 2",rng_RSD2,"Tier 3",rng_RSD3),MATCH(_xlfn.CONCAT(Buildings_GridElectricity_Backend[[#This Row],[Level 1]:[Level 6]]),rng_LevelsConcat,0)))</f>
        <v/>
      </c>
      <c r="AB414" s="220">
        <f>Buildings_GridElectricity_Frontend[[#This Row],[Data]]</f>
        <v>0</v>
      </c>
      <c r="AC414" s="174" t="str">
        <f>Buildings_GridElectricity_Frontend[[#This Row],[Units]]</f>
        <v>kWh</v>
      </c>
      <c r="AD414" s="218">
        <f>Buildings_GridElectricity_Frontend[[#This Row],[Data]]</f>
        <v>0</v>
      </c>
      <c r="AE414" s="174" t="str">
        <f>Buildings_GridElectricity_Frontend[[#This Row],[Units]]</f>
        <v>kWh</v>
      </c>
      <c r="AF414" s="210" t="str">
        <f>IF(Buildings_GridElectricity_Frontend[[#This Row],[Data]]="","",_xlfn.XLOOKUP(_xlfn.CONCAT(Buildings_GridElectricity_Backend[[#This Row],[Level 1]:[Level 6]]),rng_EFConcat,rng_EF1)*Buildings_GridElectricity_Backend[[#This Row],[Converted data]]/1000)</f>
        <v/>
      </c>
      <c r="AG414" s="210" t="str">
        <f>IF(Buildings_GridElectricity_Frontend[[#This Row],[Data]]="","",_xlfn.XLOOKUP(_xlfn.CONCAT(Buildings_GridElectricity_Backend[[#This Row],[Level 1]:[Level 6]]),rng_EFConcat,rng_EF2)*Buildings_GridElectricity_Backend[[#This Row],[Converted data]]/1000)</f>
        <v/>
      </c>
      <c r="AH414" s="210" t="str">
        <f>IF(Buildings_GridElectricity_Frontend[[#This Row],[Data]]="","",_xlfn.XLOOKUP(_xlfn.CONCAT(Buildings_GridElectricity_Backend[[#This Row],[Level 1]:[Level 6]]),rng_EFConcat,rng_EF3)*Buildings_GridElectricity_Backend[[#This Row],[Converted data]]/1000)</f>
        <v/>
      </c>
      <c r="AI414" s="210" t="str">
        <f>IF(Buildings_GridElectricity_Frontend[[#This Row],[Data]]="","",_xlfn.XLOOKUP(_xlfn.CONCAT(Buildings_GridElectricity_Backend[[#This Row],[Level 1]:[Level 6]]),rng_EFConcat,rng_EF3WTT)*Buildings_GridElectricity_Backend[[#This Row],[Converted data]]/1000)</f>
        <v/>
      </c>
      <c r="AJ414" s="210" t="str">
        <f>IF(Buildings_GridElectricity_Frontend[[#This Row],[Data]]="","",_xlfn.XLOOKUP(_xlfn.CONCAT(Buildings_GridElectricity_Backend[[#This Row],[Level 1]:[Level 6]]),rng_EFConcat,rng_EF3TD)*Buildings_GridElectricity_Backend[[#This Row],[Converted data]]/1000)</f>
        <v/>
      </c>
      <c r="AK414" s="210" t="str">
        <f>IF(Buildings_GridElectricity_Frontend[[#This Row],[Data]]="","",_xlfn.XLOOKUP(_xlfn.CONCAT(Buildings_GridElectricity_Backend[[#This Row],[Level 1]:[Level 6]]),rng_EFConcat,rng_EF3WTTTD)*Buildings_GridElectricity_Backend[[#This Row],[Converted data]]/1000)</f>
        <v/>
      </c>
      <c r="AL414" s="220" t="str">
        <f>IF(Buildings_GridElectricity_Frontend[[#This Row],[Data]]="","",SUM(Buildings_GridElectricity_Backend[[#This Row],[Scope 1 (tCO2e)]:[Scope 3 WTT T&amp;D (tCO2e)]]))</f>
        <v/>
      </c>
      <c r="AM414" s="220" t="str">
        <f>IF(Buildings_GridElectricity_Frontend[[#This Row],[Data]]="","",Buildings_GridElectricity_Backend[[#This Row],[Total (tCO2e)]]*(1-Buildings_GridElectricity_Backend[[#This Row],[RSD]]))</f>
        <v/>
      </c>
      <c r="AN414" s="220" t="str">
        <f>IF(Buildings_GridElectricity_Frontend[[#This Row],[Data]]="","",Buildings_GridElectricity_Backend[[#This Row],[Total (tCO2e)]]*(1+Buildings_GridElectricity_Backend[[#This Row],[RSD]]))</f>
        <v/>
      </c>
      <c r="AO414" s="210" t="str">
        <f>IF(Buildings_GridElectricity_Frontend[[#This Row],[Data]]="","",_xlfn.XLOOKUP(_xlfn.CONCAT(Buildings_GridElectricity_Backend[[#This Row],[Level 1]:[Level 6]]),rng_EFConcat,rng_EFOOS)*Buildings_GridElectricity_Backend[[#This Row],[Converted data]]/1000)</f>
        <v/>
      </c>
      <c r="AP414" s="174">
        <f>Buildings_GridElectricity_Frontend[[#This Row],[Ease of collection]]</f>
        <v>0</v>
      </c>
      <c r="AQ414" s="213">
        <f>Buildings_GridElectricity_Frontend[[#This Row],[Completeness]]</f>
        <v>0</v>
      </c>
      <c r="AR414" s="220">
        <f>Buildings_GridElectricity_Frontend[[#This Row],[Notes]]</f>
        <v>0</v>
      </c>
    </row>
    <row r="415" spans="5:44" x14ac:dyDescent="0.3">
      <c r="E415" s="346"/>
      <c r="F415" s="449"/>
      <c r="G415" s="336"/>
      <c r="H415" s="334"/>
      <c r="I415" s="172" t="s">
        <v>316</v>
      </c>
      <c r="J415" s="337"/>
      <c r="K415" s="336"/>
      <c r="L415" s="336"/>
      <c r="M415" s="337"/>
      <c r="N415" s="242">
        <f t="shared" si="15"/>
        <v>3</v>
      </c>
      <c r="Q415" s="212" t="str">
        <f t="shared" si="14"/>
        <v/>
      </c>
      <c r="R415" s="174" t="s">
        <v>265</v>
      </c>
      <c r="S415" s="174" t="s">
        <v>273</v>
      </c>
      <c r="T415" s="174" t="str">
        <f>_xlfn.XLOOKUP(Buildings_GridElectricity_Backend[[#This Row],[Info 1]],Buildings_SiteInfo[Site name],Buildings_SiteInfo[Site type], "")</f>
        <v/>
      </c>
      <c r="U415" s="174" t="s">
        <v>281</v>
      </c>
      <c r="V415" s="174" t="str" cm="1">
        <f t="array" aca="1" ref="V415" ca="1">_xlfn.XLOOKUP(Buildings_GridElectricity_Backend[[#This Row],[Level 4]],rng_Level4Long,rng_Level5Long)</f>
        <v>Electricity</v>
      </c>
      <c r="W415" s="174" t="str" cm="1">
        <f t="array" aca="1" ref="W415" ca="1">_xlfn.XLOOKUP(Buildings_GridElectricity_Backend[[#This Row],[Level 4]],rng_Level4Long,rng_Level6Long)</f>
        <v>NaN</v>
      </c>
      <c r="X415" s="174">
        <f>Buildings_GridElectricity_Frontend[[#This Row],[Site Name]]</f>
        <v>0</v>
      </c>
      <c r="Y415" s="174">
        <f>Buildings_GridElectricity_Frontend[[#This Row],[Contracting]]</f>
        <v>0</v>
      </c>
      <c r="Z415" s="174">
        <f>Buildings_GridElectricity_Frontend[[#This Row],[Methodology]]</f>
        <v>0</v>
      </c>
      <c r="AA415" s="229" t="str" cm="1">
        <f t="array" ref="AA415">IF(Buildings_GridElectricity_Frontend[[#This Row],[Data]]="","",INDEX(_xlfn.SWITCH(Buildings_GridElectricity_Backend[[#This Row],[Methodology]],"Tier 1",rng_RSD1,"Tier 2",rng_RSD2,"Tier 3",rng_RSD3),MATCH(_xlfn.CONCAT(Buildings_GridElectricity_Backend[[#This Row],[Level 1]:[Level 6]]),rng_LevelsConcat,0)))</f>
        <v/>
      </c>
      <c r="AB415" s="220">
        <f>Buildings_GridElectricity_Frontend[[#This Row],[Data]]</f>
        <v>0</v>
      </c>
      <c r="AC415" s="174" t="str">
        <f>Buildings_GridElectricity_Frontend[[#This Row],[Units]]</f>
        <v>kWh</v>
      </c>
      <c r="AD415" s="218">
        <f>Buildings_GridElectricity_Frontend[[#This Row],[Data]]</f>
        <v>0</v>
      </c>
      <c r="AE415" s="174" t="str">
        <f>Buildings_GridElectricity_Frontend[[#This Row],[Units]]</f>
        <v>kWh</v>
      </c>
      <c r="AF415" s="210" t="str">
        <f>IF(Buildings_GridElectricity_Frontend[[#This Row],[Data]]="","",_xlfn.XLOOKUP(_xlfn.CONCAT(Buildings_GridElectricity_Backend[[#This Row],[Level 1]:[Level 6]]),rng_EFConcat,rng_EF1)*Buildings_GridElectricity_Backend[[#This Row],[Converted data]]/1000)</f>
        <v/>
      </c>
      <c r="AG415" s="210" t="str">
        <f>IF(Buildings_GridElectricity_Frontend[[#This Row],[Data]]="","",_xlfn.XLOOKUP(_xlfn.CONCAT(Buildings_GridElectricity_Backend[[#This Row],[Level 1]:[Level 6]]),rng_EFConcat,rng_EF2)*Buildings_GridElectricity_Backend[[#This Row],[Converted data]]/1000)</f>
        <v/>
      </c>
      <c r="AH415" s="210" t="str">
        <f>IF(Buildings_GridElectricity_Frontend[[#This Row],[Data]]="","",_xlfn.XLOOKUP(_xlfn.CONCAT(Buildings_GridElectricity_Backend[[#This Row],[Level 1]:[Level 6]]),rng_EFConcat,rng_EF3)*Buildings_GridElectricity_Backend[[#This Row],[Converted data]]/1000)</f>
        <v/>
      </c>
      <c r="AI415" s="210" t="str">
        <f>IF(Buildings_GridElectricity_Frontend[[#This Row],[Data]]="","",_xlfn.XLOOKUP(_xlfn.CONCAT(Buildings_GridElectricity_Backend[[#This Row],[Level 1]:[Level 6]]),rng_EFConcat,rng_EF3WTT)*Buildings_GridElectricity_Backend[[#This Row],[Converted data]]/1000)</f>
        <v/>
      </c>
      <c r="AJ415" s="210" t="str">
        <f>IF(Buildings_GridElectricity_Frontend[[#This Row],[Data]]="","",_xlfn.XLOOKUP(_xlfn.CONCAT(Buildings_GridElectricity_Backend[[#This Row],[Level 1]:[Level 6]]),rng_EFConcat,rng_EF3TD)*Buildings_GridElectricity_Backend[[#This Row],[Converted data]]/1000)</f>
        <v/>
      </c>
      <c r="AK415" s="210" t="str">
        <f>IF(Buildings_GridElectricity_Frontend[[#This Row],[Data]]="","",_xlfn.XLOOKUP(_xlfn.CONCAT(Buildings_GridElectricity_Backend[[#This Row],[Level 1]:[Level 6]]),rng_EFConcat,rng_EF3WTTTD)*Buildings_GridElectricity_Backend[[#This Row],[Converted data]]/1000)</f>
        <v/>
      </c>
      <c r="AL415" s="220" t="str">
        <f>IF(Buildings_GridElectricity_Frontend[[#This Row],[Data]]="","",SUM(Buildings_GridElectricity_Backend[[#This Row],[Scope 1 (tCO2e)]:[Scope 3 WTT T&amp;D (tCO2e)]]))</f>
        <v/>
      </c>
      <c r="AM415" s="220" t="str">
        <f>IF(Buildings_GridElectricity_Frontend[[#This Row],[Data]]="","",Buildings_GridElectricity_Backend[[#This Row],[Total (tCO2e)]]*(1-Buildings_GridElectricity_Backend[[#This Row],[RSD]]))</f>
        <v/>
      </c>
      <c r="AN415" s="220" t="str">
        <f>IF(Buildings_GridElectricity_Frontend[[#This Row],[Data]]="","",Buildings_GridElectricity_Backend[[#This Row],[Total (tCO2e)]]*(1+Buildings_GridElectricity_Backend[[#This Row],[RSD]]))</f>
        <v/>
      </c>
      <c r="AO415" s="210" t="str">
        <f>IF(Buildings_GridElectricity_Frontend[[#This Row],[Data]]="","",_xlfn.XLOOKUP(_xlfn.CONCAT(Buildings_GridElectricity_Backend[[#This Row],[Level 1]:[Level 6]]),rng_EFConcat,rng_EFOOS)*Buildings_GridElectricity_Backend[[#This Row],[Converted data]]/1000)</f>
        <v/>
      </c>
      <c r="AP415" s="174">
        <f>Buildings_GridElectricity_Frontend[[#This Row],[Ease of collection]]</f>
        <v>0</v>
      </c>
      <c r="AQ415" s="213">
        <f>Buildings_GridElectricity_Frontend[[#This Row],[Completeness]]</f>
        <v>0</v>
      </c>
      <c r="AR415" s="220">
        <f>Buildings_GridElectricity_Frontend[[#This Row],[Notes]]</f>
        <v>0</v>
      </c>
    </row>
    <row r="416" spans="5:44" x14ac:dyDescent="0.3">
      <c r="E416" s="346"/>
      <c r="F416" s="449"/>
      <c r="G416" s="336"/>
      <c r="H416" s="334"/>
      <c r="I416" s="172" t="s">
        <v>316</v>
      </c>
      <c r="J416" s="337"/>
      <c r="K416" s="336"/>
      <c r="L416" s="336"/>
      <c r="M416" s="337"/>
      <c r="N416" s="242">
        <f t="shared" si="15"/>
        <v>3</v>
      </c>
      <c r="Q416" s="212" t="str">
        <f t="shared" si="14"/>
        <v/>
      </c>
      <c r="R416" s="174" t="s">
        <v>265</v>
      </c>
      <c r="S416" s="174" t="s">
        <v>273</v>
      </c>
      <c r="T416" s="174" t="str">
        <f>_xlfn.XLOOKUP(Buildings_GridElectricity_Backend[[#This Row],[Info 1]],Buildings_SiteInfo[Site name],Buildings_SiteInfo[Site type], "")</f>
        <v/>
      </c>
      <c r="U416" s="174" t="s">
        <v>281</v>
      </c>
      <c r="V416" s="174" t="str" cm="1">
        <f t="array" aca="1" ref="V416" ca="1">_xlfn.XLOOKUP(Buildings_GridElectricity_Backend[[#This Row],[Level 4]],rng_Level4Long,rng_Level5Long)</f>
        <v>Electricity</v>
      </c>
      <c r="W416" s="174" t="str" cm="1">
        <f t="array" aca="1" ref="W416" ca="1">_xlfn.XLOOKUP(Buildings_GridElectricity_Backend[[#This Row],[Level 4]],rng_Level4Long,rng_Level6Long)</f>
        <v>NaN</v>
      </c>
      <c r="X416" s="174">
        <f>Buildings_GridElectricity_Frontend[[#This Row],[Site Name]]</f>
        <v>0</v>
      </c>
      <c r="Y416" s="174">
        <f>Buildings_GridElectricity_Frontend[[#This Row],[Contracting]]</f>
        <v>0</v>
      </c>
      <c r="Z416" s="174">
        <f>Buildings_GridElectricity_Frontend[[#This Row],[Methodology]]</f>
        <v>0</v>
      </c>
      <c r="AA416" s="229" t="str" cm="1">
        <f t="array" ref="AA416">IF(Buildings_GridElectricity_Frontend[[#This Row],[Data]]="","",INDEX(_xlfn.SWITCH(Buildings_GridElectricity_Backend[[#This Row],[Methodology]],"Tier 1",rng_RSD1,"Tier 2",rng_RSD2,"Tier 3",rng_RSD3),MATCH(_xlfn.CONCAT(Buildings_GridElectricity_Backend[[#This Row],[Level 1]:[Level 6]]),rng_LevelsConcat,0)))</f>
        <v/>
      </c>
      <c r="AB416" s="220">
        <f>Buildings_GridElectricity_Frontend[[#This Row],[Data]]</f>
        <v>0</v>
      </c>
      <c r="AC416" s="174" t="str">
        <f>Buildings_GridElectricity_Frontend[[#This Row],[Units]]</f>
        <v>kWh</v>
      </c>
      <c r="AD416" s="218">
        <f>Buildings_GridElectricity_Frontend[[#This Row],[Data]]</f>
        <v>0</v>
      </c>
      <c r="AE416" s="174" t="str">
        <f>Buildings_GridElectricity_Frontend[[#This Row],[Units]]</f>
        <v>kWh</v>
      </c>
      <c r="AF416" s="210" t="str">
        <f>IF(Buildings_GridElectricity_Frontend[[#This Row],[Data]]="","",_xlfn.XLOOKUP(_xlfn.CONCAT(Buildings_GridElectricity_Backend[[#This Row],[Level 1]:[Level 6]]),rng_EFConcat,rng_EF1)*Buildings_GridElectricity_Backend[[#This Row],[Converted data]]/1000)</f>
        <v/>
      </c>
      <c r="AG416" s="210" t="str">
        <f>IF(Buildings_GridElectricity_Frontend[[#This Row],[Data]]="","",_xlfn.XLOOKUP(_xlfn.CONCAT(Buildings_GridElectricity_Backend[[#This Row],[Level 1]:[Level 6]]),rng_EFConcat,rng_EF2)*Buildings_GridElectricity_Backend[[#This Row],[Converted data]]/1000)</f>
        <v/>
      </c>
      <c r="AH416" s="210" t="str">
        <f>IF(Buildings_GridElectricity_Frontend[[#This Row],[Data]]="","",_xlfn.XLOOKUP(_xlfn.CONCAT(Buildings_GridElectricity_Backend[[#This Row],[Level 1]:[Level 6]]),rng_EFConcat,rng_EF3)*Buildings_GridElectricity_Backend[[#This Row],[Converted data]]/1000)</f>
        <v/>
      </c>
      <c r="AI416" s="210" t="str">
        <f>IF(Buildings_GridElectricity_Frontend[[#This Row],[Data]]="","",_xlfn.XLOOKUP(_xlfn.CONCAT(Buildings_GridElectricity_Backend[[#This Row],[Level 1]:[Level 6]]),rng_EFConcat,rng_EF3WTT)*Buildings_GridElectricity_Backend[[#This Row],[Converted data]]/1000)</f>
        <v/>
      </c>
      <c r="AJ416" s="210" t="str">
        <f>IF(Buildings_GridElectricity_Frontend[[#This Row],[Data]]="","",_xlfn.XLOOKUP(_xlfn.CONCAT(Buildings_GridElectricity_Backend[[#This Row],[Level 1]:[Level 6]]),rng_EFConcat,rng_EF3TD)*Buildings_GridElectricity_Backend[[#This Row],[Converted data]]/1000)</f>
        <v/>
      </c>
      <c r="AK416" s="210" t="str">
        <f>IF(Buildings_GridElectricity_Frontend[[#This Row],[Data]]="","",_xlfn.XLOOKUP(_xlfn.CONCAT(Buildings_GridElectricity_Backend[[#This Row],[Level 1]:[Level 6]]),rng_EFConcat,rng_EF3WTTTD)*Buildings_GridElectricity_Backend[[#This Row],[Converted data]]/1000)</f>
        <v/>
      </c>
      <c r="AL416" s="220" t="str">
        <f>IF(Buildings_GridElectricity_Frontend[[#This Row],[Data]]="","",SUM(Buildings_GridElectricity_Backend[[#This Row],[Scope 1 (tCO2e)]:[Scope 3 WTT T&amp;D (tCO2e)]]))</f>
        <v/>
      </c>
      <c r="AM416" s="220" t="str">
        <f>IF(Buildings_GridElectricity_Frontend[[#This Row],[Data]]="","",Buildings_GridElectricity_Backend[[#This Row],[Total (tCO2e)]]*(1-Buildings_GridElectricity_Backend[[#This Row],[RSD]]))</f>
        <v/>
      </c>
      <c r="AN416" s="220" t="str">
        <f>IF(Buildings_GridElectricity_Frontend[[#This Row],[Data]]="","",Buildings_GridElectricity_Backend[[#This Row],[Total (tCO2e)]]*(1+Buildings_GridElectricity_Backend[[#This Row],[RSD]]))</f>
        <v/>
      </c>
      <c r="AO416" s="210" t="str">
        <f>IF(Buildings_GridElectricity_Frontend[[#This Row],[Data]]="","",_xlfn.XLOOKUP(_xlfn.CONCAT(Buildings_GridElectricity_Backend[[#This Row],[Level 1]:[Level 6]]),rng_EFConcat,rng_EFOOS)*Buildings_GridElectricity_Backend[[#This Row],[Converted data]]/1000)</f>
        <v/>
      </c>
      <c r="AP416" s="174">
        <f>Buildings_GridElectricity_Frontend[[#This Row],[Ease of collection]]</f>
        <v>0</v>
      </c>
      <c r="AQ416" s="213">
        <f>Buildings_GridElectricity_Frontend[[#This Row],[Completeness]]</f>
        <v>0</v>
      </c>
      <c r="AR416" s="220">
        <f>Buildings_GridElectricity_Frontend[[#This Row],[Notes]]</f>
        <v>0</v>
      </c>
    </row>
    <row r="417" spans="5:44" x14ac:dyDescent="0.3">
      <c r="E417" s="346"/>
      <c r="F417" s="449"/>
      <c r="G417" s="336"/>
      <c r="H417" s="334"/>
      <c r="I417" s="172" t="s">
        <v>316</v>
      </c>
      <c r="J417" s="337"/>
      <c r="K417" s="336"/>
      <c r="L417" s="336"/>
      <c r="M417" s="337"/>
      <c r="N417" s="242">
        <f t="shared" si="15"/>
        <v>3</v>
      </c>
      <c r="Q417" s="212" t="str">
        <f t="shared" si="14"/>
        <v/>
      </c>
      <c r="R417" s="174" t="s">
        <v>265</v>
      </c>
      <c r="S417" s="174" t="s">
        <v>273</v>
      </c>
      <c r="T417" s="174" t="str">
        <f>_xlfn.XLOOKUP(Buildings_GridElectricity_Backend[[#This Row],[Info 1]],Buildings_SiteInfo[Site name],Buildings_SiteInfo[Site type], "")</f>
        <v/>
      </c>
      <c r="U417" s="174" t="s">
        <v>281</v>
      </c>
      <c r="V417" s="174" t="str" cm="1">
        <f t="array" aca="1" ref="V417" ca="1">_xlfn.XLOOKUP(Buildings_GridElectricity_Backend[[#This Row],[Level 4]],rng_Level4Long,rng_Level5Long)</f>
        <v>Electricity</v>
      </c>
      <c r="W417" s="174" t="str" cm="1">
        <f t="array" aca="1" ref="W417" ca="1">_xlfn.XLOOKUP(Buildings_GridElectricity_Backend[[#This Row],[Level 4]],rng_Level4Long,rng_Level6Long)</f>
        <v>NaN</v>
      </c>
      <c r="X417" s="174">
        <f>Buildings_GridElectricity_Frontend[[#This Row],[Site Name]]</f>
        <v>0</v>
      </c>
      <c r="Y417" s="174">
        <f>Buildings_GridElectricity_Frontend[[#This Row],[Contracting]]</f>
        <v>0</v>
      </c>
      <c r="Z417" s="174">
        <f>Buildings_GridElectricity_Frontend[[#This Row],[Methodology]]</f>
        <v>0</v>
      </c>
      <c r="AA417" s="229" t="str" cm="1">
        <f t="array" ref="AA417">IF(Buildings_GridElectricity_Frontend[[#This Row],[Data]]="","",INDEX(_xlfn.SWITCH(Buildings_GridElectricity_Backend[[#This Row],[Methodology]],"Tier 1",rng_RSD1,"Tier 2",rng_RSD2,"Tier 3",rng_RSD3),MATCH(_xlfn.CONCAT(Buildings_GridElectricity_Backend[[#This Row],[Level 1]:[Level 6]]),rng_LevelsConcat,0)))</f>
        <v/>
      </c>
      <c r="AB417" s="220">
        <f>Buildings_GridElectricity_Frontend[[#This Row],[Data]]</f>
        <v>0</v>
      </c>
      <c r="AC417" s="174" t="str">
        <f>Buildings_GridElectricity_Frontend[[#This Row],[Units]]</f>
        <v>kWh</v>
      </c>
      <c r="AD417" s="218">
        <f>Buildings_GridElectricity_Frontend[[#This Row],[Data]]</f>
        <v>0</v>
      </c>
      <c r="AE417" s="174" t="str">
        <f>Buildings_GridElectricity_Frontend[[#This Row],[Units]]</f>
        <v>kWh</v>
      </c>
      <c r="AF417" s="210" t="str">
        <f>IF(Buildings_GridElectricity_Frontend[[#This Row],[Data]]="","",_xlfn.XLOOKUP(_xlfn.CONCAT(Buildings_GridElectricity_Backend[[#This Row],[Level 1]:[Level 6]]),rng_EFConcat,rng_EF1)*Buildings_GridElectricity_Backend[[#This Row],[Converted data]]/1000)</f>
        <v/>
      </c>
      <c r="AG417" s="210" t="str">
        <f>IF(Buildings_GridElectricity_Frontend[[#This Row],[Data]]="","",_xlfn.XLOOKUP(_xlfn.CONCAT(Buildings_GridElectricity_Backend[[#This Row],[Level 1]:[Level 6]]),rng_EFConcat,rng_EF2)*Buildings_GridElectricity_Backend[[#This Row],[Converted data]]/1000)</f>
        <v/>
      </c>
      <c r="AH417" s="210" t="str">
        <f>IF(Buildings_GridElectricity_Frontend[[#This Row],[Data]]="","",_xlfn.XLOOKUP(_xlfn.CONCAT(Buildings_GridElectricity_Backend[[#This Row],[Level 1]:[Level 6]]),rng_EFConcat,rng_EF3)*Buildings_GridElectricity_Backend[[#This Row],[Converted data]]/1000)</f>
        <v/>
      </c>
      <c r="AI417" s="210" t="str">
        <f>IF(Buildings_GridElectricity_Frontend[[#This Row],[Data]]="","",_xlfn.XLOOKUP(_xlfn.CONCAT(Buildings_GridElectricity_Backend[[#This Row],[Level 1]:[Level 6]]),rng_EFConcat,rng_EF3WTT)*Buildings_GridElectricity_Backend[[#This Row],[Converted data]]/1000)</f>
        <v/>
      </c>
      <c r="AJ417" s="210" t="str">
        <f>IF(Buildings_GridElectricity_Frontend[[#This Row],[Data]]="","",_xlfn.XLOOKUP(_xlfn.CONCAT(Buildings_GridElectricity_Backend[[#This Row],[Level 1]:[Level 6]]),rng_EFConcat,rng_EF3TD)*Buildings_GridElectricity_Backend[[#This Row],[Converted data]]/1000)</f>
        <v/>
      </c>
      <c r="AK417" s="210" t="str">
        <f>IF(Buildings_GridElectricity_Frontend[[#This Row],[Data]]="","",_xlfn.XLOOKUP(_xlfn.CONCAT(Buildings_GridElectricity_Backend[[#This Row],[Level 1]:[Level 6]]),rng_EFConcat,rng_EF3WTTTD)*Buildings_GridElectricity_Backend[[#This Row],[Converted data]]/1000)</f>
        <v/>
      </c>
      <c r="AL417" s="220" t="str">
        <f>IF(Buildings_GridElectricity_Frontend[[#This Row],[Data]]="","",SUM(Buildings_GridElectricity_Backend[[#This Row],[Scope 1 (tCO2e)]:[Scope 3 WTT T&amp;D (tCO2e)]]))</f>
        <v/>
      </c>
      <c r="AM417" s="220" t="str">
        <f>IF(Buildings_GridElectricity_Frontend[[#This Row],[Data]]="","",Buildings_GridElectricity_Backend[[#This Row],[Total (tCO2e)]]*(1-Buildings_GridElectricity_Backend[[#This Row],[RSD]]))</f>
        <v/>
      </c>
      <c r="AN417" s="220" t="str">
        <f>IF(Buildings_GridElectricity_Frontend[[#This Row],[Data]]="","",Buildings_GridElectricity_Backend[[#This Row],[Total (tCO2e)]]*(1+Buildings_GridElectricity_Backend[[#This Row],[RSD]]))</f>
        <v/>
      </c>
      <c r="AO417" s="210" t="str">
        <f>IF(Buildings_GridElectricity_Frontend[[#This Row],[Data]]="","",_xlfn.XLOOKUP(_xlfn.CONCAT(Buildings_GridElectricity_Backend[[#This Row],[Level 1]:[Level 6]]),rng_EFConcat,rng_EFOOS)*Buildings_GridElectricity_Backend[[#This Row],[Converted data]]/1000)</f>
        <v/>
      </c>
      <c r="AP417" s="174">
        <f>Buildings_GridElectricity_Frontend[[#This Row],[Ease of collection]]</f>
        <v>0</v>
      </c>
      <c r="AQ417" s="213">
        <f>Buildings_GridElectricity_Frontend[[#This Row],[Completeness]]</f>
        <v>0</v>
      </c>
      <c r="AR417" s="220">
        <f>Buildings_GridElectricity_Frontend[[#This Row],[Notes]]</f>
        <v>0</v>
      </c>
    </row>
    <row r="418" spans="5:44" x14ac:dyDescent="0.3">
      <c r="E418" s="346"/>
      <c r="F418" s="449"/>
      <c r="G418" s="336"/>
      <c r="H418" s="334"/>
      <c r="I418" s="172" t="s">
        <v>316</v>
      </c>
      <c r="J418" s="337"/>
      <c r="K418" s="336"/>
      <c r="L418" s="336"/>
      <c r="M418" s="337"/>
      <c r="N418" s="242">
        <f t="shared" si="15"/>
        <v>3</v>
      </c>
      <c r="Q418" s="212" t="str">
        <f t="shared" si="14"/>
        <v/>
      </c>
      <c r="R418" s="174" t="s">
        <v>265</v>
      </c>
      <c r="S418" s="174" t="s">
        <v>273</v>
      </c>
      <c r="T418" s="174" t="str">
        <f>_xlfn.XLOOKUP(Buildings_GridElectricity_Backend[[#This Row],[Info 1]],Buildings_SiteInfo[Site name],Buildings_SiteInfo[Site type], "")</f>
        <v/>
      </c>
      <c r="U418" s="174" t="s">
        <v>281</v>
      </c>
      <c r="V418" s="174" t="str" cm="1">
        <f t="array" aca="1" ref="V418" ca="1">_xlfn.XLOOKUP(Buildings_GridElectricity_Backend[[#This Row],[Level 4]],rng_Level4Long,rng_Level5Long)</f>
        <v>Electricity</v>
      </c>
      <c r="W418" s="174" t="str" cm="1">
        <f t="array" aca="1" ref="W418" ca="1">_xlfn.XLOOKUP(Buildings_GridElectricity_Backend[[#This Row],[Level 4]],rng_Level4Long,rng_Level6Long)</f>
        <v>NaN</v>
      </c>
      <c r="X418" s="174">
        <f>Buildings_GridElectricity_Frontend[[#This Row],[Site Name]]</f>
        <v>0</v>
      </c>
      <c r="Y418" s="174">
        <f>Buildings_GridElectricity_Frontend[[#This Row],[Contracting]]</f>
        <v>0</v>
      </c>
      <c r="Z418" s="174">
        <f>Buildings_GridElectricity_Frontend[[#This Row],[Methodology]]</f>
        <v>0</v>
      </c>
      <c r="AA418" s="229" t="str" cm="1">
        <f t="array" ref="AA418">IF(Buildings_GridElectricity_Frontend[[#This Row],[Data]]="","",INDEX(_xlfn.SWITCH(Buildings_GridElectricity_Backend[[#This Row],[Methodology]],"Tier 1",rng_RSD1,"Tier 2",rng_RSD2,"Tier 3",rng_RSD3),MATCH(_xlfn.CONCAT(Buildings_GridElectricity_Backend[[#This Row],[Level 1]:[Level 6]]),rng_LevelsConcat,0)))</f>
        <v/>
      </c>
      <c r="AB418" s="220">
        <f>Buildings_GridElectricity_Frontend[[#This Row],[Data]]</f>
        <v>0</v>
      </c>
      <c r="AC418" s="174" t="str">
        <f>Buildings_GridElectricity_Frontend[[#This Row],[Units]]</f>
        <v>kWh</v>
      </c>
      <c r="AD418" s="218">
        <f>Buildings_GridElectricity_Frontend[[#This Row],[Data]]</f>
        <v>0</v>
      </c>
      <c r="AE418" s="174" t="str">
        <f>Buildings_GridElectricity_Frontend[[#This Row],[Units]]</f>
        <v>kWh</v>
      </c>
      <c r="AF418" s="210" t="str">
        <f>IF(Buildings_GridElectricity_Frontend[[#This Row],[Data]]="","",_xlfn.XLOOKUP(_xlfn.CONCAT(Buildings_GridElectricity_Backend[[#This Row],[Level 1]:[Level 6]]),rng_EFConcat,rng_EF1)*Buildings_GridElectricity_Backend[[#This Row],[Converted data]]/1000)</f>
        <v/>
      </c>
      <c r="AG418" s="210" t="str">
        <f>IF(Buildings_GridElectricity_Frontend[[#This Row],[Data]]="","",_xlfn.XLOOKUP(_xlfn.CONCAT(Buildings_GridElectricity_Backend[[#This Row],[Level 1]:[Level 6]]),rng_EFConcat,rng_EF2)*Buildings_GridElectricity_Backend[[#This Row],[Converted data]]/1000)</f>
        <v/>
      </c>
      <c r="AH418" s="210" t="str">
        <f>IF(Buildings_GridElectricity_Frontend[[#This Row],[Data]]="","",_xlfn.XLOOKUP(_xlfn.CONCAT(Buildings_GridElectricity_Backend[[#This Row],[Level 1]:[Level 6]]),rng_EFConcat,rng_EF3)*Buildings_GridElectricity_Backend[[#This Row],[Converted data]]/1000)</f>
        <v/>
      </c>
      <c r="AI418" s="210" t="str">
        <f>IF(Buildings_GridElectricity_Frontend[[#This Row],[Data]]="","",_xlfn.XLOOKUP(_xlfn.CONCAT(Buildings_GridElectricity_Backend[[#This Row],[Level 1]:[Level 6]]),rng_EFConcat,rng_EF3WTT)*Buildings_GridElectricity_Backend[[#This Row],[Converted data]]/1000)</f>
        <v/>
      </c>
      <c r="AJ418" s="210" t="str">
        <f>IF(Buildings_GridElectricity_Frontend[[#This Row],[Data]]="","",_xlfn.XLOOKUP(_xlfn.CONCAT(Buildings_GridElectricity_Backend[[#This Row],[Level 1]:[Level 6]]),rng_EFConcat,rng_EF3TD)*Buildings_GridElectricity_Backend[[#This Row],[Converted data]]/1000)</f>
        <v/>
      </c>
      <c r="AK418" s="210" t="str">
        <f>IF(Buildings_GridElectricity_Frontend[[#This Row],[Data]]="","",_xlfn.XLOOKUP(_xlfn.CONCAT(Buildings_GridElectricity_Backend[[#This Row],[Level 1]:[Level 6]]),rng_EFConcat,rng_EF3WTTTD)*Buildings_GridElectricity_Backend[[#This Row],[Converted data]]/1000)</f>
        <v/>
      </c>
      <c r="AL418" s="220" t="str">
        <f>IF(Buildings_GridElectricity_Frontend[[#This Row],[Data]]="","",SUM(Buildings_GridElectricity_Backend[[#This Row],[Scope 1 (tCO2e)]:[Scope 3 WTT T&amp;D (tCO2e)]]))</f>
        <v/>
      </c>
      <c r="AM418" s="220" t="str">
        <f>IF(Buildings_GridElectricity_Frontend[[#This Row],[Data]]="","",Buildings_GridElectricity_Backend[[#This Row],[Total (tCO2e)]]*(1-Buildings_GridElectricity_Backend[[#This Row],[RSD]]))</f>
        <v/>
      </c>
      <c r="AN418" s="220" t="str">
        <f>IF(Buildings_GridElectricity_Frontend[[#This Row],[Data]]="","",Buildings_GridElectricity_Backend[[#This Row],[Total (tCO2e)]]*(1+Buildings_GridElectricity_Backend[[#This Row],[RSD]]))</f>
        <v/>
      </c>
      <c r="AO418" s="210" t="str">
        <f>IF(Buildings_GridElectricity_Frontend[[#This Row],[Data]]="","",_xlfn.XLOOKUP(_xlfn.CONCAT(Buildings_GridElectricity_Backend[[#This Row],[Level 1]:[Level 6]]),rng_EFConcat,rng_EFOOS)*Buildings_GridElectricity_Backend[[#This Row],[Converted data]]/1000)</f>
        <v/>
      </c>
      <c r="AP418" s="174">
        <f>Buildings_GridElectricity_Frontend[[#This Row],[Ease of collection]]</f>
        <v>0</v>
      </c>
      <c r="AQ418" s="213">
        <f>Buildings_GridElectricity_Frontend[[#This Row],[Completeness]]</f>
        <v>0</v>
      </c>
      <c r="AR418" s="220">
        <f>Buildings_GridElectricity_Frontend[[#This Row],[Notes]]</f>
        <v>0</v>
      </c>
    </row>
    <row r="419" spans="5:44" x14ac:dyDescent="0.3">
      <c r="E419" s="346"/>
      <c r="F419" s="449"/>
      <c r="G419" s="336"/>
      <c r="H419" s="334"/>
      <c r="I419" s="172" t="s">
        <v>316</v>
      </c>
      <c r="J419" s="337"/>
      <c r="K419" s="336"/>
      <c r="L419" s="336"/>
      <c r="M419" s="337"/>
      <c r="N419" s="242">
        <f t="shared" si="15"/>
        <v>3</v>
      </c>
      <c r="Q419" s="212" t="str">
        <f t="shared" si="14"/>
        <v/>
      </c>
      <c r="R419" s="174" t="s">
        <v>265</v>
      </c>
      <c r="S419" s="174" t="s">
        <v>273</v>
      </c>
      <c r="T419" s="174" t="str">
        <f>_xlfn.XLOOKUP(Buildings_GridElectricity_Backend[[#This Row],[Info 1]],Buildings_SiteInfo[Site name],Buildings_SiteInfo[Site type], "")</f>
        <v/>
      </c>
      <c r="U419" s="174" t="s">
        <v>281</v>
      </c>
      <c r="V419" s="174" t="str" cm="1">
        <f t="array" aca="1" ref="V419" ca="1">_xlfn.XLOOKUP(Buildings_GridElectricity_Backend[[#This Row],[Level 4]],rng_Level4Long,rng_Level5Long)</f>
        <v>Electricity</v>
      </c>
      <c r="W419" s="174" t="str" cm="1">
        <f t="array" aca="1" ref="W419" ca="1">_xlfn.XLOOKUP(Buildings_GridElectricity_Backend[[#This Row],[Level 4]],rng_Level4Long,rng_Level6Long)</f>
        <v>NaN</v>
      </c>
      <c r="X419" s="174">
        <f>Buildings_GridElectricity_Frontend[[#This Row],[Site Name]]</f>
        <v>0</v>
      </c>
      <c r="Y419" s="174">
        <f>Buildings_GridElectricity_Frontend[[#This Row],[Contracting]]</f>
        <v>0</v>
      </c>
      <c r="Z419" s="174">
        <f>Buildings_GridElectricity_Frontend[[#This Row],[Methodology]]</f>
        <v>0</v>
      </c>
      <c r="AA419" s="229" t="str" cm="1">
        <f t="array" ref="AA419">IF(Buildings_GridElectricity_Frontend[[#This Row],[Data]]="","",INDEX(_xlfn.SWITCH(Buildings_GridElectricity_Backend[[#This Row],[Methodology]],"Tier 1",rng_RSD1,"Tier 2",rng_RSD2,"Tier 3",rng_RSD3),MATCH(_xlfn.CONCAT(Buildings_GridElectricity_Backend[[#This Row],[Level 1]:[Level 6]]),rng_LevelsConcat,0)))</f>
        <v/>
      </c>
      <c r="AB419" s="220">
        <f>Buildings_GridElectricity_Frontend[[#This Row],[Data]]</f>
        <v>0</v>
      </c>
      <c r="AC419" s="174" t="str">
        <f>Buildings_GridElectricity_Frontend[[#This Row],[Units]]</f>
        <v>kWh</v>
      </c>
      <c r="AD419" s="218">
        <f>Buildings_GridElectricity_Frontend[[#This Row],[Data]]</f>
        <v>0</v>
      </c>
      <c r="AE419" s="174" t="str">
        <f>Buildings_GridElectricity_Frontend[[#This Row],[Units]]</f>
        <v>kWh</v>
      </c>
      <c r="AF419" s="210" t="str">
        <f>IF(Buildings_GridElectricity_Frontend[[#This Row],[Data]]="","",_xlfn.XLOOKUP(_xlfn.CONCAT(Buildings_GridElectricity_Backend[[#This Row],[Level 1]:[Level 6]]),rng_EFConcat,rng_EF1)*Buildings_GridElectricity_Backend[[#This Row],[Converted data]]/1000)</f>
        <v/>
      </c>
      <c r="AG419" s="210" t="str">
        <f>IF(Buildings_GridElectricity_Frontend[[#This Row],[Data]]="","",_xlfn.XLOOKUP(_xlfn.CONCAT(Buildings_GridElectricity_Backend[[#This Row],[Level 1]:[Level 6]]),rng_EFConcat,rng_EF2)*Buildings_GridElectricity_Backend[[#This Row],[Converted data]]/1000)</f>
        <v/>
      </c>
      <c r="AH419" s="210" t="str">
        <f>IF(Buildings_GridElectricity_Frontend[[#This Row],[Data]]="","",_xlfn.XLOOKUP(_xlfn.CONCAT(Buildings_GridElectricity_Backend[[#This Row],[Level 1]:[Level 6]]),rng_EFConcat,rng_EF3)*Buildings_GridElectricity_Backend[[#This Row],[Converted data]]/1000)</f>
        <v/>
      </c>
      <c r="AI419" s="210" t="str">
        <f>IF(Buildings_GridElectricity_Frontend[[#This Row],[Data]]="","",_xlfn.XLOOKUP(_xlfn.CONCAT(Buildings_GridElectricity_Backend[[#This Row],[Level 1]:[Level 6]]),rng_EFConcat,rng_EF3WTT)*Buildings_GridElectricity_Backend[[#This Row],[Converted data]]/1000)</f>
        <v/>
      </c>
      <c r="AJ419" s="210" t="str">
        <f>IF(Buildings_GridElectricity_Frontend[[#This Row],[Data]]="","",_xlfn.XLOOKUP(_xlfn.CONCAT(Buildings_GridElectricity_Backend[[#This Row],[Level 1]:[Level 6]]),rng_EFConcat,rng_EF3TD)*Buildings_GridElectricity_Backend[[#This Row],[Converted data]]/1000)</f>
        <v/>
      </c>
      <c r="AK419" s="210" t="str">
        <f>IF(Buildings_GridElectricity_Frontend[[#This Row],[Data]]="","",_xlfn.XLOOKUP(_xlfn.CONCAT(Buildings_GridElectricity_Backend[[#This Row],[Level 1]:[Level 6]]),rng_EFConcat,rng_EF3WTTTD)*Buildings_GridElectricity_Backend[[#This Row],[Converted data]]/1000)</f>
        <v/>
      </c>
      <c r="AL419" s="220" t="str">
        <f>IF(Buildings_GridElectricity_Frontend[[#This Row],[Data]]="","",SUM(Buildings_GridElectricity_Backend[[#This Row],[Scope 1 (tCO2e)]:[Scope 3 WTT T&amp;D (tCO2e)]]))</f>
        <v/>
      </c>
      <c r="AM419" s="220" t="str">
        <f>IF(Buildings_GridElectricity_Frontend[[#This Row],[Data]]="","",Buildings_GridElectricity_Backend[[#This Row],[Total (tCO2e)]]*(1-Buildings_GridElectricity_Backend[[#This Row],[RSD]]))</f>
        <v/>
      </c>
      <c r="AN419" s="220" t="str">
        <f>IF(Buildings_GridElectricity_Frontend[[#This Row],[Data]]="","",Buildings_GridElectricity_Backend[[#This Row],[Total (tCO2e)]]*(1+Buildings_GridElectricity_Backend[[#This Row],[RSD]]))</f>
        <v/>
      </c>
      <c r="AO419" s="210" t="str">
        <f>IF(Buildings_GridElectricity_Frontend[[#This Row],[Data]]="","",_xlfn.XLOOKUP(_xlfn.CONCAT(Buildings_GridElectricity_Backend[[#This Row],[Level 1]:[Level 6]]),rng_EFConcat,rng_EFOOS)*Buildings_GridElectricity_Backend[[#This Row],[Converted data]]/1000)</f>
        <v/>
      </c>
      <c r="AP419" s="174">
        <f>Buildings_GridElectricity_Frontend[[#This Row],[Ease of collection]]</f>
        <v>0</v>
      </c>
      <c r="AQ419" s="213">
        <f>Buildings_GridElectricity_Frontend[[#This Row],[Completeness]]</f>
        <v>0</v>
      </c>
      <c r="AR419" s="220">
        <f>Buildings_GridElectricity_Frontend[[#This Row],[Notes]]</f>
        <v>0</v>
      </c>
    </row>
    <row r="420" spans="5:44" x14ac:dyDescent="0.3">
      <c r="E420" s="346"/>
      <c r="F420" s="449"/>
      <c r="G420" s="336"/>
      <c r="H420" s="334"/>
      <c r="I420" s="172" t="s">
        <v>316</v>
      </c>
      <c r="J420" s="337"/>
      <c r="K420" s="336"/>
      <c r="L420" s="336"/>
      <c r="M420" s="337"/>
      <c r="N420" s="242">
        <f t="shared" si="15"/>
        <v>3</v>
      </c>
      <c r="Q420" s="212" t="str">
        <f t="shared" si="14"/>
        <v/>
      </c>
      <c r="R420" s="174" t="s">
        <v>265</v>
      </c>
      <c r="S420" s="174" t="s">
        <v>273</v>
      </c>
      <c r="T420" s="174" t="str">
        <f>_xlfn.XLOOKUP(Buildings_GridElectricity_Backend[[#This Row],[Info 1]],Buildings_SiteInfo[Site name],Buildings_SiteInfo[Site type], "")</f>
        <v/>
      </c>
      <c r="U420" s="174" t="s">
        <v>281</v>
      </c>
      <c r="V420" s="174" t="str" cm="1">
        <f t="array" aca="1" ref="V420" ca="1">_xlfn.XLOOKUP(Buildings_GridElectricity_Backend[[#This Row],[Level 4]],rng_Level4Long,rng_Level5Long)</f>
        <v>Electricity</v>
      </c>
      <c r="W420" s="174" t="str" cm="1">
        <f t="array" aca="1" ref="W420" ca="1">_xlfn.XLOOKUP(Buildings_GridElectricity_Backend[[#This Row],[Level 4]],rng_Level4Long,rng_Level6Long)</f>
        <v>NaN</v>
      </c>
      <c r="X420" s="174">
        <f>Buildings_GridElectricity_Frontend[[#This Row],[Site Name]]</f>
        <v>0</v>
      </c>
      <c r="Y420" s="174">
        <f>Buildings_GridElectricity_Frontend[[#This Row],[Contracting]]</f>
        <v>0</v>
      </c>
      <c r="Z420" s="174">
        <f>Buildings_GridElectricity_Frontend[[#This Row],[Methodology]]</f>
        <v>0</v>
      </c>
      <c r="AA420" s="229" t="str" cm="1">
        <f t="array" ref="AA420">IF(Buildings_GridElectricity_Frontend[[#This Row],[Data]]="","",INDEX(_xlfn.SWITCH(Buildings_GridElectricity_Backend[[#This Row],[Methodology]],"Tier 1",rng_RSD1,"Tier 2",rng_RSD2,"Tier 3",rng_RSD3),MATCH(_xlfn.CONCAT(Buildings_GridElectricity_Backend[[#This Row],[Level 1]:[Level 6]]),rng_LevelsConcat,0)))</f>
        <v/>
      </c>
      <c r="AB420" s="220">
        <f>Buildings_GridElectricity_Frontend[[#This Row],[Data]]</f>
        <v>0</v>
      </c>
      <c r="AC420" s="174" t="str">
        <f>Buildings_GridElectricity_Frontend[[#This Row],[Units]]</f>
        <v>kWh</v>
      </c>
      <c r="AD420" s="218">
        <f>Buildings_GridElectricity_Frontend[[#This Row],[Data]]</f>
        <v>0</v>
      </c>
      <c r="AE420" s="174" t="str">
        <f>Buildings_GridElectricity_Frontend[[#This Row],[Units]]</f>
        <v>kWh</v>
      </c>
      <c r="AF420" s="210" t="str">
        <f>IF(Buildings_GridElectricity_Frontend[[#This Row],[Data]]="","",_xlfn.XLOOKUP(_xlfn.CONCAT(Buildings_GridElectricity_Backend[[#This Row],[Level 1]:[Level 6]]),rng_EFConcat,rng_EF1)*Buildings_GridElectricity_Backend[[#This Row],[Converted data]]/1000)</f>
        <v/>
      </c>
      <c r="AG420" s="210" t="str">
        <f>IF(Buildings_GridElectricity_Frontend[[#This Row],[Data]]="","",_xlfn.XLOOKUP(_xlfn.CONCAT(Buildings_GridElectricity_Backend[[#This Row],[Level 1]:[Level 6]]),rng_EFConcat,rng_EF2)*Buildings_GridElectricity_Backend[[#This Row],[Converted data]]/1000)</f>
        <v/>
      </c>
      <c r="AH420" s="210" t="str">
        <f>IF(Buildings_GridElectricity_Frontend[[#This Row],[Data]]="","",_xlfn.XLOOKUP(_xlfn.CONCAT(Buildings_GridElectricity_Backend[[#This Row],[Level 1]:[Level 6]]),rng_EFConcat,rng_EF3)*Buildings_GridElectricity_Backend[[#This Row],[Converted data]]/1000)</f>
        <v/>
      </c>
      <c r="AI420" s="210" t="str">
        <f>IF(Buildings_GridElectricity_Frontend[[#This Row],[Data]]="","",_xlfn.XLOOKUP(_xlfn.CONCAT(Buildings_GridElectricity_Backend[[#This Row],[Level 1]:[Level 6]]),rng_EFConcat,rng_EF3WTT)*Buildings_GridElectricity_Backend[[#This Row],[Converted data]]/1000)</f>
        <v/>
      </c>
      <c r="AJ420" s="210" t="str">
        <f>IF(Buildings_GridElectricity_Frontend[[#This Row],[Data]]="","",_xlfn.XLOOKUP(_xlfn.CONCAT(Buildings_GridElectricity_Backend[[#This Row],[Level 1]:[Level 6]]),rng_EFConcat,rng_EF3TD)*Buildings_GridElectricity_Backend[[#This Row],[Converted data]]/1000)</f>
        <v/>
      </c>
      <c r="AK420" s="210" t="str">
        <f>IF(Buildings_GridElectricity_Frontend[[#This Row],[Data]]="","",_xlfn.XLOOKUP(_xlfn.CONCAT(Buildings_GridElectricity_Backend[[#This Row],[Level 1]:[Level 6]]),rng_EFConcat,rng_EF3WTTTD)*Buildings_GridElectricity_Backend[[#This Row],[Converted data]]/1000)</f>
        <v/>
      </c>
      <c r="AL420" s="220" t="str">
        <f>IF(Buildings_GridElectricity_Frontend[[#This Row],[Data]]="","",SUM(Buildings_GridElectricity_Backend[[#This Row],[Scope 1 (tCO2e)]:[Scope 3 WTT T&amp;D (tCO2e)]]))</f>
        <v/>
      </c>
      <c r="AM420" s="220" t="str">
        <f>IF(Buildings_GridElectricity_Frontend[[#This Row],[Data]]="","",Buildings_GridElectricity_Backend[[#This Row],[Total (tCO2e)]]*(1-Buildings_GridElectricity_Backend[[#This Row],[RSD]]))</f>
        <v/>
      </c>
      <c r="AN420" s="220" t="str">
        <f>IF(Buildings_GridElectricity_Frontend[[#This Row],[Data]]="","",Buildings_GridElectricity_Backend[[#This Row],[Total (tCO2e)]]*(1+Buildings_GridElectricity_Backend[[#This Row],[RSD]]))</f>
        <v/>
      </c>
      <c r="AO420" s="210" t="str">
        <f>IF(Buildings_GridElectricity_Frontend[[#This Row],[Data]]="","",_xlfn.XLOOKUP(_xlfn.CONCAT(Buildings_GridElectricity_Backend[[#This Row],[Level 1]:[Level 6]]),rng_EFConcat,rng_EFOOS)*Buildings_GridElectricity_Backend[[#This Row],[Converted data]]/1000)</f>
        <v/>
      </c>
      <c r="AP420" s="174">
        <f>Buildings_GridElectricity_Frontend[[#This Row],[Ease of collection]]</f>
        <v>0</v>
      </c>
      <c r="AQ420" s="213">
        <f>Buildings_GridElectricity_Frontend[[#This Row],[Completeness]]</f>
        <v>0</v>
      </c>
      <c r="AR420" s="220">
        <f>Buildings_GridElectricity_Frontend[[#This Row],[Notes]]</f>
        <v>0</v>
      </c>
    </row>
    <row r="421" spans="5:44" x14ac:dyDescent="0.3">
      <c r="E421" s="346"/>
      <c r="F421" s="449"/>
      <c r="G421" s="336"/>
      <c r="H421" s="334"/>
      <c r="I421" s="172" t="s">
        <v>316</v>
      </c>
      <c r="J421" s="337"/>
      <c r="K421" s="336"/>
      <c r="L421" s="336"/>
      <c r="M421" s="337"/>
      <c r="N421" s="242">
        <f t="shared" si="15"/>
        <v>3</v>
      </c>
      <c r="Q421" s="212" t="str">
        <f t="shared" si="14"/>
        <v/>
      </c>
      <c r="R421" s="174" t="s">
        <v>265</v>
      </c>
      <c r="S421" s="174" t="s">
        <v>273</v>
      </c>
      <c r="T421" s="174" t="str">
        <f>_xlfn.XLOOKUP(Buildings_GridElectricity_Backend[[#This Row],[Info 1]],Buildings_SiteInfo[Site name],Buildings_SiteInfo[Site type], "")</f>
        <v/>
      </c>
      <c r="U421" s="174" t="s">
        <v>281</v>
      </c>
      <c r="V421" s="174" t="str" cm="1">
        <f t="array" aca="1" ref="V421" ca="1">_xlfn.XLOOKUP(Buildings_GridElectricity_Backend[[#This Row],[Level 4]],rng_Level4Long,rng_Level5Long)</f>
        <v>Electricity</v>
      </c>
      <c r="W421" s="174" t="str" cm="1">
        <f t="array" aca="1" ref="W421" ca="1">_xlfn.XLOOKUP(Buildings_GridElectricity_Backend[[#This Row],[Level 4]],rng_Level4Long,rng_Level6Long)</f>
        <v>NaN</v>
      </c>
      <c r="X421" s="174">
        <f>Buildings_GridElectricity_Frontend[[#This Row],[Site Name]]</f>
        <v>0</v>
      </c>
      <c r="Y421" s="174">
        <f>Buildings_GridElectricity_Frontend[[#This Row],[Contracting]]</f>
        <v>0</v>
      </c>
      <c r="Z421" s="174">
        <f>Buildings_GridElectricity_Frontend[[#This Row],[Methodology]]</f>
        <v>0</v>
      </c>
      <c r="AA421" s="229" t="str" cm="1">
        <f t="array" ref="AA421">IF(Buildings_GridElectricity_Frontend[[#This Row],[Data]]="","",INDEX(_xlfn.SWITCH(Buildings_GridElectricity_Backend[[#This Row],[Methodology]],"Tier 1",rng_RSD1,"Tier 2",rng_RSD2,"Tier 3",rng_RSD3),MATCH(_xlfn.CONCAT(Buildings_GridElectricity_Backend[[#This Row],[Level 1]:[Level 6]]),rng_LevelsConcat,0)))</f>
        <v/>
      </c>
      <c r="AB421" s="220">
        <f>Buildings_GridElectricity_Frontend[[#This Row],[Data]]</f>
        <v>0</v>
      </c>
      <c r="AC421" s="174" t="str">
        <f>Buildings_GridElectricity_Frontend[[#This Row],[Units]]</f>
        <v>kWh</v>
      </c>
      <c r="AD421" s="218">
        <f>Buildings_GridElectricity_Frontend[[#This Row],[Data]]</f>
        <v>0</v>
      </c>
      <c r="AE421" s="174" t="str">
        <f>Buildings_GridElectricity_Frontend[[#This Row],[Units]]</f>
        <v>kWh</v>
      </c>
      <c r="AF421" s="210" t="str">
        <f>IF(Buildings_GridElectricity_Frontend[[#This Row],[Data]]="","",_xlfn.XLOOKUP(_xlfn.CONCAT(Buildings_GridElectricity_Backend[[#This Row],[Level 1]:[Level 6]]),rng_EFConcat,rng_EF1)*Buildings_GridElectricity_Backend[[#This Row],[Converted data]]/1000)</f>
        <v/>
      </c>
      <c r="AG421" s="210" t="str">
        <f>IF(Buildings_GridElectricity_Frontend[[#This Row],[Data]]="","",_xlfn.XLOOKUP(_xlfn.CONCAT(Buildings_GridElectricity_Backend[[#This Row],[Level 1]:[Level 6]]),rng_EFConcat,rng_EF2)*Buildings_GridElectricity_Backend[[#This Row],[Converted data]]/1000)</f>
        <v/>
      </c>
      <c r="AH421" s="210" t="str">
        <f>IF(Buildings_GridElectricity_Frontend[[#This Row],[Data]]="","",_xlfn.XLOOKUP(_xlfn.CONCAT(Buildings_GridElectricity_Backend[[#This Row],[Level 1]:[Level 6]]),rng_EFConcat,rng_EF3)*Buildings_GridElectricity_Backend[[#This Row],[Converted data]]/1000)</f>
        <v/>
      </c>
      <c r="AI421" s="210" t="str">
        <f>IF(Buildings_GridElectricity_Frontend[[#This Row],[Data]]="","",_xlfn.XLOOKUP(_xlfn.CONCAT(Buildings_GridElectricity_Backend[[#This Row],[Level 1]:[Level 6]]),rng_EFConcat,rng_EF3WTT)*Buildings_GridElectricity_Backend[[#This Row],[Converted data]]/1000)</f>
        <v/>
      </c>
      <c r="AJ421" s="210" t="str">
        <f>IF(Buildings_GridElectricity_Frontend[[#This Row],[Data]]="","",_xlfn.XLOOKUP(_xlfn.CONCAT(Buildings_GridElectricity_Backend[[#This Row],[Level 1]:[Level 6]]),rng_EFConcat,rng_EF3TD)*Buildings_GridElectricity_Backend[[#This Row],[Converted data]]/1000)</f>
        <v/>
      </c>
      <c r="AK421" s="210" t="str">
        <f>IF(Buildings_GridElectricity_Frontend[[#This Row],[Data]]="","",_xlfn.XLOOKUP(_xlfn.CONCAT(Buildings_GridElectricity_Backend[[#This Row],[Level 1]:[Level 6]]),rng_EFConcat,rng_EF3WTTTD)*Buildings_GridElectricity_Backend[[#This Row],[Converted data]]/1000)</f>
        <v/>
      </c>
      <c r="AL421" s="220" t="str">
        <f>IF(Buildings_GridElectricity_Frontend[[#This Row],[Data]]="","",SUM(Buildings_GridElectricity_Backend[[#This Row],[Scope 1 (tCO2e)]:[Scope 3 WTT T&amp;D (tCO2e)]]))</f>
        <v/>
      </c>
      <c r="AM421" s="220" t="str">
        <f>IF(Buildings_GridElectricity_Frontend[[#This Row],[Data]]="","",Buildings_GridElectricity_Backend[[#This Row],[Total (tCO2e)]]*(1-Buildings_GridElectricity_Backend[[#This Row],[RSD]]))</f>
        <v/>
      </c>
      <c r="AN421" s="220" t="str">
        <f>IF(Buildings_GridElectricity_Frontend[[#This Row],[Data]]="","",Buildings_GridElectricity_Backend[[#This Row],[Total (tCO2e)]]*(1+Buildings_GridElectricity_Backend[[#This Row],[RSD]]))</f>
        <v/>
      </c>
      <c r="AO421" s="210" t="str">
        <f>IF(Buildings_GridElectricity_Frontend[[#This Row],[Data]]="","",_xlfn.XLOOKUP(_xlfn.CONCAT(Buildings_GridElectricity_Backend[[#This Row],[Level 1]:[Level 6]]),rng_EFConcat,rng_EFOOS)*Buildings_GridElectricity_Backend[[#This Row],[Converted data]]/1000)</f>
        <v/>
      </c>
      <c r="AP421" s="174">
        <f>Buildings_GridElectricity_Frontend[[#This Row],[Ease of collection]]</f>
        <v>0</v>
      </c>
      <c r="AQ421" s="213">
        <f>Buildings_GridElectricity_Frontend[[#This Row],[Completeness]]</f>
        <v>0</v>
      </c>
      <c r="AR421" s="220">
        <f>Buildings_GridElectricity_Frontend[[#This Row],[Notes]]</f>
        <v>0</v>
      </c>
    </row>
    <row r="422" spans="5:44" x14ac:dyDescent="0.3">
      <c r="E422" s="346"/>
      <c r="F422" s="449"/>
      <c r="G422" s="336"/>
      <c r="H422" s="334"/>
      <c r="I422" s="172" t="s">
        <v>316</v>
      </c>
      <c r="J422" s="337"/>
      <c r="K422" s="336"/>
      <c r="L422" s="336"/>
      <c r="M422" s="337"/>
      <c r="N422" s="242">
        <f t="shared" si="15"/>
        <v>3</v>
      </c>
      <c r="Q422" s="212" t="str">
        <f t="shared" si="14"/>
        <v/>
      </c>
      <c r="R422" s="174" t="s">
        <v>265</v>
      </c>
      <c r="S422" s="174" t="s">
        <v>273</v>
      </c>
      <c r="T422" s="174" t="str">
        <f>_xlfn.XLOOKUP(Buildings_GridElectricity_Backend[[#This Row],[Info 1]],Buildings_SiteInfo[Site name],Buildings_SiteInfo[Site type], "")</f>
        <v/>
      </c>
      <c r="U422" s="174" t="s">
        <v>281</v>
      </c>
      <c r="V422" s="174" t="str" cm="1">
        <f t="array" aca="1" ref="V422" ca="1">_xlfn.XLOOKUP(Buildings_GridElectricity_Backend[[#This Row],[Level 4]],rng_Level4Long,rng_Level5Long)</f>
        <v>Electricity</v>
      </c>
      <c r="W422" s="174" t="str" cm="1">
        <f t="array" aca="1" ref="W422" ca="1">_xlfn.XLOOKUP(Buildings_GridElectricity_Backend[[#This Row],[Level 4]],rng_Level4Long,rng_Level6Long)</f>
        <v>NaN</v>
      </c>
      <c r="X422" s="174">
        <f>Buildings_GridElectricity_Frontend[[#This Row],[Site Name]]</f>
        <v>0</v>
      </c>
      <c r="Y422" s="174">
        <f>Buildings_GridElectricity_Frontend[[#This Row],[Contracting]]</f>
        <v>0</v>
      </c>
      <c r="Z422" s="174">
        <f>Buildings_GridElectricity_Frontend[[#This Row],[Methodology]]</f>
        <v>0</v>
      </c>
      <c r="AA422" s="229" t="str" cm="1">
        <f t="array" ref="AA422">IF(Buildings_GridElectricity_Frontend[[#This Row],[Data]]="","",INDEX(_xlfn.SWITCH(Buildings_GridElectricity_Backend[[#This Row],[Methodology]],"Tier 1",rng_RSD1,"Tier 2",rng_RSD2,"Tier 3",rng_RSD3),MATCH(_xlfn.CONCAT(Buildings_GridElectricity_Backend[[#This Row],[Level 1]:[Level 6]]),rng_LevelsConcat,0)))</f>
        <v/>
      </c>
      <c r="AB422" s="220">
        <f>Buildings_GridElectricity_Frontend[[#This Row],[Data]]</f>
        <v>0</v>
      </c>
      <c r="AC422" s="174" t="str">
        <f>Buildings_GridElectricity_Frontend[[#This Row],[Units]]</f>
        <v>kWh</v>
      </c>
      <c r="AD422" s="218">
        <f>Buildings_GridElectricity_Frontend[[#This Row],[Data]]</f>
        <v>0</v>
      </c>
      <c r="AE422" s="174" t="str">
        <f>Buildings_GridElectricity_Frontend[[#This Row],[Units]]</f>
        <v>kWh</v>
      </c>
      <c r="AF422" s="210" t="str">
        <f>IF(Buildings_GridElectricity_Frontend[[#This Row],[Data]]="","",_xlfn.XLOOKUP(_xlfn.CONCAT(Buildings_GridElectricity_Backend[[#This Row],[Level 1]:[Level 6]]),rng_EFConcat,rng_EF1)*Buildings_GridElectricity_Backend[[#This Row],[Converted data]]/1000)</f>
        <v/>
      </c>
      <c r="AG422" s="210" t="str">
        <f>IF(Buildings_GridElectricity_Frontend[[#This Row],[Data]]="","",_xlfn.XLOOKUP(_xlfn.CONCAT(Buildings_GridElectricity_Backend[[#This Row],[Level 1]:[Level 6]]),rng_EFConcat,rng_EF2)*Buildings_GridElectricity_Backend[[#This Row],[Converted data]]/1000)</f>
        <v/>
      </c>
      <c r="AH422" s="210" t="str">
        <f>IF(Buildings_GridElectricity_Frontend[[#This Row],[Data]]="","",_xlfn.XLOOKUP(_xlfn.CONCAT(Buildings_GridElectricity_Backend[[#This Row],[Level 1]:[Level 6]]),rng_EFConcat,rng_EF3)*Buildings_GridElectricity_Backend[[#This Row],[Converted data]]/1000)</f>
        <v/>
      </c>
      <c r="AI422" s="210" t="str">
        <f>IF(Buildings_GridElectricity_Frontend[[#This Row],[Data]]="","",_xlfn.XLOOKUP(_xlfn.CONCAT(Buildings_GridElectricity_Backend[[#This Row],[Level 1]:[Level 6]]),rng_EFConcat,rng_EF3WTT)*Buildings_GridElectricity_Backend[[#This Row],[Converted data]]/1000)</f>
        <v/>
      </c>
      <c r="AJ422" s="210" t="str">
        <f>IF(Buildings_GridElectricity_Frontend[[#This Row],[Data]]="","",_xlfn.XLOOKUP(_xlfn.CONCAT(Buildings_GridElectricity_Backend[[#This Row],[Level 1]:[Level 6]]),rng_EFConcat,rng_EF3TD)*Buildings_GridElectricity_Backend[[#This Row],[Converted data]]/1000)</f>
        <v/>
      </c>
      <c r="AK422" s="210" t="str">
        <f>IF(Buildings_GridElectricity_Frontend[[#This Row],[Data]]="","",_xlfn.XLOOKUP(_xlfn.CONCAT(Buildings_GridElectricity_Backend[[#This Row],[Level 1]:[Level 6]]),rng_EFConcat,rng_EF3WTTTD)*Buildings_GridElectricity_Backend[[#This Row],[Converted data]]/1000)</f>
        <v/>
      </c>
      <c r="AL422" s="220" t="str">
        <f>IF(Buildings_GridElectricity_Frontend[[#This Row],[Data]]="","",SUM(Buildings_GridElectricity_Backend[[#This Row],[Scope 1 (tCO2e)]:[Scope 3 WTT T&amp;D (tCO2e)]]))</f>
        <v/>
      </c>
      <c r="AM422" s="220" t="str">
        <f>IF(Buildings_GridElectricity_Frontend[[#This Row],[Data]]="","",Buildings_GridElectricity_Backend[[#This Row],[Total (tCO2e)]]*(1-Buildings_GridElectricity_Backend[[#This Row],[RSD]]))</f>
        <v/>
      </c>
      <c r="AN422" s="220" t="str">
        <f>IF(Buildings_GridElectricity_Frontend[[#This Row],[Data]]="","",Buildings_GridElectricity_Backend[[#This Row],[Total (tCO2e)]]*(1+Buildings_GridElectricity_Backend[[#This Row],[RSD]]))</f>
        <v/>
      </c>
      <c r="AO422" s="210" t="str">
        <f>IF(Buildings_GridElectricity_Frontend[[#This Row],[Data]]="","",_xlfn.XLOOKUP(_xlfn.CONCAT(Buildings_GridElectricity_Backend[[#This Row],[Level 1]:[Level 6]]),rng_EFConcat,rng_EFOOS)*Buildings_GridElectricity_Backend[[#This Row],[Converted data]]/1000)</f>
        <v/>
      </c>
      <c r="AP422" s="174">
        <f>Buildings_GridElectricity_Frontend[[#This Row],[Ease of collection]]</f>
        <v>0</v>
      </c>
      <c r="AQ422" s="213">
        <f>Buildings_GridElectricity_Frontend[[#This Row],[Completeness]]</f>
        <v>0</v>
      </c>
      <c r="AR422" s="220">
        <f>Buildings_GridElectricity_Frontend[[#This Row],[Notes]]</f>
        <v>0</v>
      </c>
    </row>
    <row r="423" spans="5:44" x14ac:dyDescent="0.3">
      <c r="E423" s="346"/>
      <c r="F423" s="449"/>
      <c r="G423" s="336"/>
      <c r="H423" s="334"/>
      <c r="I423" s="172" t="s">
        <v>316</v>
      </c>
      <c r="J423" s="337"/>
      <c r="K423" s="336"/>
      <c r="L423" s="336"/>
      <c r="M423" s="337"/>
      <c r="N423" s="242">
        <f t="shared" si="15"/>
        <v>3</v>
      </c>
      <c r="Q423" s="212" t="str">
        <f t="shared" si="14"/>
        <v/>
      </c>
      <c r="R423" s="174" t="s">
        <v>265</v>
      </c>
      <c r="S423" s="174" t="s">
        <v>273</v>
      </c>
      <c r="T423" s="174" t="str">
        <f>_xlfn.XLOOKUP(Buildings_GridElectricity_Backend[[#This Row],[Info 1]],Buildings_SiteInfo[Site name],Buildings_SiteInfo[Site type], "")</f>
        <v/>
      </c>
      <c r="U423" s="174" t="s">
        <v>281</v>
      </c>
      <c r="V423" s="174" t="str" cm="1">
        <f t="array" aca="1" ref="V423" ca="1">_xlfn.XLOOKUP(Buildings_GridElectricity_Backend[[#This Row],[Level 4]],rng_Level4Long,rng_Level5Long)</f>
        <v>Electricity</v>
      </c>
      <c r="W423" s="174" t="str" cm="1">
        <f t="array" aca="1" ref="W423" ca="1">_xlfn.XLOOKUP(Buildings_GridElectricity_Backend[[#This Row],[Level 4]],rng_Level4Long,rng_Level6Long)</f>
        <v>NaN</v>
      </c>
      <c r="X423" s="174">
        <f>Buildings_GridElectricity_Frontend[[#This Row],[Site Name]]</f>
        <v>0</v>
      </c>
      <c r="Y423" s="174">
        <f>Buildings_GridElectricity_Frontend[[#This Row],[Contracting]]</f>
        <v>0</v>
      </c>
      <c r="Z423" s="174">
        <f>Buildings_GridElectricity_Frontend[[#This Row],[Methodology]]</f>
        <v>0</v>
      </c>
      <c r="AA423" s="229" t="str" cm="1">
        <f t="array" ref="AA423">IF(Buildings_GridElectricity_Frontend[[#This Row],[Data]]="","",INDEX(_xlfn.SWITCH(Buildings_GridElectricity_Backend[[#This Row],[Methodology]],"Tier 1",rng_RSD1,"Tier 2",rng_RSD2,"Tier 3",rng_RSD3),MATCH(_xlfn.CONCAT(Buildings_GridElectricity_Backend[[#This Row],[Level 1]:[Level 6]]),rng_LevelsConcat,0)))</f>
        <v/>
      </c>
      <c r="AB423" s="220">
        <f>Buildings_GridElectricity_Frontend[[#This Row],[Data]]</f>
        <v>0</v>
      </c>
      <c r="AC423" s="174" t="str">
        <f>Buildings_GridElectricity_Frontend[[#This Row],[Units]]</f>
        <v>kWh</v>
      </c>
      <c r="AD423" s="218">
        <f>Buildings_GridElectricity_Frontend[[#This Row],[Data]]</f>
        <v>0</v>
      </c>
      <c r="AE423" s="174" t="str">
        <f>Buildings_GridElectricity_Frontend[[#This Row],[Units]]</f>
        <v>kWh</v>
      </c>
      <c r="AF423" s="210" t="str">
        <f>IF(Buildings_GridElectricity_Frontend[[#This Row],[Data]]="","",_xlfn.XLOOKUP(_xlfn.CONCAT(Buildings_GridElectricity_Backend[[#This Row],[Level 1]:[Level 6]]),rng_EFConcat,rng_EF1)*Buildings_GridElectricity_Backend[[#This Row],[Converted data]]/1000)</f>
        <v/>
      </c>
      <c r="AG423" s="210" t="str">
        <f>IF(Buildings_GridElectricity_Frontend[[#This Row],[Data]]="","",_xlfn.XLOOKUP(_xlfn.CONCAT(Buildings_GridElectricity_Backend[[#This Row],[Level 1]:[Level 6]]),rng_EFConcat,rng_EF2)*Buildings_GridElectricity_Backend[[#This Row],[Converted data]]/1000)</f>
        <v/>
      </c>
      <c r="AH423" s="210" t="str">
        <f>IF(Buildings_GridElectricity_Frontend[[#This Row],[Data]]="","",_xlfn.XLOOKUP(_xlfn.CONCAT(Buildings_GridElectricity_Backend[[#This Row],[Level 1]:[Level 6]]),rng_EFConcat,rng_EF3)*Buildings_GridElectricity_Backend[[#This Row],[Converted data]]/1000)</f>
        <v/>
      </c>
      <c r="AI423" s="210" t="str">
        <f>IF(Buildings_GridElectricity_Frontend[[#This Row],[Data]]="","",_xlfn.XLOOKUP(_xlfn.CONCAT(Buildings_GridElectricity_Backend[[#This Row],[Level 1]:[Level 6]]),rng_EFConcat,rng_EF3WTT)*Buildings_GridElectricity_Backend[[#This Row],[Converted data]]/1000)</f>
        <v/>
      </c>
      <c r="AJ423" s="210" t="str">
        <f>IF(Buildings_GridElectricity_Frontend[[#This Row],[Data]]="","",_xlfn.XLOOKUP(_xlfn.CONCAT(Buildings_GridElectricity_Backend[[#This Row],[Level 1]:[Level 6]]),rng_EFConcat,rng_EF3TD)*Buildings_GridElectricity_Backend[[#This Row],[Converted data]]/1000)</f>
        <v/>
      </c>
      <c r="AK423" s="210" t="str">
        <f>IF(Buildings_GridElectricity_Frontend[[#This Row],[Data]]="","",_xlfn.XLOOKUP(_xlfn.CONCAT(Buildings_GridElectricity_Backend[[#This Row],[Level 1]:[Level 6]]),rng_EFConcat,rng_EF3WTTTD)*Buildings_GridElectricity_Backend[[#This Row],[Converted data]]/1000)</f>
        <v/>
      </c>
      <c r="AL423" s="220" t="str">
        <f>IF(Buildings_GridElectricity_Frontend[[#This Row],[Data]]="","",SUM(Buildings_GridElectricity_Backend[[#This Row],[Scope 1 (tCO2e)]:[Scope 3 WTT T&amp;D (tCO2e)]]))</f>
        <v/>
      </c>
      <c r="AM423" s="220" t="str">
        <f>IF(Buildings_GridElectricity_Frontend[[#This Row],[Data]]="","",Buildings_GridElectricity_Backend[[#This Row],[Total (tCO2e)]]*(1-Buildings_GridElectricity_Backend[[#This Row],[RSD]]))</f>
        <v/>
      </c>
      <c r="AN423" s="220" t="str">
        <f>IF(Buildings_GridElectricity_Frontend[[#This Row],[Data]]="","",Buildings_GridElectricity_Backend[[#This Row],[Total (tCO2e)]]*(1+Buildings_GridElectricity_Backend[[#This Row],[RSD]]))</f>
        <v/>
      </c>
      <c r="AO423" s="210" t="str">
        <f>IF(Buildings_GridElectricity_Frontend[[#This Row],[Data]]="","",_xlfn.XLOOKUP(_xlfn.CONCAT(Buildings_GridElectricity_Backend[[#This Row],[Level 1]:[Level 6]]),rng_EFConcat,rng_EFOOS)*Buildings_GridElectricity_Backend[[#This Row],[Converted data]]/1000)</f>
        <v/>
      </c>
      <c r="AP423" s="174">
        <f>Buildings_GridElectricity_Frontend[[#This Row],[Ease of collection]]</f>
        <v>0</v>
      </c>
      <c r="AQ423" s="213">
        <f>Buildings_GridElectricity_Frontend[[#This Row],[Completeness]]</f>
        <v>0</v>
      </c>
      <c r="AR423" s="220">
        <f>Buildings_GridElectricity_Frontend[[#This Row],[Notes]]</f>
        <v>0</v>
      </c>
    </row>
    <row r="424" spans="5:44" x14ac:dyDescent="0.3">
      <c r="E424" s="346"/>
      <c r="F424" s="449"/>
      <c r="G424" s="336"/>
      <c r="H424" s="334"/>
      <c r="I424" s="172" t="s">
        <v>316</v>
      </c>
      <c r="J424" s="337"/>
      <c r="K424" s="336"/>
      <c r="L424" s="336"/>
      <c r="M424" s="337"/>
      <c r="N424" s="242">
        <f t="shared" si="15"/>
        <v>3</v>
      </c>
      <c r="Q424" s="212" t="str">
        <f t="shared" si="14"/>
        <v/>
      </c>
      <c r="R424" s="174" t="s">
        <v>265</v>
      </c>
      <c r="S424" s="174" t="s">
        <v>273</v>
      </c>
      <c r="T424" s="174" t="str">
        <f>_xlfn.XLOOKUP(Buildings_GridElectricity_Backend[[#This Row],[Info 1]],Buildings_SiteInfo[Site name],Buildings_SiteInfo[Site type], "")</f>
        <v/>
      </c>
      <c r="U424" s="174" t="s">
        <v>281</v>
      </c>
      <c r="V424" s="174" t="str" cm="1">
        <f t="array" aca="1" ref="V424" ca="1">_xlfn.XLOOKUP(Buildings_GridElectricity_Backend[[#This Row],[Level 4]],rng_Level4Long,rng_Level5Long)</f>
        <v>Electricity</v>
      </c>
      <c r="W424" s="174" t="str" cm="1">
        <f t="array" aca="1" ref="W424" ca="1">_xlfn.XLOOKUP(Buildings_GridElectricity_Backend[[#This Row],[Level 4]],rng_Level4Long,rng_Level6Long)</f>
        <v>NaN</v>
      </c>
      <c r="X424" s="174">
        <f>Buildings_GridElectricity_Frontend[[#This Row],[Site Name]]</f>
        <v>0</v>
      </c>
      <c r="Y424" s="174">
        <f>Buildings_GridElectricity_Frontend[[#This Row],[Contracting]]</f>
        <v>0</v>
      </c>
      <c r="Z424" s="174">
        <f>Buildings_GridElectricity_Frontend[[#This Row],[Methodology]]</f>
        <v>0</v>
      </c>
      <c r="AA424" s="229" t="str" cm="1">
        <f t="array" ref="AA424">IF(Buildings_GridElectricity_Frontend[[#This Row],[Data]]="","",INDEX(_xlfn.SWITCH(Buildings_GridElectricity_Backend[[#This Row],[Methodology]],"Tier 1",rng_RSD1,"Tier 2",rng_RSD2,"Tier 3",rng_RSD3),MATCH(_xlfn.CONCAT(Buildings_GridElectricity_Backend[[#This Row],[Level 1]:[Level 6]]),rng_LevelsConcat,0)))</f>
        <v/>
      </c>
      <c r="AB424" s="220">
        <f>Buildings_GridElectricity_Frontend[[#This Row],[Data]]</f>
        <v>0</v>
      </c>
      <c r="AC424" s="174" t="str">
        <f>Buildings_GridElectricity_Frontend[[#This Row],[Units]]</f>
        <v>kWh</v>
      </c>
      <c r="AD424" s="218">
        <f>Buildings_GridElectricity_Frontend[[#This Row],[Data]]</f>
        <v>0</v>
      </c>
      <c r="AE424" s="174" t="str">
        <f>Buildings_GridElectricity_Frontend[[#This Row],[Units]]</f>
        <v>kWh</v>
      </c>
      <c r="AF424" s="210" t="str">
        <f>IF(Buildings_GridElectricity_Frontend[[#This Row],[Data]]="","",_xlfn.XLOOKUP(_xlfn.CONCAT(Buildings_GridElectricity_Backend[[#This Row],[Level 1]:[Level 6]]),rng_EFConcat,rng_EF1)*Buildings_GridElectricity_Backend[[#This Row],[Converted data]]/1000)</f>
        <v/>
      </c>
      <c r="AG424" s="210" t="str">
        <f>IF(Buildings_GridElectricity_Frontend[[#This Row],[Data]]="","",_xlfn.XLOOKUP(_xlfn.CONCAT(Buildings_GridElectricity_Backend[[#This Row],[Level 1]:[Level 6]]),rng_EFConcat,rng_EF2)*Buildings_GridElectricity_Backend[[#This Row],[Converted data]]/1000)</f>
        <v/>
      </c>
      <c r="AH424" s="210" t="str">
        <f>IF(Buildings_GridElectricity_Frontend[[#This Row],[Data]]="","",_xlfn.XLOOKUP(_xlfn.CONCAT(Buildings_GridElectricity_Backend[[#This Row],[Level 1]:[Level 6]]),rng_EFConcat,rng_EF3)*Buildings_GridElectricity_Backend[[#This Row],[Converted data]]/1000)</f>
        <v/>
      </c>
      <c r="AI424" s="210" t="str">
        <f>IF(Buildings_GridElectricity_Frontend[[#This Row],[Data]]="","",_xlfn.XLOOKUP(_xlfn.CONCAT(Buildings_GridElectricity_Backend[[#This Row],[Level 1]:[Level 6]]),rng_EFConcat,rng_EF3WTT)*Buildings_GridElectricity_Backend[[#This Row],[Converted data]]/1000)</f>
        <v/>
      </c>
      <c r="AJ424" s="210" t="str">
        <f>IF(Buildings_GridElectricity_Frontend[[#This Row],[Data]]="","",_xlfn.XLOOKUP(_xlfn.CONCAT(Buildings_GridElectricity_Backend[[#This Row],[Level 1]:[Level 6]]),rng_EFConcat,rng_EF3TD)*Buildings_GridElectricity_Backend[[#This Row],[Converted data]]/1000)</f>
        <v/>
      </c>
      <c r="AK424" s="210" t="str">
        <f>IF(Buildings_GridElectricity_Frontend[[#This Row],[Data]]="","",_xlfn.XLOOKUP(_xlfn.CONCAT(Buildings_GridElectricity_Backend[[#This Row],[Level 1]:[Level 6]]),rng_EFConcat,rng_EF3WTTTD)*Buildings_GridElectricity_Backend[[#This Row],[Converted data]]/1000)</f>
        <v/>
      </c>
      <c r="AL424" s="220" t="str">
        <f>IF(Buildings_GridElectricity_Frontend[[#This Row],[Data]]="","",SUM(Buildings_GridElectricity_Backend[[#This Row],[Scope 1 (tCO2e)]:[Scope 3 WTT T&amp;D (tCO2e)]]))</f>
        <v/>
      </c>
      <c r="AM424" s="220" t="str">
        <f>IF(Buildings_GridElectricity_Frontend[[#This Row],[Data]]="","",Buildings_GridElectricity_Backend[[#This Row],[Total (tCO2e)]]*(1-Buildings_GridElectricity_Backend[[#This Row],[RSD]]))</f>
        <v/>
      </c>
      <c r="AN424" s="220" t="str">
        <f>IF(Buildings_GridElectricity_Frontend[[#This Row],[Data]]="","",Buildings_GridElectricity_Backend[[#This Row],[Total (tCO2e)]]*(1+Buildings_GridElectricity_Backend[[#This Row],[RSD]]))</f>
        <v/>
      </c>
      <c r="AO424" s="210" t="str">
        <f>IF(Buildings_GridElectricity_Frontend[[#This Row],[Data]]="","",_xlfn.XLOOKUP(_xlfn.CONCAT(Buildings_GridElectricity_Backend[[#This Row],[Level 1]:[Level 6]]),rng_EFConcat,rng_EFOOS)*Buildings_GridElectricity_Backend[[#This Row],[Converted data]]/1000)</f>
        <v/>
      </c>
      <c r="AP424" s="174">
        <f>Buildings_GridElectricity_Frontend[[#This Row],[Ease of collection]]</f>
        <v>0</v>
      </c>
      <c r="AQ424" s="213">
        <f>Buildings_GridElectricity_Frontend[[#This Row],[Completeness]]</f>
        <v>0</v>
      </c>
      <c r="AR424" s="220">
        <f>Buildings_GridElectricity_Frontend[[#This Row],[Notes]]</f>
        <v>0</v>
      </c>
    </row>
    <row r="425" spans="5:44" x14ac:dyDescent="0.3">
      <c r="E425" s="346"/>
      <c r="F425" s="449"/>
      <c r="G425" s="336"/>
      <c r="H425" s="334"/>
      <c r="I425" s="172" t="s">
        <v>316</v>
      </c>
      <c r="J425" s="337"/>
      <c r="K425" s="336"/>
      <c r="L425" s="336"/>
      <c r="M425" s="337"/>
      <c r="N425" s="242">
        <f t="shared" si="15"/>
        <v>3</v>
      </c>
      <c r="Q425" s="212" t="str">
        <f t="shared" si="14"/>
        <v/>
      </c>
      <c r="R425" s="174" t="s">
        <v>265</v>
      </c>
      <c r="S425" s="174" t="s">
        <v>273</v>
      </c>
      <c r="T425" s="174" t="str">
        <f>_xlfn.XLOOKUP(Buildings_GridElectricity_Backend[[#This Row],[Info 1]],Buildings_SiteInfo[Site name],Buildings_SiteInfo[Site type], "")</f>
        <v/>
      </c>
      <c r="U425" s="174" t="s">
        <v>281</v>
      </c>
      <c r="V425" s="174" t="str" cm="1">
        <f t="array" aca="1" ref="V425" ca="1">_xlfn.XLOOKUP(Buildings_GridElectricity_Backend[[#This Row],[Level 4]],rng_Level4Long,rng_Level5Long)</f>
        <v>Electricity</v>
      </c>
      <c r="W425" s="174" t="str" cm="1">
        <f t="array" aca="1" ref="W425" ca="1">_xlfn.XLOOKUP(Buildings_GridElectricity_Backend[[#This Row],[Level 4]],rng_Level4Long,rng_Level6Long)</f>
        <v>NaN</v>
      </c>
      <c r="X425" s="174">
        <f>Buildings_GridElectricity_Frontend[[#This Row],[Site Name]]</f>
        <v>0</v>
      </c>
      <c r="Y425" s="174">
        <f>Buildings_GridElectricity_Frontend[[#This Row],[Contracting]]</f>
        <v>0</v>
      </c>
      <c r="Z425" s="174">
        <f>Buildings_GridElectricity_Frontend[[#This Row],[Methodology]]</f>
        <v>0</v>
      </c>
      <c r="AA425" s="229" t="str" cm="1">
        <f t="array" ref="AA425">IF(Buildings_GridElectricity_Frontend[[#This Row],[Data]]="","",INDEX(_xlfn.SWITCH(Buildings_GridElectricity_Backend[[#This Row],[Methodology]],"Tier 1",rng_RSD1,"Tier 2",rng_RSD2,"Tier 3",rng_RSD3),MATCH(_xlfn.CONCAT(Buildings_GridElectricity_Backend[[#This Row],[Level 1]:[Level 6]]),rng_LevelsConcat,0)))</f>
        <v/>
      </c>
      <c r="AB425" s="220">
        <f>Buildings_GridElectricity_Frontend[[#This Row],[Data]]</f>
        <v>0</v>
      </c>
      <c r="AC425" s="174" t="str">
        <f>Buildings_GridElectricity_Frontend[[#This Row],[Units]]</f>
        <v>kWh</v>
      </c>
      <c r="AD425" s="218">
        <f>Buildings_GridElectricity_Frontend[[#This Row],[Data]]</f>
        <v>0</v>
      </c>
      <c r="AE425" s="174" t="str">
        <f>Buildings_GridElectricity_Frontend[[#This Row],[Units]]</f>
        <v>kWh</v>
      </c>
      <c r="AF425" s="210" t="str">
        <f>IF(Buildings_GridElectricity_Frontend[[#This Row],[Data]]="","",_xlfn.XLOOKUP(_xlfn.CONCAT(Buildings_GridElectricity_Backend[[#This Row],[Level 1]:[Level 6]]),rng_EFConcat,rng_EF1)*Buildings_GridElectricity_Backend[[#This Row],[Converted data]]/1000)</f>
        <v/>
      </c>
      <c r="AG425" s="210" t="str">
        <f>IF(Buildings_GridElectricity_Frontend[[#This Row],[Data]]="","",_xlfn.XLOOKUP(_xlfn.CONCAT(Buildings_GridElectricity_Backend[[#This Row],[Level 1]:[Level 6]]),rng_EFConcat,rng_EF2)*Buildings_GridElectricity_Backend[[#This Row],[Converted data]]/1000)</f>
        <v/>
      </c>
      <c r="AH425" s="210" t="str">
        <f>IF(Buildings_GridElectricity_Frontend[[#This Row],[Data]]="","",_xlfn.XLOOKUP(_xlfn.CONCAT(Buildings_GridElectricity_Backend[[#This Row],[Level 1]:[Level 6]]),rng_EFConcat,rng_EF3)*Buildings_GridElectricity_Backend[[#This Row],[Converted data]]/1000)</f>
        <v/>
      </c>
      <c r="AI425" s="210" t="str">
        <f>IF(Buildings_GridElectricity_Frontend[[#This Row],[Data]]="","",_xlfn.XLOOKUP(_xlfn.CONCAT(Buildings_GridElectricity_Backend[[#This Row],[Level 1]:[Level 6]]),rng_EFConcat,rng_EF3WTT)*Buildings_GridElectricity_Backend[[#This Row],[Converted data]]/1000)</f>
        <v/>
      </c>
      <c r="AJ425" s="210" t="str">
        <f>IF(Buildings_GridElectricity_Frontend[[#This Row],[Data]]="","",_xlfn.XLOOKUP(_xlfn.CONCAT(Buildings_GridElectricity_Backend[[#This Row],[Level 1]:[Level 6]]),rng_EFConcat,rng_EF3TD)*Buildings_GridElectricity_Backend[[#This Row],[Converted data]]/1000)</f>
        <v/>
      </c>
      <c r="AK425" s="210" t="str">
        <f>IF(Buildings_GridElectricity_Frontend[[#This Row],[Data]]="","",_xlfn.XLOOKUP(_xlfn.CONCAT(Buildings_GridElectricity_Backend[[#This Row],[Level 1]:[Level 6]]),rng_EFConcat,rng_EF3WTTTD)*Buildings_GridElectricity_Backend[[#This Row],[Converted data]]/1000)</f>
        <v/>
      </c>
      <c r="AL425" s="220" t="str">
        <f>IF(Buildings_GridElectricity_Frontend[[#This Row],[Data]]="","",SUM(Buildings_GridElectricity_Backend[[#This Row],[Scope 1 (tCO2e)]:[Scope 3 WTT T&amp;D (tCO2e)]]))</f>
        <v/>
      </c>
      <c r="AM425" s="220" t="str">
        <f>IF(Buildings_GridElectricity_Frontend[[#This Row],[Data]]="","",Buildings_GridElectricity_Backend[[#This Row],[Total (tCO2e)]]*(1-Buildings_GridElectricity_Backend[[#This Row],[RSD]]))</f>
        <v/>
      </c>
      <c r="AN425" s="220" t="str">
        <f>IF(Buildings_GridElectricity_Frontend[[#This Row],[Data]]="","",Buildings_GridElectricity_Backend[[#This Row],[Total (tCO2e)]]*(1+Buildings_GridElectricity_Backend[[#This Row],[RSD]]))</f>
        <v/>
      </c>
      <c r="AO425" s="210" t="str">
        <f>IF(Buildings_GridElectricity_Frontend[[#This Row],[Data]]="","",_xlfn.XLOOKUP(_xlfn.CONCAT(Buildings_GridElectricity_Backend[[#This Row],[Level 1]:[Level 6]]),rng_EFConcat,rng_EFOOS)*Buildings_GridElectricity_Backend[[#This Row],[Converted data]]/1000)</f>
        <v/>
      </c>
      <c r="AP425" s="174">
        <f>Buildings_GridElectricity_Frontend[[#This Row],[Ease of collection]]</f>
        <v>0</v>
      </c>
      <c r="AQ425" s="213">
        <f>Buildings_GridElectricity_Frontend[[#This Row],[Completeness]]</f>
        <v>0</v>
      </c>
      <c r="AR425" s="220">
        <f>Buildings_GridElectricity_Frontend[[#This Row],[Notes]]</f>
        <v>0</v>
      </c>
    </row>
    <row r="426" spans="5:44" x14ac:dyDescent="0.3">
      <c r="E426" s="346"/>
      <c r="F426" s="449"/>
      <c r="G426" s="336"/>
      <c r="H426" s="334"/>
      <c r="I426" s="172" t="s">
        <v>316</v>
      </c>
      <c r="J426" s="337"/>
      <c r="K426" s="336"/>
      <c r="L426" s="336"/>
      <c r="M426" s="337"/>
      <c r="N426" s="242">
        <f t="shared" si="15"/>
        <v>3</v>
      </c>
      <c r="Q426" s="212" t="str">
        <f t="shared" si="14"/>
        <v/>
      </c>
      <c r="R426" s="174" t="s">
        <v>265</v>
      </c>
      <c r="S426" s="174" t="s">
        <v>273</v>
      </c>
      <c r="T426" s="174" t="str">
        <f>_xlfn.XLOOKUP(Buildings_GridElectricity_Backend[[#This Row],[Info 1]],Buildings_SiteInfo[Site name],Buildings_SiteInfo[Site type], "")</f>
        <v/>
      </c>
      <c r="U426" s="174" t="s">
        <v>281</v>
      </c>
      <c r="V426" s="174" t="str" cm="1">
        <f t="array" aca="1" ref="V426" ca="1">_xlfn.XLOOKUP(Buildings_GridElectricity_Backend[[#This Row],[Level 4]],rng_Level4Long,rng_Level5Long)</f>
        <v>Electricity</v>
      </c>
      <c r="W426" s="174" t="str" cm="1">
        <f t="array" aca="1" ref="W426" ca="1">_xlfn.XLOOKUP(Buildings_GridElectricity_Backend[[#This Row],[Level 4]],rng_Level4Long,rng_Level6Long)</f>
        <v>NaN</v>
      </c>
      <c r="X426" s="174">
        <f>Buildings_GridElectricity_Frontend[[#This Row],[Site Name]]</f>
        <v>0</v>
      </c>
      <c r="Y426" s="174">
        <f>Buildings_GridElectricity_Frontend[[#This Row],[Contracting]]</f>
        <v>0</v>
      </c>
      <c r="Z426" s="174">
        <f>Buildings_GridElectricity_Frontend[[#This Row],[Methodology]]</f>
        <v>0</v>
      </c>
      <c r="AA426" s="229" t="str" cm="1">
        <f t="array" ref="AA426">IF(Buildings_GridElectricity_Frontend[[#This Row],[Data]]="","",INDEX(_xlfn.SWITCH(Buildings_GridElectricity_Backend[[#This Row],[Methodology]],"Tier 1",rng_RSD1,"Tier 2",rng_RSD2,"Tier 3",rng_RSD3),MATCH(_xlfn.CONCAT(Buildings_GridElectricity_Backend[[#This Row],[Level 1]:[Level 6]]),rng_LevelsConcat,0)))</f>
        <v/>
      </c>
      <c r="AB426" s="220">
        <f>Buildings_GridElectricity_Frontend[[#This Row],[Data]]</f>
        <v>0</v>
      </c>
      <c r="AC426" s="174" t="str">
        <f>Buildings_GridElectricity_Frontend[[#This Row],[Units]]</f>
        <v>kWh</v>
      </c>
      <c r="AD426" s="218">
        <f>Buildings_GridElectricity_Frontend[[#This Row],[Data]]</f>
        <v>0</v>
      </c>
      <c r="AE426" s="174" t="str">
        <f>Buildings_GridElectricity_Frontend[[#This Row],[Units]]</f>
        <v>kWh</v>
      </c>
      <c r="AF426" s="210" t="str">
        <f>IF(Buildings_GridElectricity_Frontend[[#This Row],[Data]]="","",_xlfn.XLOOKUP(_xlfn.CONCAT(Buildings_GridElectricity_Backend[[#This Row],[Level 1]:[Level 6]]),rng_EFConcat,rng_EF1)*Buildings_GridElectricity_Backend[[#This Row],[Converted data]]/1000)</f>
        <v/>
      </c>
      <c r="AG426" s="210" t="str">
        <f>IF(Buildings_GridElectricity_Frontend[[#This Row],[Data]]="","",_xlfn.XLOOKUP(_xlfn.CONCAT(Buildings_GridElectricity_Backend[[#This Row],[Level 1]:[Level 6]]),rng_EFConcat,rng_EF2)*Buildings_GridElectricity_Backend[[#This Row],[Converted data]]/1000)</f>
        <v/>
      </c>
      <c r="AH426" s="210" t="str">
        <f>IF(Buildings_GridElectricity_Frontend[[#This Row],[Data]]="","",_xlfn.XLOOKUP(_xlfn.CONCAT(Buildings_GridElectricity_Backend[[#This Row],[Level 1]:[Level 6]]),rng_EFConcat,rng_EF3)*Buildings_GridElectricity_Backend[[#This Row],[Converted data]]/1000)</f>
        <v/>
      </c>
      <c r="AI426" s="210" t="str">
        <f>IF(Buildings_GridElectricity_Frontend[[#This Row],[Data]]="","",_xlfn.XLOOKUP(_xlfn.CONCAT(Buildings_GridElectricity_Backend[[#This Row],[Level 1]:[Level 6]]),rng_EFConcat,rng_EF3WTT)*Buildings_GridElectricity_Backend[[#This Row],[Converted data]]/1000)</f>
        <v/>
      </c>
      <c r="AJ426" s="210" t="str">
        <f>IF(Buildings_GridElectricity_Frontend[[#This Row],[Data]]="","",_xlfn.XLOOKUP(_xlfn.CONCAT(Buildings_GridElectricity_Backend[[#This Row],[Level 1]:[Level 6]]),rng_EFConcat,rng_EF3TD)*Buildings_GridElectricity_Backend[[#This Row],[Converted data]]/1000)</f>
        <v/>
      </c>
      <c r="AK426" s="210" t="str">
        <f>IF(Buildings_GridElectricity_Frontend[[#This Row],[Data]]="","",_xlfn.XLOOKUP(_xlfn.CONCAT(Buildings_GridElectricity_Backend[[#This Row],[Level 1]:[Level 6]]),rng_EFConcat,rng_EF3WTTTD)*Buildings_GridElectricity_Backend[[#This Row],[Converted data]]/1000)</f>
        <v/>
      </c>
      <c r="AL426" s="220" t="str">
        <f>IF(Buildings_GridElectricity_Frontend[[#This Row],[Data]]="","",SUM(Buildings_GridElectricity_Backend[[#This Row],[Scope 1 (tCO2e)]:[Scope 3 WTT T&amp;D (tCO2e)]]))</f>
        <v/>
      </c>
      <c r="AM426" s="220" t="str">
        <f>IF(Buildings_GridElectricity_Frontend[[#This Row],[Data]]="","",Buildings_GridElectricity_Backend[[#This Row],[Total (tCO2e)]]*(1-Buildings_GridElectricity_Backend[[#This Row],[RSD]]))</f>
        <v/>
      </c>
      <c r="AN426" s="220" t="str">
        <f>IF(Buildings_GridElectricity_Frontend[[#This Row],[Data]]="","",Buildings_GridElectricity_Backend[[#This Row],[Total (tCO2e)]]*(1+Buildings_GridElectricity_Backend[[#This Row],[RSD]]))</f>
        <v/>
      </c>
      <c r="AO426" s="210" t="str">
        <f>IF(Buildings_GridElectricity_Frontend[[#This Row],[Data]]="","",_xlfn.XLOOKUP(_xlfn.CONCAT(Buildings_GridElectricity_Backend[[#This Row],[Level 1]:[Level 6]]),rng_EFConcat,rng_EFOOS)*Buildings_GridElectricity_Backend[[#This Row],[Converted data]]/1000)</f>
        <v/>
      </c>
      <c r="AP426" s="174">
        <f>Buildings_GridElectricity_Frontend[[#This Row],[Ease of collection]]</f>
        <v>0</v>
      </c>
      <c r="AQ426" s="213">
        <f>Buildings_GridElectricity_Frontend[[#This Row],[Completeness]]</f>
        <v>0</v>
      </c>
      <c r="AR426" s="220">
        <f>Buildings_GridElectricity_Frontend[[#This Row],[Notes]]</f>
        <v>0</v>
      </c>
    </row>
    <row r="427" spans="5:44" x14ac:dyDescent="0.3">
      <c r="E427" s="346"/>
      <c r="F427" s="449"/>
      <c r="G427" s="336"/>
      <c r="H427" s="334"/>
      <c r="I427" s="172" t="s">
        <v>316</v>
      </c>
      <c r="J427" s="337"/>
      <c r="K427" s="336"/>
      <c r="L427" s="336"/>
      <c r="M427" s="337"/>
      <c r="N427" s="242">
        <f t="shared" si="15"/>
        <v>3</v>
      </c>
      <c r="Q427" s="212" t="str">
        <f t="shared" si="14"/>
        <v/>
      </c>
      <c r="R427" s="174" t="s">
        <v>265</v>
      </c>
      <c r="S427" s="174" t="s">
        <v>273</v>
      </c>
      <c r="T427" s="174" t="str">
        <f>_xlfn.XLOOKUP(Buildings_GridElectricity_Backend[[#This Row],[Info 1]],Buildings_SiteInfo[Site name],Buildings_SiteInfo[Site type], "")</f>
        <v/>
      </c>
      <c r="U427" s="174" t="s">
        <v>281</v>
      </c>
      <c r="V427" s="174" t="str" cm="1">
        <f t="array" aca="1" ref="V427" ca="1">_xlfn.XLOOKUP(Buildings_GridElectricity_Backend[[#This Row],[Level 4]],rng_Level4Long,rng_Level5Long)</f>
        <v>Electricity</v>
      </c>
      <c r="W427" s="174" t="str" cm="1">
        <f t="array" aca="1" ref="W427" ca="1">_xlfn.XLOOKUP(Buildings_GridElectricity_Backend[[#This Row],[Level 4]],rng_Level4Long,rng_Level6Long)</f>
        <v>NaN</v>
      </c>
      <c r="X427" s="174">
        <f>Buildings_GridElectricity_Frontend[[#This Row],[Site Name]]</f>
        <v>0</v>
      </c>
      <c r="Y427" s="174">
        <f>Buildings_GridElectricity_Frontend[[#This Row],[Contracting]]</f>
        <v>0</v>
      </c>
      <c r="Z427" s="174">
        <f>Buildings_GridElectricity_Frontend[[#This Row],[Methodology]]</f>
        <v>0</v>
      </c>
      <c r="AA427" s="229" t="str" cm="1">
        <f t="array" ref="AA427">IF(Buildings_GridElectricity_Frontend[[#This Row],[Data]]="","",INDEX(_xlfn.SWITCH(Buildings_GridElectricity_Backend[[#This Row],[Methodology]],"Tier 1",rng_RSD1,"Tier 2",rng_RSD2,"Tier 3",rng_RSD3),MATCH(_xlfn.CONCAT(Buildings_GridElectricity_Backend[[#This Row],[Level 1]:[Level 6]]),rng_LevelsConcat,0)))</f>
        <v/>
      </c>
      <c r="AB427" s="220">
        <f>Buildings_GridElectricity_Frontend[[#This Row],[Data]]</f>
        <v>0</v>
      </c>
      <c r="AC427" s="174" t="str">
        <f>Buildings_GridElectricity_Frontend[[#This Row],[Units]]</f>
        <v>kWh</v>
      </c>
      <c r="AD427" s="218">
        <f>Buildings_GridElectricity_Frontend[[#This Row],[Data]]</f>
        <v>0</v>
      </c>
      <c r="AE427" s="174" t="str">
        <f>Buildings_GridElectricity_Frontend[[#This Row],[Units]]</f>
        <v>kWh</v>
      </c>
      <c r="AF427" s="210" t="str">
        <f>IF(Buildings_GridElectricity_Frontend[[#This Row],[Data]]="","",_xlfn.XLOOKUP(_xlfn.CONCAT(Buildings_GridElectricity_Backend[[#This Row],[Level 1]:[Level 6]]),rng_EFConcat,rng_EF1)*Buildings_GridElectricity_Backend[[#This Row],[Converted data]]/1000)</f>
        <v/>
      </c>
      <c r="AG427" s="210" t="str">
        <f>IF(Buildings_GridElectricity_Frontend[[#This Row],[Data]]="","",_xlfn.XLOOKUP(_xlfn.CONCAT(Buildings_GridElectricity_Backend[[#This Row],[Level 1]:[Level 6]]),rng_EFConcat,rng_EF2)*Buildings_GridElectricity_Backend[[#This Row],[Converted data]]/1000)</f>
        <v/>
      </c>
      <c r="AH427" s="210" t="str">
        <f>IF(Buildings_GridElectricity_Frontend[[#This Row],[Data]]="","",_xlfn.XLOOKUP(_xlfn.CONCAT(Buildings_GridElectricity_Backend[[#This Row],[Level 1]:[Level 6]]),rng_EFConcat,rng_EF3)*Buildings_GridElectricity_Backend[[#This Row],[Converted data]]/1000)</f>
        <v/>
      </c>
      <c r="AI427" s="210" t="str">
        <f>IF(Buildings_GridElectricity_Frontend[[#This Row],[Data]]="","",_xlfn.XLOOKUP(_xlfn.CONCAT(Buildings_GridElectricity_Backend[[#This Row],[Level 1]:[Level 6]]),rng_EFConcat,rng_EF3WTT)*Buildings_GridElectricity_Backend[[#This Row],[Converted data]]/1000)</f>
        <v/>
      </c>
      <c r="AJ427" s="210" t="str">
        <f>IF(Buildings_GridElectricity_Frontend[[#This Row],[Data]]="","",_xlfn.XLOOKUP(_xlfn.CONCAT(Buildings_GridElectricity_Backend[[#This Row],[Level 1]:[Level 6]]),rng_EFConcat,rng_EF3TD)*Buildings_GridElectricity_Backend[[#This Row],[Converted data]]/1000)</f>
        <v/>
      </c>
      <c r="AK427" s="210" t="str">
        <f>IF(Buildings_GridElectricity_Frontend[[#This Row],[Data]]="","",_xlfn.XLOOKUP(_xlfn.CONCAT(Buildings_GridElectricity_Backend[[#This Row],[Level 1]:[Level 6]]),rng_EFConcat,rng_EF3WTTTD)*Buildings_GridElectricity_Backend[[#This Row],[Converted data]]/1000)</f>
        <v/>
      </c>
      <c r="AL427" s="220" t="str">
        <f>IF(Buildings_GridElectricity_Frontend[[#This Row],[Data]]="","",SUM(Buildings_GridElectricity_Backend[[#This Row],[Scope 1 (tCO2e)]:[Scope 3 WTT T&amp;D (tCO2e)]]))</f>
        <v/>
      </c>
      <c r="AM427" s="220" t="str">
        <f>IF(Buildings_GridElectricity_Frontend[[#This Row],[Data]]="","",Buildings_GridElectricity_Backend[[#This Row],[Total (tCO2e)]]*(1-Buildings_GridElectricity_Backend[[#This Row],[RSD]]))</f>
        <v/>
      </c>
      <c r="AN427" s="220" t="str">
        <f>IF(Buildings_GridElectricity_Frontend[[#This Row],[Data]]="","",Buildings_GridElectricity_Backend[[#This Row],[Total (tCO2e)]]*(1+Buildings_GridElectricity_Backend[[#This Row],[RSD]]))</f>
        <v/>
      </c>
      <c r="AO427" s="210" t="str">
        <f>IF(Buildings_GridElectricity_Frontend[[#This Row],[Data]]="","",_xlfn.XLOOKUP(_xlfn.CONCAT(Buildings_GridElectricity_Backend[[#This Row],[Level 1]:[Level 6]]),rng_EFConcat,rng_EFOOS)*Buildings_GridElectricity_Backend[[#This Row],[Converted data]]/1000)</f>
        <v/>
      </c>
      <c r="AP427" s="174">
        <f>Buildings_GridElectricity_Frontend[[#This Row],[Ease of collection]]</f>
        <v>0</v>
      </c>
      <c r="AQ427" s="213">
        <f>Buildings_GridElectricity_Frontend[[#This Row],[Completeness]]</f>
        <v>0</v>
      </c>
      <c r="AR427" s="220">
        <f>Buildings_GridElectricity_Frontend[[#This Row],[Notes]]</f>
        <v>0</v>
      </c>
    </row>
    <row r="428" spans="5:44" x14ac:dyDescent="0.3">
      <c r="E428" s="346"/>
      <c r="F428" s="449"/>
      <c r="G428" s="336"/>
      <c r="H428" s="334"/>
      <c r="I428" s="172" t="s">
        <v>316</v>
      </c>
      <c r="J428" s="337"/>
      <c r="K428" s="336"/>
      <c r="L428" s="336"/>
      <c r="M428" s="337"/>
      <c r="N428" s="242">
        <f t="shared" si="15"/>
        <v>3</v>
      </c>
      <c r="Q428" s="212" t="str">
        <f t="shared" si="14"/>
        <v/>
      </c>
      <c r="R428" s="174" t="s">
        <v>265</v>
      </c>
      <c r="S428" s="174" t="s">
        <v>273</v>
      </c>
      <c r="T428" s="174" t="str">
        <f>_xlfn.XLOOKUP(Buildings_GridElectricity_Backend[[#This Row],[Info 1]],Buildings_SiteInfo[Site name],Buildings_SiteInfo[Site type], "")</f>
        <v/>
      </c>
      <c r="U428" s="174" t="s">
        <v>281</v>
      </c>
      <c r="V428" s="174" t="str" cm="1">
        <f t="array" aca="1" ref="V428" ca="1">_xlfn.XLOOKUP(Buildings_GridElectricity_Backend[[#This Row],[Level 4]],rng_Level4Long,rng_Level5Long)</f>
        <v>Electricity</v>
      </c>
      <c r="W428" s="174" t="str" cm="1">
        <f t="array" aca="1" ref="W428" ca="1">_xlfn.XLOOKUP(Buildings_GridElectricity_Backend[[#This Row],[Level 4]],rng_Level4Long,rng_Level6Long)</f>
        <v>NaN</v>
      </c>
      <c r="X428" s="174">
        <f>Buildings_GridElectricity_Frontend[[#This Row],[Site Name]]</f>
        <v>0</v>
      </c>
      <c r="Y428" s="174">
        <f>Buildings_GridElectricity_Frontend[[#This Row],[Contracting]]</f>
        <v>0</v>
      </c>
      <c r="Z428" s="174">
        <f>Buildings_GridElectricity_Frontend[[#This Row],[Methodology]]</f>
        <v>0</v>
      </c>
      <c r="AA428" s="229" t="str" cm="1">
        <f t="array" ref="AA428">IF(Buildings_GridElectricity_Frontend[[#This Row],[Data]]="","",INDEX(_xlfn.SWITCH(Buildings_GridElectricity_Backend[[#This Row],[Methodology]],"Tier 1",rng_RSD1,"Tier 2",rng_RSD2,"Tier 3",rng_RSD3),MATCH(_xlfn.CONCAT(Buildings_GridElectricity_Backend[[#This Row],[Level 1]:[Level 6]]),rng_LevelsConcat,0)))</f>
        <v/>
      </c>
      <c r="AB428" s="220">
        <f>Buildings_GridElectricity_Frontend[[#This Row],[Data]]</f>
        <v>0</v>
      </c>
      <c r="AC428" s="174" t="str">
        <f>Buildings_GridElectricity_Frontend[[#This Row],[Units]]</f>
        <v>kWh</v>
      </c>
      <c r="AD428" s="218">
        <f>Buildings_GridElectricity_Frontend[[#This Row],[Data]]</f>
        <v>0</v>
      </c>
      <c r="AE428" s="174" t="str">
        <f>Buildings_GridElectricity_Frontend[[#This Row],[Units]]</f>
        <v>kWh</v>
      </c>
      <c r="AF428" s="210" t="str">
        <f>IF(Buildings_GridElectricity_Frontend[[#This Row],[Data]]="","",_xlfn.XLOOKUP(_xlfn.CONCAT(Buildings_GridElectricity_Backend[[#This Row],[Level 1]:[Level 6]]),rng_EFConcat,rng_EF1)*Buildings_GridElectricity_Backend[[#This Row],[Converted data]]/1000)</f>
        <v/>
      </c>
      <c r="AG428" s="210" t="str">
        <f>IF(Buildings_GridElectricity_Frontend[[#This Row],[Data]]="","",_xlfn.XLOOKUP(_xlfn.CONCAT(Buildings_GridElectricity_Backend[[#This Row],[Level 1]:[Level 6]]),rng_EFConcat,rng_EF2)*Buildings_GridElectricity_Backend[[#This Row],[Converted data]]/1000)</f>
        <v/>
      </c>
      <c r="AH428" s="210" t="str">
        <f>IF(Buildings_GridElectricity_Frontend[[#This Row],[Data]]="","",_xlfn.XLOOKUP(_xlfn.CONCAT(Buildings_GridElectricity_Backend[[#This Row],[Level 1]:[Level 6]]),rng_EFConcat,rng_EF3)*Buildings_GridElectricity_Backend[[#This Row],[Converted data]]/1000)</f>
        <v/>
      </c>
      <c r="AI428" s="210" t="str">
        <f>IF(Buildings_GridElectricity_Frontend[[#This Row],[Data]]="","",_xlfn.XLOOKUP(_xlfn.CONCAT(Buildings_GridElectricity_Backend[[#This Row],[Level 1]:[Level 6]]),rng_EFConcat,rng_EF3WTT)*Buildings_GridElectricity_Backend[[#This Row],[Converted data]]/1000)</f>
        <v/>
      </c>
      <c r="AJ428" s="210" t="str">
        <f>IF(Buildings_GridElectricity_Frontend[[#This Row],[Data]]="","",_xlfn.XLOOKUP(_xlfn.CONCAT(Buildings_GridElectricity_Backend[[#This Row],[Level 1]:[Level 6]]),rng_EFConcat,rng_EF3TD)*Buildings_GridElectricity_Backend[[#This Row],[Converted data]]/1000)</f>
        <v/>
      </c>
      <c r="AK428" s="210" t="str">
        <f>IF(Buildings_GridElectricity_Frontend[[#This Row],[Data]]="","",_xlfn.XLOOKUP(_xlfn.CONCAT(Buildings_GridElectricity_Backend[[#This Row],[Level 1]:[Level 6]]),rng_EFConcat,rng_EF3WTTTD)*Buildings_GridElectricity_Backend[[#This Row],[Converted data]]/1000)</f>
        <v/>
      </c>
      <c r="AL428" s="220" t="str">
        <f>IF(Buildings_GridElectricity_Frontend[[#This Row],[Data]]="","",SUM(Buildings_GridElectricity_Backend[[#This Row],[Scope 1 (tCO2e)]:[Scope 3 WTT T&amp;D (tCO2e)]]))</f>
        <v/>
      </c>
      <c r="AM428" s="220" t="str">
        <f>IF(Buildings_GridElectricity_Frontend[[#This Row],[Data]]="","",Buildings_GridElectricity_Backend[[#This Row],[Total (tCO2e)]]*(1-Buildings_GridElectricity_Backend[[#This Row],[RSD]]))</f>
        <v/>
      </c>
      <c r="AN428" s="220" t="str">
        <f>IF(Buildings_GridElectricity_Frontend[[#This Row],[Data]]="","",Buildings_GridElectricity_Backend[[#This Row],[Total (tCO2e)]]*(1+Buildings_GridElectricity_Backend[[#This Row],[RSD]]))</f>
        <v/>
      </c>
      <c r="AO428" s="210" t="str">
        <f>IF(Buildings_GridElectricity_Frontend[[#This Row],[Data]]="","",_xlfn.XLOOKUP(_xlfn.CONCAT(Buildings_GridElectricity_Backend[[#This Row],[Level 1]:[Level 6]]),rng_EFConcat,rng_EFOOS)*Buildings_GridElectricity_Backend[[#This Row],[Converted data]]/1000)</f>
        <v/>
      </c>
      <c r="AP428" s="174">
        <f>Buildings_GridElectricity_Frontend[[#This Row],[Ease of collection]]</f>
        <v>0</v>
      </c>
      <c r="AQ428" s="213">
        <f>Buildings_GridElectricity_Frontend[[#This Row],[Completeness]]</f>
        <v>0</v>
      </c>
      <c r="AR428" s="220">
        <f>Buildings_GridElectricity_Frontend[[#This Row],[Notes]]</f>
        <v>0</v>
      </c>
    </row>
    <row r="429" spans="5:44" x14ac:dyDescent="0.3">
      <c r="E429" s="346"/>
      <c r="F429" s="449"/>
      <c r="G429" s="336"/>
      <c r="H429" s="334"/>
      <c r="I429" s="172" t="s">
        <v>316</v>
      </c>
      <c r="J429" s="337"/>
      <c r="K429" s="336"/>
      <c r="L429" s="336"/>
      <c r="M429" s="337"/>
      <c r="N429" s="242">
        <f t="shared" si="15"/>
        <v>3</v>
      </c>
      <c r="Q429" s="212" t="str">
        <f t="shared" si="14"/>
        <v/>
      </c>
      <c r="R429" s="174" t="s">
        <v>265</v>
      </c>
      <c r="S429" s="174" t="s">
        <v>273</v>
      </c>
      <c r="T429" s="174" t="str">
        <f>_xlfn.XLOOKUP(Buildings_GridElectricity_Backend[[#This Row],[Info 1]],Buildings_SiteInfo[Site name],Buildings_SiteInfo[Site type], "")</f>
        <v/>
      </c>
      <c r="U429" s="174" t="s">
        <v>281</v>
      </c>
      <c r="V429" s="174" t="str" cm="1">
        <f t="array" aca="1" ref="V429" ca="1">_xlfn.XLOOKUP(Buildings_GridElectricity_Backend[[#This Row],[Level 4]],rng_Level4Long,rng_Level5Long)</f>
        <v>Electricity</v>
      </c>
      <c r="W429" s="174" t="str" cm="1">
        <f t="array" aca="1" ref="W429" ca="1">_xlfn.XLOOKUP(Buildings_GridElectricity_Backend[[#This Row],[Level 4]],rng_Level4Long,rng_Level6Long)</f>
        <v>NaN</v>
      </c>
      <c r="X429" s="174">
        <f>Buildings_GridElectricity_Frontend[[#This Row],[Site Name]]</f>
        <v>0</v>
      </c>
      <c r="Y429" s="174">
        <f>Buildings_GridElectricity_Frontend[[#This Row],[Contracting]]</f>
        <v>0</v>
      </c>
      <c r="Z429" s="174">
        <f>Buildings_GridElectricity_Frontend[[#This Row],[Methodology]]</f>
        <v>0</v>
      </c>
      <c r="AA429" s="229" t="str" cm="1">
        <f t="array" ref="AA429">IF(Buildings_GridElectricity_Frontend[[#This Row],[Data]]="","",INDEX(_xlfn.SWITCH(Buildings_GridElectricity_Backend[[#This Row],[Methodology]],"Tier 1",rng_RSD1,"Tier 2",rng_RSD2,"Tier 3",rng_RSD3),MATCH(_xlfn.CONCAT(Buildings_GridElectricity_Backend[[#This Row],[Level 1]:[Level 6]]),rng_LevelsConcat,0)))</f>
        <v/>
      </c>
      <c r="AB429" s="220">
        <f>Buildings_GridElectricity_Frontend[[#This Row],[Data]]</f>
        <v>0</v>
      </c>
      <c r="AC429" s="174" t="str">
        <f>Buildings_GridElectricity_Frontend[[#This Row],[Units]]</f>
        <v>kWh</v>
      </c>
      <c r="AD429" s="218">
        <f>Buildings_GridElectricity_Frontend[[#This Row],[Data]]</f>
        <v>0</v>
      </c>
      <c r="AE429" s="174" t="str">
        <f>Buildings_GridElectricity_Frontend[[#This Row],[Units]]</f>
        <v>kWh</v>
      </c>
      <c r="AF429" s="210" t="str">
        <f>IF(Buildings_GridElectricity_Frontend[[#This Row],[Data]]="","",_xlfn.XLOOKUP(_xlfn.CONCAT(Buildings_GridElectricity_Backend[[#This Row],[Level 1]:[Level 6]]),rng_EFConcat,rng_EF1)*Buildings_GridElectricity_Backend[[#This Row],[Converted data]]/1000)</f>
        <v/>
      </c>
      <c r="AG429" s="210" t="str">
        <f>IF(Buildings_GridElectricity_Frontend[[#This Row],[Data]]="","",_xlfn.XLOOKUP(_xlfn.CONCAT(Buildings_GridElectricity_Backend[[#This Row],[Level 1]:[Level 6]]),rng_EFConcat,rng_EF2)*Buildings_GridElectricity_Backend[[#This Row],[Converted data]]/1000)</f>
        <v/>
      </c>
      <c r="AH429" s="210" t="str">
        <f>IF(Buildings_GridElectricity_Frontend[[#This Row],[Data]]="","",_xlfn.XLOOKUP(_xlfn.CONCAT(Buildings_GridElectricity_Backend[[#This Row],[Level 1]:[Level 6]]),rng_EFConcat,rng_EF3)*Buildings_GridElectricity_Backend[[#This Row],[Converted data]]/1000)</f>
        <v/>
      </c>
      <c r="AI429" s="210" t="str">
        <f>IF(Buildings_GridElectricity_Frontend[[#This Row],[Data]]="","",_xlfn.XLOOKUP(_xlfn.CONCAT(Buildings_GridElectricity_Backend[[#This Row],[Level 1]:[Level 6]]),rng_EFConcat,rng_EF3WTT)*Buildings_GridElectricity_Backend[[#This Row],[Converted data]]/1000)</f>
        <v/>
      </c>
      <c r="AJ429" s="210" t="str">
        <f>IF(Buildings_GridElectricity_Frontend[[#This Row],[Data]]="","",_xlfn.XLOOKUP(_xlfn.CONCAT(Buildings_GridElectricity_Backend[[#This Row],[Level 1]:[Level 6]]),rng_EFConcat,rng_EF3TD)*Buildings_GridElectricity_Backend[[#This Row],[Converted data]]/1000)</f>
        <v/>
      </c>
      <c r="AK429" s="210" t="str">
        <f>IF(Buildings_GridElectricity_Frontend[[#This Row],[Data]]="","",_xlfn.XLOOKUP(_xlfn.CONCAT(Buildings_GridElectricity_Backend[[#This Row],[Level 1]:[Level 6]]),rng_EFConcat,rng_EF3WTTTD)*Buildings_GridElectricity_Backend[[#This Row],[Converted data]]/1000)</f>
        <v/>
      </c>
      <c r="AL429" s="220" t="str">
        <f>IF(Buildings_GridElectricity_Frontend[[#This Row],[Data]]="","",SUM(Buildings_GridElectricity_Backend[[#This Row],[Scope 1 (tCO2e)]:[Scope 3 WTT T&amp;D (tCO2e)]]))</f>
        <v/>
      </c>
      <c r="AM429" s="220" t="str">
        <f>IF(Buildings_GridElectricity_Frontend[[#This Row],[Data]]="","",Buildings_GridElectricity_Backend[[#This Row],[Total (tCO2e)]]*(1-Buildings_GridElectricity_Backend[[#This Row],[RSD]]))</f>
        <v/>
      </c>
      <c r="AN429" s="220" t="str">
        <f>IF(Buildings_GridElectricity_Frontend[[#This Row],[Data]]="","",Buildings_GridElectricity_Backend[[#This Row],[Total (tCO2e)]]*(1+Buildings_GridElectricity_Backend[[#This Row],[RSD]]))</f>
        <v/>
      </c>
      <c r="AO429" s="210" t="str">
        <f>IF(Buildings_GridElectricity_Frontend[[#This Row],[Data]]="","",_xlfn.XLOOKUP(_xlfn.CONCAT(Buildings_GridElectricity_Backend[[#This Row],[Level 1]:[Level 6]]),rng_EFConcat,rng_EFOOS)*Buildings_GridElectricity_Backend[[#This Row],[Converted data]]/1000)</f>
        <v/>
      </c>
      <c r="AP429" s="174">
        <f>Buildings_GridElectricity_Frontend[[#This Row],[Ease of collection]]</f>
        <v>0</v>
      </c>
      <c r="AQ429" s="213">
        <f>Buildings_GridElectricity_Frontend[[#This Row],[Completeness]]</f>
        <v>0</v>
      </c>
      <c r="AR429" s="220">
        <f>Buildings_GridElectricity_Frontend[[#This Row],[Notes]]</f>
        <v>0</v>
      </c>
    </row>
    <row r="430" spans="5:44" x14ac:dyDescent="0.3">
      <c r="E430" s="346"/>
      <c r="F430" s="449"/>
      <c r="G430" s="336"/>
      <c r="H430" s="334"/>
      <c r="I430" s="172" t="s">
        <v>316</v>
      </c>
      <c r="J430" s="337"/>
      <c r="K430" s="336"/>
      <c r="L430" s="336"/>
      <c r="M430" s="337"/>
      <c r="N430" s="242">
        <f t="shared" si="15"/>
        <v>3</v>
      </c>
      <c r="Q430" s="212" t="str">
        <f t="shared" si="14"/>
        <v/>
      </c>
      <c r="R430" s="174" t="s">
        <v>265</v>
      </c>
      <c r="S430" s="174" t="s">
        <v>273</v>
      </c>
      <c r="T430" s="174" t="str">
        <f>_xlfn.XLOOKUP(Buildings_GridElectricity_Backend[[#This Row],[Info 1]],Buildings_SiteInfo[Site name],Buildings_SiteInfo[Site type], "")</f>
        <v/>
      </c>
      <c r="U430" s="174" t="s">
        <v>281</v>
      </c>
      <c r="V430" s="174" t="str" cm="1">
        <f t="array" aca="1" ref="V430" ca="1">_xlfn.XLOOKUP(Buildings_GridElectricity_Backend[[#This Row],[Level 4]],rng_Level4Long,rng_Level5Long)</f>
        <v>Electricity</v>
      </c>
      <c r="W430" s="174" t="str" cm="1">
        <f t="array" aca="1" ref="W430" ca="1">_xlfn.XLOOKUP(Buildings_GridElectricity_Backend[[#This Row],[Level 4]],rng_Level4Long,rng_Level6Long)</f>
        <v>NaN</v>
      </c>
      <c r="X430" s="174">
        <f>Buildings_GridElectricity_Frontend[[#This Row],[Site Name]]</f>
        <v>0</v>
      </c>
      <c r="Y430" s="174">
        <f>Buildings_GridElectricity_Frontend[[#This Row],[Contracting]]</f>
        <v>0</v>
      </c>
      <c r="Z430" s="174">
        <f>Buildings_GridElectricity_Frontend[[#This Row],[Methodology]]</f>
        <v>0</v>
      </c>
      <c r="AA430" s="229" t="str" cm="1">
        <f t="array" ref="AA430">IF(Buildings_GridElectricity_Frontend[[#This Row],[Data]]="","",INDEX(_xlfn.SWITCH(Buildings_GridElectricity_Backend[[#This Row],[Methodology]],"Tier 1",rng_RSD1,"Tier 2",rng_RSD2,"Tier 3",rng_RSD3),MATCH(_xlfn.CONCAT(Buildings_GridElectricity_Backend[[#This Row],[Level 1]:[Level 6]]),rng_LevelsConcat,0)))</f>
        <v/>
      </c>
      <c r="AB430" s="220">
        <f>Buildings_GridElectricity_Frontend[[#This Row],[Data]]</f>
        <v>0</v>
      </c>
      <c r="AC430" s="174" t="str">
        <f>Buildings_GridElectricity_Frontend[[#This Row],[Units]]</f>
        <v>kWh</v>
      </c>
      <c r="AD430" s="218">
        <f>Buildings_GridElectricity_Frontend[[#This Row],[Data]]</f>
        <v>0</v>
      </c>
      <c r="AE430" s="174" t="str">
        <f>Buildings_GridElectricity_Frontend[[#This Row],[Units]]</f>
        <v>kWh</v>
      </c>
      <c r="AF430" s="210" t="str">
        <f>IF(Buildings_GridElectricity_Frontend[[#This Row],[Data]]="","",_xlfn.XLOOKUP(_xlfn.CONCAT(Buildings_GridElectricity_Backend[[#This Row],[Level 1]:[Level 6]]),rng_EFConcat,rng_EF1)*Buildings_GridElectricity_Backend[[#This Row],[Converted data]]/1000)</f>
        <v/>
      </c>
      <c r="AG430" s="210" t="str">
        <f>IF(Buildings_GridElectricity_Frontend[[#This Row],[Data]]="","",_xlfn.XLOOKUP(_xlfn.CONCAT(Buildings_GridElectricity_Backend[[#This Row],[Level 1]:[Level 6]]),rng_EFConcat,rng_EF2)*Buildings_GridElectricity_Backend[[#This Row],[Converted data]]/1000)</f>
        <v/>
      </c>
      <c r="AH430" s="210" t="str">
        <f>IF(Buildings_GridElectricity_Frontend[[#This Row],[Data]]="","",_xlfn.XLOOKUP(_xlfn.CONCAT(Buildings_GridElectricity_Backend[[#This Row],[Level 1]:[Level 6]]),rng_EFConcat,rng_EF3)*Buildings_GridElectricity_Backend[[#This Row],[Converted data]]/1000)</f>
        <v/>
      </c>
      <c r="AI430" s="210" t="str">
        <f>IF(Buildings_GridElectricity_Frontend[[#This Row],[Data]]="","",_xlfn.XLOOKUP(_xlfn.CONCAT(Buildings_GridElectricity_Backend[[#This Row],[Level 1]:[Level 6]]),rng_EFConcat,rng_EF3WTT)*Buildings_GridElectricity_Backend[[#This Row],[Converted data]]/1000)</f>
        <v/>
      </c>
      <c r="AJ430" s="210" t="str">
        <f>IF(Buildings_GridElectricity_Frontend[[#This Row],[Data]]="","",_xlfn.XLOOKUP(_xlfn.CONCAT(Buildings_GridElectricity_Backend[[#This Row],[Level 1]:[Level 6]]),rng_EFConcat,rng_EF3TD)*Buildings_GridElectricity_Backend[[#This Row],[Converted data]]/1000)</f>
        <v/>
      </c>
      <c r="AK430" s="210" t="str">
        <f>IF(Buildings_GridElectricity_Frontend[[#This Row],[Data]]="","",_xlfn.XLOOKUP(_xlfn.CONCAT(Buildings_GridElectricity_Backend[[#This Row],[Level 1]:[Level 6]]),rng_EFConcat,rng_EF3WTTTD)*Buildings_GridElectricity_Backend[[#This Row],[Converted data]]/1000)</f>
        <v/>
      </c>
      <c r="AL430" s="220" t="str">
        <f>IF(Buildings_GridElectricity_Frontend[[#This Row],[Data]]="","",SUM(Buildings_GridElectricity_Backend[[#This Row],[Scope 1 (tCO2e)]:[Scope 3 WTT T&amp;D (tCO2e)]]))</f>
        <v/>
      </c>
      <c r="AM430" s="220" t="str">
        <f>IF(Buildings_GridElectricity_Frontend[[#This Row],[Data]]="","",Buildings_GridElectricity_Backend[[#This Row],[Total (tCO2e)]]*(1-Buildings_GridElectricity_Backend[[#This Row],[RSD]]))</f>
        <v/>
      </c>
      <c r="AN430" s="220" t="str">
        <f>IF(Buildings_GridElectricity_Frontend[[#This Row],[Data]]="","",Buildings_GridElectricity_Backend[[#This Row],[Total (tCO2e)]]*(1+Buildings_GridElectricity_Backend[[#This Row],[RSD]]))</f>
        <v/>
      </c>
      <c r="AO430" s="210" t="str">
        <f>IF(Buildings_GridElectricity_Frontend[[#This Row],[Data]]="","",_xlfn.XLOOKUP(_xlfn.CONCAT(Buildings_GridElectricity_Backend[[#This Row],[Level 1]:[Level 6]]),rng_EFConcat,rng_EFOOS)*Buildings_GridElectricity_Backend[[#This Row],[Converted data]]/1000)</f>
        <v/>
      </c>
      <c r="AP430" s="174">
        <f>Buildings_GridElectricity_Frontend[[#This Row],[Ease of collection]]</f>
        <v>0</v>
      </c>
      <c r="AQ430" s="213">
        <f>Buildings_GridElectricity_Frontend[[#This Row],[Completeness]]</f>
        <v>0</v>
      </c>
      <c r="AR430" s="220">
        <f>Buildings_GridElectricity_Frontend[[#This Row],[Notes]]</f>
        <v>0</v>
      </c>
    </row>
    <row r="431" spans="5:44" x14ac:dyDescent="0.3">
      <c r="E431" s="346"/>
      <c r="F431" s="449"/>
      <c r="G431" s="336"/>
      <c r="H431" s="334"/>
      <c r="I431" s="172" t="s">
        <v>316</v>
      </c>
      <c r="J431" s="337"/>
      <c r="K431" s="336"/>
      <c r="L431" s="336"/>
      <c r="M431" s="337"/>
      <c r="N431" s="242">
        <f t="shared" si="15"/>
        <v>3</v>
      </c>
      <c r="Q431" s="212" t="str">
        <f t="shared" si="14"/>
        <v/>
      </c>
      <c r="R431" s="174" t="s">
        <v>265</v>
      </c>
      <c r="S431" s="174" t="s">
        <v>273</v>
      </c>
      <c r="T431" s="174" t="str">
        <f>_xlfn.XLOOKUP(Buildings_GridElectricity_Backend[[#This Row],[Info 1]],Buildings_SiteInfo[Site name],Buildings_SiteInfo[Site type], "")</f>
        <v/>
      </c>
      <c r="U431" s="174" t="s">
        <v>281</v>
      </c>
      <c r="V431" s="174" t="str" cm="1">
        <f t="array" aca="1" ref="V431" ca="1">_xlfn.XLOOKUP(Buildings_GridElectricity_Backend[[#This Row],[Level 4]],rng_Level4Long,rng_Level5Long)</f>
        <v>Electricity</v>
      </c>
      <c r="W431" s="174" t="str" cm="1">
        <f t="array" aca="1" ref="W431" ca="1">_xlfn.XLOOKUP(Buildings_GridElectricity_Backend[[#This Row],[Level 4]],rng_Level4Long,rng_Level6Long)</f>
        <v>NaN</v>
      </c>
      <c r="X431" s="174">
        <f>Buildings_GridElectricity_Frontend[[#This Row],[Site Name]]</f>
        <v>0</v>
      </c>
      <c r="Y431" s="174">
        <f>Buildings_GridElectricity_Frontend[[#This Row],[Contracting]]</f>
        <v>0</v>
      </c>
      <c r="Z431" s="174">
        <f>Buildings_GridElectricity_Frontend[[#This Row],[Methodology]]</f>
        <v>0</v>
      </c>
      <c r="AA431" s="229" t="str" cm="1">
        <f t="array" ref="AA431">IF(Buildings_GridElectricity_Frontend[[#This Row],[Data]]="","",INDEX(_xlfn.SWITCH(Buildings_GridElectricity_Backend[[#This Row],[Methodology]],"Tier 1",rng_RSD1,"Tier 2",rng_RSD2,"Tier 3",rng_RSD3),MATCH(_xlfn.CONCAT(Buildings_GridElectricity_Backend[[#This Row],[Level 1]:[Level 6]]),rng_LevelsConcat,0)))</f>
        <v/>
      </c>
      <c r="AB431" s="220">
        <f>Buildings_GridElectricity_Frontend[[#This Row],[Data]]</f>
        <v>0</v>
      </c>
      <c r="AC431" s="174" t="str">
        <f>Buildings_GridElectricity_Frontend[[#This Row],[Units]]</f>
        <v>kWh</v>
      </c>
      <c r="AD431" s="218">
        <f>Buildings_GridElectricity_Frontend[[#This Row],[Data]]</f>
        <v>0</v>
      </c>
      <c r="AE431" s="174" t="str">
        <f>Buildings_GridElectricity_Frontend[[#This Row],[Units]]</f>
        <v>kWh</v>
      </c>
      <c r="AF431" s="210" t="str">
        <f>IF(Buildings_GridElectricity_Frontend[[#This Row],[Data]]="","",_xlfn.XLOOKUP(_xlfn.CONCAT(Buildings_GridElectricity_Backend[[#This Row],[Level 1]:[Level 6]]),rng_EFConcat,rng_EF1)*Buildings_GridElectricity_Backend[[#This Row],[Converted data]]/1000)</f>
        <v/>
      </c>
      <c r="AG431" s="210" t="str">
        <f>IF(Buildings_GridElectricity_Frontend[[#This Row],[Data]]="","",_xlfn.XLOOKUP(_xlfn.CONCAT(Buildings_GridElectricity_Backend[[#This Row],[Level 1]:[Level 6]]),rng_EFConcat,rng_EF2)*Buildings_GridElectricity_Backend[[#This Row],[Converted data]]/1000)</f>
        <v/>
      </c>
      <c r="AH431" s="210" t="str">
        <f>IF(Buildings_GridElectricity_Frontend[[#This Row],[Data]]="","",_xlfn.XLOOKUP(_xlfn.CONCAT(Buildings_GridElectricity_Backend[[#This Row],[Level 1]:[Level 6]]),rng_EFConcat,rng_EF3)*Buildings_GridElectricity_Backend[[#This Row],[Converted data]]/1000)</f>
        <v/>
      </c>
      <c r="AI431" s="210" t="str">
        <f>IF(Buildings_GridElectricity_Frontend[[#This Row],[Data]]="","",_xlfn.XLOOKUP(_xlfn.CONCAT(Buildings_GridElectricity_Backend[[#This Row],[Level 1]:[Level 6]]),rng_EFConcat,rng_EF3WTT)*Buildings_GridElectricity_Backend[[#This Row],[Converted data]]/1000)</f>
        <v/>
      </c>
      <c r="AJ431" s="210" t="str">
        <f>IF(Buildings_GridElectricity_Frontend[[#This Row],[Data]]="","",_xlfn.XLOOKUP(_xlfn.CONCAT(Buildings_GridElectricity_Backend[[#This Row],[Level 1]:[Level 6]]),rng_EFConcat,rng_EF3TD)*Buildings_GridElectricity_Backend[[#This Row],[Converted data]]/1000)</f>
        <v/>
      </c>
      <c r="AK431" s="210" t="str">
        <f>IF(Buildings_GridElectricity_Frontend[[#This Row],[Data]]="","",_xlfn.XLOOKUP(_xlfn.CONCAT(Buildings_GridElectricity_Backend[[#This Row],[Level 1]:[Level 6]]),rng_EFConcat,rng_EF3WTTTD)*Buildings_GridElectricity_Backend[[#This Row],[Converted data]]/1000)</f>
        <v/>
      </c>
      <c r="AL431" s="220" t="str">
        <f>IF(Buildings_GridElectricity_Frontend[[#This Row],[Data]]="","",SUM(Buildings_GridElectricity_Backend[[#This Row],[Scope 1 (tCO2e)]:[Scope 3 WTT T&amp;D (tCO2e)]]))</f>
        <v/>
      </c>
      <c r="AM431" s="220" t="str">
        <f>IF(Buildings_GridElectricity_Frontend[[#This Row],[Data]]="","",Buildings_GridElectricity_Backend[[#This Row],[Total (tCO2e)]]*(1-Buildings_GridElectricity_Backend[[#This Row],[RSD]]))</f>
        <v/>
      </c>
      <c r="AN431" s="220" t="str">
        <f>IF(Buildings_GridElectricity_Frontend[[#This Row],[Data]]="","",Buildings_GridElectricity_Backend[[#This Row],[Total (tCO2e)]]*(1+Buildings_GridElectricity_Backend[[#This Row],[RSD]]))</f>
        <v/>
      </c>
      <c r="AO431" s="210" t="str">
        <f>IF(Buildings_GridElectricity_Frontend[[#This Row],[Data]]="","",_xlfn.XLOOKUP(_xlfn.CONCAT(Buildings_GridElectricity_Backend[[#This Row],[Level 1]:[Level 6]]),rng_EFConcat,rng_EFOOS)*Buildings_GridElectricity_Backend[[#This Row],[Converted data]]/1000)</f>
        <v/>
      </c>
      <c r="AP431" s="174">
        <f>Buildings_GridElectricity_Frontend[[#This Row],[Ease of collection]]</f>
        <v>0</v>
      </c>
      <c r="AQ431" s="213">
        <f>Buildings_GridElectricity_Frontend[[#This Row],[Completeness]]</f>
        <v>0</v>
      </c>
      <c r="AR431" s="220">
        <f>Buildings_GridElectricity_Frontend[[#This Row],[Notes]]</f>
        <v>0</v>
      </c>
    </row>
    <row r="432" spans="5:44" x14ac:dyDescent="0.3">
      <c r="E432" s="346"/>
      <c r="F432" s="449"/>
      <c r="G432" s="336"/>
      <c r="H432" s="334"/>
      <c r="I432" s="172" t="s">
        <v>316</v>
      </c>
      <c r="J432" s="337"/>
      <c r="K432" s="336"/>
      <c r="L432" s="336"/>
      <c r="M432" s="337"/>
      <c r="N432" s="242">
        <f t="shared" si="15"/>
        <v>3</v>
      </c>
      <c r="Q432" s="212" t="str">
        <f t="shared" si="14"/>
        <v/>
      </c>
      <c r="R432" s="174" t="s">
        <v>265</v>
      </c>
      <c r="S432" s="174" t="s">
        <v>273</v>
      </c>
      <c r="T432" s="174" t="str">
        <f>_xlfn.XLOOKUP(Buildings_GridElectricity_Backend[[#This Row],[Info 1]],Buildings_SiteInfo[Site name],Buildings_SiteInfo[Site type], "")</f>
        <v/>
      </c>
      <c r="U432" s="174" t="s">
        <v>281</v>
      </c>
      <c r="V432" s="174" t="str" cm="1">
        <f t="array" aca="1" ref="V432" ca="1">_xlfn.XLOOKUP(Buildings_GridElectricity_Backend[[#This Row],[Level 4]],rng_Level4Long,rng_Level5Long)</f>
        <v>Electricity</v>
      </c>
      <c r="W432" s="174" t="str" cm="1">
        <f t="array" aca="1" ref="W432" ca="1">_xlfn.XLOOKUP(Buildings_GridElectricity_Backend[[#This Row],[Level 4]],rng_Level4Long,rng_Level6Long)</f>
        <v>NaN</v>
      </c>
      <c r="X432" s="174">
        <f>Buildings_GridElectricity_Frontend[[#This Row],[Site Name]]</f>
        <v>0</v>
      </c>
      <c r="Y432" s="174">
        <f>Buildings_GridElectricity_Frontend[[#This Row],[Contracting]]</f>
        <v>0</v>
      </c>
      <c r="Z432" s="174">
        <f>Buildings_GridElectricity_Frontend[[#This Row],[Methodology]]</f>
        <v>0</v>
      </c>
      <c r="AA432" s="229" t="str" cm="1">
        <f t="array" ref="AA432">IF(Buildings_GridElectricity_Frontend[[#This Row],[Data]]="","",INDEX(_xlfn.SWITCH(Buildings_GridElectricity_Backend[[#This Row],[Methodology]],"Tier 1",rng_RSD1,"Tier 2",rng_RSD2,"Tier 3",rng_RSD3),MATCH(_xlfn.CONCAT(Buildings_GridElectricity_Backend[[#This Row],[Level 1]:[Level 6]]),rng_LevelsConcat,0)))</f>
        <v/>
      </c>
      <c r="AB432" s="220">
        <f>Buildings_GridElectricity_Frontend[[#This Row],[Data]]</f>
        <v>0</v>
      </c>
      <c r="AC432" s="174" t="str">
        <f>Buildings_GridElectricity_Frontend[[#This Row],[Units]]</f>
        <v>kWh</v>
      </c>
      <c r="AD432" s="218">
        <f>Buildings_GridElectricity_Frontend[[#This Row],[Data]]</f>
        <v>0</v>
      </c>
      <c r="AE432" s="174" t="str">
        <f>Buildings_GridElectricity_Frontend[[#This Row],[Units]]</f>
        <v>kWh</v>
      </c>
      <c r="AF432" s="210" t="str">
        <f>IF(Buildings_GridElectricity_Frontend[[#This Row],[Data]]="","",_xlfn.XLOOKUP(_xlfn.CONCAT(Buildings_GridElectricity_Backend[[#This Row],[Level 1]:[Level 6]]),rng_EFConcat,rng_EF1)*Buildings_GridElectricity_Backend[[#This Row],[Converted data]]/1000)</f>
        <v/>
      </c>
      <c r="AG432" s="210" t="str">
        <f>IF(Buildings_GridElectricity_Frontend[[#This Row],[Data]]="","",_xlfn.XLOOKUP(_xlfn.CONCAT(Buildings_GridElectricity_Backend[[#This Row],[Level 1]:[Level 6]]),rng_EFConcat,rng_EF2)*Buildings_GridElectricity_Backend[[#This Row],[Converted data]]/1000)</f>
        <v/>
      </c>
      <c r="AH432" s="210" t="str">
        <f>IF(Buildings_GridElectricity_Frontend[[#This Row],[Data]]="","",_xlfn.XLOOKUP(_xlfn.CONCAT(Buildings_GridElectricity_Backend[[#This Row],[Level 1]:[Level 6]]),rng_EFConcat,rng_EF3)*Buildings_GridElectricity_Backend[[#This Row],[Converted data]]/1000)</f>
        <v/>
      </c>
      <c r="AI432" s="210" t="str">
        <f>IF(Buildings_GridElectricity_Frontend[[#This Row],[Data]]="","",_xlfn.XLOOKUP(_xlfn.CONCAT(Buildings_GridElectricity_Backend[[#This Row],[Level 1]:[Level 6]]),rng_EFConcat,rng_EF3WTT)*Buildings_GridElectricity_Backend[[#This Row],[Converted data]]/1000)</f>
        <v/>
      </c>
      <c r="AJ432" s="210" t="str">
        <f>IF(Buildings_GridElectricity_Frontend[[#This Row],[Data]]="","",_xlfn.XLOOKUP(_xlfn.CONCAT(Buildings_GridElectricity_Backend[[#This Row],[Level 1]:[Level 6]]),rng_EFConcat,rng_EF3TD)*Buildings_GridElectricity_Backend[[#This Row],[Converted data]]/1000)</f>
        <v/>
      </c>
      <c r="AK432" s="210" t="str">
        <f>IF(Buildings_GridElectricity_Frontend[[#This Row],[Data]]="","",_xlfn.XLOOKUP(_xlfn.CONCAT(Buildings_GridElectricity_Backend[[#This Row],[Level 1]:[Level 6]]),rng_EFConcat,rng_EF3WTTTD)*Buildings_GridElectricity_Backend[[#This Row],[Converted data]]/1000)</f>
        <v/>
      </c>
      <c r="AL432" s="220" t="str">
        <f>IF(Buildings_GridElectricity_Frontend[[#This Row],[Data]]="","",SUM(Buildings_GridElectricity_Backend[[#This Row],[Scope 1 (tCO2e)]:[Scope 3 WTT T&amp;D (tCO2e)]]))</f>
        <v/>
      </c>
      <c r="AM432" s="220" t="str">
        <f>IF(Buildings_GridElectricity_Frontend[[#This Row],[Data]]="","",Buildings_GridElectricity_Backend[[#This Row],[Total (tCO2e)]]*(1-Buildings_GridElectricity_Backend[[#This Row],[RSD]]))</f>
        <v/>
      </c>
      <c r="AN432" s="220" t="str">
        <f>IF(Buildings_GridElectricity_Frontend[[#This Row],[Data]]="","",Buildings_GridElectricity_Backend[[#This Row],[Total (tCO2e)]]*(1+Buildings_GridElectricity_Backend[[#This Row],[RSD]]))</f>
        <v/>
      </c>
      <c r="AO432" s="210" t="str">
        <f>IF(Buildings_GridElectricity_Frontend[[#This Row],[Data]]="","",_xlfn.XLOOKUP(_xlfn.CONCAT(Buildings_GridElectricity_Backend[[#This Row],[Level 1]:[Level 6]]),rng_EFConcat,rng_EFOOS)*Buildings_GridElectricity_Backend[[#This Row],[Converted data]]/1000)</f>
        <v/>
      </c>
      <c r="AP432" s="174">
        <f>Buildings_GridElectricity_Frontend[[#This Row],[Ease of collection]]</f>
        <v>0</v>
      </c>
      <c r="AQ432" s="213">
        <f>Buildings_GridElectricity_Frontend[[#This Row],[Completeness]]</f>
        <v>0</v>
      </c>
      <c r="AR432" s="220">
        <f>Buildings_GridElectricity_Frontend[[#This Row],[Notes]]</f>
        <v>0</v>
      </c>
    </row>
    <row r="433" spans="5:44" x14ac:dyDescent="0.3">
      <c r="E433" s="346"/>
      <c r="F433" s="449"/>
      <c r="G433" s="336"/>
      <c r="H433" s="334"/>
      <c r="I433" s="172" t="s">
        <v>316</v>
      </c>
      <c r="J433" s="337"/>
      <c r="K433" s="336"/>
      <c r="L433" s="336"/>
      <c r="M433" s="337"/>
      <c r="N433" s="242">
        <f t="shared" si="15"/>
        <v>3</v>
      </c>
      <c r="Q433" s="212" t="str">
        <f t="shared" si="14"/>
        <v/>
      </c>
      <c r="R433" s="174" t="s">
        <v>265</v>
      </c>
      <c r="S433" s="174" t="s">
        <v>273</v>
      </c>
      <c r="T433" s="174" t="str">
        <f>_xlfn.XLOOKUP(Buildings_GridElectricity_Backend[[#This Row],[Info 1]],Buildings_SiteInfo[Site name],Buildings_SiteInfo[Site type], "")</f>
        <v/>
      </c>
      <c r="U433" s="174" t="s">
        <v>281</v>
      </c>
      <c r="V433" s="174" t="str" cm="1">
        <f t="array" aca="1" ref="V433" ca="1">_xlfn.XLOOKUP(Buildings_GridElectricity_Backend[[#This Row],[Level 4]],rng_Level4Long,rng_Level5Long)</f>
        <v>Electricity</v>
      </c>
      <c r="W433" s="174" t="str" cm="1">
        <f t="array" aca="1" ref="W433" ca="1">_xlfn.XLOOKUP(Buildings_GridElectricity_Backend[[#This Row],[Level 4]],rng_Level4Long,rng_Level6Long)</f>
        <v>NaN</v>
      </c>
      <c r="X433" s="174">
        <f>Buildings_GridElectricity_Frontend[[#This Row],[Site Name]]</f>
        <v>0</v>
      </c>
      <c r="Y433" s="174">
        <f>Buildings_GridElectricity_Frontend[[#This Row],[Contracting]]</f>
        <v>0</v>
      </c>
      <c r="Z433" s="174">
        <f>Buildings_GridElectricity_Frontend[[#This Row],[Methodology]]</f>
        <v>0</v>
      </c>
      <c r="AA433" s="229" t="str" cm="1">
        <f t="array" ref="AA433">IF(Buildings_GridElectricity_Frontend[[#This Row],[Data]]="","",INDEX(_xlfn.SWITCH(Buildings_GridElectricity_Backend[[#This Row],[Methodology]],"Tier 1",rng_RSD1,"Tier 2",rng_RSD2,"Tier 3",rng_RSD3),MATCH(_xlfn.CONCAT(Buildings_GridElectricity_Backend[[#This Row],[Level 1]:[Level 6]]),rng_LevelsConcat,0)))</f>
        <v/>
      </c>
      <c r="AB433" s="220">
        <f>Buildings_GridElectricity_Frontend[[#This Row],[Data]]</f>
        <v>0</v>
      </c>
      <c r="AC433" s="174" t="str">
        <f>Buildings_GridElectricity_Frontend[[#This Row],[Units]]</f>
        <v>kWh</v>
      </c>
      <c r="AD433" s="218">
        <f>Buildings_GridElectricity_Frontend[[#This Row],[Data]]</f>
        <v>0</v>
      </c>
      <c r="AE433" s="174" t="str">
        <f>Buildings_GridElectricity_Frontend[[#This Row],[Units]]</f>
        <v>kWh</v>
      </c>
      <c r="AF433" s="210" t="str">
        <f>IF(Buildings_GridElectricity_Frontend[[#This Row],[Data]]="","",_xlfn.XLOOKUP(_xlfn.CONCAT(Buildings_GridElectricity_Backend[[#This Row],[Level 1]:[Level 6]]),rng_EFConcat,rng_EF1)*Buildings_GridElectricity_Backend[[#This Row],[Converted data]]/1000)</f>
        <v/>
      </c>
      <c r="AG433" s="210" t="str">
        <f>IF(Buildings_GridElectricity_Frontend[[#This Row],[Data]]="","",_xlfn.XLOOKUP(_xlfn.CONCAT(Buildings_GridElectricity_Backend[[#This Row],[Level 1]:[Level 6]]),rng_EFConcat,rng_EF2)*Buildings_GridElectricity_Backend[[#This Row],[Converted data]]/1000)</f>
        <v/>
      </c>
      <c r="AH433" s="210" t="str">
        <f>IF(Buildings_GridElectricity_Frontend[[#This Row],[Data]]="","",_xlfn.XLOOKUP(_xlfn.CONCAT(Buildings_GridElectricity_Backend[[#This Row],[Level 1]:[Level 6]]),rng_EFConcat,rng_EF3)*Buildings_GridElectricity_Backend[[#This Row],[Converted data]]/1000)</f>
        <v/>
      </c>
      <c r="AI433" s="210" t="str">
        <f>IF(Buildings_GridElectricity_Frontend[[#This Row],[Data]]="","",_xlfn.XLOOKUP(_xlfn.CONCAT(Buildings_GridElectricity_Backend[[#This Row],[Level 1]:[Level 6]]),rng_EFConcat,rng_EF3WTT)*Buildings_GridElectricity_Backend[[#This Row],[Converted data]]/1000)</f>
        <v/>
      </c>
      <c r="AJ433" s="210" t="str">
        <f>IF(Buildings_GridElectricity_Frontend[[#This Row],[Data]]="","",_xlfn.XLOOKUP(_xlfn.CONCAT(Buildings_GridElectricity_Backend[[#This Row],[Level 1]:[Level 6]]),rng_EFConcat,rng_EF3TD)*Buildings_GridElectricity_Backend[[#This Row],[Converted data]]/1000)</f>
        <v/>
      </c>
      <c r="AK433" s="210" t="str">
        <f>IF(Buildings_GridElectricity_Frontend[[#This Row],[Data]]="","",_xlfn.XLOOKUP(_xlfn.CONCAT(Buildings_GridElectricity_Backend[[#This Row],[Level 1]:[Level 6]]),rng_EFConcat,rng_EF3WTTTD)*Buildings_GridElectricity_Backend[[#This Row],[Converted data]]/1000)</f>
        <v/>
      </c>
      <c r="AL433" s="220" t="str">
        <f>IF(Buildings_GridElectricity_Frontend[[#This Row],[Data]]="","",SUM(Buildings_GridElectricity_Backend[[#This Row],[Scope 1 (tCO2e)]:[Scope 3 WTT T&amp;D (tCO2e)]]))</f>
        <v/>
      </c>
      <c r="AM433" s="220" t="str">
        <f>IF(Buildings_GridElectricity_Frontend[[#This Row],[Data]]="","",Buildings_GridElectricity_Backend[[#This Row],[Total (tCO2e)]]*(1-Buildings_GridElectricity_Backend[[#This Row],[RSD]]))</f>
        <v/>
      </c>
      <c r="AN433" s="220" t="str">
        <f>IF(Buildings_GridElectricity_Frontend[[#This Row],[Data]]="","",Buildings_GridElectricity_Backend[[#This Row],[Total (tCO2e)]]*(1+Buildings_GridElectricity_Backend[[#This Row],[RSD]]))</f>
        <v/>
      </c>
      <c r="AO433" s="210" t="str">
        <f>IF(Buildings_GridElectricity_Frontend[[#This Row],[Data]]="","",_xlfn.XLOOKUP(_xlfn.CONCAT(Buildings_GridElectricity_Backend[[#This Row],[Level 1]:[Level 6]]),rng_EFConcat,rng_EFOOS)*Buildings_GridElectricity_Backend[[#This Row],[Converted data]]/1000)</f>
        <v/>
      </c>
      <c r="AP433" s="174">
        <f>Buildings_GridElectricity_Frontend[[#This Row],[Ease of collection]]</f>
        <v>0</v>
      </c>
      <c r="AQ433" s="213">
        <f>Buildings_GridElectricity_Frontend[[#This Row],[Completeness]]</f>
        <v>0</v>
      </c>
      <c r="AR433" s="220">
        <f>Buildings_GridElectricity_Frontend[[#This Row],[Notes]]</f>
        <v>0</v>
      </c>
    </row>
    <row r="434" spans="5:44" x14ac:dyDescent="0.3">
      <c r="E434" s="346"/>
      <c r="F434" s="449"/>
      <c r="G434" s="336"/>
      <c r="H434" s="334"/>
      <c r="I434" s="172" t="s">
        <v>316</v>
      </c>
      <c r="J434" s="337"/>
      <c r="K434" s="336"/>
      <c r="L434" s="336"/>
      <c r="M434" s="337"/>
      <c r="N434" s="242">
        <f t="shared" si="15"/>
        <v>3</v>
      </c>
      <c r="Q434" s="212" t="str">
        <f t="shared" si="14"/>
        <v/>
      </c>
      <c r="R434" s="174" t="s">
        <v>265</v>
      </c>
      <c r="S434" s="174" t="s">
        <v>273</v>
      </c>
      <c r="T434" s="174" t="str">
        <f>_xlfn.XLOOKUP(Buildings_GridElectricity_Backend[[#This Row],[Info 1]],Buildings_SiteInfo[Site name],Buildings_SiteInfo[Site type], "")</f>
        <v/>
      </c>
      <c r="U434" s="174" t="s">
        <v>281</v>
      </c>
      <c r="V434" s="174" t="str" cm="1">
        <f t="array" aca="1" ref="V434" ca="1">_xlfn.XLOOKUP(Buildings_GridElectricity_Backend[[#This Row],[Level 4]],rng_Level4Long,rng_Level5Long)</f>
        <v>Electricity</v>
      </c>
      <c r="W434" s="174" t="str" cm="1">
        <f t="array" aca="1" ref="W434" ca="1">_xlfn.XLOOKUP(Buildings_GridElectricity_Backend[[#This Row],[Level 4]],rng_Level4Long,rng_Level6Long)</f>
        <v>NaN</v>
      </c>
      <c r="X434" s="174">
        <f>Buildings_GridElectricity_Frontend[[#This Row],[Site Name]]</f>
        <v>0</v>
      </c>
      <c r="Y434" s="174">
        <f>Buildings_GridElectricity_Frontend[[#This Row],[Contracting]]</f>
        <v>0</v>
      </c>
      <c r="Z434" s="174">
        <f>Buildings_GridElectricity_Frontend[[#This Row],[Methodology]]</f>
        <v>0</v>
      </c>
      <c r="AA434" s="229" t="str" cm="1">
        <f t="array" ref="AA434">IF(Buildings_GridElectricity_Frontend[[#This Row],[Data]]="","",INDEX(_xlfn.SWITCH(Buildings_GridElectricity_Backend[[#This Row],[Methodology]],"Tier 1",rng_RSD1,"Tier 2",rng_RSD2,"Tier 3",rng_RSD3),MATCH(_xlfn.CONCAT(Buildings_GridElectricity_Backend[[#This Row],[Level 1]:[Level 6]]),rng_LevelsConcat,0)))</f>
        <v/>
      </c>
      <c r="AB434" s="220">
        <f>Buildings_GridElectricity_Frontend[[#This Row],[Data]]</f>
        <v>0</v>
      </c>
      <c r="AC434" s="174" t="str">
        <f>Buildings_GridElectricity_Frontend[[#This Row],[Units]]</f>
        <v>kWh</v>
      </c>
      <c r="AD434" s="218">
        <f>Buildings_GridElectricity_Frontend[[#This Row],[Data]]</f>
        <v>0</v>
      </c>
      <c r="AE434" s="174" t="str">
        <f>Buildings_GridElectricity_Frontend[[#This Row],[Units]]</f>
        <v>kWh</v>
      </c>
      <c r="AF434" s="210" t="str">
        <f>IF(Buildings_GridElectricity_Frontend[[#This Row],[Data]]="","",_xlfn.XLOOKUP(_xlfn.CONCAT(Buildings_GridElectricity_Backend[[#This Row],[Level 1]:[Level 6]]),rng_EFConcat,rng_EF1)*Buildings_GridElectricity_Backend[[#This Row],[Converted data]]/1000)</f>
        <v/>
      </c>
      <c r="AG434" s="210" t="str">
        <f>IF(Buildings_GridElectricity_Frontend[[#This Row],[Data]]="","",_xlfn.XLOOKUP(_xlfn.CONCAT(Buildings_GridElectricity_Backend[[#This Row],[Level 1]:[Level 6]]),rng_EFConcat,rng_EF2)*Buildings_GridElectricity_Backend[[#This Row],[Converted data]]/1000)</f>
        <v/>
      </c>
      <c r="AH434" s="210" t="str">
        <f>IF(Buildings_GridElectricity_Frontend[[#This Row],[Data]]="","",_xlfn.XLOOKUP(_xlfn.CONCAT(Buildings_GridElectricity_Backend[[#This Row],[Level 1]:[Level 6]]),rng_EFConcat,rng_EF3)*Buildings_GridElectricity_Backend[[#This Row],[Converted data]]/1000)</f>
        <v/>
      </c>
      <c r="AI434" s="210" t="str">
        <f>IF(Buildings_GridElectricity_Frontend[[#This Row],[Data]]="","",_xlfn.XLOOKUP(_xlfn.CONCAT(Buildings_GridElectricity_Backend[[#This Row],[Level 1]:[Level 6]]),rng_EFConcat,rng_EF3WTT)*Buildings_GridElectricity_Backend[[#This Row],[Converted data]]/1000)</f>
        <v/>
      </c>
      <c r="AJ434" s="210" t="str">
        <f>IF(Buildings_GridElectricity_Frontend[[#This Row],[Data]]="","",_xlfn.XLOOKUP(_xlfn.CONCAT(Buildings_GridElectricity_Backend[[#This Row],[Level 1]:[Level 6]]),rng_EFConcat,rng_EF3TD)*Buildings_GridElectricity_Backend[[#This Row],[Converted data]]/1000)</f>
        <v/>
      </c>
      <c r="AK434" s="210" t="str">
        <f>IF(Buildings_GridElectricity_Frontend[[#This Row],[Data]]="","",_xlfn.XLOOKUP(_xlfn.CONCAT(Buildings_GridElectricity_Backend[[#This Row],[Level 1]:[Level 6]]),rng_EFConcat,rng_EF3WTTTD)*Buildings_GridElectricity_Backend[[#This Row],[Converted data]]/1000)</f>
        <v/>
      </c>
      <c r="AL434" s="220" t="str">
        <f>IF(Buildings_GridElectricity_Frontend[[#This Row],[Data]]="","",SUM(Buildings_GridElectricity_Backend[[#This Row],[Scope 1 (tCO2e)]:[Scope 3 WTT T&amp;D (tCO2e)]]))</f>
        <v/>
      </c>
      <c r="AM434" s="220" t="str">
        <f>IF(Buildings_GridElectricity_Frontend[[#This Row],[Data]]="","",Buildings_GridElectricity_Backend[[#This Row],[Total (tCO2e)]]*(1-Buildings_GridElectricity_Backend[[#This Row],[RSD]]))</f>
        <v/>
      </c>
      <c r="AN434" s="220" t="str">
        <f>IF(Buildings_GridElectricity_Frontend[[#This Row],[Data]]="","",Buildings_GridElectricity_Backend[[#This Row],[Total (tCO2e)]]*(1+Buildings_GridElectricity_Backend[[#This Row],[RSD]]))</f>
        <v/>
      </c>
      <c r="AO434" s="210" t="str">
        <f>IF(Buildings_GridElectricity_Frontend[[#This Row],[Data]]="","",_xlfn.XLOOKUP(_xlfn.CONCAT(Buildings_GridElectricity_Backend[[#This Row],[Level 1]:[Level 6]]),rng_EFConcat,rng_EFOOS)*Buildings_GridElectricity_Backend[[#This Row],[Converted data]]/1000)</f>
        <v/>
      </c>
      <c r="AP434" s="174">
        <f>Buildings_GridElectricity_Frontend[[#This Row],[Ease of collection]]</f>
        <v>0</v>
      </c>
      <c r="AQ434" s="213">
        <f>Buildings_GridElectricity_Frontend[[#This Row],[Completeness]]</f>
        <v>0</v>
      </c>
      <c r="AR434" s="220">
        <f>Buildings_GridElectricity_Frontend[[#This Row],[Notes]]</f>
        <v>0</v>
      </c>
    </row>
    <row r="435" spans="5:44" x14ac:dyDescent="0.3">
      <c r="E435" s="346"/>
      <c r="F435" s="449"/>
      <c r="G435" s="336"/>
      <c r="H435" s="334"/>
      <c r="I435" s="172" t="s">
        <v>316</v>
      </c>
      <c r="J435" s="337"/>
      <c r="K435" s="336"/>
      <c r="L435" s="336"/>
      <c r="M435" s="337"/>
      <c r="N435" s="242">
        <f t="shared" si="15"/>
        <v>3</v>
      </c>
      <c r="Q435" s="212" t="str">
        <f t="shared" si="14"/>
        <v/>
      </c>
      <c r="R435" s="174" t="s">
        <v>265</v>
      </c>
      <c r="S435" s="174" t="s">
        <v>273</v>
      </c>
      <c r="T435" s="174" t="str">
        <f>_xlfn.XLOOKUP(Buildings_GridElectricity_Backend[[#This Row],[Info 1]],Buildings_SiteInfo[Site name],Buildings_SiteInfo[Site type], "")</f>
        <v/>
      </c>
      <c r="U435" s="174" t="s">
        <v>281</v>
      </c>
      <c r="V435" s="174" t="str" cm="1">
        <f t="array" aca="1" ref="V435" ca="1">_xlfn.XLOOKUP(Buildings_GridElectricity_Backend[[#This Row],[Level 4]],rng_Level4Long,rng_Level5Long)</f>
        <v>Electricity</v>
      </c>
      <c r="W435" s="174" t="str" cm="1">
        <f t="array" aca="1" ref="W435" ca="1">_xlfn.XLOOKUP(Buildings_GridElectricity_Backend[[#This Row],[Level 4]],rng_Level4Long,rng_Level6Long)</f>
        <v>NaN</v>
      </c>
      <c r="X435" s="174">
        <f>Buildings_GridElectricity_Frontend[[#This Row],[Site Name]]</f>
        <v>0</v>
      </c>
      <c r="Y435" s="174">
        <f>Buildings_GridElectricity_Frontend[[#This Row],[Contracting]]</f>
        <v>0</v>
      </c>
      <c r="Z435" s="174">
        <f>Buildings_GridElectricity_Frontend[[#This Row],[Methodology]]</f>
        <v>0</v>
      </c>
      <c r="AA435" s="229" t="str" cm="1">
        <f t="array" ref="AA435">IF(Buildings_GridElectricity_Frontend[[#This Row],[Data]]="","",INDEX(_xlfn.SWITCH(Buildings_GridElectricity_Backend[[#This Row],[Methodology]],"Tier 1",rng_RSD1,"Tier 2",rng_RSD2,"Tier 3",rng_RSD3),MATCH(_xlfn.CONCAT(Buildings_GridElectricity_Backend[[#This Row],[Level 1]:[Level 6]]),rng_LevelsConcat,0)))</f>
        <v/>
      </c>
      <c r="AB435" s="220">
        <f>Buildings_GridElectricity_Frontend[[#This Row],[Data]]</f>
        <v>0</v>
      </c>
      <c r="AC435" s="174" t="str">
        <f>Buildings_GridElectricity_Frontend[[#This Row],[Units]]</f>
        <v>kWh</v>
      </c>
      <c r="AD435" s="218">
        <f>Buildings_GridElectricity_Frontend[[#This Row],[Data]]</f>
        <v>0</v>
      </c>
      <c r="AE435" s="174" t="str">
        <f>Buildings_GridElectricity_Frontend[[#This Row],[Units]]</f>
        <v>kWh</v>
      </c>
      <c r="AF435" s="210" t="str">
        <f>IF(Buildings_GridElectricity_Frontend[[#This Row],[Data]]="","",_xlfn.XLOOKUP(_xlfn.CONCAT(Buildings_GridElectricity_Backend[[#This Row],[Level 1]:[Level 6]]),rng_EFConcat,rng_EF1)*Buildings_GridElectricity_Backend[[#This Row],[Converted data]]/1000)</f>
        <v/>
      </c>
      <c r="AG435" s="210" t="str">
        <f>IF(Buildings_GridElectricity_Frontend[[#This Row],[Data]]="","",_xlfn.XLOOKUP(_xlfn.CONCAT(Buildings_GridElectricity_Backend[[#This Row],[Level 1]:[Level 6]]),rng_EFConcat,rng_EF2)*Buildings_GridElectricity_Backend[[#This Row],[Converted data]]/1000)</f>
        <v/>
      </c>
      <c r="AH435" s="210" t="str">
        <f>IF(Buildings_GridElectricity_Frontend[[#This Row],[Data]]="","",_xlfn.XLOOKUP(_xlfn.CONCAT(Buildings_GridElectricity_Backend[[#This Row],[Level 1]:[Level 6]]),rng_EFConcat,rng_EF3)*Buildings_GridElectricity_Backend[[#This Row],[Converted data]]/1000)</f>
        <v/>
      </c>
      <c r="AI435" s="210" t="str">
        <f>IF(Buildings_GridElectricity_Frontend[[#This Row],[Data]]="","",_xlfn.XLOOKUP(_xlfn.CONCAT(Buildings_GridElectricity_Backend[[#This Row],[Level 1]:[Level 6]]),rng_EFConcat,rng_EF3WTT)*Buildings_GridElectricity_Backend[[#This Row],[Converted data]]/1000)</f>
        <v/>
      </c>
      <c r="AJ435" s="210" t="str">
        <f>IF(Buildings_GridElectricity_Frontend[[#This Row],[Data]]="","",_xlfn.XLOOKUP(_xlfn.CONCAT(Buildings_GridElectricity_Backend[[#This Row],[Level 1]:[Level 6]]),rng_EFConcat,rng_EF3TD)*Buildings_GridElectricity_Backend[[#This Row],[Converted data]]/1000)</f>
        <v/>
      </c>
      <c r="AK435" s="210" t="str">
        <f>IF(Buildings_GridElectricity_Frontend[[#This Row],[Data]]="","",_xlfn.XLOOKUP(_xlfn.CONCAT(Buildings_GridElectricity_Backend[[#This Row],[Level 1]:[Level 6]]),rng_EFConcat,rng_EF3WTTTD)*Buildings_GridElectricity_Backend[[#This Row],[Converted data]]/1000)</f>
        <v/>
      </c>
      <c r="AL435" s="220" t="str">
        <f>IF(Buildings_GridElectricity_Frontend[[#This Row],[Data]]="","",SUM(Buildings_GridElectricity_Backend[[#This Row],[Scope 1 (tCO2e)]:[Scope 3 WTT T&amp;D (tCO2e)]]))</f>
        <v/>
      </c>
      <c r="AM435" s="220" t="str">
        <f>IF(Buildings_GridElectricity_Frontend[[#This Row],[Data]]="","",Buildings_GridElectricity_Backend[[#This Row],[Total (tCO2e)]]*(1-Buildings_GridElectricity_Backend[[#This Row],[RSD]]))</f>
        <v/>
      </c>
      <c r="AN435" s="220" t="str">
        <f>IF(Buildings_GridElectricity_Frontend[[#This Row],[Data]]="","",Buildings_GridElectricity_Backend[[#This Row],[Total (tCO2e)]]*(1+Buildings_GridElectricity_Backend[[#This Row],[RSD]]))</f>
        <v/>
      </c>
      <c r="AO435" s="210" t="str">
        <f>IF(Buildings_GridElectricity_Frontend[[#This Row],[Data]]="","",_xlfn.XLOOKUP(_xlfn.CONCAT(Buildings_GridElectricity_Backend[[#This Row],[Level 1]:[Level 6]]),rng_EFConcat,rng_EFOOS)*Buildings_GridElectricity_Backend[[#This Row],[Converted data]]/1000)</f>
        <v/>
      </c>
      <c r="AP435" s="174">
        <f>Buildings_GridElectricity_Frontend[[#This Row],[Ease of collection]]</f>
        <v>0</v>
      </c>
      <c r="AQ435" s="213">
        <f>Buildings_GridElectricity_Frontend[[#This Row],[Completeness]]</f>
        <v>0</v>
      </c>
      <c r="AR435" s="220">
        <f>Buildings_GridElectricity_Frontend[[#This Row],[Notes]]</f>
        <v>0</v>
      </c>
    </row>
    <row r="436" spans="5:44" x14ac:dyDescent="0.3">
      <c r="E436" s="346"/>
      <c r="F436" s="449"/>
      <c r="G436" s="336"/>
      <c r="H436" s="334"/>
      <c r="I436" s="172" t="s">
        <v>316</v>
      </c>
      <c r="J436" s="337"/>
      <c r="K436" s="336"/>
      <c r="L436" s="336"/>
      <c r="M436" s="337"/>
      <c r="N436" s="242">
        <f t="shared" si="15"/>
        <v>3</v>
      </c>
      <c r="Q436" s="212" t="str">
        <f t="shared" si="14"/>
        <v/>
      </c>
      <c r="R436" s="174" t="s">
        <v>265</v>
      </c>
      <c r="S436" s="174" t="s">
        <v>273</v>
      </c>
      <c r="T436" s="174" t="str">
        <f>_xlfn.XLOOKUP(Buildings_GridElectricity_Backend[[#This Row],[Info 1]],Buildings_SiteInfo[Site name],Buildings_SiteInfo[Site type], "")</f>
        <v/>
      </c>
      <c r="U436" s="174" t="s">
        <v>281</v>
      </c>
      <c r="V436" s="174" t="str" cm="1">
        <f t="array" aca="1" ref="V436" ca="1">_xlfn.XLOOKUP(Buildings_GridElectricity_Backend[[#This Row],[Level 4]],rng_Level4Long,rng_Level5Long)</f>
        <v>Electricity</v>
      </c>
      <c r="W436" s="174" t="str" cm="1">
        <f t="array" aca="1" ref="W436" ca="1">_xlfn.XLOOKUP(Buildings_GridElectricity_Backend[[#This Row],[Level 4]],rng_Level4Long,rng_Level6Long)</f>
        <v>NaN</v>
      </c>
      <c r="X436" s="174">
        <f>Buildings_GridElectricity_Frontend[[#This Row],[Site Name]]</f>
        <v>0</v>
      </c>
      <c r="Y436" s="174">
        <f>Buildings_GridElectricity_Frontend[[#This Row],[Contracting]]</f>
        <v>0</v>
      </c>
      <c r="Z436" s="174">
        <f>Buildings_GridElectricity_Frontend[[#This Row],[Methodology]]</f>
        <v>0</v>
      </c>
      <c r="AA436" s="229" t="str" cm="1">
        <f t="array" ref="AA436">IF(Buildings_GridElectricity_Frontend[[#This Row],[Data]]="","",INDEX(_xlfn.SWITCH(Buildings_GridElectricity_Backend[[#This Row],[Methodology]],"Tier 1",rng_RSD1,"Tier 2",rng_RSD2,"Tier 3",rng_RSD3),MATCH(_xlfn.CONCAT(Buildings_GridElectricity_Backend[[#This Row],[Level 1]:[Level 6]]),rng_LevelsConcat,0)))</f>
        <v/>
      </c>
      <c r="AB436" s="220">
        <f>Buildings_GridElectricity_Frontend[[#This Row],[Data]]</f>
        <v>0</v>
      </c>
      <c r="AC436" s="174" t="str">
        <f>Buildings_GridElectricity_Frontend[[#This Row],[Units]]</f>
        <v>kWh</v>
      </c>
      <c r="AD436" s="218">
        <f>Buildings_GridElectricity_Frontend[[#This Row],[Data]]</f>
        <v>0</v>
      </c>
      <c r="AE436" s="174" t="str">
        <f>Buildings_GridElectricity_Frontend[[#This Row],[Units]]</f>
        <v>kWh</v>
      </c>
      <c r="AF436" s="210" t="str">
        <f>IF(Buildings_GridElectricity_Frontend[[#This Row],[Data]]="","",_xlfn.XLOOKUP(_xlfn.CONCAT(Buildings_GridElectricity_Backend[[#This Row],[Level 1]:[Level 6]]),rng_EFConcat,rng_EF1)*Buildings_GridElectricity_Backend[[#This Row],[Converted data]]/1000)</f>
        <v/>
      </c>
      <c r="AG436" s="210" t="str">
        <f>IF(Buildings_GridElectricity_Frontend[[#This Row],[Data]]="","",_xlfn.XLOOKUP(_xlfn.CONCAT(Buildings_GridElectricity_Backend[[#This Row],[Level 1]:[Level 6]]),rng_EFConcat,rng_EF2)*Buildings_GridElectricity_Backend[[#This Row],[Converted data]]/1000)</f>
        <v/>
      </c>
      <c r="AH436" s="210" t="str">
        <f>IF(Buildings_GridElectricity_Frontend[[#This Row],[Data]]="","",_xlfn.XLOOKUP(_xlfn.CONCAT(Buildings_GridElectricity_Backend[[#This Row],[Level 1]:[Level 6]]),rng_EFConcat,rng_EF3)*Buildings_GridElectricity_Backend[[#This Row],[Converted data]]/1000)</f>
        <v/>
      </c>
      <c r="AI436" s="210" t="str">
        <f>IF(Buildings_GridElectricity_Frontend[[#This Row],[Data]]="","",_xlfn.XLOOKUP(_xlfn.CONCAT(Buildings_GridElectricity_Backend[[#This Row],[Level 1]:[Level 6]]),rng_EFConcat,rng_EF3WTT)*Buildings_GridElectricity_Backend[[#This Row],[Converted data]]/1000)</f>
        <v/>
      </c>
      <c r="AJ436" s="210" t="str">
        <f>IF(Buildings_GridElectricity_Frontend[[#This Row],[Data]]="","",_xlfn.XLOOKUP(_xlfn.CONCAT(Buildings_GridElectricity_Backend[[#This Row],[Level 1]:[Level 6]]),rng_EFConcat,rng_EF3TD)*Buildings_GridElectricity_Backend[[#This Row],[Converted data]]/1000)</f>
        <v/>
      </c>
      <c r="AK436" s="210" t="str">
        <f>IF(Buildings_GridElectricity_Frontend[[#This Row],[Data]]="","",_xlfn.XLOOKUP(_xlfn.CONCAT(Buildings_GridElectricity_Backend[[#This Row],[Level 1]:[Level 6]]),rng_EFConcat,rng_EF3WTTTD)*Buildings_GridElectricity_Backend[[#This Row],[Converted data]]/1000)</f>
        <v/>
      </c>
      <c r="AL436" s="220" t="str">
        <f>IF(Buildings_GridElectricity_Frontend[[#This Row],[Data]]="","",SUM(Buildings_GridElectricity_Backend[[#This Row],[Scope 1 (tCO2e)]:[Scope 3 WTT T&amp;D (tCO2e)]]))</f>
        <v/>
      </c>
      <c r="AM436" s="220" t="str">
        <f>IF(Buildings_GridElectricity_Frontend[[#This Row],[Data]]="","",Buildings_GridElectricity_Backend[[#This Row],[Total (tCO2e)]]*(1-Buildings_GridElectricity_Backend[[#This Row],[RSD]]))</f>
        <v/>
      </c>
      <c r="AN436" s="220" t="str">
        <f>IF(Buildings_GridElectricity_Frontend[[#This Row],[Data]]="","",Buildings_GridElectricity_Backend[[#This Row],[Total (tCO2e)]]*(1+Buildings_GridElectricity_Backend[[#This Row],[RSD]]))</f>
        <v/>
      </c>
      <c r="AO436" s="210" t="str">
        <f>IF(Buildings_GridElectricity_Frontend[[#This Row],[Data]]="","",_xlfn.XLOOKUP(_xlfn.CONCAT(Buildings_GridElectricity_Backend[[#This Row],[Level 1]:[Level 6]]),rng_EFConcat,rng_EFOOS)*Buildings_GridElectricity_Backend[[#This Row],[Converted data]]/1000)</f>
        <v/>
      </c>
      <c r="AP436" s="174">
        <f>Buildings_GridElectricity_Frontend[[#This Row],[Ease of collection]]</f>
        <v>0</v>
      </c>
      <c r="AQ436" s="213">
        <f>Buildings_GridElectricity_Frontend[[#This Row],[Completeness]]</f>
        <v>0</v>
      </c>
      <c r="AR436" s="220">
        <f>Buildings_GridElectricity_Frontend[[#This Row],[Notes]]</f>
        <v>0</v>
      </c>
    </row>
    <row r="437" spans="5:44" x14ac:dyDescent="0.3">
      <c r="E437" s="346"/>
      <c r="F437" s="449"/>
      <c r="G437" s="336"/>
      <c r="H437" s="334"/>
      <c r="I437" s="172" t="s">
        <v>316</v>
      </c>
      <c r="J437" s="337"/>
      <c r="K437" s="336"/>
      <c r="L437" s="336"/>
      <c r="M437" s="337"/>
      <c r="N437" s="242">
        <f t="shared" si="15"/>
        <v>3</v>
      </c>
      <c r="Q437" s="212" t="str">
        <f t="shared" si="14"/>
        <v/>
      </c>
      <c r="R437" s="174" t="s">
        <v>265</v>
      </c>
      <c r="S437" s="174" t="s">
        <v>273</v>
      </c>
      <c r="T437" s="174" t="str">
        <f>_xlfn.XLOOKUP(Buildings_GridElectricity_Backend[[#This Row],[Info 1]],Buildings_SiteInfo[Site name],Buildings_SiteInfo[Site type], "")</f>
        <v/>
      </c>
      <c r="U437" s="174" t="s">
        <v>281</v>
      </c>
      <c r="V437" s="174" t="str" cm="1">
        <f t="array" aca="1" ref="V437" ca="1">_xlfn.XLOOKUP(Buildings_GridElectricity_Backend[[#This Row],[Level 4]],rng_Level4Long,rng_Level5Long)</f>
        <v>Electricity</v>
      </c>
      <c r="W437" s="174" t="str" cm="1">
        <f t="array" aca="1" ref="W437" ca="1">_xlfn.XLOOKUP(Buildings_GridElectricity_Backend[[#This Row],[Level 4]],rng_Level4Long,rng_Level6Long)</f>
        <v>NaN</v>
      </c>
      <c r="X437" s="174">
        <f>Buildings_GridElectricity_Frontend[[#This Row],[Site Name]]</f>
        <v>0</v>
      </c>
      <c r="Y437" s="174">
        <f>Buildings_GridElectricity_Frontend[[#This Row],[Contracting]]</f>
        <v>0</v>
      </c>
      <c r="Z437" s="174">
        <f>Buildings_GridElectricity_Frontend[[#This Row],[Methodology]]</f>
        <v>0</v>
      </c>
      <c r="AA437" s="229" t="str" cm="1">
        <f t="array" ref="AA437">IF(Buildings_GridElectricity_Frontend[[#This Row],[Data]]="","",INDEX(_xlfn.SWITCH(Buildings_GridElectricity_Backend[[#This Row],[Methodology]],"Tier 1",rng_RSD1,"Tier 2",rng_RSD2,"Tier 3",rng_RSD3),MATCH(_xlfn.CONCAT(Buildings_GridElectricity_Backend[[#This Row],[Level 1]:[Level 6]]),rng_LevelsConcat,0)))</f>
        <v/>
      </c>
      <c r="AB437" s="220">
        <f>Buildings_GridElectricity_Frontend[[#This Row],[Data]]</f>
        <v>0</v>
      </c>
      <c r="AC437" s="174" t="str">
        <f>Buildings_GridElectricity_Frontend[[#This Row],[Units]]</f>
        <v>kWh</v>
      </c>
      <c r="AD437" s="218">
        <f>Buildings_GridElectricity_Frontend[[#This Row],[Data]]</f>
        <v>0</v>
      </c>
      <c r="AE437" s="174" t="str">
        <f>Buildings_GridElectricity_Frontend[[#This Row],[Units]]</f>
        <v>kWh</v>
      </c>
      <c r="AF437" s="210" t="str">
        <f>IF(Buildings_GridElectricity_Frontend[[#This Row],[Data]]="","",_xlfn.XLOOKUP(_xlfn.CONCAT(Buildings_GridElectricity_Backend[[#This Row],[Level 1]:[Level 6]]),rng_EFConcat,rng_EF1)*Buildings_GridElectricity_Backend[[#This Row],[Converted data]]/1000)</f>
        <v/>
      </c>
      <c r="AG437" s="210" t="str">
        <f>IF(Buildings_GridElectricity_Frontend[[#This Row],[Data]]="","",_xlfn.XLOOKUP(_xlfn.CONCAT(Buildings_GridElectricity_Backend[[#This Row],[Level 1]:[Level 6]]),rng_EFConcat,rng_EF2)*Buildings_GridElectricity_Backend[[#This Row],[Converted data]]/1000)</f>
        <v/>
      </c>
      <c r="AH437" s="210" t="str">
        <f>IF(Buildings_GridElectricity_Frontend[[#This Row],[Data]]="","",_xlfn.XLOOKUP(_xlfn.CONCAT(Buildings_GridElectricity_Backend[[#This Row],[Level 1]:[Level 6]]),rng_EFConcat,rng_EF3)*Buildings_GridElectricity_Backend[[#This Row],[Converted data]]/1000)</f>
        <v/>
      </c>
      <c r="AI437" s="210" t="str">
        <f>IF(Buildings_GridElectricity_Frontend[[#This Row],[Data]]="","",_xlfn.XLOOKUP(_xlfn.CONCAT(Buildings_GridElectricity_Backend[[#This Row],[Level 1]:[Level 6]]),rng_EFConcat,rng_EF3WTT)*Buildings_GridElectricity_Backend[[#This Row],[Converted data]]/1000)</f>
        <v/>
      </c>
      <c r="AJ437" s="210" t="str">
        <f>IF(Buildings_GridElectricity_Frontend[[#This Row],[Data]]="","",_xlfn.XLOOKUP(_xlfn.CONCAT(Buildings_GridElectricity_Backend[[#This Row],[Level 1]:[Level 6]]),rng_EFConcat,rng_EF3TD)*Buildings_GridElectricity_Backend[[#This Row],[Converted data]]/1000)</f>
        <v/>
      </c>
      <c r="AK437" s="210" t="str">
        <f>IF(Buildings_GridElectricity_Frontend[[#This Row],[Data]]="","",_xlfn.XLOOKUP(_xlfn.CONCAT(Buildings_GridElectricity_Backend[[#This Row],[Level 1]:[Level 6]]),rng_EFConcat,rng_EF3WTTTD)*Buildings_GridElectricity_Backend[[#This Row],[Converted data]]/1000)</f>
        <v/>
      </c>
      <c r="AL437" s="220" t="str">
        <f>IF(Buildings_GridElectricity_Frontend[[#This Row],[Data]]="","",SUM(Buildings_GridElectricity_Backend[[#This Row],[Scope 1 (tCO2e)]:[Scope 3 WTT T&amp;D (tCO2e)]]))</f>
        <v/>
      </c>
      <c r="AM437" s="220" t="str">
        <f>IF(Buildings_GridElectricity_Frontend[[#This Row],[Data]]="","",Buildings_GridElectricity_Backend[[#This Row],[Total (tCO2e)]]*(1-Buildings_GridElectricity_Backend[[#This Row],[RSD]]))</f>
        <v/>
      </c>
      <c r="AN437" s="220" t="str">
        <f>IF(Buildings_GridElectricity_Frontend[[#This Row],[Data]]="","",Buildings_GridElectricity_Backend[[#This Row],[Total (tCO2e)]]*(1+Buildings_GridElectricity_Backend[[#This Row],[RSD]]))</f>
        <v/>
      </c>
      <c r="AO437" s="210" t="str">
        <f>IF(Buildings_GridElectricity_Frontend[[#This Row],[Data]]="","",_xlfn.XLOOKUP(_xlfn.CONCAT(Buildings_GridElectricity_Backend[[#This Row],[Level 1]:[Level 6]]),rng_EFConcat,rng_EFOOS)*Buildings_GridElectricity_Backend[[#This Row],[Converted data]]/1000)</f>
        <v/>
      </c>
      <c r="AP437" s="174">
        <f>Buildings_GridElectricity_Frontend[[#This Row],[Ease of collection]]</f>
        <v>0</v>
      </c>
      <c r="AQ437" s="213">
        <f>Buildings_GridElectricity_Frontend[[#This Row],[Completeness]]</f>
        <v>0</v>
      </c>
      <c r="AR437" s="220">
        <f>Buildings_GridElectricity_Frontend[[#This Row],[Notes]]</f>
        <v>0</v>
      </c>
    </row>
    <row r="438" spans="5:44" x14ac:dyDescent="0.3">
      <c r="E438" s="346"/>
      <c r="F438" s="449"/>
      <c r="G438" s="336"/>
      <c r="H438" s="334"/>
      <c r="I438" s="172" t="s">
        <v>316</v>
      </c>
      <c r="J438" s="337"/>
      <c r="K438" s="336"/>
      <c r="L438" s="336"/>
      <c r="M438" s="337"/>
      <c r="N438" s="242">
        <f t="shared" si="15"/>
        <v>3</v>
      </c>
      <c r="Q438" s="212" t="str">
        <f t="shared" si="14"/>
        <v/>
      </c>
      <c r="R438" s="174" t="s">
        <v>265</v>
      </c>
      <c r="S438" s="174" t="s">
        <v>273</v>
      </c>
      <c r="T438" s="174" t="str">
        <f>_xlfn.XLOOKUP(Buildings_GridElectricity_Backend[[#This Row],[Info 1]],Buildings_SiteInfo[Site name],Buildings_SiteInfo[Site type], "")</f>
        <v/>
      </c>
      <c r="U438" s="174" t="s">
        <v>281</v>
      </c>
      <c r="V438" s="174" t="str" cm="1">
        <f t="array" aca="1" ref="V438" ca="1">_xlfn.XLOOKUP(Buildings_GridElectricity_Backend[[#This Row],[Level 4]],rng_Level4Long,rng_Level5Long)</f>
        <v>Electricity</v>
      </c>
      <c r="W438" s="174" t="str" cm="1">
        <f t="array" aca="1" ref="W438" ca="1">_xlfn.XLOOKUP(Buildings_GridElectricity_Backend[[#This Row],[Level 4]],rng_Level4Long,rng_Level6Long)</f>
        <v>NaN</v>
      </c>
      <c r="X438" s="174">
        <f>Buildings_GridElectricity_Frontend[[#This Row],[Site Name]]</f>
        <v>0</v>
      </c>
      <c r="Y438" s="174">
        <f>Buildings_GridElectricity_Frontend[[#This Row],[Contracting]]</f>
        <v>0</v>
      </c>
      <c r="Z438" s="174">
        <f>Buildings_GridElectricity_Frontend[[#This Row],[Methodology]]</f>
        <v>0</v>
      </c>
      <c r="AA438" s="229" t="str" cm="1">
        <f t="array" ref="AA438">IF(Buildings_GridElectricity_Frontend[[#This Row],[Data]]="","",INDEX(_xlfn.SWITCH(Buildings_GridElectricity_Backend[[#This Row],[Methodology]],"Tier 1",rng_RSD1,"Tier 2",rng_RSD2,"Tier 3",rng_RSD3),MATCH(_xlfn.CONCAT(Buildings_GridElectricity_Backend[[#This Row],[Level 1]:[Level 6]]),rng_LevelsConcat,0)))</f>
        <v/>
      </c>
      <c r="AB438" s="220">
        <f>Buildings_GridElectricity_Frontend[[#This Row],[Data]]</f>
        <v>0</v>
      </c>
      <c r="AC438" s="174" t="str">
        <f>Buildings_GridElectricity_Frontend[[#This Row],[Units]]</f>
        <v>kWh</v>
      </c>
      <c r="AD438" s="218">
        <f>Buildings_GridElectricity_Frontend[[#This Row],[Data]]</f>
        <v>0</v>
      </c>
      <c r="AE438" s="174" t="str">
        <f>Buildings_GridElectricity_Frontend[[#This Row],[Units]]</f>
        <v>kWh</v>
      </c>
      <c r="AF438" s="210" t="str">
        <f>IF(Buildings_GridElectricity_Frontend[[#This Row],[Data]]="","",_xlfn.XLOOKUP(_xlfn.CONCAT(Buildings_GridElectricity_Backend[[#This Row],[Level 1]:[Level 6]]),rng_EFConcat,rng_EF1)*Buildings_GridElectricity_Backend[[#This Row],[Converted data]]/1000)</f>
        <v/>
      </c>
      <c r="AG438" s="210" t="str">
        <f>IF(Buildings_GridElectricity_Frontend[[#This Row],[Data]]="","",_xlfn.XLOOKUP(_xlfn.CONCAT(Buildings_GridElectricity_Backend[[#This Row],[Level 1]:[Level 6]]),rng_EFConcat,rng_EF2)*Buildings_GridElectricity_Backend[[#This Row],[Converted data]]/1000)</f>
        <v/>
      </c>
      <c r="AH438" s="210" t="str">
        <f>IF(Buildings_GridElectricity_Frontend[[#This Row],[Data]]="","",_xlfn.XLOOKUP(_xlfn.CONCAT(Buildings_GridElectricity_Backend[[#This Row],[Level 1]:[Level 6]]),rng_EFConcat,rng_EF3)*Buildings_GridElectricity_Backend[[#This Row],[Converted data]]/1000)</f>
        <v/>
      </c>
      <c r="AI438" s="210" t="str">
        <f>IF(Buildings_GridElectricity_Frontend[[#This Row],[Data]]="","",_xlfn.XLOOKUP(_xlfn.CONCAT(Buildings_GridElectricity_Backend[[#This Row],[Level 1]:[Level 6]]),rng_EFConcat,rng_EF3WTT)*Buildings_GridElectricity_Backend[[#This Row],[Converted data]]/1000)</f>
        <v/>
      </c>
      <c r="AJ438" s="210" t="str">
        <f>IF(Buildings_GridElectricity_Frontend[[#This Row],[Data]]="","",_xlfn.XLOOKUP(_xlfn.CONCAT(Buildings_GridElectricity_Backend[[#This Row],[Level 1]:[Level 6]]),rng_EFConcat,rng_EF3TD)*Buildings_GridElectricity_Backend[[#This Row],[Converted data]]/1000)</f>
        <v/>
      </c>
      <c r="AK438" s="210" t="str">
        <f>IF(Buildings_GridElectricity_Frontend[[#This Row],[Data]]="","",_xlfn.XLOOKUP(_xlfn.CONCAT(Buildings_GridElectricity_Backend[[#This Row],[Level 1]:[Level 6]]),rng_EFConcat,rng_EF3WTTTD)*Buildings_GridElectricity_Backend[[#This Row],[Converted data]]/1000)</f>
        <v/>
      </c>
      <c r="AL438" s="220" t="str">
        <f>IF(Buildings_GridElectricity_Frontend[[#This Row],[Data]]="","",SUM(Buildings_GridElectricity_Backend[[#This Row],[Scope 1 (tCO2e)]:[Scope 3 WTT T&amp;D (tCO2e)]]))</f>
        <v/>
      </c>
      <c r="AM438" s="220" t="str">
        <f>IF(Buildings_GridElectricity_Frontend[[#This Row],[Data]]="","",Buildings_GridElectricity_Backend[[#This Row],[Total (tCO2e)]]*(1-Buildings_GridElectricity_Backend[[#This Row],[RSD]]))</f>
        <v/>
      </c>
      <c r="AN438" s="220" t="str">
        <f>IF(Buildings_GridElectricity_Frontend[[#This Row],[Data]]="","",Buildings_GridElectricity_Backend[[#This Row],[Total (tCO2e)]]*(1+Buildings_GridElectricity_Backend[[#This Row],[RSD]]))</f>
        <v/>
      </c>
      <c r="AO438" s="210" t="str">
        <f>IF(Buildings_GridElectricity_Frontend[[#This Row],[Data]]="","",_xlfn.XLOOKUP(_xlfn.CONCAT(Buildings_GridElectricity_Backend[[#This Row],[Level 1]:[Level 6]]),rng_EFConcat,rng_EFOOS)*Buildings_GridElectricity_Backend[[#This Row],[Converted data]]/1000)</f>
        <v/>
      </c>
      <c r="AP438" s="174">
        <f>Buildings_GridElectricity_Frontend[[#This Row],[Ease of collection]]</f>
        <v>0</v>
      </c>
      <c r="AQ438" s="213">
        <f>Buildings_GridElectricity_Frontend[[#This Row],[Completeness]]</f>
        <v>0</v>
      </c>
      <c r="AR438" s="220">
        <f>Buildings_GridElectricity_Frontend[[#This Row],[Notes]]</f>
        <v>0</v>
      </c>
    </row>
    <row r="439" spans="5:44" x14ac:dyDescent="0.3">
      <c r="E439" s="346"/>
      <c r="F439" s="449"/>
      <c r="G439" s="336"/>
      <c r="H439" s="334"/>
      <c r="I439" s="172" t="s">
        <v>316</v>
      </c>
      <c r="J439" s="337"/>
      <c r="K439" s="336"/>
      <c r="L439" s="336"/>
      <c r="M439" s="337"/>
      <c r="N439" s="242">
        <f t="shared" si="15"/>
        <v>3</v>
      </c>
      <c r="Q439" s="212" t="str">
        <f t="shared" si="14"/>
        <v/>
      </c>
      <c r="R439" s="174" t="s">
        <v>265</v>
      </c>
      <c r="S439" s="174" t="s">
        <v>273</v>
      </c>
      <c r="T439" s="174" t="str">
        <f>_xlfn.XLOOKUP(Buildings_GridElectricity_Backend[[#This Row],[Info 1]],Buildings_SiteInfo[Site name],Buildings_SiteInfo[Site type], "")</f>
        <v/>
      </c>
      <c r="U439" s="174" t="s">
        <v>281</v>
      </c>
      <c r="V439" s="174" t="str" cm="1">
        <f t="array" aca="1" ref="V439" ca="1">_xlfn.XLOOKUP(Buildings_GridElectricity_Backend[[#This Row],[Level 4]],rng_Level4Long,rng_Level5Long)</f>
        <v>Electricity</v>
      </c>
      <c r="W439" s="174" t="str" cm="1">
        <f t="array" aca="1" ref="W439" ca="1">_xlfn.XLOOKUP(Buildings_GridElectricity_Backend[[#This Row],[Level 4]],rng_Level4Long,rng_Level6Long)</f>
        <v>NaN</v>
      </c>
      <c r="X439" s="174">
        <f>Buildings_GridElectricity_Frontend[[#This Row],[Site Name]]</f>
        <v>0</v>
      </c>
      <c r="Y439" s="174">
        <f>Buildings_GridElectricity_Frontend[[#This Row],[Contracting]]</f>
        <v>0</v>
      </c>
      <c r="Z439" s="174">
        <f>Buildings_GridElectricity_Frontend[[#This Row],[Methodology]]</f>
        <v>0</v>
      </c>
      <c r="AA439" s="229" t="str" cm="1">
        <f t="array" ref="AA439">IF(Buildings_GridElectricity_Frontend[[#This Row],[Data]]="","",INDEX(_xlfn.SWITCH(Buildings_GridElectricity_Backend[[#This Row],[Methodology]],"Tier 1",rng_RSD1,"Tier 2",rng_RSD2,"Tier 3",rng_RSD3),MATCH(_xlfn.CONCAT(Buildings_GridElectricity_Backend[[#This Row],[Level 1]:[Level 6]]),rng_LevelsConcat,0)))</f>
        <v/>
      </c>
      <c r="AB439" s="220">
        <f>Buildings_GridElectricity_Frontend[[#This Row],[Data]]</f>
        <v>0</v>
      </c>
      <c r="AC439" s="174" t="str">
        <f>Buildings_GridElectricity_Frontend[[#This Row],[Units]]</f>
        <v>kWh</v>
      </c>
      <c r="AD439" s="218">
        <f>Buildings_GridElectricity_Frontend[[#This Row],[Data]]</f>
        <v>0</v>
      </c>
      <c r="AE439" s="174" t="str">
        <f>Buildings_GridElectricity_Frontend[[#This Row],[Units]]</f>
        <v>kWh</v>
      </c>
      <c r="AF439" s="210" t="str">
        <f>IF(Buildings_GridElectricity_Frontend[[#This Row],[Data]]="","",_xlfn.XLOOKUP(_xlfn.CONCAT(Buildings_GridElectricity_Backend[[#This Row],[Level 1]:[Level 6]]),rng_EFConcat,rng_EF1)*Buildings_GridElectricity_Backend[[#This Row],[Converted data]]/1000)</f>
        <v/>
      </c>
      <c r="AG439" s="210" t="str">
        <f>IF(Buildings_GridElectricity_Frontend[[#This Row],[Data]]="","",_xlfn.XLOOKUP(_xlfn.CONCAT(Buildings_GridElectricity_Backend[[#This Row],[Level 1]:[Level 6]]),rng_EFConcat,rng_EF2)*Buildings_GridElectricity_Backend[[#This Row],[Converted data]]/1000)</f>
        <v/>
      </c>
      <c r="AH439" s="210" t="str">
        <f>IF(Buildings_GridElectricity_Frontend[[#This Row],[Data]]="","",_xlfn.XLOOKUP(_xlfn.CONCAT(Buildings_GridElectricity_Backend[[#This Row],[Level 1]:[Level 6]]),rng_EFConcat,rng_EF3)*Buildings_GridElectricity_Backend[[#This Row],[Converted data]]/1000)</f>
        <v/>
      </c>
      <c r="AI439" s="210" t="str">
        <f>IF(Buildings_GridElectricity_Frontend[[#This Row],[Data]]="","",_xlfn.XLOOKUP(_xlfn.CONCAT(Buildings_GridElectricity_Backend[[#This Row],[Level 1]:[Level 6]]),rng_EFConcat,rng_EF3WTT)*Buildings_GridElectricity_Backend[[#This Row],[Converted data]]/1000)</f>
        <v/>
      </c>
      <c r="AJ439" s="210" t="str">
        <f>IF(Buildings_GridElectricity_Frontend[[#This Row],[Data]]="","",_xlfn.XLOOKUP(_xlfn.CONCAT(Buildings_GridElectricity_Backend[[#This Row],[Level 1]:[Level 6]]),rng_EFConcat,rng_EF3TD)*Buildings_GridElectricity_Backend[[#This Row],[Converted data]]/1000)</f>
        <v/>
      </c>
      <c r="AK439" s="210" t="str">
        <f>IF(Buildings_GridElectricity_Frontend[[#This Row],[Data]]="","",_xlfn.XLOOKUP(_xlfn.CONCAT(Buildings_GridElectricity_Backend[[#This Row],[Level 1]:[Level 6]]),rng_EFConcat,rng_EF3WTTTD)*Buildings_GridElectricity_Backend[[#This Row],[Converted data]]/1000)</f>
        <v/>
      </c>
      <c r="AL439" s="220" t="str">
        <f>IF(Buildings_GridElectricity_Frontend[[#This Row],[Data]]="","",SUM(Buildings_GridElectricity_Backend[[#This Row],[Scope 1 (tCO2e)]:[Scope 3 WTT T&amp;D (tCO2e)]]))</f>
        <v/>
      </c>
      <c r="AM439" s="220" t="str">
        <f>IF(Buildings_GridElectricity_Frontend[[#This Row],[Data]]="","",Buildings_GridElectricity_Backend[[#This Row],[Total (tCO2e)]]*(1-Buildings_GridElectricity_Backend[[#This Row],[RSD]]))</f>
        <v/>
      </c>
      <c r="AN439" s="220" t="str">
        <f>IF(Buildings_GridElectricity_Frontend[[#This Row],[Data]]="","",Buildings_GridElectricity_Backend[[#This Row],[Total (tCO2e)]]*(1+Buildings_GridElectricity_Backend[[#This Row],[RSD]]))</f>
        <v/>
      </c>
      <c r="AO439" s="210" t="str">
        <f>IF(Buildings_GridElectricity_Frontend[[#This Row],[Data]]="","",_xlfn.XLOOKUP(_xlfn.CONCAT(Buildings_GridElectricity_Backend[[#This Row],[Level 1]:[Level 6]]),rng_EFConcat,rng_EFOOS)*Buildings_GridElectricity_Backend[[#This Row],[Converted data]]/1000)</f>
        <v/>
      </c>
      <c r="AP439" s="174">
        <f>Buildings_GridElectricity_Frontend[[#This Row],[Ease of collection]]</f>
        <v>0</v>
      </c>
      <c r="AQ439" s="213">
        <f>Buildings_GridElectricity_Frontend[[#This Row],[Completeness]]</f>
        <v>0</v>
      </c>
      <c r="AR439" s="220">
        <f>Buildings_GridElectricity_Frontend[[#This Row],[Notes]]</f>
        <v>0</v>
      </c>
    </row>
    <row r="440" spans="5:44" x14ac:dyDescent="0.3">
      <c r="E440" s="346"/>
      <c r="F440" s="449"/>
      <c r="G440" s="336"/>
      <c r="H440" s="334"/>
      <c r="I440" s="172" t="s">
        <v>316</v>
      </c>
      <c r="J440" s="337"/>
      <c r="K440" s="336"/>
      <c r="L440" s="336"/>
      <c r="M440" s="337"/>
      <c r="N440" s="242">
        <f t="shared" si="15"/>
        <v>3</v>
      </c>
      <c r="Q440" s="212" t="str">
        <f t="shared" si="14"/>
        <v/>
      </c>
      <c r="R440" s="174" t="s">
        <v>265</v>
      </c>
      <c r="S440" s="174" t="s">
        <v>273</v>
      </c>
      <c r="T440" s="174" t="str">
        <f>_xlfn.XLOOKUP(Buildings_GridElectricity_Backend[[#This Row],[Info 1]],Buildings_SiteInfo[Site name],Buildings_SiteInfo[Site type], "")</f>
        <v/>
      </c>
      <c r="U440" s="174" t="s">
        <v>281</v>
      </c>
      <c r="V440" s="174" t="str" cm="1">
        <f t="array" aca="1" ref="V440" ca="1">_xlfn.XLOOKUP(Buildings_GridElectricity_Backend[[#This Row],[Level 4]],rng_Level4Long,rng_Level5Long)</f>
        <v>Electricity</v>
      </c>
      <c r="W440" s="174" t="str" cm="1">
        <f t="array" aca="1" ref="W440" ca="1">_xlfn.XLOOKUP(Buildings_GridElectricity_Backend[[#This Row],[Level 4]],rng_Level4Long,rng_Level6Long)</f>
        <v>NaN</v>
      </c>
      <c r="X440" s="174">
        <f>Buildings_GridElectricity_Frontend[[#This Row],[Site Name]]</f>
        <v>0</v>
      </c>
      <c r="Y440" s="174">
        <f>Buildings_GridElectricity_Frontend[[#This Row],[Contracting]]</f>
        <v>0</v>
      </c>
      <c r="Z440" s="174">
        <f>Buildings_GridElectricity_Frontend[[#This Row],[Methodology]]</f>
        <v>0</v>
      </c>
      <c r="AA440" s="229" t="str" cm="1">
        <f t="array" ref="AA440">IF(Buildings_GridElectricity_Frontend[[#This Row],[Data]]="","",INDEX(_xlfn.SWITCH(Buildings_GridElectricity_Backend[[#This Row],[Methodology]],"Tier 1",rng_RSD1,"Tier 2",rng_RSD2,"Tier 3",rng_RSD3),MATCH(_xlfn.CONCAT(Buildings_GridElectricity_Backend[[#This Row],[Level 1]:[Level 6]]),rng_LevelsConcat,0)))</f>
        <v/>
      </c>
      <c r="AB440" s="220">
        <f>Buildings_GridElectricity_Frontend[[#This Row],[Data]]</f>
        <v>0</v>
      </c>
      <c r="AC440" s="174" t="str">
        <f>Buildings_GridElectricity_Frontend[[#This Row],[Units]]</f>
        <v>kWh</v>
      </c>
      <c r="AD440" s="218">
        <f>Buildings_GridElectricity_Frontend[[#This Row],[Data]]</f>
        <v>0</v>
      </c>
      <c r="AE440" s="174" t="str">
        <f>Buildings_GridElectricity_Frontend[[#This Row],[Units]]</f>
        <v>kWh</v>
      </c>
      <c r="AF440" s="210" t="str">
        <f>IF(Buildings_GridElectricity_Frontend[[#This Row],[Data]]="","",_xlfn.XLOOKUP(_xlfn.CONCAT(Buildings_GridElectricity_Backend[[#This Row],[Level 1]:[Level 6]]),rng_EFConcat,rng_EF1)*Buildings_GridElectricity_Backend[[#This Row],[Converted data]]/1000)</f>
        <v/>
      </c>
      <c r="AG440" s="210" t="str">
        <f>IF(Buildings_GridElectricity_Frontend[[#This Row],[Data]]="","",_xlfn.XLOOKUP(_xlfn.CONCAT(Buildings_GridElectricity_Backend[[#This Row],[Level 1]:[Level 6]]),rng_EFConcat,rng_EF2)*Buildings_GridElectricity_Backend[[#This Row],[Converted data]]/1000)</f>
        <v/>
      </c>
      <c r="AH440" s="210" t="str">
        <f>IF(Buildings_GridElectricity_Frontend[[#This Row],[Data]]="","",_xlfn.XLOOKUP(_xlfn.CONCAT(Buildings_GridElectricity_Backend[[#This Row],[Level 1]:[Level 6]]),rng_EFConcat,rng_EF3)*Buildings_GridElectricity_Backend[[#This Row],[Converted data]]/1000)</f>
        <v/>
      </c>
      <c r="AI440" s="210" t="str">
        <f>IF(Buildings_GridElectricity_Frontend[[#This Row],[Data]]="","",_xlfn.XLOOKUP(_xlfn.CONCAT(Buildings_GridElectricity_Backend[[#This Row],[Level 1]:[Level 6]]),rng_EFConcat,rng_EF3WTT)*Buildings_GridElectricity_Backend[[#This Row],[Converted data]]/1000)</f>
        <v/>
      </c>
      <c r="AJ440" s="210" t="str">
        <f>IF(Buildings_GridElectricity_Frontend[[#This Row],[Data]]="","",_xlfn.XLOOKUP(_xlfn.CONCAT(Buildings_GridElectricity_Backend[[#This Row],[Level 1]:[Level 6]]),rng_EFConcat,rng_EF3TD)*Buildings_GridElectricity_Backend[[#This Row],[Converted data]]/1000)</f>
        <v/>
      </c>
      <c r="AK440" s="210" t="str">
        <f>IF(Buildings_GridElectricity_Frontend[[#This Row],[Data]]="","",_xlfn.XLOOKUP(_xlfn.CONCAT(Buildings_GridElectricity_Backend[[#This Row],[Level 1]:[Level 6]]),rng_EFConcat,rng_EF3WTTTD)*Buildings_GridElectricity_Backend[[#This Row],[Converted data]]/1000)</f>
        <v/>
      </c>
      <c r="AL440" s="220" t="str">
        <f>IF(Buildings_GridElectricity_Frontend[[#This Row],[Data]]="","",SUM(Buildings_GridElectricity_Backend[[#This Row],[Scope 1 (tCO2e)]:[Scope 3 WTT T&amp;D (tCO2e)]]))</f>
        <v/>
      </c>
      <c r="AM440" s="220" t="str">
        <f>IF(Buildings_GridElectricity_Frontend[[#This Row],[Data]]="","",Buildings_GridElectricity_Backend[[#This Row],[Total (tCO2e)]]*(1-Buildings_GridElectricity_Backend[[#This Row],[RSD]]))</f>
        <v/>
      </c>
      <c r="AN440" s="220" t="str">
        <f>IF(Buildings_GridElectricity_Frontend[[#This Row],[Data]]="","",Buildings_GridElectricity_Backend[[#This Row],[Total (tCO2e)]]*(1+Buildings_GridElectricity_Backend[[#This Row],[RSD]]))</f>
        <v/>
      </c>
      <c r="AO440" s="210" t="str">
        <f>IF(Buildings_GridElectricity_Frontend[[#This Row],[Data]]="","",_xlfn.XLOOKUP(_xlfn.CONCAT(Buildings_GridElectricity_Backend[[#This Row],[Level 1]:[Level 6]]),rng_EFConcat,rng_EFOOS)*Buildings_GridElectricity_Backend[[#This Row],[Converted data]]/1000)</f>
        <v/>
      </c>
      <c r="AP440" s="174">
        <f>Buildings_GridElectricity_Frontend[[#This Row],[Ease of collection]]</f>
        <v>0</v>
      </c>
      <c r="AQ440" s="213">
        <f>Buildings_GridElectricity_Frontend[[#This Row],[Completeness]]</f>
        <v>0</v>
      </c>
      <c r="AR440" s="220">
        <f>Buildings_GridElectricity_Frontend[[#This Row],[Notes]]</f>
        <v>0</v>
      </c>
    </row>
    <row r="441" spans="5:44" x14ac:dyDescent="0.3">
      <c r="E441" s="346"/>
      <c r="F441" s="449"/>
      <c r="G441" s="336"/>
      <c r="H441" s="334"/>
      <c r="I441" s="172" t="s">
        <v>316</v>
      </c>
      <c r="J441" s="337"/>
      <c r="K441" s="336"/>
      <c r="L441" s="336"/>
      <c r="M441" s="337"/>
      <c r="N441" s="242">
        <f t="shared" si="15"/>
        <v>3</v>
      </c>
      <c r="Q441" s="212" t="str">
        <f t="shared" si="14"/>
        <v/>
      </c>
      <c r="R441" s="174" t="s">
        <v>265</v>
      </c>
      <c r="S441" s="174" t="s">
        <v>273</v>
      </c>
      <c r="T441" s="174" t="str">
        <f>_xlfn.XLOOKUP(Buildings_GridElectricity_Backend[[#This Row],[Info 1]],Buildings_SiteInfo[Site name],Buildings_SiteInfo[Site type], "")</f>
        <v/>
      </c>
      <c r="U441" s="174" t="s">
        <v>281</v>
      </c>
      <c r="V441" s="174" t="str" cm="1">
        <f t="array" aca="1" ref="V441" ca="1">_xlfn.XLOOKUP(Buildings_GridElectricity_Backend[[#This Row],[Level 4]],rng_Level4Long,rng_Level5Long)</f>
        <v>Electricity</v>
      </c>
      <c r="W441" s="174" t="str" cm="1">
        <f t="array" aca="1" ref="W441" ca="1">_xlfn.XLOOKUP(Buildings_GridElectricity_Backend[[#This Row],[Level 4]],rng_Level4Long,rng_Level6Long)</f>
        <v>NaN</v>
      </c>
      <c r="X441" s="174">
        <f>Buildings_GridElectricity_Frontend[[#This Row],[Site Name]]</f>
        <v>0</v>
      </c>
      <c r="Y441" s="174">
        <f>Buildings_GridElectricity_Frontend[[#This Row],[Contracting]]</f>
        <v>0</v>
      </c>
      <c r="Z441" s="174">
        <f>Buildings_GridElectricity_Frontend[[#This Row],[Methodology]]</f>
        <v>0</v>
      </c>
      <c r="AA441" s="229" t="str" cm="1">
        <f t="array" ref="AA441">IF(Buildings_GridElectricity_Frontend[[#This Row],[Data]]="","",INDEX(_xlfn.SWITCH(Buildings_GridElectricity_Backend[[#This Row],[Methodology]],"Tier 1",rng_RSD1,"Tier 2",rng_RSD2,"Tier 3",rng_RSD3),MATCH(_xlfn.CONCAT(Buildings_GridElectricity_Backend[[#This Row],[Level 1]:[Level 6]]),rng_LevelsConcat,0)))</f>
        <v/>
      </c>
      <c r="AB441" s="220">
        <f>Buildings_GridElectricity_Frontend[[#This Row],[Data]]</f>
        <v>0</v>
      </c>
      <c r="AC441" s="174" t="str">
        <f>Buildings_GridElectricity_Frontend[[#This Row],[Units]]</f>
        <v>kWh</v>
      </c>
      <c r="AD441" s="218">
        <f>Buildings_GridElectricity_Frontend[[#This Row],[Data]]</f>
        <v>0</v>
      </c>
      <c r="AE441" s="174" t="str">
        <f>Buildings_GridElectricity_Frontend[[#This Row],[Units]]</f>
        <v>kWh</v>
      </c>
      <c r="AF441" s="210" t="str">
        <f>IF(Buildings_GridElectricity_Frontend[[#This Row],[Data]]="","",_xlfn.XLOOKUP(_xlfn.CONCAT(Buildings_GridElectricity_Backend[[#This Row],[Level 1]:[Level 6]]),rng_EFConcat,rng_EF1)*Buildings_GridElectricity_Backend[[#This Row],[Converted data]]/1000)</f>
        <v/>
      </c>
      <c r="AG441" s="210" t="str">
        <f>IF(Buildings_GridElectricity_Frontend[[#This Row],[Data]]="","",_xlfn.XLOOKUP(_xlfn.CONCAT(Buildings_GridElectricity_Backend[[#This Row],[Level 1]:[Level 6]]),rng_EFConcat,rng_EF2)*Buildings_GridElectricity_Backend[[#This Row],[Converted data]]/1000)</f>
        <v/>
      </c>
      <c r="AH441" s="210" t="str">
        <f>IF(Buildings_GridElectricity_Frontend[[#This Row],[Data]]="","",_xlfn.XLOOKUP(_xlfn.CONCAT(Buildings_GridElectricity_Backend[[#This Row],[Level 1]:[Level 6]]),rng_EFConcat,rng_EF3)*Buildings_GridElectricity_Backend[[#This Row],[Converted data]]/1000)</f>
        <v/>
      </c>
      <c r="AI441" s="210" t="str">
        <f>IF(Buildings_GridElectricity_Frontend[[#This Row],[Data]]="","",_xlfn.XLOOKUP(_xlfn.CONCAT(Buildings_GridElectricity_Backend[[#This Row],[Level 1]:[Level 6]]),rng_EFConcat,rng_EF3WTT)*Buildings_GridElectricity_Backend[[#This Row],[Converted data]]/1000)</f>
        <v/>
      </c>
      <c r="AJ441" s="210" t="str">
        <f>IF(Buildings_GridElectricity_Frontend[[#This Row],[Data]]="","",_xlfn.XLOOKUP(_xlfn.CONCAT(Buildings_GridElectricity_Backend[[#This Row],[Level 1]:[Level 6]]),rng_EFConcat,rng_EF3TD)*Buildings_GridElectricity_Backend[[#This Row],[Converted data]]/1000)</f>
        <v/>
      </c>
      <c r="AK441" s="210" t="str">
        <f>IF(Buildings_GridElectricity_Frontend[[#This Row],[Data]]="","",_xlfn.XLOOKUP(_xlfn.CONCAT(Buildings_GridElectricity_Backend[[#This Row],[Level 1]:[Level 6]]),rng_EFConcat,rng_EF3WTTTD)*Buildings_GridElectricity_Backend[[#This Row],[Converted data]]/1000)</f>
        <v/>
      </c>
      <c r="AL441" s="220" t="str">
        <f>IF(Buildings_GridElectricity_Frontend[[#This Row],[Data]]="","",SUM(Buildings_GridElectricity_Backend[[#This Row],[Scope 1 (tCO2e)]:[Scope 3 WTT T&amp;D (tCO2e)]]))</f>
        <v/>
      </c>
      <c r="AM441" s="220" t="str">
        <f>IF(Buildings_GridElectricity_Frontend[[#This Row],[Data]]="","",Buildings_GridElectricity_Backend[[#This Row],[Total (tCO2e)]]*(1-Buildings_GridElectricity_Backend[[#This Row],[RSD]]))</f>
        <v/>
      </c>
      <c r="AN441" s="220" t="str">
        <f>IF(Buildings_GridElectricity_Frontend[[#This Row],[Data]]="","",Buildings_GridElectricity_Backend[[#This Row],[Total (tCO2e)]]*(1+Buildings_GridElectricity_Backend[[#This Row],[RSD]]))</f>
        <v/>
      </c>
      <c r="AO441" s="210" t="str">
        <f>IF(Buildings_GridElectricity_Frontend[[#This Row],[Data]]="","",_xlfn.XLOOKUP(_xlfn.CONCAT(Buildings_GridElectricity_Backend[[#This Row],[Level 1]:[Level 6]]),rng_EFConcat,rng_EFOOS)*Buildings_GridElectricity_Backend[[#This Row],[Converted data]]/1000)</f>
        <v/>
      </c>
      <c r="AP441" s="174">
        <f>Buildings_GridElectricity_Frontend[[#This Row],[Ease of collection]]</f>
        <v>0</v>
      </c>
      <c r="AQ441" s="213">
        <f>Buildings_GridElectricity_Frontend[[#This Row],[Completeness]]</f>
        <v>0</v>
      </c>
      <c r="AR441" s="220">
        <f>Buildings_GridElectricity_Frontend[[#This Row],[Notes]]</f>
        <v>0</v>
      </c>
    </row>
    <row r="442" spans="5:44" x14ac:dyDescent="0.3">
      <c r="E442" s="346"/>
      <c r="F442" s="449"/>
      <c r="G442" s="336"/>
      <c r="H442" s="334"/>
      <c r="I442" s="172" t="s">
        <v>316</v>
      </c>
      <c r="J442" s="337"/>
      <c r="K442" s="336"/>
      <c r="L442" s="336"/>
      <c r="M442" s="337"/>
      <c r="N442" s="242">
        <f t="shared" si="15"/>
        <v>3</v>
      </c>
      <c r="Q442" s="212" t="str">
        <f t="shared" si="14"/>
        <v/>
      </c>
      <c r="R442" s="174" t="s">
        <v>265</v>
      </c>
      <c r="S442" s="174" t="s">
        <v>273</v>
      </c>
      <c r="T442" s="174" t="str">
        <f>_xlfn.XLOOKUP(Buildings_GridElectricity_Backend[[#This Row],[Info 1]],Buildings_SiteInfo[Site name],Buildings_SiteInfo[Site type], "")</f>
        <v/>
      </c>
      <c r="U442" s="174" t="s">
        <v>281</v>
      </c>
      <c r="V442" s="174" t="str" cm="1">
        <f t="array" aca="1" ref="V442" ca="1">_xlfn.XLOOKUP(Buildings_GridElectricity_Backend[[#This Row],[Level 4]],rng_Level4Long,rng_Level5Long)</f>
        <v>Electricity</v>
      </c>
      <c r="W442" s="174" t="str" cm="1">
        <f t="array" aca="1" ref="W442" ca="1">_xlfn.XLOOKUP(Buildings_GridElectricity_Backend[[#This Row],[Level 4]],rng_Level4Long,rng_Level6Long)</f>
        <v>NaN</v>
      </c>
      <c r="X442" s="174">
        <f>Buildings_GridElectricity_Frontend[[#This Row],[Site Name]]</f>
        <v>0</v>
      </c>
      <c r="Y442" s="174">
        <f>Buildings_GridElectricity_Frontend[[#This Row],[Contracting]]</f>
        <v>0</v>
      </c>
      <c r="Z442" s="174">
        <f>Buildings_GridElectricity_Frontend[[#This Row],[Methodology]]</f>
        <v>0</v>
      </c>
      <c r="AA442" s="229" t="str" cm="1">
        <f t="array" ref="AA442">IF(Buildings_GridElectricity_Frontend[[#This Row],[Data]]="","",INDEX(_xlfn.SWITCH(Buildings_GridElectricity_Backend[[#This Row],[Methodology]],"Tier 1",rng_RSD1,"Tier 2",rng_RSD2,"Tier 3",rng_RSD3),MATCH(_xlfn.CONCAT(Buildings_GridElectricity_Backend[[#This Row],[Level 1]:[Level 6]]),rng_LevelsConcat,0)))</f>
        <v/>
      </c>
      <c r="AB442" s="220">
        <f>Buildings_GridElectricity_Frontend[[#This Row],[Data]]</f>
        <v>0</v>
      </c>
      <c r="AC442" s="174" t="str">
        <f>Buildings_GridElectricity_Frontend[[#This Row],[Units]]</f>
        <v>kWh</v>
      </c>
      <c r="AD442" s="218">
        <f>Buildings_GridElectricity_Frontend[[#This Row],[Data]]</f>
        <v>0</v>
      </c>
      <c r="AE442" s="174" t="str">
        <f>Buildings_GridElectricity_Frontend[[#This Row],[Units]]</f>
        <v>kWh</v>
      </c>
      <c r="AF442" s="210" t="str">
        <f>IF(Buildings_GridElectricity_Frontend[[#This Row],[Data]]="","",_xlfn.XLOOKUP(_xlfn.CONCAT(Buildings_GridElectricity_Backend[[#This Row],[Level 1]:[Level 6]]),rng_EFConcat,rng_EF1)*Buildings_GridElectricity_Backend[[#This Row],[Converted data]]/1000)</f>
        <v/>
      </c>
      <c r="AG442" s="210" t="str">
        <f>IF(Buildings_GridElectricity_Frontend[[#This Row],[Data]]="","",_xlfn.XLOOKUP(_xlfn.CONCAT(Buildings_GridElectricity_Backend[[#This Row],[Level 1]:[Level 6]]),rng_EFConcat,rng_EF2)*Buildings_GridElectricity_Backend[[#This Row],[Converted data]]/1000)</f>
        <v/>
      </c>
      <c r="AH442" s="210" t="str">
        <f>IF(Buildings_GridElectricity_Frontend[[#This Row],[Data]]="","",_xlfn.XLOOKUP(_xlfn.CONCAT(Buildings_GridElectricity_Backend[[#This Row],[Level 1]:[Level 6]]),rng_EFConcat,rng_EF3)*Buildings_GridElectricity_Backend[[#This Row],[Converted data]]/1000)</f>
        <v/>
      </c>
      <c r="AI442" s="210" t="str">
        <f>IF(Buildings_GridElectricity_Frontend[[#This Row],[Data]]="","",_xlfn.XLOOKUP(_xlfn.CONCAT(Buildings_GridElectricity_Backend[[#This Row],[Level 1]:[Level 6]]),rng_EFConcat,rng_EF3WTT)*Buildings_GridElectricity_Backend[[#This Row],[Converted data]]/1000)</f>
        <v/>
      </c>
      <c r="AJ442" s="210" t="str">
        <f>IF(Buildings_GridElectricity_Frontend[[#This Row],[Data]]="","",_xlfn.XLOOKUP(_xlfn.CONCAT(Buildings_GridElectricity_Backend[[#This Row],[Level 1]:[Level 6]]),rng_EFConcat,rng_EF3TD)*Buildings_GridElectricity_Backend[[#This Row],[Converted data]]/1000)</f>
        <v/>
      </c>
      <c r="AK442" s="210" t="str">
        <f>IF(Buildings_GridElectricity_Frontend[[#This Row],[Data]]="","",_xlfn.XLOOKUP(_xlfn.CONCAT(Buildings_GridElectricity_Backend[[#This Row],[Level 1]:[Level 6]]),rng_EFConcat,rng_EF3WTTTD)*Buildings_GridElectricity_Backend[[#This Row],[Converted data]]/1000)</f>
        <v/>
      </c>
      <c r="AL442" s="220" t="str">
        <f>IF(Buildings_GridElectricity_Frontend[[#This Row],[Data]]="","",SUM(Buildings_GridElectricity_Backend[[#This Row],[Scope 1 (tCO2e)]:[Scope 3 WTT T&amp;D (tCO2e)]]))</f>
        <v/>
      </c>
      <c r="AM442" s="220" t="str">
        <f>IF(Buildings_GridElectricity_Frontend[[#This Row],[Data]]="","",Buildings_GridElectricity_Backend[[#This Row],[Total (tCO2e)]]*(1-Buildings_GridElectricity_Backend[[#This Row],[RSD]]))</f>
        <v/>
      </c>
      <c r="AN442" s="220" t="str">
        <f>IF(Buildings_GridElectricity_Frontend[[#This Row],[Data]]="","",Buildings_GridElectricity_Backend[[#This Row],[Total (tCO2e)]]*(1+Buildings_GridElectricity_Backend[[#This Row],[RSD]]))</f>
        <v/>
      </c>
      <c r="AO442" s="210" t="str">
        <f>IF(Buildings_GridElectricity_Frontend[[#This Row],[Data]]="","",_xlfn.XLOOKUP(_xlfn.CONCAT(Buildings_GridElectricity_Backend[[#This Row],[Level 1]:[Level 6]]),rng_EFConcat,rng_EFOOS)*Buildings_GridElectricity_Backend[[#This Row],[Converted data]]/1000)</f>
        <v/>
      </c>
      <c r="AP442" s="174">
        <f>Buildings_GridElectricity_Frontend[[#This Row],[Ease of collection]]</f>
        <v>0</v>
      </c>
      <c r="AQ442" s="213">
        <f>Buildings_GridElectricity_Frontend[[#This Row],[Completeness]]</f>
        <v>0</v>
      </c>
      <c r="AR442" s="220">
        <f>Buildings_GridElectricity_Frontend[[#This Row],[Notes]]</f>
        <v>0</v>
      </c>
    </row>
    <row r="443" spans="5:44" x14ac:dyDescent="0.3">
      <c r="E443" s="346"/>
      <c r="F443" s="449"/>
      <c r="G443" s="336"/>
      <c r="H443" s="334"/>
      <c r="I443" s="172" t="s">
        <v>316</v>
      </c>
      <c r="J443" s="337"/>
      <c r="K443" s="336"/>
      <c r="L443" s="336"/>
      <c r="M443" s="337"/>
      <c r="N443" s="242">
        <f t="shared" si="15"/>
        <v>3</v>
      </c>
      <c r="Q443" s="212" t="str">
        <f t="shared" si="14"/>
        <v/>
      </c>
      <c r="R443" s="174" t="s">
        <v>265</v>
      </c>
      <c r="S443" s="174" t="s">
        <v>273</v>
      </c>
      <c r="T443" s="174" t="str">
        <f>_xlfn.XLOOKUP(Buildings_GridElectricity_Backend[[#This Row],[Info 1]],Buildings_SiteInfo[Site name],Buildings_SiteInfo[Site type], "")</f>
        <v/>
      </c>
      <c r="U443" s="174" t="s">
        <v>281</v>
      </c>
      <c r="V443" s="174" t="str" cm="1">
        <f t="array" aca="1" ref="V443" ca="1">_xlfn.XLOOKUP(Buildings_GridElectricity_Backend[[#This Row],[Level 4]],rng_Level4Long,rng_Level5Long)</f>
        <v>Electricity</v>
      </c>
      <c r="W443" s="174" t="str" cm="1">
        <f t="array" aca="1" ref="W443" ca="1">_xlfn.XLOOKUP(Buildings_GridElectricity_Backend[[#This Row],[Level 4]],rng_Level4Long,rng_Level6Long)</f>
        <v>NaN</v>
      </c>
      <c r="X443" s="174">
        <f>Buildings_GridElectricity_Frontend[[#This Row],[Site Name]]</f>
        <v>0</v>
      </c>
      <c r="Y443" s="174">
        <f>Buildings_GridElectricity_Frontend[[#This Row],[Contracting]]</f>
        <v>0</v>
      </c>
      <c r="Z443" s="174">
        <f>Buildings_GridElectricity_Frontend[[#This Row],[Methodology]]</f>
        <v>0</v>
      </c>
      <c r="AA443" s="229" t="str" cm="1">
        <f t="array" ref="AA443">IF(Buildings_GridElectricity_Frontend[[#This Row],[Data]]="","",INDEX(_xlfn.SWITCH(Buildings_GridElectricity_Backend[[#This Row],[Methodology]],"Tier 1",rng_RSD1,"Tier 2",rng_RSD2,"Tier 3",rng_RSD3),MATCH(_xlfn.CONCAT(Buildings_GridElectricity_Backend[[#This Row],[Level 1]:[Level 6]]),rng_LevelsConcat,0)))</f>
        <v/>
      </c>
      <c r="AB443" s="220">
        <f>Buildings_GridElectricity_Frontend[[#This Row],[Data]]</f>
        <v>0</v>
      </c>
      <c r="AC443" s="174" t="str">
        <f>Buildings_GridElectricity_Frontend[[#This Row],[Units]]</f>
        <v>kWh</v>
      </c>
      <c r="AD443" s="218">
        <f>Buildings_GridElectricity_Frontend[[#This Row],[Data]]</f>
        <v>0</v>
      </c>
      <c r="AE443" s="174" t="str">
        <f>Buildings_GridElectricity_Frontend[[#This Row],[Units]]</f>
        <v>kWh</v>
      </c>
      <c r="AF443" s="210" t="str">
        <f>IF(Buildings_GridElectricity_Frontend[[#This Row],[Data]]="","",_xlfn.XLOOKUP(_xlfn.CONCAT(Buildings_GridElectricity_Backend[[#This Row],[Level 1]:[Level 6]]),rng_EFConcat,rng_EF1)*Buildings_GridElectricity_Backend[[#This Row],[Converted data]]/1000)</f>
        <v/>
      </c>
      <c r="AG443" s="210" t="str">
        <f>IF(Buildings_GridElectricity_Frontend[[#This Row],[Data]]="","",_xlfn.XLOOKUP(_xlfn.CONCAT(Buildings_GridElectricity_Backend[[#This Row],[Level 1]:[Level 6]]),rng_EFConcat,rng_EF2)*Buildings_GridElectricity_Backend[[#This Row],[Converted data]]/1000)</f>
        <v/>
      </c>
      <c r="AH443" s="210" t="str">
        <f>IF(Buildings_GridElectricity_Frontend[[#This Row],[Data]]="","",_xlfn.XLOOKUP(_xlfn.CONCAT(Buildings_GridElectricity_Backend[[#This Row],[Level 1]:[Level 6]]),rng_EFConcat,rng_EF3)*Buildings_GridElectricity_Backend[[#This Row],[Converted data]]/1000)</f>
        <v/>
      </c>
      <c r="AI443" s="210" t="str">
        <f>IF(Buildings_GridElectricity_Frontend[[#This Row],[Data]]="","",_xlfn.XLOOKUP(_xlfn.CONCAT(Buildings_GridElectricity_Backend[[#This Row],[Level 1]:[Level 6]]),rng_EFConcat,rng_EF3WTT)*Buildings_GridElectricity_Backend[[#This Row],[Converted data]]/1000)</f>
        <v/>
      </c>
      <c r="AJ443" s="210" t="str">
        <f>IF(Buildings_GridElectricity_Frontend[[#This Row],[Data]]="","",_xlfn.XLOOKUP(_xlfn.CONCAT(Buildings_GridElectricity_Backend[[#This Row],[Level 1]:[Level 6]]),rng_EFConcat,rng_EF3TD)*Buildings_GridElectricity_Backend[[#This Row],[Converted data]]/1000)</f>
        <v/>
      </c>
      <c r="AK443" s="210" t="str">
        <f>IF(Buildings_GridElectricity_Frontend[[#This Row],[Data]]="","",_xlfn.XLOOKUP(_xlfn.CONCAT(Buildings_GridElectricity_Backend[[#This Row],[Level 1]:[Level 6]]),rng_EFConcat,rng_EF3WTTTD)*Buildings_GridElectricity_Backend[[#This Row],[Converted data]]/1000)</f>
        <v/>
      </c>
      <c r="AL443" s="220" t="str">
        <f>IF(Buildings_GridElectricity_Frontend[[#This Row],[Data]]="","",SUM(Buildings_GridElectricity_Backend[[#This Row],[Scope 1 (tCO2e)]:[Scope 3 WTT T&amp;D (tCO2e)]]))</f>
        <v/>
      </c>
      <c r="AM443" s="220" t="str">
        <f>IF(Buildings_GridElectricity_Frontend[[#This Row],[Data]]="","",Buildings_GridElectricity_Backend[[#This Row],[Total (tCO2e)]]*(1-Buildings_GridElectricity_Backend[[#This Row],[RSD]]))</f>
        <v/>
      </c>
      <c r="AN443" s="220" t="str">
        <f>IF(Buildings_GridElectricity_Frontend[[#This Row],[Data]]="","",Buildings_GridElectricity_Backend[[#This Row],[Total (tCO2e)]]*(1+Buildings_GridElectricity_Backend[[#This Row],[RSD]]))</f>
        <v/>
      </c>
      <c r="AO443" s="210" t="str">
        <f>IF(Buildings_GridElectricity_Frontend[[#This Row],[Data]]="","",_xlfn.XLOOKUP(_xlfn.CONCAT(Buildings_GridElectricity_Backend[[#This Row],[Level 1]:[Level 6]]),rng_EFConcat,rng_EFOOS)*Buildings_GridElectricity_Backend[[#This Row],[Converted data]]/1000)</f>
        <v/>
      </c>
      <c r="AP443" s="174">
        <f>Buildings_GridElectricity_Frontend[[#This Row],[Ease of collection]]</f>
        <v>0</v>
      </c>
      <c r="AQ443" s="213">
        <f>Buildings_GridElectricity_Frontend[[#This Row],[Completeness]]</f>
        <v>0</v>
      </c>
      <c r="AR443" s="220">
        <f>Buildings_GridElectricity_Frontend[[#This Row],[Notes]]</f>
        <v>0</v>
      </c>
    </row>
    <row r="444" spans="5:44" x14ac:dyDescent="0.3">
      <c r="E444" s="346"/>
      <c r="F444" s="449"/>
      <c r="G444" s="336"/>
      <c r="H444" s="334"/>
      <c r="I444" s="172" t="s">
        <v>316</v>
      </c>
      <c r="J444" s="337"/>
      <c r="K444" s="336"/>
      <c r="L444" s="336"/>
      <c r="M444" s="337"/>
      <c r="N444" s="242">
        <f t="shared" si="15"/>
        <v>3</v>
      </c>
      <c r="Q444" s="212" t="str">
        <f t="shared" si="14"/>
        <v/>
      </c>
      <c r="R444" s="174" t="s">
        <v>265</v>
      </c>
      <c r="S444" s="174" t="s">
        <v>273</v>
      </c>
      <c r="T444" s="174" t="str">
        <f>_xlfn.XLOOKUP(Buildings_GridElectricity_Backend[[#This Row],[Info 1]],Buildings_SiteInfo[Site name],Buildings_SiteInfo[Site type], "")</f>
        <v/>
      </c>
      <c r="U444" s="174" t="s">
        <v>281</v>
      </c>
      <c r="V444" s="174" t="str" cm="1">
        <f t="array" aca="1" ref="V444" ca="1">_xlfn.XLOOKUP(Buildings_GridElectricity_Backend[[#This Row],[Level 4]],rng_Level4Long,rng_Level5Long)</f>
        <v>Electricity</v>
      </c>
      <c r="W444" s="174" t="str" cm="1">
        <f t="array" aca="1" ref="W444" ca="1">_xlfn.XLOOKUP(Buildings_GridElectricity_Backend[[#This Row],[Level 4]],rng_Level4Long,rng_Level6Long)</f>
        <v>NaN</v>
      </c>
      <c r="X444" s="174">
        <f>Buildings_GridElectricity_Frontend[[#This Row],[Site Name]]</f>
        <v>0</v>
      </c>
      <c r="Y444" s="174">
        <f>Buildings_GridElectricity_Frontend[[#This Row],[Contracting]]</f>
        <v>0</v>
      </c>
      <c r="Z444" s="174">
        <f>Buildings_GridElectricity_Frontend[[#This Row],[Methodology]]</f>
        <v>0</v>
      </c>
      <c r="AA444" s="229" t="str" cm="1">
        <f t="array" ref="AA444">IF(Buildings_GridElectricity_Frontend[[#This Row],[Data]]="","",INDEX(_xlfn.SWITCH(Buildings_GridElectricity_Backend[[#This Row],[Methodology]],"Tier 1",rng_RSD1,"Tier 2",rng_RSD2,"Tier 3",rng_RSD3),MATCH(_xlfn.CONCAT(Buildings_GridElectricity_Backend[[#This Row],[Level 1]:[Level 6]]),rng_LevelsConcat,0)))</f>
        <v/>
      </c>
      <c r="AB444" s="220">
        <f>Buildings_GridElectricity_Frontend[[#This Row],[Data]]</f>
        <v>0</v>
      </c>
      <c r="AC444" s="174" t="str">
        <f>Buildings_GridElectricity_Frontend[[#This Row],[Units]]</f>
        <v>kWh</v>
      </c>
      <c r="AD444" s="218">
        <f>Buildings_GridElectricity_Frontend[[#This Row],[Data]]</f>
        <v>0</v>
      </c>
      <c r="AE444" s="174" t="str">
        <f>Buildings_GridElectricity_Frontend[[#This Row],[Units]]</f>
        <v>kWh</v>
      </c>
      <c r="AF444" s="210" t="str">
        <f>IF(Buildings_GridElectricity_Frontend[[#This Row],[Data]]="","",_xlfn.XLOOKUP(_xlfn.CONCAT(Buildings_GridElectricity_Backend[[#This Row],[Level 1]:[Level 6]]),rng_EFConcat,rng_EF1)*Buildings_GridElectricity_Backend[[#This Row],[Converted data]]/1000)</f>
        <v/>
      </c>
      <c r="AG444" s="210" t="str">
        <f>IF(Buildings_GridElectricity_Frontend[[#This Row],[Data]]="","",_xlfn.XLOOKUP(_xlfn.CONCAT(Buildings_GridElectricity_Backend[[#This Row],[Level 1]:[Level 6]]),rng_EFConcat,rng_EF2)*Buildings_GridElectricity_Backend[[#This Row],[Converted data]]/1000)</f>
        <v/>
      </c>
      <c r="AH444" s="210" t="str">
        <f>IF(Buildings_GridElectricity_Frontend[[#This Row],[Data]]="","",_xlfn.XLOOKUP(_xlfn.CONCAT(Buildings_GridElectricity_Backend[[#This Row],[Level 1]:[Level 6]]),rng_EFConcat,rng_EF3)*Buildings_GridElectricity_Backend[[#This Row],[Converted data]]/1000)</f>
        <v/>
      </c>
      <c r="AI444" s="210" t="str">
        <f>IF(Buildings_GridElectricity_Frontend[[#This Row],[Data]]="","",_xlfn.XLOOKUP(_xlfn.CONCAT(Buildings_GridElectricity_Backend[[#This Row],[Level 1]:[Level 6]]),rng_EFConcat,rng_EF3WTT)*Buildings_GridElectricity_Backend[[#This Row],[Converted data]]/1000)</f>
        <v/>
      </c>
      <c r="AJ444" s="210" t="str">
        <f>IF(Buildings_GridElectricity_Frontend[[#This Row],[Data]]="","",_xlfn.XLOOKUP(_xlfn.CONCAT(Buildings_GridElectricity_Backend[[#This Row],[Level 1]:[Level 6]]),rng_EFConcat,rng_EF3TD)*Buildings_GridElectricity_Backend[[#This Row],[Converted data]]/1000)</f>
        <v/>
      </c>
      <c r="AK444" s="210" t="str">
        <f>IF(Buildings_GridElectricity_Frontend[[#This Row],[Data]]="","",_xlfn.XLOOKUP(_xlfn.CONCAT(Buildings_GridElectricity_Backend[[#This Row],[Level 1]:[Level 6]]),rng_EFConcat,rng_EF3WTTTD)*Buildings_GridElectricity_Backend[[#This Row],[Converted data]]/1000)</f>
        <v/>
      </c>
      <c r="AL444" s="220" t="str">
        <f>IF(Buildings_GridElectricity_Frontend[[#This Row],[Data]]="","",SUM(Buildings_GridElectricity_Backend[[#This Row],[Scope 1 (tCO2e)]:[Scope 3 WTT T&amp;D (tCO2e)]]))</f>
        <v/>
      </c>
      <c r="AM444" s="220" t="str">
        <f>IF(Buildings_GridElectricity_Frontend[[#This Row],[Data]]="","",Buildings_GridElectricity_Backend[[#This Row],[Total (tCO2e)]]*(1-Buildings_GridElectricity_Backend[[#This Row],[RSD]]))</f>
        <v/>
      </c>
      <c r="AN444" s="220" t="str">
        <f>IF(Buildings_GridElectricity_Frontend[[#This Row],[Data]]="","",Buildings_GridElectricity_Backend[[#This Row],[Total (tCO2e)]]*(1+Buildings_GridElectricity_Backend[[#This Row],[RSD]]))</f>
        <v/>
      </c>
      <c r="AO444" s="210" t="str">
        <f>IF(Buildings_GridElectricity_Frontend[[#This Row],[Data]]="","",_xlfn.XLOOKUP(_xlfn.CONCAT(Buildings_GridElectricity_Backend[[#This Row],[Level 1]:[Level 6]]),rng_EFConcat,rng_EFOOS)*Buildings_GridElectricity_Backend[[#This Row],[Converted data]]/1000)</f>
        <v/>
      </c>
      <c r="AP444" s="174">
        <f>Buildings_GridElectricity_Frontend[[#This Row],[Ease of collection]]</f>
        <v>0</v>
      </c>
      <c r="AQ444" s="213">
        <f>Buildings_GridElectricity_Frontend[[#This Row],[Completeness]]</f>
        <v>0</v>
      </c>
      <c r="AR444" s="220">
        <f>Buildings_GridElectricity_Frontend[[#This Row],[Notes]]</f>
        <v>0</v>
      </c>
    </row>
    <row r="445" spans="5:44" x14ac:dyDescent="0.3">
      <c r="E445" s="346"/>
      <c r="F445" s="449"/>
      <c r="G445" s="336"/>
      <c r="H445" s="334"/>
      <c r="I445" s="172" t="s">
        <v>316</v>
      </c>
      <c r="J445" s="337"/>
      <c r="K445" s="336"/>
      <c r="L445" s="336"/>
      <c r="M445" s="337"/>
      <c r="N445" s="242">
        <f t="shared" si="15"/>
        <v>3</v>
      </c>
      <c r="Q445" s="212" t="str">
        <f t="shared" si="14"/>
        <v/>
      </c>
      <c r="R445" s="174" t="s">
        <v>265</v>
      </c>
      <c r="S445" s="174" t="s">
        <v>273</v>
      </c>
      <c r="T445" s="174" t="str">
        <f>_xlfn.XLOOKUP(Buildings_GridElectricity_Backend[[#This Row],[Info 1]],Buildings_SiteInfo[Site name],Buildings_SiteInfo[Site type], "")</f>
        <v/>
      </c>
      <c r="U445" s="174" t="s">
        <v>281</v>
      </c>
      <c r="V445" s="174" t="str" cm="1">
        <f t="array" aca="1" ref="V445" ca="1">_xlfn.XLOOKUP(Buildings_GridElectricity_Backend[[#This Row],[Level 4]],rng_Level4Long,rng_Level5Long)</f>
        <v>Electricity</v>
      </c>
      <c r="W445" s="174" t="str" cm="1">
        <f t="array" aca="1" ref="W445" ca="1">_xlfn.XLOOKUP(Buildings_GridElectricity_Backend[[#This Row],[Level 4]],rng_Level4Long,rng_Level6Long)</f>
        <v>NaN</v>
      </c>
      <c r="X445" s="174">
        <f>Buildings_GridElectricity_Frontend[[#This Row],[Site Name]]</f>
        <v>0</v>
      </c>
      <c r="Y445" s="174">
        <f>Buildings_GridElectricity_Frontend[[#This Row],[Contracting]]</f>
        <v>0</v>
      </c>
      <c r="Z445" s="174">
        <f>Buildings_GridElectricity_Frontend[[#This Row],[Methodology]]</f>
        <v>0</v>
      </c>
      <c r="AA445" s="229" t="str" cm="1">
        <f t="array" ref="AA445">IF(Buildings_GridElectricity_Frontend[[#This Row],[Data]]="","",INDEX(_xlfn.SWITCH(Buildings_GridElectricity_Backend[[#This Row],[Methodology]],"Tier 1",rng_RSD1,"Tier 2",rng_RSD2,"Tier 3",rng_RSD3),MATCH(_xlfn.CONCAT(Buildings_GridElectricity_Backend[[#This Row],[Level 1]:[Level 6]]),rng_LevelsConcat,0)))</f>
        <v/>
      </c>
      <c r="AB445" s="220">
        <f>Buildings_GridElectricity_Frontend[[#This Row],[Data]]</f>
        <v>0</v>
      </c>
      <c r="AC445" s="174" t="str">
        <f>Buildings_GridElectricity_Frontend[[#This Row],[Units]]</f>
        <v>kWh</v>
      </c>
      <c r="AD445" s="218">
        <f>Buildings_GridElectricity_Frontend[[#This Row],[Data]]</f>
        <v>0</v>
      </c>
      <c r="AE445" s="174" t="str">
        <f>Buildings_GridElectricity_Frontend[[#This Row],[Units]]</f>
        <v>kWh</v>
      </c>
      <c r="AF445" s="210" t="str">
        <f>IF(Buildings_GridElectricity_Frontend[[#This Row],[Data]]="","",_xlfn.XLOOKUP(_xlfn.CONCAT(Buildings_GridElectricity_Backend[[#This Row],[Level 1]:[Level 6]]),rng_EFConcat,rng_EF1)*Buildings_GridElectricity_Backend[[#This Row],[Converted data]]/1000)</f>
        <v/>
      </c>
      <c r="AG445" s="210" t="str">
        <f>IF(Buildings_GridElectricity_Frontend[[#This Row],[Data]]="","",_xlfn.XLOOKUP(_xlfn.CONCAT(Buildings_GridElectricity_Backend[[#This Row],[Level 1]:[Level 6]]),rng_EFConcat,rng_EF2)*Buildings_GridElectricity_Backend[[#This Row],[Converted data]]/1000)</f>
        <v/>
      </c>
      <c r="AH445" s="210" t="str">
        <f>IF(Buildings_GridElectricity_Frontend[[#This Row],[Data]]="","",_xlfn.XLOOKUP(_xlfn.CONCAT(Buildings_GridElectricity_Backend[[#This Row],[Level 1]:[Level 6]]),rng_EFConcat,rng_EF3)*Buildings_GridElectricity_Backend[[#This Row],[Converted data]]/1000)</f>
        <v/>
      </c>
      <c r="AI445" s="210" t="str">
        <f>IF(Buildings_GridElectricity_Frontend[[#This Row],[Data]]="","",_xlfn.XLOOKUP(_xlfn.CONCAT(Buildings_GridElectricity_Backend[[#This Row],[Level 1]:[Level 6]]),rng_EFConcat,rng_EF3WTT)*Buildings_GridElectricity_Backend[[#This Row],[Converted data]]/1000)</f>
        <v/>
      </c>
      <c r="AJ445" s="210" t="str">
        <f>IF(Buildings_GridElectricity_Frontend[[#This Row],[Data]]="","",_xlfn.XLOOKUP(_xlfn.CONCAT(Buildings_GridElectricity_Backend[[#This Row],[Level 1]:[Level 6]]),rng_EFConcat,rng_EF3TD)*Buildings_GridElectricity_Backend[[#This Row],[Converted data]]/1000)</f>
        <v/>
      </c>
      <c r="AK445" s="210" t="str">
        <f>IF(Buildings_GridElectricity_Frontend[[#This Row],[Data]]="","",_xlfn.XLOOKUP(_xlfn.CONCAT(Buildings_GridElectricity_Backend[[#This Row],[Level 1]:[Level 6]]),rng_EFConcat,rng_EF3WTTTD)*Buildings_GridElectricity_Backend[[#This Row],[Converted data]]/1000)</f>
        <v/>
      </c>
      <c r="AL445" s="220" t="str">
        <f>IF(Buildings_GridElectricity_Frontend[[#This Row],[Data]]="","",SUM(Buildings_GridElectricity_Backend[[#This Row],[Scope 1 (tCO2e)]:[Scope 3 WTT T&amp;D (tCO2e)]]))</f>
        <v/>
      </c>
      <c r="AM445" s="220" t="str">
        <f>IF(Buildings_GridElectricity_Frontend[[#This Row],[Data]]="","",Buildings_GridElectricity_Backend[[#This Row],[Total (tCO2e)]]*(1-Buildings_GridElectricity_Backend[[#This Row],[RSD]]))</f>
        <v/>
      </c>
      <c r="AN445" s="220" t="str">
        <f>IF(Buildings_GridElectricity_Frontend[[#This Row],[Data]]="","",Buildings_GridElectricity_Backend[[#This Row],[Total (tCO2e)]]*(1+Buildings_GridElectricity_Backend[[#This Row],[RSD]]))</f>
        <v/>
      </c>
      <c r="AO445" s="210" t="str">
        <f>IF(Buildings_GridElectricity_Frontend[[#This Row],[Data]]="","",_xlfn.XLOOKUP(_xlfn.CONCAT(Buildings_GridElectricity_Backend[[#This Row],[Level 1]:[Level 6]]),rng_EFConcat,rng_EFOOS)*Buildings_GridElectricity_Backend[[#This Row],[Converted data]]/1000)</f>
        <v/>
      </c>
      <c r="AP445" s="174">
        <f>Buildings_GridElectricity_Frontend[[#This Row],[Ease of collection]]</f>
        <v>0</v>
      </c>
      <c r="AQ445" s="213">
        <f>Buildings_GridElectricity_Frontend[[#This Row],[Completeness]]</f>
        <v>0</v>
      </c>
      <c r="AR445" s="220">
        <f>Buildings_GridElectricity_Frontend[[#This Row],[Notes]]</f>
        <v>0</v>
      </c>
    </row>
    <row r="446" spans="5:44" x14ac:dyDescent="0.3">
      <c r="E446" s="346"/>
      <c r="F446" s="449"/>
      <c r="G446" s="336"/>
      <c r="H446" s="334"/>
      <c r="I446" s="172" t="s">
        <v>316</v>
      </c>
      <c r="J446" s="337"/>
      <c r="K446" s="336"/>
      <c r="L446" s="336"/>
      <c r="M446" s="337"/>
      <c r="N446" s="242">
        <f t="shared" si="15"/>
        <v>3</v>
      </c>
      <c r="Q446" s="212" t="str">
        <f t="shared" si="14"/>
        <v/>
      </c>
      <c r="R446" s="174" t="s">
        <v>265</v>
      </c>
      <c r="S446" s="174" t="s">
        <v>273</v>
      </c>
      <c r="T446" s="174" t="str">
        <f>_xlfn.XLOOKUP(Buildings_GridElectricity_Backend[[#This Row],[Info 1]],Buildings_SiteInfo[Site name],Buildings_SiteInfo[Site type], "")</f>
        <v/>
      </c>
      <c r="U446" s="174" t="s">
        <v>281</v>
      </c>
      <c r="V446" s="174" t="str" cm="1">
        <f t="array" aca="1" ref="V446" ca="1">_xlfn.XLOOKUP(Buildings_GridElectricity_Backend[[#This Row],[Level 4]],rng_Level4Long,rng_Level5Long)</f>
        <v>Electricity</v>
      </c>
      <c r="W446" s="174" t="str" cm="1">
        <f t="array" aca="1" ref="W446" ca="1">_xlfn.XLOOKUP(Buildings_GridElectricity_Backend[[#This Row],[Level 4]],rng_Level4Long,rng_Level6Long)</f>
        <v>NaN</v>
      </c>
      <c r="X446" s="174">
        <f>Buildings_GridElectricity_Frontend[[#This Row],[Site Name]]</f>
        <v>0</v>
      </c>
      <c r="Y446" s="174">
        <f>Buildings_GridElectricity_Frontend[[#This Row],[Contracting]]</f>
        <v>0</v>
      </c>
      <c r="Z446" s="174">
        <f>Buildings_GridElectricity_Frontend[[#This Row],[Methodology]]</f>
        <v>0</v>
      </c>
      <c r="AA446" s="229" t="str" cm="1">
        <f t="array" ref="AA446">IF(Buildings_GridElectricity_Frontend[[#This Row],[Data]]="","",INDEX(_xlfn.SWITCH(Buildings_GridElectricity_Backend[[#This Row],[Methodology]],"Tier 1",rng_RSD1,"Tier 2",rng_RSD2,"Tier 3",rng_RSD3),MATCH(_xlfn.CONCAT(Buildings_GridElectricity_Backend[[#This Row],[Level 1]:[Level 6]]),rng_LevelsConcat,0)))</f>
        <v/>
      </c>
      <c r="AB446" s="220">
        <f>Buildings_GridElectricity_Frontend[[#This Row],[Data]]</f>
        <v>0</v>
      </c>
      <c r="AC446" s="174" t="str">
        <f>Buildings_GridElectricity_Frontend[[#This Row],[Units]]</f>
        <v>kWh</v>
      </c>
      <c r="AD446" s="218">
        <f>Buildings_GridElectricity_Frontend[[#This Row],[Data]]</f>
        <v>0</v>
      </c>
      <c r="AE446" s="174" t="str">
        <f>Buildings_GridElectricity_Frontend[[#This Row],[Units]]</f>
        <v>kWh</v>
      </c>
      <c r="AF446" s="210" t="str">
        <f>IF(Buildings_GridElectricity_Frontend[[#This Row],[Data]]="","",_xlfn.XLOOKUP(_xlfn.CONCAT(Buildings_GridElectricity_Backend[[#This Row],[Level 1]:[Level 6]]),rng_EFConcat,rng_EF1)*Buildings_GridElectricity_Backend[[#This Row],[Converted data]]/1000)</f>
        <v/>
      </c>
      <c r="AG446" s="210" t="str">
        <f>IF(Buildings_GridElectricity_Frontend[[#This Row],[Data]]="","",_xlfn.XLOOKUP(_xlfn.CONCAT(Buildings_GridElectricity_Backend[[#This Row],[Level 1]:[Level 6]]),rng_EFConcat,rng_EF2)*Buildings_GridElectricity_Backend[[#This Row],[Converted data]]/1000)</f>
        <v/>
      </c>
      <c r="AH446" s="210" t="str">
        <f>IF(Buildings_GridElectricity_Frontend[[#This Row],[Data]]="","",_xlfn.XLOOKUP(_xlfn.CONCAT(Buildings_GridElectricity_Backend[[#This Row],[Level 1]:[Level 6]]),rng_EFConcat,rng_EF3)*Buildings_GridElectricity_Backend[[#This Row],[Converted data]]/1000)</f>
        <v/>
      </c>
      <c r="AI446" s="210" t="str">
        <f>IF(Buildings_GridElectricity_Frontend[[#This Row],[Data]]="","",_xlfn.XLOOKUP(_xlfn.CONCAT(Buildings_GridElectricity_Backend[[#This Row],[Level 1]:[Level 6]]),rng_EFConcat,rng_EF3WTT)*Buildings_GridElectricity_Backend[[#This Row],[Converted data]]/1000)</f>
        <v/>
      </c>
      <c r="AJ446" s="210" t="str">
        <f>IF(Buildings_GridElectricity_Frontend[[#This Row],[Data]]="","",_xlfn.XLOOKUP(_xlfn.CONCAT(Buildings_GridElectricity_Backend[[#This Row],[Level 1]:[Level 6]]),rng_EFConcat,rng_EF3TD)*Buildings_GridElectricity_Backend[[#This Row],[Converted data]]/1000)</f>
        <v/>
      </c>
      <c r="AK446" s="210" t="str">
        <f>IF(Buildings_GridElectricity_Frontend[[#This Row],[Data]]="","",_xlfn.XLOOKUP(_xlfn.CONCAT(Buildings_GridElectricity_Backend[[#This Row],[Level 1]:[Level 6]]),rng_EFConcat,rng_EF3WTTTD)*Buildings_GridElectricity_Backend[[#This Row],[Converted data]]/1000)</f>
        <v/>
      </c>
      <c r="AL446" s="220" t="str">
        <f>IF(Buildings_GridElectricity_Frontend[[#This Row],[Data]]="","",SUM(Buildings_GridElectricity_Backend[[#This Row],[Scope 1 (tCO2e)]:[Scope 3 WTT T&amp;D (tCO2e)]]))</f>
        <v/>
      </c>
      <c r="AM446" s="220" t="str">
        <f>IF(Buildings_GridElectricity_Frontend[[#This Row],[Data]]="","",Buildings_GridElectricity_Backend[[#This Row],[Total (tCO2e)]]*(1-Buildings_GridElectricity_Backend[[#This Row],[RSD]]))</f>
        <v/>
      </c>
      <c r="AN446" s="220" t="str">
        <f>IF(Buildings_GridElectricity_Frontend[[#This Row],[Data]]="","",Buildings_GridElectricity_Backend[[#This Row],[Total (tCO2e)]]*(1+Buildings_GridElectricity_Backend[[#This Row],[RSD]]))</f>
        <v/>
      </c>
      <c r="AO446" s="210" t="str">
        <f>IF(Buildings_GridElectricity_Frontend[[#This Row],[Data]]="","",_xlfn.XLOOKUP(_xlfn.CONCAT(Buildings_GridElectricity_Backend[[#This Row],[Level 1]:[Level 6]]),rng_EFConcat,rng_EFOOS)*Buildings_GridElectricity_Backend[[#This Row],[Converted data]]/1000)</f>
        <v/>
      </c>
      <c r="AP446" s="174">
        <f>Buildings_GridElectricity_Frontend[[#This Row],[Ease of collection]]</f>
        <v>0</v>
      </c>
      <c r="AQ446" s="213">
        <f>Buildings_GridElectricity_Frontend[[#This Row],[Completeness]]</f>
        <v>0</v>
      </c>
      <c r="AR446" s="220">
        <f>Buildings_GridElectricity_Frontend[[#This Row],[Notes]]</f>
        <v>0</v>
      </c>
    </row>
    <row r="447" spans="5:44" x14ac:dyDescent="0.3">
      <c r="E447" s="346"/>
      <c r="F447" s="449"/>
      <c r="G447" s="336"/>
      <c r="H447" s="334"/>
      <c r="I447" s="172" t="s">
        <v>316</v>
      </c>
      <c r="J447" s="337"/>
      <c r="K447" s="336"/>
      <c r="L447" s="336"/>
      <c r="M447" s="337"/>
      <c r="N447" s="242">
        <f t="shared" si="15"/>
        <v>3</v>
      </c>
      <c r="Q447" s="212" t="str">
        <f t="shared" si="14"/>
        <v/>
      </c>
      <c r="R447" s="174" t="s">
        <v>265</v>
      </c>
      <c r="S447" s="174" t="s">
        <v>273</v>
      </c>
      <c r="T447" s="174" t="str">
        <f>_xlfn.XLOOKUP(Buildings_GridElectricity_Backend[[#This Row],[Info 1]],Buildings_SiteInfo[Site name],Buildings_SiteInfo[Site type], "")</f>
        <v/>
      </c>
      <c r="U447" s="174" t="s">
        <v>281</v>
      </c>
      <c r="V447" s="174" t="str" cm="1">
        <f t="array" aca="1" ref="V447" ca="1">_xlfn.XLOOKUP(Buildings_GridElectricity_Backend[[#This Row],[Level 4]],rng_Level4Long,rng_Level5Long)</f>
        <v>Electricity</v>
      </c>
      <c r="W447" s="174" t="str" cm="1">
        <f t="array" aca="1" ref="W447" ca="1">_xlfn.XLOOKUP(Buildings_GridElectricity_Backend[[#This Row],[Level 4]],rng_Level4Long,rng_Level6Long)</f>
        <v>NaN</v>
      </c>
      <c r="X447" s="174">
        <f>Buildings_GridElectricity_Frontend[[#This Row],[Site Name]]</f>
        <v>0</v>
      </c>
      <c r="Y447" s="174">
        <f>Buildings_GridElectricity_Frontend[[#This Row],[Contracting]]</f>
        <v>0</v>
      </c>
      <c r="Z447" s="174">
        <f>Buildings_GridElectricity_Frontend[[#This Row],[Methodology]]</f>
        <v>0</v>
      </c>
      <c r="AA447" s="229" t="str" cm="1">
        <f t="array" ref="AA447">IF(Buildings_GridElectricity_Frontend[[#This Row],[Data]]="","",INDEX(_xlfn.SWITCH(Buildings_GridElectricity_Backend[[#This Row],[Methodology]],"Tier 1",rng_RSD1,"Tier 2",rng_RSD2,"Tier 3",rng_RSD3),MATCH(_xlfn.CONCAT(Buildings_GridElectricity_Backend[[#This Row],[Level 1]:[Level 6]]),rng_LevelsConcat,0)))</f>
        <v/>
      </c>
      <c r="AB447" s="220">
        <f>Buildings_GridElectricity_Frontend[[#This Row],[Data]]</f>
        <v>0</v>
      </c>
      <c r="AC447" s="174" t="str">
        <f>Buildings_GridElectricity_Frontend[[#This Row],[Units]]</f>
        <v>kWh</v>
      </c>
      <c r="AD447" s="218">
        <f>Buildings_GridElectricity_Frontend[[#This Row],[Data]]</f>
        <v>0</v>
      </c>
      <c r="AE447" s="174" t="str">
        <f>Buildings_GridElectricity_Frontend[[#This Row],[Units]]</f>
        <v>kWh</v>
      </c>
      <c r="AF447" s="210" t="str">
        <f>IF(Buildings_GridElectricity_Frontend[[#This Row],[Data]]="","",_xlfn.XLOOKUP(_xlfn.CONCAT(Buildings_GridElectricity_Backend[[#This Row],[Level 1]:[Level 6]]),rng_EFConcat,rng_EF1)*Buildings_GridElectricity_Backend[[#This Row],[Converted data]]/1000)</f>
        <v/>
      </c>
      <c r="AG447" s="210" t="str">
        <f>IF(Buildings_GridElectricity_Frontend[[#This Row],[Data]]="","",_xlfn.XLOOKUP(_xlfn.CONCAT(Buildings_GridElectricity_Backend[[#This Row],[Level 1]:[Level 6]]),rng_EFConcat,rng_EF2)*Buildings_GridElectricity_Backend[[#This Row],[Converted data]]/1000)</f>
        <v/>
      </c>
      <c r="AH447" s="210" t="str">
        <f>IF(Buildings_GridElectricity_Frontend[[#This Row],[Data]]="","",_xlfn.XLOOKUP(_xlfn.CONCAT(Buildings_GridElectricity_Backend[[#This Row],[Level 1]:[Level 6]]),rng_EFConcat,rng_EF3)*Buildings_GridElectricity_Backend[[#This Row],[Converted data]]/1000)</f>
        <v/>
      </c>
      <c r="AI447" s="210" t="str">
        <f>IF(Buildings_GridElectricity_Frontend[[#This Row],[Data]]="","",_xlfn.XLOOKUP(_xlfn.CONCAT(Buildings_GridElectricity_Backend[[#This Row],[Level 1]:[Level 6]]),rng_EFConcat,rng_EF3WTT)*Buildings_GridElectricity_Backend[[#This Row],[Converted data]]/1000)</f>
        <v/>
      </c>
      <c r="AJ447" s="210" t="str">
        <f>IF(Buildings_GridElectricity_Frontend[[#This Row],[Data]]="","",_xlfn.XLOOKUP(_xlfn.CONCAT(Buildings_GridElectricity_Backend[[#This Row],[Level 1]:[Level 6]]),rng_EFConcat,rng_EF3TD)*Buildings_GridElectricity_Backend[[#This Row],[Converted data]]/1000)</f>
        <v/>
      </c>
      <c r="AK447" s="210" t="str">
        <f>IF(Buildings_GridElectricity_Frontend[[#This Row],[Data]]="","",_xlfn.XLOOKUP(_xlfn.CONCAT(Buildings_GridElectricity_Backend[[#This Row],[Level 1]:[Level 6]]),rng_EFConcat,rng_EF3WTTTD)*Buildings_GridElectricity_Backend[[#This Row],[Converted data]]/1000)</f>
        <v/>
      </c>
      <c r="AL447" s="220" t="str">
        <f>IF(Buildings_GridElectricity_Frontend[[#This Row],[Data]]="","",SUM(Buildings_GridElectricity_Backend[[#This Row],[Scope 1 (tCO2e)]:[Scope 3 WTT T&amp;D (tCO2e)]]))</f>
        <v/>
      </c>
      <c r="AM447" s="220" t="str">
        <f>IF(Buildings_GridElectricity_Frontend[[#This Row],[Data]]="","",Buildings_GridElectricity_Backend[[#This Row],[Total (tCO2e)]]*(1-Buildings_GridElectricity_Backend[[#This Row],[RSD]]))</f>
        <v/>
      </c>
      <c r="AN447" s="220" t="str">
        <f>IF(Buildings_GridElectricity_Frontend[[#This Row],[Data]]="","",Buildings_GridElectricity_Backend[[#This Row],[Total (tCO2e)]]*(1+Buildings_GridElectricity_Backend[[#This Row],[RSD]]))</f>
        <v/>
      </c>
      <c r="AO447" s="210" t="str">
        <f>IF(Buildings_GridElectricity_Frontend[[#This Row],[Data]]="","",_xlfn.XLOOKUP(_xlfn.CONCAT(Buildings_GridElectricity_Backend[[#This Row],[Level 1]:[Level 6]]),rng_EFConcat,rng_EFOOS)*Buildings_GridElectricity_Backend[[#This Row],[Converted data]]/1000)</f>
        <v/>
      </c>
      <c r="AP447" s="174">
        <f>Buildings_GridElectricity_Frontend[[#This Row],[Ease of collection]]</f>
        <v>0</v>
      </c>
      <c r="AQ447" s="213">
        <f>Buildings_GridElectricity_Frontend[[#This Row],[Completeness]]</f>
        <v>0</v>
      </c>
      <c r="AR447" s="220">
        <f>Buildings_GridElectricity_Frontend[[#This Row],[Notes]]</f>
        <v>0</v>
      </c>
    </row>
    <row r="448" spans="5:44" x14ac:dyDescent="0.3">
      <c r="E448" s="346"/>
      <c r="F448" s="449"/>
      <c r="G448" s="336"/>
      <c r="H448" s="334"/>
      <c r="I448" s="172" t="s">
        <v>316</v>
      </c>
      <c r="J448" s="337"/>
      <c r="K448" s="336"/>
      <c r="L448" s="336"/>
      <c r="M448" s="337"/>
      <c r="N448" s="242">
        <f t="shared" si="15"/>
        <v>3</v>
      </c>
      <c r="Q448" s="212" t="str">
        <f t="shared" si="14"/>
        <v/>
      </c>
      <c r="R448" s="174" t="s">
        <v>265</v>
      </c>
      <c r="S448" s="174" t="s">
        <v>273</v>
      </c>
      <c r="T448" s="174" t="str">
        <f>_xlfn.XLOOKUP(Buildings_GridElectricity_Backend[[#This Row],[Info 1]],Buildings_SiteInfo[Site name],Buildings_SiteInfo[Site type], "")</f>
        <v/>
      </c>
      <c r="U448" s="174" t="s">
        <v>281</v>
      </c>
      <c r="V448" s="174" t="str" cm="1">
        <f t="array" aca="1" ref="V448" ca="1">_xlfn.XLOOKUP(Buildings_GridElectricity_Backend[[#This Row],[Level 4]],rng_Level4Long,rng_Level5Long)</f>
        <v>Electricity</v>
      </c>
      <c r="W448" s="174" t="str" cm="1">
        <f t="array" aca="1" ref="W448" ca="1">_xlfn.XLOOKUP(Buildings_GridElectricity_Backend[[#This Row],[Level 4]],rng_Level4Long,rng_Level6Long)</f>
        <v>NaN</v>
      </c>
      <c r="X448" s="174">
        <f>Buildings_GridElectricity_Frontend[[#This Row],[Site Name]]</f>
        <v>0</v>
      </c>
      <c r="Y448" s="174">
        <f>Buildings_GridElectricity_Frontend[[#This Row],[Contracting]]</f>
        <v>0</v>
      </c>
      <c r="Z448" s="174">
        <f>Buildings_GridElectricity_Frontend[[#This Row],[Methodology]]</f>
        <v>0</v>
      </c>
      <c r="AA448" s="229" t="str" cm="1">
        <f t="array" ref="AA448">IF(Buildings_GridElectricity_Frontend[[#This Row],[Data]]="","",INDEX(_xlfn.SWITCH(Buildings_GridElectricity_Backend[[#This Row],[Methodology]],"Tier 1",rng_RSD1,"Tier 2",rng_RSD2,"Tier 3",rng_RSD3),MATCH(_xlfn.CONCAT(Buildings_GridElectricity_Backend[[#This Row],[Level 1]:[Level 6]]),rng_LevelsConcat,0)))</f>
        <v/>
      </c>
      <c r="AB448" s="220">
        <f>Buildings_GridElectricity_Frontend[[#This Row],[Data]]</f>
        <v>0</v>
      </c>
      <c r="AC448" s="174" t="str">
        <f>Buildings_GridElectricity_Frontend[[#This Row],[Units]]</f>
        <v>kWh</v>
      </c>
      <c r="AD448" s="218">
        <f>Buildings_GridElectricity_Frontend[[#This Row],[Data]]</f>
        <v>0</v>
      </c>
      <c r="AE448" s="174" t="str">
        <f>Buildings_GridElectricity_Frontend[[#This Row],[Units]]</f>
        <v>kWh</v>
      </c>
      <c r="AF448" s="210" t="str">
        <f>IF(Buildings_GridElectricity_Frontend[[#This Row],[Data]]="","",_xlfn.XLOOKUP(_xlfn.CONCAT(Buildings_GridElectricity_Backend[[#This Row],[Level 1]:[Level 6]]),rng_EFConcat,rng_EF1)*Buildings_GridElectricity_Backend[[#This Row],[Converted data]]/1000)</f>
        <v/>
      </c>
      <c r="AG448" s="210" t="str">
        <f>IF(Buildings_GridElectricity_Frontend[[#This Row],[Data]]="","",_xlfn.XLOOKUP(_xlfn.CONCAT(Buildings_GridElectricity_Backend[[#This Row],[Level 1]:[Level 6]]),rng_EFConcat,rng_EF2)*Buildings_GridElectricity_Backend[[#This Row],[Converted data]]/1000)</f>
        <v/>
      </c>
      <c r="AH448" s="210" t="str">
        <f>IF(Buildings_GridElectricity_Frontend[[#This Row],[Data]]="","",_xlfn.XLOOKUP(_xlfn.CONCAT(Buildings_GridElectricity_Backend[[#This Row],[Level 1]:[Level 6]]),rng_EFConcat,rng_EF3)*Buildings_GridElectricity_Backend[[#This Row],[Converted data]]/1000)</f>
        <v/>
      </c>
      <c r="AI448" s="210" t="str">
        <f>IF(Buildings_GridElectricity_Frontend[[#This Row],[Data]]="","",_xlfn.XLOOKUP(_xlfn.CONCAT(Buildings_GridElectricity_Backend[[#This Row],[Level 1]:[Level 6]]),rng_EFConcat,rng_EF3WTT)*Buildings_GridElectricity_Backend[[#This Row],[Converted data]]/1000)</f>
        <v/>
      </c>
      <c r="AJ448" s="210" t="str">
        <f>IF(Buildings_GridElectricity_Frontend[[#This Row],[Data]]="","",_xlfn.XLOOKUP(_xlfn.CONCAT(Buildings_GridElectricity_Backend[[#This Row],[Level 1]:[Level 6]]),rng_EFConcat,rng_EF3TD)*Buildings_GridElectricity_Backend[[#This Row],[Converted data]]/1000)</f>
        <v/>
      </c>
      <c r="AK448" s="210" t="str">
        <f>IF(Buildings_GridElectricity_Frontend[[#This Row],[Data]]="","",_xlfn.XLOOKUP(_xlfn.CONCAT(Buildings_GridElectricity_Backend[[#This Row],[Level 1]:[Level 6]]),rng_EFConcat,rng_EF3WTTTD)*Buildings_GridElectricity_Backend[[#This Row],[Converted data]]/1000)</f>
        <v/>
      </c>
      <c r="AL448" s="220" t="str">
        <f>IF(Buildings_GridElectricity_Frontend[[#This Row],[Data]]="","",SUM(Buildings_GridElectricity_Backend[[#This Row],[Scope 1 (tCO2e)]:[Scope 3 WTT T&amp;D (tCO2e)]]))</f>
        <v/>
      </c>
      <c r="AM448" s="220" t="str">
        <f>IF(Buildings_GridElectricity_Frontend[[#This Row],[Data]]="","",Buildings_GridElectricity_Backend[[#This Row],[Total (tCO2e)]]*(1-Buildings_GridElectricity_Backend[[#This Row],[RSD]]))</f>
        <v/>
      </c>
      <c r="AN448" s="220" t="str">
        <f>IF(Buildings_GridElectricity_Frontend[[#This Row],[Data]]="","",Buildings_GridElectricity_Backend[[#This Row],[Total (tCO2e)]]*(1+Buildings_GridElectricity_Backend[[#This Row],[RSD]]))</f>
        <v/>
      </c>
      <c r="AO448" s="210" t="str">
        <f>IF(Buildings_GridElectricity_Frontend[[#This Row],[Data]]="","",_xlfn.XLOOKUP(_xlfn.CONCAT(Buildings_GridElectricity_Backend[[#This Row],[Level 1]:[Level 6]]),rng_EFConcat,rng_EFOOS)*Buildings_GridElectricity_Backend[[#This Row],[Converted data]]/1000)</f>
        <v/>
      </c>
      <c r="AP448" s="174">
        <f>Buildings_GridElectricity_Frontend[[#This Row],[Ease of collection]]</f>
        <v>0</v>
      </c>
      <c r="AQ448" s="213">
        <f>Buildings_GridElectricity_Frontend[[#This Row],[Completeness]]</f>
        <v>0</v>
      </c>
      <c r="AR448" s="220">
        <f>Buildings_GridElectricity_Frontend[[#This Row],[Notes]]</f>
        <v>0</v>
      </c>
    </row>
    <row r="449" spans="5:44" x14ac:dyDescent="0.3">
      <c r="E449" s="346"/>
      <c r="F449" s="449"/>
      <c r="G449" s="336"/>
      <c r="H449" s="334"/>
      <c r="I449" s="172" t="s">
        <v>316</v>
      </c>
      <c r="J449" s="337"/>
      <c r="K449" s="336"/>
      <c r="L449" s="336"/>
      <c r="M449" s="337"/>
      <c r="N449" s="242">
        <f t="shared" si="15"/>
        <v>3</v>
      </c>
      <c r="Q449" s="212" t="str">
        <f t="shared" si="14"/>
        <v/>
      </c>
      <c r="R449" s="174" t="s">
        <v>265</v>
      </c>
      <c r="S449" s="174" t="s">
        <v>273</v>
      </c>
      <c r="T449" s="174" t="str">
        <f>_xlfn.XLOOKUP(Buildings_GridElectricity_Backend[[#This Row],[Info 1]],Buildings_SiteInfo[Site name],Buildings_SiteInfo[Site type], "")</f>
        <v/>
      </c>
      <c r="U449" s="174" t="s">
        <v>281</v>
      </c>
      <c r="V449" s="174" t="str" cm="1">
        <f t="array" aca="1" ref="V449" ca="1">_xlfn.XLOOKUP(Buildings_GridElectricity_Backend[[#This Row],[Level 4]],rng_Level4Long,rng_Level5Long)</f>
        <v>Electricity</v>
      </c>
      <c r="W449" s="174" t="str" cm="1">
        <f t="array" aca="1" ref="W449" ca="1">_xlfn.XLOOKUP(Buildings_GridElectricity_Backend[[#This Row],[Level 4]],rng_Level4Long,rng_Level6Long)</f>
        <v>NaN</v>
      </c>
      <c r="X449" s="174">
        <f>Buildings_GridElectricity_Frontend[[#This Row],[Site Name]]</f>
        <v>0</v>
      </c>
      <c r="Y449" s="174">
        <f>Buildings_GridElectricity_Frontend[[#This Row],[Contracting]]</f>
        <v>0</v>
      </c>
      <c r="Z449" s="174">
        <f>Buildings_GridElectricity_Frontend[[#This Row],[Methodology]]</f>
        <v>0</v>
      </c>
      <c r="AA449" s="229" t="str" cm="1">
        <f t="array" ref="AA449">IF(Buildings_GridElectricity_Frontend[[#This Row],[Data]]="","",INDEX(_xlfn.SWITCH(Buildings_GridElectricity_Backend[[#This Row],[Methodology]],"Tier 1",rng_RSD1,"Tier 2",rng_RSD2,"Tier 3",rng_RSD3),MATCH(_xlfn.CONCAT(Buildings_GridElectricity_Backend[[#This Row],[Level 1]:[Level 6]]),rng_LevelsConcat,0)))</f>
        <v/>
      </c>
      <c r="AB449" s="220">
        <f>Buildings_GridElectricity_Frontend[[#This Row],[Data]]</f>
        <v>0</v>
      </c>
      <c r="AC449" s="174" t="str">
        <f>Buildings_GridElectricity_Frontend[[#This Row],[Units]]</f>
        <v>kWh</v>
      </c>
      <c r="AD449" s="218">
        <f>Buildings_GridElectricity_Frontend[[#This Row],[Data]]</f>
        <v>0</v>
      </c>
      <c r="AE449" s="174" t="str">
        <f>Buildings_GridElectricity_Frontend[[#This Row],[Units]]</f>
        <v>kWh</v>
      </c>
      <c r="AF449" s="210" t="str">
        <f>IF(Buildings_GridElectricity_Frontend[[#This Row],[Data]]="","",_xlfn.XLOOKUP(_xlfn.CONCAT(Buildings_GridElectricity_Backend[[#This Row],[Level 1]:[Level 6]]),rng_EFConcat,rng_EF1)*Buildings_GridElectricity_Backend[[#This Row],[Converted data]]/1000)</f>
        <v/>
      </c>
      <c r="AG449" s="210" t="str">
        <f>IF(Buildings_GridElectricity_Frontend[[#This Row],[Data]]="","",_xlfn.XLOOKUP(_xlfn.CONCAT(Buildings_GridElectricity_Backend[[#This Row],[Level 1]:[Level 6]]),rng_EFConcat,rng_EF2)*Buildings_GridElectricity_Backend[[#This Row],[Converted data]]/1000)</f>
        <v/>
      </c>
      <c r="AH449" s="210" t="str">
        <f>IF(Buildings_GridElectricity_Frontend[[#This Row],[Data]]="","",_xlfn.XLOOKUP(_xlfn.CONCAT(Buildings_GridElectricity_Backend[[#This Row],[Level 1]:[Level 6]]),rng_EFConcat,rng_EF3)*Buildings_GridElectricity_Backend[[#This Row],[Converted data]]/1000)</f>
        <v/>
      </c>
      <c r="AI449" s="210" t="str">
        <f>IF(Buildings_GridElectricity_Frontend[[#This Row],[Data]]="","",_xlfn.XLOOKUP(_xlfn.CONCAT(Buildings_GridElectricity_Backend[[#This Row],[Level 1]:[Level 6]]),rng_EFConcat,rng_EF3WTT)*Buildings_GridElectricity_Backend[[#This Row],[Converted data]]/1000)</f>
        <v/>
      </c>
      <c r="AJ449" s="210" t="str">
        <f>IF(Buildings_GridElectricity_Frontend[[#This Row],[Data]]="","",_xlfn.XLOOKUP(_xlfn.CONCAT(Buildings_GridElectricity_Backend[[#This Row],[Level 1]:[Level 6]]),rng_EFConcat,rng_EF3TD)*Buildings_GridElectricity_Backend[[#This Row],[Converted data]]/1000)</f>
        <v/>
      </c>
      <c r="AK449" s="210" t="str">
        <f>IF(Buildings_GridElectricity_Frontend[[#This Row],[Data]]="","",_xlfn.XLOOKUP(_xlfn.CONCAT(Buildings_GridElectricity_Backend[[#This Row],[Level 1]:[Level 6]]),rng_EFConcat,rng_EF3WTTTD)*Buildings_GridElectricity_Backend[[#This Row],[Converted data]]/1000)</f>
        <v/>
      </c>
      <c r="AL449" s="220" t="str">
        <f>IF(Buildings_GridElectricity_Frontend[[#This Row],[Data]]="","",SUM(Buildings_GridElectricity_Backend[[#This Row],[Scope 1 (tCO2e)]:[Scope 3 WTT T&amp;D (tCO2e)]]))</f>
        <v/>
      </c>
      <c r="AM449" s="220" t="str">
        <f>IF(Buildings_GridElectricity_Frontend[[#This Row],[Data]]="","",Buildings_GridElectricity_Backend[[#This Row],[Total (tCO2e)]]*(1-Buildings_GridElectricity_Backend[[#This Row],[RSD]]))</f>
        <v/>
      </c>
      <c r="AN449" s="220" t="str">
        <f>IF(Buildings_GridElectricity_Frontend[[#This Row],[Data]]="","",Buildings_GridElectricity_Backend[[#This Row],[Total (tCO2e)]]*(1+Buildings_GridElectricity_Backend[[#This Row],[RSD]]))</f>
        <v/>
      </c>
      <c r="AO449" s="210" t="str">
        <f>IF(Buildings_GridElectricity_Frontend[[#This Row],[Data]]="","",_xlfn.XLOOKUP(_xlfn.CONCAT(Buildings_GridElectricity_Backend[[#This Row],[Level 1]:[Level 6]]),rng_EFConcat,rng_EFOOS)*Buildings_GridElectricity_Backend[[#This Row],[Converted data]]/1000)</f>
        <v/>
      </c>
      <c r="AP449" s="174">
        <f>Buildings_GridElectricity_Frontend[[#This Row],[Ease of collection]]</f>
        <v>0</v>
      </c>
      <c r="AQ449" s="213">
        <f>Buildings_GridElectricity_Frontend[[#This Row],[Completeness]]</f>
        <v>0</v>
      </c>
      <c r="AR449" s="220">
        <f>Buildings_GridElectricity_Frontend[[#This Row],[Notes]]</f>
        <v>0</v>
      </c>
    </row>
    <row r="450" spans="5:44" x14ac:dyDescent="0.3">
      <c r="E450" s="346"/>
      <c r="F450" s="449"/>
      <c r="G450" s="336"/>
      <c r="H450" s="334"/>
      <c r="I450" s="172" t="s">
        <v>316</v>
      </c>
      <c r="J450" s="337"/>
      <c r="K450" s="336"/>
      <c r="L450" s="336"/>
      <c r="M450" s="337"/>
      <c r="N450" s="242">
        <f t="shared" si="15"/>
        <v>3</v>
      </c>
      <c r="Q450" s="212" t="str">
        <f t="shared" si="14"/>
        <v/>
      </c>
      <c r="R450" s="174" t="s">
        <v>265</v>
      </c>
      <c r="S450" s="174" t="s">
        <v>273</v>
      </c>
      <c r="T450" s="174" t="str">
        <f>_xlfn.XLOOKUP(Buildings_GridElectricity_Backend[[#This Row],[Info 1]],Buildings_SiteInfo[Site name],Buildings_SiteInfo[Site type], "")</f>
        <v/>
      </c>
      <c r="U450" s="174" t="s">
        <v>281</v>
      </c>
      <c r="V450" s="174" t="str" cm="1">
        <f t="array" aca="1" ref="V450" ca="1">_xlfn.XLOOKUP(Buildings_GridElectricity_Backend[[#This Row],[Level 4]],rng_Level4Long,rng_Level5Long)</f>
        <v>Electricity</v>
      </c>
      <c r="W450" s="174" t="str" cm="1">
        <f t="array" aca="1" ref="W450" ca="1">_xlfn.XLOOKUP(Buildings_GridElectricity_Backend[[#This Row],[Level 4]],rng_Level4Long,rng_Level6Long)</f>
        <v>NaN</v>
      </c>
      <c r="X450" s="174">
        <f>Buildings_GridElectricity_Frontend[[#This Row],[Site Name]]</f>
        <v>0</v>
      </c>
      <c r="Y450" s="174">
        <f>Buildings_GridElectricity_Frontend[[#This Row],[Contracting]]</f>
        <v>0</v>
      </c>
      <c r="Z450" s="174">
        <f>Buildings_GridElectricity_Frontend[[#This Row],[Methodology]]</f>
        <v>0</v>
      </c>
      <c r="AA450" s="229" t="str" cm="1">
        <f t="array" ref="AA450">IF(Buildings_GridElectricity_Frontend[[#This Row],[Data]]="","",INDEX(_xlfn.SWITCH(Buildings_GridElectricity_Backend[[#This Row],[Methodology]],"Tier 1",rng_RSD1,"Tier 2",rng_RSD2,"Tier 3",rng_RSD3),MATCH(_xlfn.CONCAT(Buildings_GridElectricity_Backend[[#This Row],[Level 1]:[Level 6]]),rng_LevelsConcat,0)))</f>
        <v/>
      </c>
      <c r="AB450" s="220">
        <f>Buildings_GridElectricity_Frontend[[#This Row],[Data]]</f>
        <v>0</v>
      </c>
      <c r="AC450" s="174" t="str">
        <f>Buildings_GridElectricity_Frontend[[#This Row],[Units]]</f>
        <v>kWh</v>
      </c>
      <c r="AD450" s="218">
        <f>Buildings_GridElectricity_Frontend[[#This Row],[Data]]</f>
        <v>0</v>
      </c>
      <c r="AE450" s="174" t="str">
        <f>Buildings_GridElectricity_Frontend[[#This Row],[Units]]</f>
        <v>kWh</v>
      </c>
      <c r="AF450" s="210" t="str">
        <f>IF(Buildings_GridElectricity_Frontend[[#This Row],[Data]]="","",_xlfn.XLOOKUP(_xlfn.CONCAT(Buildings_GridElectricity_Backend[[#This Row],[Level 1]:[Level 6]]),rng_EFConcat,rng_EF1)*Buildings_GridElectricity_Backend[[#This Row],[Converted data]]/1000)</f>
        <v/>
      </c>
      <c r="AG450" s="210" t="str">
        <f>IF(Buildings_GridElectricity_Frontend[[#This Row],[Data]]="","",_xlfn.XLOOKUP(_xlfn.CONCAT(Buildings_GridElectricity_Backend[[#This Row],[Level 1]:[Level 6]]),rng_EFConcat,rng_EF2)*Buildings_GridElectricity_Backend[[#This Row],[Converted data]]/1000)</f>
        <v/>
      </c>
      <c r="AH450" s="210" t="str">
        <f>IF(Buildings_GridElectricity_Frontend[[#This Row],[Data]]="","",_xlfn.XLOOKUP(_xlfn.CONCAT(Buildings_GridElectricity_Backend[[#This Row],[Level 1]:[Level 6]]),rng_EFConcat,rng_EF3)*Buildings_GridElectricity_Backend[[#This Row],[Converted data]]/1000)</f>
        <v/>
      </c>
      <c r="AI450" s="210" t="str">
        <f>IF(Buildings_GridElectricity_Frontend[[#This Row],[Data]]="","",_xlfn.XLOOKUP(_xlfn.CONCAT(Buildings_GridElectricity_Backend[[#This Row],[Level 1]:[Level 6]]),rng_EFConcat,rng_EF3WTT)*Buildings_GridElectricity_Backend[[#This Row],[Converted data]]/1000)</f>
        <v/>
      </c>
      <c r="AJ450" s="210" t="str">
        <f>IF(Buildings_GridElectricity_Frontend[[#This Row],[Data]]="","",_xlfn.XLOOKUP(_xlfn.CONCAT(Buildings_GridElectricity_Backend[[#This Row],[Level 1]:[Level 6]]),rng_EFConcat,rng_EF3TD)*Buildings_GridElectricity_Backend[[#This Row],[Converted data]]/1000)</f>
        <v/>
      </c>
      <c r="AK450" s="210" t="str">
        <f>IF(Buildings_GridElectricity_Frontend[[#This Row],[Data]]="","",_xlfn.XLOOKUP(_xlfn.CONCAT(Buildings_GridElectricity_Backend[[#This Row],[Level 1]:[Level 6]]),rng_EFConcat,rng_EF3WTTTD)*Buildings_GridElectricity_Backend[[#This Row],[Converted data]]/1000)</f>
        <v/>
      </c>
      <c r="AL450" s="220" t="str">
        <f>IF(Buildings_GridElectricity_Frontend[[#This Row],[Data]]="","",SUM(Buildings_GridElectricity_Backend[[#This Row],[Scope 1 (tCO2e)]:[Scope 3 WTT T&amp;D (tCO2e)]]))</f>
        <v/>
      </c>
      <c r="AM450" s="220" t="str">
        <f>IF(Buildings_GridElectricity_Frontend[[#This Row],[Data]]="","",Buildings_GridElectricity_Backend[[#This Row],[Total (tCO2e)]]*(1-Buildings_GridElectricity_Backend[[#This Row],[RSD]]))</f>
        <v/>
      </c>
      <c r="AN450" s="220" t="str">
        <f>IF(Buildings_GridElectricity_Frontend[[#This Row],[Data]]="","",Buildings_GridElectricity_Backend[[#This Row],[Total (tCO2e)]]*(1+Buildings_GridElectricity_Backend[[#This Row],[RSD]]))</f>
        <v/>
      </c>
      <c r="AO450" s="210" t="str">
        <f>IF(Buildings_GridElectricity_Frontend[[#This Row],[Data]]="","",_xlfn.XLOOKUP(_xlfn.CONCAT(Buildings_GridElectricity_Backend[[#This Row],[Level 1]:[Level 6]]),rng_EFConcat,rng_EFOOS)*Buildings_GridElectricity_Backend[[#This Row],[Converted data]]/1000)</f>
        <v/>
      </c>
      <c r="AP450" s="174">
        <f>Buildings_GridElectricity_Frontend[[#This Row],[Ease of collection]]</f>
        <v>0</v>
      </c>
      <c r="AQ450" s="213">
        <f>Buildings_GridElectricity_Frontend[[#This Row],[Completeness]]</f>
        <v>0</v>
      </c>
      <c r="AR450" s="220">
        <f>Buildings_GridElectricity_Frontend[[#This Row],[Notes]]</f>
        <v>0</v>
      </c>
    </row>
    <row r="451" spans="5:44" x14ac:dyDescent="0.3">
      <c r="E451" s="346"/>
      <c r="F451" s="449"/>
      <c r="G451" s="336"/>
      <c r="H451" s="334"/>
      <c r="I451" s="172" t="s">
        <v>316</v>
      </c>
      <c r="J451" s="337"/>
      <c r="K451" s="336"/>
      <c r="L451" s="336"/>
      <c r="M451" s="337"/>
      <c r="N451" s="242">
        <f t="shared" si="15"/>
        <v>3</v>
      </c>
      <c r="Q451" s="212" t="str">
        <f t="shared" si="14"/>
        <v/>
      </c>
      <c r="R451" s="174" t="s">
        <v>265</v>
      </c>
      <c r="S451" s="174" t="s">
        <v>273</v>
      </c>
      <c r="T451" s="174" t="str">
        <f>_xlfn.XLOOKUP(Buildings_GridElectricity_Backend[[#This Row],[Info 1]],Buildings_SiteInfo[Site name],Buildings_SiteInfo[Site type], "")</f>
        <v/>
      </c>
      <c r="U451" s="174" t="s">
        <v>281</v>
      </c>
      <c r="V451" s="174" t="str" cm="1">
        <f t="array" aca="1" ref="V451" ca="1">_xlfn.XLOOKUP(Buildings_GridElectricity_Backend[[#This Row],[Level 4]],rng_Level4Long,rng_Level5Long)</f>
        <v>Electricity</v>
      </c>
      <c r="W451" s="174" t="str" cm="1">
        <f t="array" aca="1" ref="W451" ca="1">_xlfn.XLOOKUP(Buildings_GridElectricity_Backend[[#This Row],[Level 4]],rng_Level4Long,rng_Level6Long)</f>
        <v>NaN</v>
      </c>
      <c r="X451" s="174">
        <f>Buildings_GridElectricity_Frontend[[#This Row],[Site Name]]</f>
        <v>0</v>
      </c>
      <c r="Y451" s="174">
        <f>Buildings_GridElectricity_Frontend[[#This Row],[Contracting]]</f>
        <v>0</v>
      </c>
      <c r="Z451" s="174">
        <f>Buildings_GridElectricity_Frontend[[#This Row],[Methodology]]</f>
        <v>0</v>
      </c>
      <c r="AA451" s="229" t="str" cm="1">
        <f t="array" ref="AA451">IF(Buildings_GridElectricity_Frontend[[#This Row],[Data]]="","",INDEX(_xlfn.SWITCH(Buildings_GridElectricity_Backend[[#This Row],[Methodology]],"Tier 1",rng_RSD1,"Tier 2",rng_RSD2,"Tier 3",rng_RSD3),MATCH(_xlfn.CONCAT(Buildings_GridElectricity_Backend[[#This Row],[Level 1]:[Level 6]]),rng_LevelsConcat,0)))</f>
        <v/>
      </c>
      <c r="AB451" s="220">
        <f>Buildings_GridElectricity_Frontend[[#This Row],[Data]]</f>
        <v>0</v>
      </c>
      <c r="AC451" s="174" t="str">
        <f>Buildings_GridElectricity_Frontend[[#This Row],[Units]]</f>
        <v>kWh</v>
      </c>
      <c r="AD451" s="218">
        <f>Buildings_GridElectricity_Frontend[[#This Row],[Data]]</f>
        <v>0</v>
      </c>
      <c r="AE451" s="174" t="str">
        <f>Buildings_GridElectricity_Frontend[[#This Row],[Units]]</f>
        <v>kWh</v>
      </c>
      <c r="AF451" s="210" t="str">
        <f>IF(Buildings_GridElectricity_Frontend[[#This Row],[Data]]="","",_xlfn.XLOOKUP(_xlfn.CONCAT(Buildings_GridElectricity_Backend[[#This Row],[Level 1]:[Level 6]]),rng_EFConcat,rng_EF1)*Buildings_GridElectricity_Backend[[#This Row],[Converted data]]/1000)</f>
        <v/>
      </c>
      <c r="AG451" s="210" t="str">
        <f>IF(Buildings_GridElectricity_Frontend[[#This Row],[Data]]="","",_xlfn.XLOOKUP(_xlfn.CONCAT(Buildings_GridElectricity_Backend[[#This Row],[Level 1]:[Level 6]]),rng_EFConcat,rng_EF2)*Buildings_GridElectricity_Backend[[#This Row],[Converted data]]/1000)</f>
        <v/>
      </c>
      <c r="AH451" s="210" t="str">
        <f>IF(Buildings_GridElectricity_Frontend[[#This Row],[Data]]="","",_xlfn.XLOOKUP(_xlfn.CONCAT(Buildings_GridElectricity_Backend[[#This Row],[Level 1]:[Level 6]]),rng_EFConcat,rng_EF3)*Buildings_GridElectricity_Backend[[#This Row],[Converted data]]/1000)</f>
        <v/>
      </c>
      <c r="AI451" s="210" t="str">
        <f>IF(Buildings_GridElectricity_Frontend[[#This Row],[Data]]="","",_xlfn.XLOOKUP(_xlfn.CONCAT(Buildings_GridElectricity_Backend[[#This Row],[Level 1]:[Level 6]]),rng_EFConcat,rng_EF3WTT)*Buildings_GridElectricity_Backend[[#This Row],[Converted data]]/1000)</f>
        <v/>
      </c>
      <c r="AJ451" s="210" t="str">
        <f>IF(Buildings_GridElectricity_Frontend[[#This Row],[Data]]="","",_xlfn.XLOOKUP(_xlfn.CONCAT(Buildings_GridElectricity_Backend[[#This Row],[Level 1]:[Level 6]]),rng_EFConcat,rng_EF3TD)*Buildings_GridElectricity_Backend[[#This Row],[Converted data]]/1000)</f>
        <v/>
      </c>
      <c r="AK451" s="210" t="str">
        <f>IF(Buildings_GridElectricity_Frontend[[#This Row],[Data]]="","",_xlfn.XLOOKUP(_xlfn.CONCAT(Buildings_GridElectricity_Backend[[#This Row],[Level 1]:[Level 6]]),rng_EFConcat,rng_EF3WTTTD)*Buildings_GridElectricity_Backend[[#This Row],[Converted data]]/1000)</f>
        <v/>
      </c>
      <c r="AL451" s="220" t="str">
        <f>IF(Buildings_GridElectricity_Frontend[[#This Row],[Data]]="","",SUM(Buildings_GridElectricity_Backend[[#This Row],[Scope 1 (tCO2e)]:[Scope 3 WTT T&amp;D (tCO2e)]]))</f>
        <v/>
      </c>
      <c r="AM451" s="220" t="str">
        <f>IF(Buildings_GridElectricity_Frontend[[#This Row],[Data]]="","",Buildings_GridElectricity_Backend[[#This Row],[Total (tCO2e)]]*(1-Buildings_GridElectricity_Backend[[#This Row],[RSD]]))</f>
        <v/>
      </c>
      <c r="AN451" s="220" t="str">
        <f>IF(Buildings_GridElectricity_Frontend[[#This Row],[Data]]="","",Buildings_GridElectricity_Backend[[#This Row],[Total (tCO2e)]]*(1+Buildings_GridElectricity_Backend[[#This Row],[RSD]]))</f>
        <v/>
      </c>
      <c r="AO451" s="210" t="str">
        <f>IF(Buildings_GridElectricity_Frontend[[#This Row],[Data]]="","",_xlfn.XLOOKUP(_xlfn.CONCAT(Buildings_GridElectricity_Backend[[#This Row],[Level 1]:[Level 6]]),rng_EFConcat,rng_EFOOS)*Buildings_GridElectricity_Backend[[#This Row],[Converted data]]/1000)</f>
        <v/>
      </c>
      <c r="AP451" s="174">
        <f>Buildings_GridElectricity_Frontend[[#This Row],[Ease of collection]]</f>
        <v>0</v>
      </c>
      <c r="AQ451" s="213">
        <f>Buildings_GridElectricity_Frontend[[#This Row],[Completeness]]</f>
        <v>0</v>
      </c>
      <c r="AR451" s="220">
        <f>Buildings_GridElectricity_Frontend[[#This Row],[Notes]]</f>
        <v>0</v>
      </c>
    </row>
    <row r="452" spans="5:44" x14ac:dyDescent="0.3">
      <c r="E452" s="346"/>
      <c r="F452" s="449"/>
      <c r="G452" s="336"/>
      <c r="H452" s="334"/>
      <c r="I452" s="172" t="s">
        <v>316</v>
      </c>
      <c r="J452" s="337"/>
      <c r="K452" s="336"/>
      <c r="L452" s="336"/>
      <c r="M452" s="337"/>
      <c r="N452" s="242">
        <f t="shared" si="15"/>
        <v>3</v>
      </c>
      <c r="Q452" s="212" t="str">
        <f t="shared" si="14"/>
        <v/>
      </c>
      <c r="R452" s="174" t="s">
        <v>265</v>
      </c>
      <c r="S452" s="174" t="s">
        <v>273</v>
      </c>
      <c r="T452" s="174" t="str">
        <f>_xlfn.XLOOKUP(Buildings_GridElectricity_Backend[[#This Row],[Info 1]],Buildings_SiteInfo[Site name],Buildings_SiteInfo[Site type], "")</f>
        <v/>
      </c>
      <c r="U452" s="174" t="s">
        <v>281</v>
      </c>
      <c r="V452" s="174" t="str" cm="1">
        <f t="array" aca="1" ref="V452" ca="1">_xlfn.XLOOKUP(Buildings_GridElectricity_Backend[[#This Row],[Level 4]],rng_Level4Long,rng_Level5Long)</f>
        <v>Electricity</v>
      </c>
      <c r="W452" s="174" t="str" cm="1">
        <f t="array" aca="1" ref="W452" ca="1">_xlfn.XLOOKUP(Buildings_GridElectricity_Backend[[#This Row],[Level 4]],rng_Level4Long,rng_Level6Long)</f>
        <v>NaN</v>
      </c>
      <c r="X452" s="174">
        <f>Buildings_GridElectricity_Frontend[[#This Row],[Site Name]]</f>
        <v>0</v>
      </c>
      <c r="Y452" s="174">
        <f>Buildings_GridElectricity_Frontend[[#This Row],[Contracting]]</f>
        <v>0</v>
      </c>
      <c r="Z452" s="174">
        <f>Buildings_GridElectricity_Frontend[[#This Row],[Methodology]]</f>
        <v>0</v>
      </c>
      <c r="AA452" s="229" t="str" cm="1">
        <f t="array" ref="AA452">IF(Buildings_GridElectricity_Frontend[[#This Row],[Data]]="","",INDEX(_xlfn.SWITCH(Buildings_GridElectricity_Backend[[#This Row],[Methodology]],"Tier 1",rng_RSD1,"Tier 2",rng_RSD2,"Tier 3",rng_RSD3),MATCH(_xlfn.CONCAT(Buildings_GridElectricity_Backend[[#This Row],[Level 1]:[Level 6]]),rng_LevelsConcat,0)))</f>
        <v/>
      </c>
      <c r="AB452" s="220">
        <f>Buildings_GridElectricity_Frontend[[#This Row],[Data]]</f>
        <v>0</v>
      </c>
      <c r="AC452" s="174" t="str">
        <f>Buildings_GridElectricity_Frontend[[#This Row],[Units]]</f>
        <v>kWh</v>
      </c>
      <c r="AD452" s="218">
        <f>Buildings_GridElectricity_Frontend[[#This Row],[Data]]</f>
        <v>0</v>
      </c>
      <c r="AE452" s="174" t="str">
        <f>Buildings_GridElectricity_Frontend[[#This Row],[Units]]</f>
        <v>kWh</v>
      </c>
      <c r="AF452" s="210" t="str">
        <f>IF(Buildings_GridElectricity_Frontend[[#This Row],[Data]]="","",_xlfn.XLOOKUP(_xlfn.CONCAT(Buildings_GridElectricity_Backend[[#This Row],[Level 1]:[Level 6]]),rng_EFConcat,rng_EF1)*Buildings_GridElectricity_Backend[[#This Row],[Converted data]]/1000)</f>
        <v/>
      </c>
      <c r="AG452" s="210" t="str">
        <f>IF(Buildings_GridElectricity_Frontend[[#This Row],[Data]]="","",_xlfn.XLOOKUP(_xlfn.CONCAT(Buildings_GridElectricity_Backend[[#This Row],[Level 1]:[Level 6]]),rng_EFConcat,rng_EF2)*Buildings_GridElectricity_Backend[[#This Row],[Converted data]]/1000)</f>
        <v/>
      </c>
      <c r="AH452" s="210" t="str">
        <f>IF(Buildings_GridElectricity_Frontend[[#This Row],[Data]]="","",_xlfn.XLOOKUP(_xlfn.CONCAT(Buildings_GridElectricity_Backend[[#This Row],[Level 1]:[Level 6]]),rng_EFConcat,rng_EF3)*Buildings_GridElectricity_Backend[[#This Row],[Converted data]]/1000)</f>
        <v/>
      </c>
      <c r="AI452" s="210" t="str">
        <f>IF(Buildings_GridElectricity_Frontend[[#This Row],[Data]]="","",_xlfn.XLOOKUP(_xlfn.CONCAT(Buildings_GridElectricity_Backend[[#This Row],[Level 1]:[Level 6]]),rng_EFConcat,rng_EF3WTT)*Buildings_GridElectricity_Backend[[#This Row],[Converted data]]/1000)</f>
        <v/>
      </c>
      <c r="AJ452" s="210" t="str">
        <f>IF(Buildings_GridElectricity_Frontend[[#This Row],[Data]]="","",_xlfn.XLOOKUP(_xlfn.CONCAT(Buildings_GridElectricity_Backend[[#This Row],[Level 1]:[Level 6]]),rng_EFConcat,rng_EF3TD)*Buildings_GridElectricity_Backend[[#This Row],[Converted data]]/1000)</f>
        <v/>
      </c>
      <c r="AK452" s="210" t="str">
        <f>IF(Buildings_GridElectricity_Frontend[[#This Row],[Data]]="","",_xlfn.XLOOKUP(_xlfn.CONCAT(Buildings_GridElectricity_Backend[[#This Row],[Level 1]:[Level 6]]),rng_EFConcat,rng_EF3WTTTD)*Buildings_GridElectricity_Backend[[#This Row],[Converted data]]/1000)</f>
        <v/>
      </c>
      <c r="AL452" s="220" t="str">
        <f>IF(Buildings_GridElectricity_Frontend[[#This Row],[Data]]="","",SUM(Buildings_GridElectricity_Backend[[#This Row],[Scope 1 (tCO2e)]:[Scope 3 WTT T&amp;D (tCO2e)]]))</f>
        <v/>
      </c>
      <c r="AM452" s="220" t="str">
        <f>IF(Buildings_GridElectricity_Frontend[[#This Row],[Data]]="","",Buildings_GridElectricity_Backend[[#This Row],[Total (tCO2e)]]*(1-Buildings_GridElectricity_Backend[[#This Row],[RSD]]))</f>
        <v/>
      </c>
      <c r="AN452" s="220" t="str">
        <f>IF(Buildings_GridElectricity_Frontend[[#This Row],[Data]]="","",Buildings_GridElectricity_Backend[[#This Row],[Total (tCO2e)]]*(1+Buildings_GridElectricity_Backend[[#This Row],[RSD]]))</f>
        <v/>
      </c>
      <c r="AO452" s="210" t="str">
        <f>IF(Buildings_GridElectricity_Frontend[[#This Row],[Data]]="","",_xlfn.XLOOKUP(_xlfn.CONCAT(Buildings_GridElectricity_Backend[[#This Row],[Level 1]:[Level 6]]),rng_EFConcat,rng_EFOOS)*Buildings_GridElectricity_Backend[[#This Row],[Converted data]]/1000)</f>
        <v/>
      </c>
      <c r="AP452" s="174">
        <f>Buildings_GridElectricity_Frontend[[#This Row],[Ease of collection]]</f>
        <v>0</v>
      </c>
      <c r="AQ452" s="213">
        <f>Buildings_GridElectricity_Frontend[[#This Row],[Completeness]]</f>
        <v>0</v>
      </c>
      <c r="AR452" s="220">
        <f>Buildings_GridElectricity_Frontend[[#This Row],[Notes]]</f>
        <v>0</v>
      </c>
    </row>
    <row r="453" spans="5:44" x14ac:dyDescent="0.3">
      <c r="E453" s="346"/>
      <c r="F453" s="449"/>
      <c r="G453" s="336"/>
      <c r="H453" s="334"/>
      <c r="I453" s="172" t="s">
        <v>316</v>
      </c>
      <c r="J453" s="337"/>
      <c r="K453" s="336"/>
      <c r="L453" s="336"/>
      <c r="M453" s="337"/>
      <c r="N453" s="242">
        <f t="shared" si="15"/>
        <v>3</v>
      </c>
      <c r="Q453" s="212" t="str">
        <f t="shared" si="14"/>
        <v/>
      </c>
      <c r="R453" s="174" t="s">
        <v>265</v>
      </c>
      <c r="S453" s="174" t="s">
        <v>273</v>
      </c>
      <c r="T453" s="174" t="str">
        <f>_xlfn.XLOOKUP(Buildings_GridElectricity_Backend[[#This Row],[Info 1]],Buildings_SiteInfo[Site name],Buildings_SiteInfo[Site type], "")</f>
        <v/>
      </c>
      <c r="U453" s="174" t="s">
        <v>281</v>
      </c>
      <c r="V453" s="174" t="str" cm="1">
        <f t="array" aca="1" ref="V453" ca="1">_xlfn.XLOOKUP(Buildings_GridElectricity_Backend[[#This Row],[Level 4]],rng_Level4Long,rng_Level5Long)</f>
        <v>Electricity</v>
      </c>
      <c r="W453" s="174" t="str" cm="1">
        <f t="array" aca="1" ref="W453" ca="1">_xlfn.XLOOKUP(Buildings_GridElectricity_Backend[[#This Row],[Level 4]],rng_Level4Long,rng_Level6Long)</f>
        <v>NaN</v>
      </c>
      <c r="X453" s="174">
        <f>Buildings_GridElectricity_Frontend[[#This Row],[Site Name]]</f>
        <v>0</v>
      </c>
      <c r="Y453" s="174">
        <f>Buildings_GridElectricity_Frontend[[#This Row],[Contracting]]</f>
        <v>0</v>
      </c>
      <c r="Z453" s="174">
        <f>Buildings_GridElectricity_Frontend[[#This Row],[Methodology]]</f>
        <v>0</v>
      </c>
      <c r="AA453" s="229" t="str" cm="1">
        <f t="array" ref="AA453">IF(Buildings_GridElectricity_Frontend[[#This Row],[Data]]="","",INDEX(_xlfn.SWITCH(Buildings_GridElectricity_Backend[[#This Row],[Methodology]],"Tier 1",rng_RSD1,"Tier 2",rng_RSD2,"Tier 3",rng_RSD3),MATCH(_xlfn.CONCAT(Buildings_GridElectricity_Backend[[#This Row],[Level 1]:[Level 6]]),rng_LevelsConcat,0)))</f>
        <v/>
      </c>
      <c r="AB453" s="220">
        <f>Buildings_GridElectricity_Frontend[[#This Row],[Data]]</f>
        <v>0</v>
      </c>
      <c r="AC453" s="174" t="str">
        <f>Buildings_GridElectricity_Frontend[[#This Row],[Units]]</f>
        <v>kWh</v>
      </c>
      <c r="AD453" s="218">
        <f>Buildings_GridElectricity_Frontend[[#This Row],[Data]]</f>
        <v>0</v>
      </c>
      <c r="AE453" s="174" t="str">
        <f>Buildings_GridElectricity_Frontend[[#This Row],[Units]]</f>
        <v>kWh</v>
      </c>
      <c r="AF453" s="210" t="str">
        <f>IF(Buildings_GridElectricity_Frontend[[#This Row],[Data]]="","",_xlfn.XLOOKUP(_xlfn.CONCAT(Buildings_GridElectricity_Backend[[#This Row],[Level 1]:[Level 6]]),rng_EFConcat,rng_EF1)*Buildings_GridElectricity_Backend[[#This Row],[Converted data]]/1000)</f>
        <v/>
      </c>
      <c r="AG453" s="210" t="str">
        <f>IF(Buildings_GridElectricity_Frontend[[#This Row],[Data]]="","",_xlfn.XLOOKUP(_xlfn.CONCAT(Buildings_GridElectricity_Backend[[#This Row],[Level 1]:[Level 6]]),rng_EFConcat,rng_EF2)*Buildings_GridElectricity_Backend[[#This Row],[Converted data]]/1000)</f>
        <v/>
      </c>
      <c r="AH453" s="210" t="str">
        <f>IF(Buildings_GridElectricity_Frontend[[#This Row],[Data]]="","",_xlfn.XLOOKUP(_xlfn.CONCAT(Buildings_GridElectricity_Backend[[#This Row],[Level 1]:[Level 6]]),rng_EFConcat,rng_EF3)*Buildings_GridElectricity_Backend[[#This Row],[Converted data]]/1000)</f>
        <v/>
      </c>
      <c r="AI453" s="210" t="str">
        <f>IF(Buildings_GridElectricity_Frontend[[#This Row],[Data]]="","",_xlfn.XLOOKUP(_xlfn.CONCAT(Buildings_GridElectricity_Backend[[#This Row],[Level 1]:[Level 6]]),rng_EFConcat,rng_EF3WTT)*Buildings_GridElectricity_Backend[[#This Row],[Converted data]]/1000)</f>
        <v/>
      </c>
      <c r="AJ453" s="210" t="str">
        <f>IF(Buildings_GridElectricity_Frontend[[#This Row],[Data]]="","",_xlfn.XLOOKUP(_xlfn.CONCAT(Buildings_GridElectricity_Backend[[#This Row],[Level 1]:[Level 6]]),rng_EFConcat,rng_EF3TD)*Buildings_GridElectricity_Backend[[#This Row],[Converted data]]/1000)</f>
        <v/>
      </c>
      <c r="AK453" s="210" t="str">
        <f>IF(Buildings_GridElectricity_Frontend[[#This Row],[Data]]="","",_xlfn.XLOOKUP(_xlfn.CONCAT(Buildings_GridElectricity_Backend[[#This Row],[Level 1]:[Level 6]]),rng_EFConcat,rng_EF3WTTTD)*Buildings_GridElectricity_Backend[[#This Row],[Converted data]]/1000)</f>
        <v/>
      </c>
      <c r="AL453" s="220" t="str">
        <f>IF(Buildings_GridElectricity_Frontend[[#This Row],[Data]]="","",SUM(Buildings_GridElectricity_Backend[[#This Row],[Scope 1 (tCO2e)]:[Scope 3 WTT T&amp;D (tCO2e)]]))</f>
        <v/>
      </c>
      <c r="AM453" s="220" t="str">
        <f>IF(Buildings_GridElectricity_Frontend[[#This Row],[Data]]="","",Buildings_GridElectricity_Backend[[#This Row],[Total (tCO2e)]]*(1-Buildings_GridElectricity_Backend[[#This Row],[RSD]]))</f>
        <v/>
      </c>
      <c r="AN453" s="220" t="str">
        <f>IF(Buildings_GridElectricity_Frontend[[#This Row],[Data]]="","",Buildings_GridElectricity_Backend[[#This Row],[Total (tCO2e)]]*(1+Buildings_GridElectricity_Backend[[#This Row],[RSD]]))</f>
        <v/>
      </c>
      <c r="AO453" s="210" t="str">
        <f>IF(Buildings_GridElectricity_Frontend[[#This Row],[Data]]="","",_xlfn.XLOOKUP(_xlfn.CONCAT(Buildings_GridElectricity_Backend[[#This Row],[Level 1]:[Level 6]]),rng_EFConcat,rng_EFOOS)*Buildings_GridElectricity_Backend[[#This Row],[Converted data]]/1000)</f>
        <v/>
      </c>
      <c r="AP453" s="174">
        <f>Buildings_GridElectricity_Frontend[[#This Row],[Ease of collection]]</f>
        <v>0</v>
      </c>
      <c r="AQ453" s="213">
        <f>Buildings_GridElectricity_Frontend[[#This Row],[Completeness]]</f>
        <v>0</v>
      </c>
      <c r="AR453" s="220">
        <f>Buildings_GridElectricity_Frontend[[#This Row],[Notes]]</f>
        <v>0</v>
      </c>
    </row>
    <row r="454" spans="5:44" x14ac:dyDescent="0.3">
      <c r="E454" s="346"/>
      <c r="F454" s="449"/>
      <c r="G454" s="336"/>
      <c r="H454" s="334"/>
      <c r="I454" s="172" t="s">
        <v>316</v>
      </c>
      <c r="J454" s="337"/>
      <c r="K454" s="336"/>
      <c r="L454" s="336"/>
      <c r="M454" s="337"/>
      <c r="N454" s="242">
        <f t="shared" si="15"/>
        <v>3</v>
      </c>
      <c r="Q454" s="212" t="str">
        <f t="shared" si="14"/>
        <v/>
      </c>
      <c r="R454" s="174" t="s">
        <v>265</v>
      </c>
      <c r="S454" s="174" t="s">
        <v>273</v>
      </c>
      <c r="T454" s="174" t="str">
        <f>_xlfn.XLOOKUP(Buildings_GridElectricity_Backend[[#This Row],[Info 1]],Buildings_SiteInfo[Site name],Buildings_SiteInfo[Site type], "")</f>
        <v/>
      </c>
      <c r="U454" s="174" t="s">
        <v>281</v>
      </c>
      <c r="V454" s="174" t="str" cm="1">
        <f t="array" aca="1" ref="V454" ca="1">_xlfn.XLOOKUP(Buildings_GridElectricity_Backend[[#This Row],[Level 4]],rng_Level4Long,rng_Level5Long)</f>
        <v>Electricity</v>
      </c>
      <c r="W454" s="174" t="str" cm="1">
        <f t="array" aca="1" ref="W454" ca="1">_xlfn.XLOOKUP(Buildings_GridElectricity_Backend[[#This Row],[Level 4]],rng_Level4Long,rng_Level6Long)</f>
        <v>NaN</v>
      </c>
      <c r="X454" s="174">
        <f>Buildings_GridElectricity_Frontend[[#This Row],[Site Name]]</f>
        <v>0</v>
      </c>
      <c r="Y454" s="174">
        <f>Buildings_GridElectricity_Frontend[[#This Row],[Contracting]]</f>
        <v>0</v>
      </c>
      <c r="Z454" s="174">
        <f>Buildings_GridElectricity_Frontend[[#This Row],[Methodology]]</f>
        <v>0</v>
      </c>
      <c r="AA454" s="229" t="str" cm="1">
        <f t="array" ref="AA454">IF(Buildings_GridElectricity_Frontend[[#This Row],[Data]]="","",INDEX(_xlfn.SWITCH(Buildings_GridElectricity_Backend[[#This Row],[Methodology]],"Tier 1",rng_RSD1,"Tier 2",rng_RSD2,"Tier 3",rng_RSD3),MATCH(_xlfn.CONCAT(Buildings_GridElectricity_Backend[[#This Row],[Level 1]:[Level 6]]),rng_LevelsConcat,0)))</f>
        <v/>
      </c>
      <c r="AB454" s="220">
        <f>Buildings_GridElectricity_Frontend[[#This Row],[Data]]</f>
        <v>0</v>
      </c>
      <c r="AC454" s="174" t="str">
        <f>Buildings_GridElectricity_Frontend[[#This Row],[Units]]</f>
        <v>kWh</v>
      </c>
      <c r="AD454" s="218">
        <f>Buildings_GridElectricity_Frontend[[#This Row],[Data]]</f>
        <v>0</v>
      </c>
      <c r="AE454" s="174" t="str">
        <f>Buildings_GridElectricity_Frontend[[#This Row],[Units]]</f>
        <v>kWh</v>
      </c>
      <c r="AF454" s="210" t="str">
        <f>IF(Buildings_GridElectricity_Frontend[[#This Row],[Data]]="","",_xlfn.XLOOKUP(_xlfn.CONCAT(Buildings_GridElectricity_Backend[[#This Row],[Level 1]:[Level 6]]),rng_EFConcat,rng_EF1)*Buildings_GridElectricity_Backend[[#This Row],[Converted data]]/1000)</f>
        <v/>
      </c>
      <c r="AG454" s="210" t="str">
        <f>IF(Buildings_GridElectricity_Frontend[[#This Row],[Data]]="","",_xlfn.XLOOKUP(_xlfn.CONCAT(Buildings_GridElectricity_Backend[[#This Row],[Level 1]:[Level 6]]),rng_EFConcat,rng_EF2)*Buildings_GridElectricity_Backend[[#This Row],[Converted data]]/1000)</f>
        <v/>
      </c>
      <c r="AH454" s="210" t="str">
        <f>IF(Buildings_GridElectricity_Frontend[[#This Row],[Data]]="","",_xlfn.XLOOKUP(_xlfn.CONCAT(Buildings_GridElectricity_Backend[[#This Row],[Level 1]:[Level 6]]),rng_EFConcat,rng_EF3)*Buildings_GridElectricity_Backend[[#This Row],[Converted data]]/1000)</f>
        <v/>
      </c>
      <c r="AI454" s="210" t="str">
        <f>IF(Buildings_GridElectricity_Frontend[[#This Row],[Data]]="","",_xlfn.XLOOKUP(_xlfn.CONCAT(Buildings_GridElectricity_Backend[[#This Row],[Level 1]:[Level 6]]),rng_EFConcat,rng_EF3WTT)*Buildings_GridElectricity_Backend[[#This Row],[Converted data]]/1000)</f>
        <v/>
      </c>
      <c r="AJ454" s="210" t="str">
        <f>IF(Buildings_GridElectricity_Frontend[[#This Row],[Data]]="","",_xlfn.XLOOKUP(_xlfn.CONCAT(Buildings_GridElectricity_Backend[[#This Row],[Level 1]:[Level 6]]),rng_EFConcat,rng_EF3TD)*Buildings_GridElectricity_Backend[[#This Row],[Converted data]]/1000)</f>
        <v/>
      </c>
      <c r="AK454" s="210" t="str">
        <f>IF(Buildings_GridElectricity_Frontend[[#This Row],[Data]]="","",_xlfn.XLOOKUP(_xlfn.CONCAT(Buildings_GridElectricity_Backend[[#This Row],[Level 1]:[Level 6]]),rng_EFConcat,rng_EF3WTTTD)*Buildings_GridElectricity_Backend[[#This Row],[Converted data]]/1000)</f>
        <v/>
      </c>
      <c r="AL454" s="220" t="str">
        <f>IF(Buildings_GridElectricity_Frontend[[#This Row],[Data]]="","",SUM(Buildings_GridElectricity_Backend[[#This Row],[Scope 1 (tCO2e)]:[Scope 3 WTT T&amp;D (tCO2e)]]))</f>
        <v/>
      </c>
      <c r="AM454" s="220" t="str">
        <f>IF(Buildings_GridElectricity_Frontend[[#This Row],[Data]]="","",Buildings_GridElectricity_Backend[[#This Row],[Total (tCO2e)]]*(1-Buildings_GridElectricity_Backend[[#This Row],[RSD]]))</f>
        <v/>
      </c>
      <c r="AN454" s="220" t="str">
        <f>IF(Buildings_GridElectricity_Frontend[[#This Row],[Data]]="","",Buildings_GridElectricity_Backend[[#This Row],[Total (tCO2e)]]*(1+Buildings_GridElectricity_Backend[[#This Row],[RSD]]))</f>
        <v/>
      </c>
      <c r="AO454" s="210" t="str">
        <f>IF(Buildings_GridElectricity_Frontend[[#This Row],[Data]]="","",_xlfn.XLOOKUP(_xlfn.CONCAT(Buildings_GridElectricity_Backend[[#This Row],[Level 1]:[Level 6]]),rng_EFConcat,rng_EFOOS)*Buildings_GridElectricity_Backend[[#This Row],[Converted data]]/1000)</f>
        <v/>
      </c>
      <c r="AP454" s="174">
        <f>Buildings_GridElectricity_Frontend[[#This Row],[Ease of collection]]</f>
        <v>0</v>
      </c>
      <c r="AQ454" s="213">
        <f>Buildings_GridElectricity_Frontend[[#This Row],[Completeness]]</f>
        <v>0</v>
      </c>
      <c r="AR454" s="220">
        <f>Buildings_GridElectricity_Frontend[[#This Row],[Notes]]</f>
        <v>0</v>
      </c>
    </row>
    <row r="455" spans="5:44" x14ac:dyDescent="0.3">
      <c r="E455" s="346"/>
      <c r="F455" s="449"/>
      <c r="G455" s="336"/>
      <c r="H455" s="334"/>
      <c r="I455" s="172" t="s">
        <v>316</v>
      </c>
      <c r="J455" s="337"/>
      <c r="K455" s="336"/>
      <c r="L455" s="336"/>
      <c r="M455" s="337"/>
      <c r="N455" s="242">
        <f t="shared" si="15"/>
        <v>3</v>
      </c>
      <c r="Q455" s="212" t="str">
        <f t="shared" si="14"/>
        <v/>
      </c>
      <c r="R455" s="174" t="s">
        <v>265</v>
      </c>
      <c r="S455" s="174" t="s">
        <v>273</v>
      </c>
      <c r="T455" s="174" t="str">
        <f>_xlfn.XLOOKUP(Buildings_GridElectricity_Backend[[#This Row],[Info 1]],Buildings_SiteInfo[Site name],Buildings_SiteInfo[Site type], "")</f>
        <v/>
      </c>
      <c r="U455" s="174" t="s">
        <v>281</v>
      </c>
      <c r="V455" s="174" t="str" cm="1">
        <f t="array" aca="1" ref="V455" ca="1">_xlfn.XLOOKUP(Buildings_GridElectricity_Backend[[#This Row],[Level 4]],rng_Level4Long,rng_Level5Long)</f>
        <v>Electricity</v>
      </c>
      <c r="W455" s="174" t="str" cm="1">
        <f t="array" aca="1" ref="W455" ca="1">_xlfn.XLOOKUP(Buildings_GridElectricity_Backend[[#This Row],[Level 4]],rng_Level4Long,rng_Level6Long)</f>
        <v>NaN</v>
      </c>
      <c r="X455" s="174">
        <f>Buildings_GridElectricity_Frontend[[#This Row],[Site Name]]</f>
        <v>0</v>
      </c>
      <c r="Y455" s="174">
        <f>Buildings_GridElectricity_Frontend[[#This Row],[Contracting]]</f>
        <v>0</v>
      </c>
      <c r="Z455" s="174">
        <f>Buildings_GridElectricity_Frontend[[#This Row],[Methodology]]</f>
        <v>0</v>
      </c>
      <c r="AA455" s="229" t="str" cm="1">
        <f t="array" ref="AA455">IF(Buildings_GridElectricity_Frontend[[#This Row],[Data]]="","",INDEX(_xlfn.SWITCH(Buildings_GridElectricity_Backend[[#This Row],[Methodology]],"Tier 1",rng_RSD1,"Tier 2",rng_RSD2,"Tier 3",rng_RSD3),MATCH(_xlfn.CONCAT(Buildings_GridElectricity_Backend[[#This Row],[Level 1]:[Level 6]]),rng_LevelsConcat,0)))</f>
        <v/>
      </c>
      <c r="AB455" s="220">
        <f>Buildings_GridElectricity_Frontend[[#This Row],[Data]]</f>
        <v>0</v>
      </c>
      <c r="AC455" s="174" t="str">
        <f>Buildings_GridElectricity_Frontend[[#This Row],[Units]]</f>
        <v>kWh</v>
      </c>
      <c r="AD455" s="218">
        <f>Buildings_GridElectricity_Frontend[[#This Row],[Data]]</f>
        <v>0</v>
      </c>
      <c r="AE455" s="174" t="str">
        <f>Buildings_GridElectricity_Frontend[[#This Row],[Units]]</f>
        <v>kWh</v>
      </c>
      <c r="AF455" s="210" t="str">
        <f>IF(Buildings_GridElectricity_Frontend[[#This Row],[Data]]="","",_xlfn.XLOOKUP(_xlfn.CONCAT(Buildings_GridElectricity_Backend[[#This Row],[Level 1]:[Level 6]]),rng_EFConcat,rng_EF1)*Buildings_GridElectricity_Backend[[#This Row],[Converted data]]/1000)</f>
        <v/>
      </c>
      <c r="AG455" s="210" t="str">
        <f>IF(Buildings_GridElectricity_Frontend[[#This Row],[Data]]="","",_xlfn.XLOOKUP(_xlfn.CONCAT(Buildings_GridElectricity_Backend[[#This Row],[Level 1]:[Level 6]]),rng_EFConcat,rng_EF2)*Buildings_GridElectricity_Backend[[#This Row],[Converted data]]/1000)</f>
        <v/>
      </c>
      <c r="AH455" s="210" t="str">
        <f>IF(Buildings_GridElectricity_Frontend[[#This Row],[Data]]="","",_xlfn.XLOOKUP(_xlfn.CONCAT(Buildings_GridElectricity_Backend[[#This Row],[Level 1]:[Level 6]]),rng_EFConcat,rng_EF3)*Buildings_GridElectricity_Backend[[#This Row],[Converted data]]/1000)</f>
        <v/>
      </c>
      <c r="AI455" s="210" t="str">
        <f>IF(Buildings_GridElectricity_Frontend[[#This Row],[Data]]="","",_xlfn.XLOOKUP(_xlfn.CONCAT(Buildings_GridElectricity_Backend[[#This Row],[Level 1]:[Level 6]]),rng_EFConcat,rng_EF3WTT)*Buildings_GridElectricity_Backend[[#This Row],[Converted data]]/1000)</f>
        <v/>
      </c>
      <c r="AJ455" s="210" t="str">
        <f>IF(Buildings_GridElectricity_Frontend[[#This Row],[Data]]="","",_xlfn.XLOOKUP(_xlfn.CONCAT(Buildings_GridElectricity_Backend[[#This Row],[Level 1]:[Level 6]]),rng_EFConcat,rng_EF3TD)*Buildings_GridElectricity_Backend[[#This Row],[Converted data]]/1000)</f>
        <v/>
      </c>
      <c r="AK455" s="210" t="str">
        <f>IF(Buildings_GridElectricity_Frontend[[#This Row],[Data]]="","",_xlfn.XLOOKUP(_xlfn.CONCAT(Buildings_GridElectricity_Backend[[#This Row],[Level 1]:[Level 6]]),rng_EFConcat,rng_EF3WTTTD)*Buildings_GridElectricity_Backend[[#This Row],[Converted data]]/1000)</f>
        <v/>
      </c>
      <c r="AL455" s="220" t="str">
        <f>IF(Buildings_GridElectricity_Frontend[[#This Row],[Data]]="","",SUM(Buildings_GridElectricity_Backend[[#This Row],[Scope 1 (tCO2e)]:[Scope 3 WTT T&amp;D (tCO2e)]]))</f>
        <v/>
      </c>
      <c r="AM455" s="220" t="str">
        <f>IF(Buildings_GridElectricity_Frontend[[#This Row],[Data]]="","",Buildings_GridElectricity_Backend[[#This Row],[Total (tCO2e)]]*(1-Buildings_GridElectricity_Backend[[#This Row],[RSD]]))</f>
        <v/>
      </c>
      <c r="AN455" s="220" t="str">
        <f>IF(Buildings_GridElectricity_Frontend[[#This Row],[Data]]="","",Buildings_GridElectricity_Backend[[#This Row],[Total (tCO2e)]]*(1+Buildings_GridElectricity_Backend[[#This Row],[RSD]]))</f>
        <v/>
      </c>
      <c r="AO455" s="210" t="str">
        <f>IF(Buildings_GridElectricity_Frontend[[#This Row],[Data]]="","",_xlfn.XLOOKUP(_xlfn.CONCAT(Buildings_GridElectricity_Backend[[#This Row],[Level 1]:[Level 6]]),rng_EFConcat,rng_EFOOS)*Buildings_GridElectricity_Backend[[#This Row],[Converted data]]/1000)</f>
        <v/>
      </c>
      <c r="AP455" s="174">
        <f>Buildings_GridElectricity_Frontend[[#This Row],[Ease of collection]]</f>
        <v>0</v>
      </c>
      <c r="AQ455" s="213">
        <f>Buildings_GridElectricity_Frontend[[#This Row],[Completeness]]</f>
        <v>0</v>
      </c>
      <c r="AR455" s="220">
        <f>Buildings_GridElectricity_Frontend[[#This Row],[Notes]]</f>
        <v>0</v>
      </c>
    </row>
    <row r="456" spans="5:44" x14ac:dyDescent="0.3">
      <c r="E456" s="346"/>
      <c r="F456" s="449"/>
      <c r="G456" s="336"/>
      <c r="H456" s="334"/>
      <c r="I456" s="172" t="s">
        <v>316</v>
      </c>
      <c r="J456" s="337"/>
      <c r="K456" s="336"/>
      <c r="L456" s="336"/>
      <c r="M456" s="337"/>
      <c r="N456" s="242">
        <f t="shared" si="15"/>
        <v>3</v>
      </c>
      <c r="Q456" s="212" t="str">
        <f t="shared" si="14"/>
        <v/>
      </c>
      <c r="R456" s="174" t="s">
        <v>265</v>
      </c>
      <c r="S456" s="174" t="s">
        <v>273</v>
      </c>
      <c r="T456" s="174" t="str">
        <f>_xlfn.XLOOKUP(Buildings_GridElectricity_Backend[[#This Row],[Info 1]],Buildings_SiteInfo[Site name],Buildings_SiteInfo[Site type], "")</f>
        <v/>
      </c>
      <c r="U456" s="174" t="s">
        <v>281</v>
      </c>
      <c r="V456" s="174" t="str" cm="1">
        <f t="array" aca="1" ref="V456" ca="1">_xlfn.XLOOKUP(Buildings_GridElectricity_Backend[[#This Row],[Level 4]],rng_Level4Long,rng_Level5Long)</f>
        <v>Electricity</v>
      </c>
      <c r="W456" s="174" t="str" cm="1">
        <f t="array" aca="1" ref="W456" ca="1">_xlfn.XLOOKUP(Buildings_GridElectricity_Backend[[#This Row],[Level 4]],rng_Level4Long,rng_Level6Long)</f>
        <v>NaN</v>
      </c>
      <c r="X456" s="174">
        <f>Buildings_GridElectricity_Frontend[[#This Row],[Site Name]]</f>
        <v>0</v>
      </c>
      <c r="Y456" s="174">
        <f>Buildings_GridElectricity_Frontend[[#This Row],[Contracting]]</f>
        <v>0</v>
      </c>
      <c r="Z456" s="174">
        <f>Buildings_GridElectricity_Frontend[[#This Row],[Methodology]]</f>
        <v>0</v>
      </c>
      <c r="AA456" s="229" t="str" cm="1">
        <f t="array" ref="AA456">IF(Buildings_GridElectricity_Frontend[[#This Row],[Data]]="","",INDEX(_xlfn.SWITCH(Buildings_GridElectricity_Backend[[#This Row],[Methodology]],"Tier 1",rng_RSD1,"Tier 2",rng_RSD2,"Tier 3",rng_RSD3),MATCH(_xlfn.CONCAT(Buildings_GridElectricity_Backend[[#This Row],[Level 1]:[Level 6]]),rng_LevelsConcat,0)))</f>
        <v/>
      </c>
      <c r="AB456" s="220">
        <f>Buildings_GridElectricity_Frontend[[#This Row],[Data]]</f>
        <v>0</v>
      </c>
      <c r="AC456" s="174" t="str">
        <f>Buildings_GridElectricity_Frontend[[#This Row],[Units]]</f>
        <v>kWh</v>
      </c>
      <c r="AD456" s="218">
        <f>Buildings_GridElectricity_Frontend[[#This Row],[Data]]</f>
        <v>0</v>
      </c>
      <c r="AE456" s="174" t="str">
        <f>Buildings_GridElectricity_Frontend[[#This Row],[Units]]</f>
        <v>kWh</v>
      </c>
      <c r="AF456" s="210" t="str">
        <f>IF(Buildings_GridElectricity_Frontend[[#This Row],[Data]]="","",_xlfn.XLOOKUP(_xlfn.CONCAT(Buildings_GridElectricity_Backend[[#This Row],[Level 1]:[Level 6]]),rng_EFConcat,rng_EF1)*Buildings_GridElectricity_Backend[[#This Row],[Converted data]]/1000)</f>
        <v/>
      </c>
      <c r="AG456" s="210" t="str">
        <f>IF(Buildings_GridElectricity_Frontend[[#This Row],[Data]]="","",_xlfn.XLOOKUP(_xlfn.CONCAT(Buildings_GridElectricity_Backend[[#This Row],[Level 1]:[Level 6]]),rng_EFConcat,rng_EF2)*Buildings_GridElectricity_Backend[[#This Row],[Converted data]]/1000)</f>
        <v/>
      </c>
      <c r="AH456" s="210" t="str">
        <f>IF(Buildings_GridElectricity_Frontend[[#This Row],[Data]]="","",_xlfn.XLOOKUP(_xlfn.CONCAT(Buildings_GridElectricity_Backend[[#This Row],[Level 1]:[Level 6]]),rng_EFConcat,rng_EF3)*Buildings_GridElectricity_Backend[[#This Row],[Converted data]]/1000)</f>
        <v/>
      </c>
      <c r="AI456" s="210" t="str">
        <f>IF(Buildings_GridElectricity_Frontend[[#This Row],[Data]]="","",_xlfn.XLOOKUP(_xlfn.CONCAT(Buildings_GridElectricity_Backend[[#This Row],[Level 1]:[Level 6]]),rng_EFConcat,rng_EF3WTT)*Buildings_GridElectricity_Backend[[#This Row],[Converted data]]/1000)</f>
        <v/>
      </c>
      <c r="AJ456" s="210" t="str">
        <f>IF(Buildings_GridElectricity_Frontend[[#This Row],[Data]]="","",_xlfn.XLOOKUP(_xlfn.CONCAT(Buildings_GridElectricity_Backend[[#This Row],[Level 1]:[Level 6]]),rng_EFConcat,rng_EF3TD)*Buildings_GridElectricity_Backend[[#This Row],[Converted data]]/1000)</f>
        <v/>
      </c>
      <c r="AK456" s="210" t="str">
        <f>IF(Buildings_GridElectricity_Frontend[[#This Row],[Data]]="","",_xlfn.XLOOKUP(_xlfn.CONCAT(Buildings_GridElectricity_Backend[[#This Row],[Level 1]:[Level 6]]),rng_EFConcat,rng_EF3WTTTD)*Buildings_GridElectricity_Backend[[#This Row],[Converted data]]/1000)</f>
        <v/>
      </c>
      <c r="AL456" s="220" t="str">
        <f>IF(Buildings_GridElectricity_Frontend[[#This Row],[Data]]="","",SUM(Buildings_GridElectricity_Backend[[#This Row],[Scope 1 (tCO2e)]:[Scope 3 WTT T&amp;D (tCO2e)]]))</f>
        <v/>
      </c>
      <c r="AM456" s="220" t="str">
        <f>IF(Buildings_GridElectricity_Frontend[[#This Row],[Data]]="","",Buildings_GridElectricity_Backend[[#This Row],[Total (tCO2e)]]*(1-Buildings_GridElectricity_Backend[[#This Row],[RSD]]))</f>
        <v/>
      </c>
      <c r="AN456" s="220" t="str">
        <f>IF(Buildings_GridElectricity_Frontend[[#This Row],[Data]]="","",Buildings_GridElectricity_Backend[[#This Row],[Total (tCO2e)]]*(1+Buildings_GridElectricity_Backend[[#This Row],[RSD]]))</f>
        <v/>
      </c>
      <c r="AO456" s="210" t="str">
        <f>IF(Buildings_GridElectricity_Frontend[[#This Row],[Data]]="","",_xlfn.XLOOKUP(_xlfn.CONCAT(Buildings_GridElectricity_Backend[[#This Row],[Level 1]:[Level 6]]),rng_EFConcat,rng_EFOOS)*Buildings_GridElectricity_Backend[[#This Row],[Converted data]]/1000)</f>
        <v/>
      </c>
      <c r="AP456" s="174">
        <f>Buildings_GridElectricity_Frontend[[#This Row],[Ease of collection]]</f>
        <v>0</v>
      </c>
      <c r="AQ456" s="213">
        <f>Buildings_GridElectricity_Frontend[[#This Row],[Completeness]]</f>
        <v>0</v>
      </c>
      <c r="AR456" s="220">
        <f>Buildings_GridElectricity_Frontend[[#This Row],[Notes]]</f>
        <v>0</v>
      </c>
    </row>
    <row r="457" spans="5:44" x14ac:dyDescent="0.3">
      <c r="E457" s="346"/>
      <c r="F457" s="449"/>
      <c r="G457" s="336"/>
      <c r="H457" s="334"/>
      <c r="I457" s="172" t="s">
        <v>316</v>
      </c>
      <c r="J457" s="337"/>
      <c r="K457" s="336"/>
      <c r="L457" s="336"/>
      <c r="M457" s="337"/>
      <c r="N457" s="242">
        <f t="shared" si="15"/>
        <v>3</v>
      </c>
      <c r="Q457" s="212" t="str">
        <f t="shared" si="14"/>
        <v/>
      </c>
      <c r="R457" s="174" t="s">
        <v>265</v>
      </c>
      <c r="S457" s="174" t="s">
        <v>273</v>
      </c>
      <c r="T457" s="174" t="str">
        <f>_xlfn.XLOOKUP(Buildings_GridElectricity_Backend[[#This Row],[Info 1]],Buildings_SiteInfo[Site name],Buildings_SiteInfo[Site type], "")</f>
        <v/>
      </c>
      <c r="U457" s="174" t="s">
        <v>281</v>
      </c>
      <c r="V457" s="174" t="str" cm="1">
        <f t="array" aca="1" ref="V457" ca="1">_xlfn.XLOOKUP(Buildings_GridElectricity_Backend[[#This Row],[Level 4]],rng_Level4Long,rng_Level5Long)</f>
        <v>Electricity</v>
      </c>
      <c r="W457" s="174" t="str" cm="1">
        <f t="array" aca="1" ref="W457" ca="1">_xlfn.XLOOKUP(Buildings_GridElectricity_Backend[[#This Row],[Level 4]],rng_Level4Long,rng_Level6Long)</f>
        <v>NaN</v>
      </c>
      <c r="X457" s="174">
        <f>Buildings_GridElectricity_Frontend[[#This Row],[Site Name]]</f>
        <v>0</v>
      </c>
      <c r="Y457" s="174">
        <f>Buildings_GridElectricity_Frontend[[#This Row],[Contracting]]</f>
        <v>0</v>
      </c>
      <c r="Z457" s="174">
        <f>Buildings_GridElectricity_Frontend[[#This Row],[Methodology]]</f>
        <v>0</v>
      </c>
      <c r="AA457" s="229" t="str" cm="1">
        <f t="array" ref="AA457">IF(Buildings_GridElectricity_Frontend[[#This Row],[Data]]="","",INDEX(_xlfn.SWITCH(Buildings_GridElectricity_Backend[[#This Row],[Methodology]],"Tier 1",rng_RSD1,"Tier 2",rng_RSD2,"Tier 3",rng_RSD3),MATCH(_xlfn.CONCAT(Buildings_GridElectricity_Backend[[#This Row],[Level 1]:[Level 6]]),rng_LevelsConcat,0)))</f>
        <v/>
      </c>
      <c r="AB457" s="220">
        <f>Buildings_GridElectricity_Frontend[[#This Row],[Data]]</f>
        <v>0</v>
      </c>
      <c r="AC457" s="174" t="str">
        <f>Buildings_GridElectricity_Frontend[[#This Row],[Units]]</f>
        <v>kWh</v>
      </c>
      <c r="AD457" s="218">
        <f>Buildings_GridElectricity_Frontend[[#This Row],[Data]]</f>
        <v>0</v>
      </c>
      <c r="AE457" s="174" t="str">
        <f>Buildings_GridElectricity_Frontend[[#This Row],[Units]]</f>
        <v>kWh</v>
      </c>
      <c r="AF457" s="210" t="str">
        <f>IF(Buildings_GridElectricity_Frontend[[#This Row],[Data]]="","",_xlfn.XLOOKUP(_xlfn.CONCAT(Buildings_GridElectricity_Backend[[#This Row],[Level 1]:[Level 6]]),rng_EFConcat,rng_EF1)*Buildings_GridElectricity_Backend[[#This Row],[Converted data]]/1000)</f>
        <v/>
      </c>
      <c r="AG457" s="210" t="str">
        <f>IF(Buildings_GridElectricity_Frontend[[#This Row],[Data]]="","",_xlfn.XLOOKUP(_xlfn.CONCAT(Buildings_GridElectricity_Backend[[#This Row],[Level 1]:[Level 6]]),rng_EFConcat,rng_EF2)*Buildings_GridElectricity_Backend[[#This Row],[Converted data]]/1000)</f>
        <v/>
      </c>
      <c r="AH457" s="210" t="str">
        <f>IF(Buildings_GridElectricity_Frontend[[#This Row],[Data]]="","",_xlfn.XLOOKUP(_xlfn.CONCAT(Buildings_GridElectricity_Backend[[#This Row],[Level 1]:[Level 6]]),rng_EFConcat,rng_EF3)*Buildings_GridElectricity_Backend[[#This Row],[Converted data]]/1000)</f>
        <v/>
      </c>
      <c r="AI457" s="210" t="str">
        <f>IF(Buildings_GridElectricity_Frontend[[#This Row],[Data]]="","",_xlfn.XLOOKUP(_xlfn.CONCAT(Buildings_GridElectricity_Backend[[#This Row],[Level 1]:[Level 6]]),rng_EFConcat,rng_EF3WTT)*Buildings_GridElectricity_Backend[[#This Row],[Converted data]]/1000)</f>
        <v/>
      </c>
      <c r="AJ457" s="210" t="str">
        <f>IF(Buildings_GridElectricity_Frontend[[#This Row],[Data]]="","",_xlfn.XLOOKUP(_xlfn.CONCAT(Buildings_GridElectricity_Backend[[#This Row],[Level 1]:[Level 6]]),rng_EFConcat,rng_EF3TD)*Buildings_GridElectricity_Backend[[#This Row],[Converted data]]/1000)</f>
        <v/>
      </c>
      <c r="AK457" s="210" t="str">
        <f>IF(Buildings_GridElectricity_Frontend[[#This Row],[Data]]="","",_xlfn.XLOOKUP(_xlfn.CONCAT(Buildings_GridElectricity_Backend[[#This Row],[Level 1]:[Level 6]]),rng_EFConcat,rng_EF3WTTTD)*Buildings_GridElectricity_Backend[[#This Row],[Converted data]]/1000)</f>
        <v/>
      </c>
      <c r="AL457" s="220" t="str">
        <f>IF(Buildings_GridElectricity_Frontend[[#This Row],[Data]]="","",SUM(Buildings_GridElectricity_Backend[[#This Row],[Scope 1 (tCO2e)]:[Scope 3 WTT T&amp;D (tCO2e)]]))</f>
        <v/>
      </c>
      <c r="AM457" s="220" t="str">
        <f>IF(Buildings_GridElectricity_Frontend[[#This Row],[Data]]="","",Buildings_GridElectricity_Backend[[#This Row],[Total (tCO2e)]]*(1-Buildings_GridElectricity_Backend[[#This Row],[RSD]]))</f>
        <v/>
      </c>
      <c r="AN457" s="220" t="str">
        <f>IF(Buildings_GridElectricity_Frontend[[#This Row],[Data]]="","",Buildings_GridElectricity_Backend[[#This Row],[Total (tCO2e)]]*(1+Buildings_GridElectricity_Backend[[#This Row],[RSD]]))</f>
        <v/>
      </c>
      <c r="AO457" s="210" t="str">
        <f>IF(Buildings_GridElectricity_Frontend[[#This Row],[Data]]="","",_xlfn.XLOOKUP(_xlfn.CONCAT(Buildings_GridElectricity_Backend[[#This Row],[Level 1]:[Level 6]]),rng_EFConcat,rng_EFOOS)*Buildings_GridElectricity_Backend[[#This Row],[Converted data]]/1000)</f>
        <v/>
      </c>
      <c r="AP457" s="174">
        <f>Buildings_GridElectricity_Frontend[[#This Row],[Ease of collection]]</f>
        <v>0</v>
      </c>
      <c r="AQ457" s="213">
        <f>Buildings_GridElectricity_Frontend[[#This Row],[Completeness]]</f>
        <v>0</v>
      </c>
      <c r="AR457" s="220">
        <f>Buildings_GridElectricity_Frontend[[#This Row],[Notes]]</f>
        <v>0</v>
      </c>
    </row>
    <row r="458" spans="5:44" x14ac:dyDescent="0.3">
      <c r="E458" s="346"/>
      <c r="F458" s="449"/>
      <c r="G458" s="336"/>
      <c r="H458" s="334"/>
      <c r="I458" s="172" t="s">
        <v>316</v>
      </c>
      <c r="J458" s="337"/>
      <c r="K458" s="336"/>
      <c r="L458" s="336"/>
      <c r="M458" s="337"/>
      <c r="N458" s="242">
        <f t="shared" si="15"/>
        <v>3</v>
      </c>
      <c r="Q458" s="212" t="str">
        <f t="shared" si="14"/>
        <v/>
      </c>
      <c r="R458" s="174" t="s">
        <v>265</v>
      </c>
      <c r="S458" s="174" t="s">
        <v>273</v>
      </c>
      <c r="T458" s="174" t="str">
        <f>_xlfn.XLOOKUP(Buildings_GridElectricity_Backend[[#This Row],[Info 1]],Buildings_SiteInfo[Site name],Buildings_SiteInfo[Site type], "")</f>
        <v/>
      </c>
      <c r="U458" s="174" t="s">
        <v>281</v>
      </c>
      <c r="V458" s="174" t="str" cm="1">
        <f t="array" aca="1" ref="V458" ca="1">_xlfn.XLOOKUP(Buildings_GridElectricity_Backend[[#This Row],[Level 4]],rng_Level4Long,rng_Level5Long)</f>
        <v>Electricity</v>
      </c>
      <c r="W458" s="174" t="str" cm="1">
        <f t="array" aca="1" ref="W458" ca="1">_xlfn.XLOOKUP(Buildings_GridElectricity_Backend[[#This Row],[Level 4]],rng_Level4Long,rng_Level6Long)</f>
        <v>NaN</v>
      </c>
      <c r="X458" s="174">
        <f>Buildings_GridElectricity_Frontend[[#This Row],[Site Name]]</f>
        <v>0</v>
      </c>
      <c r="Y458" s="174">
        <f>Buildings_GridElectricity_Frontend[[#This Row],[Contracting]]</f>
        <v>0</v>
      </c>
      <c r="Z458" s="174">
        <f>Buildings_GridElectricity_Frontend[[#This Row],[Methodology]]</f>
        <v>0</v>
      </c>
      <c r="AA458" s="229" t="str" cm="1">
        <f t="array" ref="AA458">IF(Buildings_GridElectricity_Frontend[[#This Row],[Data]]="","",INDEX(_xlfn.SWITCH(Buildings_GridElectricity_Backend[[#This Row],[Methodology]],"Tier 1",rng_RSD1,"Tier 2",rng_RSD2,"Tier 3",rng_RSD3),MATCH(_xlfn.CONCAT(Buildings_GridElectricity_Backend[[#This Row],[Level 1]:[Level 6]]),rng_LevelsConcat,0)))</f>
        <v/>
      </c>
      <c r="AB458" s="220">
        <f>Buildings_GridElectricity_Frontend[[#This Row],[Data]]</f>
        <v>0</v>
      </c>
      <c r="AC458" s="174" t="str">
        <f>Buildings_GridElectricity_Frontend[[#This Row],[Units]]</f>
        <v>kWh</v>
      </c>
      <c r="AD458" s="218">
        <f>Buildings_GridElectricity_Frontend[[#This Row],[Data]]</f>
        <v>0</v>
      </c>
      <c r="AE458" s="174" t="str">
        <f>Buildings_GridElectricity_Frontend[[#This Row],[Units]]</f>
        <v>kWh</v>
      </c>
      <c r="AF458" s="210" t="str">
        <f>IF(Buildings_GridElectricity_Frontend[[#This Row],[Data]]="","",_xlfn.XLOOKUP(_xlfn.CONCAT(Buildings_GridElectricity_Backend[[#This Row],[Level 1]:[Level 6]]),rng_EFConcat,rng_EF1)*Buildings_GridElectricity_Backend[[#This Row],[Converted data]]/1000)</f>
        <v/>
      </c>
      <c r="AG458" s="210" t="str">
        <f>IF(Buildings_GridElectricity_Frontend[[#This Row],[Data]]="","",_xlfn.XLOOKUP(_xlfn.CONCAT(Buildings_GridElectricity_Backend[[#This Row],[Level 1]:[Level 6]]),rng_EFConcat,rng_EF2)*Buildings_GridElectricity_Backend[[#This Row],[Converted data]]/1000)</f>
        <v/>
      </c>
      <c r="AH458" s="210" t="str">
        <f>IF(Buildings_GridElectricity_Frontend[[#This Row],[Data]]="","",_xlfn.XLOOKUP(_xlfn.CONCAT(Buildings_GridElectricity_Backend[[#This Row],[Level 1]:[Level 6]]),rng_EFConcat,rng_EF3)*Buildings_GridElectricity_Backend[[#This Row],[Converted data]]/1000)</f>
        <v/>
      </c>
      <c r="AI458" s="210" t="str">
        <f>IF(Buildings_GridElectricity_Frontend[[#This Row],[Data]]="","",_xlfn.XLOOKUP(_xlfn.CONCAT(Buildings_GridElectricity_Backend[[#This Row],[Level 1]:[Level 6]]),rng_EFConcat,rng_EF3WTT)*Buildings_GridElectricity_Backend[[#This Row],[Converted data]]/1000)</f>
        <v/>
      </c>
      <c r="AJ458" s="210" t="str">
        <f>IF(Buildings_GridElectricity_Frontend[[#This Row],[Data]]="","",_xlfn.XLOOKUP(_xlfn.CONCAT(Buildings_GridElectricity_Backend[[#This Row],[Level 1]:[Level 6]]),rng_EFConcat,rng_EF3TD)*Buildings_GridElectricity_Backend[[#This Row],[Converted data]]/1000)</f>
        <v/>
      </c>
      <c r="AK458" s="210" t="str">
        <f>IF(Buildings_GridElectricity_Frontend[[#This Row],[Data]]="","",_xlfn.XLOOKUP(_xlfn.CONCAT(Buildings_GridElectricity_Backend[[#This Row],[Level 1]:[Level 6]]),rng_EFConcat,rng_EF3WTTTD)*Buildings_GridElectricity_Backend[[#This Row],[Converted data]]/1000)</f>
        <v/>
      </c>
      <c r="AL458" s="220" t="str">
        <f>IF(Buildings_GridElectricity_Frontend[[#This Row],[Data]]="","",SUM(Buildings_GridElectricity_Backend[[#This Row],[Scope 1 (tCO2e)]:[Scope 3 WTT T&amp;D (tCO2e)]]))</f>
        <v/>
      </c>
      <c r="AM458" s="220" t="str">
        <f>IF(Buildings_GridElectricity_Frontend[[#This Row],[Data]]="","",Buildings_GridElectricity_Backend[[#This Row],[Total (tCO2e)]]*(1-Buildings_GridElectricity_Backend[[#This Row],[RSD]]))</f>
        <v/>
      </c>
      <c r="AN458" s="220" t="str">
        <f>IF(Buildings_GridElectricity_Frontend[[#This Row],[Data]]="","",Buildings_GridElectricity_Backend[[#This Row],[Total (tCO2e)]]*(1+Buildings_GridElectricity_Backend[[#This Row],[RSD]]))</f>
        <v/>
      </c>
      <c r="AO458" s="210" t="str">
        <f>IF(Buildings_GridElectricity_Frontend[[#This Row],[Data]]="","",_xlfn.XLOOKUP(_xlfn.CONCAT(Buildings_GridElectricity_Backend[[#This Row],[Level 1]:[Level 6]]),rng_EFConcat,rng_EFOOS)*Buildings_GridElectricity_Backend[[#This Row],[Converted data]]/1000)</f>
        <v/>
      </c>
      <c r="AP458" s="174">
        <f>Buildings_GridElectricity_Frontend[[#This Row],[Ease of collection]]</f>
        <v>0</v>
      </c>
      <c r="AQ458" s="213">
        <f>Buildings_GridElectricity_Frontend[[#This Row],[Completeness]]</f>
        <v>0</v>
      </c>
      <c r="AR458" s="220">
        <f>Buildings_GridElectricity_Frontend[[#This Row],[Notes]]</f>
        <v>0</v>
      </c>
    </row>
    <row r="459" spans="5:44" x14ac:dyDescent="0.3">
      <c r="E459" s="346"/>
      <c r="F459" s="449"/>
      <c r="G459" s="336"/>
      <c r="H459" s="334"/>
      <c r="I459" s="172" t="s">
        <v>316</v>
      </c>
      <c r="J459" s="337"/>
      <c r="K459" s="336"/>
      <c r="L459" s="336"/>
      <c r="M459" s="337"/>
      <c r="N459" s="242">
        <f t="shared" si="15"/>
        <v>3</v>
      </c>
      <c r="Q459" s="212" t="str">
        <f t="shared" si="14"/>
        <v/>
      </c>
      <c r="R459" s="174" t="s">
        <v>265</v>
      </c>
      <c r="S459" s="174" t="s">
        <v>273</v>
      </c>
      <c r="T459" s="174" t="str">
        <f>_xlfn.XLOOKUP(Buildings_GridElectricity_Backend[[#This Row],[Info 1]],Buildings_SiteInfo[Site name],Buildings_SiteInfo[Site type], "")</f>
        <v/>
      </c>
      <c r="U459" s="174" t="s">
        <v>281</v>
      </c>
      <c r="V459" s="174" t="str" cm="1">
        <f t="array" aca="1" ref="V459" ca="1">_xlfn.XLOOKUP(Buildings_GridElectricity_Backend[[#This Row],[Level 4]],rng_Level4Long,rng_Level5Long)</f>
        <v>Electricity</v>
      </c>
      <c r="W459" s="174" t="str" cm="1">
        <f t="array" aca="1" ref="W459" ca="1">_xlfn.XLOOKUP(Buildings_GridElectricity_Backend[[#This Row],[Level 4]],rng_Level4Long,rng_Level6Long)</f>
        <v>NaN</v>
      </c>
      <c r="X459" s="174">
        <f>Buildings_GridElectricity_Frontend[[#This Row],[Site Name]]</f>
        <v>0</v>
      </c>
      <c r="Y459" s="174">
        <f>Buildings_GridElectricity_Frontend[[#This Row],[Contracting]]</f>
        <v>0</v>
      </c>
      <c r="Z459" s="174">
        <f>Buildings_GridElectricity_Frontend[[#This Row],[Methodology]]</f>
        <v>0</v>
      </c>
      <c r="AA459" s="229" t="str" cm="1">
        <f t="array" ref="AA459">IF(Buildings_GridElectricity_Frontend[[#This Row],[Data]]="","",INDEX(_xlfn.SWITCH(Buildings_GridElectricity_Backend[[#This Row],[Methodology]],"Tier 1",rng_RSD1,"Tier 2",rng_RSD2,"Tier 3",rng_RSD3),MATCH(_xlfn.CONCAT(Buildings_GridElectricity_Backend[[#This Row],[Level 1]:[Level 6]]),rng_LevelsConcat,0)))</f>
        <v/>
      </c>
      <c r="AB459" s="220">
        <f>Buildings_GridElectricity_Frontend[[#This Row],[Data]]</f>
        <v>0</v>
      </c>
      <c r="AC459" s="174" t="str">
        <f>Buildings_GridElectricity_Frontend[[#This Row],[Units]]</f>
        <v>kWh</v>
      </c>
      <c r="AD459" s="218">
        <f>Buildings_GridElectricity_Frontend[[#This Row],[Data]]</f>
        <v>0</v>
      </c>
      <c r="AE459" s="174" t="str">
        <f>Buildings_GridElectricity_Frontend[[#This Row],[Units]]</f>
        <v>kWh</v>
      </c>
      <c r="AF459" s="210" t="str">
        <f>IF(Buildings_GridElectricity_Frontend[[#This Row],[Data]]="","",_xlfn.XLOOKUP(_xlfn.CONCAT(Buildings_GridElectricity_Backend[[#This Row],[Level 1]:[Level 6]]),rng_EFConcat,rng_EF1)*Buildings_GridElectricity_Backend[[#This Row],[Converted data]]/1000)</f>
        <v/>
      </c>
      <c r="AG459" s="210" t="str">
        <f>IF(Buildings_GridElectricity_Frontend[[#This Row],[Data]]="","",_xlfn.XLOOKUP(_xlfn.CONCAT(Buildings_GridElectricity_Backend[[#This Row],[Level 1]:[Level 6]]),rng_EFConcat,rng_EF2)*Buildings_GridElectricity_Backend[[#This Row],[Converted data]]/1000)</f>
        <v/>
      </c>
      <c r="AH459" s="210" t="str">
        <f>IF(Buildings_GridElectricity_Frontend[[#This Row],[Data]]="","",_xlfn.XLOOKUP(_xlfn.CONCAT(Buildings_GridElectricity_Backend[[#This Row],[Level 1]:[Level 6]]),rng_EFConcat,rng_EF3)*Buildings_GridElectricity_Backend[[#This Row],[Converted data]]/1000)</f>
        <v/>
      </c>
      <c r="AI459" s="210" t="str">
        <f>IF(Buildings_GridElectricity_Frontend[[#This Row],[Data]]="","",_xlfn.XLOOKUP(_xlfn.CONCAT(Buildings_GridElectricity_Backend[[#This Row],[Level 1]:[Level 6]]),rng_EFConcat,rng_EF3WTT)*Buildings_GridElectricity_Backend[[#This Row],[Converted data]]/1000)</f>
        <v/>
      </c>
      <c r="AJ459" s="210" t="str">
        <f>IF(Buildings_GridElectricity_Frontend[[#This Row],[Data]]="","",_xlfn.XLOOKUP(_xlfn.CONCAT(Buildings_GridElectricity_Backend[[#This Row],[Level 1]:[Level 6]]),rng_EFConcat,rng_EF3TD)*Buildings_GridElectricity_Backend[[#This Row],[Converted data]]/1000)</f>
        <v/>
      </c>
      <c r="AK459" s="210" t="str">
        <f>IF(Buildings_GridElectricity_Frontend[[#This Row],[Data]]="","",_xlfn.XLOOKUP(_xlfn.CONCAT(Buildings_GridElectricity_Backend[[#This Row],[Level 1]:[Level 6]]),rng_EFConcat,rng_EF3WTTTD)*Buildings_GridElectricity_Backend[[#This Row],[Converted data]]/1000)</f>
        <v/>
      </c>
      <c r="AL459" s="220" t="str">
        <f>IF(Buildings_GridElectricity_Frontend[[#This Row],[Data]]="","",SUM(Buildings_GridElectricity_Backend[[#This Row],[Scope 1 (tCO2e)]:[Scope 3 WTT T&amp;D (tCO2e)]]))</f>
        <v/>
      </c>
      <c r="AM459" s="220" t="str">
        <f>IF(Buildings_GridElectricity_Frontend[[#This Row],[Data]]="","",Buildings_GridElectricity_Backend[[#This Row],[Total (tCO2e)]]*(1-Buildings_GridElectricity_Backend[[#This Row],[RSD]]))</f>
        <v/>
      </c>
      <c r="AN459" s="220" t="str">
        <f>IF(Buildings_GridElectricity_Frontend[[#This Row],[Data]]="","",Buildings_GridElectricity_Backend[[#This Row],[Total (tCO2e)]]*(1+Buildings_GridElectricity_Backend[[#This Row],[RSD]]))</f>
        <v/>
      </c>
      <c r="AO459" s="210" t="str">
        <f>IF(Buildings_GridElectricity_Frontend[[#This Row],[Data]]="","",_xlfn.XLOOKUP(_xlfn.CONCAT(Buildings_GridElectricity_Backend[[#This Row],[Level 1]:[Level 6]]),rng_EFConcat,rng_EFOOS)*Buildings_GridElectricity_Backend[[#This Row],[Converted data]]/1000)</f>
        <v/>
      </c>
      <c r="AP459" s="174">
        <f>Buildings_GridElectricity_Frontend[[#This Row],[Ease of collection]]</f>
        <v>0</v>
      </c>
      <c r="AQ459" s="213">
        <f>Buildings_GridElectricity_Frontend[[#This Row],[Completeness]]</f>
        <v>0</v>
      </c>
      <c r="AR459" s="220">
        <f>Buildings_GridElectricity_Frontend[[#This Row],[Notes]]</f>
        <v>0</v>
      </c>
    </row>
    <row r="460" spans="5:44" x14ac:dyDescent="0.3">
      <c r="E460" s="346"/>
      <c r="F460" s="449"/>
      <c r="G460" s="336"/>
      <c r="H460" s="334"/>
      <c r="I460" s="172" t="s">
        <v>316</v>
      </c>
      <c r="J460" s="337"/>
      <c r="K460" s="336"/>
      <c r="L460" s="336"/>
      <c r="M460" s="337"/>
      <c r="N460" s="242">
        <f t="shared" si="15"/>
        <v>3</v>
      </c>
      <c r="Q460" s="212" t="str">
        <f t="shared" si="14"/>
        <v/>
      </c>
      <c r="R460" s="174" t="s">
        <v>265</v>
      </c>
      <c r="S460" s="174" t="s">
        <v>273</v>
      </c>
      <c r="T460" s="174" t="str">
        <f>_xlfn.XLOOKUP(Buildings_GridElectricity_Backend[[#This Row],[Info 1]],Buildings_SiteInfo[Site name],Buildings_SiteInfo[Site type], "")</f>
        <v/>
      </c>
      <c r="U460" s="174" t="s">
        <v>281</v>
      </c>
      <c r="V460" s="174" t="str" cm="1">
        <f t="array" aca="1" ref="V460" ca="1">_xlfn.XLOOKUP(Buildings_GridElectricity_Backend[[#This Row],[Level 4]],rng_Level4Long,rng_Level5Long)</f>
        <v>Electricity</v>
      </c>
      <c r="W460" s="174" t="str" cm="1">
        <f t="array" aca="1" ref="W460" ca="1">_xlfn.XLOOKUP(Buildings_GridElectricity_Backend[[#This Row],[Level 4]],rng_Level4Long,rng_Level6Long)</f>
        <v>NaN</v>
      </c>
      <c r="X460" s="174">
        <f>Buildings_GridElectricity_Frontend[[#This Row],[Site Name]]</f>
        <v>0</v>
      </c>
      <c r="Y460" s="174">
        <f>Buildings_GridElectricity_Frontend[[#This Row],[Contracting]]</f>
        <v>0</v>
      </c>
      <c r="Z460" s="174">
        <f>Buildings_GridElectricity_Frontend[[#This Row],[Methodology]]</f>
        <v>0</v>
      </c>
      <c r="AA460" s="229" t="str" cm="1">
        <f t="array" ref="AA460">IF(Buildings_GridElectricity_Frontend[[#This Row],[Data]]="","",INDEX(_xlfn.SWITCH(Buildings_GridElectricity_Backend[[#This Row],[Methodology]],"Tier 1",rng_RSD1,"Tier 2",rng_RSD2,"Tier 3",rng_RSD3),MATCH(_xlfn.CONCAT(Buildings_GridElectricity_Backend[[#This Row],[Level 1]:[Level 6]]),rng_LevelsConcat,0)))</f>
        <v/>
      </c>
      <c r="AB460" s="220">
        <f>Buildings_GridElectricity_Frontend[[#This Row],[Data]]</f>
        <v>0</v>
      </c>
      <c r="AC460" s="174" t="str">
        <f>Buildings_GridElectricity_Frontend[[#This Row],[Units]]</f>
        <v>kWh</v>
      </c>
      <c r="AD460" s="218">
        <f>Buildings_GridElectricity_Frontend[[#This Row],[Data]]</f>
        <v>0</v>
      </c>
      <c r="AE460" s="174" t="str">
        <f>Buildings_GridElectricity_Frontend[[#This Row],[Units]]</f>
        <v>kWh</v>
      </c>
      <c r="AF460" s="210" t="str">
        <f>IF(Buildings_GridElectricity_Frontend[[#This Row],[Data]]="","",_xlfn.XLOOKUP(_xlfn.CONCAT(Buildings_GridElectricity_Backend[[#This Row],[Level 1]:[Level 6]]),rng_EFConcat,rng_EF1)*Buildings_GridElectricity_Backend[[#This Row],[Converted data]]/1000)</f>
        <v/>
      </c>
      <c r="AG460" s="210" t="str">
        <f>IF(Buildings_GridElectricity_Frontend[[#This Row],[Data]]="","",_xlfn.XLOOKUP(_xlfn.CONCAT(Buildings_GridElectricity_Backend[[#This Row],[Level 1]:[Level 6]]),rng_EFConcat,rng_EF2)*Buildings_GridElectricity_Backend[[#This Row],[Converted data]]/1000)</f>
        <v/>
      </c>
      <c r="AH460" s="210" t="str">
        <f>IF(Buildings_GridElectricity_Frontend[[#This Row],[Data]]="","",_xlfn.XLOOKUP(_xlfn.CONCAT(Buildings_GridElectricity_Backend[[#This Row],[Level 1]:[Level 6]]),rng_EFConcat,rng_EF3)*Buildings_GridElectricity_Backend[[#This Row],[Converted data]]/1000)</f>
        <v/>
      </c>
      <c r="AI460" s="210" t="str">
        <f>IF(Buildings_GridElectricity_Frontend[[#This Row],[Data]]="","",_xlfn.XLOOKUP(_xlfn.CONCAT(Buildings_GridElectricity_Backend[[#This Row],[Level 1]:[Level 6]]),rng_EFConcat,rng_EF3WTT)*Buildings_GridElectricity_Backend[[#This Row],[Converted data]]/1000)</f>
        <v/>
      </c>
      <c r="AJ460" s="210" t="str">
        <f>IF(Buildings_GridElectricity_Frontend[[#This Row],[Data]]="","",_xlfn.XLOOKUP(_xlfn.CONCAT(Buildings_GridElectricity_Backend[[#This Row],[Level 1]:[Level 6]]),rng_EFConcat,rng_EF3TD)*Buildings_GridElectricity_Backend[[#This Row],[Converted data]]/1000)</f>
        <v/>
      </c>
      <c r="AK460" s="210" t="str">
        <f>IF(Buildings_GridElectricity_Frontend[[#This Row],[Data]]="","",_xlfn.XLOOKUP(_xlfn.CONCAT(Buildings_GridElectricity_Backend[[#This Row],[Level 1]:[Level 6]]),rng_EFConcat,rng_EF3WTTTD)*Buildings_GridElectricity_Backend[[#This Row],[Converted data]]/1000)</f>
        <v/>
      </c>
      <c r="AL460" s="220" t="str">
        <f>IF(Buildings_GridElectricity_Frontend[[#This Row],[Data]]="","",SUM(Buildings_GridElectricity_Backend[[#This Row],[Scope 1 (tCO2e)]:[Scope 3 WTT T&amp;D (tCO2e)]]))</f>
        <v/>
      </c>
      <c r="AM460" s="220" t="str">
        <f>IF(Buildings_GridElectricity_Frontend[[#This Row],[Data]]="","",Buildings_GridElectricity_Backend[[#This Row],[Total (tCO2e)]]*(1-Buildings_GridElectricity_Backend[[#This Row],[RSD]]))</f>
        <v/>
      </c>
      <c r="AN460" s="220" t="str">
        <f>IF(Buildings_GridElectricity_Frontend[[#This Row],[Data]]="","",Buildings_GridElectricity_Backend[[#This Row],[Total (tCO2e)]]*(1+Buildings_GridElectricity_Backend[[#This Row],[RSD]]))</f>
        <v/>
      </c>
      <c r="AO460" s="210" t="str">
        <f>IF(Buildings_GridElectricity_Frontend[[#This Row],[Data]]="","",_xlfn.XLOOKUP(_xlfn.CONCAT(Buildings_GridElectricity_Backend[[#This Row],[Level 1]:[Level 6]]),rng_EFConcat,rng_EFOOS)*Buildings_GridElectricity_Backend[[#This Row],[Converted data]]/1000)</f>
        <v/>
      </c>
      <c r="AP460" s="174">
        <f>Buildings_GridElectricity_Frontend[[#This Row],[Ease of collection]]</f>
        <v>0</v>
      </c>
      <c r="AQ460" s="213">
        <f>Buildings_GridElectricity_Frontend[[#This Row],[Completeness]]</f>
        <v>0</v>
      </c>
      <c r="AR460" s="220">
        <f>Buildings_GridElectricity_Frontend[[#This Row],[Notes]]</f>
        <v>0</v>
      </c>
    </row>
    <row r="461" spans="5:44" x14ac:dyDescent="0.3">
      <c r="E461" s="346"/>
      <c r="F461" s="449"/>
      <c r="G461" s="336"/>
      <c r="H461" s="334"/>
      <c r="I461" s="172" t="s">
        <v>316</v>
      </c>
      <c r="J461" s="337"/>
      <c r="K461" s="336"/>
      <c r="L461" s="336"/>
      <c r="M461" s="337"/>
      <c r="N461" s="242">
        <f t="shared" si="15"/>
        <v>3</v>
      </c>
      <c r="Q461" s="212" t="str">
        <f t="shared" si="14"/>
        <v/>
      </c>
      <c r="R461" s="174" t="s">
        <v>265</v>
      </c>
      <c r="S461" s="174" t="s">
        <v>273</v>
      </c>
      <c r="T461" s="174" t="str">
        <f>_xlfn.XLOOKUP(Buildings_GridElectricity_Backend[[#This Row],[Info 1]],Buildings_SiteInfo[Site name],Buildings_SiteInfo[Site type], "")</f>
        <v/>
      </c>
      <c r="U461" s="174" t="s">
        <v>281</v>
      </c>
      <c r="V461" s="174" t="str" cm="1">
        <f t="array" aca="1" ref="V461" ca="1">_xlfn.XLOOKUP(Buildings_GridElectricity_Backend[[#This Row],[Level 4]],rng_Level4Long,rng_Level5Long)</f>
        <v>Electricity</v>
      </c>
      <c r="W461" s="174" t="str" cm="1">
        <f t="array" aca="1" ref="W461" ca="1">_xlfn.XLOOKUP(Buildings_GridElectricity_Backend[[#This Row],[Level 4]],rng_Level4Long,rng_Level6Long)</f>
        <v>NaN</v>
      </c>
      <c r="X461" s="174">
        <f>Buildings_GridElectricity_Frontend[[#This Row],[Site Name]]</f>
        <v>0</v>
      </c>
      <c r="Y461" s="174">
        <f>Buildings_GridElectricity_Frontend[[#This Row],[Contracting]]</f>
        <v>0</v>
      </c>
      <c r="Z461" s="174">
        <f>Buildings_GridElectricity_Frontend[[#This Row],[Methodology]]</f>
        <v>0</v>
      </c>
      <c r="AA461" s="229" t="str" cm="1">
        <f t="array" ref="AA461">IF(Buildings_GridElectricity_Frontend[[#This Row],[Data]]="","",INDEX(_xlfn.SWITCH(Buildings_GridElectricity_Backend[[#This Row],[Methodology]],"Tier 1",rng_RSD1,"Tier 2",rng_RSD2,"Tier 3",rng_RSD3),MATCH(_xlfn.CONCAT(Buildings_GridElectricity_Backend[[#This Row],[Level 1]:[Level 6]]),rng_LevelsConcat,0)))</f>
        <v/>
      </c>
      <c r="AB461" s="220">
        <f>Buildings_GridElectricity_Frontend[[#This Row],[Data]]</f>
        <v>0</v>
      </c>
      <c r="AC461" s="174" t="str">
        <f>Buildings_GridElectricity_Frontend[[#This Row],[Units]]</f>
        <v>kWh</v>
      </c>
      <c r="AD461" s="218">
        <f>Buildings_GridElectricity_Frontend[[#This Row],[Data]]</f>
        <v>0</v>
      </c>
      <c r="AE461" s="174" t="str">
        <f>Buildings_GridElectricity_Frontend[[#This Row],[Units]]</f>
        <v>kWh</v>
      </c>
      <c r="AF461" s="210" t="str">
        <f>IF(Buildings_GridElectricity_Frontend[[#This Row],[Data]]="","",_xlfn.XLOOKUP(_xlfn.CONCAT(Buildings_GridElectricity_Backend[[#This Row],[Level 1]:[Level 6]]),rng_EFConcat,rng_EF1)*Buildings_GridElectricity_Backend[[#This Row],[Converted data]]/1000)</f>
        <v/>
      </c>
      <c r="AG461" s="210" t="str">
        <f>IF(Buildings_GridElectricity_Frontend[[#This Row],[Data]]="","",_xlfn.XLOOKUP(_xlfn.CONCAT(Buildings_GridElectricity_Backend[[#This Row],[Level 1]:[Level 6]]),rng_EFConcat,rng_EF2)*Buildings_GridElectricity_Backend[[#This Row],[Converted data]]/1000)</f>
        <v/>
      </c>
      <c r="AH461" s="210" t="str">
        <f>IF(Buildings_GridElectricity_Frontend[[#This Row],[Data]]="","",_xlfn.XLOOKUP(_xlfn.CONCAT(Buildings_GridElectricity_Backend[[#This Row],[Level 1]:[Level 6]]),rng_EFConcat,rng_EF3)*Buildings_GridElectricity_Backend[[#This Row],[Converted data]]/1000)</f>
        <v/>
      </c>
      <c r="AI461" s="210" t="str">
        <f>IF(Buildings_GridElectricity_Frontend[[#This Row],[Data]]="","",_xlfn.XLOOKUP(_xlfn.CONCAT(Buildings_GridElectricity_Backend[[#This Row],[Level 1]:[Level 6]]),rng_EFConcat,rng_EF3WTT)*Buildings_GridElectricity_Backend[[#This Row],[Converted data]]/1000)</f>
        <v/>
      </c>
      <c r="AJ461" s="210" t="str">
        <f>IF(Buildings_GridElectricity_Frontend[[#This Row],[Data]]="","",_xlfn.XLOOKUP(_xlfn.CONCAT(Buildings_GridElectricity_Backend[[#This Row],[Level 1]:[Level 6]]),rng_EFConcat,rng_EF3TD)*Buildings_GridElectricity_Backend[[#This Row],[Converted data]]/1000)</f>
        <v/>
      </c>
      <c r="AK461" s="210" t="str">
        <f>IF(Buildings_GridElectricity_Frontend[[#This Row],[Data]]="","",_xlfn.XLOOKUP(_xlfn.CONCAT(Buildings_GridElectricity_Backend[[#This Row],[Level 1]:[Level 6]]),rng_EFConcat,rng_EF3WTTTD)*Buildings_GridElectricity_Backend[[#This Row],[Converted data]]/1000)</f>
        <v/>
      </c>
      <c r="AL461" s="220" t="str">
        <f>IF(Buildings_GridElectricity_Frontend[[#This Row],[Data]]="","",SUM(Buildings_GridElectricity_Backend[[#This Row],[Scope 1 (tCO2e)]:[Scope 3 WTT T&amp;D (tCO2e)]]))</f>
        <v/>
      </c>
      <c r="AM461" s="220" t="str">
        <f>IF(Buildings_GridElectricity_Frontend[[#This Row],[Data]]="","",Buildings_GridElectricity_Backend[[#This Row],[Total (tCO2e)]]*(1-Buildings_GridElectricity_Backend[[#This Row],[RSD]]))</f>
        <v/>
      </c>
      <c r="AN461" s="220" t="str">
        <f>IF(Buildings_GridElectricity_Frontend[[#This Row],[Data]]="","",Buildings_GridElectricity_Backend[[#This Row],[Total (tCO2e)]]*(1+Buildings_GridElectricity_Backend[[#This Row],[RSD]]))</f>
        <v/>
      </c>
      <c r="AO461" s="210" t="str">
        <f>IF(Buildings_GridElectricity_Frontend[[#This Row],[Data]]="","",_xlfn.XLOOKUP(_xlfn.CONCAT(Buildings_GridElectricity_Backend[[#This Row],[Level 1]:[Level 6]]),rng_EFConcat,rng_EFOOS)*Buildings_GridElectricity_Backend[[#This Row],[Converted data]]/1000)</f>
        <v/>
      </c>
      <c r="AP461" s="174">
        <f>Buildings_GridElectricity_Frontend[[#This Row],[Ease of collection]]</f>
        <v>0</v>
      </c>
      <c r="AQ461" s="213">
        <f>Buildings_GridElectricity_Frontend[[#This Row],[Completeness]]</f>
        <v>0</v>
      </c>
      <c r="AR461" s="220">
        <f>Buildings_GridElectricity_Frontend[[#This Row],[Notes]]</f>
        <v>0</v>
      </c>
    </row>
    <row r="462" spans="5:44" x14ac:dyDescent="0.3">
      <c r="E462" s="346"/>
      <c r="F462" s="449"/>
      <c r="G462" s="336"/>
      <c r="H462" s="334"/>
      <c r="I462" s="172" t="s">
        <v>316</v>
      </c>
      <c r="J462" s="337"/>
      <c r="K462" s="336"/>
      <c r="L462" s="336"/>
      <c r="M462" s="337"/>
      <c r="N462" s="242">
        <f t="shared" si="15"/>
        <v>3</v>
      </c>
      <c r="Q462" s="212" t="str">
        <f t="shared" si="14"/>
        <v/>
      </c>
      <c r="R462" s="174" t="s">
        <v>265</v>
      </c>
      <c r="S462" s="174" t="s">
        <v>273</v>
      </c>
      <c r="T462" s="174" t="str">
        <f>_xlfn.XLOOKUP(Buildings_GridElectricity_Backend[[#This Row],[Info 1]],Buildings_SiteInfo[Site name],Buildings_SiteInfo[Site type], "")</f>
        <v/>
      </c>
      <c r="U462" s="174" t="s">
        <v>281</v>
      </c>
      <c r="V462" s="174" t="str" cm="1">
        <f t="array" aca="1" ref="V462" ca="1">_xlfn.XLOOKUP(Buildings_GridElectricity_Backend[[#This Row],[Level 4]],rng_Level4Long,rng_Level5Long)</f>
        <v>Electricity</v>
      </c>
      <c r="W462" s="174" t="str" cm="1">
        <f t="array" aca="1" ref="W462" ca="1">_xlfn.XLOOKUP(Buildings_GridElectricity_Backend[[#This Row],[Level 4]],rng_Level4Long,rng_Level6Long)</f>
        <v>NaN</v>
      </c>
      <c r="X462" s="174">
        <f>Buildings_GridElectricity_Frontend[[#This Row],[Site Name]]</f>
        <v>0</v>
      </c>
      <c r="Y462" s="174">
        <f>Buildings_GridElectricity_Frontend[[#This Row],[Contracting]]</f>
        <v>0</v>
      </c>
      <c r="Z462" s="174">
        <f>Buildings_GridElectricity_Frontend[[#This Row],[Methodology]]</f>
        <v>0</v>
      </c>
      <c r="AA462" s="229" t="str" cm="1">
        <f t="array" ref="AA462">IF(Buildings_GridElectricity_Frontend[[#This Row],[Data]]="","",INDEX(_xlfn.SWITCH(Buildings_GridElectricity_Backend[[#This Row],[Methodology]],"Tier 1",rng_RSD1,"Tier 2",rng_RSD2,"Tier 3",rng_RSD3),MATCH(_xlfn.CONCAT(Buildings_GridElectricity_Backend[[#This Row],[Level 1]:[Level 6]]),rng_LevelsConcat,0)))</f>
        <v/>
      </c>
      <c r="AB462" s="220">
        <f>Buildings_GridElectricity_Frontend[[#This Row],[Data]]</f>
        <v>0</v>
      </c>
      <c r="AC462" s="174" t="str">
        <f>Buildings_GridElectricity_Frontend[[#This Row],[Units]]</f>
        <v>kWh</v>
      </c>
      <c r="AD462" s="218">
        <f>Buildings_GridElectricity_Frontend[[#This Row],[Data]]</f>
        <v>0</v>
      </c>
      <c r="AE462" s="174" t="str">
        <f>Buildings_GridElectricity_Frontend[[#This Row],[Units]]</f>
        <v>kWh</v>
      </c>
      <c r="AF462" s="210" t="str">
        <f>IF(Buildings_GridElectricity_Frontend[[#This Row],[Data]]="","",_xlfn.XLOOKUP(_xlfn.CONCAT(Buildings_GridElectricity_Backend[[#This Row],[Level 1]:[Level 6]]),rng_EFConcat,rng_EF1)*Buildings_GridElectricity_Backend[[#This Row],[Converted data]]/1000)</f>
        <v/>
      </c>
      <c r="AG462" s="210" t="str">
        <f>IF(Buildings_GridElectricity_Frontend[[#This Row],[Data]]="","",_xlfn.XLOOKUP(_xlfn.CONCAT(Buildings_GridElectricity_Backend[[#This Row],[Level 1]:[Level 6]]),rng_EFConcat,rng_EF2)*Buildings_GridElectricity_Backend[[#This Row],[Converted data]]/1000)</f>
        <v/>
      </c>
      <c r="AH462" s="210" t="str">
        <f>IF(Buildings_GridElectricity_Frontend[[#This Row],[Data]]="","",_xlfn.XLOOKUP(_xlfn.CONCAT(Buildings_GridElectricity_Backend[[#This Row],[Level 1]:[Level 6]]),rng_EFConcat,rng_EF3)*Buildings_GridElectricity_Backend[[#This Row],[Converted data]]/1000)</f>
        <v/>
      </c>
      <c r="AI462" s="210" t="str">
        <f>IF(Buildings_GridElectricity_Frontend[[#This Row],[Data]]="","",_xlfn.XLOOKUP(_xlfn.CONCAT(Buildings_GridElectricity_Backend[[#This Row],[Level 1]:[Level 6]]),rng_EFConcat,rng_EF3WTT)*Buildings_GridElectricity_Backend[[#This Row],[Converted data]]/1000)</f>
        <v/>
      </c>
      <c r="AJ462" s="210" t="str">
        <f>IF(Buildings_GridElectricity_Frontend[[#This Row],[Data]]="","",_xlfn.XLOOKUP(_xlfn.CONCAT(Buildings_GridElectricity_Backend[[#This Row],[Level 1]:[Level 6]]),rng_EFConcat,rng_EF3TD)*Buildings_GridElectricity_Backend[[#This Row],[Converted data]]/1000)</f>
        <v/>
      </c>
      <c r="AK462" s="210" t="str">
        <f>IF(Buildings_GridElectricity_Frontend[[#This Row],[Data]]="","",_xlfn.XLOOKUP(_xlfn.CONCAT(Buildings_GridElectricity_Backend[[#This Row],[Level 1]:[Level 6]]),rng_EFConcat,rng_EF3WTTTD)*Buildings_GridElectricity_Backend[[#This Row],[Converted data]]/1000)</f>
        <v/>
      </c>
      <c r="AL462" s="220" t="str">
        <f>IF(Buildings_GridElectricity_Frontend[[#This Row],[Data]]="","",SUM(Buildings_GridElectricity_Backend[[#This Row],[Scope 1 (tCO2e)]:[Scope 3 WTT T&amp;D (tCO2e)]]))</f>
        <v/>
      </c>
      <c r="AM462" s="220" t="str">
        <f>IF(Buildings_GridElectricity_Frontend[[#This Row],[Data]]="","",Buildings_GridElectricity_Backend[[#This Row],[Total (tCO2e)]]*(1-Buildings_GridElectricity_Backend[[#This Row],[RSD]]))</f>
        <v/>
      </c>
      <c r="AN462" s="220" t="str">
        <f>IF(Buildings_GridElectricity_Frontend[[#This Row],[Data]]="","",Buildings_GridElectricity_Backend[[#This Row],[Total (tCO2e)]]*(1+Buildings_GridElectricity_Backend[[#This Row],[RSD]]))</f>
        <v/>
      </c>
      <c r="AO462" s="210" t="str">
        <f>IF(Buildings_GridElectricity_Frontend[[#This Row],[Data]]="","",_xlfn.XLOOKUP(_xlfn.CONCAT(Buildings_GridElectricity_Backend[[#This Row],[Level 1]:[Level 6]]),rng_EFConcat,rng_EFOOS)*Buildings_GridElectricity_Backend[[#This Row],[Converted data]]/1000)</f>
        <v/>
      </c>
      <c r="AP462" s="174">
        <f>Buildings_GridElectricity_Frontend[[#This Row],[Ease of collection]]</f>
        <v>0</v>
      </c>
      <c r="AQ462" s="213">
        <f>Buildings_GridElectricity_Frontend[[#This Row],[Completeness]]</f>
        <v>0</v>
      </c>
      <c r="AR462" s="220">
        <f>Buildings_GridElectricity_Frontend[[#This Row],[Notes]]</f>
        <v>0</v>
      </c>
    </row>
    <row r="463" spans="5:44" x14ac:dyDescent="0.3">
      <c r="E463" s="346"/>
      <c r="F463" s="449"/>
      <c r="G463" s="336"/>
      <c r="H463" s="334"/>
      <c r="I463" s="172" t="s">
        <v>316</v>
      </c>
      <c r="J463" s="337"/>
      <c r="K463" s="336"/>
      <c r="L463" s="336"/>
      <c r="M463" s="337"/>
      <c r="N463" s="242">
        <f t="shared" si="15"/>
        <v>3</v>
      </c>
      <c r="Q463" s="212" t="str">
        <f t="shared" si="14"/>
        <v/>
      </c>
      <c r="R463" s="174" t="s">
        <v>265</v>
      </c>
      <c r="S463" s="174" t="s">
        <v>273</v>
      </c>
      <c r="T463" s="174" t="str">
        <f>_xlfn.XLOOKUP(Buildings_GridElectricity_Backend[[#This Row],[Info 1]],Buildings_SiteInfo[Site name],Buildings_SiteInfo[Site type], "")</f>
        <v/>
      </c>
      <c r="U463" s="174" t="s">
        <v>281</v>
      </c>
      <c r="V463" s="174" t="str" cm="1">
        <f t="array" aca="1" ref="V463" ca="1">_xlfn.XLOOKUP(Buildings_GridElectricity_Backend[[#This Row],[Level 4]],rng_Level4Long,rng_Level5Long)</f>
        <v>Electricity</v>
      </c>
      <c r="W463" s="174" t="str" cm="1">
        <f t="array" aca="1" ref="W463" ca="1">_xlfn.XLOOKUP(Buildings_GridElectricity_Backend[[#This Row],[Level 4]],rng_Level4Long,rng_Level6Long)</f>
        <v>NaN</v>
      </c>
      <c r="X463" s="174">
        <f>Buildings_GridElectricity_Frontend[[#This Row],[Site Name]]</f>
        <v>0</v>
      </c>
      <c r="Y463" s="174">
        <f>Buildings_GridElectricity_Frontend[[#This Row],[Contracting]]</f>
        <v>0</v>
      </c>
      <c r="Z463" s="174">
        <f>Buildings_GridElectricity_Frontend[[#This Row],[Methodology]]</f>
        <v>0</v>
      </c>
      <c r="AA463" s="229" t="str" cm="1">
        <f t="array" ref="AA463">IF(Buildings_GridElectricity_Frontend[[#This Row],[Data]]="","",INDEX(_xlfn.SWITCH(Buildings_GridElectricity_Backend[[#This Row],[Methodology]],"Tier 1",rng_RSD1,"Tier 2",rng_RSD2,"Tier 3",rng_RSD3),MATCH(_xlfn.CONCAT(Buildings_GridElectricity_Backend[[#This Row],[Level 1]:[Level 6]]),rng_LevelsConcat,0)))</f>
        <v/>
      </c>
      <c r="AB463" s="220">
        <f>Buildings_GridElectricity_Frontend[[#This Row],[Data]]</f>
        <v>0</v>
      </c>
      <c r="AC463" s="174" t="str">
        <f>Buildings_GridElectricity_Frontend[[#This Row],[Units]]</f>
        <v>kWh</v>
      </c>
      <c r="AD463" s="218">
        <f>Buildings_GridElectricity_Frontend[[#This Row],[Data]]</f>
        <v>0</v>
      </c>
      <c r="AE463" s="174" t="str">
        <f>Buildings_GridElectricity_Frontend[[#This Row],[Units]]</f>
        <v>kWh</v>
      </c>
      <c r="AF463" s="210" t="str">
        <f>IF(Buildings_GridElectricity_Frontend[[#This Row],[Data]]="","",_xlfn.XLOOKUP(_xlfn.CONCAT(Buildings_GridElectricity_Backend[[#This Row],[Level 1]:[Level 6]]),rng_EFConcat,rng_EF1)*Buildings_GridElectricity_Backend[[#This Row],[Converted data]]/1000)</f>
        <v/>
      </c>
      <c r="AG463" s="210" t="str">
        <f>IF(Buildings_GridElectricity_Frontend[[#This Row],[Data]]="","",_xlfn.XLOOKUP(_xlfn.CONCAT(Buildings_GridElectricity_Backend[[#This Row],[Level 1]:[Level 6]]),rng_EFConcat,rng_EF2)*Buildings_GridElectricity_Backend[[#This Row],[Converted data]]/1000)</f>
        <v/>
      </c>
      <c r="AH463" s="210" t="str">
        <f>IF(Buildings_GridElectricity_Frontend[[#This Row],[Data]]="","",_xlfn.XLOOKUP(_xlfn.CONCAT(Buildings_GridElectricity_Backend[[#This Row],[Level 1]:[Level 6]]),rng_EFConcat,rng_EF3)*Buildings_GridElectricity_Backend[[#This Row],[Converted data]]/1000)</f>
        <v/>
      </c>
      <c r="AI463" s="210" t="str">
        <f>IF(Buildings_GridElectricity_Frontend[[#This Row],[Data]]="","",_xlfn.XLOOKUP(_xlfn.CONCAT(Buildings_GridElectricity_Backend[[#This Row],[Level 1]:[Level 6]]),rng_EFConcat,rng_EF3WTT)*Buildings_GridElectricity_Backend[[#This Row],[Converted data]]/1000)</f>
        <v/>
      </c>
      <c r="AJ463" s="210" t="str">
        <f>IF(Buildings_GridElectricity_Frontend[[#This Row],[Data]]="","",_xlfn.XLOOKUP(_xlfn.CONCAT(Buildings_GridElectricity_Backend[[#This Row],[Level 1]:[Level 6]]),rng_EFConcat,rng_EF3TD)*Buildings_GridElectricity_Backend[[#This Row],[Converted data]]/1000)</f>
        <v/>
      </c>
      <c r="AK463" s="210" t="str">
        <f>IF(Buildings_GridElectricity_Frontend[[#This Row],[Data]]="","",_xlfn.XLOOKUP(_xlfn.CONCAT(Buildings_GridElectricity_Backend[[#This Row],[Level 1]:[Level 6]]),rng_EFConcat,rng_EF3WTTTD)*Buildings_GridElectricity_Backend[[#This Row],[Converted data]]/1000)</f>
        <v/>
      </c>
      <c r="AL463" s="220" t="str">
        <f>IF(Buildings_GridElectricity_Frontend[[#This Row],[Data]]="","",SUM(Buildings_GridElectricity_Backend[[#This Row],[Scope 1 (tCO2e)]:[Scope 3 WTT T&amp;D (tCO2e)]]))</f>
        <v/>
      </c>
      <c r="AM463" s="220" t="str">
        <f>IF(Buildings_GridElectricity_Frontend[[#This Row],[Data]]="","",Buildings_GridElectricity_Backend[[#This Row],[Total (tCO2e)]]*(1-Buildings_GridElectricity_Backend[[#This Row],[RSD]]))</f>
        <v/>
      </c>
      <c r="AN463" s="220" t="str">
        <f>IF(Buildings_GridElectricity_Frontend[[#This Row],[Data]]="","",Buildings_GridElectricity_Backend[[#This Row],[Total (tCO2e)]]*(1+Buildings_GridElectricity_Backend[[#This Row],[RSD]]))</f>
        <v/>
      </c>
      <c r="AO463" s="210" t="str">
        <f>IF(Buildings_GridElectricity_Frontend[[#This Row],[Data]]="","",_xlfn.XLOOKUP(_xlfn.CONCAT(Buildings_GridElectricity_Backend[[#This Row],[Level 1]:[Level 6]]),rng_EFConcat,rng_EFOOS)*Buildings_GridElectricity_Backend[[#This Row],[Converted data]]/1000)</f>
        <v/>
      </c>
      <c r="AP463" s="174">
        <f>Buildings_GridElectricity_Frontend[[#This Row],[Ease of collection]]</f>
        <v>0</v>
      </c>
      <c r="AQ463" s="213">
        <f>Buildings_GridElectricity_Frontend[[#This Row],[Completeness]]</f>
        <v>0</v>
      </c>
      <c r="AR463" s="220">
        <f>Buildings_GridElectricity_Frontend[[#This Row],[Notes]]</f>
        <v>0</v>
      </c>
    </row>
    <row r="464" spans="5:44" x14ac:dyDescent="0.3">
      <c r="E464" s="346"/>
      <c r="F464" s="449"/>
      <c r="G464" s="336"/>
      <c r="H464" s="334"/>
      <c r="I464" s="172" t="s">
        <v>316</v>
      </c>
      <c r="J464" s="337"/>
      <c r="K464" s="336"/>
      <c r="L464" s="336"/>
      <c r="M464" s="337"/>
      <c r="N464" s="242">
        <f t="shared" si="15"/>
        <v>3</v>
      </c>
      <c r="Q464" s="212" t="str">
        <f t="shared" si="14"/>
        <v/>
      </c>
      <c r="R464" s="174" t="s">
        <v>265</v>
      </c>
      <c r="S464" s="174" t="s">
        <v>273</v>
      </c>
      <c r="T464" s="174" t="str">
        <f>_xlfn.XLOOKUP(Buildings_GridElectricity_Backend[[#This Row],[Info 1]],Buildings_SiteInfo[Site name],Buildings_SiteInfo[Site type], "")</f>
        <v/>
      </c>
      <c r="U464" s="174" t="s">
        <v>281</v>
      </c>
      <c r="V464" s="174" t="str" cm="1">
        <f t="array" aca="1" ref="V464" ca="1">_xlfn.XLOOKUP(Buildings_GridElectricity_Backend[[#This Row],[Level 4]],rng_Level4Long,rng_Level5Long)</f>
        <v>Electricity</v>
      </c>
      <c r="W464" s="174" t="str" cm="1">
        <f t="array" aca="1" ref="W464" ca="1">_xlfn.XLOOKUP(Buildings_GridElectricity_Backend[[#This Row],[Level 4]],rng_Level4Long,rng_Level6Long)</f>
        <v>NaN</v>
      </c>
      <c r="X464" s="174">
        <f>Buildings_GridElectricity_Frontend[[#This Row],[Site Name]]</f>
        <v>0</v>
      </c>
      <c r="Y464" s="174">
        <f>Buildings_GridElectricity_Frontend[[#This Row],[Contracting]]</f>
        <v>0</v>
      </c>
      <c r="Z464" s="174">
        <f>Buildings_GridElectricity_Frontend[[#This Row],[Methodology]]</f>
        <v>0</v>
      </c>
      <c r="AA464" s="229" t="str" cm="1">
        <f t="array" ref="AA464">IF(Buildings_GridElectricity_Frontend[[#This Row],[Data]]="","",INDEX(_xlfn.SWITCH(Buildings_GridElectricity_Backend[[#This Row],[Methodology]],"Tier 1",rng_RSD1,"Tier 2",rng_RSD2,"Tier 3",rng_RSD3),MATCH(_xlfn.CONCAT(Buildings_GridElectricity_Backend[[#This Row],[Level 1]:[Level 6]]),rng_LevelsConcat,0)))</f>
        <v/>
      </c>
      <c r="AB464" s="220">
        <f>Buildings_GridElectricity_Frontend[[#This Row],[Data]]</f>
        <v>0</v>
      </c>
      <c r="AC464" s="174" t="str">
        <f>Buildings_GridElectricity_Frontend[[#This Row],[Units]]</f>
        <v>kWh</v>
      </c>
      <c r="AD464" s="218">
        <f>Buildings_GridElectricity_Frontend[[#This Row],[Data]]</f>
        <v>0</v>
      </c>
      <c r="AE464" s="174" t="str">
        <f>Buildings_GridElectricity_Frontend[[#This Row],[Units]]</f>
        <v>kWh</v>
      </c>
      <c r="AF464" s="210" t="str">
        <f>IF(Buildings_GridElectricity_Frontend[[#This Row],[Data]]="","",_xlfn.XLOOKUP(_xlfn.CONCAT(Buildings_GridElectricity_Backend[[#This Row],[Level 1]:[Level 6]]),rng_EFConcat,rng_EF1)*Buildings_GridElectricity_Backend[[#This Row],[Converted data]]/1000)</f>
        <v/>
      </c>
      <c r="AG464" s="210" t="str">
        <f>IF(Buildings_GridElectricity_Frontend[[#This Row],[Data]]="","",_xlfn.XLOOKUP(_xlfn.CONCAT(Buildings_GridElectricity_Backend[[#This Row],[Level 1]:[Level 6]]),rng_EFConcat,rng_EF2)*Buildings_GridElectricity_Backend[[#This Row],[Converted data]]/1000)</f>
        <v/>
      </c>
      <c r="AH464" s="210" t="str">
        <f>IF(Buildings_GridElectricity_Frontend[[#This Row],[Data]]="","",_xlfn.XLOOKUP(_xlfn.CONCAT(Buildings_GridElectricity_Backend[[#This Row],[Level 1]:[Level 6]]),rng_EFConcat,rng_EF3)*Buildings_GridElectricity_Backend[[#This Row],[Converted data]]/1000)</f>
        <v/>
      </c>
      <c r="AI464" s="210" t="str">
        <f>IF(Buildings_GridElectricity_Frontend[[#This Row],[Data]]="","",_xlfn.XLOOKUP(_xlfn.CONCAT(Buildings_GridElectricity_Backend[[#This Row],[Level 1]:[Level 6]]),rng_EFConcat,rng_EF3WTT)*Buildings_GridElectricity_Backend[[#This Row],[Converted data]]/1000)</f>
        <v/>
      </c>
      <c r="AJ464" s="210" t="str">
        <f>IF(Buildings_GridElectricity_Frontend[[#This Row],[Data]]="","",_xlfn.XLOOKUP(_xlfn.CONCAT(Buildings_GridElectricity_Backend[[#This Row],[Level 1]:[Level 6]]),rng_EFConcat,rng_EF3TD)*Buildings_GridElectricity_Backend[[#This Row],[Converted data]]/1000)</f>
        <v/>
      </c>
      <c r="AK464" s="210" t="str">
        <f>IF(Buildings_GridElectricity_Frontend[[#This Row],[Data]]="","",_xlfn.XLOOKUP(_xlfn.CONCAT(Buildings_GridElectricity_Backend[[#This Row],[Level 1]:[Level 6]]),rng_EFConcat,rng_EF3WTTTD)*Buildings_GridElectricity_Backend[[#This Row],[Converted data]]/1000)</f>
        <v/>
      </c>
      <c r="AL464" s="220" t="str">
        <f>IF(Buildings_GridElectricity_Frontend[[#This Row],[Data]]="","",SUM(Buildings_GridElectricity_Backend[[#This Row],[Scope 1 (tCO2e)]:[Scope 3 WTT T&amp;D (tCO2e)]]))</f>
        <v/>
      </c>
      <c r="AM464" s="220" t="str">
        <f>IF(Buildings_GridElectricity_Frontend[[#This Row],[Data]]="","",Buildings_GridElectricity_Backend[[#This Row],[Total (tCO2e)]]*(1-Buildings_GridElectricity_Backend[[#This Row],[RSD]]))</f>
        <v/>
      </c>
      <c r="AN464" s="220" t="str">
        <f>IF(Buildings_GridElectricity_Frontend[[#This Row],[Data]]="","",Buildings_GridElectricity_Backend[[#This Row],[Total (tCO2e)]]*(1+Buildings_GridElectricity_Backend[[#This Row],[RSD]]))</f>
        <v/>
      </c>
      <c r="AO464" s="210" t="str">
        <f>IF(Buildings_GridElectricity_Frontend[[#This Row],[Data]]="","",_xlfn.XLOOKUP(_xlfn.CONCAT(Buildings_GridElectricity_Backend[[#This Row],[Level 1]:[Level 6]]),rng_EFConcat,rng_EFOOS)*Buildings_GridElectricity_Backend[[#This Row],[Converted data]]/1000)</f>
        <v/>
      </c>
      <c r="AP464" s="174">
        <f>Buildings_GridElectricity_Frontend[[#This Row],[Ease of collection]]</f>
        <v>0</v>
      </c>
      <c r="AQ464" s="213">
        <f>Buildings_GridElectricity_Frontend[[#This Row],[Completeness]]</f>
        <v>0</v>
      </c>
      <c r="AR464" s="220">
        <f>Buildings_GridElectricity_Frontend[[#This Row],[Notes]]</f>
        <v>0</v>
      </c>
    </row>
    <row r="465" spans="5:44" x14ac:dyDescent="0.3">
      <c r="E465" s="346"/>
      <c r="F465" s="449"/>
      <c r="G465" s="336"/>
      <c r="H465" s="334"/>
      <c r="I465" s="172" t="s">
        <v>316</v>
      </c>
      <c r="J465" s="337"/>
      <c r="K465" s="336"/>
      <c r="L465" s="336"/>
      <c r="M465" s="337"/>
      <c r="N465" s="242">
        <f t="shared" si="15"/>
        <v>3</v>
      </c>
      <c r="Q465" s="212" t="str">
        <f t="shared" si="14"/>
        <v/>
      </c>
      <c r="R465" s="174" t="s">
        <v>265</v>
      </c>
      <c r="S465" s="174" t="s">
        <v>273</v>
      </c>
      <c r="T465" s="174" t="str">
        <f>_xlfn.XLOOKUP(Buildings_GridElectricity_Backend[[#This Row],[Info 1]],Buildings_SiteInfo[Site name],Buildings_SiteInfo[Site type], "")</f>
        <v/>
      </c>
      <c r="U465" s="174" t="s">
        <v>281</v>
      </c>
      <c r="V465" s="174" t="str" cm="1">
        <f t="array" aca="1" ref="V465" ca="1">_xlfn.XLOOKUP(Buildings_GridElectricity_Backend[[#This Row],[Level 4]],rng_Level4Long,rng_Level5Long)</f>
        <v>Electricity</v>
      </c>
      <c r="W465" s="174" t="str" cm="1">
        <f t="array" aca="1" ref="W465" ca="1">_xlfn.XLOOKUP(Buildings_GridElectricity_Backend[[#This Row],[Level 4]],rng_Level4Long,rng_Level6Long)</f>
        <v>NaN</v>
      </c>
      <c r="X465" s="174">
        <f>Buildings_GridElectricity_Frontend[[#This Row],[Site Name]]</f>
        <v>0</v>
      </c>
      <c r="Y465" s="174">
        <f>Buildings_GridElectricity_Frontend[[#This Row],[Contracting]]</f>
        <v>0</v>
      </c>
      <c r="Z465" s="174">
        <f>Buildings_GridElectricity_Frontend[[#This Row],[Methodology]]</f>
        <v>0</v>
      </c>
      <c r="AA465" s="229" t="str" cm="1">
        <f t="array" ref="AA465">IF(Buildings_GridElectricity_Frontend[[#This Row],[Data]]="","",INDEX(_xlfn.SWITCH(Buildings_GridElectricity_Backend[[#This Row],[Methodology]],"Tier 1",rng_RSD1,"Tier 2",rng_RSD2,"Tier 3",rng_RSD3),MATCH(_xlfn.CONCAT(Buildings_GridElectricity_Backend[[#This Row],[Level 1]:[Level 6]]),rng_LevelsConcat,0)))</f>
        <v/>
      </c>
      <c r="AB465" s="220">
        <f>Buildings_GridElectricity_Frontend[[#This Row],[Data]]</f>
        <v>0</v>
      </c>
      <c r="AC465" s="174" t="str">
        <f>Buildings_GridElectricity_Frontend[[#This Row],[Units]]</f>
        <v>kWh</v>
      </c>
      <c r="AD465" s="218">
        <f>Buildings_GridElectricity_Frontend[[#This Row],[Data]]</f>
        <v>0</v>
      </c>
      <c r="AE465" s="174" t="str">
        <f>Buildings_GridElectricity_Frontend[[#This Row],[Units]]</f>
        <v>kWh</v>
      </c>
      <c r="AF465" s="210" t="str">
        <f>IF(Buildings_GridElectricity_Frontend[[#This Row],[Data]]="","",_xlfn.XLOOKUP(_xlfn.CONCAT(Buildings_GridElectricity_Backend[[#This Row],[Level 1]:[Level 6]]),rng_EFConcat,rng_EF1)*Buildings_GridElectricity_Backend[[#This Row],[Converted data]]/1000)</f>
        <v/>
      </c>
      <c r="AG465" s="210" t="str">
        <f>IF(Buildings_GridElectricity_Frontend[[#This Row],[Data]]="","",_xlfn.XLOOKUP(_xlfn.CONCAT(Buildings_GridElectricity_Backend[[#This Row],[Level 1]:[Level 6]]),rng_EFConcat,rng_EF2)*Buildings_GridElectricity_Backend[[#This Row],[Converted data]]/1000)</f>
        <v/>
      </c>
      <c r="AH465" s="210" t="str">
        <f>IF(Buildings_GridElectricity_Frontend[[#This Row],[Data]]="","",_xlfn.XLOOKUP(_xlfn.CONCAT(Buildings_GridElectricity_Backend[[#This Row],[Level 1]:[Level 6]]),rng_EFConcat,rng_EF3)*Buildings_GridElectricity_Backend[[#This Row],[Converted data]]/1000)</f>
        <v/>
      </c>
      <c r="AI465" s="210" t="str">
        <f>IF(Buildings_GridElectricity_Frontend[[#This Row],[Data]]="","",_xlfn.XLOOKUP(_xlfn.CONCAT(Buildings_GridElectricity_Backend[[#This Row],[Level 1]:[Level 6]]),rng_EFConcat,rng_EF3WTT)*Buildings_GridElectricity_Backend[[#This Row],[Converted data]]/1000)</f>
        <v/>
      </c>
      <c r="AJ465" s="210" t="str">
        <f>IF(Buildings_GridElectricity_Frontend[[#This Row],[Data]]="","",_xlfn.XLOOKUP(_xlfn.CONCAT(Buildings_GridElectricity_Backend[[#This Row],[Level 1]:[Level 6]]),rng_EFConcat,rng_EF3TD)*Buildings_GridElectricity_Backend[[#This Row],[Converted data]]/1000)</f>
        <v/>
      </c>
      <c r="AK465" s="210" t="str">
        <f>IF(Buildings_GridElectricity_Frontend[[#This Row],[Data]]="","",_xlfn.XLOOKUP(_xlfn.CONCAT(Buildings_GridElectricity_Backend[[#This Row],[Level 1]:[Level 6]]),rng_EFConcat,rng_EF3WTTTD)*Buildings_GridElectricity_Backend[[#This Row],[Converted data]]/1000)</f>
        <v/>
      </c>
      <c r="AL465" s="220" t="str">
        <f>IF(Buildings_GridElectricity_Frontend[[#This Row],[Data]]="","",SUM(Buildings_GridElectricity_Backend[[#This Row],[Scope 1 (tCO2e)]:[Scope 3 WTT T&amp;D (tCO2e)]]))</f>
        <v/>
      </c>
      <c r="AM465" s="220" t="str">
        <f>IF(Buildings_GridElectricity_Frontend[[#This Row],[Data]]="","",Buildings_GridElectricity_Backend[[#This Row],[Total (tCO2e)]]*(1-Buildings_GridElectricity_Backend[[#This Row],[RSD]]))</f>
        <v/>
      </c>
      <c r="AN465" s="220" t="str">
        <f>IF(Buildings_GridElectricity_Frontend[[#This Row],[Data]]="","",Buildings_GridElectricity_Backend[[#This Row],[Total (tCO2e)]]*(1+Buildings_GridElectricity_Backend[[#This Row],[RSD]]))</f>
        <v/>
      </c>
      <c r="AO465" s="210" t="str">
        <f>IF(Buildings_GridElectricity_Frontend[[#This Row],[Data]]="","",_xlfn.XLOOKUP(_xlfn.CONCAT(Buildings_GridElectricity_Backend[[#This Row],[Level 1]:[Level 6]]),rng_EFConcat,rng_EFOOS)*Buildings_GridElectricity_Backend[[#This Row],[Converted data]]/1000)</f>
        <v/>
      </c>
      <c r="AP465" s="174">
        <f>Buildings_GridElectricity_Frontend[[#This Row],[Ease of collection]]</f>
        <v>0</v>
      </c>
      <c r="AQ465" s="213">
        <f>Buildings_GridElectricity_Frontend[[#This Row],[Completeness]]</f>
        <v>0</v>
      </c>
      <c r="AR465" s="220">
        <f>Buildings_GridElectricity_Frontend[[#This Row],[Notes]]</f>
        <v>0</v>
      </c>
    </row>
    <row r="466" spans="5:44" x14ac:dyDescent="0.3">
      <c r="E466" s="346"/>
      <c r="F466" s="449"/>
      <c r="G466" s="336"/>
      <c r="H466" s="334"/>
      <c r="I466" s="172" t="s">
        <v>316</v>
      </c>
      <c r="J466" s="337"/>
      <c r="K466" s="336"/>
      <c r="L466" s="336"/>
      <c r="M466" s="337"/>
      <c r="N466" s="242">
        <f t="shared" si="15"/>
        <v>3</v>
      </c>
      <c r="Q466" s="212" t="str">
        <f t="shared" si="14"/>
        <v/>
      </c>
      <c r="R466" s="174" t="s">
        <v>265</v>
      </c>
      <c r="S466" s="174" t="s">
        <v>273</v>
      </c>
      <c r="T466" s="174" t="str">
        <f>_xlfn.XLOOKUP(Buildings_GridElectricity_Backend[[#This Row],[Info 1]],Buildings_SiteInfo[Site name],Buildings_SiteInfo[Site type], "")</f>
        <v/>
      </c>
      <c r="U466" s="174" t="s">
        <v>281</v>
      </c>
      <c r="V466" s="174" t="str" cm="1">
        <f t="array" aca="1" ref="V466" ca="1">_xlfn.XLOOKUP(Buildings_GridElectricity_Backend[[#This Row],[Level 4]],rng_Level4Long,rng_Level5Long)</f>
        <v>Electricity</v>
      </c>
      <c r="W466" s="174" t="str" cm="1">
        <f t="array" aca="1" ref="W466" ca="1">_xlfn.XLOOKUP(Buildings_GridElectricity_Backend[[#This Row],[Level 4]],rng_Level4Long,rng_Level6Long)</f>
        <v>NaN</v>
      </c>
      <c r="X466" s="174">
        <f>Buildings_GridElectricity_Frontend[[#This Row],[Site Name]]</f>
        <v>0</v>
      </c>
      <c r="Y466" s="174">
        <f>Buildings_GridElectricity_Frontend[[#This Row],[Contracting]]</f>
        <v>0</v>
      </c>
      <c r="Z466" s="174">
        <f>Buildings_GridElectricity_Frontend[[#This Row],[Methodology]]</f>
        <v>0</v>
      </c>
      <c r="AA466" s="229" t="str" cm="1">
        <f t="array" ref="AA466">IF(Buildings_GridElectricity_Frontend[[#This Row],[Data]]="","",INDEX(_xlfn.SWITCH(Buildings_GridElectricity_Backend[[#This Row],[Methodology]],"Tier 1",rng_RSD1,"Tier 2",rng_RSD2,"Tier 3",rng_RSD3),MATCH(_xlfn.CONCAT(Buildings_GridElectricity_Backend[[#This Row],[Level 1]:[Level 6]]),rng_LevelsConcat,0)))</f>
        <v/>
      </c>
      <c r="AB466" s="220">
        <f>Buildings_GridElectricity_Frontend[[#This Row],[Data]]</f>
        <v>0</v>
      </c>
      <c r="AC466" s="174" t="str">
        <f>Buildings_GridElectricity_Frontend[[#This Row],[Units]]</f>
        <v>kWh</v>
      </c>
      <c r="AD466" s="218">
        <f>Buildings_GridElectricity_Frontend[[#This Row],[Data]]</f>
        <v>0</v>
      </c>
      <c r="AE466" s="174" t="str">
        <f>Buildings_GridElectricity_Frontend[[#This Row],[Units]]</f>
        <v>kWh</v>
      </c>
      <c r="AF466" s="210" t="str">
        <f>IF(Buildings_GridElectricity_Frontend[[#This Row],[Data]]="","",_xlfn.XLOOKUP(_xlfn.CONCAT(Buildings_GridElectricity_Backend[[#This Row],[Level 1]:[Level 6]]),rng_EFConcat,rng_EF1)*Buildings_GridElectricity_Backend[[#This Row],[Converted data]]/1000)</f>
        <v/>
      </c>
      <c r="AG466" s="210" t="str">
        <f>IF(Buildings_GridElectricity_Frontend[[#This Row],[Data]]="","",_xlfn.XLOOKUP(_xlfn.CONCAT(Buildings_GridElectricity_Backend[[#This Row],[Level 1]:[Level 6]]),rng_EFConcat,rng_EF2)*Buildings_GridElectricity_Backend[[#This Row],[Converted data]]/1000)</f>
        <v/>
      </c>
      <c r="AH466" s="210" t="str">
        <f>IF(Buildings_GridElectricity_Frontend[[#This Row],[Data]]="","",_xlfn.XLOOKUP(_xlfn.CONCAT(Buildings_GridElectricity_Backend[[#This Row],[Level 1]:[Level 6]]),rng_EFConcat,rng_EF3)*Buildings_GridElectricity_Backend[[#This Row],[Converted data]]/1000)</f>
        <v/>
      </c>
      <c r="AI466" s="210" t="str">
        <f>IF(Buildings_GridElectricity_Frontend[[#This Row],[Data]]="","",_xlfn.XLOOKUP(_xlfn.CONCAT(Buildings_GridElectricity_Backend[[#This Row],[Level 1]:[Level 6]]),rng_EFConcat,rng_EF3WTT)*Buildings_GridElectricity_Backend[[#This Row],[Converted data]]/1000)</f>
        <v/>
      </c>
      <c r="AJ466" s="210" t="str">
        <f>IF(Buildings_GridElectricity_Frontend[[#This Row],[Data]]="","",_xlfn.XLOOKUP(_xlfn.CONCAT(Buildings_GridElectricity_Backend[[#This Row],[Level 1]:[Level 6]]),rng_EFConcat,rng_EF3TD)*Buildings_GridElectricity_Backend[[#This Row],[Converted data]]/1000)</f>
        <v/>
      </c>
      <c r="AK466" s="210" t="str">
        <f>IF(Buildings_GridElectricity_Frontend[[#This Row],[Data]]="","",_xlfn.XLOOKUP(_xlfn.CONCAT(Buildings_GridElectricity_Backend[[#This Row],[Level 1]:[Level 6]]),rng_EFConcat,rng_EF3WTTTD)*Buildings_GridElectricity_Backend[[#This Row],[Converted data]]/1000)</f>
        <v/>
      </c>
      <c r="AL466" s="220" t="str">
        <f>IF(Buildings_GridElectricity_Frontend[[#This Row],[Data]]="","",SUM(Buildings_GridElectricity_Backend[[#This Row],[Scope 1 (tCO2e)]:[Scope 3 WTT T&amp;D (tCO2e)]]))</f>
        <v/>
      </c>
      <c r="AM466" s="220" t="str">
        <f>IF(Buildings_GridElectricity_Frontend[[#This Row],[Data]]="","",Buildings_GridElectricity_Backend[[#This Row],[Total (tCO2e)]]*(1-Buildings_GridElectricity_Backend[[#This Row],[RSD]]))</f>
        <v/>
      </c>
      <c r="AN466" s="220" t="str">
        <f>IF(Buildings_GridElectricity_Frontend[[#This Row],[Data]]="","",Buildings_GridElectricity_Backend[[#This Row],[Total (tCO2e)]]*(1+Buildings_GridElectricity_Backend[[#This Row],[RSD]]))</f>
        <v/>
      </c>
      <c r="AO466" s="210" t="str">
        <f>IF(Buildings_GridElectricity_Frontend[[#This Row],[Data]]="","",_xlfn.XLOOKUP(_xlfn.CONCAT(Buildings_GridElectricity_Backend[[#This Row],[Level 1]:[Level 6]]),rng_EFConcat,rng_EFOOS)*Buildings_GridElectricity_Backend[[#This Row],[Converted data]]/1000)</f>
        <v/>
      </c>
      <c r="AP466" s="174">
        <f>Buildings_GridElectricity_Frontend[[#This Row],[Ease of collection]]</f>
        <v>0</v>
      </c>
      <c r="AQ466" s="213">
        <f>Buildings_GridElectricity_Frontend[[#This Row],[Completeness]]</f>
        <v>0</v>
      </c>
      <c r="AR466" s="220">
        <f>Buildings_GridElectricity_Frontend[[#This Row],[Notes]]</f>
        <v>0</v>
      </c>
    </row>
    <row r="467" spans="5:44" x14ac:dyDescent="0.3">
      <c r="E467" s="346"/>
      <c r="F467" s="449"/>
      <c r="G467" s="336"/>
      <c r="H467" s="334"/>
      <c r="I467" s="172" t="s">
        <v>316</v>
      </c>
      <c r="J467" s="337"/>
      <c r="K467" s="336"/>
      <c r="L467" s="336"/>
      <c r="M467" s="337"/>
      <c r="N467" s="242">
        <f t="shared" si="15"/>
        <v>3</v>
      </c>
      <c r="Q467" s="212" t="str">
        <f t="shared" si="14"/>
        <v/>
      </c>
      <c r="R467" s="174" t="s">
        <v>265</v>
      </c>
      <c r="S467" s="174" t="s">
        <v>273</v>
      </c>
      <c r="T467" s="174" t="str">
        <f>_xlfn.XLOOKUP(Buildings_GridElectricity_Backend[[#This Row],[Info 1]],Buildings_SiteInfo[Site name],Buildings_SiteInfo[Site type], "")</f>
        <v/>
      </c>
      <c r="U467" s="174" t="s">
        <v>281</v>
      </c>
      <c r="V467" s="174" t="str" cm="1">
        <f t="array" aca="1" ref="V467" ca="1">_xlfn.XLOOKUP(Buildings_GridElectricity_Backend[[#This Row],[Level 4]],rng_Level4Long,rng_Level5Long)</f>
        <v>Electricity</v>
      </c>
      <c r="W467" s="174" t="str" cm="1">
        <f t="array" aca="1" ref="W467" ca="1">_xlfn.XLOOKUP(Buildings_GridElectricity_Backend[[#This Row],[Level 4]],rng_Level4Long,rng_Level6Long)</f>
        <v>NaN</v>
      </c>
      <c r="X467" s="174">
        <f>Buildings_GridElectricity_Frontend[[#This Row],[Site Name]]</f>
        <v>0</v>
      </c>
      <c r="Y467" s="174">
        <f>Buildings_GridElectricity_Frontend[[#This Row],[Contracting]]</f>
        <v>0</v>
      </c>
      <c r="Z467" s="174">
        <f>Buildings_GridElectricity_Frontend[[#This Row],[Methodology]]</f>
        <v>0</v>
      </c>
      <c r="AA467" s="229" t="str" cm="1">
        <f t="array" ref="AA467">IF(Buildings_GridElectricity_Frontend[[#This Row],[Data]]="","",INDEX(_xlfn.SWITCH(Buildings_GridElectricity_Backend[[#This Row],[Methodology]],"Tier 1",rng_RSD1,"Tier 2",rng_RSD2,"Tier 3",rng_RSD3),MATCH(_xlfn.CONCAT(Buildings_GridElectricity_Backend[[#This Row],[Level 1]:[Level 6]]),rng_LevelsConcat,0)))</f>
        <v/>
      </c>
      <c r="AB467" s="220">
        <f>Buildings_GridElectricity_Frontend[[#This Row],[Data]]</f>
        <v>0</v>
      </c>
      <c r="AC467" s="174" t="str">
        <f>Buildings_GridElectricity_Frontend[[#This Row],[Units]]</f>
        <v>kWh</v>
      </c>
      <c r="AD467" s="218">
        <f>Buildings_GridElectricity_Frontend[[#This Row],[Data]]</f>
        <v>0</v>
      </c>
      <c r="AE467" s="174" t="str">
        <f>Buildings_GridElectricity_Frontend[[#This Row],[Units]]</f>
        <v>kWh</v>
      </c>
      <c r="AF467" s="210" t="str">
        <f>IF(Buildings_GridElectricity_Frontend[[#This Row],[Data]]="","",_xlfn.XLOOKUP(_xlfn.CONCAT(Buildings_GridElectricity_Backend[[#This Row],[Level 1]:[Level 6]]),rng_EFConcat,rng_EF1)*Buildings_GridElectricity_Backend[[#This Row],[Converted data]]/1000)</f>
        <v/>
      </c>
      <c r="AG467" s="210" t="str">
        <f>IF(Buildings_GridElectricity_Frontend[[#This Row],[Data]]="","",_xlfn.XLOOKUP(_xlfn.CONCAT(Buildings_GridElectricity_Backend[[#This Row],[Level 1]:[Level 6]]),rng_EFConcat,rng_EF2)*Buildings_GridElectricity_Backend[[#This Row],[Converted data]]/1000)</f>
        <v/>
      </c>
      <c r="AH467" s="210" t="str">
        <f>IF(Buildings_GridElectricity_Frontend[[#This Row],[Data]]="","",_xlfn.XLOOKUP(_xlfn.CONCAT(Buildings_GridElectricity_Backend[[#This Row],[Level 1]:[Level 6]]),rng_EFConcat,rng_EF3)*Buildings_GridElectricity_Backend[[#This Row],[Converted data]]/1000)</f>
        <v/>
      </c>
      <c r="AI467" s="210" t="str">
        <f>IF(Buildings_GridElectricity_Frontend[[#This Row],[Data]]="","",_xlfn.XLOOKUP(_xlfn.CONCAT(Buildings_GridElectricity_Backend[[#This Row],[Level 1]:[Level 6]]),rng_EFConcat,rng_EF3WTT)*Buildings_GridElectricity_Backend[[#This Row],[Converted data]]/1000)</f>
        <v/>
      </c>
      <c r="AJ467" s="210" t="str">
        <f>IF(Buildings_GridElectricity_Frontend[[#This Row],[Data]]="","",_xlfn.XLOOKUP(_xlfn.CONCAT(Buildings_GridElectricity_Backend[[#This Row],[Level 1]:[Level 6]]),rng_EFConcat,rng_EF3TD)*Buildings_GridElectricity_Backend[[#This Row],[Converted data]]/1000)</f>
        <v/>
      </c>
      <c r="AK467" s="210" t="str">
        <f>IF(Buildings_GridElectricity_Frontend[[#This Row],[Data]]="","",_xlfn.XLOOKUP(_xlfn.CONCAT(Buildings_GridElectricity_Backend[[#This Row],[Level 1]:[Level 6]]),rng_EFConcat,rng_EF3WTTTD)*Buildings_GridElectricity_Backend[[#This Row],[Converted data]]/1000)</f>
        <v/>
      </c>
      <c r="AL467" s="220" t="str">
        <f>IF(Buildings_GridElectricity_Frontend[[#This Row],[Data]]="","",SUM(Buildings_GridElectricity_Backend[[#This Row],[Scope 1 (tCO2e)]:[Scope 3 WTT T&amp;D (tCO2e)]]))</f>
        <v/>
      </c>
      <c r="AM467" s="220" t="str">
        <f>IF(Buildings_GridElectricity_Frontend[[#This Row],[Data]]="","",Buildings_GridElectricity_Backend[[#This Row],[Total (tCO2e)]]*(1-Buildings_GridElectricity_Backend[[#This Row],[RSD]]))</f>
        <v/>
      </c>
      <c r="AN467" s="220" t="str">
        <f>IF(Buildings_GridElectricity_Frontend[[#This Row],[Data]]="","",Buildings_GridElectricity_Backend[[#This Row],[Total (tCO2e)]]*(1+Buildings_GridElectricity_Backend[[#This Row],[RSD]]))</f>
        <v/>
      </c>
      <c r="AO467" s="210" t="str">
        <f>IF(Buildings_GridElectricity_Frontend[[#This Row],[Data]]="","",_xlfn.XLOOKUP(_xlfn.CONCAT(Buildings_GridElectricity_Backend[[#This Row],[Level 1]:[Level 6]]),rng_EFConcat,rng_EFOOS)*Buildings_GridElectricity_Backend[[#This Row],[Converted data]]/1000)</f>
        <v/>
      </c>
      <c r="AP467" s="174">
        <f>Buildings_GridElectricity_Frontend[[#This Row],[Ease of collection]]</f>
        <v>0</v>
      </c>
      <c r="AQ467" s="213">
        <f>Buildings_GridElectricity_Frontend[[#This Row],[Completeness]]</f>
        <v>0</v>
      </c>
      <c r="AR467" s="220">
        <f>Buildings_GridElectricity_Frontend[[#This Row],[Notes]]</f>
        <v>0</v>
      </c>
    </row>
    <row r="468" spans="5:44" x14ac:dyDescent="0.3">
      <c r="E468" s="346"/>
      <c r="F468" s="449"/>
      <c r="G468" s="336"/>
      <c r="H468" s="334"/>
      <c r="I468" s="172" t="s">
        <v>316</v>
      </c>
      <c r="J468" s="337"/>
      <c r="K468" s="336"/>
      <c r="L468" s="336"/>
      <c r="M468" s="337"/>
      <c r="N468" s="242">
        <f t="shared" si="15"/>
        <v>3</v>
      </c>
      <c r="Q468" s="212" t="str">
        <f t="shared" si="14"/>
        <v/>
      </c>
      <c r="R468" s="174" t="s">
        <v>265</v>
      </c>
      <c r="S468" s="174" t="s">
        <v>273</v>
      </c>
      <c r="T468" s="174" t="str">
        <f>_xlfn.XLOOKUP(Buildings_GridElectricity_Backend[[#This Row],[Info 1]],Buildings_SiteInfo[Site name],Buildings_SiteInfo[Site type], "")</f>
        <v/>
      </c>
      <c r="U468" s="174" t="s">
        <v>281</v>
      </c>
      <c r="V468" s="174" t="str" cm="1">
        <f t="array" aca="1" ref="V468" ca="1">_xlfn.XLOOKUP(Buildings_GridElectricity_Backend[[#This Row],[Level 4]],rng_Level4Long,rng_Level5Long)</f>
        <v>Electricity</v>
      </c>
      <c r="W468" s="174" t="str" cm="1">
        <f t="array" aca="1" ref="W468" ca="1">_xlfn.XLOOKUP(Buildings_GridElectricity_Backend[[#This Row],[Level 4]],rng_Level4Long,rng_Level6Long)</f>
        <v>NaN</v>
      </c>
      <c r="X468" s="174">
        <f>Buildings_GridElectricity_Frontend[[#This Row],[Site Name]]</f>
        <v>0</v>
      </c>
      <c r="Y468" s="174">
        <f>Buildings_GridElectricity_Frontend[[#This Row],[Contracting]]</f>
        <v>0</v>
      </c>
      <c r="Z468" s="174">
        <f>Buildings_GridElectricity_Frontend[[#This Row],[Methodology]]</f>
        <v>0</v>
      </c>
      <c r="AA468" s="229" t="str" cm="1">
        <f t="array" ref="AA468">IF(Buildings_GridElectricity_Frontend[[#This Row],[Data]]="","",INDEX(_xlfn.SWITCH(Buildings_GridElectricity_Backend[[#This Row],[Methodology]],"Tier 1",rng_RSD1,"Tier 2",rng_RSD2,"Tier 3",rng_RSD3),MATCH(_xlfn.CONCAT(Buildings_GridElectricity_Backend[[#This Row],[Level 1]:[Level 6]]),rng_LevelsConcat,0)))</f>
        <v/>
      </c>
      <c r="AB468" s="220">
        <f>Buildings_GridElectricity_Frontend[[#This Row],[Data]]</f>
        <v>0</v>
      </c>
      <c r="AC468" s="174" t="str">
        <f>Buildings_GridElectricity_Frontend[[#This Row],[Units]]</f>
        <v>kWh</v>
      </c>
      <c r="AD468" s="218">
        <f>Buildings_GridElectricity_Frontend[[#This Row],[Data]]</f>
        <v>0</v>
      </c>
      <c r="AE468" s="174" t="str">
        <f>Buildings_GridElectricity_Frontend[[#This Row],[Units]]</f>
        <v>kWh</v>
      </c>
      <c r="AF468" s="210" t="str">
        <f>IF(Buildings_GridElectricity_Frontend[[#This Row],[Data]]="","",_xlfn.XLOOKUP(_xlfn.CONCAT(Buildings_GridElectricity_Backend[[#This Row],[Level 1]:[Level 6]]),rng_EFConcat,rng_EF1)*Buildings_GridElectricity_Backend[[#This Row],[Converted data]]/1000)</f>
        <v/>
      </c>
      <c r="AG468" s="210" t="str">
        <f>IF(Buildings_GridElectricity_Frontend[[#This Row],[Data]]="","",_xlfn.XLOOKUP(_xlfn.CONCAT(Buildings_GridElectricity_Backend[[#This Row],[Level 1]:[Level 6]]),rng_EFConcat,rng_EF2)*Buildings_GridElectricity_Backend[[#This Row],[Converted data]]/1000)</f>
        <v/>
      </c>
      <c r="AH468" s="210" t="str">
        <f>IF(Buildings_GridElectricity_Frontend[[#This Row],[Data]]="","",_xlfn.XLOOKUP(_xlfn.CONCAT(Buildings_GridElectricity_Backend[[#This Row],[Level 1]:[Level 6]]),rng_EFConcat,rng_EF3)*Buildings_GridElectricity_Backend[[#This Row],[Converted data]]/1000)</f>
        <v/>
      </c>
      <c r="AI468" s="210" t="str">
        <f>IF(Buildings_GridElectricity_Frontend[[#This Row],[Data]]="","",_xlfn.XLOOKUP(_xlfn.CONCAT(Buildings_GridElectricity_Backend[[#This Row],[Level 1]:[Level 6]]),rng_EFConcat,rng_EF3WTT)*Buildings_GridElectricity_Backend[[#This Row],[Converted data]]/1000)</f>
        <v/>
      </c>
      <c r="AJ468" s="210" t="str">
        <f>IF(Buildings_GridElectricity_Frontend[[#This Row],[Data]]="","",_xlfn.XLOOKUP(_xlfn.CONCAT(Buildings_GridElectricity_Backend[[#This Row],[Level 1]:[Level 6]]),rng_EFConcat,rng_EF3TD)*Buildings_GridElectricity_Backend[[#This Row],[Converted data]]/1000)</f>
        <v/>
      </c>
      <c r="AK468" s="210" t="str">
        <f>IF(Buildings_GridElectricity_Frontend[[#This Row],[Data]]="","",_xlfn.XLOOKUP(_xlfn.CONCAT(Buildings_GridElectricity_Backend[[#This Row],[Level 1]:[Level 6]]),rng_EFConcat,rng_EF3WTTTD)*Buildings_GridElectricity_Backend[[#This Row],[Converted data]]/1000)</f>
        <v/>
      </c>
      <c r="AL468" s="220" t="str">
        <f>IF(Buildings_GridElectricity_Frontend[[#This Row],[Data]]="","",SUM(Buildings_GridElectricity_Backend[[#This Row],[Scope 1 (tCO2e)]:[Scope 3 WTT T&amp;D (tCO2e)]]))</f>
        <v/>
      </c>
      <c r="AM468" s="220" t="str">
        <f>IF(Buildings_GridElectricity_Frontend[[#This Row],[Data]]="","",Buildings_GridElectricity_Backend[[#This Row],[Total (tCO2e)]]*(1-Buildings_GridElectricity_Backend[[#This Row],[RSD]]))</f>
        <v/>
      </c>
      <c r="AN468" s="220" t="str">
        <f>IF(Buildings_GridElectricity_Frontend[[#This Row],[Data]]="","",Buildings_GridElectricity_Backend[[#This Row],[Total (tCO2e)]]*(1+Buildings_GridElectricity_Backend[[#This Row],[RSD]]))</f>
        <v/>
      </c>
      <c r="AO468" s="210" t="str">
        <f>IF(Buildings_GridElectricity_Frontend[[#This Row],[Data]]="","",_xlfn.XLOOKUP(_xlfn.CONCAT(Buildings_GridElectricity_Backend[[#This Row],[Level 1]:[Level 6]]),rng_EFConcat,rng_EFOOS)*Buildings_GridElectricity_Backend[[#This Row],[Converted data]]/1000)</f>
        <v/>
      </c>
      <c r="AP468" s="174">
        <f>Buildings_GridElectricity_Frontend[[#This Row],[Ease of collection]]</f>
        <v>0</v>
      </c>
      <c r="AQ468" s="213">
        <f>Buildings_GridElectricity_Frontend[[#This Row],[Completeness]]</f>
        <v>0</v>
      </c>
      <c r="AR468" s="220">
        <f>Buildings_GridElectricity_Frontend[[#This Row],[Notes]]</f>
        <v>0</v>
      </c>
    </row>
    <row r="469" spans="5:44" x14ac:dyDescent="0.3">
      <c r="E469" s="346"/>
      <c r="F469" s="449"/>
      <c r="G469" s="336"/>
      <c r="H469" s="334"/>
      <c r="I469" s="172" t="s">
        <v>316</v>
      </c>
      <c r="J469" s="337"/>
      <c r="K469" s="336"/>
      <c r="L469" s="336"/>
      <c r="M469" s="337"/>
      <c r="N469" s="242">
        <f t="shared" si="15"/>
        <v>3</v>
      </c>
      <c r="Q469" s="212" t="str">
        <f t="shared" si="14"/>
        <v/>
      </c>
      <c r="R469" s="174" t="s">
        <v>265</v>
      </c>
      <c r="S469" s="174" t="s">
        <v>273</v>
      </c>
      <c r="T469" s="174" t="str">
        <f>_xlfn.XLOOKUP(Buildings_GridElectricity_Backend[[#This Row],[Info 1]],Buildings_SiteInfo[Site name],Buildings_SiteInfo[Site type], "")</f>
        <v/>
      </c>
      <c r="U469" s="174" t="s">
        <v>281</v>
      </c>
      <c r="V469" s="174" t="str" cm="1">
        <f t="array" aca="1" ref="V469" ca="1">_xlfn.XLOOKUP(Buildings_GridElectricity_Backend[[#This Row],[Level 4]],rng_Level4Long,rng_Level5Long)</f>
        <v>Electricity</v>
      </c>
      <c r="W469" s="174" t="str" cm="1">
        <f t="array" aca="1" ref="W469" ca="1">_xlfn.XLOOKUP(Buildings_GridElectricity_Backend[[#This Row],[Level 4]],rng_Level4Long,rng_Level6Long)</f>
        <v>NaN</v>
      </c>
      <c r="X469" s="174">
        <f>Buildings_GridElectricity_Frontend[[#This Row],[Site Name]]</f>
        <v>0</v>
      </c>
      <c r="Y469" s="174">
        <f>Buildings_GridElectricity_Frontend[[#This Row],[Contracting]]</f>
        <v>0</v>
      </c>
      <c r="Z469" s="174">
        <f>Buildings_GridElectricity_Frontend[[#This Row],[Methodology]]</f>
        <v>0</v>
      </c>
      <c r="AA469" s="229" t="str" cm="1">
        <f t="array" ref="AA469">IF(Buildings_GridElectricity_Frontend[[#This Row],[Data]]="","",INDEX(_xlfn.SWITCH(Buildings_GridElectricity_Backend[[#This Row],[Methodology]],"Tier 1",rng_RSD1,"Tier 2",rng_RSD2,"Tier 3",rng_RSD3),MATCH(_xlfn.CONCAT(Buildings_GridElectricity_Backend[[#This Row],[Level 1]:[Level 6]]),rng_LevelsConcat,0)))</f>
        <v/>
      </c>
      <c r="AB469" s="220">
        <f>Buildings_GridElectricity_Frontend[[#This Row],[Data]]</f>
        <v>0</v>
      </c>
      <c r="AC469" s="174" t="str">
        <f>Buildings_GridElectricity_Frontend[[#This Row],[Units]]</f>
        <v>kWh</v>
      </c>
      <c r="AD469" s="218">
        <f>Buildings_GridElectricity_Frontend[[#This Row],[Data]]</f>
        <v>0</v>
      </c>
      <c r="AE469" s="174" t="str">
        <f>Buildings_GridElectricity_Frontend[[#This Row],[Units]]</f>
        <v>kWh</v>
      </c>
      <c r="AF469" s="210" t="str">
        <f>IF(Buildings_GridElectricity_Frontend[[#This Row],[Data]]="","",_xlfn.XLOOKUP(_xlfn.CONCAT(Buildings_GridElectricity_Backend[[#This Row],[Level 1]:[Level 6]]),rng_EFConcat,rng_EF1)*Buildings_GridElectricity_Backend[[#This Row],[Converted data]]/1000)</f>
        <v/>
      </c>
      <c r="AG469" s="210" t="str">
        <f>IF(Buildings_GridElectricity_Frontend[[#This Row],[Data]]="","",_xlfn.XLOOKUP(_xlfn.CONCAT(Buildings_GridElectricity_Backend[[#This Row],[Level 1]:[Level 6]]),rng_EFConcat,rng_EF2)*Buildings_GridElectricity_Backend[[#This Row],[Converted data]]/1000)</f>
        <v/>
      </c>
      <c r="AH469" s="210" t="str">
        <f>IF(Buildings_GridElectricity_Frontend[[#This Row],[Data]]="","",_xlfn.XLOOKUP(_xlfn.CONCAT(Buildings_GridElectricity_Backend[[#This Row],[Level 1]:[Level 6]]),rng_EFConcat,rng_EF3)*Buildings_GridElectricity_Backend[[#This Row],[Converted data]]/1000)</f>
        <v/>
      </c>
      <c r="AI469" s="210" t="str">
        <f>IF(Buildings_GridElectricity_Frontend[[#This Row],[Data]]="","",_xlfn.XLOOKUP(_xlfn.CONCAT(Buildings_GridElectricity_Backend[[#This Row],[Level 1]:[Level 6]]),rng_EFConcat,rng_EF3WTT)*Buildings_GridElectricity_Backend[[#This Row],[Converted data]]/1000)</f>
        <v/>
      </c>
      <c r="AJ469" s="210" t="str">
        <f>IF(Buildings_GridElectricity_Frontend[[#This Row],[Data]]="","",_xlfn.XLOOKUP(_xlfn.CONCAT(Buildings_GridElectricity_Backend[[#This Row],[Level 1]:[Level 6]]),rng_EFConcat,rng_EF3TD)*Buildings_GridElectricity_Backend[[#This Row],[Converted data]]/1000)</f>
        <v/>
      </c>
      <c r="AK469" s="210" t="str">
        <f>IF(Buildings_GridElectricity_Frontend[[#This Row],[Data]]="","",_xlfn.XLOOKUP(_xlfn.CONCAT(Buildings_GridElectricity_Backend[[#This Row],[Level 1]:[Level 6]]),rng_EFConcat,rng_EF3WTTTD)*Buildings_GridElectricity_Backend[[#This Row],[Converted data]]/1000)</f>
        <v/>
      </c>
      <c r="AL469" s="220" t="str">
        <f>IF(Buildings_GridElectricity_Frontend[[#This Row],[Data]]="","",SUM(Buildings_GridElectricity_Backend[[#This Row],[Scope 1 (tCO2e)]:[Scope 3 WTT T&amp;D (tCO2e)]]))</f>
        <v/>
      </c>
      <c r="AM469" s="220" t="str">
        <f>IF(Buildings_GridElectricity_Frontend[[#This Row],[Data]]="","",Buildings_GridElectricity_Backend[[#This Row],[Total (tCO2e)]]*(1-Buildings_GridElectricity_Backend[[#This Row],[RSD]]))</f>
        <v/>
      </c>
      <c r="AN469" s="220" t="str">
        <f>IF(Buildings_GridElectricity_Frontend[[#This Row],[Data]]="","",Buildings_GridElectricity_Backend[[#This Row],[Total (tCO2e)]]*(1+Buildings_GridElectricity_Backend[[#This Row],[RSD]]))</f>
        <v/>
      </c>
      <c r="AO469" s="210" t="str">
        <f>IF(Buildings_GridElectricity_Frontend[[#This Row],[Data]]="","",_xlfn.XLOOKUP(_xlfn.CONCAT(Buildings_GridElectricity_Backend[[#This Row],[Level 1]:[Level 6]]),rng_EFConcat,rng_EFOOS)*Buildings_GridElectricity_Backend[[#This Row],[Converted data]]/1000)</f>
        <v/>
      </c>
      <c r="AP469" s="174">
        <f>Buildings_GridElectricity_Frontend[[#This Row],[Ease of collection]]</f>
        <v>0</v>
      </c>
      <c r="AQ469" s="213">
        <f>Buildings_GridElectricity_Frontend[[#This Row],[Completeness]]</f>
        <v>0</v>
      </c>
      <c r="AR469" s="220">
        <f>Buildings_GridElectricity_Frontend[[#This Row],[Notes]]</f>
        <v>0</v>
      </c>
    </row>
    <row r="470" spans="5:44" x14ac:dyDescent="0.3">
      <c r="E470" s="346"/>
      <c r="F470" s="449"/>
      <c r="G470" s="336"/>
      <c r="H470" s="334"/>
      <c r="I470" s="172" t="s">
        <v>316</v>
      </c>
      <c r="J470" s="337"/>
      <c r="K470" s="336"/>
      <c r="L470" s="336"/>
      <c r="M470" s="337"/>
      <c r="N470" s="242">
        <f t="shared" si="15"/>
        <v>3</v>
      </c>
      <c r="Q470" s="212" t="str">
        <f t="shared" si="14"/>
        <v/>
      </c>
      <c r="R470" s="174" t="s">
        <v>265</v>
      </c>
      <c r="S470" s="174" t="s">
        <v>273</v>
      </c>
      <c r="T470" s="174" t="str">
        <f>_xlfn.XLOOKUP(Buildings_GridElectricity_Backend[[#This Row],[Info 1]],Buildings_SiteInfo[Site name],Buildings_SiteInfo[Site type], "")</f>
        <v/>
      </c>
      <c r="U470" s="174" t="s">
        <v>281</v>
      </c>
      <c r="V470" s="174" t="str" cm="1">
        <f t="array" aca="1" ref="V470" ca="1">_xlfn.XLOOKUP(Buildings_GridElectricity_Backend[[#This Row],[Level 4]],rng_Level4Long,rng_Level5Long)</f>
        <v>Electricity</v>
      </c>
      <c r="W470" s="174" t="str" cm="1">
        <f t="array" aca="1" ref="W470" ca="1">_xlfn.XLOOKUP(Buildings_GridElectricity_Backend[[#This Row],[Level 4]],rng_Level4Long,rng_Level6Long)</f>
        <v>NaN</v>
      </c>
      <c r="X470" s="174">
        <f>Buildings_GridElectricity_Frontend[[#This Row],[Site Name]]</f>
        <v>0</v>
      </c>
      <c r="Y470" s="174">
        <f>Buildings_GridElectricity_Frontend[[#This Row],[Contracting]]</f>
        <v>0</v>
      </c>
      <c r="Z470" s="174">
        <f>Buildings_GridElectricity_Frontend[[#This Row],[Methodology]]</f>
        <v>0</v>
      </c>
      <c r="AA470" s="229" t="str" cm="1">
        <f t="array" ref="AA470">IF(Buildings_GridElectricity_Frontend[[#This Row],[Data]]="","",INDEX(_xlfn.SWITCH(Buildings_GridElectricity_Backend[[#This Row],[Methodology]],"Tier 1",rng_RSD1,"Tier 2",rng_RSD2,"Tier 3",rng_RSD3),MATCH(_xlfn.CONCAT(Buildings_GridElectricity_Backend[[#This Row],[Level 1]:[Level 6]]),rng_LevelsConcat,0)))</f>
        <v/>
      </c>
      <c r="AB470" s="220">
        <f>Buildings_GridElectricity_Frontend[[#This Row],[Data]]</f>
        <v>0</v>
      </c>
      <c r="AC470" s="174" t="str">
        <f>Buildings_GridElectricity_Frontend[[#This Row],[Units]]</f>
        <v>kWh</v>
      </c>
      <c r="AD470" s="218">
        <f>Buildings_GridElectricity_Frontend[[#This Row],[Data]]</f>
        <v>0</v>
      </c>
      <c r="AE470" s="174" t="str">
        <f>Buildings_GridElectricity_Frontend[[#This Row],[Units]]</f>
        <v>kWh</v>
      </c>
      <c r="AF470" s="210" t="str">
        <f>IF(Buildings_GridElectricity_Frontend[[#This Row],[Data]]="","",_xlfn.XLOOKUP(_xlfn.CONCAT(Buildings_GridElectricity_Backend[[#This Row],[Level 1]:[Level 6]]),rng_EFConcat,rng_EF1)*Buildings_GridElectricity_Backend[[#This Row],[Converted data]]/1000)</f>
        <v/>
      </c>
      <c r="AG470" s="210" t="str">
        <f>IF(Buildings_GridElectricity_Frontend[[#This Row],[Data]]="","",_xlfn.XLOOKUP(_xlfn.CONCAT(Buildings_GridElectricity_Backend[[#This Row],[Level 1]:[Level 6]]),rng_EFConcat,rng_EF2)*Buildings_GridElectricity_Backend[[#This Row],[Converted data]]/1000)</f>
        <v/>
      </c>
      <c r="AH470" s="210" t="str">
        <f>IF(Buildings_GridElectricity_Frontend[[#This Row],[Data]]="","",_xlfn.XLOOKUP(_xlfn.CONCAT(Buildings_GridElectricity_Backend[[#This Row],[Level 1]:[Level 6]]),rng_EFConcat,rng_EF3)*Buildings_GridElectricity_Backend[[#This Row],[Converted data]]/1000)</f>
        <v/>
      </c>
      <c r="AI470" s="210" t="str">
        <f>IF(Buildings_GridElectricity_Frontend[[#This Row],[Data]]="","",_xlfn.XLOOKUP(_xlfn.CONCAT(Buildings_GridElectricity_Backend[[#This Row],[Level 1]:[Level 6]]),rng_EFConcat,rng_EF3WTT)*Buildings_GridElectricity_Backend[[#This Row],[Converted data]]/1000)</f>
        <v/>
      </c>
      <c r="AJ470" s="210" t="str">
        <f>IF(Buildings_GridElectricity_Frontend[[#This Row],[Data]]="","",_xlfn.XLOOKUP(_xlfn.CONCAT(Buildings_GridElectricity_Backend[[#This Row],[Level 1]:[Level 6]]),rng_EFConcat,rng_EF3TD)*Buildings_GridElectricity_Backend[[#This Row],[Converted data]]/1000)</f>
        <v/>
      </c>
      <c r="AK470" s="210" t="str">
        <f>IF(Buildings_GridElectricity_Frontend[[#This Row],[Data]]="","",_xlfn.XLOOKUP(_xlfn.CONCAT(Buildings_GridElectricity_Backend[[#This Row],[Level 1]:[Level 6]]),rng_EFConcat,rng_EF3WTTTD)*Buildings_GridElectricity_Backend[[#This Row],[Converted data]]/1000)</f>
        <v/>
      </c>
      <c r="AL470" s="220" t="str">
        <f>IF(Buildings_GridElectricity_Frontend[[#This Row],[Data]]="","",SUM(Buildings_GridElectricity_Backend[[#This Row],[Scope 1 (tCO2e)]:[Scope 3 WTT T&amp;D (tCO2e)]]))</f>
        <v/>
      </c>
      <c r="AM470" s="220" t="str">
        <f>IF(Buildings_GridElectricity_Frontend[[#This Row],[Data]]="","",Buildings_GridElectricity_Backend[[#This Row],[Total (tCO2e)]]*(1-Buildings_GridElectricity_Backend[[#This Row],[RSD]]))</f>
        <v/>
      </c>
      <c r="AN470" s="220" t="str">
        <f>IF(Buildings_GridElectricity_Frontend[[#This Row],[Data]]="","",Buildings_GridElectricity_Backend[[#This Row],[Total (tCO2e)]]*(1+Buildings_GridElectricity_Backend[[#This Row],[RSD]]))</f>
        <v/>
      </c>
      <c r="AO470" s="210" t="str">
        <f>IF(Buildings_GridElectricity_Frontend[[#This Row],[Data]]="","",_xlfn.XLOOKUP(_xlfn.CONCAT(Buildings_GridElectricity_Backend[[#This Row],[Level 1]:[Level 6]]),rng_EFConcat,rng_EFOOS)*Buildings_GridElectricity_Backend[[#This Row],[Converted data]]/1000)</f>
        <v/>
      </c>
      <c r="AP470" s="174">
        <f>Buildings_GridElectricity_Frontend[[#This Row],[Ease of collection]]</f>
        <v>0</v>
      </c>
      <c r="AQ470" s="213">
        <f>Buildings_GridElectricity_Frontend[[#This Row],[Completeness]]</f>
        <v>0</v>
      </c>
      <c r="AR470" s="220">
        <f>Buildings_GridElectricity_Frontend[[#This Row],[Notes]]</f>
        <v>0</v>
      </c>
    </row>
    <row r="471" spans="5:44" x14ac:dyDescent="0.3">
      <c r="E471" s="346"/>
      <c r="F471" s="449"/>
      <c r="G471" s="336"/>
      <c r="H471" s="334"/>
      <c r="I471" s="172" t="s">
        <v>316</v>
      </c>
      <c r="J471" s="337"/>
      <c r="K471" s="336"/>
      <c r="L471" s="336"/>
      <c r="M471" s="337"/>
      <c r="N471" s="242">
        <f t="shared" si="15"/>
        <v>3</v>
      </c>
      <c r="Q471" s="212" t="str">
        <f t="shared" si="14"/>
        <v/>
      </c>
      <c r="R471" s="174" t="s">
        <v>265</v>
      </c>
      <c r="S471" s="174" t="s">
        <v>273</v>
      </c>
      <c r="T471" s="174" t="str">
        <f>_xlfn.XLOOKUP(Buildings_GridElectricity_Backend[[#This Row],[Info 1]],Buildings_SiteInfo[Site name],Buildings_SiteInfo[Site type], "")</f>
        <v/>
      </c>
      <c r="U471" s="174" t="s">
        <v>281</v>
      </c>
      <c r="V471" s="174" t="str" cm="1">
        <f t="array" aca="1" ref="V471" ca="1">_xlfn.XLOOKUP(Buildings_GridElectricity_Backend[[#This Row],[Level 4]],rng_Level4Long,rng_Level5Long)</f>
        <v>Electricity</v>
      </c>
      <c r="W471" s="174" t="str" cm="1">
        <f t="array" aca="1" ref="W471" ca="1">_xlfn.XLOOKUP(Buildings_GridElectricity_Backend[[#This Row],[Level 4]],rng_Level4Long,rng_Level6Long)</f>
        <v>NaN</v>
      </c>
      <c r="X471" s="174">
        <f>Buildings_GridElectricity_Frontend[[#This Row],[Site Name]]</f>
        <v>0</v>
      </c>
      <c r="Y471" s="174">
        <f>Buildings_GridElectricity_Frontend[[#This Row],[Contracting]]</f>
        <v>0</v>
      </c>
      <c r="Z471" s="174">
        <f>Buildings_GridElectricity_Frontend[[#This Row],[Methodology]]</f>
        <v>0</v>
      </c>
      <c r="AA471" s="229" t="str" cm="1">
        <f t="array" ref="AA471">IF(Buildings_GridElectricity_Frontend[[#This Row],[Data]]="","",INDEX(_xlfn.SWITCH(Buildings_GridElectricity_Backend[[#This Row],[Methodology]],"Tier 1",rng_RSD1,"Tier 2",rng_RSD2,"Tier 3",rng_RSD3),MATCH(_xlfn.CONCAT(Buildings_GridElectricity_Backend[[#This Row],[Level 1]:[Level 6]]),rng_LevelsConcat,0)))</f>
        <v/>
      </c>
      <c r="AB471" s="220">
        <f>Buildings_GridElectricity_Frontend[[#This Row],[Data]]</f>
        <v>0</v>
      </c>
      <c r="AC471" s="174" t="str">
        <f>Buildings_GridElectricity_Frontend[[#This Row],[Units]]</f>
        <v>kWh</v>
      </c>
      <c r="AD471" s="218">
        <f>Buildings_GridElectricity_Frontend[[#This Row],[Data]]</f>
        <v>0</v>
      </c>
      <c r="AE471" s="174" t="str">
        <f>Buildings_GridElectricity_Frontend[[#This Row],[Units]]</f>
        <v>kWh</v>
      </c>
      <c r="AF471" s="210" t="str">
        <f>IF(Buildings_GridElectricity_Frontend[[#This Row],[Data]]="","",_xlfn.XLOOKUP(_xlfn.CONCAT(Buildings_GridElectricity_Backend[[#This Row],[Level 1]:[Level 6]]),rng_EFConcat,rng_EF1)*Buildings_GridElectricity_Backend[[#This Row],[Converted data]]/1000)</f>
        <v/>
      </c>
      <c r="AG471" s="210" t="str">
        <f>IF(Buildings_GridElectricity_Frontend[[#This Row],[Data]]="","",_xlfn.XLOOKUP(_xlfn.CONCAT(Buildings_GridElectricity_Backend[[#This Row],[Level 1]:[Level 6]]),rng_EFConcat,rng_EF2)*Buildings_GridElectricity_Backend[[#This Row],[Converted data]]/1000)</f>
        <v/>
      </c>
      <c r="AH471" s="210" t="str">
        <f>IF(Buildings_GridElectricity_Frontend[[#This Row],[Data]]="","",_xlfn.XLOOKUP(_xlfn.CONCAT(Buildings_GridElectricity_Backend[[#This Row],[Level 1]:[Level 6]]),rng_EFConcat,rng_EF3)*Buildings_GridElectricity_Backend[[#This Row],[Converted data]]/1000)</f>
        <v/>
      </c>
      <c r="AI471" s="210" t="str">
        <f>IF(Buildings_GridElectricity_Frontend[[#This Row],[Data]]="","",_xlfn.XLOOKUP(_xlfn.CONCAT(Buildings_GridElectricity_Backend[[#This Row],[Level 1]:[Level 6]]),rng_EFConcat,rng_EF3WTT)*Buildings_GridElectricity_Backend[[#This Row],[Converted data]]/1000)</f>
        <v/>
      </c>
      <c r="AJ471" s="210" t="str">
        <f>IF(Buildings_GridElectricity_Frontend[[#This Row],[Data]]="","",_xlfn.XLOOKUP(_xlfn.CONCAT(Buildings_GridElectricity_Backend[[#This Row],[Level 1]:[Level 6]]),rng_EFConcat,rng_EF3TD)*Buildings_GridElectricity_Backend[[#This Row],[Converted data]]/1000)</f>
        <v/>
      </c>
      <c r="AK471" s="210" t="str">
        <f>IF(Buildings_GridElectricity_Frontend[[#This Row],[Data]]="","",_xlfn.XLOOKUP(_xlfn.CONCAT(Buildings_GridElectricity_Backend[[#This Row],[Level 1]:[Level 6]]),rng_EFConcat,rng_EF3WTTTD)*Buildings_GridElectricity_Backend[[#This Row],[Converted data]]/1000)</f>
        <v/>
      </c>
      <c r="AL471" s="220" t="str">
        <f>IF(Buildings_GridElectricity_Frontend[[#This Row],[Data]]="","",SUM(Buildings_GridElectricity_Backend[[#This Row],[Scope 1 (tCO2e)]:[Scope 3 WTT T&amp;D (tCO2e)]]))</f>
        <v/>
      </c>
      <c r="AM471" s="220" t="str">
        <f>IF(Buildings_GridElectricity_Frontend[[#This Row],[Data]]="","",Buildings_GridElectricity_Backend[[#This Row],[Total (tCO2e)]]*(1-Buildings_GridElectricity_Backend[[#This Row],[RSD]]))</f>
        <v/>
      </c>
      <c r="AN471" s="220" t="str">
        <f>IF(Buildings_GridElectricity_Frontend[[#This Row],[Data]]="","",Buildings_GridElectricity_Backend[[#This Row],[Total (tCO2e)]]*(1+Buildings_GridElectricity_Backend[[#This Row],[RSD]]))</f>
        <v/>
      </c>
      <c r="AO471" s="210" t="str">
        <f>IF(Buildings_GridElectricity_Frontend[[#This Row],[Data]]="","",_xlfn.XLOOKUP(_xlfn.CONCAT(Buildings_GridElectricity_Backend[[#This Row],[Level 1]:[Level 6]]),rng_EFConcat,rng_EFOOS)*Buildings_GridElectricity_Backend[[#This Row],[Converted data]]/1000)</f>
        <v/>
      </c>
      <c r="AP471" s="174">
        <f>Buildings_GridElectricity_Frontend[[#This Row],[Ease of collection]]</f>
        <v>0</v>
      </c>
      <c r="AQ471" s="213">
        <f>Buildings_GridElectricity_Frontend[[#This Row],[Completeness]]</f>
        <v>0</v>
      </c>
      <c r="AR471" s="220">
        <f>Buildings_GridElectricity_Frontend[[#This Row],[Notes]]</f>
        <v>0</v>
      </c>
    </row>
    <row r="472" spans="5:44" x14ac:dyDescent="0.3">
      <c r="E472" s="346"/>
      <c r="F472" s="449"/>
      <c r="G472" s="336"/>
      <c r="H472" s="334"/>
      <c r="I472" s="172" t="s">
        <v>316</v>
      </c>
      <c r="J472" s="337"/>
      <c r="K472" s="336"/>
      <c r="L472" s="336"/>
      <c r="M472" s="337"/>
      <c r="N472" s="242">
        <f t="shared" si="15"/>
        <v>3</v>
      </c>
      <c r="Q472" s="212" t="str">
        <f t="shared" si="14"/>
        <v/>
      </c>
      <c r="R472" s="174" t="s">
        <v>265</v>
      </c>
      <c r="S472" s="174" t="s">
        <v>273</v>
      </c>
      <c r="T472" s="174" t="str">
        <f>_xlfn.XLOOKUP(Buildings_GridElectricity_Backend[[#This Row],[Info 1]],Buildings_SiteInfo[Site name],Buildings_SiteInfo[Site type], "")</f>
        <v/>
      </c>
      <c r="U472" s="174" t="s">
        <v>281</v>
      </c>
      <c r="V472" s="174" t="str" cm="1">
        <f t="array" aca="1" ref="V472" ca="1">_xlfn.XLOOKUP(Buildings_GridElectricity_Backend[[#This Row],[Level 4]],rng_Level4Long,rng_Level5Long)</f>
        <v>Electricity</v>
      </c>
      <c r="W472" s="174" t="str" cm="1">
        <f t="array" aca="1" ref="W472" ca="1">_xlfn.XLOOKUP(Buildings_GridElectricity_Backend[[#This Row],[Level 4]],rng_Level4Long,rng_Level6Long)</f>
        <v>NaN</v>
      </c>
      <c r="X472" s="174">
        <f>Buildings_GridElectricity_Frontend[[#This Row],[Site Name]]</f>
        <v>0</v>
      </c>
      <c r="Y472" s="174">
        <f>Buildings_GridElectricity_Frontend[[#This Row],[Contracting]]</f>
        <v>0</v>
      </c>
      <c r="Z472" s="174">
        <f>Buildings_GridElectricity_Frontend[[#This Row],[Methodology]]</f>
        <v>0</v>
      </c>
      <c r="AA472" s="229" t="str" cm="1">
        <f t="array" ref="AA472">IF(Buildings_GridElectricity_Frontend[[#This Row],[Data]]="","",INDEX(_xlfn.SWITCH(Buildings_GridElectricity_Backend[[#This Row],[Methodology]],"Tier 1",rng_RSD1,"Tier 2",rng_RSD2,"Tier 3",rng_RSD3),MATCH(_xlfn.CONCAT(Buildings_GridElectricity_Backend[[#This Row],[Level 1]:[Level 6]]),rng_LevelsConcat,0)))</f>
        <v/>
      </c>
      <c r="AB472" s="220">
        <f>Buildings_GridElectricity_Frontend[[#This Row],[Data]]</f>
        <v>0</v>
      </c>
      <c r="AC472" s="174" t="str">
        <f>Buildings_GridElectricity_Frontend[[#This Row],[Units]]</f>
        <v>kWh</v>
      </c>
      <c r="AD472" s="218">
        <f>Buildings_GridElectricity_Frontend[[#This Row],[Data]]</f>
        <v>0</v>
      </c>
      <c r="AE472" s="174" t="str">
        <f>Buildings_GridElectricity_Frontend[[#This Row],[Units]]</f>
        <v>kWh</v>
      </c>
      <c r="AF472" s="210" t="str">
        <f>IF(Buildings_GridElectricity_Frontend[[#This Row],[Data]]="","",_xlfn.XLOOKUP(_xlfn.CONCAT(Buildings_GridElectricity_Backend[[#This Row],[Level 1]:[Level 6]]),rng_EFConcat,rng_EF1)*Buildings_GridElectricity_Backend[[#This Row],[Converted data]]/1000)</f>
        <v/>
      </c>
      <c r="AG472" s="210" t="str">
        <f>IF(Buildings_GridElectricity_Frontend[[#This Row],[Data]]="","",_xlfn.XLOOKUP(_xlfn.CONCAT(Buildings_GridElectricity_Backend[[#This Row],[Level 1]:[Level 6]]),rng_EFConcat,rng_EF2)*Buildings_GridElectricity_Backend[[#This Row],[Converted data]]/1000)</f>
        <v/>
      </c>
      <c r="AH472" s="210" t="str">
        <f>IF(Buildings_GridElectricity_Frontend[[#This Row],[Data]]="","",_xlfn.XLOOKUP(_xlfn.CONCAT(Buildings_GridElectricity_Backend[[#This Row],[Level 1]:[Level 6]]),rng_EFConcat,rng_EF3)*Buildings_GridElectricity_Backend[[#This Row],[Converted data]]/1000)</f>
        <v/>
      </c>
      <c r="AI472" s="210" t="str">
        <f>IF(Buildings_GridElectricity_Frontend[[#This Row],[Data]]="","",_xlfn.XLOOKUP(_xlfn.CONCAT(Buildings_GridElectricity_Backend[[#This Row],[Level 1]:[Level 6]]),rng_EFConcat,rng_EF3WTT)*Buildings_GridElectricity_Backend[[#This Row],[Converted data]]/1000)</f>
        <v/>
      </c>
      <c r="AJ472" s="210" t="str">
        <f>IF(Buildings_GridElectricity_Frontend[[#This Row],[Data]]="","",_xlfn.XLOOKUP(_xlfn.CONCAT(Buildings_GridElectricity_Backend[[#This Row],[Level 1]:[Level 6]]),rng_EFConcat,rng_EF3TD)*Buildings_GridElectricity_Backend[[#This Row],[Converted data]]/1000)</f>
        <v/>
      </c>
      <c r="AK472" s="210" t="str">
        <f>IF(Buildings_GridElectricity_Frontend[[#This Row],[Data]]="","",_xlfn.XLOOKUP(_xlfn.CONCAT(Buildings_GridElectricity_Backend[[#This Row],[Level 1]:[Level 6]]),rng_EFConcat,rng_EF3WTTTD)*Buildings_GridElectricity_Backend[[#This Row],[Converted data]]/1000)</f>
        <v/>
      </c>
      <c r="AL472" s="220" t="str">
        <f>IF(Buildings_GridElectricity_Frontend[[#This Row],[Data]]="","",SUM(Buildings_GridElectricity_Backend[[#This Row],[Scope 1 (tCO2e)]:[Scope 3 WTT T&amp;D (tCO2e)]]))</f>
        <v/>
      </c>
      <c r="AM472" s="220" t="str">
        <f>IF(Buildings_GridElectricity_Frontend[[#This Row],[Data]]="","",Buildings_GridElectricity_Backend[[#This Row],[Total (tCO2e)]]*(1-Buildings_GridElectricity_Backend[[#This Row],[RSD]]))</f>
        <v/>
      </c>
      <c r="AN472" s="220" t="str">
        <f>IF(Buildings_GridElectricity_Frontend[[#This Row],[Data]]="","",Buildings_GridElectricity_Backend[[#This Row],[Total (tCO2e)]]*(1+Buildings_GridElectricity_Backend[[#This Row],[RSD]]))</f>
        <v/>
      </c>
      <c r="AO472" s="210" t="str">
        <f>IF(Buildings_GridElectricity_Frontend[[#This Row],[Data]]="","",_xlfn.XLOOKUP(_xlfn.CONCAT(Buildings_GridElectricity_Backend[[#This Row],[Level 1]:[Level 6]]),rng_EFConcat,rng_EFOOS)*Buildings_GridElectricity_Backend[[#This Row],[Converted data]]/1000)</f>
        <v/>
      </c>
      <c r="AP472" s="174">
        <f>Buildings_GridElectricity_Frontend[[#This Row],[Ease of collection]]</f>
        <v>0</v>
      </c>
      <c r="AQ472" s="213">
        <f>Buildings_GridElectricity_Frontend[[#This Row],[Completeness]]</f>
        <v>0</v>
      </c>
      <c r="AR472" s="220">
        <f>Buildings_GridElectricity_Frontend[[#This Row],[Notes]]</f>
        <v>0</v>
      </c>
    </row>
    <row r="473" spans="5:44" x14ac:dyDescent="0.3">
      <c r="E473" s="346"/>
      <c r="F473" s="449"/>
      <c r="G473" s="336"/>
      <c r="H473" s="334"/>
      <c r="I473" s="172" t="s">
        <v>316</v>
      </c>
      <c r="J473" s="337"/>
      <c r="K473" s="336"/>
      <c r="L473" s="336"/>
      <c r="M473" s="337"/>
      <c r="N473" s="242">
        <f t="shared" si="15"/>
        <v>3</v>
      </c>
      <c r="Q473" s="212" t="str">
        <f t="shared" si="14"/>
        <v/>
      </c>
      <c r="R473" s="174" t="s">
        <v>265</v>
      </c>
      <c r="S473" s="174" t="s">
        <v>273</v>
      </c>
      <c r="T473" s="174" t="str">
        <f>_xlfn.XLOOKUP(Buildings_GridElectricity_Backend[[#This Row],[Info 1]],Buildings_SiteInfo[Site name],Buildings_SiteInfo[Site type], "")</f>
        <v/>
      </c>
      <c r="U473" s="174" t="s">
        <v>281</v>
      </c>
      <c r="V473" s="174" t="str" cm="1">
        <f t="array" aca="1" ref="V473" ca="1">_xlfn.XLOOKUP(Buildings_GridElectricity_Backend[[#This Row],[Level 4]],rng_Level4Long,rng_Level5Long)</f>
        <v>Electricity</v>
      </c>
      <c r="W473" s="174" t="str" cm="1">
        <f t="array" aca="1" ref="W473" ca="1">_xlfn.XLOOKUP(Buildings_GridElectricity_Backend[[#This Row],[Level 4]],rng_Level4Long,rng_Level6Long)</f>
        <v>NaN</v>
      </c>
      <c r="X473" s="174">
        <f>Buildings_GridElectricity_Frontend[[#This Row],[Site Name]]</f>
        <v>0</v>
      </c>
      <c r="Y473" s="174">
        <f>Buildings_GridElectricity_Frontend[[#This Row],[Contracting]]</f>
        <v>0</v>
      </c>
      <c r="Z473" s="174">
        <f>Buildings_GridElectricity_Frontend[[#This Row],[Methodology]]</f>
        <v>0</v>
      </c>
      <c r="AA473" s="229" t="str" cm="1">
        <f t="array" ref="AA473">IF(Buildings_GridElectricity_Frontend[[#This Row],[Data]]="","",INDEX(_xlfn.SWITCH(Buildings_GridElectricity_Backend[[#This Row],[Methodology]],"Tier 1",rng_RSD1,"Tier 2",rng_RSD2,"Tier 3",rng_RSD3),MATCH(_xlfn.CONCAT(Buildings_GridElectricity_Backend[[#This Row],[Level 1]:[Level 6]]),rng_LevelsConcat,0)))</f>
        <v/>
      </c>
      <c r="AB473" s="220">
        <f>Buildings_GridElectricity_Frontend[[#This Row],[Data]]</f>
        <v>0</v>
      </c>
      <c r="AC473" s="174" t="str">
        <f>Buildings_GridElectricity_Frontend[[#This Row],[Units]]</f>
        <v>kWh</v>
      </c>
      <c r="AD473" s="218">
        <f>Buildings_GridElectricity_Frontend[[#This Row],[Data]]</f>
        <v>0</v>
      </c>
      <c r="AE473" s="174" t="str">
        <f>Buildings_GridElectricity_Frontend[[#This Row],[Units]]</f>
        <v>kWh</v>
      </c>
      <c r="AF473" s="210" t="str">
        <f>IF(Buildings_GridElectricity_Frontend[[#This Row],[Data]]="","",_xlfn.XLOOKUP(_xlfn.CONCAT(Buildings_GridElectricity_Backend[[#This Row],[Level 1]:[Level 6]]),rng_EFConcat,rng_EF1)*Buildings_GridElectricity_Backend[[#This Row],[Converted data]]/1000)</f>
        <v/>
      </c>
      <c r="AG473" s="210" t="str">
        <f>IF(Buildings_GridElectricity_Frontend[[#This Row],[Data]]="","",_xlfn.XLOOKUP(_xlfn.CONCAT(Buildings_GridElectricity_Backend[[#This Row],[Level 1]:[Level 6]]),rng_EFConcat,rng_EF2)*Buildings_GridElectricity_Backend[[#This Row],[Converted data]]/1000)</f>
        <v/>
      </c>
      <c r="AH473" s="210" t="str">
        <f>IF(Buildings_GridElectricity_Frontend[[#This Row],[Data]]="","",_xlfn.XLOOKUP(_xlfn.CONCAT(Buildings_GridElectricity_Backend[[#This Row],[Level 1]:[Level 6]]),rng_EFConcat,rng_EF3)*Buildings_GridElectricity_Backend[[#This Row],[Converted data]]/1000)</f>
        <v/>
      </c>
      <c r="AI473" s="210" t="str">
        <f>IF(Buildings_GridElectricity_Frontend[[#This Row],[Data]]="","",_xlfn.XLOOKUP(_xlfn.CONCAT(Buildings_GridElectricity_Backend[[#This Row],[Level 1]:[Level 6]]),rng_EFConcat,rng_EF3WTT)*Buildings_GridElectricity_Backend[[#This Row],[Converted data]]/1000)</f>
        <v/>
      </c>
      <c r="AJ473" s="210" t="str">
        <f>IF(Buildings_GridElectricity_Frontend[[#This Row],[Data]]="","",_xlfn.XLOOKUP(_xlfn.CONCAT(Buildings_GridElectricity_Backend[[#This Row],[Level 1]:[Level 6]]),rng_EFConcat,rng_EF3TD)*Buildings_GridElectricity_Backend[[#This Row],[Converted data]]/1000)</f>
        <v/>
      </c>
      <c r="AK473" s="210" t="str">
        <f>IF(Buildings_GridElectricity_Frontend[[#This Row],[Data]]="","",_xlfn.XLOOKUP(_xlfn.CONCAT(Buildings_GridElectricity_Backend[[#This Row],[Level 1]:[Level 6]]),rng_EFConcat,rng_EF3WTTTD)*Buildings_GridElectricity_Backend[[#This Row],[Converted data]]/1000)</f>
        <v/>
      </c>
      <c r="AL473" s="220" t="str">
        <f>IF(Buildings_GridElectricity_Frontend[[#This Row],[Data]]="","",SUM(Buildings_GridElectricity_Backend[[#This Row],[Scope 1 (tCO2e)]:[Scope 3 WTT T&amp;D (tCO2e)]]))</f>
        <v/>
      </c>
      <c r="AM473" s="220" t="str">
        <f>IF(Buildings_GridElectricity_Frontend[[#This Row],[Data]]="","",Buildings_GridElectricity_Backend[[#This Row],[Total (tCO2e)]]*(1-Buildings_GridElectricity_Backend[[#This Row],[RSD]]))</f>
        <v/>
      </c>
      <c r="AN473" s="220" t="str">
        <f>IF(Buildings_GridElectricity_Frontend[[#This Row],[Data]]="","",Buildings_GridElectricity_Backend[[#This Row],[Total (tCO2e)]]*(1+Buildings_GridElectricity_Backend[[#This Row],[RSD]]))</f>
        <v/>
      </c>
      <c r="AO473" s="210" t="str">
        <f>IF(Buildings_GridElectricity_Frontend[[#This Row],[Data]]="","",_xlfn.XLOOKUP(_xlfn.CONCAT(Buildings_GridElectricity_Backend[[#This Row],[Level 1]:[Level 6]]),rng_EFConcat,rng_EFOOS)*Buildings_GridElectricity_Backend[[#This Row],[Converted data]]/1000)</f>
        <v/>
      </c>
      <c r="AP473" s="174">
        <f>Buildings_GridElectricity_Frontend[[#This Row],[Ease of collection]]</f>
        <v>0</v>
      </c>
      <c r="AQ473" s="213">
        <f>Buildings_GridElectricity_Frontend[[#This Row],[Completeness]]</f>
        <v>0</v>
      </c>
      <c r="AR473" s="220">
        <f>Buildings_GridElectricity_Frontend[[#This Row],[Notes]]</f>
        <v>0</v>
      </c>
    </row>
    <row r="474" spans="5:44" x14ac:dyDescent="0.3">
      <c r="E474" s="346"/>
      <c r="F474" s="449"/>
      <c r="G474" s="336"/>
      <c r="H474" s="334"/>
      <c r="I474" s="172" t="s">
        <v>316</v>
      </c>
      <c r="J474" s="337"/>
      <c r="K474" s="336"/>
      <c r="L474" s="336"/>
      <c r="M474" s="337"/>
      <c r="N474" s="242">
        <f t="shared" si="15"/>
        <v>3</v>
      </c>
      <c r="Q474" s="212" t="str">
        <f t="shared" si="14"/>
        <v/>
      </c>
      <c r="R474" s="174" t="s">
        <v>265</v>
      </c>
      <c r="S474" s="174" t="s">
        <v>273</v>
      </c>
      <c r="T474" s="174" t="str">
        <f>_xlfn.XLOOKUP(Buildings_GridElectricity_Backend[[#This Row],[Info 1]],Buildings_SiteInfo[Site name],Buildings_SiteInfo[Site type], "")</f>
        <v/>
      </c>
      <c r="U474" s="174" t="s">
        <v>281</v>
      </c>
      <c r="V474" s="174" t="str" cm="1">
        <f t="array" aca="1" ref="V474" ca="1">_xlfn.XLOOKUP(Buildings_GridElectricity_Backend[[#This Row],[Level 4]],rng_Level4Long,rng_Level5Long)</f>
        <v>Electricity</v>
      </c>
      <c r="W474" s="174" t="str" cm="1">
        <f t="array" aca="1" ref="W474" ca="1">_xlfn.XLOOKUP(Buildings_GridElectricity_Backend[[#This Row],[Level 4]],rng_Level4Long,rng_Level6Long)</f>
        <v>NaN</v>
      </c>
      <c r="X474" s="174">
        <f>Buildings_GridElectricity_Frontend[[#This Row],[Site Name]]</f>
        <v>0</v>
      </c>
      <c r="Y474" s="174">
        <f>Buildings_GridElectricity_Frontend[[#This Row],[Contracting]]</f>
        <v>0</v>
      </c>
      <c r="Z474" s="174">
        <f>Buildings_GridElectricity_Frontend[[#This Row],[Methodology]]</f>
        <v>0</v>
      </c>
      <c r="AA474" s="229" t="str" cm="1">
        <f t="array" ref="AA474">IF(Buildings_GridElectricity_Frontend[[#This Row],[Data]]="","",INDEX(_xlfn.SWITCH(Buildings_GridElectricity_Backend[[#This Row],[Methodology]],"Tier 1",rng_RSD1,"Tier 2",rng_RSD2,"Tier 3",rng_RSD3),MATCH(_xlfn.CONCAT(Buildings_GridElectricity_Backend[[#This Row],[Level 1]:[Level 6]]),rng_LevelsConcat,0)))</f>
        <v/>
      </c>
      <c r="AB474" s="220">
        <f>Buildings_GridElectricity_Frontend[[#This Row],[Data]]</f>
        <v>0</v>
      </c>
      <c r="AC474" s="174" t="str">
        <f>Buildings_GridElectricity_Frontend[[#This Row],[Units]]</f>
        <v>kWh</v>
      </c>
      <c r="AD474" s="218">
        <f>Buildings_GridElectricity_Frontend[[#This Row],[Data]]</f>
        <v>0</v>
      </c>
      <c r="AE474" s="174" t="str">
        <f>Buildings_GridElectricity_Frontend[[#This Row],[Units]]</f>
        <v>kWh</v>
      </c>
      <c r="AF474" s="210" t="str">
        <f>IF(Buildings_GridElectricity_Frontend[[#This Row],[Data]]="","",_xlfn.XLOOKUP(_xlfn.CONCAT(Buildings_GridElectricity_Backend[[#This Row],[Level 1]:[Level 6]]),rng_EFConcat,rng_EF1)*Buildings_GridElectricity_Backend[[#This Row],[Converted data]]/1000)</f>
        <v/>
      </c>
      <c r="AG474" s="210" t="str">
        <f>IF(Buildings_GridElectricity_Frontend[[#This Row],[Data]]="","",_xlfn.XLOOKUP(_xlfn.CONCAT(Buildings_GridElectricity_Backend[[#This Row],[Level 1]:[Level 6]]),rng_EFConcat,rng_EF2)*Buildings_GridElectricity_Backend[[#This Row],[Converted data]]/1000)</f>
        <v/>
      </c>
      <c r="AH474" s="210" t="str">
        <f>IF(Buildings_GridElectricity_Frontend[[#This Row],[Data]]="","",_xlfn.XLOOKUP(_xlfn.CONCAT(Buildings_GridElectricity_Backend[[#This Row],[Level 1]:[Level 6]]),rng_EFConcat,rng_EF3)*Buildings_GridElectricity_Backend[[#This Row],[Converted data]]/1000)</f>
        <v/>
      </c>
      <c r="AI474" s="210" t="str">
        <f>IF(Buildings_GridElectricity_Frontend[[#This Row],[Data]]="","",_xlfn.XLOOKUP(_xlfn.CONCAT(Buildings_GridElectricity_Backend[[#This Row],[Level 1]:[Level 6]]),rng_EFConcat,rng_EF3WTT)*Buildings_GridElectricity_Backend[[#This Row],[Converted data]]/1000)</f>
        <v/>
      </c>
      <c r="AJ474" s="210" t="str">
        <f>IF(Buildings_GridElectricity_Frontend[[#This Row],[Data]]="","",_xlfn.XLOOKUP(_xlfn.CONCAT(Buildings_GridElectricity_Backend[[#This Row],[Level 1]:[Level 6]]),rng_EFConcat,rng_EF3TD)*Buildings_GridElectricity_Backend[[#This Row],[Converted data]]/1000)</f>
        <v/>
      </c>
      <c r="AK474" s="210" t="str">
        <f>IF(Buildings_GridElectricity_Frontend[[#This Row],[Data]]="","",_xlfn.XLOOKUP(_xlfn.CONCAT(Buildings_GridElectricity_Backend[[#This Row],[Level 1]:[Level 6]]),rng_EFConcat,rng_EF3WTTTD)*Buildings_GridElectricity_Backend[[#This Row],[Converted data]]/1000)</f>
        <v/>
      </c>
      <c r="AL474" s="220" t="str">
        <f>IF(Buildings_GridElectricity_Frontend[[#This Row],[Data]]="","",SUM(Buildings_GridElectricity_Backend[[#This Row],[Scope 1 (tCO2e)]:[Scope 3 WTT T&amp;D (tCO2e)]]))</f>
        <v/>
      </c>
      <c r="AM474" s="220" t="str">
        <f>IF(Buildings_GridElectricity_Frontend[[#This Row],[Data]]="","",Buildings_GridElectricity_Backend[[#This Row],[Total (tCO2e)]]*(1-Buildings_GridElectricity_Backend[[#This Row],[RSD]]))</f>
        <v/>
      </c>
      <c r="AN474" s="220" t="str">
        <f>IF(Buildings_GridElectricity_Frontend[[#This Row],[Data]]="","",Buildings_GridElectricity_Backend[[#This Row],[Total (tCO2e)]]*(1+Buildings_GridElectricity_Backend[[#This Row],[RSD]]))</f>
        <v/>
      </c>
      <c r="AO474" s="210" t="str">
        <f>IF(Buildings_GridElectricity_Frontend[[#This Row],[Data]]="","",_xlfn.XLOOKUP(_xlfn.CONCAT(Buildings_GridElectricity_Backend[[#This Row],[Level 1]:[Level 6]]),rng_EFConcat,rng_EFOOS)*Buildings_GridElectricity_Backend[[#This Row],[Converted data]]/1000)</f>
        <v/>
      </c>
      <c r="AP474" s="174">
        <f>Buildings_GridElectricity_Frontend[[#This Row],[Ease of collection]]</f>
        <v>0</v>
      </c>
      <c r="AQ474" s="213">
        <f>Buildings_GridElectricity_Frontend[[#This Row],[Completeness]]</f>
        <v>0</v>
      </c>
      <c r="AR474" s="220">
        <f>Buildings_GridElectricity_Frontend[[#This Row],[Notes]]</f>
        <v>0</v>
      </c>
    </row>
    <row r="475" spans="5:44" x14ac:dyDescent="0.3">
      <c r="E475" s="346"/>
      <c r="F475" s="449"/>
      <c r="G475" s="336"/>
      <c r="H475" s="334"/>
      <c r="I475" s="172" t="s">
        <v>316</v>
      </c>
      <c r="J475" s="337"/>
      <c r="K475" s="336"/>
      <c r="L475" s="336"/>
      <c r="M475" s="337"/>
      <c r="N475" s="242">
        <f t="shared" si="15"/>
        <v>3</v>
      </c>
      <c r="Q475" s="212" t="str">
        <f t="shared" si="14"/>
        <v/>
      </c>
      <c r="R475" s="174" t="s">
        <v>265</v>
      </c>
      <c r="S475" s="174" t="s">
        <v>273</v>
      </c>
      <c r="T475" s="174" t="str">
        <f>_xlfn.XLOOKUP(Buildings_GridElectricity_Backend[[#This Row],[Info 1]],Buildings_SiteInfo[Site name],Buildings_SiteInfo[Site type], "")</f>
        <v/>
      </c>
      <c r="U475" s="174" t="s">
        <v>281</v>
      </c>
      <c r="V475" s="174" t="str" cm="1">
        <f t="array" aca="1" ref="V475" ca="1">_xlfn.XLOOKUP(Buildings_GridElectricity_Backend[[#This Row],[Level 4]],rng_Level4Long,rng_Level5Long)</f>
        <v>Electricity</v>
      </c>
      <c r="W475" s="174" t="str" cm="1">
        <f t="array" aca="1" ref="W475" ca="1">_xlfn.XLOOKUP(Buildings_GridElectricity_Backend[[#This Row],[Level 4]],rng_Level4Long,rng_Level6Long)</f>
        <v>NaN</v>
      </c>
      <c r="X475" s="174">
        <f>Buildings_GridElectricity_Frontend[[#This Row],[Site Name]]</f>
        <v>0</v>
      </c>
      <c r="Y475" s="174">
        <f>Buildings_GridElectricity_Frontend[[#This Row],[Contracting]]</f>
        <v>0</v>
      </c>
      <c r="Z475" s="174">
        <f>Buildings_GridElectricity_Frontend[[#This Row],[Methodology]]</f>
        <v>0</v>
      </c>
      <c r="AA475" s="229" t="str" cm="1">
        <f t="array" ref="AA475">IF(Buildings_GridElectricity_Frontend[[#This Row],[Data]]="","",INDEX(_xlfn.SWITCH(Buildings_GridElectricity_Backend[[#This Row],[Methodology]],"Tier 1",rng_RSD1,"Tier 2",rng_RSD2,"Tier 3",rng_RSD3),MATCH(_xlfn.CONCAT(Buildings_GridElectricity_Backend[[#This Row],[Level 1]:[Level 6]]),rng_LevelsConcat,0)))</f>
        <v/>
      </c>
      <c r="AB475" s="220">
        <f>Buildings_GridElectricity_Frontend[[#This Row],[Data]]</f>
        <v>0</v>
      </c>
      <c r="AC475" s="174" t="str">
        <f>Buildings_GridElectricity_Frontend[[#This Row],[Units]]</f>
        <v>kWh</v>
      </c>
      <c r="AD475" s="218">
        <f>Buildings_GridElectricity_Frontend[[#This Row],[Data]]</f>
        <v>0</v>
      </c>
      <c r="AE475" s="174" t="str">
        <f>Buildings_GridElectricity_Frontend[[#This Row],[Units]]</f>
        <v>kWh</v>
      </c>
      <c r="AF475" s="210" t="str">
        <f>IF(Buildings_GridElectricity_Frontend[[#This Row],[Data]]="","",_xlfn.XLOOKUP(_xlfn.CONCAT(Buildings_GridElectricity_Backend[[#This Row],[Level 1]:[Level 6]]),rng_EFConcat,rng_EF1)*Buildings_GridElectricity_Backend[[#This Row],[Converted data]]/1000)</f>
        <v/>
      </c>
      <c r="AG475" s="210" t="str">
        <f>IF(Buildings_GridElectricity_Frontend[[#This Row],[Data]]="","",_xlfn.XLOOKUP(_xlfn.CONCAT(Buildings_GridElectricity_Backend[[#This Row],[Level 1]:[Level 6]]),rng_EFConcat,rng_EF2)*Buildings_GridElectricity_Backend[[#This Row],[Converted data]]/1000)</f>
        <v/>
      </c>
      <c r="AH475" s="210" t="str">
        <f>IF(Buildings_GridElectricity_Frontend[[#This Row],[Data]]="","",_xlfn.XLOOKUP(_xlfn.CONCAT(Buildings_GridElectricity_Backend[[#This Row],[Level 1]:[Level 6]]),rng_EFConcat,rng_EF3)*Buildings_GridElectricity_Backend[[#This Row],[Converted data]]/1000)</f>
        <v/>
      </c>
      <c r="AI475" s="210" t="str">
        <f>IF(Buildings_GridElectricity_Frontend[[#This Row],[Data]]="","",_xlfn.XLOOKUP(_xlfn.CONCAT(Buildings_GridElectricity_Backend[[#This Row],[Level 1]:[Level 6]]),rng_EFConcat,rng_EF3WTT)*Buildings_GridElectricity_Backend[[#This Row],[Converted data]]/1000)</f>
        <v/>
      </c>
      <c r="AJ475" s="210" t="str">
        <f>IF(Buildings_GridElectricity_Frontend[[#This Row],[Data]]="","",_xlfn.XLOOKUP(_xlfn.CONCAT(Buildings_GridElectricity_Backend[[#This Row],[Level 1]:[Level 6]]),rng_EFConcat,rng_EF3TD)*Buildings_GridElectricity_Backend[[#This Row],[Converted data]]/1000)</f>
        <v/>
      </c>
      <c r="AK475" s="210" t="str">
        <f>IF(Buildings_GridElectricity_Frontend[[#This Row],[Data]]="","",_xlfn.XLOOKUP(_xlfn.CONCAT(Buildings_GridElectricity_Backend[[#This Row],[Level 1]:[Level 6]]),rng_EFConcat,rng_EF3WTTTD)*Buildings_GridElectricity_Backend[[#This Row],[Converted data]]/1000)</f>
        <v/>
      </c>
      <c r="AL475" s="220" t="str">
        <f>IF(Buildings_GridElectricity_Frontend[[#This Row],[Data]]="","",SUM(Buildings_GridElectricity_Backend[[#This Row],[Scope 1 (tCO2e)]:[Scope 3 WTT T&amp;D (tCO2e)]]))</f>
        <v/>
      </c>
      <c r="AM475" s="220" t="str">
        <f>IF(Buildings_GridElectricity_Frontend[[#This Row],[Data]]="","",Buildings_GridElectricity_Backend[[#This Row],[Total (tCO2e)]]*(1-Buildings_GridElectricity_Backend[[#This Row],[RSD]]))</f>
        <v/>
      </c>
      <c r="AN475" s="220" t="str">
        <f>IF(Buildings_GridElectricity_Frontend[[#This Row],[Data]]="","",Buildings_GridElectricity_Backend[[#This Row],[Total (tCO2e)]]*(1+Buildings_GridElectricity_Backend[[#This Row],[RSD]]))</f>
        <v/>
      </c>
      <c r="AO475" s="210" t="str">
        <f>IF(Buildings_GridElectricity_Frontend[[#This Row],[Data]]="","",_xlfn.XLOOKUP(_xlfn.CONCAT(Buildings_GridElectricity_Backend[[#This Row],[Level 1]:[Level 6]]),rng_EFConcat,rng_EFOOS)*Buildings_GridElectricity_Backend[[#This Row],[Converted data]]/1000)</f>
        <v/>
      </c>
      <c r="AP475" s="174">
        <f>Buildings_GridElectricity_Frontend[[#This Row],[Ease of collection]]</f>
        <v>0</v>
      </c>
      <c r="AQ475" s="213">
        <f>Buildings_GridElectricity_Frontend[[#This Row],[Completeness]]</f>
        <v>0</v>
      </c>
      <c r="AR475" s="220">
        <f>Buildings_GridElectricity_Frontend[[#This Row],[Notes]]</f>
        <v>0</v>
      </c>
    </row>
    <row r="476" spans="5:44" x14ac:dyDescent="0.3">
      <c r="E476" s="346"/>
      <c r="F476" s="449"/>
      <c r="G476" s="336"/>
      <c r="H476" s="334"/>
      <c r="I476" s="172" t="s">
        <v>316</v>
      </c>
      <c r="J476" s="337"/>
      <c r="K476" s="336"/>
      <c r="L476" s="336"/>
      <c r="M476" s="337"/>
      <c r="N476" s="242">
        <f t="shared" si="15"/>
        <v>3</v>
      </c>
      <c r="Q476" s="212" t="str">
        <f t="shared" ref="Q476:Q527" si="16">IF(N476=0,SUBSTITUTE(2025&amp;TRIM(cl_org_name_select)&amp;TRIM($E$25)&amp;(ROW(N476)-ROW($N$28))," ",""),"")</f>
        <v/>
      </c>
      <c r="R476" s="174" t="s">
        <v>265</v>
      </c>
      <c r="S476" s="174" t="s">
        <v>273</v>
      </c>
      <c r="T476" s="174" t="str">
        <f>_xlfn.XLOOKUP(Buildings_GridElectricity_Backend[[#This Row],[Info 1]],Buildings_SiteInfo[Site name],Buildings_SiteInfo[Site type], "")</f>
        <v/>
      </c>
      <c r="U476" s="174" t="s">
        <v>281</v>
      </c>
      <c r="V476" s="174" t="str" cm="1">
        <f t="array" aca="1" ref="V476" ca="1">_xlfn.XLOOKUP(Buildings_GridElectricity_Backend[[#This Row],[Level 4]],rng_Level4Long,rng_Level5Long)</f>
        <v>Electricity</v>
      </c>
      <c r="W476" s="174" t="str" cm="1">
        <f t="array" aca="1" ref="W476" ca="1">_xlfn.XLOOKUP(Buildings_GridElectricity_Backend[[#This Row],[Level 4]],rng_Level4Long,rng_Level6Long)</f>
        <v>NaN</v>
      </c>
      <c r="X476" s="174">
        <f>Buildings_GridElectricity_Frontend[[#This Row],[Site Name]]</f>
        <v>0</v>
      </c>
      <c r="Y476" s="174">
        <f>Buildings_GridElectricity_Frontend[[#This Row],[Contracting]]</f>
        <v>0</v>
      </c>
      <c r="Z476" s="174">
        <f>Buildings_GridElectricity_Frontend[[#This Row],[Methodology]]</f>
        <v>0</v>
      </c>
      <c r="AA476" s="229" t="str" cm="1">
        <f t="array" ref="AA476">IF(Buildings_GridElectricity_Frontend[[#This Row],[Data]]="","",INDEX(_xlfn.SWITCH(Buildings_GridElectricity_Backend[[#This Row],[Methodology]],"Tier 1",rng_RSD1,"Tier 2",rng_RSD2,"Tier 3",rng_RSD3),MATCH(_xlfn.CONCAT(Buildings_GridElectricity_Backend[[#This Row],[Level 1]:[Level 6]]),rng_LevelsConcat,0)))</f>
        <v/>
      </c>
      <c r="AB476" s="220">
        <f>Buildings_GridElectricity_Frontend[[#This Row],[Data]]</f>
        <v>0</v>
      </c>
      <c r="AC476" s="174" t="str">
        <f>Buildings_GridElectricity_Frontend[[#This Row],[Units]]</f>
        <v>kWh</v>
      </c>
      <c r="AD476" s="218">
        <f>Buildings_GridElectricity_Frontend[[#This Row],[Data]]</f>
        <v>0</v>
      </c>
      <c r="AE476" s="174" t="str">
        <f>Buildings_GridElectricity_Frontend[[#This Row],[Units]]</f>
        <v>kWh</v>
      </c>
      <c r="AF476" s="210" t="str">
        <f>IF(Buildings_GridElectricity_Frontend[[#This Row],[Data]]="","",_xlfn.XLOOKUP(_xlfn.CONCAT(Buildings_GridElectricity_Backend[[#This Row],[Level 1]:[Level 6]]),rng_EFConcat,rng_EF1)*Buildings_GridElectricity_Backend[[#This Row],[Converted data]]/1000)</f>
        <v/>
      </c>
      <c r="AG476" s="210" t="str">
        <f>IF(Buildings_GridElectricity_Frontend[[#This Row],[Data]]="","",_xlfn.XLOOKUP(_xlfn.CONCAT(Buildings_GridElectricity_Backend[[#This Row],[Level 1]:[Level 6]]),rng_EFConcat,rng_EF2)*Buildings_GridElectricity_Backend[[#This Row],[Converted data]]/1000)</f>
        <v/>
      </c>
      <c r="AH476" s="210" t="str">
        <f>IF(Buildings_GridElectricity_Frontend[[#This Row],[Data]]="","",_xlfn.XLOOKUP(_xlfn.CONCAT(Buildings_GridElectricity_Backend[[#This Row],[Level 1]:[Level 6]]),rng_EFConcat,rng_EF3)*Buildings_GridElectricity_Backend[[#This Row],[Converted data]]/1000)</f>
        <v/>
      </c>
      <c r="AI476" s="210" t="str">
        <f>IF(Buildings_GridElectricity_Frontend[[#This Row],[Data]]="","",_xlfn.XLOOKUP(_xlfn.CONCAT(Buildings_GridElectricity_Backend[[#This Row],[Level 1]:[Level 6]]),rng_EFConcat,rng_EF3WTT)*Buildings_GridElectricity_Backend[[#This Row],[Converted data]]/1000)</f>
        <v/>
      </c>
      <c r="AJ476" s="210" t="str">
        <f>IF(Buildings_GridElectricity_Frontend[[#This Row],[Data]]="","",_xlfn.XLOOKUP(_xlfn.CONCAT(Buildings_GridElectricity_Backend[[#This Row],[Level 1]:[Level 6]]),rng_EFConcat,rng_EF3TD)*Buildings_GridElectricity_Backend[[#This Row],[Converted data]]/1000)</f>
        <v/>
      </c>
      <c r="AK476" s="210" t="str">
        <f>IF(Buildings_GridElectricity_Frontend[[#This Row],[Data]]="","",_xlfn.XLOOKUP(_xlfn.CONCAT(Buildings_GridElectricity_Backend[[#This Row],[Level 1]:[Level 6]]),rng_EFConcat,rng_EF3WTTTD)*Buildings_GridElectricity_Backend[[#This Row],[Converted data]]/1000)</f>
        <v/>
      </c>
      <c r="AL476" s="220" t="str">
        <f>IF(Buildings_GridElectricity_Frontend[[#This Row],[Data]]="","",SUM(Buildings_GridElectricity_Backend[[#This Row],[Scope 1 (tCO2e)]:[Scope 3 WTT T&amp;D (tCO2e)]]))</f>
        <v/>
      </c>
      <c r="AM476" s="220" t="str">
        <f>IF(Buildings_GridElectricity_Frontend[[#This Row],[Data]]="","",Buildings_GridElectricity_Backend[[#This Row],[Total (tCO2e)]]*(1-Buildings_GridElectricity_Backend[[#This Row],[RSD]]))</f>
        <v/>
      </c>
      <c r="AN476" s="220" t="str">
        <f>IF(Buildings_GridElectricity_Frontend[[#This Row],[Data]]="","",Buildings_GridElectricity_Backend[[#This Row],[Total (tCO2e)]]*(1+Buildings_GridElectricity_Backend[[#This Row],[RSD]]))</f>
        <v/>
      </c>
      <c r="AO476" s="210" t="str">
        <f>IF(Buildings_GridElectricity_Frontend[[#This Row],[Data]]="","",_xlfn.XLOOKUP(_xlfn.CONCAT(Buildings_GridElectricity_Backend[[#This Row],[Level 1]:[Level 6]]),rng_EFConcat,rng_EFOOS)*Buildings_GridElectricity_Backend[[#This Row],[Converted data]]/1000)</f>
        <v/>
      </c>
      <c r="AP476" s="174">
        <f>Buildings_GridElectricity_Frontend[[#This Row],[Ease of collection]]</f>
        <v>0</v>
      </c>
      <c r="AQ476" s="213">
        <f>Buildings_GridElectricity_Frontend[[#This Row],[Completeness]]</f>
        <v>0</v>
      </c>
      <c r="AR476" s="220">
        <f>Buildings_GridElectricity_Frontend[[#This Row],[Notes]]</f>
        <v>0</v>
      </c>
    </row>
    <row r="477" spans="5:44" x14ac:dyDescent="0.3">
      <c r="E477" s="346"/>
      <c r="F477" s="449"/>
      <c r="G477" s="336"/>
      <c r="H477" s="334"/>
      <c r="I477" s="172" t="s">
        <v>316</v>
      </c>
      <c r="J477" s="337"/>
      <c r="K477" s="336"/>
      <c r="L477" s="336"/>
      <c r="M477" s="337"/>
      <c r="N477" s="242">
        <f t="shared" ref="N477:N527" si="17">ISBLANK(E477)+ISBLANK(G477)+ISBLANK(H477)</f>
        <v>3</v>
      </c>
      <c r="Q477" s="212" t="str">
        <f t="shared" si="16"/>
        <v/>
      </c>
      <c r="R477" s="174" t="s">
        <v>265</v>
      </c>
      <c r="S477" s="174" t="s">
        <v>273</v>
      </c>
      <c r="T477" s="174" t="str">
        <f>_xlfn.XLOOKUP(Buildings_GridElectricity_Backend[[#This Row],[Info 1]],Buildings_SiteInfo[Site name],Buildings_SiteInfo[Site type], "")</f>
        <v/>
      </c>
      <c r="U477" s="174" t="s">
        <v>281</v>
      </c>
      <c r="V477" s="174" t="str" cm="1">
        <f t="array" aca="1" ref="V477" ca="1">_xlfn.XLOOKUP(Buildings_GridElectricity_Backend[[#This Row],[Level 4]],rng_Level4Long,rng_Level5Long)</f>
        <v>Electricity</v>
      </c>
      <c r="W477" s="174" t="str" cm="1">
        <f t="array" aca="1" ref="W477" ca="1">_xlfn.XLOOKUP(Buildings_GridElectricity_Backend[[#This Row],[Level 4]],rng_Level4Long,rng_Level6Long)</f>
        <v>NaN</v>
      </c>
      <c r="X477" s="174">
        <f>Buildings_GridElectricity_Frontend[[#This Row],[Site Name]]</f>
        <v>0</v>
      </c>
      <c r="Y477" s="174">
        <f>Buildings_GridElectricity_Frontend[[#This Row],[Contracting]]</f>
        <v>0</v>
      </c>
      <c r="Z477" s="174">
        <f>Buildings_GridElectricity_Frontend[[#This Row],[Methodology]]</f>
        <v>0</v>
      </c>
      <c r="AA477" s="229" t="str" cm="1">
        <f t="array" ref="AA477">IF(Buildings_GridElectricity_Frontend[[#This Row],[Data]]="","",INDEX(_xlfn.SWITCH(Buildings_GridElectricity_Backend[[#This Row],[Methodology]],"Tier 1",rng_RSD1,"Tier 2",rng_RSD2,"Tier 3",rng_RSD3),MATCH(_xlfn.CONCAT(Buildings_GridElectricity_Backend[[#This Row],[Level 1]:[Level 6]]),rng_LevelsConcat,0)))</f>
        <v/>
      </c>
      <c r="AB477" s="220">
        <f>Buildings_GridElectricity_Frontend[[#This Row],[Data]]</f>
        <v>0</v>
      </c>
      <c r="AC477" s="174" t="str">
        <f>Buildings_GridElectricity_Frontend[[#This Row],[Units]]</f>
        <v>kWh</v>
      </c>
      <c r="AD477" s="218">
        <f>Buildings_GridElectricity_Frontend[[#This Row],[Data]]</f>
        <v>0</v>
      </c>
      <c r="AE477" s="174" t="str">
        <f>Buildings_GridElectricity_Frontend[[#This Row],[Units]]</f>
        <v>kWh</v>
      </c>
      <c r="AF477" s="210" t="str">
        <f>IF(Buildings_GridElectricity_Frontend[[#This Row],[Data]]="","",_xlfn.XLOOKUP(_xlfn.CONCAT(Buildings_GridElectricity_Backend[[#This Row],[Level 1]:[Level 6]]),rng_EFConcat,rng_EF1)*Buildings_GridElectricity_Backend[[#This Row],[Converted data]]/1000)</f>
        <v/>
      </c>
      <c r="AG477" s="210" t="str">
        <f>IF(Buildings_GridElectricity_Frontend[[#This Row],[Data]]="","",_xlfn.XLOOKUP(_xlfn.CONCAT(Buildings_GridElectricity_Backend[[#This Row],[Level 1]:[Level 6]]),rng_EFConcat,rng_EF2)*Buildings_GridElectricity_Backend[[#This Row],[Converted data]]/1000)</f>
        <v/>
      </c>
      <c r="AH477" s="210" t="str">
        <f>IF(Buildings_GridElectricity_Frontend[[#This Row],[Data]]="","",_xlfn.XLOOKUP(_xlfn.CONCAT(Buildings_GridElectricity_Backend[[#This Row],[Level 1]:[Level 6]]),rng_EFConcat,rng_EF3)*Buildings_GridElectricity_Backend[[#This Row],[Converted data]]/1000)</f>
        <v/>
      </c>
      <c r="AI477" s="210" t="str">
        <f>IF(Buildings_GridElectricity_Frontend[[#This Row],[Data]]="","",_xlfn.XLOOKUP(_xlfn.CONCAT(Buildings_GridElectricity_Backend[[#This Row],[Level 1]:[Level 6]]),rng_EFConcat,rng_EF3WTT)*Buildings_GridElectricity_Backend[[#This Row],[Converted data]]/1000)</f>
        <v/>
      </c>
      <c r="AJ477" s="210" t="str">
        <f>IF(Buildings_GridElectricity_Frontend[[#This Row],[Data]]="","",_xlfn.XLOOKUP(_xlfn.CONCAT(Buildings_GridElectricity_Backend[[#This Row],[Level 1]:[Level 6]]),rng_EFConcat,rng_EF3TD)*Buildings_GridElectricity_Backend[[#This Row],[Converted data]]/1000)</f>
        <v/>
      </c>
      <c r="AK477" s="210" t="str">
        <f>IF(Buildings_GridElectricity_Frontend[[#This Row],[Data]]="","",_xlfn.XLOOKUP(_xlfn.CONCAT(Buildings_GridElectricity_Backend[[#This Row],[Level 1]:[Level 6]]),rng_EFConcat,rng_EF3WTTTD)*Buildings_GridElectricity_Backend[[#This Row],[Converted data]]/1000)</f>
        <v/>
      </c>
      <c r="AL477" s="220" t="str">
        <f>IF(Buildings_GridElectricity_Frontend[[#This Row],[Data]]="","",SUM(Buildings_GridElectricity_Backend[[#This Row],[Scope 1 (tCO2e)]:[Scope 3 WTT T&amp;D (tCO2e)]]))</f>
        <v/>
      </c>
      <c r="AM477" s="220" t="str">
        <f>IF(Buildings_GridElectricity_Frontend[[#This Row],[Data]]="","",Buildings_GridElectricity_Backend[[#This Row],[Total (tCO2e)]]*(1-Buildings_GridElectricity_Backend[[#This Row],[RSD]]))</f>
        <v/>
      </c>
      <c r="AN477" s="220" t="str">
        <f>IF(Buildings_GridElectricity_Frontend[[#This Row],[Data]]="","",Buildings_GridElectricity_Backend[[#This Row],[Total (tCO2e)]]*(1+Buildings_GridElectricity_Backend[[#This Row],[RSD]]))</f>
        <v/>
      </c>
      <c r="AO477" s="210" t="str">
        <f>IF(Buildings_GridElectricity_Frontend[[#This Row],[Data]]="","",_xlfn.XLOOKUP(_xlfn.CONCAT(Buildings_GridElectricity_Backend[[#This Row],[Level 1]:[Level 6]]),rng_EFConcat,rng_EFOOS)*Buildings_GridElectricity_Backend[[#This Row],[Converted data]]/1000)</f>
        <v/>
      </c>
      <c r="AP477" s="174">
        <f>Buildings_GridElectricity_Frontend[[#This Row],[Ease of collection]]</f>
        <v>0</v>
      </c>
      <c r="AQ477" s="213">
        <f>Buildings_GridElectricity_Frontend[[#This Row],[Completeness]]</f>
        <v>0</v>
      </c>
      <c r="AR477" s="220">
        <f>Buildings_GridElectricity_Frontend[[#This Row],[Notes]]</f>
        <v>0</v>
      </c>
    </row>
    <row r="478" spans="5:44" x14ac:dyDescent="0.3">
      <c r="E478" s="346"/>
      <c r="F478" s="449"/>
      <c r="G478" s="336"/>
      <c r="H478" s="334"/>
      <c r="I478" s="172" t="s">
        <v>316</v>
      </c>
      <c r="J478" s="337"/>
      <c r="K478" s="336"/>
      <c r="L478" s="336"/>
      <c r="M478" s="337"/>
      <c r="N478" s="242">
        <f t="shared" si="17"/>
        <v>3</v>
      </c>
      <c r="Q478" s="212" t="str">
        <f t="shared" si="16"/>
        <v/>
      </c>
      <c r="R478" s="174" t="s">
        <v>265</v>
      </c>
      <c r="S478" s="174" t="s">
        <v>273</v>
      </c>
      <c r="T478" s="174" t="str">
        <f>_xlfn.XLOOKUP(Buildings_GridElectricity_Backend[[#This Row],[Info 1]],Buildings_SiteInfo[Site name],Buildings_SiteInfo[Site type], "")</f>
        <v/>
      </c>
      <c r="U478" s="174" t="s">
        <v>281</v>
      </c>
      <c r="V478" s="174" t="str" cm="1">
        <f t="array" aca="1" ref="V478" ca="1">_xlfn.XLOOKUP(Buildings_GridElectricity_Backend[[#This Row],[Level 4]],rng_Level4Long,rng_Level5Long)</f>
        <v>Electricity</v>
      </c>
      <c r="W478" s="174" t="str" cm="1">
        <f t="array" aca="1" ref="W478" ca="1">_xlfn.XLOOKUP(Buildings_GridElectricity_Backend[[#This Row],[Level 4]],rng_Level4Long,rng_Level6Long)</f>
        <v>NaN</v>
      </c>
      <c r="X478" s="174">
        <f>Buildings_GridElectricity_Frontend[[#This Row],[Site Name]]</f>
        <v>0</v>
      </c>
      <c r="Y478" s="174">
        <f>Buildings_GridElectricity_Frontend[[#This Row],[Contracting]]</f>
        <v>0</v>
      </c>
      <c r="Z478" s="174">
        <f>Buildings_GridElectricity_Frontend[[#This Row],[Methodology]]</f>
        <v>0</v>
      </c>
      <c r="AA478" s="229" t="str" cm="1">
        <f t="array" ref="AA478">IF(Buildings_GridElectricity_Frontend[[#This Row],[Data]]="","",INDEX(_xlfn.SWITCH(Buildings_GridElectricity_Backend[[#This Row],[Methodology]],"Tier 1",rng_RSD1,"Tier 2",rng_RSD2,"Tier 3",rng_RSD3),MATCH(_xlfn.CONCAT(Buildings_GridElectricity_Backend[[#This Row],[Level 1]:[Level 6]]),rng_LevelsConcat,0)))</f>
        <v/>
      </c>
      <c r="AB478" s="220">
        <f>Buildings_GridElectricity_Frontend[[#This Row],[Data]]</f>
        <v>0</v>
      </c>
      <c r="AC478" s="174" t="str">
        <f>Buildings_GridElectricity_Frontend[[#This Row],[Units]]</f>
        <v>kWh</v>
      </c>
      <c r="AD478" s="218">
        <f>Buildings_GridElectricity_Frontend[[#This Row],[Data]]</f>
        <v>0</v>
      </c>
      <c r="AE478" s="174" t="str">
        <f>Buildings_GridElectricity_Frontend[[#This Row],[Units]]</f>
        <v>kWh</v>
      </c>
      <c r="AF478" s="210" t="str">
        <f>IF(Buildings_GridElectricity_Frontend[[#This Row],[Data]]="","",_xlfn.XLOOKUP(_xlfn.CONCAT(Buildings_GridElectricity_Backend[[#This Row],[Level 1]:[Level 6]]),rng_EFConcat,rng_EF1)*Buildings_GridElectricity_Backend[[#This Row],[Converted data]]/1000)</f>
        <v/>
      </c>
      <c r="AG478" s="210" t="str">
        <f>IF(Buildings_GridElectricity_Frontend[[#This Row],[Data]]="","",_xlfn.XLOOKUP(_xlfn.CONCAT(Buildings_GridElectricity_Backend[[#This Row],[Level 1]:[Level 6]]),rng_EFConcat,rng_EF2)*Buildings_GridElectricity_Backend[[#This Row],[Converted data]]/1000)</f>
        <v/>
      </c>
      <c r="AH478" s="210" t="str">
        <f>IF(Buildings_GridElectricity_Frontend[[#This Row],[Data]]="","",_xlfn.XLOOKUP(_xlfn.CONCAT(Buildings_GridElectricity_Backend[[#This Row],[Level 1]:[Level 6]]),rng_EFConcat,rng_EF3)*Buildings_GridElectricity_Backend[[#This Row],[Converted data]]/1000)</f>
        <v/>
      </c>
      <c r="AI478" s="210" t="str">
        <f>IF(Buildings_GridElectricity_Frontend[[#This Row],[Data]]="","",_xlfn.XLOOKUP(_xlfn.CONCAT(Buildings_GridElectricity_Backend[[#This Row],[Level 1]:[Level 6]]),rng_EFConcat,rng_EF3WTT)*Buildings_GridElectricity_Backend[[#This Row],[Converted data]]/1000)</f>
        <v/>
      </c>
      <c r="AJ478" s="210" t="str">
        <f>IF(Buildings_GridElectricity_Frontend[[#This Row],[Data]]="","",_xlfn.XLOOKUP(_xlfn.CONCAT(Buildings_GridElectricity_Backend[[#This Row],[Level 1]:[Level 6]]),rng_EFConcat,rng_EF3TD)*Buildings_GridElectricity_Backend[[#This Row],[Converted data]]/1000)</f>
        <v/>
      </c>
      <c r="AK478" s="210" t="str">
        <f>IF(Buildings_GridElectricity_Frontend[[#This Row],[Data]]="","",_xlfn.XLOOKUP(_xlfn.CONCAT(Buildings_GridElectricity_Backend[[#This Row],[Level 1]:[Level 6]]),rng_EFConcat,rng_EF3WTTTD)*Buildings_GridElectricity_Backend[[#This Row],[Converted data]]/1000)</f>
        <v/>
      </c>
      <c r="AL478" s="220" t="str">
        <f>IF(Buildings_GridElectricity_Frontend[[#This Row],[Data]]="","",SUM(Buildings_GridElectricity_Backend[[#This Row],[Scope 1 (tCO2e)]:[Scope 3 WTT T&amp;D (tCO2e)]]))</f>
        <v/>
      </c>
      <c r="AM478" s="220" t="str">
        <f>IF(Buildings_GridElectricity_Frontend[[#This Row],[Data]]="","",Buildings_GridElectricity_Backend[[#This Row],[Total (tCO2e)]]*(1-Buildings_GridElectricity_Backend[[#This Row],[RSD]]))</f>
        <v/>
      </c>
      <c r="AN478" s="220" t="str">
        <f>IF(Buildings_GridElectricity_Frontend[[#This Row],[Data]]="","",Buildings_GridElectricity_Backend[[#This Row],[Total (tCO2e)]]*(1+Buildings_GridElectricity_Backend[[#This Row],[RSD]]))</f>
        <v/>
      </c>
      <c r="AO478" s="210" t="str">
        <f>IF(Buildings_GridElectricity_Frontend[[#This Row],[Data]]="","",_xlfn.XLOOKUP(_xlfn.CONCAT(Buildings_GridElectricity_Backend[[#This Row],[Level 1]:[Level 6]]),rng_EFConcat,rng_EFOOS)*Buildings_GridElectricity_Backend[[#This Row],[Converted data]]/1000)</f>
        <v/>
      </c>
      <c r="AP478" s="174">
        <f>Buildings_GridElectricity_Frontend[[#This Row],[Ease of collection]]</f>
        <v>0</v>
      </c>
      <c r="AQ478" s="213">
        <f>Buildings_GridElectricity_Frontend[[#This Row],[Completeness]]</f>
        <v>0</v>
      </c>
      <c r="AR478" s="220">
        <f>Buildings_GridElectricity_Frontend[[#This Row],[Notes]]</f>
        <v>0</v>
      </c>
    </row>
    <row r="479" spans="5:44" x14ac:dyDescent="0.3">
      <c r="E479" s="346"/>
      <c r="F479" s="449"/>
      <c r="G479" s="336"/>
      <c r="H479" s="334"/>
      <c r="I479" s="172" t="s">
        <v>316</v>
      </c>
      <c r="J479" s="337"/>
      <c r="K479" s="336"/>
      <c r="L479" s="336"/>
      <c r="M479" s="337"/>
      <c r="N479" s="242">
        <f t="shared" si="17"/>
        <v>3</v>
      </c>
      <c r="Q479" s="212" t="str">
        <f t="shared" si="16"/>
        <v/>
      </c>
      <c r="R479" s="174" t="s">
        <v>265</v>
      </c>
      <c r="S479" s="174" t="s">
        <v>273</v>
      </c>
      <c r="T479" s="174" t="str">
        <f>_xlfn.XLOOKUP(Buildings_GridElectricity_Backend[[#This Row],[Info 1]],Buildings_SiteInfo[Site name],Buildings_SiteInfo[Site type], "")</f>
        <v/>
      </c>
      <c r="U479" s="174" t="s">
        <v>281</v>
      </c>
      <c r="V479" s="174" t="str" cm="1">
        <f t="array" aca="1" ref="V479" ca="1">_xlfn.XLOOKUP(Buildings_GridElectricity_Backend[[#This Row],[Level 4]],rng_Level4Long,rng_Level5Long)</f>
        <v>Electricity</v>
      </c>
      <c r="W479" s="174" t="str" cm="1">
        <f t="array" aca="1" ref="W479" ca="1">_xlfn.XLOOKUP(Buildings_GridElectricity_Backend[[#This Row],[Level 4]],rng_Level4Long,rng_Level6Long)</f>
        <v>NaN</v>
      </c>
      <c r="X479" s="174">
        <f>Buildings_GridElectricity_Frontend[[#This Row],[Site Name]]</f>
        <v>0</v>
      </c>
      <c r="Y479" s="174">
        <f>Buildings_GridElectricity_Frontend[[#This Row],[Contracting]]</f>
        <v>0</v>
      </c>
      <c r="Z479" s="174">
        <f>Buildings_GridElectricity_Frontend[[#This Row],[Methodology]]</f>
        <v>0</v>
      </c>
      <c r="AA479" s="229" t="str" cm="1">
        <f t="array" ref="AA479">IF(Buildings_GridElectricity_Frontend[[#This Row],[Data]]="","",INDEX(_xlfn.SWITCH(Buildings_GridElectricity_Backend[[#This Row],[Methodology]],"Tier 1",rng_RSD1,"Tier 2",rng_RSD2,"Tier 3",rng_RSD3),MATCH(_xlfn.CONCAT(Buildings_GridElectricity_Backend[[#This Row],[Level 1]:[Level 6]]),rng_LevelsConcat,0)))</f>
        <v/>
      </c>
      <c r="AB479" s="220">
        <f>Buildings_GridElectricity_Frontend[[#This Row],[Data]]</f>
        <v>0</v>
      </c>
      <c r="AC479" s="174" t="str">
        <f>Buildings_GridElectricity_Frontend[[#This Row],[Units]]</f>
        <v>kWh</v>
      </c>
      <c r="AD479" s="218">
        <f>Buildings_GridElectricity_Frontend[[#This Row],[Data]]</f>
        <v>0</v>
      </c>
      <c r="AE479" s="174" t="str">
        <f>Buildings_GridElectricity_Frontend[[#This Row],[Units]]</f>
        <v>kWh</v>
      </c>
      <c r="AF479" s="210" t="str">
        <f>IF(Buildings_GridElectricity_Frontend[[#This Row],[Data]]="","",_xlfn.XLOOKUP(_xlfn.CONCAT(Buildings_GridElectricity_Backend[[#This Row],[Level 1]:[Level 6]]),rng_EFConcat,rng_EF1)*Buildings_GridElectricity_Backend[[#This Row],[Converted data]]/1000)</f>
        <v/>
      </c>
      <c r="AG479" s="210" t="str">
        <f>IF(Buildings_GridElectricity_Frontend[[#This Row],[Data]]="","",_xlfn.XLOOKUP(_xlfn.CONCAT(Buildings_GridElectricity_Backend[[#This Row],[Level 1]:[Level 6]]),rng_EFConcat,rng_EF2)*Buildings_GridElectricity_Backend[[#This Row],[Converted data]]/1000)</f>
        <v/>
      </c>
      <c r="AH479" s="210" t="str">
        <f>IF(Buildings_GridElectricity_Frontend[[#This Row],[Data]]="","",_xlfn.XLOOKUP(_xlfn.CONCAT(Buildings_GridElectricity_Backend[[#This Row],[Level 1]:[Level 6]]),rng_EFConcat,rng_EF3)*Buildings_GridElectricity_Backend[[#This Row],[Converted data]]/1000)</f>
        <v/>
      </c>
      <c r="AI479" s="210" t="str">
        <f>IF(Buildings_GridElectricity_Frontend[[#This Row],[Data]]="","",_xlfn.XLOOKUP(_xlfn.CONCAT(Buildings_GridElectricity_Backend[[#This Row],[Level 1]:[Level 6]]),rng_EFConcat,rng_EF3WTT)*Buildings_GridElectricity_Backend[[#This Row],[Converted data]]/1000)</f>
        <v/>
      </c>
      <c r="AJ479" s="210" t="str">
        <f>IF(Buildings_GridElectricity_Frontend[[#This Row],[Data]]="","",_xlfn.XLOOKUP(_xlfn.CONCAT(Buildings_GridElectricity_Backend[[#This Row],[Level 1]:[Level 6]]),rng_EFConcat,rng_EF3TD)*Buildings_GridElectricity_Backend[[#This Row],[Converted data]]/1000)</f>
        <v/>
      </c>
      <c r="AK479" s="210" t="str">
        <f>IF(Buildings_GridElectricity_Frontend[[#This Row],[Data]]="","",_xlfn.XLOOKUP(_xlfn.CONCAT(Buildings_GridElectricity_Backend[[#This Row],[Level 1]:[Level 6]]),rng_EFConcat,rng_EF3WTTTD)*Buildings_GridElectricity_Backend[[#This Row],[Converted data]]/1000)</f>
        <v/>
      </c>
      <c r="AL479" s="220" t="str">
        <f>IF(Buildings_GridElectricity_Frontend[[#This Row],[Data]]="","",SUM(Buildings_GridElectricity_Backend[[#This Row],[Scope 1 (tCO2e)]:[Scope 3 WTT T&amp;D (tCO2e)]]))</f>
        <v/>
      </c>
      <c r="AM479" s="220" t="str">
        <f>IF(Buildings_GridElectricity_Frontend[[#This Row],[Data]]="","",Buildings_GridElectricity_Backend[[#This Row],[Total (tCO2e)]]*(1-Buildings_GridElectricity_Backend[[#This Row],[RSD]]))</f>
        <v/>
      </c>
      <c r="AN479" s="220" t="str">
        <f>IF(Buildings_GridElectricity_Frontend[[#This Row],[Data]]="","",Buildings_GridElectricity_Backend[[#This Row],[Total (tCO2e)]]*(1+Buildings_GridElectricity_Backend[[#This Row],[RSD]]))</f>
        <v/>
      </c>
      <c r="AO479" s="210" t="str">
        <f>IF(Buildings_GridElectricity_Frontend[[#This Row],[Data]]="","",_xlfn.XLOOKUP(_xlfn.CONCAT(Buildings_GridElectricity_Backend[[#This Row],[Level 1]:[Level 6]]),rng_EFConcat,rng_EFOOS)*Buildings_GridElectricity_Backend[[#This Row],[Converted data]]/1000)</f>
        <v/>
      </c>
      <c r="AP479" s="174">
        <f>Buildings_GridElectricity_Frontend[[#This Row],[Ease of collection]]</f>
        <v>0</v>
      </c>
      <c r="AQ479" s="213">
        <f>Buildings_GridElectricity_Frontend[[#This Row],[Completeness]]</f>
        <v>0</v>
      </c>
      <c r="AR479" s="220">
        <f>Buildings_GridElectricity_Frontend[[#This Row],[Notes]]</f>
        <v>0</v>
      </c>
    </row>
    <row r="480" spans="5:44" x14ac:dyDescent="0.3">
      <c r="E480" s="346"/>
      <c r="F480" s="449"/>
      <c r="G480" s="336"/>
      <c r="H480" s="334"/>
      <c r="I480" s="172" t="s">
        <v>316</v>
      </c>
      <c r="J480" s="337"/>
      <c r="K480" s="336"/>
      <c r="L480" s="336"/>
      <c r="M480" s="337"/>
      <c r="N480" s="242">
        <f t="shared" si="17"/>
        <v>3</v>
      </c>
      <c r="Q480" s="212" t="str">
        <f t="shared" si="16"/>
        <v/>
      </c>
      <c r="R480" s="174" t="s">
        <v>265</v>
      </c>
      <c r="S480" s="174" t="s">
        <v>273</v>
      </c>
      <c r="T480" s="174" t="str">
        <f>_xlfn.XLOOKUP(Buildings_GridElectricity_Backend[[#This Row],[Info 1]],Buildings_SiteInfo[Site name],Buildings_SiteInfo[Site type], "")</f>
        <v/>
      </c>
      <c r="U480" s="174" t="s">
        <v>281</v>
      </c>
      <c r="V480" s="174" t="str" cm="1">
        <f t="array" aca="1" ref="V480" ca="1">_xlfn.XLOOKUP(Buildings_GridElectricity_Backend[[#This Row],[Level 4]],rng_Level4Long,rng_Level5Long)</f>
        <v>Electricity</v>
      </c>
      <c r="W480" s="174" t="str" cm="1">
        <f t="array" aca="1" ref="W480" ca="1">_xlfn.XLOOKUP(Buildings_GridElectricity_Backend[[#This Row],[Level 4]],rng_Level4Long,rng_Level6Long)</f>
        <v>NaN</v>
      </c>
      <c r="X480" s="174">
        <f>Buildings_GridElectricity_Frontend[[#This Row],[Site Name]]</f>
        <v>0</v>
      </c>
      <c r="Y480" s="174">
        <f>Buildings_GridElectricity_Frontend[[#This Row],[Contracting]]</f>
        <v>0</v>
      </c>
      <c r="Z480" s="174">
        <f>Buildings_GridElectricity_Frontend[[#This Row],[Methodology]]</f>
        <v>0</v>
      </c>
      <c r="AA480" s="229" t="str" cm="1">
        <f t="array" ref="AA480">IF(Buildings_GridElectricity_Frontend[[#This Row],[Data]]="","",INDEX(_xlfn.SWITCH(Buildings_GridElectricity_Backend[[#This Row],[Methodology]],"Tier 1",rng_RSD1,"Tier 2",rng_RSD2,"Tier 3",rng_RSD3),MATCH(_xlfn.CONCAT(Buildings_GridElectricity_Backend[[#This Row],[Level 1]:[Level 6]]),rng_LevelsConcat,0)))</f>
        <v/>
      </c>
      <c r="AB480" s="220">
        <f>Buildings_GridElectricity_Frontend[[#This Row],[Data]]</f>
        <v>0</v>
      </c>
      <c r="AC480" s="174" t="str">
        <f>Buildings_GridElectricity_Frontend[[#This Row],[Units]]</f>
        <v>kWh</v>
      </c>
      <c r="AD480" s="218">
        <f>Buildings_GridElectricity_Frontend[[#This Row],[Data]]</f>
        <v>0</v>
      </c>
      <c r="AE480" s="174" t="str">
        <f>Buildings_GridElectricity_Frontend[[#This Row],[Units]]</f>
        <v>kWh</v>
      </c>
      <c r="AF480" s="210" t="str">
        <f>IF(Buildings_GridElectricity_Frontend[[#This Row],[Data]]="","",_xlfn.XLOOKUP(_xlfn.CONCAT(Buildings_GridElectricity_Backend[[#This Row],[Level 1]:[Level 6]]),rng_EFConcat,rng_EF1)*Buildings_GridElectricity_Backend[[#This Row],[Converted data]]/1000)</f>
        <v/>
      </c>
      <c r="AG480" s="210" t="str">
        <f>IF(Buildings_GridElectricity_Frontend[[#This Row],[Data]]="","",_xlfn.XLOOKUP(_xlfn.CONCAT(Buildings_GridElectricity_Backend[[#This Row],[Level 1]:[Level 6]]),rng_EFConcat,rng_EF2)*Buildings_GridElectricity_Backend[[#This Row],[Converted data]]/1000)</f>
        <v/>
      </c>
      <c r="AH480" s="210" t="str">
        <f>IF(Buildings_GridElectricity_Frontend[[#This Row],[Data]]="","",_xlfn.XLOOKUP(_xlfn.CONCAT(Buildings_GridElectricity_Backend[[#This Row],[Level 1]:[Level 6]]),rng_EFConcat,rng_EF3)*Buildings_GridElectricity_Backend[[#This Row],[Converted data]]/1000)</f>
        <v/>
      </c>
      <c r="AI480" s="210" t="str">
        <f>IF(Buildings_GridElectricity_Frontend[[#This Row],[Data]]="","",_xlfn.XLOOKUP(_xlfn.CONCAT(Buildings_GridElectricity_Backend[[#This Row],[Level 1]:[Level 6]]),rng_EFConcat,rng_EF3WTT)*Buildings_GridElectricity_Backend[[#This Row],[Converted data]]/1000)</f>
        <v/>
      </c>
      <c r="AJ480" s="210" t="str">
        <f>IF(Buildings_GridElectricity_Frontend[[#This Row],[Data]]="","",_xlfn.XLOOKUP(_xlfn.CONCAT(Buildings_GridElectricity_Backend[[#This Row],[Level 1]:[Level 6]]),rng_EFConcat,rng_EF3TD)*Buildings_GridElectricity_Backend[[#This Row],[Converted data]]/1000)</f>
        <v/>
      </c>
      <c r="AK480" s="210" t="str">
        <f>IF(Buildings_GridElectricity_Frontend[[#This Row],[Data]]="","",_xlfn.XLOOKUP(_xlfn.CONCAT(Buildings_GridElectricity_Backend[[#This Row],[Level 1]:[Level 6]]),rng_EFConcat,rng_EF3WTTTD)*Buildings_GridElectricity_Backend[[#This Row],[Converted data]]/1000)</f>
        <v/>
      </c>
      <c r="AL480" s="220" t="str">
        <f>IF(Buildings_GridElectricity_Frontend[[#This Row],[Data]]="","",SUM(Buildings_GridElectricity_Backend[[#This Row],[Scope 1 (tCO2e)]:[Scope 3 WTT T&amp;D (tCO2e)]]))</f>
        <v/>
      </c>
      <c r="AM480" s="220" t="str">
        <f>IF(Buildings_GridElectricity_Frontend[[#This Row],[Data]]="","",Buildings_GridElectricity_Backend[[#This Row],[Total (tCO2e)]]*(1-Buildings_GridElectricity_Backend[[#This Row],[RSD]]))</f>
        <v/>
      </c>
      <c r="AN480" s="220" t="str">
        <f>IF(Buildings_GridElectricity_Frontend[[#This Row],[Data]]="","",Buildings_GridElectricity_Backend[[#This Row],[Total (tCO2e)]]*(1+Buildings_GridElectricity_Backend[[#This Row],[RSD]]))</f>
        <v/>
      </c>
      <c r="AO480" s="210" t="str">
        <f>IF(Buildings_GridElectricity_Frontend[[#This Row],[Data]]="","",_xlfn.XLOOKUP(_xlfn.CONCAT(Buildings_GridElectricity_Backend[[#This Row],[Level 1]:[Level 6]]),rng_EFConcat,rng_EFOOS)*Buildings_GridElectricity_Backend[[#This Row],[Converted data]]/1000)</f>
        <v/>
      </c>
      <c r="AP480" s="174">
        <f>Buildings_GridElectricity_Frontend[[#This Row],[Ease of collection]]</f>
        <v>0</v>
      </c>
      <c r="AQ480" s="213">
        <f>Buildings_GridElectricity_Frontend[[#This Row],[Completeness]]</f>
        <v>0</v>
      </c>
      <c r="AR480" s="220">
        <f>Buildings_GridElectricity_Frontend[[#This Row],[Notes]]</f>
        <v>0</v>
      </c>
    </row>
    <row r="481" spans="5:44" x14ac:dyDescent="0.3">
      <c r="E481" s="346"/>
      <c r="F481" s="449"/>
      <c r="G481" s="336"/>
      <c r="H481" s="334"/>
      <c r="I481" s="172" t="s">
        <v>316</v>
      </c>
      <c r="J481" s="337"/>
      <c r="K481" s="336"/>
      <c r="L481" s="336"/>
      <c r="M481" s="337"/>
      <c r="N481" s="242">
        <f t="shared" si="17"/>
        <v>3</v>
      </c>
      <c r="Q481" s="212" t="str">
        <f t="shared" si="16"/>
        <v/>
      </c>
      <c r="R481" s="174" t="s">
        <v>265</v>
      </c>
      <c r="S481" s="174" t="s">
        <v>273</v>
      </c>
      <c r="T481" s="174" t="str">
        <f>_xlfn.XLOOKUP(Buildings_GridElectricity_Backend[[#This Row],[Info 1]],Buildings_SiteInfo[Site name],Buildings_SiteInfo[Site type], "")</f>
        <v/>
      </c>
      <c r="U481" s="174" t="s">
        <v>281</v>
      </c>
      <c r="V481" s="174" t="str" cm="1">
        <f t="array" aca="1" ref="V481" ca="1">_xlfn.XLOOKUP(Buildings_GridElectricity_Backend[[#This Row],[Level 4]],rng_Level4Long,rng_Level5Long)</f>
        <v>Electricity</v>
      </c>
      <c r="W481" s="174" t="str" cm="1">
        <f t="array" aca="1" ref="W481" ca="1">_xlfn.XLOOKUP(Buildings_GridElectricity_Backend[[#This Row],[Level 4]],rng_Level4Long,rng_Level6Long)</f>
        <v>NaN</v>
      </c>
      <c r="X481" s="174">
        <f>Buildings_GridElectricity_Frontend[[#This Row],[Site Name]]</f>
        <v>0</v>
      </c>
      <c r="Y481" s="174">
        <f>Buildings_GridElectricity_Frontend[[#This Row],[Contracting]]</f>
        <v>0</v>
      </c>
      <c r="Z481" s="174">
        <f>Buildings_GridElectricity_Frontend[[#This Row],[Methodology]]</f>
        <v>0</v>
      </c>
      <c r="AA481" s="229" t="str" cm="1">
        <f t="array" ref="AA481">IF(Buildings_GridElectricity_Frontend[[#This Row],[Data]]="","",INDEX(_xlfn.SWITCH(Buildings_GridElectricity_Backend[[#This Row],[Methodology]],"Tier 1",rng_RSD1,"Tier 2",rng_RSD2,"Tier 3",rng_RSD3),MATCH(_xlfn.CONCAT(Buildings_GridElectricity_Backend[[#This Row],[Level 1]:[Level 6]]),rng_LevelsConcat,0)))</f>
        <v/>
      </c>
      <c r="AB481" s="220">
        <f>Buildings_GridElectricity_Frontend[[#This Row],[Data]]</f>
        <v>0</v>
      </c>
      <c r="AC481" s="174" t="str">
        <f>Buildings_GridElectricity_Frontend[[#This Row],[Units]]</f>
        <v>kWh</v>
      </c>
      <c r="AD481" s="218">
        <f>Buildings_GridElectricity_Frontend[[#This Row],[Data]]</f>
        <v>0</v>
      </c>
      <c r="AE481" s="174" t="str">
        <f>Buildings_GridElectricity_Frontend[[#This Row],[Units]]</f>
        <v>kWh</v>
      </c>
      <c r="AF481" s="210" t="str">
        <f>IF(Buildings_GridElectricity_Frontend[[#This Row],[Data]]="","",_xlfn.XLOOKUP(_xlfn.CONCAT(Buildings_GridElectricity_Backend[[#This Row],[Level 1]:[Level 6]]),rng_EFConcat,rng_EF1)*Buildings_GridElectricity_Backend[[#This Row],[Converted data]]/1000)</f>
        <v/>
      </c>
      <c r="AG481" s="210" t="str">
        <f>IF(Buildings_GridElectricity_Frontend[[#This Row],[Data]]="","",_xlfn.XLOOKUP(_xlfn.CONCAT(Buildings_GridElectricity_Backend[[#This Row],[Level 1]:[Level 6]]),rng_EFConcat,rng_EF2)*Buildings_GridElectricity_Backend[[#This Row],[Converted data]]/1000)</f>
        <v/>
      </c>
      <c r="AH481" s="210" t="str">
        <f>IF(Buildings_GridElectricity_Frontend[[#This Row],[Data]]="","",_xlfn.XLOOKUP(_xlfn.CONCAT(Buildings_GridElectricity_Backend[[#This Row],[Level 1]:[Level 6]]),rng_EFConcat,rng_EF3)*Buildings_GridElectricity_Backend[[#This Row],[Converted data]]/1000)</f>
        <v/>
      </c>
      <c r="AI481" s="210" t="str">
        <f>IF(Buildings_GridElectricity_Frontend[[#This Row],[Data]]="","",_xlfn.XLOOKUP(_xlfn.CONCAT(Buildings_GridElectricity_Backend[[#This Row],[Level 1]:[Level 6]]),rng_EFConcat,rng_EF3WTT)*Buildings_GridElectricity_Backend[[#This Row],[Converted data]]/1000)</f>
        <v/>
      </c>
      <c r="AJ481" s="210" t="str">
        <f>IF(Buildings_GridElectricity_Frontend[[#This Row],[Data]]="","",_xlfn.XLOOKUP(_xlfn.CONCAT(Buildings_GridElectricity_Backend[[#This Row],[Level 1]:[Level 6]]),rng_EFConcat,rng_EF3TD)*Buildings_GridElectricity_Backend[[#This Row],[Converted data]]/1000)</f>
        <v/>
      </c>
      <c r="AK481" s="210" t="str">
        <f>IF(Buildings_GridElectricity_Frontend[[#This Row],[Data]]="","",_xlfn.XLOOKUP(_xlfn.CONCAT(Buildings_GridElectricity_Backend[[#This Row],[Level 1]:[Level 6]]),rng_EFConcat,rng_EF3WTTTD)*Buildings_GridElectricity_Backend[[#This Row],[Converted data]]/1000)</f>
        <v/>
      </c>
      <c r="AL481" s="220" t="str">
        <f>IF(Buildings_GridElectricity_Frontend[[#This Row],[Data]]="","",SUM(Buildings_GridElectricity_Backend[[#This Row],[Scope 1 (tCO2e)]:[Scope 3 WTT T&amp;D (tCO2e)]]))</f>
        <v/>
      </c>
      <c r="AM481" s="220" t="str">
        <f>IF(Buildings_GridElectricity_Frontend[[#This Row],[Data]]="","",Buildings_GridElectricity_Backend[[#This Row],[Total (tCO2e)]]*(1-Buildings_GridElectricity_Backend[[#This Row],[RSD]]))</f>
        <v/>
      </c>
      <c r="AN481" s="220" t="str">
        <f>IF(Buildings_GridElectricity_Frontend[[#This Row],[Data]]="","",Buildings_GridElectricity_Backend[[#This Row],[Total (tCO2e)]]*(1+Buildings_GridElectricity_Backend[[#This Row],[RSD]]))</f>
        <v/>
      </c>
      <c r="AO481" s="210" t="str">
        <f>IF(Buildings_GridElectricity_Frontend[[#This Row],[Data]]="","",_xlfn.XLOOKUP(_xlfn.CONCAT(Buildings_GridElectricity_Backend[[#This Row],[Level 1]:[Level 6]]),rng_EFConcat,rng_EFOOS)*Buildings_GridElectricity_Backend[[#This Row],[Converted data]]/1000)</f>
        <v/>
      </c>
      <c r="AP481" s="174">
        <f>Buildings_GridElectricity_Frontend[[#This Row],[Ease of collection]]</f>
        <v>0</v>
      </c>
      <c r="AQ481" s="213">
        <f>Buildings_GridElectricity_Frontend[[#This Row],[Completeness]]</f>
        <v>0</v>
      </c>
      <c r="AR481" s="220">
        <f>Buildings_GridElectricity_Frontend[[#This Row],[Notes]]</f>
        <v>0</v>
      </c>
    </row>
    <row r="482" spans="5:44" x14ac:dyDescent="0.3">
      <c r="E482" s="346"/>
      <c r="F482" s="449"/>
      <c r="G482" s="336"/>
      <c r="H482" s="334"/>
      <c r="I482" s="172" t="s">
        <v>316</v>
      </c>
      <c r="J482" s="337"/>
      <c r="K482" s="336"/>
      <c r="L482" s="336"/>
      <c r="M482" s="337"/>
      <c r="N482" s="242">
        <f t="shared" si="17"/>
        <v>3</v>
      </c>
      <c r="Q482" s="212" t="str">
        <f t="shared" si="16"/>
        <v/>
      </c>
      <c r="R482" s="174" t="s">
        <v>265</v>
      </c>
      <c r="S482" s="174" t="s">
        <v>273</v>
      </c>
      <c r="T482" s="174" t="str">
        <f>_xlfn.XLOOKUP(Buildings_GridElectricity_Backend[[#This Row],[Info 1]],Buildings_SiteInfo[Site name],Buildings_SiteInfo[Site type], "")</f>
        <v/>
      </c>
      <c r="U482" s="174" t="s">
        <v>281</v>
      </c>
      <c r="V482" s="174" t="str" cm="1">
        <f t="array" aca="1" ref="V482" ca="1">_xlfn.XLOOKUP(Buildings_GridElectricity_Backend[[#This Row],[Level 4]],rng_Level4Long,rng_Level5Long)</f>
        <v>Electricity</v>
      </c>
      <c r="W482" s="174" t="str" cm="1">
        <f t="array" aca="1" ref="W482" ca="1">_xlfn.XLOOKUP(Buildings_GridElectricity_Backend[[#This Row],[Level 4]],rng_Level4Long,rng_Level6Long)</f>
        <v>NaN</v>
      </c>
      <c r="X482" s="174">
        <f>Buildings_GridElectricity_Frontend[[#This Row],[Site Name]]</f>
        <v>0</v>
      </c>
      <c r="Y482" s="174">
        <f>Buildings_GridElectricity_Frontend[[#This Row],[Contracting]]</f>
        <v>0</v>
      </c>
      <c r="Z482" s="174">
        <f>Buildings_GridElectricity_Frontend[[#This Row],[Methodology]]</f>
        <v>0</v>
      </c>
      <c r="AA482" s="229" t="str" cm="1">
        <f t="array" ref="AA482">IF(Buildings_GridElectricity_Frontend[[#This Row],[Data]]="","",INDEX(_xlfn.SWITCH(Buildings_GridElectricity_Backend[[#This Row],[Methodology]],"Tier 1",rng_RSD1,"Tier 2",rng_RSD2,"Tier 3",rng_RSD3),MATCH(_xlfn.CONCAT(Buildings_GridElectricity_Backend[[#This Row],[Level 1]:[Level 6]]),rng_LevelsConcat,0)))</f>
        <v/>
      </c>
      <c r="AB482" s="220">
        <f>Buildings_GridElectricity_Frontend[[#This Row],[Data]]</f>
        <v>0</v>
      </c>
      <c r="AC482" s="174" t="str">
        <f>Buildings_GridElectricity_Frontend[[#This Row],[Units]]</f>
        <v>kWh</v>
      </c>
      <c r="AD482" s="218">
        <f>Buildings_GridElectricity_Frontend[[#This Row],[Data]]</f>
        <v>0</v>
      </c>
      <c r="AE482" s="174" t="str">
        <f>Buildings_GridElectricity_Frontend[[#This Row],[Units]]</f>
        <v>kWh</v>
      </c>
      <c r="AF482" s="210" t="str">
        <f>IF(Buildings_GridElectricity_Frontend[[#This Row],[Data]]="","",_xlfn.XLOOKUP(_xlfn.CONCAT(Buildings_GridElectricity_Backend[[#This Row],[Level 1]:[Level 6]]),rng_EFConcat,rng_EF1)*Buildings_GridElectricity_Backend[[#This Row],[Converted data]]/1000)</f>
        <v/>
      </c>
      <c r="AG482" s="210" t="str">
        <f>IF(Buildings_GridElectricity_Frontend[[#This Row],[Data]]="","",_xlfn.XLOOKUP(_xlfn.CONCAT(Buildings_GridElectricity_Backend[[#This Row],[Level 1]:[Level 6]]),rng_EFConcat,rng_EF2)*Buildings_GridElectricity_Backend[[#This Row],[Converted data]]/1000)</f>
        <v/>
      </c>
      <c r="AH482" s="210" t="str">
        <f>IF(Buildings_GridElectricity_Frontend[[#This Row],[Data]]="","",_xlfn.XLOOKUP(_xlfn.CONCAT(Buildings_GridElectricity_Backend[[#This Row],[Level 1]:[Level 6]]),rng_EFConcat,rng_EF3)*Buildings_GridElectricity_Backend[[#This Row],[Converted data]]/1000)</f>
        <v/>
      </c>
      <c r="AI482" s="210" t="str">
        <f>IF(Buildings_GridElectricity_Frontend[[#This Row],[Data]]="","",_xlfn.XLOOKUP(_xlfn.CONCAT(Buildings_GridElectricity_Backend[[#This Row],[Level 1]:[Level 6]]),rng_EFConcat,rng_EF3WTT)*Buildings_GridElectricity_Backend[[#This Row],[Converted data]]/1000)</f>
        <v/>
      </c>
      <c r="AJ482" s="210" t="str">
        <f>IF(Buildings_GridElectricity_Frontend[[#This Row],[Data]]="","",_xlfn.XLOOKUP(_xlfn.CONCAT(Buildings_GridElectricity_Backend[[#This Row],[Level 1]:[Level 6]]),rng_EFConcat,rng_EF3TD)*Buildings_GridElectricity_Backend[[#This Row],[Converted data]]/1000)</f>
        <v/>
      </c>
      <c r="AK482" s="210" t="str">
        <f>IF(Buildings_GridElectricity_Frontend[[#This Row],[Data]]="","",_xlfn.XLOOKUP(_xlfn.CONCAT(Buildings_GridElectricity_Backend[[#This Row],[Level 1]:[Level 6]]),rng_EFConcat,rng_EF3WTTTD)*Buildings_GridElectricity_Backend[[#This Row],[Converted data]]/1000)</f>
        <v/>
      </c>
      <c r="AL482" s="220" t="str">
        <f>IF(Buildings_GridElectricity_Frontend[[#This Row],[Data]]="","",SUM(Buildings_GridElectricity_Backend[[#This Row],[Scope 1 (tCO2e)]:[Scope 3 WTT T&amp;D (tCO2e)]]))</f>
        <v/>
      </c>
      <c r="AM482" s="220" t="str">
        <f>IF(Buildings_GridElectricity_Frontend[[#This Row],[Data]]="","",Buildings_GridElectricity_Backend[[#This Row],[Total (tCO2e)]]*(1-Buildings_GridElectricity_Backend[[#This Row],[RSD]]))</f>
        <v/>
      </c>
      <c r="AN482" s="220" t="str">
        <f>IF(Buildings_GridElectricity_Frontend[[#This Row],[Data]]="","",Buildings_GridElectricity_Backend[[#This Row],[Total (tCO2e)]]*(1+Buildings_GridElectricity_Backend[[#This Row],[RSD]]))</f>
        <v/>
      </c>
      <c r="AO482" s="210" t="str">
        <f>IF(Buildings_GridElectricity_Frontend[[#This Row],[Data]]="","",_xlfn.XLOOKUP(_xlfn.CONCAT(Buildings_GridElectricity_Backend[[#This Row],[Level 1]:[Level 6]]),rng_EFConcat,rng_EFOOS)*Buildings_GridElectricity_Backend[[#This Row],[Converted data]]/1000)</f>
        <v/>
      </c>
      <c r="AP482" s="174">
        <f>Buildings_GridElectricity_Frontend[[#This Row],[Ease of collection]]</f>
        <v>0</v>
      </c>
      <c r="AQ482" s="213">
        <f>Buildings_GridElectricity_Frontend[[#This Row],[Completeness]]</f>
        <v>0</v>
      </c>
      <c r="AR482" s="220">
        <f>Buildings_GridElectricity_Frontend[[#This Row],[Notes]]</f>
        <v>0</v>
      </c>
    </row>
    <row r="483" spans="5:44" x14ac:dyDescent="0.3">
      <c r="E483" s="346"/>
      <c r="F483" s="449"/>
      <c r="G483" s="336"/>
      <c r="H483" s="334"/>
      <c r="I483" s="172" t="s">
        <v>316</v>
      </c>
      <c r="J483" s="337"/>
      <c r="K483" s="336"/>
      <c r="L483" s="336"/>
      <c r="M483" s="337"/>
      <c r="N483" s="242">
        <f t="shared" si="17"/>
        <v>3</v>
      </c>
      <c r="Q483" s="212" t="str">
        <f t="shared" si="16"/>
        <v/>
      </c>
      <c r="R483" s="174" t="s">
        <v>265</v>
      </c>
      <c r="S483" s="174" t="s">
        <v>273</v>
      </c>
      <c r="T483" s="174" t="str">
        <f>_xlfn.XLOOKUP(Buildings_GridElectricity_Backend[[#This Row],[Info 1]],Buildings_SiteInfo[Site name],Buildings_SiteInfo[Site type], "")</f>
        <v/>
      </c>
      <c r="U483" s="174" t="s">
        <v>281</v>
      </c>
      <c r="V483" s="174" t="str" cm="1">
        <f t="array" aca="1" ref="V483" ca="1">_xlfn.XLOOKUP(Buildings_GridElectricity_Backend[[#This Row],[Level 4]],rng_Level4Long,rng_Level5Long)</f>
        <v>Electricity</v>
      </c>
      <c r="W483" s="174" t="str" cm="1">
        <f t="array" aca="1" ref="W483" ca="1">_xlfn.XLOOKUP(Buildings_GridElectricity_Backend[[#This Row],[Level 4]],rng_Level4Long,rng_Level6Long)</f>
        <v>NaN</v>
      </c>
      <c r="X483" s="174">
        <f>Buildings_GridElectricity_Frontend[[#This Row],[Site Name]]</f>
        <v>0</v>
      </c>
      <c r="Y483" s="174">
        <f>Buildings_GridElectricity_Frontend[[#This Row],[Contracting]]</f>
        <v>0</v>
      </c>
      <c r="Z483" s="174">
        <f>Buildings_GridElectricity_Frontend[[#This Row],[Methodology]]</f>
        <v>0</v>
      </c>
      <c r="AA483" s="229" t="str" cm="1">
        <f t="array" ref="AA483">IF(Buildings_GridElectricity_Frontend[[#This Row],[Data]]="","",INDEX(_xlfn.SWITCH(Buildings_GridElectricity_Backend[[#This Row],[Methodology]],"Tier 1",rng_RSD1,"Tier 2",rng_RSD2,"Tier 3",rng_RSD3),MATCH(_xlfn.CONCAT(Buildings_GridElectricity_Backend[[#This Row],[Level 1]:[Level 6]]),rng_LevelsConcat,0)))</f>
        <v/>
      </c>
      <c r="AB483" s="220">
        <f>Buildings_GridElectricity_Frontend[[#This Row],[Data]]</f>
        <v>0</v>
      </c>
      <c r="AC483" s="174" t="str">
        <f>Buildings_GridElectricity_Frontend[[#This Row],[Units]]</f>
        <v>kWh</v>
      </c>
      <c r="AD483" s="218">
        <f>Buildings_GridElectricity_Frontend[[#This Row],[Data]]</f>
        <v>0</v>
      </c>
      <c r="AE483" s="174" t="str">
        <f>Buildings_GridElectricity_Frontend[[#This Row],[Units]]</f>
        <v>kWh</v>
      </c>
      <c r="AF483" s="210" t="str">
        <f>IF(Buildings_GridElectricity_Frontend[[#This Row],[Data]]="","",_xlfn.XLOOKUP(_xlfn.CONCAT(Buildings_GridElectricity_Backend[[#This Row],[Level 1]:[Level 6]]),rng_EFConcat,rng_EF1)*Buildings_GridElectricity_Backend[[#This Row],[Converted data]]/1000)</f>
        <v/>
      </c>
      <c r="AG483" s="210" t="str">
        <f>IF(Buildings_GridElectricity_Frontend[[#This Row],[Data]]="","",_xlfn.XLOOKUP(_xlfn.CONCAT(Buildings_GridElectricity_Backend[[#This Row],[Level 1]:[Level 6]]),rng_EFConcat,rng_EF2)*Buildings_GridElectricity_Backend[[#This Row],[Converted data]]/1000)</f>
        <v/>
      </c>
      <c r="AH483" s="210" t="str">
        <f>IF(Buildings_GridElectricity_Frontend[[#This Row],[Data]]="","",_xlfn.XLOOKUP(_xlfn.CONCAT(Buildings_GridElectricity_Backend[[#This Row],[Level 1]:[Level 6]]),rng_EFConcat,rng_EF3)*Buildings_GridElectricity_Backend[[#This Row],[Converted data]]/1000)</f>
        <v/>
      </c>
      <c r="AI483" s="210" t="str">
        <f>IF(Buildings_GridElectricity_Frontend[[#This Row],[Data]]="","",_xlfn.XLOOKUP(_xlfn.CONCAT(Buildings_GridElectricity_Backend[[#This Row],[Level 1]:[Level 6]]),rng_EFConcat,rng_EF3WTT)*Buildings_GridElectricity_Backend[[#This Row],[Converted data]]/1000)</f>
        <v/>
      </c>
      <c r="AJ483" s="210" t="str">
        <f>IF(Buildings_GridElectricity_Frontend[[#This Row],[Data]]="","",_xlfn.XLOOKUP(_xlfn.CONCAT(Buildings_GridElectricity_Backend[[#This Row],[Level 1]:[Level 6]]),rng_EFConcat,rng_EF3TD)*Buildings_GridElectricity_Backend[[#This Row],[Converted data]]/1000)</f>
        <v/>
      </c>
      <c r="AK483" s="210" t="str">
        <f>IF(Buildings_GridElectricity_Frontend[[#This Row],[Data]]="","",_xlfn.XLOOKUP(_xlfn.CONCAT(Buildings_GridElectricity_Backend[[#This Row],[Level 1]:[Level 6]]),rng_EFConcat,rng_EF3WTTTD)*Buildings_GridElectricity_Backend[[#This Row],[Converted data]]/1000)</f>
        <v/>
      </c>
      <c r="AL483" s="220" t="str">
        <f>IF(Buildings_GridElectricity_Frontend[[#This Row],[Data]]="","",SUM(Buildings_GridElectricity_Backend[[#This Row],[Scope 1 (tCO2e)]:[Scope 3 WTT T&amp;D (tCO2e)]]))</f>
        <v/>
      </c>
      <c r="AM483" s="220" t="str">
        <f>IF(Buildings_GridElectricity_Frontend[[#This Row],[Data]]="","",Buildings_GridElectricity_Backend[[#This Row],[Total (tCO2e)]]*(1-Buildings_GridElectricity_Backend[[#This Row],[RSD]]))</f>
        <v/>
      </c>
      <c r="AN483" s="220" t="str">
        <f>IF(Buildings_GridElectricity_Frontend[[#This Row],[Data]]="","",Buildings_GridElectricity_Backend[[#This Row],[Total (tCO2e)]]*(1+Buildings_GridElectricity_Backend[[#This Row],[RSD]]))</f>
        <v/>
      </c>
      <c r="AO483" s="210" t="str">
        <f>IF(Buildings_GridElectricity_Frontend[[#This Row],[Data]]="","",_xlfn.XLOOKUP(_xlfn.CONCAT(Buildings_GridElectricity_Backend[[#This Row],[Level 1]:[Level 6]]),rng_EFConcat,rng_EFOOS)*Buildings_GridElectricity_Backend[[#This Row],[Converted data]]/1000)</f>
        <v/>
      </c>
      <c r="AP483" s="174">
        <f>Buildings_GridElectricity_Frontend[[#This Row],[Ease of collection]]</f>
        <v>0</v>
      </c>
      <c r="AQ483" s="213">
        <f>Buildings_GridElectricity_Frontend[[#This Row],[Completeness]]</f>
        <v>0</v>
      </c>
      <c r="AR483" s="220">
        <f>Buildings_GridElectricity_Frontend[[#This Row],[Notes]]</f>
        <v>0</v>
      </c>
    </row>
    <row r="484" spans="5:44" x14ac:dyDescent="0.3">
      <c r="E484" s="346"/>
      <c r="F484" s="449"/>
      <c r="G484" s="336"/>
      <c r="H484" s="334"/>
      <c r="I484" s="172" t="s">
        <v>316</v>
      </c>
      <c r="J484" s="337"/>
      <c r="K484" s="336"/>
      <c r="L484" s="336"/>
      <c r="M484" s="337"/>
      <c r="N484" s="242">
        <f t="shared" si="17"/>
        <v>3</v>
      </c>
      <c r="Q484" s="212" t="str">
        <f t="shared" si="16"/>
        <v/>
      </c>
      <c r="R484" s="174" t="s">
        <v>265</v>
      </c>
      <c r="S484" s="174" t="s">
        <v>273</v>
      </c>
      <c r="T484" s="174" t="str">
        <f>_xlfn.XLOOKUP(Buildings_GridElectricity_Backend[[#This Row],[Info 1]],Buildings_SiteInfo[Site name],Buildings_SiteInfo[Site type], "")</f>
        <v/>
      </c>
      <c r="U484" s="174" t="s">
        <v>281</v>
      </c>
      <c r="V484" s="174" t="str" cm="1">
        <f t="array" aca="1" ref="V484" ca="1">_xlfn.XLOOKUP(Buildings_GridElectricity_Backend[[#This Row],[Level 4]],rng_Level4Long,rng_Level5Long)</f>
        <v>Electricity</v>
      </c>
      <c r="W484" s="174" t="str" cm="1">
        <f t="array" aca="1" ref="W484" ca="1">_xlfn.XLOOKUP(Buildings_GridElectricity_Backend[[#This Row],[Level 4]],rng_Level4Long,rng_Level6Long)</f>
        <v>NaN</v>
      </c>
      <c r="X484" s="174">
        <f>Buildings_GridElectricity_Frontend[[#This Row],[Site Name]]</f>
        <v>0</v>
      </c>
      <c r="Y484" s="174">
        <f>Buildings_GridElectricity_Frontend[[#This Row],[Contracting]]</f>
        <v>0</v>
      </c>
      <c r="Z484" s="174">
        <f>Buildings_GridElectricity_Frontend[[#This Row],[Methodology]]</f>
        <v>0</v>
      </c>
      <c r="AA484" s="229" t="str" cm="1">
        <f t="array" ref="AA484">IF(Buildings_GridElectricity_Frontend[[#This Row],[Data]]="","",INDEX(_xlfn.SWITCH(Buildings_GridElectricity_Backend[[#This Row],[Methodology]],"Tier 1",rng_RSD1,"Tier 2",rng_RSD2,"Tier 3",rng_RSD3),MATCH(_xlfn.CONCAT(Buildings_GridElectricity_Backend[[#This Row],[Level 1]:[Level 6]]),rng_LevelsConcat,0)))</f>
        <v/>
      </c>
      <c r="AB484" s="220">
        <f>Buildings_GridElectricity_Frontend[[#This Row],[Data]]</f>
        <v>0</v>
      </c>
      <c r="AC484" s="174" t="str">
        <f>Buildings_GridElectricity_Frontend[[#This Row],[Units]]</f>
        <v>kWh</v>
      </c>
      <c r="AD484" s="218">
        <f>Buildings_GridElectricity_Frontend[[#This Row],[Data]]</f>
        <v>0</v>
      </c>
      <c r="AE484" s="174" t="str">
        <f>Buildings_GridElectricity_Frontend[[#This Row],[Units]]</f>
        <v>kWh</v>
      </c>
      <c r="AF484" s="210" t="str">
        <f>IF(Buildings_GridElectricity_Frontend[[#This Row],[Data]]="","",_xlfn.XLOOKUP(_xlfn.CONCAT(Buildings_GridElectricity_Backend[[#This Row],[Level 1]:[Level 6]]),rng_EFConcat,rng_EF1)*Buildings_GridElectricity_Backend[[#This Row],[Converted data]]/1000)</f>
        <v/>
      </c>
      <c r="AG484" s="210" t="str">
        <f>IF(Buildings_GridElectricity_Frontend[[#This Row],[Data]]="","",_xlfn.XLOOKUP(_xlfn.CONCAT(Buildings_GridElectricity_Backend[[#This Row],[Level 1]:[Level 6]]),rng_EFConcat,rng_EF2)*Buildings_GridElectricity_Backend[[#This Row],[Converted data]]/1000)</f>
        <v/>
      </c>
      <c r="AH484" s="210" t="str">
        <f>IF(Buildings_GridElectricity_Frontend[[#This Row],[Data]]="","",_xlfn.XLOOKUP(_xlfn.CONCAT(Buildings_GridElectricity_Backend[[#This Row],[Level 1]:[Level 6]]),rng_EFConcat,rng_EF3)*Buildings_GridElectricity_Backend[[#This Row],[Converted data]]/1000)</f>
        <v/>
      </c>
      <c r="AI484" s="210" t="str">
        <f>IF(Buildings_GridElectricity_Frontend[[#This Row],[Data]]="","",_xlfn.XLOOKUP(_xlfn.CONCAT(Buildings_GridElectricity_Backend[[#This Row],[Level 1]:[Level 6]]),rng_EFConcat,rng_EF3WTT)*Buildings_GridElectricity_Backend[[#This Row],[Converted data]]/1000)</f>
        <v/>
      </c>
      <c r="AJ484" s="210" t="str">
        <f>IF(Buildings_GridElectricity_Frontend[[#This Row],[Data]]="","",_xlfn.XLOOKUP(_xlfn.CONCAT(Buildings_GridElectricity_Backend[[#This Row],[Level 1]:[Level 6]]),rng_EFConcat,rng_EF3TD)*Buildings_GridElectricity_Backend[[#This Row],[Converted data]]/1000)</f>
        <v/>
      </c>
      <c r="AK484" s="210" t="str">
        <f>IF(Buildings_GridElectricity_Frontend[[#This Row],[Data]]="","",_xlfn.XLOOKUP(_xlfn.CONCAT(Buildings_GridElectricity_Backend[[#This Row],[Level 1]:[Level 6]]),rng_EFConcat,rng_EF3WTTTD)*Buildings_GridElectricity_Backend[[#This Row],[Converted data]]/1000)</f>
        <v/>
      </c>
      <c r="AL484" s="220" t="str">
        <f>IF(Buildings_GridElectricity_Frontend[[#This Row],[Data]]="","",SUM(Buildings_GridElectricity_Backend[[#This Row],[Scope 1 (tCO2e)]:[Scope 3 WTT T&amp;D (tCO2e)]]))</f>
        <v/>
      </c>
      <c r="AM484" s="220" t="str">
        <f>IF(Buildings_GridElectricity_Frontend[[#This Row],[Data]]="","",Buildings_GridElectricity_Backend[[#This Row],[Total (tCO2e)]]*(1-Buildings_GridElectricity_Backend[[#This Row],[RSD]]))</f>
        <v/>
      </c>
      <c r="AN484" s="220" t="str">
        <f>IF(Buildings_GridElectricity_Frontend[[#This Row],[Data]]="","",Buildings_GridElectricity_Backend[[#This Row],[Total (tCO2e)]]*(1+Buildings_GridElectricity_Backend[[#This Row],[RSD]]))</f>
        <v/>
      </c>
      <c r="AO484" s="210" t="str">
        <f>IF(Buildings_GridElectricity_Frontend[[#This Row],[Data]]="","",_xlfn.XLOOKUP(_xlfn.CONCAT(Buildings_GridElectricity_Backend[[#This Row],[Level 1]:[Level 6]]),rng_EFConcat,rng_EFOOS)*Buildings_GridElectricity_Backend[[#This Row],[Converted data]]/1000)</f>
        <v/>
      </c>
      <c r="AP484" s="174">
        <f>Buildings_GridElectricity_Frontend[[#This Row],[Ease of collection]]</f>
        <v>0</v>
      </c>
      <c r="AQ484" s="213">
        <f>Buildings_GridElectricity_Frontend[[#This Row],[Completeness]]</f>
        <v>0</v>
      </c>
      <c r="AR484" s="220">
        <f>Buildings_GridElectricity_Frontend[[#This Row],[Notes]]</f>
        <v>0</v>
      </c>
    </row>
    <row r="485" spans="5:44" x14ac:dyDescent="0.3">
      <c r="E485" s="346"/>
      <c r="F485" s="449"/>
      <c r="G485" s="336"/>
      <c r="H485" s="334"/>
      <c r="I485" s="172" t="s">
        <v>316</v>
      </c>
      <c r="J485" s="337"/>
      <c r="K485" s="336"/>
      <c r="L485" s="336"/>
      <c r="M485" s="337"/>
      <c r="N485" s="242">
        <f t="shared" si="17"/>
        <v>3</v>
      </c>
      <c r="Q485" s="212" t="str">
        <f t="shared" si="16"/>
        <v/>
      </c>
      <c r="R485" s="174" t="s">
        <v>265</v>
      </c>
      <c r="S485" s="174" t="s">
        <v>273</v>
      </c>
      <c r="T485" s="174" t="str">
        <f>_xlfn.XLOOKUP(Buildings_GridElectricity_Backend[[#This Row],[Info 1]],Buildings_SiteInfo[Site name],Buildings_SiteInfo[Site type], "")</f>
        <v/>
      </c>
      <c r="U485" s="174" t="s">
        <v>281</v>
      </c>
      <c r="V485" s="174" t="str" cm="1">
        <f t="array" aca="1" ref="V485" ca="1">_xlfn.XLOOKUP(Buildings_GridElectricity_Backend[[#This Row],[Level 4]],rng_Level4Long,rng_Level5Long)</f>
        <v>Electricity</v>
      </c>
      <c r="W485" s="174" t="str" cm="1">
        <f t="array" aca="1" ref="W485" ca="1">_xlfn.XLOOKUP(Buildings_GridElectricity_Backend[[#This Row],[Level 4]],rng_Level4Long,rng_Level6Long)</f>
        <v>NaN</v>
      </c>
      <c r="X485" s="174">
        <f>Buildings_GridElectricity_Frontend[[#This Row],[Site Name]]</f>
        <v>0</v>
      </c>
      <c r="Y485" s="174">
        <f>Buildings_GridElectricity_Frontend[[#This Row],[Contracting]]</f>
        <v>0</v>
      </c>
      <c r="Z485" s="174">
        <f>Buildings_GridElectricity_Frontend[[#This Row],[Methodology]]</f>
        <v>0</v>
      </c>
      <c r="AA485" s="229" t="str" cm="1">
        <f t="array" ref="AA485">IF(Buildings_GridElectricity_Frontend[[#This Row],[Data]]="","",INDEX(_xlfn.SWITCH(Buildings_GridElectricity_Backend[[#This Row],[Methodology]],"Tier 1",rng_RSD1,"Tier 2",rng_RSD2,"Tier 3",rng_RSD3),MATCH(_xlfn.CONCAT(Buildings_GridElectricity_Backend[[#This Row],[Level 1]:[Level 6]]),rng_LevelsConcat,0)))</f>
        <v/>
      </c>
      <c r="AB485" s="220">
        <f>Buildings_GridElectricity_Frontend[[#This Row],[Data]]</f>
        <v>0</v>
      </c>
      <c r="AC485" s="174" t="str">
        <f>Buildings_GridElectricity_Frontend[[#This Row],[Units]]</f>
        <v>kWh</v>
      </c>
      <c r="AD485" s="218">
        <f>Buildings_GridElectricity_Frontend[[#This Row],[Data]]</f>
        <v>0</v>
      </c>
      <c r="AE485" s="174" t="str">
        <f>Buildings_GridElectricity_Frontend[[#This Row],[Units]]</f>
        <v>kWh</v>
      </c>
      <c r="AF485" s="210" t="str">
        <f>IF(Buildings_GridElectricity_Frontend[[#This Row],[Data]]="","",_xlfn.XLOOKUP(_xlfn.CONCAT(Buildings_GridElectricity_Backend[[#This Row],[Level 1]:[Level 6]]),rng_EFConcat,rng_EF1)*Buildings_GridElectricity_Backend[[#This Row],[Converted data]]/1000)</f>
        <v/>
      </c>
      <c r="AG485" s="210" t="str">
        <f>IF(Buildings_GridElectricity_Frontend[[#This Row],[Data]]="","",_xlfn.XLOOKUP(_xlfn.CONCAT(Buildings_GridElectricity_Backend[[#This Row],[Level 1]:[Level 6]]),rng_EFConcat,rng_EF2)*Buildings_GridElectricity_Backend[[#This Row],[Converted data]]/1000)</f>
        <v/>
      </c>
      <c r="AH485" s="210" t="str">
        <f>IF(Buildings_GridElectricity_Frontend[[#This Row],[Data]]="","",_xlfn.XLOOKUP(_xlfn.CONCAT(Buildings_GridElectricity_Backend[[#This Row],[Level 1]:[Level 6]]),rng_EFConcat,rng_EF3)*Buildings_GridElectricity_Backend[[#This Row],[Converted data]]/1000)</f>
        <v/>
      </c>
      <c r="AI485" s="210" t="str">
        <f>IF(Buildings_GridElectricity_Frontend[[#This Row],[Data]]="","",_xlfn.XLOOKUP(_xlfn.CONCAT(Buildings_GridElectricity_Backend[[#This Row],[Level 1]:[Level 6]]),rng_EFConcat,rng_EF3WTT)*Buildings_GridElectricity_Backend[[#This Row],[Converted data]]/1000)</f>
        <v/>
      </c>
      <c r="AJ485" s="210" t="str">
        <f>IF(Buildings_GridElectricity_Frontend[[#This Row],[Data]]="","",_xlfn.XLOOKUP(_xlfn.CONCAT(Buildings_GridElectricity_Backend[[#This Row],[Level 1]:[Level 6]]),rng_EFConcat,rng_EF3TD)*Buildings_GridElectricity_Backend[[#This Row],[Converted data]]/1000)</f>
        <v/>
      </c>
      <c r="AK485" s="210" t="str">
        <f>IF(Buildings_GridElectricity_Frontend[[#This Row],[Data]]="","",_xlfn.XLOOKUP(_xlfn.CONCAT(Buildings_GridElectricity_Backend[[#This Row],[Level 1]:[Level 6]]),rng_EFConcat,rng_EF3WTTTD)*Buildings_GridElectricity_Backend[[#This Row],[Converted data]]/1000)</f>
        <v/>
      </c>
      <c r="AL485" s="220" t="str">
        <f>IF(Buildings_GridElectricity_Frontend[[#This Row],[Data]]="","",SUM(Buildings_GridElectricity_Backend[[#This Row],[Scope 1 (tCO2e)]:[Scope 3 WTT T&amp;D (tCO2e)]]))</f>
        <v/>
      </c>
      <c r="AM485" s="220" t="str">
        <f>IF(Buildings_GridElectricity_Frontend[[#This Row],[Data]]="","",Buildings_GridElectricity_Backend[[#This Row],[Total (tCO2e)]]*(1-Buildings_GridElectricity_Backend[[#This Row],[RSD]]))</f>
        <v/>
      </c>
      <c r="AN485" s="220" t="str">
        <f>IF(Buildings_GridElectricity_Frontend[[#This Row],[Data]]="","",Buildings_GridElectricity_Backend[[#This Row],[Total (tCO2e)]]*(1+Buildings_GridElectricity_Backend[[#This Row],[RSD]]))</f>
        <v/>
      </c>
      <c r="AO485" s="210" t="str">
        <f>IF(Buildings_GridElectricity_Frontend[[#This Row],[Data]]="","",_xlfn.XLOOKUP(_xlfn.CONCAT(Buildings_GridElectricity_Backend[[#This Row],[Level 1]:[Level 6]]),rng_EFConcat,rng_EFOOS)*Buildings_GridElectricity_Backend[[#This Row],[Converted data]]/1000)</f>
        <v/>
      </c>
      <c r="AP485" s="174">
        <f>Buildings_GridElectricity_Frontend[[#This Row],[Ease of collection]]</f>
        <v>0</v>
      </c>
      <c r="AQ485" s="213">
        <f>Buildings_GridElectricity_Frontend[[#This Row],[Completeness]]</f>
        <v>0</v>
      </c>
      <c r="AR485" s="220">
        <f>Buildings_GridElectricity_Frontend[[#This Row],[Notes]]</f>
        <v>0</v>
      </c>
    </row>
    <row r="486" spans="5:44" x14ac:dyDescent="0.3">
      <c r="E486" s="346"/>
      <c r="F486" s="449"/>
      <c r="G486" s="336"/>
      <c r="H486" s="334"/>
      <c r="I486" s="172" t="s">
        <v>316</v>
      </c>
      <c r="J486" s="337"/>
      <c r="K486" s="336"/>
      <c r="L486" s="336"/>
      <c r="M486" s="337"/>
      <c r="N486" s="242">
        <f t="shared" si="17"/>
        <v>3</v>
      </c>
      <c r="Q486" s="212" t="str">
        <f t="shared" si="16"/>
        <v/>
      </c>
      <c r="R486" s="174" t="s">
        <v>265</v>
      </c>
      <c r="S486" s="174" t="s">
        <v>273</v>
      </c>
      <c r="T486" s="174" t="str">
        <f>_xlfn.XLOOKUP(Buildings_GridElectricity_Backend[[#This Row],[Info 1]],Buildings_SiteInfo[Site name],Buildings_SiteInfo[Site type], "")</f>
        <v/>
      </c>
      <c r="U486" s="174" t="s">
        <v>281</v>
      </c>
      <c r="V486" s="174" t="str" cm="1">
        <f t="array" aca="1" ref="V486" ca="1">_xlfn.XLOOKUP(Buildings_GridElectricity_Backend[[#This Row],[Level 4]],rng_Level4Long,rng_Level5Long)</f>
        <v>Electricity</v>
      </c>
      <c r="W486" s="174" t="str" cm="1">
        <f t="array" aca="1" ref="W486" ca="1">_xlfn.XLOOKUP(Buildings_GridElectricity_Backend[[#This Row],[Level 4]],rng_Level4Long,rng_Level6Long)</f>
        <v>NaN</v>
      </c>
      <c r="X486" s="174">
        <f>Buildings_GridElectricity_Frontend[[#This Row],[Site Name]]</f>
        <v>0</v>
      </c>
      <c r="Y486" s="174">
        <f>Buildings_GridElectricity_Frontend[[#This Row],[Contracting]]</f>
        <v>0</v>
      </c>
      <c r="Z486" s="174">
        <f>Buildings_GridElectricity_Frontend[[#This Row],[Methodology]]</f>
        <v>0</v>
      </c>
      <c r="AA486" s="229" t="str" cm="1">
        <f t="array" ref="AA486">IF(Buildings_GridElectricity_Frontend[[#This Row],[Data]]="","",INDEX(_xlfn.SWITCH(Buildings_GridElectricity_Backend[[#This Row],[Methodology]],"Tier 1",rng_RSD1,"Tier 2",rng_RSD2,"Tier 3",rng_RSD3),MATCH(_xlfn.CONCAT(Buildings_GridElectricity_Backend[[#This Row],[Level 1]:[Level 6]]),rng_LevelsConcat,0)))</f>
        <v/>
      </c>
      <c r="AB486" s="220">
        <f>Buildings_GridElectricity_Frontend[[#This Row],[Data]]</f>
        <v>0</v>
      </c>
      <c r="AC486" s="174" t="str">
        <f>Buildings_GridElectricity_Frontend[[#This Row],[Units]]</f>
        <v>kWh</v>
      </c>
      <c r="AD486" s="218">
        <f>Buildings_GridElectricity_Frontend[[#This Row],[Data]]</f>
        <v>0</v>
      </c>
      <c r="AE486" s="174" t="str">
        <f>Buildings_GridElectricity_Frontend[[#This Row],[Units]]</f>
        <v>kWh</v>
      </c>
      <c r="AF486" s="210" t="str">
        <f>IF(Buildings_GridElectricity_Frontend[[#This Row],[Data]]="","",_xlfn.XLOOKUP(_xlfn.CONCAT(Buildings_GridElectricity_Backend[[#This Row],[Level 1]:[Level 6]]),rng_EFConcat,rng_EF1)*Buildings_GridElectricity_Backend[[#This Row],[Converted data]]/1000)</f>
        <v/>
      </c>
      <c r="AG486" s="210" t="str">
        <f>IF(Buildings_GridElectricity_Frontend[[#This Row],[Data]]="","",_xlfn.XLOOKUP(_xlfn.CONCAT(Buildings_GridElectricity_Backend[[#This Row],[Level 1]:[Level 6]]),rng_EFConcat,rng_EF2)*Buildings_GridElectricity_Backend[[#This Row],[Converted data]]/1000)</f>
        <v/>
      </c>
      <c r="AH486" s="210" t="str">
        <f>IF(Buildings_GridElectricity_Frontend[[#This Row],[Data]]="","",_xlfn.XLOOKUP(_xlfn.CONCAT(Buildings_GridElectricity_Backend[[#This Row],[Level 1]:[Level 6]]),rng_EFConcat,rng_EF3)*Buildings_GridElectricity_Backend[[#This Row],[Converted data]]/1000)</f>
        <v/>
      </c>
      <c r="AI486" s="210" t="str">
        <f>IF(Buildings_GridElectricity_Frontend[[#This Row],[Data]]="","",_xlfn.XLOOKUP(_xlfn.CONCAT(Buildings_GridElectricity_Backend[[#This Row],[Level 1]:[Level 6]]),rng_EFConcat,rng_EF3WTT)*Buildings_GridElectricity_Backend[[#This Row],[Converted data]]/1000)</f>
        <v/>
      </c>
      <c r="AJ486" s="210" t="str">
        <f>IF(Buildings_GridElectricity_Frontend[[#This Row],[Data]]="","",_xlfn.XLOOKUP(_xlfn.CONCAT(Buildings_GridElectricity_Backend[[#This Row],[Level 1]:[Level 6]]),rng_EFConcat,rng_EF3TD)*Buildings_GridElectricity_Backend[[#This Row],[Converted data]]/1000)</f>
        <v/>
      </c>
      <c r="AK486" s="210" t="str">
        <f>IF(Buildings_GridElectricity_Frontend[[#This Row],[Data]]="","",_xlfn.XLOOKUP(_xlfn.CONCAT(Buildings_GridElectricity_Backend[[#This Row],[Level 1]:[Level 6]]),rng_EFConcat,rng_EF3WTTTD)*Buildings_GridElectricity_Backend[[#This Row],[Converted data]]/1000)</f>
        <v/>
      </c>
      <c r="AL486" s="220" t="str">
        <f>IF(Buildings_GridElectricity_Frontend[[#This Row],[Data]]="","",SUM(Buildings_GridElectricity_Backend[[#This Row],[Scope 1 (tCO2e)]:[Scope 3 WTT T&amp;D (tCO2e)]]))</f>
        <v/>
      </c>
      <c r="AM486" s="220" t="str">
        <f>IF(Buildings_GridElectricity_Frontend[[#This Row],[Data]]="","",Buildings_GridElectricity_Backend[[#This Row],[Total (tCO2e)]]*(1-Buildings_GridElectricity_Backend[[#This Row],[RSD]]))</f>
        <v/>
      </c>
      <c r="AN486" s="220" t="str">
        <f>IF(Buildings_GridElectricity_Frontend[[#This Row],[Data]]="","",Buildings_GridElectricity_Backend[[#This Row],[Total (tCO2e)]]*(1+Buildings_GridElectricity_Backend[[#This Row],[RSD]]))</f>
        <v/>
      </c>
      <c r="AO486" s="210" t="str">
        <f>IF(Buildings_GridElectricity_Frontend[[#This Row],[Data]]="","",_xlfn.XLOOKUP(_xlfn.CONCAT(Buildings_GridElectricity_Backend[[#This Row],[Level 1]:[Level 6]]),rng_EFConcat,rng_EFOOS)*Buildings_GridElectricity_Backend[[#This Row],[Converted data]]/1000)</f>
        <v/>
      </c>
      <c r="AP486" s="174">
        <f>Buildings_GridElectricity_Frontend[[#This Row],[Ease of collection]]</f>
        <v>0</v>
      </c>
      <c r="AQ486" s="213">
        <f>Buildings_GridElectricity_Frontend[[#This Row],[Completeness]]</f>
        <v>0</v>
      </c>
      <c r="AR486" s="220">
        <f>Buildings_GridElectricity_Frontend[[#This Row],[Notes]]</f>
        <v>0</v>
      </c>
    </row>
    <row r="487" spans="5:44" x14ac:dyDescent="0.3">
      <c r="E487" s="346"/>
      <c r="F487" s="449"/>
      <c r="G487" s="336"/>
      <c r="H487" s="334"/>
      <c r="I487" s="172" t="s">
        <v>316</v>
      </c>
      <c r="J487" s="337"/>
      <c r="K487" s="336"/>
      <c r="L487" s="336"/>
      <c r="M487" s="337"/>
      <c r="N487" s="242">
        <f t="shared" si="17"/>
        <v>3</v>
      </c>
      <c r="Q487" s="212" t="str">
        <f t="shared" si="16"/>
        <v/>
      </c>
      <c r="R487" s="174" t="s">
        <v>265</v>
      </c>
      <c r="S487" s="174" t="s">
        <v>273</v>
      </c>
      <c r="T487" s="174" t="str">
        <f>_xlfn.XLOOKUP(Buildings_GridElectricity_Backend[[#This Row],[Info 1]],Buildings_SiteInfo[Site name],Buildings_SiteInfo[Site type], "")</f>
        <v/>
      </c>
      <c r="U487" s="174" t="s">
        <v>281</v>
      </c>
      <c r="V487" s="174" t="str" cm="1">
        <f t="array" aca="1" ref="V487" ca="1">_xlfn.XLOOKUP(Buildings_GridElectricity_Backend[[#This Row],[Level 4]],rng_Level4Long,rng_Level5Long)</f>
        <v>Electricity</v>
      </c>
      <c r="W487" s="174" t="str" cm="1">
        <f t="array" aca="1" ref="W487" ca="1">_xlfn.XLOOKUP(Buildings_GridElectricity_Backend[[#This Row],[Level 4]],rng_Level4Long,rng_Level6Long)</f>
        <v>NaN</v>
      </c>
      <c r="X487" s="174">
        <f>Buildings_GridElectricity_Frontend[[#This Row],[Site Name]]</f>
        <v>0</v>
      </c>
      <c r="Y487" s="174">
        <f>Buildings_GridElectricity_Frontend[[#This Row],[Contracting]]</f>
        <v>0</v>
      </c>
      <c r="Z487" s="174">
        <f>Buildings_GridElectricity_Frontend[[#This Row],[Methodology]]</f>
        <v>0</v>
      </c>
      <c r="AA487" s="229" t="str" cm="1">
        <f t="array" ref="AA487">IF(Buildings_GridElectricity_Frontend[[#This Row],[Data]]="","",INDEX(_xlfn.SWITCH(Buildings_GridElectricity_Backend[[#This Row],[Methodology]],"Tier 1",rng_RSD1,"Tier 2",rng_RSD2,"Tier 3",rng_RSD3),MATCH(_xlfn.CONCAT(Buildings_GridElectricity_Backend[[#This Row],[Level 1]:[Level 6]]),rng_LevelsConcat,0)))</f>
        <v/>
      </c>
      <c r="AB487" s="220">
        <f>Buildings_GridElectricity_Frontend[[#This Row],[Data]]</f>
        <v>0</v>
      </c>
      <c r="AC487" s="174" t="str">
        <f>Buildings_GridElectricity_Frontend[[#This Row],[Units]]</f>
        <v>kWh</v>
      </c>
      <c r="AD487" s="218">
        <f>Buildings_GridElectricity_Frontend[[#This Row],[Data]]</f>
        <v>0</v>
      </c>
      <c r="AE487" s="174" t="str">
        <f>Buildings_GridElectricity_Frontend[[#This Row],[Units]]</f>
        <v>kWh</v>
      </c>
      <c r="AF487" s="210" t="str">
        <f>IF(Buildings_GridElectricity_Frontend[[#This Row],[Data]]="","",_xlfn.XLOOKUP(_xlfn.CONCAT(Buildings_GridElectricity_Backend[[#This Row],[Level 1]:[Level 6]]),rng_EFConcat,rng_EF1)*Buildings_GridElectricity_Backend[[#This Row],[Converted data]]/1000)</f>
        <v/>
      </c>
      <c r="AG487" s="210" t="str">
        <f>IF(Buildings_GridElectricity_Frontend[[#This Row],[Data]]="","",_xlfn.XLOOKUP(_xlfn.CONCAT(Buildings_GridElectricity_Backend[[#This Row],[Level 1]:[Level 6]]),rng_EFConcat,rng_EF2)*Buildings_GridElectricity_Backend[[#This Row],[Converted data]]/1000)</f>
        <v/>
      </c>
      <c r="AH487" s="210" t="str">
        <f>IF(Buildings_GridElectricity_Frontend[[#This Row],[Data]]="","",_xlfn.XLOOKUP(_xlfn.CONCAT(Buildings_GridElectricity_Backend[[#This Row],[Level 1]:[Level 6]]),rng_EFConcat,rng_EF3)*Buildings_GridElectricity_Backend[[#This Row],[Converted data]]/1000)</f>
        <v/>
      </c>
      <c r="AI487" s="210" t="str">
        <f>IF(Buildings_GridElectricity_Frontend[[#This Row],[Data]]="","",_xlfn.XLOOKUP(_xlfn.CONCAT(Buildings_GridElectricity_Backend[[#This Row],[Level 1]:[Level 6]]),rng_EFConcat,rng_EF3WTT)*Buildings_GridElectricity_Backend[[#This Row],[Converted data]]/1000)</f>
        <v/>
      </c>
      <c r="AJ487" s="210" t="str">
        <f>IF(Buildings_GridElectricity_Frontend[[#This Row],[Data]]="","",_xlfn.XLOOKUP(_xlfn.CONCAT(Buildings_GridElectricity_Backend[[#This Row],[Level 1]:[Level 6]]),rng_EFConcat,rng_EF3TD)*Buildings_GridElectricity_Backend[[#This Row],[Converted data]]/1000)</f>
        <v/>
      </c>
      <c r="AK487" s="210" t="str">
        <f>IF(Buildings_GridElectricity_Frontend[[#This Row],[Data]]="","",_xlfn.XLOOKUP(_xlfn.CONCAT(Buildings_GridElectricity_Backend[[#This Row],[Level 1]:[Level 6]]),rng_EFConcat,rng_EF3WTTTD)*Buildings_GridElectricity_Backend[[#This Row],[Converted data]]/1000)</f>
        <v/>
      </c>
      <c r="AL487" s="220" t="str">
        <f>IF(Buildings_GridElectricity_Frontend[[#This Row],[Data]]="","",SUM(Buildings_GridElectricity_Backend[[#This Row],[Scope 1 (tCO2e)]:[Scope 3 WTT T&amp;D (tCO2e)]]))</f>
        <v/>
      </c>
      <c r="AM487" s="220" t="str">
        <f>IF(Buildings_GridElectricity_Frontend[[#This Row],[Data]]="","",Buildings_GridElectricity_Backend[[#This Row],[Total (tCO2e)]]*(1-Buildings_GridElectricity_Backend[[#This Row],[RSD]]))</f>
        <v/>
      </c>
      <c r="AN487" s="220" t="str">
        <f>IF(Buildings_GridElectricity_Frontend[[#This Row],[Data]]="","",Buildings_GridElectricity_Backend[[#This Row],[Total (tCO2e)]]*(1+Buildings_GridElectricity_Backend[[#This Row],[RSD]]))</f>
        <v/>
      </c>
      <c r="AO487" s="210" t="str">
        <f>IF(Buildings_GridElectricity_Frontend[[#This Row],[Data]]="","",_xlfn.XLOOKUP(_xlfn.CONCAT(Buildings_GridElectricity_Backend[[#This Row],[Level 1]:[Level 6]]),rng_EFConcat,rng_EFOOS)*Buildings_GridElectricity_Backend[[#This Row],[Converted data]]/1000)</f>
        <v/>
      </c>
      <c r="AP487" s="174">
        <f>Buildings_GridElectricity_Frontend[[#This Row],[Ease of collection]]</f>
        <v>0</v>
      </c>
      <c r="AQ487" s="213">
        <f>Buildings_GridElectricity_Frontend[[#This Row],[Completeness]]</f>
        <v>0</v>
      </c>
      <c r="AR487" s="220">
        <f>Buildings_GridElectricity_Frontend[[#This Row],[Notes]]</f>
        <v>0</v>
      </c>
    </row>
    <row r="488" spans="5:44" x14ac:dyDescent="0.3">
      <c r="E488" s="346"/>
      <c r="F488" s="449"/>
      <c r="G488" s="336"/>
      <c r="H488" s="334"/>
      <c r="I488" s="172" t="s">
        <v>316</v>
      </c>
      <c r="J488" s="337"/>
      <c r="K488" s="336"/>
      <c r="L488" s="336"/>
      <c r="M488" s="337"/>
      <c r="N488" s="242">
        <f t="shared" si="17"/>
        <v>3</v>
      </c>
      <c r="Q488" s="212" t="str">
        <f t="shared" si="16"/>
        <v/>
      </c>
      <c r="R488" s="174" t="s">
        <v>265</v>
      </c>
      <c r="S488" s="174" t="s">
        <v>273</v>
      </c>
      <c r="T488" s="174" t="str">
        <f>_xlfn.XLOOKUP(Buildings_GridElectricity_Backend[[#This Row],[Info 1]],Buildings_SiteInfo[Site name],Buildings_SiteInfo[Site type], "")</f>
        <v/>
      </c>
      <c r="U488" s="174" t="s">
        <v>281</v>
      </c>
      <c r="V488" s="174" t="str" cm="1">
        <f t="array" aca="1" ref="V488" ca="1">_xlfn.XLOOKUP(Buildings_GridElectricity_Backend[[#This Row],[Level 4]],rng_Level4Long,rng_Level5Long)</f>
        <v>Electricity</v>
      </c>
      <c r="W488" s="174" t="str" cm="1">
        <f t="array" aca="1" ref="W488" ca="1">_xlfn.XLOOKUP(Buildings_GridElectricity_Backend[[#This Row],[Level 4]],rng_Level4Long,rng_Level6Long)</f>
        <v>NaN</v>
      </c>
      <c r="X488" s="174">
        <f>Buildings_GridElectricity_Frontend[[#This Row],[Site Name]]</f>
        <v>0</v>
      </c>
      <c r="Y488" s="174">
        <f>Buildings_GridElectricity_Frontend[[#This Row],[Contracting]]</f>
        <v>0</v>
      </c>
      <c r="Z488" s="174">
        <f>Buildings_GridElectricity_Frontend[[#This Row],[Methodology]]</f>
        <v>0</v>
      </c>
      <c r="AA488" s="229" t="str" cm="1">
        <f t="array" ref="AA488">IF(Buildings_GridElectricity_Frontend[[#This Row],[Data]]="","",INDEX(_xlfn.SWITCH(Buildings_GridElectricity_Backend[[#This Row],[Methodology]],"Tier 1",rng_RSD1,"Tier 2",rng_RSD2,"Tier 3",rng_RSD3),MATCH(_xlfn.CONCAT(Buildings_GridElectricity_Backend[[#This Row],[Level 1]:[Level 6]]),rng_LevelsConcat,0)))</f>
        <v/>
      </c>
      <c r="AB488" s="220">
        <f>Buildings_GridElectricity_Frontend[[#This Row],[Data]]</f>
        <v>0</v>
      </c>
      <c r="AC488" s="174" t="str">
        <f>Buildings_GridElectricity_Frontend[[#This Row],[Units]]</f>
        <v>kWh</v>
      </c>
      <c r="AD488" s="218">
        <f>Buildings_GridElectricity_Frontend[[#This Row],[Data]]</f>
        <v>0</v>
      </c>
      <c r="AE488" s="174" t="str">
        <f>Buildings_GridElectricity_Frontend[[#This Row],[Units]]</f>
        <v>kWh</v>
      </c>
      <c r="AF488" s="210" t="str">
        <f>IF(Buildings_GridElectricity_Frontend[[#This Row],[Data]]="","",_xlfn.XLOOKUP(_xlfn.CONCAT(Buildings_GridElectricity_Backend[[#This Row],[Level 1]:[Level 6]]),rng_EFConcat,rng_EF1)*Buildings_GridElectricity_Backend[[#This Row],[Converted data]]/1000)</f>
        <v/>
      </c>
      <c r="AG488" s="210" t="str">
        <f>IF(Buildings_GridElectricity_Frontend[[#This Row],[Data]]="","",_xlfn.XLOOKUP(_xlfn.CONCAT(Buildings_GridElectricity_Backend[[#This Row],[Level 1]:[Level 6]]),rng_EFConcat,rng_EF2)*Buildings_GridElectricity_Backend[[#This Row],[Converted data]]/1000)</f>
        <v/>
      </c>
      <c r="AH488" s="210" t="str">
        <f>IF(Buildings_GridElectricity_Frontend[[#This Row],[Data]]="","",_xlfn.XLOOKUP(_xlfn.CONCAT(Buildings_GridElectricity_Backend[[#This Row],[Level 1]:[Level 6]]),rng_EFConcat,rng_EF3)*Buildings_GridElectricity_Backend[[#This Row],[Converted data]]/1000)</f>
        <v/>
      </c>
      <c r="AI488" s="210" t="str">
        <f>IF(Buildings_GridElectricity_Frontend[[#This Row],[Data]]="","",_xlfn.XLOOKUP(_xlfn.CONCAT(Buildings_GridElectricity_Backend[[#This Row],[Level 1]:[Level 6]]),rng_EFConcat,rng_EF3WTT)*Buildings_GridElectricity_Backend[[#This Row],[Converted data]]/1000)</f>
        <v/>
      </c>
      <c r="AJ488" s="210" t="str">
        <f>IF(Buildings_GridElectricity_Frontend[[#This Row],[Data]]="","",_xlfn.XLOOKUP(_xlfn.CONCAT(Buildings_GridElectricity_Backend[[#This Row],[Level 1]:[Level 6]]),rng_EFConcat,rng_EF3TD)*Buildings_GridElectricity_Backend[[#This Row],[Converted data]]/1000)</f>
        <v/>
      </c>
      <c r="AK488" s="210" t="str">
        <f>IF(Buildings_GridElectricity_Frontend[[#This Row],[Data]]="","",_xlfn.XLOOKUP(_xlfn.CONCAT(Buildings_GridElectricity_Backend[[#This Row],[Level 1]:[Level 6]]),rng_EFConcat,rng_EF3WTTTD)*Buildings_GridElectricity_Backend[[#This Row],[Converted data]]/1000)</f>
        <v/>
      </c>
      <c r="AL488" s="220" t="str">
        <f>IF(Buildings_GridElectricity_Frontend[[#This Row],[Data]]="","",SUM(Buildings_GridElectricity_Backend[[#This Row],[Scope 1 (tCO2e)]:[Scope 3 WTT T&amp;D (tCO2e)]]))</f>
        <v/>
      </c>
      <c r="AM488" s="220" t="str">
        <f>IF(Buildings_GridElectricity_Frontend[[#This Row],[Data]]="","",Buildings_GridElectricity_Backend[[#This Row],[Total (tCO2e)]]*(1-Buildings_GridElectricity_Backend[[#This Row],[RSD]]))</f>
        <v/>
      </c>
      <c r="AN488" s="220" t="str">
        <f>IF(Buildings_GridElectricity_Frontend[[#This Row],[Data]]="","",Buildings_GridElectricity_Backend[[#This Row],[Total (tCO2e)]]*(1+Buildings_GridElectricity_Backend[[#This Row],[RSD]]))</f>
        <v/>
      </c>
      <c r="AO488" s="210" t="str">
        <f>IF(Buildings_GridElectricity_Frontend[[#This Row],[Data]]="","",_xlfn.XLOOKUP(_xlfn.CONCAT(Buildings_GridElectricity_Backend[[#This Row],[Level 1]:[Level 6]]),rng_EFConcat,rng_EFOOS)*Buildings_GridElectricity_Backend[[#This Row],[Converted data]]/1000)</f>
        <v/>
      </c>
      <c r="AP488" s="174">
        <f>Buildings_GridElectricity_Frontend[[#This Row],[Ease of collection]]</f>
        <v>0</v>
      </c>
      <c r="AQ488" s="213">
        <f>Buildings_GridElectricity_Frontend[[#This Row],[Completeness]]</f>
        <v>0</v>
      </c>
      <c r="AR488" s="220">
        <f>Buildings_GridElectricity_Frontend[[#This Row],[Notes]]</f>
        <v>0</v>
      </c>
    </row>
    <row r="489" spans="5:44" x14ac:dyDescent="0.3">
      <c r="E489" s="346"/>
      <c r="F489" s="449"/>
      <c r="G489" s="336"/>
      <c r="H489" s="334"/>
      <c r="I489" s="172" t="s">
        <v>316</v>
      </c>
      <c r="J489" s="337"/>
      <c r="K489" s="336"/>
      <c r="L489" s="336"/>
      <c r="M489" s="337"/>
      <c r="N489" s="242">
        <f t="shared" si="17"/>
        <v>3</v>
      </c>
      <c r="Q489" s="212" t="str">
        <f t="shared" si="16"/>
        <v/>
      </c>
      <c r="R489" s="174" t="s">
        <v>265</v>
      </c>
      <c r="S489" s="174" t="s">
        <v>273</v>
      </c>
      <c r="T489" s="174" t="str">
        <f>_xlfn.XLOOKUP(Buildings_GridElectricity_Backend[[#This Row],[Info 1]],Buildings_SiteInfo[Site name],Buildings_SiteInfo[Site type], "")</f>
        <v/>
      </c>
      <c r="U489" s="174" t="s">
        <v>281</v>
      </c>
      <c r="V489" s="174" t="str" cm="1">
        <f t="array" aca="1" ref="V489" ca="1">_xlfn.XLOOKUP(Buildings_GridElectricity_Backend[[#This Row],[Level 4]],rng_Level4Long,rng_Level5Long)</f>
        <v>Electricity</v>
      </c>
      <c r="W489" s="174" t="str" cm="1">
        <f t="array" aca="1" ref="W489" ca="1">_xlfn.XLOOKUP(Buildings_GridElectricity_Backend[[#This Row],[Level 4]],rng_Level4Long,rng_Level6Long)</f>
        <v>NaN</v>
      </c>
      <c r="X489" s="174">
        <f>Buildings_GridElectricity_Frontend[[#This Row],[Site Name]]</f>
        <v>0</v>
      </c>
      <c r="Y489" s="174">
        <f>Buildings_GridElectricity_Frontend[[#This Row],[Contracting]]</f>
        <v>0</v>
      </c>
      <c r="Z489" s="174">
        <f>Buildings_GridElectricity_Frontend[[#This Row],[Methodology]]</f>
        <v>0</v>
      </c>
      <c r="AA489" s="229" t="str" cm="1">
        <f t="array" ref="AA489">IF(Buildings_GridElectricity_Frontend[[#This Row],[Data]]="","",INDEX(_xlfn.SWITCH(Buildings_GridElectricity_Backend[[#This Row],[Methodology]],"Tier 1",rng_RSD1,"Tier 2",rng_RSD2,"Tier 3",rng_RSD3),MATCH(_xlfn.CONCAT(Buildings_GridElectricity_Backend[[#This Row],[Level 1]:[Level 6]]),rng_LevelsConcat,0)))</f>
        <v/>
      </c>
      <c r="AB489" s="220">
        <f>Buildings_GridElectricity_Frontend[[#This Row],[Data]]</f>
        <v>0</v>
      </c>
      <c r="AC489" s="174" t="str">
        <f>Buildings_GridElectricity_Frontend[[#This Row],[Units]]</f>
        <v>kWh</v>
      </c>
      <c r="AD489" s="218">
        <f>Buildings_GridElectricity_Frontend[[#This Row],[Data]]</f>
        <v>0</v>
      </c>
      <c r="AE489" s="174" t="str">
        <f>Buildings_GridElectricity_Frontend[[#This Row],[Units]]</f>
        <v>kWh</v>
      </c>
      <c r="AF489" s="210" t="str">
        <f>IF(Buildings_GridElectricity_Frontend[[#This Row],[Data]]="","",_xlfn.XLOOKUP(_xlfn.CONCAT(Buildings_GridElectricity_Backend[[#This Row],[Level 1]:[Level 6]]),rng_EFConcat,rng_EF1)*Buildings_GridElectricity_Backend[[#This Row],[Converted data]]/1000)</f>
        <v/>
      </c>
      <c r="AG489" s="210" t="str">
        <f>IF(Buildings_GridElectricity_Frontend[[#This Row],[Data]]="","",_xlfn.XLOOKUP(_xlfn.CONCAT(Buildings_GridElectricity_Backend[[#This Row],[Level 1]:[Level 6]]),rng_EFConcat,rng_EF2)*Buildings_GridElectricity_Backend[[#This Row],[Converted data]]/1000)</f>
        <v/>
      </c>
      <c r="AH489" s="210" t="str">
        <f>IF(Buildings_GridElectricity_Frontend[[#This Row],[Data]]="","",_xlfn.XLOOKUP(_xlfn.CONCAT(Buildings_GridElectricity_Backend[[#This Row],[Level 1]:[Level 6]]),rng_EFConcat,rng_EF3)*Buildings_GridElectricity_Backend[[#This Row],[Converted data]]/1000)</f>
        <v/>
      </c>
      <c r="AI489" s="210" t="str">
        <f>IF(Buildings_GridElectricity_Frontend[[#This Row],[Data]]="","",_xlfn.XLOOKUP(_xlfn.CONCAT(Buildings_GridElectricity_Backend[[#This Row],[Level 1]:[Level 6]]),rng_EFConcat,rng_EF3WTT)*Buildings_GridElectricity_Backend[[#This Row],[Converted data]]/1000)</f>
        <v/>
      </c>
      <c r="AJ489" s="210" t="str">
        <f>IF(Buildings_GridElectricity_Frontend[[#This Row],[Data]]="","",_xlfn.XLOOKUP(_xlfn.CONCAT(Buildings_GridElectricity_Backend[[#This Row],[Level 1]:[Level 6]]),rng_EFConcat,rng_EF3TD)*Buildings_GridElectricity_Backend[[#This Row],[Converted data]]/1000)</f>
        <v/>
      </c>
      <c r="AK489" s="210" t="str">
        <f>IF(Buildings_GridElectricity_Frontend[[#This Row],[Data]]="","",_xlfn.XLOOKUP(_xlfn.CONCAT(Buildings_GridElectricity_Backend[[#This Row],[Level 1]:[Level 6]]),rng_EFConcat,rng_EF3WTTTD)*Buildings_GridElectricity_Backend[[#This Row],[Converted data]]/1000)</f>
        <v/>
      </c>
      <c r="AL489" s="220" t="str">
        <f>IF(Buildings_GridElectricity_Frontend[[#This Row],[Data]]="","",SUM(Buildings_GridElectricity_Backend[[#This Row],[Scope 1 (tCO2e)]:[Scope 3 WTT T&amp;D (tCO2e)]]))</f>
        <v/>
      </c>
      <c r="AM489" s="220" t="str">
        <f>IF(Buildings_GridElectricity_Frontend[[#This Row],[Data]]="","",Buildings_GridElectricity_Backend[[#This Row],[Total (tCO2e)]]*(1-Buildings_GridElectricity_Backend[[#This Row],[RSD]]))</f>
        <v/>
      </c>
      <c r="AN489" s="220" t="str">
        <f>IF(Buildings_GridElectricity_Frontend[[#This Row],[Data]]="","",Buildings_GridElectricity_Backend[[#This Row],[Total (tCO2e)]]*(1+Buildings_GridElectricity_Backend[[#This Row],[RSD]]))</f>
        <v/>
      </c>
      <c r="AO489" s="210" t="str">
        <f>IF(Buildings_GridElectricity_Frontend[[#This Row],[Data]]="","",_xlfn.XLOOKUP(_xlfn.CONCAT(Buildings_GridElectricity_Backend[[#This Row],[Level 1]:[Level 6]]),rng_EFConcat,rng_EFOOS)*Buildings_GridElectricity_Backend[[#This Row],[Converted data]]/1000)</f>
        <v/>
      </c>
      <c r="AP489" s="174">
        <f>Buildings_GridElectricity_Frontend[[#This Row],[Ease of collection]]</f>
        <v>0</v>
      </c>
      <c r="AQ489" s="213">
        <f>Buildings_GridElectricity_Frontend[[#This Row],[Completeness]]</f>
        <v>0</v>
      </c>
      <c r="AR489" s="220">
        <f>Buildings_GridElectricity_Frontend[[#This Row],[Notes]]</f>
        <v>0</v>
      </c>
    </row>
    <row r="490" spans="5:44" x14ac:dyDescent="0.3">
      <c r="E490" s="346"/>
      <c r="F490" s="449"/>
      <c r="G490" s="336"/>
      <c r="H490" s="334"/>
      <c r="I490" s="172" t="s">
        <v>316</v>
      </c>
      <c r="J490" s="337"/>
      <c r="K490" s="336"/>
      <c r="L490" s="336"/>
      <c r="M490" s="337"/>
      <c r="N490" s="242">
        <f t="shared" si="17"/>
        <v>3</v>
      </c>
      <c r="Q490" s="212" t="str">
        <f t="shared" si="16"/>
        <v/>
      </c>
      <c r="R490" s="174" t="s">
        <v>265</v>
      </c>
      <c r="S490" s="174" t="s">
        <v>273</v>
      </c>
      <c r="T490" s="174" t="str">
        <f>_xlfn.XLOOKUP(Buildings_GridElectricity_Backend[[#This Row],[Info 1]],Buildings_SiteInfo[Site name],Buildings_SiteInfo[Site type], "")</f>
        <v/>
      </c>
      <c r="U490" s="174" t="s">
        <v>281</v>
      </c>
      <c r="V490" s="174" t="str" cm="1">
        <f t="array" aca="1" ref="V490" ca="1">_xlfn.XLOOKUP(Buildings_GridElectricity_Backend[[#This Row],[Level 4]],rng_Level4Long,rng_Level5Long)</f>
        <v>Electricity</v>
      </c>
      <c r="W490" s="174" t="str" cm="1">
        <f t="array" aca="1" ref="W490" ca="1">_xlfn.XLOOKUP(Buildings_GridElectricity_Backend[[#This Row],[Level 4]],rng_Level4Long,rng_Level6Long)</f>
        <v>NaN</v>
      </c>
      <c r="X490" s="174">
        <f>Buildings_GridElectricity_Frontend[[#This Row],[Site Name]]</f>
        <v>0</v>
      </c>
      <c r="Y490" s="174">
        <f>Buildings_GridElectricity_Frontend[[#This Row],[Contracting]]</f>
        <v>0</v>
      </c>
      <c r="Z490" s="174">
        <f>Buildings_GridElectricity_Frontend[[#This Row],[Methodology]]</f>
        <v>0</v>
      </c>
      <c r="AA490" s="229" t="str" cm="1">
        <f t="array" ref="AA490">IF(Buildings_GridElectricity_Frontend[[#This Row],[Data]]="","",INDEX(_xlfn.SWITCH(Buildings_GridElectricity_Backend[[#This Row],[Methodology]],"Tier 1",rng_RSD1,"Tier 2",rng_RSD2,"Tier 3",rng_RSD3),MATCH(_xlfn.CONCAT(Buildings_GridElectricity_Backend[[#This Row],[Level 1]:[Level 6]]),rng_LevelsConcat,0)))</f>
        <v/>
      </c>
      <c r="AB490" s="220">
        <f>Buildings_GridElectricity_Frontend[[#This Row],[Data]]</f>
        <v>0</v>
      </c>
      <c r="AC490" s="174" t="str">
        <f>Buildings_GridElectricity_Frontend[[#This Row],[Units]]</f>
        <v>kWh</v>
      </c>
      <c r="AD490" s="218">
        <f>Buildings_GridElectricity_Frontend[[#This Row],[Data]]</f>
        <v>0</v>
      </c>
      <c r="AE490" s="174" t="str">
        <f>Buildings_GridElectricity_Frontend[[#This Row],[Units]]</f>
        <v>kWh</v>
      </c>
      <c r="AF490" s="210" t="str">
        <f>IF(Buildings_GridElectricity_Frontend[[#This Row],[Data]]="","",_xlfn.XLOOKUP(_xlfn.CONCAT(Buildings_GridElectricity_Backend[[#This Row],[Level 1]:[Level 6]]),rng_EFConcat,rng_EF1)*Buildings_GridElectricity_Backend[[#This Row],[Converted data]]/1000)</f>
        <v/>
      </c>
      <c r="AG490" s="210" t="str">
        <f>IF(Buildings_GridElectricity_Frontend[[#This Row],[Data]]="","",_xlfn.XLOOKUP(_xlfn.CONCAT(Buildings_GridElectricity_Backend[[#This Row],[Level 1]:[Level 6]]),rng_EFConcat,rng_EF2)*Buildings_GridElectricity_Backend[[#This Row],[Converted data]]/1000)</f>
        <v/>
      </c>
      <c r="AH490" s="210" t="str">
        <f>IF(Buildings_GridElectricity_Frontend[[#This Row],[Data]]="","",_xlfn.XLOOKUP(_xlfn.CONCAT(Buildings_GridElectricity_Backend[[#This Row],[Level 1]:[Level 6]]),rng_EFConcat,rng_EF3)*Buildings_GridElectricity_Backend[[#This Row],[Converted data]]/1000)</f>
        <v/>
      </c>
      <c r="AI490" s="210" t="str">
        <f>IF(Buildings_GridElectricity_Frontend[[#This Row],[Data]]="","",_xlfn.XLOOKUP(_xlfn.CONCAT(Buildings_GridElectricity_Backend[[#This Row],[Level 1]:[Level 6]]),rng_EFConcat,rng_EF3WTT)*Buildings_GridElectricity_Backend[[#This Row],[Converted data]]/1000)</f>
        <v/>
      </c>
      <c r="AJ490" s="210" t="str">
        <f>IF(Buildings_GridElectricity_Frontend[[#This Row],[Data]]="","",_xlfn.XLOOKUP(_xlfn.CONCAT(Buildings_GridElectricity_Backend[[#This Row],[Level 1]:[Level 6]]),rng_EFConcat,rng_EF3TD)*Buildings_GridElectricity_Backend[[#This Row],[Converted data]]/1000)</f>
        <v/>
      </c>
      <c r="AK490" s="210" t="str">
        <f>IF(Buildings_GridElectricity_Frontend[[#This Row],[Data]]="","",_xlfn.XLOOKUP(_xlfn.CONCAT(Buildings_GridElectricity_Backend[[#This Row],[Level 1]:[Level 6]]),rng_EFConcat,rng_EF3WTTTD)*Buildings_GridElectricity_Backend[[#This Row],[Converted data]]/1000)</f>
        <v/>
      </c>
      <c r="AL490" s="220" t="str">
        <f>IF(Buildings_GridElectricity_Frontend[[#This Row],[Data]]="","",SUM(Buildings_GridElectricity_Backend[[#This Row],[Scope 1 (tCO2e)]:[Scope 3 WTT T&amp;D (tCO2e)]]))</f>
        <v/>
      </c>
      <c r="AM490" s="220" t="str">
        <f>IF(Buildings_GridElectricity_Frontend[[#This Row],[Data]]="","",Buildings_GridElectricity_Backend[[#This Row],[Total (tCO2e)]]*(1-Buildings_GridElectricity_Backend[[#This Row],[RSD]]))</f>
        <v/>
      </c>
      <c r="AN490" s="220" t="str">
        <f>IF(Buildings_GridElectricity_Frontend[[#This Row],[Data]]="","",Buildings_GridElectricity_Backend[[#This Row],[Total (tCO2e)]]*(1+Buildings_GridElectricity_Backend[[#This Row],[RSD]]))</f>
        <v/>
      </c>
      <c r="AO490" s="210" t="str">
        <f>IF(Buildings_GridElectricity_Frontend[[#This Row],[Data]]="","",_xlfn.XLOOKUP(_xlfn.CONCAT(Buildings_GridElectricity_Backend[[#This Row],[Level 1]:[Level 6]]),rng_EFConcat,rng_EFOOS)*Buildings_GridElectricity_Backend[[#This Row],[Converted data]]/1000)</f>
        <v/>
      </c>
      <c r="AP490" s="174">
        <f>Buildings_GridElectricity_Frontend[[#This Row],[Ease of collection]]</f>
        <v>0</v>
      </c>
      <c r="AQ490" s="213">
        <f>Buildings_GridElectricity_Frontend[[#This Row],[Completeness]]</f>
        <v>0</v>
      </c>
      <c r="AR490" s="220">
        <f>Buildings_GridElectricity_Frontend[[#This Row],[Notes]]</f>
        <v>0</v>
      </c>
    </row>
    <row r="491" spans="5:44" x14ac:dyDescent="0.3">
      <c r="E491" s="346"/>
      <c r="F491" s="449"/>
      <c r="G491" s="336"/>
      <c r="H491" s="334"/>
      <c r="I491" s="172" t="s">
        <v>316</v>
      </c>
      <c r="J491" s="337"/>
      <c r="K491" s="336"/>
      <c r="L491" s="336"/>
      <c r="M491" s="337"/>
      <c r="N491" s="242">
        <f t="shared" si="17"/>
        <v>3</v>
      </c>
      <c r="Q491" s="212" t="str">
        <f t="shared" si="16"/>
        <v/>
      </c>
      <c r="R491" s="174" t="s">
        <v>265</v>
      </c>
      <c r="S491" s="174" t="s">
        <v>273</v>
      </c>
      <c r="T491" s="174" t="str">
        <f>_xlfn.XLOOKUP(Buildings_GridElectricity_Backend[[#This Row],[Info 1]],Buildings_SiteInfo[Site name],Buildings_SiteInfo[Site type], "")</f>
        <v/>
      </c>
      <c r="U491" s="174" t="s">
        <v>281</v>
      </c>
      <c r="V491" s="174" t="str" cm="1">
        <f t="array" aca="1" ref="V491" ca="1">_xlfn.XLOOKUP(Buildings_GridElectricity_Backend[[#This Row],[Level 4]],rng_Level4Long,rng_Level5Long)</f>
        <v>Electricity</v>
      </c>
      <c r="W491" s="174" t="str" cm="1">
        <f t="array" aca="1" ref="W491" ca="1">_xlfn.XLOOKUP(Buildings_GridElectricity_Backend[[#This Row],[Level 4]],rng_Level4Long,rng_Level6Long)</f>
        <v>NaN</v>
      </c>
      <c r="X491" s="174">
        <f>Buildings_GridElectricity_Frontend[[#This Row],[Site Name]]</f>
        <v>0</v>
      </c>
      <c r="Y491" s="174">
        <f>Buildings_GridElectricity_Frontend[[#This Row],[Contracting]]</f>
        <v>0</v>
      </c>
      <c r="Z491" s="174">
        <f>Buildings_GridElectricity_Frontend[[#This Row],[Methodology]]</f>
        <v>0</v>
      </c>
      <c r="AA491" s="229" t="str" cm="1">
        <f t="array" ref="AA491">IF(Buildings_GridElectricity_Frontend[[#This Row],[Data]]="","",INDEX(_xlfn.SWITCH(Buildings_GridElectricity_Backend[[#This Row],[Methodology]],"Tier 1",rng_RSD1,"Tier 2",rng_RSD2,"Tier 3",rng_RSD3),MATCH(_xlfn.CONCAT(Buildings_GridElectricity_Backend[[#This Row],[Level 1]:[Level 6]]),rng_LevelsConcat,0)))</f>
        <v/>
      </c>
      <c r="AB491" s="220">
        <f>Buildings_GridElectricity_Frontend[[#This Row],[Data]]</f>
        <v>0</v>
      </c>
      <c r="AC491" s="174" t="str">
        <f>Buildings_GridElectricity_Frontend[[#This Row],[Units]]</f>
        <v>kWh</v>
      </c>
      <c r="AD491" s="218">
        <f>Buildings_GridElectricity_Frontend[[#This Row],[Data]]</f>
        <v>0</v>
      </c>
      <c r="AE491" s="174" t="str">
        <f>Buildings_GridElectricity_Frontend[[#This Row],[Units]]</f>
        <v>kWh</v>
      </c>
      <c r="AF491" s="210" t="str">
        <f>IF(Buildings_GridElectricity_Frontend[[#This Row],[Data]]="","",_xlfn.XLOOKUP(_xlfn.CONCAT(Buildings_GridElectricity_Backend[[#This Row],[Level 1]:[Level 6]]),rng_EFConcat,rng_EF1)*Buildings_GridElectricity_Backend[[#This Row],[Converted data]]/1000)</f>
        <v/>
      </c>
      <c r="AG491" s="210" t="str">
        <f>IF(Buildings_GridElectricity_Frontend[[#This Row],[Data]]="","",_xlfn.XLOOKUP(_xlfn.CONCAT(Buildings_GridElectricity_Backend[[#This Row],[Level 1]:[Level 6]]),rng_EFConcat,rng_EF2)*Buildings_GridElectricity_Backend[[#This Row],[Converted data]]/1000)</f>
        <v/>
      </c>
      <c r="AH491" s="210" t="str">
        <f>IF(Buildings_GridElectricity_Frontend[[#This Row],[Data]]="","",_xlfn.XLOOKUP(_xlfn.CONCAT(Buildings_GridElectricity_Backend[[#This Row],[Level 1]:[Level 6]]),rng_EFConcat,rng_EF3)*Buildings_GridElectricity_Backend[[#This Row],[Converted data]]/1000)</f>
        <v/>
      </c>
      <c r="AI491" s="210" t="str">
        <f>IF(Buildings_GridElectricity_Frontend[[#This Row],[Data]]="","",_xlfn.XLOOKUP(_xlfn.CONCAT(Buildings_GridElectricity_Backend[[#This Row],[Level 1]:[Level 6]]),rng_EFConcat,rng_EF3WTT)*Buildings_GridElectricity_Backend[[#This Row],[Converted data]]/1000)</f>
        <v/>
      </c>
      <c r="AJ491" s="210" t="str">
        <f>IF(Buildings_GridElectricity_Frontend[[#This Row],[Data]]="","",_xlfn.XLOOKUP(_xlfn.CONCAT(Buildings_GridElectricity_Backend[[#This Row],[Level 1]:[Level 6]]),rng_EFConcat,rng_EF3TD)*Buildings_GridElectricity_Backend[[#This Row],[Converted data]]/1000)</f>
        <v/>
      </c>
      <c r="AK491" s="210" t="str">
        <f>IF(Buildings_GridElectricity_Frontend[[#This Row],[Data]]="","",_xlfn.XLOOKUP(_xlfn.CONCAT(Buildings_GridElectricity_Backend[[#This Row],[Level 1]:[Level 6]]),rng_EFConcat,rng_EF3WTTTD)*Buildings_GridElectricity_Backend[[#This Row],[Converted data]]/1000)</f>
        <v/>
      </c>
      <c r="AL491" s="220" t="str">
        <f>IF(Buildings_GridElectricity_Frontend[[#This Row],[Data]]="","",SUM(Buildings_GridElectricity_Backend[[#This Row],[Scope 1 (tCO2e)]:[Scope 3 WTT T&amp;D (tCO2e)]]))</f>
        <v/>
      </c>
      <c r="AM491" s="220" t="str">
        <f>IF(Buildings_GridElectricity_Frontend[[#This Row],[Data]]="","",Buildings_GridElectricity_Backend[[#This Row],[Total (tCO2e)]]*(1-Buildings_GridElectricity_Backend[[#This Row],[RSD]]))</f>
        <v/>
      </c>
      <c r="AN491" s="220" t="str">
        <f>IF(Buildings_GridElectricity_Frontend[[#This Row],[Data]]="","",Buildings_GridElectricity_Backend[[#This Row],[Total (tCO2e)]]*(1+Buildings_GridElectricity_Backend[[#This Row],[RSD]]))</f>
        <v/>
      </c>
      <c r="AO491" s="210" t="str">
        <f>IF(Buildings_GridElectricity_Frontend[[#This Row],[Data]]="","",_xlfn.XLOOKUP(_xlfn.CONCAT(Buildings_GridElectricity_Backend[[#This Row],[Level 1]:[Level 6]]),rng_EFConcat,rng_EFOOS)*Buildings_GridElectricity_Backend[[#This Row],[Converted data]]/1000)</f>
        <v/>
      </c>
      <c r="AP491" s="174">
        <f>Buildings_GridElectricity_Frontend[[#This Row],[Ease of collection]]</f>
        <v>0</v>
      </c>
      <c r="AQ491" s="213">
        <f>Buildings_GridElectricity_Frontend[[#This Row],[Completeness]]</f>
        <v>0</v>
      </c>
      <c r="AR491" s="220">
        <f>Buildings_GridElectricity_Frontend[[#This Row],[Notes]]</f>
        <v>0</v>
      </c>
    </row>
    <row r="492" spans="5:44" x14ac:dyDescent="0.3">
      <c r="E492" s="346"/>
      <c r="F492" s="449"/>
      <c r="G492" s="336"/>
      <c r="H492" s="334"/>
      <c r="I492" s="172" t="s">
        <v>316</v>
      </c>
      <c r="J492" s="337"/>
      <c r="K492" s="336"/>
      <c r="L492" s="336"/>
      <c r="M492" s="337"/>
      <c r="N492" s="242">
        <f t="shared" si="17"/>
        <v>3</v>
      </c>
      <c r="Q492" s="212" t="str">
        <f t="shared" si="16"/>
        <v/>
      </c>
      <c r="R492" s="174" t="s">
        <v>265</v>
      </c>
      <c r="S492" s="174" t="s">
        <v>273</v>
      </c>
      <c r="T492" s="174" t="str">
        <f>_xlfn.XLOOKUP(Buildings_GridElectricity_Backend[[#This Row],[Info 1]],Buildings_SiteInfo[Site name],Buildings_SiteInfo[Site type], "")</f>
        <v/>
      </c>
      <c r="U492" s="174" t="s">
        <v>281</v>
      </c>
      <c r="V492" s="174" t="str" cm="1">
        <f t="array" aca="1" ref="V492" ca="1">_xlfn.XLOOKUP(Buildings_GridElectricity_Backend[[#This Row],[Level 4]],rng_Level4Long,rng_Level5Long)</f>
        <v>Electricity</v>
      </c>
      <c r="W492" s="174" t="str" cm="1">
        <f t="array" aca="1" ref="W492" ca="1">_xlfn.XLOOKUP(Buildings_GridElectricity_Backend[[#This Row],[Level 4]],rng_Level4Long,rng_Level6Long)</f>
        <v>NaN</v>
      </c>
      <c r="X492" s="174">
        <f>Buildings_GridElectricity_Frontend[[#This Row],[Site Name]]</f>
        <v>0</v>
      </c>
      <c r="Y492" s="174">
        <f>Buildings_GridElectricity_Frontend[[#This Row],[Contracting]]</f>
        <v>0</v>
      </c>
      <c r="Z492" s="174">
        <f>Buildings_GridElectricity_Frontend[[#This Row],[Methodology]]</f>
        <v>0</v>
      </c>
      <c r="AA492" s="229" t="str" cm="1">
        <f t="array" ref="AA492">IF(Buildings_GridElectricity_Frontend[[#This Row],[Data]]="","",INDEX(_xlfn.SWITCH(Buildings_GridElectricity_Backend[[#This Row],[Methodology]],"Tier 1",rng_RSD1,"Tier 2",rng_RSD2,"Tier 3",rng_RSD3),MATCH(_xlfn.CONCAT(Buildings_GridElectricity_Backend[[#This Row],[Level 1]:[Level 6]]),rng_LevelsConcat,0)))</f>
        <v/>
      </c>
      <c r="AB492" s="220">
        <f>Buildings_GridElectricity_Frontend[[#This Row],[Data]]</f>
        <v>0</v>
      </c>
      <c r="AC492" s="174" t="str">
        <f>Buildings_GridElectricity_Frontend[[#This Row],[Units]]</f>
        <v>kWh</v>
      </c>
      <c r="AD492" s="218">
        <f>Buildings_GridElectricity_Frontend[[#This Row],[Data]]</f>
        <v>0</v>
      </c>
      <c r="AE492" s="174" t="str">
        <f>Buildings_GridElectricity_Frontend[[#This Row],[Units]]</f>
        <v>kWh</v>
      </c>
      <c r="AF492" s="210" t="str">
        <f>IF(Buildings_GridElectricity_Frontend[[#This Row],[Data]]="","",_xlfn.XLOOKUP(_xlfn.CONCAT(Buildings_GridElectricity_Backend[[#This Row],[Level 1]:[Level 6]]),rng_EFConcat,rng_EF1)*Buildings_GridElectricity_Backend[[#This Row],[Converted data]]/1000)</f>
        <v/>
      </c>
      <c r="AG492" s="210" t="str">
        <f>IF(Buildings_GridElectricity_Frontend[[#This Row],[Data]]="","",_xlfn.XLOOKUP(_xlfn.CONCAT(Buildings_GridElectricity_Backend[[#This Row],[Level 1]:[Level 6]]),rng_EFConcat,rng_EF2)*Buildings_GridElectricity_Backend[[#This Row],[Converted data]]/1000)</f>
        <v/>
      </c>
      <c r="AH492" s="210" t="str">
        <f>IF(Buildings_GridElectricity_Frontend[[#This Row],[Data]]="","",_xlfn.XLOOKUP(_xlfn.CONCAT(Buildings_GridElectricity_Backend[[#This Row],[Level 1]:[Level 6]]),rng_EFConcat,rng_EF3)*Buildings_GridElectricity_Backend[[#This Row],[Converted data]]/1000)</f>
        <v/>
      </c>
      <c r="AI492" s="210" t="str">
        <f>IF(Buildings_GridElectricity_Frontend[[#This Row],[Data]]="","",_xlfn.XLOOKUP(_xlfn.CONCAT(Buildings_GridElectricity_Backend[[#This Row],[Level 1]:[Level 6]]),rng_EFConcat,rng_EF3WTT)*Buildings_GridElectricity_Backend[[#This Row],[Converted data]]/1000)</f>
        <v/>
      </c>
      <c r="AJ492" s="210" t="str">
        <f>IF(Buildings_GridElectricity_Frontend[[#This Row],[Data]]="","",_xlfn.XLOOKUP(_xlfn.CONCAT(Buildings_GridElectricity_Backend[[#This Row],[Level 1]:[Level 6]]),rng_EFConcat,rng_EF3TD)*Buildings_GridElectricity_Backend[[#This Row],[Converted data]]/1000)</f>
        <v/>
      </c>
      <c r="AK492" s="210" t="str">
        <f>IF(Buildings_GridElectricity_Frontend[[#This Row],[Data]]="","",_xlfn.XLOOKUP(_xlfn.CONCAT(Buildings_GridElectricity_Backend[[#This Row],[Level 1]:[Level 6]]),rng_EFConcat,rng_EF3WTTTD)*Buildings_GridElectricity_Backend[[#This Row],[Converted data]]/1000)</f>
        <v/>
      </c>
      <c r="AL492" s="220" t="str">
        <f>IF(Buildings_GridElectricity_Frontend[[#This Row],[Data]]="","",SUM(Buildings_GridElectricity_Backend[[#This Row],[Scope 1 (tCO2e)]:[Scope 3 WTT T&amp;D (tCO2e)]]))</f>
        <v/>
      </c>
      <c r="AM492" s="220" t="str">
        <f>IF(Buildings_GridElectricity_Frontend[[#This Row],[Data]]="","",Buildings_GridElectricity_Backend[[#This Row],[Total (tCO2e)]]*(1-Buildings_GridElectricity_Backend[[#This Row],[RSD]]))</f>
        <v/>
      </c>
      <c r="AN492" s="220" t="str">
        <f>IF(Buildings_GridElectricity_Frontend[[#This Row],[Data]]="","",Buildings_GridElectricity_Backend[[#This Row],[Total (tCO2e)]]*(1+Buildings_GridElectricity_Backend[[#This Row],[RSD]]))</f>
        <v/>
      </c>
      <c r="AO492" s="210" t="str">
        <f>IF(Buildings_GridElectricity_Frontend[[#This Row],[Data]]="","",_xlfn.XLOOKUP(_xlfn.CONCAT(Buildings_GridElectricity_Backend[[#This Row],[Level 1]:[Level 6]]),rng_EFConcat,rng_EFOOS)*Buildings_GridElectricity_Backend[[#This Row],[Converted data]]/1000)</f>
        <v/>
      </c>
      <c r="AP492" s="174">
        <f>Buildings_GridElectricity_Frontend[[#This Row],[Ease of collection]]</f>
        <v>0</v>
      </c>
      <c r="AQ492" s="213">
        <f>Buildings_GridElectricity_Frontend[[#This Row],[Completeness]]</f>
        <v>0</v>
      </c>
      <c r="AR492" s="220">
        <f>Buildings_GridElectricity_Frontend[[#This Row],[Notes]]</f>
        <v>0</v>
      </c>
    </row>
    <row r="493" spans="5:44" x14ac:dyDescent="0.3">
      <c r="E493" s="346"/>
      <c r="F493" s="449"/>
      <c r="G493" s="336"/>
      <c r="H493" s="334"/>
      <c r="I493" s="172" t="s">
        <v>316</v>
      </c>
      <c r="J493" s="337"/>
      <c r="K493" s="336"/>
      <c r="L493" s="336"/>
      <c r="M493" s="337"/>
      <c r="N493" s="242">
        <f t="shared" si="17"/>
        <v>3</v>
      </c>
      <c r="Q493" s="212" t="str">
        <f t="shared" si="16"/>
        <v/>
      </c>
      <c r="R493" s="174" t="s">
        <v>265</v>
      </c>
      <c r="S493" s="174" t="s">
        <v>273</v>
      </c>
      <c r="T493" s="174" t="str">
        <f>_xlfn.XLOOKUP(Buildings_GridElectricity_Backend[[#This Row],[Info 1]],Buildings_SiteInfo[Site name],Buildings_SiteInfo[Site type], "")</f>
        <v/>
      </c>
      <c r="U493" s="174" t="s">
        <v>281</v>
      </c>
      <c r="V493" s="174" t="str" cm="1">
        <f t="array" aca="1" ref="V493" ca="1">_xlfn.XLOOKUP(Buildings_GridElectricity_Backend[[#This Row],[Level 4]],rng_Level4Long,rng_Level5Long)</f>
        <v>Electricity</v>
      </c>
      <c r="W493" s="174" t="str" cm="1">
        <f t="array" aca="1" ref="W493" ca="1">_xlfn.XLOOKUP(Buildings_GridElectricity_Backend[[#This Row],[Level 4]],rng_Level4Long,rng_Level6Long)</f>
        <v>NaN</v>
      </c>
      <c r="X493" s="174">
        <f>Buildings_GridElectricity_Frontend[[#This Row],[Site Name]]</f>
        <v>0</v>
      </c>
      <c r="Y493" s="174">
        <f>Buildings_GridElectricity_Frontend[[#This Row],[Contracting]]</f>
        <v>0</v>
      </c>
      <c r="Z493" s="174">
        <f>Buildings_GridElectricity_Frontend[[#This Row],[Methodology]]</f>
        <v>0</v>
      </c>
      <c r="AA493" s="229" t="str" cm="1">
        <f t="array" ref="AA493">IF(Buildings_GridElectricity_Frontend[[#This Row],[Data]]="","",INDEX(_xlfn.SWITCH(Buildings_GridElectricity_Backend[[#This Row],[Methodology]],"Tier 1",rng_RSD1,"Tier 2",rng_RSD2,"Tier 3",rng_RSD3),MATCH(_xlfn.CONCAT(Buildings_GridElectricity_Backend[[#This Row],[Level 1]:[Level 6]]),rng_LevelsConcat,0)))</f>
        <v/>
      </c>
      <c r="AB493" s="220">
        <f>Buildings_GridElectricity_Frontend[[#This Row],[Data]]</f>
        <v>0</v>
      </c>
      <c r="AC493" s="174" t="str">
        <f>Buildings_GridElectricity_Frontend[[#This Row],[Units]]</f>
        <v>kWh</v>
      </c>
      <c r="AD493" s="218">
        <f>Buildings_GridElectricity_Frontend[[#This Row],[Data]]</f>
        <v>0</v>
      </c>
      <c r="AE493" s="174" t="str">
        <f>Buildings_GridElectricity_Frontend[[#This Row],[Units]]</f>
        <v>kWh</v>
      </c>
      <c r="AF493" s="210" t="str">
        <f>IF(Buildings_GridElectricity_Frontend[[#This Row],[Data]]="","",_xlfn.XLOOKUP(_xlfn.CONCAT(Buildings_GridElectricity_Backend[[#This Row],[Level 1]:[Level 6]]),rng_EFConcat,rng_EF1)*Buildings_GridElectricity_Backend[[#This Row],[Converted data]]/1000)</f>
        <v/>
      </c>
      <c r="AG493" s="210" t="str">
        <f>IF(Buildings_GridElectricity_Frontend[[#This Row],[Data]]="","",_xlfn.XLOOKUP(_xlfn.CONCAT(Buildings_GridElectricity_Backend[[#This Row],[Level 1]:[Level 6]]),rng_EFConcat,rng_EF2)*Buildings_GridElectricity_Backend[[#This Row],[Converted data]]/1000)</f>
        <v/>
      </c>
      <c r="AH493" s="210" t="str">
        <f>IF(Buildings_GridElectricity_Frontend[[#This Row],[Data]]="","",_xlfn.XLOOKUP(_xlfn.CONCAT(Buildings_GridElectricity_Backend[[#This Row],[Level 1]:[Level 6]]),rng_EFConcat,rng_EF3)*Buildings_GridElectricity_Backend[[#This Row],[Converted data]]/1000)</f>
        <v/>
      </c>
      <c r="AI493" s="210" t="str">
        <f>IF(Buildings_GridElectricity_Frontend[[#This Row],[Data]]="","",_xlfn.XLOOKUP(_xlfn.CONCAT(Buildings_GridElectricity_Backend[[#This Row],[Level 1]:[Level 6]]),rng_EFConcat,rng_EF3WTT)*Buildings_GridElectricity_Backend[[#This Row],[Converted data]]/1000)</f>
        <v/>
      </c>
      <c r="AJ493" s="210" t="str">
        <f>IF(Buildings_GridElectricity_Frontend[[#This Row],[Data]]="","",_xlfn.XLOOKUP(_xlfn.CONCAT(Buildings_GridElectricity_Backend[[#This Row],[Level 1]:[Level 6]]),rng_EFConcat,rng_EF3TD)*Buildings_GridElectricity_Backend[[#This Row],[Converted data]]/1000)</f>
        <v/>
      </c>
      <c r="AK493" s="210" t="str">
        <f>IF(Buildings_GridElectricity_Frontend[[#This Row],[Data]]="","",_xlfn.XLOOKUP(_xlfn.CONCAT(Buildings_GridElectricity_Backend[[#This Row],[Level 1]:[Level 6]]),rng_EFConcat,rng_EF3WTTTD)*Buildings_GridElectricity_Backend[[#This Row],[Converted data]]/1000)</f>
        <v/>
      </c>
      <c r="AL493" s="220" t="str">
        <f>IF(Buildings_GridElectricity_Frontend[[#This Row],[Data]]="","",SUM(Buildings_GridElectricity_Backend[[#This Row],[Scope 1 (tCO2e)]:[Scope 3 WTT T&amp;D (tCO2e)]]))</f>
        <v/>
      </c>
      <c r="AM493" s="220" t="str">
        <f>IF(Buildings_GridElectricity_Frontend[[#This Row],[Data]]="","",Buildings_GridElectricity_Backend[[#This Row],[Total (tCO2e)]]*(1-Buildings_GridElectricity_Backend[[#This Row],[RSD]]))</f>
        <v/>
      </c>
      <c r="AN493" s="220" t="str">
        <f>IF(Buildings_GridElectricity_Frontend[[#This Row],[Data]]="","",Buildings_GridElectricity_Backend[[#This Row],[Total (tCO2e)]]*(1+Buildings_GridElectricity_Backend[[#This Row],[RSD]]))</f>
        <v/>
      </c>
      <c r="AO493" s="210" t="str">
        <f>IF(Buildings_GridElectricity_Frontend[[#This Row],[Data]]="","",_xlfn.XLOOKUP(_xlfn.CONCAT(Buildings_GridElectricity_Backend[[#This Row],[Level 1]:[Level 6]]),rng_EFConcat,rng_EFOOS)*Buildings_GridElectricity_Backend[[#This Row],[Converted data]]/1000)</f>
        <v/>
      </c>
      <c r="AP493" s="174">
        <f>Buildings_GridElectricity_Frontend[[#This Row],[Ease of collection]]</f>
        <v>0</v>
      </c>
      <c r="AQ493" s="213">
        <f>Buildings_GridElectricity_Frontend[[#This Row],[Completeness]]</f>
        <v>0</v>
      </c>
      <c r="AR493" s="220">
        <f>Buildings_GridElectricity_Frontend[[#This Row],[Notes]]</f>
        <v>0</v>
      </c>
    </row>
    <row r="494" spans="5:44" x14ac:dyDescent="0.3">
      <c r="E494" s="346"/>
      <c r="F494" s="449"/>
      <c r="G494" s="336"/>
      <c r="H494" s="334"/>
      <c r="I494" s="172" t="s">
        <v>316</v>
      </c>
      <c r="J494" s="337"/>
      <c r="K494" s="336"/>
      <c r="L494" s="336"/>
      <c r="M494" s="337"/>
      <c r="N494" s="242">
        <f t="shared" si="17"/>
        <v>3</v>
      </c>
      <c r="Q494" s="212" t="str">
        <f t="shared" si="16"/>
        <v/>
      </c>
      <c r="R494" s="174" t="s">
        <v>265</v>
      </c>
      <c r="S494" s="174" t="s">
        <v>273</v>
      </c>
      <c r="T494" s="174" t="str">
        <f>_xlfn.XLOOKUP(Buildings_GridElectricity_Backend[[#This Row],[Info 1]],Buildings_SiteInfo[Site name],Buildings_SiteInfo[Site type], "")</f>
        <v/>
      </c>
      <c r="U494" s="174" t="s">
        <v>281</v>
      </c>
      <c r="V494" s="174" t="str" cm="1">
        <f t="array" aca="1" ref="V494" ca="1">_xlfn.XLOOKUP(Buildings_GridElectricity_Backend[[#This Row],[Level 4]],rng_Level4Long,rng_Level5Long)</f>
        <v>Electricity</v>
      </c>
      <c r="W494" s="174" t="str" cm="1">
        <f t="array" aca="1" ref="W494" ca="1">_xlfn.XLOOKUP(Buildings_GridElectricity_Backend[[#This Row],[Level 4]],rng_Level4Long,rng_Level6Long)</f>
        <v>NaN</v>
      </c>
      <c r="X494" s="174">
        <f>Buildings_GridElectricity_Frontend[[#This Row],[Site Name]]</f>
        <v>0</v>
      </c>
      <c r="Y494" s="174">
        <f>Buildings_GridElectricity_Frontend[[#This Row],[Contracting]]</f>
        <v>0</v>
      </c>
      <c r="Z494" s="174">
        <f>Buildings_GridElectricity_Frontend[[#This Row],[Methodology]]</f>
        <v>0</v>
      </c>
      <c r="AA494" s="229" t="str" cm="1">
        <f t="array" ref="AA494">IF(Buildings_GridElectricity_Frontend[[#This Row],[Data]]="","",INDEX(_xlfn.SWITCH(Buildings_GridElectricity_Backend[[#This Row],[Methodology]],"Tier 1",rng_RSD1,"Tier 2",rng_RSD2,"Tier 3",rng_RSD3),MATCH(_xlfn.CONCAT(Buildings_GridElectricity_Backend[[#This Row],[Level 1]:[Level 6]]),rng_LevelsConcat,0)))</f>
        <v/>
      </c>
      <c r="AB494" s="220">
        <f>Buildings_GridElectricity_Frontend[[#This Row],[Data]]</f>
        <v>0</v>
      </c>
      <c r="AC494" s="174" t="str">
        <f>Buildings_GridElectricity_Frontend[[#This Row],[Units]]</f>
        <v>kWh</v>
      </c>
      <c r="AD494" s="218">
        <f>Buildings_GridElectricity_Frontend[[#This Row],[Data]]</f>
        <v>0</v>
      </c>
      <c r="AE494" s="174" t="str">
        <f>Buildings_GridElectricity_Frontend[[#This Row],[Units]]</f>
        <v>kWh</v>
      </c>
      <c r="AF494" s="210" t="str">
        <f>IF(Buildings_GridElectricity_Frontend[[#This Row],[Data]]="","",_xlfn.XLOOKUP(_xlfn.CONCAT(Buildings_GridElectricity_Backend[[#This Row],[Level 1]:[Level 6]]),rng_EFConcat,rng_EF1)*Buildings_GridElectricity_Backend[[#This Row],[Converted data]]/1000)</f>
        <v/>
      </c>
      <c r="AG494" s="210" t="str">
        <f>IF(Buildings_GridElectricity_Frontend[[#This Row],[Data]]="","",_xlfn.XLOOKUP(_xlfn.CONCAT(Buildings_GridElectricity_Backend[[#This Row],[Level 1]:[Level 6]]),rng_EFConcat,rng_EF2)*Buildings_GridElectricity_Backend[[#This Row],[Converted data]]/1000)</f>
        <v/>
      </c>
      <c r="AH494" s="210" t="str">
        <f>IF(Buildings_GridElectricity_Frontend[[#This Row],[Data]]="","",_xlfn.XLOOKUP(_xlfn.CONCAT(Buildings_GridElectricity_Backend[[#This Row],[Level 1]:[Level 6]]),rng_EFConcat,rng_EF3)*Buildings_GridElectricity_Backend[[#This Row],[Converted data]]/1000)</f>
        <v/>
      </c>
      <c r="AI494" s="210" t="str">
        <f>IF(Buildings_GridElectricity_Frontend[[#This Row],[Data]]="","",_xlfn.XLOOKUP(_xlfn.CONCAT(Buildings_GridElectricity_Backend[[#This Row],[Level 1]:[Level 6]]),rng_EFConcat,rng_EF3WTT)*Buildings_GridElectricity_Backend[[#This Row],[Converted data]]/1000)</f>
        <v/>
      </c>
      <c r="AJ494" s="210" t="str">
        <f>IF(Buildings_GridElectricity_Frontend[[#This Row],[Data]]="","",_xlfn.XLOOKUP(_xlfn.CONCAT(Buildings_GridElectricity_Backend[[#This Row],[Level 1]:[Level 6]]),rng_EFConcat,rng_EF3TD)*Buildings_GridElectricity_Backend[[#This Row],[Converted data]]/1000)</f>
        <v/>
      </c>
      <c r="AK494" s="210" t="str">
        <f>IF(Buildings_GridElectricity_Frontend[[#This Row],[Data]]="","",_xlfn.XLOOKUP(_xlfn.CONCAT(Buildings_GridElectricity_Backend[[#This Row],[Level 1]:[Level 6]]),rng_EFConcat,rng_EF3WTTTD)*Buildings_GridElectricity_Backend[[#This Row],[Converted data]]/1000)</f>
        <v/>
      </c>
      <c r="AL494" s="220" t="str">
        <f>IF(Buildings_GridElectricity_Frontend[[#This Row],[Data]]="","",SUM(Buildings_GridElectricity_Backend[[#This Row],[Scope 1 (tCO2e)]:[Scope 3 WTT T&amp;D (tCO2e)]]))</f>
        <v/>
      </c>
      <c r="AM494" s="220" t="str">
        <f>IF(Buildings_GridElectricity_Frontend[[#This Row],[Data]]="","",Buildings_GridElectricity_Backend[[#This Row],[Total (tCO2e)]]*(1-Buildings_GridElectricity_Backend[[#This Row],[RSD]]))</f>
        <v/>
      </c>
      <c r="AN494" s="220" t="str">
        <f>IF(Buildings_GridElectricity_Frontend[[#This Row],[Data]]="","",Buildings_GridElectricity_Backend[[#This Row],[Total (tCO2e)]]*(1+Buildings_GridElectricity_Backend[[#This Row],[RSD]]))</f>
        <v/>
      </c>
      <c r="AO494" s="210" t="str">
        <f>IF(Buildings_GridElectricity_Frontend[[#This Row],[Data]]="","",_xlfn.XLOOKUP(_xlfn.CONCAT(Buildings_GridElectricity_Backend[[#This Row],[Level 1]:[Level 6]]),rng_EFConcat,rng_EFOOS)*Buildings_GridElectricity_Backend[[#This Row],[Converted data]]/1000)</f>
        <v/>
      </c>
      <c r="AP494" s="174">
        <f>Buildings_GridElectricity_Frontend[[#This Row],[Ease of collection]]</f>
        <v>0</v>
      </c>
      <c r="AQ494" s="213">
        <f>Buildings_GridElectricity_Frontend[[#This Row],[Completeness]]</f>
        <v>0</v>
      </c>
      <c r="AR494" s="220">
        <f>Buildings_GridElectricity_Frontend[[#This Row],[Notes]]</f>
        <v>0</v>
      </c>
    </row>
    <row r="495" spans="5:44" x14ac:dyDescent="0.3">
      <c r="E495" s="346"/>
      <c r="F495" s="449"/>
      <c r="G495" s="336"/>
      <c r="H495" s="334"/>
      <c r="I495" s="172" t="s">
        <v>316</v>
      </c>
      <c r="J495" s="337"/>
      <c r="K495" s="336"/>
      <c r="L495" s="336"/>
      <c r="M495" s="337"/>
      <c r="N495" s="242">
        <f t="shared" si="17"/>
        <v>3</v>
      </c>
      <c r="Q495" s="212" t="str">
        <f t="shared" si="16"/>
        <v/>
      </c>
      <c r="R495" s="174" t="s">
        <v>265</v>
      </c>
      <c r="S495" s="174" t="s">
        <v>273</v>
      </c>
      <c r="T495" s="174" t="str">
        <f>_xlfn.XLOOKUP(Buildings_GridElectricity_Backend[[#This Row],[Info 1]],Buildings_SiteInfo[Site name],Buildings_SiteInfo[Site type], "")</f>
        <v/>
      </c>
      <c r="U495" s="174" t="s">
        <v>281</v>
      </c>
      <c r="V495" s="174" t="str" cm="1">
        <f t="array" aca="1" ref="V495" ca="1">_xlfn.XLOOKUP(Buildings_GridElectricity_Backend[[#This Row],[Level 4]],rng_Level4Long,rng_Level5Long)</f>
        <v>Electricity</v>
      </c>
      <c r="W495" s="174" t="str" cm="1">
        <f t="array" aca="1" ref="W495" ca="1">_xlfn.XLOOKUP(Buildings_GridElectricity_Backend[[#This Row],[Level 4]],rng_Level4Long,rng_Level6Long)</f>
        <v>NaN</v>
      </c>
      <c r="X495" s="174">
        <f>Buildings_GridElectricity_Frontend[[#This Row],[Site Name]]</f>
        <v>0</v>
      </c>
      <c r="Y495" s="174">
        <f>Buildings_GridElectricity_Frontend[[#This Row],[Contracting]]</f>
        <v>0</v>
      </c>
      <c r="Z495" s="174">
        <f>Buildings_GridElectricity_Frontend[[#This Row],[Methodology]]</f>
        <v>0</v>
      </c>
      <c r="AA495" s="229" t="str" cm="1">
        <f t="array" ref="AA495">IF(Buildings_GridElectricity_Frontend[[#This Row],[Data]]="","",INDEX(_xlfn.SWITCH(Buildings_GridElectricity_Backend[[#This Row],[Methodology]],"Tier 1",rng_RSD1,"Tier 2",rng_RSD2,"Tier 3",rng_RSD3),MATCH(_xlfn.CONCAT(Buildings_GridElectricity_Backend[[#This Row],[Level 1]:[Level 6]]),rng_LevelsConcat,0)))</f>
        <v/>
      </c>
      <c r="AB495" s="220">
        <f>Buildings_GridElectricity_Frontend[[#This Row],[Data]]</f>
        <v>0</v>
      </c>
      <c r="AC495" s="174" t="str">
        <f>Buildings_GridElectricity_Frontend[[#This Row],[Units]]</f>
        <v>kWh</v>
      </c>
      <c r="AD495" s="218">
        <f>Buildings_GridElectricity_Frontend[[#This Row],[Data]]</f>
        <v>0</v>
      </c>
      <c r="AE495" s="174" t="str">
        <f>Buildings_GridElectricity_Frontend[[#This Row],[Units]]</f>
        <v>kWh</v>
      </c>
      <c r="AF495" s="210" t="str">
        <f>IF(Buildings_GridElectricity_Frontend[[#This Row],[Data]]="","",_xlfn.XLOOKUP(_xlfn.CONCAT(Buildings_GridElectricity_Backend[[#This Row],[Level 1]:[Level 6]]),rng_EFConcat,rng_EF1)*Buildings_GridElectricity_Backend[[#This Row],[Converted data]]/1000)</f>
        <v/>
      </c>
      <c r="AG495" s="210" t="str">
        <f>IF(Buildings_GridElectricity_Frontend[[#This Row],[Data]]="","",_xlfn.XLOOKUP(_xlfn.CONCAT(Buildings_GridElectricity_Backend[[#This Row],[Level 1]:[Level 6]]),rng_EFConcat,rng_EF2)*Buildings_GridElectricity_Backend[[#This Row],[Converted data]]/1000)</f>
        <v/>
      </c>
      <c r="AH495" s="210" t="str">
        <f>IF(Buildings_GridElectricity_Frontend[[#This Row],[Data]]="","",_xlfn.XLOOKUP(_xlfn.CONCAT(Buildings_GridElectricity_Backend[[#This Row],[Level 1]:[Level 6]]),rng_EFConcat,rng_EF3)*Buildings_GridElectricity_Backend[[#This Row],[Converted data]]/1000)</f>
        <v/>
      </c>
      <c r="AI495" s="210" t="str">
        <f>IF(Buildings_GridElectricity_Frontend[[#This Row],[Data]]="","",_xlfn.XLOOKUP(_xlfn.CONCAT(Buildings_GridElectricity_Backend[[#This Row],[Level 1]:[Level 6]]),rng_EFConcat,rng_EF3WTT)*Buildings_GridElectricity_Backend[[#This Row],[Converted data]]/1000)</f>
        <v/>
      </c>
      <c r="AJ495" s="210" t="str">
        <f>IF(Buildings_GridElectricity_Frontend[[#This Row],[Data]]="","",_xlfn.XLOOKUP(_xlfn.CONCAT(Buildings_GridElectricity_Backend[[#This Row],[Level 1]:[Level 6]]),rng_EFConcat,rng_EF3TD)*Buildings_GridElectricity_Backend[[#This Row],[Converted data]]/1000)</f>
        <v/>
      </c>
      <c r="AK495" s="210" t="str">
        <f>IF(Buildings_GridElectricity_Frontend[[#This Row],[Data]]="","",_xlfn.XLOOKUP(_xlfn.CONCAT(Buildings_GridElectricity_Backend[[#This Row],[Level 1]:[Level 6]]),rng_EFConcat,rng_EF3WTTTD)*Buildings_GridElectricity_Backend[[#This Row],[Converted data]]/1000)</f>
        <v/>
      </c>
      <c r="AL495" s="220" t="str">
        <f>IF(Buildings_GridElectricity_Frontend[[#This Row],[Data]]="","",SUM(Buildings_GridElectricity_Backend[[#This Row],[Scope 1 (tCO2e)]:[Scope 3 WTT T&amp;D (tCO2e)]]))</f>
        <v/>
      </c>
      <c r="AM495" s="220" t="str">
        <f>IF(Buildings_GridElectricity_Frontend[[#This Row],[Data]]="","",Buildings_GridElectricity_Backend[[#This Row],[Total (tCO2e)]]*(1-Buildings_GridElectricity_Backend[[#This Row],[RSD]]))</f>
        <v/>
      </c>
      <c r="AN495" s="220" t="str">
        <f>IF(Buildings_GridElectricity_Frontend[[#This Row],[Data]]="","",Buildings_GridElectricity_Backend[[#This Row],[Total (tCO2e)]]*(1+Buildings_GridElectricity_Backend[[#This Row],[RSD]]))</f>
        <v/>
      </c>
      <c r="AO495" s="210" t="str">
        <f>IF(Buildings_GridElectricity_Frontend[[#This Row],[Data]]="","",_xlfn.XLOOKUP(_xlfn.CONCAT(Buildings_GridElectricity_Backend[[#This Row],[Level 1]:[Level 6]]),rng_EFConcat,rng_EFOOS)*Buildings_GridElectricity_Backend[[#This Row],[Converted data]]/1000)</f>
        <v/>
      </c>
      <c r="AP495" s="174">
        <f>Buildings_GridElectricity_Frontend[[#This Row],[Ease of collection]]</f>
        <v>0</v>
      </c>
      <c r="AQ495" s="213">
        <f>Buildings_GridElectricity_Frontend[[#This Row],[Completeness]]</f>
        <v>0</v>
      </c>
      <c r="AR495" s="220">
        <f>Buildings_GridElectricity_Frontend[[#This Row],[Notes]]</f>
        <v>0</v>
      </c>
    </row>
    <row r="496" spans="5:44" x14ac:dyDescent="0.3">
      <c r="E496" s="346"/>
      <c r="F496" s="449"/>
      <c r="G496" s="336"/>
      <c r="H496" s="334"/>
      <c r="I496" s="172" t="s">
        <v>316</v>
      </c>
      <c r="J496" s="337"/>
      <c r="K496" s="336"/>
      <c r="L496" s="336"/>
      <c r="M496" s="337"/>
      <c r="N496" s="242">
        <f t="shared" si="17"/>
        <v>3</v>
      </c>
      <c r="Q496" s="212" t="str">
        <f t="shared" si="16"/>
        <v/>
      </c>
      <c r="R496" s="174" t="s">
        <v>265</v>
      </c>
      <c r="S496" s="174" t="s">
        <v>273</v>
      </c>
      <c r="T496" s="174" t="str">
        <f>_xlfn.XLOOKUP(Buildings_GridElectricity_Backend[[#This Row],[Info 1]],Buildings_SiteInfo[Site name],Buildings_SiteInfo[Site type], "")</f>
        <v/>
      </c>
      <c r="U496" s="174" t="s">
        <v>281</v>
      </c>
      <c r="V496" s="174" t="str" cm="1">
        <f t="array" aca="1" ref="V496" ca="1">_xlfn.XLOOKUP(Buildings_GridElectricity_Backend[[#This Row],[Level 4]],rng_Level4Long,rng_Level5Long)</f>
        <v>Electricity</v>
      </c>
      <c r="W496" s="174" t="str" cm="1">
        <f t="array" aca="1" ref="W496" ca="1">_xlfn.XLOOKUP(Buildings_GridElectricity_Backend[[#This Row],[Level 4]],rng_Level4Long,rng_Level6Long)</f>
        <v>NaN</v>
      </c>
      <c r="X496" s="174">
        <f>Buildings_GridElectricity_Frontend[[#This Row],[Site Name]]</f>
        <v>0</v>
      </c>
      <c r="Y496" s="174">
        <f>Buildings_GridElectricity_Frontend[[#This Row],[Contracting]]</f>
        <v>0</v>
      </c>
      <c r="Z496" s="174">
        <f>Buildings_GridElectricity_Frontend[[#This Row],[Methodology]]</f>
        <v>0</v>
      </c>
      <c r="AA496" s="229" t="str" cm="1">
        <f t="array" ref="AA496">IF(Buildings_GridElectricity_Frontend[[#This Row],[Data]]="","",INDEX(_xlfn.SWITCH(Buildings_GridElectricity_Backend[[#This Row],[Methodology]],"Tier 1",rng_RSD1,"Tier 2",rng_RSD2,"Tier 3",rng_RSD3),MATCH(_xlfn.CONCAT(Buildings_GridElectricity_Backend[[#This Row],[Level 1]:[Level 6]]),rng_LevelsConcat,0)))</f>
        <v/>
      </c>
      <c r="AB496" s="220">
        <f>Buildings_GridElectricity_Frontend[[#This Row],[Data]]</f>
        <v>0</v>
      </c>
      <c r="AC496" s="174" t="str">
        <f>Buildings_GridElectricity_Frontend[[#This Row],[Units]]</f>
        <v>kWh</v>
      </c>
      <c r="AD496" s="218">
        <f>Buildings_GridElectricity_Frontend[[#This Row],[Data]]</f>
        <v>0</v>
      </c>
      <c r="AE496" s="174" t="str">
        <f>Buildings_GridElectricity_Frontend[[#This Row],[Units]]</f>
        <v>kWh</v>
      </c>
      <c r="AF496" s="210" t="str">
        <f>IF(Buildings_GridElectricity_Frontend[[#This Row],[Data]]="","",_xlfn.XLOOKUP(_xlfn.CONCAT(Buildings_GridElectricity_Backend[[#This Row],[Level 1]:[Level 6]]),rng_EFConcat,rng_EF1)*Buildings_GridElectricity_Backend[[#This Row],[Converted data]]/1000)</f>
        <v/>
      </c>
      <c r="AG496" s="210" t="str">
        <f>IF(Buildings_GridElectricity_Frontend[[#This Row],[Data]]="","",_xlfn.XLOOKUP(_xlfn.CONCAT(Buildings_GridElectricity_Backend[[#This Row],[Level 1]:[Level 6]]),rng_EFConcat,rng_EF2)*Buildings_GridElectricity_Backend[[#This Row],[Converted data]]/1000)</f>
        <v/>
      </c>
      <c r="AH496" s="210" t="str">
        <f>IF(Buildings_GridElectricity_Frontend[[#This Row],[Data]]="","",_xlfn.XLOOKUP(_xlfn.CONCAT(Buildings_GridElectricity_Backend[[#This Row],[Level 1]:[Level 6]]),rng_EFConcat,rng_EF3)*Buildings_GridElectricity_Backend[[#This Row],[Converted data]]/1000)</f>
        <v/>
      </c>
      <c r="AI496" s="210" t="str">
        <f>IF(Buildings_GridElectricity_Frontend[[#This Row],[Data]]="","",_xlfn.XLOOKUP(_xlfn.CONCAT(Buildings_GridElectricity_Backend[[#This Row],[Level 1]:[Level 6]]),rng_EFConcat,rng_EF3WTT)*Buildings_GridElectricity_Backend[[#This Row],[Converted data]]/1000)</f>
        <v/>
      </c>
      <c r="AJ496" s="210" t="str">
        <f>IF(Buildings_GridElectricity_Frontend[[#This Row],[Data]]="","",_xlfn.XLOOKUP(_xlfn.CONCAT(Buildings_GridElectricity_Backend[[#This Row],[Level 1]:[Level 6]]),rng_EFConcat,rng_EF3TD)*Buildings_GridElectricity_Backend[[#This Row],[Converted data]]/1000)</f>
        <v/>
      </c>
      <c r="AK496" s="210" t="str">
        <f>IF(Buildings_GridElectricity_Frontend[[#This Row],[Data]]="","",_xlfn.XLOOKUP(_xlfn.CONCAT(Buildings_GridElectricity_Backend[[#This Row],[Level 1]:[Level 6]]),rng_EFConcat,rng_EF3WTTTD)*Buildings_GridElectricity_Backend[[#This Row],[Converted data]]/1000)</f>
        <v/>
      </c>
      <c r="AL496" s="220" t="str">
        <f>IF(Buildings_GridElectricity_Frontend[[#This Row],[Data]]="","",SUM(Buildings_GridElectricity_Backend[[#This Row],[Scope 1 (tCO2e)]:[Scope 3 WTT T&amp;D (tCO2e)]]))</f>
        <v/>
      </c>
      <c r="AM496" s="220" t="str">
        <f>IF(Buildings_GridElectricity_Frontend[[#This Row],[Data]]="","",Buildings_GridElectricity_Backend[[#This Row],[Total (tCO2e)]]*(1-Buildings_GridElectricity_Backend[[#This Row],[RSD]]))</f>
        <v/>
      </c>
      <c r="AN496" s="220" t="str">
        <f>IF(Buildings_GridElectricity_Frontend[[#This Row],[Data]]="","",Buildings_GridElectricity_Backend[[#This Row],[Total (tCO2e)]]*(1+Buildings_GridElectricity_Backend[[#This Row],[RSD]]))</f>
        <v/>
      </c>
      <c r="AO496" s="210" t="str">
        <f>IF(Buildings_GridElectricity_Frontend[[#This Row],[Data]]="","",_xlfn.XLOOKUP(_xlfn.CONCAT(Buildings_GridElectricity_Backend[[#This Row],[Level 1]:[Level 6]]),rng_EFConcat,rng_EFOOS)*Buildings_GridElectricity_Backend[[#This Row],[Converted data]]/1000)</f>
        <v/>
      </c>
      <c r="AP496" s="174">
        <f>Buildings_GridElectricity_Frontend[[#This Row],[Ease of collection]]</f>
        <v>0</v>
      </c>
      <c r="AQ496" s="213">
        <f>Buildings_GridElectricity_Frontend[[#This Row],[Completeness]]</f>
        <v>0</v>
      </c>
      <c r="AR496" s="220">
        <f>Buildings_GridElectricity_Frontend[[#This Row],[Notes]]</f>
        <v>0</v>
      </c>
    </row>
    <row r="497" spans="5:44" x14ac:dyDescent="0.3">
      <c r="E497" s="346"/>
      <c r="F497" s="449"/>
      <c r="G497" s="336"/>
      <c r="H497" s="334"/>
      <c r="I497" s="172" t="s">
        <v>316</v>
      </c>
      <c r="J497" s="337"/>
      <c r="K497" s="336"/>
      <c r="L497" s="336"/>
      <c r="M497" s="337"/>
      <c r="N497" s="242">
        <f t="shared" si="17"/>
        <v>3</v>
      </c>
      <c r="Q497" s="212" t="str">
        <f t="shared" si="16"/>
        <v/>
      </c>
      <c r="R497" s="174" t="s">
        <v>265</v>
      </c>
      <c r="S497" s="174" t="s">
        <v>273</v>
      </c>
      <c r="T497" s="174" t="str">
        <f>_xlfn.XLOOKUP(Buildings_GridElectricity_Backend[[#This Row],[Info 1]],Buildings_SiteInfo[Site name],Buildings_SiteInfo[Site type], "")</f>
        <v/>
      </c>
      <c r="U497" s="174" t="s">
        <v>281</v>
      </c>
      <c r="V497" s="174" t="str" cm="1">
        <f t="array" aca="1" ref="V497" ca="1">_xlfn.XLOOKUP(Buildings_GridElectricity_Backend[[#This Row],[Level 4]],rng_Level4Long,rng_Level5Long)</f>
        <v>Electricity</v>
      </c>
      <c r="W497" s="174" t="str" cm="1">
        <f t="array" aca="1" ref="W497" ca="1">_xlfn.XLOOKUP(Buildings_GridElectricity_Backend[[#This Row],[Level 4]],rng_Level4Long,rng_Level6Long)</f>
        <v>NaN</v>
      </c>
      <c r="X497" s="174">
        <f>Buildings_GridElectricity_Frontend[[#This Row],[Site Name]]</f>
        <v>0</v>
      </c>
      <c r="Y497" s="174">
        <f>Buildings_GridElectricity_Frontend[[#This Row],[Contracting]]</f>
        <v>0</v>
      </c>
      <c r="Z497" s="174">
        <f>Buildings_GridElectricity_Frontend[[#This Row],[Methodology]]</f>
        <v>0</v>
      </c>
      <c r="AA497" s="229" t="str" cm="1">
        <f t="array" ref="AA497">IF(Buildings_GridElectricity_Frontend[[#This Row],[Data]]="","",INDEX(_xlfn.SWITCH(Buildings_GridElectricity_Backend[[#This Row],[Methodology]],"Tier 1",rng_RSD1,"Tier 2",rng_RSD2,"Tier 3",rng_RSD3),MATCH(_xlfn.CONCAT(Buildings_GridElectricity_Backend[[#This Row],[Level 1]:[Level 6]]),rng_LevelsConcat,0)))</f>
        <v/>
      </c>
      <c r="AB497" s="220">
        <f>Buildings_GridElectricity_Frontend[[#This Row],[Data]]</f>
        <v>0</v>
      </c>
      <c r="AC497" s="174" t="str">
        <f>Buildings_GridElectricity_Frontend[[#This Row],[Units]]</f>
        <v>kWh</v>
      </c>
      <c r="AD497" s="218">
        <f>Buildings_GridElectricity_Frontend[[#This Row],[Data]]</f>
        <v>0</v>
      </c>
      <c r="AE497" s="174" t="str">
        <f>Buildings_GridElectricity_Frontend[[#This Row],[Units]]</f>
        <v>kWh</v>
      </c>
      <c r="AF497" s="210" t="str">
        <f>IF(Buildings_GridElectricity_Frontend[[#This Row],[Data]]="","",_xlfn.XLOOKUP(_xlfn.CONCAT(Buildings_GridElectricity_Backend[[#This Row],[Level 1]:[Level 6]]),rng_EFConcat,rng_EF1)*Buildings_GridElectricity_Backend[[#This Row],[Converted data]]/1000)</f>
        <v/>
      </c>
      <c r="AG497" s="210" t="str">
        <f>IF(Buildings_GridElectricity_Frontend[[#This Row],[Data]]="","",_xlfn.XLOOKUP(_xlfn.CONCAT(Buildings_GridElectricity_Backend[[#This Row],[Level 1]:[Level 6]]),rng_EFConcat,rng_EF2)*Buildings_GridElectricity_Backend[[#This Row],[Converted data]]/1000)</f>
        <v/>
      </c>
      <c r="AH497" s="210" t="str">
        <f>IF(Buildings_GridElectricity_Frontend[[#This Row],[Data]]="","",_xlfn.XLOOKUP(_xlfn.CONCAT(Buildings_GridElectricity_Backend[[#This Row],[Level 1]:[Level 6]]),rng_EFConcat,rng_EF3)*Buildings_GridElectricity_Backend[[#This Row],[Converted data]]/1000)</f>
        <v/>
      </c>
      <c r="AI497" s="210" t="str">
        <f>IF(Buildings_GridElectricity_Frontend[[#This Row],[Data]]="","",_xlfn.XLOOKUP(_xlfn.CONCAT(Buildings_GridElectricity_Backend[[#This Row],[Level 1]:[Level 6]]),rng_EFConcat,rng_EF3WTT)*Buildings_GridElectricity_Backend[[#This Row],[Converted data]]/1000)</f>
        <v/>
      </c>
      <c r="AJ497" s="210" t="str">
        <f>IF(Buildings_GridElectricity_Frontend[[#This Row],[Data]]="","",_xlfn.XLOOKUP(_xlfn.CONCAT(Buildings_GridElectricity_Backend[[#This Row],[Level 1]:[Level 6]]),rng_EFConcat,rng_EF3TD)*Buildings_GridElectricity_Backend[[#This Row],[Converted data]]/1000)</f>
        <v/>
      </c>
      <c r="AK497" s="210" t="str">
        <f>IF(Buildings_GridElectricity_Frontend[[#This Row],[Data]]="","",_xlfn.XLOOKUP(_xlfn.CONCAT(Buildings_GridElectricity_Backend[[#This Row],[Level 1]:[Level 6]]),rng_EFConcat,rng_EF3WTTTD)*Buildings_GridElectricity_Backend[[#This Row],[Converted data]]/1000)</f>
        <v/>
      </c>
      <c r="AL497" s="220" t="str">
        <f>IF(Buildings_GridElectricity_Frontend[[#This Row],[Data]]="","",SUM(Buildings_GridElectricity_Backend[[#This Row],[Scope 1 (tCO2e)]:[Scope 3 WTT T&amp;D (tCO2e)]]))</f>
        <v/>
      </c>
      <c r="AM497" s="220" t="str">
        <f>IF(Buildings_GridElectricity_Frontend[[#This Row],[Data]]="","",Buildings_GridElectricity_Backend[[#This Row],[Total (tCO2e)]]*(1-Buildings_GridElectricity_Backend[[#This Row],[RSD]]))</f>
        <v/>
      </c>
      <c r="AN497" s="220" t="str">
        <f>IF(Buildings_GridElectricity_Frontend[[#This Row],[Data]]="","",Buildings_GridElectricity_Backend[[#This Row],[Total (tCO2e)]]*(1+Buildings_GridElectricity_Backend[[#This Row],[RSD]]))</f>
        <v/>
      </c>
      <c r="AO497" s="210" t="str">
        <f>IF(Buildings_GridElectricity_Frontend[[#This Row],[Data]]="","",_xlfn.XLOOKUP(_xlfn.CONCAT(Buildings_GridElectricity_Backend[[#This Row],[Level 1]:[Level 6]]),rng_EFConcat,rng_EFOOS)*Buildings_GridElectricity_Backend[[#This Row],[Converted data]]/1000)</f>
        <v/>
      </c>
      <c r="AP497" s="174">
        <f>Buildings_GridElectricity_Frontend[[#This Row],[Ease of collection]]</f>
        <v>0</v>
      </c>
      <c r="AQ497" s="213">
        <f>Buildings_GridElectricity_Frontend[[#This Row],[Completeness]]</f>
        <v>0</v>
      </c>
      <c r="AR497" s="220">
        <f>Buildings_GridElectricity_Frontend[[#This Row],[Notes]]</f>
        <v>0</v>
      </c>
    </row>
    <row r="498" spans="5:44" x14ac:dyDescent="0.3">
      <c r="E498" s="346"/>
      <c r="F498" s="449"/>
      <c r="G498" s="336"/>
      <c r="H498" s="334"/>
      <c r="I498" s="172" t="s">
        <v>316</v>
      </c>
      <c r="J498" s="337"/>
      <c r="K498" s="336"/>
      <c r="L498" s="336"/>
      <c r="M498" s="337"/>
      <c r="N498" s="242">
        <f t="shared" si="17"/>
        <v>3</v>
      </c>
      <c r="Q498" s="212" t="str">
        <f t="shared" si="16"/>
        <v/>
      </c>
      <c r="R498" s="174" t="s">
        <v>265</v>
      </c>
      <c r="S498" s="174" t="s">
        <v>273</v>
      </c>
      <c r="T498" s="174" t="str">
        <f>_xlfn.XLOOKUP(Buildings_GridElectricity_Backend[[#This Row],[Info 1]],Buildings_SiteInfo[Site name],Buildings_SiteInfo[Site type], "")</f>
        <v/>
      </c>
      <c r="U498" s="174" t="s">
        <v>281</v>
      </c>
      <c r="V498" s="174" t="str" cm="1">
        <f t="array" aca="1" ref="V498" ca="1">_xlfn.XLOOKUP(Buildings_GridElectricity_Backend[[#This Row],[Level 4]],rng_Level4Long,rng_Level5Long)</f>
        <v>Electricity</v>
      </c>
      <c r="W498" s="174" t="str" cm="1">
        <f t="array" aca="1" ref="W498" ca="1">_xlfn.XLOOKUP(Buildings_GridElectricity_Backend[[#This Row],[Level 4]],rng_Level4Long,rng_Level6Long)</f>
        <v>NaN</v>
      </c>
      <c r="X498" s="174">
        <f>Buildings_GridElectricity_Frontend[[#This Row],[Site Name]]</f>
        <v>0</v>
      </c>
      <c r="Y498" s="174">
        <f>Buildings_GridElectricity_Frontend[[#This Row],[Contracting]]</f>
        <v>0</v>
      </c>
      <c r="Z498" s="174">
        <f>Buildings_GridElectricity_Frontend[[#This Row],[Methodology]]</f>
        <v>0</v>
      </c>
      <c r="AA498" s="229" t="str" cm="1">
        <f t="array" ref="AA498">IF(Buildings_GridElectricity_Frontend[[#This Row],[Data]]="","",INDEX(_xlfn.SWITCH(Buildings_GridElectricity_Backend[[#This Row],[Methodology]],"Tier 1",rng_RSD1,"Tier 2",rng_RSD2,"Tier 3",rng_RSD3),MATCH(_xlfn.CONCAT(Buildings_GridElectricity_Backend[[#This Row],[Level 1]:[Level 6]]),rng_LevelsConcat,0)))</f>
        <v/>
      </c>
      <c r="AB498" s="220">
        <f>Buildings_GridElectricity_Frontend[[#This Row],[Data]]</f>
        <v>0</v>
      </c>
      <c r="AC498" s="174" t="str">
        <f>Buildings_GridElectricity_Frontend[[#This Row],[Units]]</f>
        <v>kWh</v>
      </c>
      <c r="AD498" s="218">
        <f>Buildings_GridElectricity_Frontend[[#This Row],[Data]]</f>
        <v>0</v>
      </c>
      <c r="AE498" s="174" t="str">
        <f>Buildings_GridElectricity_Frontend[[#This Row],[Units]]</f>
        <v>kWh</v>
      </c>
      <c r="AF498" s="210" t="str">
        <f>IF(Buildings_GridElectricity_Frontend[[#This Row],[Data]]="","",_xlfn.XLOOKUP(_xlfn.CONCAT(Buildings_GridElectricity_Backend[[#This Row],[Level 1]:[Level 6]]),rng_EFConcat,rng_EF1)*Buildings_GridElectricity_Backend[[#This Row],[Converted data]]/1000)</f>
        <v/>
      </c>
      <c r="AG498" s="210" t="str">
        <f>IF(Buildings_GridElectricity_Frontend[[#This Row],[Data]]="","",_xlfn.XLOOKUP(_xlfn.CONCAT(Buildings_GridElectricity_Backend[[#This Row],[Level 1]:[Level 6]]),rng_EFConcat,rng_EF2)*Buildings_GridElectricity_Backend[[#This Row],[Converted data]]/1000)</f>
        <v/>
      </c>
      <c r="AH498" s="210" t="str">
        <f>IF(Buildings_GridElectricity_Frontend[[#This Row],[Data]]="","",_xlfn.XLOOKUP(_xlfn.CONCAT(Buildings_GridElectricity_Backend[[#This Row],[Level 1]:[Level 6]]),rng_EFConcat,rng_EF3)*Buildings_GridElectricity_Backend[[#This Row],[Converted data]]/1000)</f>
        <v/>
      </c>
      <c r="AI498" s="210" t="str">
        <f>IF(Buildings_GridElectricity_Frontend[[#This Row],[Data]]="","",_xlfn.XLOOKUP(_xlfn.CONCAT(Buildings_GridElectricity_Backend[[#This Row],[Level 1]:[Level 6]]),rng_EFConcat,rng_EF3WTT)*Buildings_GridElectricity_Backend[[#This Row],[Converted data]]/1000)</f>
        <v/>
      </c>
      <c r="AJ498" s="210" t="str">
        <f>IF(Buildings_GridElectricity_Frontend[[#This Row],[Data]]="","",_xlfn.XLOOKUP(_xlfn.CONCAT(Buildings_GridElectricity_Backend[[#This Row],[Level 1]:[Level 6]]),rng_EFConcat,rng_EF3TD)*Buildings_GridElectricity_Backend[[#This Row],[Converted data]]/1000)</f>
        <v/>
      </c>
      <c r="AK498" s="210" t="str">
        <f>IF(Buildings_GridElectricity_Frontend[[#This Row],[Data]]="","",_xlfn.XLOOKUP(_xlfn.CONCAT(Buildings_GridElectricity_Backend[[#This Row],[Level 1]:[Level 6]]),rng_EFConcat,rng_EF3WTTTD)*Buildings_GridElectricity_Backend[[#This Row],[Converted data]]/1000)</f>
        <v/>
      </c>
      <c r="AL498" s="220" t="str">
        <f>IF(Buildings_GridElectricity_Frontend[[#This Row],[Data]]="","",SUM(Buildings_GridElectricity_Backend[[#This Row],[Scope 1 (tCO2e)]:[Scope 3 WTT T&amp;D (tCO2e)]]))</f>
        <v/>
      </c>
      <c r="AM498" s="220" t="str">
        <f>IF(Buildings_GridElectricity_Frontend[[#This Row],[Data]]="","",Buildings_GridElectricity_Backend[[#This Row],[Total (tCO2e)]]*(1-Buildings_GridElectricity_Backend[[#This Row],[RSD]]))</f>
        <v/>
      </c>
      <c r="AN498" s="220" t="str">
        <f>IF(Buildings_GridElectricity_Frontend[[#This Row],[Data]]="","",Buildings_GridElectricity_Backend[[#This Row],[Total (tCO2e)]]*(1+Buildings_GridElectricity_Backend[[#This Row],[RSD]]))</f>
        <v/>
      </c>
      <c r="AO498" s="210" t="str">
        <f>IF(Buildings_GridElectricity_Frontend[[#This Row],[Data]]="","",_xlfn.XLOOKUP(_xlfn.CONCAT(Buildings_GridElectricity_Backend[[#This Row],[Level 1]:[Level 6]]),rng_EFConcat,rng_EFOOS)*Buildings_GridElectricity_Backend[[#This Row],[Converted data]]/1000)</f>
        <v/>
      </c>
      <c r="AP498" s="174">
        <f>Buildings_GridElectricity_Frontend[[#This Row],[Ease of collection]]</f>
        <v>0</v>
      </c>
      <c r="AQ498" s="213">
        <f>Buildings_GridElectricity_Frontend[[#This Row],[Completeness]]</f>
        <v>0</v>
      </c>
      <c r="AR498" s="220">
        <f>Buildings_GridElectricity_Frontend[[#This Row],[Notes]]</f>
        <v>0</v>
      </c>
    </row>
    <row r="499" spans="5:44" x14ac:dyDescent="0.3">
      <c r="E499" s="346"/>
      <c r="F499" s="449"/>
      <c r="G499" s="336"/>
      <c r="H499" s="334"/>
      <c r="I499" s="172" t="s">
        <v>316</v>
      </c>
      <c r="J499" s="337"/>
      <c r="K499" s="336"/>
      <c r="L499" s="336"/>
      <c r="M499" s="337"/>
      <c r="N499" s="242">
        <f t="shared" si="17"/>
        <v>3</v>
      </c>
      <c r="Q499" s="212" t="str">
        <f t="shared" si="16"/>
        <v/>
      </c>
      <c r="R499" s="174" t="s">
        <v>265</v>
      </c>
      <c r="S499" s="174" t="s">
        <v>273</v>
      </c>
      <c r="T499" s="174" t="str">
        <f>_xlfn.XLOOKUP(Buildings_GridElectricity_Backend[[#This Row],[Info 1]],Buildings_SiteInfo[Site name],Buildings_SiteInfo[Site type], "")</f>
        <v/>
      </c>
      <c r="U499" s="174" t="s">
        <v>281</v>
      </c>
      <c r="V499" s="174" t="str" cm="1">
        <f t="array" aca="1" ref="V499" ca="1">_xlfn.XLOOKUP(Buildings_GridElectricity_Backend[[#This Row],[Level 4]],rng_Level4Long,rng_Level5Long)</f>
        <v>Electricity</v>
      </c>
      <c r="W499" s="174" t="str" cm="1">
        <f t="array" aca="1" ref="W499" ca="1">_xlfn.XLOOKUP(Buildings_GridElectricity_Backend[[#This Row],[Level 4]],rng_Level4Long,rng_Level6Long)</f>
        <v>NaN</v>
      </c>
      <c r="X499" s="174">
        <f>Buildings_GridElectricity_Frontend[[#This Row],[Site Name]]</f>
        <v>0</v>
      </c>
      <c r="Y499" s="174">
        <f>Buildings_GridElectricity_Frontend[[#This Row],[Contracting]]</f>
        <v>0</v>
      </c>
      <c r="Z499" s="174">
        <f>Buildings_GridElectricity_Frontend[[#This Row],[Methodology]]</f>
        <v>0</v>
      </c>
      <c r="AA499" s="229" t="str" cm="1">
        <f t="array" ref="AA499">IF(Buildings_GridElectricity_Frontend[[#This Row],[Data]]="","",INDEX(_xlfn.SWITCH(Buildings_GridElectricity_Backend[[#This Row],[Methodology]],"Tier 1",rng_RSD1,"Tier 2",rng_RSD2,"Tier 3",rng_RSD3),MATCH(_xlfn.CONCAT(Buildings_GridElectricity_Backend[[#This Row],[Level 1]:[Level 6]]),rng_LevelsConcat,0)))</f>
        <v/>
      </c>
      <c r="AB499" s="220">
        <f>Buildings_GridElectricity_Frontend[[#This Row],[Data]]</f>
        <v>0</v>
      </c>
      <c r="AC499" s="174" t="str">
        <f>Buildings_GridElectricity_Frontend[[#This Row],[Units]]</f>
        <v>kWh</v>
      </c>
      <c r="AD499" s="218">
        <f>Buildings_GridElectricity_Frontend[[#This Row],[Data]]</f>
        <v>0</v>
      </c>
      <c r="AE499" s="174" t="str">
        <f>Buildings_GridElectricity_Frontend[[#This Row],[Units]]</f>
        <v>kWh</v>
      </c>
      <c r="AF499" s="210" t="str">
        <f>IF(Buildings_GridElectricity_Frontend[[#This Row],[Data]]="","",_xlfn.XLOOKUP(_xlfn.CONCAT(Buildings_GridElectricity_Backend[[#This Row],[Level 1]:[Level 6]]),rng_EFConcat,rng_EF1)*Buildings_GridElectricity_Backend[[#This Row],[Converted data]]/1000)</f>
        <v/>
      </c>
      <c r="AG499" s="210" t="str">
        <f>IF(Buildings_GridElectricity_Frontend[[#This Row],[Data]]="","",_xlfn.XLOOKUP(_xlfn.CONCAT(Buildings_GridElectricity_Backend[[#This Row],[Level 1]:[Level 6]]),rng_EFConcat,rng_EF2)*Buildings_GridElectricity_Backend[[#This Row],[Converted data]]/1000)</f>
        <v/>
      </c>
      <c r="AH499" s="210" t="str">
        <f>IF(Buildings_GridElectricity_Frontend[[#This Row],[Data]]="","",_xlfn.XLOOKUP(_xlfn.CONCAT(Buildings_GridElectricity_Backend[[#This Row],[Level 1]:[Level 6]]),rng_EFConcat,rng_EF3)*Buildings_GridElectricity_Backend[[#This Row],[Converted data]]/1000)</f>
        <v/>
      </c>
      <c r="AI499" s="210" t="str">
        <f>IF(Buildings_GridElectricity_Frontend[[#This Row],[Data]]="","",_xlfn.XLOOKUP(_xlfn.CONCAT(Buildings_GridElectricity_Backend[[#This Row],[Level 1]:[Level 6]]),rng_EFConcat,rng_EF3WTT)*Buildings_GridElectricity_Backend[[#This Row],[Converted data]]/1000)</f>
        <v/>
      </c>
      <c r="AJ499" s="210" t="str">
        <f>IF(Buildings_GridElectricity_Frontend[[#This Row],[Data]]="","",_xlfn.XLOOKUP(_xlfn.CONCAT(Buildings_GridElectricity_Backend[[#This Row],[Level 1]:[Level 6]]),rng_EFConcat,rng_EF3TD)*Buildings_GridElectricity_Backend[[#This Row],[Converted data]]/1000)</f>
        <v/>
      </c>
      <c r="AK499" s="210" t="str">
        <f>IF(Buildings_GridElectricity_Frontend[[#This Row],[Data]]="","",_xlfn.XLOOKUP(_xlfn.CONCAT(Buildings_GridElectricity_Backend[[#This Row],[Level 1]:[Level 6]]),rng_EFConcat,rng_EF3WTTTD)*Buildings_GridElectricity_Backend[[#This Row],[Converted data]]/1000)</f>
        <v/>
      </c>
      <c r="AL499" s="220" t="str">
        <f>IF(Buildings_GridElectricity_Frontend[[#This Row],[Data]]="","",SUM(Buildings_GridElectricity_Backend[[#This Row],[Scope 1 (tCO2e)]:[Scope 3 WTT T&amp;D (tCO2e)]]))</f>
        <v/>
      </c>
      <c r="AM499" s="220" t="str">
        <f>IF(Buildings_GridElectricity_Frontend[[#This Row],[Data]]="","",Buildings_GridElectricity_Backend[[#This Row],[Total (tCO2e)]]*(1-Buildings_GridElectricity_Backend[[#This Row],[RSD]]))</f>
        <v/>
      </c>
      <c r="AN499" s="220" t="str">
        <f>IF(Buildings_GridElectricity_Frontend[[#This Row],[Data]]="","",Buildings_GridElectricity_Backend[[#This Row],[Total (tCO2e)]]*(1+Buildings_GridElectricity_Backend[[#This Row],[RSD]]))</f>
        <v/>
      </c>
      <c r="AO499" s="210" t="str">
        <f>IF(Buildings_GridElectricity_Frontend[[#This Row],[Data]]="","",_xlfn.XLOOKUP(_xlfn.CONCAT(Buildings_GridElectricity_Backend[[#This Row],[Level 1]:[Level 6]]),rng_EFConcat,rng_EFOOS)*Buildings_GridElectricity_Backend[[#This Row],[Converted data]]/1000)</f>
        <v/>
      </c>
      <c r="AP499" s="174">
        <f>Buildings_GridElectricity_Frontend[[#This Row],[Ease of collection]]</f>
        <v>0</v>
      </c>
      <c r="AQ499" s="213">
        <f>Buildings_GridElectricity_Frontend[[#This Row],[Completeness]]</f>
        <v>0</v>
      </c>
      <c r="AR499" s="220">
        <f>Buildings_GridElectricity_Frontend[[#This Row],[Notes]]</f>
        <v>0</v>
      </c>
    </row>
    <row r="500" spans="5:44" x14ac:dyDescent="0.3">
      <c r="E500" s="346"/>
      <c r="F500" s="449"/>
      <c r="G500" s="336"/>
      <c r="H500" s="334"/>
      <c r="I500" s="172" t="s">
        <v>316</v>
      </c>
      <c r="J500" s="337"/>
      <c r="K500" s="336"/>
      <c r="L500" s="336"/>
      <c r="M500" s="337"/>
      <c r="N500" s="242">
        <f t="shared" si="17"/>
        <v>3</v>
      </c>
      <c r="Q500" s="212" t="str">
        <f t="shared" si="16"/>
        <v/>
      </c>
      <c r="R500" s="174" t="s">
        <v>265</v>
      </c>
      <c r="S500" s="174" t="s">
        <v>273</v>
      </c>
      <c r="T500" s="174" t="str">
        <f>_xlfn.XLOOKUP(Buildings_GridElectricity_Backend[[#This Row],[Info 1]],Buildings_SiteInfo[Site name],Buildings_SiteInfo[Site type], "")</f>
        <v/>
      </c>
      <c r="U500" s="174" t="s">
        <v>281</v>
      </c>
      <c r="V500" s="174" t="str" cm="1">
        <f t="array" aca="1" ref="V500" ca="1">_xlfn.XLOOKUP(Buildings_GridElectricity_Backend[[#This Row],[Level 4]],rng_Level4Long,rng_Level5Long)</f>
        <v>Electricity</v>
      </c>
      <c r="W500" s="174" t="str" cm="1">
        <f t="array" aca="1" ref="W500" ca="1">_xlfn.XLOOKUP(Buildings_GridElectricity_Backend[[#This Row],[Level 4]],rng_Level4Long,rng_Level6Long)</f>
        <v>NaN</v>
      </c>
      <c r="X500" s="174">
        <f>Buildings_GridElectricity_Frontend[[#This Row],[Site Name]]</f>
        <v>0</v>
      </c>
      <c r="Y500" s="174">
        <f>Buildings_GridElectricity_Frontend[[#This Row],[Contracting]]</f>
        <v>0</v>
      </c>
      <c r="Z500" s="174">
        <f>Buildings_GridElectricity_Frontend[[#This Row],[Methodology]]</f>
        <v>0</v>
      </c>
      <c r="AA500" s="229" t="str" cm="1">
        <f t="array" ref="AA500">IF(Buildings_GridElectricity_Frontend[[#This Row],[Data]]="","",INDEX(_xlfn.SWITCH(Buildings_GridElectricity_Backend[[#This Row],[Methodology]],"Tier 1",rng_RSD1,"Tier 2",rng_RSD2,"Tier 3",rng_RSD3),MATCH(_xlfn.CONCAT(Buildings_GridElectricity_Backend[[#This Row],[Level 1]:[Level 6]]),rng_LevelsConcat,0)))</f>
        <v/>
      </c>
      <c r="AB500" s="220">
        <f>Buildings_GridElectricity_Frontend[[#This Row],[Data]]</f>
        <v>0</v>
      </c>
      <c r="AC500" s="174" t="str">
        <f>Buildings_GridElectricity_Frontend[[#This Row],[Units]]</f>
        <v>kWh</v>
      </c>
      <c r="AD500" s="218">
        <f>Buildings_GridElectricity_Frontend[[#This Row],[Data]]</f>
        <v>0</v>
      </c>
      <c r="AE500" s="174" t="str">
        <f>Buildings_GridElectricity_Frontend[[#This Row],[Units]]</f>
        <v>kWh</v>
      </c>
      <c r="AF500" s="210" t="str">
        <f>IF(Buildings_GridElectricity_Frontend[[#This Row],[Data]]="","",_xlfn.XLOOKUP(_xlfn.CONCAT(Buildings_GridElectricity_Backend[[#This Row],[Level 1]:[Level 6]]),rng_EFConcat,rng_EF1)*Buildings_GridElectricity_Backend[[#This Row],[Converted data]]/1000)</f>
        <v/>
      </c>
      <c r="AG500" s="210" t="str">
        <f>IF(Buildings_GridElectricity_Frontend[[#This Row],[Data]]="","",_xlfn.XLOOKUP(_xlfn.CONCAT(Buildings_GridElectricity_Backend[[#This Row],[Level 1]:[Level 6]]),rng_EFConcat,rng_EF2)*Buildings_GridElectricity_Backend[[#This Row],[Converted data]]/1000)</f>
        <v/>
      </c>
      <c r="AH500" s="210" t="str">
        <f>IF(Buildings_GridElectricity_Frontend[[#This Row],[Data]]="","",_xlfn.XLOOKUP(_xlfn.CONCAT(Buildings_GridElectricity_Backend[[#This Row],[Level 1]:[Level 6]]),rng_EFConcat,rng_EF3)*Buildings_GridElectricity_Backend[[#This Row],[Converted data]]/1000)</f>
        <v/>
      </c>
      <c r="AI500" s="210" t="str">
        <f>IF(Buildings_GridElectricity_Frontend[[#This Row],[Data]]="","",_xlfn.XLOOKUP(_xlfn.CONCAT(Buildings_GridElectricity_Backend[[#This Row],[Level 1]:[Level 6]]),rng_EFConcat,rng_EF3WTT)*Buildings_GridElectricity_Backend[[#This Row],[Converted data]]/1000)</f>
        <v/>
      </c>
      <c r="AJ500" s="210" t="str">
        <f>IF(Buildings_GridElectricity_Frontend[[#This Row],[Data]]="","",_xlfn.XLOOKUP(_xlfn.CONCAT(Buildings_GridElectricity_Backend[[#This Row],[Level 1]:[Level 6]]),rng_EFConcat,rng_EF3TD)*Buildings_GridElectricity_Backend[[#This Row],[Converted data]]/1000)</f>
        <v/>
      </c>
      <c r="AK500" s="210" t="str">
        <f>IF(Buildings_GridElectricity_Frontend[[#This Row],[Data]]="","",_xlfn.XLOOKUP(_xlfn.CONCAT(Buildings_GridElectricity_Backend[[#This Row],[Level 1]:[Level 6]]),rng_EFConcat,rng_EF3WTTTD)*Buildings_GridElectricity_Backend[[#This Row],[Converted data]]/1000)</f>
        <v/>
      </c>
      <c r="AL500" s="220" t="str">
        <f>IF(Buildings_GridElectricity_Frontend[[#This Row],[Data]]="","",SUM(Buildings_GridElectricity_Backend[[#This Row],[Scope 1 (tCO2e)]:[Scope 3 WTT T&amp;D (tCO2e)]]))</f>
        <v/>
      </c>
      <c r="AM500" s="220" t="str">
        <f>IF(Buildings_GridElectricity_Frontend[[#This Row],[Data]]="","",Buildings_GridElectricity_Backend[[#This Row],[Total (tCO2e)]]*(1-Buildings_GridElectricity_Backend[[#This Row],[RSD]]))</f>
        <v/>
      </c>
      <c r="AN500" s="220" t="str">
        <f>IF(Buildings_GridElectricity_Frontend[[#This Row],[Data]]="","",Buildings_GridElectricity_Backend[[#This Row],[Total (tCO2e)]]*(1+Buildings_GridElectricity_Backend[[#This Row],[RSD]]))</f>
        <v/>
      </c>
      <c r="AO500" s="210" t="str">
        <f>IF(Buildings_GridElectricity_Frontend[[#This Row],[Data]]="","",_xlfn.XLOOKUP(_xlfn.CONCAT(Buildings_GridElectricity_Backend[[#This Row],[Level 1]:[Level 6]]),rng_EFConcat,rng_EFOOS)*Buildings_GridElectricity_Backend[[#This Row],[Converted data]]/1000)</f>
        <v/>
      </c>
      <c r="AP500" s="174">
        <f>Buildings_GridElectricity_Frontend[[#This Row],[Ease of collection]]</f>
        <v>0</v>
      </c>
      <c r="AQ500" s="213">
        <f>Buildings_GridElectricity_Frontend[[#This Row],[Completeness]]</f>
        <v>0</v>
      </c>
      <c r="AR500" s="220">
        <f>Buildings_GridElectricity_Frontend[[#This Row],[Notes]]</f>
        <v>0</v>
      </c>
    </row>
    <row r="501" spans="5:44" x14ac:dyDescent="0.3">
      <c r="E501" s="346"/>
      <c r="F501" s="449"/>
      <c r="G501" s="336"/>
      <c r="H501" s="334"/>
      <c r="I501" s="172" t="s">
        <v>316</v>
      </c>
      <c r="J501" s="337"/>
      <c r="K501" s="336"/>
      <c r="L501" s="336"/>
      <c r="M501" s="337"/>
      <c r="N501" s="242">
        <f t="shared" si="17"/>
        <v>3</v>
      </c>
      <c r="Q501" s="212" t="str">
        <f t="shared" si="16"/>
        <v/>
      </c>
      <c r="R501" s="174" t="s">
        <v>265</v>
      </c>
      <c r="S501" s="174" t="s">
        <v>273</v>
      </c>
      <c r="T501" s="174" t="str">
        <f>_xlfn.XLOOKUP(Buildings_GridElectricity_Backend[[#This Row],[Info 1]],Buildings_SiteInfo[Site name],Buildings_SiteInfo[Site type], "")</f>
        <v/>
      </c>
      <c r="U501" s="174" t="s">
        <v>281</v>
      </c>
      <c r="V501" s="174" t="str" cm="1">
        <f t="array" aca="1" ref="V501" ca="1">_xlfn.XLOOKUP(Buildings_GridElectricity_Backend[[#This Row],[Level 4]],rng_Level4Long,rng_Level5Long)</f>
        <v>Electricity</v>
      </c>
      <c r="W501" s="174" t="str" cm="1">
        <f t="array" aca="1" ref="W501" ca="1">_xlfn.XLOOKUP(Buildings_GridElectricity_Backend[[#This Row],[Level 4]],rng_Level4Long,rng_Level6Long)</f>
        <v>NaN</v>
      </c>
      <c r="X501" s="174">
        <f>Buildings_GridElectricity_Frontend[[#This Row],[Site Name]]</f>
        <v>0</v>
      </c>
      <c r="Y501" s="174">
        <f>Buildings_GridElectricity_Frontend[[#This Row],[Contracting]]</f>
        <v>0</v>
      </c>
      <c r="Z501" s="174">
        <f>Buildings_GridElectricity_Frontend[[#This Row],[Methodology]]</f>
        <v>0</v>
      </c>
      <c r="AA501" s="229" t="str" cm="1">
        <f t="array" ref="AA501">IF(Buildings_GridElectricity_Frontend[[#This Row],[Data]]="","",INDEX(_xlfn.SWITCH(Buildings_GridElectricity_Backend[[#This Row],[Methodology]],"Tier 1",rng_RSD1,"Tier 2",rng_RSD2,"Tier 3",rng_RSD3),MATCH(_xlfn.CONCAT(Buildings_GridElectricity_Backend[[#This Row],[Level 1]:[Level 6]]),rng_LevelsConcat,0)))</f>
        <v/>
      </c>
      <c r="AB501" s="220">
        <f>Buildings_GridElectricity_Frontend[[#This Row],[Data]]</f>
        <v>0</v>
      </c>
      <c r="AC501" s="174" t="str">
        <f>Buildings_GridElectricity_Frontend[[#This Row],[Units]]</f>
        <v>kWh</v>
      </c>
      <c r="AD501" s="218">
        <f>Buildings_GridElectricity_Frontend[[#This Row],[Data]]</f>
        <v>0</v>
      </c>
      <c r="AE501" s="174" t="str">
        <f>Buildings_GridElectricity_Frontend[[#This Row],[Units]]</f>
        <v>kWh</v>
      </c>
      <c r="AF501" s="210" t="str">
        <f>IF(Buildings_GridElectricity_Frontend[[#This Row],[Data]]="","",_xlfn.XLOOKUP(_xlfn.CONCAT(Buildings_GridElectricity_Backend[[#This Row],[Level 1]:[Level 6]]),rng_EFConcat,rng_EF1)*Buildings_GridElectricity_Backend[[#This Row],[Converted data]]/1000)</f>
        <v/>
      </c>
      <c r="AG501" s="210" t="str">
        <f>IF(Buildings_GridElectricity_Frontend[[#This Row],[Data]]="","",_xlfn.XLOOKUP(_xlfn.CONCAT(Buildings_GridElectricity_Backend[[#This Row],[Level 1]:[Level 6]]),rng_EFConcat,rng_EF2)*Buildings_GridElectricity_Backend[[#This Row],[Converted data]]/1000)</f>
        <v/>
      </c>
      <c r="AH501" s="210" t="str">
        <f>IF(Buildings_GridElectricity_Frontend[[#This Row],[Data]]="","",_xlfn.XLOOKUP(_xlfn.CONCAT(Buildings_GridElectricity_Backend[[#This Row],[Level 1]:[Level 6]]),rng_EFConcat,rng_EF3)*Buildings_GridElectricity_Backend[[#This Row],[Converted data]]/1000)</f>
        <v/>
      </c>
      <c r="AI501" s="210" t="str">
        <f>IF(Buildings_GridElectricity_Frontend[[#This Row],[Data]]="","",_xlfn.XLOOKUP(_xlfn.CONCAT(Buildings_GridElectricity_Backend[[#This Row],[Level 1]:[Level 6]]),rng_EFConcat,rng_EF3WTT)*Buildings_GridElectricity_Backend[[#This Row],[Converted data]]/1000)</f>
        <v/>
      </c>
      <c r="AJ501" s="210" t="str">
        <f>IF(Buildings_GridElectricity_Frontend[[#This Row],[Data]]="","",_xlfn.XLOOKUP(_xlfn.CONCAT(Buildings_GridElectricity_Backend[[#This Row],[Level 1]:[Level 6]]),rng_EFConcat,rng_EF3TD)*Buildings_GridElectricity_Backend[[#This Row],[Converted data]]/1000)</f>
        <v/>
      </c>
      <c r="AK501" s="210" t="str">
        <f>IF(Buildings_GridElectricity_Frontend[[#This Row],[Data]]="","",_xlfn.XLOOKUP(_xlfn.CONCAT(Buildings_GridElectricity_Backend[[#This Row],[Level 1]:[Level 6]]),rng_EFConcat,rng_EF3WTTTD)*Buildings_GridElectricity_Backend[[#This Row],[Converted data]]/1000)</f>
        <v/>
      </c>
      <c r="AL501" s="220" t="str">
        <f>IF(Buildings_GridElectricity_Frontend[[#This Row],[Data]]="","",SUM(Buildings_GridElectricity_Backend[[#This Row],[Scope 1 (tCO2e)]:[Scope 3 WTT T&amp;D (tCO2e)]]))</f>
        <v/>
      </c>
      <c r="AM501" s="220" t="str">
        <f>IF(Buildings_GridElectricity_Frontend[[#This Row],[Data]]="","",Buildings_GridElectricity_Backend[[#This Row],[Total (tCO2e)]]*(1-Buildings_GridElectricity_Backend[[#This Row],[RSD]]))</f>
        <v/>
      </c>
      <c r="AN501" s="220" t="str">
        <f>IF(Buildings_GridElectricity_Frontend[[#This Row],[Data]]="","",Buildings_GridElectricity_Backend[[#This Row],[Total (tCO2e)]]*(1+Buildings_GridElectricity_Backend[[#This Row],[RSD]]))</f>
        <v/>
      </c>
      <c r="AO501" s="210" t="str">
        <f>IF(Buildings_GridElectricity_Frontend[[#This Row],[Data]]="","",_xlfn.XLOOKUP(_xlfn.CONCAT(Buildings_GridElectricity_Backend[[#This Row],[Level 1]:[Level 6]]),rng_EFConcat,rng_EFOOS)*Buildings_GridElectricity_Backend[[#This Row],[Converted data]]/1000)</f>
        <v/>
      </c>
      <c r="AP501" s="174">
        <f>Buildings_GridElectricity_Frontend[[#This Row],[Ease of collection]]</f>
        <v>0</v>
      </c>
      <c r="AQ501" s="213">
        <f>Buildings_GridElectricity_Frontend[[#This Row],[Completeness]]</f>
        <v>0</v>
      </c>
      <c r="AR501" s="220">
        <f>Buildings_GridElectricity_Frontend[[#This Row],[Notes]]</f>
        <v>0</v>
      </c>
    </row>
    <row r="502" spans="5:44" x14ac:dyDescent="0.3">
      <c r="E502" s="346"/>
      <c r="F502" s="449"/>
      <c r="G502" s="336"/>
      <c r="H502" s="334"/>
      <c r="I502" s="172" t="s">
        <v>316</v>
      </c>
      <c r="J502" s="337"/>
      <c r="K502" s="336"/>
      <c r="L502" s="336"/>
      <c r="M502" s="337"/>
      <c r="N502" s="242">
        <f t="shared" si="17"/>
        <v>3</v>
      </c>
      <c r="Q502" s="212" t="str">
        <f t="shared" si="16"/>
        <v/>
      </c>
      <c r="R502" s="174" t="s">
        <v>265</v>
      </c>
      <c r="S502" s="174" t="s">
        <v>273</v>
      </c>
      <c r="T502" s="174" t="str">
        <f>_xlfn.XLOOKUP(Buildings_GridElectricity_Backend[[#This Row],[Info 1]],Buildings_SiteInfo[Site name],Buildings_SiteInfo[Site type], "")</f>
        <v/>
      </c>
      <c r="U502" s="174" t="s">
        <v>281</v>
      </c>
      <c r="V502" s="174" t="str" cm="1">
        <f t="array" aca="1" ref="V502" ca="1">_xlfn.XLOOKUP(Buildings_GridElectricity_Backend[[#This Row],[Level 4]],rng_Level4Long,rng_Level5Long)</f>
        <v>Electricity</v>
      </c>
      <c r="W502" s="174" t="str" cm="1">
        <f t="array" aca="1" ref="W502" ca="1">_xlfn.XLOOKUP(Buildings_GridElectricity_Backend[[#This Row],[Level 4]],rng_Level4Long,rng_Level6Long)</f>
        <v>NaN</v>
      </c>
      <c r="X502" s="174">
        <f>Buildings_GridElectricity_Frontend[[#This Row],[Site Name]]</f>
        <v>0</v>
      </c>
      <c r="Y502" s="174">
        <f>Buildings_GridElectricity_Frontend[[#This Row],[Contracting]]</f>
        <v>0</v>
      </c>
      <c r="Z502" s="174">
        <f>Buildings_GridElectricity_Frontend[[#This Row],[Methodology]]</f>
        <v>0</v>
      </c>
      <c r="AA502" s="229" t="str" cm="1">
        <f t="array" ref="AA502">IF(Buildings_GridElectricity_Frontend[[#This Row],[Data]]="","",INDEX(_xlfn.SWITCH(Buildings_GridElectricity_Backend[[#This Row],[Methodology]],"Tier 1",rng_RSD1,"Tier 2",rng_RSD2,"Tier 3",rng_RSD3),MATCH(_xlfn.CONCAT(Buildings_GridElectricity_Backend[[#This Row],[Level 1]:[Level 6]]),rng_LevelsConcat,0)))</f>
        <v/>
      </c>
      <c r="AB502" s="220">
        <f>Buildings_GridElectricity_Frontend[[#This Row],[Data]]</f>
        <v>0</v>
      </c>
      <c r="AC502" s="174" t="str">
        <f>Buildings_GridElectricity_Frontend[[#This Row],[Units]]</f>
        <v>kWh</v>
      </c>
      <c r="AD502" s="218">
        <f>Buildings_GridElectricity_Frontend[[#This Row],[Data]]</f>
        <v>0</v>
      </c>
      <c r="AE502" s="174" t="str">
        <f>Buildings_GridElectricity_Frontend[[#This Row],[Units]]</f>
        <v>kWh</v>
      </c>
      <c r="AF502" s="210" t="str">
        <f>IF(Buildings_GridElectricity_Frontend[[#This Row],[Data]]="","",_xlfn.XLOOKUP(_xlfn.CONCAT(Buildings_GridElectricity_Backend[[#This Row],[Level 1]:[Level 6]]),rng_EFConcat,rng_EF1)*Buildings_GridElectricity_Backend[[#This Row],[Converted data]]/1000)</f>
        <v/>
      </c>
      <c r="AG502" s="210" t="str">
        <f>IF(Buildings_GridElectricity_Frontend[[#This Row],[Data]]="","",_xlfn.XLOOKUP(_xlfn.CONCAT(Buildings_GridElectricity_Backend[[#This Row],[Level 1]:[Level 6]]),rng_EFConcat,rng_EF2)*Buildings_GridElectricity_Backend[[#This Row],[Converted data]]/1000)</f>
        <v/>
      </c>
      <c r="AH502" s="210" t="str">
        <f>IF(Buildings_GridElectricity_Frontend[[#This Row],[Data]]="","",_xlfn.XLOOKUP(_xlfn.CONCAT(Buildings_GridElectricity_Backend[[#This Row],[Level 1]:[Level 6]]),rng_EFConcat,rng_EF3)*Buildings_GridElectricity_Backend[[#This Row],[Converted data]]/1000)</f>
        <v/>
      </c>
      <c r="AI502" s="210" t="str">
        <f>IF(Buildings_GridElectricity_Frontend[[#This Row],[Data]]="","",_xlfn.XLOOKUP(_xlfn.CONCAT(Buildings_GridElectricity_Backend[[#This Row],[Level 1]:[Level 6]]),rng_EFConcat,rng_EF3WTT)*Buildings_GridElectricity_Backend[[#This Row],[Converted data]]/1000)</f>
        <v/>
      </c>
      <c r="AJ502" s="210" t="str">
        <f>IF(Buildings_GridElectricity_Frontend[[#This Row],[Data]]="","",_xlfn.XLOOKUP(_xlfn.CONCAT(Buildings_GridElectricity_Backend[[#This Row],[Level 1]:[Level 6]]),rng_EFConcat,rng_EF3TD)*Buildings_GridElectricity_Backend[[#This Row],[Converted data]]/1000)</f>
        <v/>
      </c>
      <c r="AK502" s="210" t="str">
        <f>IF(Buildings_GridElectricity_Frontend[[#This Row],[Data]]="","",_xlfn.XLOOKUP(_xlfn.CONCAT(Buildings_GridElectricity_Backend[[#This Row],[Level 1]:[Level 6]]),rng_EFConcat,rng_EF3WTTTD)*Buildings_GridElectricity_Backend[[#This Row],[Converted data]]/1000)</f>
        <v/>
      </c>
      <c r="AL502" s="220" t="str">
        <f>IF(Buildings_GridElectricity_Frontend[[#This Row],[Data]]="","",SUM(Buildings_GridElectricity_Backend[[#This Row],[Scope 1 (tCO2e)]:[Scope 3 WTT T&amp;D (tCO2e)]]))</f>
        <v/>
      </c>
      <c r="AM502" s="220" t="str">
        <f>IF(Buildings_GridElectricity_Frontend[[#This Row],[Data]]="","",Buildings_GridElectricity_Backend[[#This Row],[Total (tCO2e)]]*(1-Buildings_GridElectricity_Backend[[#This Row],[RSD]]))</f>
        <v/>
      </c>
      <c r="AN502" s="220" t="str">
        <f>IF(Buildings_GridElectricity_Frontend[[#This Row],[Data]]="","",Buildings_GridElectricity_Backend[[#This Row],[Total (tCO2e)]]*(1+Buildings_GridElectricity_Backend[[#This Row],[RSD]]))</f>
        <v/>
      </c>
      <c r="AO502" s="210" t="str">
        <f>IF(Buildings_GridElectricity_Frontend[[#This Row],[Data]]="","",_xlfn.XLOOKUP(_xlfn.CONCAT(Buildings_GridElectricity_Backend[[#This Row],[Level 1]:[Level 6]]),rng_EFConcat,rng_EFOOS)*Buildings_GridElectricity_Backend[[#This Row],[Converted data]]/1000)</f>
        <v/>
      </c>
      <c r="AP502" s="174">
        <f>Buildings_GridElectricity_Frontend[[#This Row],[Ease of collection]]</f>
        <v>0</v>
      </c>
      <c r="AQ502" s="213">
        <f>Buildings_GridElectricity_Frontend[[#This Row],[Completeness]]</f>
        <v>0</v>
      </c>
      <c r="AR502" s="220">
        <f>Buildings_GridElectricity_Frontend[[#This Row],[Notes]]</f>
        <v>0</v>
      </c>
    </row>
    <row r="503" spans="5:44" x14ac:dyDescent="0.3">
      <c r="E503" s="346"/>
      <c r="F503" s="449"/>
      <c r="G503" s="336"/>
      <c r="H503" s="334"/>
      <c r="I503" s="172" t="s">
        <v>316</v>
      </c>
      <c r="J503" s="337"/>
      <c r="K503" s="336"/>
      <c r="L503" s="336"/>
      <c r="M503" s="337"/>
      <c r="N503" s="242">
        <f t="shared" si="17"/>
        <v>3</v>
      </c>
      <c r="Q503" s="212" t="str">
        <f t="shared" si="16"/>
        <v/>
      </c>
      <c r="R503" s="174" t="s">
        <v>265</v>
      </c>
      <c r="S503" s="174" t="s">
        <v>273</v>
      </c>
      <c r="T503" s="174" t="str">
        <f>_xlfn.XLOOKUP(Buildings_GridElectricity_Backend[[#This Row],[Info 1]],Buildings_SiteInfo[Site name],Buildings_SiteInfo[Site type], "")</f>
        <v/>
      </c>
      <c r="U503" s="174" t="s">
        <v>281</v>
      </c>
      <c r="V503" s="174" t="str" cm="1">
        <f t="array" aca="1" ref="V503" ca="1">_xlfn.XLOOKUP(Buildings_GridElectricity_Backend[[#This Row],[Level 4]],rng_Level4Long,rng_Level5Long)</f>
        <v>Electricity</v>
      </c>
      <c r="W503" s="174" t="str" cm="1">
        <f t="array" aca="1" ref="W503" ca="1">_xlfn.XLOOKUP(Buildings_GridElectricity_Backend[[#This Row],[Level 4]],rng_Level4Long,rng_Level6Long)</f>
        <v>NaN</v>
      </c>
      <c r="X503" s="174">
        <f>Buildings_GridElectricity_Frontend[[#This Row],[Site Name]]</f>
        <v>0</v>
      </c>
      <c r="Y503" s="174">
        <f>Buildings_GridElectricity_Frontend[[#This Row],[Contracting]]</f>
        <v>0</v>
      </c>
      <c r="Z503" s="174">
        <f>Buildings_GridElectricity_Frontend[[#This Row],[Methodology]]</f>
        <v>0</v>
      </c>
      <c r="AA503" s="229" t="str" cm="1">
        <f t="array" ref="AA503">IF(Buildings_GridElectricity_Frontend[[#This Row],[Data]]="","",INDEX(_xlfn.SWITCH(Buildings_GridElectricity_Backend[[#This Row],[Methodology]],"Tier 1",rng_RSD1,"Tier 2",rng_RSD2,"Tier 3",rng_RSD3),MATCH(_xlfn.CONCAT(Buildings_GridElectricity_Backend[[#This Row],[Level 1]:[Level 6]]),rng_LevelsConcat,0)))</f>
        <v/>
      </c>
      <c r="AB503" s="220">
        <f>Buildings_GridElectricity_Frontend[[#This Row],[Data]]</f>
        <v>0</v>
      </c>
      <c r="AC503" s="174" t="str">
        <f>Buildings_GridElectricity_Frontend[[#This Row],[Units]]</f>
        <v>kWh</v>
      </c>
      <c r="AD503" s="218">
        <f>Buildings_GridElectricity_Frontend[[#This Row],[Data]]</f>
        <v>0</v>
      </c>
      <c r="AE503" s="174" t="str">
        <f>Buildings_GridElectricity_Frontend[[#This Row],[Units]]</f>
        <v>kWh</v>
      </c>
      <c r="AF503" s="210" t="str">
        <f>IF(Buildings_GridElectricity_Frontend[[#This Row],[Data]]="","",_xlfn.XLOOKUP(_xlfn.CONCAT(Buildings_GridElectricity_Backend[[#This Row],[Level 1]:[Level 6]]),rng_EFConcat,rng_EF1)*Buildings_GridElectricity_Backend[[#This Row],[Converted data]]/1000)</f>
        <v/>
      </c>
      <c r="AG503" s="210" t="str">
        <f>IF(Buildings_GridElectricity_Frontend[[#This Row],[Data]]="","",_xlfn.XLOOKUP(_xlfn.CONCAT(Buildings_GridElectricity_Backend[[#This Row],[Level 1]:[Level 6]]),rng_EFConcat,rng_EF2)*Buildings_GridElectricity_Backend[[#This Row],[Converted data]]/1000)</f>
        <v/>
      </c>
      <c r="AH503" s="210" t="str">
        <f>IF(Buildings_GridElectricity_Frontend[[#This Row],[Data]]="","",_xlfn.XLOOKUP(_xlfn.CONCAT(Buildings_GridElectricity_Backend[[#This Row],[Level 1]:[Level 6]]),rng_EFConcat,rng_EF3)*Buildings_GridElectricity_Backend[[#This Row],[Converted data]]/1000)</f>
        <v/>
      </c>
      <c r="AI503" s="210" t="str">
        <f>IF(Buildings_GridElectricity_Frontend[[#This Row],[Data]]="","",_xlfn.XLOOKUP(_xlfn.CONCAT(Buildings_GridElectricity_Backend[[#This Row],[Level 1]:[Level 6]]),rng_EFConcat,rng_EF3WTT)*Buildings_GridElectricity_Backend[[#This Row],[Converted data]]/1000)</f>
        <v/>
      </c>
      <c r="AJ503" s="210" t="str">
        <f>IF(Buildings_GridElectricity_Frontend[[#This Row],[Data]]="","",_xlfn.XLOOKUP(_xlfn.CONCAT(Buildings_GridElectricity_Backend[[#This Row],[Level 1]:[Level 6]]),rng_EFConcat,rng_EF3TD)*Buildings_GridElectricity_Backend[[#This Row],[Converted data]]/1000)</f>
        <v/>
      </c>
      <c r="AK503" s="210" t="str">
        <f>IF(Buildings_GridElectricity_Frontend[[#This Row],[Data]]="","",_xlfn.XLOOKUP(_xlfn.CONCAT(Buildings_GridElectricity_Backend[[#This Row],[Level 1]:[Level 6]]),rng_EFConcat,rng_EF3WTTTD)*Buildings_GridElectricity_Backend[[#This Row],[Converted data]]/1000)</f>
        <v/>
      </c>
      <c r="AL503" s="220" t="str">
        <f>IF(Buildings_GridElectricity_Frontend[[#This Row],[Data]]="","",SUM(Buildings_GridElectricity_Backend[[#This Row],[Scope 1 (tCO2e)]:[Scope 3 WTT T&amp;D (tCO2e)]]))</f>
        <v/>
      </c>
      <c r="AM503" s="220" t="str">
        <f>IF(Buildings_GridElectricity_Frontend[[#This Row],[Data]]="","",Buildings_GridElectricity_Backend[[#This Row],[Total (tCO2e)]]*(1-Buildings_GridElectricity_Backend[[#This Row],[RSD]]))</f>
        <v/>
      </c>
      <c r="AN503" s="220" t="str">
        <f>IF(Buildings_GridElectricity_Frontend[[#This Row],[Data]]="","",Buildings_GridElectricity_Backend[[#This Row],[Total (tCO2e)]]*(1+Buildings_GridElectricity_Backend[[#This Row],[RSD]]))</f>
        <v/>
      </c>
      <c r="AO503" s="210" t="str">
        <f>IF(Buildings_GridElectricity_Frontend[[#This Row],[Data]]="","",_xlfn.XLOOKUP(_xlfn.CONCAT(Buildings_GridElectricity_Backend[[#This Row],[Level 1]:[Level 6]]),rng_EFConcat,rng_EFOOS)*Buildings_GridElectricity_Backend[[#This Row],[Converted data]]/1000)</f>
        <v/>
      </c>
      <c r="AP503" s="174">
        <f>Buildings_GridElectricity_Frontend[[#This Row],[Ease of collection]]</f>
        <v>0</v>
      </c>
      <c r="AQ503" s="213">
        <f>Buildings_GridElectricity_Frontend[[#This Row],[Completeness]]</f>
        <v>0</v>
      </c>
      <c r="AR503" s="220">
        <f>Buildings_GridElectricity_Frontend[[#This Row],[Notes]]</f>
        <v>0</v>
      </c>
    </row>
    <row r="504" spans="5:44" x14ac:dyDescent="0.3">
      <c r="E504" s="346"/>
      <c r="F504" s="449"/>
      <c r="G504" s="336"/>
      <c r="H504" s="334"/>
      <c r="I504" s="172" t="s">
        <v>316</v>
      </c>
      <c r="J504" s="337"/>
      <c r="K504" s="336"/>
      <c r="L504" s="336"/>
      <c r="M504" s="337"/>
      <c r="N504" s="242">
        <f t="shared" si="17"/>
        <v>3</v>
      </c>
      <c r="Q504" s="212" t="str">
        <f t="shared" si="16"/>
        <v/>
      </c>
      <c r="R504" s="174" t="s">
        <v>265</v>
      </c>
      <c r="S504" s="174" t="s">
        <v>273</v>
      </c>
      <c r="T504" s="174" t="str">
        <f>_xlfn.XLOOKUP(Buildings_GridElectricity_Backend[[#This Row],[Info 1]],Buildings_SiteInfo[Site name],Buildings_SiteInfo[Site type], "")</f>
        <v/>
      </c>
      <c r="U504" s="174" t="s">
        <v>281</v>
      </c>
      <c r="V504" s="174" t="str" cm="1">
        <f t="array" aca="1" ref="V504" ca="1">_xlfn.XLOOKUP(Buildings_GridElectricity_Backend[[#This Row],[Level 4]],rng_Level4Long,rng_Level5Long)</f>
        <v>Electricity</v>
      </c>
      <c r="W504" s="174" t="str" cm="1">
        <f t="array" aca="1" ref="W504" ca="1">_xlfn.XLOOKUP(Buildings_GridElectricity_Backend[[#This Row],[Level 4]],rng_Level4Long,rng_Level6Long)</f>
        <v>NaN</v>
      </c>
      <c r="X504" s="174">
        <f>Buildings_GridElectricity_Frontend[[#This Row],[Site Name]]</f>
        <v>0</v>
      </c>
      <c r="Y504" s="174">
        <f>Buildings_GridElectricity_Frontend[[#This Row],[Contracting]]</f>
        <v>0</v>
      </c>
      <c r="Z504" s="174">
        <f>Buildings_GridElectricity_Frontend[[#This Row],[Methodology]]</f>
        <v>0</v>
      </c>
      <c r="AA504" s="229" t="str" cm="1">
        <f t="array" ref="AA504">IF(Buildings_GridElectricity_Frontend[[#This Row],[Data]]="","",INDEX(_xlfn.SWITCH(Buildings_GridElectricity_Backend[[#This Row],[Methodology]],"Tier 1",rng_RSD1,"Tier 2",rng_RSD2,"Tier 3",rng_RSD3),MATCH(_xlfn.CONCAT(Buildings_GridElectricity_Backend[[#This Row],[Level 1]:[Level 6]]),rng_LevelsConcat,0)))</f>
        <v/>
      </c>
      <c r="AB504" s="220">
        <f>Buildings_GridElectricity_Frontend[[#This Row],[Data]]</f>
        <v>0</v>
      </c>
      <c r="AC504" s="174" t="str">
        <f>Buildings_GridElectricity_Frontend[[#This Row],[Units]]</f>
        <v>kWh</v>
      </c>
      <c r="AD504" s="218">
        <f>Buildings_GridElectricity_Frontend[[#This Row],[Data]]</f>
        <v>0</v>
      </c>
      <c r="AE504" s="174" t="str">
        <f>Buildings_GridElectricity_Frontend[[#This Row],[Units]]</f>
        <v>kWh</v>
      </c>
      <c r="AF504" s="210" t="str">
        <f>IF(Buildings_GridElectricity_Frontend[[#This Row],[Data]]="","",_xlfn.XLOOKUP(_xlfn.CONCAT(Buildings_GridElectricity_Backend[[#This Row],[Level 1]:[Level 6]]),rng_EFConcat,rng_EF1)*Buildings_GridElectricity_Backend[[#This Row],[Converted data]]/1000)</f>
        <v/>
      </c>
      <c r="AG504" s="210" t="str">
        <f>IF(Buildings_GridElectricity_Frontend[[#This Row],[Data]]="","",_xlfn.XLOOKUP(_xlfn.CONCAT(Buildings_GridElectricity_Backend[[#This Row],[Level 1]:[Level 6]]),rng_EFConcat,rng_EF2)*Buildings_GridElectricity_Backend[[#This Row],[Converted data]]/1000)</f>
        <v/>
      </c>
      <c r="AH504" s="210" t="str">
        <f>IF(Buildings_GridElectricity_Frontend[[#This Row],[Data]]="","",_xlfn.XLOOKUP(_xlfn.CONCAT(Buildings_GridElectricity_Backend[[#This Row],[Level 1]:[Level 6]]),rng_EFConcat,rng_EF3)*Buildings_GridElectricity_Backend[[#This Row],[Converted data]]/1000)</f>
        <v/>
      </c>
      <c r="AI504" s="210" t="str">
        <f>IF(Buildings_GridElectricity_Frontend[[#This Row],[Data]]="","",_xlfn.XLOOKUP(_xlfn.CONCAT(Buildings_GridElectricity_Backend[[#This Row],[Level 1]:[Level 6]]),rng_EFConcat,rng_EF3WTT)*Buildings_GridElectricity_Backend[[#This Row],[Converted data]]/1000)</f>
        <v/>
      </c>
      <c r="AJ504" s="210" t="str">
        <f>IF(Buildings_GridElectricity_Frontend[[#This Row],[Data]]="","",_xlfn.XLOOKUP(_xlfn.CONCAT(Buildings_GridElectricity_Backend[[#This Row],[Level 1]:[Level 6]]),rng_EFConcat,rng_EF3TD)*Buildings_GridElectricity_Backend[[#This Row],[Converted data]]/1000)</f>
        <v/>
      </c>
      <c r="AK504" s="210" t="str">
        <f>IF(Buildings_GridElectricity_Frontend[[#This Row],[Data]]="","",_xlfn.XLOOKUP(_xlfn.CONCAT(Buildings_GridElectricity_Backend[[#This Row],[Level 1]:[Level 6]]),rng_EFConcat,rng_EF3WTTTD)*Buildings_GridElectricity_Backend[[#This Row],[Converted data]]/1000)</f>
        <v/>
      </c>
      <c r="AL504" s="220" t="str">
        <f>IF(Buildings_GridElectricity_Frontend[[#This Row],[Data]]="","",SUM(Buildings_GridElectricity_Backend[[#This Row],[Scope 1 (tCO2e)]:[Scope 3 WTT T&amp;D (tCO2e)]]))</f>
        <v/>
      </c>
      <c r="AM504" s="220" t="str">
        <f>IF(Buildings_GridElectricity_Frontend[[#This Row],[Data]]="","",Buildings_GridElectricity_Backend[[#This Row],[Total (tCO2e)]]*(1-Buildings_GridElectricity_Backend[[#This Row],[RSD]]))</f>
        <v/>
      </c>
      <c r="AN504" s="220" t="str">
        <f>IF(Buildings_GridElectricity_Frontend[[#This Row],[Data]]="","",Buildings_GridElectricity_Backend[[#This Row],[Total (tCO2e)]]*(1+Buildings_GridElectricity_Backend[[#This Row],[RSD]]))</f>
        <v/>
      </c>
      <c r="AO504" s="210" t="str">
        <f>IF(Buildings_GridElectricity_Frontend[[#This Row],[Data]]="","",_xlfn.XLOOKUP(_xlfn.CONCAT(Buildings_GridElectricity_Backend[[#This Row],[Level 1]:[Level 6]]),rng_EFConcat,rng_EFOOS)*Buildings_GridElectricity_Backend[[#This Row],[Converted data]]/1000)</f>
        <v/>
      </c>
      <c r="AP504" s="174">
        <f>Buildings_GridElectricity_Frontend[[#This Row],[Ease of collection]]</f>
        <v>0</v>
      </c>
      <c r="AQ504" s="213">
        <f>Buildings_GridElectricity_Frontend[[#This Row],[Completeness]]</f>
        <v>0</v>
      </c>
      <c r="AR504" s="220">
        <f>Buildings_GridElectricity_Frontend[[#This Row],[Notes]]</f>
        <v>0</v>
      </c>
    </row>
    <row r="505" spans="5:44" x14ac:dyDescent="0.3">
      <c r="E505" s="346"/>
      <c r="F505" s="449"/>
      <c r="G505" s="336"/>
      <c r="H505" s="334"/>
      <c r="I505" s="172" t="s">
        <v>316</v>
      </c>
      <c r="J505" s="337"/>
      <c r="K505" s="336"/>
      <c r="L505" s="336"/>
      <c r="M505" s="337"/>
      <c r="N505" s="242">
        <f t="shared" si="17"/>
        <v>3</v>
      </c>
      <c r="Q505" s="212" t="str">
        <f t="shared" si="16"/>
        <v/>
      </c>
      <c r="R505" s="174" t="s">
        <v>265</v>
      </c>
      <c r="S505" s="174" t="s">
        <v>273</v>
      </c>
      <c r="T505" s="174" t="str">
        <f>_xlfn.XLOOKUP(Buildings_GridElectricity_Backend[[#This Row],[Info 1]],Buildings_SiteInfo[Site name],Buildings_SiteInfo[Site type], "")</f>
        <v/>
      </c>
      <c r="U505" s="174" t="s">
        <v>281</v>
      </c>
      <c r="V505" s="174" t="str" cm="1">
        <f t="array" aca="1" ref="V505" ca="1">_xlfn.XLOOKUP(Buildings_GridElectricity_Backend[[#This Row],[Level 4]],rng_Level4Long,rng_Level5Long)</f>
        <v>Electricity</v>
      </c>
      <c r="W505" s="174" t="str" cm="1">
        <f t="array" aca="1" ref="W505" ca="1">_xlfn.XLOOKUP(Buildings_GridElectricity_Backend[[#This Row],[Level 4]],rng_Level4Long,rng_Level6Long)</f>
        <v>NaN</v>
      </c>
      <c r="X505" s="174">
        <f>Buildings_GridElectricity_Frontend[[#This Row],[Site Name]]</f>
        <v>0</v>
      </c>
      <c r="Y505" s="174">
        <f>Buildings_GridElectricity_Frontend[[#This Row],[Contracting]]</f>
        <v>0</v>
      </c>
      <c r="Z505" s="174">
        <f>Buildings_GridElectricity_Frontend[[#This Row],[Methodology]]</f>
        <v>0</v>
      </c>
      <c r="AA505" s="229" t="str" cm="1">
        <f t="array" ref="AA505">IF(Buildings_GridElectricity_Frontend[[#This Row],[Data]]="","",INDEX(_xlfn.SWITCH(Buildings_GridElectricity_Backend[[#This Row],[Methodology]],"Tier 1",rng_RSD1,"Tier 2",rng_RSD2,"Tier 3",rng_RSD3),MATCH(_xlfn.CONCAT(Buildings_GridElectricity_Backend[[#This Row],[Level 1]:[Level 6]]),rng_LevelsConcat,0)))</f>
        <v/>
      </c>
      <c r="AB505" s="220">
        <f>Buildings_GridElectricity_Frontend[[#This Row],[Data]]</f>
        <v>0</v>
      </c>
      <c r="AC505" s="174" t="str">
        <f>Buildings_GridElectricity_Frontend[[#This Row],[Units]]</f>
        <v>kWh</v>
      </c>
      <c r="AD505" s="218">
        <f>Buildings_GridElectricity_Frontend[[#This Row],[Data]]</f>
        <v>0</v>
      </c>
      <c r="AE505" s="174" t="str">
        <f>Buildings_GridElectricity_Frontend[[#This Row],[Units]]</f>
        <v>kWh</v>
      </c>
      <c r="AF505" s="210" t="str">
        <f>IF(Buildings_GridElectricity_Frontend[[#This Row],[Data]]="","",_xlfn.XLOOKUP(_xlfn.CONCAT(Buildings_GridElectricity_Backend[[#This Row],[Level 1]:[Level 6]]),rng_EFConcat,rng_EF1)*Buildings_GridElectricity_Backend[[#This Row],[Converted data]]/1000)</f>
        <v/>
      </c>
      <c r="AG505" s="210" t="str">
        <f>IF(Buildings_GridElectricity_Frontend[[#This Row],[Data]]="","",_xlfn.XLOOKUP(_xlfn.CONCAT(Buildings_GridElectricity_Backend[[#This Row],[Level 1]:[Level 6]]),rng_EFConcat,rng_EF2)*Buildings_GridElectricity_Backend[[#This Row],[Converted data]]/1000)</f>
        <v/>
      </c>
      <c r="AH505" s="210" t="str">
        <f>IF(Buildings_GridElectricity_Frontend[[#This Row],[Data]]="","",_xlfn.XLOOKUP(_xlfn.CONCAT(Buildings_GridElectricity_Backend[[#This Row],[Level 1]:[Level 6]]),rng_EFConcat,rng_EF3)*Buildings_GridElectricity_Backend[[#This Row],[Converted data]]/1000)</f>
        <v/>
      </c>
      <c r="AI505" s="210" t="str">
        <f>IF(Buildings_GridElectricity_Frontend[[#This Row],[Data]]="","",_xlfn.XLOOKUP(_xlfn.CONCAT(Buildings_GridElectricity_Backend[[#This Row],[Level 1]:[Level 6]]),rng_EFConcat,rng_EF3WTT)*Buildings_GridElectricity_Backend[[#This Row],[Converted data]]/1000)</f>
        <v/>
      </c>
      <c r="AJ505" s="210" t="str">
        <f>IF(Buildings_GridElectricity_Frontend[[#This Row],[Data]]="","",_xlfn.XLOOKUP(_xlfn.CONCAT(Buildings_GridElectricity_Backend[[#This Row],[Level 1]:[Level 6]]),rng_EFConcat,rng_EF3TD)*Buildings_GridElectricity_Backend[[#This Row],[Converted data]]/1000)</f>
        <v/>
      </c>
      <c r="AK505" s="210" t="str">
        <f>IF(Buildings_GridElectricity_Frontend[[#This Row],[Data]]="","",_xlfn.XLOOKUP(_xlfn.CONCAT(Buildings_GridElectricity_Backend[[#This Row],[Level 1]:[Level 6]]),rng_EFConcat,rng_EF3WTTTD)*Buildings_GridElectricity_Backend[[#This Row],[Converted data]]/1000)</f>
        <v/>
      </c>
      <c r="AL505" s="220" t="str">
        <f>IF(Buildings_GridElectricity_Frontend[[#This Row],[Data]]="","",SUM(Buildings_GridElectricity_Backend[[#This Row],[Scope 1 (tCO2e)]:[Scope 3 WTT T&amp;D (tCO2e)]]))</f>
        <v/>
      </c>
      <c r="AM505" s="220" t="str">
        <f>IF(Buildings_GridElectricity_Frontend[[#This Row],[Data]]="","",Buildings_GridElectricity_Backend[[#This Row],[Total (tCO2e)]]*(1-Buildings_GridElectricity_Backend[[#This Row],[RSD]]))</f>
        <v/>
      </c>
      <c r="AN505" s="220" t="str">
        <f>IF(Buildings_GridElectricity_Frontend[[#This Row],[Data]]="","",Buildings_GridElectricity_Backend[[#This Row],[Total (tCO2e)]]*(1+Buildings_GridElectricity_Backend[[#This Row],[RSD]]))</f>
        <v/>
      </c>
      <c r="AO505" s="210" t="str">
        <f>IF(Buildings_GridElectricity_Frontend[[#This Row],[Data]]="","",_xlfn.XLOOKUP(_xlfn.CONCAT(Buildings_GridElectricity_Backend[[#This Row],[Level 1]:[Level 6]]),rng_EFConcat,rng_EFOOS)*Buildings_GridElectricity_Backend[[#This Row],[Converted data]]/1000)</f>
        <v/>
      </c>
      <c r="AP505" s="174">
        <f>Buildings_GridElectricity_Frontend[[#This Row],[Ease of collection]]</f>
        <v>0</v>
      </c>
      <c r="AQ505" s="213">
        <f>Buildings_GridElectricity_Frontend[[#This Row],[Completeness]]</f>
        <v>0</v>
      </c>
      <c r="AR505" s="220">
        <f>Buildings_GridElectricity_Frontend[[#This Row],[Notes]]</f>
        <v>0</v>
      </c>
    </row>
    <row r="506" spans="5:44" x14ac:dyDescent="0.3">
      <c r="E506" s="346"/>
      <c r="F506" s="449"/>
      <c r="G506" s="336"/>
      <c r="H506" s="334"/>
      <c r="I506" s="172" t="s">
        <v>316</v>
      </c>
      <c r="J506" s="337"/>
      <c r="K506" s="336"/>
      <c r="L506" s="336"/>
      <c r="M506" s="337"/>
      <c r="N506" s="242">
        <f t="shared" si="17"/>
        <v>3</v>
      </c>
      <c r="Q506" s="212" t="str">
        <f t="shared" si="16"/>
        <v/>
      </c>
      <c r="R506" s="174" t="s">
        <v>265</v>
      </c>
      <c r="S506" s="174" t="s">
        <v>273</v>
      </c>
      <c r="T506" s="174" t="str">
        <f>_xlfn.XLOOKUP(Buildings_GridElectricity_Backend[[#This Row],[Info 1]],Buildings_SiteInfo[Site name],Buildings_SiteInfo[Site type], "")</f>
        <v/>
      </c>
      <c r="U506" s="174" t="s">
        <v>281</v>
      </c>
      <c r="V506" s="174" t="str" cm="1">
        <f t="array" aca="1" ref="V506" ca="1">_xlfn.XLOOKUP(Buildings_GridElectricity_Backend[[#This Row],[Level 4]],rng_Level4Long,rng_Level5Long)</f>
        <v>Electricity</v>
      </c>
      <c r="W506" s="174" t="str" cm="1">
        <f t="array" aca="1" ref="W506" ca="1">_xlfn.XLOOKUP(Buildings_GridElectricity_Backend[[#This Row],[Level 4]],rng_Level4Long,rng_Level6Long)</f>
        <v>NaN</v>
      </c>
      <c r="X506" s="174">
        <f>Buildings_GridElectricity_Frontend[[#This Row],[Site Name]]</f>
        <v>0</v>
      </c>
      <c r="Y506" s="174">
        <f>Buildings_GridElectricity_Frontend[[#This Row],[Contracting]]</f>
        <v>0</v>
      </c>
      <c r="Z506" s="174">
        <f>Buildings_GridElectricity_Frontend[[#This Row],[Methodology]]</f>
        <v>0</v>
      </c>
      <c r="AA506" s="229" t="str" cm="1">
        <f t="array" ref="AA506">IF(Buildings_GridElectricity_Frontend[[#This Row],[Data]]="","",INDEX(_xlfn.SWITCH(Buildings_GridElectricity_Backend[[#This Row],[Methodology]],"Tier 1",rng_RSD1,"Tier 2",rng_RSD2,"Tier 3",rng_RSD3),MATCH(_xlfn.CONCAT(Buildings_GridElectricity_Backend[[#This Row],[Level 1]:[Level 6]]),rng_LevelsConcat,0)))</f>
        <v/>
      </c>
      <c r="AB506" s="220">
        <f>Buildings_GridElectricity_Frontend[[#This Row],[Data]]</f>
        <v>0</v>
      </c>
      <c r="AC506" s="174" t="str">
        <f>Buildings_GridElectricity_Frontend[[#This Row],[Units]]</f>
        <v>kWh</v>
      </c>
      <c r="AD506" s="218">
        <f>Buildings_GridElectricity_Frontend[[#This Row],[Data]]</f>
        <v>0</v>
      </c>
      <c r="AE506" s="174" t="str">
        <f>Buildings_GridElectricity_Frontend[[#This Row],[Units]]</f>
        <v>kWh</v>
      </c>
      <c r="AF506" s="210" t="str">
        <f>IF(Buildings_GridElectricity_Frontend[[#This Row],[Data]]="","",_xlfn.XLOOKUP(_xlfn.CONCAT(Buildings_GridElectricity_Backend[[#This Row],[Level 1]:[Level 6]]),rng_EFConcat,rng_EF1)*Buildings_GridElectricity_Backend[[#This Row],[Converted data]]/1000)</f>
        <v/>
      </c>
      <c r="AG506" s="210" t="str">
        <f>IF(Buildings_GridElectricity_Frontend[[#This Row],[Data]]="","",_xlfn.XLOOKUP(_xlfn.CONCAT(Buildings_GridElectricity_Backend[[#This Row],[Level 1]:[Level 6]]),rng_EFConcat,rng_EF2)*Buildings_GridElectricity_Backend[[#This Row],[Converted data]]/1000)</f>
        <v/>
      </c>
      <c r="AH506" s="210" t="str">
        <f>IF(Buildings_GridElectricity_Frontend[[#This Row],[Data]]="","",_xlfn.XLOOKUP(_xlfn.CONCAT(Buildings_GridElectricity_Backend[[#This Row],[Level 1]:[Level 6]]),rng_EFConcat,rng_EF3)*Buildings_GridElectricity_Backend[[#This Row],[Converted data]]/1000)</f>
        <v/>
      </c>
      <c r="AI506" s="210" t="str">
        <f>IF(Buildings_GridElectricity_Frontend[[#This Row],[Data]]="","",_xlfn.XLOOKUP(_xlfn.CONCAT(Buildings_GridElectricity_Backend[[#This Row],[Level 1]:[Level 6]]),rng_EFConcat,rng_EF3WTT)*Buildings_GridElectricity_Backend[[#This Row],[Converted data]]/1000)</f>
        <v/>
      </c>
      <c r="AJ506" s="210" t="str">
        <f>IF(Buildings_GridElectricity_Frontend[[#This Row],[Data]]="","",_xlfn.XLOOKUP(_xlfn.CONCAT(Buildings_GridElectricity_Backend[[#This Row],[Level 1]:[Level 6]]),rng_EFConcat,rng_EF3TD)*Buildings_GridElectricity_Backend[[#This Row],[Converted data]]/1000)</f>
        <v/>
      </c>
      <c r="AK506" s="210" t="str">
        <f>IF(Buildings_GridElectricity_Frontend[[#This Row],[Data]]="","",_xlfn.XLOOKUP(_xlfn.CONCAT(Buildings_GridElectricity_Backend[[#This Row],[Level 1]:[Level 6]]),rng_EFConcat,rng_EF3WTTTD)*Buildings_GridElectricity_Backend[[#This Row],[Converted data]]/1000)</f>
        <v/>
      </c>
      <c r="AL506" s="220" t="str">
        <f>IF(Buildings_GridElectricity_Frontend[[#This Row],[Data]]="","",SUM(Buildings_GridElectricity_Backend[[#This Row],[Scope 1 (tCO2e)]:[Scope 3 WTT T&amp;D (tCO2e)]]))</f>
        <v/>
      </c>
      <c r="AM506" s="220" t="str">
        <f>IF(Buildings_GridElectricity_Frontend[[#This Row],[Data]]="","",Buildings_GridElectricity_Backend[[#This Row],[Total (tCO2e)]]*(1-Buildings_GridElectricity_Backend[[#This Row],[RSD]]))</f>
        <v/>
      </c>
      <c r="AN506" s="220" t="str">
        <f>IF(Buildings_GridElectricity_Frontend[[#This Row],[Data]]="","",Buildings_GridElectricity_Backend[[#This Row],[Total (tCO2e)]]*(1+Buildings_GridElectricity_Backend[[#This Row],[RSD]]))</f>
        <v/>
      </c>
      <c r="AO506" s="210" t="str">
        <f>IF(Buildings_GridElectricity_Frontend[[#This Row],[Data]]="","",_xlfn.XLOOKUP(_xlfn.CONCAT(Buildings_GridElectricity_Backend[[#This Row],[Level 1]:[Level 6]]),rng_EFConcat,rng_EFOOS)*Buildings_GridElectricity_Backend[[#This Row],[Converted data]]/1000)</f>
        <v/>
      </c>
      <c r="AP506" s="174">
        <f>Buildings_GridElectricity_Frontend[[#This Row],[Ease of collection]]</f>
        <v>0</v>
      </c>
      <c r="AQ506" s="213">
        <f>Buildings_GridElectricity_Frontend[[#This Row],[Completeness]]</f>
        <v>0</v>
      </c>
      <c r="AR506" s="220">
        <f>Buildings_GridElectricity_Frontend[[#This Row],[Notes]]</f>
        <v>0</v>
      </c>
    </row>
    <row r="507" spans="5:44" x14ac:dyDescent="0.3">
      <c r="E507" s="346"/>
      <c r="F507" s="449"/>
      <c r="G507" s="336"/>
      <c r="H507" s="334"/>
      <c r="I507" s="172" t="s">
        <v>316</v>
      </c>
      <c r="J507" s="337"/>
      <c r="K507" s="336"/>
      <c r="L507" s="336"/>
      <c r="M507" s="337"/>
      <c r="N507" s="242">
        <f t="shared" si="17"/>
        <v>3</v>
      </c>
      <c r="Q507" s="212" t="str">
        <f t="shared" si="16"/>
        <v/>
      </c>
      <c r="R507" s="174" t="s">
        <v>265</v>
      </c>
      <c r="S507" s="174" t="s">
        <v>273</v>
      </c>
      <c r="T507" s="174" t="str">
        <f>_xlfn.XLOOKUP(Buildings_GridElectricity_Backend[[#This Row],[Info 1]],Buildings_SiteInfo[Site name],Buildings_SiteInfo[Site type], "")</f>
        <v/>
      </c>
      <c r="U507" s="174" t="s">
        <v>281</v>
      </c>
      <c r="V507" s="174" t="str" cm="1">
        <f t="array" aca="1" ref="V507" ca="1">_xlfn.XLOOKUP(Buildings_GridElectricity_Backend[[#This Row],[Level 4]],rng_Level4Long,rng_Level5Long)</f>
        <v>Electricity</v>
      </c>
      <c r="W507" s="174" t="str" cm="1">
        <f t="array" aca="1" ref="W507" ca="1">_xlfn.XLOOKUP(Buildings_GridElectricity_Backend[[#This Row],[Level 4]],rng_Level4Long,rng_Level6Long)</f>
        <v>NaN</v>
      </c>
      <c r="X507" s="174">
        <f>Buildings_GridElectricity_Frontend[[#This Row],[Site Name]]</f>
        <v>0</v>
      </c>
      <c r="Y507" s="174">
        <f>Buildings_GridElectricity_Frontend[[#This Row],[Contracting]]</f>
        <v>0</v>
      </c>
      <c r="Z507" s="174">
        <f>Buildings_GridElectricity_Frontend[[#This Row],[Methodology]]</f>
        <v>0</v>
      </c>
      <c r="AA507" s="229" t="str" cm="1">
        <f t="array" ref="AA507">IF(Buildings_GridElectricity_Frontend[[#This Row],[Data]]="","",INDEX(_xlfn.SWITCH(Buildings_GridElectricity_Backend[[#This Row],[Methodology]],"Tier 1",rng_RSD1,"Tier 2",rng_RSD2,"Tier 3",rng_RSD3),MATCH(_xlfn.CONCAT(Buildings_GridElectricity_Backend[[#This Row],[Level 1]:[Level 6]]),rng_LevelsConcat,0)))</f>
        <v/>
      </c>
      <c r="AB507" s="220">
        <f>Buildings_GridElectricity_Frontend[[#This Row],[Data]]</f>
        <v>0</v>
      </c>
      <c r="AC507" s="174" t="str">
        <f>Buildings_GridElectricity_Frontend[[#This Row],[Units]]</f>
        <v>kWh</v>
      </c>
      <c r="AD507" s="218">
        <f>Buildings_GridElectricity_Frontend[[#This Row],[Data]]</f>
        <v>0</v>
      </c>
      <c r="AE507" s="174" t="str">
        <f>Buildings_GridElectricity_Frontend[[#This Row],[Units]]</f>
        <v>kWh</v>
      </c>
      <c r="AF507" s="210" t="str">
        <f>IF(Buildings_GridElectricity_Frontend[[#This Row],[Data]]="","",_xlfn.XLOOKUP(_xlfn.CONCAT(Buildings_GridElectricity_Backend[[#This Row],[Level 1]:[Level 6]]),rng_EFConcat,rng_EF1)*Buildings_GridElectricity_Backend[[#This Row],[Converted data]]/1000)</f>
        <v/>
      </c>
      <c r="AG507" s="210" t="str">
        <f>IF(Buildings_GridElectricity_Frontend[[#This Row],[Data]]="","",_xlfn.XLOOKUP(_xlfn.CONCAT(Buildings_GridElectricity_Backend[[#This Row],[Level 1]:[Level 6]]),rng_EFConcat,rng_EF2)*Buildings_GridElectricity_Backend[[#This Row],[Converted data]]/1000)</f>
        <v/>
      </c>
      <c r="AH507" s="210" t="str">
        <f>IF(Buildings_GridElectricity_Frontend[[#This Row],[Data]]="","",_xlfn.XLOOKUP(_xlfn.CONCAT(Buildings_GridElectricity_Backend[[#This Row],[Level 1]:[Level 6]]),rng_EFConcat,rng_EF3)*Buildings_GridElectricity_Backend[[#This Row],[Converted data]]/1000)</f>
        <v/>
      </c>
      <c r="AI507" s="210" t="str">
        <f>IF(Buildings_GridElectricity_Frontend[[#This Row],[Data]]="","",_xlfn.XLOOKUP(_xlfn.CONCAT(Buildings_GridElectricity_Backend[[#This Row],[Level 1]:[Level 6]]),rng_EFConcat,rng_EF3WTT)*Buildings_GridElectricity_Backend[[#This Row],[Converted data]]/1000)</f>
        <v/>
      </c>
      <c r="AJ507" s="210" t="str">
        <f>IF(Buildings_GridElectricity_Frontend[[#This Row],[Data]]="","",_xlfn.XLOOKUP(_xlfn.CONCAT(Buildings_GridElectricity_Backend[[#This Row],[Level 1]:[Level 6]]),rng_EFConcat,rng_EF3TD)*Buildings_GridElectricity_Backend[[#This Row],[Converted data]]/1000)</f>
        <v/>
      </c>
      <c r="AK507" s="210" t="str">
        <f>IF(Buildings_GridElectricity_Frontend[[#This Row],[Data]]="","",_xlfn.XLOOKUP(_xlfn.CONCAT(Buildings_GridElectricity_Backend[[#This Row],[Level 1]:[Level 6]]),rng_EFConcat,rng_EF3WTTTD)*Buildings_GridElectricity_Backend[[#This Row],[Converted data]]/1000)</f>
        <v/>
      </c>
      <c r="AL507" s="220" t="str">
        <f>IF(Buildings_GridElectricity_Frontend[[#This Row],[Data]]="","",SUM(Buildings_GridElectricity_Backend[[#This Row],[Scope 1 (tCO2e)]:[Scope 3 WTT T&amp;D (tCO2e)]]))</f>
        <v/>
      </c>
      <c r="AM507" s="220" t="str">
        <f>IF(Buildings_GridElectricity_Frontend[[#This Row],[Data]]="","",Buildings_GridElectricity_Backend[[#This Row],[Total (tCO2e)]]*(1-Buildings_GridElectricity_Backend[[#This Row],[RSD]]))</f>
        <v/>
      </c>
      <c r="AN507" s="220" t="str">
        <f>IF(Buildings_GridElectricity_Frontend[[#This Row],[Data]]="","",Buildings_GridElectricity_Backend[[#This Row],[Total (tCO2e)]]*(1+Buildings_GridElectricity_Backend[[#This Row],[RSD]]))</f>
        <v/>
      </c>
      <c r="AO507" s="210" t="str">
        <f>IF(Buildings_GridElectricity_Frontend[[#This Row],[Data]]="","",_xlfn.XLOOKUP(_xlfn.CONCAT(Buildings_GridElectricity_Backend[[#This Row],[Level 1]:[Level 6]]),rng_EFConcat,rng_EFOOS)*Buildings_GridElectricity_Backend[[#This Row],[Converted data]]/1000)</f>
        <v/>
      </c>
      <c r="AP507" s="174">
        <f>Buildings_GridElectricity_Frontend[[#This Row],[Ease of collection]]</f>
        <v>0</v>
      </c>
      <c r="AQ507" s="213">
        <f>Buildings_GridElectricity_Frontend[[#This Row],[Completeness]]</f>
        <v>0</v>
      </c>
      <c r="AR507" s="220">
        <f>Buildings_GridElectricity_Frontend[[#This Row],[Notes]]</f>
        <v>0</v>
      </c>
    </row>
    <row r="508" spans="5:44" x14ac:dyDescent="0.3">
      <c r="E508" s="346"/>
      <c r="F508" s="449"/>
      <c r="G508" s="336"/>
      <c r="H508" s="334"/>
      <c r="I508" s="172" t="s">
        <v>316</v>
      </c>
      <c r="J508" s="337"/>
      <c r="K508" s="336"/>
      <c r="L508" s="336"/>
      <c r="M508" s="337"/>
      <c r="N508" s="242">
        <f t="shared" si="17"/>
        <v>3</v>
      </c>
      <c r="Q508" s="212" t="str">
        <f t="shared" si="16"/>
        <v/>
      </c>
      <c r="R508" s="174" t="s">
        <v>265</v>
      </c>
      <c r="S508" s="174" t="s">
        <v>273</v>
      </c>
      <c r="T508" s="174" t="str">
        <f>_xlfn.XLOOKUP(Buildings_GridElectricity_Backend[[#This Row],[Info 1]],Buildings_SiteInfo[Site name],Buildings_SiteInfo[Site type], "")</f>
        <v/>
      </c>
      <c r="U508" s="174" t="s">
        <v>281</v>
      </c>
      <c r="V508" s="174" t="str" cm="1">
        <f t="array" aca="1" ref="V508" ca="1">_xlfn.XLOOKUP(Buildings_GridElectricity_Backend[[#This Row],[Level 4]],rng_Level4Long,rng_Level5Long)</f>
        <v>Electricity</v>
      </c>
      <c r="W508" s="174" t="str" cm="1">
        <f t="array" aca="1" ref="W508" ca="1">_xlfn.XLOOKUP(Buildings_GridElectricity_Backend[[#This Row],[Level 4]],rng_Level4Long,rng_Level6Long)</f>
        <v>NaN</v>
      </c>
      <c r="X508" s="174">
        <f>Buildings_GridElectricity_Frontend[[#This Row],[Site Name]]</f>
        <v>0</v>
      </c>
      <c r="Y508" s="174">
        <f>Buildings_GridElectricity_Frontend[[#This Row],[Contracting]]</f>
        <v>0</v>
      </c>
      <c r="Z508" s="174">
        <f>Buildings_GridElectricity_Frontend[[#This Row],[Methodology]]</f>
        <v>0</v>
      </c>
      <c r="AA508" s="229" t="str" cm="1">
        <f t="array" ref="AA508">IF(Buildings_GridElectricity_Frontend[[#This Row],[Data]]="","",INDEX(_xlfn.SWITCH(Buildings_GridElectricity_Backend[[#This Row],[Methodology]],"Tier 1",rng_RSD1,"Tier 2",rng_RSD2,"Tier 3",rng_RSD3),MATCH(_xlfn.CONCAT(Buildings_GridElectricity_Backend[[#This Row],[Level 1]:[Level 6]]),rng_LevelsConcat,0)))</f>
        <v/>
      </c>
      <c r="AB508" s="220">
        <f>Buildings_GridElectricity_Frontend[[#This Row],[Data]]</f>
        <v>0</v>
      </c>
      <c r="AC508" s="174" t="str">
        <f>Buildings_GridElectricity_Frontend[[#This Row],[Units]]</f>
        <v>kWh</v>
      </c>
      <c r="AD508" s="218">
        <f>Buildings_GridElectricity_Frontend[[#This Row],[Data]]</f>
        <v>0</v>
      </c>
      <c r="AE508" s="174" t="str">
        <f>Buildings_GridElectricity_Frontend[[#This Row],[Units]]</f>
        <v>kWh</v>
      </c>
      <c r="AF508" s="210" t="str">
        <f>IF(Buildings_GridElectricity_Frontend[[#This Row],[Data]]="","",_xlfn.XLOOKUP(_xlfn.CONCAT(Buildings_GridElectricity_Backend[[#This Row],[Level 1]:[Level 6]]),rng_EFConcat,rng_EF1)*Buildings_GridElectricity_Backend[[#This Row],[Converted data]]/1000)</f>
        <v/>
      </c>
      <c r="AG508" s="210" t="str">
        <f>IF(Buildings_GridElectricity_Frontend[[#This Row],[Data]]="","",_xlfn.XLOOKUP(_xlfn.CONCAT(Buildings_GridElectricity_Backend[[#This Row],[Level 1]:[Level 6]]),rng_EFConcat,rng_EF2)*Buildings_GridElectricity_Backend[[#This Row],[Converted data]]/1000)</f>
        <v/>
      </c>
      <c r="AH508" s="210" t="str">
        <f>IF(Buildings_GridElectricity_Frontend[[#This Row],[Data]]="","",_xlfn.XLOOKUP(_xlfn.CONCAT(Buildings_GridElectricity_Backend[[#This Row],[Level 1]:[Level 6]]),rng_EFConcat,rng_EF3)*Buildings_GridElectricity_Backend[[#This Row],[Converted data]]/1000)</f>
        <v/>
      </c>
      <c r="AI508" s="210" t="str">
        <f>IF(Buildings_GridElectricity_Frontend[[#This Row],[Data]]="","",_xlfn.XLOOKUP(_xlfn.CONCAT(Buildings_GridElectricity_Backend[[#This Row],[Level 1]:[Level 6]]),rng_EFConcat,rng_EF3WTT)*Buildings_GridElectricity_Backend[[#This Row],[Converted data]]/1000)</f>
        <v/>
      </c>
      <c r="AJ508" s="210" t="str">
        <f>IF(Buildings_GridElectricity_Frontend[[#This Row],[Data]]="","",_xlfn.XLOOKUP(_xlfn.CONCAT(Buildings_GridElectricity_Backend[[#This Row],[Level 1]:[Level 6]]),rng_EFConcat,rng_EF3TD)*Buildings_GridElectricity_Backend[[#This Row],[Converted data]]/1000)</f>
        <v/>
      </c>
      <c r="AK508" s="210" t="str">
        <f>IF(Buildings_GridElectricity_Frontend[[#This Row],[Data]]="","",_xlfn.XLOOKUP(_xlfn.CONCAT(Buildings_GridElectricity_Backend[[#This Row],[Level 1]:[Level 6]]),rng_EFConcat,rng_EF3WTTTD)*Buildings_GridElectricity_Backend[[#This Row],[Converted data]]/1000)</f>
        <v/>
      </c>
      <c r="AL508" s="220" t="str">
        <f>IF(Buildings_GridElectricity_Frontend[[#This Row],[Data]]="","",SUM(Buildings_GridElectricity_Backend[[#This Row],[Scope 1 (tCO2e)]:[Scope 3 WTT T&amp;D (tCO2e)]]))</f>
        <v/>
      </c>
      <c r="AM508" s="220" t="str">
        <f>IF(Buildings_GridElectricity_Frontend[[#This Row],[Data]]="","",Buildings_GridElectricity_Backend[[#This Row],[Total (tCO2e)]]*(1-Buildings_GridElectricity_Backend[[#This Row],[RSD]]))</f>
        <v/>
      </c>
      <c r="AN508" s="220" t="str">
        <f>IF(Buildings_GridElectricity_Frontend[[#This Row],[Data]]="","",Buildings_GridElectricity_Backend[[#This Row],[Total (tCO2e)]]*(1+Buildings_GridElectricity_Backend[[#This Row],[RSD]]))</f>
        <v/>
      </c>
      <c r="AO508" s="210" t="str">
        <f>IF(Buildings_GridElectricity_Frontend[[#This Row],[Data]]="","",_xlfn.XLOOKUP(_xlfn.CONCAT(Buildings_GridElectricity_Backend[[#This Row],[Level 1]:[Level 6]]),rng_EFConcat,rng_EFOOS)*Buildings_GridElectricity_Backend[[#This Row],[Converted data]]/1000)</f>
        <v/>
      </c>
      <c r="AP508" s="174">
        <f>Buildings_GridElectricity_Frontend[[#This Row],[Ease of collection]]</f>
        <v>0</v>
      </c>
      <c r="AQ508" s="213">
        <f>Buildings_GridElectricity_Frontend[[#This Row],[Completeness]]</f>
        <v>0</v>
      </c>
      <c r="AR508" s="220">
        <f>Buildings_GridElectricity_Frontend[[#This Row],[Notes]]</f>
        <v>0</v>
      </c>
    </row>
    <row r="509" spans="5:44" x14ac:dyDescent="0.3">
      <c r="E509" s="346"/>
      <c r="F509" s="449"/>
      <c r="G509" s="336"/>
      <c r="H509" s="334"/>
      <c r="I509" s="172" t="s">
        <v>316</v>
      </c>
      <c r="J509" s="337"/>
      <c r="K509" s="336"/>
      <c r="L509" s="336"/>
      <c r="M509" s="337"/>
      <c r="N509" s="242">
        <f t="shared" si="17"/>
        <v>3</v>
      </c>
      <c r="Q509" s="212" t="str">
        <f t="shared" si="16"/>
        <v/>
      </c>
      <c r="R509" s="174" t="s">
        <v>265</v>
      </c>
      <c r="S509" s="174" t="s">
        <v>273</v>
      </c>
      <c r="T509" s="174" t="str">
        <f>_xlfn.XLOOKUP(Buildings_GridElectricity_Backend[[#This Row],[Info 1]],Buildings_SiteInfo[Site name],Buildings_SiteInfo[Site type], "")</f>
        <v/>
      </c>
      <c r="U509" s="174" t="s">
        <v>281</v>
      </c>
      <c r="V509" s="174" t="str" cm="1">
        <f t="array" aca="1" ref="V509" ca="1">_xlfn.XLOOKUP(Buildings_GridElectricity_Backend[[#This Row],[Level 4]],rng_Level4Long,rng_Level5Long)</f>
        <v>Electricity</v>
      </c>
      <c r="W509" s="174" t="str" cm="1">
        <f t="array" aca="1" ref="W509" ca="1">_xlfn.XLOOKUP(Buildings_GridElectricity_Backend[[#This Row],[Level 4]],rng_Level4Long,rng_Level6Long)</f>
        <v>NaN</v>
      </c>
      <c r="X509" s="174">
        <f>Buildings_GridElectricity_Frontend[[#This Row],[Site Name]]</f>
        <v>0</v>
      </c>
      <c r="Y509" s="174">
        <f>Buildings_GridElectricity_Frontend[[#This Row],[Contracting]]</f>
        <v>0</v>
      </c>
      <c r="Z509" s="174">
        <f>Buildings_GridElectricity_Frontend[[#This Row],[Methodology]]</f>
        <v>0</v>
      </c>
      <c r="AA509" s="229" t="str" cm="1">
        <f t="array" ref="AA509">IF(Buildings_GridElectricity_Frontend[[#This Row],[Data]]="","",INDEX(_xlfn.SWITCH(Buildings_GridElectricity_Backend[[#This Row],[Methodology]],"Tier 1",rng_RSD1,"Tier 2",rng_RSD2,"Tier 3",rng_RSD3),MATCH(_xlfn.CONCAT(Buildings_GridElectricity_Backend[[#This Row],[Level 1]:[Level 6]]),rng_LevelsConcat,0)))</f>
        <v/>
      </c>
      <c r="AB509" s="220">
        <f>Buildings_GridElectricity_Frontend[[#This Row],[Data]]</f>
        <v>0</v>
      </c>
      <c r="AC509" s="174" t="str">
        <f>Buildings_GridElectricity_Frontend[[#This Row],[Units]]</f>
        <v>kWh</v>
      </c>
      <c r="AD509" s="218">
        <f>Buildings_GridElectricity_Frontend[[#This Row],[Data]]</f>
        <v>0</v>
      </c>
      <c r="AE509" s="174" t="str">
        <f>Buildings_GridElectricity_Frontend[[#This Row],[Units]]</f>
        <v>kWh</v>
      </c>
      <c r="AF509" s="210" t="str">
        <f>IF(Buildings_GridElectricity_Frontend[[#This Row],[Data]]="","",_xlfn.XLOOKUP(_xlfn.CONCAT(Buildings_GridElectricity_Backend[[#This Row],[Level 1]:[Level 6]]),rng_EFConcat,rng_EF1)*Buildings_GridElectricity_Backend[[#This Row],[Converted data]]/1000)</f>
        <v/>
      </c>
      <c r="AG509" s="210" t="str">
        <f>IF(Buildings_GridElectricity_Frontend[[#This Row],[Data]]="","",_xlfn.XLOOKUP(_xlfn.CONCAT(Buildings_GridElectricity_Backend[[#This Row],[Level 1]:[Level 6]]),rng_EFConcat,rng_EF2)*Buildings_GridElectricity_Backend[[#This Row],[Converted data]]/1000)</f>
        <v/>
      </c>
      <c r="AH509" s="210" t="str">
        <f>IF(Buildings_GridElectricity_Frontend[[#This Row],[Data]]="","",_xlfn.XLOOKUP(_xlfn.CONCAT(Buildings_GridElectricity_Backend[[#This Row],[Level 1]:[Level 6]]),rng_EFConcat,rng_EF3)*Buildings_GridElectricity_Backend[[#This Row],[Converted data]]/1000)</f>
        <v/>
      </c>
      <c r="AI509" s="210" t="str">
        <f>IF(Buildings_GridElectricity_Frontend[[#This Row],[Data]]="","",_xlfn.XLOOKUP(_xlfn.CONCAT(Buildings_GridElectricity_Backend[[#This Row],[Level 1]:[Level 6]]),rng_EFConcat,rng_EF3WTT)*Buildings_GridElectricity_Backend[[#This Row],[Converted data]]/1000)</f>
        <v/>
      </c>
      <c r="AJ509" s="210" t="str">
        <f>IF(Buildings_GridElectricity_Frontend[[#This Row],[Data]]="","",_xlfn.XLOOKUP(_xlfn.CONCAT(Buildings_GridElectricity_Backend[[#This Row],[Level 1]:[Level 6]]),rng_EFConcat,rng_EF3TD)*Buildings_GridElectricity_Backend[[#This Row],[Converted data]]/1000)</f>
        <v/>
      </c>
      <c r="AK509" s="210" t="str">
        <f>IF(Buildings_GridElectricity_Frontend[[#This Row],[Data]]="","",_xlfn.XLOOKUP(_xlfn.CONCAT(Buildings_GridElectricity_Backend[[#This Row],[Level 1]:[Level 6]]),rng_EFConcat,rng_EF3WTTTD)*Buildings_GridElectricity_Backend[[#This Row],[Converted data]]/1000)</f>
        <v/>
      </c>
      <c r="AL509" s="220" t="str">
        <f>IF(Buildings_GridElectricity_Frontend[[#This Row],[Data]]="","",SUM(Buildings_GridElectricity_Backend[[#This Row],[Scope 1 (tCO2e)]:[Scope 3 WTT T&amp;D (tCO2e)]]))</f>
        <v/>
      </c>
      <c r="AM509" s="220" t="str">
        <f>IF(Buildings_GridElectricity_Frontend[[#This Row],[Data]]="","",Buildings_GridElectricity_Backend[[#This Row],[Total (tCO2e)]]*(1-Buildings_GridElectricity_Backend[[#This Row],[RSD]]))</f>
        <v/>
      </c>
      <c r="AN509" s="220" t="str">
        <f>IF(Buildings_GridElectricity_Frontend[[#This Row],[Data]]="","",Buildings_GridElectricity_Backend[[#This Row],[Total (tCO2e)]]*(1+Buildings_GridElectricity_Backend[[#This Row],[RSD]]))</f>
        <v/>
      </c>
      <c r="AO509" s="210" t="str">
        <f>IF(Buildings_GridElectricity_Frontend[[#This Row],[Data]]="","",_xlfn.XLOOKUP(_xlfn.CONCAT(Buildings_GridElectricity_Backend[[#This Row],[Level 1]:[Level 6]]),rng_EFConcat,rng_EFOOS)*Buildings_GridElectricity_Backend[[#This Row],[Converted data]]/1000)</f>
        <v/>
      </c>
      <c r="AP509" s="174">
        <f>Buildings_GridElectricity_Frontend[[#This Row],[Ease of collection]]</f>
        <v>0</v>
      </c>
      <c r="AQ509" s="213">
        <f>Buildings_GridElectricity_Frontend[[#This Row],[Completeness]]</f>
        <v>0</v>
      </c>
      <c r="AR509" s="220">
        <f>Buildings_GridElectricity_Frontend[[#This Row],[Notes]]</f>
        <v>0</v>
      </c>
    </row>
    <row r="510" spans="5:44" x14ac:dyDescent="0.3">
      <c r="E510" s="346"/>
      <c r="F510" s="449"/>
      <c r="G510" s="336"/>
      <c r="H510" s="334"/>
      <c r="I510" s="172" t="s">
        <v>316</v>
      </c>
      <c r="J510" s="337"/>
      <c r="K510" s="336"/>
      <c r="L510" s="336"/>
      <c r="M510" s="337"/>
      <c r="N510" s="242">
        <f t="shared" si="17"/>
        <v>3</v>
      </c>
      <c r="Q510" s="212" t="str">
        <f t="shared" si="16"/>
        <v/>
      </c>
      <c r="R510" s="174" t="s">
        <v>265</v>
      </c>
      <c r="S510" s="174" t="s">
        <v>273</v>
      </c>
      <c r="T510" s="174" t="str">
        <f>_xlfn.XLOOKUP(Buildings_GridElectricity_Backend[[#This Row],[Info 1]],Buildings_SiteInfo[Site name],Buildings_SiteInfo[Site type], "")</f>
        <v/>
      </c>
      <c r="U510" s="174" t="s">
        <v>281</v>
      </c>
      <c r="V510" s="174" t="str" cm="1">
        <f t="array" aca="1" ref="V510" ca="1">_xlfn.XLOOKUP(Buildings_GridElectricity_Backend[[#This Row],[Level 4]],rng_Level4Long,rng_Level5Long)</f>
        <v>Electricity</v>
      </c>
      <c r="W510" s="174" t="str" cm="1">
        <f t="array" aca="1" ref="W510" ca="1">_xlfn.XLOOKUP(Buildings_GridElectricity_Backend[[#This Row],[Level 4]],rng_Level4Long,rng_Level6Long)</f>
        <v>NaN</v>
      </c>
      <c r="X510" s="174">
        <f>Buildings_GridElectricity_Frontend[[#This Row],[Site Name]]</f>
        <v>0</v>
      </c>
      <c r="Y510" s="174">
        <f>Buildings_GridElectricity_Frontend[[#This Row],[Contracting]]</f>
        <v>0</v>
      </c>
      <c r="Z510" s="174">
        <f>Buildings_GridElectricity_Frontend[[#This Row],[Methodology]]</f>
        <v>0</v>
      </c>
      <c r="AA510" s="229" t="str" cm="1">
        <f t="array" ref="AA510">IF(Buildings_GridElectricity_Frontend[[#This Row],[Data]]="","",INDEX(_xlfn.SWITCH(Buildings_GridElectricity_Backend[[#This Row],[Methodology]],"Tier 1",rng_RSD1,"Tier 2",rng_RSD2,"Tier 3",rng_RSD3),MATCH(_xlfn.CONCAT(Buildings_GridElectricity_Backend[[#This Row],[Level 1]:[Level 6]]),rng_LevelsConcat,0)))</f>
        <v/>
      </c>
      <c r="AB510" s="220">
        <f>Buildings_GridElectricity_Frontend[[#This Row],[Data]]</f>
        <v>0</v>
      </c>
      <c r="AC510" s="174" t="str">
        <f>Buildings_GridElectricity_Frontend[[#This Row],[Units]]</f>
        <v>kWh</v>
      </c>
      <c r="AD510" s="218">
        <f>Buildings_GridElectricity_Frontend[[#This Row],[Data]]</f>
        <v>0</v>
      </c>
      <c r="AE510" s="174" t="str">
        <f>Buildings_GridElectricity_Frontend[[#This Row],[Units]]</f>
        <v>kWh</v>
      </c>
      <c r="AF510" s="210" t="str">
        <f>IF(Buildings_GridElectricity_Frontend[[#This Row],[Data]]="","",_xlfn.XLOOKUP(_xlfn.CONCAT(Buildings_GridElectricity_Backend[[#This Row],[Level 1]:[Level 6]]),rng_EFConcat,rng_EF1)*Buildings_GridElectricity_Backend[[#This Row],[Converted data]]/1000)</f>
        <v/>
      </c>
      <c r="AG510" s="210" t="str">
        <f>IF(Buildings_GridElectricity_Frontend[[#This Row],[Data]]="","",_xlfn.XLOOKUP(_xlfn.CONCAT(Buildings_GridElectricity_Backend[[#This Row],[Level 1]:[Level 6]]),rng_EFConcat,rng_EF2)*Buildings_GridElectricity_Backend[[#This Row],[Converted data]]/1000)</f>
        <v/>
      </c>
      <c r="AH510" s="210" t="str">
        <f>IF(Buildings_GridElectricity_Frontend[[#This Row],[Data]]="","",_xlfn.XLOOKUP(_xlfn.CONCAT(Buildings_GridElectricity_Backend[[#This Row],[Level 1]:[Level 6]]),rng_EFConcat,rng_EF3)*Buildings_GridElectricity_Backend[[#This Row],[Converted data]]/1000)</f>
        <v/>
      </c>
      <c r="AI510" s="210" t="str">
        <f>IF(Buildings_GridElectricity_Frontend[[#This Row],[Data]]="","",_xlfn.XLOOKUP(_xlfn.CONCAT(Buildings_GridElectricity_Backend[[#This Row],[Level 1]:[Level 6]]),rng_EFConcat,rng_EF3WTT)*Buildings_GridElectricity_Backend[[#This Row],[Converted data]]/1000)</f>
        <v/>
      </c>
      <c r="AJ510" s="210" t="str">
        <f>IF(Buildings_GridElectricity_Frontend[[#This Row],[Data]]="","",_xlfn.XLOOKUP(_xlfn.CONCAT(Buildings_GridElectricity_Backend[[#This Row],[Level 1]:[Level 6]]),rng_EFConcat,rng_EF3TD)*Buildings_GridElectricity_Backend[[#This Row],[Converted data]]/1000)</f>
        <v/>
      </c>
      <c r="AK510" s="210" t="str">
        <f>IF(Buildings_GridElectricity_Frontend[[#This Row],[Data]]="","",_xlfn.XLOOKUP(_xlfn.CONCAT(Buildings_GridElectricity_Backend[[#This Row],[Level 1]:[Level 6]]),rng_EFConcat,rng_EF3WTTTD)*Buildings_GridElectricity_Backend[[#This Row],[Converted data]]/1000)</f>
        <v/>
      </c>
      <c r="AL510" s="220" t="str">
        <f>IF(Buildings_GridElectricity_Frontend[[#This Row],[Data]]="","",SUM(Buildings_GridElectricity_Backend[[#This Row],[Scope 1 (tCO2e)]:[Scope 3 WTT T&amp;D (tCO2e)]]))</f>
        <v/>
      </c>
      <c r="AM510" s="220" t="str">
        <f>IF(Buildings_GridElectricity_Frontend[[#This Row],[Data]]="","",Buildings_GridElectricity_Backend[[#This Row],[Total (tCO2e)]]*(1-Buildings_GridElectricity_Backend[[#This Row],[RSD]]))</f>
        <v/>
      </c>
      <c r="AN510" s="220" t="str">
        <f>IF(Buildings_GridElectricity_Frontend[[#This Row],[Data]]="","",Buildings_GridElectricity_Backend[[#This Row],[Total (tCO2e)]]*(1+Buildings_GridElectricity_Backend[[#This Row],[RSD]]))</f>
        <v/>
      </c>
      <c r="AO510" s="210" t="str">
        <f>IF(Buildings_GridElectricity_Frontend[[#This Row],[Data]]="","",_xlfn.XLOOKUP(_xlfn.CONCAT(Buildings_GridElectricity_Backend[[#This Row],[Level 1]:[Level 6]]),rng_EFConcat,rng_EFOOS)*Buildings_GridElectricity_Backend[[#This Row],[Converted data]]/1000)</f>
        <v/>
      </c>
      <c r="AP510" s="174">
        <f>Buildings_GridElectricity_Frontend[[#This Row],[Ease of collection]]</f>
        <v>0</v>
      </c>
      <c r="AQ510" s="213">
        <f>Buildings_GridElectricity_Frontend[[#This Row],[Completeness]]</f>
        <v>0</v>
      </c>
      <c r="AR510" s="220">
        <f>Buildings_GridElectricity_Frontend[[#This Row],[Notes]]</f>
        <v>0</v>
      </c>
    </row>
    <row r="511" spans="5:44" x14ac:dyDescent="0.3">
      <c r="E511" s="346"/>
      <c r="F511" s="449"/>
      <c r="G511" s="336"/>
      <c r="H511" s="334"/>
      <c r="I511" s="172" t="s">
        <v>316</v>
      </c>
      <c r="J511" s="337"/>
      <c r="K511" s="336"/>
      <c r="L511" s="336"/>
      <c r="M511" s="337"/>
      <c r="N511" s="242">
        <f t="shared" si="17"/>
        <v>3</v>
      </c>
      <c r="Q511" s="212" t="str">
        <f t="shared" si="16"/>
        <v/>
      </c>
      <c r="R511" s="174" t="s">
        <v>265</v>
      </c>
      <c r="S511" s="174" t="s">
        <v>273</v>
      </c>
      <c r="T511" s="174" t="str">
        <f>_xlfn.XLOOKUP(Buildings_GridElectricity_Backend[[#This Row],[Info 1]],Buildings_SiteInfo[Site name],Buildings_SiteInfo[Site type], "")</f>
        <v/>
      </c>
      <c r="U511" s="174" t="s">
        <v>281</v>
      </c>
      <c r="V511" s="174" t="str" cm="1">
        <f t="array" aca="1" ref="V511" ca="1">_xlfn.XLOOKUP(Buildings_GridElectricity_Backend[[#This Row],[Level 4]],rng_Level4Long,rng_Level5Long)</f>
        <v>Electricity</v>
      </c>
      <c r="W511" s="174" t="str" cm="1">
        <f t="array" aca="1" ref="W511" ca="1">_xlfn.XLOOKUP(Buildings_GridElectricity_Backend[[#This Row],[Level 4]],rng_Level4Long,rng_Level6Long)</f>
        <v>NaN</v>
      </c>
      <c r="X511" s="174">
        <f>Buildings_GridElectricity_Frontend[[#This Row],[Site Name]]</f>
        <v>0</v>
      </c>
      <c r="Y511" s="174">
        <f>Buildings_GridElectricity_Frontend[[#This Row],[Contracting]]</f>
        <v>0</v>
      </c>
      <c r="Z511" s="174">
        <f>Buildings_GridElectricity_Frontend[[#This Row],[Methodology]]</f>
        <v>0</v>
      </c>
      <c r="AA511" s="229" t="str" cm="1">
        <f t="array" ref="AA511">IF(Buildings_GridElectricity_Frontend[[#This Row],[Data]]="","",INDEX(_xlfn.SWITCH(Buildings_GridElectricity_Backend[[#This Row],[Methodology]],"Tier 1",rng_RSD1,"Tier 2",rng_RSD2,"Tier 3",rng_RSD3),MATCH(_xlfn.CONCAT(Buildings_GridElectricity_Backend[[#This Row],[Level 1]:[Level 6]]),rng_LevelsConcat,0)))</f>
        <v/>
      </c>
      <c r="AB511" s="220">
        <f>Buildings_GridElectricity_Frontend[[#This Row],[Data]]</f>
        <v>0</v>
      </c>
      <c r="AC511" s="174" t="str">
        <f>Buildings_GridElectricity_Frontend[[#This Row],[Units]]</f>
        <v>kWh</v>
      </c>
      <c r="AD511" s="218">
        <f>Buildings_GridElectricity_Frontend[[#This Row],[Data]]</f>
        <v>0</v>
      </c>
      <c r="AE511" s="174" t="str">
        <f>Buildings_GridElectricity_Frontend[[#This Row],[Units]]</f>
        <v>kWh</v>
      </c>
      <c r="AF511" s="210" t="str">
        <f>IF(Buildings_GridElectricity_Frontend[[#This Row],[Data]]="","",_xlfn.XLOOKUP(_xlfn.CONCAT(Buildings_GridElectricity_Backend[[#This Row],[Level 1]:[Level 6]]),rng_EFConcat,rng_EF1)*Buildings_GridElectricity_Backend[[#This Row],[Converted data]]/1000)</f>
        <v/>
      </c>
      <c r="AG511" s="210" t="str">
        <f>IF(Buildings_GridElectricity_Frontend[[#This Row],[Data]]="","",_xlfn.XLOOKUP(_xlfn.CONCAT(Buildings_GridElectricity_Backend[[#This Row],[Level 1]:[Level 6]]),rng_EFConcat,rng_EF2)*Buildings_GridElectricity_Backend[[#This Row],[Converted data]]/1000)</f>
        <v/>
      </c>
      <c r="AH511" s="210" t="str">
        <f>IF(Buildings_GridElectricity_Frontend[[#This Row],[Data]]="","",_xlfn.XLOOKUP(_xlfn.CONCAT(Buildings_GridElectricity_Backend[[#This Row],[Level 1]:[Level 6]]),rng_EFConcat,rng_EF3)*Buildings_GridElectricity_Backend[[#This Row],[Converted data]]/1000)</f>
        <v/>
      </c>
      <c r="AI511" s="210" t="str">
        <f>IF(Buildings_GridElectricity_Frontend[[#This Row],[Data]]="","",_xlfn.XLOOKUP(_xlfn.CONCAT(Buildings_GridElectricity_Backend[[#This Row],[Level 1]:[Level 6]]),rng_EFConcat,rng_EF3WTT)*Buildings_GridElectricity_Backend[[#This Row],[Converted data]]/1000)</f>
        <v/>
      </c>
      <c r="AJ511" s="210" t="str">
        <f>IF(Buildings_GridElectricity_Frontend[[#This Row],[Data]]="","",_xlfn.XLOOKUP(_xlfn.CONCAT(Buildings_GridElectricity_Backend[[#This Row],[Level 1]:[Level 6]]),rng_EFConcat,rng_EF3TD)*Buildings_GridElectricity_Backend[[#This Row],[Converted data]]/1000)</f>
        <v/>
      </c>
      <c r="AK511" s="210" t="str">
        <f>IF(Buildings_GridElectricity_Frontend[[#This Row],[Data]]="","",_xlfn.XLOOKUP(_xlfn.CONCAT(Buildings_GridElectricity_Backend[[#This Row],[Level 1]:[Level 6]]),rng_EFConcat,rng_EF3WTTTD)*Buildings_GridElectricity_Backend[[#This Row],[Converted data]]/1000)</f>
        <v/>
      </c>
      <c r="AL511" s="220" t="str">
        <f>IF(Buildings_GridElectricity_Frontend[[#This Row],[Data]]="","",SUM(Buildings_GridElectricity_Backend[[#This Row],[Scope 1 (tCO2e)]:[Scope 3 WTT T&amp;D (tCO2e)]]))</f>
        <v/>
      </c>
      <c r="AM511" s="220" t="str">
        <f>IF(Buildings_GridElectricity_Frontend[[#This Row],[Data]]="","",Buildings_GridElectricity_Backend[[#This Row],[Total (tCO2e)]]*(1-Buildings_GridElectricity_Backend[[#This Row],[RSD]]))</f>
        <v/>
      </c>
      <c r="AN511" s="220" t="str">
        <f>IF(Buildings_GridElectricity_Frontend[[#This Row],[Data]]="","",Buildings_GridElectricity_Backend[[#This Row],[Total (tCO2e)]]*(1+Buildings_GridElectricity_Backend[[#This Row],[RSD]]))</f>
        <v/>
      </c>
      <c r="AO511" s="210" t="str">
        <f>IF(Buildings_GridElectricity_Frontend[[#This Row],[Data]]="","",_xlfn.XLOOKUP(_xlfn.CONCAT(Buildings_GridElectricity_Backend[[#This Row],[Level 1]:[Level 6]]),rng_EFConcat,rng_EFOOS)*Buildings_GridElectricity_Backend[[#This Row],[Converted data]]/1000)</f>
        <v/>
      </c>
      <c r="AP511" s="174">
        <f>Buildings_GridElectricity_Frontend[[#This Row],[Ease of collection]]</f>
        <v>0</v>
      </c>
      <c r="AQ511" s="213">
        <f>Buildings_GridElectricity_Frontend[[#This Row],[Completeness]]</f>
        <v>0</v>
      </c>
      <c r="AR511" s="220">
        <f>Buildings_GridElectricity_Frontend[[#This Row],[Notes]]</f>
        <v>0</v>
      </c>
    </row>
    <row r="512" spans="5:44" x14ac:dyDescent="0.3">
      <c r="E512" s="346"/>
      <c r="F512" s="449"/>
      <c r="G512" s="336"/>
      <c r="H512" s="334"/>
      <c r="I512" s="172" t="s">
        <v>316</v>
      </c>
      <c r="J512" s="337"/>
      <c r="K512" s="336"/>
      <c r="L512" s="336"/>
      <c r="M512" s="337"/>
      <c r="N512" s="242">
        <f t="shared" si="17"/>
        <v>3</v>
      </c>
      <c r="Q512" s="212" t="str">
        <f t="shared" si="16"/>
        <v/>
      </c>
      <c r="R512" s="174" t="s">
        <v>265</v>
      </c>
      <c r="S512" s="174" t="s">
        <v>273</v>
      </c>
      <c r="T512" s="174" t="str">
        <f>_xlfn.XLOOKUP(Buildings_GridElectricity_Backend[[#This Row],[Info 1]],Buildings_SiteInfo[Site name],Buildings_SiteInfo[Site type], "")</f>
        <v/>
      </c>
      <c r="U512" s="174" t="s">
        <v>281</v>
      </c>
      <c r="V512" s="174" t="str" cm="1">
        <f t="array" aca="1" ref="V512" ca="1">_xlfn.XLOOKUP(Buildings_GridElectricity_Backend[[#This Row],[Level 4]],rng_Level4Long,rng_Level5Long)</f>
        <v>Electricity</v>
      </c>
      <c r="W512" s="174" t="str" cm="1">
        <f t="array" aca="1" ref="W512" ca="1">_xlfn.XLOOKUP(Buildings_GridElectricity_Backend[[#This Row],[Level 4]],rng_Level4Long,rng_Level6Long)</f>
        <v>NaN</v>
      </c>
      <c r="X512" s="174">
        <f>Buildings_GridElectricity_Frontend[[#This Row],[Site Name]]</f>
        <v>0</v>
      </c>
      <c r="Y512" s="174">
        <f>Buildings_GridElectricity_Frontend[[#This Row],[Contracting]]</f>
        <v>0</v>
      </c>
      <c r="Z512" s="174">
        <f>Buildings_GridElectricity_Frontend[[#This Row],[Methodology]]</f>
        <v>0</v>
      </c>
      <c r="AA512" s="229" t="str" cm="1">
        <f t="array" ref="AA512">IF(Buildings_GridElectricity_Frontend[[#This Row],[Data]]="","",INDEX(_xlfn.SWITCH(Buildings_GridElectricity_Backend[[#This Row],[Methodology]],"Tier 1",rng_RSD1,"Tier 2",rng_RSD2,"Tier 3",rng_RSD3),MATCH(_xlfn.CONCAT(Buildings_GridElectricity_Backend[[#This Row],[Level 1]:[Level 6]]),rng_LevelsConcat,0)))</f>
        <v/>
      </c>
      <c r="AB512" s="220">
        <f>Buildings_GridElectricity_Frontend[[#This Row],[Data]]</f>
        <v>0</v>
      </c>
      <c r="AC512" s="174" t="str">
        <f>Buildings_GridElectricity_Frontend[[#This Row],[Units]]</f>
        <v>kWh</v>
      </c>
      <c r="AD512" s="218">
        <f>Buildings_GridElectricity_Frontend[[#This Row],[Data]]</f>
        <v>0</v>
      </c>
      <c r="AE512" s="174" t="str">
        <f>Buildings_GridElectricity_Frontend[[#This Row],[Units]]</f>
        <v>kWh</v>
      </c>
      <c r="AF512" s="210" t="str">
        <f>IF(Buildings_GridElectricity_Frontend[[#This Row],[Data]]="","",_xlfn.XLOOKUP(_xlfn.CONCAT(Buildings_GridElectricity_Backend[[#This Row],[Level 1]:[Level 6]]),rng_EFConcat,rng_EF1)*Buildings_GridElectricity_Backend[[#This Row],[Converted data]]/1000)</f>
        <v/>
      </c>
      <c r="AG512" s="210" t="str">
        <f>IF(Buildings_GridElectricity_Frontend[[#This Row],[Data]]="","",_xlfn.XLOOKUP(_xlfn.CONCAT(Buildings_GridElectricity_Backend[[#This Row],[Level 1]:[Level 6]]),rng_EFConcat,rng_EF2)*Buildings_GridElectricity_Backend[[#This Row],[Converted data]]/1000)</f>
        <v/>
      </c>
      <c r="AH512" s="210" t="str">
        <f>IF(Buildings_GridElectricity_Frontend[[#This Row],[Data]]="","",_xlfn.XLOOKUP(_xlfn.CONCAT(Buildings_GridElectricity_Backend[[#This Row],[Level 1]:[Level 6]]),rng_EFConcat,rng_EF3)*Buildings_GridElectricity_Backend[[#This Row],[Converted data]]/1000)</f>
        <v/>
      </c>
      <c r="AI512" s="210" t="str">
        <f>IF(Buildings_GridElectricity_Frontend[[#This Row],[Data]]="","",_xlfn.XLOOKUP(_xlfn.CONCAT(Buildings_GridElectricity_Backend[[#This Row],[Level 1]:[Level 6]]),rng_EFConcat,rng_EF3WTT)*Buildings_GridElectricity_Backend[[#This Row],[Converted data]]/1000)</f>
        <v/>
      </c>
      <c r="AJ512" s="210" t="str">
        <f>IF(Buildings_GridElectricity_Frontend[[#This Row],[Data]]="","",_xlfn.XLOOKUP(_xlfn.CONCAT(Buildings_GridElectricity_Backend[[#This Row],[Level 1]:[Level 6]]),rng_EFConcat,rng_EF3TD)*Buildings_GridElectricity_Backend[[#This Row],[Converted data]]/1000)</f>
        <v/>
      </c>
      <c r="AK512" s="210" t="str">
        <f>IF(Buildings_GridElectricity_Frontend[[#This Row],[Data]]="","",_xlfn.XLOOKUP(_xlfn.CONCAT(Buildings_GridElectricity_Backend[[#This Row],[Level 1]:[Level 6]]),rng_EFConcat,rng_EF3WTTTD)*Buildings_GridElectricity_Backend[[#This Row],[Converted data]]/1000)</f>
        <v/>
      </c>
      <c r="AL512" s="220" t="str">
        <f>IF(Buildings_GridElectricity_Frontend[[#This Row],[Data]]="","",SUM(Buildings_GridElectricity_Backend[[#This Row],[Scope 1 (tCO2e)]:[Scope 3 WTT T&amp;D (tCO2e)]]))</f>
        <v/>
      </c>
      <c r="AM512" s="220" t="str">
        <f>IF(Buildings_GridElectricity_Frontend[[#This Row],[Data]]="","",Buildings_GridElectricity_Backend[[#This Row],[Total (tCO2e)]]*(1-Buildings_GridElectricity_Backend[[#This Row],[RSD]]))</f>
        <v/>
      </c>
      <c r="AN512" s="220" t="str">
        <f>IF(Buildings_GridElectricity_Frontend[[#This Row],[Data]]="","",Buildings_GridElectricity_Backend[[#This Row],[Total (tCO2e)]]*(1+Buildings_GridElectricity_Backend[[#This Row],[RSD]]))</f>
        <v/>
      </c>
      <c r="AO512" s="210" t="str">
        <f>IF(Buildings_GridElectricity_Frontend[[#This Row],[Data]]="","",_xlfn.XLOOKUP(_xlfn.CONCAT(Buildings_GridElectricity_Backend[[#This Row],[Level 1]:[Level 6]]),rng_EFConcat,rng_EFOOS)*Buildings_GridElectricity_Backend[[#This Row],[Converted data]]/1000)</f>
        <v/>
      </c>
      <c r="AP512" s="174">
        <f>Buildings_GridElectricity_Frontend[[#This Row],[Ease of collection]]</f>
        <v>0</v>
      </c>
      <c r="AQ512" s="213">
        <f>Buildings_GridElectricity_Frontend[[#This Row],[Completeness]]</f>
        <v>0</v>
      </c>
      <c r="AR512" s="220">
        <f>Buildings_GridElectricity_Frontend[[#This Row],[Notes]]</f>
        <v>0</v>
      </c>
    </row>
    <row r="513" spans="2:44" x14ac:dyDescent="0.3">
      <c r="E513" s="346"/>
      <c r="F513" s="449"/>
      <c r="G513" s="336"/>
      <c r="H513" s="334"/>
      <c r="I513" s="172" t="s">
        <v>316</v>
      </c>
      <c r="J513" s="337"/>
      <c r="K513" s="336"/>
      <c r="L513" s="336"/>
      <c r="M513" s="337"/>
      <c r="N513" s="242">
        <f t="shared" si="17"/>
        <v>3</v>
      </c>
      <c r="Q513" s="212" t="str">
        <f t="shared" si="16"/>
        <v/>
      </c>
      <c r="R513" s="174" t="s">
        <v>265</v>
      </c>
      <c r="S513" s="174" t="s">
        <v>273</v>
      </c>
      <c r="T513" s="174" t="str">
        <f>_xlfn.XLOOKUP(Buildings_GridElectricity_Backend[[#This Row],[Info 1]],Buildings_SiteInfo[Site name],Buildings_SiteInfo[Site type], "")</f>
        <v/>
      </c>
      <c r="U513" s="174" t="s">
        <v>281</v>
      </c>
      <c r="V513" s="174" t="str" cm="1">
        <f t="array" aca="1" ref="V513" ca="1">_xlfn.XLOOKUP(Buildings_GridElectricity_Backend[[#This Row],[Level 4]],rng_Level4Long,rng_Level5Long)</f>
        <v>Electricity</v>
      </c>
      <c r="W513" s="174" t="str" cm="1">
        <f t="array" aca="1" ref="W513" ca="1">_xlfn.XLOOKUP(Buildings_GridElectricity_Backend[[#This Row],[Level 4]],rng_Level4Long,rng_Level6Long)</f>
        <v>NaN</v>
      </c>
      <c r="X513" s="174">
        <f>Buildings_GridElectricity_Frontend[[#This Row],[Site Name]]</f>
        <v>0</v>
      </c>
      <c r="Y513" s="174">
        <f>Buildings_GridElectricity_Frontend[[#This Row],[Contracting]]</f>
        <v>0</v>
      </c>
      <c r="Z513" s="174">
        <f>Buildings_GridElectricity_Frontend[[#This Row],[Methodology]]</f>
        <v>0</v>
      </c>
      <c r="AA513" s="229" t="str" cm="1">
        <f t="array" ref="AA513">IF(Buildings_GridElectricity_Frontend[[#This Row],[Data]]="","",INDEX(_xlfn.SWITCH(Buildings_GridElectricity_Backend[[#This Row],[Methodology]],"Tier 1",rng_RSD1,"Tier 2",rng_RSD2,"Tier 3",rng_RSD3),MATCH(_xlfn.CONCAT(Buildings_GridElectricity_Backend[[#This Row],[Level 1]:[Level 6]]),rng_LevelsConcat,0)))</f>
        <v/>
      </c>
      <c r="AB513" s="220">
        <f>Buildings_GridElectricity_Frontend[[#This Row],[Data]]</f>
        <v>0</v>
      </c>
      <c r="AC513" s="174" t="str">
        <f>Buildings_GridElectricity_Frontend[[#This Row],[Units]]</f>
        <v>kWh</v>
      </c>
      <c r="AD513" s="218">
        <f>Buildings_GridElectricity_Frontend[[#This Row],[Data]]</f>
        <v>0</v>
      </c>
      <c r="AE513" s="174" t="str">
        <f>Buildings_GridElectricity_Frontend[[#This Row],[Units]]</f>
        <v>kWh</v>
      </c>
      <c r="AF513" s="210" t="str">
        <f>IF(Buildings_GridElectricity_Frontend[[#This Row],[Data]]="","",_xlfn.XLOOKUP(_xlfn.CONCAT(Buildings_GridElectricity_Backend[[#This Row],[Level 1]:[Level 6]]),rng_EFConcat,rng_EF1)*Buildings_GridElectricity_Backend[[#This Row],[Converted data]]/1000)</f>
        <v/>
      </c>
      <c r="AG513" s="210" t="str">
        <f>IF(Buildings_GridElectricity_Frontend[[#This Row],[Data]]="","",_xlfn.XLOOKUP(_xlfn.CONCAT(Buildings_GridElectricity_Backend[[#This Row],[Level 1]:[Level 6]]),rng_EFConcat,rng_EF2)*Buildings_GridElectricity_Backend[[#This Row],[Converted data]]/1000)</f>
        <v/>
      </c>
      <c r="AH513" s="210" t="str">
        <f>IF(Buildings_GridElectricity_Frontend[[#This Row],[Data]]="","",_xlfn.XLOOKUP(_xlfn.CONCAT(Buildings_GridElectricity_Backend[[#This Row],[Level 1]:[Level 6]]),rng_EFConcat,rng_EF3)*Buildings_GridElectricity_Backend[[#This Row],[Converted data]]/1000)</f>
        <v/>
      </c>
      <c r="AI513" s="210" t="str">
        <f>IF(Buildings_GridElectricity_Frontend[[#This Row],[Data]]="","",_xlfn.XLOOKUP(_xlfn.CONCAT(Buildings_GridElectricity_Backend[[#This Row],[Level 1]:[Level 6]]),rng_EFConcat,rng_EF3WTT)*Buildings_GridElectricity_Backend[[#This Row],[Converted data]]/1000)</f>
        <v/>
      </c>
      <c r="AJ513" s="210" t="str">
        <f>IF(Buildings_GridElectricity_Frontend[[#This Row],[Data]]="","",_xlfn.XLOOKUP(_xlfn.CONCAT(Buildings_GridElectricity_Backend[[#This Row],[Level 1]:[Level 6]]),rng_EFConcat,rng_EF3TD)*Buildings_GridElectricity_Backend[[#This Row],[Converted data]]/1000)</f>
        <v/>
      </c>
      <c r="AK513" s="210" t="str">
        <f>IF(Buildings_GridElectricity_Frontend[[#This Row],[Data]]="","",_xlfn.XLOOKUP(_xlfn.CONCAT(Buildings_GridElectricity_Backend[[#This Row],[Level 1]:[Level 6]]),rng_EFConcat,rng_EF3WTTTD)*Buildings_GridElectricity_Backend[[#This Row],[Converted data]]/1000)</f>
        <v/>
      </c>
      <c r="AL513" s="220" t="str">
        <f>IF(Buildings_GridElectricity_Frontend[[#This Row],[Data]]="","",SUM(Buildings_GridElectricity_Backend[[#This Row],[Scope 1 (tCO2e)]:[Scope 3 WTT T&amp;D (tCO2e)]]))</f>
        <v/>
      </c>
      <c r="AM513" s="220" t="str">
        <f>IF(Buildings_GridElectricity_Frontend[[#This Row],[Data]]="","",Buildings_GridElectricity_Backend[[#This Row],[Total (tCO2e)]]*(1-Buildings_GridElectricity_Backend[[#This Row],[RSD]]))</f>
        <v/>
      </c>
      <c r="AN513" s="220" t="str">
        <f>IF(Buildings_GridElectricity_Frontend[[#This Row],[Data]]="","",Buildings_GridElectricity_Backend[[#This Row],[Total (tCO2e)]]*(1+Buildings_GridElectricity_Backend[[#This Row],[RSD]]))</f>
        <v/>
      </c>
      <c r="AO513" s="210" t="str">
        <f>IF(Buildings_GridElectricity_Frontend[[#This Row],[Data]]="","",_xlfn.XLOOKUP(_xlfn.CONCAT(Buildings_GridElectricity_Backend[[#This Row],[Level 1]:[Level 6]]),rng_EFConcat,rng_EFOOS)*Buildings_GridElectricity_Backend[[#This Row],[Converted data]]/1000)</f>
        <v/>
      </c>
      <c r="AP513" s="174">
        <f>Buildings_GridElectricity_Frontend[[#This Row],[Ease of collection]]</f>
        <v>0</v>
      </c>
      <c r="AQ513" s="213">
        <f>Buildings_GridElectricity_Frontend[[#This Row],[Completeness]]</f>
        <v>0</v>
      </c>
      <c r="AR513" s="220">
        <f>Buildings_GridElectricity_Frontend[[#This Row],[Notes]]</f>
        <v>0</v>
      </c>
    </row>
    <row r="514" spans="2:44" x14ac:dyDescent="0.3">
      <c r="E514" s="346"/>
      <c r="F514" s="449"/>
      <c r="G514" s="336"/>
      <c r="H514" s="334"/>
      <c r="I514" s="172" t="s">
        <v>316</v>
      </c>
      <c r="J514" s="337"/>
      <c r="K514" s="336"/>
      <c r="L514" s="336"/>
      <c r="M514" s="337"/>
      <c r="N514" s="242">
        <f t="shared" si="17"/>
        <v>3</v>
      </c>
      <c r="Q514" s="212" t="str">
        <f t="shared" si="16"/>
        <v/>
      </c>
      <c r="R514" s="174" t="s">
        <v>265</v>
      </c>
      <c r="S514" s="174" t="s">
        <v>273</v>
      </c>
      <c r="T514" s="174" t="str">
        <f>_xlfn.XLOOKUP(Buildings_GridElectricity_Backend[[#This Row],[Info 1]],Buildings_SiteInfo[Site name],Buildings_SiteInfo[Site type], "")</f>
        <v/>
      </c>
      <c r="U514" s="174" t="s">
        <v>281</v>
      </c>
      <c r="V514" s="174" t="str" cm="1">
        <f t="array" aca="1" ref="V514" ca="1">_xlfn.XLOOKUP(Buildings_GridElectricity_Backend[[#This Row],[Level 4]],rng_Level4Long,rng_Level5Long)</f>
        <v>Electricity</v>
      </c>
      <c r="W514" s="174" t="str" cm="1">
        <f t="array" aca="1" ref="W514" ca="1">_xlfn.XLOOKUP(Buildings_GridElectricity_Backend[[#This Row],[Level 4]],rng_Level4Long,rng_Level6Long)</f>
        <v>NaN</v>
      </c>
      <c r="X514" s="174">
        <f>Buildings_GridElectricity_Frontend[[#This Row],[Site Name]]</f>
        <v>0</v>
      </c>
      <c r="Y514" s="174">
        <f>Buildings_GridElectricity_Frontend[[#This Row],[Contracting]]</f>
        <v>0</v>
      </c>
      <c r="Z514" s="174">
        <f>Buildings_GridElectricity_Frontend[[#This Row],[Methodology]]</f>
        <v>0</v>
      </c>
      <c r="AA514" s="229" t="str" cm="1">
        <f t="array" ref="AA514">IF(Buildings_GridElectricity_Frontend[[#This Row],[Data]]="","",INDEX(_xlfn.SWITCH(Buildings_GridElectricity_Backend[[#This Row],[Methodology]],"Tier 1",rng_RSD1,"Tier 2",rng_RSD2,"Tier 3",rng_RSD3),MATCH(_xlfn.CONCAT(Buildings_GridElectricity_Backend[[#This Row],[Level 1]:[Level 6]]),rng_LevelsConcat,0)))</f>
        <v/>
      </c>
      <c r="AB514" s="220">
        <f>Buildings_GridElectricity_Frontend[[#This Row],[Data]]</f>
        <v>0</v>
      </c>
      <c r="AC514" s="174" t="str">
        <f>Buildings_GridElectricity_Frontend[[#This Row],[Units]]</f>
        <v>kWh</v>
      </c>
      <c r="AD514" s="218">
        <f>Buildings_GridElectricity_Frontend[[#This Row],[Data]]</f>
        <v>0</v>
      </c>
      <c r="AE514" s="174" t="str">
        <f>Buildings_GridElectricity_Frontend[[#This Row],[Units]]</f>
        <v>kWh</v>
      </c>
      <c r="AF514" s="210" t="str">
        <f>IF(Buildings_GridElectricity_Frontend[[#This Row],[Data]]="","",_xlfn.XLOOKUP(_xlfn.CONCAT(Buildings_GridElectricity_Backend[[#This Row],[Level 1]:[Level 6]]),rng_EFConcat,rng_EF1)*Buildings_GridElectricity_Backend[[#This Row],[Converted data]]/1000)</f>
        <v/>
      </c>
      <c r="AG514" s="210" t="str">
        <f>IF(Buildings_GridElectricity_Frontend[[#This Row],[Data]]="","",_xlfn.XLOOKUP(_xlfn.CONCAT(Buildings_GridElectricity_Backend[[#This Row],[Level 1]:[Level 6]]),rng_EFConcat,rng_EF2)*Buildings_GridElectricity_Backend[[#This Row],[Converted data]]/1000)</f>
        <v/>
      </c>
      <c r="AH514" s="210" t="str">
        <f>IF(Buildings_GridElectricity_Frontend[[#This Row],[Data]]="","",_xlfn.XLOOKUP(_xlfn.CONCAT(Buildings_GridElectricity_Backend[[#This Row],[Level 1]:[Level 6]]),rng_EFConcat,rng_EF3)*Buildings_GridElectricity_Backend[[#This Row],[Converted data]]/1000)</f>
        <v/>
      </c>
      <c r="AI514" s="210" t="str">
        <f>IF(Buildings_GridElectricity_Frontend[[#This Row],[Data]]="","",_xlfn.XLOOKUP(_xlfn.CONCAT(Buildings_GridElectricity_Backend[[#This Row],[Level 1]:[Level 6]]),rng_EFConcat,rng_EF3WTT)*Buildings_GridElectricity_Backend[[#This Row],[Converted data]]/1000)</f>
        <v/>
      </c>
      <c r="AJ514" s="210" t="str">
        <f>IF(Buildings_GridElectricity_Frontend[[#This Row],[Data]]="","",_xlfn.XLOOKUP(_xlfn.CONCAT(Buildings_GridElectricity_Backend[[#This Row],[Level 1]:[Level 6]]),rng_EFConcat,rng_EF3TD)*Buildings_GridElectricity_Backend[[#This Row],[Converted data]]/1000)</f>
        <v/>
      </c>
      <c r="AK514" s="210" t="str">
        <f>IF(Buildings_GridElectricity_Frontend[[#This Row],[Data]]="","",_xlfn.XLOOKUP(_xlfn.CONCAT(Buildings_GridElectricity_Backend[[#This Row],[Level 1]:[Level 6]]),rng_EFConcat,rng_EF3WTTTD)*Buildings_GridElectricity_Backend[[#This Row],[Converted data]]/1000)</f>
        <v/>
      </c>
      <c r="AL514" s="220" t="str">
        <f>IF(Buildings_GridElectricity_Frontend[[#This Row],[Data]]="","",SUM(Buildings_GridElectricity_Backend[[#This Row],[Scope 1 (tCO2e)]:[Scope 3 WTT T&amp;D (tCO2e)]]))</f>
        <v/>
      </c>
      <c r="AM514" s="220" t="str">
        <f>IF(Buildings_GridElectricity_Frontend[[#This Row],[Data]]="","",Buildings_GridElectricity_Backend[[#This Row],[Total (tCO2e)]]*(1-Buildings_GridElectricity_Backend[[#This Row],[RSD]]))</f>
        <v/>
      </c>
      <c r="AN514" s="220" t="str">
        <f>IF(Buildings_GridElectricity_Frontend[[#This Row],[Data]]="","",Buildings_GridElectricity_Backend[[#This Row],[Total (tCO2e)]]*(1+Buildings_GridElectricity_Backend[[#This Row],[RSD]]))</f>
        <v/>
      </c>
      <c r="AO514" s="210" t="str">
        <f>IF(Buildings_GridElectricity_Frontend[[#This Row],[Data]]="","",_xlfn.XLOOKUP(_xlfn.CONCAT(Buildings_GridElectricity_Backend[[#This Row],[Level 1]:[Level 6]]),rng_EFConcat,rng_EFOOS)*Buildings_GridElectricity_Backend[[#This Row],[Converted data]]/1000)</f>
        <v/>
      </c>
      <c r="AP514" s="174">
        <f>Buildings_GridElectricity_Frontend[[#This Row],[Ease of collection]]</f>
        <v>0</v>
      </c>
      <c r="AQ514" s="213">
        <f>Buildings_GridElectricity_Frontend[[#This Row],[Completeness]]</f>
        <v>0</v>
      </c>
      <c r="AR514" s="220">
        <f>Buildings_GridElectricity_Frontend[[#This Row],[Notes]]</f>
        <v>0</v>
      </c>
    </row>
    <row r="515" spans="2:44" x14ac:dyDescent="0.3">
      <c r="E515" s="346"/>
      <c r="F515" s="449"/>
      <c r="G515" s="336"/>
      <c r="H515" s="334"/>
      <c r="I515" s="172" t="s">
        <v>316</v>
      </c>
      <c r="J515" s="337"/>
      <c r="K515" s="336"/>
      <c r="L515" s="336"/>
      <c r="M515" s="337"/>
      <c r="N515" s="242">
        <f t="shared" si="17"/>
        <v>3</v>
      </c>
      <c r="Q515" s="212" t="str">
        <f t="shared" si="16"/>
        <v/>
      </c>
      <c r="R515" s="174" t="s">
        <v>265</v>
      </c>
      <c r="S515" s="174" t="s">
        <v>273</v>
      </c>
      <c r="T515" s="174" t="str">
        <f>_xlfn.XLOOKUP(Buildings_GridElectricity_Backend[[#This Row],[Info 1]],Buildings_SiteInfo[Site name],Buildings_SiteInfo[Site type], "")</f>
        <v/>
      </c>
      <c r="U515" s="174" t="s">
        <v>281</v>
      </c>
      <c r="V515" s="174" t="str" cm="1">
        <f t="array" aca="1" ref="V515" ca="1">_xlfn.XLOOKUP(Buildings_GridElectricity_Backend[[#This Row],[Level 4]],rng_Level4Long,rng_Level5Long)</f>
        <v>Electricity</v>
      </c>
      <c r="W515" s="174" t="str" cm="1">
        <f t="array" aca="1" ref="W515" ca="1">_xlfn.XLOOKUP(Buildings_GridElectricity_Backend[[#This Row],[Level 4]],rng_Level4Long,rng_Level6Long)</f>
        <v>NaN</v>
      </c>
      <c r="X515" s="174">
        <f>Buildings_GridElectricity_Frontend[[#This Row],[Site Name]]</f>
        <v>0</v>
      </c>
      <c r="Y515" s="174">
        <f>Buildings_GridElectricity_Frontend[[#This Row],[Contracting]]</f>
        <v>0</v>
      </c>
      <c r="Z515" s="174">
        <f>Buildings_GridElectricity_Frontend[[#This Row],[Methodology]]</f>
        <v>0</v>
      </c>
      <c r="AA515" s="229" t="str" cm="1">
        <f t="array" ref="AA515">IF(Buildings_GridElectricity_Frontend[[#This Row],[Data]]="","",INDEX(_xlfn.SWITCH(Buildings_GridElectricity_Backend[[#This Row],[Methodology]],"Tier 1",rng_RSD1,"Tier 2",rng_RSD2,"Tier 3",rng_RSD3),MATCH(_xlfn.CONCAT(Buildings_GridElectricity_Backend[[#This Row],[Level 1]:[Level 6]]),rng_LevelsConcat,0)))</f>
        <v/>
      </c>
      <c r="AB515" s="220">
        <f>Buildings_GridElectricity_Frontend[[#This Row],[Data]]</f>
        <v>0</v>
      </c>
      <c r="AC515" s="174" t="str">
        <f>Buildings_GridElectricity_Frontend[[#This Row],[Units]]</f>
        <v>kWh</v>
      </c>
      <c r="AD515" s="218">
        <f>Buildings_GridElectricity_Frontend[[#This Row],[Data]]</f>
        <v>0</v>
      </c>
      <c r="AE515" s="174" t="str">
        <f>Buildings_GridElectricity_Frontend[[#This Row],[Units]]</f>
        <v>kWh</v>
      </c>
      <c r="AF515" s="210" t="str">
        <f>IF(Buildings_GridElectricity_Frontend[[#This Row],[Data]]="","",_xlfn.XLOOKUP(_xlfn.CONCAT(Buildings_GridElectricity_Backend[[#This Row],[Level 1]:[Level 6]]),rng_EFConcat,rng_EF1)*Buildings_GridElectricity_Backend[[#This Row],[Converted data]]/1000)</f>
        <v/>
      </c>
      <c r="AG515" s="210" t="str">
        <f>IF(Buildings_GridElectricity_Frontend[[#This Row],[Data]]="","",_xlfn.XLOOKUP(_xlfn.CONCAT(Buildings_GridElectricity_Backend[[#This Row],[Level 1]:[Level 6]]),rng_EFConcat,rng_EF2)*Buildings_GridElectricity_Backend[[#This Row],[Converted data]]/1000)</f>
        <v/>
      </c>
      <c r="AH515" s="210" t="str">
        <f>IF(Buildings_GridElectricity_Frontend[[#This Row],[Data]]="","",_xlfn.XLOOKUP(_xlfn.CONCAT(Buildings_GridElectricity_Backend[[#This Row],[Level 1]:[Level 6]]),rng_EFConcat,rng_EF3)*Buildings_GridElectricity_Backend[[#This Row],[Converted data]]/1000)</f>
        <v/>
      </c>
      <c r="AI515" s="210" t="str">
        <f>IF(Buildings_GridElectricity_Frontend[[#This Row],[Data]]="","",_xlfn.XLOOKUP(_xlfn.CONCAT(Buildings_GridElectricity_Backend[[#This Row],[Level 1]:[Level 6]]),rng_EFConcat,rng_EF3WTT)*Buildings_GridElectricity_Backend[[#This Row],[Converted data]]/1000)</f>
        <v/>
      </c>
      <c r="AJ515" s="210" t="str">
        <f>IF(Buildings_GridElectricity_Frontend[[#This Row],[Data]]="","",_xlfn.XLOOKUP(_xlfn.CONCAT(Buildings_GridElectricity_Backend[[#This Row],[Level 1]:[Level 6]]),rng_EFConcat,rng_EF3TD)*Buildings_GridElectricity_Backend[[#This Row],[Converted data]]/1000)</f>
        <v/>
      </c>
      <c r="AK515" s="210" t="str">
        <f>IF(Buildings_GridElectricity_Frontend[[#This Row],[Data]]="","",_xlfn.XLOOKUP(_xlfn.CONCAT(Buildings_GridElectricity_Backend[[#This Row],[Level 1]:[Level 6]]),rng_EFConcat,rng_EF3WTTTD)*Buildings_GridElectricity_Backend[[#This Row],[Converted data]]/1000)</f>
        <v/>
      </c>
      <c r="AL515" s="220" t="str">
        <f>IF(Buildings_GridElectricity_Frontend[[#This Row],[Data]]="","",SUM(Buildings_GridElectricity_Backend[[#This Row],[Scope 1 (tCO2e)]:[Scope 3 WTT T&amp;D (tCO2e)]]))</f>
        <v/>
      </c>
      <c r="AM515" s="220" t="str">
        <f>IF(Buildings_GridElectricity_Frontend[[#This Row],[Data]]="","",Buildings_GridElectricity_Backend[[#This Row],[Total (tCO2e)]]*(1-Buildings_GridElectricity_Backend[[#This Row],[RSD]]))</f>
        <v/>
      </c>
      <c r="AN515" s="220" t="str">
        <f>IF(Buildings_GridElectricity_Frontend[[#This Row],[Data]]="","",Buildings_GridElectricity_Backend[[#This Row],[Total (tCO2e)]]*(1+Buildings_GridElectricity_Backend[[#This Row],[RSD]]))</f>
        <v/>
      </c>
      <c r="AO515" s="210" t="str">
        <f>IF(Buildings_GridElectricity_Frontend[[#This Row],[Data]]="","",_xlfn.XLOOKUP(_xlfn.CONCAT(Buildings_GridElectricity_Backend[[#This Row],[Level 1]:[Level 6]]),rng_EFConcat,rng_EFOOS)*Buildings_GridElectricity_Backend[[#This Row],[Converted data]]/1000)</f>
        <v/>
      </c>
      <c r="AP515" s="174">
        <f>Buildings_GridElectricity_Frontend[[#This Row],[Ease of collection]]</f>
        <v>0</v>
      </c>
      <c r="AQ515" s="213">
        <f>Buildings_GridElectricity_Frontend[[#This Row],[Completeness]]</f>
        <v>0</v>
      </c>
      <c r="AR515" s="220">
        <f>Buildings_GridElectricity_Frontend[[#This Row],[Notes]]</f>
        <v>0</v>
      </c>
    </row>
    <row r="516" spans="2:44" x14ac:dyDescent="0.3">
      <c r="E516" s="346"/>
      <c r="F516" s="449"/>
      <c r="G516" s="336"/>
      <c r="H516" s="334"/>
      <c r="I516" s="172" t="s">
        <v>316</v>
      </c>
      <c r="J516" s="337"/>
      <c r="K516" s="336"/>
      <c r="L516" s="336"/>
      <c r="M516" s="337"/>
      <c r="N516" s="242">
        <f t="shared" si="17"/>
        <v>3</v>
      </c>
      <c r="Q516" s="212" t="str">
        <f t="shared" si="16"/>
        <v/>
      </c>
      <c r="R516" s="174" t="s">
        <v>265</v>
      </c>
      <c r="S516" s="174" t="s">
        <v>273</v>
      </c>
      <c r="T516" s="174" t="str">
        <f>_xlfn.XLOOKUP(Buildings_GridElectricity_Backend[[#This Row],[Info 1]],Buildings_SiteInfo[Site name],Buildings_SiteInfo[Site type], "")</f>
        <v/>
      </c>
      <c r="U516" s="174" t="s">
        <v>281</v>
      </c>
      <c r="V516" s="174" t="str" cm="1">
        <f t="array" aca="1" ref="V516" ca="1">_xlfn.XLOOKUP(Buildings_GridElectricity_Backend[[#This Row],[Level 4]],rng_Level4Long,rng_Level5Long)</f>
        <v>Electricity</v>
      </c>
      <c r="W516" s="174" t="str" cm="1">
        <f t="array" aca="1" ref="W516" ca="1">_xlfn.XLOOKUP(Buildings_GridElectricity_Backend[[#This Row],[Level 4]],rng_Level4Long,rng_Level6Long)</f>
        <v>NaN</v>
      </c>
      <c r="X516" s="174">
        <f>Buildings_GridElectricity_Frontend[[#This Row],[Site Name]]</f>
        <v>0</v>
      </c>
      <c r="Y516" s="174">
        <f>Buildings_GridElectricity_Frontend[[#This Row],[Contracting]]</f>
        <v>0</v>
      </c>
      <c r="Z516" s="174">
        <f>Buildings_GridElectricity_Frontend[[#This Row],[Methodology]]</f>
        <v>0</v>
      </c>
      <c r="AA516" s="229" t="str" cm="1">
        <f t="array" ref="AA516">IF(Buildings_GridElectricity_Frontend[[#This Row],[Data]]="","",INDEX(_xlfn.SWITCH(Buildings_GridElectricity_Backend[[#This Row],[Methodology]],"Tier 1",rng_RSD1,"Tier 2",rng_RSD2,"Tier 3",rng_RSD3),MATCH(_xlfn.CONCAT(Buildings_GridElectricity_Backend[[#This Row],[Level 1]:[Level 6]]),rng_LevelsConcat,0)))</f>
        <v/>
      </c>
      <c r="AB516" s="220">
        <f>Buildings_GridElectricity_Frontend[[#This Row],[Data]]</f>
        <v>0</v>
      </c>
      <c r="AC516" s="174" t="str">
        <f>Buildings_GridElectricity_Frontend[[#This Row],[Units]]</f>
        <v>kWh</v>
      </c>
      <c r="AD516" s="218">
        <f>Buildings_GridElectricity_Frontend[[#This Row],[Data]]</f>
        <v>0</v>
      </c>
      <c r="AE516" s="174" t="str">
        <f>Buildings_GridElectricity_Frontend[[#This Row],[Units]]</f>
        <v>kWh</v>
      </c>
      <c r="AF516" s="210" t="str">
        <f>IF(Buildings_GridElectricity_Frontend[[#This Row],[Data]]="","",_xlfn.XLOOKUP(_xlfn.CONCAT(Buildings_GridElectricity_Backend[[#This Row],[Level 1]:[Level 6]]),rng_EFConcat,rng_EF1)*Buildings_GridElectricity_Backend[[#This Row],[Converted data]]/1000)</f>
        <v/>
      </c>
      <c r="AG516" s="210" t="str">
        <f>IF(Buildings_GridElectricity_Frontend[[#This Row],[Data]]="","",_xlfn.XLOOKUP(_xlfn.CONCAT(Buildings_GridElectricity_Backend[[#This Row],[Level 1]:[Level 6]]),rng_EFConcat,rng_EF2)*Buildings_GridElectricity_Backend[[#This Row],[Converted data]]/1000)</f>
        <v/>
      </c>
      <c r="AH516" s="210" t="str">
        <f>IF(Buildings_GridElectricity_Frontend[[#This Row],[Data]]="","",_xlfn.XLOOKUP(_xlfn.CONCAT(Buildings_GridElectricity_Backend[[#This Row],[Level 1]:[Level 6]]),rng_EFConcat,rng_EF3)*Buildings_GridElectricity_Backend[[#This Row],[Converted data]]/1000)</f>
        <v/>
      </c>
      <c r="AI516" s="210" t="str">
        <f>IF(Buildings_GridElectricity_Frontend[[#This Row],[Data]]="","",_xlfn.XLOOKUP(_xlfn.CONCAT(Buildings_GridElectricity_Backend[[#This Row],[Level 1]:[Level 6]]),rng_EFConcat,rng_EF3WTT)*Buildings_GridElectricity_Backend[[#This Row],[Converted data]]/1000)</f>
        <v/>
      </c>
      <c r="AJ516" s="210" t="str">
        <f>IF(Buildings_GridElectricity_Frontend[[#This Row],[Data]]="","",_xlfn.XLOOKUP(_xlfn.CONCAT(Buildings_GridElectricity_Backend[[#This Row],[Level 1]:[Level 6]]),rng_EFConcat,rng_EF3TD)*Buildings_GridElectricity_Backend[[#This Row],[Converted data]]/1000)</f>
        <v/>
      </c>
      <c r="AK516" s="210" t="str">
        <f>IF(Buildings_GridElectricity_Frontend[[#This Row],[Data]]="","",_xlfn.XLOOKUP(_xlfn.CONCAT(Buildings_GridElectricity_Backend[[#This Row],[Level 1]:[Level 6]]),rng_EFConcat,rng_EF3WTTTD)*Buildings_GridElectricity_Backend[[#This Row],[Converted data]]/1000)</f>
        <v/>
      </c>
      <c r="AL516" s="220" t="str">
        <f>IF(Buildings_GridElectricity_Frontend[[#This Row],[Data]]="","",SUM(Buildings_GridElectricity_Backend[[#This Row],[Scope 1 (tCO2e)]:[Scope 3 WTT T&amp;D (tCO2e)]]))</f>
        <v/>
      </c>
      <c r="AM516" s="220" t="str">
        <f>IF(Buildings_GridElectricity_Frontend[[#This Row],[Data]]="","",Buildings_GridElectricity_Backend[[#This Row],[Total (tCO2e)]]*(1-Buildings_GridElectricity_Backend[[#This Row],[RSD]]))</f>
        <v/>
      </c>
      <c r="AN516" s="220" t="str">
        <f>IF(Buildings_GridElectricity_Frontend[[#This Row],[Data]]="","",Buildings_GridElectricity_Backend[[#This Row],[Total (tCO2e)]]*(1+Buildings_GridElectricity_Backend[[#This Row],[RSD]]))</f>
        <v/>
      </c>
      <c r="AO516" s="210" t="str">
        <f>IF(Buildings_GridElectricity_Frontend[[#This Row],[Data]]="","",_xlfn.XLOOKUP(_xlfn.CONCAT(Buildings_GridElectricity_Backend[[#This Row],[Level 1]:[Level 6]]),rng_EFConcat,rng_EFOOS)*Buildings_GridElectricity_Backend[[#This Row],[Converted data]]/1000)</f>
        <v/>
      </c>
      <c r="AP516" s="174">
        <f>Buildings_GridElectricity_Frontend[[#This Row],[Ease of collection]]</f>
        <v>0</v>
      </c>
      <c r="AQ516" s="213">
        <f>Buildings_GridElectricity_Frontend[[#This Row],[Completeness]]</f>
        <v>0</v>
      </c>
      <c r="AR516" s="220">
        <f>Buildings_GridElectricity_Frontend[[#This Row],[Notes]]</f>
        <v>0</v>
      </c>
    </row>
    <row r="517" spans="2:44" x14ac:dyDescent="0.3">
      <c r="E517" s="346"/>
      <c r="F517" s="449"/>
      <c r="G517" s="336"/>
      <c r="H517" s="334"/>
      <c r="I517" s="172" t="s">
        <v>316</v>
      </c>
      <c r="J517" s="337"/>
      <c r="K517" s="336"/>
      <c r="L517" s="336"/>
      <c r="M517" s="337"/>
      <c r="N517" s="242">
        <f t="shared" si="17"/>
        <v>3</v>
      </c>
      <c r="Q517" s="212" t="str">
        <f t="shared" si="16"/>
        <v/>
      </c>
      <c r="R517" s="174" t="s">
        <v>265</v>
      </c>
      <c r="S517" s="174" t="s">
        <v>273</v>
      </c>
      <c r="T517" s="174" t="str">
        <f>_xlfn.XLOOKUP(Buildings_GridElectricity_Backend[[#This Row],[Info 1]],Buildings_SiteInfo[Site name],Buildings_SiteInfo[Site type], "")</f>
        <v/>
      </c>
      <c r="U517" s="174" t="s">
        <v>281</v>
      </c>
      <c r="V517" s="174" t="str" cm="1">
        <f t="array" aca="1" ref="V517" ca="1">_xlfn.XLOOKUP(Buildings_GridElectricity_Backend[[#This Row],[Level 4]],rng_Level4Long,rng_Level5Long)</f>
        <v>Electricity</v>
      </c>
      <c r="W517" s="174" t="str" cm="1">
        <f t="array" aca="1" ref="W517" ca="1">_xlfn.XLOOKUP(Buildings_GridElectricity_Backend[[#This Row],[Level 4]],rng_Level4Long,rng_Level6Long)</f>
        <v>NaN</v>
      </c>
      <c r="X517" s="174">
        <f>Buildings_GridElectricity_Frontend[[#This Row],[Site Name]]</f>
        <v>0</v>
      </c>
      <c r="Y517" s="174">
        <f>Buildings_GridElectricity_Frontend[[#This Row],[Contracting]]</f>
        <v>0</v>
      </c>
      <c r="Z517" s="174">
        <f>Buildings_GridElectricity_Frontend[[#This Row],[Methodology]]</f>
        <v>0</v>
      </c>
      <c r="AA517" s="229" t="str" cm="1">
        <f t="array" ref="AA517">IF(Buildings_GridElectricity_Frontend[[#This Row],[Data]]="","",INDEX(_xlfn.SWITCH(Buildings_GridElectricity_Backend[[#This Row],[Methodology]],"Tier 1",rng_RSD1,"Tier 2",rng_RSD2,"Tier 3",rng_RSD3),MATCH(_xlfn.CONCAT(Buildings_GridElectricity_Backend[[#This Row],[Level 1]:[Level 6]]),rng_LevelsConcat,0)))</f>
        <v/>
      </c>
      <c r="AB517" s="220">
        <f>Buildings_GridElectricity_Frontend[[#This Row],[Data]]</f>
        <v>0</v>
      </c>
      <c r="AC517" s="174" t="str">
        <f>Buildings_GridElectricity_Frontend[[#This Row],[Units]]</f>
        <v>kWh</v>
      </c>
      <c r="AD517" s="218">
        <f>Buildings_GridElectricity_Frontend[[#This Row],[Data]]</f>
        <v>0</v>
      </c>
      <c r="AE517" s="174" t="str">
        <f>Buildings_GridElectricity_Frontend[[#This Row],[Units]]</f>
        <v>kWh</v>
      </c>
      <c r="AF517" s="210" t="str">
        <f>IF(Buildings_GridElectricity_Frontend[[#This Row],[Data]]="","",_xlfn.XLOOKUP(_xlfn.CONCAT(Buildings_GridElectricity_Backend[[#This Row],[Level 1]:[Level 6]]),rng_EFConcat,rng_EF1)*Buildings_GridElectricity_Backend[[#This Row],[Converted data]]/1000)</f>
        <v/>
      </c>
      <c r="AG517" s="210" t="str">
        <f>IF(Buildings_GridElectricity_Frontend[[#This Row],[Data]]="","",_xlfn.XLOOKUP(_xlfn.CONCAT(Buildings_GridElectricity_Backend[[#This Row],[Level 1]:[Level 6]]),rng_EFConcat,rng_EF2)*Buildings_GridElectricity_Backend[[#This Row],[Converted data]]/1000)</f>
        <v/>
      </c>
      <c r="AH517" s="210" t="str">
        <f>IF(Buildings_GridElectricity_Frontend[[#This Row],[Data]]="","",_xlfn.XLOOKUP(_xlfn.CONCAT(Buildings_GridElectricity_Backend[[#This Row],[Level 1]:[Level 6]]),rng_EFConcat,rng_EF3)*Buildings_GridElectricity_Backend[[#This Row],[Converted data]]/1000)</f>
        <v/>
      </c>
      <c r="AI517" s="210" t="str">
        <f>IF(Buildings_GridElectricity_Frontend[[#This Row],[Data]]="","",_xlfn.XLOOKUP(_xlfn.CONCAT(Buildings_GridElectricity_Backend[[#This Row],[Level 1]:[Level 6]]),rng_EFConcat,rng_EF3WTT)*Buildings_GridElectricity_Backend[[#This Row],[Converted data]]/1000)</f>
        <v/>
      </c>
      <c r="AJ517" s="210" t="str">
        <f>IF(Buildings_GridElectricity_Frontend[[#This Row],[Data]]="","",_xlfn.XLOOKUP(_xlfn.CONCAT(Buildings_GridElectricity_Backend[[#This Row],[Level 1]:[Level 6]]),rng_EFConcat,rng_EF3TD)*Buildings_GridElectricity_Backend[[#This Row],[Converted data]]/1000)</f>
        <v/>
      </c>
      <c r="AK517" s="210" t="str">
        <f>IF(Buildings_GridElectricity_Frontend[[#This Row],[Data]]="","",_xlfn.XLOOKUP(_xlfn.CONCAT(Buildings_GridElectricity_Backend[[#This Row],[Level 1]:[Level 6]]),rng_EFConcat,rng_EF3WTTTD)*Buildings_GridElectricity_Backend[[#This Row],[Converted data]]/1000)</f>
        <v/>
      </c>
      <c r="AL517" s="220" t="str">
        <f>IF(Buildings_GridElectricity_Frontend[[#This Row],[Data]]="","",SUM(Buildings_GridElectricity_Backend[[#This Row],[Scope 1 (tCO2e)]:[Scope 3 WTT T&amp;D (tCO2e)]]))</f>
        <v/>
      </c>
      <c r="AM517" s="220" t="str">
        <f>IF(Buildings_GridElectricity_Frontend[[#This Row],[Data]]="","",Buildings_GridElectricity_Backend[[#This Row],[Total (tCO2e)]]*(1-Buildings_GridElectricity_Backend[[#This Row],[RSD]]))</f>
        <v/>
      </c>
      <c r="AN517" s="220" t="str">
        <f>IF(Buildings_GridElectricity_Frontend[[#This Row],[Data]]="","",Buildings_GridElectricity_Backend[[#This Row],[Total (tCO2e)]]*(1+Buildings_GridElectricity_Backend[[#This Row],[RSD]]))</f>
        <v/>
      </c>
      <c r="AO517" s="210" t="str">
        <f>IF(Buildings_GridElectricity_Frontend[[#This Row],[Data]]="","",_xlfn.XLOOKUP(_xlfn.CONCAT(Buildings_GridElectricity_Backend[[#This Row],[Level 1]:[Level 6]]),rng_EFConcat,rng_EFOOS)*Buildings_GridElectricity_Backend[[#This Row],[Converted data]]/1000)</f>
        <v/>
      </c>
      <c r="AP517" s="174">
        <f>Buildings_GridElectricity_Frontend[[#This Row],[Ease of collection]]</f>
        <v>0</v>
      </c>
      <c r="AQ517" s="213">
        <f>Buildings_GridElectricity_Frontend[[#This Row],[Completeness]]</f>
        <v>0</v>
      </c>
      <c r="AR517" s="220">
        <f>Buildings_GridElectricity_Frontend[[#This Row],[Notes]]</f>
        <v>0</v>
      </c>
    </row>
    <row r="518" spans="2:44" x14ac:dyDescent="0.3">
      <c r="E518" s="346"/>
      <c r="F518" s="449"/>
      <c r="G518" s="336"/>
      <c r="H518" s="334"/>
      <c r="I518" s="172" t="s">
        <v>316</v>
      </c>
      <c r="J518" s="337"/>
      <c r="K518" s="336"/>
      <c r="L518" s="336"/>
      <c r="M518" s="337"/>
      <c r="N518" s="242">
        <f t="shared" si="17"/>
        <v>3</v>
      </c>
      <c r="Q518" s="212" t="str">
        <f t="shared" si="16"/>
        <v/>
      </c>
      <c r="R518" s="174" t="s">
        <v>265</v>
      </c>
      <c r="S518" s="174" t="s">
        <v>273</v>
      </c>
      <c r="T518" s="174" t="str">
        <f>_xlfn.XLOOKUP(Buildings_GridElectricity_Backend[[#This Row],[Info 1]],Buildings_SiteInfo[Site name],Buildings_SiteInfo[Site type], "")</f>
        <v/>
      </c>
      <c r="U518" s="174" t="s">
        <v>281</v>
      </c>
      <c r="V518" s="174" t="str" cm="1">
        <f t="array" aca="1" ref="V518" ca="1">_xlfn.XLOOKUP(Buildings_GridElectricity_Backend[[#This Row],[Level 4]],rng_Level4Long,rng_Level5Long)</f>
        <v>Electricity</v>
      </c>
      <c r="W518" s="174" t="str" cm="1">
        <f t="array" aca="1" ref="W518" ca="1">_xlfn.XLOOKUP(Buildings_GridElectricity_Backend[[#This Row],[Level 4]],rng_Level4Long,rng_Level6Long)</f>
        <v>NaN</v>
      </c>
      <c r="X518" s="174">
        <f>Buildings_GridElectricity_Frontend[[#This Row],[Site Name]]</f>
        <v>0</v>
      </c>
      <c r="Y518" s="174">
        <f>Buildings_GridElectricity_Frontend[[#This Row],[Contracting]]</f>
        <v>0</v>
      </c>
      <c r="Z518" s="174">
        <f>Buildings_GridElectricity_Frontend[[#This Row],[Methodology]]</f>
        <v>0</v>
      </c>
      <c r="AA518" s="229" t="str" cm="1">
        <f t="array" ref="AA518">IF(Buildings_GridElectricity_Frontend[[#This Row],[Data]]="","",INDEX(_xlfn.SWITCH(Buildings_GridElectricity_Backend[[#This Row],[Methodology]],"Tier 1",rng_RSD1,"Tier 2",rng_RSD2,"Tier 3",rng_RSD3),MATCH(_xlfn.CONCAT(Buildings_GridElectricity_Backend[[#This Row],[Level 1]:[Level 6]]),rng_LevelsConcat,0)))</f>
        <v/>
      </c>
      <c r="AB518" s="220">
        <f>Buildings_GridElectricity_Frontend[[#This Row],[Data]]</f>
        <v>0</v>
      </c>
      <c r="AC518" s="174" t="str">
        <f>Buildings_GridElectricity_Frontend[[#This Row],[Units]]</f>
        <v>kWh</v>
      </c>
      <c r="AD518" s="218">
        <f>Buildings_GridElectricity_Frontend[[#This Row],[Data]]</f>
        <v>0</v>
      </c>
      <c r="AE518" s="174" t="str">
        <f>Buildings_GridElectricity_Frontend[[#This Row],[Units]]</f>
        <v>kWh</v>
      </c>
      <c r="AF518" s="210" t="str">
        <f>IF(Buildings_GridElectricity_Frontend[[#This Row],[Data]]="","",_xlfn.XLOOKUP(_xlfn.CONCAT(Buildings_GridElectricity_Backend[[#This Row],[Level 1]:[Level 6]]),rng_EFConcat,rng_EF1)*Buildings_GridElectricity_Backend[[#This Row],[Converted data]]/1000)</f>
        <v/>
      </c>
      <c r="AG518" s="210" t="str">
        <f>IF(Buildings_GridElectricity_Frontend[[#This Row],[Data]]="","",_xlfn.XLOOKUP(_xlfn.CONCAT(Buildings_GridElectricity_Backend[[#This Row],[Level 1]:[Level 6]]),rng_EFConcat,rng_EF2)*Buildings_GridElectricity_Backend[[#This Row],[Converted data]]/1000)</f>
        <v/>
      </c>
      <c r="AH518" s="210" t="str">
        <f>IF(Buildings_GridElectricity_Frontend[[#This Row],[Data]]="","",_xlfn.XLOOKUP(_xlfn.CONCAT(Buildings_GridElectricity_Backend[[#This Row],[Level 1]:[Level 6]]),rng_EFConcat,rng_EF3)*Buildings_GridElectricity_Backend[[#This Row],[Converted data]]/1000)</f>
        <v/>
      </c>
      <c r="AI518" s="210" t="str">
        <f>IF(Buildings_GridElectricity_Frontend[[#This Row],[Data]]="","",_xlfn.XLOOKUP(_xlfn.CONCAT(Buildings_GridElectricity_Backend[[#This Row],[Level 1]:[Level 6]]),rng_EFConcat,rng_EF3WTT)*Buildings_GridElectricity_Backend[[#This Row],[Converted data]]/1000)</f>
        <v/>
      </c>
      <c r="AJ518" s="210" t="str">
        <f>IF(Buildings_GridElectricity_Frontend[[#This Row],[Data]]="","",_xlfn.XLOOKUP(_xlfn.CONCAT(Buildings_GridElectricity_Backend[[#This Row],[Level 1]:[Level 6]]),rng_EFConcat,rng_EF3TD)*Buildings_GridElectricity_Backend[[#This Row],[Converted data]]/1000)</f>
        <v/>
      </c>
      <c r="AK518" s="210" t="str">
        <f>IF(Buildings_GridElectricity_Frontend[[#This Row],[Data]]="","",_xlfn.XLOOKUP(_xlfn.CONCAT(Buildings_GridElectricity_Backend[[#This Row],[Level 1]:[Level 6]]),rng_EFConcat,rng_EF3WTTTD)*Buildings_GridElectricity_Backend[[#This Row],[Converted data]]/1000)</f>
        <v/>
      </c>
      <c r="AL518" s="220" t="str">
        <f>IF(Buildings_GridElectricity_Frontend[[#This Row],[Data]]="","",SUM(Buildings_GridElectricity_Backend[[#This Row],[Scope 1 (tCO2e)]:[Scope 3 WTT T&amp;D (tCO2e)]]))</f>
        <v/>
      </c>
      <c r="AM518" s="220" t="str">
        <f>IF(Buildings_GridElectricity_Frontend[[#This Row],[Data]]="","",Buildings_GridElectricity_Backend[[#This Row],[Total (tCO2e)]]*(1-Buildings_GridElectricity_Backend[[#This Row],[RSD]]))</f>
        <v/>
      </c>
      <c r="AN518" s="220" t="str">
        <f>IF(Buildings_GridElectricity_Frontend[[#This Row],[Data]]="","",Buildings_GridElectricity_Backend[[#This Row],[Total (tCO2e)]]*(1+Buildings_GridElectricity_Backend[[#This Row],[RSD]]))</f>
        <v/>
      </c>
      <c r="AO518" s="210" t="str">
        <f>IF(Buildings_GridElectricity_Frontend[[#This Row],[Data]]="","",_xlfn.XLOOKUP(_xlfn.CONCAT(Buildings_GridElectricity_Backend[[#This Row],[Level 1]:[Level 6]]),rng_EFConcat,rng_EFOOS)*Buildings_GridElectricity_Backend[[#This Row],[Converted data]]/1000)</f>
        <v/>
      </c>
      <c r="AP518" s="174">
        <f>Buildings_GridElectricity_Frontend[[#This Row],[Ease of collection]]</f>
        <v>0</v>
      </c>
      <c r="AQ518" s="213">
        <f>Buildings_GridElectricity_Frontend[[#This Row],[Completeness]]</f>
        <v>0</v>
      </c>
      <c r="AR518" s="220">
        <f>Buildings_GridElectricity_Frontend[[#This Row],[Notes]]</f>
        <v>0</v>
      </c>
    </row>
    <row r="519" spans="2:44" x14ac:dyDescent="0.3">
      <c r="E519" s="346"/>
      <c r="F519" s="449"/>
      <c r="G519" s="336"/>
      <c r="H519" s="334"/>
      <c r="I519" s="172" t="s">
        <v>316</v>
      </c>
      <c r="J519" s="337"/>
      <c r="K519" s="336"/>
      <c r="L519" s="336"/>
      <c r="M519" s="337"/>
      <c r="N519" s="242">
        <f t="shared" si="17"/>
        <v>3</v>
      </c>
      <c r="Q519" s="212" t="str">
        <f t="shared" si="16"/>
        <v/>
      </c>
      <c r="R519" s="174" t="s">
        <v>265</v>
      </c>
      <c r="S519" s="174" t="s">
        <v>273</v>
      </c>
      <c r="T519" s="174" t="str">
        <f>_xlfn.XLOOKUP(Buildings_GridElectricity_Backend[[#This Row],[Info 1]],Buildings_SiteInfo[Site name],Buildings_SiteInfo[Site type], "")</f>
        <v/>
      </c>
      <c r="U519" s="174" t="s">
        <v>281</v>
      </c>
      <c r="V519" s="174" t="str" cm="1">
        <f t="array" aca="1" ref="V519" ca="1">_xlfn.XLOOKUP(Buildings_GridElectricity_Backend[[#This Row],[Level 4]],rng_Level4Long,rng_Level5Long)</f>
        <v>Electricity</v>
      </c>
      <c r="W519" s="174" t="str" cm="1">
        <f t="array" aca="1" ref="W519" ca="1">_xlfn.XLOOKUP(Buildings_GridElectricity_Backend[[#This Row],[Level 4]],rng_Level4Long,rng_Level6Long)</f>
        <v>NaN</v>
      </c>
      <c r="X519" s="174">
        <f>Buildings_GridElectricity_Frontend[[#This Row],[Site Name]]</f>
        <v>0</v>
      </c>
      <c r="Y519" s="174">
        <f>Buildings_GridElectricity_Frontend[[#This Row],[Contracting]]</f>
        <v>0</v>
      </c>
      <c r="Z519" s="174">
        <f>Buildings_GridElectricity_Frontend[[#This Row],[Methodology]]</f>
        <v>0</v>
      </c>
      <c r="AA519" s="229" t="str" cm="1">
        <f t="array" ref="AA519">IF(Buildings_GridElectricity_Frontend[[#This Row],[Data]]="","",INDEX(_xlfn.SWITCH(Buildings_GridElectricity_Backend[[#This Row],[Methodology]],"Tier 1",rng_RSD1,"Tier 2",rng_RSD2,"Tier 3",rng_RSD3),MATCH(_xlfn.CONCAT(Buildings_GridElectricity_Backend[[#This Row],[Level 1]:[Level 6]]),rng_LevelsConcat,0)))</f>
        <v/>
      </c>
      <c r="AB519" s="220">
        <f>Buildings_GridElectricity_Frontend[[#This Row],[Data]]</f>
        <v>0</v>
      </c>
      <c r="AC519" s="174" t="str">
        <f>Buildings_GridElectricity_Frontend[[#This Row],[Units]]</f>
        <v>kWh</v>
      </c>
      <c r="AD519" s="218">
        <f>Buildings_GridElectricity_Frontend[[#This Row],[Data]]</f>
        <v>0</v>
      </c>
      <c r="AE519" s="174" t="str">
        <f>Buildings_GridElectricity_Frontend[[#This Row],[Units]]</f>
        <v>kWh</v>
      </c>
      <c r="AF519" s="210" t="str">
        <f>IF(Buildings_GridElectricity_Frontend[[#This Row],[Data]]="","",_xlfn.XLOOKUP(_xlfn.CONCAT(Buildings_GridElectricity_Backend[[#This Row],[Level 1]:[Level 6]]),rng_EFConcat,rng_EF1)*Buildings_GridElectricity_Backend[[#This Row],[Converted data]]/1000)</f>
        <v/>
      </c>
      <c r="AG519" s="210" t="str">
        <f>IF(Buildings_GridElectricity_Frontend[[#This Row],[Data]]="","",_xlfn.XLOOKUP(_xlfn.CONCAT(Buildings_GridElectricity_Backend[[#This Row],[Level 1]:[Level 6]]),rng_EFConcat,rng_EF2)*Buildings_GridElectricity_Backend[[#This Row],[Converted data]]/1000)</f>
        <v/>
      </c>
      <c r="AH519" s="210" t="str">
        <f>IF(Buildings_GridElectricity_Frontend[[#This Row],[Data]]="","",_xlfn.XLOOKUP(_xlfn.CONCAT(Buildings_GridElectricity_Backend[[#This Row],[Level 1]:[Level 6]]),rng_EFConcat,rng_EF3)*Buildings_GridElectricity_Backend[[#This Row],[Converted data]]/1000)</f>
        <v/>
      </c>
      <c r="AI519" s="210" t="str">
        <f>IF(Buildings_GridElectricity_Frontend[[#This Row],[Data]]="","",_xlfn.XLOOKUP(_xlfn.CONCAT(Buildings_GridElectricity_Backend[[#This Row],[Level 1]:[Level 6]]),rng_EFConcat,rng_EF3WTT)*Buildings_GridElectricity_Backend[[#This Row],[Converted data]]/1000)</f>
        <v/>
      </c>
      <c r="AJ519" s="210" t="str">
        <f>IF(Buildings_GridElectricity_Frontend[[#This Row],[Data]]="","",_xlfn.XLOOKUP(_xlfn.CONCAT(Buildings_GridElectricity_Backend[[#This Row],[Level 1]:[Level 6]]),rng_EFConcat,rng_EF3TD)*Buildings_GridElectricity_Backend[[#This Row],[Converted data]]/1000)</f>
        <v/>
      </c>
      <c r="AK519" s="210" t="str">
        <f>IF(Buildings_GridElectricity_Frontend[[#This Row],[Data]]="","",_xlfn.XLOOKUP(_xlfn.CONCAT(Buildings_GridElectricity_Backend[[#This Row],[Level 1]:[Level 6]]),rng_EFConcat,rng_EF3WTTTD)*Buildings_GridElectricity_Backend[[#This Row],[Converted data]]/1000)</f>
        <v/>
      </c>
      <c r="AL519" s="220" t="str">
        <f>IF(Buildings_GridElectricity_Frontend[[#This Row],[Data]]="","",SUM(Buildings_GridElectricity_Backend[[#This Row],[Scope 1 (tCO2e)]:[Scope 3 WTT T&amp;D (tCO2e)]]))</f>
        <v/>
      </c>
      <c r="AM519" s="220" t="str">
        <f>IF(Buildings_GridElectricity_Frontend[[#This Row],[Data]]="","",Buildings_GridElectricity_Backend[[#This Row],[Total (tCO2e)]]*(1-Buildings_GridElectricity_Backend[[#This Row],[RSD]]))</f>
        <v/>
      </c>
      <c r="AN519" s="220" t="str">
        <f>IF(Buildings_GridElectricity_Frontend[[#This Row],[Data]]="","",Buildings_GridElectricity_Backend[[#This Row],[Total (tCO2e)]]*(1+Buildings_GridElectricity_Backend[[#This Row],[RSD]]))</f>
        <v/>
      </c>
      <c r="AO519" s="210" t="str">
        <f>IF(Buildings_GridElectricity_Frontend[[#This Row],[Data]]="","",_xlfn.XLOOKUP(_xlfn.CONCAT(Buildings_GridElectricity_Backend[[#This Row],[Level 1]:[Level 6]]),rng_EFConcat,rng_EFOOS)*Buildings_GridElectricity_Backend[[#This Row],[Converted data]]/1000)</f>
        <v/>
      </c>
      <c r="AP519" s="174">
        <f>Buildings_GridElectricity_Frontend[[#This Row],[Ease of collection]]</f>
        <v>0</v>
      </c>
      <c r="AQ519" s="213">
        <f>Buildings_GridElectricity_Frontend[[#This Row],[Completeness]]</f>
        <v>0</v>
      </c>
      <c r="AR519" s="220">
        <f>Buildings_GridElectricity_Frontend[[#This Row],[Notes]]</f>
        <v>0</v>
      </c>
    </row>
    <row r="520" spans="2:44" x14ac:dyDescent="0.3">
      <c r="E520" s="346"/>
      <c r="F520" s="449"/>
      <c r="G520" s="336"/>
      <c r="H520" s="334"/>
      <c r="I520" s="172" t="s">
        <v>316</v>
      </c>
      <c r="J520" s="337"/>
      <c r="K520" s="336"/>
      <c r="L520" s="336"/>
      <c r="M520" s="337"/>
      <c r="N520" s="242">
        <f t="shared" si="17"/>
        <v>3</v>
      </c>
      <c r="Q520" s="212" t="str">
        <f t="shared" si="16"/>
        <v/>
      </c>
      <c r="R520" s="174" t="s">
        <v>265</v>
      </c>
      <c r="S520" s="174" t="s">
        <v>273</v>
      </c>
      <c r="T520" s="174" t="str">
        <f>_xlfn.XLOOKUP(Buildings_GridElectricity_Backend[[#This Row],[Info 1]],Buildings_SiteInfo[Site name],Buildings_SiteInfo[Site type], "")</f>
        <v/>
      </c>
      <c r="U520" s="174" t="s">
        <v>281</v>
      </c>
      <c r="V520" s="174" t="str" cm="1">
        <f t="array" aca="1" ref="V520" ca="1">_xlfn.XLOOKUP(Buildings_GridElectricity_Backend[[#This Row],[Level 4]],rng_Level4Long,rng_Level5Long)</f>
        <v>Electricity</v>
      </c>
      <c r="W520" s="174" t="str" cm="1">
        <f t="array" aca="1" ref="W520" ca="1">_xlfn.XLOOKUP(Buildings_GridElectricity_Backend[[#This Row],[Level 4]],rng_Level4Long,rng_Level6Long)</f>
        <v>NaN</v>
      </c>
      <c r="X520" s="174">
        <f>Buildings_GridElectricity_Frontend[[#This Row],[Site Name]]</f>
        <v>0</v>
      </c>
      <c r="Y520" s="174">
        <f>Buildings_GridElectricity_Frontend[[#This Row],[Contracting]]</f>
        <v>0</v>
      </c>
      <c r="Z520" s="174">
        <f>Buildings_GridElectricity_Frontend[[#This Row],[Methodology]]</f>
        <v>0</v>
      </c>
      <c r="AA520" s="229" t="str" cm="1">
        <f t="array" ref="AA520">IF(Buildings_GridElectricity_Frontend[[#This Row],[Data]]="","",INDEX(_xlfn.SWITCH(Buildings_GridElectricity_Backend[[#This Row],[Methodology]],"Tier 1",rng_RSD1,"Tier 2",rng_RSD2,"Tier 3",rng_RSD3),MATCH(_xlfn.CONCAT(Buildings_GridElectricity_Backend[[#This Row],[Level 1]:[Level 6]]),rng_LevelsConcat,0)))</f>
        <v/>
      </c>
      <c r="AB520" s="220">
        <f>Buildings_GridElectricity_Frontend[[#This Row],[Data]]</f>
        <v>0</v>
      </c>
      <c r="AC520" s="174" t="str">
        <f>Buildings_GridElectricity_Frontend[[#This Row],[Units]]</f>
        <v>kWh</v>
      </c>
      <c r="AD520" s="218">
        <f>Buildings_GridElectricity_Frontend[[#This Row],[Data]]</f>
        <v>0</v>
      </c>
      <c r="AE520" s="174" t="str">
        <f>Buildings_GridElectricity_Frontend[[#This Row],[Units]]</f>
        <v>kWh</v>
      </c>
      <c r="AF520" s="210" t="str">
        <f>IF(Buildings_GridElectricity_Frontend[[#This Row],[Data]]="","",_xlfn.XLOOKUP(_xlfn.CONCAT(Buildings_GridElectricity_Backend[[#This Row],[Level 1]:[Level 6]]),rng_EFConcat,rng_EF1)*Buildings_GridElectricity_Backend[[#This Row],[Converted data]]/1000)</f>
        <v/>
      </c>
      <c r="AG520" s="210" t="str">
        <f>IF(Buildings_GridElectricity_Frontend[[#This Row],[Data]]="","",_xlfn.XLOOKUP(_xlfn.CONCAT(Buildings_GridElectricity_Backend[[#This Row],[Level 1]:[Level 6]]),rng_EFConcat,rng_EF2)*Buildings_GridElectricity_Backend[[#This Row],[Converted data]]/1000)</f>
        <v/>
      </c>
      <c r="AH520" s="210" t="str">
        <f>IF(Buildings_GridElectricity_Frontend[[#This Row],[Data]]="","",_xlfn.XLOOKUP(_xlfn.CONCAT(Buildings_GridElectricity_Backend[[#This Row],[Level 1]:[Level 6]]),rng_EFConcat,rng_EF3)*Buildings_GridElectricity_Backend[[#This Row],[Converted data]]/1000)</f>
        <v/>
      </c>
      <c r="AI520" s="210" t="str">
        <f>IF(Buildings_GridElectricity_Frontend[[#This Row],[Data]]="","",_xlfn.XLOOKUP(_xlfn.CONCAT(Buildings_GridElectricity_Backend[[#This Row],[Level 1]:[Level 6]]),rng_EFConcat,rng_EF3WTT)*Buildings_GridElectricity_Backend[[#This Row],[Converted data]]/1000)</f>
        <v/>
      </c>
      <c r="AJ520" s="210" t="str">
        <f>IF(Buildings_GridElectricity_Frontend[[#This Row],[Data]]="","",_xlfn.XLOOKUP(_xlfn.CONCAT(Buildings_GridElectricity_Backend[[#This Row],[Level 1]:[Level 6]]),rng_EFConcat,rng_EF3TD)*Buildings_GridElectricity_Backend[[#This Row],[Converted data]]/1000)</f>
        <v/>
      </c>
      <c r="AK520" s="210" t="str">
        <f>IF(Buildings_GridElectricity_Frontend[[#This Row],[Data]]="","",_xlfn.XLOOKUP(_xlfn.CONCAT(Buildings_GridElectricity_Backend[[#This Row],[Level 1]:[Level 6]]),rng_EFConcat,rng_EF3WTTTD)*Buildings_GridElectricity_Backend[[#This Row],[Converted data]]/1000)</f>
        <v/>
      </c>
      <c r="AL520" s="220" t="str">
        <f>IF(Buildings_GridElectricity_Frontend[[#This Row],[Data]]="","",SUM(Buildings_GridElectricity_Backend[[#This Row],[Scope 1 (tCO2e)]:[Scope 3 WTT T&amp;D (tCO2e)]]))</f>
        <v/>
      </c>
      <c r="AM520" s="220" t="str">
        <f>IF(Buildings_GridElectricity_Frontend[[#This Row],[Data]]="","",Buildings_GridElectricity_Backend[[#This Row],[Total (tCO2e)]]*(1-Buildings_GridElectricity_Backend[[#This Row],[RSD]]))</f>
        <v/>
      </c>
      <c r="AN520" s="220" t="str">
        <f>IF(Buildings_GridElectricity_Frontend[[#This Row],[Data]]="","",Buildings_GridElectricity_Backend[[#This Row],[Total (tCO2e)]]*(1+Buildings_GridElectricity_Backend[[#This Row],[RSD]]))</f>
        <v/>
      </c>
      <c r="AO520" s="210" t="str">
        <f>IF(Buildings_GridElectricity_Frontend[[#This Row],[Data]]="","",_xlfn.XLOOKUP(_xlfn.CONCAT(Buildings_GridElectricity_Backend[[#This Row],[Level 1]:[Level 6]]),rng_EFConcat,rng_EFOOS)*Buildings_GridElectricity_Backend[[#This Row],[Converted data]]/1000)</f>
        <v/>
      </c>
      <c r="AP520" s="174">
        <f>Buildings_GridElectricity_Frontend[[#This Row],[Ease of collection]]</f>
        <v>0</v>
      </c>
      <c r="AQ520" s="213">
        <f>Buildings_GridElectricity_Frontend[[#This Row],[Completeness]]</f>
        <v>0</v>
      </c>
      <c r="AR520" s="220">
        <f>Buildings_GridElectricity_Frontend[[#This Row],[Notes]]</f>
        <v>0</v>
      </c>
    </row>
    <row r="521" spans="2:44" x14ac:dyDescent="0.3">
      <c r="E521" s="346"/>
      <c r="F521" s="449"/>
      <c r="G521" s="336"/>
      <c r="H521" s="334"/>
      <c r="I521" s="172" t="s">
        <v>316</v>
      </c>
      <c r="J521" s="337"/>
      <c r="K521" s="336"/>
      <c r="L521" s="336"/>
      <c r="M521" s="337"/>
      <c r="N521" s="242">
        <f t="shared" si="17"/>
        <v>3</v>
      </c>
      <c r="Q521" s="212" t="str">
        <f t="shared" si="16"/>
        <v/>
      </c>
      <c r="R521" s="174" t="s">
        <v>265</v>
      </c>
      <c r="S521" s="174" t="s">
        <v>273</v>
      </c>
      <c r="T521" s="174" t="str">
        <f>_xlfn.XLOOKUP(Buildings_GridElectricity_Backend[[#This Row],[Info 1]],Buildings_SiteInfo[Site name],Buildings_SiteInfo[Site type], "")</f>
        <v/>
      </c>
      <c r="U521" s="174" t="s">
        <v>281</v>
      </c>
      <c r="V521" s="174" t="str" cm="1">
        <f t="array" aca="1" ref="V521" ca="1">_xlfn.XLOOKUP(Buildings_GridElectricity_Backend[[#This Row],[Level 4]],rng_Level4Long,rng_Level5Long)</f>
        <v>Electricity</v>
      </c>
      <c r="W521" s="174" t="str" cm="1">
        <f t="array" aca="1" ref="W521" ca="1">_xlfn.XLOOKUP(Buildings_GridElectricity_Backend[[#This Row],[Level 4]],rng_Level4Long,rng_Level6Long)</f>
        <v>NaN</v>
      </c>
      <c r="X521" s="174">
        <f>Buildings_GridElectricity_Frontend[[#This Row],[Site Name]]</f>
        <v>0</v>
      </c>
      <c r="Y521" s="174">
        <f>Buildings_GridElectricity_Frontend[[#This Row],[Contracting]]</f>
        <v>0</v>
      </c>
      <c r="Z521" s="174">
        <f>Buildings_GridElectricity_Frontend[[#This Row],[Methodology]]</f>
        <v>0</v>
      </c>
      <c r="AA521" s="229" t="str" cm="1">
        <f t="array" ref="AA521">IF(Buildings_GridElectricity_Frontend[[#This Row],[Data]]="","",INDEX(_xlfn.SWITCH(Buildings_GridElectricity_Backend[[#This Row],[Methodology]],"Tier 1",rng_RSD1,"Tier 2",rng_RSD2,"Tier 3",rng_RSD3),MATCH(_xlfn.CONCAT(Buildings_GridElectricity_Backend[[#This Row],[Level 1]:[Level 6]]),rng_LevelsConcat,0)))</f>
        <v/>
      </c>
      <c r="AB521" s="220">
        <f>Buildings_GridElectricity_Frontend[[#This Row],[Data]]</f>
        <v>0</v>
      </c>
      <c r="AC521" s="174" t="str">
        <f>Buildings_GridElectricity_Frontend[[#This Row],[Units]]</f>
        <v>kWh</v>
      </c>
      <c r="AD521" s="218">
        <f>Buildings_GridElectricity_Frontend[[#This Row],[Data]]</f>
        <v>0</v>
      </c>
      <c r="AE521" s="174" t="str">
        <f>Buildings_GridElectricity_Frontend[[#This Row],[Units]]</f>
        <v>kWh</v>
      </c>
      <c r="AF521" s="210" t="str">
        <f>IF(Buildings_GridElectricity_Frontend[[#This Row],[Data]]="","",_xlfn.XLOOKUP(_xlfn.CONCAT(Buildings_GridElectricity_Backend[[#This Row],[Level 1]:[Level 6]]),rng_EFConcat,rng_EF1)*Buildings_GridElectricity_Backend[[#This Row],[Converted data]]/1000)</f>
        <v/>
      </c>
      <c r="AG521" s="210" t="str">
        <f>IF(Buildings_GridElectricity_Frontend[[#This Row],[Data]]="","",_xlfn.XLOOKUP(_xlfn.CONCAT(Buildings_GridElectricity_Backend[[#This Row],[Level 1]:[Level 6]]),rng_EFConcat,rng_EF2)*Buildings_GridElectricity_Backend[[#This Row],[Converted data]]/1000)</f>
        <v/>
      </c>
      <c r="AH521" s="210" t="str">
        <f>IF(Buildings_GridElectricity_Frontend[[#This Row],[Data]]="","",_xlfn.XLOOKUP(_xlfn.CONCAT(Buildings_GridElectricity_Backend[[#This Row],[Level 1]:[Level 6]]),rng_EFConcat,rng_EF3)*Buildings_GridElectricity_Backend[[#This Row],[Converted data]]/1000)</f>
        <v/>
      </c>
      <c r="AI521" s="210" t="str">
        <f>IF(Buildings_GridElectricity_Frontend[[#This Row],[Data]]="","",_xlfn.XLOOKUP(_xlfn.CONCAT(Buildings_GridElectricity_Backend[[#This Row],[Level 1]:[Level 6]]),rng_EFConcat,rng_EF3WTT)*Buildings_GridElectricity_Backend[[#This Row],[Converted data]]/1000)</f>
        <v/>
      </c>
      <c r="AJ521" s="210" t="str">
        <f>IF(Buildings_GridElectricity_Frontend[[#This Row],[Data]]="","",_xlfn.XLOOKUP(_xlfn.CONCAT(Buildings_GridElectricity_Backend[[#This Row],[Level 1]:[Level 6]]),rng_EFConcat,rng_EF3TD)*Buildings_GridElectricity_Backend[[#This Row],[Converted data]]/1000)</f>
        <v/>
      </c>
      <c r="AK521" s="210" t="str">
        <f>IF(Buildings_GridElectricity_Frontend[[#This Row],[Data]]="","",_xlfn.XLOOKUP(_xlfn.CONCAT(Buildings_GridElectricity_Backend[[#This Row],[Level 1]:[Level 6]]),rng_EFConcat,rng_EF3WTTTD)*Buildings_GridElectricity_Backend[[#This Row],[Converted data]]/1000)</f>
        <v/>
      </c>
      <c r="AL521" s="220" t="str">
        <f>IF(Buildings_GridElectricity_Frontend[[#This Row],[Data]]="","",SUM(Buildings_GridElectricity_Backend[[#This Row],[Scope 1 (tCO2e)]:[Scope 3 WTT T&amp;D (tCO2e)]]))</f>
        <v/>
      </c>
      <c r="AM521" s="220" t="str">
        <f>IF(Buildings_GridElectricity_Frontend[[#This Row],[Data]]="","",Buildings_GridElectricity_Backend[[#This Row],[Total (tCO2e)]]*(1-Buildings_GridElectricity_Backend[[#This Row],[RSD]]))</f>
        <v/>
      </c>
      <c r="AN521" s="220" t="str">
        <f>IF(Buildings_GridElectricity_Frontend[[#This Row],[Data]]="","",Buildings_GridElectricity_Backend[[#This Row],[Total (tCO2e)]]*(1+Buildings_GridElectricity_Backend[[#This Row],[RSD]]))</f>
        <v/>
      </c>
      <c r="AO521" s="210" t="str">
        <f>IF(Buildings_GridElectricity_Frontend[[#This Row],[Data]]="","",_xlfn.XLOOKUP(_xlfn.CONCAT(Buildings_GridElectricity_Backend[[#This Row],[Level 1]:[Level 6]]),rng_EFConcat,rng_EFOOS)*Buildings_GridElectricity_Backend[[#This Row],[Converted data]]/1000)</f>
        <v/>
      </c>
      <c r="AP521" s="174">
        <f>Buildings_GridElectricity_Frontend[[#This Row],[Ease of collection]]</f>
        <v>0</v>
      </c>
      <c r="AQ521" s="213">
        <f>Buildings_GridElectricity_Frontend[[#This Row],[Completeness]]</f>
        <v>0</v>
      </c>
      <c r="AR521" s="220">
        <f>Buildings_GridElectricity_Frontend[[#This Row],[Notes]]</f>
        <v>0</v>
      </c>
    </row>
    <row r="522" spans="2:44" x14ac:dyDescent="0.3">
      <c r="E522" s="346"/>
      <c r="F522" s="449"/>
      <c r="G522" s="336"/>
      <c r="H522" s="334"/>
      <c r="I522" s="172" t="s">
        <v>316</v>
      </c>
      <c r="J522" s="337"/>
      <c r="K522" s="336"/>
      <c r="L522" s="336"/>
      <c r="M522" s="337"/>
      <c r="N522" s="242">
        <f t="shared" si="17"/>
        <v>3</v>
      </c>
      <c r="Q522" s="212" t="str">
        <f t="shared" si="16"/>
        <v/>
      </c>
      <c r="R522" s="174" t="s">
        <v>265</v>
      </c>
      <c r="S522" s="174" t="s">
        <v>273</v>
      </c>
      <c r="T522" s="174" t="str">
        <f>_xlfn.XLOOKUP(Buildings_GridElectricity_Backend[[#This Row],[Info 1]],Buildings_SiteInfo[Site name],Buildings_SiteInfo[Site type], "")</f>
        <v/>
      </c>
      <c r="U522" s="174" t="s">
        <v>281</v>
      </c>
      <c r="V522" s="174" t="str" cm="1">
        <f t="array" aca="1" ref="V522" ca="1">_xlfn.XLOOKUP(Buildings_GridElectricity_Backend[[#This Row],[Level 4]],rng_Level4Long,rng_Level5Long)</f>
        <v>Electricity</v>
      </c>
      <c r="W522" s="174" t="str" cm="1">
        <f t="array" aca="1" ref="W522" ca="1">_xlfn.XLOOKUP(Buildings_GridElectricity_Backend[[#This Row],[Level 4]],rng_Level4Long,rng_Level6Long)</f>
        <v>NaN</v>
      </c>
      <c r="X522" s="174">
        <f>Buildings_GridElectricity_Frontend[[#This Row],[Site Name]]</f>
        <v>0</v>
      </c>
      <c r="Y522" s="174">
        <f>Buildings_GridElectricity_Frontend[[#This Row],[Contracting]]</f>
        <v>0</v>
      </c>
      <c r="Z522" s="174">
        <f>Buildings_GridElectricity_Frontend[[#This Row],[Methodology]]</f>
        <v>0</v>
      </c>
      <c r="AA522" s="229" t="str" cm="1">
        <f t="array" ref="AA522">IF(Buildings_GridElectricity_Frontend[[#This Row],[Data]]="","",INDEX(_xlfn.SWITCH(Buildings_GridElectricity_Backend[[#This Row],[Methodology]],"Tier 1",rng_RSD1,"Tier 2",rng_RSD2,"Tier 3",rng_RSD3),MATCH(_xlfn.CONCAT(Buildings_GridElectricity_Backend[[#This Row],[Level 1]:[Level 6]]),rng_LevelsConcat,0)))</f>
        <v/>
      </c>
      <c r="AB522" s="220">
        <f>Buildings_GridElectricity_Frontend[[#This Row],[Data]]</f>
        <v>0</v>
      </c>
      <c r="AC522" s="174" t="str">
        <f>Buildings_GridElectricity_Frontend[[#This Row],[Units]]</f>
        <v>kWh</v>
      </c>
      <c r="AD522" s="218">
        <f>Buildings_GridElectricity_Frontend[[#This Row],[Data]]</f>
        <v>0</v>
      </c>
      <c r="AE522" s="174" t="str">
        <f>Buildings_GridElectricity_Frontend[[#This Row],[Units]]</f>
        <v>kWh</v>
      </c>
      <c r="AF522" s="210" t="str">
        <f>IF(Buildings_GridElectricity_Frontend[[#This Row],[Data]]="","",_xlfn.XLOOKUP(_xlfn.CONCAT(Buildings_GridElectricity_Backend[[#This Row],[Level 1]:[Level 6]]),rng_EFConcat,rng_EF1)*Buildings_GridElectricity_Backend[[#This Row],[Converted data]]/1000)</f>
        <v/>
      </c>
      <c r="AG522" s="210" t="str">
        <f>IF(Buildings_GridElectricity_Frontend[[#This Row],[Data]]="","",_xlfn.XLOOKUP(_xlfn.CONCAT(Buildings_GridElectricity_Backend[[#This Row],[Level 1]:[Level 6]]),rng_EFConcat,rng_EF2)*Buildings_GridElectricity_Backend[[#This Row],[Converted data]]/1000)</f>
        <v/>
      </c>
      <c r="AH522" s="210" t="str">
        <f>IF(Buildings_GridElectricity_Frontend[[#This Row],[Data]]="","",_xlfn.XLOOKUP(_xlfn.CONCAT(Buildings_GridElectricity_Backend[[#This Row],[Level 1]:[Level 6]]),rng_EFConcat,rng_EF3)*Buildings_GridElectricity_Backend[[#This Row],[Converted data]]/1000)</f>
        <v/>
      </c>
      <c r="AI522" s="210" t="str">
        <f>IF(Buildings_GridElectricity_Frontend[[#This Row],[Data]]="","",_xlfn.XLOOKUP(_xlfn.CONCAT(Buildings_GridElectricity_Backend[[#This Row],[Level 1]:[Level 6]]),rng_EFConcat,rng_EF3WTT)*Buildings_GridElectricity_Backend[[#This Row],[Converted data]]/1000)</f>
        <v/>
      </c>
      <c r="AJ522" s="210" t="str">
        <f>IF(Buildings_GridElectricity_Frontend[[#This Row],[Data]]="","",_xlfn.XLOOKUP(_xlfn.CONCAT(Buildings_GridElectricity_Backend[[#This Row],[Level 1]:[Level 6]]),rng_EFConcat,rng_EF3TD)*Buildings_GridElectricity_Backend[[#This Row],[Converted data]]/1000)</f>
        <v/>
      </c>
      <c r="AK522" s="210" t="str">
        <f>IF(Buildings_GridElectricity_Frontend[[#This Row],[Data]]="","",_xlfn.XLOOKUP(_xlfn.CONCAT(Buildings_GridElectricity_Backend[[#This Row],[Level 1]:[Level 6]]),rng_EFConcat,rng_EF3WTTTD)*Buildings_GridElectricity_Backend[[#This Row],[Converted data]]/1000)</f>
        <v/>
      </c>
      <c r="AL522" s="220" t="str">
        <f>IF(Buildings_GridElectricity_Frontend[[#This Row],[Data]]="","",SUM(Buildings_GridElectricity_Backend[[#This Row],[Scope 1 (tCO2e)]:[Scope 3 WTT T&amp;D (tCO2e)]]))</f>
        <v/>
      </c>
      <c r="AM522" s="220" t="str">
        <f>IF(Buildings_GridElectricity_Frontend[[#This Row],[Data]]="","",Buildings_GridElectricity_Backend[[#This Row],[Total (tCO2e)]]*(1-Buildings_GridElectricity_Backend[[#This Row],[RSD]]))</f>
        <v/>
      </c>
      <c r="AN522" s="220" t="str">
        <f>IF(Buildings_GridElectricity_Frontend[[#This Row],[Data]]="","",Buildings_GridElectricity_Backend[[#This Row],[Total (tCO2e)]]*(1+Buildings_GridElectricity_Backend[[#This Row],[RSD]]))</f>
        <v/>
      </c>
      <c r="AO522" s="210" t="str">
        <f>IF(Buildings_GridElectricity_Frontend[[#This Row],[Data]]="","",_xlfn.XLOOKUP(_xlfn.CONCAT(Buildings_GridElectricity_Backend[[#This Row],[Level 1]:[Level 6]]),rng_EFConcat,rng_EFOOS)*Buildings_GridElectricity_Backend[[#This Row],[Converted data]]/1000)</f>
        <v/>
      </c>
      <c r="AP522" s="174">
        <f>Buildings_GridElectricity_Frontend[[#This Row],[Ease of collection]]</f>
        <v>0</v>
      </c>
      <c r="AQ522" s="213">
        <f>Buildings_GridElectricity_Frontend[[#This Row],[Completeness]]</f>
        <v>0</v>
      </c>
      <c r="AR522" s="220">
        <f>Buildings_GridElectricity_Frontend[[#This Row],[Notes]]</f>
        <v>0</v>
      </c>
    </row>
    <row r="523" spans="2:44" x14ac:dyDescent="0.3">
      <c r="E523" s="346"/>
      <c r="F523" s="449"/>
      <c r="G523" s="336"/>
      <c r="H523" s="334"/>
      <c r="I523" s="172" t="s">
        <v>316</v>
      </c>
      <c r="J523" s="337"/>
      <c r="K523" s="336"/>
      <c r="L523" s="336"/>
      <c r="M523" s="337"/>
      <c r="N523" s="242">
        <f t="shared" si="17"/>
        <v>3</v>
      </c>
      <c r="Q523" s="212" t="str">
        <f t="shared" si="16"/>
        <v/>
      </c>
      <c r="R523" s="174" t="s">
        <v>265</v>
      </c>
      <c r="S523" s="174" t="s">
        <v>273</v>
      </c>
      <c r="T523" s="174" t="str">
        <f>_xlfn.XLOOKUP(Buildings_GridElectricity_Backend[[#This Row],[Info 1]],Buildings_SiteInfo[Site name],Buildings_SiteInfo[Site type], "")</f>
        <v/>
      </c>
      <c r="U523" s="174" t="s">
        <v>281</v>
      </c>
      <c r="V523" s="174" t="str" cm="1">
        <f t="array" aca="1" ref="V523" ca="1">_xlfn.XLOOKUP(Buildings_GridElectricity_Backend[[#This Row],[Level 4]],rng_Level4Long,rng_Level5Long)</f>
        <v>Electricity</v>
      </c>
      <c r="W523" s="174" t="str" cm="1">
        <f t="array" aca="1" ref="W523" ca="1">_xlfn.XLOOKUP(Buildings_GridElectricity_Backend[[#This Row],[Level 4]],rng_Level4Long,rng_Level6Long)</f>
        <v>NaN</v>
      </c>
      <c r="X523" s="174">
        <f>Buildings_GridElectricity_Frontend[[#This Row],[Site Name]]</f>
        <v>0</v>
      </c>
      <c r="Y523" s="174">
        <f>Buildings_GridElectricity_Frontend[[#This Row],[Contracting]]</f>
        <v>0</v>
      </c>
      <c r="Z523" s="174">
        <f>Buildings_GridElectricity_Frontend[[#This Row],[Methodology]]</f>
        <v>0</v>
      </c>
      <c r="AA523" s="229" t="str" cm="1">
        <f t="array" ref="AA523">IF(Buildings_GridElectricity_Frontend[[#This Row],[Data]]="","",INDEX(_xlfn.SWITCH(Buildings_GridElectricity_Backend[[#This Row],[Methodology]],"Tier 1",rng_RSD1,"Tier 2",rng_RSD2,"Tier 3",rng_RSD3),MATCH(_xlfn.CONCAT(Buildings_GridElectricity_Backend[[#This Row],[Level 1]:[Level 6]]),rng_LevelsConcat,0)))</f>
        <v/>
      </c>
      <c r="AB523" s="220">
        <f>Buildings_GridElectricity_Frontend[[#This Row],[Data]]</f>
        <v>0</v>
      </c>
      <c r="AC523" s="174" t="str">
        <f>Buildings_GridElectricity_Frontend[[#This Row],[Units]]</f>
        <v>kWh</v>
      </c>
      <c r="AD523" s="218">
        <f>Buildings_GridElectricity_Frontend[[#This Row],[Data]]</f>
        <v>0</v>
      </c>
      <c r="AE523" s="174" t="str">
        <f>Buildings_GridElectricity_Frontend[[#This Row],[Units]]</f>
        <v>kWh</v>
      </c>
      <c r="AF523" s="210" t="str">
        <f>IF(Buildings_GridElectricity_Frontend[[#This Row],[Data]]="","",_xlfn.XLOOKUP(_xlfn.CONCAT(Buildings_GridElectricity_Backend[[#This Row],[Level 1]:[Level 6]]),rng_EFConcat,rng_EF1)*Buildings_GridElectricity_Backend[[#This Row],[Converted data]]/1000)</f>
        <v/>
      </c>
      <c r="AG523" s="210" t="str">
        <f>IF(Buildings_GridElectricity_Frontend[[#This Row],[Data]]="","",_xlfn.XLOOKUP(_xlfn.CONCAT(Buildings_GridElectricity_Backend[[#This Row],[Level 1]:[Level 6]]),rng_EFConcat,rng_EF2)*Buildings_GridElectricity_Backend[[#This Row],[Converted data]]/1000)</f>
        <v/>
      </c>
      <c r="AH523" s="210" t="str">
        <f>IF(Buildings_GridElectricity_Frontend[[#This Row],[Data]]="","",_xlfn.XLOOKUP(_xlfn.CONCAT(Buildings_GridElectricity_Backend[[#This Row],[Level 1]:[Level 6]]),rng_EFConcat,rng_EF3)*Buildings_GridElectricity_Backend[[#This Row],[Converted data]]/1000)</f>
        <v/>
      </c>
      <c r="AI523" s="210" t="str">
        <f>IF(Buildings_GridElectricity_Frontend[[#This Row],[Data]]="","",_xlfn.XLOOKUP(_xlfn.CONCAT(Buildings_GridElectricity_Backend[[#This Row],[Level 1]:[Level 6]]),rng_EFConcat,rng_EF3WTT)*Buildings_GridElectricity_Backend[[#This Row],[Converted data]]/1000)</f>
        <v/>
      </c>
      <c r="AJ523" s="210" t="str">
        <f>IF(Buildings_GridElectricity_Frontend[[#This Row],[Data]]="","",_xlfn.XLOOKUP(_xlfn.CONCAT(Buildings_GridElectricity_Backend[[#This Row],[Level 1]:[Level 6]]),rng_EFConcat,rng_EF3TD)*Buildings_GridElectricity_Backend[[#This Row],[Converted data]]/1000)</f>
        <v/>
      </c>
      <c r="AK523" s="210" t="str">
        <f>IF(Buildings_GridElectricity_Frontend[[#This Row],[Data]]="","",_xlfn.XLOOKUP(_xlfn.CONCAT(Buildings_GridElectricity_Backend[[#This Row],[Level 1]:[Level 6]]),rng_EFConcat,rng_EF3WTTTD)*Buildings_GridElectricity_Backend[[#This Row],[Converted data]]/1000)</f>
        <v/>
      </c>
      <c r="AL523" s="220" t="str">
        <f>IF(Buildings_GridElectricity_Frontend[[#This Row],[Data]]="","",SUM(Buildings_GridElectricity_Backend[[#This Row],[Scope 1 (tCO2e)]:[Scope 3 WTT T&amp;D (tCO2e)]]))</f>
        <v/>
      </c>
      <c r="AM523" s="220" t="str">
        <f>IF(Buildings_GridElectricity_Frontend[[#This Row],[Data]]="","",Buildings_GridElectricity_Backend[[#This Row],[Total (tCO2e)]]*(1-Buildings_GridElectricity_Backend[[#This Row],[RSD]]))</f>
        <v/>
      </c>
      <c r="AN523" s="220" t="str">
        <f>IF(Buildings_GridElectricity_Frontend[[#This Row],[Data]]="","",Buildings_GridElectricity_Backend[[#This Row],[Total (tCO2e)]]*(1+Buildings_GridElectricity_Backend[[#This Row],[RSD]]))</f>
        <v/>
      </c>
      <c r="AO523" s="210" t="str">
        <f>IF(Buildings_GridElectricity_Frontend[[#This Row],[Data]]="","",_xlfn.XLOOKUP(_xlfn.CONCAT(Buildings_GridElectricity_Backend[[#This Row],[Level 1]:[Level 6]]),rng_EFConcat,rng_EFOOS)*Buildings_GridElectricity_Backend[[#This Row],[Converted data]]/1000)</f>
        <v/>
      </c>
      <c r="AP523" s="174">
        <f>Buildings_GridElectricity_Frontend[[#This Row],[Ease of collection]]</f>
        <v>0</v>
      </c>
      <c r="AQ523" s="213">
        <f>Buildings_GridElectricity_Frontend[[#This Row],[Completeness]]</f>
        <v>0</v>
      </c>
      <c r="AR523" s="220">
        <f>Buildings_GridElectricity_Frontend[[#This Row],[Notes]]</f>
        <v>0</v>
      </c>
    </row>
    <row r="524" spans="2:44" x14ac:dyDescent="0.3">
      <c r="E524" s="346"/>
      <c r="F524" s="449"/>
      <c r="G524" s="336"/>
      <c r="H524" s="334"/>
      <c r="I524" s="172" t="s">
        <v>316</v>
      </c>
      <c r="J524" s="337"/>
      <c r="K524" s="336"/>
      <c r="L524" s="336"/>
      <c r="M524" s="337"/>
      <c r="N524" s="242">
        <f t="shared" si="17"/>
        <v>3</v>
      </c>
      <c r="Q524" s="212" t="str">
        <f t="shared" si="16"/>
        <v/>
      </c>
      <c r="R524" s="174" t="s">
        <v>265</v>
      </c>
      <c r="S524" s="174" t="s">
        <v>273</v>
      </c>
      <c r="T524" s="174" t="str">
        <f>_xlfn.XLOOKUP(Buildings_GridElectricity_Backend[[#This Row],[Info 1]],Buildings_SiteInfo[Site name],Buildings_SiteInfo[Site type], "")</f>
        <v/>
      </c>
      <c r="U524" s="174" t="s">
        <v>281</v>
      </c>
      <c r="V524" s="174" t="str" cm="1">
        <f t="array" aca="1" ref="V524" ca="1">_xlfn.XLOOKUP(Buildings_GridElectricity_Backend[[#This Row],[Level 4]],rng_Level4Long,rng_Level5Long)</f>
        <v>Electricity</v>
      </c>
      <c r="W524" s="174" t="str" cm="1">
        <f t="array" aca="1" ref="W524" ca="1">_xlfn.XLOOKUP(Buildings_GridElectricity_Backend[[#This Row],[Level 4]],rng_Level4Long,rng_Level6Long)</f>
        <v>NaN</v>
      </c>
      <c r="X524" s="174">
        <f>Buildings_GridElectricity_Frontend[[#This Row],[Site Name]]</f>
        <v>0</v>
      </c>
      <c r="Y524" s="174">
        <f>Buildings_GridElectricity_Frontend[[#This Row],[Contracting]]</f>
        <v>0</v>
      </c>
      <c r="Z524" s="174">
        <f>Buildings_GridElectricity_Frontend[[#This Row],[Methodology]]</f>
        <v>0</v>
      </c>
      <c r="AA524" s="229" t="str" cm="1">
        <f t="array" ref="AA524">IF(Buildings_GridElectricity_Frontend[[#This Row],[Data]]="","",INDEX(_xlfn.SWITCH(Buildings_GridElectricity_Backend[[#This Row],[Methodology]],"Tier 1",rng_RSD1,"Tier 2",rng_RSD2,"Tier 3",rng_RSD3),MATCH(_xlfn.CONCAT(Buildings_GridElectricity_Backend[[#This Row],[Level 1]:[Level 6]]),rng_LevelsConcat,0)))</f>
        <v/>
      </c>
      <c r="AB524" s="220">
        <f>Buildings_GridElectricity_Frontend[[#This Row],[Data]]</f>
        <v>0</v>
      </c>
      <c r="AC524" s="174" t="str">
        <f>Buildings_GridElectricity_Frontend[[#This Row],[Units]]</f>
        <v>kWh</v>
      </c>
      <c r="AD524" s="218">
        <f>Buildings_GridElectricity_Frontend[[#This Row],[Data]]</f>
        <v>0</v>
      </c>
      <c r="AE524" s="174" t="str">
        <f>Buildings_GridElectricity_Frontend[[#This Row],[Units]]</f>
        <v>kWh</v>
      </c>
      <c r="AF524" s="210" t="str">
        <f>IF(Buildings_GridElectricity_Frontend[[#This Row],[Data]]="","",_xlfn.XLOOKUP(_xlfn.CONCAT(Buildings_GridElectricity_Backend[[#This Row],[Level 1]:[Level 6]]),rng_EFConcat,rng_EF1)*Buildings_GridElectricity_Backend[[#This Row],[Converted data]]/1000)</f>
        <v/>
      </c>
      <c r="AG524" s="210" t="str">
        <f>IF(Buildings_GridElectricity_Frontend[[#This Row],[Data]]="","",_xlfn.XLOOKUP(_xlfn.CONCAT(Buildings_GridElectricity_Backend[[#This Row],[Level 1]:[Level 6]]),rng_EFConcat,rng_EF2)*Buildings_GridElectricity_Backend[[#This Row],[Converted data]]/1000)</f>
        <v/>
      </c>
      <c r="AH524" s="210" t="str">
        <f>IF(Buildings_GridElectricity_Frontend[[#This Row],[Data]]="","",_xlfn.XLOOKUP(_xlfn.CONCAT(Buildings_GridElectricity_Backend[[#This Row],[Level 1]:[Level 6]]),rng_EFConcat,rng_EF3)*Buildings_GridElectricity_Backend[[#This Row],[Converted data]]/1000)</f>
        <v/>
      </c>
      <c r="AI524" s="210" t="str">
        <f>IF(Buildings_GridElectricity_Frontend[[#This Row],[Data]]="","",_xlfn.XLOOKUP(_xlfn.CONCAT(Buildings_GridElectricity_Backend[[#This Row],[Level 1]:[Level 6]]),rng_EFConcat,rng_EF3WTT)*Buildings_GridElectricity_Backend[[#This Row],[Converted data]]/1000)</f>
        <v/>
      </c>
      <c r="AJ524" s="210" t="str">
        <f>IF(Buildings_GridElectricity_Frontend[[#This Row],[Data]]="","",_xlfn.XLOOKUP(_xlfn.CONCAT(Buildings_GridElectricity_Backend[[#This Row],[Level 1]:[Level 6]]),rng_EFConcat,rng_EF3TD)*Buildings_GridElectricity_Backend[[#This Row],[Converted data]]/1000)</f>
        <v/>
      </c>
      <c r="AK524" s="210" t="str">
        <f>IF(Buildings_GridElectricity_Frontend[[#This Row],[Data]]="","",_xlfn.XLOOKUP(_xlfn.CONCAT(Buildings_GridElectricity_Backend[[#This Row],[Level 1]:[Level 6]]),rng_EFConcat,rng_EF3WTTTD)*Buildings_GridElectricity_Backend[[#This Row],[Converted data]]/1000)</f>
        <v/>
      </c>
      <c r="AL524" s="220" t="str">
        <f>IF(Buildings_GridElectricity_Frontend[[#This Row],[Data]]="","",SUM(Buildings_GridElectricity_Backend[[#This Row],[Scope 1 (tCO2e)]:[Scope 3 WTT T&amp;D (tCO2e)]]))</f>
        <v/>
      </c>
      <c r="AM524" s="220" t="str">
        <f>IF(Buildings_GridElectricity_Frontend[[#This Row],[Data]]="","",Buildings_GridElectricity_Backend[[#This Row],[Total (tCO2e)]]*(1-Buildings_GridElectricity_Backend[[#This Row],[RSD]]))</f>
        <v/>
      </c>
      <c r="AN524" s="220" t="str">
        <f>IF(Buildings_GridElectricity_Frontend[[#This Row],[Data]]="","",Buildings_GridElectricity_Backend[[#This Row],[Total (tCO2e)]]*(1+Buildings_GridElectricity_Backend[[#This Row],[RSD]]))</f>
        <v/>
      </c>
      <c r="AO524" s="210" t="str">
        <f>IF(Buildings_GridElectricity_Frontend[[#This Row],[Data]]="","",_xlfn.XLOOKUP(_xlfn.CONCAT(Buildings_GridElectricity_Backend[[#This Row],[Level 1]:[Level 6]]),rng_EFConcat,rng_EFOOS)*Buildings_GridElectricity_Backend[[#This Row],[Converted data]]/1000)</f>
        <v/>
      </c>
      <c r="AP524" s="174">
        <f>Buildings_GridElectricity_Frontend[[#This Row],[Ease of collection]]</f>
        <v>0</v>
      </c>
      <c r="AQ524" s="213">
        <f>Buildings_GridElectricity_Frontend[[#This Row],[Completeness]]</f>
        <v>0</v>
      </c>
      <c r="AR524" s="220">
        <f>Buildings_GridElectricity_Frontend[[#This Row],[Notes]]</f>
        <v>0</v>
      </c>
    </row>
    <row r="525" spans="2:44" x14ac:dyDescent="0.3">
      <c r="E525" s="346"/>
      <c r="F525" s="449"/>
      <c r="G525" s="336"/>
      <c r="H525" s="334"/>
      <c r="I525" s="172" t="s">
        <v>316</v>
      </c>
      <c r="J525" s="337"/>
      <c r="K525" s="336"/>
      <c r="L525" s="336"/>
      <c r="M525" s="337"/>
      <c r="N525" s="242">
        <f t="shared" si="17"/>
        <v>3</v>
      </c>
      <c r="Q525" s="212" t="str">
        <f t="shared" si="16"/>
        <v/>
      </c>
      <c r="R525" s="174" t="s">
        <v>265</v>
      </c>
      <c r="S525" s="174" t="s">
        <v>273</v>
      </c>
      <c r="T525" s="174" t="str">
        <f>_xlfn.XLOOKUP(Buildings_GridElectricity_Backend[[#This Row],[Info 1]],Buildings_SiteInfo[Site name],Buildings_SiteInfo[Site type], "")</f>
        <v/>
      </c>
      <c r="U525" s="174" t="s">
        <v>281</v>
      </c>
      <c r="V525" s="174" t="str" cm="1">
        <f t="array" aca="1" ref="V525" ca="1">_xlfn.XLOOKUP(Buildings_GridElectricity_Backend[[#This Row],[Level 4]],rng_Level4Long,rng_Level5Long)</f>
        <v>Electricity</v>
      </c>
      <c r="W525" s="174" t="str" cm="1">
        <f t="array" aca="1" ref="W525" ca="1">_xlfn.XLOOKUP(Buildings_GridElectricity_Backend[[#This Row],[Level 4]],rng_Level4Long,rng_Level6Long)</f>
        <v>NaN</v>
      </c>
      <c r="X525" s="174">
        <f>Buildings_GridElectricity_Frontend[[#This Row],[Site Name]]</f>
        <v>0</v>
      </c>
      <c r="Y525" s="174">
        <f>Buildings_GridElectricity_Frontend[[#This Row],[Contracting]]</f>
        <v>0</v>
      </c>
      <c r="Z525" s="174">
        <f>Buildings_GridElectricity_Frontend[[#This Row],[Methodology]]</f>
        <v>0</v>
      </c>
      <c r="AA525" s="229" t="str" cm="1">
        <f t="array" ref="AA525">IF(Buildings_GridElectricity_Frontend[[#This Row],[Data]]="","",INDEX(_xlfn.SWITCH(Buildings_GridElectricity_Backend[[#This Row],[Methodology]],"Tier 1",rng_RSD1,"Tier 2",rng_RSD2,"Tier 3",rng_RSD3),MATCH(_xlfn.CONCAT(Buildings_GridElectricity_Backend[[#This Row],[Level 1]:[Level 6]]),rng_LevelsConcat,0)))</f>
        <v/>
      </c>
      <c r="AB525" s="220">
        <f>Buildings_GridElectricity_Frontend[[#This Row],[Data]]</f>
        <v>0</v>
      </c>
      <c r="AC525" s="174" t="str">
        <f>Buildings_GridElectricity_Frontend[[#This Row],[Units]]</f>
        <v>kWh</v>
      </c>
      <c r="AD525" s="218">
        <f>Buildings_GridElectricity_Frontend[[#This Row],[Data]]</f>
        <v>0</v>
      </c>
      <c r="AE525" s="174" t="str">
        <f>Buildings_GridElectricity_Frontend[[#This Row],[Units]]</f>
        <v>kWh</v>
      </c>
      <c r="AF525" s="210" t="str">
        <f>IF(Buildings_GridElectricity_Frontend[[#This Row],[Data]]="","",_xlfn.XLOOKUP(_xlfn.CONCAT(Buildings_GridElectricity_Backend[[#This Row],[Level 1]:[Level 6]]),rng_EFConcat,rng_EF1)*Buildings_GridElectricity_Backend[[#This Row],[Converted data]]/1000)</f>
        <v/>
      </c>
      <c r="AG525" s="210" t="str">
        <f>IF(Buildings_GridElectricity_Frontend[[#This Row],[Data]]="","",_xlfn.XLOOKUP(_xlfn.CONCAT(Buildings_GridElectricity_Backend[[#This Row],[Level 1]:[Level 6]]),rng_EFConcat,rng_EF2)*Buildings_GridElectricity_Backend[[#This Row],[Converted data]]/1000)</f>
        <v/>
      </c>
      <c r="AH525" s="210" t="str">
        <f>IF(Buildings_GridElectricity_Frontend[[#This Row],[Data]]="","",_xlfn.XLOOKUP(_xlfn.CONCAT(Buildings_GridElectricity_Backend[[#This Row],[Level 1]:[Level 6]]),rng_EFConcat,rng_EF3)*Buildings_GridElectricity_Backend[[#This Row],[Converted data]]/1000)</f>
        <v/>
      </c>
      <c r="AI525" s="210" t="str">
        <f>IF(Buildings_GridElectricity_Frontend[[#This Row],[Data]]="","",_xlfn.XLOOKUP(_xlfn.CONCAT(Buildings_GridElectricity_Backend[[#This Row],[Level 1]:[Level 6]]),rng_EFConcat,rng_EF3WTT)*Buildings_GridElectricity_Backend[[#This Row],[Converted data]]/1000)</f>
        <v/>
      </c>
      <c r="AJ525" s="210" t="str">
        <f>IF(Buildings_GridElectricity_Frontend[[#This Row],[Data]]="","",_xlfn.XLOOKUP(_xlfn.CONCAT(Buildings_GridElectricity_Backend[[#This Row],[Level 1]:[Level 6]]),rng_EFConcat,rng_EF3TD)*Buildings_GridElectricity_Backend[[#This Row],[Converted data]]/1000)</f>
        <v/>
      </c>
      <c r="AK525" s="210" t="str">
        <f>IF(Buildings_GridElectricity_Frontend[[#This Row],[Data]]="","",_xlfn.XLOOKUP(_xlfn.CONCAT(Buildings_GridElectricity_Backend[[#This Row],[Level 1]:[Level 6]]),rng_EFConcat,rng_EF3WTTTD)*Buildings_GridElectricity_Backend[[#This Row],[Converted data]]/1000)</f>
        <v/>
      </c>
      <c r="AL525" s="220" t="str">
        <f>IF(Buildings_GridElectricity_Frontend[[#This Row],[Data]]="","",SUM(Buildings_GridElectricity_Backend[[#This Row],[Scope 1 (tCO2e)]:[Scope 3 WTT T&amp;D (tCO2e)]]))</f>
        <v/>
      </c>
      <c r="AM525" s="220" t="str">
        <f>IF(Buildings_GridElectricity_Frontend[[#This Row],[Data]]="","",Buildings_GridElectricity_Backend[[#This Row],[Total (tCO2e)]]*(1-Buildings_GridElectricity_Backend[[#This Row],[RSD]]))</f>
        <v/>
      </c>
      <c r="AN525" s="220" t="str">
        <f>IF(Buildings_GridElectricity_Frontend[[#This Row],[Data]]="","",Buildings_GridElectricity_Backend[[#This Row],[Total (tCO2e)]]*(1+Buildings_GridElectricity_Backend[[#This Row],[RSD]]))</f>
        <v/>
      </c>
      <c r="AO525" s="210" t="str">
        <f>IF(Buildings_GridElectricity_Frontend[[#This Row],[Data]]="","",_xlfn.XLOOKUP(_xlfn.CONCAT(Buildings_GridElectricity_Backend[[#This Row],[Level 1]:[Level 6]]),rng_EFConcat,rng_EFOOS)*Buildings_GridElectricity_Backend[[#This Row],[Converted data]]/1000)</f>
        <v/>
      </c>
      <c r="AP525" s="174">
        <f>Buildings_GridElectricity_Frontend[[#This Row],[Ease of collection]]</f>
        <v>0</v>
      </c>
      <c r="AQ525" s="213">
        <f>Buildings_GridElectricity_Frontend[[#This Row],[Completeness]]</f>
        <v>0</v>
      </c>
      <c r="AR525" s="220">
        <f>Buildings_GridElectricity_Frontend[[#This Row],[Notes]]</f>
        <v>0</v>
      </c>
    </row>
    <row r="526" spans="2:44" x14ac:dyDescent="0.3">
      <c r="E526" s="346"/>
      <c r="F526" s="449"/>
      <c r="G526" s="336"/>
      <c r="H526" s="334"/>
      <c r="I526" s="172" t="s">
        <v>316</v>
      </c>
      <c r="J526" s="337"/>
      <c r="K526" s="336"/>
      <c r="L526" s="336"/>
      <c r="M526" s="337"/>
      <c r="N526" s="242">
        <f t="shared" si="17"/>
        <v>3</v>
      </c>
      <c r="Q526" s="212" t="str">
        <f t="shared" si="16"/>
        <v/>
      </c>
      <c r="R526" s="174" t="s">
        <v>265</v>
      </c>
      <c r="S526" s="174" t="s">
        <v>273</v>
      </c>
      <c r="T526" s="174" t="str">
        <f>_xlfn.XLOOKUP(Buildings_GridElectricity_Backend[[#This Row],[Info 1]],Buildings_SiteInfo[Site name],Buildings_SiteInfo[Site type], "")</f>
        <v/>
      </c>
      <c r="U526" s="174" t="s">
        <v>281</v>
      </c>
      <c r="V526" s="174" t="str" cm="1">
        <f t="array" aca="1" ref="V526" ca="1">_xlfn.XLOOKUP(Buildings_GridElectricity_Backend[[#This Row],[Level 4]],rng_Level4Long,rng_Level5Long)</f>
        <v>Electricity</v>
      </c>
      <c r="W526" s="174" t="str" cm="1">
        <f t="array" aca="1" ref="W526" ca="1">_xlfn.XLOOKUP(Buildings_GridElectricity_Backend[[#This Row],[Level 4]],rng_Level4Long,rng_Level6Long)</f>
        <v>NaN</v>
      </c>
      <c r="X526" s="174">
        <f>Buildings_GridElectricity_Frontend[[#This Row],[Site Name]]</f>
        <v>0</v>
      </c>
      <c r="Y526" s="174">
        <f>Buildings_GridElectricity_Frontend[[#This Row],[Contracting]]</f>
        <v>0</v>
      </c>
      <c r="Z526" s="174">
        <f>Buildings_GridElectricity_Frontend[[#This Row],[Methodology]]</f>
        <v>0</v>
      </c>
      <c r="AA526" s="229" t="str" cm="1">
        <f t="array" ref="AA526">IF(Buildings_GridElectricity_Frontend[[#This Row],[Data]]="","",INDEX(_xlfn.SWITCH(Buildings_GridElectricity_Backend[[#This Row],[Methodology]],"Tier 1",rng_RSD1,"Tier 2",rng_RSD2,"Tier 3",rng_RSD3),MATCH(_xlfn.CONCAT(Buildings_GridElectricity_Backend[[#This Row],[Level 1]:[Level 6]]),rng_LevelsConcat,0)))</f>
        <v/>
      </c>
      <c r="AB526" s="220">
        <f>Buildings_GridElectricity_Frontend[[#This Row],[Data]]</f>
        <v>0</v>
      </c>
      <c r="AC526" s="174" t="str">
        <f>Buildings_GridElectricity_Frontend[[#This Row],[Units]]</f>
        <v>kWh</v>
      </c>
      <c r="AD526" s="218">
        <f>Buildings_GridElectricity_Frontend[[#This Row],[Data]]</f>
        <v>0</v>
      </c>
      <c r="AE526" s="174" t="str">
        <f>Buildings_GridElectricity_Frontend[[#This Row],[Units]]</f>
        <v>kWh</v>
      </c>
      <c r="AF526" s="210" t="str">
        <f>IF(Buildings_GridElectricity_Frontend[[#This Row],[Data]]="","",_xlfn.XLOOKUP(_xlfn.CONCAT(Buildings_GridElectricity_Backend[[#This Row],[Level 1]:[Level 6]]),rng_EFConcat,rng_EF1)*Buildings_GridElectricity_Backend[[#This Row],[Converted data]]/1000)</f>
        <v/>
      </c>
      <c r="AG526" s="210" t="str">
        <f>IF(Buildings_GridElectricity_Frontend[[#This Row],[Data]]="","",_xlfn.XLOOKUP(_xlfn.CONCAT(Buildings_GridElectricity_Backend[[#This Row],[Level 1]:[Level 6]]),rng_EFConcat,rng_EF2)*Buildings_GridElectricity_Backend[[#This Row],[Converted data]]/1000)</f>
        <v/>
      </c>
      <c r="AH526" s="210" t="str">
        <f>IF(Buildings_GridElectricity_Frontend[[#This Row],[Data]]="","",_xlfn.XLOOKUP(_xlfn.CONCAT(Buildings_GridElectricity_Backend[[#This Row],[Level 1]:[Level 6]]),rng_EFConcat,rng_EF3)*Buildings_GridElectricity_Backend[[#This Row],[Converted data]]/1000)</f>
        <v/>
      </c>
      <c r="AI526" s="210" t="str">
        <f>IF(Buildings_GridElectricity_Frontend[[#This Row],[Data]]="","",_xlfn.XLOOKUP(_xlfn.CONCAT(Buildings_GridElectricity_Backend[[#This Row],[Level 1]:[Level 6]]),rng_EFConcat,rng_EF3WTT)*Buildings_GridElectricity_Backend[[#This Row],[Converted data]]/1000)</f>
        <v/>
      </c>
      <c r="AJ526" s="210" t="str">
        <f>IF(Buildings_GridElectricity_Frontend[[#This Row],[Data]]="","",_xlfn.XLOOKUP(_xlfn.CONCAT(Buildings_GridElectricity_Backend[[#This Row],[Level 1]:[Level 6]]),rng_EFConcat,rng_EF3TD)*Buildings_GridElectricity_Backend[[#This Row],[Converted data]]/1000)</f>
        <v/>
      </c>
      <c r="AK526" s="210" t="str">
        <f>IF(Buildings_GridElectricity_Frontend[[#This Row],[Data]]="","",_xlfn.XLOOKUP(_xlfn.CONCAT(Buildings_GridElectricity_Backend[[#This Row],[Level 1]:[Level 6]]),rng_EFConcat,rng_EF3WTTTD)*Buildings_GridElectricity_Backend[[#This Row],[Converted data]]/1000)</f>
        <v/>
      </c>
      <c r="AL526" s="220" t="str">
        <f>IF(Buildings_GridElectricity_Frontend[[#This Row],[Data]]="","",SUM(Buildings_GridElectricity_Backend[[#This Row],[Scope 1 (tCO2e)]:[Scope 3 WTT T&amp;D (tCO2e)]]))</f>
        <v/>
      </c>
      <c r="AM526" s="220" t="str">
        <f>IF(Buildings_GridElectricity_Frontend[[#This Row],[Data]]="","",Buildings_GridElectricity_Backend[[#This Row],[Total (tCO2e)]]*(1-Buildings_GridElectricity_Backend[[#This Row],[RSD]]))</f>
        <v/>
      </c>
      <c r="AN526" s="220" t="str">
        <f>IF(Buildings_GridElectricity_Frontend[[#This Row],[Data]]="","",Buildings_GridElectricity_Backend[[#This Row],[Total (tCO2e)]]*(1+Buildings_GridElectricity_Backend[[#This Row],[RSD]]))</f>
        <v/>
      </c>
      <c r="AO526" s="210" t="str">
        <f>IF(Buildings_GridElectricity_Frontend[[#This Row],[Data]]="","",_xlfn.XLOOKUP(_xlfn.CONCAT(Buildings_GridElectricity_Backend[[#This Row],[Level 1]:[Level 6]]),rng_EFConcat,rng_EFOOS)*Buildings_GridElectricity_Backend[[#This Row],[Converted data]]/1000)</f>
        <v/>
      </c>
      <c r="AP526" s="174">
        <f>Buildings_GridElectricity_Frontend[[#This Row],[Ease of collection]]</f>
        <v>0</v>
      </c>
      <c r="AQ526" s="213">
        <f>Buildings_GridElectricity_Frontend[[#This Row],[Completeness]]</f>
        <v>0</v>
      </c>
      <c r="AR526" s="220">
        <f>Buildings_GridElectricity_Frontend[[#This Row],[Notes]]</f>
        <v>0</v>
      </c>
    </row>
    <row r="527" spans="2:44" x14ac:dyDescent="0.3">
      <c r="E527" s="348"/>
      <c r="F527" s="450"/>
      <c r="G527" s="338"/>
      <c r="H527" s="335"/>
      <c r="I527" s="222" t="s">
        <v>316</v>
      </c>
      <c r="J527" s="337"/>
      <c r="K527" s="338"/>
      <c r="L527" s="338"/>
      <c r="M527" s="339"/>
      <c r="N527" s="242">
        <f t="shared" si="17"/>
        <v>3</v>
      </c>
      <c r="Q527" s="212" t="str">
        <f t="shared" si="16"/>
        <v/>
      </c>
      <c r="R527" s="174" t="s">
        <v>265</v>
      </c>
      <c r="S527" s="174" t="s">
        <v>273</v>
      </c>
      <c r="T527" s="216" t="str">
        <f>_xlfn.XLOOKUP(Buildings_GridElectricity_Backend[[#This Row],[Info 1]],Buildings_SiteInfo[Site name],Buildings_SiteInfo[Site type], "")</f>
        <v/>
      </c>
      <c r="U527" s="174" t="s">
        <v>281</v>
      </c>
      <c r="V527" s="174" t="str" cm="1">
        <f t="array" aca="1" ref="V527" ca="1">_xlfn.XLOOKUP(Buildings_GridElectricity_Backend[[#This Row],[Level 4]],rng_Level4Long,rng_Level5Long)</f>
        <v>Electricity</v>
      </c>
      <c r="W527" s="174" t="str" cm="1">
        <f t="array" aca="1" ref="W527" ca="1">_xlfn.XLOOKUP(Buildings_GridElectricity_Backend[[#This Row],[Level 4]],rng_Level4Long,rng_Level6Long)</f>
        <v>NaN</v>
      </c>
      <c r="X527" s="174">
        <f>Buildings_GridElectricity_Frontend[[#This Row],[Site Name]]</f>
        <v>0</v>
      </c>
      <c r="Y527" s="174">
        <f>Buildings_GridElectricity_Frontend[[#This Row],[Contracting]]</f>
        <v>0</v>
      </c>
      <c r="Z527" s="174">
        <f>Buildings_GridElectricity_Frontend[[#This Row],[Methodology]]</f>
        <v>0</v>
      </c>
      <c r="AA527" s="229" t="str" cm="1">
        <f t="array" ref="AA527">IF(Buildings_GridElectricity_Frontend[[#This Row],[Data]]="","",INDEX(_xlfn.SWITCH(Buildings_GridElectricity_Backend[[#This Row],[Methodology]],"Tier 1",rng_RSD1,"Tier 2",rng_RSD2,"Tier 3",rng_RSD3),MATCH(_xlfn.CONCAT(Buildings_GridElectricity_Backend[[#This Row],[Level 1]:[Level 6]]),rng_LevelsConcat,0)))</f>
        <v/>
      </c>
      <c r="AB527" s="220">
        <f>Buildings_GridElectricity_Frontend[[#This Row],[Data]]</f>
        <v>0</v>
      </c>
      <c r="AC527" s="174" t="str">
        <f>Buildings_GridElectricity_Frontend[[#This Row],[Units]]</f>
        <v>kWh</v>
      </c>
      <c r="AD527" s="218">
        <f>Buildings_GridElectricity_Frontend[[#This Row],[Data]]</f>
        <v>0</v>
      </c>
      <c r="AE527" s="174" t="str">
        <f>Buildings_GridElectricity_Frontend[[#This Row],[Units]]</f>
        <v>kWh</v>
      </c>
      <c r="AF527" s="210" t="str">
        <f>IF(Buildings_GridElectricity_Frontend[[#This Row],[Data]]="","",_xlfn.XLOOKUP(_xlfn.CONCAT(Buildings_GridElectricity_Backend[[#This Row],[Level 1]:[Level 6]]),rng_EFConcat,rng_EF1)*Buildings_GridElectricity_Backend[[#This Row],[Converted data]]/1000)</f>
        <v/>
      </c>
      <c r="AG527" s="210" t="str">
        <f>IF(Buildings_GridElectricity_Frontend[[#This Row],[Data]]="","",_xlfn.XLOOKUP(_xlfn.CONCAT(Buildings_GridElectricity_Backend[[#This Row],[Level 1]:[Level 6]]),rng_EFConcat,rng_EF2)*Buildings_GridElectricity_Backend[[#This Row],[Converted data]]/1000)</f>
        <v/>
      </c>
      <c r="AH527" s="210" t="str">
        <f>IF(Buildings_GridElectricity_Frontend[[#This Row],[Data]]="","",_xlfn.XLOOKUP(_xlfn.CONCAT(Buildings_GridElectricity_Backend[[#This Row],[Level 1]:[Level 6]]),rng_EFConcat,rng_EF3)*Buildings_GridElectricity_Backend[[#This Row],[Converted data]]/1000)</f>
        <v/>
      </c>
      <c r="AI527" s="210" t="str">
        <f>IF(Buildings_GridElectricity_Frontend[[#This Row],[Data]]="","",_xlfn.XLOOKUP(_xlfn.CONCAT(Buildings_GridElectricity_Backend[[#This Row],[Level 1]:[Level 6]]),rng_EFConcat,rng_EF3WTT)*Buildings_GridElectricity_Backend[[#This Row],[Converted data]]/1000)</f>
        <v/>
      </c>
      <c r="AJ527" s="210" t="str">
        <f>IF(Buildings_GridElectricity_Frontend[[#This Row],[Data]]="","",_xlfn.XLOOKUP(_xlfn.CONCAT(Buildings_GridElectricity_Backend[[#This Row],[Level 1]:[Level 6]]),rng_EFConcat,rng_EF3TD)*Buildings_GridElectricity_Backend[[#This Row],[Converted data]]/1000)</f>
        <v/>
      </c>
      <c r="AK527" s="210" t="str">
        <f>IF(Buildings_GridElectricity_Frontend[[#This Row],[Data]]="","",_xlfn.XLOOKUP(_xlfn.CONCAT(Buildings_GridElectricity_Backend[[#This Row],[Level 1]:[Level 6]]),rng_EFConcat,rng_EF3WTTTD)*Buildings_GridElectricity_Backend[[#This Row],[Converted data]]/1000)</f>
        <v/>
      </c>
      <c r="AL527" s="220" t="str">
        <f>IF(Buildings_GridElectricity_Frontend[[#This Row],[Data]]="","",SUM(Buildings_GridElectricity_Backend[[#This Row],[Scope 1 (tCO2e)]:[Scope 3 WTT T&amp;D (tCO2e)]]))</f>
        <v/>
      </c>
      <c r="AM527" s="220" t="str">
        <f>IF(Buildings_GridElectricity_Frontend[[#This Row],[Data]]="","",Buildings_GridElectricity_Backend[[#This Row],[Total (tCO2e)]]*(1-Buildings_GridElectricity_Backend[[#This Row],[RSD]]))</f>
        <v/>
      </c>
      <c r="AN527" s="220" t="str">
        <f>IF(Buildings_GridElectricity_Frontend[[#This Row],[Data]]="","",Buildings_GridElectricity_Backend[[#This Row],[Total (tCO2e)]]*(1+Buildings_GridElectricity_Backend[[#This Row],[RSD]]))</f>
        <v/>
      </c>
      <c r="AO527" s="210" t="str">
        <f>IF(Buildings_GridElectricity_Frontend[[#This Row],[Data]]="","",_xlfn.XLOOKUP(_xlfn.CONCAT(Buildings_GridElectricity_Backend[[#This Row],[Level 1]:[Level 6]]),rng_EFConcat,rng_EFOOS)*Buildings_GridElectricity_Backend[[#This Row],[Converted data]]/1000)</f>
        <v/>
      </c>
      <c r="AP527" s="174">
        <f>Buildings_GridElectricity_Frontend[[#This Row],[Ease of collection]]</f>
        <v>0</v>
      </c>
      <c r="AQ527" s="213">
        <f>Buildings_GridElectricity_Frontend[[#This Row],[Completeness]]</f>
        <v>0</v>
      </c>
      <c r="AR527" s="221">
        <f>Buildings_GridElectricity_Frontend[[#This Row],[Notes]]</f>
        <v>0</v>
      </c>
    </row>
    <row r="528" spans="2:44" x14ac:dyDescent="0.3">
      <c r="B528" s="146" t="s">
        <v>101</v>
      </c>
    </row>
    <row r="530" x14ac:dyDescent="0.3"/>
  </sheetData>
  <sheetProtection algorithmName="SHA-512" hashValue="/YxtmPsbDi6DRtE7sDqcv8QPUTnUlgoH10jwZNFadrXxUr+eacLZk2wOx/z8HjuTR5T5kqltDQzEF6X0xXGbqA==" saltValue="ni2ELCBrNQE0JDlks9jYnw==" spinCount="100000" sheet="1" formatColumns="0"/>
  <mergeCells count="3">
    <mergeCell ref="B5:B8"/>
    <mergeCell ref="B12:B22"/>
    <mergeCell ref="B27:B43"/>
  </mergeCells>
  <phoneticPr fontId="16" type="noConversion"/>
  <conditionalFormatting sqref="I1">
    <cfRule type="containsText" dxfId="20" priority="1" operator="containsText" text="No data missing">
      <formula>NOT(ISERROR(SEARCH("No data missing",I1)))</formula>
    </cfRule>
  </conditionalFormatting>
  <conditionalFormatting sqref="N12">
    <cfRule type="iconSet" priority="3">
      <iconSet showValue="0">
        <cfvo type="percent" val="0"/>
        <cfvo type="num" val="0.01"/>
        <cfvo type="num" val="4"/>
      </iconSet>
    </cfRule>
  </conditionalFormatting>
  <conditionalFormatting sqref="N27">
    <cfRule type="iconSet" priority="2">
      <iconSet showValue="0">
        <cfvo type="percent" val="0"/>
        <cfvo type="num" val="0.01"/>
        <cfvo type="num" val="3"/>
      </iconSet>
    </cfRule>
  </conditionalFormatting>
  <dataValidations count="14">
    <dataValidation type="decimal" operator="greaterThan" allowBlank="1" showInputMessage="1" showErrorMessage="1" sqref="H13:H22 H28:H527" xr:uid="{06B8A0AC-26F9-405D-BF3F-BD6AF4A02989}">
      <formula1>0</formula1>
    </dataValidation>
    <dataValidation type="list" allowBlank="1" showInputMessage="1" showErrorMessage="1" sqref="K13:K22 K28:K527" xr:uid="{84F1DFA3-5A6F-4E59-912F-A279B54DF517}">
      <formula1>rng_data_ease</formula1>
    </dataValidation>
    <dataValidation type="list" allowBlank="1" showInputMessage="1" showErrorMessage="1" sqref="L13:L22 L28:L527" xr:uid="{7F3743C4-BE8C-4B13-AA2E-2EFB96FD7B8C}">
      <formula1>rng_data_completeness</formula1>
    </dataValidation>
    <dataValidation type="list" showInputMessage="1" showErrorMessage="1" sqref="E28:E527" xr:uid="{8981A68F-5E9A-4D19-AE5F-B5762353C317}">
      <formula1>rng_sitename</formula1>
    </dataValidation>
    <dataValidation type="list" allowBlank="1" showInputMessage="1" showErrorMessage="1" sqref="J13:J22 J28:J527" xr:uid="{A9F9433E-F7CA-4064-AF51-4CF144C6BCD1}">
      <formula1>rng_electricity_contract</formula1>
    </dataValidation>
    <dataValidation allowBlank="1" showInputMessage="1" showErrorMessage="1" promptTitle="Information:" prompt="This column contains a drop down of all site names included in the 'Building - Site Info' tab. Add additional sites on that tab to have them included in the dropdown here. This data is required." sqref="E27" xr:uid="{9433A8C7-C4BD-4A6C-B032-3F05B830791B}"/>
    <dataValidation type="list" allowBlank="1" showInputMessage="1" showErrorMessage="1" sqref="R13:R22 R28:R527" xr:uid="{8347B5AA-0BBD-470A-A3A1-AAFA35AEC00A}">
      <formula1>rng_Level1Unique</formula1>
    </dataValidation>
    <dataValidation type="list" allowBlank="1" showInputMessage="1" showErrorMessage="1" sqref="S13:S22 S28:S527" xr:uid="{8DA3EB51-89DE-4893-8FA9-6E00698A0BB0}">
      <formula1>DROPDOWN(rng_Level1,$R13,cl_Level2Target)</formula1>
    </dataValidation>
    <dataValidation type="list" allowBlank="1" showInputMessage="1" showErrorMessage="1" sqref="T28" xr:uid="{7AC727FB-40B0-4CF9-A14B-B46A373F2780}">
      <formula1>DROPDOWN(rng_Level2,$S28,cl_Level3Target)</formula1>
    </dataValidation>
    <dataValidation type="list" allowBlank="1" showInputMessage="1" showErrorMessage="1" sqref="U28:U527" xr:uid="{742CA676-7B68-4D03-B407-3F46CFD37954}">
      <formula1>DROPDOWN(rng_Level3,$T28,cl_Level4Target)</formula1>
    </dataValidation>
    <dataValidation allowBlank="1" showInputMessage="1" showErrorMessage="1" promptTitle="Information:" prompt="Enter the meter number (e.g., MPAN) " sqref="F27" xr:uid="{7875306A-4F24-419E-AB0F-32F2669B6AC2}"/>
    <dataValidation allowBlank="1" showInputMessage="1" showErrorMessage="1" promptTitle="Information:" prompt="Provide information on how the electricity is procured" sqref="J12 J27" xr:uid="{19A82230-14DB-47A6-843C-0DE877B96997}"/>
    <dataValidation type="list" showInputMessage="1" showErrorMessage="1" sqref="F13:F22" xr:uid="{707CDD5D-12D1-4908-88AE-0E874A8A1183}">
      <formula1>DROPDOWN(rng_Level2,$S13,cl_Level3Target)</formula1>
    </dataValidation>
    <dataValidation type="list" showInputMessage="1" showErrorMessage="1" sqref="G28:G527 G13:G22" xr:uid="{A79E423D-2F6F-48F6-BC8C-94197279D170}">
      <formula1>rng_methodology</formula1>
    </dataValidation>
  </dataValidations>
  <pageMargins left="0.7" right="0.7" top="0.75" bottom="0.75" header="0.3" footer="0.3"/>
  <pageSetup orientation="portrait" r:id="rId1"/>
  <ignoredErrors>
    <ignoredError sqref="R13:R22 S13:S22 R28:R527 S28:S527" calculatedColumn="1"/>
  </ignoredErrors>
  <tableParts count="4">
    <tablePart r:id="rId2"/>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iconSet" priority="6" id="{08D22CEB-D821-495F-9872-649F7809BA71}">
            <x14:iconSet showValue="0" custom="1">
              <x14:cfvo type="percent">
                <xm:f>0</xm:f>
              </x14:cfvo>
              <x14:cfvo type="num">
                <xm:f>1</xm:f>
              </x14:cfvo>
              <x14:cfvo type="num">
                <xm:f>4</xm:f>
              </x14:cfvo>
              <x14:cfIcon iconSet="3TrafficLights1" iconId="2"/>
              <x14:cfIcon iconSet="3TrafficLights1" iconId="0"/>
              <x14:cfIcon iconSet="4TrafficLights" iconId="0"/>
            </x14:iconSet>
          </x14:cfRule>
          <xm:sqref>N13:N22</xm:sqref>
        </x14:conditionalFormatting>
        <x14:conditionalFormatting xmlns:xm="http://schemas.microsoft.com/office/excel/2006/main">
          <x14:cfRule type="iconSet" priority="4" id="{15223B07-9F8D-455A-A39E-72B6BECA5255}">
            <x14:iconSet showValue="0" custom="1">
              <x14:cfvo type="percent">
                <xm:f>0</xm:f>
              </x14:cfvo>
              <x14:cfvo type="num">
                <xm:f>1</xm:f>
              </x14:cfvo>
              <x14:cfvo type="num">
                <xm:f>3</xm:f>
              </x14:cfvo>
              <x14:cfIcon iconSet="3TrafficLights1" iconId="2"/>
              <x14:cfIcon iconSet="3TrafficLights1" iconId="0"/>
              <x14:cfIcon iconSet="4TrafficLights" iconId="0"/>
            </x14:iconSet>
          </x14:cfRule>
          <xm:sqref>N28:N527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6E3146A-F5AD-4962-9185-4AEE41E840AE}">
          <x14:formula1>
            <xm:f>OFFSET(Ranges!$AT$11,MATCH(_xlfn.CONCAT($R$13:$W$13),rng_LevelsConcat,0),,,2)</xm:f>
          </x14:formula1>
          <xm:sqref>AB5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B633-54F1-4119-AB30-093934B356B0}">
  <sheetPr codeName="Sheet13">
    <tabColor theme="6"/>
  </sheetPr>
  <dimension ref="B1:AR515"/>
  <sheetViews>
    <sheetView showGridLines="0" topLeftCell="A495" zoomScale="80" zoomScaleNormal="80" workbookViewId="0">
      <selection activeCell="E15" sqref="E15:K514"/>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31" style="147" customWidth="1"/>
    <col min="6" max="6" width="18.81640625" style="147" customWidth="1"/>
    <col min="7" max="7" width="15.453125" style="147" customWidth="1"/>
    <col min="8" max="8" width="12.7265625" style="147" customWidth="1"/>
    <col min="9" max="9" width="18.54296875" style="147" bestFit="1" customWidth="1"/>
    <col min="10" max="10" width="12.54296875" style="147" customWidth="1"/>
    <col min="11" max="11" width="8.453125" style="147" customWidth="1"/>
    <col min="12" max="12" width="16.6328125" style="147" customWidth="1"/>
    <col min="13" max="13" width="17.26953125" style="147" customWidth="1"/>
    <col min="14" max="14" width="42.54296875" style="147" customWidth="1"/>
    <col min="15" max="15" width="3.1796875" style="147" customWidth="1"/>
    <col min="16" max="16" width="10.81640625" style="147" customWidth="1"/>
    <col min="17" max="17" width="4.81640625" style="147" customWidth="1" outlineLevel="1"/>
    <col min="18" max="18" width="11.7265625" style="147" customWidth="1" outlineLevel="1"/>
    <col min="19" max="19" width="16" style="147" customWidth="1" outlineLevel="1"/>
    <col min="20" max="22" width="14.7265625" style="147" customWidth="1" outlineLevel="1"/>
    <col min="23" max="23" width="11.1796875" style="147" customWidth="1" outlineLevel="1"/>
    <col min="24" max="24" width="15.54296875" style="147" customWidth="1" outlineLevel="1"/>
    <col min="25" max="25" width="6.7265625" style="147" customWidth="1" outlineLevel="1"/>
    <col min="26" max="26" width="13.26953125" style="147" customWidth="1" outlineLevel="1"/>
    <col min="27" max="27" width="7.81640625" style="147" customWidth="1" outlineLevel="1"/>
    <col min="28" max="28" width="9.453125" style="147" customWidth="1" outlineLevel="1"/>
    <col min="29" max="29" width="8.1796875" style="147" customWidth="1" outlineLevel="1"/>
    <col min="30" max="31" width="12.26953125" style="147" customWidth="1" outlineLevel="1"/>
    <col min="32" max="32" width="11.26953125" style="147" customWidth="1" outlineLevel="1"/>
    <col min="33" max="33" width="9.26953125" style="147" customWidth="1" outlineLevel="1"/>
    <col min="34" max="34" width="9.81640625" style="147" customWidth="1" outlineLevel="1"/>
    <col min="35" max="35" width="14.7265625" style="147" customWidth="1" outlineLevel="1"/>
    <col min="36" max="36" width="15" style="147" customWidth="1" outlineLevel="1"/>
    <col min="37" max="37" width="14.7265625" style="147" customWidth="1" outlineLevel="1"/>
    <col min="38" max="38" width="10.81640625" style="147" customWidth="1" outlineLevel="1"/>
    <col min="39" max="39" width="9.54296875" style="147" customWidth="1" outlineLevel="1"/>
    <col min="40" max="40" width="8.81640625" style="147" customWidth="1" outlineLevel="1"/>
    <col min="41" max="41" width="8.54296875" style="147" customWidth="1" outlineLevel="1"/>
    <col min="42" max="42" width="17" style="147" customWidth="1" outlineLevel="1"/>
    <col min="43" max="44" width="8.7265625" style="147" customWidth="1" outlineLevel="1"/>
    <col min="45" max="16384" width="8.7265625" style="147"/>
  </cols>
  <sheetData>
    <row r="1" spans="2:44" s="150" customFormat="1" ht="15.5" x14ac:dyDescent="0.35">
      <c r="B1" s="196" t="s">
        <v>273</v>
      </c>
      <c r="E1" s="200" t="s">
        <v>61</v>
      </c>
      <c r="F1" s="201">
        <f>cl_year_select</f>
        <v>0</v>
      </c>
      <c r="I1" s="200" t="s">
        <v>274</v>
      </c>
      <c r="J1" s="199" t="str">
        <f>IF($O$14=6,"No data missing","Data missing, see traffic lights")</f>
        <v>No data missing</v>
      </c>
    </row>
    <row r="2" spans="2:44" s="153" customFormat="1" x14ac:dyDescent="0.3">
      <c r="B2" s="197" t="s">
        <v>321</v>
      </c>
      <c r="E2" s="202" t="s">
        <v>64</v>
      </c>
      <c r="F2" s="203">
        <f>cl_org_name_select</f>
        <v>0</v>
      </c>
    </row>
    <row r="3" spans="2:44" x14ac:dyDescent="0.3"/>
    <row r="4" spans="2:44" x14ac:dyDescent="0.3">
      <c r="B4" s="159" t="s">
        <v>10</v>
      </c>
      <c r="E4" s="191" t="s">
        <v>1</v>
      </c>
    </row>
    <row r="5" spans="2:44" x14ac:dyDescent="0.3">
      <c r="B5" s="455" t="s">
        <v>322</v>
      </c>
      <c r="E5" s="162" t="s">
        <v>37</v>
      </c>
    </row>
    <row r="6" spans="2:44" x14ac:dyDescent="0.3">
      <c r="B6" s="455"/>
      <c r="E6" s="170" t="s">
        <v>38</v>
      </c>
      <c r="I6" s="151"/>
    </row>
    <row r="7" spans="2:44" x14ac:dyDescent="0.3">
      <c r="B7" s="455"/>
      <c r="E7" s="192" t="s">
        <v>283</v>
      </c>
      <c r="I7" s="151"/>
    </row>
    <row r="8" spans="2:44" x14ac:dyDescent="0.3">
      <c r="B8" s="455"/>
      <c r="E8" s="370"/>
      <c r="I8" s="151"/>
    </row>
    <row r="9" spans="2:44" x14ac:dyDescent="0.3">
      <c r="B9" s="455"/>
      <c r="E9" s="370"/>
      <c r="I9" s="151"/>
    </row>
    <row r="10" spans="2:44" ht="14.5" thickBot="1" x14ac:dyDescent="0.35">
      <c r="B10" s="455"/>
      <c r="E10" s="176"/>
      <c r="F10" s="176"/>
      <c r="G10" s="176"/>
      <c r="H10" s="176"/>
      <c r="I10" s="177"/>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row>
    <row r="11" spans="2:44" x14ac:dyDescent="0.3">
      <c r="I11" s="151"/>
    </row>
    <row r="12" spans="2:44" x14ac:dyDescent="0.3">
      <c r="B12" s="159" t="s">
        <v>12</v>
      </c>
      <c r="E12" s="160" t="s">
        <v>131</v>
      </c>
    </row>
    <row r="13" spans="2:44" x14ac:dyDescent="0.3"/>
    <row r="14" spans="2:44" ht="28.5" customHeight="1" x14ac:dyDescent="0.3">
      <c r="B14" s="455" t="s">
        <v>1863</v>
      </c>
      <c r="E14" s="257" t="s">
        <v>319</v>
      </c>
      <c r="F14" s="258" t="s">
        <v>323</v>
      </c>
      <c r="G14" s="258" t="s">
        <v>324</v>
      </c>
      <c r="H14" s="258" t="s">
        <v>325</v>
      </c>
      <c r="I14" s="258" t="s">
        <v>287</v>
      </c>
      <c r="J14" s="258" t="s">
        <v>288</v>
      </c>
      <c r="K14" s="258" t="s">
        <v>289</v>
      </c>
      <c r="L14" s="258" t="s">
        <v>291</v>
      </c>
      <c r="M14" s="258" t="s">
        <v>292</v>
      </c>
      <c r="N14" s="259" t="s">
        <v>293</v>
      </c>
      <c r="O14" s="188">
        <f>AVERAGEIF($O$15:$O$514,"&lt;&gt;0",$O$15:$O$514)</f>
        <v>6</v>
      </c>
      <c r="Q14" s="287" t="s">
        <v>294</v>
      </c>
      <c r="R14" s="286" t="s">
        <v>295</v>
      </c>
      <c r="S14" s="286" t="s">
        <v>296</v>
      </c>
      <c r="T14" s="286" t="s">
        <v>297</v>
      </c>
      <c r="U14" s="286" t="s">
        <v>298</v>
      </c>
      <c r="V14" s="286" t="s">
        <v>299</v>
      </c>
      <c r="W14" s="286" t="s">
        <v>300</v>
      </c>
      <c r="X14" s="286" t="s">
        <v>301</v>
      </c>
      <c r="Y14" s="286" t="s">
        <v>302</v>
      </c>
      <c r="Z14" s="286" t="s">
        <v>287</v>
      </c>
      <c r="AA14" s="286" t="s">
        <v>303</v>
      </c>
      <c r="AB14" s="286" t="s">
        <v>288</v>
      </c>
      <c r="AC14" s="286" t="s">
        <v>289</v>
      </c>
      <c r="AD14" s="286" t="s">
        <v>304</v>
      </c>
      <c r="AE14" s="286" t="s">
        <v>305</v>
      </c>
      <c r="AF14" s="286" t="s">
        <v>306</v>
      </c>
      <c r="AG14" s="286" t="s">
        <v>307</v>
      </c>
      <c r="AH14" s="286" t="s">
        <v>308</v>
      </c>
      <c r="AI14" s="286" t="s">
        <v>309</v>
      </c>
      <c r="AJ14" s="286" t="s">
        <v>310</v>
      </c>
      <c r="AK14" s="286" t="s">
        <v>311</v>
      </c>
      <c r="AL14" s="286" t="s">
        <v>312</v>
      </c>
      <c r="AM14" s="286" t="s">
        <v>313</v>
      </c>
      <c r="AN14" s="286" t="s">
        <v>314</v>
      </c>
      <c r="AO14" s="286" t="s">
        <v>315</v>
      </c>
      <c r="AP14" s="286" t="s">
        <v>291</v>
      </c>
      <c r="AQ14" s="288" t="s">
        <v>292</v>
      </c>
      <c r="AR14" s="288" t="s">
        <v>293</v>
      </c>
    </row>
    <row r="15" spans="2:44" x14ac:dyDescent="0.3">
      <c r="B15" s="455"/>
      <c r="E15" s="346"/>
      <c r="F15" s="364"/>
      <c r="G15" s="336"/>
      <c r="H15" s="336"/>
      <c r="I15" s="336"/>
      <c r="J15" s="334"/>
      <c r="K15" s="336"/>
      <c r="L15" s="336"/>
      <c r="M15" s="336"/>
      <c r="N15" s="352"/>
      <c r="O15" s="230">
        <f>ISBLANK(E15)+ISBLANK(G15)+ISBLANK(H15)+ISBLANK(I15)+ISBLANK(J15)+ISBLANK(K15)</f>
        <v>6</v>
      </c>
      <c r="Q15" s="212" t="str">
        <f t="shared" ref="Q15:Q78" si="0">IF(O15=0,SUBSTITUTE(2025&amp;TRIM(cl_org_name_select)&amp;TRIM($E$12)&amp;(ROW(O15)-ROW($O$15))," ",""),"")</f>
        <v/>
      </c>
      <c r="R15" s="174" t="s">
        <v>265</v>
      </c>
      <c r="S15" s="174" t="s">
        <v>273</v>
      </c>
      <c r="T15" s="174" t="str">
        <f>IF(Buildings_Heat_Frontend[[#This Row],[Data]]="","", _xlfn.XLOOKUP(Buildings_Heat_Backend[[#This Row],[Info 1]],Buildings_SiteInfo[Site name],Buildings_SiteInfo[Site type]))</f>
        <v/>
      </c>
      <c r="U15" s="174" t="str">
        <f>IF(Buildings_Heat_Frontend[[#This Row],[Data]]="","", Buildings_Heat_Frontend[[#This Row],[Heating Type]])</f>
        <v/>
      </c>
      <c r="V15" s="174" t="str">
        <f>IF(Buildings_Heat_Frontend[[#This Row],[Data]]="","", Buildings_Heat_Frontend[[#This Row],[Fuel]])</f>
        <v/>
      </c>
      <c r="W15" s="174" t="str" cm="1">
        <f t="array" ref="W15">IF(Buildings_Heat_Frontend[[#This Row],[Data]]="","", _xlfn.XLOOKUP(Buildings_Heat_Backend[[#This Row],[Level 5]],rng_Level5Long,rng_Level6Long))</f>
        <v/>
      </c>
      <c r="X15" s="174" t="str">
        <f>IF(Buildings_Heat_Frontend[[#This Row],[Data]]="","", Buildings_Heat_Frontend[[#This Row],[Site Name]])</f>
        <v/>
      </c>
      <c r="Y15" s="174" t="str">
        <f>IF(Buildings_Heat_Frontend[[#This Row],[Data]]="","", Buildings_Heat_Frontend[[#This Row],[MPRN]])</f>
        <v/>
      </c>
      <c r="Z15" s="174" t="str">
        <f>IF(Buildings_Heat_Frontend[[#This Row],[Data]]="","", IF($I15="","",$I15))</f>
        <v/>
      </c>
      <c r="AA15" s="229" t="str" cm="1">
        <f t="array" ref="AA15">IF(Buildings_Heat_Frontend[[#This Row],[Data]]="","", INDEX(_xlfn.SWITCH(Buildings_Heat_Backend[[#This Row],[Methodology]],"Tier 1",rng_RSD1,"Tier 2",rng_RSD2,"Tier 3",rng_RSD3),MATCH(_xlfn.CONCAT(Buildings_Heat_Backend[[#This Row],[Level 1]:[Level 6]]),rng_LevelsConcat,0)))</f>
        <v/>
      </c>
      <c r="AB15" s="220" t="str">
        <f t="shared" ref="AB15:AB78" si="1">IF($J15="","",$J15)</f>
        <v/>
      </c>
      <c r="AC15" s="174">
        <f>Buildings_Heat_Frontend[[#This Row],[Units]]</f>
        <v>0</v>
      </c>
      <c r="AD1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 s="174" t="str">
        <f>IF(Buildings_Heat_Frontend[[#This Row],[Data]]="","", _xlfn.XLOOKUP(_xlfn.CONCAT(Buildings_Heat_Backend[[#This Row],[Level 1]:[Level 6]]),rng_LevelsConcat,rng_UnitsLong))</f>
        <v/>
      </c>
      <c r="AF15" s="210" t="str">
        <f>IF(Buildings_Heat_Frontend[[#This Row],[Data]]="","", _xlfn.XLOOKUP(_xlfn.CONCAT(Buildings_Heat_Backend[[#This Row],[Level 1]:[Level 6]]),rng_EFConcat,rng_EF1)*Buildings_Heat_Backend[[#This Row],[Converted data]]/1000)</f>
        <v/>
      </c>
      <c r="AG15" s="210" t="str">
        <f>IF(Buildings_Heat_Frontend[[#This Row],[Data]]="","", _xlfn.XLOOKUP(_xlfn.CONCAT(Buildings_Heat_Backend[[#This Row],[Level 1]:[Level 6]]),rng_EFConcat,rng_EF2)*Buildings_Heat_Backend[[#This Row],[Converted data]]/1000)</f>
        <v/>
      </c>
      <c r="AH15" s="210" t="str">
        <f>IF(Buildings_Heat_Frontend[[#This Row],[Data]]="","", _xlfn.XLOOKUP(_xlfn.CONCAT(Buildings_Heat_Backend[[#This Row],[Level 1]:[Level 6]]),rng_EFConcat,rng_EF3)*Buildings_Heat_Backend[[#This Row],[Converted data]]/1000)</f>
        <v/>
      </c>
      <c r="AI15" s="210" t="str">
        <f>IF(Buildings_Heat_Frontend[[#This Row],[Data]]="","", _xlfn.XLOOKUP(_xlfn.CONCAT(Buildings_Heat_Backend[[#This Row],[Level 1]:[Level 6]]),rng_EFConcat,rng_EF3WTT)*Buildings_Heat_Backend[[#This Row],[Converted data]]/1000)</f>
        <v/>
      </c>
      <c r="AJ15" s="210" t="str">
        <f>IF(Buildings_Heat_Frontend[[#This Row],[Data]]="","", _xlfn.XLOOKUP(_xlfn.CONCAT(Buildings_Heat_Backend[[#This Row],[Level 1]:[Level 6]]),rng_EFConcat,rng_EF3TD)*Buildings_Heat_Backend[[#This Row],[Converted data]]/1000)</f>
        <v/>
      </c>
      <c r="AK15" s="210" t="str">
        <f>IF(Buildings_Heat_Frontend[[#This Row],[Data]]="","", _xlfn.XLOOKUP(_xlfn.CONCAT(Buildings_Heat_Backend[[#This Row],[Level 1]:[Level 6]]),rng_EFConcat,rng_EF3WTTTD)*Buildings_Heat_Backend[[#This Row],[Converted data]]/1000)</f>
        <v/>
      </c>
      <c r="AL15" s="220">
        <f>SUM(Buildings_Heat_Backend[[#This Row],[Scope 1 (tCO2e)]:[Scope 3 WTT T&amp;D (tCO2e)]])</f>
        <v>0</v>
      </c>
      <c r="AM15" s="220" t="str">
        <f>IF(Buildings_Heat_Frontend[[#This Row],[Data]]="","", Buildings_Heat_Backend[[#This Row],[Total (tCO2e)]]*(1-Buildings_Heat_Backend[[#This Row],[RSD]]))</f>
        <v/>
      </c>
      <c r="AN15" s="220" t="str">
        <f>IF(Buildings_Heat_Frontend[[#This Row],[Data]]="","", Buildings_Heat_Backend[[#This Row],[Total (tCO2e)]]*(1+Buildings_Heat_Backend[[#This Row],[RSD]]))</f>
        <v/>
      </c>
      <c r="AO15" s="210" t="str">
        <f>IF(Buildings_Heat_Frontend[[#This Row],[Data]]="","", _xlfn.XLOOKUP(_xlfn.CONCAT(Buildings_Heat_Backend[[#This Row],[Level 1]:[Level 6]]),rng_EFConcat,rng_EFOOS)*Buildings_Heat_Backend[[#This Row],[Converted data]]/1000)</f>
        <v/>
      </c>
      <c r="AP15" s="174">
        <f>Buildings_Heat_Frontend[[#This Row],[Ease of collection]]</f>
        <v>0</v>
      </c>
      <c r="AQ15" s="174">
        <f>Buildings_Heat_Frontend[[#This Row],[Completeness]]</f>
        <v>0</v>
      </c>
      <c r="AR15" s="174">
        <f>Buildings_Heat_Frontend[[#This Row],[Notes]]</f>
        <v>0</v>
      </c>
    </row>
    <row r="16" spans="2:44" x14ac:dyDescent="0.3">
      <c r="B16" s="455"/>
      <c r="E16" s="346"/>
      <c r="F16" s="364"/>
      <c r="G16" s="336"/>
      <c r="H16" s="336"/>
      <c r="I16" s="336"/>
      <c r="J16" s="334"/>
      <c r="K16" s="336"/>
      <c r="L16" s="336"/>
      <c r="M16" s="336"/>
      <c r="N16" s="352"/>
      <c r="O16" s="230">
        <f t="shared" ref="O16:O79" si="2">ISBLANK(E16)+ISBLANK(G16)+ISBLANK(H16)+ISBLANK(I16)+ISBLANK(J16)+ISBLANK(K16)</f>
        <v>6</v>
      </c>
      <c r="Q16" s="212" t="str">
        <f t="shared" si="0"/>
        <v/>
      </c>
      <c r="R16" s="174" t="s">
        <v>265</v>
      </c>
      <c r="S16" s="174" t="s">
        <v>273</v>
      </c>
      <c r="T16" s="174" t="str">
        <f>IF(Buildings_Heat_Frontend[[#This Row],[Data]]="","", _xlfn.XLOOKUP(Buildings_Heat_Backend[[#This Row],[Info 1]],Buildings_SiteInfo[Site name],Buildings_SiteInfo[Site type]))</f>
        <v/>
      </c>
      <c r="U16" s="174" t="str">
        <f>IF(Buildings_Heat_Frontend[[#This Row],[Data]]="","", Buildings_Heat_Frontend[[#This Row],[Heating Type]])</f>
        <v/>
      </c>
      <c r="V16" s="174" t="str">
        <f>IF(Buildings_Heat_Frontend[[#This Row],[Data]]="","", Buildings_Heat_Frontend[[#This Row],[Fuel]])</f>
        <v/>
      </c>
      <c r="W16" s="174" t="str" cm="1">
        <f t="array" ref="W16">IF(Buildings_Heat_Frontend[[#This Row],[Data]]="","", _xlfn.XLOOKUP(Buildings_Heat_Backend[[#This Row],[Level 5]],rng_Level5Long,rng_Level6Long))</f>
        <v/>
      </c>
      <c r="X16" s="174" t="str">
        <f>IF(Buildings_Heat_Frontend[[#This Row],[Data]]="","", Buildings_Heat_Frontend[[#This Row],[Site Name]])</f>
        <v/>
      </c>
      <c r="Y16" s="174" t="str">
        <f>IF(Buildings_Heat_Frontend[[#This Row],[Data]]="","", Buildings_Heat_Frontend[[#This Row],[MPRN]])</f>
        <v/>
      </c>
      <c r="Z16" s="174" t="str">
        <f>IF(Buildings_Heat_Frontend[[#This Row],[Data]]="","", IF($I16="","",$I16))</f>
        <v/>
      </c>
      <c r="AA16" s="229" t="str" cm="1">
        <f t="array" ref="AA16">IF(Buildings_Heat_Frontend[[#This Row],[Data]]="","", INDEX(_xlfn.SWITCH(Buildings_Heat_Backend[[#This Row],[Methodology]],"Tier 1",rng_RSD1,"Tier 2",rng_RSD2,"Tier 3",rng_RSD3),MATCH(_xlfn.CONCAT(Buildings_Heat_Backend[[#This Row],[Level 1]:[Level 6]]),rng_LevelsConcat,0)))</f>
        <v/>
      </c>
      <c r="AB16" s="220" t="str">
        <f t="shared" si="1"/>
        <v/>
      </c>
      <c r="AC16" s="174">
        <f>Buildings_Heat_Frontend[[#This Row],[Units]]</f>
        <v>0</v>
      </c>
      <c r="AD1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 s="174" t="str">
        <f>IF(Buildings_Heat_Frontend[[#This Row],[Data]]="","", _xlfn.XLOOKUP(_xlfn.CONCAT(Buildings_Heat_Backend[[#This Row],[Level 1]:[Level 6]]),rng_LevelsConcat,rng_UnitsLong))</f>
        <v/>
      </c>
      <c r="AF16" s="210" t="str">
        <f>IF(Buildings_Heat_Frontend[[#This Row],[Data]]="","", _xlfn.XLOOKUP(_xlfn.CONCAT(Buildings_Heat_Backend[[#This Row],[Level 1]:[Level 6]]),rng_EFConcat,rng_EF1)*Buildings_Heat_Backend[[#This Row],[Converted data]]/1000)</f>
        <v/>
      </c>
      <c r="AG16" s="210" t="str">
        <f>IF(Buildings_Heat_Frontend[[#This Row],[Data]]="","", _xlfn.XLOOKUP(_xlfn.CONCAT(Buildings_Heat_Backend[[#This Row],[Level 1]:[Level 6]]),rng_EFConcat,rng_EF2)*Buildings_Heat_Backend[[#This Row],[Converted data]]/1000)</f>
        <v/>
      </c>
      <c r="AH16" s="210" t="str">
        <f>IF(Buildings_Heat_Frontend[[#This Row],[Data]]="","", _xlfn.XLOOKUP(_xlfn.CONCAT(Buildings_Heat_Backend[[#This Row],[Level 1]:[Level 6]]),rng_EFConcat,rng_EF3)*Buildings_Heat_Backend[[#This Row],[Converted data]]/1000)</f>
        <v/>
      </c>
      <c r="AI16" s="210" t="str">
        <f>IF(Buildings_Heat_Frontend[[#This Row],[Data]]="","", _xlfn.XLOOKUP(_xlfn.CONCAT(Buildings_Heat_Backend[[#This Row],[Level 1]:[Level 6]]),rng_EFConcat,rng_EF3WTT)*Buildings_Heat_Backend[[#This Row],[Converted data]]/1000)</f>
        <v/>
      </c>
      <c r="AJ16" s="210" t="str">
        <f>IF(Buildings_Heat_Frontend[[#This Row],[Data]]="","", _xlfn.XLOOKUP(_xlfn.CONCAT(Buildings_Heat_Backend[[#This Row],[Level 1]:[Level 6]]),rng_EFConcat,rng_EF3TD)*Buildings_Heat_Backend[[#This Row],[Converted data]]/1000)</f>
        <v/>
      </c>
      <c r="AK16" s="210" t="str">
        <f>IF(Buildings_Heat_Frontend[[#This Row],[Data]]="","", _xlfn.XLOOKUP(_xlfn.CONCAT(Buildings_Heat_Backend[[#This Row],[Level 1]:[Level 6]]),rng_EFConcat,rng_EF3WTTTD)*Buildings_Heat_Backend[[#This Row],[Converted data]]/1000)</f>
        <v/>
      </c>
      <c r="AL16" s="220">
        <f>SUM(Buildings_Heat_Backend[[#This Row],[Scope 1 (tCO2e)]:[Scope 3 WTT T&amp;D (tCO2e)]])</f>
        <v>0</v>
      </c>
      <c r="AM16" s="220" t="str">
        <f>IF(Buildings_Heat_Frontend[[#This Row],[Data]]="","", Buildings_Heat_Backend[[#This Row],[Total (tCO2e)]]*(1-Buildings_Heat_Backend[[#This Row],[RSD]]))</f>
        <v/>
      </c>
      <c r="AN16" s="220" t="str">
        <f>IF(Buildings_Heat_Frontend[[#This Row],[Data]]="","", Buildings_Heat_Backend[[#This Row],[Total (tCO2e)]]*(1+Buildings_Heat_Backend[[#This Row],[RSD]]))</f>
        <v/>
      </c>
      <c r="AO16" s="210" t="str">
        <f>IF(Buildings_Heat_Frontend[[#This Row],[Data]]="","", _xlfn.XLOOKUP(_xlfn.CONCAT(Buildings_Heat_Backend[[#This Row],[Level 1]:[Level 6]]),rng_EFConcat,rng_EFOOS)*Buildings_Heat_Backend[[#This Row],[Converted data]]/1000)</f>
        <v/>
      </c>
      <c r="AP16" s="174">
        <f>Buildings_Heat_Frontend[[#This Row],[Ease of collection]]</f>
        <v>0</v>
      </c>
      <c r="AQ16" s="174">
        <f>Buildings_Heat_Frontend[[#This Row],[Completeness]]</f>
        <v>0</v>
      </c>
      <c r="AR16" s="174">
        <f>Buildings_Heat_Frontend[[#This Row],[Notes]]</f>
        <v>0</v>
      </c>
    </row>
    <row r="17" spans="2:44" x14ac:dyDescent="0.3">
      <c r="B17" s="455"/>
      <c r="E17" s="346"/>
      <c r="F17" s="364"/>
      <c r="G17" s="336"/>
      <c r="H17" s="336"/>
      <c r="I17" s="336"/>
      <c r="J17" s="334"/>
      <c r="K17" s="336"/>
      <c r="L17" s="336"/>
      <c r="M17" s="336"/>
      <c r="N17" s="352"/>
      <c r="O17" s="230">
        <f t="shared" si="2"/>
        <v>6</v>
      </c>
      <c r="Q17" s="212" t="str">
        <f t="shared" si="0"/>
        <v/>
      </c>
      <c r="R17" s="174" t="s">
        <v>265</v>
      </c>
      <c r="S17" s="174" t="s">
        <v>273</v>
      </c>
      <c r="T17" s="174" t="str">
        <f>IF(Buildings_Heat_Frontend[[#This Row],[Data]]="","", _xlfn.XLOOKUP(Buildings_Heat_Backend[[#This Row],[Info 1]],Buildings_SiteInfo[Site name],Buildings_SiteInfo[Site type]))</f>
        <v/>
      </c>
      <c r="U17" s="174" t="str">
        <f>IF(Buildings_Heat_Frontend[[#This Row],[Data]]="","", Buildings_Heat_Frontend[[#This Row],[Heating Type]])</f>
        <v/>
      </c>
      <c r="V17" s="174" t="str">
        <f>IF(Buildings_Heat_Frontend[[#This Row],[Data]]="","", Buildings_Heat_Frontend[[#This Row],[Fuel]])</f>
        <v/>
      </c>
      <c r="W17" s="174" t="str" cm="1">
        <f t="array" ref="W17">IF(Buildings_Heat_Frontend[[#This Row],[Data]]="","", _xlfn.XLOOKUP(Buildings_Heat_Backend[[#This Row],[Level 5]],rng_Level5Long,rng_Level6Long))</f>
        <v/>
      </c>
      <c r="X17" s="174" t="str">
        <f>IF(Buildings_Heat_Frontend[[#This Row],[Data]]="","", Buildings_Heat_Frontend[[#This Row],[Site Name]])</f>
        <v/>
      </c>
      <c r="Y17" s="174" t="str">
        <f>IF(Buildings_Heat_Frontend[[#This Row],[Data]]="","", Buildings_Heat_Frontend[[#This Row],[MPRN]])</f>
        <v/>
      </c>
      <c r="Z17" s="174" t="str">
        <f>IF(Buildings_Heat_Frontend[[#This Row],[Data]]="","", IF($I17="","",$I17))</f>
        <v/>
      </c>
      <c r="AA17" s="229" t="str" cm="1">
        <f t="array" ref="AA17">IF(Buildings_Heat_Frontend[[#This Row],[Data]]="","", INDEX(_xlfn.SWITCH(Buildings_Heat_Backend[[#This Row],[Methodology]],"Tier 1",rng_RSD1,"Tier 2",rng_RSD2,"Tier 3",rng_RSD3),MATCH(_xlfn.CONCAT(Buildings_Heat_Backend[[#This Row],[Level 1]:[Level 6]]),rng_LevelsConcat,0)))</f>
        <v/>
      </c>
      <c r="AB17" s="220" t="str">
        <f t="shared" si="1"/>
        <v/>
      </c>
      <c r="AC17" s="174">
        <f>Buildings_Heat_Frontend[[#This Row],[Units]]</f>
        <v>0</v>
      </c>
      <c r="AD1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 s="174" t="str">
        <f>IF(Buildings_Heat_Frontend[[#This Row],[Data]]="","", _xlfn.XLOOKUP(_xlfn.CONCAT(Buildings_Heat_Backend[[#This Row],[Level 1]:[Level 6]]),rng_LevelsConcat,rng_UnitsLong))</f>
        <v/>
      </c>
      <c r="AF17" s="210" t="str">
        <f>IF(Buildings_Heat_Frontend[[#This Row],[Data]]="","", _xlfn.XLOOKUP(_xlfn.CONCAT(Buildings_Heat_Backend[[#This Row],[Level 1]:[Level 6]]),rng_EFConcat,rng_EF1)*Buildings_Heat_Backend[[#This Row],[Converted data]]/1000)</f>
        <v/>
      </c>
      <c r="AG17" s="210" t="str">
        <f>IF(Buildings_Heat_Frontend[[#This Row],[Data]]="","", _xlfn.XLOOKUP(_xlfn.CONCAT(Buildings_Heat_Backend[[#This Row],[Level 1]:[Level 6]]),rng_EFConcat,rng_EF2)*Buildings_Heat_Backend[[#This Row],[Converted data]]/1000)</f>
        <v/>
      </c>
      <c r="AH17" s="210" t="str">
        <f>IF(Buildings_Heat_Frontend[[#This Row],[Data]]="","", _xlfn.XLOOKUP(_xlfn.CONCAT(Buildings_Heat_Backend[[#This Row],[Level 1]:[Level 6]]),rng_EFConcat,rng_EF3)*Buildings_Heat_Backend[[#This Row],[Converted data]]/1000)</f>
        <v/>
      </c>
      <c r="AI17" s="210" t="str">
        <f>IF(Buildings_Heat_Frontend[[#This Row],[Data]]="","", _xlfn.XLOOKUP(_xlfn.CONCAT(Buildings_Heat_Backend[[#This Row],[Level 1]:[Level 6]]),rng_EFConcat,rng_EF3WTT)*Buildings_Heat_Backend[[#This Row],[Converted data]]/1000)</f>
        <v/>
      </c>
      <c r="AJ17" s="210" t="str">
        <f>IF(Buildings_Heat_Frontend[[#This Row],[Data]]="","", _xlfn.XLOOKUP(_xlfn.CONCAT(Buildings_Heat_Backend[[#This Row],[Level 1]:[Level 6]]),rng_EFConcat,rng_EF3TD)*Buildings_Heat_Backend[[#This Row],[Converted data]]/1000)</f>
        <v/>
      </c>
      <c r="AK17" s="210" t="str">
        <f>IF(Buildings_Heat_Frontend[[#This Row],[Data]]="","", _xlfn.XLOOKUP(_xlfn.CONCAT(Buildings_Heat_Backend[[#This Row],[Level 1]:[Level 6]]),rng_EFConcat,rng_EF3WTTTD)*Buildings_Heat_Backend[[#This Row],[Converted data]]/1000)</f>
        <v/>
      </c>
      <c r="AL17" s="220">
        <f>SUM(Buildings_Heat_Backend[[#This Row],[Scope 1 (tCO2e)]:[Scope 3 WTT T&amp;D (tCO2e)]])</f>
        <v>0</v>
      </c>
      <c r="AM17" s="220" t="str">
        <f>IF(Buildings_Heat_Frontend[[#This Row],[Data]]="","", Buildings_Heat_Backend[[#This Row],[Total (tCO2e)]]*(1-Buildings_Heat_Backend[[#This Row],[RSD]]))</f>
        <v/>
      </c>
      <c r="AN17" s="220" t="str">
        <f>IF(Buildings_Heat_Frontend[[#This Row],[Data]]="","", Buildings_Heat_Backend[[#This Row],[Total (tCO2e)]]*(1+Buildings_Heat_Backend[[#This Row],[RSD]]))</f>
        <v/>
      </c>
      <c r="AO17" s="210" t="str">
        <f>IF(Buildings_Heat_Frontend[[#This Row],[Data]]="","", _xlfn.XLOOKUP(_xlfn.CONCAT(Buildings_Heat_Backend[[#This Row],[Level 1]:[Level 6]]),rng_EFConcat,rng_EFOOS)*Buildings_Heat_Backend[[#This Row],[Converted data]]/1000)</f>
        <v/>
      </c>
      <c r="AP17" s="174">
        <f>Buildings_Heat_Frontend[[#This Row],[Ease of collection]]</f>
        <v>0</v>
      </c>
      <c r="AQ17" s="174">
        <f>Buildings_Heat_Frontend[[#This Row],[Completeness]]</f>
        <v>0</v>
      </c>
      <c r="AR17" s="174">
        <f>Buildings_Heat_Frontend[[#This Row],[Notes]]</f>
        <v>0</v>
      </c>
    </row>
    <row r="18" spans="2:44" x14ac:dyDescent="0.3">
      <c r="B18" s="455"/>
      <c r="E18" s="346"/>
      <c r="F18" s="364"/>
      <c r="G18" s="336"/>
      <c r="H18" s="336"/>
      <c r="I18" s="336"/>
      <c r="J18" s="334"/>
      <c r="K18" s="336"/>
      <c r="L18" s="336"/>
      <c r="M18" s="336"/>
      <c r="N18" s="352"/>
      <c r="O18" s="230">
        <f t="shared" si="2"/>
        <v>6</v>
      </c>
      <c r="Q18" s="212" t="str">
        <f t="shared" si="0"/>
        <v/>
      </c>
      <c r="R18" s="174" t="s">
        <v>265</v>
      </c>
      <c r="S18" s="174" t="s">
        <v>273</v>
      </c>
      <c r="T18" s="174" t="str">
        <f>IF(Buildings_Heat_Frontend[[#This Row],[Data]]="","", _xlfn.XLOOKUP(Buildings_Heat_Backend[[#This Row],[Info 1]],Buildings_SiteInfo[Site name],Buildings_SiteInfo[Site type]))</f>
        <v/>
      </c>
      <c r="U18" s="174" t="str">
        <f>IF(Buildings_Heat_Frontend[[#This Row],[Data]]="","", Buildings_Heat_Frontend[[#This Row],[Heating Type]])</f>
        <v/>
      </c>
      <c r="V18" s="174" t="str">
        <f>IF(Buildings_Heat_Frontend[[#This Row],[Data]]="","", Buildings_Heat_Frontend[[#This Row],[Fuel]])</f>
        <v/>
      </c>
      <c r="W18" s="174" t="str" cm="1">
        <f t="array" ref="W18">IF(Buildings_Heat_Frontend[[#This Row],[Data]]="","", _xlfn.XLOOKUP(Buildings_Heat_Backend[[#This Row],[Level 5]],rng_Level5Long,rng_Level6Long))</f>
        <v/>
      </c>
      <c r="X18" s="174" t="str">
        <f>IF(Buildings_Heat_Frontend[[#This Row],[Data]]="","", Buildings_Heat_Frontend[[#This Row],[Site Name]])</f>
        <v/>
      </c>
      <c r="Y18" s="174" t="str">
        <f>IF(Buildings_Heat_Frontend[[#This Row],[Data]]="","", Buildings_Heat_Frontend[[#This Row],[MPRN]])</f>
        <v/>
      </c>
      <c r="Z18" s="174" t="str">
        <f>IF(Buildings_Heat_Frontend[[#This Row],[Data]]="","", IF($I18="","",$I18))</f>
        <v/>
      </c>
      <c r="AA18" s="229" t="str" cm="1">
        <f t="array" ref="AA18">IF(Buildings_Heat_Frontend[[#This Row],[Data]]="","", INDEX(_xlfn.SWITCH(Buildings_Heat_Backend[[#This Row],[Methodology]],"Tier 1",rng_RSD1,"Tier 2",rng_RSD2,"Tier 3",rng_RSD3),MATCH(_xlfn.CONCAT(Buildings_Heat_Backend[[#This Row],[Level 1]:[Level 6]]),rng_LevelsConcat,0)))</f>
        <v/>
      </c>
      <c r="AB18" s="220" t="str">
        <f t="shared" si="1"/>
        <v/>
      </c>
      <c r="AC18" s="174">
        <f>Buildings_Heat_Frontend[[#This Row],[Units]]</f>
        <v>0</v>
      </c>
      <c r="AD1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 s="174" t="str">
        <f>IF(Buildings_Heat_Frontend[[#This Row],[Data]]="","", _xlfn.XLOOKUP(_xlfn.CONCAT(Buildings_Heat_Backend[[#This Row],[Level 1]:[Level 6]]),rng_LevelsConcat,rng_UnitsLong))</f>
        <v/>
      </c>
      <c r="AF18" s="210" t="str">
        <f>IF(Buildings_Heat_Frontend[[#This Row],[Data]]="","", _xlfn.XLOOKUP(_xlfn.CONCAT(Buildings_Heat_Backend[[#This Row],[Level 1]:[Level 6]]),rng_EFConcat,rng_EF1)*Buildings_Heat_Backend[[#This Row],[Converted data]]/1000)</f>
        <v/>
      </c>
      <c r="AG18" s="210" t="str">
        <f>IF(Buildings_Heat_Frontend[[#This Row],[Data]]="","", _xlfn.XLOOKUP(_xlfn.CONCAT(Buildings_Heat_Backend[[#This Row],[Level 1]:[Level 6]]),rng_EFConcat,rng_EF2)*Buildings_Heat_Backend[[#This Row],[Converted data]]/1000)</f>
        <v/>
      </c>
      <c r="AH18" s="210" t="str">
        <f>IF(Buildings_Heat_Frontend[[#This Row],[Data]]="","", _xlfn.XLOOKUP(_xlfn.CONCAT(Buildings_Heat_Backend[[#This Row],[Level 1]:[Level 6]]),rng_EFConcat,rng_EF3)*Buildings_Heat_Backend[[#This Row],[Converted data]]/1000)</f>
        <v/>
      </c>
      <c r="AI18" s="210" t="str">
        <f>IF(Buildings_Heat_Frontend[[#This Row],[Data]]="","", _xlfn.XLOOKUP(_xlfn.CONCAT(Buildings_Heat_Backend[[#This Row],[Level 1]:[Level 6]]),rng_EFConcat,rng_EF3WTT)*Buildings_Heat_Backend[[#This Row],[Converted data]]/1000)</f>
        <v/>
      </c>
      <c r="AJ18" s="210" t="str">
        <f>IF(Buildings_Heat_Frontend[[#This Row],[Data]]="","", _xlfn.XLOOKUP(_xlfn.CONCAT(Buildings_Heat_Backend[[#This Row],[Level 1]:[Level 6]]),rng_EFConcat,rng_EF3TD)*Buildings_Heat_Backend[[#This Row],[Converted data]]/1000)</f>
        <v/>
      </c>
      <c r="AK18" s="210" t="str">
        <f>IF(Buildings_Heat_Frontend[[#This Row],[Data]]="","", _xlfn.XLOOKUP(_xlfn.CONCAT(Buildings_Heat_Backend[[#This Row],[Level 1]:[Level 6]]),rng_EFConcat,rng_EF3WTTTD)*Buildings_Heat_Backend[[#This Row],[Converted data]]/1000)</f>
        <v/>
      </c>
      <c r="AL18" s="220">
        <f>SUM(Buildings_Heat_Backend[[#This Row],[Scope 1 (tCO2e)]:[Scope 3 WTT T&amp;D (tCO2e)]])</f>
        <v>0</v>
      </c>
      <c r="AM18" s="220" t="str">
        <f>IF(Buildings_Heat_Frontend[[#This Row],[Data]]="","", Buildings_Heat_Backend[[#This Row],[Total (tCO2e)]]*(1-Buildings_Heat_Backend[[#This Row],[RSD]]))</f>
        <v/>
      </c>
      <c r="AN18" s="220" t="str">
        <f>IF(Buildings_Heat_Frontend[[#This Row],[Data]]="","", Buildings_Heat_Backend[[#This Row],[Total (tCO2e)]]*(1+Buildings_Heat_Backend[[#This Row],[RSD]]))</f>
        <v/>
      </c>
      <c r="AO18" s="210" t="str">
        <f>IF(Buildings_Heat_Frontend[[#This Row],[Data]]="","", _xlfn.XLOOKUP(_xlfn.CONCAT(Buildings_Heat_Backend[[#This Row],[Level 1]:[Level 6]]),rng_EFConcat,rng_EFOOS)*Buildings_Heat_Backend[[#This Row],[Converted data]]/1000)</f>
        <v/>
      </c>
      <c r="AP18" s="174">
        <f>Buildings_Heat_Frontend[[#This Row],[Ease of collection]]</f>
        <v>0</v>
      </c>
      <c r="AQ18" s="174">
        <f>Buildings_Heat_Frontend[[#This Row],[Completeness]]</f>
        <v>0</v>
      </c>
      <c r="AR18" s="174">
        <f>Buildings_Heat_Frontend[[#This Row],[Notes]]</f>
        <v>0</v>
      </c>
    </row>
    <row r="19" spans="2:44" x14ac:dyDescent="0.3">
      <c r="B19" s="455"/>
      <c r="E19" s="346"/>
      <c r="F19" s="364"/>
      <c r="G19" s="336"/>
      <c r="H19" s="336"/>
      <c r="I19" s="336"/>
      <c r="J19" s="334"/>
      <c r="K19" s="336"/>
      <c r="L19" s="336"/>
      <c r="M19" s="336"/>
      <c r="N19" s="352"/>
      <c r="O19" s="230">
        <f t="shared" si="2"/>
        <v>6</v>
      </c>
      <c r="Q19" s="212" t="str">
        <f t="shared" si="0"/>
        <v/>
      </c>
      <c r="R19" s="174" t="s">
        <v>265</v>
      </c>
      <c r="S19" s="174" t="s">
        <v>273</v>
      </c>
      <c r="T19" s="174" t="str">
        <f>IF(Buildings_Heat_Frontend[[#This Row],[Data]]="","", _xlfn.XLOOKUP(Buildings_Heat_Backend[[#This Row],[Info 1]],Buildings_SiteInfo[Site name],Buildings_SiteInfo[Site type]))</f>
        <v/>
      </c>
      <c r="U19" s="174" t="str">
        <f>IF(Buildings_Heat_Frontend[[#This Row],[Data]]="","", Buildings_Heat_Frontend[[#This Row],[Heating Type]])</f>
        <v/>
      </c>
      <c r="V19" s="174" t="str">
        <f>IF(Buildings_Heat_Frontend[[#This Row],[Data]]="","", Buildings_Heat_Frontend[[#This Row],[Fuel]])</f>
        <v/>
      </c>
      <c r="W19" s="174" t="str" cm="1">
        <f t="array" ref="W19">IF(Buildings_Heat_Frontend[[#This Row],[Data]]="","", _xlfn.XLOOKUP(Buildings_Heat_Backend[[#This Row],[Level 5]],rng_Level5Long,rng_Level6Long))</f>
        <v/>
      </c>
      <c r="X19" s="174" t="str">
        <f>IF(Buildings_Heat_Frontend[[#This Row],[Data]]="","", Buildings_Heat_Frontend[[#This Row],[Site Name]])</f>
        <v/>
      </c>
      <c r="Y19" s="174" t="str">
        <f>IF(Buildings_Heat_Frontend[[#This Row],[Data]]="","", Buildings_Heat_Frontend[[#This Row],[MPRN]])</f>
        <v/>
      </c>
      <c r="Z19" s="174" t="str">
        <f>IF(Buildings_Heat_Frontend[[#This Row],[Data]]="","", IF($I19="","",$I19))</f>
        <v/>
      </c>
      <c r="AA19" s="229" t="str" cm="1">
        <f t="array" ref="AA19">IF(Buildings_Heat_Frontend[[#This Row],[Data]]="","", INDEX(_xlfn.SWITCH(Buildings_Heat_Backend[[#This Row],[Methodology]],"Tier 1",rng_RSD1,"Tier 2",rng_RSD2,"Tier 3",rng_RSD3),MATCH(_xlfn.CONCAT(Buildings_Heat_Backend[[#This Row],[Level 1]:[Level 6]]),rng_LevelsConcat,0)))</f>
        <v/>
      </c>
      <c r="AB19" s="220" t="str">
        <f t="shared" si="1"/>
        <v/>
      </c>
      <c r="AC19" s="174">
        <f>Buildings_Heat_Frontend[[#This Row],[Units]]</f>
        <v>0</v>
      </c>
      <c r="AD1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 s="174" t="str">
        <f>IF(Buildings_Heat_Frontend[[#This Row],[Data]]="","", _xlfn.XLOOKUP(_xlfn.CONCAT(Buildings_Heat_Backend[[#This Row],[Level 1]:[Level 6]]),rng_LevelsConcat,rng_UnitsLong))</f>
        <v/>
      </c>
      <c r="AF19" s="210" t="str">
        <f>IF(Buildings_Heat_Frontend[[#This Row],[Data]]="","", _xlfn.XLOOKUP(_xlfn.CONCAT(Buildings_Heat_Backend[[#This Row],[Level 1]:[Level 6]]),rng_EFConcat,rng_EF1)*Buildings_Heat_Backend[[#This Row],[Converted data]]/1000)</f>
        <v/>
      </c>
      <c r="AG19" s="210" t="str">
        <f>IF(Buildings_Heat_Frontend[[#This Row],[Data]]="","", _xlfn.XLOOKUP(_xlfn.CONCAT(Buildings_Heat_Backend[[#This Row],[Level 1]:[Level 6]]),rng_EFConcat,rng_EF2)*Buildings_Heat_Backend[[#This Row],[Converted data]]/1000)</f>
        <v/>
      </c>
      <c r="AH19" s="210" t="str">
        <f>IF(Buildings_Heat_Frontend[[#This Row],[Data]]="","", _xlfn.XLOOKUP(_xlfn.CONCAT(Buildings_Heat_Backend[[#This Row],[Level 1]:[Level 6]]),rng_EFConcat,rng_EF3)*Buildings_Heat_Backend[[#This Row],[Converted data]]/1000)</f>
        <v/>
      </c>
      <c r="AI19" s="210" t="str">
        <f>IF(Buildings_Heat_Frontend[[#This Row],[Data]]="","", _xlfn.XLOOKUP(_xlfn.CONCAT(Buildings_Heat_Backend[[#This Row],[Level 1]:[Level 6]]),rng_EFConcat,rng_EF3WTT)*Buildings_Heat_Backend[[#This Row],[Converted data]]/1000)</f>
        <v/>
      </c>
      <c r="AJ19" s="210" t="str">
        <f>IF(Buildings_Heat_Frontend[[#This Row],[Data]]="","", _xlfn.XLOOKUP(_xlfn.CONCAT(Buildings_Heat_Backend[[#This Row],[Level 1]:[Level 6]]),rng_EFConcat,rng_EF3TD)*Buildings_Heat_Backend[[#This Row],[Converted data]]/1000)</f>
        <v/>
      </c>
      <c r="AK19" s="210" t="str">
        <f>IF(Buildings_Heat_Frontend[[#This Row],[Data]]="","", _xlfn.XLOOKUP(_xlfn.CONCAT(Buildings_Heat_Backend[[#This Row],[Level 1]:[Level 6]]),rng_EFConcat,rng_EF3WTTTD)*Buildings_Heat_Backend[[#This Row],[Converted data]]/1000)</f>
        <v/>
      </c>
      <c r="AL19" s="220">
        <f>SUM(Buildings_Heat_Backend[[#This Row],[Scope 1 (tCO2e)]:[Scope 3 WTT T&amp;D (tCO2e)]])</f>
        <v>0</v>
      </c>
      <c r="AM19" s="220" t="str">
        <f>IF(Buildings_Heat_Frontend[[#This Row],[Data]]="","", Buildings_Heat_Backend[[#This Row],[Total (tCO2e)]]*(1-Buildings_Heat_Backend[[#This Row],[RSD]]))</f>
        <v/>
      </c>
      <c r="AN19" s="220" t="str">
        <f>IF(Buildings_Heat_Frontend[[#This Row],[Data]]="","", Buildings_Heat_Backend[[#This Row],[Total (tCO2e)]]*(1+Buildings_Heat_Backend[[#This Row],[RSD]]))</f>
        <v/>
      </c>
      <c r="AO19" s="210" t="str">
        <f>IF(Buildings_Heat_Frontend[[#This Row],[Data]]="","", _xlfn.XLOOKUP(_xlfn.CONCAT(Buildings_Heat_Backend[[#This Row],[Level 1]:[Level 6]]),rng_EFConcat,rng_EFOOS)*Buildings_Heat_Backend[[#This Row],[Converted data]]/1000)</f>
        <v/>
      </c>
      <c r="AP19" s="174">
        <f>Buildings_Heat_Frontend[[#This Row],[Ease of collection]]</f>
        <v>0</v>
      </c>
      <c r="AQ19" s="174">
        <f>Buildings_Heat_Frontend[[#This Row],[Completeness]]</f>
        <v>0</v>
      </c>
      <c r="AR19" s="174">
        <f>Buildings_Heat_Frontend[[#This Row],[Notes]]</f>
        <v>0</v>
      </c>
    </row>
    <row r="20" spans="2:44" x14ac:dyDescent="0.3">
      <c r="B20" s="455"/>
      <c r="E20" s="346"/>
      <c r="F20" s="364"/>
      <c r="G20" s="336"/>
      <c r="H20" s="336"/>
      <c r="I20" s="336"/>
      <c r="J20" s="334"/>
      <c r="K20" s="336"/>
      <c r="L20" s="336"/>
      <c r="M20" s="336"/>
      <c r="N20" s="352"/>
      <c r="O20" s="230">
        <f t="shared" si="2"/>
        <v>6</v>
      </c>
      <c r="Q20" s="212" t="str">
        <f t="shared" si="0"/>
        <v/>
      </c>
      <c r="R20" s="174" t="s">
        <v>265</v>
      </c>
      <c r="S20" s="174" t="s">
        <v>273</v>
      </c>
      <c r="T20" s="174" t="str">
        <f>IF(Buildings_Heat_Frontend[[#This Row],[Data]]="","", _xlfn.XLOOKUP(Buildings_Heat_Backend[[#This Row],[Info 1]],Buildings_SiteInfo[Site name],Buildings_SiteInfo[Site type]))</f>
        <v/>
      </c>
      <c r="U20" s="174" t="str">
        <f>IF(Buildings_Heat_Frontend[[#This Row],[Data]]="","", Buildings_Heat_Frontend[[#This Row],[Heating Type]])</f>
        <v/>
      </c>
      <c r="V20" s="174" t="str">
        <f>IF(Buildings_Heat_Frontend[[#This Row],[Data]]="","", Buildings_Heat_Frontend[[#This Row],[Fuel]])</f>
        <v/>
      </c>
      <c r="W20" s="174" t="str" cm="1">
        <f t="array" ref="W20">IF(Buildings_Heat_Frontend[[#This Row],[Data]]="","", _xlfn.XLOOKUP(Buildings_Heat_Backend[[#This Row],[Level 5]],rng_Level5Long,rng_Level6Long))</f>
        <v/>
      </c>
      <c r="X20" s="174" t="str">
        <f>IF(Buildings_Heat_Frontend[[#This Row],[Data]]="","", Buildings_Heat_Frontend[[#This Row],[Site Name]])</f>
        <v/>
      </c>
      <c r="Y20" s="174" t="str">
        <f>IF(Buildings_Heat_Frontend[[#This Row],[Data]]="","", Buildings_Heat_Frontend[[#This Row],[MPRN]])</f>
        <v/>
      </c>
      <c r="Z20" s="174" t="str">
        <f>IF(Buildings_Heat_Frontend[[#This Row],[Data]]="","", IF($I20="","",$I20))</f>
        <v/>
      </c>
      <c r="AA20" s="229" t="str" cm="1">
        <f t="array" ref="AA20">IF(Buildings_Heat_Frontend[[#This Row],[Data]]="","", INDEX(_xlfn.SWITCH(Buildings_Heat_Backend[[#This Row],[Methodology]],"Tier 1",rng_RSD1,"Tier 2",rng_RSD2,"Tier 3",rng_RSD3),MATCH(_xlfn.CONCAT(Buildings_Heat_Backend[[#This Row],[Level 1]:[Level 6]]),rng_LevelsConcat,0)))</f>
        <v/>
      </c>
      <c r="AB20" s="220" t="str">
        <f t="shared" si="1"/>
        <v/>
      </c>
      <c r="AC20" s="174">
        <f>Buildings_Heat_Frontend[[#This Row],[Units]]</f>
        <v>0</v>
      </c>
      <c r="AD2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 s="174" t="str">
        <f>IF(Buildings_Heat_Frontend[[#This Row],[Data]]="","", _xlfn.XLOOKUP(_xlfn.CONCAT(Buildings_Heat_Backend[[#This Row],[Level 1]:[Level 6]]),rng_LevelsConcat,rng_UnitsLong))</f>
        <v/>
      </c>
      <c r="AF20" s="210" t="str">
        <f>IF(Buildings_Heat_Frontend[[#This Row],[Data]]="","", _xlfn.XLOOKUP(_xlfn.CONCAT(Buildings_Heat_Backend[[#This Row],[Level 1]:[Level 6]]),rng_EFConcat,rng_EF1)*Buildings_Heat_Backend[[#This Row],[Converted data]]/1000)</f>
        <v/>
      </c>
      <c r="AG20" s="210" t="str">
        <f>IF(Buildings_Heat_Frontend[[#This Row],[Data]]="","", _xlfn.XLOOKUP(_xlfn.CONCAT(Buildings_Heat_Backend[[#This Row],[Level 1]:[Level 6]]),rng_EFConcat,rng_EF2)*Buildings_Heat_Backend[[#This Row],[Converted data]]/1000)</f>
        <v/>
      </c>
      <c r="AH20" s="210" t="str">
        <f>IF(Buildings_Heat_Frontend[[#This Row],[Data]]="","", _xlfn.XLOOKUP(_xlfn.CONCAT(Buildings_Heat_Backend[[#This Row],[Level 1]:[Level 6]]),rng_EFConcat,rng_EF3)*Buildings_Heat_Backend[[#This Row],[Converted data]]/1000)</f>
        <v/>
      </c>
      <c r="AI20" s="210" t="str">
        <f>IF(Buildings_Heat_Frontend[[#This Row],[Data]]="","", _xlfn.XLOOKUP(_xlfn.CONCAT(Buildings_Heat_Backend[[#This Row],[Level 1]:[Level 6]]),rng_EFConcat,rng_EF3WTT)*Buildings_Heat_Backend[[#This Row],[Converted data]]/1000)</f>
        <v/>
      </c>
      <c r="AJ20" s="210" t="str">
        <f>IF(Buildings_Heat_Frontend[[#This Row],[Data]]="","", _xlfn.XLOOKUP(_xlfn.CONCAT(Buildings_Heat_Backend[[#This Row],[Level 1]:[Level 6]]),rng_EFConcat,rng_EF3TD)*Buildings_Heat_Backend[[#This Row],[Converted data]]/1000)</f>
        <v/>
      </c>
      <c r="AK20" s="210" t="str">
        <f>IF(Buildings_Heat_Frontend[[#This Row],[Data]]="","", _xlfn.XLOOKUP(_xlfn.CONCAT(Buildings_Heat_Backend[[#This Row],[Level 1]:[Level 6]]),rng_EFConcat,rng_EF3WTTTD)*Buildings_Heat_Backend[[#This Row],[Converted data]]/1000)</f>
        <v/>
      </c>
      <c r="AL20" s="220">
        <f>SUM(Buildings_Heat_Backend[[#This Row],[Scope 1 (tCO2e)]:[Scope 3 WTT T&amp;D (tCO2e)]])</f>
        <v>0</v>
      </c>
      <c r="AM20" s="220" t="str">
        <f>IF(Buildings_Heat_Frontend[[#This Row],[Data]]="","", Buildings_Heat_Backend[[#This Row],[Total (tCO2e)]]*(1-Buildings_Heat_Backend[[#This Row],[RSD]]))</f>
        <v/>
      </c>
      <c r="AN20" s="220" t="str">
        <f>IF(Buildings_Heat_Frontend[[#This Row],[Data]]="","", Buildings_Heat_Backend[[#This Row],[Total (tCO2e)]]*(1+Buildings_Heat_Backend[[#This Row],[RSD]]))</f>
        <v/>
      </c>
      <c r="AO20" s="210" t="str">
        <f>IF(Buildings_Heat_Frontend[[#This Row],[Data]]="","", _xlfn.XLOOKUP(_xlfn.CONCAT(Buildings_Heat_Backend[[#This Row],[Level 1]:[Level 6]]),rng_EFConcat,rng_EFOOS)*Buildings_Heat_Backend[[#This Row],[Converted data]]/1000)</f>
        <v/>
      </c>
      <c r="AP20" s="174">
        <f>Buildings_Heat_Frontend[[#This Row],[Ease of collection]]</f>
        <v>0</v>
      </c>
      <c r="AQ20" s="174">
        <f>Buildings_Heat_Frontend[[#This Row],[Completeness]]</f>
        <v>0</v>
      </c>
      <c r="AR20" s="174">
        <f>Buildings_Heat_Frontend[[#This Row],[Notes]]</f>
        <v>0</v>
      </c>
    </row>
    <row r="21" spans="2:44" x14ac:dyDescent="0.3">
      <c r="B21" s="455"/>
      <c r="E21" s="346"/>
      <c r="F21" s="364"/>
      <c r="G21" s="336"/>
      <c r="H21" s="336"/>
      <c r="I21" s="336"/>
      <c r="J21" s="334"/>
      <c r="K21" s="336"/>
      <c r="L21" s="336"/>
      <c r="M21" s="336"/>
      <c r="N21" s="352"/>
      <c r="O21" s="230">
        <f t="shared" si="2"/>
        <v>6</v>
      </c>
      <c r="Q21" s="212" t="str">
        <f t="shared" si="0"/>
        <v/>
      </c>
      <c r="R21" s="174" t="s">
        <v>265</v>
      </c>
      <c r="S21" s="174" t="s">
        <v>273</v>
      </c>
      <c r="T21" s="174" t="str">
        <f>IF(Buildings_Heat_Frontend[[#This Row],[Data]]="","", _xlfn.XLOOKUP(Buildings_Heat_Backend[[#This Row],[Info 1]],Buildings_SiteInfo[Site name],Buildings_SiteInfo[Site type]))</f>
        <v/>
      </c>
      <c r="U21" s="174" t="str">
        <f>IF(Buildings_Heat_Frontend[[#This Row],[Data]]="","", Buildings_Heat_Frontend[[#This Row],[Heating Type]])</f>
        <v/>
      </c>
      <c r="V21" s="174" t="str">
        <f>IF(Buildings_Heat_Frontend[[#This Row],[Data]]="","", Buildings_Heat_Frontend[[#This Row],[Fuel]])</f>
        <v/>
      </c>
      <c r="W21" s="174" t="str" cm="1">
        <f t="array" ref="W21">IF(Buildings_Heat_Frontend[[#This Row],[Data]]="","", _xlfn.XLOOKUP(Buildings_Heat_Backend[[#This Row],[Level 5]],rng_Level5Long,rng_Level6Long))</f>
        <v/>
      </c>
      <c r="X21" s="174" t="str">
        <f>IF(Buildings_Heat_Frontend[[#This Row],[Data]]="","", Buildings_Heat_Frontend[[#This Row],[Site Name]])</f>
        <v/>
      </c>
      <c r="Y21" s="174" t="str">
        <f>IF(Buildings_Heat_Frontend[[#This Row],[Data]]="","", Buildings_Heat_Frontend[[#This Row],[MPRN]])</f>
        <v/>
      </c>
      <c r="Z21" s="174" t="str">
        <f>IF(Buildings_Heat_Frontend[[#This Row],[Data]]="","", IF($I21="","",$I21))</f>
        <v/>
      </c>
      <c r="AA21" s="229" t="str" cm="1">
        <f t="array" ref="AA21">IF(Buildings_Heat_Frontend[[#This Row],[Data]]="","", INDEX(_xlfn.SWITCH(Buildings_Heat_Backend[[#This Row],[Methodology]],"Tier 1",rng_RSD1,"Tier 2",rng_RSD2,"Tier 3",rng_RSD3),MATCH(_xlfn.CONCAT(Buildings_Heat_Backend[[#This Row],[Level 1]:[Level 6]]),rng_LevelsConcat,0)))</f>
        <v/>
      </c>
      <c r="AB21" s="220" t="str">
        <f t="shared" si="1"/>
        <v/>
      </c>
      <c r="AC21" s="174">
        <f>Buildings_Heat_Frontend[[#This Row],[Units]]</f>
        <v>0</v>
      </c>
      <c r="AD2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 s="174" t="str">
        <f>IF(Buildings_Heat_Frontend[[#This Row],[Data]]="","", _xlfn.XLOOKUP(_xlfn.CONCAT(Buildings_Heat_Backend[[#This Row],[Level 1]:[Level 6]]),rng_LevelsConcat,rng_UnitsLong))</f>
        <v/>
      </c>
      <c r="AF21" s="210" t="str">
        <f>IF(Buildings_Heat_Frontend[[#This Row],[Data]]="","", _xlfn.XLOOKUP(_xlfn.CONCAT(Buildings_Heat_Backend[[#This Row],[Level 1]:[Level 6]]),rng_EFConcat,rng_EF1)*Buildings_Heat_Backend[[#This Row],[Converted data]]/1000)</f>
        <v/>
      </c>
      <c r="AG21" s="210" t="str">
        <f>IF(Buildings_Heat_Frontend[[#This Row],[Data]]="","", _xlfn.XLOOKUP(_xlfn.CONCAT(Buildings_Heat_Backend[[#This Row],[Level 1]:[Level 6]]),rng_EFConcat,rng_EF2)*Buildings_Heat_Backend[[#This Row],[Converted data]]/1000)</f>
        <v/>
      </c>
      <c r="AH21" s="210" t="str">
        <f>IF(Buildings_Heat_Frontend[[#This Row],[Data]]="","", _xlfn.XLOOKUP(_xlfn.CONCAT(Buildings_Heat_Backend[[#This Row],[Level 1]:[Level 6]]),rng_EFConcat,rng_EF3)*Buildings_Heat_Backend[[#This Row],[Converted data]]/1000)</f>
        <v/>
      </c>
      <c r="AI21" s="210" t="str">
        <f>IF(Buildings_Heat_Frontend[[#This Row],[Data]]="","", _xlfn.XLOOKUP(_xlfn.CONCAT(Buildings_Heat_Backend[[#This Row],[Level 1]:[Level 6]]),rng_EFConcat,rng_EF3WTT)*Buildings_Heat_Backend[[#This Row],[Converted data]]/1000)</f>
        <v/>
      </c>
      <c r="AJ21" s="210" t="str">
        <f>IF(Buildings_Heat_Frontend[[#This Row],[Data]]="","", _xlfn.XLOOKUP(_xlfn.CONCAT(Buildings_Heat_Backend[[#This Row],[Level 1]:[Level 6]]),rng_EFConcat,rng_EF3TD)*Buildings_Heat_Backend[[#This Row],[Converted data]]/1000)</f>
        <v/>
      </c>
      <c r="AK21" s="210" t="str">
        <f>IF(Buildings_Heat_Frontend[[#This Row],[Data]]="","", _xlfn.XLOOKUP(_xlfn.CONCAT(Buildings_Heat_Backend[[#This Row],[Level 1]:[Level 6]]),rng_EFConcat,rng_EF3WTTTD)*Buildings_Heat_Backend[[#This Row],[Converted data]]/1000)</f>
        <v/>
      </c>
      <c r="AL21" s="220">
        <f>SUM(Buildings_Heat_Backend[[#This Row],[Scope 1 (tCO2e)]:[Scope 3 WTT T&amp;D (tCO2e)]])</f>
        <v>0</v>
      </c>
      <c r="AM21" s="220" t="str">
        <f>IF(Buildings_Heat_Frontend[[#This Row],[Data]]="","", Buildings_Heat_Backend[[#This Row],[Total (tCO2e)]]*(1-Buildings_Heat_Backend[[#This Row],[RSD]]))</f>
        <v/>
      </c>
      <c r="AN21" s="220" t="str">
        <f>IF(Buildings_Heat_Frontend[[#This Row],[Data]]="","", Buildings_Heat_Backend[[#This Row],[Total (tCO2e)]]*(1+Buildings_Heat_Backend[[#This Row],[RSD]]))</f>
        <v/>
      </c>
      <c r="AO21" s="210" t="str">
        <f>IF(Buildings_Heat_Frontend[[#This Row],[Data]]="","", _xlfn.XLOOKUP(_xlfn.CONCAT(Buildings_Heat_Backend[[#This Row],[Level 1]:[Level 6]]),rng_EFConcat,rng_EFOOS)*Buildings_Heat_Backend[[#This Row],[Converted data]]/1000)</f>
        <v/>
      </c>
      <c r="AP21" s="174">
        <f>Buildings_Heat_Frontend[[#This Row],[Ease of collection]]</f>
        <v>0</v>
      </c>
      <c r="AQ21" s="174">
        <f>Buildings_Heat_Frontend[[#This Row],[Completeness]]</f>
        <v>0</v>
      </c>
      <c r="AR21" s="174">
        <f>Buildings_Heat_Frontend[[#This Row],[Notes]]</f>
        <v>0</v>
      </c>
    </row>
    <row r="22" spans="2:44" x14ac:dyDescent="0.3">
      <c r="B22" s="455"/>
      <c r="E22" s="346"/>
      <c r="F22" s="364"/>
      <c r="G22" s="336"/>
      <c r="H22" s="336"/>
      <c r="I22" s="336"/>
      <c r="J22" s="334"/>
      <c r="K22" s="336"/>
      <c r="L22" s="336"/>
      <c r="M22" s="336"/>
      <c r="N22" s="352"/>
      <c r="O22" s="230">
        <f t="shared" si="2"/>
        <v>6</v>
      </c>
      <c r="Q22" s="212" t="str">
        <f t="shared" si="0"/>
        <v/>
      </c>
      <c r="R22" s="174" t="s">
        <v>265</v>
      </c>
      <c r="S22" s="174" t="s">
        <v>273</v>
      </c>
      <c r="T22" s="174" t="str">
        <f>IF(Buildings_Heat_Frontend[[#This Row],[Data]]="","", _xlfn.XLOOKUP(Buildings_Heat_Backend[[#This Row],[Info 1]],Buildings_SiteInfo[Site name],Buildings_SiteInfo[Site type]))</f>
        <v/>
      </c>
      <c r="U22" s="174" t="str">
        <f>IF(Buildings_Heat_Frontend[[#This Row],[Data]]="","", Buildings_Heat_Frontend[[#This Row],[Heating Type]])</f>
        <v/>
      </c>
      <c r="V22" s="174" t="str">
        <f>IF(Buildings_Heat_Frontend[[#This Row],[Data]]="","", Buildings_Heat_Frontend[[#This Row],[Fuel]])</f>
        <v/>
      </c>
      <c r="W22" s="174" t="str" cm="1">
        <f t="array" ref="W22">IF(Buildings_Heat_Frontend[[#This Row],[Data]]="","", _xlfn.XLOOKUP(Buildings_Heat_Backend[[#This Row],[Level 5]],rng_Level5Long,rng_Level6Long))</f>
        <v/>
      </c>
      <c r="X22" s="174" t="str">
        <f>IF(Buildings_Heat_Frontend[[#This Row],[Data]]="","", Buildings_Heat_Frontend[[#This Row],[Site Name]])</f>
        <v/>
      </c>
      <c r="Y22" s="174" t="str">
        <f>IF(Buildings_Heat_Frontend[[#This Row],[Data]]="","", Buildings_Heat_Frontend[[#This Row],[MPRN]])</f>
        <v/>
      </c>
      <c r="Z22" s="174" t="str">
        <f>IF(Buildings_Heat_Frontend[[#This Row],[Data]]="","", IF($I22="","",$I22))</f>
        <v/>
      </c>
      <c r="AA22" s="229" t="str" cm="1">
        <f t="array" ref="AA22">IF(Buildings_Heat_Frontend[[#This Row],[Data]]="","", INDEX(_xlfn.SWITCH(Buildings_Heat_Backend[[#This Row],[Methodology]],"Tier 1",rng_RSD1,"Tier 2",rng_RSD2,"Tier 3",rng_RSD3),MATCH(_xlfn.CONCAT(Buildings_Heat_Backend[[#This Row],[Level 1]:[Level 6]]),rng_LevelsConcat,0)))</f>
        <v/>
      </c>
      <c r="AB22" s="220" t="str">
        <f t="shared" si="1"/>
        <v/>
      </c>
      <c r="AC22" s="174">
        <f>Buildings_Heat_Frontend[[#This Row],[Units]]</f>
        <v>0</v>
      </c>
      <c r="AD2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 s="174" t="str">
        <f>IF(Buildings_Heat_Frontend[[#This Row],[Data]]="","", _xlfn.XLOOKUP(_xlfn.CONCAT(Buildings_Heat_Backend[[#This Row],[Level 1]:[Level 6]]),rng_LevelsConcat,rng_UnitsLong))</f>
        <v/>
      </c>
      <c r="AF22" s="210" t="str">
        <f>IF(Buildings_Heat_Frontend[[#This Row],[Data]]="","", _xlfn.XLOOKUP(_xlfn.CONCAT(Buildings_Heat_Backend[[#This Row],[Level 1]:[Level 6]]),rng_EFConcat,rng_EF1)*Buildings_Heat_Backend[[#This Row],[Converted data]]/1000)</f>
        <v/>
      </c>
      <c r="AG22" s="210" t="str">
        <f>IF(Buildings_Heat_Frontend[[#This Row],[Data]]="","", _xlfn.XLOOKUP(_xlfn.CONCAT(Buildings_Heat_Backend[[#This Row],[Level 1]:[Level 6]]),rng_EFConcat,rng_EF2)*Buildings_Heat_Backend[[#This Row],[Converted data]]/1000)</f>
        <v/>
      </c>
      <c r="AH22" s="210" t="str">
        <f>IF(Buildings_Heat_Frontend[[#This Row],[Data]]="","", _xlfn.XLOOKUP(_xlfn.CONCAT(Buildings_Heat_Backend[[#This Row],[Level 1]:[Level 6]]),rng_EFConcat,rng_EF3)*Buildings_Heat_Backend[[#This Row],[Converted data]]/1000)</f>
        <v/>
      </c>
      <c r="AI22" s="210" t="str">
        <f>IF(Buildings_Heat_Frontend[[#This Row],[Data]]="","", _xlfn.XLOOKUP(_xlfn.CONCAT(Buildings_Heat_Backend[[#This Row],[Level 1]:[Level 6]]),rng_EFConcat,rng_EF3WTT)*Buildings_Heat_Backend[[#This Row],[Converted data]]/1000)</f>
        <v/>
      </c>
      <c r="AJ22" s="210" t="str">
        <f>IF(Buildings_Heat_Frontend[[#This Row],[Data]]="","", _xlfn.XLOOKUP(_xlfn.CONCAT(Buildings_Heat_Backend[[#This Row],[Level 1]:[Level 6]]),rng_EFConcat,rng_EF3TD)*Buildings_Heat_Backend[[#This Row],[Converted data]]/1000)</f>
        <v/>
      </c>
      <c r="AK22" s="210" t="str">
        <f>IF(Buildings_Heat_Frontend[[#This Row],[Data]]="","", _xlfn.XLOOKUP(_xlfn.CONCAT(Buildings_Heat_Backend[[#This Row],[Level 1]:[Level 6]]),rng_EFConcat,rng_EF3WTTTD)*Buildings_Heat_Backend[[#This Row],[Converted data]]/1000)</f>
        <v/>
      </c>
      <c r="AL22" s="220">
        <f>SUM(Buildings_Heat_Backend[[#This Row],[Scope 1 (tCO2e)]:[Scope 3 WTT T&amp;D (tCO2e)]])</f>
        <v>0</v>
      </c>
      <c r="AM22" s="220" t="str">
        <f>IF(Buildings_Heat_Frontend[[#This Row],[Data]]="","", Buildings_Heat_Backend[[#This Row],[Total (tCO2e)]]*(1-Buildings_Heat_Backend[[#This Row],[RSD]]))</f>
        <v/>
      </c>
      <c r="AN22" s="220" t="str">
        <f>IF(Buildings_Heat_Frontend[[#This Row],[Data]]="","", Buildings_Heat_Backend[[#This Row],[Total (tCO2e)]]*(1+Buildings_Heat_Backend[[#This Row],[RSD]]))</f>
        <v/>
      </c>
      <c r="AO22" s="210" t="str">
        <f>IF(Buildings_Heat_Frontend[[#This Row],[Data]]="","", _xlfn.XLOOKUP(_xlfn.CONCAT(Buildings_Heat_Backend[[#This Row],[Level 1]:[Level 6]]),rng_EFConcat,rng_EFOOS)*Buildings_Heat_Backend[[#This Row],[Converted data]]/1000)</f>
        <v/>
      </c>
      <c r="AP22" s="174">
        <f>Buildings_Heat_Frontend[[#This Row],[Ease of collection]]</f>
        <v>0</v>
      </c>
      <c r="AQ22" s="174">
        <f>Buildings_Heat_Frontend[[#This Row],[Completeness]]</f>
        <v>0</v>
      </c>
      <c r="AR22" s="174">
        <f>Buildings_Heat_Frontend[[#This Row],[Notes]]</f>
        <v>0</v>
      </c>
    </row>
    <row r="23" spans="2:44" x14ac:dyDescent="0.3">
      <c r="B23" s="455"/>
      <c r="E23" s="346"/>
      <c r="F23" s="364"/>
      <c r="G23" s="336"/>
      <c r="H23" s="336"/>
      <c r="I23" s="336"/>
      <c r="J23" s="334"/>
      <c r="K23" s="336"/>
      <c r="L23" s="336"/>
      <c r="M23" s="336"/>
      <c r="N23" s="352"/>
      <c r="O23" s="230">
        <f t="shared" si="2"/>
        <v>6</v>
      </c>
      <c r="Q23" s="212" t="str">
        <f t="shared" si="0"/>
        <v/>
      </c>
      <c r="R23" s="174" t="s">
        <v>265</v>
      </c>
      <c r="S23" s="174" t="s">
        <v>273</v>
      </c>
      <c r="T23" s="174" t="str">
        <f>IF(Buildings_Heat_Frontend[[#This Row],[Data]]="","", _xlfn.XLOOKUP(Buildings_Heat_Backend[[#This Row],[Info 1]],Buildings_SiteInfo[Site name],Buildings_SiteInfo[Site type]))</f>
        <v/>
      </c>
      <c r="U23" s="174" t="str">
        <f>IF(Buildings_Heat_Frontend[[#This Row],[Data]]="","", Buildings_Heat_Frontend[[#This Row],[Heating Type]])</f>
        <v/>
      </c>
      <c r="V23" s="174" t="str">
        <f>IF(Buildings_Heat_Frontend[[#This Row],[Data]]="","", Buildings_Heat_Frontend[[#This Row],[Fuel]])</f>
        <v/>
      </c>
      <c r="W23" s="174" t="str" cm="1">
        <f t="array" ref="W23">IF(Buildings_Heat_Frontend[[#This Row],[Data]]="","", _xlfn.XLOOKUP(Buildings_Heat_Backend[[#This Row],[Level 5]],rng_Level5Long,rng_Level6Long))</f>
        <v/>
      </c>
      <c r="X23" s="174" t="str">
        <f>IF(Buildings_Heat_Frontend[[#This Row],[Data]]="","", Buildings_Heat_Frontend[[#This Row],[Site Name]])</f>
        <v/>
      </c>
      <c r="Y23" s="174" t="str">
        <f>IF(Buildings_Heat_Frontend[[#This Row],[Data]]="","", Buildings_Heat_Frontend[[#This Row],[MPRN]])</f>
        <v/>
      </c>
      <c r="Z23" s="174" t="str">
        <f>IF(Buildings_Heat_Frontend[[#This Row],[Data]]="","", IF($I23="","",$I23))</f>
        <v/>
      </c>
      <c r="AA23" s="229" t="str" cm="1">
        <f t="array" ref="AA23">IF(Buildings_Heat_Frontend[[#This Row],[Data]]="","", INDEX(_xlfn.SWITCH(Buildings_Heat_Backend[[#This Row],[Methodology]],"Tier 1",rng_RSD1,"Tier 2",rng_RSD2,"Tier 3",rng_RSD3),MATCH(_xlfn.CONCAT(Buildings_Heat_Backend[[#This Row],[Level 1]:[Level 6]]),rng_LevelsConcat,0)))</f>
        <v/>
      </c>
      <c r="AB23" s="220" t="str">
        <f t="shared" si="1"/>
        <v/>
      </c>
      <c r="AC23" s="174">
        <f>Buildings_Heat_Frontend[[#This Row],[Units]]</f>
        <v>0</v>
      </c>
      <c r="AD2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 s="174" t="str">
        <f>IF(Buildings_Heat_Frontend[[#This Row],[Data]]="","", _xlfn.XLOOKUP(_xlfn.CONCAT(Buildings_Heat_Backend[[#This Row],[Level 1]:[Level 6]]),rng_LevelsConcat,rng_UnitsLong))</f>
        <v/>
      </c>
      <c r="AF23" s="210" t="str">
        <f>IF(Buildings_Heat_Frontend[[#This Row],[Data]]="","", _xlfn.XLOOKUP(_xlfn.CONCAT(Buildings_Heat_Backend[[#This Row],[Level 1]:[Level 6]]),rng_EFConcat,rng_EF1)*Buildings_Heat_Backend[[#This Row],[Converted data]]/1000)</f>
        <v/>
      </c>
      <c r="AG23" s="210" t="str">
        <f>IF(Buildings_Heat_Frontend[[#This Row],[Data]]="","", _xlfn.XLOOKUP(_xlfn.CONCAT(Buildings_Heat_Backend[[#This Row],[Level 1]:[Level 6]]),rng_EFConcat,rng_EF2)*Buildings_Heat_Backend[[#This Row],[Converted data]]/1000)</f>
        <v/>
      </c>
      <c r="AH23" s="210" t="str">
        <f>IF(Buildings_Heat_Frontend[[#This Row],[Data]]="","", _xlfn.XLOOKUP(_xlfn.CONCAT(Buildings_Heat_Backend[[#This Row],[Level 1]:[Level 6]]),rng_EFConcat,rng_EF3)*Buildings_Heat_Backend[[#This Row],[Converted data]]/1000)</f>
        <v/>
      </c>
      <c r="AI23" s="210" t="str">
        <f>IF(Buildings_Heat_Frontend[[#This Row],[Data]]="","", _xlfn.XLOOKUP(_xlfn.CONCAT(Buildings_Heat_Backend[[#This Row],[Level 1]:[Level 6]]),rng_EFConcat,rng_EF3WTT)*Buildings_Heat_Backend[[#This Row],[Converted data]]/1000)</f>
        <v/>
      </c>
      <c r="AJ23" s="210" t="str">
        <f>IF(Buildings_Heat_Frontend[[#This Row],[Data]]="","", _xlfn.XLOOKUP(_xlfn.CONCAT(Buildings_Heat_Backend[[#This Row],[Level 1]:[Level 6]]),rng_EFConcat,rng_EF3TD)*Buildings_Heat_Backend[[#This Row],[Converted data]]/1000)</f>
        <v/>
      </c>
      <c r="AK23" s="210" t="str">
        <f>IF(Buildings_Heat_Frontend[[#This Row],[Data]]="","", _xlfn.XLOOKUP(_xlfn.CONCAT(Buildings_Heat_Backend[[#This Row],[Level 1]:[Level 6]]),rng_EFConcat,rng_EF3WTTTD)*Buildings_Heat_Backend[[#This Row],[Converted data]]/1000)</f>
        <v/>
      </c>
      <c r="AL23" s="220">
        <f>SUM(Buildings_Heat_Backend[[#This Row],[Scope 1 (tCO2e)]:[Scope 3 WTT T&amp;D (tCO2e)]])</f>
        <v>0</v>
      </c>
      <c r="AM23" s="220" t="str">
        <f>IF(Buildings_Heat_Frontend[[#This Row],[Data]]="","", Buildings_Heat_Backend[[#This Row],[Total (tCO2e)]]*(1-Buildings_Heat_Backend[[#This Row],[RSD]]))</f>
        <v/>
      </c>
      <c r="AN23" s="220" t="str">
        <f>IF(Buildings_Heat_Frontend[[#This Row],[Data]]="","", Buildings_Heat_Backend[[#This Row],[Total (tCO2e)]]*(1+Buildings_Heat_Backend[[#This Row],[RSD]]))</f>
        <v/>
      </c>
      <c r="AO23" s="210" t="str">
        <f>IF(Buildings_Heat_Frontend[[#This Row],[Data]]="","", _xlfn.XLOOKUP(_xlfn.CONCAT(Buildings_Heat_Backend[[#This Row],[Level 1]:[Level 6]]),rng_EFConcat,rng_EFOOS)*Buildings_Heat_Backend[[#This Row],[Converted data]]/1000)</f>
        <v/>
      </c>
      <c r="AP23" s="174">
        <f>Buildings_Heat_Frontend[[#This Row],[Ease of collection]]</f>
        <v>0</v>
      </c>
      <c r="AQ23" s="174">
        <f>Buildings_Heat_Frontend[[#This Row],[Completeness]]</f>
        <v>0</v>
      </c>
      <c r="AR23" s="174">
        <f>Buildings_Heat_Frontend[[#This Row],[Notes]]</f>
        <v>0</v>
      </c>
    </row>
    <row r="24" spans="2:44" x14ac:dyDescent="0.3">
      <c r="B24" s="455"/>
      <c r="E24" s="346"/>
      <c r="F24" s="364"/>
      <c r="G24" s="336"/>
      <c r="H24" s="336"/>
      <c r="I24" s="336"/>
      <c r="J24" s="334"/>
      <c r="K24" s="336"/>
      <c r="L24" s="336"/>
      <c r="M24" s="336"/>
      <c r="N24" s="352"/>
      <c r="O24" s="230">
        <f t="shared" si="2"/>
        <v>6</v>
      </c>
      <c r="Q24" s="212" t="str">
        <f t="shared" si="0"/>
        <v/>
      </c>
      <c r="R24" s="174" t="s">
        <v>265</v>
      </c>
      <c r="S24" s="174" t="s">
        <v>273</v>
      </c>
      <c r="T24" s="174" t="str">
        <f>IF(Buildings_Heat_Frontend[[#This Row],[Data]]="","", _xlfn.XLOOKUP(Buildings_Heat_Backend[[#This Row],[Info 1]],Buildings_SiteInfo[Site name],Buildings_SiteInfo[Site type]))</f>
        <v/>
      </c>
      <c r="U24" s="174" t="str">
        <f>IF(Buildings_Heat_Frontend[[#This Row],[Data]]="","", Buildings_Heat_Frontend[[#This Row],[Heating Type]])</f>
        <v/>
      </c>
      <c r="V24" s="174" t="str">
        <f>IF(Buildings_Heat_Frontend[[#This Row],[Data]]="","", Buildings_Heat_Frontend[[#This Row],[Fuel]])</f>
        <v/>
      </c>
      <c r="W24" s="174" t="str" cm="1">
        <f t="array" ref="W24">IF(Buildings_Heat_Frontend[[#This Row],[Data]]="","", _xlfn.XLOOKUP(Buildings_Heat_Backend[[#This Row],[Level 5]],rng_Level5Long,rng_Level6Long))</f>
        <v/>
      </c>
      <c r="X24" s="174" t="str">
        <f>IF(Buildings_Heat_Frontend[[#This Row],[Data]]="","", Buildings_Heat_Frontend[[#This Row],[Site Name]])</f>
        <v/>
      </c>
      <c r="Y24" s="174" t="str">
        <f>IF(Buildings_Heat_Frontend[[#This Row],[Data]]="","", Buildings_Heat_Frontend[[#This Row],[MPRN]])</f>
        <v/>
      </c>
      <c r="Z24" s="174" t="str">
        <f>IF(Buildings_Heat_Frontend[[#This Row],[Data]]="","", IF($I24="","",$I24))</f>
        <v/>
      </c>
      <c r="AA24" s="229" t="str" cm="1">
        <f t="array" ref="AA24">IF(Buildings_Heat_Frontend[[#This Row],[Data]]="","", INDEX(_xlfn.SWITCH(Buildings_Heat_Backend[[#This Row],[Methodology]],"Tier 1",rng_RSD1,"Tier 2",rng_RSD2,"Tier 3",rng_RSD3),MATCH(_xlfn.CONCAT(Buildings_Heat_Backend[[#This Row],[Level 1]:[Level 6]]),rng_LevelsConcat,0)))</f>
        <v/>
      </c>
      <c r="AB24" s="220" t="str">
        <f t="shared" si="1"/>
        <v/>
      </c>
      <c r="AC24" s="174">
        <f>Buildings_Heat_Frontend[[#This Row],[Units]]</f>
        <v>0</v>
      </c>
      <c r="AD2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 s="174" t="str">
        <f>IF(Buildings_Heat_Frontend[[#This Row],[Data]]="","", _xlfn.XLOOKUP(_xlfn.CONCAT(Buildings_Heat_Backend[[#This Row],[Level 1]:[Level 6]]),rng_LevelsConcat,rng_UnitsLong))</f>
        <v/>
      </c>
      <c r="AF24" s="210" t="str">
        <f>IF(Buildings_Heat_Frontend[[#This Row],[Data]]="","", _xlfn.XLOOKUP(_xlfn.CONCAT(Buildings_Heat_Backend[[#This Row],[Level 1]:[Level 6]]),rng_EFConcat,rng_EF1)*Buildings_Heat_Backend[[#This Row],[Converted data]]/1000)</f>
        <v/>
      </c>
      <c r="AG24" s="210" t="str">
        <f>IF(Buildings_Heat_Frontend[[#This Row],[Data]]="","", _xlfn.XLOOKUP(_xlfn.CONCAT(Buildings_Heat_Backend[[#This Row],[Level 1]:[Level 6]]),rng_EFConcat,rng_EF2)*Buildings_Heat_Backend[[#This Row],[Converted data]]/1000)</f>
        <v/>
      </c>
      <c r="AH24" s="210" t="str">
        <f>IF(Buildings_Heat_Frontend[[#This Row],[Data]]="","", _xlfn.XLOOKUP(_xlfn.CONCAT(Buildings_Heat_Backend[[#This Row],[Level 1]:[Level 6]]),rng_EFConcat,rng_EF3)*Buildings_Heat_Backend[[#This Row],[Converted data]]/1000)</f>
        <v/>
      </c>
      <c r="AI24" s="210" t="str">
        <f>IF(Buildings_Heat_Frontend[[#This Row],[Data]]="","", _xlfn.XLOOKUP(_xlfn.CONCAT(Buildings_Heat_Backend[[#This Row],[Level 1]:[Level 6]]),rng_EFConcat,rng_EF3WTT)*Buildings_Heat_Backend[[#This Row],[Converted data]]/1000)</f>
        <v/>
      </c>
      <c r="AJ24" s="210" t="str">
        <f>IF(Buildings_Heat_Frontend[[#This Row],[Data]]="","", _xlfn.XLOOKUP(_xlfn.CONCAT(Buildings_Heat_Backend[[#This Row],[Level 1]:[Level 6]]),rng_EFConcat,rng_EF3TD)*Buildings_Heat_Backend[[#This Row],[Converted data]]/1000)</f>
        <v/>
      </c>
      <c r="AK24" s="210" t="str">
        <f>IF(Buildings_Heat_Frontend[[#This Row],[Data]]="","", _xlfn.XLOOKUP(_xlfn.CONCAT(Buildings_Heat_Backend[[#This Row],[Level 1]:[Level 6]]),rng_EFConcat,rng_EF3WTTTD)*Buildings_Heat_Backend[[#This Row],[Converted data]]/1000)</f>
        <v/>
      </c>
      <c r="AL24" s="220">
        <f>SUM(Buildings_Heat_Backend[[#This Row],[Scope 1 (tCO2e)]:[Scope 3 WTT T&amp;D (tCO2e)]])</f>
        <v>0</v>
      </c>
      <c r="AM24" s="220" t="str">
        <f>IF(Buildings_Heat_Frontend[[#This Row],[Data]]="","", Buildings_Heat_Backend[[#This Row],[Total (tCO2e)]]*(1-Buildings_Heat_Backend[[#This Row],[RSD]]))</f>
        <v/>
      </c>
      <c r="AN24" s="220" t="str">
        <f>IF(Buildings_Heat_Frontend[[#This Row],[Data]]="","", Buildings_Heat_Backend[[#This Row],[Total (tCO2e)]]*(1+Buildings_Heat_Backend[[#This Row],[RSD]]))</f>
        <v/>
      </c>
      <c r="AO24" s="210" t="str">
        <f>IF(Buildings_Heat_Frontend[[#This Row],[Data]]="","", _xlfn.XLOOKUP(_xlfn.CONCAT(Buildings_Heat_Backend[[#This Row],[Level 1]:[Level 6]]),rng_EFConcat,rng_EFOOS)*Buildings_Heat_Backend[[#This Row],[Converted data]]/1000)</f>
        <v/>
      </c>
      <c r="AP24" s="174">
        <f>Buildings_Heat_Frontend[[#This Row],[Ease of collection]]</f>
        <v>0</v>
      </c>
      <c r="AQ24" s="174">
        <f>Buildings_Heat_Frontend[[#This Row],[Completeness]]</f>
        <v>0</v>
      </c>
      <c r="AR24" s="174">
        <f>Buildings_Heat_Frontend[[#This Row],[Notes]]</f>
        <v>0</v>
      </c>
    </row>
    <row r="25" spans="2:44" x14ac:dyDescent="0.3">
      <c r="B25" s="455"/>
      <c r="E25" s="346"/>
      <c r="F25" s="364"/>
      <c r="G25" s="336"/>
      <c r="H25" s="336"/>
      <c r="I25" s="336"/>
      <c r="J25" s="334"/>
      <c r="K25" s="336"/>
      <c r="L25" s="336"/>
      <c r="M25" s="336"/>
      <c r="N25" s="352"/>
      <c r="O25" s="230">
        <f t="shared" si="2"/>
        <v>6</v>
      </c>
      <c r="Q25" s="212" t="str">
        <f t="shared" si="0"/>
        <v/>
      </c>
      <c r="R25" s="174" t="s">
        <v>265</v>
      </c>
      <c r="S25" s="174" t="s">
        <v>273</v>
      </c>
      <c r="T25" s="174" t="str">
        <f>IF(Buildings_Heat_Frontend[[#This Row],[Data]]="","", _xlfn.XLOOKUP(Buildings_Heat_Backend[[#This Row],[Info 1]],Buildings_SiteInfo[Site name],Buildings_SiteInfo[Site type]))</f>
        <v/>
      </c>
      <c r="U25" s="174" t="str">
        <f>IF(Buildings_Heat_Frontend[[#This Row],[Data]]="","", Buildings_Heat_Frontend[[#This Row],[Heating Type]])</f>
        <v/>
      </c>
      <c r="V25" s="174" t="str">
        <f>IF(Buildings_Heat_Frontend[[#This Row],[Data]]="","", Buildings_Heat_Frontend[[#This Row],[Fuel]])</f>
        <v/>
      </c>
      <c r="W25" s="174" t="str" cm="1">
        <f t="array" ref="W25">IF(Buildings_Heat_Frontend[[#This Row],[Data]]="","", _xlfn.XLOOKUP(Buildings_Heat_Backend[[#This Row],[Level 5]],rng_Level5Long,rng_Level6Long))</f>
        <v/>
      </c>
      <c r="X25" s="174" t="str">
        <f>IF(Buildings_Heat_Frontend[[#This Row],[Data]]="","", Buildings_Heat_Frontend[[#This Row],[Site Name]])</f>
        <v/>
      </c>
      <c r="Y25" s="174" t="str">
        <f>IF(Buildings_Heat_Frontend[[#This Row],[Data]]="","", Buildings_Heat_Frontend[[#This Row],[MPRN]])</f>
        <v/>
      </c>
      <c r="Z25" s="174" t="str">
        <f>IF(Buildings_Heat_Frontend[[#This Row],[Data]]="","", IF($I25="","",$I25))</f>
        <v/>
      </c>
      <c r="AA25" s="229" t="str" cm="1">
        <f t="array" ref="AA25">IF(Buildings_Heat_Frontend[[#This Row],[Data]]="","", INDEX(_xlfn.SWITCH(Buildings_Heat_Backend[[#This Row],[Methodology]],"Tier 1",rng_RSD1,"Tier 2",rng_RSD2,"Tier 3",rng_RSD3),MATCH(_xlfn.CONCAT(Buildings_Heat_Backend[[#This Row],[Level 1]:[Level 6]]),rng_LevelsConcat,0)))</f>
        <v/>
      </c>
      <c r="AB25" s="220" t="str">
        <f t="shared" si="1"/>
        <v/>
      </c>
      <c r="AC25" s="174">
        <f>Buildings_Heat_Frontend[[#This Row],[Units]]</f>
        <v>0</v>
      </c>
      <c r="AD2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 s="174" t="str">
        <f>IF(Buildings_Heat_Frontend[[#This Row],[Data]]="","", _xlfn.XLOOKUP(_xlfn.CONCAT(Buildings_Heat_Backend[[#This Row],[Level 1]:[Level 6]]),rng_LevelsConcat,rng_UnitsLong))</f>
        <v/>
      </c>
      <c r="AF25" s="210" t="str">
        <f>IF(Buildings_Heat_Frontend[[#This Row],[Data]]="","", _xlfn.XLOOKUP(_xlfn.CONCAT(Buildings_Heat_Backend[[#This Row],[Level 1]:[Level 6]]),rng_EFConcat,rng_EF1)*Buildings_Heat_Backend[[#This Row],[Converted data]]/1000)</f>
        <v/>
      </c>
      <c r="AG25" s="210" t="str">
        <f>IF(Buildings_Heat_Frontend[[#This Row],[Data]]="","", _xlfn.XLOOKUP(_xlfn.CONCAT(Buildings_Heat_Backend[[#This Row],[Level 1]:[Level 6]]),rng_EFConcat,rng_EF2)*Buildings_Heat_Backend[[#This Row],[Converted data]]/1000)</f>
        <v/>
      </c>
      <c r="AH25" s="210" t="str">
        <f>IF(Buildings_Heat_Frontend[[#This Row],[Data]]="","", _xlfn.XLOOKUP(_xlfn.CONCAT(Buildings_Heat_Backend[[#This Row],[Level 1]:[Level 6]]),rng_EFConcat,rng_EF3)*Buildings_Heat_Backend[[#This Row],[Converted data]]/1000)</f>
        <v/>
      </c>
      <c r="AI25" s="210" t="str">
        <f>IF(Buildings_Heat_Frontend[[#This Row],[Data]]="","", _xlfn.XLOOKUP(_xlfn.CONCAT(Buildings_Heat_Backend[[#This Row],[Level 1]:[Level 6]]),rng_EFConcat,rng_EF3WTT)*Buildings_Heat_Backend[[#This Row],[Converted data]]/1000)</f>
        <v/>
      </c>
      <c r="AJ25" s="210" t="str">
        <f>IF(Buildings_Heat_Frontend[[#This Row],[Data]]="","", _xlfn.XLOOKUP(_xlfn.CONCAT(Buildings_Heat_Backend[[#This Row],[Level 1]:[Level 6]]),rng_EFConcat,rng_EF3TD)*Buildings_Heat_Backend[[#This Row],[Converted data]]/1000)</f>
        <v/>
      </c>
      <c r="AK25" s="210" t="str">
        <f>IF(Buildings_Heat_Frontend[[#This Row],[Data]]="","", _xlfn.XLOOKUP(_xlfn.CONCAT(Buildings_Heat_Backend[[#This Row],[Level 1]:[Level 6]]),rng_EFConcat,rng_EF3WTTTD)*Buildings_Heat_Backend[[#This Row],[Converted data]]/1000)</f>
        <v/>
      </c>
      <c r="AL25" s="220">
        <f>SUM(Buildings_Heat_Backend[[#This Row],[Scope 1 (tCO2e)]:[Scope 3 WTT T&amp;D (tCO2e)]])</f>
        <v>0</v>
      </c>
      <c r="AM25" s="220" t="str">
        <f>IF(Buildings_Heat_Frontend[[#This Row],[Data]]="","", Buildings_Heat_Backend[[#This Row],[Total (tCO2e)]]*(1-Buildings_Heat_Backend[[#This Row],[RSD]]))</f>
        <v/>
      </c>
      <c r="AN25" s="220" t="str">
        <f>IF(Buildings_Heat_Frontend[[#This Row],[Data]]="","", Buildings_Heat_Backend[[#This Row],[Total (tCO2e)]]*(1+Buildings_Heat_Backend[[#This Row],[RSD]]))</f>
        <v/>
      </c>
      <c r="AO25" s="210" t="str">
        <f>IF(Buildings_Heat_Frontend[[#This Row],[Data]]="","", _xlfn.XLOOKUP(_xlfn.CONCAT(Buildings_Heat_Backend[[#This Row],[Level 1]:[Level 6]]),rng_EFConcat,rng_EFOOS)*Buildings_Heat_Backend[[#This Row],[Converted data]]/1000)</f>
        <v/>
      </c>
      <c r="AP25" s="174">
        <f>Buildings_Heat_Frontend[[#This Row],[Ease of collection]]</f>
        <v>0</v>
      </c>
      <c r="AQ25" s="174">
        <f>Buildings_Heat_Frontend[[#This Row],[Completeness]]</f>
        <v>0</v>
      </c>
      <c r="AR25" s="174">
        <f>Buildings_Heat_Frontend[[#This Row],[Notes]]</f>
        <v>0</v>
      </c>
    </row>
    <row r="26" spans="2:44" x14ac:dyDescent="0.3">
      <c r="B26" s="455"/>
      <c r="E26" s="346"/>
      <c r="F26" s="364"/>
      <c r="G26" s="336"/>
      <c r="H26" s="336"/>
      <c r="I26" s="336"/>
      <c r="J26" s="334"/>
      <c r="K26" s="336"/>
      <c r="L26" s="336"/>
      <c r="M26" s="336"/>
      <c r="N26" s="352"/>
      <c r="O26" s="230">
        <f t="shared" si="2"/>
        <v>6</v>
      </c>
      <c r="Q26" s="212" t="str">
        <f t="shared" si="0"/>
        <v/>
      </c>
      <c r="R26" s="174" t="s">
        <v>265</v>
      </c>
      <c r="S26" s="174" t="s">
        <v>273</v>
      </c>
      <c r="T26" s="174" t="str">
        <f>IF(Buildings_Heat_Frontend[[#This Row],[Data]]="","", _xlfn.XLOOKUP(Buildings_Heat_Backend[[#This Row],[Info 1]],Buildings_SiteInfo[Site name],Buildings_SiteInfo[Site type]))</f>
        <v/>
      </c>
      <c r="U26" s="174" t="str">
        <f>IF(Buildings_Heat_Frontend[[#This Row],[Data]]="","", Buildings_Heat_Frontend[[#This Row],[Heating Type]])</f>
        <v/>
      </c>
      <c r="V26" s="174" t="str">
        <f>IF(Buildings_Heat_Frontend[[#This Row],[Data]]="","", Buildings_Heat_Frontend[[#This Row],[Fuel]])</f>
        <v/>
      </c>
      <c r="W26" s="174" t="str" cm="1">
        <f t="array" ref="W26">IF(Buildings_Heat_Frontend[[#This Row],[Data]]="","", _xlfn.XLOOKUP(Buildings_Heat_Backend[[#This Row],[Level 5]],rng_Level5Long,rng_Level6Long))</f>
        <v/>
      </c>
      <c r="X26" s="174" t="str">
        <f>IF(Buildings_Heat_Frontend[[#This Row],[Data]]="","", Buildings_Heat_Frontend[[#This Row],[Site Name]])</f>
        <v/>
      </c>
      <c r="Y26" s="174" t="str">
        <f>IF(Buildings_Heat_Frontend[[#This Row],[Data]]="","", Buildings_Heat_Frontend[[#This Row],[MPRN]])</f>
        <v/>
      </c>
      <c r="Z26" s="174" t="str">
        <f>IF(Buildings_Heat_Frontend[[#This Row],[Data]]="","", IF($I26="","",$I26))</f>
        <v/>
      </c>
      <c r="AA26" s="229" t="str" cm="1">
        <f t="array" ref="AA26">IF(Buildings_Heat_Frontend[[#This Row],[Data]]="","", INDEX(_xlfn.SWITCH(Buildings_Heat_Backend[[#This Row],[Methodology]],"Tier 1",rng_RSD1,"Tier 2",rng_RSD2,"Tier 3",rng_RSD3),MATCH(_xlfn.CONCAT(Buildings_Heat_Backend[[#This Row],[Level 1]:[Level 6]]),rng_LevelsConcat,0)))</f>
        <v/>
      </c>
      <c r="AB26" s="220" t="str">
        <f t="shared" si="1"/>
        <v/>
      </c>
      <c r="AC26" s="174">
        <f>Buildings_Heat_Frontend[[#This Row],[Units]]</f>
        <v>0</v>
      </c>
      <c r="AD2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 s="174" t="str">
        <f>IF(Buildings_Heat_Frontend[[#This Row],[Data]]="","", _xlfn.XLOOKUP(_xlfn.CONCAT(Buildings_Heat_Backend[[#This Row],[Level 1]:[Level 6]]),rng_LevelsConcat,rng_UnitsLong))</f>
        <v/>
      </c>
      <c r="AF26" s="210" t="str">
        <f>IF(Buildings_Heat_Frontend[[#This Row],[Data]]="","", _xlfn.XLOOKUP(_xlfn.CONCAT(Buildings_Heat_Backend[[#This Row],[Level 1]:[Level 6]]),rng_EFConcat,rng_EF1)*Buildings_Heat_Backend[[#This Row],[Converted data]]/1000)</f>
        <v/>
      </c>
      <c r="AG26" s="210" t="str">
        <f>IF(Buildings_Heat_Frontend[[#This Row],[Data]]="","", _xlfn.XLOOKUP(_xlfn.CONCAT(Buildings_Heat_Backend[[#This Row],[Level 1]:[Level 6]]),rng_EFConcat,rng_EF2)*Buildings_Heat_Backend[[#This Row],[Converted data]]/1000)</f>
        <v/>
      </c>
      <c r="AH26" s="210" t="str">
        <f>IF(Buildings_Heat_Frontend[[#This Row],[Data]]="","", _xlfn.XLOOKUP(_xlfn.CONCAT(Buildings_Heat_Backend[[#This Row],[Level 1]:[Level 6]]),rng_EFConcat,rng_EF3)*Buildings_Heat_Backend[[#This Row],[Converted data]]/1000)</f>
        <v/>
      </c>
      <c r="AI26" s="210" t="str">
        <f>IF(Buildings_Heat_Frontend[[#This Row],[Data]]="","", _xlfn.XLOOKUP(_xlfn.CONCAT(Buildings_Heat_Backend[[#This Row],[Level 1]:[Level 6]]),rng_EFConcat,rng_EF3WTT)*Buildings_Heat_Backend[[#This Row],[Converted data]]/1000)</f>
        <v/>
      </c>
      <c r="AJ26" s="210" t="str">
        <f>IF(Buildings_Heat_Frontend[[#This Row],[Data]]="","", _xlfn.XLOOKUP(_xlfn.CONCAT(Buildings_Heat_Backend[[#This Row],[Level 1]:[Level 6]]),rng_EFConcat,rng_EF3TD)*Buildings_Heat_Backend[[#This Row],[Converted data]]/1000)</f>
        <v/>
      </c>
      <c r="AK26" s="210" t="str">
        <f>IF(Buildings_Heat_Frontend[[#This Row],[Data]]="","", _xlfn.XLOOKUP(_xlfn.CONCAT(Buildings_Heat_Backend[[#This Row],[Level 1]:[Level 6]]),rng_EFConcat,rng_EF3WTTTD)*Buildings_Heat_Backend[[#This Row],[Converted data]]/1000)</f>
        <v/>
      </c>
      <c r="AL26" s="220">
        <f>SUM(Buildings_Heat_Backend[[#This Row],[Scope 1 (tCO2e)]:[Scope 3 WTT T&amp;D (tCO2e)]])</f>
        <v>0</v>
      </c>
      <c r="AM26" s="220" t="str">
        <f>IF(Buildings_Heat_Frontend[[#This Row],[Data]]="","", Buildings_Heat_Backend[[#This Row],[Total (tCO2e)]]*(1-Buildings_Heat_Backend[[#This Row],[RSD]]))</f>
        <v/>
      </c>
      <c r="AN26" s="220" t="str">
        <f>IF(Buildings_Heat_Frontend[[#This Row],[Data]]="","", Buildings_Heat_Backend[[#This Row],[Total (tCO2e)]]*(1+Buildings_Heat_Backend[[#This Row],[RSD]]))</f>
        <v/>
      </c>
      <c r="AO26" s="210" t="str">
        <f>IF(Buildings_Heat_Frontend[[#This Row],[Data]]="","", _xlfn.XLOOKUP(_xlfn.CONCAT(Buildings_Heat_Backend[[#This Row],[Level 1]:[Level 6]]),rng_EFConcat,rng_EFOOS)*Buildings_Heat_Backend[[#This Row],[Converted data]]/1000)</f>
        <v/>
      </c>
      <c r="AP26" s="174">
        <f>Buildings_Heat_Frontend[[#This Row],[Ease of collection]]</f>
        <v>0</v>
      </c>
      <c r="AQ26" s="174">
        <f>Buildings_Heat_Frontend[[#This Row],[Completeness]]</f>
        <v>0</v>
      </c>
      <c r="AR26" s="174">
        <f>Buildings_Heat_Frontend[[#This Row],[Notes]]</f>
        <v>0</v>
      </c>
    </row>
    <row r="27" spans="2:44" x14ac:dyDescent="0.3">
      <c r="B27" s="455"/>
      <c r="E27" s="346"/>
      <c r="F27" s="364"/>
      <c r="G27" s="336"/>
      <c r="H27" s="336"/>
      <c r="I27" s="336"/>
      <c r="J27" s="334"/>
      <c r="K27" s="336"/>
      <c r="L27" s="336"/>
      <c r="M27" s="336"/>
      <c r="N27" s="352"/>
      <c r="O27" s="230">
        <f t="shared" si="2"/>
        <v>6</v>
      </c>
      <c r="Q27" s="212" t="str">
        <f t="shared" si="0"/>
        <v/>
      </c>
      <c r="R27" s="174" t="s">
        <v>265</v>
      </c>
      <c r="S27" s="174" t="s">
        <v>273</v>
      </c>
      <c r="T27" s="174" t="str">
        <f>IF(Buildings_Heat_Frontend[[#This Row],[Data]]="","", _xlfn.XLOOKUP(Buildings_Heat_Backend[[#This Row],[Info 1]],Buildings_SiteInfo[Site name],Buildings_SiteInfo[Site type]))</f>
        <v/>
      </c>
      <c r="U27" s="174" t="str">
        <f>IF(Buildings_Heat_Frontend[[#This Row],[Data]]="","", Buildings_Heat_Frontend[[#This Row],[Heating Type]])</f>
        <v/>
      </c>
      <c r="V27" s="174" t="str">
        <f>IF(Buildings_Heat_Frontend[[#This Row],[Data]]="","", Buildings_Heat_Frontend[[#This Row],[Fuel]])</f>
        <v/>
      </c>
      <c r="W27" s="174" t="str" cm="1">
        <f t="array" ref="W27">IF(Buildings_Heat_Frontend[[#This Row],[Data]]="","", _xlfn.XLOOKUP(Buildings_Heat_Backend[[#This Row],[Level 5]],rng_Level5Long,rng_Level6Long))</f>
        <v/>
      </c>
      <c r="X27" s="174" t="str">
        <f>IF(Buildings_Heat_Frontend[[#This Row],[Data]]="","", Buildings_Heat_Frontend[[#This Row],[Site Name]])</f>
        <v/>
      </c>
      <c r="Y27" s="174" t="str">
        <f>IF(Buildings_Heat_Frontend[[#This Row],[Data]]="","", Buildings_Heat_Frontend[[#This Row],[MPRN]])</f>
        <v/>
      </c>
      <c r="Z27" s="174" t="str">
        <f>IF(Buildings_Heat_Frontend[[#This Row],[Data]]="","", IF($I27="","",$I27))</f>
        <v/>
      </c>
      <c r="AA27" s="229" t="str" cm="1">
        <f t="array" ref="AA27">IF(Buildings_Heat_Frontend[[#This Row],[Data]]="","", INDEX(_xlfn.SWITCH(Buildings_Heat_Backend[[#This Row],[Methodology]],"Tier 1",rng_RSD1,"Tier 2",rng_RSD2,"Tier 3",rng_RSD3),MATCH(_xlfn.CONCAT(Buildings_Heat_Backend[[#This Row],[Level 1]:[Level 6]]),rng_LevelsConcat,0)))</f>
        <v/>
      </c>
      <c r="AB27" s="220" t="str">
        <f t="shared" si="1"/>
        <v/>
      </c>
      <c r="AC27" s="174">
        <f>Buildings_Heat_Frontend[[#This Row],[Units]]</f>
        <v>0</v>
      </c>
      <c r="AD2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 s="174" t="str">
        <f>IF(Buildings_Heat_Frontend[[#This Row],[Data]]="","", _xlfn.XLOOKUP(_xlfn.CONCAT(Buildings_Heat_Backend[[#This Row],[Level 1]:[Level 6]]),rng_LevelsConcat,rng_UnitsLong))</f>
        <v/>
      </c>
      <c r="AF27" s="210" t="str">
        <f>IF(Buildings_Heat_Frontend[[#This Row],[Data]]="","", _xlfn.XLOOKUP(_xlfn.CONCAT(Buildings_Heat_Backend[[#This Row],[Level 1]:[Level 6]]),rng_EFConcat,rng_EF1)*Buildings_Heat_Backend[[#This Row],[Converted data]]/1000)</f>
        <v/>
      </c>
      <c r="AG27" s="210" t="str">
        <f>IF(Buildings_Heat_Frontend[[#This Row],[Data]]="","", _xlfn.XLOOKUP(_xlfn.CONCAT(Buildings_Heat_Backend[[#This Row],[Level 1]:[Level 6]]),rng_EFConcat,rng_EF2)*Buildings_Heat_Backend[[#This Row],[Converted data]]/1000)</f>
        <v/>
      </c>
      <c r="AH27" s="210" t="str">
        <f>IF(Buildings_Heat_Frontend[[#This Row],[Data]]="","", _xlfn.XLOOKUP(_xlfn.CONCAT(Buildings_Heat_Backend[[#This Row],[Level 1]:[Level 6]]),rng_EFConcat,rng_EF3)*Buildings_Heat_Backend[[#This Row],[Converted data]]/1000)</f>
        <v/>
      </c>
      <c r="AI27" s="210" t="str">
        <f>IF(Buildings_Heat_Frontend[[#This Row],[Data]]="","", _xlfn.XLOOKUP(_xlfn.CONCAT(Buildings_Heat_Backend[[#This Row],[Level 1]:[Level 6]]),rng_EFConcat,rng_EF3WTT)*Buildings_Heat_Backend[[#This Row],[Converted data]]/1000)</f>
        <v/>
      </c>
      <c r="AJ27" s="210" t="str">
        <f>IF(Buildings_Heat_Frontend[[#This Row],[Data]]="","", _xlfn.XLOOKUP(_xlfn.CONCAT(Buildings_Heat_Backend[[#This Row],[Level 1]:[Level 6]]),rng_EFConcat,rng_EF3TD)*Buildings_Heat_Backend[[#This Row],[Converted data]]/1000)</f>
        <v/>
      </c>
      <c r="AK27" s="210" t="str">
        <f>IF(Buildings_Heat_Frontend[[#This Row],[Data]]="","", _xlfn.XLOOKUP(_xlfn.CONCAT(Buildings_Heat_Backend[[#This Row],[Level 1]:[Level 6]]),rng_EFConcat,rng_EF3WTTTD)*Buildings_Heat_Backend[[#This Row],[Converted data]]/1000)</f>
        <v/>
      </c>
      <c r="AL27" s="220">
        <f>SUM(Buildings_Heat_Backend[[#This Row],[Scope 1 (tCO2e)]:[Scope 3 WTT T&amp;D (tCO2e)]])</f>
        <v>0</v>
      </c>
      <c r="AM27" s="220" t="str">
        <f>IF(Buildings_Heat_Frontend[[#This Row],[Data]]="","", Buildings_Heat_Backend[[#This Row],[Total (tCO2e)]]*(1-Buildings_Heat_Backend[[#This Row],[RSD]]))</f>
        <v/>
      </c>
      <c r="AN27" s="220" t="str">
        <f>IF(Buildings_Heat_Frontend[[#This Row],[Data]]="","", Buildings_Heat_Backend[[#This Row],[Total (tCO2e)]]*(1+Buildings_Heat_Backend[[#This Row],[RSD]]))</f>
        <v/>
      </c>
      <c r="AO27" s="210" t="str">
        <f>IF(Buildings_Heat_Frontend[[#This Row],[Data]]="","", _xlfn.XLOOKUP(_xlfn.CONCAT(Buildings_Heat_Backend[[#This Row],[Level 1]:[Level 6]]),rng_EFConcat,rng_EFOOS)*Buildings_Heat_Backend[[#This Row],[Converted data]]/1000)</f>
        <v/>
      </c>
      <c r="AP27" s="174">
        <f>Buildings_Heat_Frontend[[#This Row],[Ease of collection]]</f>
        <v>0</v>
      </c>
      <c r="AQ27" s="174">
        <f>Buildings_Heat_Frontend[[#This Row],[Completeness]]</f>
        <v>0</v>
      </c>
      <c r="AR27" s="174">
        <f>Buildings_Heat_Frontend[[#This Row],[Notes]]</f>
        <v>0</v>
      </c>
    </row>
    <row r="28" spans="2:44" x14ac:dyDescent="0.3">
      <c r="B28" s="455"/>
      <c r="E28" s="346"/>
      <c r="F28" s="364"/>
      <c r="G28" s="336"/>
      <c r="H28" s="336"/>
      <c r="I28" s="336"/>
      <c r="J28" s="334"/>
      <c r="K28" s="336"/>
      <c r="L28" s="336"/>
      <c r="M28" s="336"/>
      <c r="N28" s="352"/>
      <c r="O28" s="230">
        <f t="shared" si="2"/>
        <v>6</v>
      </c>
      <c r="Q28" s="212" t="str">
        <f t="shared" si="0"/>
        <v/>
      </c>
      <c r="R28" s="174" t="s">
        <v>265</v>
      </c>
      <c r="S28" s="174" t="s">
        <v>273</v>
      </c>
      <c r="T28" s="174" t="str">
        <f>IF(Buildings_Heat_Frontend[[#This Row],[Data]]="","", _xlfn.XLOOKUP(Buildings_Heat_Backend[[#This Row],[Info 1]],Buildings_SiteInfo[Site name],Buildings_SiteInfo[Site type]))</f>
        <v/>
      </c>
      <c r="U28" s="174" t="str">
        <f>IF(Buildings_Heat_Frontend[[#This Row],[Data]]="","", Buildings_Heat_Frontend[[#This Row],[Heating Type]])</f>
        <v/>
      </c>
      <c r="V28" s="174" t="str">
        <f>IF(Buildings_Heat_Frontend[[#This Row],[Data]]="","", Buildings_Heat_Frontend[[#This Row],[Fuel]])</f>
        <v/>
      </c>
      <c r="W28" s="174" t="str" cm="1">
        <f t="array" ref="W28">IF(Buildings_Heat_Frontend[[#This Row],[Data]]="","", _xlfn.XLOOKUP(Buildings_Heat_Backend[[#This Row],[Level 5]],rng_Level5Long,rng_Level6Long))</f>
        <v/>
      </c>
      <c r="X28" s="174" t="str">
        <f>IF(Buildings_Heat_Frontend[[#This Row],[Data]]="","", Buildings_Heat_Frontend[[#This Row],[Site Name]])</f>
        <v/>
      </c>
      <c r="Y28" s="174" t="str">
        <f>IF(Buildings_Heat_Frontend[[#This Row],[Data]]="","", Buildings_Heat_Frontend[[#This Row],[MPRN]])</f>
        <v/>
      </c>
      <c r="Z28" s="174" t="str">
        <f>IF(Buildings_Heat_Frontend[[#This Row],[Data]]="","", IF($I28="","",$I28))</f>
        <v/>
      </c>
      <c r="AA28" s="229" t="str" cm="1">
        <f t="array" ref="AA28">IF(Buildings_Heat_Frontend[[#This Row],[Data]]="","", INDEX(_xlfn.SWITCH(Buildings_Heat_Backend[[#This Row],[Methodology]],"Tier 1",rng_RSD1,"Tier 2",rng_RSD2,"Tier 3",rng_RSD3),MATCH(_xlfn.CONCAT(Buildings_Heat_Backend[[#This Row],[Level 1]:[Level 6]]),rng_LevelsConcat,0)))</f>
        <v/>
      </c>
      <c r="AB28" s="220" t="str">
        <f t="shared" si="1"/>
        <v/>
      </c>
      <c r="AC28" s="174">
        <f>Buildings_Heat_Frontend[[#This Row],[Units]]</f>
        <v>0</v>
      </c>
      <c r="AD2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 s="174" t="str">
        <f>IF(Buildings_Heat_Frontend[[#This Row],[Data]]="","", _xlfn.XLOOKUP(_xlfn.CONCAT(Buildings_Heat_Backend[[#This Row],[Level 1]:[Level 6]]),rng_LevelsConcat,rng_UnitsLong))</f>
        <v/>
      </c>
      <c r="AF28" s="210" t="str">
        <f>IF(Buildings_Heat_Frontend[[#This Row],[Data]]="","", _xlfn.XLOOKUP(_xlfn.CONCAT(Buildings_Heat_Backend[[#This Row],[Level 1]:[Level 6]]),rng_EFConcat,rng_EF1)*Buildings_Heat_Backend[[#This Row],[Converted data]]/1000)</f>
        <v/>
      </c>
      <c r="AG28" s="210" t="str">
        <f>IF(Buildings_Heat_Frontend[[#This Row],[Data]]="","", _xlfn.XLOOKUP(_xlfn.CONCAT(Buildings_Heat_Backend[[#This Row],[Level 1]:[Level 6]]),rng_EFConcat,rng_EF2)*Buildings_Heat_Backend[[#This Row],[Converted data]]/1000)</f>
        <v/>
      </c>
      <c r="AH28" s="210" t="str">
        <f>IF(Buildings_Heat_Frontend[[#This Row],[Data]]="","", _xlfn.XLOOKUP(_xlfn.CONCAT(Buildings_Heat_Backend[[#This Row],[Level 1]:[Level 6]]),rng_EFConcat,rng_EF3)*Buildings_Heat_Backend[[#This Row],[Converted data]]/1000)</f>
        <v/>
      </c>
      <c r="AI28" s="210" t="str">
        <f>IF(Buildings_Heat_Frontend[[#This Row],[Data]]="","", _xlfn.XLOOKUP(_xlfn.CONCAT(Buildings_Heat_Backend[[#This Row],[Level 1]:[Level 6]]),rng_EFConcat,rng_EF3WTT)*Buildings_Heat_Backend[[#This Row],[Converted data]]/1000)</f>
        <v/>
      </c>
      <c r="AJ28" s="210" t="str">
        <f>IF(Buildings_Heat_Frontend[[#This Row],[Data]]="","", _xlfn.XLOOKUP(_xlfn.CONCAT(Buildings_Heat_Backend[[#This Row],[Level 1]:[Level 6]]),rng_EFConcat,rng_EF3TD)*Buildings_Heat_Backend[[#This Row],[Converted data]]/1000)</f>
        <v/>
      </c>
      <c r="AK28" s="210" t="str">
        <f>IF(Buildings_Heat_Frontend[[#This Row],[Data]]="","", _xlfn.XLOOKUP(_xlfn.CONCAT(Buildings_Heat_Backend[[#This Row],[Level 1]:[Level 6]]),rng_EFConcat,rng_EF3WTTTD)*Buildings_Heat_Backend[[#This Row],[Converted data]]/1000)</f>
        <v/>
      </c>
      <c r="AL28" s="220">
        <f>SUM(Buildings_Heat_Backend[[#This Row],[Scope 1 (tCO2e)]:[Scope 3 WTT T&amp;D (tCO2e)]])</f>
        <v>0</v>
      </c>
      <c r="AM28" s="220" t="str">
        <f>IF(Buildings_Heat_Frontend[[#This Row],[Data]]="","", Buildings_Heat_Backend[[#This Row],[Total (tCO2e)]]*(1-Buildings_Heat_Backend[[#This Row],[RSD]]))</f>
        <v/>
      </c>
      <c r="AN28" s="220" t="str">
        <f>IF(Buildings_Heat_Frontend[[#This Row],[Data]]="","", Buildings_Heat_Backend[[#This Row],[Total (tCO2e)]]*(1+Buildings_Heat_Backend[[#This Row],[RSD]]))</f>
        <v/>
      </c>
      <c r="AO28" s="210" t="str">
        <f>IF(Buildings_Heat_Frontend[[#This Row],[Data]]="","", _xlfn.XLOOKUP(_xlfn.CONCAT(Buildings_Heat_Backend[[#This Row],[Level 1]:[Level 6]]),rng_EFConcat,rng_EFOOS)*Buildings_Heat_Backend[[#This Row],[Converted data]]/1000)</f>
        <v/>
      </c>
      <c r="AP28" s="174">
        <f>Buildings_Heat_Frontend[[#This Row],[Ease of collection]]</f>
        <v>0</v>
      </c>
      <c r="AQ28" s="174">
        <f>Buildings_Heat_Frontend[[#This Row],[Completeness]]</f>
        <v>0</v>
      </c>
      <c r="AR28" s="174">
        <f>Buildings_Heat_Frontend[[#This Row],[Notes]]</f>
        <v>0</v>
      </c>
    </row>
    <row r="29" spans="2:44" x14ac:dyDescent="0.3">
      <c r="B29" s="455"/>
      <c r="E29" s="346"/>
      <c r="F29" s="364"/>
      <c r="G29" s="336"/>
      <c r="H29" s="336"/>
      <c r="I29" s="336"/>
      <c r="J29" s="334"/>
      <c r="K29" s="336"/>
      <c r="L29" s="336"/>
      <c r="M29" s="336"/>
      <c r="N29" s="352"/>
      <c r="O29" s="230">
        <f t="shared" si="2"/>
        <v>6</v>
      </c>
      <c r="Q29" s="212" t="str">
        <f t="shared" si="0"/>
        <v/>
      </c>
      <c r="R29" s="174" t="s">
        <v>265</v>
      </c>
      <c r="S29" s="174" t="s">
        <v>273</v>
      </c>
      <c r="T29" s="174" t="str">
        <f>IF(Buildings_Heat_Frontend[[#This Row],[Data]]="","", _xlfn.XLOOKUP(Buildings_Heat_Backend[[#This Row],[Info 1]],Buildings_SiteInfo[Site name],Buildings_SiteInfo[Site type]))</f>
        <v/>
      </c>
      <c r="U29" s="174" t="str">
        <f>IF(Buildings_Heat_Frontend[[#This Row],[Data]]="","", Buildings_Heat_Frontend[[#This Row],[Heating Type]])</f>
        <v/>
      </c>
      <c r="V29" s="174" t="str">
        <f>IF(Buildings_Heat_Frontend[[#This Row],[Data]]="","", Buildings_Heat_Frontend[[#This Row],[Fuel]])</f>
        <v/>
      </c>
      <c r="W29" s="174" t="str" cm="1">
        <f t="array" ref="W29">IF(Buildings_Heat_Frontend[[#This Row],[Data]]="","", _xlfn.XLOOKUP(Buildings_Heat_Backend[[#This Row],[Level 5]],rng_Level5Long,rng_Level6Long))</f>
        <v/>
      </c>
      <c r="X29" s="174" t="str">
        <f>IF(Buildings_Heat_Frontend[[#This Row],[Data]]="","", Buildings_Heat_Frontend[[#This Row],[Site Name]])</f>
        <v/>
      </c>
      <c r="Y29" s="174" t="str">
        <f>IF(Buildings_Heat_Frontend[[#This Row],[Data]]="","", Buildings_Heat_Frontend[[#This Row],[MPRN]])</f>
        <v/>
      </c>
      <c r="Z29" s="174" t="str">
        <f>IF(Buildings_Heat_Frontend[[#This Row],[Data]]="","", IF($I29="","",$I29))</f>
        <v/>
      </c>
      <c r="AA29" s="229" t="str" cm="1">
        <f t="array" ref="AA29">IF(Buildings_Heat_Frontend[[#This Row],[Data]]="","", INDEX(_xlfn.SWITCH(Buildings_Heat_Backend[[#This Row],[Methodology]],"Tier 1",rng_RSD1,"Tier 2",rng_RSD2,"Tier 3",rng_RSD3),MATCH(_xlfn.CONCAT(Buildings_Heat_Backend[[#This Row],[Level 1]:[Level 6]]),rng_LevelsConcat,0)))</f>
        <v/>
      </c>
      <c r="AB29" s="220" t="str">
        <f t="shared" si="1"/>
        <v/>
      </c>
      <c r="AC29" s="174">
        <f>Buildings_Heat_Frontend[[#This Row],[Units]]</f>
        <v>0</v>
      </c>
      <c r="AD2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 s="174" t="str">
        <f>IF(Buildings_Heat_Frontend[[#This Row],[Data]]="","", _xlfn.XLOOKUP(_xlfn.CONCAT(Buildings_Heat_Backend[[#This Row],[Level 1]:[Level 6]]),rng_LevelsConcat,rng_UnitsLong))</f>
        <v/>
      </c>
      <c r="AF29" s="210" t="str">
        <f>IF(Buildings_Heat_Frontend[[#This Row],[Data]]="","", _xlfn.XLOOKUP(_xlfn.CONCAT(Buildings_Heat_Backend[[#This Row],[Level 1]:[Level 6]]),rng_EFConcat,rng_EF1)*Buildings_Heat_Backend[[#This Row],[Converted data]]/1000)</f>
        <v/>
      </c>
      <c r="AG29" s="210" t="str">
        <f>IF(Buildings_Heat_Frontend[[#This Row],[Data]]="","", _xlfn.XLOOKUP(_xlfn.CONCAT(Buildings_Heat_Backend[[#This Row],[Level 1]:[Level 6]]),rng_EFConcat,rng_EF2)*Buildings_Heat_Backend[[#This Row],[Converted data]]/1000)</f>
        <v/>
      </c>
      <c r="AH29" s="210" t="str">
        <f>IF(Buildings_Heat_Frontend[[#This Row],[Data]]="","", _xlfn.XLOOKUP(_xlfn.CONCAT(Buildings_Heat_Backend[[#This Row],[Level 1]:[Level 6]]),rng_EFConcat,rng_EF3)*Buildings_Heat_Backend[[#This Row],[Converted data]]/1000)</f>
        <v/>
      </c>
      <c r="AI29" s="210" t="str">
        <f>IF(Buildings_Heat_Frontend[[#This Row],[Data]]="","", _xlfn.XLOOKUP(_xlfn.CONCAT(Buildings_Heat_Backend[[#This Row],[Level 1]:[Level 6]]),rng_EFConcat,rng_EF3WTT)*Buildings_Heat_Backend[[#This Row],[Converted data]]/1000)</f>
        <v/>
      </c>
      <c r="AJ29" s="210" t="str">
        <f>IF(Buildings_Heat_Frontend[[#This Row],[Data]]="","", _xlfn.XLOOKUP(_xlfn.CONCAT(Buildings_Heat_Backend[[#This Row],[Level 1]:[Level 6]]),rng_EFConcat,rng_EF3TD)*Buildings_Heat_Backend[[#This Row],[Converted data]]/1000)</f>
        <v/>
      </c>
      <c r="AK29" s="210" t="str">
        <f>IF(Buildings_Heat_Frontend[[#This Row],[Data]]="","", _xlfn.XLOOKUP(_xlfn.CONCAT(Buildings_Heat_Backend[[#This Row],[Level 1]:[Level 6]]),rng_EFConcat,rng_EF3WTTTD)*Buildings_Heat_Backend[[#This Row],[Converted data]]/1000)</f>
        <v/>
      </c>
      <c r="AL29" s="220">
        <f>SUM(Buildings_Heat_Backend[[#This Row],[Scope 1 (tCO2e)]:[Scope 3 WTT T&amp;D (tCO2e)]])</f>
        <v>0</v>
      </c>
      <c r="AM29" s="220" t="str">
        <f>IF(Buildings_Heat_Frontend[[#This Row],[Data]]="","", Buildings_Heat_Backend[[#This Row],[Total (tCO2e)]]*(1-Buildings_Heat_Backend[[#This Row],[RSD]]))</f>
        <v/>
      </c>
      <c r="AN29" s="220" t="str">
        <f>IF(Buildings_Heat_Frontend[[#This Row],[Data]]="","", Buildings_Heat_Backend[[#This Row],[Total (tCO2e)]]*(1+Buildings_Heat_Backend[[#This Row],[RSD]]))</f>
        <v/>
      </c>
      <c r="AO29" s="210" t="str">
        <f>IF(Buildings_Heat_Frontend[[#This Row],[Data]]="","", _xlfn.XLOOKUP(_xlfn.CONCAT(Buildings_Heat_Backend[[#This Row],[Level 1]:[Level 6]]),rng_EFConcat,rng_EFOOS)*Buildings_Heat_Backend[[#This Row],[Converted data]]/1000)</f>
        <v/>
      </c>
      <c r="AP29" s="174">
        <f>Buildings_Heat_Frontend[[#This Row],[Ease of collection]]</f>
        <v>0</v>
      </c>
      <c r="AQ29" s="174">
        <f>Buildings_Heat_Frontend[[#This Row],[Completeness]]</f>
        <v>0</v>
      </c>
      <c r="AR29" s="174">
        <f>Buildings_Heat_Frontend[[#This Row],[Notes]]</f>
        <v>0</v>
      </c>
    </row>
    <row r="30" spans="2:44" x14ac:dyDescent="0.3">
      <c r="B30" s="455"/>
      <c r="E30" s="346"/>
      <c r="F30" s="364"/>
      <c r="G30" s="336"/>
      <c r="H30" s="336"/>
      <c r="I30" s="336"/>
      <c r="J30" s="334"/>
      <c r="K30" s="336"/>
      <c r="L30" s="336"/>
      <c r="M30" s="336"/>
      <c r="N30" s="352"/>
      <c r="O30" s="230">
        <f t="shared" si="2"/>
        <v>6</v>
      </c>
      <c r="Q30" s="212" t="str">
        <f t="shared" si="0"/>
        <v/>
      </c>
      <c r="R30" s="174" t="s">
        <v>265</v>
      </c>
      <c r="S30" s="174" t="s">
        <v>273</v>
      </c>
      <c r="T30" s="174" t="str">
        <f>IF(Buildings_Heat_Frontend[[#This Row],[Data]]="","", _xlfn.XLOOKUP(Buildings_Heat_Backend[[#This Row],[Info 1]],Buildings_SiteInfo[Site name],Buildings_SiteInfo[Site type]))</f>
        <v/>
      </c>
      <c r="U30" s="174" t="str">
        <f>IF(Buildings_Heat_Frontend[[#This Row],[Data]]="","", Buildings_Heat_Frontend[[#This Row],[Heating Type]])</f>
        <v/>
      </c>
      <c r="V30" s="174" t="str">
        <f>IF(Buildings_Heat_Frontend[[#This Row],[Data]]="","", Buildings_Heat_Frontend[[#This Row],[Fuel]])</f>
        <v/>
      </c>
      <c r="W30" s="174" t="str" cm="1">
        <f t="array" ref="W30">IF(Buildings_Heat_Frontend[[#This Row],[Data]]="","", _xlfn.XLOOKUP(Buildings_Heat_Backend[[#This Row],[Level 5]],rng_Level5Long,rng_Level6Long))</f>
        <v/>
      </c>
      <c r="X30" s="174" t="str">
        <f>IF(Buildings_Heat_Frontend[[#This Row],[Data]]="","", Buildings_Heat_Frontend[[#This Row],[Site Name]])</f>
        <v/>
      </c>
      <c r="Y30" s="174" t="str">
        <f>IF(Buildings_Heat_Frontend[[#This Row],[Data]]="","", Buildings_Heat_Frontend[[#This Row],[MPRN]])</f>
        <v/>
      </c>
      <c r="Z30" s="174" t="str">
        <f>IF(Buildings_Heat_Frontend[[#This Row],[Data]]="","", IF($I30="","",$I30))</f>
        <v/>
      </c>
      <c r="AA30" s="229" t="str" cm="1">
        <f t="array" ref="AA30">IF(Buildings_Heat_Frontend[[#This Row],[Data]]="","", INDEX(_xlfn.SWITCH(Buildings_Heat_Backend[[#This Row],[Methodology]],"Tier 1",rng_RSD1,"Tier 2",rng_RSD2,"Tier 3",rng_RSD3),MATCH(_xlfn.CONCAT(Buildings_Heat_Backend[[#This Row],[Level 1]:[Level 6]]),rng_LevelsConcat,0)))</f>
        <v/>
      </c>
      <c r="AB30" s="220" t="str">
        <f t="shared" si="1"/>
        <v/>
      </c>
      <c r="AC30" s="174">
        <f>Buildings_Heat_Frontend[[#This Row],[Units]]</f>
        <v>0</v>
      </c>
      <c r="AD3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 s="174" t="str">
        <f>IF(Buildings_Heat_Frontend[[#This Row],[Data]]="","", _xlfn.XLOOKUP(_xlfn.CONCAT(Buildings_Heat_Backend[[#This Row],[Level 1]:[Level 6]]),rng_LevelsConcat,rng_UnitsLong))</f>
        <v/>
      </c>
      <c r="AF30" s="210" t="str">
        <f>IF(Buildings_Heat_Frontend[[#This Row],[Data]]="","", _xlfn.XLOOKUP(_xlfn.CONCAT(Buildings_Heat_Backend[[#This Row],[Level 1]:[Level 6]]),rng_EFConcat,rng_EF1)*Buildings_Heat_Backend[[#This Row],[Converted data]]/1000)</f>
        <v/>
      </c>
      <c r="AG30" s="210" t="str">
        <f>IF(Buildings_Heat_Frontend[[#This Row],[Data]]="","", _xlfn.XLOOKUP(_xlfn.CONCAT(Buildings_Heat_Backend[[#This Row],[Level 1]:[Level 6]]),rng_EFConcat,rng_EF2)*Buildings_Heat_Backend[[#This Row],[Converted data]]/1000)</f>
        <v/>
      </c>
      <c r="AH30" s="210" t="str">
        <f>IF(Buildings_Heat_Frontend[[#This Row],[Data]]="","", _xlfn.XLOOKUP(_xlfn.CONCAT(Buildings_Heat_Backend[[#This Row],[Level 1]:[Level 6]]),rng_EFConcat,rng_EF3)*Buildings_Heat_Backend[[#This Row],[Converted data]]/1000)</f>
        <v/>
      </c>
      <c r="AI30" s="210" t="str">
        <f>IF(Buildings_Heat_Frontend[[#This Row],[Data]]="","", _xlfn.XLOOKUP(_xlfn.CONCAT(Buildings_Heat_Backend[[#This Row],[Level 1]:[Level 6]]),rng_EFConcat,rng_EF3WTT)*Buildings_Heat_Backend[[#This Row],[Converted data]]/1000)</f>
        <v/>
      </c>
      <c r="AJ30" s="210" t="str">
        <f>IF(Buildings_Heat_Frontend[[#This Row],[Data]]="","", _xlfn.XLOOKUP(_xlfn.CONCAT(Buildings_Heat_Backend[[#This Row],[Level 1]:[Level 6]]),rng_EFConcat,rng_EF3TD)*Buildings_Heat_Backend[[#This Row],[Converted data]]/1000)</f>
        <v/>
      </c>
      <c r="AK30" s="210" t="str">
        <f>IF(Buildings_Heat_Frontend[[#This Row],[Data]]="","", _xlfn.XLOOKUP(_xlfn.CONCAT(Buildings_Heat_Backend[[#This Row],[Level 1]:[Level 6]]),rng_EFConcat,rng_EF3WTTTD)*Buildings_Heat_Backend[[#This Row],[Converted data]]/1000)</f>
        <v/>
      </c>
      <c r="AL30" s="220">
        <f>SUM(Buildings_Heat_Backend[[#This Row],[Scope 1 (tCO2e)]:[Scope 3 WTT T&amp;D (tCO2e)]])</f>
        <v>0</v>
      </c>
      <c r="AM30" s="220" t="str">
        <f>IF(Buildings_Heat_Frontend[[#This Row],[Data]]="","", Buildings_Heat_Backend[[#This Row],[Total (tCO2e)]]*(1-Buildings_Heat_Backend[[#This Row],[RSD]]))</f>
        <v/>
      </c>
      <c r="AN30" s="220" t="str">
        <f>IF(Buildings_Heat_Frontend[[#This Row],[Data]]="","", Buildings_Heat_Backend[[#This Row],[Total (tCO2e)]]*(1+Buildings_Heat_Backend[[#This Row],[RSD]]))</f>
        <v/>
      </c>
      <c r="AO30" s="210" t="str">
        <f>IF(Buildings_Heat_Frontend[[#This Row],[Data]]="","", _xlfn.XLOOKUP(_xlfn.CONCAT(Buildings_Heat_Backend[[#This Row],[Level 1]:[Level 6]]),rng_EFConcat,rng_EFOOS)*Buildings_Heat_Backend[[#This Row],[Converted data]]/1000)</f>
        <v/>
      </c>
      <c r="AP30" s="174">
        <f>Buildings_Heat_Frontend[[#This Row],[Ease of collection]]</f>
        <v>0</v>
      </c>
      <c r="AQ30" s="174">
        <f>Buildings_Heat_Frontend[[#This Row],[Completeness]]</f>
        <v>0</v>
      </c>
      <c r="AR30" s="174">
        <f>Buildings_Heat_Frontend[[#This Row],[Notes]]</f>
        <v>0</v>
      </c>
    </row>
    <row r="31" spans="2:44" x14ac:dyDescent="0.3">
      <c r="E31" s="346"/>
      <c r="F31" s="364"/>
      <c r="G31" s="336"/>
      <c r="H31" s="336"/>
      <c r="I31" s="336"/>
      <c r="J31" s="334"/>
      <c r="K31" s="336"/>
      <c r="L31" s="336"/>
      <c r="M31" s="336"/>
      <c r="N31" s="352"/>
      <c r="O31" s="230">
        <f t="shared" si="2"/>
        <v>6</v>
      </c>
      <c r="Q31" s="212" t="str">
        <f t="shared" si="0"/>
        <v/>
      </c>
      <c r="R31" s="174" t="s">
        <v>265</v>
      </c>
      <c r="S31" s="174" t="s">
        <v>273</v>
      </c>
      <c r="T31" s="174" t="str">
        <f>IF(Buildings_Heat_Frontend[[#This Row],[Data]]="","", _xlfn.XLOOKUP(Buildings_Heat_Backend[[#This Row],[Info 1]],Buildings_SiteInfo[Site name],Buildings_SiteInfo[Site type]))</f>
        <v/>
      </c>
      <c r="U31" s="174" t="str">
        <f>IF(Buildings_Heat_Frontend[[#This Row],[Data]]="","", Buildings_Heat_Frontend[[#This Row],[Heating Type]])</f>
        <v/>
      </c>
      <c r="V31" s="174" t="str">
        <f>IF(Buildings_Heat_Frontend[[#This Row],[Data]]="","", Buildings_Heat_Frontend[[#This Row],[Fuel]])</f>
        <v/>
      </c>
      <c r="W31" s="174" t="str" cm="1">
        <f t="array" ref="W31">IF(Buildings_Heat_Frontend[[#This Row],[Data]]="","", _xlfn.XLOOKUP(Buildings_Heat_Backend[[#This Row],[Level 5]],rng_Level5Long,rng_Level6Long))</f>
        <v/>
      </c>
      <c r="X31" s="174" t="str">
        <f>IF(Buildings_Heat_Frontend[[#This Row],[Data]]="","", Buildings_Heat_Frontend[[#This Row],[Site Name]])</f>
        <v/>
      </c>
      <c r="Y31" s="174" t="str">
        <f>IF(Buildings_Heat_Frontend[[#This Row],[Data]]="","", Buildings_Heat_Frontend[[#This Row],[MPRN]])</f>
        <v/>
      </c>
      <c r="Z31" s="174" t="str">
        <f>IF(Buildings_Heat_Frontend[[#This Row],[Data]]="","", IF($I31="","",$I31))</f>
        <v/>
      </c>
      <c r="AA31" s="229" t="str" cm="1">
        <f t="array" ref="AA31">IF(Buildings_Heat_Frontend[[#This Row],[Data]]="","", INDEX(_xlfn.SWITCH(Buildings_Heat_Backend[[#This Row],[Methodology]],"Tier 1",rng_RSD1,"Tier 2",rng_RSD2,"Tier 3",rng_RSD3),MATCH(_xlfn.CONCAT(Buildings_Heat_Backend[[#This Row],[Level 1]:[Level 6]]),rng_LevelsConcat,0)))</f>
        <v/>
      </c>
      <c r="AB31" s="220" t="str">
        <f t="shared" si="1"/>
        <v/>
      </c>
      <c r="AC31" s="174">
        <f>Buildings_Heat_Frontend[[#This Row],[Units]]</f>
        <v>0</v>
      </c>
      <c r="AD3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 s="174" t="str">
        <f>IF(Buildings_Heat_Frontend[[#This Row],[Data]]="","", _xlfn.XLOOKUP(_xlfn.CONCAT(Buildings_Heat_Backend[[#This Row],[Level 1]:[Level 6]]),rng_LevelsConcat,rng_UnitsLong))</f>
        <v/>
      </c>
      <c r="AF31" s="210" t="str">
        <f>IF(Buildings_Heat_Frontend[[#This Row],[Data]]="","", _xlfn.XLOOKUP(_xlfn.CONCAT(Buildings_Heat_Backend[[#This Row],[Level 1]:[Level 6]]),rng_EFConcat,rng_EF1)*Buildings_Heat_Backend[[#This Row],[Converted data]]/1000)</f>
        <v/>
      </c>
      <c r="AG31" s="210" t="str">
        <f>IF(Buildings_Heat_Frontend[[#This Row],[Data]]="","", _xlfn.XLOOKUP(_xlfn.CONCAT(Buildings_Heat_Backend[[#This Row],[Level 1]:[Level 6]]),rng_EFConcat,rng_EF2)*Buildings_Heat_Backend[[#This Row],[Converted data]]/1000)</f>
        <v/>
      </c>
      <c r="AH31" s="210" t="str">
        <f>IF(Buildings_Heat_Frontend[[#This Row],[Data]]="","", _xlfn.XLOOKUP(_xlfn.CONCAT(Buildings_Heat_Backend[[#This Row],[Level 1]:[Level 6]]),rng_EFConcat,rng_EF3)*Buildings_Heat_Backend[[#This Row],[Converted data]]/1000)</f>
        <v/>
      </c>
      <c r="AI31" s="210" t="str">
        <f>IF(Buildings_Heat_Frontend[[#This Row],[Data]]="","", _xlfn.XLOOKUP(_xlfn.CONCAT(Buildings_Heat_Backend[[#This Row],[Level 1]:[Level 6]]),rng_EFConcat,rng_EF3WTT)*Buildings_Heat_Backend[[#This Row],[Converted data]]/1000)</f>
        <v/>
      </c>
      <c r="AJ31" s="210" t="str">
        <f>IF(Buildings_Heat_Frontend[[#This Row],[Data]]="","", _xlfn.XLOOKUP(_xlfn.CONCAT(Buildings_Heat_Backend[[#This Row],[Level 1]:[Level 6]]),rng_EFConcat,rng_EF3TD)*Buildings_Heat_Backend[[#This Row],[Converted data]]/1000)</f>
        <v/>
      </c>
      <c r="AK31" s="210" t="str">
        <f>IF(Buildings_Heat_Frontend[[#This Row],[Data]]="","", _xlfn.XLOOKUP(_xlfn.CONCAT(Buildings_Heat_Backend[[#This Row],[Level 1]:[Level 6]]),rng_EFConcat,rng_EF3WTTTD)*Buildings_Heat_Backend[[#This Row],[Converted data]]/1000)</f>
        <v/>
      </c>
      <c r="AL31" s="220">
        <f>SUM(Buildings_Heat_Backend[[#This Row],[Scope 1 (tCO2e)]:[Scope 3 WTT T&amp;D (tCO2e)]])</f>
        <v>0</v>
      </c>
      <c r="AM31" s="220" t="str">
        <f>IF(Buildings_Heat_Frontend[[#This Row],[Data]]="","", Buildings_Heat_Backend[[#This Row],[Total (tCO2e)]]*(1-Buildings_Heat_Backend[[#This Row],[RSD]]))</f>
        <v/>
      </c>
      <c r="AN31" s="220" t="str">
        <f>IF(Buildings_Heat_Frontend[[#This Row],[Data]]="","", Buildings_Heat_Backend[[#This Row],[Total (tCO2e)]]*(1+Buildings_Heat_Backend[[#This Row],[RSD]]))</f>
        <v/>
      </c>
      <c r="AO31" s="210" t="str">
        <f>IF(Buildings_Heat_Frontend[[#This Row],[Data]]="","", _xlfn.XLOOKUP(_xlfn.CONCAT(Buildings_Heat_Backend[[#This Row],[Level 1]:[Level 6]]),rng_EFConcat,rng_EFOOS)*Buildings_Heat_Backend[[#This Row],[Converted data]]/1000)</f>
        <v/>
      </c>
      <c r="AP31" s="174">
        <f>Buildings_Heat_Frontend[[#This Row],[Ease of collection]]</f>
        <v>0</v>
      </c>
      <c r="AQ31" s="174">
        <f>Buildings_Heat_Frontend[[#This Row],[Completeness]]</f>
        <v>0</v>
      </c>
      <c r="AR31" s="174">
        <f>Buildings_Heat_Frontend[[#This Row],[Notes]]</f>
        <v>0</v>
      </c>
    </row>
    <row r="32" spans="2:44" x14ac:dyDescent="0.3">
      <c r="E32" s="346"/>
      <c r="F32" s="364"/>
      <c r="G32" s="336"/>
      <c r="H32" s="336"/>
      <c r="I32" s="336"/>
      <c r="J32" s="334"/>
      <c r="K32" s="336"/>
      <c r="L32" s="336"/>
      <c r="M32" s="336"/>
      <c r="N32" s="352"/>
      <c r="O32" s="230">
        <f t="shared" si="2"/>
        <v>6</v>
      </c>
      <c r="Q32" s="212" t="str">
        <f t="shared" si="0"/>
        <v/>
      </c>
      <c r="R32" s="174" t="s">
        <v>265</v>
      </c>
      <c r="S32" s="174" t="s">
        <v>273</v>
      </c>
      <c r="T32" s="174" t="str">
        <f>IF(Buildings_Heat_Frontend[[#This Row],[Data]]="","", _xlfn.XLOOKUP(Buildings_Heat_Backend[[#This Row],[Info 1]],Buildings_SiteInfo[Site name],Buildings_SiteInfo[Site type]))</f>
        <v/>
      </c>
      <c r="U32" s="174" t="str">
        <f>IF(Buildings_Heat_Frontend[[#This Row],[Data]]="","", Buildings_Heat_Frontend[[#This Row],[Heating Type]])</f>
        <v/>
      </c>
      <c r="V32" s="174" t="str">
        <f>IF(Buildings_Heat_Frontend[[#This Row],[Data]]="","", Buildings_Heat_Frontend[[#This Row],[Fuel]])</f>
        <v/>
      </c>
      <c r="W32" s="174" t="str" cm="1">
        <f t="array" ref="W32">IF(Buildings_Heat_Frontend[[#This Row],[Data]]="","", _xlfn.XLOOKUP(Buildings_Heat_Backend[[#This Row],[Level 5]],rng_Level5Long,rng_Level6Long))</f>
        <v/>
      </c>
      <c r="X32" s="174" t="str">
        <f>IF(Buildings_Heat_Frontend[[#This Row],[Data]]="","", Buildings_Heat_Frontend[[#This Row],[Site Name]])</f>
        <v/>
      </c>
      <c r="Y32" s="174" t="str">
        <f>IF(Buildings_Heat_Frontend[[#This Row],[Data]]="","", Buildings_Heat_Frontend[[#This Row],[MPRN]])</f>
        <v/>
      </c>
      <c r="Z32" s="174" t="str">
        <f>IF(Buildings_Heat_Frontend[[#This Row],[Data]]="","", IF($I32="","",$I32))</f>
        <v/>
      </c>
      <c r="AA32" s="229" t="str" cm="1">
        <f t="array" ref="AA32">IF(Buildings_Heat_Frontend[[#This Row],[Data]]="","", INDEX(_xlfn.SWITCH(Buildings_Heat_Backend[[#This Row],[Methodology]],"Tier 1",rng_RSD1,"Tier 2",rng_RSD2,"Tier 3",rng_RSD3),MATCH(_xlfn.CONCAT(Buildings_Heat_Backend[[#This Row],[Level 1]:[Level 6]]),rng_LevelsConcat,0)))</f>
        <v/>
      </c>
      <c r="AB32" s="220" t="str">
        <f t="shared" si="1"/>
        <v/>
      </c>
      <c r="AC32" s="174">
        <f>Buildings_Heat_Frontend[[#This Row],[Units]]</f>
        <v>0</v>
      </c>
      <c r="AD3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 s="174" t="str">
        <f>IF(Buildings_Heat_Frontend[[#This Row],[Data]]="","", _xlfn.XLOOKUP(_xlfn.CONCAT(Buildings_Heat_Backend[[#This Row],[Level 1]:[Level 6]]),rng_LevelsConcat,rng_UnitsLong))</f>
        <v/>
      </c>
      <c r="AF32" s="210" t="str">
        <f>IF(Buildings_Heat_Frontend[[#This Row],[Data]]="","", _xlfn.XLOOKUP(_xlfn.CONCAT(Buildings_Heat_Backend[[#This Row],[Level 1]:[Level 6]]),rng_EFConcat,rng_EF1)*Buildings_Heat_Backend[[#This Row],[Converted data]]/1000)</f>
        <v/>
      </c>
      <c r="AG32" s="210" t="str">
        <f>IF(Buildings_Heat_Frontend[[#This Row],[Data]]="","", _xlfn.XLOOKUP(_xlfn.CONCAT(Buildings_Heat_Backend[[#This Row],[Level 1]:[Level 6]]),rng_EFConcat,rng_EF2)*Buildings_Heat_Backend[[#This Row],[Converted data]]/1000)</f>
        <v/>
      </c>
      <c r="AH32" s="210" t="str">
        <f>IF(Buildings_Heat_Frontend[[#This Row],[Data]]="","", _xlfn.XLOOKUP(_xlfn.CONCAT(Buildings_Heat_Backend[[#This Row],[Level 1]:[Level 6]]),rng_EFConcat,rng_EF3)*Buildings_Heat_Backend[[#This Row],[Converted data]]/1000)</f>
        <v/>
      </c>
      <c r="AI32" s="210" t="str">
        <f>IF(Buildings_Heat_Frontend[[#This Row],[Data]]="","", _xlfn.XLOOKUP(_xlfn.CONCAT(Buildings_Heat_Backend[[#This Row],[Level 1]:[Level 6]]),rng_EFConcat,rng_EF3WTT)*Buildings_Heat_Backend[[#This Row],[Converted data]]/1000)</f>
        <v/>
      </c>
      <c r="AJ32" s="210" t="str">
        <f>IF(Buildings_Heat_Frontend[[#This Row],[Data]]="","", _xlfn.XLOOKUP(_xlfn.CONCAT(Buildings_Heat_Backend[[#This Row],[Level 1]:[Level 6]]),rng_EFConcat,rng_EF3TD)*Buildings_Heat_Backend[[#This Row],[Converted data]]/1000)</f>
        <v/>
      </c>
      <c r="AK32" s="210" t="str">
        <f>IF(Buildings_Heat_Frontend[[#This Row],[Data]]="","", _xlfn.XLOOKUP(_xlfn.CONCAT(Buildings_Heat_Backend[[#This Row],[Level 1]:[Level 6]]),rng_EFConcat,rng_EF3WTTTD)*Buildings_Heat_Backend[[#This Row],[Converted data]]/1000)</f>
        <v/>
      </c>
      <c r="AL32" s="220">
        <f>SUM(Buildings_Heat_Backend[[#This Row],[Scope 1 (tCO2e)]:[Scope 3 WTT T&amp;D (tCO2e)]])</f>
        <v>0</v>
      </c>
      <c r="AM32" s="220" t="str">
        <f>IF(Buildings_Heat_Frontend[[#This Row],[Data]]="","", Buildings_Heat_Backend[[#This Row],[Total (tCO2e)]]*(1-Buildings_Heat_Backend[[#This Row],[RSD]]))</f>
        <v/>
      </c>
      <c r="AN32" s="220" t="str">
        <f>IF(Buildings_Heat_Frontend[[#This Row],[Data]]="","", Buildings_Heat_Backend[[#This Row],[Total (tCO2e)]]*(1+Buildings_Heat_Backend[[#This Row],[RSD]]))</f>
        <v/>
      </c>
      <c r="AO32" s="210" t="str">
        <f>IF(Buildings_Heat_Frontend[[#This Row],[Data]]="","", _xlfn.XLOOKUP(_xlfn.CONCAT(Buildings_Heat_Backend[[#This Row],[Level 1]:[Level 6]]),rng_EFConcat,rng_EFOOS)*Buildings_Heat_Backend[[#This Row],[Converted data]]/1000)</f>
        <v/>
      </c>
      <c r="AP32" s="174">
        <f>Buildings_Heat_Frontend[[#This Row],[Ease of collection]]</f>
        <v>0</v>
      </c>
      <c r="AQ32" s="174">
        <f>Buildings_Heat_Frontend[[#This Row],[Completeness]]</f>
        <v>0</v>
      </c>
      <c r="AR32" s="174">
        <f>Buildings_Heat_Frontend[[#This Row],[Notes]]</f>
        <v>0</v>
      </c>
    </row>
    <row r="33" spans="5:44" x14ac:dyDescent="0.3">
      <c r="E33" s="346"/>
      <c r="F33" s="364"/>
      <c r="G33" s="336"/>
      <c r="H33" s="336"/>
      <c r="I33" s="336"/>
      <c r="J33" s="334"/>
      <c r="K33" s="336"/>
      <c r="L33" s="336"/>
      <c r="M33" s="336"/>
      <c r="N33" s="352"/>
      <c r="O33" s="230">
        <f t="shared" si="2"/>
        <v>6</v>
      </c>
      <c r="Q33" s="212" t="str">
        <f t="shared" si="0"/>
        <v/>
      </c>
      <c r="R33" s="174" t="s">
        <v>265</v>
      </c>
      <c r="S33" s="174" t="s">
        <v>273</v>
      </c>
      <c r="T33" s="174" t="str">
        <f>IF(Buildings_Heat_Frontend[[#This Row],[Data]]="","", _xlfn.XLOOKUP(Buildings_Heat_Backend[[#This Row],[Info 1]],Buildings_SiteInfo[Site name],Buildings_SiteInfo[Site type]))</f>
        <v/>
      </c>
      <c r="U33" s="174" t="str">
        <f>IF(Buildings_Heat_Frontend[[#This Row],[Data]]="","", Buildings_Heat_Frontend[[#This Row],[Heating Type]])</f>
        <v/>
      </c>
      <c r="V33" s="174" t="str">
        <f>IF(Buildings_Heat_Frontend[[#This Row],[Data]]="","", Buildings_Heat_Frontend[[#This Row],[Fuel]])</f>
        <v/>
      </c>
      <c r="W33" s="174" t="str" cm="1">
        <f t="array" ref="W33">IF(Buildings_Heat_Frontend[[#This Row],[Data]]="","", _xlfn.XLOOKUP(Buildings_Heat_Backend[[#This Row],[Level 5]],rng_Level5Long,rng_Level6Long))</f>
        <v/>
      </c>
      <c r="X33" s="174" t="str">
        <f>IF(Buildings_Heat_Frontend[[#This Row],[Data]]="","", Buildings_Heat_Frontend[[#This Row],[Site Name]])</f>
        <v/>
      </c>
      <c r="Y33" s="174" t="str">
        <f>IF(Buildings_Heat_Frontend[[#This Row],[Data]]="","", Buildings_Heat_Frontend[[#This Row],[MPRN]])</f>
        <v/>
      </c>
      <c r="Z33" s="174" t="str">
        <f>IF(Buildings_Heat_Frontend[[#This Row],[Data]]="","", IF($I33="","",$I33))</f>
        <v/>
      </c>
      <c r="AA33" s="229" t="str" cm="1">
        <f t="array" ref="AA33">IF(Buildings_Heat_Frontend[[#This Row],[Data]]="","", INDEX(_xlfn.SWITCH(Buildings_Heat_Backend[[#This Row],[Methodology]],"Tier 1",rng_RSD1,"Tier 2",rng_RSD2,"Tier 3",rng_RSD3),MATCH(_xlfn.CONCAT(Buildings_Heat_Backend[[#This Row],[Level 1]:[Level 6]]),rng_LevelsConcat,0)))</f>
        <v/>
      </c>
      <c r="AB33" s="220" t="str">
        <f t="shared" si="1"/>
        <v/>
      </c>
      <c r="AC33" s="174">
        <f>Buildings_Heat_Frontend[[#This Row],[Units]]</f>
        <v>0</v>
      </c>
      <c r="AD3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 s="174" t="str">
        <f>IF(Buildings_Heat_Frontend[[#This Row],[Data]]="","", _xlfn.XLOOKUP(_xlfn.CONCAT(Buildings_Heat_Backend[[#This Row],[Level 1]:[Level 6]]),rng_LevelsConcat,rng_UnitsLong))</f>
        <v/>
      </c>
      <c r="AF33" s="210" t="str">
        <f>IF(Buildings_Heat_Frontend[[#This Row],[Data]]="","", _xlfn.XLOOKUP(_xlfn.CONCAT(Buildings_Heat_Backend[[#This Row],[Level 1]:[Level 6]]),rng_EFConcat,rng_EF1)*Buildings_Heat_Backend[[#This Row],[Converted data]]/1000)</f>
        <v/>
      </c>
      <c r="AG33" s="210" t="str">
        <f>IF(Buildings_Heat_Frontend[[#This Row],[Data]]="","", _xlfn.XLOOKUP(_xlfn.CONCAT(Buildings_Heat_Backend[[#This Row],[Level 1]:[Level 6]]),rng_EFConcat,rng_EF2)*Buildings_Heat_Backend[[#This Row],[Converted data]]/1000)</f>
        <v/>
      </c>
      <c r="AH33" s="210" t="str">
        <f>IF(Buildings_Heat_Frontend[[#This Row],[Data]]="","", _xlfn.XLOOKUP(_xlfn.CONCAT(Buildings_Heat_Backend[[#This Row],[Level 1]:[Level 6]]),rng_EFConcat,rng_EF3)*Buildings_Heat_Backend[[#This Row],[Converted data]]/1000)</f>
        <v/>
      </c>
      <c r="AI33" s="210" t="str">
        <f>IF(Buildings_Heat_Frontend[[#This Row],[Data]]="","", _xlfn.XLOOKUP(_xlfn.CONCAT(Buildings_Heat_Backend[[#This Row],[Level 1]:[Level 6]]),rng_EFConcat,rng_EF3WTT)*Buildings_Heat_Backend[[#This Row],[Converted data]]/1000)</f>
        <v/>
      </c>
      <c r="AJ33" s="210" t="str">
        <f>IF(Buildings_Heat_Frontend[[#This Row],[Data]]="","", _xlfn.XLOOKUP(_xlfn.CONCAT(Buildings_Heat_Backend[[#This Row],[Level 1]:[Level 6]]),rng_EFConcat,rng_EF3TD)*Buildings_Heat_Backend[[#This Row],[Converted data]]/1000)</f>
        <v/>
      </c>
      <c r="AK33" s="210" t="str">
        <f>IF(Buildings_Heat_Frontend[[#This Row],[Data]]="","", _xlfn.XLOOKUP(_xlfn.CONCAT(Buildings_Heat_Backend[[#This Row],[Level 1]:[Level 6]]),rng_EFConcat,rng_EF3WTTTD)*Buildings_Heat_Backend[[#This Row],[Converted data]]/1000)</f>
        <v/>
      </c>
      <c r="AL33" s="220">
        <f>SUM(Buildings_Heat_Backend[[#This Row],[Scope 1 (tCO2e)]:[Scope 3 WTT T&amp;D (tCO2e)]])</f>
        <v>0</v>
      </c>
      <c r="AM33" s="220" t="str">
        <f>IF(Buildings_Heat_Frontend[[#This Row],[Data]]="","", Buildings_Heat_Backend[[#This Row],[Total (tCO2e)]]*(1-Buildings_Heat_Backend[[#This Row],[RSD]]))</f>
        <v/>
      </c>
      <c r="AN33" s="220" t="str">
        <f>IF(Buildings_Heat_Frontend[[#This Row],[Data]]="","", Buildings_Heat_Backend[[#This Row],[Total (tCO2e)]]*(1+Buildings_Heat_Backend[[#This Row],[RSD]]))</f>
        <v/>
      </c>
      <c r="AO33" s="210" t="str">
        <f>IF(Buildings_Heat_Frontend[[#This Row],[Data]]="","", _xlfn.XLOOKUP(_xlfn.CONCAT(Buildings_Heat_Backend[[#This Row],[Level 1]:[Level 6]]),rng_EFConcat,rng_EFOOS)*Buildings_Heat_Backend[[#This Row],[Converted data]]/1000)</f>
        <v/>
      </c>
      <c r="AP33" s="174">
        <f>Buildings_Heat_Frontend[[#This Row],[Ease of collection]]</f>
        <v>0</v>
      </c>
      <c r="AQ33" s="174">
        <f>Buildings_Heat_Frontend[[#This Row],[Completeness]]</f>
        <v>0</v>
      </c>
      <c r="AR33" s="174">
        <f>Buildings_Heat_Frontend[[#This Row],[Notes]]</f>
        <v>0</v>
      </c>
    </row>
    <row r="34" spans="5:44" x14ac:dyDescent="0.3">
      <c r="E34" s="346"/>
      <c r="F34" s="364"/>
      <c r="G34" s="336"/>
      <c r="H34" s="336"/>
      <c r="I34" s="336"/>
      <c r="J34" s="334"/>
      <c r="K34" s="336"/>
      <c r="L34" s="336"/>
      <c r="M34" s="336"/>
      <c r="N34" s="352"/>
      <c r="O34" s="230">
        <f t="shared" si="2"/>
        <v>6</v>
      </c>
      <c r="Q34" s="212" t="str">
        <f t="shared" si="0"/>
        <v/>
      </c>
      <c r="R34" s="174" t="s">
        <v>265</v>
      </c>
      <c r="S34" s="174" t="s">
        <v>273</v>
      </c>
      <c r="T34" s="174" t="str">
        <f>IF(Buildings_Heat_Frontend[[#This Row],[Data]]="","", _xlfn.XLOOKUP(Buildings_Heat_Backend[[#This Row],[Info 1]],Buildings_SiteInfo[Site name],Buildings_SiteInfo[Site type]))</f>
        <v/>
      </c>
      <c r="U34" s="174" t="str">
        <f>IF(Buildings_Heat_Frontend[[#This Row],[Data]]="","", Buildings_Heat_Frontend[[#This Row],[Heating Type]])</f>
        <v/>
      </c>
      <c r="V34" s="174" t="str">
        <f>IF(Buildings_Heat_Frontend[[#This Row],[Data]]="","", Buildings_Heat_Frontend[[#This Row],[Fuel]])</f>
        <v/>
      </c>
      <c r="W34" s="174" t="str" cm="1">
        <f t="array" ref="W34">IF(Buildings_Heat_Frontend[[#This Row],[Data]]="","", _xlfn.XLOOKUP(Buildings_Heat_Backend[[#This Row],[Level 5]],rng_Level5Long,rng_Level6Long))</f>
        <v/>
      </c>
      <c r="X34" s="174" t="str">
        <f>IF(Buildings_Heat_Frontend[[#This Row],[Data]]="","", Buildings_Heat_Frontend[[#This Row],[Site Name]])</f>
        <v/>
      </c>
      <c r="Y34" s="174" t="str">
        <f>IF(Buildings_Heat_Frontend[[#This Row],[Data]]="","", Buildings_Heat_Frontend[[#This Row],[MPRN]])</f>
        <v/>
      </c>
      <c r="Z34" s="174" t="str">
        <f>IF(Buildings_Heat_Frontend[[#This Row],[Data]]="","", IF($I34="","",$I34))</f>
        <v/>
      </c>
      <c r="AA34" s="229" t="str" cm="1">
        <f t="array" ref="AA34">IF(Buildings_Heat_Frontend[[#This Row],[Data]]="","", INDEX(_xlfn.SWITCH(Buildings_Heat_Backend[[#This Row],[Methodology]],"Tier 1",rng_RSD1,"Tier 2",rng_RSD2,"Tier 3",rng_RSD3),MATCH(_xlfn.CONCAT(Buildings_Heat_Backend[[#This Row],[Level 1]:[Level 6]]),rng_LevelsConcat,0)))</f>
        <v/>
      </c>
      <c r="AB34" s="220" t="str">
        <f t="shared" si="1"/>
        <v/>
      </c>
      <c r="AC34" s="174">
        <f>Buildings_Heat_Frontend[[#This Row],[Units]]</f>
        <v>0</v>
      </c>
      <c r="AD3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 s="174" t="str">
        <f>IF(Buildings_Heat_Frontend[[#This Row],[Data]]="","", _xlfn.XLOOKUP(_xlfn.CONCAT(Buildings_Heat_Backend[[#This Row],[Level 1]:[Level 6]]),rng_LevelsConcat,rng_UnitsLong))</f>
        <v/>
      </c>
      <c r="AF34" s="210" t="str">
        <f>IF(Buildings_Heat_Frontend[[#This Row],[Data]]="","", _xlfn.XLOOKUP(_xlfn.CONCAT(Buildings_Heat_Backend[[#This Row],[Level 1]:[Level 6]]),rng_EFConcat,rng_EF1)*Buildings_Heat_Backend[[#This Row],[Converted data]]/1000)</f>
        <v/>
      </c>
      <c r="AG34" s="210" t="str">
        <f>IF(Buildings_Heat_Frontend[[#This Row],[Data]]="","", _xlfn.XLOOKUP(_xlfn.CONCAT(Buildings_Heat_Backend[[#This Row],[Level 1]:[Level 6]]),rng_EFConcat,rng_EF2)*Buildings_Heat_Backend[[#This Row],[Converted data]]/1000)</f>
        <v/>
      </c>
      <c r="AH34" s="210" t="str">
        <f>IF(Buildings_Heat_Frontend[[#This Row],[Data]]="","", _xlfn.XLOOKUP(_xlfn.CONCAT(Buildings_Heat_Backend[[#This Row],[Level 1]:[Level 6]]),rng_EFConcat,rng_EF3)*Buildings_Heat_Backend[[#This Row],[Converted data]]/1000)</f>
        <v/>
      </c>
      <c r="AI34" s="210" t="str">
        <f>IF(Buildings_Heat_Frontend[[#This Row],[Data]]="","", _xlfn.XLOOKUP(_xlfn.CONCAT(Buildings_Heat_Backend[[#This Row],[Level 1]:[Level 6]]),rng_EFConcat,rng_EF3WTT)*Buildings_Heat_Backend[[#This Row],[Converted data]]/1000)</f>
        <v/>
      </c>
      <c r="AJ34" s="210" t="str">
        <f>IF(Buildings_Heat_Frontend[[#This Row],[Data]]="","", _xlfn.XLOOKUP(_xlfn.CONCAT(Buildings_Heat_Backend[[#This Row],[Level 1]:[Level 6]]),rng_EFConcat,rng_EF3TD)*Buildings_Heat_Backend[[#This Row],[Converted data]]/1000)</f>
        <v/>
      </c>
      <c r="AK34" s="210" t="str">
        <f>IF(Buildings_Heat_Frontend[[#This Row],[Data]]="","", _xlfn.XLOOKUP(_xlfn.CONCAT(Buildings_Heat_Backend[[#This Row],[Level 1]:[Level 6]]),rng_EFConcat,rng_EF3WTTTD)*Buildings_Heat_Backend[[#This Row],[Converted data]]/1000)</f>
        <v/>
      </c>
      <c r="AL34" s="220">
        <f>SUM(Buildings_Heat_Backend[[#This Row],[Scope 1 (tCO2e)]:[Scope 3 WTT T&amp;D (tCO2e)]])</f>
        <v>0</v>
      </c>
      <c r="AM34" s="220" t="str">
        <f>IF(Buildings_Heat_Frontend[[#This Row],[Data]]="","", Buildings_Heat_Backend[[#This Row],[Total (tCO2e)]]*(1-Buildings_Heat_Backend[[#This Row],[RSD]]))</f>
        <v/>
      </c>
      <c r="AN34" s="220" t="str">
        <f>IF(Buildings_Heat_Frontend[[#This Row],[Data]]="","", Buildings_Heat_Backend[[#This Row],[Total (tCO2e)]]*(1+Buildings_Heat_Backend[[#This Row],[RSD]]))</f>
        <v/>
      </c>
      <c r="AO34" s="210" t="str">
        <f>IF(Buildings_Heat_Frontend[[#This Row],[Data]]="","", _xlfn.XLOOKUP(_xlfn.CONCAT(Buildings_Heat_Backend[[#This Row],[Level 1]:[Level 6]]),rng_EFConcat,rng_EFOOS)*Buildings_Heat_Backend[[#This Row],[Converted data]]/1000)</f>
        <v/>
      </c>
      <c r="AP34" s="174">
        <f>Buildings_Heat_Frontend[[#This Row],[Ease of collection]]</f>
        <v>0</v>
      </c>
      <c r="AQ34" s="174">
        <f>Buildings_Heat_Frontend[[#This Row],[Completeness]]</f>
        <v>0</v>
      </c>
      <c r="AR34" s="174">
        <f>Buildings_Heat_Frontend[[#This Row],[Notes]]</f>
        <v>0</v>
      </c>
    </row>
    <row r="35" spans="5:44" x14ac:dyDescent="0.3">
      <c r="E35" s="346"/>
      <c r="F35" s="364"/>
      <c r="G35" s="336"/>
      <c r="H35" s="336"/>
      <c r="I35" s="336"/>
      <c r="J35" s="334"/>
      <c r="K35" s="336"/>
      <c r="L35" s="336"/>
      <c r="M35" s="336"/>
      <c r="N35" s="352"/>
      <c r="O35" s="230">
        <f t="shared" si="2"/>
        <v>6</v>
      </c>
      <c r="Q35" s="212" t="str">
        <f t="shared" si="0"/>
        <v/>
      </c>
      <c r="R35" s="174" t="s">
        <v>265</v>
      </c>
      <c r="S35" s="174" t="s">
        <v>273</v>
      </c>
      <c r="T35" s="174" t="str">
        <f>IF(Buildings_Heat_Frontend[[#This Row],[Data]]="","", _xlfn.XLOOKUP(Buildings_Heat_Backend[[#This Row],[Info 1]],Buildings_SiteInfo[Site name],Buildings_SiteInfo[Site type]))</f>
        <v/>
      </c>
      <c r="U35" s="174" t="str">
        <f>IF(Buildings_Heat_Frontend[[#This Row],[Data]]="","", Buildings_Heat_Frontend[[#This Row],[Heating Type]])</f>
        <v/>
      </c>
      <c r="V35" s="174" t="str">
        <f>IF(Buildings_Heat_Frontend[[#This Row],[Data]]="","", Buildings_Heat_Frontend[[#This Row],[Fuel]])</f>
        <v/>
      </c>
      <c r="W35" s="174" t="str" cm="1">
        <f t="array" ref="W35">IF(Buildings_Heat_Frontend[[#This Row],[Data]]="","", _xlfn.XLOOKUP(Buildings_Heat_Backend[[#This Row],[Level 5]],rng_Level5Long,rng_Level6Long))</f>
        <v/>
      </c>
      <c r="X35" s="174" t="str">
        <f>IF(Buildings_Heat_Frontend[[#This Row],[Data]]="","", Buildings_Heat_Frontend[[#This Row],[Site Name]])</f>
        <v/>
      </c>
      <c r="Y35" s="174" t="str">
        <f>IF(Buildings_Heat_Frontend[[#This Row],[Data]]="","", Buildings_Heat_Frontend[[#This Row],[MPRN]])</f>
        <v/>
      </c>
      <c r="Z35" s="174" t="str">
        <f>IF(Buildings_Heat_Frontend[[#This Row],[Data]]="","", IF($I35="","",$I35))</f>
        <v/>
      </c>
      <c r="AA35" s="229" t="str" cm="1">
        <f t="array" ref="AA35">IF(Buildings_Heat_Frontend[[#This Row],[Data]]="","", INDEX(_xlfn.SWITCH(Buildings_Heat_Backend[[#This Row],[Methodology]],"Tier 1",rng_RSD1,"Tier 2",rng_RSD2,"Tier 3",rng_RSD3),MATCH(_xlfn.CONCAT(Buildings_Heat_Backend[[#This Row],[Level 1]:[Level 6]]),rng_LevelsConcat,0)))</f>
        <v/>
      </c>
      <c r="AB35" s="220" t="str">
        <f t="shared" si="1"/>
        <v/>
      </c>
      <c r="AC35" s="174">
        <f>Buildings_Heat_Frontend[[#This Row],[Units]]</f>
        <v>0</v>
      </c>
      <c r="AD3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 s="174" t="str">
        <f>IF(Buildings_Heat_Frontend[[#This Row],[Data]]="","", _xlfn.XLOOKUP(_xlfn.CONCAT(Buildings_Heat_Backend[[#This Row],[Level 1]:[Level 6]]),rng_LevelsConcat,rng_UnitsLong))</f>
        <v/>
      </c>
      <c r="AF35" s="210" t="str">
        <f>IF(Buildings_Heat_Frontend[[#This Row],[Data]]="","", _xlfn.XLOOKUP(_xlfn.CONCAT(Buildings_Heat_Backend[[#This Row],[Level 1]:[Level 6]]),rng_EFConcat,rng_EF1)*Buildings_Heat_Backend[[#This Row],[Converted data]]/1000)</f>
        <v/>
      </c>
      <c r="AG35" s="210" t="str">
        <f>IF(Buildings_Heat_Frontend[[#This Row],[Data]]="","", _xlfn.XLOOKUP(_xlfn.CONCAT(Buildings_Heat_Backend[[#This Row],[Level 1]:[Level 6]]),rng_EFConcat,rng_EF2)*Buildings_Heat_Backend[[#This Row],[Converted data]]/1000)</f>
        <v/>
      </c>
      <c r="AH35" s="210" t="str">
        <f>IF(Buildings_Heat_Frontend[[#This Row],[Data]]="","", _xlfn.XLOOKUP(_xlfn.CONCAT(Buildings_Heat_Backend[[#This Row],[Level 1]:[Level 6]]),rng_EFConcat,rng_EF3)*Buildings_Heat_Backend[[#This Row],[Converted data]]/1000)</f>
        <v/>
      </c>
      <c r="AI35" s="210" t="str">
        <f>IF(Buildings_Heat_Frontend[[#This Row],[Data]]="","", _xlfn.XLOOKUP(_xlfn.CONCAT(Buildings_Heat_Backend[[#This Row],[Level 1]:[Level 6]]),rng_EFConcat,rng_EF3WTT)*Buildings_Heat_Backend[[#This Row],[Converted data]]/1000)</f>
        <v/>
      </c>
      <c r="AJ35" s="210" t="str">
        <f>IF(Buildings_Heat_Frontend[[#This Row],[Data]]="","", _xlfn.XLOOKUP(_xlfn.CONCAT(Buildings_Heat_Backend[[#This Row],[Level 1]:[Level 6]]),rng_EFConcat,rng_EF3TD)*Buildings_Heat_Backend[[#This Row],[Converted data]]/1000)</f>
        <v/>
      </c>
      <c r="AK35" s="210" t="str">
        <f>IF(Buildings_Heat_Frontend[[#This Row],[Data]]="","", _xlfn.XLOOKUP(_xlfn.CONCAT(Buildings_Heat_Backend[[#This Row],[Level 1]:[Level 6]]),rng_EFConcat,rng_EF3WTTTD)*Buildings_Heat_Backend[[#This Row],[Converted data]]/1000)</f>
        <v/>
      </c>
      <c r="AL35" s="220">
        <f>SUM(Buildings_Heat_Backend[[#This Row],[Scope 1 (tCO2e)]:[Scope 3 WTT T&amp;D (tCO2e)]])</f>
        <v>0</v>
      </c>
      <c r="AM35" s="220" t="str">
        <f>IF(Buildings_Heat_Frontend[[#This Row],[Data]]="","", Buildings_Heat_Backend[[#This Row],[Total (tCO2e)]]*(1-Buildings_Heat_Backend[[#This Row],[RSD]]))</f>
        <v/>
      </c>
      <c r="AN35" s="220" t="str">
        <f>IF(Buildings_Heat_Frontend[[#This Row],[Data]]="","", Buildings_Heat_Backend[[#This Row],[Total (tCO2e)]]*(1+Buildings_Heat_Backend[[#This Row],[RSD]]))</f>
        <v/>
      </c>
      <c r="AO35" s="210" t="str">
        <f>IF(Buildings_Heat_Frontend[[#This Row],[Data]]="","", _xlfn.XLOOKUP(_xlfn.CONCAT(Buildings_Heat_Backend[[#This Row],[Level 1]:[Level 6]]),rng_EFConcat,rng_EFOOS)*Buildings_Heat_Backend[[#This Row],[Converted data]]/1000)</f>
        <v/>
      </c>
      <c r="AP35" s="174">
        <f>Buildings_Heat_Frontend[[#This Row],[Ease of collection]]</f>
        <v>0</v>
      </c>
      <c r="AQ35" s="174">
        <f>Buildings_Heat_Frontend[[#This Row],[Completeness]]</f>
        <v>0</v>
      </c>
      <c r="AR35" s="174">
        <f>Buildings_Heat_Frontend[[#This Row],[Notes]]</f>
        <v>0</v>
      </c>
    </row>
    <row r="36" spans="5:44" x14ac:dyDescent="0.3">
      <c r="E36" s="346"/>
      <c r="F36" s="364"/>
      <c r="G36" s="336"/>
      <c r="H36" s="336"/>
      <c r="I36" s="336"/>
      <c r="J36" s="334"/>
      <c r="K36" s="336"/>
      <c r="L36" s="336"/>
      <c r="M36" s="336"/>
      <c r="N36" s="352"/>
      <c r="O36" s="230">
        <f t="shared" si="2"/>
        <v>6</v>
      </c>
      <c r="Q36" s="212" t="str">
        <f t="shared" si="0"/>
        <v/>
      </c>
      <c r="R36" s="174" t="s">
        <v>265</v>
      </c>
      <c r="S36" s="174" t="s">
        <v>273</v>
      </c>
      <c r="T36" s="174" t="str">
        <f>IF(Buildings_Heat_Frontend[[#This Row],[Data]]="","", _xlfn.XLOOKUP(Buildings_Heat_Backend[[#This Row],[Info 1]],Buildings_SiteInfo[Site name],Buildings_SiteInfo[Site type]))</f>
        <v/>
      </c>
      <c r="U36" s="174" t="str">
        <f>IF(Buildings_Heat_Frontend[[#This Row],[Data]]="","", Buildings_Heat_Frontend[[#This Row],[Heating Type]])</f>
        <v/>
      </c>
      <c r="V36" s="174" t="str">
        <f>IF(Buildings_Heat_Frontend[[#This Row],[Data]]="","", Buildings_Heat_Frontend[[#This Row],[Fuel]])</f>
        <v/>
      </c>
      <c r="W36" s="174" t="str" cm="1">
        <f t="array" ref="W36">IF(Buildings_Heat_Frontend[[#This Row],[Data]]="","", _xlfn.XLOOKUP(Buildings_Heat_Backend[[#This Row],[Level 5]],rng_Level5Long,rng_Level6Long))</f>
        <v/>
      </c>
      <c r="X36" s="174" t="str">
        <f>IF(Buildings_Heat_Frontend[[#This Row],[Data]]="","", Buildings_Heat_Frontend[[#This Row],[Site Name]])</f>
        <v/>
      </c>
      <c r="Y36" s="174" t="str">
        <f>IF(Buildings_Heat_Frontend[[#This Row],[Data]]="","", Buildings_Heat_Frontend[[#This Row],[MPRN]])</f>
        <v/>
      </c>
      <c r="Z36" s="174" t="str">
        <f>IF(Buildings_Heat_Frontend[[#This Row],[Data]]="","", IF($I36="","",$I36))</f>
        <v/>
      </c>
      <c r="AA36" s="229" t="str" cm="1">
        <f t="array" ref="AA36">IF(Buildings_Heat_Frontend[[#This Row],[Data]]="","", INDEX(_xlfn.SWITCH(Buildings_Heat_Backend[[#This Row],[Methodology]],"Tier 1",rng_RSD1,"Tier 2",rng_RSD2,"Tier 3",rng_RSD3),MATCH(_xlfn.CONCAT(Buildings_Heat_Backend[[#This Row],[Level 1]:[Level 6]]),rng_LevelsConcat,0)))</f>
        <v/>
      </c>
      <c r="AB36" s="220" t="str">
        <f t="shared" si="1"/>
        <v/>
      </c>
      <c r="AC36" s="174">
        <f>Buildings_Heat_Frontend[[#This Row],[Units]]</f>
        <v>0</v>
      </c>
      <c r="AD3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 s="174" t="str">
        <f>IF(Buildings_Heat_Frontend[[#This Row],[Data]]="","", _xlfn.XLOOKUP(_xlfn.CONCAT(Buildings_Heat_Backend[[#This Row],[Level 1]:[Level 6]]),rng_LevelsConcat,rng_UnitsLong))</f>
        <v/>
      </c>
      <c r="AF36" s="210" t="str">
        <f>IF(Buildings_Heat_Frontend[[#This Row],[Data]]="","", _xlfn.XLOOKUP(_xlfn.CONCAT(Buildings_Heat_Backend[[#This Row],[Level 1]:[Level 6]]),rng_EFConcat,rng_EF1)*Buildings_Heat_Backend[[#This Row],[Converted data]]/1000)</f>
        <v/>
      </c>
      <c r="AG36" s="210" t="str">
        <f>IF(Buildings_Heat_Frontend[[#This Row],[Data]]="","", _xlfn.XLOOKUP(_xlfn.CONCAT(Buildings_Heat_Backend[[#This Row],[Level 1]:[Level 6]]),rng_EFConcat,rng_EF2)*Buildings_Heat_Backend[[#This Row],[Converted data]]/1000)</f>
        <v/>
      </c>
      <c r="AH36" s="210" t="str">
        <f>IF(Buildings_Heat_Frontend[[#This Row],[Data]]="","", _xlfn.XLOOKUP(_xlfn.CONCAT(Buildings_Heat_Backend[[#This Row],[Level 1]:[Level 6]]),rng_EFConcat,rng_EF3)*Buildings_Heat_Backend[[#This Row],[Converted data]]/1000)</f>
        <v/>
      </c>
      <c r="AI36" s="210" t="str">
        <f>IF(Buildings_Heat_Frontend[[#This Row],[Data]]="","", _xlfn.XLOOKUP(_xlfn.CONCAT(Buildings_Heat_Backend[[#This Row],[Level 1]:[Level 6]]),rng_EFConcat,rng_EF3WTT)*Buildings_Heat_Backend[[#This Row],[Converted data]]/1000)</f>
        <v/>
      </c>
      <c r="AJ36" s="210" t="str">
        <f>IF(Buildings_Heat_Frontend[[#This Row],[Data]]="","", _xlfn.XLOOKUP(_xlfn.CONCAT(Buildings_Heat_Backend[[#This Row],[Level 1]:[Level 6]]),rng_EFConcat,rng_EF3TD)*Buildings_Heat_Backend[[#This Row],[Converted data]]/1000)</f>
        <v/>
      </c>
      <c r="AK36" s="210" t="str">
        <f>IF(Buildings_Heat_Frontend[[#This Row],[Data]]="","", _xlfn.XLOOKUP(_xlfn.CONCAT(Buildings_Heat_Backend[[#This Row],[Level 1]:[Level 6]]),rng_EFConcat,rng_EF3WTTTD)*Buildings_Heat_Backend[[#This Row],[Converted data]]/1000)</f>
        <v/>
      </c>
      <c r="AL36" s="220">
        <f>SUM(Buildings_Heat_Backend[[#This Row],[Scope 1 (tCO2e)]:[Scope 3 WTT T&amp;D (tCO2e)]])</f>
        <v>0</v>
      </c>
      <c r="AM36" s="220" t="str">
        <f>IF(Buildings_Heat_Frontend[[#This Row],[Data]]="","", Buildings_Heat_Backend[[#This Row],[Total (tCO2e)]]*(1-Buildings_Heat_Backend[[#This Row],[RSD]]))</f>
        <v/>
      </c>
      <c r="AN36" s="220" t="str">
        <f>IF(Buildings_Heat_Frontend[[#This Row],[Data]]="","", Buildings_Heat_Backend[[#This Row],[Total (tCO2e)]]*(1+Buildings_Heat_Backend[[#This Row],[RSD]]))</f>
        <v/>
      </c>
      <c r="AO36" s="210" t="str">
        <f>IF(Buildings_Heat_Frontend[[#This Row],[Data]]="","", _xlfn.XLOOKUP(_xlfn.CONCAT(Buildings_Heat_Backend[[#This Row],[Level 1]:[Level 6]]),rng_EFConcat,rng_EFOOS)*Buildings_Heat_Backend[[#This Row],[Converted data]]/1000)</f>
        <v/>
      </c>
      <c r="AP36" s="174">
        <f>Buildings_Heat_Frontend[[#This Row],[Ease of collection]]</f>
        <v>0</v>
      </c>
      <c r="AQ36" s="174">
        <f>Buildings_Heat_Frontend[[#This Row],[Completeness]]</f>
        <v>0</v>
      </c>
      <c r="AR36" s="174">
        <f>Buildings_Heat_Frontend[[#This Row],[Notes]]</f>
        <v>0</v>
      </c>
    </row>
    <row r="37" spans="5:44" x14ac:dyDescent="0.3">
      <c r="E37" s="346"/>
      <c r="F37" s="364"/>
      <c r="G37" s="336"/>
      <c r="H37" s="336"/>
      <c r="I37" s="336"/>
      <c r="J37" s="334"/>
      <c r="K37" s="336"/>
      <c r="L37" s="336"/>
      <c r="M37" s="336"/>
      <c r="N37" s="352"/>
      <c r="O37" s="230">
        <f t="shared" si="2"/>
        <v>6</v>
      </c>
      <c r="Q37" s="212" t="str">
        <f t="shared" si="0"/>
        <v/>
      </c>
      <c r="R37" s="174" t="s">
        <v>265</v>
      </c>
      <c r="S37" s="174" t="s">
        <v>273</v>
      </c>
      <c r="T37" s="174" t="str">
        <f>IF(Buildings_Heat_Frontend[[#This Row],[Data]]="","", _xlfn.XLOOKUP(Buildings_Heat_Backend[[#This Row],[Info 1]],Buildings_SiteInfo[Site name],Buildings_SiteInfo[Site type]))</f>
        <v/>
      </c>
      <c r="U37" s="174" t="str">
        <f>IF(Buildings_Heat_Frontend[[#This Row],[Data]]="","", Buildings_Heat_Frontend[[#This Row],[Heating Type]])</f>
        <v/>
      </c>
      <c r="V37" s="174" t="str">
        <f>IF(Buildings_Heat_Frontend[[#This Row],[Data]]="","", Buildings_Heat_Frontend[[#This Row],[Fuel]])</f>
        <v/>
      </c>
      <c r="W37" s="174" t="str" cm="1">
        <f t="array" ref="W37">IF(Buildings_Heat_Frontend[[#This Row],[Data]]="","", _xlfn.XLOOKUP(Buildings_Heat_Backend[[#This Row],[Level 5]],rng_Level5Long,rng_Level6Long))</f>
        <v/>
      </c>
      <c r="X37" s="174" t="str">
        <f>IF(Buildings_Heat_Frontend[[#This Row],[Data]]="","", Buildings_Heat_Frontend[[#This Row],[Site Name]])</f>
        <v/>
      </c>
      <c r="Y37" s="174" t="str">
        <f>IF(Buildings_Heat_Frontend[[#This Row],[Data]]="","", Buildings_Heat_Frontend[[#This Row],[MPRN]])</f>
        <v/>
      </c>
      <c r="Z37" s="174" t="str">
        <f>IF(Buildings_Heat_Frontend[[#This Row],[Data]]="","", IF($I37="","",$I37))</f>
        <v/>
      </c>
      <c r="AA37" s="229" t="str" cm="1">
        <f t="array" ref="AA37">IF(Buildings_Heat_Frontend[[#This Row],[Data]]="","", INDEX(_xlfn.SWITCH(Buildings_Heat_Backend[[#This Row],[Methodology]],"Tier 1",rng_RSD1,"Tier 2",rng_RSD2,"Tier 3",rng_RSD3),MATCH(_xlfn.CONCAT(Buildings_Heat_Backend[[#This Row],[Level 1]:[Level 6]]),rng_LevelsConcat,0)))</f>
        <v/>
      </c>
      <c r="AB37" s="220" t="str">
        <f t="shared" si="1"/>
        <v/>
      </c>
      <c r="AC37" s="174">
        <f>Buildings_Heat_Frontend[[#This Row],[Units]]</f>
        <v>0</v>
      </c>
      <c r="AD3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 s="174" t="str">
        <f>IF(Buildings_Heat_Frontend[[#This Row],[Data]]="","", _xlfn.XLOOKUP(_xlfn.CONCAT(Buildings_Heat_Backend[[#This Row],[Level 1]:[Level 6]]),rng_LevelsConcat,rng_UnitsLong))</f>
        <v/>
      </c>
      <c r="AF37" s="210" t="str">
        <f>IF(Buildings_Heat_Frontend[[#This Row],[Data]]="","", _xlfn.XLOOKUP(_xlfn.CONCAT(Buildings_Heat_Backend[[#This Row],[Level 1]:[Level 6]]),rng_EFConcat,rng_EF1)*Buildings_Heat_Backend[[#This Row],[Converted data]]/1000)</f>
        <v/>
      </c>
      <c r="AG37" s="210" t="str">
        <f>IF(Buildings_Heat_Frontend[[#This Row],[Data]]="","", _xlfn.XLOOKUP(_xlfn.CONCAT(Buildings_Heat_Backend[[#This Row],[Level 1]:[Level 6]]),rng_EFConcat,rng_EF2)*Buildings_Heat_Backend[[#This Row],[Converted data]]/1000)</f>
        <v/>
      </c>
      <c r="AH37" s="210" t="str">
        <f>IF(Buildings_Heat_Frontend[[#This Row],[Data]]="","", _xlfn.XLOOKUP(_xlfn.CONCAT(Buildings_Heat_Backend[[#This Row],[Level 1]:[Level 6]]),rng_EFConcat,rng_EF3)*Buildings_Heat_Backend[[#This Row],[Converted data]]/1000)</f>
        <v/>
      </c>
      <c r="AI37" s="210" t="str">
        <f>IF(Buildings_Heat_Frontend[[#This Row],[Data]]="","", _xlfn.XLOOKUP(_xlfn.CONCAT(Buildings_Heat_Backend[[#This Row],[Level 1]:[Level 6]]),rng_EFConcat,rng_EF3WTT)*Buildings_Heat_Backend[[#This Row],[Converted data]]/1000)</f>
        <v/>
      </c>
      <c r="AJ37" s="210" t="str">
        <f>IF(Buildings_Heat_Frontend[[#This Row],[Data]]="","", _xlfn.XLOOKUP(_xlfn.CONCAT(Buildings_Heat_Backend[[#This Row],[Level 1]:[Level 6]]),rng_EFConcat,rng_EF3TD)*Buildings_Heat_Backend[[#This Row],[Converted data]]/1000)</f>
        <v/>
      </c>
      <c r="AK37" s="210" t="str">
        <f>IF(Buildings_Heat_Frontend[[#This Row],[Data]]="","", _xlfn.XLOOKUP(_xlfn.CONCAT(Buildings_Heat_Backend[[#This Row],[Level 1]:[Level 6]]),rng_EFConcat,rng_EF3WTTTD)*Buildings_Heat_Backend[[#This Row],[Converted data]]/1000)</f>
        <v/>
      </c>
      <c r="AL37" s="220">
        <f>SUM(Buildings_Heat_Backend[[#This Row],[Scope 1 (tCO2e)]:[Scope 3 WTT T&amp;D (tCO2e)]])</f>
        <v>0</v>
      </c>
      <c r="AM37" s="220" t="str">
        <f>IF(Buildings_Heat_Frontend[[#This Row],[Data]]="","", Buildings_Heat_Backend[[#This Row],[Total (tCO2e)]]*(1-Buildings_Heat_Backend[[#This Row],[RSD]]))</f>
        <v/>
      </c>
      <c r="AN37" s="220" t="str">
        <f>IF(Buildings_Heat_Frontend[[#This Row],[Data]]="","", Buildings_Heat_Backend[[#This Row],[Total (tCO2e)]]*(1+Buildings_Heat_Backend[[#This Row],[RSD]]))</f>
        <v/>
      </c>
      <c r="AO37" s="210" t="str">
        <f>IF(Buildings_Heat_Frontend[[#This Row],[Data]]="","", _xlfn.XLOOKUP(_xlfn.CONCAT(Buildings_Heat_Backend[[#This Row],[Level 1]:[Level 6]]),rng_EFConcat,rng_EFOOS)*Buildings_Heat_Backend[[#This Row],[Converted data]]/1000)</f>
        <v/>
      </c>
      <c r="AP37" s="174">
        <f>Buildings_Heat_Frontend[[#This Row],[Ease of collection]]</f>
        <v>0</v>
      </c>
      <c r="AQ37" s="174">
        <f>Buildings_Heat_Frontend[[#This Row],[Completeness]]</f>
        <v>0</v>
      </c>
      <c r="AR37" s="174">
        <f>Buildings_Heat_Frontend[[#This Row],[Notes]]</f>
        <v>0</v>
      </c>
    </row>
    <row r="38" spans="5:44" x14ac:dyDescent="0.3">
      <c r="E38" s="346"/>
      <c r="F38" s="364"/>
      <c r="G38" s="336"/>
      <c r="H38" s="336"/>
      <c r="I38" s="336"/>
      <c r="J38" s="334"/>
      <c r="K38" s="336"/>
      <c r="L38" s="336"/>
      <c r="M38" s="336"/>
      <c r="N38" s="352"/>
      <c r="O38" s="230">
        <f t="shared" si="2"/>
        <v>6</v>
      </c>
      <c r="Q38" s="212" t="str">
        <f t="shared" si="0"/>
        <v/>
      </c>
      <c r="R38" s="174" t="s">
        <v>265</v>
      </c>
      <c r="S38" s="174" t="s">
        <v>273</v>
      </c>
      <c r="T38" s="174" t="str">
        <f>IF(Buildings_Heat_Frontend[[#This Row],[Data]]="","", _xlfn.XLOOKUP(Buildings_Heat_Backend[[#This Row],[Info 1]],Buildings_SiteInfo[Site name],Buildings_SiteInfo[Site type]))</f>
        <v/>
      </c>
      <c r="U38" s="174" t="str">
        <f>IF(Buildings_Heat_Frontend[[#This Row],[Data]]="","", Buildings_Heat_Frontend[[#This Row],[Heating Type]])</f>
        <v/>
      </c>
      <c r="V38" s="174" t="str">
        <f>IF(Buildings_Heat_Frontend[[#This Row],[Data]]="","", Buildings_Heat_Frontend[[#This Row],[Fuel]])</f>
        <v/>
      </c>
      <c r="W38" s="174" t="str" cm="1">
        <f t="array" ref="W38">IF(Buildings_Heat_Frontend[[#This Row],[Data]]="","", _xlfn.XLOOKUP(Buildings_Heat_Backend[[#This Row],[Level 5]],rng_Level5Long,rng_Level6Long))</f>
        <v/>
      </c>
      <c r="X38" s="174" t="str">
        <f>IF(Buildings_Heat_Frontend[[#This Row],[Data]]="","", Buildings_Heat_Frontend[[#This Row],[Site Name]])</f>
        <v/>
      </c>
      <c r="Y38" s="174" t="str">
        <f>IF(Buildings_Heat_Frontend[[#This Row],[Data]]="","", Buildings_Heat_Frontend[[#This Row],[MPRN]])</f>
        <v/>
      </c>
      <c r="Z38" s="174" t="str">
        <f>IF(Buildings_Heat_Frontend[[#This Row],[Data]]="","", IF($I38="","",$I38))</f>
        <v/>
      </c>
      <c r="AA38" s="229" t="str" cm="1">
        <f t="array" ref="AA38">IF(Buildings_Heat_Frontend[[#This Row],[Data]]="","", INDEX(_xlfn.SWITCH(Buildings_Heat_Backend[[#This Row],[Methodology]],"Tier 1",rng_RSD1,"Tier 2",rng_RSD2,"Tier 3",rng_RSD3),MATCH(_xlfn.CONCAT(Buildings_Heat_Backend[[#This Row],[Level 1]:[Level 6]]),rng_LevelsConcat,0)))</f>
        <v/>
      </c>
      <c r="AB38" s="220" t="str">
        <f t="shared" si="1"/>
        <v/>
      </c>
      <c r="AC38" s="174">
        <f>Buildings_Heat_Frontend[[#This Row],[Units]]</f>
        <v>0</v>
      </c>
      <c r="AD3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 s="174" t="str">
        <f>IF(Buildings_Heat_Frontend[[#This Row],[Data]]="","", _xlfn.XLOOKUP(_xlfn.CONCAT(Buildings_Heat_Backend[[#This Row],[Level 1]:[Level 6]]),rng_LevelsConcat,rng_UnitsLong))</f>
        <v/>
      </c>
      <c r="AF38" s="210" t="str">
        <f>IF(Buildings_Heat_Frontend[[#This Row],[Data]]="","", _xlfn.XLOOKUP(_xlfn.CONCAT(Buildings_Heat_Backend[[#This Row],[Level 1]:[Level 6]]),rng_EFConcat,rng_EF1)*Buildings_Heat_Backend[[#This Row],[Converted data]]/1000)</f>
        <v/>
      </c>
      <c r="AG38" s="210" t="str">
        <f>IF(Buildings_Heat_Frontend[[#This Row],[Data]]="","", _xlfn.XLOOKUP(_xlfn.CONCAT(Buildings_Heat_Backend[[#This Row],[Level 1]:[Level 6]]),rng_EFConcat,rng_EF2)*Buildings_Heat_Backend[[#This Row],[Converted data]]/1000)</f>
        <v/>
      </c>
      <c r="AH38" s="210" t="str">
        <f>IF(Buildings_Heat_Frontend[[#This Row],[Data]]="","", _xlfn.XLOOKUP(_xlfn.CONCAT(Buildings_Heat_Backend[[#This Row],[Level 1]:[Level 6]]),rng_EFConcat,rng_EF3)*Buildings_Heat_Backend[[#This Row],[Converted data]]/1000)</f>
        <v/>
      </c>
      <c r="AI38" s="210" t="str">
        <f>IF(Buildings_Heat_Frontend[[#This Row],[Data]]="","", _xlfn.XLOOKUP(_xlfn.CONCAT(Buildings_Heat_Backend[[#This Row],[Level 1]:[Level 6]]),rng_EFConcat,rng_EF3WTT)*Buildings_Heat_Backend[[#This Row],[Converted data]]/1000)</f>
        <v/>
      </c>
      <c r="AJ38" s="210" t="str">
        <f>IF(Buildings_Heat_Frontend[[#This Row],[Data]]="","", _xlfn.XLOOKUP(_xlfn.CONCAT(Buildings_Heat_Backend[[#This Row],[Level 1]:[Level 6]]),rng_EFConcat,rng_EF3TD)*Buildings_Heat_Backend[[#This Row],[Converted data]]/1000)</f>
        <v/>
      </c>
      <c r="AK38" s="210" t="str">
        <f>IF(Buildings_Heat_Frontend[[#This Row],[Data]]="","", _xlfn.XLOOKUP(_xlfn.CONCAT(Buildings_Heat_Backend[[#This Row],[Level 1]:[Level 6]]),rng_EFConcat,rng_EF3WTTTD)*Buildings_Heat_Backend[[#This Row],[Converted data]]/1000)</f>
        <v/>
      </c>
      <c r="AL38" s="220">
        <f>SUM(Buildings_Heat_Backend[[#This Row],[Scope 1 (tCO2e)]:[Scope 3 WTT T&amp;D (tCO2e)]])</f>
        <v>0</v>
      </c>
      <c r="AM38" s="220" t="str">
        <f>IF(Buildings_Heat_Frontend[[#This Row],[Data]]="","", Buildings_Heat_Backend[[#This Row],[Total (tCO2e)]]*(1-Buildings_Heat_Backend[[#This Row],[RSD]]))</f>
        <v/>
      </c>
      <c r="AN38" s="220" t="str">
        <f>IF(Buildings_Heat_Frontend[[#This Row],[Data]]="","", Buildings_Heat_Backend[[#This Row],[Total (tCO2e)]]*(1+Buildings_Heat_Backend[[#This Row],[RSD]]))</f>
        <v/>
      </c>
      <c r="AO38" s="210" t="str">
        <f>IF(Buildings_Heat_Frontend[[#This Row],[Data]]="","", _xlfn.XLOOKUP(_xlfn.CONCAT(Buildings_Heat_Backend[[#This Row],[Level 1]:[Level 6]]),rng_EFConcat,rng_EFOOS)*Buildings_Heat_Backend[[#This Row],[Converted data]]/1000)</f>
        <v/>
      </c>
      <c r="AP38" s="174">
        <f>Buildings_Heat_Frontend[[#This Row],[Ease of collection]]</f>
        <v>0</v>
      </c>
      <c r="AQ38" s="174">
        <f>Buildings_Heat_Frontend[[#This Row],[Completeness]]</f>
        <v>0</v>
      </c>
      <c r="AR38" s="174">
        <f>Buildings_Heat_Frontend[[#This Row],[Notes]]</f>
        <v>0</v>
      </c>
    </row>
    <row r="39" spans="5:44" x14ac:dyDescent="0.3">
      <c r="E39" s="346"/>
      <c r="F39" s="364"/>
      <c r="G39" s="336"/>
      <c r="H39" s="336"/>
      <c r="I39" s="336"/>
      <c r="J39" s="334"/>
      <c r="K39" s="336"/>
      <c r="L39" s="336"/>
      <c r="M39" s="336"/>
      <c r="N39" s="352"/>
      <c r="O39" s="230">
        <f t="shared" si="2"/>
        <v>6</v>
      </c>
      <c r="Q39" s="212" t="str">
        <f t="shared" si="0"/>
        <v/>
      </c>
      <c r="R39" s="174" t="s">
        <v>265</v>
      </c>
      <c r="S39" s="174" t="s">
        <v>273</v>
      </c>
      <c r="T39" s="174" t="str">
        <f>IF(Buildings_Heat_Frontend[[#This Row],[Data]]="","", _xlfn.XLOOKUP(Buildings_Heat_Backend[[#This Row],[Info 1]],Buildings_SiteInfo[Site name],Buildings_SiteInfo[Site type]))</f>
        <v/>
      </c>
      <c r="U39" s="174" t="str">
        <f>IF(Buildings_Heat_Frontend[[#This Row],[Data]]="","", Buildings_Heat_Frontend[[#This Row],[Heating Type]])</f>
        <v/>
      </c>
      <c r="V39" s="174" t="str">
        <f>IF(Buildings_Heat_Frontend[[#This Row],[Data]]="","", Buildings_Heat_Frontend[[#This Row],[Fuel]])</f>
        <v/>
      </c>
      <c r="W39" s="174" t="str" cm="1">
        <f t="array" ref="W39">IF(Buildings_Heat_Frontend[[#This Row],[Data]]="","", _xlfn.XLOOKUP(Buildings_Heat_Backend[[#This Row],[Level 5]],rng_Level5Long,rng_Level6Long))</f>
        <v/>
      </c>
      <c r="X39" s="174" t="str">
        <f>IF(Buildings_Heat_Frontend[[#This Row],[Data]]="","", Buildings_Heat_Frontend[[#This Row],[Site Name]])</f>
        <v/>
      </c>
      <c r="Y39" s="174" t="str">
        <f>IF(Buildings_Heat_Frontend[[#This Row],[Data]]="","", Buildings_Heat_Frontend[[#This Row],[MPRN]])</f>
        <v/>
      </c>
      <c r="Z39" s="174" t="str">
        <f>IF(Buildings_Heat_Frontend[[#This Row],[Data]]="","", IF($I39="","",$I39))</f>
        <v/>
      </c>
      <c r="AA39" s="229" t="str" cm="1">
        <f t="array" ref="AA39">IF(Buildings_Heat_Frontend[[#This Row],[Data]]="","", INDEX(_xlfn.SWITCH(Buildings_Heat_Backend[[#This Row],[Methodology]],"Tier 1",rng_RSD1,"Tier 2",rng_RSD2,"Tier 3",rng_RSD3),MATCH(_xlfn.CONCAT(Buildings_Heat_Backend[[#This Row],[Level 1]:[Level 6]]),rng_LevelsConcat,0)))</f>
        <v/>
      </c>
      <c r="AB39" s="220" t="str">
        <f t="shared" si="1"/>
        <v/>
      </c>
      <c r="AC39" s="174">
        <f>Buildings_Heat_Frontend[[#This Row],[Units]]</f>
        <v>0</v>
      </c>
      <c r="AD3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 s="174" t="str">
        <f>IF(Buildings_Heat_Frontend[[#This Row],[Data]]="","", _xlfn.XLOOKUP(_xlfn.CONCAT(Buildings_Heat_Backend[[#This Row],[Level 1]:[Level 6]]),rng_LevelsConcat,rng_UnitsLong))</f>
        <v/>
      </c>
      <c r="AF39" s="210" t="str">
        <f>IF(Buildings_Heat_Frontend[[#This Row],[Data]]="","", _xlfn.XLOOKUP(_xlfn.CONCAT(Buildings_Heat_Backend[[#This Row],[Level 1]:[Level 6]]),rng_EFConcat,rng_EF1)*Buildings_Heat_Backend[[#This Row],[Converted data]]/1000)</f>
        <v/>
      </c>
      <c r="AG39" s="210" t="str">
        <f>IF(Buildings_Heat_Frontend[[#This Row],[Data]]="","", _xlfn.XLOOKUP(_xlfn.CONCAT(Buildings_Heat_Backend[[#This Row],[Level 1]:[Level 6]]),rng_EFConcat,rng_EF2)*Buildings_Heat_Backend[[#This Row],[Converted data]]/1000)</f>
        <v/>
      </c>
      <c r="AH39" s="210" t="str">
        <f>IF(Buildings_Heat_Frontend[[#This Row],[Data]]="","", _xlfn.XLOOKUP(_xlfn.CONCAT(Buildings_Heat_Backend[[#This Row],[Level 1]:[Level 6]]),rng_EFConcat,rng_EF3)*Buildings_Heat_Backend[[#This Row],[Converted data]]/1000)</f>
        <v/>
      </c>
      <c r="AI39" s="210" t="str">
        <f>IF(Buildings_Heat_Frontend[[#This Row],[Data]]="","", _xlfn.XLOOKUP(_xlfn.CONCAT(Buildings_Heat_Backend[[#This Row],[Level 1]:[Level 6]]),rng_EFConcat,rng_EF3WTT)*Buildings_Heat_Backend[[#This Row],[Converted data]]/1000)</f>
        <v/>
      </c>
      <c r="AJ39" s="210" t="str">
        <f>IF(Buildings_Heat_Frontend[[#This Row],[Data]]="","", _xlfn.XLOOKUP(_xlfn.CONCAT(Buildings_Heat_Backend[[#This Row],[Level 1]:[Level 6]]),rng_EFConcat,rng_EF3TD)*Buildings_Heat_Backend[[#This Row],[Converted data]]/1000)</f>
        <v/>
      </c>
      <c r="AK39" s="210" t="str">
        <f>IF(Buildings_Heat_Frontend[[#This Row],[Data]]="","", _xlfn.XLOOKUP(_xlfn.CONCAT(Buildings_Heat_Backend[[#This Row],[Level 1]:[Level 6]]),rng_EFConcat,rng_EF3WTTTD)*Buildings_Heat_Backend[[#This Row],[Converted data]]/1000)</f>
        <v/>
      </c>
      <c r="AL39" s="220">
        <f>SUM(Buildings_Heat_Backend[[#This Row],[Scope 1 (tCO2e)]:[Scope 3 WTT T&amp;D (tCO2e)]])</f>
        <v>0</v>
      </c>
      <c r="AM39" s="220" t="str">
        <f>IF(Buildings_Heat_Frontend[[#This Row],[Data]]="","", Buildings_Heat_Backend[[#This Row],[Total (tCO2e)]]*(1-Buildings_Heat_Backend[[#This Row],[RSD]]))</f>
        <v/>
      </c>
      <c r="AN39" s="220" t="str">
        <f>IF(Buildings_Heat_Frontend[[#This Row],[Data]]="","", Buildings_Heat_Backend[[#This Row],[Total (tCO2e)]]*(1+Buildings_Heat_Backend[[#This Row],[RSD]]))</f>
        <v/>
      </c>
      <c r="AO39" s="210" t="str">
        <f>IF(Buildings_Heat_Frontend[[#This Row],[Data]]="","", _xlfn.XLOOKUP(_xlfn.CONCAT(Buildings_Heat_Backend[[#This Row],[Level 1]:[Level 6]]),rng_EFConcat,rng_EFOOS)*Buildings_Heat_Backend[[#This Row],[Converted data]]/1000)</f>
        <v/>
      </c>
      <c r="AP39" s="174">
        <f>Buildings_Heat_Frontend[[#This Row],[Ease of collection]]</f>
        <v>0</v>
      </c>
      <c r="AQ39" s="174">
        <f>Buildings_Heat_Frontend[[#This Row],[Completeness]]</f>
        <v>0</v>
      </c>
      <c r="AR39" s="174">
        <f>Buildings_Heat_Frontend[[#This Row],[Notes]]</f>
        <v>0</v>
      </c>
    </row>
    <row r="40" spans="5:44" x14ac:dyDescent="0.3">
      <c r="E40" s="346"/>
      <c r="F40" s="364"/>
      <c r="G40" s="336"/>
      <c r="H40" s="336"/>
      <c r="I40" s="336"/>
      <c r="J40" s="334"/>
      <c r="K40" s="336"/>
      <c r="L40" s="336"/>
      <c r="M40" s="336"/>
      <c r="N40" s="352"/>
      <c r="O40" s="230">
        <f t="shared" si="2"/>
        <v>6</v>
      </c>
      <c r="Q40" s="212" t="str">
        <f t="shared" si="0"/>
        <v/>
      </c>
      <c r="R40" s="174" t="s">
        <v>265</v>
      </c>
      <c r="S40" s="174" t="s">
        <v>273</v>
      </c>
      <c r="T40" s="174" t="str">
        <f>IF(Buildings_Heat_Frontend[[#This Row],[Data]]="","", _xlfn.XLOOKUP(Buildings_Heat_Backend[[#This Row],[Info 1]],Buildings_SiteInfo[Site name],Buildings_SiteInfo[Site type]))</f>
        <v/>
      </c>
      <c r="U40" s="174" t="str">
        <f>IF(Buildings_Heat_Frontend[[#This Row],[Data]]="","", Buildings_Heat_Frontend[[#This Row],[Heating Type]])</f>
        <v/>
      </c>
      <c r="V40" s="174" t="str">
        <f>IF(Buildings_Heat_Frontend[[#This Row],[Data]]="","", Buildings_Heat_Frontend[[#This Row],[Fuel]])</f>
        <v/>
      </c>
      <c r="W40" s="174" t="str" cm="1">
        <f t="array" ref="W40">IF(Buildings_Heat_Frontend[[#This Row],[Data]]="","", _xlfn.XLOOKUP(Buildings_Heat_Backend[[#This Row],[Level 5]],rng_Level5Long,rng_Level6Long))</f>
        <v/>
      </c>
      <c r="X40" s="174" t="str">
        <f>IF(Buildings_Heat_Frontend[[#This Row],[Data]]="","", Buildings_Heat_Frontend[[#This Row],[Site Name]])</f>
        <v/>
      </c>
      <c r="Y40" s="174" t="str">
        <f>IF(Buildings_Heat_Frontend[[#This Row],[Data]]="","", Buildings_Heat_Frontend[[#This Row],[MPRN]])</f>
        <v/>
      </c>
      <c r="Z40" s="174" t="str">
        <f>IF(Buildings_Heat_Frontend[[#This Row],[Data]]="","", IF($I40="","",$I40))</f>
        <v/>
      </c>
      <c r="AA40" s="229" t="str" cm="1">
        <f t="array" ref="AA40">IF(Buildings_Heat_Frontend[[#This Row],[Data]]="","", INDEX(_xlfn.SWITCH(Buildings_Heat_Backend[[#This Row],[Methodology]],"Tier 1",rng_RSD1,"Tier 2",rng_RSD2,"Tier 3",rng_RSD3),MATCH(_xlfn.CONCAT(Buildings_Heat_Backend[[#This Row],[Level 1]:[Level 6]]),rng_LevelsConcat,0)))</f>
        <v/>
      </c>
      <c r="AB40" s="220" t="str">
        <f t="shared" si="1"/>
        <v/>
      </c>
      <c r="AC40" s="174">
        <f>Buildings_Heat_Frontend[[#This Row],[Units]]</f>
        <v>0</v>
      </c>
      <c r="AD4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 s="174" t="str">
        <f>IF(Buildings_Heat_Frontend[[#This Row],[Data]]="","", _xlfn.XLOOKUP(_xlfn.CONCAT(Buildings_Heat_Backend[[#This Row],[Level 1]:[Level 6]]),rng_LevelsConcat,rng_UnitsLong))</f>
        <v/>
      </c>
      <c r="AF40" s="210" t="str">
        <f>IF(Buildings_Heat_Frontend[[#This Row],[Data]]="","", _xlfn.XLOOKUP(_xlfn.CONCAT(Buildings_Heat_Backend[[#This Row],[Level 1]:[Level 6]]),rng_EFConcat,rng_EF1)*Buildings_Heat_Backend[[#This Row],[Converted data]]/1000)</f>
        <v/>
      </c>
      <c r="AG40" s="210" t="str">
        <f>IF(Buildings_Heat_Frontend[[#This Row],[Data]]="","", _xlfn.XLOOKUP(_xlfn.CONCAT(Buildings_Heat_Backend[[#This Row],[Level 1]:[Level 6]]),rng_EFConcat,rng_EF2)*Buildings_Heat_Backend[[#This Row],[Converted data]]/1000)</f>
        <v/>
      </c>
      <c r="AH40" s="210" t="str">
        <f>IF(Buildings_Heat_Frontend[[#This Row],[Data]]="","", _xlfn.XLOOKUP(_xlfn.CONCAT(Buildings_Heat_Backend[[#This Row],[Level 1]:[Level 6]]),rng_EFConcat,rng_EF3)*Buildings_Heat_Backend[[#This Row],[Converted data]]/1000)</f>
        <v/>
      </c>
      <c r="AI40" s="210" t="str">
        <f>IF(Buildings_Heat_Frontend[[#This Row],[Data]]="","", _xlfn.XLOOKUP(_xlfn.CONCAT(Buildings_Heat_Backend[[#This Row],[Level 1]:[Level 6]]),rng_EFConcat,rng_EF3WTT)*Buildings_Heat_Backend[[#This Row],[Converted data]]/1000)</f>
        <v/>
      </c>
      <c r="AJ40" s="210" t="str">
        <f>IF(Buildings_Heat_Frontend[[#This Row],[Data]]="","", _xlfn.XLOOKUP(_xlfn.CONCAT(Buildings_Heat_Backend[[#This Row],[Level 1]:[Level 6]]),rng_EFConcat,rng_EF3TD)*Buildings_Heat_Backend[[#This Row],[Converted data]]/1000)</f>
        <v/>
      </c>
      <c r="AK40" s="210" t="str">
        <f>IF(Buildings_Heat_Frontend[[#This Row],[Data]]="","", _xlfn.XLOOKUP(_xlfn.CONCAT(Buildings_Heat_Backend[[#This Row],[Level 1]:[Level 6]]),rng_EFConcat,rng_EF3WTTTD)*Buildings_Heat_Backend[[#This Row],[Converted data]]/1000)</f>
        <v/>
      </c>
      <c r="AL40" s="220">
        <f>SUM(Buildings_Heat_Backend[[#This Row],[Scope 1 (tCO2e)]:[Scope 3 WTT T&amp;D (tCO2e)]])</f>
        <v>0</v>
      </c>
      <c r="AM40" s="220" t="str">
        <f>IF(Buildings_Heat_Frontend[[#This Row],[Data]]="","", Buildings_Heat_Backend[[#This Row],[Total (tCO2e)]]*(1-Buildings_Heat_Backend[[#This Row],[RSD]]))</f>
        <v/>
      </c>
      <c r="AN40" s="220" t="str">
        <f>IF(Buildings_Heat_Frontend[[#This Row],[Data]]="","", Buildings_Heat_Backend[[#This Row],[Total (tCO2e)]]*(1+Buildings_Heat_Backend[[#This Row],[RSD]]))</f>
        <v/>
      </c>
      <c r="AO40" s="210" t="str">
        <f>IF(Buildings_Heat_Frontend[[#This Row],[Data]]="","", _xlfn.XLOOKUP(_xlfn.CONCAT(Buildings_Heat_Backend[[#This Row],[Level 1]:[Level 6]]),rng_EFConcat,rng_EFOOS)*Buildings_Heat_Backend[[#This Row],[Converted data]]/1000)</f>
        <v/>
      </c>
      <c r="AP40" s="174">
        <f>Buildings_Heat_Frontend[[#This Row],[Ease of collection]]</f>
        <v>0</v>
      </c>
      <c r="AQ40" s="174">
        <f>Buildings_Heat_Frontend[[#This Row],[Completeness]]</f>
        <v>0</v>
      </c>
      <c r="AR40" s="174">
        <f>Buildings_Heat_Frontend[[#This Row],[Notes]]</f>
        <v>0</v>
      </c>
    </row>
    <row r="41" spans="5:44" x14ac:dyDescent="0.3">
      <c r="E41" s="346"/>
      <c r="F41" s="364"/>
      <c r="G41" s="336"/>
      <c r="H41" s="336"/>
      <c r="I41" s="336"/>
      <c r="J41" s="334"/>
      <c r="K41" s="336"/>
      <c r="L41" s="336"/>
      <c r="M41" s="336"/>
      <c r="N41" s="352"/>
      <c r="O41" s="230">
        <f t="shared" si="2"/>
        <v>6</v>
      </c>
      <c r="Q41" s="212" t="str">
        <f t="shared" si="0"/>
        <v/>
      </c>
      <c r="R41" s="174" t="s">
        <v>265</v>
      </c>
      <c r="S41" s="174" t="s">
        <v>273</v>
      </c>
      <c r="T41" s="174" t="str">
        <f>IF(Buildings_Heat_Frontend[[#This Row],[Data]]="","", _xlfn.XLOOKUP(Buildings_Heat_Backend[[#This Row],[Info 1]],Buildings_SiteInfo[Site name],Buildings_SiteInfo[Site type]))</f>
        <v/>
      </c>
      <c r="U41" s="174" t="str">
        <f>IF(Buildings_Heat_Frontend[[#This Row],[Data]]="","", Buildings_Heat_Frontend[[#This Row],[Heating Type]])</f>
        <v/>
      </c>
      <c r="V41" s="174" t="str">
        <f>IF(Buildings_Heat_Frontend[[#This Row],[Data]]="","", Buildings_Heat_Frontend[[#This Row],[Fuel]])</f>
        <v/>
      </c>
      <c r="W41" s="174" t="str" cm="1">
        <f t="array" ref="W41">IF(Buildings_Heat_Frontend[[#This Row],[Data]]="","", _xlfn.XLOOKUP(Buildings_Heat_Backend[[#This Row],[Level 5]],rng_Level5Long,rng_Level6Long))</f>
        <v/>
      </c>
      <c r="X41" s="174" t="str">
        <f>IF(Buildings_Heat_Frontend[[#This Row],[Data]]="","", Buildings_Heat_Frontend[[#This Row],[Site Name]])</f>
        <v/>
      </c>
      <c r="Y41" s="174" t="str">
        <f>IF(Buildings_Heat_Frontend[[#This Row],[Data]]="","", Buildings_Heat_Frontend[[#This Row],[MPRN]])</f>
        <v/>
      </c>
      <c r="Z41" s="174" t="str">
        <f>IF(Buildings_Heat_Frontend[[#This Row],[Data]]="","", IF($I41="","",$I41))</f>
        <v/>
      </c>
      <c r="AA41" s="229" t="str" cm="1">
        <f t="array" ref="AA41">IF(Buildings_Heat_Frontend[[#This Row],[Data]]="","", INDEX(_xlfn.SWITCH(Buildings_Heat_Backend[[#This Row],[Methodology]],"Tier 1",rng_RSD1,"Tier 2",rng_RSD2,"Tier 3",rng_RSD3),MATCH(_xlfn.CONCAT(Buildings_Heat_Backend[[#This Row],[Level 1]:[Level 6]]),rng_LevelsConcat,0)))</f>
        <v/>
      </c>
      <c r="AB41" s="220" t="str">
        <f t="shared" si="1"/>
        <v/>
      </c>
      <c r="AC41" s="174">
        <f>Buildings_Heat_Frontend[[#This Row],[Units]]</f>
        <v>0</v>
      </c>
      <c r="AD4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 s="174" t="str">
        <f>IF(Buildings_Heat_Frontend[[#This Row],[Data]]="","", _xlfn.XLOOKUP(_xlfn.CONCAT(Buildings_Heat_Backend[[#This Row],[Level 1]:[Level 6]]),rng_LevelsConcat,rng_UnitsLong))</f>
        <v/>
      </c>
      <c r="AF41" s="210" t="str">
        <f>IF(Buildings_Heat_Frontend[[#This Row],[Data]]="","", _xlfn.XLOOKUP(_xlfn.CONCAT(Buildings_Heat_Backend[[#This Row],[Level 1]:[Level 6]]),rng_EFConcat,rng_EF1)*Buildings_Heat_Backend[[#This Row],[Converted data]]/1000)</f>
        <v/>
      </c>
      <c r="AG41" s="210" t="str">
        <f>IF(Buildings_Heat_Frontend[[#This Row],[Data]]="","", _xlfn.XLOOKUP(_xlfn.CONCAT(Buildings_Heat_Backend[[#This Row],[Level 1]:[Level 6]]),rng_EFConcat,rng_EF2)*Buildings_Heat_Backend[[#This Row],[Converted data]]/1000)</f>
        <v/>
      </c>
      <c r="AH41" s="210" t="str">
        <f>IF(Buildings_Heat_Frontend[[#This Row],[Data]]="","", _xlfn.XLOOKUP(_xlfn.CONCAT(Buildings_Heat_Backend[[#This Row],[Level 1]:[Level 6]]),rng_EFConcat,rng_EF3)*Buildings_Heat_Backend[[#This Row],[Converted data]]/1000)</f>
        <v/>
      </c>
      <c r="AI41" s="210" t="str">
        <f>IF(Buildings_Heat_Frontend[[#This Row],[Data]]="","", _xlfn.XLOOKUP(_xlfn.CONCAT(Buildings_Heat_Backend[[#This Row],[Level 1]:[Level 6]]),rng_EFConcat,rng_EF3WTT)*Buildings_Heat_Backend[[#This Row],[Converted data]]/1000)</f>
        <v/>
      </c>
      <c r="AJ41" s="210" t="str">
        <f>IF(Buildings_Heat_Frontend[[#This Row],[Data]]="","", _xlfn.XLOOKUP(_xlfn.CONCAT(Buildings_Heat_Backend[[#This Row],[Level 1]:[Level 6]]),rng_EFConcat,rng_EF3TD)*Buildings_Heat_Backend[[#This Row],[Converted data]]/1000)</f>
        <v/>
      </c>
      <c r="AK41" s="210" t="str">
        <f>IF(Buildings_Heat_Frontend[[#This Row],[Data]]="","", _xlfn.XLOOKUP(_xlfn.CONCAT(Buildings_Heat_Backend[[#This Row],[Level 1]:[Level 6]]),rng_EFConcat,rng_EF3WTTTD)*Buildings_Heat_Backend[[#This Row],[Converted data]]/1000)</f>
        <v/>
      </c>
      <c r="AL41" s="220">
        <f>SUM(Buildings_Heat_Backend[[#This Row],[Scope 1 (tCO2e)]:[Scope 3 WTT T&amp;D (tCO2e)]])</f>
        <v>0</v>
      </c>
      <c r="AM41" s="220" t="str">
        <f>IF(Buildings_Heat_Frontend[[#This Row],[Data]]="","", Buildings_Heat_Backend[[#This Row],[Total (tCO2e)]]*(1-Buildings_Heat_Backend[[#This Row],[RSD]]))</f>
        <v/>
      </c>
      <c r="AN41" s="220" t="str">
        <f>IF(Buildings_Heat_Frontend[[#This Row],[Data]]="","", Buildings_Heat_Backend[[#This Row],[Total (tCO2e)]]*(1+Buildings_Heat_Backend[[#This Row],[RSD]]))</f>
        <v/>
      </c>
      <c r="AO41" s="210" t="str">
        <f>IF(Buildings_Heat_Frontend[[#This Row],[Data]]="","", _xlfn.XLOOKUP(_xlfn.CONCAT(Buildings_Heat_Backend[[#This Row],[Level 1]:[Level 6]]),rng_EFConcat,rng_EFOOS)*Buildings_Heat_Backend[[#This Row],[Converted data]]/1000)</f>
        <v/>
      </c>
      <c r="AP41" s="174">
        <f>Buildings_Heat_Frontend[[#This Row],[Ease of collection]]</f>
        <v>0</v>
      </c>
      <c r="AQ41" s="174">
        <f>Buildings_Heat_Frontend[[#This Row],[Completeness]]</f>
        <v>0</v>
      </c>
      <c r="AR41" s="174">
        <f>Buildings_Heat_Frontend[[#This Row],[Notes]]</f>
        <v>0</v>
      </c>
    </row>
    <row r="42" spans="5:44" x14ac:dyDescent="0.3">
      <c r="E42" s="346"/>
      <c r="F42" s="364"/>
      <c r="G42" s="336"/>
      <c r="H42" s="336"/>
      <c r="I42" s="336"/>
      <c r="J42" s="334"/>
      <c r="K42" s="336"/>
      <c r="L42" s="336"/>
      <c r="M42" s="336"/>
      <c r="N42" s="352"/>
      <c r="O42" s="230">
        <f t="shared" si="2"/>
        <v>6</v>
      </c>
      <c r="Q42" s="212" t="str">
        <f t="shared" si="0"/>
        <v/>
      </c>
      <c r="R42" s="174" t="s">
        <v>265</v>
      </c>
      <c r="S42" s="174" t="s">
        <v>273</v>
      </c>
      <c r="T42" s="174" t="str">
        <f>IF(Buildings_Heat_Frontend[[#This Row],[Data]]="","", _xlfn.XLOOKUP(Buildings_Heat_Backend[[#This Row],[Info 1]],Buildings_SiteInfo[Site name],Buildings_SiteInfo[Site type]))</f>
        <v/>
      </c>
      <c r="U42" s="174" t="str">
        <f>IF(Buildings_Heat_Frontend[[#This Row],[Data]]="","", Buildings_Heat_Frontend[[#This Row],[Heating Type]])</f>
        <v/>
      </c>
      <c r="V42" s="174" t="str">
        <f>IF(Buildings_Heat_Frontend[[#This Row],[Data]]="","", Buildings_Heat_Frontend[[#This Row],[Fuel]])</f>
        <v/>
      </c>
      <c r="W42" s="174" t="str" cm="1">
        <f t="array" ref="W42">IF(Buildings_Heat_Frontend[[#This Row],[Data]]="","", _xlfn.XLOOKUP(Buildings_Heat_Backend[[#This Row],[Level 5]],rng_Level5Long,rng_Level6Long))</f>
        <v/>
      </c>
      <c r="X42" s="174" t="str">
        <f>IF(Buildings_Heat_Frontend[[#This Row],[Data]]="","", Buildings_Heat_Frontend[[#This Row],[Site Name]])</f>
        <v/>
      </c>
      <c r="Y42" s="174" t="str">
        <f>IF(Buildings_Heat_Frontend[[#This Row],[Data]]="","", Buildings_Heat_Frontend[[#This Row],[MPRN]])</f>
        <v/>
      </c>
      <c r="Z42" s="174" t="str">
        <f>IF(Buildings_Heat_Frontend[[#This Row],[Data]]="","", IF($I42="","",$I42))</f>
        <v/>
      </c>
      <c r="AA42" s="229" t="str" cm="1">
        <f t="array" ref="AA42">IF(Buildings_Heat_Frontend[[#This Row],[Data]]="","", INDEX(_xlfn.SWITCH(Buildings_Heat_Backend[[#This Row],[Methodology]],"Tier 1",rng_RSD1,"Tier 2",rng_RSD2,"Tier 3",rng_RSD3),MATCH(_xlfn.CONCAT(Buildings_Heat_Backend[[#This Row],[Level 1]:[Level 6]]),rng_LevelsConcat,0)))</f>
        <v/>
      </c>
      <c r="AB42" s="220" t="str">
        <f t="shared" si="1"/>
        <v/>
      </c>
      <c r="AC42" s="174">
        <f>Buildings_Heat_Frontend[[#This Row],[Units]]</f>
        <v>0</v>
      </c>
      <c r="AD4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 s="174" t="str">
        <f>IF(Buildings_Heat_Frontend[[#This Row],[Data]]="","", _xlfn.XLOOKUP(_xlfn.CONCAT(Buildings_Heat_Backend[[#This Row],[Level 1]:[Level 6]]),rng_LevelsConcat,rng_UnitsLong))</f>
        <v/>
      </c>
      <c r="AF42" s="210" t="str">
        <f>IF(Buildings_Heat_Frontend[[#This Row],[Data]]="","", _xlfn.XLOOKUP(_xlfn.CONCAT(Buildings_Heat_Backend[[#This Row],[Level 1]:[Level 6]]),rng_EFConcat,rng_EF1)*Buildings_Heat_Backend[[#This Row],[Converted data]]/1000)</f>
        <v/>
      </c>
      <c r="AG42" s="210" t="str">
        <f>IF(Buildings_Heat_Frontend[[#This Row],[Data]]="","", _xlfn.XLOOKUP(_xlfn.CONCAT(Buildings_Heat_Backend[[#This Row],[Level 1]:[Level 6]]),rng_EFConcat,rng_EF2)*Buildings_Heat_Backend[[#This Row],[Converted data]]/1000)</f>
        <v/>
      </c>
      <c r="AH42" s="210" t="str">
        <f>IF(Buildings_Heat_Frontend[[#This Row],[Data]]="","", _xlfn.XLOOKUP(_xlfn.CONCAT(Buildings_Heat_Backend[[#This Row],[Level 1]:[Level 6]]),rng_EFConcat,rng_EF3)*Buildings_Heat_Backend[[#This Row],[Converted data]]/1000)</f>
        <v/>
      </c>
      <c r="AI42" s="210" t="str">
        <f>IF(Buildings_Heat_Frontend[[#This Row],[Data]]="","", _xlfn.XLOOKUP(_xlfn.CONCAT(Buildings_Heat_Backend[[#This Row],[Level 1]:[Level 6]]),rng_EFConcat,rng_EF3WTT)*Buildings_Heat_Backend[[#This Row],[Converted data]]/1000)</f>
        <v/>
      </c>
      <c r="AJ42" s="210" t="str">
        <f>IF(Buildings_Heat_Frontend[[#This Row],[Data]]="","", _xlfn.XLOOKUP(_xlfn.CONCAT(Buildings_Heat_Backend[[#This Row],[Level 1]:[Level 6]]),rng_EFConcat,rng_EF3TD)*Buildings_Heat_Backend[[#This Row],[Converted data]]/1000)</f>
        <v/>
      </c>
      <c r="AK42" s="210" t="str">
        <f>IF(Buildings_Heat_Frontend[[#This Row],[Data]]="","", _xlfn.XLOOKUP(_xlfn.CONCAT(Buildings_Heat_Backend[[#This Row],[Level 1]:[Level 6]]),rng_EFConcat,rng_EF3WTTTD)*Buildings_Heat_Backend[[#This Row],[Converted data]]/1000)</f>
        <v/>
      </c>
      <c r="AL42" s="220">
        <f>SUM(Buildings_Heat_Backend[[#This Row],[Scope 1 (tCO2e)]:[Scope 3 WTT T&amp;D (tCO2e)]])</f>
        <v>0</v>
      </c>
      <c r="AM42" s="220" t="str">
        <f>IF(Buildings_Heat_Frontend[[#This Row],[Data]]="","", Buildings_Heat_Backend[[#This Row],[Total (tCO2e)]]*(1-Buildings_Heat_Backend[[#This Row],[RSD]]))</f>
        <v/>
      </c>
      <c r="AN42" s="220" t="str">
        <f>IF(Buildings_Heat_Frontend[[#This Row],[Data]]="","", Buildings_Heat_Backend[[#This Row],[Total (tCO2e)]]*(1+Buildings_Heat_Backend[[#This Row],[RSD]]))</f>
        <v/>
      </c>
      <c r="AO42" s="210" t="str">
        <f>IF(Buildings_Heat_Frontend[[#This Row],[Data]]="","", _xlfn.XLOOKUP(_xlfn.CONCAT(Buildings_Heat_Backend[[#This Row],[Level 1]:[Level 6]]),rng_EFConcat,rng_EFOOS)*Buildings_Heat_Backend[[#This Row],[Converted data]]/1000)</f>
        <v/>
      </c>
      <c r="AP42" s="174">
        <f>Buildings_Heat_Frontend[[#This Row],[Ease of collection]]</f>
        <v>0</v>
      </c>
      <c r="AQ42" s="174">
        <f>Buildings_Heat_Frontend[[#This Row],[Completeness]]</f>
        <v>0</v>
      </c>
      <c r="AR42" s="174">
        <f>Buildings_Heat_Frontend[[#This Row],[Notes]]</f>
        <v>0</v>
      </c>
    </row>
    <row r="43" spans="5:44" x14ac:dyDescent="0.3">
      <c r="E43" s="346"/>
      <c r="F43" s="364"/>
      <c r="G43" s="336"/>
      <c r="H43" s="336"/>
      <c r="I43" s="336"/>
      <c r="J43" s="334"/>
      <c r="K43" s="336"/>
      <c r="L43" s="336"/>
      <c r="M43" s="336"/>
      <c r="N43" s="352"/>
      <c r="O43" s="230">
        <f t="shared" si="2"/>
        <v>6</v>
      </c>
      <c r="Q43" s="212" t="str">
        <f t="shared" si="0"/>
        <v/>
      </c>
      <c r="R43" s="174" t="s">
        <v>265</v>
      </c>
      <c r="S43" s="174" t="s">
        <v>273</v>
      </c>
      <c r="T43" s="174" t="str">
        <f>IF(Buildings_Heat_Frontend[[#This Row],[Data]]="","", _xlfn.XLOOKUP(Buildings_Heat_Backend[[#This Row],[Info 1]],Buildings_SiteInfo[Site name],Buildings_SiteInfo[Site type]))</f>
        <v/>
      </c>
      <c r="U43" s="174" t="str">
        <f>IF(Buildings_Heat_Frontend[[#This Row],[Data]]="","", Buildings_Heat_Frontend[[#This Row],[Heating Type]])</f>
        <v/>
      </c>
      <c r="V43" s="174" t="str">
        <f>IF(Buildings_Heat_Frontend[[#This Row],[Data]]="","", Buildings_Heat_Frontend[[#This Row],[Fuel]])</f>
        <v/>
      </c>
      <c r="W43" s="174" t="str" cm="1">
        <f t="array" ref="W43">IF(Buildings_Heat_Frontend[[#This Row],[Data]]="","", _xlfn.XLOOKUP(Buildings_Heat_Backend[[#This Row],[Level 5]],rng_Level5Long,rng_Level6Long))</f>
        <v/>
      </c>
      <c r="X43" s="174" t="str">
        <f>IF(Buildings_Heat_Frontend[[#This Row],[Data]]="","", Buildings_Heat_Frontend[[#This Row],[Site Name]])</f>
        <v/>
      </c>
      <c r="Y43" s="174" t="str">
        <f>IF(Buildings_Heat_Frontend[[#This Row],[Data]]="","", Buildings_Heat_Frontend[[#This Row],[MPRN]])</f>
        <v/>
      </c>
      <c r="Z43" s="174" t="str">
        <f>IF(Buildings_Heat_Frontend[[#This Row],[Data]]="","", IF($I43="","",$I43))</f>
        <v/>
      </c>
      <c r="AA43" s="229" t="str" cm="1">
        <f t="array" ref="AA43">IF(Buildings_Heat_Frontend[[#This Row],[Data]]="","", INDEX(_xlfn.SWITCH(Buildings_Heat_Backend[[#This Row],[Methodology]],"Tier 1",rng_RSD1,"Tier 2",rng_RSD2,"Tier 3",rng_RSD3),MATCH(_xlfn.CONCAT(Buildings_Heat_Backend[[#This Row],[Level 1]:[Level 6]]),rng_LevelsConcat,0)))</f>
        <v/>
      </c>
      <c r="AB43" s="220" t="str">
        <f t="shared" si="1"/>
        <v/>
      </c>
      <c r="AC43" s="174">
        <f>Buildings_Heat_Frontend[[#This Row],[Units]]</f>
        <v>0</v>
      </c>
      <c r="AD4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 s="174" t="str">
        <f>IF(Buildings_Heat_Frontend[[#This Row],[Data]]="","", _xlfn.XLOOKUP(_xlfn.CONCAT(Buildings_Heat_Backend[[#This Row],[Level 1]:[Level 6]]),rng_LevelsConcat,rng_UnitsLong))</f>
        <v/>
      </c>
      <c r="AF43" s="210" t="str">
        <f>IF(Buildings_Heat_Frontend[[#This Row],[Data]]="","", _xlfn.XLOOKUP(_xlfn.CONCAT(Buildings_Heat_Backend[[#This Row],[Level 1]:[Level 6]]),rng_EFConcat,rng_EF1)*Buildings_Heat_Backend[[#This Row],[Converted data]]/1000)</f>
        <v/>
      </c>
      <c r="AG43" s="210" t="str">
        <f>IF(Buildings_Heat_Frontend[[#This Row],[Data]]="","", _xlfn.XLOOKUP(_xlfn.CONCAT(Buildings_Heat_Backend[[#This Row],[Level 1]:[Level 6]]),rng_EFConcat,rng_EF2)*Buildings_Heat_Backend[[#This Row],[Converted data]]/1000)</f>
        <v/>
      </c>
      <c r="AH43" s="210" t="str">
        <f>IF(Buildings_Heat_Frontend[[#This Row],[Data]]="","", _xlfn.XLOOKUP(_xlfn.CONCAT(Buildings_Heat_Backend[[#This Row],[Level 1]:[Level 6]]),rng_EFConcat,rng_EF3)*Buildings_Heat_Backend[[#This Row],[Converted data]]/1000)</f>
        <v/>
      </c>
      <c r="AI43" s="210" t="str">
        <f>IF(Buildings_Heat_Frontend[[#This Row],[Data]]="","", _xlfn.XLOOKUP(_xlfn.CONCAT(Buildings_Heat_Backend[[#This Row],[Level 1]:[Level 6]]),rng_EFConcat,rng_EF3WTT)*Buildings_Heat_Backend[[#This Row],[Converted data]]/1000)</f>
        <v/>
      </c>
      <c r="AJ43" s="210" t="str">
        <f>IF(Buildings_Heat_Frontend[[#This Row],[Data]]="","", _xlfn.XLOOKUP(_xlfn.CONCAT(Buildings_Heat_Backend[[#This Row],[Level 1]:[Level 6]]),rng_EFConcat,rng_EF3TD)*Buildings_Heat_Backend[[#This Row],[Converted data]]/1000)</f>
        <v/>
      </c>
      <c r="AK43" s="210" t="str">
        <f>IF(Buildings_Heat_Frontend[[#This Row],[Data]]="","", _xlfn.XLOOKUP(_xlfn.CONCAT(Buildings_Heat_Backend[[#This Row],[Level 1]:[Level 6]]),rng_EFConcat,rng_EF3WTTTD)*Buildings_Heat_Backend[[#This Row],[Converted data]]/1000)</f>
        <v/>
      </c>
      <c r="AL43" s="220">
        <f>SUM(Buildings_Heat_Backend[[#This Row],[Scope 1 (tCO2e)]:[Scope 3 WTT T&amp;D (tCO2e)]])</f>
        <v>0</v>
      </c>
      <c r="AM43" s="220" t="str">
        <f>IF(Buildings_Heat_Frontend[[#This Row],[Data]]="","", Buildings_Heat_Backend[[#This Row],[Total (tCO2e)]]*(1-Buildings_Heat_Backend[[#This Row],[RSD]]))</f>
        <v/>
      </c>
      <c r="AN43" s="220" t="str">
        <f>IF(Buildings_Heat_Frontend[[#This Row],[Data]]="","", Buildings_Heat_Backend[[#This Row],[Total (tCO2e)]]*(1+Buildings_Heat_Backend[[#This Row],[RSD]]))</f>
        <v/>
      </c>
      <c r="AO43" s="210" t="str">
        <f>IF(Buildings_Heat_Frontend[[#This Row],[Data]]="","", _xlfn.XLOOKUP(_xlfn.CONCAT(Buildings_Heat_Backend[[#This Row],[Level 1]:[Level 6]]),rng_EFConcat,rng_EFOOS)*Buildings_Heat_Backend[[#This Row],[Converted data]]/1000)</f>
        <v/>
      </c>
      <c r="AP43" s="174">
        <f>Buildings_Heat_Frontend[[#This Row],[Ease of collection]]</f>
        <v>0</v>
      </c>
      <c r="AQ43" s="174">
        <f>Buildings_Heat_Frontend[[#This Row],[Completeness]]</f>
        <v>0</v>
      </c>
      <c r="AR43" s="174">
        <f>Buildings_Heat_Frontend[[#This Row],[Notes]]</f>
        <v>0</v>
      </c>
    </row>
    <row r="44" spans="5:44" x14ac:dyDescent="0.3">
      <c r="E44" s="346"/>
      <c r="F44" s="364"/>
      <c r="G44" s="336"/>
      <c r="H44" s="336"/>
      <c r="I44" s="336"/>
      <c r="J44" s="334"/>
      <c r="K44" s="336"/>
      <c r="L44" s="336"/>
      <c r="M44" s="336"/>
      <c r="N44" s="352"/>
      <c r="O44" s="230">
        <f t="shared" si="2"/>
        <v>6</v>
      </c>
      <c r="Q44" s="212" t="str">
        <f t="shared" si="0"/>
        <v/>
      </c>
      <c r="R44" s="174" t="s">
        <v>265</v>
      </c>
      <c r="S44" s="174" t="s">
        <v>273</v>
      </c>
      <c r="T44" s="174" t="str">
        <f>IF(Buildings_Heat_Frontend[[#This Row],[Data]]="","", _xlfn.XLOOKUP(Buildings_Heat_Backend[[#This Row],[Info 1]],Buildings_SiteInfo[Site name],Buildings_SiteInfo[Site type]))</f>
        <v/>
      </c>
      <c r="U44" s="174" t="str">
        <f>IF(Buildings_Heat_Frontend[[#This Row],[Data]]="","", Buildings_Heat_Frontend[[#This Row],[Heating Type]])</f>
        <v/>
      </c>
      <c r="V44" s="174" t="str">
        <f>IF(Buildings_Heat_Frontend[[#This Row],[Data]]="","", Buildings_Heat_Frontend[[#This Row],[Fuel]])</f>
        <v/>
      </c>
      <c r="W44" s="174" t="str" cm="1">
        <f t="array" ref="W44">IF(Buildings_Heat_Frontend[[#This Row],[Data]]="","", _xlfn.XLOOKUP(Buildings_Heat_Backend[[#This Row],[Level 5]],rng_Level5Long,rng_Level6Long))</f>
        <v/>
      </c>
      <c r="X44" s="174" t="str">
        <f>IF(Buildings_Heat_Frontend[[#This Row],[Data]]="","", Buildings_Heat_Frontend[[#This Row],[Site Name]])</f>
        <v/>
      </c>
      <c r="Y44" s="174" t="str">
        <f>IF(Buildings_Heat_Frontend[[#This Row],[Data]]="","", Buildings_Heat_Frontend[[#This Row],[MPRN]])</f>
        <v/>
      </c>
      <c r="Z44" s="174" t="str">
        <f>IF(Buildings_Heat_Frontend[[#This Row],[Data]]="","", IF($I44="","",$I44))</f>
        <v/>
      </c>
      <c r="AA44" s="229" t="str" cm="1">
        <f t="array" ref="AA44">IF(Buildings_Heat_Frontend[[#This Row],[Data]]="","", INDEX(_xlfn.SWITCH(Buildings_Heat_Backend[[#This Row],[Methodology]],"Tier 1",rng_RSD1,"Tier 2",rng_RSD2,"Tier 3",rng_RSD3),MATCH(_xlfn.CONCAT(Buildings_Heat_Backend[[#This Row],[Level 1]:[Level 6]]),rng_LevelsConcat,0)))</f>
        <v/>
      </c>
      <c r="AB44" s="220" t="str">
        <f t="shared" si="1"/>
        <v/>
      </c>
      <c r="AC44" s="174">
        <f>Buildings_Heat_Frontend[[#This Row],[Units]]</f>
        <v>0</v>
      </c>
      <c r="AD4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 s="174" t="str">
        <f>IF(Buildings_Heat_Frontend[[#This Row],[Data]]="","", _xlfn.XLOOKUP(_xlfn.CONCAT(Buildings_Heat_Backend[[#This Row],[Level 1]:[Level 6]]),rng_LevelsConcat,rng_UnitsLong))</f>
        <v/>
      </c>
      <c r="AF44" s="210" t="str">
        <f>IF(Buildings_Heat_Frontend[[#This Row],[Data]]="","", _xlfn.XLOOKUP(_xlfn.CONCAT(Buildings_Heat_Backend[[#This Row],[Level 1]:[Level 6]]),rng_EFConcat,rng_EF1)*Buildings_Heat_Backend[[#This Row],[Converted data]]/1000)</f>
        <v/>
      </c>
      <c r="AG44" s="210" t="str">
        <f>IF(Buildings_Heat_Frontend[[#This Row],[Data]]="","", _xlfn.XLOOKUP(_xlfn.CONCAT(Buildings_Heat_Backend[[#This Row],[Level 1]:[Level 6]]),rng_EFConcat,rng_EF2)*Buildings_Heat_Backend[[#This Row],[Converted data]]/1000)</f>
        <v/>
      </c>
      <c r="AH44" s="210" t="str">
        <f>IF(Buildings_Heat_Frontend[[#This Row],[Data]]="","", _xlfn.XLOOKUP(_xlfn.CONCAT(Buildings_Heat_Backend[[#This Row],[Level 1]:[Level 6]]),rng_EFConcat,rng_EF3)*Buildings_Heat_Backend[[#This Row],[Converted data]]/1000)</f>
        <v/>
      </c>
      <c r="AI44" s="210" t="str">
        <f>IF(Buildings_Heat_Frontend[[#This Row],[Data]]="","", _xlfn.XLOOKUP(_xlfn.CONCAT(Buildings_Heat_Backend[[#This Row],[Level 1]:[Level 6]]),rng_EFConcat,rng_EF3WTT)*Buildings_Heat_Backend[[#This Row],[Converted data]]/1000)</f>
        <v/>
      </c>
      <c r="AJ44" s="210" t="str">
        <f>IF(Buildings_Heat_Frontend[[#This Row],[Data]]="","", _xlfn.XLOOKUP(_xlfn.CONCAT(Buildings_Heat_Backend[[#This Row],[Level 1]:[Level 6]]),rng_EFConcat,rng_EF3TD)*Buildings_Heat_Backend[[#This Row],[Converted data]]/1000)</f>
        <v/>
      </c>
      <c r="AK44" s="210" t="str">
        <f>IF(Buildings_Heat_Frontend[[#This Row],[Data]]="","", _xlfn.XLOOKUP(_xlfn.CONCAT(Buildings_Heat_Backend[[#This Row],[Level 1]:[Level 6]]),rng_EFConcat,rng_EF3WTTTD)*Buildings_Heat_Backend[[#This Row],[Converted data]]/1000)</f>
        <v/>
      </c>
      <c r="AL44" s="220">
        <f>SUM(Buildings_Heat_Backend[[#This Row],[Scope 1 (tCO2e)]:[Scope 3 WTT T&amp;D (tCO2e)]])</f>
        <v>0</v>
      </c>
      <c r="AM44" s="220" t="str">
        <f>IF(Buildings_Heat_Frontend[[#This Row],[Data]]="","", Buildings_Heat_Backend[[#This Row],[Total (tCO2e)]]*(1-Buildings_Heat_Backend[[#This Row],[RSD]]))</f>
        <v/>
      </c>
      <c r="AN44" s="220" t="str">
        <f>IF(Buildings_Heat_Frontend[[#This Row],[Data]]="","", Buildings_Heat_Backend[[#This Row],[Total (tCO2e)]]*(1+Buildings_Heat_Backend[[#This Row],[RSD]]))</f>
        <v/>
      </c>
      <c r="AO44" s="210" t="str">
        <f>IF(Buildings_Heat_Frontend[[#This Row],[Data]]="","", _xlfn.XLOOKUP(_xlfn.CONCAT(Buildings_Heat_Backend[[#This Row],[Level 1]:[Level 6]]),rng_EFConcat,rng_EFOOS)*Buildings_Heat_Backend[[#This Row],[Converted data]]/1000)</f>
        <v/>
      </c>
      <c r="AP44" s="174">
        <f>Buildings_Heat_Frontend[[#This Row],[Ease of collection]]</f>
        <v>0</v>
      </c>
      <c r="AQ44" s="174">
        <f>Buildings_Heat_Frontend[[#This Row],[Completeness]]</f>
        <v>0</v>
      </c>
      <c r="AR44" s="174">
        <f>Buildings_Heat_Frontend[[#This Row],[Notes]]</f>
        <v>0</v>
      </c>
    </row>
    <row r="45" spans="5:44" x14ac:dyDescent="0.3">
      <c r="E45" s="346"/>
      <c r="F45" s="364"/>
      <c r="G45" s="336"/>
      <c r="H45" s="336"/>
      <c r="I45" s="336"/>
      <c r="J45" s="334"/>
      <c r="K45" s="336"/>
      <c r="L45" s="336"/>
      <c r="M45" s="336"/>
      <c r="N45" s="352"/>
      <c r="O45" s="230">
        <f t="shared" si="2"/>
        <v>6</v>
      </c>
      <c r="Q45" s="212" t="str">
        <f t="shared" si="0"/>
        <v/>
      </c>
      <c r="R45" s="174" t="s">
        <v>265</v>
      </c>
      <c r="S45" s="174" t="s">
        <v>273</v>
      </c>
      <c r="T45" s="174" t="str">
        <f>IF(Buildings_Heat_Frontend[[#This Row],[Data]]="","", _xlfn.XLOOKUP(Buildings_Heat_Backend[[#This Row],[Info 1]],Buildings_SiteInfo[Site name],Buildings_SiteInfo[Site type]))</f>
        <v/>
      </c>
      <c r="U45" s="174" t="str">
        <f>IF(Buildings_Heat_Frontend[[#This Row],[Data]]="","", Buildings_Heat_Frontend[[#This Row],[Heating Type]])</f>
        <v/>
      </c>
      <c r="V45" s="174" t="str">
        <f>IF(Buildings_Heat_Frontend[[#This Row],[Data]]="","", Buildings_Heat_Frontend[[#This Row],[Fuel]])</f>
        <v/>
      </c>
      <c r="W45" s="174" t="str" cm="1">
        <f t="array" ref="W45">IF(Buildings_Heat_Frontend[[#This Row],[Data]]="","", _xlfn.XLOOKUP(Buildings_Heat_Backend[[#This Row],[Level 5]],rng_Level5Long,rng_Level6Long))</f>
        <v/>
      </c>
      <c r="X45" s="174" t="str">
        <f>IF(Buildings_Heat_Frontend[[#This Row],[Data]]="","", Buildings_Heat_Frontend[[#This Row],[Site Name]])</f>
        <v/>
      </c>
      <c r="Y45" s="174" t="str">
        <f>IF(Buildings_Heat_Frontend[[#This Row],[Data]]="","", Buildings_Heat_Frontend[[#This Row],[MPRN]])</f>
        <v/>
      </c>
      <c r="Z45" s="174" t="str">
        <f>IF(Buildings_Heat_Frontend[[#This Row],[Data]]="","", IF($I45="","",$I45))</f>
        <v/>
      </c>
      <c r="AA45" s="229" t="str" cm="1">
        <f t="array" ref="AA45">IF(Buildings_Heat_Frontend[[#This Row],[Data]]="","", INDEX(_xlfn.SWITCH(Buildings_Heat_Backend[[#This Row],[Methodology]],"Tier 1",rng_RSD1,"Tier 2",rng_RSD2,"Tier 3",rng_RSD3),MATCH(_xlfn.CONCAT(Buildings_Heat_Backend[[#This Row],[Level 1]:[Level 6]]),rng_LevelsConcat,0)))</f>
        <v/>
      </c>
      <c r="AB45" s="220" t="str">
        <f t="shared" si="1"/>
        <v/>
      </c>
      <c r="AC45" s="174">
        <f>Buildings_Heat_Frontend[[#This Row],[Units]]</f>
        <v>0</v>
      </c>
      <c r="AD4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 s="174" t="str">
        <f>IF(Buildings_Heat_Frontend[[#This Row],[Data]]="","", _xlfn.XLOOKUP(_xlfn.CONCAT(Buildings_Heat_Backend[[#This Row],[Level 1]:[Level 6]]),rng_LevelsConcat,rng_UnitsLong))</f>
        <v/>
      </c>
      <c r="AF45" s="210" t="str">
        <f>IF(Buildings_Heat_Frontend[[#This Row],[Data]]="","", _xlfn.XLOOKUP(_xlfn.CONCAT(Buildings_Heat_Backend[[#This Row],[Level 1]:[Level 6]]),rng_EFConcat,rng_EF1)*Buildings_Heat_Backend[[#This Row],[Converted data]]/1000)</f>
        <v/>
      </c>
      <c r="AG45" s="210" t="str">
        <f>IF(Buildings_Heat_Frontend[[#This Row],[Data]]="","", _xlfn.XLOOKUP(_xlfn.CONCAT(Buildings_Heat_Backend[[#This Row],[Level 1]:[Level 6]]),rng_EFConcat,rng_EF2)*Buildings_Heat_Backend[[#This Row],[Converted data]]/1000)</f>
        <v/>
      </c>
      <c r="AH45" s="210" t="str">
        <f>IF(Buildings_Heat_Frontend[[#This Row],[Data]]="","", _xlfn.XLOOKUP(_xlfn.CONCAT(Buildings_Heat_Backend[[#This Row],[Level 1]:[Level 6]]),rng_EFConcat,rng_EF3)*Buildings_Heat_Backend[[#This Row],[Converted data]]/1000)</f>
        <v/>
      </c>
      <c r="AI45" s="210" t="str">
        <f>IF(Buildings_Heat_Frontend[[#This Row],[Data]]="","", _xlfn.XLOOKUP(_xlfn.CONCAT(Buildings_Heat_Backend[[#This Row],[Level 1]:[Level 6]]),rng_EFConcat,rng_EF3WTT)*Buildings_Heat_Backend[[#This Row],[Converted data]]/1000)</f>
        <v/>
      </c>
      <c r="AJ45" s="210" t="str">
        <f>IF(Buildings_Heat_Frontend[[#This Row],[Data]]="","", _xlfn.XLOOKUP(_xlfn.CONCAT(Buildings_Heat_Backend[[#This Row],[Level 1]:[Level 6]]),rng_EFConcat,rng_EF3TD)*Buildings_Heat_Backend[[#This Row],[Converted data]]/1000)</f>
        <v/>
      </c>
      <c r="AK45" s="210" t="str">
        <f>IF(Buildings_Heat_Frontend[[#This Row],[Data]]="","", _xlfn.XLOOKUP(_xlfn.CONCAT(Buildings_Heat_Backend[[#This Row],[Level 1]:[Level 6]]),rng_EFConcat,rng_EF3WTTTD)*Buildings_Heat_Backend[[#This Row],[Converted data]]/1000)</f>
        <v/>
      </c>
      <c r="AL45" s="220">
        <f>SUM(Buildings_Heat_Backend[[#This Row],[Scope 1 (tCO2e)]:[Scope 3 WTT T&amp;D (tCO2e)]])</f>
        <v>0</v>
      </c>
      <c r="AM45" s="220" t="str">
        <f>IF(Buildings_Heat_Frontend[[#This Row],[Data]]="","", Buildings_Heat_Backend[[#This Row],[Total (tCO2e)]]*(1-Buildings_Heat_Backend[[#This Row],[RSD]]))</f>
        <v/>
      </c>
      <c r="AN45" s="220" t="str">
        <f>IF(Buildings_Heat_Frontend[[#This Row],[Data]]="","", Buildings_Heat_Backend[[#This Row],[Total (tCO2e)]]*(1+Buildings_Heat_Backend[[#This Row],[RSD]]))</f>
        <v/>
      </c>
      <c r="AO45" s="210" t="str">
        <f>IF(Buildings_Heat_Frontend[[#This Row],[Data]]="","", _xlfn.XLOOKUP(_xlfn.CONCAT(Buildings_Heat_Backend[[#This Row],[Level 1]:[Level 6]]),rng_EFConcat,rng_EFOOS)*Buildings_Heat_Backend[[#This Row],[Converted data]]/1000)</f>
        <v/>
      </c>
      <c r="AP45" s="174">
        <f>Buildings_Heat_Frontend[[#This Row],[Ease of collection]]</f>
        <v>0</v>
      </c>
      <c r="AQ45" s="174">
        <f>Buildings_Heat_Frontend[[#This Row],[Completeness]]</f>
        <v>0</v>
      </c>
      <c r="AR45" s="174">
        <f>Buildings_Heat_Frontend[[#This Row],[Notes]]</f>
        <v>0</v>
      </c>
    </row>
    <row r="46" spans="5:44" x14ac:dyDescent="0.3">
      <c r="E46" s="346"/>
      <c r="F46" s="364"/>
      <c r="G46" s="336"/>
      <c r="H46" s="336"/>
      <c r="I46" s="336"/>
      <c r="J46" s="334"/>
      <c r="K46" s="336"/>
      <c r="L46" s="336"/>
      <c r="M46" s="336"/>
      <c r="N46" s="352"/>
      <c r="O46" s="230">
        <f t="shared" si="2"/>
        <v>6</v>
      </c>
      <c r="Q46" s="212" t="str">
        <f t="shared" si="0"/>
        <v/>
      </c>
      <c r="R46" s="174" t="s">
        <v>265</v>
      </c>
      <c r="S46" s="174" t="s">
        <v>273</v>
      </c>
      <c r="T46" s="174" t="str">
        <f>IF(Buildings_Heat_Frontend[[#This Row],[Data]]="","", _xlfn.XLOOKUP(Buildings_Heat_Backend[[#This Row],[Info 1]],Buildings_SiteInfo[Site name],Buildings_SiteInfo[Site type]))</f>
        <v/>
      </c>
      <c r="U46" s="174" t="str">
        <f>IF(Buildings_Heat_Frontend[[#This Row],[Data]]="","", Buildings_Heat_Frontend[[#This Row],[Heating Type]])</f>
        <v/>
      </c>
      <c r="V46" s="174" t="str">
        <f>IF(Buildings_Heat_Frontend[[#This Row],[Data]]="","", Buildings_Heat_Frontend[[#This Row],[Fuel]])</f>
        <v/>
      </c>
      <c r="W46" s="174" t="str" cm="1">
        <f t="array" ref="W46">IF(Buildings_Heat_Frontend[[#This Row],[Data]]="","", _xlfn.XLOOKUP(Buildings_Heat_Backend[[#This Row],[Level 5]],rng_Level5Long,rng_Level6Long))</f>
        <v/>
      </c>
      <c r="X46" s="174" t="str">
        <f>IF(Buildings_Heat_Frontend[[#This Row],[Data]]="","", Buildings_Heat_Frontend[[#This Row],[Site Name]])</f>
        <v/>
      </c>
      <c r="Y46" s="174" t="str">
        <f>IF(Buildings_Heat_Frontend[[#This Row],[Data]]="","", Buildings_Heat_Frontend[[#This Row],[MPRN]])</f>
        <v/>
      </c>
      <c r="Z46" s="174" t="str">
        <f>IF(Buildings_Heat_Frontend[[#This Row],[Data]]="","", IF($I46="","",$I46))</f>
        <v/>
      </c>
      <c r="AA46" s="229" t="str" cm="1">
        <f t="array" ref="AA46">IF(Buildings_Heat_Frontend[[#This Row],[Data]]="","", INDEX(_xlfn.SWITCH(Buildings_Heat_Backend[[#This Row],[Methodology]],"Tier 1",rng_RSD1,"Tier 2",rng_RSD2,"Tier 3",rng_RSD3),MATCH(_xlfn.CONCAT(Buildings_Heat_Backend[[#This Row],[Level 1]:[Level 6]]),rng_LevelsConcat,0)))</f>
        <v/>
      </c>
      <c r="AB46" s="220" t="str">
        <f t="shared" si="1"/>
        <v/>
      </c>
      <c r="AC46" s="174">
        <f>Buildings_Heat_Frontend[[#This Row],[Units]]</f>
        <v>0</v>
      </c>
      <c r="AD4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 s="174" t="str">
        <f>IF(Buildings_Heat_Frontend[[#This Row],[Data]]="","", _xlfn.XLOOKUP(_xlfn.CONCAT(Buildings_Heat_Backend[[#This Row],[Level 1]:[Level 6]]),rng_LevelsConcat,rng_UnitsLong))</f>
        <v/>
      </c>
      <c r="AF46" s="210" t="str">
        <f>IF(Buildings_Heat_Frontend[[#This Row],[Data]]="","", _xlfn.XLOOKUP(_xlfn.CONCAT(Buildings_Heat_Backend[[#This Row],[Level 1]:[Level 6]]),rng_EFConcat,rng_EF1)*Buildings_Heat_Backend[[#This Row],[Converted data]]/1000)</f>
        <v/>
      </c>
      <c r="AG46" s="210" t="str">
        <f>IF(Buildings_Heat_Frontend[[#This Row],[Data]]="","", _xlfn.XLOOKUP(_xlfn.CONCAT(Buildings_Heat_Backend[[#This Row],[Level 1]:[Level 6]]),rng_EFConcat,rng_EF2)*Buildings_Heat_Backend[[#This Row],[Converted data]]/1000)</f>
        <v/>
      </c>
      <c r="AH46" s="210" t="str">
        <f>IF(Buildings_Heat_Frontend[[#This Row],[Data]]="","", _xlfn.XLOOKUP(_xlfn.CONCAT(Buildings_Heat_Backend[[#This Row],[Level 1]:[Level 6]]),rng_EFConcat,rng_EF3)*Buildings_Heat_Backend[[#This Row],[Converted data]]/1000)</f>
        <v/>
      </c>
      <c r="AI46" s="210" t="str">
        <f>IF(Buildings_Heat_Frontend[[#This Row],[Data]]="","", _xlfn.XLOOKUP(_xlfn.CONCAT(Buildings_Heat_Backend[[#This Row],[Level 1]:[Level 6]]),rng_EFConcat,rng_EF3WTT)*Buildings_Heat_Backend[[#This Row],[Converted data]]/1000)</f>
        <v/>
      </c>
      <c r="AJ46" s="210" t="str">
        <f>IF(Buildings_Heat_Frontend[[#This Row],[Data]]="","", _xlfn.XLOOKUP(_xlfn.CONCAT(Buildings_Heat_Backend[[#This Row],[Level 1]:[Level 6]]),rng_EFConcat,rng_EF3TD)*Buildings_Heat_Backend[[#This Row],[Converted data]]/1000)</f>
        <v/>
      </c>
      <c r="AK46" s="210" t="str">
        <f>IF(Buildings_Heat_Frontend[[#This Row],[Data]]="","", _xlfn.XLOOKUP(_xlfn.CONCAT(Buildings_Heat_Backend[[#This Row],[Level 1]:[Level 6]]),rng_EFConcat,rng_EF3WTTTD)*Buildings_Heat_Backend[[#This Row],[Converted data]]/1000)</f>
        <v/>
      </c>
      <c r="AL46" s="220">
        <f>SUM(Buildings_Heat_Backend[[#This Row],[Scope 1 (tCO2e)]:[Scope 3 WTT T&amp;D (tCO2e)]])</f>
        <v>0</v>
      </c>
      <c r="AM46" s="220" t="str">
        <f>IF(Buildings_Heat_Frontend[[#This Row],[Data]]="","", Buildings_Heat_Backend[[#This Row],[Total (tCO2e)]]*(1-Buildings_Heat_Backend[[#This Row],[RSD]]))</f>
        <v/>
      </c>
      <c r="AN46" s="220" t="str">
        <f>IF(Buildings_Heat_Frontend[[#This Row],[Data]]="","", Buildings_Heat_Backend[[#This Row],[Total (tCO2e)]]*(1+Buildings_Heat_Backend[[#This Row],[RSD]]))</f>
        <v/>
      </c>
      <c r="AO46" s="210" t="str">
        <f>IF(Buildings_Heat_Frontend[[#This Row],[Data]]="","", _xlfn.XLOOKUP(_xlfn.CONCAT(Buildings_Heat_Backend[[#This Row],[Level 1]:[Level 6]]),rng_EFConcat,rng_EFOOS)*Buildings_Heat_Backend[[#This Row],[Converted data]]/1000)</f>
        <v/>
      </c>
      <c r="AP46" s="174">
        <f>Buildings_Heat_Frontend[[#This Row],[Ease of collection]]</f>
        <v>0</v>
      </c>
      <c r="AQ46" s="174">
        <f>Buildings_Heat_Frontend[[#This Row],[Completeness]]</f>
        <v>0</v>
      </c>
      <c r="AR46" s="174">
        <f>Buildings_Heat_Frontend[[#This Row],[Notes]]</f>
        <v>0</v>
      </c>
    </row>
    <row r="47" spans="5:44" x14ac:dyDescent="0.3">
      <c r="E47" s="346"/>
      <c r="F47" s="364"/>
      <c r="G47" s="336"/>
      <c r="H47" s="336"/>
      <c r="I47" s="336"/>
      <c r="J47" s="334"/>
      <c r="K47" s="336"/>
      <c r="L47" s="336"/>
      <c r="M47" s="336"/>
      <c r="N47" s="352"/>
      <c r="O47" s="230">
        <f t="shared" si="2"/>
        <v>6</v>
      </c>
      <c r="Q47" s="212" t="str">
        <f t="shared" si="0"/>
        <v/>
      </c>
      <c r="R47" s="174" t="s">
        <v>265</v>
      </c>
      <c r="S47" s="174" t="s">
        <v>273</v>
      </c>
      <c r="T47" s="174" t="str">
        <f>IF(Buildings_Heat_Frontend[[#This Row],[Data]]="","", _xlfn.XLOOKUP(Buildings_Heat_Backend[[#This Row],[Info 1]],Buildings_SiteInfo[Site name],Buildings_SiteInfo[Site type]))</f>
        <v/>
      </c>
      <c r="U47" s="174" t="str">
        <f>IF(Buildings_Heat_Frontend[[#This Row],[Data]]="","", Buildings_Heat_Frontend[[#This Row],[Heating Type]])</f>
        <v/>
      </c>
      <c r="V47" s="174" t="str">
        <f>IF(Buildings_Heat_Frontend[[#This Row],[Data]]="","", Buildings_Heat_Frontend[[#This Row],[Fuel]])</f>
        <v/>
      </c>
      <c r="W47" s="174" t="str" cm="1">
        <f t="array" ref="W47">IF(Buildings_Heat_Frontend[[#This Row],[Data]]="","", _xlfn.XLOOKUP(Buildings_Heat_Backend[[#This Row],[Level 5]],rng_Level5Long,rng_Level6Long))</f>
        <v/>
      </c>
      <c r="X47" s="174" t="str">
        <f>IF(Buildings_Heat_Frontend[[#This Row],[Data]]="","", Buildings_Heat_Frontend[[#This Row],[Site Name]])</f>
        <v/>
      </c>
      <c r="Y47" s="174" t="str">
        <f>IF(Buildings_Heat_Frontend[[#This Row],[Data]]="","", Buildings_Heat_Frontend[[#This Row],[MPRN]])</f>
        <v/>
      </c>
      <c r="Z47" s="174" t="str">
        <f>IF(Buildings_Heat_Frontend[[#This Row],[Data]]="","", IF($I47="","",$I47))</f>
        <v/>
      </c>
      <c r="AA47" s="229" t="str" cm="1">
        <f t="array" ref="AA47">IF(Buildings_Heat_Frontend[[#This Row],[Data]]="","", INDEX(_xlfn.SWITCH(Buildings_Heat_Backend[[#This Row],[Methodology]],"Tier 1",rng_RSD1,"Tier 2",rng_RSD2,"Tier 3",rng_RSD3),MATCH(_xlfn.CONCAT(Buildings_Heat_Backend[[#This Row],[Level 1]:[Level 6]]),rng_LevelsConcat,0)))</f>
        <v/>
      </c>
      <c r="AB47" s="220" t="str">
        <f t="shared" si="1"/>
        <v/>
      </c>
      <c r="AC47" s="174">
        <f>Buildings_Heat_Frontend[[#This Row],[Units]]</f>
        <v>0</v>
      </c>
      <c r="AD4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 s="174" t="str">
        <f>IF(Buildings_Heat_Frontend[[#This Row],[Data]]="","", _xlfn.XLOOKUP(_xlfn.CONCAT(Buildings_Heat_Backend[[#This Row],[Level 1]:[Level 6]]),rng_LevelsConcat,rng_UnitsLong))</f>
        <v/>
      </c>
      <c r="AF47" s="210" t="str">
        <f>IF(Buildings_Heat_Frontend[[#This Row],[Data]]="","", _xlfn.XLOOKUP(_xlfn.CONCAT(Buildings_Heat_Backend[[#This Row],[Level 1]:[Level 6]]),rng_EFConcat,rng_EF1)*Buildings_Heat_Backend[[#This Row],[Converted data]]/1000)</f>
        <v/>
      </c>
      <c r="AG47" s="210" t="str">
        <f>IF(Buildings_Heat_Frontend[[#This Row],[Data]]="","", _xlfn.XLOOKUP(_xlfn.CONCAT(Buildings_Heat_Backend[[#This Row],[Level 1]:[Level 6]]),rng_EFConcat,rng_EF2)*Buildings_Heat_Backend[[#This Row],[Converted data]]/1000)</f>
        <v/>
      </c>
      <c r="AH47" s="210" t="str">
        <f>IF(Buildings_Heat_Frontend[[#This Row],[Data]]="","", _xlfn.XLOOKUP(_xlfn.CONCAT(Buildings_Heat_Backend[[#This Row],[Level 1]:[Level 6]]),rng_EFConcat,rng_EF3)*Buildings_Heat_Backend[[#This Row],[Converted data]]/1000)</f>
        <v/>
      </c>
      <c r="AI47" s="210" t="str">
        <f>IF(Buildings_Heat_Frontend[[#This Row],[Data]]="","", _xlfn.XLOOKUP(_xlfn.CONCAT(Buildings_Heat_Backend[[#This Row],[Level 1]:[Level 6]]),rng_EFConcat,rng_EF3WTT)*Buildings_Heat_Backend[[#This Row],[Converted data]]/1000)</f>
        <v/>
      </c>
      <c r="AJ47" s="210" t="str">
        <f>IF(Buildings_Heat_Frontend[[#This Row],[Data]]="","", _xlfn.XLOOKUP(_xlfn.CONCAT(Buildings_Heat_Backend[[#This Row],[Level 1]:[Level 6]]),rng_EFConcat,rng_EF3TD)*Buildings_Heat_Backend[[#This Row],[Converted data]]/1000)</f>
        <v/>
      </c>
      <c r="AK47" s="210" t="str">
        <f>IF(Buildings_Heat_Frontend[[#This Row],[Data]]="","", _xlfn.XLOOKUP(_xlfn.CONCAT(Buildings_Heat_Backend[[#This Row],[Level 1]:[Level 6]]),rng_EFConcat,rng_EF3WTTTD)*Buildings_Heat_Backend[[#This Row],[Converted data]]/1000)</f>
        <v/>
      </c>
      <c r="AL47" s="220">
        <f>SUM(Buildings_Heat_Backend[[#This Row],[Scope 1 (tCO2e)]:[Scope 3 WTT T&amp;D (tCO2e)]])</f>
        <v>0</v>
      </c>
      <c r="AM47" s="220" t="str">
        <f>IF(Buildings_Heat_Frontend[[#This Row],[Data]]="","", Buildings_Heat_Backend[[#This Row],[Total (tCO2e)]]*(1-Buildings_Heat_Backend[[#This Row],[RSD]]))</f>
        <v/>
      </c>
      <c r="AN47" s="220" t="str">
        <f>IF(Buildings_Heat_Frontend[[#This Row],[Data]]="","", Buildings_Heat_Backend[[#This Row],[Total (tCO2e)]]*(1+Buildings_Heat_Backend[[#This Row],[RSD]]))</f>
        <v/>
      </c>
      <c r="AO47" s="210" t="str">
        <f>IF(Buildings_Heat_Frontend[[#This Row],[Data]]="","", _xlfn.XLOOKUP(_xlfn.CONCAT(Buildings_Heat_Backend[[#This Row],[Level 1]:[Level 6]]),rng_EFConcat,rng_EFOOS)*Buildings_Heat_Backend[[#This Row],[Converted data]]/1000)</f>
        <v/>
      </c>
      <c r="AP47" s="174">
        <f>Buildings_Heat_Frontend[[#This Row],[Ease of collection]]</f>
        <v>0</v>
      </c>
      <c r="AQ47" s="174">
        <f>Buildings_Heat_Frontend[[#This Row],[Completeness]]</f>
        <v>0</v>
      </c>
      <c r="AR47" s="174">
        <f>Buildings_Heat_Frontend[[#This Row],[Notes]]</f>
        <v>0</v>
      </c>
    </row>
    <row r="48" spans="5:44" x14ac:dyDescent="0.3">
      <c r="E48" s="346"/>
      <c r="F48" s="364"/>
      <c r="G48" s="336"/>
      <c r="H48" s="336"/>
      <c r="I48" s="336"/>
      <c r="J48" s="334"/>
      <c r="K48" s="336"/>
      <c r="L48" s="336"/>
      <c r="M48" s="336"/>
      <c r="N48" s="352"/>
      <c r="O48" s="230">
        <f t="shared" si="2"/>
        <v>6</v>
      </c>
      <c r="Q48" s="212" t="str">
        <f t="shared" si="0"/>
        <v/>
      </c>
      <c r="R48" s="174" t="s">
        <v>265</v>
      </c>
      <c r="S48" s="174" t="s">
        <v>273</v>
      </c>
      <c r="T48" s="174" t="str">
        <f>IF(Buildings_Heat_Frontend[[#This Row],[Data]]="","", _xlfn.XLOOKUP(Buildings_Heat_Backend[[#This Row],[Info 1]],Buildings_SiteInfo[Site name],Buildings_SiteInfo[Site type]))</f>
        <v/>
      </c>
      <c r="U48" s="174" t="str">
        <f>IF(Buildings_Heat_Frontend[[#This Row],[Data]]="","", Buildings_Heat_Frontend[[#This Row],[Heating Type]])</f>
        <v/>
      </c>
      <c r="V48" s="174" t="str">
        <f>IF(Buildings_Heat_Frontend[[#This Row],[Data]]="","", Buildings_Heat_Frontend[[#This Row],[Fuel]])</f>
        <v/>
      </c>
      <c r="W48" s="174" t="str" cm="1">
        <f t="array" ref="W48">IF(Buildings_Heat_Frontend[[#This Row],[Data]]="","", _xlfn.XLOOKUP(Buildings_Heat_Backend[[#This Row],[Level 5]],rng_Level5Long,rng_Level6Long))</f>
        <v/>
      </c>
      <c r="X48" s="174" t="str">
        <f>IF(Buildings_Heat_Frontend[[#This Row],[Data]]="","", Buildings_Heat_Frontend[[#This Row],[Site Name]])</f>
        <v/>
      </c>
      <c r="Y48" s="174" t="str">
        <f>IF(Buildings_Heat_Frontend[[#This Row],[Data]]="","", Buildings_Heat_Frontend[[#This Row],[MPRN]])</f>
        <v/>
      </c>
      <c r="Z48" s="174" t="str">
        <f>IF(Buildings_Heat_Frontend[[#This Row],[Data]]="","", IF($I48="","",$I48))</f>
        <v/>
      </c>
      <c r="AA48" s="229" t="str" cm="1">
        <f t="array" ref="AA48">IF(Buildings_Heat_Frontend[[#This Row],[Data]]="","", INDEX(_xlfn.SWITCH(Buildings_Heat_Backend[[#This Row],[Methodology]],"Tier 1",rng_RSD1,"Tier 2",rng_RSD2,"Tier 3",rng_RSD3),MATCH(_xlfn.CONCAT(Buildings_Heat_Backend[[#This Row],[Level 1]:[Level 6]]),rng_LevelsConcat,0)))</f>
        <v/>
      </c>
      <c r="AB48" s="220" t="str">
        <f t="shared" si="1"/>
        <v/>
      </c>
      <c r="AC48" s="174">
        <f>Buildings_Heat_Frontend[[#This Row],[Units]]</f>
        <v>0</v>
      </c>
      <c r="AD4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 s="174" t="str">
        <f>IF(Buildings_Heat_Frontend[[#This Row],[Data]]="","", _xlfn.XLOOKUP(_xlfn.CONCAT(Buildings_Heat_Backend[[#This Row],[Level 1]:[Level 6]]),rng_LevelsConcat,rng_UnitsLong))</f>
        <v/>
      </c>
      <c r="AF48" s="210" t="str">
        <f>IF(Buildings_Heat_Frontend[[#This Row],[Data]]="","", _xlfn.XLOOKUP(_xlfn.CONCAT(Buildings_Heat_Backend[[#This Row],[Level 1]:[Level 6]]),rng_EFConcat,rng_EF1)*Buildings_Heat_Backend[[#This Row],[Converted data]]/1000)</f>
        <v/>
      </c>
      <c r="AG48" s="210" t="str">
        <f>IF(Buildings_Heat_Frontend[[#This Row],[Data]]="","", _xlfn.XLOOKUP(_xlfn.CONCAT(Buildings_Heat_Backend[[#This Row],[Level 1]:[Level 6]]),rng_EFConcat,rng_EF2)*Buildings_Heat_Backend[[#This Row],[Converted data]]/1000)</f>
        <v/>
      </c>
      <c r="AH48" s="210" t="str">
        <f>IF(Buildings_Heat_Frontend[[#This Row],[Data]]="","", _xlfn.XLOOKUP(_xlfn.CONCAT(Buildings_Heat_Backend[[#This Row],[Level 1]:[Level 6]]),rng_EFConcat,rng_EF3)*Buildings_Heat_Backend[[#This Row],[Converted data]]/1000)</f>
        <v/>
      </c>
      <c r="AI48" s="210" t="str">
        <f>IF(Buildings_Heat_Frontend[[#This Row],[Data]]="","", _xlfn.XLOOKUP(_xlfn.CONCAT(Buildings_Heat_Backend[[#This Row],[Level 1]:[Level 6]]),rng_EFConcat,rng_EF3WTT)*Buildings_Heat_Backend[[#This Row],[Converted data]]/1000)</f>
        <v/>
      </c>
      <c r="AJ48" s="210" t="str">
        <f>IF(Buildings_Heat_Frontend[[#This Row],[Data]]="","", _xlfn.XLOOKUP(_xlfn.CONCAT(Buildings_Heat_Backend[[#This Row],[Level 1]:[Level 6]]),rng_EFConcat,rng_EF3TD)*Buildings_Heat_Backend[[#This Row],[Converted data]]/1000)</f>
        <v/>
      </c>
      <c r="AK48" s="210" t="str">
        <f>IF(Buildings_Heat_Frontend[[#This Row],[Data]]="","", _xlfn.XLOOKUP(_xlfn.CONCAT(Buildings_Heat_Backend[[#This Row],[Level 1]:[Level 6]]),rng_EFConcat,rng_EF3WTTTD)*Buildings_Heat_Backend[[#This Row],[Converted data]]/1000)</f>
        <v/>
      </c>
      <c r="AL48" s="220">
        <f>SUM(Buildings_Heat_Backend[[#This Row],[Scope 1 (tCO2e)]:[Scope 3 WTT T&amp;D (tCO2e)]])</f>
        <v>0</v>
      </c>
      <c r="AM48" s="220" t="str">
        <f>IF(Buildings_Heat_Frontend[[#This Row],[Data]]="","", Buildings_Heat_Backend[[#This Row],[Total (tCO2e)]]*(1-Buildings_Heat_Backend[[#This Row],[RSD]]))</f>
        <v/>
      </c>
      <c r="AN48" s="220" t="str">
        <f>IF(Buildings_Heat_Frontend[[#This Row],[Data]]="","", Buildings_Heat_Backend[[#This Row],[Total (tCO2e)]]*(1+Buildings_Heat_Backend[[#This Row],[RSD]]))</f>
        <v/>
      </c>
      <c r="AO48" s="210" t="str">
        <f>IF(Buildings_Heat_Frontend[[#This Row],[Data]]="","", _xlfn.XLOOKUP(_xlfn.CONCAT(Buildings_Heat_Backend[[#This Row],[Level 1]:[Level 6]]),rng_EFConcat,rng_EFOOS)*Buildings_Heat_Backend[[#This Row],[Converted data]]/1000)</f>
        <v/>
      </c>
      <c r="AP48" s="174">
        <f>Buildings_Heat_Frontend[[#This Row],[Ease of collection]]</f>
        <v>0</v>
      </c>
      <c r="AQ48" s="174">
        <f>Buildings_Heat_Frontend[[#This Row],[Completeness]]</f>
        <v>0</v>
      </c>
      <c r="AR48" s="174">
        <f>Buildings_Heat_Frontend[[#This Row],[Notes]]</f>
        <v>0</v>
      </c>
    </row>
    <row r="49" spans="5:44" x14ac:dyDescent="0.3">
      <c r="E49" s="346"/>
      <c r="F49" s="364"/>
      <c r="G49" s="336"/>
      <c r="H49" s="336"/>
      <c r="I49" s="336"/>
      <c r="J49" s="334"/>
      <c r="K49" s="336"/>
      <c r="L49" s="336"/>
      <c r="M49" s="336"/>
      <c r="N49" s="352"/>
      <c r="O49" s="230">
        <f t="shared" si="2"/>
        <v>6</v>
      </c>
      <c r="Q49" s="212" t="str">
        <f t="shared" si="0"/>
        <v/>
      </c>
      <c r="R49" s="174" t="s">
        <v>265</v>
      </c>
      <c r="S49" s="174" t="s">
        <v>273</v>
      </c>
      <c r="T49" s="174" t="str">
        <f>IF(Buildings_Heat_Frontend[[#This Row],[Data]]="","", _xlfn.XLOOKUP(Buildings_Heat_Backend[[#This Row],[Info 1]],Buildings_SiteInfo[Site name],Buildings_SiteInfo[Site type]))</f>
        <v/>
      </c>
      <c r="U49" s="174" t="str">
        <f>IF(Buildings_Heat_Frontend[[#This Row],[Data]]="","", Buildings_Heat_Frontend[[#This Row],[Heating Type]])</f>
        <v/>
      </c>
      <c r="V49" s="174" t="str">
        <f>IF(Buildings_Heat_Frontend[[#This Row],[Data]]="","", Buildings_Heat_Frontend[[#This Row],[Fuel]])</f>
        <v/>
      </c>
      <c r="W49" s="174" t="str" cm="1">
        <f t="array" ref="W49">IF(Buildings_Heat_Frontend[[#This Row],[Data]]="","", _xlfn.XLOOKUP(Buildings_Heat_Backend[[#This Row],[Level 5]],rng_Level5Long,rng_Level6Long))</f>
        <v/>
      </c>
      <c r="X49" s="174" t="str">
        <f>IF(Buildings_Heat_Frontend[[#This Row],[Data]]="","", Buildings_Heat_Frontend[[#This Row],[Site Name]])</f>
        <v/>
      </c>
      <c r="Y49" s="174" t="str">
        <f>IF(Buildings_Heat_Frontend[[#This Row],[Data]]="","", Buildings_Heat_Frontend[[#This Row],[MPRN]])</f>
        <v/>
      </c>
      <c r="Z49" s="174" t="str">
        <f>IF(Buildings_Heat_Frontend[[#This Row],[Data]]="","", IF($I49="","",$I49))</f>
        <v/>
      </c>
      <c r="AA49" s="229" t="str" cm="1">
        <f t="array" ref="AA49">IF(Buildings_Heat_Frontend[[#This Row],[Data]]="","", INDEX(_xlfn.SWITCH(Buildings_Heat_Backend[[#This Row],[Methodology]],"Tier 1",rng_RSD1,"Tier 2",rng_RSD2,"Tier 3",rng_RSD3),MATCH(_xlfn.CONCAT(Buildings_Heat_Backend[[#This Row],[Level 1]:[Level 6]]),rng_LevelsConcat,0)))</f>
        <v/>
      </c>
      <c r="AB49" s="220" t="str">
        <f t="shared" si="1"/>
        <v/>
      </c>
      <c r="AC49" s="174">
        <f>Buildings_Heat_Frontend[[#This Row],[Units]]</f>
        <v>0</v>
      </c>
      <c r="AD4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 s="174" t="str">
        <f>IF(Buildings_Heat_Frontend[[#This Row],[Data]]="","", _xlfn.XLOOKUP(_xlfn.CONCAT(Buildings_Heat_Backend[[#This Row],[Level 1]:[Level 6]]),rng_LevelsConcat,rng_UnitsLong))</f>
        <v/>
      </c>
      <c r="AF49" s="210" t="str">
        <f>IF(Buildings_Heat_Frontend[[#This Row],[Data]]="","", _xlfn.XLOOKUP(_xlfn.CONCAT(Buildings_Heat_Backend[[#This Row],[Level 1]:[Level 6]]),rng_EFConcat,rng_EF1)*Buildings_Heat_Backend[[#This Row],[Converted data]]/1000)</f>
        <v/>
      </c>
      <c r="AG49" s="210" t="str">
        <f>IF(Buildings_Heat_Frontend[[#This Row],[Data]]="","", _xlfn.XLOOKUP(_xlfn.CONCAT(Buildings_Heat_Backend[[#This Row],[Level 1]:[Level 6]]),rng_EFConcat,rng_EF2)*Buildings_Heat_Backend[[#This Row],[Converted data]]/1000)</f>
        <v/>
      </c>
      <c r="AH49" s="210" t="str">
        <f>IF(Buildings_Heat_Frontend[[#This Row],[Data]]="","", _xlfn.XLOOKUP(_xlfn.CONCAT(Buildings_Heat_Backend[[#This Row],[Level 1]:[Level 6]]),rng_EFConcat,rng_EF3)*Buildings_Heat_Backend[[#This Row],[Converted data]]/1000)</f>
        <v/>
      </c>
      <c r="AI49" s="210" t="str">
        <f>IF(Buildings_Heat_Frontend[[#This Row],[Data]]="","", _xlfn.XLOOKUP(_xlfn.CONCAT(Buildings_Heat_Backend[[#This Row],[Level 1]:[Level 6]]),rng_EFConcat,rng_EF3WTT)*Buildings_Heat_Backend[[#This Row],[Converted data]]/1000)</f>
        <v/>
      </c>
      <c r="AJ49" s="210" t="str">
        <f>IF(Buildings_Heat_Frontend[[#This Row],[Data]]="","", _xlfn.XLOOKUP(_xlfn.CONCAT(Buildings_Heat_Backend[[#This Row],[Level 1]:[Level 6]]),rng_EFConcat,rng_EF3TD)*Buildings_Heat_Backend[[#This Row],[Converted data]]/1000)</f>
        <v/>
      </c>
      <c r="AK49" s="210" t="str">
        <f>IF(Buildings_Heat_Frontend[[#This Row],[Data]]="","", _xlfn.XLOOKUP(_xlfn.CONCAT(Buildings_Heat_Backend[[#This Row],[Level 1]:[Level 6]]),rng_EFConcat,rng_EF3WTTTD)*Buildings_Heat_Backend[[#This Row],[Converted data]]/1000)</f>
        <v/>
      </c>
      <c r="AL49" s="220">
        <f>SUM(Buildings_Heat_Backend[[#This Row],[Scope 1 (tCO2e)]:[Scope 3 WTT T&amp;D (tCO2e)]])</f>
        <v>0</v>
      </c>
      <c r="AM49" s="220" t="str">
        <f>IF(Buildings_Heat_Frontend[[#This Row],[Data]]="","", Buildings_Heat_Backend[[#This Row],[Total (tCO2e)]]*(1-Buildings_Heat_Backend[[#This Row],[RSD]]))</f>
        <v/>
      </c>
      <c r="AN49" s="220" t="str">
        <f>IF(Buildings_Heat_Frontend[[#This Row],[Data]]="","", Buildings_Heat_Backend[[#This Row],[Total (tCO2e)]]*(1+Buildings_Heat_Backend[[#This Row],[RSD]]))</f>
        <v/>
      </c>
      <c r="AO49" s="210" t="str">
        <f>IF(Buildings_Heat_Frontend[[#This Row],[Data]]="","", _xlfn.XLOOKUP(_xlfn.CONCAT(Buildings_Heat_Backend[[#This Row],[Level 1]:[Level 6]]),rng_EFConcat,rng_EFOOS)*Buildings_Heat_Backend[[#This Row],[Converted data]]/1000)</f>
        <v/>
      </c>
      <c r="AP49" s="174">
        <f>Buildings_Heat_Frontend[[#This Row],[Ease of collection]]</f>
        <v>0</v>
      </c>
      <c r="AQ49" s="174">
        <f>Buildings_Heat_Frontend[[#This Row],[Completeness]]</f>
        <v>0</v>
      </c>
      <c r="AR49" s="174">
        <f>Buildings_Heat_Frontend[[#This Row],[Notes]]</f>
        <v>0</v>
      </c>
    </row>
    <row r="50" spans="5:44" x14ac:dyDescent="0.3">
      <c r="E50" s="346"/>
      <c r="F50" s="364"/>
      <c r="G50" s="336"/>
      <c r="H50" s="336"/>
      <c r="I50" s="336"/>
      <c r="J50" s="334"/>
      <c r="K50" s="336"/>
      <c r="L50" s="336"/>
      <c r="M50" s="336"/>
      <c r="N50" s="352"/>
      <c r="O50" s="230">
        <f t="shared" si="2"/>
        <v>6</v>
      </c>
      <c r="Q50" s="212" t="str">
        <f t="shared" si="0"/>
        <v/>
      </c>
      <c r="R50" s="174" t="s">
        <v>265</v>
      </c>
      <c r="S50" s="174" t="s">
        <v>273</v>
      </c>
      <c r="T50" s="174" t="str">
        <f>IF(Buildings_Heat_Frontend[[#This Row],[Data]]="","", _xlfn.XLOOKUP(Buildings_Heat_Backend[[#This Row],[Info 1]],Buildings_SiteInfo[Site name],Buildings_SiteInfo[Site type]))</f>
        <v/>
      </c>
      <c r="U50" s="174" t="str">
        <f>IF(Buildings_Heat_Frontend[[#This Row],[Data]]="","", Buildings_Heat_Frontend[[#This Row],[Heating Type]])</f>
        <v/>
      </c>
      <c r="V50" s="174" t="str">
        <f>IF(Buildings_Heat_Frontend[[#This Row],[Data]]="","", Buildings_Heat_Frontend[[#This Row],[Fuel]])</f>
        <v/>
      </c>
      <c r="W50" s="174" t="str" cm="1">
        <f t="array" ref="W50">IF(Buildings_Heat_Frontend[[#This Row],[Data]]="","", _xlfn.XLOOKUP(Buildings_Heat_Backend[[#This Row],[Level 5]],rng_Level5Long,rng_Level6Long))</f>
        <v/>
      </c>
      <c r="X50" s="174" t="str">
        <f>IF(Buildings_Heat_Frontend[[#This Row],[Data]]="","", Buildings_Heat_Frontend[[#This Row],[Site Name]])</f>
        <v/>
      </c>
      <c r="Y50" s="174" t="str">
        <f>IF(Buildings_Heat_Frontend[[#This Row],[Data]]="","", Buildings_Heat_Frontend[[#This Row],[MPRN]])</f>
        <v/>
      </c>
      <c r="Z50" s="174" t="str">
        <f>IF(Buildings_Heat_Frontend[[#This Row],[Data]]="","", IF($I50="","",$I50))</f>
        <v/>
      </c>
      <c r="AA50" s="229" t="str" cm="1">
        <f t="array" ref="AA50">IF(Buildings_Heat_Frontend[[#This Row],[Data]]="","", INDEX(_xlfn.SWITCH(Buildings_Heat_Backend[[#This Row],[Methodology]],"Tier 1",rng_RSD1,"Tier 2",rng_RSD2,"Tier 3",rng_RSD3),MATCH(_xlfn.CONCAT(Buildings_Heat_Backend[[#This Row],[Level 1]:[Level 6]]),rng_LevelsConcat,0)))</f>
        <v/>
      </c>
      <c r="AB50" s="220" t="str">
        <f t="shared" si="1"/>
        <v/>
      </c>
      <c r="AC50" s="174">
        <f>Buildings_Heat_Frontend[[#This Row],[Units]]</f>
        <v>0</v>
      </c>
      <c r="AD5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 s="174" t="str">
        <f>IF(Buildings_Heat_Frontend[[#This Row],[Data]]="","", _xlfn.XLOOKUP(_xlfn.CONCAT(Buildings_Heat_Backend[[#This Row],[Level 1]:[Level 6]]),rng_LevelsConcat,rng_UnitsLong))</f>
        <v/>
      </c>
      <c r="AF50" s="210" t="str">
        <f>IF(Buildings_Heat_Frontend[[#This Row],[Data]]="","", _xlfn.XLOOKUP(_xlfn.CONCAT(Buildings_Heat_Backend[[#This Row],[Level 1]:[Level 6]]),rng_EFConcat,rng_EF1)*Buildings_Heat_Backend[[#This Row],[Converted data]]/1000)</f>
        <v/>
      </c>
      <c r="AG50" s="210" t="str">
        <f>IF(Buildings_Heat_Frontend[[#This Row],[Data]]="","", _xlfn.XLOOKUP(_xlfn.CONCAT(Buildings_Heat_Backend[[#This Row],[Level 1]:[Level 6]]),rng_EFConcat,rng_EF2)*Buildings_Heat_Backend[[#This Row],[Converted data]]/1000)</f>
        <v/>
      </c>
      <c r="AH50" s="210" t="str">
        <f>IF(Buildings_Heat_Frontend[[#This Row],[Data]]="","", _xlfn.XLOOKUP(_xlfn.CONCAT(Buildings_Heat_Backend[[#This Row],[Level 1]:[Level 6]]),rng_EFConcat,rng_EF3)*Buildings_Heat_Backend[[#This Row],[Converted data]]/1000)</f>
        <v/>
      </c>
      <c r="AI50" s="210" t="str">
        <f>IF(Buildings_Heat_Frontend[[#This Row],[Data]]="","", _xlfn.XLOOKUP(_xlfn.CONCAT(Buildings_Heat_Backend[[#This Row],[Level 1]:[Level 6]]),rng_EFConcat,rng_EF3WTT)*Buildings_Heat_Backend[[#This Row],[Converted data]]/1000)</f>
        <v/>
      </c>
      <c r="AJ50" s="210" t="str">
        <f>IF(Buildings_Heat_Frontend[[#This Row],[Data]]="","", _xlfn.XLOOKUP(_xlfn.CONCAT(Buildings_Heat_Backend[[#This Row],[Level 1]:[Level 6]]),rng_EFConcat,rng_EF3TD)*Buildings_Heat_Backend[[#This Row],[Converted data]]/1000)</f>
        <v/>
      </c>
      <c r="AK50" s="210" t="str">
        <f>IF(Buildings_Heat_Frontend[[#This Row],[Data]]="","", _xlfn.XLOOKUP(_xlfn.CONCAT(Buildings_Heat_Backend[[#This Row],[Level 1]:[Level 6]]),rng_EFConcat,rng_EF3WTTTD)*Buildings_Heat_Backend[[#This Row],[Converted data]]/1000)</f>
        <v/>
      </c>
      <c r="AL50" s="220">
        <f>SUM(Buildings_Heat_Backend[[#This Row],[Scope 1 (tCO2e)]:[Scope 3 WTT T&amp;D (tCO2e)]])</f>
        <v>0</v>
      </c>
      <c r="AM50" s="220" t="str">
        <f>IF(Buildings_Heat_Frontend[[#This Row],[Data]]="","", Buildings_Heat_Backend[[#This Row],[Total (tCO2e)]]*(1-Buildings_Heat_Backend[[#This Row],[RSD]]))</f>
        <v/>
      </c>
      <c r="AN50" s="220" t="str">
        <f>IF(Buildings_Heat_Frontend[[#This Row],[Data]]="","", Buildings_Heat_Backend[[#This Row],[Total (tCO2e)]]*(1+Buildings_Heat_Backend[[#This Row],[RSD]]))</f>
        <v/>
      </c>
      <c r="AO50" s="210" t="str">
        <f>IF(Buildings_Heat_Frontend[[#This Row],[Data]]="","", _xlfn.XLOOKUP(_xlfn.CONCAT(Buildings_Heat_Backend[[#This Row],[Level 1]:[Level 6]]),rng_EFConcat,rng_EFOOS)*Buildings_Heat_Backend[[#This Row],[Converted data]]/1000)</f>
        <v/>
      </c>
      <c r="AP50" s="174">
        <f>Buildings_Heat_Frontend[[#This Row],[Ease of collection]]</f>
        <v>0</v>
      </c>
      <c r="AQ50" s="174">
        <f>Buildings_Heat_Frontend[[#This Row],[Completeness]]</f>
        <v>0</v>
      </c>
      <c r="AR50" s="174">
        <f>Buildings_Heat_Frontend[[#This Row],[Notes]]</f>
        <v>0</v>
      </c>
    </row>
    <row r="51" spans="5:44" x14ac:dyDescent="0.3">
      <c r="E51" s="346"/>
      <c r="F51" s="364"/>
      <c r="G51" s="336"/>
      <c r="H51" s="336"/>
      <c r="I51" s="336"/>
      <c r="J51" s="334"/>
      <c r="K51" s="336"/>
      <c r="L51" s="336"/>
      <c r="M51" s="336"/>
      <c r="N51" s="352"/>
      <c r="O51" s="230">
        <f t="shared" si="2"/>
        <v>6</v>
      </c>
      <c r="Q51" s="212" t="str">
        <f t="shared" si="0"/>
        <v/>
      </c>
      <c r="R51" s="174" t="s">
        <v>265</v>
      </c>
      <c r="S51" s="174" t="s">
        <v>273</v>
      </c>
      <c r="T51" s="174" t="str">
        <f>IF(Buildings_Heat_Frontend[[#This Row],[Data]]="","", _xlfn.XLOOKUP(Buildings_Heat_Backend[[#This Row],[Info 1]],Buildings_SiteInfo[Site name],Buildings_SiteInfo[Site type]))</f>
        <v/>
      </c>
      <c r="U51" s="174" t="str">
        <f>IF(Buildings_Heat_Frontend[[#This Row],[Data]]="","", Buildings_Heat_Frontend[[#This Row],[Heating Type]])</f>
        <v/>
      </c>
      <c r="V51" s="174" t="str">
        <f>IF(Buildings_Heat_Frontend[[#This Row],[Data]]="","", Buildings_Heat_Frontend[[#This Row],[Fuel]])</f>
        <v/>
      </c>
      <c r="W51" s="174" t="str" cm="1">
        <f t="array" ref="W51">IF(Buildings_Heat_Frontend[[#This Row],[Data]]="","", _xlfn.XLOOKUP(Buildings_Heat_Backend[[#This Row],[Level 5]],rng_Level5Long,rng_Level6Long))</f>
        <v/>
      </c>
      <c r="X51" s="174" t="str">
        <f>IF(Buildings_Heat_Frontend[[#This Row],[Data]]="","", Buildings_Heat_Frontend[[#This Row],[Site Name]])</f>
        <v/>
      </c>
      <c r="Y51" s="174" t="str">
        <f>IF(Buildings_Heat_Frontend[[#This Row],[Data]]="","", Buildings_Heat_Frontend[[#This Row],[MPRN]])</f>
        <v/>
      </c>
      <c r="Z51" s="174" t="str">
        <f>IF(Buildings_Heat_Frontend[[#This Row],[Data]]="","", IF($I51="","",$I51))</f>
        <v/>
      </c>
      <c r="AA51" s="229" t="str" cm="1">
        <f t="array" ref="AA51">IF(Buildings_Heat_Frontend[[#This Row],[Data]]="","", INDEX(_xlfn.SWITCH(Buildings_Heat_Backend[[#This Row],[Methodology]],"Tier 1",rng_RSD1,"Tier 2",rng_RSD2,"Tier 3",rng_RSD3),MATCH(_xlfn.CONCAT(Buildings_Heat_Backend[[#This Row],[Level 1]:[Level 6]]),rng_LevelsConcat,0)))</f>
        <v/>
      </c>
      <c r="AB51" s="220" t="str">
        <f t="shared" si="1"/>
        <v/>
      </c>
      <c r="AC51" s="174">
        <f>Buildings_Heat_Frontend[[#This Row],[Units]]</f>
        <v>0</v>
      </c>
      <c r="AD5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1" s="174" t="str">
        <f>IF(Buildings_Heat_Frontend[[#This Row],[Data]]="","", _xlfn.XLOOKUP(_xlfn.CONCAT(Buildings_Heat_Backend[[#This Row],[Level 1]:[Level 6]]),rng_LevelsConcat,rng_UnitsLong))</f>
        <v/>
      </c>
      <c r="AF51" s="210" t="str">
        <f>IF(Buildings_Heat_Frontend[[#This Row],[Data]]="","", _xlfn.XLOOKUP(_xlfn.CONCAT(Buildings_Heat_Backend[[#This Row],[Level 1]:[Level 6]]),rng_EFConcat,rng_EF1)*Buildings_Heat_Backend[[#This Row],[Converted data]]/1000)</f>
        <v/>
      </c>
      <c r="AG51" s="210" t="str">
        <f>IF(Buildings_Heat_Frontend[[#This Row],[Data]]="","", _xlfn.XLOOKUP(_xlfn.CONCAT(Buildings_Heat_Backend[[#This Row],[Level 1]:[Level 6]]),rng_EFConcat,rng_EF2)*Buildings_Heat_Backend[[#This Row],[Converted data]]/1000)</f>
        <v/>
      </c>
      <c r="AH51" s="210" t="str">
        <f>IF(Buildings_Heat_Frontend[[#This Row],[Data]]="","", _xlfn.XLOOKUP(_xlfn.CONCAT(Buildings_Heat_Backend[[#This Row],[Level 1]:[Level 6]]),rng_EFConcat,rng_EF3)*Buildings_Heat_Backend[[#This Row],[Converted data]]/1000)</f>
        <v/>
      </c>
      <c r="AI51" s="210" t="str">
        <f>IF(Buildings_Heat_Frontend[[#This Row],[Data]]="","", _xlfn.XLOOKUP(_xlfn.CONCAT(Buildings_Heat_Backend[[#This Row],[Level 1]:[Level 6]]),rng_EFConcat,rng_EF3WTT)*Buildings_Heat_Backend[[#This Row],[Converted data]]/1000)</f>
        <v/>
      </c>
      <c r="AJ51" s="210" t="str">
        <f>IF(Buildings_Heat_Frontend[[#This Row],[Data]]="","", _xlfn.XLOOKUP(_xlfn.CONCAT(Buildings_Heat_Backend[[#This Row],[Level 1]:[Level 6]]),rng_EFConcat,rng_EF3TD)*Buildings_Heat_Backend[[#This Row],[Converted data]]/1000)</f>
        <v/>
      </c>
      <c r="AK51" s="210" t="str">
        <f>IF(Buildings_Heat_Frontend[[#This Row],[Data]]="","", _xlfn.XLOOKUP(_xlfn.CONCAT(Buildings_Heat_Backend[[#This Row],[Level 1]:[Level 6]]),rng_EFConcat,rng_EF3WTTTD)*Buildings_Heat_Backend[[#This Row],[Converted data]]/1000)</f>
        <v/>
      </c>
      <c r="AL51" s="220">
        <f>SUM(Buildings_Heat_Backend[[#This Row],[Scope 1 (tCO2e)]:[Scope 3 WTT T&amp;D (tCO2e)]])</f>
        <v>0</v>
      </c>
      <c r="AM51" s="220" t="str">
        <f>IF(Buildings_Heat_Frontend[[#This Row],[Data]]="","", Buildings_Heat_Backend[[#This Row],[Total (tCO2e)]]*(1-Buildings_Heat_Backend[[#This Row],[RSD]]))</f>
        <v/>
      </c>
      <c r="AN51" s="220" t="str">
        <f>IF(Buildings_Heat_Frontend[[#This Row],[Data]]="","", Buildings_Heat_Backend[[#This Row],[Total (tCO2e)]]*(1+Buildings_Heat_Backend[[#This Row],[RSD]]))</f>
        <v/>
      </c>
      <c r="AO51" s="210" t="str">
        <f>IF(Buildings_Heat_Frontend[[#This Row],[Data]]="","", _xlfn.XLOOKUP(_xlfn.CONCAT(Buildings_Heat_Backend[[#This Row],[Level 1]:[Level 6]]),rng_EFConcat,rng_EFOOS)*Buildings_Heat_Backend[[#This Row],[Converted data]]/1000)</f>
        <v/>
      </c>
      <c r="AP51" s="174">
        <f>Buildings_Heat_Frontend[[#This Row],[Ease of collection]]</f>
        <v>0</v>
      </c>
      <c r="AQ51" s="174">
        <f>Buildings_Heat_Frontend[[#This Row],[Completeness]]</f>
        <v>0</v>
      </c>
      <c r="AR51" s="174">
        <f>Buildings_Heat_Frontend[[#This Row],[Notes]]</f>
        <v>0</v>
      </c>
    </row>
    <row r="52" spans="5:44" x14ac:dyDescent="0.3">
      <c r="E52" s="346"/>
      <c r="F52" s="364"/>
      <c r="G52" s="336"/>
      <c r="H52" s="336"/>
      <c r="I52" s="336"/>
      <c r="J52" s="334"/>
      <c r="K52" s="336"/>
      <c r="L52" s="336"/>
      <c r="M52" s="336"/>
      <c r="N52" s="352"/>
      <c r="O52" s="230">
        <f t="shared" si="2"/>
        <v>6</v>
      </c>
      <c r="Q52" s="212" t="str">
        <f t="shared" si="0"/>
        <v/>
      </c>
      <c r="R52" s="174" t="s">
        <v>265</v>
      </c>
      <c r="S52" s="174" t="s">
        <v>273</v>
      </c>
      <c r="T52" s="174" t="str">
        <f>IF(Buildings_Heat_Frontend[[#This Row],[Data]]="","", _xlfn.XLOOKUP(Buildings_Heat_Backend[[#This Row],[Info 1]],Buildings_SiteInfo[Site name],Buildings_SiteInfo[Site type]))</f>
        <v/>
      </c>
      <c r="U52" s="174" t="str">
        <f>IF(Buildings_Heat_Frontend[[#This Row],[Data]]="","", Buildings_Heat_Frontend[[#This Row],[Heating Type]])</f>
        <v/>
      </c>
      <c r="V52" s="174" t="str">
        <f>IF(Buildings_Heat_Frontend[[#This Row],[Data]]="","", Buildings_Heat_Frontend[[#This Row],[Fuel]])</f>
        <v/>
      </c>
      <c r="W52" s="174" t="str" cm="1">
        <f t="array" ref="W52">IF(Buildings_Heat_Frontend[[#This Row],[Data]]="","", _xlfn.XLOOKUP(Buildings_Heat_Backend[[#This Row],[Level 5]],rng_Level5Long,rng_Level6Long))</f>
        <v/>
      </c>
      <c r="X52" s="174" t="str">
        <f>IF(Buildings_Heat_Frontend[[#This Row],[Data]]="","", Buildings_Heat_Frontend[[#This Row],[Site Name]])</f>
        <v/>
      </c>
      <c r="Y52" s="174" t="str">
        <f>IF(Buildings_Heat_Frontend[[#This Row],[Data]]="","", Buildings_Heat_Frontend[[#This Row],[MPRN]])</f>
        <v/>
      </c>
      <c r="Z52" s="174" t="str">
        <f>IF(Buildings_Heat_Frontend[[#This Row],[Data]]="","", IF($I52="","",$I52))</f>
        <v/>
      </c>
      <c r="AA52" s="229" t="str" cm="1">
        <f t="array" ref="AA52">IF(Buildings_Heat_Frontend[[#This Row],[Data]]="","", INDEX(_xlfn.SWITCH(Buildings_Heat_Backend[[#This Row],[Methodology]],"Tier 1",rng_RSD1,"Tier 2",rng_RSD2,"Tier 3",rng_RSD3),MATCH(_xlfn.CONCAT(Buildings_Heat_Backend[[#This Row],[Level 1]:[Level 6]]),rng_LevelsConcat,0)))</f>
        <v/>
      </c>
      <c r="AB52" s="220" t="str">
        <f t="shared" si="1"/>
        <v/>
      </c>
      <c r="AC52" s="174">
        <f>Buildings_Heat_Frontend[[#This Row],[Units]]</f>
        <v>0</v>
      </c>
      <c r="AD5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2" s="174" t="str">
        <f>IF(Buildings_Heat_Frontend[[#This Row],[Data]]="","", _xlfn.XLOOKUP(_xlfn.CONCAT(Buildings_Heat_Backend[[#This Row],[Level 1]:[Level 6]]),rng_LevelsConcat,rng_UnitsLong))</f>
        <v/>
      </c>
      <c r="AF52" s="210" t="str">
        <f>IF(Buildings_Heat_Frontend[[#This Row],[Data]]="","", _xlfn.XLOOKUP(_xlfn.CONCAT(Buildings_Heat_Backend[[#This Row],[Level 1]:[Level 6]]),rng_EFConcat,rng_EF1)*Buildings_Heat_Backend[[#This Row],[Converted data]]/1000)</f>
        <v/>
      </c>
      <c r="AG52" s="210" t="str">
        <f>IF(Buildings_Heat_Frontend[[#This Row],[Data]]="","", _xlfn.XLOOKUP(_xlfn.CONCAT(Buildings_Heat_Backend[[#This Row],[Level 1]:[Level 6]]),rng_EFConcat,rng_EF2)*Buildings_Heat_Backend[[#This Row],[Converted data]]/1000)</f>
        <v/>
      </c>
      <c r="AH52" s="210" t="str">
        <f>IF(Buildings_Heat_Frontend[[#This Row],[Data]]="","", _xlfn.XLOOKUP(_xlfn.CONCAT(Buildings_Heat_Backend[[#This Row],[Level 1]:[Level 6]]),rng_EFConcat,rng_EF3)*Buildings_Heat_Backend[[#This Row],[Converted data]]/1000)</f>
        <v/>
      </c>
      <c r="AI52" s="210" t="str">
        <f>IF(Buildings_Heat_Frontend[[#This Row],[Data]]="","", _xlfn.XLOOKUP(_xlfn.CONCAT(Buildings_Heat_Backend[[#This Row],[Level 1]:[Level 6]]),rng_EFConcat,rng_EF3WTT)*Buildings_Heat_Backend[[#This Row],[Converted data]]/1000)</f>
        <v/>
      </c>
      <c r="AJ52" s="210" t="str">
        <f>IF(Buildings_Heat_Frontend[[#This Row],[Data]]="","", _xlfn.XLOOKUP(_xlfn.CONCAT(Buildings_Heat_Backend[[#This Row],[Level 1]:[Level 6]]),rng_EFConcat,rng_EF3TD)*Buildings_Heat_Backend[[#This Row],[Converted data]]/1000)</f>
        <v/>
      </c>
      <c r="AK52" s="210" t="str">
        <f>IF(Buildings_Heat_Frontend[[#This Row],[Data]]="","", _xlfn.XLOOKUP(_xlfn.CONCAT(Buildings_Heat_Backend[[#This Row],[Level 1]:[Level 6]]),rng_EFConcat,rng_EF3WTTTD)*Buildings_Heat_Backend[[#This Row],[Converted data]]/1000)</f>
        <v/>
      </c>
      <c r="AL52" s="220">
        <f>SUM(Buildings_Heat_Backend[[#This Row],[Scope 1 (tCO2e)]:[Scope 3 WTT T&amp;D (tCO2e)]])</f>
        <v>0</v>
      </c>
      <c r="AM52" s="220" t="str">
        <f>IF(Buildings_Heat_Frontend[[#This Row],[Data]]="","", Buildings_Heat_Backend[[#This Row],[Total (tCO2e)]]*(1-Buildings_Heat_Backend[[#This Row],[RSD]]))</f>
        <v/>
      </c>
      <c r="AN52" s="220" t="str">
        <f>IF(Buildings_Heat_Frontend[[#This Row],[Data]]="","", Buildings_Heat_Backend[[#This Row],[Total (tCO2e)]]*(1+Buildings_Heat_Backend[[#This Row],[RSD]]))</f>
        <v/>
      </c>
      <c r="AO52" s="210" t="str">
        <f>IF(Buildings_Heat_Frontend[[#This Row],[Data]]="","", _xlfn.XLOOKUP(_xlfn.CONCAT(Buildings_Heat_Backend[[#This Row],[Level 1]:[Level 6]]),rng_EFConcat,rng_EFOOS)*Buildings_Heat_Backend[[#This Row],[Converted data]]/1000)</f>
        <v/>
      </c>
      <c r="AP52" s="174">
        <f>Buildings_Heat_Frontend[[#This Row],[Ease of collection]]</f>
        <v>0</v>
      </c>
      <c r="AQ52" s="174">
        <f>Buildings_Heat_Frontend[[#This Row],[Completeness]]</f>
        <v>0</v>
      </c>
      <c r="AR52" s="174">
        <f>Buildings_Heat_Frontend[[#This Row],[Notes]]</f>
        <v>0</v>
      </c>
    </row>
    <row r="53" spans="5:44" x14ac:dyDescent="0.3">
      <c r="E53" s="346"/>
      <c r="F53" s="364"/>
      <c r="G53" s="336"/>
      <c r="H53" s="336"/>
      <c r="I53" s="336"/>
      <c r="J53" s="334"/>
      <c r="K53" s="336"/>
      <c r="L53" s="336"/>
      <c r="M53" s="336"/>
      <c r="N53" s="352"/>
      <c r="O53" s="230">
        <f t="shared" si="2"/>
        <v>6</v>
      </c>
      <c r="Q53" s="212" t="str">
        <f t="shared" si="0"/>
        <v/>
      </c>
      <c r="R53" s="174" t="s">
        <v>265</v>
      </c>
      <c r="S53" s="174" t="s">
        <v>273</v>
      </c>
      <c r="T53" s="174" t="str">
        <f>IF(Buildings_Heat_Frontend[[#This Row],[Data]]="","", _xlfn.XLOOKUP(Buildings_Heat_Backend[[#This Row],[Info 1]],Buildings_SiteInfo[Site name],Buildings_SiteInfo[Site type]))</f>
        <v/>
      </c>
      <c r="U53" s="174" t="str">
        <f>IF(Buildings_Heat_Frontend[[#This Row],[Data]]="","", Buildings_Heat_Frontend[[#This Row],[Heating Type]])</f>
        <v/>
      </c>
      <c r="V53" s="174" t="str">
        <f>IF(Buildings_Heat_Frontend[[#This Row],[Data]]="","", Buildings_Heat_Frontend[[#This Row],[Fuel]])</f>
        <v/>
      </c>
      <c r="W53" s="174" t="str" cm="1">
        <f t="array" ref="W53">IF(Buildings_Heat_Frontend[[#This Row],[Data]]="","", _xlfn.XLOOKUP(Buildings_Heat_Backend[[#This Row],[Level 5]],rng_Level5Long,rng_Level6Long))</f>
        <v/>
      </c>
      <c r="X53" s="174" t="str">
        <f>IF(Buildings_Heat_Frontend[[#This Row],[Data]]="","", Buildings_Heat_Frontend[[#This Row],[Site Name]])</f>
        <v/>
      </c>
      <c r="Y53" s="174" t="str">
        <f>IF(Buildings_Heat_Frontend[[#This Row],[Data]]="","", Buildings_Heat_Frontend[[#This Row],[MPRN]])</f>
        <v/>
      </c>
      <c r="Z53" s="174" t="str">
        <f>IF(Buildings_Heat_Frontend[[#This Row],[Data]]="","", IF($I53="","",$I53))</f>
        <v/>
      </c>
      <c r="AA53" s="229" t="str" cm="1">
        <f t="array" ref="AA53">IF(Buildings_Heat_Frontend[[#This Row],[Data]]="","", INDEX(_xlfn.SWITCH(Buildings_Heat_Backend[[#This Row],[Methodology]],"Tier 1",rng_RSD1,"Tier 2",rng_RSD2,"Tier 3",rng_RSD3),MATCH(_xlfn.CONCAT(Buildings_Heat_Backend[[#This Row],[Level 1]:[Level 6]]),rng_LevelsConcat,0)))</f>
        <v/>
      </c>
      <c r="AB53" s="220" t="str">
        <f t="shared" si="1"/>
        <v/>
      </c>
      <c r="AC53" s="174">
        <f>Buildings_Heat_Frontend[[#This Row],[Units]]</f>
        <v>0</v>
      </c>
      <c r="AD5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3" s="174" t="str">
        <f>IF(Buildings_Heat_Frontend[[#This Row],[Data]]="","", _xlfn.XLOOKUP(_xlfn.CONCAT(Buildings_Heat_Backend[[#This Row],[Level 1]:[Level 6]]),rng_LevelsConcat,rng_UnitsLong))</f>
        <v/>
      </c>
      <c r="AF53" s="210" t="str">
        <f>IF(Buildings_Heat_Frontend[[#This Row],[Data]]="","", _xlfn.XLOOKUP(_xlfn.CONCAT(Buildings_Heat_Backend[[#This Row],[Level 1]:[Level 6]]),rng_EFConcat,rng_EF1)*Buildings_Heat_Backend[[#This Row],[Converted data]]/1000)</f>
        <v/>
      </c>
      <c r="AG53" s="210" t="str">
        <f>IF(Buildings_Heat_Frontend[[#This Row],[Data]]="","", _xlfn.XLOOKUP(_xlfn.CONCAT(Buildings_Heat_Backend[[#This Row],[Level 1]:[Level 6]]),rng_EFConcat,rng_EF2)*Buildings_Heat_Backend[[#This Row],[Converted data]]/1000)</f>
        <v/>
      </c>
      <c r="AH53" s="210" t="str">
        <f>IF(Buildings_Heat_Frontend[[#This Row],[Data]]="","", _xlfn.XLOOKUP(_xlfn.CONCAT(Buildings_Heat_Backend[[#This Row],[Level 1]:[Level 6]]),rng_EFConcat,rng_EF3)*Buildings_Heat_Backend[[#This Row],[Converted data]]/1000)</f>
        <v/>
      </c>
      <c r="AI53" s="210" t="str">
        <f>IF(Buildings_Heat_Frontend[[#This Row],[Data]]="","", _xlfn.XLOOKUP(_xlfn.CONCAT(Buildings_Heat_Backend[[#This Row],[Level 1]:[Level 6]]),rng_EFConcat,rng_EF3WTT)*Buildings_Heat_Backend[[#This Row],[Converted data]]/1000)</f>
        <v/>
      </c>
      <c r="AJ53" s="210" t="str">
        <f>IF(Buildings_Heat_Frontend[[#This Row],[Data]]="","", _xlfn.XLOOKUP(_xlfn.CONCAT(Buildings_Heat_Backend[[#This Row],[Level 1]:[Level 6]]),rng_EFConcat,rng_EF3TD)*Buildings_Heat_Backend[[#This Row],[Converted data]]/1000)</f>
        <v/>
      </c>
      <c r="AK53" s="210" t="str">
        <f>IF(Buildings_Heat_Frontend[[#This Row],[Data]]="","", _xlfn.XLOOKUP(_xlfn.CONCAT(Buildings_Heat_Backend[[#This Row],[Level 1]:[Level 6]]),rng_EFConcat,rng_EF3WTTTD)*Buildings_Heat_Backend[[#This Row],[Converted data]]/1000)</f>
        <v/>
      </c>
      <c r="AL53" s="220">
        <f>SUM(Buildings_Heat_Backend[[#This Row],[Scope 1 (tCO2e)]:[Scope 3 WTT T&amp;D (tCO2e)]])</f>
        <v>0</v>
      </c>
      <c r="AM53" s="220" t="str">
        <f>IF(Buildings_Heat_Frontend[[#This Row],[Data]]="","", Buildings_Heat_Backend[[#This Row],[Total (tCO2e)]]*(1-Buildings_Heat_Backend[[#This Row],[RSD]]))</f>
        <v/>
      </c>
      <c r="AN53" s="220" t="str">
        <f>IF(Buildings_Heat_Frontend[[#This Row],[Data]]="","", Buildings_Heat_Backend[[#This Row],[Total (tCO2e)]]*(1+Buildings_Heat_Backend[[#This Row],[RSD]]))</f>
        <v/>
      </c>
      <c r="AO53" s="210" t="str">
        <f>IF(Buildings_Heat_Frontend[[#This Row],[Data]]="","", _xlfn.XLOOKUP(_xlfn.CONCAT(Buildings_Heat_Backend[[#This Row],[Level 1]:[Level 6]]),rng_EFConcat,rng_EFOOS)*Buildings_Heat_Backend[[#This Row],[Converted data]]/1000)</f>
        <v/>
      </c>
      <c r="AP53" s="174">
        <f>Buildings_Heat_Frontend[[#This Row],[Ease of collection]]</f>
        <v>0</v>
      </c>
      <c r="AQ53" s="174">
        <f>Buildings_Heat_Frontend[[#This Row],[Completeness]]</f>
        <v>0</v>
      </c>
      <c r="AR53" s="174">
        <f>Buildings_Heat_Frontend[[#This Row],[Notes]]</f>
        <v>0</v>
      </c>
    </row>
    <row r="54" spans="5:44" x14ac:dyDescent="0.3">
      <c r="E54" s="346"/>
      <c r="F54" s="364"/>
      <c r="G54" s="336"/>
      <c r="H54" s="336"/>
      <c r="I54" s="336"/>
      <c r="J54" s="334"/>
      <c r="K54" s="336"/>
      <c r="L54" s="336"/>
      <c r="M54" s="336"/>
      <c r="N54" s="352"/>
      <c r="O54" s="230">
        <f t="shared" si="2"/>
        <v>6</v>
      </c>
      <c r="Q54" s="212" t="str">
        <f t="shared" si="0"/>
        <v/>
      </c>
      <c r="R54" s="174" t="s">
        <v>265</v>
      </c>
      <c r="S54" s="174" t="s">
        <v>273</v>
      </c>
      <c r="T54" s="174" t="str">
        <f>IF(Buildings_Heat_Frontend[[#This Row],[Data]]="","", _xlfn.XLOOKUP(Buildings_Heat_Backend[[#This Row],[Info 1]],Buildings_SiteInfo[Site name],Buildings_SiteInfo[Site type]))</f>
        <v/>
      </c>
      <c r="U54" s="174" t="str">
        <f>IF(Buildings_Heat_Frontend[[#This Row],[Data]]="","", Buildings_Heat_Frontend[[#This Row],[Heating Type]])</f>
        <v/>
      </c>
      <c r="V54" s="174" t="str">
        <f>IF(Buildings_Heat_Frontend[[#This Row],[Data]]="","", Buildings_Heat_Frontend[[#This Row],[Fuel]])</f>
        <v/>
      </c>
      <c r="W54" s="174" t="str" cm="1">
        <f t="array" ref="W54">IF(Buildings_Heat_Frontend[[#This Row],[Data]]="","", _xlfn.XLOOKUP(Buildings_Heat_Backend[[#This Row],[Level 5]],rng_Level5Long,rng_Level6Long))</f>
        <v/>
      </c>
      <c r="X54" s="174" t="str">
        <f>IF(Buildings_Heat_Frontend[[#This Row],[Data]]="","", Buildings_Heat_Frontend[[#This Row],[Site Name]])</f>
        <v/>
      </c>
      <c r="Y54" s="174" t="str">
        <f>IF(Buildings_Heat_Frontend[[#This Row],[Data]]="","", Buildings_Heat_Frontend[[#This Row],[MPRN]])</f>
        <v/>
      </c>
      <c r="Z54" s="174" t="str">
        <f>IF(Buildings_Heat_Frontend[[#This Row],[Data]]="","", IF($I54="","",$I54))</f>
        <v/>
      </c>
      <c r="AA54" s="229" t="str" cm="1">
        <f t="array" ref="AA54">IF(Buildings_Heat_Frontend[[#This Row],[Data]]="","", INDEX(_xlfn.SWITCH(Buildings_Heat_Backend[[#This Row],[Methodology]],"Tier 1",rng_RSD1,"Tier 2",rng_RSD2,"Tier 3",rng_RSD3),MATCH(_xlfn.CONCAT(Buildings_Heat_Backend[[#This Row],[Level 1]:[Level 6]]),rng_LevelsConcat,0)))</f>
        <v/>
      </c>
      <c r="AB54" s="220" t="str">
        <f t="shared" si="1"/>
        <v/>
      </c>
      <c r="AC54" s="174">
        <f>Buildings_Heat_Frontend[[#This Row],[Units]]</f>
        <v>0</v>
      </c>
      <c r="AD5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4" s="174" t="str">
        <f>IF(Buildings_Heat_Frontend[[#This Row],[Data]]="","", _xlfn.XLOOKUP(_xlfn.CONCAT(Buildings_Heat_Backend[[#This Row],[Level 1]:[Level 6]]),rng_LevelsConcat,rng_UnitsLong))</f>
        <v/>
      </c>
      <c r="AF54" s="210" t="str">
        <f>IF(Buildings_Heat_Frontend[[#This Row],[Data]]="","", _xlfn.XLOOKUP(_xlfn.CONCAT(Buildings_Heat_Backend[[#This Row],[Level 1]:[Level 6]]),rng_EFConcat,rng_EF1)*Buildings_Heat_Backend[[#This Row],[Converted data]]/1000)</f>
        <v/>
      </c>
      <c r="AG54" s="210" t="str">
        <f>IF(Buildings_Heat_Frontend[[#This Row],[Data]]="","", _xlfn.XLOOKUP(_xlfn.CONCAT(Buildings_Heat_Backend[[#This Row],[Level 1]:[Level 6]]),rng_EFConcat,rng_EF2)*Buildings_Heat_Backend[[#This Row],[Converted data]]/1000)</f>
        <v/>
      </c>
      <c r="AH54" s="210" t="str">
        <f>IF(Buildings_Heat_Frontend[[#This Row],[Data]]="","", _xlfn.XLOOKUP(_xlfn.CONCAT(Buildings_Heat_Backend[[#This Row],[Level 1]:[Level 6]]),rng_EFConcat,rng_EF3)*Buildings_Heat_Backend[[#This Row],[Converted data]]/1000)</f>
        <v/>
      </c>
      <c r="AI54" s="210" t="str">
        <f>IF(Buildings_Heat_Frontend[[#This Row],[Data]]="","", _xlfn.XLOOKUP(_xlfn.CONCAT(Buildings_Heat_Backend[[#This Row],[Level 1]:[Level 6]]),rng_EFConcat,rng_EF3WTT)*Buildings_Heat_Backend[[#This Row],[Converted data]]/1000)</f>
        <v/>
      </c>
      <c r="AJ54" s="210" t="str">
        <f>IF(Buildings_Heat_Frontend[[#This Row],[Data]]="","", _xlfn.XLOOKUP(_xlfn.CONCAT(Buildings_Heat_Backend[[#This Row],[Level 1]:[Level 6]]),rng_EFConcat,rng_EF3TD)*Buildings_Heat_Backend[[#This Row],[Converted data]]/1000)</f>
        <v/>
      </c>
      <c r="AK54" s="210" t="str">
        <f>IF(Buildings_Heat_Frontend[[#This Row],[Data]]="","", _xlfn.XLOOKUP(_xlfn.CONCAT(Buildings_Heat_Backend[[#This Row],[Level 1]:[Level 6]]),rng_EFConcat,rng_EF3WTTTD)*Buildings_Heat_Backend[[#This Row],[Converted data]]/1000)</f>
        <v/>
      </c>
      <c r="AL54" s="220">
        <f>SUM(Buildings_Heat_Backend[[#This Row],[Scope 1 (tCO2e)]:[Scope 3 WTT T&amp;D (tCO2e)]])</f>
        <v>0</v>
      </c>
      <c r="AM54" s="220" t="str">
        <f>IF(Buildings_Heat_Frontend[[#This Row],[Data]]="","", Buildings_Heat_Backend[[#This Row],[Total (tCO2e)]]*(1-Buildings_Heat_Backend[[#This Row],[RSD]]))</f>
        <v/>
      </c>
      <c r="AN54" s="220" t="str">
        <f>IF(Buildings_Heat_Frontend[[#This Row],[Data]]="","", Buildings_Heat_Backend[[#This Row],[Total (tCO2e)]]*(1+Buildings_Heat_Backend[[#This Row],[RSD]]))</f>
        <v/>
      </c>
      <c r="AO54" s="210" t="str">
        <f>IF(Buildings_Heat_Frontend[[#This Row],[Data]]="","", _xlfn.XLOOKUP(_xlfn.CONCAT(Buildings_Heat_Backend[[#This Row],[Level 1]:[Level 6]]),rng_EFConcat,rng_EFOOS)*Buildings_Heat_Backend[[#This Row],[Converted data]]/1000)</f>
        <v/>
      </c>
      <c r="AP54" s="174">
        <f>Buildings_Heat_Frontend[[#This Row],[Ease of collection]]</f>
        <v>0</v>
      </c>
      <c r="AQ54" s="174">
        <f>Buildings_Heat_Frontend[[#This Row],[Completeness]]</f>
        <v>0</v>
      </c>
      <c r="AR54" s="174">
        <f>Buildings_Heat_Frontend[[#This Row],[Notes]]</f>
        <v>0</v>
      </c>
    </row>
    <row r="55" spans="5:44" x14ac:dyDescent="0.3">
      <c r="E55" s="346"/>
      <c r="F55" s="364"/>
      <c r="G55" s="336"/>
      <c r="H55" s="336"/>
      <c r="I55" s="336"/>
      <c r="J55" s="334"/>
      <c r="K55" s="336"/>
      <c r="L55" s="336"/>
      <c r="M55" s="336"/>
      <c r="N55" s="352"/>
      <c r="O55" s="230">
        <f t="shared" si="2"/>
        <v>6</v>
      </c>
      <c r="Q55" s="212" t="str">
        <f t="shared" si="0"/>
        <v/>
      </c>
      <c r="R55" s="174" t="s">
        <v>265</v>
      </c>
      <c r="S55" s="174" t="s">
        <v>273</v>
      </c>
      <c r="T55" s="174" t="str">
        <f>IF(Buildings_Heat_Frontend[[#This Row],[Data]]="","", _xlfn.XLOOKUP(Buildings_Heat_Backend[[#This Row],[Info 1]],Buildings_SiteInfo[Site name],Buildings_SiteInfo[Site type]))</f>
        <v/>
      </c>
      <c r="U55" s="174" t="str">
        <f>IF(Buildings_Heat_Frontend[[#This Row],[Data]]="","", Buildings_Heat_Frontend[[#This Row],[Heating Type]])</f>
        <v/>
      </c>
      <c r="V55" s="174" t="str">
        <f>IF(Buildings_Heat_Frontend[[#This Row],[Data]]="","", Buildings_Heat_Frontend[[#This Row],[Fuel]])</f>
        <v/>
      </c>
      <c r="W55" s="174" t="str" cm="1">
        <f t="array" ref="W55">IF(Buildings_Heat_Frontend[[#This Row],[Data]]="","", _xlfn.XLOOKUP(Buildings_Heat_Backend[[#This Row],[Level 5]],rng_Level5Long,rng_Level6Long))</f>
        <v/>
      </c>
      <c r="X55" s="174" t="str">
        <f>IF(Buildings_Heat_Frontend[[#This Row],[Data]]="","", Buildings_Heat_Frontend[[#This Row],[Site Name]])</f>
        <v/>
      </c>
      <c r="Y55" s="174" t="str">
        <f>IF(Buildings_Heat_Frontend[[#This Row],[Data]]="","", Buildings_Heat_Frontend[[#This Row],[MPRN]])</f>
        <v/>
      </c>
      <c r="Z55" s="174" t="str">
        <f>IF(Buildings_Heat_Frontend[[#This Row],[Data]]="","", IF($I55="","",$I55))</f>
        <v/>
      </c>
      <c r="AA55" s="229" t="str" cm="1">
        <f t="array" ref="AA55">IF(Buildings_Heat_Frontend[[#This Row],[Data]]="","", INDEX(_xlfn.SWITCH(Buildings_Heat_Backend[[#This Row],[Methodology]],"Tier 1",rng_RSD1,"Tier 2",rng_RSD2,"Tier 3",rng_RSD3),MATCH(_xlfn.CONCAT(Buildings_Heat_Backend[[#This Row],[Level 1]:[Level 6]]),rng_LevelsConcat,0)))</f>
        <v/>
      </c>
      <c r="AB55" s="220" t="str">
        <f t="shared" si="1"/>
        <v/>
      </c>
      <c r="AC55" s="174">
        <f>Buildings_Heat_Frontend[[#This Row],[Units]]</f>
        <v>0</v>
      </c>
      <c r="AD5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5" s="174" t="str">
        <f>IF(Buildings_Heat_Frontend[[#This Row],[Data]]="","", _xlfn.XLOOKUP(_xlfn.CONCAT(Buildings_Heat_Backend[[#This Row],[Level 1]:[Level 6]]),rng_LevelsConcat,rng_UnitsLong))</f>
        <v/>
      </c>
      <c r="AF55" s="210" t="str">
        <f>IF(Buildings_Heat_Frontend[[#This Row],[Data]]="","", _xlfn.XLOOKUP(_xlfn.CONCAT(Buildings_Heat_Backend[[#This Row],[Level 1]:[Level 6]]),rng_EFConcat,rng_EF1)*Buildings_Heat_Backend[[#This Row],[Converted data]]/1000)</f>
        <v/>
      </c>
      <c r="AG55" s="210" t="str">
        <f>IF(Buildings_Heat_Frontend[[#This Row],[Data]]="","", _xlfn.XLOOKUP(_xlfn.CONCAT(Buildings_Heat_Backend[[#This Row],[Level 1]:[Level 6]]),rng_EFConcat,rng_EF2)*Buildings_Heat_Backend[[#This Row],[Converted data]]/1000)</f>
        <v/>
      </c>
      <c r="AH55" s="210" t="str">
        <f>IF(Buildings_Heat_Frontend[[#This Row],[Data]]="","", _xlfn.XLOOKUP(_xlfn.CONCAT(Buildings_Heat_Backend[[#This Row],[Level 1]:[Level 6]]),rng_EFConcat,rng_EF3)*Buildings_Heat_Backend[[#This Row],[Converted data]]/1000)</f>
        <v/>
      </c>
      <c r="AI55" s="210" t="str">
        <f>IF(Buildings_Heat_Frontend[[#This Row],[Data]]="","", _xlfn.XLOOKUP(_xlfn.CONCAT(Buildings_Heat_Backend[[#This Row],[Level 1]:[Level 6]]),rng_EFConcat,rng_EF3WTT)*Buildings_Heat_Backend[[#This Row],[Converted data]]/1000)</f>
        <v/>
      </c>
      <c r="AJ55" s="210" t="str">
        <f>IF(Buildings_Heat_Frontend[[#This Row],[Data]]="","", _xlfn.XLOOKUP(_xlfn.CONCAT(Buildings_Heat_Backend[[#This Row],[Level 1]:[Level 6]]),rng_EFConcat,rng_EF3TD)*Buildings_Heat_Backend[[#This Row],[Converted data]]/1000)</f>
        <v/>
      </c>
      <c r="AK55" s="210" t="str">
        <f>IF(Buildings_Heat_Frontend[[#This Row],[Data]]="","", _xlfn.XLOOKUP(_xlfn.CONCAT(Buildings_Heat_Backend[[#This Row],[Level 1]:[Level 6]]),rng_EFConcat,rng_EF3WTTTD)*Buildings_Heat_Backend[[#This Row],[Converted data]]/1000)</f>
        <v/>
      </c>
      <c r="AL55" s="220">
        <f>SUM(Buildings_Heat_Backend[[#This Row],[Scope 1 (tCO2e)]:[Scope 3 WTT T&amp;D (tCO2e)]])</f>
        <v>0</v>
      </c>
      <c r="AM55" s="220" t="str">
        <f>IF(Buildings_Heat_Frontend[[#This Row],[Data]]="","", Buildings_Heat_Backend[[#This Row],[Total (tCO2e)]]*(1-Buildings_Heat_Backend[[#This Row],[RSD]]))</f>
        <v/>
      </c>
      <c r="AN55" s="220" t="str">
        <f>IF(Buildings_Heat_Frontend[[#This Row],[Data]]="","", Buildings_Heat_Backend[[#This Row],[Total (tCO2e)]]*(1+Buildings_Heat_Backend[[#This Row],[RSD]]))</f>
        <v/>
      </c>
      <c r="AO55" s="210" t="str">
        <f>IF(Buildings_Heat_Frontend[[#This Row],[Data]]="","", _xlfn.XLOOKUP(_xlfn.CONCAT(Buildings_Heat_Backend[[#This Row],[Level 1]:[Level 6]]),rng_EFConcat,rng_EFOOS)*Buildings_Heat_Backend[[#This Row],[Converted data]]/1000)</f>
        <v/>
      </c>
      <c r="AP55" s="174">
        <f>Buildings_Heat_Frontend[[#This Row],[Ease of collection]]</f>
        <v>0</v>
      </c>
      <c r="AQ55" s="174">
        <f>Buildings_Heat_Frontend[[#This Row],[Completeness]]</f>
        <v>0</v>
      </c>
      <c r="AR55" s="174">
        <f>Buildings_Heat_Frontend[[#This Row],[Notes]]</f>
        <v>0</v>
      </c>
    </row>
    <row r="56" spans="5:44" x14ac:dyDescent="0.3">
      <c r="E56" s="346"/>
      <c r="F56" s="364"/>
      <c r="G56" s="336"/>
      <c r="H56" s="336"/>
      <c r="I56" s="336"/>
      <c r="J56" s="334"/>
      <c r="K56" s="336"/>
      <c r="L56" s="336"/>
      <c r="M56" s="336"/>
      <c r="N56" s="352"/>
      <c r="O56" s="230">
        <f t="shared" si="2"/>
        <v>6</v>
      </c>
      <c r="Q56" s="212" t="str">
        <f t="shared" si="0"/>
        <v/>
      </c>
      <c r="R56" s="174" t="s">
        <v>265</v>
      </c>
      <c r="S56" s="174" t="s">
        <v>273</v>
      </c>
      <c r="T56" s="174" t="str">
        <f>IF(Buildings_Heat_Frontend[[#This Row],[Data]]="","", _xlfn.XLOOKUP(Buildings_Heat_Backend[[#This Row],[Info 1]],Buildings_SiteInfo[Site name],Buildings_SiteInfo[Site type]))</f>
        <v/>
      </c>
      <c r="U56" s="174" t="str">
        <f>IF(Buildings_Heat_Frontend[[#This Row],[Data]]="","", Buildings_Heat_Frontend[[#This Row],[Heating Type]])</f>
        <v/>
      </c>
      <c r="V56" s="174" t="str">
        <f>IF(Buildings_Heat_Frontend[[#This Row],[Data]]="","", Buildings_Heat_Frontend[[#This Row],[Fuel]])</f>
        <v/>
      </c>
      <c r="W56" s="174" t="str" cm="1">
        <f t="array" ref="W56">IF(Buildings_Heat_Frontend[[#This Row],[Data]]="","", _xlfn.XLOOKUP(Buildings_Heat_Backend[[#This Row],[Level 5]],rng_Level5Long,rng_Level6Long))</f>
        <v/>
      </c>
      <c r="X56" s="174" t="str">
        <f>IF(Buildings_Heat_Frontend[[#This Row],[Data]]="","", Buildings_Heat_Frontend[[#This Row],[Site Name]])</f>
        <v/>
      </c>
      <c r="Y56" s="174" t="str">
        <f>IF(Buildings_Heat_Frontend[[#This Row],[Data]]="","", Buildings_Heat_Frontend[[#This Row],[MPRN]])</f>
        <v/>
      </c>
      <c r="Z56" s="174" t="str">
        <f>IF(Buildings_Heat_Frontend[[#This Row],[Data]]="","", IF($I56="","",$I56))</f>
        <v/>
      </c>
      <c r="AA56" s="229" t="str" cm="1">
        <f t="array" ref="AA56">IF(Buildings_Heat_Frontend[[#This Row],[Data]]="","", INDEX(_xlfn.SWITCH(Buildings_Heat_Backend[[#This Row],[Methodology]],"Tier 1",rng_RSD1,"Tier 2",rng_RSD2,"Tier 3",rng_RSD3),MATCH(_xlfn.CONCAT(Buildings_Heat_Backend[[#This Row],[Level 1]:[Level 6]]),rng_LevelsConcat,0)))</f>
        <v/>
      </c>
      <c r="AB56" s="220" t="str">
        <f t="shared" si="1"/>
        <v/>
      </c>
      <c r="AC56" s="174">
        <f>Buildings_Heat_Frontend[[#This Row],[Units]]</f>
        <v>0</v>
      </c>
      <c r="AD5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6" s="174" t="str">
        <f>IF(Buildings_Heat_Frontend[[#This Row],[Data]]="","", _xlfn.XLOOKUP(_xlfn.CONCAT(Buildings_Heat_Backend[[#This Row],[Level 1]:[Level 6]]),rng_LevelsConcat,rng_UnitsLong))</f>
        <v/>
      </c>
      <c r="AF56" s="210" t="str">
        <f>IF(Buildings_Heat_Frontend[[#This Row],[Data]]="","", _xlfn.XLOOKUP(_xlfn.CONCAT(Buildings_Heat_Backend[[#This Row],[Level 1]:[Level 6]]),rng_EFConcat,rng_EF1)*Buildings_Heat_Backend[[#This Row],[Converted data]]/1000)</f>
        <v/>
      </c>
      <c r="AG56" s="210" t="str">
        <f>IF(Buildings_Heat_Frontend[[#This Row],[Data]]="","", _xlfn.XLOOKUP(_xlfn.CONCAT(Buildings_Heat_Backend[[#This Row],[Level 1]:[Level 6]]),rng_EFConcat,rng_EF2)*Buildings_Heat_Backend[[#This Row],[Converted data]]/1000)</f>
        <v/>
      </c>
      <c r="AH56" s="210" t="str">
        <f>IF(Buildings_Heat_Frontend[[#This Row],[Data]]="","", _xlfn.XLOOKUP(_xlfn.CONCAT(Buildings_Heat_Backend[[#This Row],[Level 1]:[Level 6]]),rng_EFConcat,rng_EF3)*Buildings_Heat_Backend[[#This Row],[Converted data]]/1000)</f>
        <v/>
      </c>
      <c r="AI56" s="210" t="str">
        <f>IF(Buildings_Heat_Frontend[[#This Row],[Data]]="","", _xlfn.XLOOKUP(_xlfn.CONCAT(Buildings_Heat_Backend[[#This Row],[Level 1]:[Level 6]]),rng_EFConcat,rng_EF3WTT)*Buildings_Heat_Backend[[#This Row],[Converted data]]/1000)</f>
        <v/>
      </c>
      <c r="AJ56" s="210" t="str">
        <f>IF(Buildings_Heat_Frontend[[#This Row],[Data]]="","", _xlfn.XLOOKUP(_xlfn.CONCAT(Buildings_Heat_Backend[[#This Row],[Level 1]:[Level 6]]),rng_EFConcat,rng_EF3TD)*Buildings_Heat_Backend[[#This Row],[Converted data]]/1000)</f>
        <v/>
      </c>
      <c r="AK56" s="210" t="str">
        <f>IF(Buildings_Heat_Frontend[[#This Row],[Data]]="","", _xlfn.XLOOKUP(_xlfn.CONCAT(Buildings_Heat_Backend[[#This Row],[Level 1]:[Level 6]]),rng_EFConcat,rng_EF3WTTTD)*Buildings_Heat_Backend[[#This Row],[Converted data]]/1000)</f>
        <v/>
      </c>
      <c r="AL56" s="220">
        <f>SUM(Buildings_Heat_Backend[[#This Row],[Scope 1 (tCO2e)]:[Scope 3 WTT T&amp;D (tCO2e)]])</f>
        <v>0</v>
      </c>
      <c r="AM56" s="220" t="str">
        <f>IF(Buildings_Heat_Frontend[[#This Row],[Data]]="","", Buildings_Heat_Backend[[#This Row],[Total (tCO2e)]]*(1-Buildings_Heat_Backend[[#This Row],[RSD]]))</f>
        <v/>
      </c>
      <c r="AN56" s="220" t="str">
        <f>IF(Buildings_Heat_Frontend[[#This Row],[Data]]="","", Buildings_Heat_Backend[[#This Row],[Total (tCO2e)]]*(1+Buildings_Heat_Backend[[#This Row],[RSD]]))</f>
        <v/>
      </c>
      <c r="AO56" s="210" t="str">
        <f>IF(Buildings_Heat_Frontend[[#This Row],[Data]]="","", _xlfn.XLOOKUP(_xlfn.CONCAT(Buildings_Heat_Backend[[#This Row],[Level 1]:[Level 6]]),rng_EFConcat,rng_EFOOS)*Buildings_Heat_Backend[[#This Row],[Converted data]]/1000)</f>
        <v/>
      </c>
      <c r="AP56" s="174">
        <f>Buildings_Heat_Frontend[[#This Row],[Ease of collection]]</f>
        <v>0</v>
      </c>
      <c r="AQ56" s="174">
        <f>Buildings_Heat_Frontend[[#This Row],[Completeness]]</f>
        <v>0</v>
      </c>
      <c r="AR56" s="174">
        <f>Buildings_Heat_Frontend[[#This Row],[Notes]]</f>
        <v>0</v>
      </c>
    </row>
    <row r="57" spans="5:44" x14ac:dyDescent="0.3">
      <c r="E57" s="346"/>
      <c r="F57" s="364"/>
      <c r="G57" s="336"/>
      <c r="H57" s="336"/>
      <c r="I57" s="336"/>
      <c r="J57" s="334"/>
      <c r="K57" s="336"/>
      <c r="L57" s="336"/>
      <c r="M57" s="336"/>
      <c r="N57" s="352"/>
      <c r="O57" s="230">
        <f t="shared" si="2"/>
        <v>6</v>
      </c>
      <c r="Q57" s="212" t="str">
        <f t="shared" si="0"/>
        <v/>
      </c>
      <c r="R57" s="174" t="s">
        <v>265</v>
      </c>
      <c r="S57" s="174" t="s">
        <v>273</v>
      </c>
      <c r="T57" s="174" t="str">
        <f>IF(Buildings_Heat_Frontend[[#This Row],[Data]]="","", _xlfn.XLOOKUP(Buildings_Heat_Backend[[#This Row],[Info 1]],Buildings_SiteInfo[Site name],Buildings_SiteInfo[Site type]))</f>
        <v/>
      </c>
      <c r="U57" s="174" t="str">
        <f>IF(Buildings_Heat_Frontend[[#This Row],[Data]]="","", Buildings_Heat_Frontend[[#This Row],[Heating Type]])</f>
        <v/>
      </c>
      <c r="V57" s="174" t="str">
        <f>IF(Buildings_Heat_Frontend[[#This Row],[Data]]="","", Buildings_Heat_Frontend[[#This Row],[Fuel]])</f>
        <v/>
      </c>
      <c r="W57" s="174" t="str" cm="1">
        <f t="array" ref="W57">IF(Buildings_Heat_Frontend[[#This Row],[Data]]="","", _xlfn.XLOOKUP(Buildings_Heat_Backend[[#This Row],[Level 5]],rng_Level5Long,rng_Level6Long))</f>
        <v/>
      </c>
      <c r="X57" s="174" t="str">
        <f>IF(Buildings_Heat_Frontend[[#This Row],[Data]]="","", Buildings_Heat_Frontend[[#This Row],[Site Name]])</f>
        <v/>
      </c>
      <c r="Y57" s="174" t="str">
        <f>IF(Buildings_Heat_Frontend[[#This Row],[Data]]="","", Buildings_Heat_Frontend[[#This Row],[MPRN]])</f>
        <v/>
      </c>
      <c r="Z57" s="174" t="str">
        <f>IF(Buildings_Heat_Frontend[[#This Row],[Data]]="","", IF($I57="","",$I57))</f>
        <v/>
      </c>
      <c r="AA57" s="229" t="str" cm="1">
        <f t="array" ref="AA57">IF(Buildings_Heat_Frontend[[#This Row],[Data]]="","", INDEX(_xlfn.SWITCH(Buildings_Heat_Backend[[#This Row],[Methodology]],"Tier 1",rng_RSD1,"Tier 2",rng_RSD2,"Tier 3",rng_RSD3),MATCH(_xlfn.CONCAT(Buildings_Heat_Backend[[#This Row],[Level 1]:[Level 6]]),rng_LevelsConcat,0)))</f>
        <v/>
      </c>
      <c r="AB57" s="220" t="str">
        <f t="shared" si="1"/>
        <v/>
      </c>
      <c r="AC57" s="174">
        <f>Buildings_Heat_Frontend[[#This Row],[Units]]</f>
        <v>0</v>
      </c>
      <c r="AD5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7" s="174" t="str">
        <f>IF(Buildings_Heat_Frontend[[#This Row],[Data]]="","", _xlfn.XLOOKUP(_xlfn.CONCAT(Buildings_Heat_Backend[[#This Row],[Level 1]:[Level 6]]),rng_LevelsConcat,rng_UnitsLong))</f>
        <v/>
      </c>
      <c r="AF57" s="210" t="str">
        <f>IF(Buildings_Heat_Frontend[[#This Row],[Data]]="","", _xlfn.XLOOKUP(_xlfn.CONCAT(Buildings_Heat_Backend[[#This Row],[Level 1]:[Level 6]]),rng_EFConcat,rng_EF1)*Buildings_Heat_Backend[[#This Row],[Converted data]]/1000)</f>
        <v/>
      </c>
      <c r="AG57" s="210" t="str">
        <f>IF(Buildings_Heat_Frontend[[#This Row],[Data]]="","", _xlfn.XLOOKUP(_xlfn.CONCAT(Buildings_Heat_Backend[[#This Row],[Level 1]:[Level 6]]),rng_EFConcat,rng_EF2)*Buildings_Heat_Backend[[#This Row],[Converted data]]/1000)</f>
        <v/>
      </c>
      <c r="AH57" s="210" t="str">
        <f>IF(Buildings_Heat_Frontend[[#This Row],[Data]]="","", _xlfn.XLOOKUP(_xlfn.CONCAT(Buildings_Heat_Backend[[#This Row],[Level 1]:[Level 6]]),rng_EFConcat,rng_EF3)*Buildings_Heat_Backend[[#This Row],[Converted data]]/1000)</f>
        <v/>
      </c>
      <c r="AI57" s="210" t="str">
        <f>IF(Buildings_Heat_Frontend[[#This Row],[Data]]="","", _xlfn.XLOOKUP(_xlfn.CONCAT(Buildings_Heat_Backend[[#This Row],[Level 1]:[Level 6]]),rng_EFConcat,rng_EF3WTT)*Buildings_Heat_Backend[[#This Row],[Converted data]]/1000)</f>
        <v/>
      </c>
      <c r="AJ57" s="210" t="str">
        <f>IF(Buildings_Heat_Frontend[[#This Row],[Data]]="","", _xlfn.XLOOKUP(_xlfn.CONCAT(Buildings_Heat_Backend[[#This Row],[Level 1]:[Level 6]]),rng_EFConcat,rng_EF3TD)*Buildings_Heat_Backend[[#This Row],[Converted data]]/1000)</f>
        <v/>
      </c>
      <c r="AK57" s="210" t="str">
        <f>IF(Buildings_Heat_Frontend[[#This Row],[Data]]="","", _xlfn.XLOOKUP(_xlfn.CONCAT(Buildings_Heat_Backend[[#This Row],[Level 1]:[Level 6]]),rng_EFConcat,rng_EF3WTTTD)*Buildings_Heat_Backend[[#This Row],[Converted data]]/1000)</f>
        <v/>
      </c>
      <c r="AL57" s="220">
        <f>SUM(Buildings_Heat_Backend[[#This Row],[Scope 1 (tCO2e)]:[Scope 3 WTT T&amp;D (tCO2e)]])</f>
        <v>0</v>
      </c>
      <c r="AM57" s="220" t="str">
        <f>IF(Buildings_Heat_Frontend[[#This Row],[Data]]="","", Buildings_Heat_Backend[[#This Row],[Total (tCO2e)]]*(1-Buildings_Heat_Backend[[#This Row],[RSD]]))</f>
        <v/>
      </c>
      <c r="AN57" s="220" t="str">
        <f>IF(Buildings_Heat_Frontend[[#This Row],[Data]]="","", Buildings_Heat_Backend[[#This Row],[Total (tCO2e)]]*(1+Buildings_Heat_Backend[[#This Row],[RSD]]))</f>
        <v/>
      </c>
      <c r="AO57" s="210" t="str">
        <f>IF(Buildings_Heat_Frontend[[#This Row],[Data]]="","", _xlfn.XLOOKUP(_xlfn.CONCAT(Buildings_Heat_Backend[[#This Row],[Level 1]:[Level 6]]),rng_EFConcat,rng_EFOOS)*Buildings_Heat_Backend[[#This Row],[Converted data]]/1000)</f>
        <v/>
      </c>
      <c r="AP57" s="174">
        <f>Buildings_Heat_Frontend[[#This Row],[Ease of collection]]</f>
        <v>0</v>
      </c>
      <c r="AQ57" s="174">
        <f>Buildings_Heat_Frontend[[#This Row],[Completeness]]</f>
        <v>0</v>
      </c>
      <c r="AR57" s="174">
        <f>Buildings_Heat_Frontend[[#This Row],[Notes]]</f>
        <v>0</v>
      </c>
    </row>
    <row r="58" spans="5:44" x14ac:dyDescent="0.3">
      <c r="E58" s="346"/>
      <c r="F58" s="364"/>
      <c r="G58" s="336"/>
      <c r="H58" s="336"/>
      <c r="I58" s="336"/>
      <c r="J58" s="334"/>
      <c r="K58" s="336"/>
      <c r="L58" s="336"/>
      <c r="M58" s="336"/>
      <c r="N58" s="352"/>
      <c r="O58" s="230">
        <f t="shared" si="2"/>
        <v>6</v>
      </c>
      <c r="Q58" s="212" t="str">
        <f t="shared" si="0"/>
        <v/>
      </c>
      <c r="R58" s="174" t="s">
        <v>265</v>
      </c>
      <c r="S58" s="174" t="s">
        <v>273</v>
      </c>
      <c r="T58" s="174" t="str">
        <f>IF(Buildings_Heat_Frontend[[#This Row],[Data]]="","", _xlfn.XLOOKUP(Buildings_Heat_Backend[[#This Row],[Info 1]],Buildings_SiteInfo[Site name],Buildings_SiteInfo[Site type]))</f>
        <v/>
      </c>
      <c r="U58" s="174" t="str">
        <f>IF(Buildings_Heat_Frontend[[#This Row],[Data]]="","", Buildings_Heat_Frontend[[#This Row],[Heating Type]])</f>
        <v/>
      </c>
      <c r="V58" s="174" t="str">
        <f>IF(Buildings_Heat_Frontend[[#This Row],[Data]]="","", Buildings_Heat_Frontend[[#This Row],[Fuel]])</f>
        <v/>
      </c>
      <c r="W58" s="174" t="str" cm="1">
        <f t="array" ref="W58">IF(Buildings_Heat_Frontend[[#This Row],[Data]]="","", _xlfn.XLOOKUP(Buildings_Heat_Backend[[#This Row],[Level 5]],rng_Level5Long,rng_Level6Long))</f>
        <v/>
      </c>
      <c r="X58" s="174" t="str">
        <f>IF(Buildings_Heat_Frontend[[#This Row],[Data]]="","", Buildings_Heat_Frontend[[#This Row],[Site Name]])</f>
        <v/>
      </c>
      <c r="Y58" s="174" t="str">
        <f>IF(Buildings_Heat_Frontend[[#This Row],[Data]]="","", Buildings_Heat_Frontend[[#This Row],[MPRN]])</f>
        <v/>
      </c>
      <c r="Z58" s="174" t="str">
        <f>IF(Buildings_Heat_Frontend[[#This Row],[Data]]="","", IF($I58="","",$I58))</f>
        <v/>
      </c>
      <c r="AA58" s="229" t="str" cm="1">
        <f t="array" ref="AA58">IF(Buildings_Heat_Frontend[[#This Row],[Data]]="","", INDEX(_xlfn.SWITCH(Buildings_Heat_Backend[[#This Row],[Methodology]],"Tier 1",rng_RSD1,"Tier 2",rng_RSD2,"Tier 3",rng_RSD3),MATCH(_xlfn.CONCAT(Buildings_Heat_Backend[[#This Row],[Level 1]:[Level 6]]),rng_LevelsConcat,0)))</f>
        <v/>
      </c>
      <c r="AB58" s="220" t="str">
        <f t="shared" si="1"/>
        <v/>
      </c>
      <c r="AC58" s="174">
        <f>Buildings_Heat_Frontend[[#This Row],[Units]]</f>
        <v>0</v>
      </c>
      <c r="AD5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8" s="174" t="str">
        <f>IF(Buildings_Heat_Frontend[[#This Row],[Data]]="","", _xlfn.XLOOKUP(_xlfn.CONCAT(Buildings_Heat_Backend[[#This Row],[Level 1]:[Level 6]]),rng_LevelsConcat,rng_UnitsLong))</f>
        <v/>
      </c>
      <c r="AF58" s="210" t="str">
        <f>IF(Buildings_Heat_Frontend[[#This Row],[Data]]="","", _xlfn.XLOOKUP(_xlfn.CONCAT(Buildings_Heat_Backend[[#This Row],[Level 1]:[Level 6]]),rng_EFConcat,rng_EF1)*Buildings_Heat_Backend[[#This Row],[Converted data]]/1000)</f>
        <v/>
      </c>
      <c r="AG58" s="210" t="str">
        <f>IF(Buildings_Heat_Frontend[[#This Row],[Data]]="","", _xlfn.XLOOKUP(_xlfn.CONCAT(Buildings_Heat_Backend[[#This Row],[Level 1]:[Level 6]]),rng_EFConcat,rng_EF2)*Buildings_Heat_Backend[[#This Row],[Converted data]]/1000)</f>
        <v/>
      </c>
      <c r="AH58" s="210" t="str">
        <f>IF(Buildings_Heat_Frontend[[#This Row],[Data]]="","", _xlfn.XLOOKUP(_xlfn.CONCAT(Buildings_Heat_Backend[[#This Row],[Level 1]:[Level 6]]),rng_EFConcat,rng_EF3)*Buildings_Heat_Backend[[#This Row],[Converted data]]/1000)</f>
        <v/>
      </c>
      <c r="AI58" s="210" t="str">
        <f>IF(Buildings_Heat_Frontend[[#This Row],[Data]]="","", _xlfn.XLOOKUP(_xlfn.CONCAT(Buildings_Heat_Backend[[#This Row],[Level 1]:[Level 6]]),rng_EFConcat,rng_EF3WTT)*Buildings_Heat_Backend[[#This Row],[Converted data]]/1000)</f>
        <v/>
      </c>
      <c r="AJ58" s="210" t="str">
        <f>IF(Buildings_Heat_Frontend[[#This Row],[Data]]="","", _xlfn.XLOOKUP(_xlfn.CONCAT(Buildings_Heat_Backend[[#This Row],[Level 1]:[Level 6]]),rng_EFConcat,rng_EF3TD)*Buildings_Heat_Backend[[#This Row],[Converted data]]/1000)</f>
        <v/>
      </c>
      <c r="AK58" s="210" t="str">
        <f>IF(Buildings_Heat_Frontend[[#This Row],[Data]]="","", _xlfn.XLOOKUP(_xlfn.CONCAT(Buildings_Heat_Backend[[#This Row],[Level 1]:[Level 6]]),rng_EFConcat,rng_EF3WTTTD)*Buildings_Heat_Backend[[#This Row],[Converted data]]/1000)</f>
        <v/>
      </c>
      <c r="AL58" s="220">
        <f>SUM(Buildings_Heat_Backend[[#This Row],[Scope 1 (tCO2e)]:[Scope 3 WTT T&amp;D (tCO2e)]])</f>
        <v>0</v>
      </c>
      <c r="AM58" s="220" t="str">
        <f>IF(Buildings_Heat_Frontend[[#This Row],[Data]]="","", Buildings_Heat_Backend[[#This Row],[Total (tCO2e)]]*(1-Buildings_Heat_Backend[[#This Row],[RSD]]))</f>
        <v/>
      </c>
      <c r="AN58" s="220" t="str">
        <f>IF(Buildings_Heat_Frontend[[#This Row],[Data]]="","", Buildings_Heat_Backend[[#This Row],[Total (tCO2e)]]*(1+Buildings_Heat_Backend[[#This Row],[RSD]]))</f>
        <v/>
      </c>
      <c r="AO58" s="210" t="str">
        <f>IF(Buildings_Heat_Frontend[[#This Row],[Data]]="","", _xlfn.XLOOKUP(_xlfn.CONCAT(Buildings_Heat_Backend[[#This Row],[Level 1]:[Level 6]]),rng_EFConcat,rng_EFOOS)*Buildings_Heat_Backend[[#This Row],[Converted data]]/1000)</f>
        <v/>
      </c>
      <c r="AP58" s="174">
        <f>Buildings_Heat_Frontend[[#This Row],[Ease of collection]]</f>
        <v>0</v>
      </c>
      <c r="AQ58" s="174">
        <f>Buildings_Heat_Frontend[[#This Row],[Completeness]]</f>
        <v>0</v>
      </c>
      <c r="AR58" s="174">
        <f>Buildings_Heat_Frontend[[#This Row],[Notes]]</f>
        <v>0</v>
      </c>
    </row>
    <row r="59" spans="5:44" x14ac:dyDescent="0.3">
      <c r="E59" s="346"/>
      <c r="F59" s="364"/>
      <c r="G59" s="336"/>
      <c r="H59" s="336"/>
      <c r="I59" s="336"/>
      <c r="J59" s="334"/>
      <c r="K59" s="336"/>
      <c r="L59" s="336"/>
      <c r="M59" s="336"/>
      <c r="N59" s="352"/>
      <c r="O59" s="230">
        <f t="shared" si="2"/>
        <v>6</v>
      </c>
      <c r="Q59" s="212" t="str">
        <f t="shared" si="0"/>
        <v/>
      </c>
      <c r="R59" s="174" t="s">
        <v>265</v>
      </c>
      <c r="S59" s="174" t="s">
        <v>273</v>
      </c>
      <c r="T59" s="174" t="str">
        <f>IF(Buildings_Heat_Frontend[[#This Row],[Data]]="","", _xlfn.XLOOKUP(Buildings_Heat_Backend[[#This Row],[Info 1]],Buildings_SiteInfo[Site name],Buildings_SiteInfo[Site type]))</f>
        <v/>
      </c>
      <c r="U59" s="174" t="str">
        <f>IF(Buildings_Heat_Frontend[[#This Row],[Data]]="","", Buildings_Heat_Frontend[[#This Row],[Heating Type]])</f>
        <v/>
      </c>
      <c r="V59" s="174" t="str">
        <f>IF(Buildings_Heat_Frontend[[#This Row],[Data]]="","", Buildings_Heat_Frontend[[#This Row],[Fuel]])</f>
        <v/>
      </c>
      <c r="W59" s="174" t="str" cm="1">
        <f t="array" ref="W59">IF(Buildings_Heat_Frontend[[#This Row],[Data]]="","", _xlfn.XLOOKUP(Buildings_Heat_Backend[[#This Row],[Level 5]],rng_Level5Long,rng_Level6Long))</f>
        <v/>
      </c>
      <c r="X59" s="174" t="str">
        <f>IF(Buildings_Heat_Frontend[[#This Row],[Data]]="","", Buildings_Heat_Frontend[[#This Row],[Site Name]])</f>
        <v/>
      </c>
      <c r="Y59" s="174" t="str">
        <f>IF(Buildings_Heat_Frontend[[#This Row],[Data]]="","", Buildings_Heat_Frontend[[#This Row],[MPRN]])</f>
        <v/>
      </c>
      <c r="Z59" s="174" t="str">
        <f>IF(Buildings_Heat_Frontend[[#This Row],[Data]]="","", IF($I59="","",$I59))</f>
        <v/>
      </c>
      <c r="AA59" s="229" t="str" cm="1">
        <f t="array" ref="AA59">IF(Buildings_Heat_Frontend[[#This Row],[Data]]="","", INDEX(_xlfn.SWITCH(Buildings_Heat_Backend[[#This Row],[Methodology]],"Tier 1",rng_RSD1,"Tier 2",rng_RSD2,"Tier 3",rng_RSD3),MATCH(_xlfn.CONCAT(Buildings_Heat_Backend[[#This Row],[Level 1]:[Level 6]]),rng_LevelsConcat,0)))</f>
        <v/>
      </c>
      <c r="AB59" s="220" t="str">
        <f t="shared" si="1"/>
        <v/>
      </c>
      <c r="AC59" s="174">
        <f>Buildings_Heat_Frontend[[#This Row],[Units]]</f>
        <v>0</v>
      </c>
      <c r="AD5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9" s="174" t="str">
        <f>IF(Buildings_Heat_Frontend[[#This Row],[Data]]="","", _xlfn.XLOOKUP(_xlfn.CONCAT(Buildings_Heat_Backend[[#This Row],[Level 1]:[Level 6]]),rng_LevelsConcat,rng_UnitsLong))</f>
        <v/>
      </c>
      <c r="AF59" s="210" t="str">
        <f>IF(Buildings_Heat_Frontend[[#This Row],[Data]]="","", _xlfn.XLOOKUP(_xlfn.CONCAT(Buildings_Heat_Backend[[#This Row],[Level 1]:[Level 6]]),rng_EFConcat,rng_EF1)*Buildings_Heat_Backend[[#This Row],[Converted data]]/1000)</f>
        <v/>
      </c>
      <c r="AG59" s="210" t="str">
        <f>IF(Buildings_Heat_Frontend[[#This Row],[Data]]="","", _xlfn.XLOOKUP(_xlfn.CONCAT(Buildings_Heat_Backend[[#This Row],[Level 1]:[Level 6]]),rng_EFConcat,rng_EF2)*Buildings_Heat_Backend[[#This Row],[Converted data]]/1000)</f>
        <v/>
      </c>
      <c r="AH59" s="210" t="str">
        <f>IF(Buildings_Heat_Frontend[[#This Row],[Data]]="","", _xlfn.XLOOKUP(_xlfn.CONCAT(Buildings_Heat_Backend[[#This Row],[Level 1]:[Level 6]]),rng_EFConcat,rng_EF3)*Buildings_Heat_Backend[[#This Row],[Converted data]]/1000)</f>
        <v/>
      </c>
      <c r="AI59" s="210" t="str">
        <f>IF(Buildings_Heat_Frontend[[#This Row],[Data]]="","", _xlfn.XLOOKUP(_xlfn.CONCAT(Buildings_Heat_Backend[[#This Row],[Level 1]:[Level 6]]),rng_EFConcat,rng_EF3WTT)*Buildings_Heat_Backend[[#This Row],[Converted data]]/1000)</f>
        <v/>
      </c>
      <c r="AJ59" s="210" t="str">
        <f>IF(Buildings_Heat_Frontend[[#This Row],[Data]]="","", _xlfn.XLOOKUP(_xlfn.CONCAT(Buildings_Heat_Backend[[#This Row],[Level 1]:[Level 6]]),rng_EFConcat,rng_EF3TD)*Buildings_Heat_Backend[[#This Row],[Converted data]]/1000)</f>
        <v/>
      </c>
      <c r="AK59" s="210" t="str">
        <f>IF(Buildings_Heat_Frontend[[#This Row],[Data]]="","", _xlfn.XLOOKUP(_xlfn.CONCAT(Buildings_Heat_Backend[[#This Row],[Level 1]:[Level 6]]),rng_EFConcat,rng_EF3WTTTD)*Buildings_Heat_Backend[[#This Row],[Converted data]]/1000)</f>
        <v/>
      </c>
      <c r="AL59" s="220">
        <f>SUM(Buildings_Heat_Backend[[#This Row],[Scope 1 (tCO2e)]:[Scope 3 WTT T&amp;D (tCO2e)]])</f>
        <v>0</v>
      </c>
      <c r="AM59" s="220" t="str">
        <f>IF(Buildings_Heat_Frontend[[#This Row],[Data]]="","", Buildings_Heat_Backend[[#This Row],[Total (tCO2e)]]*(1-Buildings_Heat_Backend[[#This Row],[RSD]]))</f>
        <v/>
      </c>
      <c r="AN59" s="220" t="str">
        <f>IF(Buildings_Heat_Frontend[[#This Row],[Data]]="","", Buildings_Heat_Backend[[#This Row],[Total (tCO2e)]]*(1+Buildings_Heat_Backend[[#This Row],[RSD]]))</f>
        <v/>
      </c>
      <c r="AO59" s="210" t="str">
        <f>IF(Buildings_Heat_Frontend[[#This Row],[Data]]="","", _xlfn.XLOOKUP(_xlfn.CONCAT(Buildings_Heat_Backend[[#This Row],[Level 1]:[Level 6]]),rng_EFConcat,rng_EFOOS)*Buildings_Heat_Backend[[#This Row],[Converted data]]/1000)</f>
        <v/>
      </c>
      <c r="AP59" s="174">
        <f>Buildings_Heat_Frontend[[#This Row],[Ease of collection]]</f>
        <v>0</v>
      </c>
      <c r="AQ59" s="174">
        <f>Buildings_Heat_Frontend[[#This Row],[Completeness]]</f>
        <v>0</v>
      </c>
      <c r="AR59" s="174">
        <f>Buildings_Heat_Frontend[[#This Row],[Notes]]</f>
        <v>0</v>
      </c>
    </row>
    <row r="60" spans="5:44" x14ac:dyDescent="0.3">
      <c r="E60" s="346"/>
      <c r="F60" s="364"/>
      <c r="G60" s="336"/>
      <c r="H60" s="336"/>
      <c r="I60" s="336"/>
      <c r="J60" s="334"/>
      <c r="K60" s="336"/>
      <c r="L60" s="336"/>
      <c r="M60" s="336"/>
      <c r="N60" s="352"/>
      <c r="O60" s="230">
        <f t="shared" si="2"/>
        <v>6</v>
      </c>
      <c r="Q60" s="212" t="str">
        <f t="shared" si="0"/>
        <v/>
      </c>
      <c r="R60" s="174" t="s">
        <v>265</v>
      </c>
      <c r="S60" s="174" t="s">
        <v>273</v>
      </c>
      <c r="T60" s="174" t="str">
        <f>IF(Buildings_Heat_Frontend[[#This Row],[Data]]="","", _xlfn.XLOOKUP(Buildings_Heat_Backend[[#This Row],[Info 1]],Buildings_SiteInfo[Site name],Buildings_SiteInfo[Site type]))</f>
        <v/>
      </c>
      <c r="U60" s="174" t="str">
        <f>IF(Buildings_Heat_Frontend[[#This Row],[Data]]="","", Buildings_Heat_Frontend[[#This Row],[Heating Type]])</f>
        <v/>
      </c>
      <c r="V60" s="174" t="str">
        <f>IF(Buildings_Heat_Frontend[[#This Row],[Data]]="","", Buildings_Heat_Frontend[[#This Row],[Fuel]])</f>
        <v/>
      </c>
      <c r="W60" s="174" t="str" cm="1">
        <f t="array" ref="W60">IF(Buildings_Heat_Frontend[[#This Row],[Data]]="","", _xlfn.XLOOKUP(Buildings_Heat_Backend[[#This Row],[Level 5]],rng_Level5Long,rng_Level6Long))</f>
        <v/>
      </c>
      <c r="X60" s="174" t="str">
        <f>IF(Buildings_Heat_Frontend[[#This Row],[Data]]="","", Buildings_Heat_Frontend[[#This Row],[Site Name]])</f>
        <v/>
      </c>
      <c r="Y60" s="174" t="str">
        <f>IF(Buildings_Heat_Frontend[[#This Row],[Data]]="","", Buildings_Heat_Frontend[[#This Row],[MPRN]])</f>
        <v/>
      </c>
      <c r="Z60" s="174" t="str">
        <f>IF(Buildings_Heat_Frontend[[#This Row],[Data]]="","", IF($I60="","",$I60))</f>
        <v/>
      </c>
      <c r="AA60" s="229" t="str" cm="1">
        <f t="array" ref="AA60">IF(Buildings_Heat_Frontend[[#This Row],[Data]]="","", INDEX(_xlfn.SWITCH(Buildings_Heat_Backend[[#This Row],[Methodology]],"Tier 1",rng_RSD1,"Tier 2",rng_RSD2,"Tier 3",rng_RSD3),MATCH(_xlfn.CONCAT(Buildings_Heat_Backend[[#This Row],[Level 1]:[Level 6]]),rng_LevelsConcat,0)))</f>
        <v/>
      </c>
      <c r="AB60" s="220" t="str">
        <f t="shared" si="1"/>
        <v/>
      </c>
      <c r="AC60" s="174">
        <f>Buildings_Heat_Frontend[[#This Row],[Units]]</f>
        <v>0</v>
      </c>
      <c r="AD6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0" s="174" t="str">
        <f>IF(Buildings_Heat_Frontend[[#This Row],[Data]]="","", _xlfn.XLOOKUP(_xlfn.CONCAT(Buildings_Heat_Backend[[#This Row],[Level 1]:[Level 6]]),rng_LevelsConcat,rng_UnitsLong))</f>
        <v/>
      </c>
      <c r="AF60" s="210" t="str">
        <f>IF(Buildings_Heat_Frontend[[#This Row],[Data]]="","", _xlfn.XLOOKUP(_xlfn.CONCAT(Buildings_Heat_Backend[[#This Row],[Level 1]:[Level 6]]),rng_EFConcat,rng_EF1)*Buildings_Heat_Backend[[#This Row],[Converted data]]/1000)</f>
        <v/>
      </c>
      <c r="AG60" s="210" t="str">
        <f>IF(Buildings_Heat_Frontend[[#This Row],[Data]]="","", _xlfn.XLOOKUP(_xlfn.CONCAT(Buildings_Heat_Backend[[#This Row],[Level 1]:[Level 6]]),rng_EFConcat,rng_EF2)*Buildings_Heat_Backend[[#This Row],[Converted data]]/1000)</f>
        <v/>
      </c>
      <c r="AH60" s="210" t="str">
        <f>IF(Buildings_Heat_Frontend[[#This Row],[Data]]="","", _xlfn.XLOOKUP(_xlfn.CONCAT(Buildings_Heat_Backend[[#This Row],[Level 1]:[Level 6]]),rng_EFConcat,rng_EF3)*Buildings_Heat_Backend[[#This Row],[Converted data]]/1000)</f>
        <v/>
      </c>
      <c r="AI60" s="210" t="str">
        <f>IF(Buildings_Heat_Frontend[[#This Row],[Data]]="","", _xlfn.XLOOKUP(_xlfn.CONCAT(Buildings_Heat_Backend[[#This Row],[Level 1]:[Level 6]]),rng_EFConcat,rng_EF3WTT)*Buildings_Heat_Backend[[#This Row],[Converted data]]/1000)</f>
        <v/>
      </c>
      <c r="AJ60" s="210" t="str">
        <f>IF(Buildings_Heat_Frontend[[#This Row],[Data]]="","", _xlfn.XLOOKUP(_xlfn.CONCAT(Buildings_Heat_Backend[[#This Row],[Level 1]:[Level 6]]),rng_EFConcat,rng_EF3TD)*Buildings_Heat_Backend[[#This Row],[Converted data]]/1000)</f>
        <v/>
      </c>
      <c r="AK60" s="210" t="str">
        <f>IF(Buildings_Heat_Frontend[[#This Row],[Data]]="","", _xlfn.XLOOKUP(_xlfn.CONCAT(Buildings_Heat_Backend[[#This Row],[Level 1]:[Level 6]]),rng_EFConcat,rng_EF3WTTTD)*Buildings_Heat_Backend[[#This Row],[Converted data]]/1000)</f>
        <v/>
      </c>
      <c r="AL60" s="220">
        <f>SUM(Buildings_Heat_Backend[[#This Row],[Scope 1 (tCO2e)]:[Scope 3 WTT T&amp;D (tCO2e)]])</f>
        <v>0</v>
      </c>
      <c r="AM60" s="220" t="str">
        <f>IF(Buildings_Heat_Frontend[[#This Row],[Data]]="","", Buildings_Heat_Backend[[#This Row],[Total (tCO2e)]]*(1-Buildings_Heat_Backend[[#This Row],[RSD]]))</f>
        <v/>
      </c>
      <c r="AN60" s="220" t="str">
        <f>IF(Buildings_Heat_Frontend[[#This Row],[Data]]="","", Buildings_Heat_Backend[[#This Row],[Total (tCO2e)]]*(1+Buildings_Heat_Backend[[#This Row],[RSD]]))</f>
        <v/>
      </c>
      <c r="AO60" s="210" t="str">
        <f>IF(Buildings_Heat_Frontend[[#This Row],[Data]]="","", _xlfn.XLOOKUP(_xlfn.CONCAT(Buildings_Heat_Backend[[#This Row],[Level 1]:[Level 6]]),rng_EFConcat,rng_EFOOS)*Buildings_Heat_Backend[[#This Row],[Converted data]]/1000)</f>
        <v/>
      </c>
      <c r="AP60" s="174">
        <f>Buildings_Heat_Frontend[[#This Row],[Ease of collection]]</f>
        <v>0</v>
      </c>
      <c r="AQ60" s="174">
        <f>Buildings_Heat_Frontend[[#This Row],[Completeness]]</f>
        <v>0</v>
      </c>
      <c r="AR60" s="174">
        <f>Buildings_Heat_Frontend[[#This Row],[Notes]]</f>
        <v>0</v>
      </c>
    </row>
    <row r="61" spans="5:44" x14ac:dyDescent="0.3">
      <c r="E61" s="346"/>
      <c r="F61" s="364"/>
      <c r="G61" s="336"/>
      <c r="H61" s="336"/>
      <c r="I61" s="336"/>
      <c r="J61" s="334"/>
      <c r="K61" s="336"/>
      <c r="L61" s="336"/>
      <c r="M61" s="336"/>
      <c r="N61" s="352"/>
      <c r="O61" s="230">
        <f t="shared" si="2"/>
        <v>6</v>
      </c>
      <c r="Q61" s="212" t="str">
        <f t="shared" si="0"/>
        <v/>
      </c>
      <c r="R61" s="174" t="s">
        <v>265</v>
      </c>
      <c r="S61" s="174" t="s">
        <v>273</v>
      </c>
      <c r="T61" s="174" t="str">
        <f>IF(Buildings_Heat_Frontend[[#This Row],[Data]]="","", _xlfn.XLOOKUP(Buildings_Heat_Backend[[#This Row],[Info 1]],Buildings_SiteInfo[Site name],Buildings_SiteInfo[Site type]))</f>
        <v/>
      </c>
      <c r="U61" s="174" t="str">
        <f>IF(Buildings_Heat_Frontend[[#This Row],[Data]]="","", Buildings_Heat_Frontend[[#This Row],[Heating Type]])</f>
        <v/>
      </c>
      <c r="V61" s="174" t="str">
        <f>IF(Buildings_Heat_Frontend[[#This Row],[Data]]="","", Buildings_Heat_Frontend[[#This Row],[Fuel]])</f>
        <v/>
      </c>
      <c r="W61" s="174" t="str" cm="1">
        <f t="array" ref="W61">IF(Buildings_Heat_Frontend[[#This Row],[Data]]="","", _xlfn.XLOOKUP(Buildings_Heat_Backend[[#This Row],[Level 5]],rng_Level5Long,rng_Level6Long))</f>
        <v/>
      </c>
      <c r="X61" s="174" t="str">
        <f>IF(Buildings_Heat_Frontend[[#This Row],[Data]]="","", Buildings_Heat_Frontend[[#This Row],[Site Name]])</f>
        <v/>
      </c>
      <c r="Y61" s="174" t="str">
        <f>IF(Buildings_Heat_Frontend[[#This Row],[Data]]="","", Buildings_Heat_Frontend[[#This Row],[MPRN]])</f>
        <v/>
      </c>
      <c r="Z61" s="174" t="str">
        <f>IF(Buildings_Heat_Frontend[[#This Row],[Data]]="","", IF($I61="","",$I61))</f>
        <v/>
      </c>
      <c r="AA61" s="229" t="str" cm="1">
        <f t="array" ref="AA61">IF(Buildings_Heat_Frontend[[#This Row],[Data]]="","", INDEX(_xlfn.SWITCH(Buildings_Heat_Backend[[#This Row],[Methodology]],"Tier 1",rng_RSD1,"Tier 2",rng_RSD2,"Tier 3",rng_RSD3),MATCH(_xlfn.CONCAT(Buildings_Heat_Backend[[#This Row],[Level 1]:[Level 6]]),rng_LevelsConcat,0)))</f>
        <v/>
      </c>
      <c r="AB61" s="220" t="str">
        <f t="shared" si="1"/>
        <v/>
      </c>
      <c r="AC61" s="174">
        <f>Buildings_Heat_Frontend[[#This Row],[Units]]</f>
        <v>0</v>
      </c>
      <c r="AD6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1" s="174" t="str">
        <f>IF(Buildings_Heat_Frontend[[#This Row],[Data]]="","", _xlfn.XLOOKUP(_xlfn.CONCAT(Buildings_Heat_Backend[[#This Row],[Level 1]:[Level 6]]),rng_LevelsConcat,rng_UnitsLong))</f>
        <v/>
      </c>
      <c r="AF61" s="210" t="str">
        <f>IF(Buildings_Heat_Frontend[[#This Row],[Data]]="","", _xlfn.XLOOKUP(_xlfn.CONCAT(Buildings_Heat_Backend[[#This Row],[Level 1]:[Level 6]]),rng_EFConcat,rng_EF1)*Buildings_Heat_Backend[[#This Row],[Converted data]]/1000)</f>
        <v/>
      </c>
      <c r="AG61" s="210" t="str">
        <f>IF(Buildings_Heat_Frontend[[#This Row],[Data]]="","", _xlfn.XLOOKUP(_xlfn.CONCAT(Buildings_Heat_Backend[[#This Row],[Level 1]:[Level 6]]),rng_EFConcat,rng_EF2)*Buildings_Heat_Backend[[#This Row],[Converted data]]/1000)</f>
        <v/>
      </c>
      <c r="AH61" s="210" t="str">
        <f>IF(Buildings_Heat_Frontend[[#This Row],[Data]]="","", _xlfn.XLOOKUP(_xlfn.CONCAT(Buildings_Heat_Backend[[#This Row],[Level 1]:[Level 6]]),rng_EFConcat,rng_EF3)*Buildings_Heat_Backend[[#This Row],[Converted data]]/1000)</f>
        <v/>
      </c>
      <c r="AI61" s="210" t="str">
        <f>IF(Buildings_Heat_Frontend[[#This Row],[Data]]="","", _xlfn.XLOOKUP(_xlfn.CONCAT(Buildings_Heat_Backend[[#This Row],[Level 1]:[Level 6]]),rng_EFConcat,rng_EF3WTT)*Buildings_Heat_Backend[[#This Row],[Converted data]]/1000)</f>
        <v/>
      </c>
      <c r="AJ61" s="210" t="str">
        <f>IF(Buildings_Heat_Frontend[[#This Row],[Data]]="","", _xlfn.XLOOKUP(_xlfn.CONCAT(Buildings_Heat_Backend[[#This Row],[Level 1]:[Level 6]]),rng_EFConcat,rng_EF3TD)*Buildings_Heat_Backend[[#This Row],[Converted data]]/1000)</f>
        <v/>
      </c>
      <c r="AK61" s="210" t="str">
        <f>IF(Buildings_Heat_Frontend[[#This Row],[Data]]="","", _xlfn.XLOOKUP(_xlfn.CONCAT(Buildings_Heat_Backend[[#This Row],[Level 1]:[Level 6]]),rng_EFConcat,rng_EF3WTTTD)*Buildings_Heat_Backend[[#This Row],[Converted data]]/1000)</f>
        <v/>
      </c>
      <c r="AL61" s="220">
        <f>SUM(Buildings_Heat_Backend[[#This Row],[Scope 1 (tCO2e)]:[Scope 3 WTT T&amp;D (tCO2e)]])</f>
        <v>0</v>
      </c>
      <c r="AM61" s="220" t="str">
        <f>IF(Buildings_Heat_Frontend[[#This Row],[Data]]="","", Buildings_Heat_Backend[[#This Row],[Total (tCO2e)]]*(1-Buildings_Heat_Backend[[#This Row],[RSD]]))</f>
        <v/>
      </c>
      <c r="AN61" s="220" t="str">
        <f>IF(Buildings_Heat_Frontend[[#This Row],[Data]]="","", Buildings_Heat_Backend[[#This Row],[Total (tCO2e)]]*(1+Buildings_Heat_Backend[[#This Row],[RSD]]))</f>
        <v/>
      </c>
      <c r="AO61" s="210" t="str">
        <f>IF(Buildings_Heat_Frontend[[#This Row],[Data]]="","", _xlfn.XLOOKUP(_xlfn.CONCAT(Buildings_Heat_Backend[[#This Row],[Level 1]:[Level 6]]),rng_EFConcat,rng_EFOOS)*Buildings_Heat_Backend[[#This Row],[Converted data]]/1000)</f>
        <v/>
      </c>
      <c r="AP61" s="174">
        <f>Buildings_Heat_Frontend[[#This Row],[Ease of collection]]</f>
        <v>0</v>
      </c>
      <c r="AQ61" s="174">
        <f>Buildings_Heat_Frontend[[#This Row],[Completeness]]</f>
        <v>0</v>
      </c>
      <c r="AR61" s="174">
        <f>Buildings_Heat_Frontend[[#This Row],[Notes]]</f>
        <v>0</v>
      </c>
    </row>
    <row r="62" spans="5:44" x14ac:dyDescent="0.3">
      <c r="E62" s="346"/>
      <c r="F62" s="364"/>
      <c r="G62" s="336"/>
      <c r="H62" s="336"/>
      <c r="I62" s="336"/>
      <c r="J62" s="334"/>
      <c r="K62" s="336"/>
      <c r="L62" s="336"/>
      <c r="M62" s="336"/>
      <c r="N62" s="352"/>
      <c r="O62" s="230">
        <f t="shared" si="2"/>
        <v>6</v>
      </c>
      <c r="Q62" s="212" t="str">
        <f t="shared" si="0"/>
        <v/>
      </c>
      <c r="R62" s="174" t="s">
        <v>265</v>
      </c>
      <c r="S62" s="174" t="s">
        <v>273</v>
      </c>
      <c r="T62" s="174" t="str">
        <f>IF(Buildings_Heat_Frontend[[#This Row],[Data]]="","", _xlfn.XLOOKUP(Buildings_Heat_Backend[[#This Row],[Info 1]],Buildings_SiteInfo[Site name],Buildings_SiteInfo[Site type]))</f>
        <v/>
      </c>
      <c r="U62" s="174" t="str">
        <f>IF(Buildings_Heat_Frontend[[#This Row],[Data]]="","", Buildings_Heat_Frontend[[#This Row],[Heating Type]])</f>
        <v/>
      </c>
      <c r="V62" s="174" t="str">
        <f>IF(Buildings_Heat_Frontend[[#This Row],[Data]]="","", Buildings_Heat_Frontend[[#This Row],[Fuel]])</f>
        <v/>
      </c>
      <c r="W62" s="174" t="str" cm="1">
        <f t="array" ref="W62">IF(Buildings_Heat_Frontend[[#This Row],[Data]]="","", _xlfn.XLOOKUP(Buildings_Heat_Backend[[#This Row],[Level 5]],rng_Level5Long,rng_Level6Long))</f>
        <v/>
      </c>
      <c r="X62" s="174" t="str">
        <f>IF(Buildings_Heat_Frontend[[#This Row],[Data]]="","", Buildings_Heat_Frontend[[#This Row],[Site Name]])</f>
        <v/>
      </c>
      <c r="Y62" s="174" t="str">
        <f>IF(Buildings_Heat_Frontend[[#This Row],[Data]]="","", Buildings_Heat_Frontend[[#This Row],[MPRN]])</f>
        <v/>
      </c>
      <c r="Z62" s="174" t="str">
        <f>IF(Buildings_Heat_Frontend[[#This Row],[Data]]="","", IF($I62="","",$I62))</f>
        <v/>
      </c>
      <c r="AA62" s="229" t="str" cm="1">
        <f t="array" ref="AA62">IF(Buildings_Heat_Frontend[[#This Row],[Data]]="","", INDEX(_xlfn.SWITCH(Buildings_Heat_Backend[[#This Row],[Methodology]],"Tier 1",rng_RSD1,"Tier 2",rng_RSD2,"Tier 3",rng_RSD3),MATCH(_xlfn.CONCAT(Buildings_Heat_Backend[[#This Row],[Level 1]:[Level 6]]),rng_LevelsConcat,0)))</f>
        <v/>
      </c>
      <c r="AB62" s="220" t="str">
        <f t="shared" si="1"/>
        <v/>
      </c>
      <c r="AC62" s="174">
        <f>Buildings_Heat_Frontend[[#This Row],[Units]]</f>
        <v>0</v>
      </c>
      <c r="AD6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2" s="174" t="str">
        <f>IF(Buildings_Heat_Frontend[[#This Row],[Data]]="","", _xlfn.XLOOKUP(_xlfn.CONCAT(Buildings_Heat_Backend[[#This Row],[Level 1]:[Level 6]]),rng_LevelsConcat,rng_UnitsLong))</f>
        <v/>
      </c>
      <c r="AF62" s="210" t="str">
        <f>IF(Buildings_Heat_Frontend[[#This Row],[Data]]="","", _xlfn.XLOOKUP(_xlfn.CONCAT(Buildings_Heat_Backend[[#This Row],[Level 1]:[Level 6]]),rng_EFConcat,rng_EF1)*Buildings_Heat_Backend[[#This Row],[Converted data]]/1000)</f>
        <v/>
      </c>
      <c r="AG62" s="210" t="str">
        <f>IF(Buildings_Heat_Frontend[[#This Row],[Data]]="","", _xlfn.XLOOKUP(_xlfn.CONCAT(Buildings_Heat_Backend[[#This Row],[Level 1]:[Level 6]]),rng_EFConcat,rng_EF2)*Buildings_Heat_Backend[[#This Row],[Converted data]]/1000)</f>
        <v/>
      </c>
      <c r="AH62" s="210" t="str">
        <f>IF(Buildings_Heat_Frontend[[#This Row],[Data]]="","", _xlfn.XLOOKUP(_xlfn.CONCAT(Buildings_Heat_Backend[[#This Row],[Level 1]:[Level 6]]),rng_EFConcat,rng_EF3)*Buildings_Heat_Backend[[#This Row],[Converted data]]/1000)</f>
        <v/>
      </c>
      <c r="AI62" s="210" t="str">
        <f>IF(Buildings_Heat_Frontend[[#This Row],[Data]]="","", _xlfn.XLOOKUP(_xlfn.CONCAT(Buildings_Heat_Backend[[#This Row],[Level 1]:[Level 6]]),rng_EFConcat,rng_EF3WTT)*Buildings_Heat_Backend[[#This Row],[Converted data]]/1000)</f>
        <v/>
      </c>
      <c r="AJ62" s="210" t="str">
        <f>IF(Buildings_Heat_Frontend[[#This Row],[Data]]="","", _xlfn.XLOOKUP(_xlfn.CONCAT(Buildings_Heat_Backend[[#This Row],[Level 1]:[Level 6]]),rng_EFConcat,rng_EF3TD)*Buildings_Heat_Backend[[#This Row],[Converted data]]/1000)</f>
        <v/>
      </c>
      <c r="AK62" s="210" t="str">
        <f>IF(Buildings_Heat_Frontend[[#This Row],[Data]]="","", _xlfn.XLOOKUP(_xlfn.CONCAT(Buildings_Heat_Backend[[#This Row],[Level 1]:[Level 6]]),rng_EFConcat,rng_EF3WTTTD)*Buildings_Heat_Backend[[#This Row],[Converted data]]/1000)</f>
        <v/>
      </c>
      <c r="AL62" s="220">
        <f>SUM(Buildings_Heat_Backend[[#This Row],[Scope 1 (tCO2e)]:[Scope 3 WTT T&amp;D (tCO2e)]])</f>
        <v>0</v>
      </c>
      <c r="AM62" s="220" t="str">
        <f>IF(Buildings_Heat_Frontend[[#This Row],[Data]]="","", Buildings_Heat_Backend[[#This Row],[Total (tCO2e)]]*(1-Buildings_Heat_Backend[[#This Row],[RSD]]))</f>
        <v/>
      </c>
      <c r="AN62" s="220" t="str">
        <f>IF(Buildings_Heat_Frontend[[#This Row],[Data]]="","", Buildings_Heat_Backend[[#This Row],[Total (tCO2e)]]*(1+Buildings_Heat_Backend[[#This Row],[RSD]]))</f>
        <v/>
      </c>
      <c r="AO62" s="210" t="str">
        <f>IF(Buildings_Heat_Frontend[[#This Row],[Data]]="","", _xlfn.XLOOKUP(_xlfn.CONCAT(Buildings_Heat_Backend[[#This Row],[Level 1]:[Level 6]]),rng_EFConcat,rng_EFOOS)*Buildings_Heat_Backend[[#This Row],[Converted data]]/1000)</f>
        <v/>
      </c>
      <c r="AP62" s="174">
        <f>Buildings_Heat_Frontend[[#This Row],[Ease of collection]]</f>
        <v>0</v>
      </c>
      <c r="AQ62" s="174">
        <f>Buildings_Heat_Frontend[[#This Row],[Completeness]]</f>
        <v>0</v>
      </c>
      <c r="AR62" s="174">
        <f>Buildings_Heat_Frontend[[#This Row],[Notes]]</f>
        <v>0</v>
      </c>
    </row>
    <row r="63" spans="5:44" x14ac:dyDescent="0.3">
      <c r="E63" s="346"/>
      <c r="F63" s="364"/>
      <c r="G63" s="336"/>
      <c r="H63" s="336"/>
      <c r="I63" s="336"/>
      <c r="J63" s="334"/>
      <c r="K63" s="336"/>
      <c r="L63" s="336"/>
      <c r="M63" s="336"/>
      <c r="N63" s="352"/>
      <c r="O63" s="230">
        <f t="shared" si="2"/>
        <v>6</v>
      </c>
      <c r="Q63" s="212" t="str">
        <f t="shared" si="0"/>
        <v/>
      </c>
      <c r="R63" s="174" t="s">
        <v>265</v>
      </c>
      <c r="S63" s="174" t="s">
        <v>273</v>
      </c>
      <c r="T63" s="174" t="str">
        <f>IF(Buildings_Heat_Frontend[[#This Row],[Data]]="","", _xlfn.XLOOKUP(Buildings_Heat_Backend[[#This Row],[Info 1]],Buildings_SiteInfo[Site name],Buildings_SiteInfo[Site type]))</f>
        <v/>
      </c>
      <c r="U63" s="174" t="str">
        <f>IF(Buildings_Heat_Frontend[[#This Row],[Data]]="","", Buildings_Heat_Frontend[[#This Row],[Heating Type]])</f>
        <v/>
      </c>
      <c r="V63" s="174" t="str">
        <f>IF(Buildings_Heat_Frontend[[#This Row],[Data]]="","", Buildings_Heat_Frontend[[#This Row],[Fuel]])</f>
        <v/>
      </c>
      <c r="W63" s="174" t="str" cm="1">
        <f t="array" ref="W63">IF(Buildings_Heat_Frontend[[#This Row],[Data]]="","", _xlfn.XLOOKUP(Buildings_Heat_Backend[[#This Row],[Level 5]],rng_Level5Long,rng_Level6Long))</f>
        <v/>
      </c>
      <c r="X63" s="174" t="str">
        <f>IF(Buildings_Heat_Frontend[[#This Row],[Data]]="","", Buildings_Heat_Frontend[[#This Row],[Site Name]])</f>
        <v/>
      </c>
      <c r="Y63" s="174" t="str">
        <f>IF(Buildings_Heat_Frontend[[#This Row],[Data]]="","", Buildings_Heat_Frontend[[#This Row],[MPRN]])</f>
        <v/>
      </c>
      <c r="Z63" s="174" t="str">
        <f>IF(Buildings_Heat_Frontend[[#This Row],[Data]]="","", IF($I63="","",$I63))</f>
        <v/>
      </c>
      <c r="AA63" s="229" t="str" cm="1">
        <f t="array" ref="AA63">IF(Buildings_Heat_Frontend[[#This Row],[Data]]="","", INDEX(_xlfn.SWITCH(Buildings_Heat_Backend[[#This Row],[Methodology]],"Tier 1",rng_RSD1,"Tier 2",rng_RSD2,"Tier 3",rng_RSD3),MATCH(_xlfn.CONCAT(Buildings_Heat_Backend[[#This Row],[Level 1]:[Level 6]]),rng_LevelsConcat,0)))</f>
        <v/>
      </c>
      <c r="AB63" s="220" t="str">
        <f t="shared" si="1"/>
        <v/>
      </c>
      <c r="AC63" s="174">
        <f>Buildings_Heat_Frontend[[#This Row],[Units]]</f>
        <v>0</v>
      </c>
      <c r="AD6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3" s="174" t="str">
        <f>IF(Buildings_Heat_Frontend[[#This Row],[Data]]="","", _xlfn.XLOOKUP(_xlfn.CONCAT(Buildings_Heat_Backend[[#This Row],[Level 1]:[Level 6]]),rng_LevelsConcat,rng_UnitsLong))</f>
        <v/>
      </c>
      <c r="AF63" s="210" t="str">
        <f>IF(Buildings_Heat_Frontend[[#This Row],[Data]]="","", _xlfn.XLOOKUP(_xlfn.CONCAT(Buildings_Heat_Backend[[#This Row],[Level 1]:[Level 6]]),rng_EFConcat,rng_EF1)*Buildings_Heat_Backend[[#This Row],[Converted data]]/1000)</f>
        <v/>
      </c>
      <c r="AG63" s="210" t="str">
        <f>IF(Buildings_Heat_Frontend[[#This Row],[Data]]="","", _xlfn.XLOOKUP(_xlfn.CONCAT(Buildings_Heat_Backend[[#This Row],[Level 1]:[Level 6]]),rng_EFConcat,rng_EF2)*Buildings_Heat_Backend[[#This Row],[Converted data]]/1000)</f>
        <v/>
      </c>
      <c r="AH63" s="210" t="str">
        <f>IF(Buildings_Heat_Frontend[[#This Row],[Data]]="","", _xlfn.XLOOKUP(_xlfn.CONCAT(Buildings_Heat_Backend[[#This Row],[Level 1]:[Level 6]]),rng_EFConcat,rng_EF3)*Buildings_Heat_Backend[[#This Row],[Converted data]]/1000)</f>
        <v/>
      </c>
      <c r="AI63" s="210" t="str">
        <f>IF(Buildings_Heat_Frontend[[#This Row],[Data]]="","", _xlfn.XLOOKUP(_xlfn.CONCAT(Buildings_Heat_Backend[[#This Row],[Level 1]:[Level 6]]),rng_EFConcat,rng_EF3WTT)*Buildings_Heat_Backend[[#This Row],[Converted data]]/1000)</f>
        <v/>
      </c>
      <c r="AJ63" s="210" t="str">
        <f>IF(Buildings_Heat_Frontend[[#This Row],[Data]]="","", _xlfn.XLOOKUP(_xlfn.CONCAT(Buildings_Heat_Backend[[#This Row],[Level 1]:[Level 6]]),rng_EFConcat,rng_EF3TD)*Buildings_Heat_Backend[[#This Row],[Converted data]]/1000)</f>
        <v/>
      </c>
      <c r="AK63" s="210" t="str">
        <f>IF(Buildings_Heat_Frontend[[#This Row],[Data]]="","", _xlfn.XLOOKUP(_xlfn.CONCAT(Buildings_Heat_Backend[[#This Row],[Level 1]:[Level 6]]),rng_EFConcat,rng_EF3WTTTD)*Buildings_Heat_Backend[[#This Row],[Converted data]]/1000)</f>
        <v/>
      </c>
      <c r="AL63" s="220">
        <f>SUM(Buildings_Heat_Backend[[#This Row],[Scope 1 (tCO2e)]:[Scope 3 WTT T&amp;D (tCO2e)]])</f>
        <v>0</v>
      </c>
      <c r="AM63" s="220" t="str">
        <f>IF(Buildings_Heat_Frontend[[#This Row],[Data]]="","", Buildings_Heat_Backend[[#This Row],[Total (tCO2e)]]*(1-Buildings_Heat_Backend[[#This Row],[RSD]]))</f>
        <v/>
      </c>
      <c r="AN63" s="220" t="str">
        <f>IF(Buildings_Heat_Frontend[[#This Row],[Data]]="","", Buildings_Heat_Backend[[#This Row],[Total (tCO2e)]]*(1+Buildings_Heat_Backend[[#This Row],[RSD]]))</f>
        <v/>
      </c>
      <c r="AO63" s="210" t="str">
        <f>IF(Buildings_Heat_Frontend[[#This Row],[Data]]="","", _xlfn.XLOOKUP(_xlfn.CONCAT(Buildings_Heat_Backend[[#This Row],[Level 1]:[Level 6]]),rng_EFConcat,rng_EFOOS)*Buildings_Heat_Backend[[#This Row],[Converted data]]/1000)</f>
        <v/>
      </c>
      <c r="AP63" s="174">
        <f>Buildings_Heat_Frontend[[#This Row],[Ease of collection]]</f>
        <v>0</v>
      </c>
      <c r="AQ63" s="174">
        <f>Buildings_Heat_Frontend[[#This Row],[Completeness]]</f>
        <v>0</v>
      </c>
      <c r="AR63" s="174">
        <f>Buildings_Heat_Frontend[[#This Row],[Notes]]</f>
        <v>0</v>
      </c>
    </row>
    <row r="64" spans="5:44" x14ac:dyDescent="0.3">
      <c r="E64" s="346"/>
      <c r="F64" s="364"/>
      <c r="G64" s="336"/>
      <c r="H64" s="336"/>
      <c r="I64" s="336"/>
      <c r="J64" s="334"/>
      <c r="K64" s="336"/>
      <c r="L64" s="336"/>
      <c r="M64" s="336"/>
      <c r="N64" s="352"/>
      <c r="O64" s="230">
        <f t="shared" si="2"/>
        <v>6</v>
      </c>
      <c r="Q64" s="212" t="str">
        <f t="shared" si="0"/>
        <v/>
      </c>
      <c r="R64" s="174" t="s">
        <v>265</v>
      </c>
      <c r="S64" s="174" t="s">
        <v>273</v>
      </c>
      <c r="T64" s="174" t="str">
        <f>IF(Buildings_Heat_Frontend[[#This Row],[Data]]="","", _xlfn.XLOOKUP(Buildings_Heat_Backend[[#This Row],[Info 1]],Buildings_SiteInfo[Site name],Buildings_SiteInfo[Site type]))</f>
        <v/>
      </c>
      <c r="U64" s="174" t="str">
        <f>IF(Buildings_Heat_Frontend[[#This Row],[Data]]="","", Buildings_Heat_Frontend[[#This Row],[Heating Type]])</f>
        <v/>
      </c>
      <c r="V64" s="174" t="str">
        <f>IF(Buildings_Heat_Frontend[[#This Row],[Data]]="","", Buildings_Heat_Frontend[[#This Row],[Fuel]])</f>
        <v/>
      </c>
      <c r="W64" s="174" t="str" cm="1">
        <f t="array" ref="W64">IF(Buildings_Heat_Frontend[[#This Row],[Data]]="","", _xlfn.XLOOKUP(Buildings_Heat_Backend[[#This Row],[Level 5]],rng_Level5Long,rng_Level6Long))</f>
        <v/>
      </c>
      <c r="X64" s="174" t="str">
        <f>IF(Buildings_Heat_Frontend[[#This Row],[Data]]="","", Buildings_Heat_Frontend[[#This Row],[Site Name]])</f>
        <v/>
      </c>
      <c r="Y64" s="174" t="str">
        <f>IF(Buildings_Heat_Frontend[[#This Row],[Data]]="","", Buildings_Heat_Frontend[[#This Row],[MPRN]])</f>
        <v/>
      </c>
      <c r="Z64" s="174" t="str">
        <f>IF(Buildings_Heat_Frontend[[#This Row],[Data]]="","", IF($I64="","",$I64))</f>
        <v/>
      </c>
      <c r="AA64" s="229" t="str" cm="1">
        <f t="array" ref="AA64">IF(Buildings_Heat_Frontend[[#This Row],[Data]]="","", INDEX(_xlfn.SWITCH(Buildings_Heat_Backend[[#This Row],[Methodology]],"Tier 1",rng_RSD1,"Tier 2",rng_RSD2,"Tier 3",rng_RSD3),MATCH(_xlfn.CONCAT(Buildings_Heat_Backend[[#This Row],[Level 1]:[Level 6]]),rng_LevelsConcat,0)))</f>
        <v/>
      </c>
      <c r="AB64" s="220" t="str">
        <f t="shared" si="1"/>
        <v/>
      </c>
      <c r="AC64" s="174">
        <f>Buildings_Heat_Frontend[[#This Row],[Units]]</f>
        <v>0</v>
      </c>
      <c r="AD6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4" s="174" t="str">
        <f>IF(Buildings_Heat_Frontend[[#This Row],[Data]]="","", _xlfn.XLOOKUP(_xlfn.CONCAT(Buildings_Heat_Backend[[#This Row],[Level 1]:[Level 6]]),rng_LevelsConcat,rng_UnitsLong))</f>
        <v/>
      </c>
      <c r="AF64" s="210" t="str">
        <f>IF(Buildings_Heat_Frontend[[#This Row],[Data]]="","", _xlfn.XLOOKUP(_xlfn.CONCAT(Buildings_Heat_Backend[[#This Row],[Level 1]:[Level 6]]),rng_EFConcat,rng_EF1)*Buildings_Heat_Backend[[#This Row],[Converted data]]/1000)</f>
        <v/>
      </c>
      <c r="AG64" s="210" t="str">
        <f>IF(Buildings_Heat_Frontend[[#This Row],[Data]]="","", _xlfn.XLOOKUP(_xlfn.CONCAT(Buildings_Heat_Backend[[#This Row],[Level 1]:[Level 6]]),rng_EFConcat,rng_EF2)*Buildings_Heat_Backend[[#This Row],[Converted data]]/1000)</f>
        <v/>
      </c>
      <c r="AH64" s="210" t="str">
        <f>IF(Buildings_Heat_Frontend[[#This Row],[Data]]="","", _xlfn.XLOOKUP(_xlfn.CONCAT(Buildings_Heat_Backend[[#This Row],[Level 1]:[Level 6]]),rng_EFConcat,rng_EF3)*Buildings_Heat_Backend[[#This Row],[Converted data]]/1000)</f>
        <v/>
      </c>
      <c r="AI64" s="210" t="str">
        <f>IF(Buildings_Heat_Frontend[[#This Row],[Data]]="","", _xlfn.XLOOKUP(_xlfn.CONCAT(Buildings_Heat_Backend[[#This Row],[Level 1]:[Level 6]]),rng_EFConcat,rng_EF3WTT)*Buildings_Heat_Backend[[#This Row],[Converted data]]/1000)</f>
        <v/>
      </c>
      <c r="AJ64" s="210" t="str">
        <f>IF(Buildings_Heat_Frontend[[#This Row],[Data]]="","", _xlfn.XLOOKUP(_xlfn.CONCAT(Buildings_Heat_Backend[[#This Row],[Level 1]:[Level 6]]),rng_EFConcat,rng_EF3TD)*Buildings_Heat_Backend[[#This Row],[Converted data]]/1000)</f>
        <v/>
      </c>
      <c r="AK64" s="210" t="str">
        <f>IF(Buildings_Heat_Frontend[[#This Row],[Data]]="","", _xlfn.XLOOKUP(_xlfn.CONCAT(Buildings_Heat_Backend[[#This Row],[Level 1]:[Level 6]]),rng_EFConcat,rng_EF3WTTTD)*Buildings_Heat_Backend[[#This Row],[Converted data]]/1000)</f>
        <v/>
      </c>
      <c r="AL64" s="220">
        <f>SUM(Buildings_Heat_Backend[[#This Row],[Scope 1 (tCO2e)]:[Scope 3 WTT T&amp;D (tCO2e)]])</f>
        <v>0</v>
      </c>
      <c r="AM64" s="220" t="str">
        <f>IF(Buildings_Heat_Frontend[[#This Row],[Data]]="","", Buildings_Heat_Backend[[#This Row],[Total (tCO2e)]]*(1-Buildings_Heat_Backend[[#This Row],[RSD]]))</f>
        <v/>
      </c>
      <c r="AN64" s="220" t="str">
        <f>IF(Buildings_Heat_Frontend[[#This Row],[Data]]="","", Buildings_Heat_Backend[[#This Row],[Total (tCO2e)]]*(1+Buildings_Heat_Backend[[#This Row],[RSD]]))</f>
        <v/>
      </c>
      <c r="AO64" s="210" t="str">
        <f>IF(Buildings_Heat_Frontend[[#This Row],[Data]]="","", _xlfn.XLOOKUP(_xlfn.CONCAT(Buildings_Heat_Backend[[#This Row],[Level 1]:[Level 6]]),rng_EFConcat,rng_EFOOS)*Buildings_Heat_Backend[[#This Row],[Converted data]]/1000)</f>
        <v/>
      </c>
      <c r="AP64" s="174">
        <f>Buildings_Heat_Frontend[[#This Row],[Ease of collection]]</f>
        <v>0</v>
      </c>
      <c r="AQ64" s="174">
        <f>Buildings_Heat_Frontend[[#This Row],[Completeness]]</f>
        <v>0</v>
      </c>
      <c r="AR64" s="174">
        <f>Buildings_Heat_Frontend[[#This Row],[Notes]]</f>
        <v>0</v>
      </c>
    </row>
    <row r="65" spans="5:44" x14ac:dyDescent="0.3">
      <c r="E65" s="346"/>
      <c r="F65" s="364"/>
      <c r="G65" s="336"/>
      <c r="H65" s="336"/>
      <c r="I65" s="336"/>
      <c r="J65" s="334"/>
      <c r="K65" s="336"/>
      <c r="L65" s="336"/>
      <c r="M65" s="336"/>
      <c r="N65" s="352"/>
      <c r="O65" s="230">
        <f t="shared" si="2"/>
        <v>6</v>
      </c>
      <c r="Q65" s="212" t="str">
        <f t="shared" si="0"/>
        <v/>
      </c>
      <c r="R65" s="174" t="s">
        <v>265</v>
      </c>
      <c r="S65" s="174" t="s">
        <v>273</v>
      </c>
      <c r="T65" s="174" t="str">
        <f>IF(Buildings_Heat_Frontend[[#This Row],[Data]]="","", _xlfn.XLOOKUP(Buildings_Heat_Backend[[#This Row],[Info 1]],Buildings_SiteInfo[Site name],Buildings_SiteInfo[Site type]))</f>
        <v/>
      </c>
      <c r="U65" s="174" t="str">
        <f>IF(Buildings_Heat_Frontend[[#This Row],[Data]]="","", Buildings_Heat_Frontend[[#This Row],[Heating Type]])</f>
        <v/>
      </c>
      <c r="V65" s="174" t="str">
        <f>IF(Buildings_Heat_Frontend[[#This Row],[Data]]="","", Buildings_Heat_Frontend[[#This Row],[Fuel]])</f>
        <v/>
      </c>
      <c r="W65" s="174" t="str" cm="1">
        <f t="array" ref="W65">IF(Buildings_Heat_Frontend[[#This Row],[Data]]="","", _xlfn.XLOOKUP(Buildings_Heat_Backend[[#This Row],[Level 5]],rng_Level5Long,rng_Level6Long))</f>
        <v/>
      </c>
      <c r="X65" s="174" t="str">
        <f>IF(Buildings_Heat_Frontend[[#This Row],[Data]]="","", Buildings_Heat_Frontend[[#This Row],[Site Name]])</f>
        <v/>
      </c>
      <c r="Y65" s="174" t="str">
        <f>IF(Buildings_Heat_Frontend[[#This Row],[Data]]="","", Buildings_Heat_Frontend[[#This Row],[MPRN]])</f>
        <v/>
      </c>
      <c r="Z65" s="174" t="str">
        <f>IF(Buildings_Heat_Frontend[[#This Row],[Data]]="","", IF($I65="","",$I65))</f>
        <v/>
      </c>
      <c r="AA65" s="229" t="str" cm="1">
        <f t="array" ref="AA65">IF(Buildings_Heat_Frontend[[#This Row],[Data]]="","", INDEX(_xlfn.SWITCH(Buildings_Heat_Backend[[#This Row],[Methodology]],"Tier 1",rng_RSD1,"Tier 2",rng_RSD2,"Tier 3",rng_RSD3),MATCH(_xlfn.CONCAT(Buildings_Heat_Backend[[#This Row],[Level 1]:[Level 6]]),rng_LevelsConcat,0)))</f>
        <v/>
      </c>
      <c r="AB65" s="220" t="str">
        <f t="shared" si="1"/>
        <v/>
      </c>
      <c r="AC65" s="174">
        <f>Buildings_Heat_Frontend[[#This Row],[Units]]</f>
        <v>0</v>
      </c>
      <c r="AD6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5" s="174" t="str">
        <f>IF(Buildings_Heat_Frontend[[#This Row],[Data]]="","", _xlfn.XLOOKUP(_xlfn.CONCAT(Buildings_Heat_Backend[[#This Row],[Level 1]:[Level 6]]),rng_LevelsConcat,rng_UnitsLong))</f>
        <v/>
      </c>
      <c r="AF65" s="210" t="str">
        <f>IF(Buildings_Heat_Frontend[[#This Row],[Data]]="","", _xlfn.XLOOKUP(_xlfn.CONCAT(Buildings_Heat_Backend[[#This Row],[Level 1]:[Level 6]]),rng_EFConcat,rng_EF1)*Buildings_Heat_Backend[[#This Row],[Converted data]]/1000)</f>
        <v/>
      </c>
      <c r="AG65" s="210" t="str">
        <f>IF(Buildings_Heat_Frontend[[#This Row],[Data]]="","", _xlfn.XLOOKUP(_xlfn.CONCAT(Buildings_Heat_Backend[[#This Row],[Level 1]:[Level 6]]),rng_EFConcat,rng_EF2)*Buildings_Heat_Backend[[#This Row],[Converted data]]/1000)</f>
        <v/>
      </c>
      <c r="AH65" s="210" t="str">
        <f>IF(Buildings_Heat_Frontend[[#This Row],[Data]]="","", _xlfn.XLOOKUP(_xlfn.CONCAT(Buildings_Heat_Backend[[#This Row],[Level 1]:[Level 6]]),rng_EFConcat,rng_EF3)*Buildings_Heat_Backend[[#This Row],[Converted data]]/1000)</f>
        <v/>
      </c>
      <c r="AI65" s="210" t="str">
        <f>IF(Buildings_Heat_Frontend[[#This Row],[Data]]="","", _xlfn.XLOOKUP(_xlfn.CONCAT(Buildings_Heat_Backend[[#This Row],[Level 1]:[Level 6]]),rng_EFConcat,rng_EF3WTT)*Buildings_Heat_Backend[[#This Row],[Converted data]]/1000)</f>
        <v/>
      </c>
      <c r="AJ65" s="210" t="str">
        <f>IF(Buildings_Heat_Frontend[[#This Row],[Data]]="","", _xlfn.XLOOKUP(_xlfn.CONCAT(Buildings_Heat_Backend[[#This Row],[Level 1]:[Level 6]]),rng_EFConcat,rng_EF3TD)*Buildings_Heat_Backend[[#This Row],[Converted data]]/1000)</f>
        <v/>
      </c>
      <c r="AK65" s="210" t="str">
        <f>IF(Buildings_Heat_Frontend[[#This Row],[Data]]="","", _xlfn.XLOOKUP(_xlfn.CONCAT(Buildings_Heat_Backend[[#This Row],[Level 1]:[Level 6]]),rng_EFConcat,rng_EF3WTTTD)*Buildings_Heat_Backend[[#This Row],[Converted data]]/1000)</f>
        <v/>
      </c>
      <c r="AL65" s="220">
        <f>SUM(Buildings_Heat_Backend[[#This Row],[Scope 1 (tCO2e)]:[Scope 3 WTT T&amp;D (tCO2e)]])</f>
        <v>0</v>
      </c>
      <c r="AM65" s="220" t="str">
        <f>IF(Buildings_Heat_Frontend[[#This Row],[Data]]="","", Buildings_Heat_Backend[[#This Row],[Total (tCO2e)]]*(1-Buildings_Heat_Backend[[#This Row],[RSD]]))</f>
        <v/>
      </c>
      <c r="AN65" s="220" t="str">
        <f>IF(Buildings_Heat_Frontend[[#This Row],[Data]]="","", Buildings_Heat_Backend[[#This Row],[Total (tCO2e)]]*(1+Buildings_Heat_Backend[[#This Row],[RSD]]))</f>
        <v/>
      </c>
      <c r="AO65" s="210" t="str">
        <f>IF(Buildings_Heat_Frontend[[#This Row],[Data]]="","", _xlfn.XLOOKUP(_xlfn.CONCAT(Buildings_Heat_Backend[[#This Row],[Level 1]:[Level 6]]),rng_EFConcat,rng_EFOOS)*Buildings_Heat_Backend[[#This Row],[Converted data]]/1000)</f>
        <v/>
      </c>
      <c r="AP65" s="174">
        <f>Buildings_Heat_Frontend[[#This Row],[Ease of collection]]</f>
        <v>0</v>
      </c>
      <c r="AQ65" s="174">
        <f>Buildings_Heat_Frontend[[#This Row],[Completeness]]</f>
        <v>0</v>
      </c>
      <c r="AR65" s="174">
        <f>Buildings_Heat_Frontend[[#This Row],[Notes]]</f>
        <v>0</v>
      </c>
    </row>
    <row r="66" spans="5:44" x14ac:dyDescent="0.3">
      <c r="E66" s="346"/>
      <c r="F66" s="364"/>
      <c r="G66" s="336"/>
      <c r="H66" s="336"/>
      <c r="I66" s="336"/>
      <c r="J66" s="334"/>
      <c r="K66" s="336"/>
      <c r="L66" s="336"/>
      <c r="M66" s="336"/>
      <c r="N66" s="352"/>
      <c r="O66" s="230">
        <f t="shared" si="2"/>
        <v>6</v>
      </c>
      <c r="Q66" s="212" t="str">
        <f t="shared" si="0"/>
        <v/>
      </c>
      <c r="R66" s="174" t="s">
        <v>265</v>
      </c>
      <c r="S66" s="174" t="s">
        <v>273</v>
      </c>
      <c r="T66" s="174" t="str">
        <f>IF(Buildings_Heat_Frontend[[#This Row],[Data]]="","", _xlfn.XLOOKUP(Buildings_Heat_Backend[[#This Row],[Info 1]],Buildings_SiteInfo[Site name],Buildings_SiteInfo[Site type]))</f>
        <v/>
      </c>
      <c r="U66" s="174" t="str">
        <f>IF(Buildings_Heat_Frontend[[#This Row],[Data]]="","", Buildings_Heat_Frontend[[#This Row],[Heating Type]])</f>
        <v/>
      </c>
      <c r="V66" s="174" t="str">
        <f>IF(Buildings_Heat_Frontend[[#This Row],[Data]]="","", Buildings_Heat_Frontend[[#This Row],[Fuel]])</f>
        <v/>
      </c>
      <c r="W66" s="174" t="str" cm="1">
        <f t="array" ref="W66">IF(Buildings_Heat_Frontend[[#This Row],[Data]]="","", _xlfn.XLOOKUP(Buildings_Heat_Backend[[#This Row],[Level 5]],rng_Level5Long,rng_Level6Long))</f>
        <v/>
      </c>
      <c r="X66" s="174" t="str">
        <f>IF(Buildings_Heat_Frontend[[#This Row],[Data]]="","", Buildings_Heat_Frontend[[#This Row],[Site Name]])</f>
        <v/>
      </c>
      <c r="Y66" s="174" t="str">
        <f>IF(Buildings_Heat_Frontend[[#This Row],[Data]]="","", Buildings_Heat_Frontend[[#This Row],[MPRN]])</f>
        <v/>
      </c>
      <c r="Z66" s="174" t="str">
        <f>IF(Buildings_Heat_Frontend[[#This Row],[Data]]="","", IF($I66="","",$I66))</f>
        <v/>
      </c>
      <c r="AA66" s="229" t="str" cm="1">
        <f t="array" ref="AA66">IF(Buildings_Heat_Frontend[[#This Row],[Data]]="","", INDEX(_xlfn.SWITCH(Buildings_Heat_Backend[[#This Row],[Methodology]],"Tier 1",rng_RSD1,"Tier 2",rng_RSD2,"Tier 3",rng_RSD3),MATCH(_xlfn.CONCAT(Buildings_Heat_Backend[[#This Row],[Level 1]:[Level 6]]),rng_LevelsConcat,0)))</f>
        <v/>
      </c>
      <c r="AB66" s="220" t="str">
        <f t="shared" si="1"/>
        <v/>
      </c>
      <c r="AC66" s="174">
        <f>Buildings_Heat_Frontend[[#This Row],[Units]]</f>
        <v>0</v>
      </c>
      <c r="AD6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6" s="174" t="str">
        <f>IF(Buildings_Heat_Frontend[[#This Row],[Data]]="","", _xlfn.XLOOKUP(_xlfn.CONCAT(Buildings_Heat_Backend[[#This Row],[Level 1]:[Level 6]]),rng_LevelsConcat,rng_UnitsLong))</f>
        <v/>
      </c>
      <c r="AF66" s="210" t="str">
        <f>IF(Buildings_Heat_Frontend[[#This Row],[Data]]="","", _xlfn.XLOOKUP(_xlfn.CONCAT(Buildings_Heat_Backend[[#This Row],[Level 1]:[Level 6]]),rng_EFConcat,rng_EF1)*Buildings_Heat_Backend[[#This Row],[Converted data]]/1000)</f>
        <v/>
      </c>
      <c r="AG66" s="210" t="str">
        <f>IF(Buildings_Heat_Frontend[[#This Row],[Data]]="","", _xlfn.XLOOKUP(_xlfn.CONCAT(Buildings_Heat_Backend[[#This Row],[Level 1]:[Level 6]]),rng_EFConcat,rng_EF2)*Buildings_Heat_Backend[[#This Row],[Converted data]]/1000)</f>
        <v/>
      </c>
      <c r="AH66" s="210" t="str">
        <f>IF(Buildings_Heat_Frontend[[#This Row],[Data]]="","", _xlfn.XLOOKUP(_xlfn.CONCAT(Buildings_Heat_Backend[[#This Row],[Level 1]:[Level 6]]),rng_EFConcat,rng_EF3)*Buildings_Heat_Backend[[#This Row],[Converted data]]/1000)</f>
        <v/>
      </c>
      <c r="AI66" s="210" t="str">
        <f>IF(Buildings_Heat_Frontend[[#This Row],[Data]]="","", _xlfn.XLOOKUP(_xlfn.CONCAT(Buildings_Heat_Backend[[#This Row],[Level 1]:[Level 6]]),rng_EFConcat,rng_EF3WTT)*Buildings_Heat_Backend[[#This Row],[Converted data]]/1000)</f>
        <v/>
      </c>
      <c r="AJ66" s="210" t="str">
        <f>IF(Buildings_Heat_Frontend[[#This Row],[Data]]="","", _xlfn.XLOOKUP(_xlfn.CONCAT(Buildings_Heat_Backend[[#This Row],[Level 1]:[Level 6]]),rng_EFConcat,rng_EF3TD)*Buildings_Heat_Backend[[#This Row],[Converted data]]/1000)</f>
        <v/>
      </c>
      <c r="AK66" s="210" t="str">
        <f>IF(Buildings_Heat_Frontend[[#This Row],[Data]]="","", _xlfn.XLOOKUP(_xlfn.CONCAT(Buildings_Heat_Backend[[#This Row],[Level 1]:[Level 6]]),rng_EFConcat,rng_EF3WTTTD)*Buildings_Heat_Backend[[#This Row],[Converted data]]/1000)</f>
        <v/>
      </c>
      <c r="AL66" s="220">
        <f>SUM(Buildings_Heat_Backend[[#This Row],[Scope 1 (tCO2e)]:[Scope 3 WTT T&amp;D (tCO2e)]])</f>
        <v>0</v>
      </c>
      <c r="AM66" s="220" t="str">
        <f>IF(Buildings_Heat_Frontend[[#This Row],[Data]]="","", Buildings_Heat_Backend[[#This Row],[Total (tCO2e)]]*(1-Buildings_Heat_Backend[[#This Row],[RSD]]))</f>
        <v/>
      </c>
      <c r="AN66" s="220" t="str">
        <f>IF(Buildings_Heat_Frontend[[#This Row],[Data]]="","", Buildings_Heat_Backend[[#This Row],[Total (tCO2e)]]*(1+Buildings_Heat_Backend[[#This Row],[RSD]]))</f>
        <v/>
      </c>
      <c r="AO66" s="210" t="str">
        <f>IF(Buildings_Heat_Frontend[[#This Row],[Data]]="","", _xlfn.XLOOKUP(_xlfn.CONCAT(Buildings_Heat_Backend[[#This Row],[Level 1]:[Level 6]]),rng_EFConcat,rng_EFOOS)*Buildings_Heat_Backend[[#This Row],[Converted data]]/1000)</f>
        <v/>
      </c>
      <c r="AP66" s="174">
        <f>Buildings_Heat_Frontend[[#This Row],[Ease of collection]]</f>
        <v>0</v>
      </c>
      <c r="AQ66" s="174">
        <f>Buildings_Heat_Frontend[[#This Row],[Completeness]]</f>
        <v>0</v>
      </c>
      <c r="AR66" s="174">
        <f>Buildings_Heat_Frontend[[#This Row],[Notes]]</f>
        <v>0</v>
      </c>
    </row>
    <row r="67" spans="5:44" x14ac:dyDescent="0.3">
      <c r="E67" s="346"/>
      <c r="F67" s="364"/>
      <c r="G67" s="336"/>
      <c r="H67" s="336"/>
      <c r="I67" s="336"/>
      <c r="J67" s="334"/>
      <c r="K67" s="336"/>
      <c r="L67" s="336"/>
      <c r="M67" s="336"/>
      <c r="N67" s="352"/>
      <c r="O67" s="230">
        <f t="shared" si="2"/>
        <v>6</v>
      </c>
      <c r="Q67" s="212" t="str">
        <f t="shared" si="0"/>
        <v/>
      </c>
      <c r="R67" s="174" t="s">
        <v>265</v>
      </c>
      <c r="S67" s="174" t="s">
        <v>273</v>
      </c>
      <c r="T67" s="174" t="str">
        <f>IF(Buildings_Heat_Frontend[[#This Row],[Data]]="","", _xlfn.XLOOKUP(Buildings_Heat_Backend[[#This Row],[Info 1]],Buildings_SiteInfo[Site name],Buildings_SiteInfo[Site type]))</f>
        <v/>
      </c>
      <c r="U67" s="174" t="str">
        <f>IF(Buildings_Heat_Frontend[[#This Row],[Data]]="","", Buildings_Heat_Frontend[[#This Row],[Heating Type]])</f>
        <v/>
      </c>
      <c r="V67" s="174" t="str">
        <f>IF(Buildings_Heat_Frontend[[#This Row],[Data]]="","", Buildings_Heat_Frontend[[#This Row],[Fuel]])</f>
        <v/>
      </c>
      <c r="W67" s="174" t="str" cm="1">
        <f t="array" ref="W67">IF(Buildings_Heat_Frontend[[#This Row],[Data]]="","", _xlfn.XLOOKUP(Buildings_Heat_Backend[[#This Row],[Level 5]],rng_Level5Long,rng_Level6Long))</f>
        <v/>
      </c>
      <c r="X67" s="174" t="str">
        <f>IF(Buildings_Heat_Frontend[[#This Row],[Data]]="","", Buildings_Heat_Frontend[[#This Row],[Site Name]])</f>
        <v/>
      </c>
      <c r="Y67" s="174" t="str">
        <f>IF(Buildings_Heat_Frontend[[#This Row],[Data]]="","", Buildings_Heat_Frontend[[#This Row],[MPRN]])</f>
        <v/>
      </c>
      <c r="Z67" s="174" t="str">
        <f>IF(Buildings_Heat_Frontend[[#This Row],[Data]]="","", IF($I67="","",$I67))</f>
        <v/>
      </c>
      <c r="AA67" s="229" t="str" cm="1">
        <f t="array" ref="AA67">IF(Buildings_Heat_Frontend[[#This Row],[Data]]="","", INDEX(_xlfn.SWITCH(Buildings_Heat_Backend[[#This Row],[Methodology]],"Tier 1",rng_RSD1,"Tier 2",rng_RSD2,"Tier 3",rng_RSD3),MATCH(_xlfn.CONCAT(Buildings_Heat_Backend[[#This Row],[Level 1]:[Level 6]]),rng_LevelsConcat,0)))</f>
        <v/>
      </c>
      <c r="AB67" s="220" t="str">
        <f t="shared" si="1"/>
        <v/>
      </c>
      <c r="AC67" s="174">
        <f>Buildings_Heat_Frontend[[#This Row],[Units]]</f>
        <v>0</v>
      </c>
      <c r="AD6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7" s="174" t="str">
        <f>IF(Buildings_Heat_Frontend[[#This Row],[Data]]="","", _xlfn.XLOOKUP(_xlfn.CONCAT(Buildings_Heat_Backend[[#This Row],[Level 1]:[Level 6]]),rng_LevelsConcat,rng_UnitsLong))</f>
        <v/>
      </c>
      <c r="AF67" s="210" t="str">
        <f>IF(Buildings_Heat_Frontend[[#This Row],[Data]]="","", _xlfn.XLOOKUP(_xlfn.CONCAT(Buildings_Heat_Backend[[#This Row],[Level 1]:[Level 6]]),rng_EFConcat,rng_EF1)*Buildings_Heat_Backend[[#This Row],[Converted data]]/1000)</f>
        <v/>
      </c>
      <c r="AG67" s="210" t="str">
        <f>IF(Buildings_Heat_Frontend[[#This Row],[Data]]="","", _xlfn.XLOOKUP(_xlfn.CONCAT(Buildings_Heat_Backend[[#This Row],[Level 1]:[Level 6]]),rng_EFConcat,rng_EF2)*Buildings_Heat_Backend[[#This Row],[Converted data]]/1000)</f>
        <v/>
      </c>
      <c r="AH67" s="210" t="str">
        <f>IF(Buildings_Heat_Frontend[[#This Row],[Data]]="","", _xlfn.XLOOKUP(_xlfn.CONCAT(Buildings_Heat_Backend[[#This Row],[Level 1]:[Level 6]]),rng_EFConcat,rng_EF3)*Buildings_Heat_Backend[[#This Row],[Converted data]]/1000)</f>
        <v/>
      </c>
      <c r="AI67" s="210" t="str">
        <f>IF(Buildings_Heat_Frontend[[#This Row],[Data]]="","", _xlfn.XLOOKUP(_xlfn.CONCAT(Buildings_Heat_Backend[[#This Row],[Level 1]:[Level 6]]),rng_EFConcat,rng_EF3WTT)*Buildings_Heat_Backend[[#This Row],[Converted data]]/1000)</f>
        <v/>
      </c>
      <c r="AJ67" s="210" t="str">
        <f>IF(Buildings_Heat_Frontend[[#This Row],[Data]]="","", _xlfn.XLOOKUP(_xlfn.CONCAT(Buildings_Heat_Backend[[#This Row],[Level 1]:[Level 6]]),rng_EFConcat,rng_EF3TD)*Buildings_Heat_Backend[[#This Row],[Converted data]]/1000)</f>
        <v/>
      </c>
      <c r="AK67" s="210" t="str">
        <f>IF(Buildings_Heat_Frontend[[#This Row],[Data]]="","", _xlfn.XLOOKUP(_xlfn.CONCAT(Buildings_Heat_Backend[[#This Row],[Level 1]:[Level 6]]),rng_EFConcat,rng_EF3WTTTD)*Buildings_Heat_Backend[[#This Row],[Converted data]]/1000)</f>
        <v/>
      </c>
      <c r="AL67" s="220">
        <f>SUM(Buildings_Heat_Backend[[#This Row],[Scope 1 (tCO2e)]:[Scope 3 WTT T&amp;D (tCO2e)]])</f>
        <v>0</v>
      </c>
      <c r="AM67" s="220" t="str">
        <f>IF(Buildings_Heat_Frontend[[#This Row],[Data]]="","", Buildings_Heat_Backend[[#This Row],[Total (tCO2e)]]*(1-Buildings_Heat_Backend[[#This Row],[RSD]]))</f>
        <v/>
      </c>
      <c r="AN67" s="220" t="str">
        <f>IF(Buildings_Heat_Frontend[[#This Row],[Data]]="","", Buildings_Heat_Backend[[#This Row],[Total (tCO2e)]]*(1+Buildings_Heat_Backend[[#This Row],[RSD]]))</f>
        <v/>
      </c>
      <c r="AO67" s="210" t="str">
        <f>IF(Buildings_Heat_Frontend[[#This Row],[Data]]="","", _xlfn.XLOOKUP(_xlfn.CONCAT(Buildings_Heat_Backend[[#This Row],[Level 1]:[Level 6]]),rng_EFConcat,rng_EFOOS)*Buildings_Heat_Backend[[#This Row],[Converted data]]/1000)</f>
        <v/>
      </c>
      <c r="AP67" s="174">
        <f>Buildings_Heat_Frontend[[#This Row],[Ease of collection]]</f>
        <v>0</v>
      </c>
      <c r="AQ67" s="174">
        <f>Buildings_Heat_Frontend[[#This Row],[Completeness]]</f>
        <v>0</v>
      </c>
      <c r="AR67" s="174">
        <f>Buildings_Heat_Frontend[[#This Row],[Notes]]</f>
        <v>0</v>
      </c>
    </row>
    <row r="68" spans="5:44" x14ac:dyDescent="0.3">
      <c r="E68" s="346"/>
      <c r="F68" s="364"/>
      <c r="G68" s="336"/>
      <c r="H68" s="336"/>
      <c r="I68" s="336"/>
      <c r="J68" s="334"/>
      <c r="K68" s="336"/>
      <c r="L68" s="336"/>
      <c r="M68" s="336"/>
      <c r="N68" s="352"/>
      <c r="O68" s="230">
        <f t="shared" si="2"/>
        <v>6</v>
      </c>
      <c r="Q68" s="212" t="str">
        <f t="shared" si="0"/>
        <v/>
      </c>
      <c r="R68" s="174" t="s">
        <v>265</v>
      </c>
      <c r="S68" s="174" t="s">
        <v>273</v>
      </c>
      <c r="T68" s="174" t="str">
        <f>IF(Buildings_Heat_Frontend[[#This Row],[Data]]="","", _xlfn.XLOOKUP(Buildings_Heat_Backend[[#This Row],[Info 1]],Buildings_SiteInfo[Site name],Buildings_SiteInfo[Site type]))</f>
        <v/>
      </c>
      <c r="U68" s="174" t="str">
        <f>IF(Buildings_Heat_Frontend[[#This Row],[Data]]="","", Buildings_Heat_Frontend[[#This Row],[Heating Type]])</f>
        <v/>
      </c>
      <c r="V68" s="174" t="str">
        <f>IF(Buildings_Heat_Frontend[[#This Row],[Data]]="","", Buildings_Heat_Frontend[[#This Row],[Fuel]])</f>
        <v/>
      </c>
      <c r="W68" s="174" t="str" cm="1">
        <f t="array" ref="W68">IF(Buildings_Heat_Frontend[[#This Row],[Data]]="","", _xlfn.XLOOKUP(Buildings_Heat_Backend[[#This Row],[Level 5]],rng_Level5Long,rng_Level6Long))</f>
        <v/>
      </c>
      <c r="X68" s="174" t="str">
        <f>IF(Buildings_Heat_Frontend[[#This Row],[Data]]="","", Buildings_Heat_Frontend[[#This Row],[Site Name]])</f>
        <v/>
      </c>
      <c r="Y68" s="174" t="str">
        <f>IF(Buildings_Heat_Frontend[[#This Row],[Data]]="","", Buildings_Heat_Frontend[[#This Row],[MPRN]])</f>
        <v/>
      </c>
      <c r="Z68" s="174" t="str">
        <f>IF(Buildings_Heat_Frontend[[#This Row],[Data]]="","", IF($I68="","",$I68))</f>
        <v/>
      </c>
      <c r="AA68" s="229" t="str" cm="1">
        <f t="array" ref="AA68">IF(Buildings_Heat_Frontend[[#This Row],[Data]]="","", INDEX(_xlfn.SWITCH(Buildings_Heat_Backend[[#This Row],[Methodology]],"Tier 1",rng_RSD1,"Tier 2",rng_RSD2,"Tier 3",rng_RSD3),MATCH(_xlfn.CONCAT(Buildings_Heat_Backend[[#This Row],[Level 1]:[Level 6]]),rng_LevelsConcat,0)))</f>
        <v/>
      </c>
      <c r="AB68" s="220" t="str">
        <f t="shared" si="1"/>
        <v/>
      </c>
      <c r="AC68" s="174">
        <f>Buildings_Heat_Frontend[[#This Row],[Units]]</f>
        <v>0</v>
      </c>
      <c r="AD6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8" s="174" t="str">
        <f>IF(Buildings_Heat_Frontend[[#This Row],[Data]]="","", _xlfn.XLOOKUP(_xlfn.CONCAT(Buildings_Heat_Backend[[#This Row],[Level 1]:[Level 6]]),rng_LevelsConcat,rng_UnitsLong))</f>
        <v/>
      </c>
      <c r="AF68" s="210" t="str">
        <f>IF(Buildings_Heat_Frontend[[#This Row],[Data]]="","", _xlfn.XLOOKUP(_xlfn.CONCAT(Buildings_Heat_Backend[[#This Row],[Level 1]:[Level 6]]),rng_EFConcat,rng_EF1)*Buildings_Heat_Backend[[#This Row],[Converted data]]/1000)</f>
        <v/>
      </c>
      <c r="AG68" s="210" t="str">
        <f>IF(Buildings_Heat_Frontend[[#This Row],[Data]]="","", _xlfn.XLOOKUP(_xlfn.CONCAT(Buildings_Heat_Backend[[#This Row],[Level 1]:[Level 6]]),rng_EFConcat,rng_EF2)*Buildings_Heat_Backend[[#This Row],[Converted data]]/1000)</f>
        <v/>
      </c>
      <c r="AH68" s="210" t="str">
        <f>IF(Buildings_Heat_Frontend[[#This Row],[Data]]="","", _xlfn.XLOOKUP(_xlfn.CONCAT(Buildings_Heat_Backend[[#This Row],[Level 1]:[Level 6]]),rng_EFConcat,rng_EF3)*Buildings_Heat_Backend[[#This Row],[Converted data]]/1000)</f>
        <v/>
      </c>
      <c r="AI68" s="210" t="str">
        <f>IF(Buildings_Heat_Frontend[[#This Row],[Data]]="","", _xlfn.XLOOKUP(_xlfn.CONCAT(Buildings_Heat_Backend[[#This Row],[Level 1]:[Level 6]]),rng_EFConcat,rng_EF3WTT)*Buildings_Heat_Backend[[#This Row],[Converted data]]/1000)</f>
        <v/>
      </c>
      <c r="AJ68" s="210" t="str">
        <f>IF(Buildings_Heat_Frontend[[#This Row],[Data]]="","", _xlfn.XLOOKUP(_xlfn.CONCAT(Buildings_Heat_Backend[[#This Row],[Level 1]:[Level 6]]),rng_EFConcat,rng_EF3TD)*Buildings_Heat_Backend[[#This Row],[Converted data]]/1000)</f>
        <v/>
      </c>
      <c r="AK68" s="210" t="str">
        <f>IF(Buildings_Heat_Frontend[[#This Row],[Data]]="","", _xlfn.XLOOKUP(_xlfn.CONCAT(Buildings_Heat_Backend[[#This Row],[Level 1]:[Level 6]]),rng_EFConcat,rng_EF3WTTTD)*Buildings_Heat_Backend[[#This Row],[Converted data]]/1000)</f>
        <v/>
      </c>
      <c r="AL68" s="220">
        <f>SUM(Buildings_Heat_Backend[[#This Row],[Scope 1 (tCO2e)]:[Scope 3 WTT T&amp;D (tCO2e)]])</f>
        <v>0</v>
      </c>
      <c r="AM68" s="220" t="str">
        <f>IF(Buildings_Heat_Frontend[[#This Row],[Data]]="","", Buildings_Heat_Backend[[#This Row],[Total (tCO2e)]]*(1-Buildings_Heat_Backend[[#This Row],[RSD]]))</f>
        <v/>
      </c>
      <c r="AN68" s="220" t="str">
        <f>IF(Buildings_Heat_Frontend[[#This Row],[Data]]="","", Buildings_Heat_Backend[[#This Row],[Total (tCO2e)]]*(1+Buildings_Heat_Backend[[#This Row],[RSD]]))</f>
        <v/>
      </c>
      <c r="AO68" s="210" t="str">
        <f>IF(Buildings_Heat_Frontend[[#This Row],[Data]]="","", _xlfn.XLOOKUP(_xlfn.CONCAT(Buildings_Heat_Backend[[#This Row],[Level 1]:[Level 6]]),rng_EFConcat,rng_EFOOS)*Buildings_Heat_Backend[[#This Row],[Converted data]]/1000)</f>
        <v/>
      </c>
      <c r="AP68" s="174">
        <f>Buildings_Heat_Frontend[[#This Row],[Ease of collection]]</f>
        <v>0</v>
      </c>
      <c r="AQ68" s="174">
        <f>Buildings_Heat_Frontend[[#This Row],[Completeness]]</f>
        <v>0</v>
      </c>
      <c r="AR68" s="174">
        <f>Buildings_Heat_Frontend[[#This Row],[Notes]]</f>
        <v>0</v>
      </c>
    </row>
    <row r="69" spans="5:44" x14ac:dyDescent="0.3">
      <c r="E69" s="346"/>
      <c r="F69" s="364"/>
      <c r="G69" s="336"/>
      <c r="H69" s="336"/>
      <c r="I69" s="336"/>
      <c r="J69" s="334"/>
      <c r="K69" s="336"/>
      <c r="L69" s="336"/>
      <c r="M69" s="336"/>
      <c r="N69" s="352"/>
      <c r="O69" s="230">
        <f t="shared" si="2"/>
        <v>6</v>
      </c>
      <c r="Q69" s="212" t="str">
        <f t="shared" si="0"/>
        <v/>
      </c>
      <c r="R69" s="174" t="s">
        <v>265</v>
      </c>
      <c r="S69" s="174" t="s">
        <v>273</v>
      </c>
      <c r="T69" s="174" t="str">
        <f>IF(Buildings_Heat_Frontend[[#This Row],[Data]]="","", _xlfn.XLOOKUP(Buildings_Heat_Backend[[#This Row],[Info 1]],Buildings_SiteInfo[Site name],Buildings_SiteInfo[Site type]))</f>
        <v/>
      </c>
      <c r="U69" s="174" t="str">
        <f>IF(Buildings_Heat_Frontend[[#This Row],[Data]]="","", Buildings_Heat_Frontend[[#This Row],[Heating Type]])</f>
        <v/>
      </c>
      <c r="V69" s="174" t="str">
        <f>IF(Buildings_Heat_Frontend[[#This Row],[Data]]="","", Buildings_Heat_Frontend[[#This Row],[Fuel]])</f>
        <v/>
      </c>
      <c r="W69" s="174" t="str" cm="1">
        <f t="array" ref="W69">IF(Buildings_Heat_Frontend[[#This Row],[Data]]="","", _xlfn.XLOOKUP(Buildings_Heat_Backend[[#This Row],[Level 5]],rng_Level5Long,rng_Level6Long))</f>
        <v/>
      </c>
      <c r="X69" s="174" t="str">
        <f>IF(Buildings_Heat_Frontend[[#This Row],[Data]]="","", Buildings_Heat_Frontend[[#This Row],[Site Name]])</f>
        <v/>
      </c>
      <c r="Y69" s="174" t="str">
        <f>IF(Buildings_Heat_Frontend[[#This Row],[Data]]="","", Buildings_Heat_Frontend[[#This Row],[MPRN]])</f>
        <v/>
      </c>
      <c r="Z69" s="174" t="str">
        <f>IF(Buildings_Heat_Frontend[[#This Row],[Data]]="","", IF($I69="","",$I69))</f>
        <v/>
      </c>
      <c r="AA69" s="229" t="str" cm="1">
        <f t="array" ref="AA69">IF(Buildings_Heat_Frontend[[#This Row],[Data]]="","", INDEX(_xlfn.SWITCH(Buildings_Heat_Backend[[#This Row],[Methodology]],"Tier 1",rng_RSD1,"Tier 2",rng_RSD2,"Tier 3",rng_RSD3),MATCH(_xlfn.CONCAT(Buildings_Heat_Backend[[#This Row],[Level 1]:[Level 6]]),rng_LevelsConcat,0)))</f>
        <v/>
      </c>
      <c r="AB69" s="220" t="str">
        <f t="shared" si="1"/>
        <v/>
      </c>
      <c r="AC69" s="174">
        <f>Buildings_Heat_Frontend[[#This Row],[Units]]</f>
        <v>0</v>
      </c>
      <c r="AD6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69" s="174" t="str">
        <f>IF(Buildings_Heat_Frontend[[#This Row],[Data]]="","", _xlfn.XLOOKUP(_xlfn.CONCAT(Buildings_Heat_Backend[[#This Row],[Level 1]:[Level 6]]),rng_LevelsConcat,rng_UnitsLong))</f>
        <v/>
      </c>
      <c r="AF69" s="210" t="str">
        <f>IF(Buildings_Heat_Frontend[[#This Row],[Data]]="","", _xlfn.XLOOKUP(_xlfn.CONCAT(Buildings_Heat_Backend[[#This Row],[Level 1]:[Level 6]]),rng_EFConcat,rng_EF1)*Buildings_Heat_Backend[[#This Row],[Converted data]]/1000)</f>
        <v/>
      </c>
      <c r="AG69" s="210" t="str">
        <f>IF(Buildings_Heat_Frontend[[#This Row],[Data]]="","", _xlfn.XLOOKUP(_xlfn.CONCAT(Buildings_Heat_Backend[[#This Row],[Level 1]:[Level 6]]),rng_EFConcat,rng_EF2)*Buildings_Heat_Backend[[#This Row],[Converted data]]/1000)</f>
        <v/>
      </c>
      <c r="AH69" s="210" t="str">
        <f>IF(Buildings_Heat_Frontend[[#This Row],[Data]]="","", _xlfn.XLOOKUP(_xlfn.CONCAT(Buildings_Heat_Backend[[#This Row],[Level 1]:[Level 6]]),rng_EFConcat,rng_EF3)*Buildings_Heat_Backend[[#This Row],[Converted data]]/1000)</f>
        <v/>
      </c>
      <c r="AI69" s="210" t="str">
        <f>IF(Buildings_Heat_Frontend[[#This Row],[Data]]="","", _xlfn.XLOOKUP(_xlfn.CONCAT(Buildings_Heat_Backend[[#This Row],[Level 1]:[Level 6]]),rng_EFConcat,rng_EF3WTT)*Buildings_Heat_Backend[[#This Row],[Converted data]]/1000)</f>
        <v/>
      </c>
      <c r="AJ69" s="210" t="str">
        <f>IF(Buildings_Heat_Frontend[[#This Row],[Data]]="","", _xlfn.XLOOKUP(_xlfn.CONCAT(Buildings_Heat_Backend[[#This Row],[Level 1]:[Level 6]]),rng_EFConcat,rng_EF3TD)*Buildings_Heat_Backend[[#This Row],[Converted data]]/1000)</f>
        <v/>
      </c>
      <c r="AK69" s="210" t="str">
        <f>IF(Buildings_Heat_Frontend[[#This Row],[Data]]="","", _xlfn.XLOOKUP(_xlfn.CONCAT(Buildings_Heat_Backend[[#This Row],[Level 1]:[Level 6]]),rng_EFConcat,rng_EF3WTTTD)*Buildings_Heat_Backend[[#This Row],[Converted data]]/1000)</f>
        <v/>
      </c>
      <c r="AL69" s="220">
        <f>SUM(Buildings_Heat_Backend[[#This Row],[Scope 1 (tCO2e)]:[Scope 3 WTT T&amp;D (tCO2e)]])</f>
        <v>0</v>
      </c>
      <c r="AM69" s="220" t="str">
        <f>IF(Buildings_Heat_Frontend[[#This Row],[Data]]="","", Buildings_Heat_Backend[[#This Row],[Total (tCO2e)]]*(1-Buildings_Heat_Backend[[#This Row],[RSD]]))</f>
        <v/>
      </c>
      <c r="AN69" s="220" t="str">
        <f>IF(Buildings_Heat_Frontend[[#This Row],[Data]]="","", Buildings_Heat_Backend[[#This Row],[Total (tCO2e)]]*(1+Buildings_Heat_Backend[[#This Row],[RSD]]))</f>
        <v/>
      </c>
      <c r="AO69" s="210" t="str">
        <f>IF(Buildings_Heat_Frontend[[#This Row],[Data]]="","", _xlfn.XLOOKUP(_xlfn.CONCAT(Buildings_Heat_Backend[[#This Row],[Level 1]:[Level 6]]),rng_EFConcat,rng_EFOOS)*Buildings_Heat_Backend[[#This Row],[Converted data]]/1000)</f>
        <v/>
      </c>
      <c r="AP69" s="174">
        <f>Buildings_Heat_Frontend[[#This Row],[Ease of collection]]</f>
        <v>0</v>
      </c>
      <c r="AQ69" s="174">
        <f>Buildings_Heat_Frontend[[#This Row],[Completeness]]</f>
        <v>0</v>
      </c>
      <c r="AR69" s="174">
        <f>Buildings_Heat_Frontend[[#This Row],[Notes]]</f>
        <v>0</v>
      </c>
    </row>
    <row r="70" spans="5:44" x14ac:dyDescent="0.3">
      <c r="E70" s="346"/>
      <c r="F70" s="364"/>
      <c r="G70" s="336"/>
      <c r="H70" s="336"/>
      <c r="I70" s="336"/>
      <c r="J70" s="334"/>
      <c r="K70" s="336"/>
      <c r="L70" s="336"/>
      <c r="M70" s="336"/>
      <c r="N70" s="352"/>
      <c r="O70" s="230">
        <f t="shared" si="2"/>
        <v>6</v>
      </c>
      <c r="Q70" s="212" t="str">
        <f t="shared" si="0"/>
        <v/>
      </c>
      <c r="R70" s="174" t="s">
        <v>265</v>
      </c>
      <c r="S70" s="174" t="s">
        <v>273</v>
      </c>
      <c r="T70" s="174" t="str">
        <f>IF(Buildings_Heat_Frontend[[#This Row],[Data]]="","", _xlfn.XLOOKUP(Buildings_Heat_Backend[[#This Row],[Info 1]],Buildings_SiteInfo[Site name],Buildings_SiteInfo[Site type]))</f>
        <v/>
      </c>
      <c r="U70" s="174" t="str">
        <f>IF(Buildings_Heat_Frontend[[#This Row],[Data]]="","", Buildings_Heat_Frontend[[#This Row],[Heating Type]])</f>
        <v/>
      </c>
      <c r="V70" s="174" t="str">
        <f>IF(Buildings_Heat_Frontend[[#This Row],[Data]]="","", Buildings_Heat_Frontend[[#This Row],[Fuel]])</f>
        <v/>
      </c>
      <c r="W70" s="174" t="str" cm="1">
        <f t="array" ref="W70">IF(Buildings_Heat_Frontend[[#This Row],[Data]]="","", _xlfn.XLOOKUP(Buildings_Heat_Backend[[#This Row],[Level 5]],rng_Level5Long,rng_Level6Long))</f>
        <v/>
      </c>
      <c r="X70" s="174" t="str">
        <f>IF(Buildings_Heat_Frontend[[#This Row],[Data]]="","", Buildings_Heat_Frontend[[#This Row],[Site Name]])</f>
        <v/>
      </c>
      <c r="Y70" s="174" t="str">
        <f>IF(Buildings_Heat_Frontend[[#This Row],[Data]]="","", Buildings_Heat_Frontend[[#This Row],[MPRN]])</f>
        <v/>
      </c>
      <c r="Z70" s="174" t="str">
        <f>IF(Buildings_Heat_Frontend[[#This Row],[Data]]="","", IF($I70="","",$I70))</f>
        <v/>
      </c>
      <c r="AA70" s="229" t="str" cm="1">
        <f t="array" ref="AA70">IF(Buildings_Heat_Frontend[[#This Row],[Data]]="","", INDEX(_xlfn.SWITCH(Buildings_Heat_Backend[[#This Row],[Methodology]],"Tier 1",rng_RSD1,"Tier 2",rng_RSD2,"Tier 3",rng_RSD3),MATCH(_xlfn.CONCAT(Buildings_Heat_Backend[[#This Row],[Level 1]:[Level 6]]),rng_LevelsConcat,0)))</f>
        <v/>
      </c>
      <c r="AB70" s="220" t="str">
        <f t="shared" si="1"/>
        <v/>
      </c>
      <c r="AC70" s="174">
        <f>Buildings_Heat_Frontend[[#This Row],[Units]]</f>
        <v>0</v>
      </c>
      <c r="AD7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0" s="174" t="str">
        <f>IF(Buildings_Heat_Frontend[[#This Row],[Data]]="","", _xlfn.XLOOKUP(_xlfn.CONCAT(Buildings_Heat_Backend[[#This Row],[Level 1]:[Level 6]]),rng_LevelsConcat,rng_UnitsLong))</f>
        <v/>
      </c>
      <c r="AF70" s="210" t="str">
        <f>IF(Buildings_Heat_Frontend[[#This Row],[Data]]="","", _xlfn.XLOOKUP(_xlfn.CONCAT(Buildings_Heat_Backend[[#This Row],[Level 1]:[Level 6]]),rng_EFConcat,rng_EF1)*Buildings_Heat_Backend[[#This Row],[Converted data]]/1000)</f>
        <v/>
      </c>
      <c r="AG70" s="210" t="str">
        <f>IF(Buildings_Heat_Frontend[[#This Row],[Data]]="","", _xlfn.XLOOKUP(_xlfn.CONCAT(Buildings_Heat_Backend[[#This Row],[Level 1]:[Level 6]]),rng_EFConcat,rng_EF2)*Buildings_Heat_Backend[[#This Row],[Converted data]]/1000)</f>
        <v/>
      </c>
      <c r="AH70" s="210" t="str">
        <f>IF(Buildings_Heat_Frontend[[#This Row],[Data]]="","", _xlfn.XLOOKUP(_xlfn.CONCAT(Buildings_Heat_Backend[[#This Row],[Level 1]:[Level 6]]),rng_EFConcat,rng_EF3)*Buildings_Heat_Backend[[#This Row],[Converted data]]/1000)</f>
        <v/>
      </c>
      <c r="AI70" s="210" t="str">
        <f>IF(Buildings_Heat_Frontend[[#This Row],[Data]]="","", _xlfn.XLOOKUP(_xlfn.CONCAT(Buildings_Heat_Backend[[#This Row],[Level 1]:[Level 6]]),rng_EFConcat,rng_EF3WTT)*Buildings_Heat_Backend[[#This Row],[Converted data]]/1000)</f>
        <v/>
      </c>
      <c r="AJ70" s="210" t="str">
        <f>IF(Buildings_Heat_Frontend[[#This Row],[Data]]="","", _xlfn.XLOOKUP(_xlfn.CONCAT(Buildings_Heat_Backend[[#This Row],[Level 1]:[Level 6]]),rng_EFConcat,rng_EF3TD)*Buildings_Heat_Backend[[#This Row],[Converted data]]/1000)</f>
        <v/>
      </c>
      <c r="AK70" s="210" t="str">
        <f>IF(Buildings_Heat_Frontend[[#This Row],[Data]]="","", _xlfn.XLOOKUP(_xlfn.CONCAT(Buildings_Heat_Backend[[#This Row],[Level 1]:[Level 6]]),rng_EFConcat,rng_EF3WTTTD)*Buildings_Heat_Backend[[#This Row],[Converted data]]/1000)</f>
        <v/>
      </c>
      <c r="AL70" s="220">
        <f>SUM(Buildings_Heat_Backend[[#This Row],[Scope 1 (tCO2e)]:[Scope 3 WTT T&amp;D (tCO2e)]])</f>
        <v>0</v>
      </c>
      <c r="AM70" s="220" t="str">
        <f>IF(Buildings_Heat_Frontend[[#This Row],[Data]]="","", Buildings_Heat_Backend[[#This Row],[Total (tCO2e)]]*(1-Buildings_Heat_Backend[[#This Row],[RSD]]))</f>
        <v/>
      </c>
      <c r="AN70" s="220" t="str">
        <f>IF(Buildings_Heat_Frontend[[#This Row],[Data]]="","", Buildings_Heat_Backend[[#This Row],[Total (tCO2e)]]*(1+Buildings_Heat_Backend[[#This Row],[RSD]]))</f>
        <v/>
      </c>
      <c r="AO70" s="210" t="str">
        <f>IF(Buildings_Heat_Frontend[[#This Row],[Data]]="","", _xlfn.XLOOKUP(_xlfn.CONCAT(Buildings_Heat_Backend[[#This Row],[Level 1]:[Level 6]]),rng_EFConcat,rng_EFOOS)*Buildings_Heat_Backend[[#This Row],[Converted data]]/1000)</f>
        <v/>
      </c>
      <c r="AP70" s="174">
        <f>Buildings_Heat_Frontend[[#This Row],[Ease of collection]]</f>
        <v>0</v>
      </c>
      <c r="AQ70" s="174">
        <f>Buildings_Heat_Frontend[[#This Row],[Completeness]]</f>
        <v>0</v>
      </c>
      <c r="AR70" s="174">
        <f>Buildings_Heat_Frontend[[#This Row],[Notes]]</f>
        <v>0</v>
      </c>
    </row>
    <row r="71" spans="5:44" x14ac:dyDescent="0.3">
      <c r="E71" s="346"/>
      <c r="F71" s="364"/>
      <c r="G71" s="336"/>
      <c r="H71" s="336"/>
      <c r="I71" s="336"/>
      <c r="J71" s="334"/>
      <c r="K71" s="336"/>
      <c r="L71" s="336"/>
      <c r="M71" s="336"/>
      <c r="N71" s="352"/>
      <c r="O71" s="230">
        <f t="shared" si="2"/>
        <v>6</v>
      </c>
      <c r="Q71" s="212" t="str">
        <f t="shared" si="0"/>
        <v/>
      </c>
      <c r="R71" s="174" t="s">
        <v>265</v>
      </c>
      <c r="S71" s="174" t="s">
        <v>273</v>
      </c>
      <c r="T71" s="174" t="str">
        <f>IF(Buildings_Heat_Frontend[[#This Row],[Data]]="","", _xlfn.XLOOKUP(Buildings_Heat_Backend[[#This Row],[Info 1]],Buildings_SiteInfo[Site name],Buildings_SiteInfo[Site type]))</f>
        <v/>
      </c>
      <c r="U71" s="174" t="str">
        <f>IF(Buildings_Heat_Frontend[[#This Row],[Data]]="","", Buildings_Heat_Frontend[[#This Row],[Heating Type]])</f>
        <v/>
      </c>
      <c r="V71" s="174" t="str">
        <f>IF(Buildings_Heat_Frontend[[#This Row],[Data]]="","", Buildings_Heat_Frontend[[#This Row],[Fuel]])</f>
        <v/>
      </c>
      <c r="W71" s="174" t="str" cm="1">
        <f t="array" ref="W71">IF(Buildings_Heat_Frontend[[#This Row],[Data]]="","", _xlfn.XLOOKUP(Buildings_Heat_Backend[[#This Row],[Level 5]],rng_Level5Long,rng_Level6Long))</f>
        <v/>
      </c>
      <c r="X71" s="174" t="str">
        <f>IF(Buildings_Heat_Frontend[[#This Row],[Data]]="","", Buildings_Heat_Frontend[[#This Row],[Site Name]])</f>
        <v/>
      </c>
      <c r="Y71" s="174" t="str">
        <f>IF(Buildings_Heat_Frontend[[#This Row],[Data]]="","", Buildings_Heat_Frontend[[#This Row],[MPRN]])</f>
        <v/>
      </c>
      <c r="Z71" s="174" t="str">
        <f>IF(Buildings_Heat_Frontend[[#This Row],[Data]]="","", IF($I71="","",$I71))</f>
        <v/>
      </c>
      <c r="AA71" s="229" t="str" cm="1">
        <f t="array" ref="AA71">IF(Buildings_Heat_Frontend[[#This Row],[Data]]="","", INDEX(_xlfn.SWITCH(Buildings_Heat_Backend[[#This Row],[Methodology]],"Tier 1",rng_RSD1,"Tier 2",rng_RSD2,"Tier 3",rng_RSD3),MATCH(_xlfn.CONCAT(Buildings_Heat_Backend[[#This Row],[Level 1]:[Level 6]]),rng_LevelsConcat,0)))</f>
        <v/>
      </c>
      <c r="AB71" s="220" t="str">
        <f t="shared" si="1"/>
        <v/>
      </c>
      <c r="AC71" s="174">
        <f>Buildings_Heat_Frontend[[#This Row],[Units]]</f>
        <v>0</v>
      </c>
      <c r="AD7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1" s="174" t="str">
        <f>IF(Buildings_Heat_Frontend[[#This Row],[Data]]="","", _xlfn.XLOOKUP(_xlfn.CONCAT(Buildings_Heat_Backend[[#This Row],[Level 1]:[Level 6]]),rng_LevelsConcat,rng_UnitsLong))</f>
        <v/>
      </c>
      <c r="AF71" s="210" t="str">
        <f>IF(Buildings_Heat_Frontend[[#This Row],[Data]]="","", _xlfn.XLOOKUP(_xlfn.CONCAT(Buildings_Heat_Backend[[#This Row],[Level 1]:[Level 6]]),rng_EFConcat,rng_EF1)*Buildings_Heat_Backend[[#This Row],[Converted data]]/1000)</f>
        <v/>
      </c>
      <c r="AG71" s="210" t="str">
        <f>IF(Buildings_Heat_Frontend[[#This Row],[Data]]="","", _xlfn.XLOOKUP(_xlfn.CONCAT(Buildings_Heat_Backend[[#This Row],[Level 1]:[Level 6]]),rng_EFConcat,rng_EF2)*Buildings_Heat_Backend[[#This Row],[Converted data]]/1000)</f>
        <v/>
      </c>
      <c r="AH71" s="210" t="str">
        <f>IF(Buildings_Heat_Frontend[[#This Row],[Data]]="","", _xlfn.XLOOKUP(_xlfn.CONCAT(Buildings_Heat_Backend[[#This Row],[Level 1]:[Level 6]]),rng_EFConcat,rng_EF3)*Buildings_Heat_Backend[[#This Row],[Converted data]]/1000)</f>
        <v/>
      </c>
      <c r="AI71" s="210" t="str">
        <f>IF(Buildings_Heat_Frontend[[#This Row],[Data]]="","", _xlfn.XLOOKUP(_xlfn.CONCAT(Buildings_Heat_Backend[[#This Row],[Level 1]:[Level 6]]),rng_EFConcat,rng_EF3WTT)*Buildings_Heat_Backend[[#This Row],[Converted data]]/1000)</f>
        <v/>
      </c>
      <c r="AJ71" s="210" t="str">
        <f>IF(Buildings_Heat_Frontend[[#This Row],[Data]]="","", _xlfn.XLOOKUP(_xlfn.CONCAT(Buildings_Heat_Backend[[#This Row],[Level 1]:[Level 6]]),rng_EFConcat,rng_EF3TD)*Buildings_Heat_Backend[[#This Row],[Converted data]]/1000)</f>
        <v/>
      </c>
      <c r="AK71" s="210" t="str">
        <f>IF(Buildings_Heat_Frontend[[#This Row],[Data]]="","", _xlfn.XLOOKUP(_xlfn.CONCAT(Buildings_Heat_Backend[[#This Row],[Level 1]:[Level 6]]),rng_EFConcat,rng_EF3WTTTD)*Buildings_Heat_Backend[[#This Row],[Converted data]]/1000)</f>
        <v/>
      </c>
      <c r="AL71" s="220">
        <f>SUM(Buildings_Heat_Backend[[#This Row],[Scope 1 (tCO2e)]:[Scope 3 WTT T&amp;D (tCO2e)]])</f>
        <v>0</v>
      </c>
      <c r="AM71" s="220" t="str">
        <f>IF(Buildings_Heat_Frontend[[#This Row],[Data]]="","", Buildings_Heat_Backend[[#This Row],[Total (tCO2e)]]*(1-Buildings_Heat_Backend[[#This Row],[RSD]]))</f>
        <v/>
      </c>
      <c r="AN71" s="220" t="str">
        <f>IF(Buildings_Heat_Frontend[[#This Row],[Data]]="","", Buildings_Heat_Backend[[#This Row],[Total (tCO2e)]]*(1+Buildings_Heat_Backend[[#This Row],[RSD]]))</f>
        <v/>
      </c>
      <c r="AO71" s="210" t="str">
        <f>IF(Buildings_Heat_Frontend[[#This Row],[Data]]="","", _xlfn.XLOOKUP(_xlfn.CONCAT(Buildings_Heat_Backend[[#This Row],[Level 1]:[Level 6]]),rng_EFConcat,rng_EFOOS)*Buildings_Heat_Backend[[#This Row],[Converted data]]/1000)</f>
        <v/>
      </c>
      <c r="AP71" s="174">
        <f>Buildings_Heat_Frontend[[#This Row],[Ease of collection]]</f>
        <v>0</v>
      </c>
      <c r="AQ71" s="174">
        <f>Buildings_Heat_Frontend[[#This Row],[Completeness]]</f>
        <v>0</v>
      </c>
      <c r="AR71" s="174">
        <f>Buildings_Heat_Frontend[[#This Row],[Notes]]</f>
        <v>0</v>
      </c>
    </row>
    <row r="72" spans="5:44" x14ac:dyDescent="0.3">
      <c r="E72" s="346"/>
      <c r="F72" s="364"/>
      <c r="G72" s="336"/>
      <c r="H72" s="336"/>
      <c r="I72" s="336"/>
      <c r="J72" s="334"/>
      <c r="K72" s="336"/>
      <c r="L72" s="336"/>
      <c r="M72" s="336"/>
      <c r="N72" s="352"/>
      <c r="O72" s="230">
        <f t="shared" si="2"/>
        <v>6</v>
      </c>
      <c r="Q72" s="212" t="str">
        <f t="shared" si="0"/>
        <v/>
      </c>
      <c r="R72" s="174" t="s">
        <v>265</v>
      </c>
      <c r="S72" s="174" t="s">
        <v>273</v>
      </c>
      <c r="T72" s="174" t="str">
        <f>IF(Buildings_Heat_Frontend[[#This Row],[Data]]="","", _xlfn.XLOOKUP(Buildings_Heat_Backend[[#This Row],[Info 1]],Buildings_SiteInfo[Site name],Buildings_SiteInfo[Site type]))</f>
        <v/>
      </c>
      <c r="U72" s="174" t="str">
        <f>IF(Buildings_Heat_Frontend[[#This Row],[Data]]="","", Buildings_Heat_Frontend[[#This Row],[Heating Type]])</f>
        <v/>
      </c>
      <c r="V72" s="174" t="str">
        <f>IF(Buildings_Heat_Frontend[[#This Row],[Data]]="","", Buildings_Heat_Frontend[[#This Row],[Fuel]])</f>
        <v/>
      </c>
      <c r="W72" s="174" t="str" cm="1">
        <f t="array" ref="W72">IF(Buildings_Heat_Frontend[[#This Row],[Data]]="","", _xlfn.XLOOKUP(Buildings_Heat_Backend[[#This Row],[Level 5]],rng_Level5Long,rng_Level6Long))</f>
        <v/>
      </c>
      <c r="X72" s="174" t="str">
        <f>IF(Buildings_Heat_Frontend[[#This Row],[Data]]="","", Buildings_Heat_Frontend[[#This Row],[Site Name]])</f>
        <v/>
      </c>
      <c r="Y72" s="174" t="str">
        <f>IF(Buildings_Heat_Frontend[[#This Row],[Data]]="","", Buildings_Heat_Frontend[[#This Row],[MPRN]])</f>
        <v/>
      </c>
      <c r="Z72" s="174" t="str">
        <f>IF(Buildings_Heat_Frontend[[#This Row],[Data]]="","", IF($I72="","",$I72))</f>
        <v/>
      </c>
      <c r="AA72" s="229" t="str" cm="1">
        <f t="array" ref="AA72">IF(Buildings_Heat_Frontend[[#This Row],[Data]]="","", INDEX(_xlfn.SWITCH(Buildings_Heat_Backend[[#This Row],[Methodology]],"Tier 1",rng_RSD1,"Tier 2",rng_RSD2,"Tier 3",rng_RSD3),MATCH(_xlfn.CONCAT(Buildings_Heat_Backend[[#This Row],[Level 1]:[Level 6]]),rng_LevelsConcat,0)))</f>
        <v/>
      </c>
      <c r="AB72" s="220" t="str">
        <f t="shared" si="1"/>
        <v/>
      </c>
      <c r="AC72" s="174">
        <f>Buildings_Heat_Frontend[[#This Row],[Units]]</f>
        <v>0</v>
      </c>
      <c r="AD7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2" s="174" t="str">
        <f>IF(Buildings_Heat_Frontend[[#This Row],[Data]]="","", _xlfn.XLOOKUP(_xlfn.CONCAT(Buildings_Heat_Backend[[#This Row],[Level 1]:[Level 6]]),rng_LevelsConcat,rng_UnitsLong))</f>
        <v/>
      </c>
      <c r="AF72" s="210" t="str">
        <f>IF(Buildings_Heat_Frontend[[#This Row],[Data]]="","", _xlfn.XLOOKUP(_xlfn.CONCAT(Buildings_Heat_Backend[[#This Row],[Level 1]:[Level 6]]),rng_EFConcat,rng_EF1)*Buildings_Heat_Backend[[#This Row],[Converted data]]/1000)</f>
        <v/>
      </c>
      <c r="AG72" s="210" t="str">
        <f>IF(Buildings_Heat_Frontend[[#This Row],[Data]]="","", _xlfn.XLOOKUP(_xlfn.CONCAT(Buildings_Heat_Backend[[#This Row],[Level 1]:[Level 6]]),rng_EFConcat,rng_EF2)*Buildings_Heat_Backend[[#This Row],[Converted data]]/1000)</f>
        <v/>
      </c>
      <c r="AH72" s="210" t="str">
        <f>IF(Buildings_Heat_Frontend[[#This Row],[Data]]="","", _xlfn.XLOOKUP(_xlfn.CONCAT(Buildings_Heat_Backend[[#This Row],[Level 1]:[Level 6]]),rng_EFConcat,rng_EF3)*Buildings_Heat_Backend[[#This Row],[Converted data]]/1000)</f>
        <v/>
      </c>
      <c r="AI72" s="210" t="str">
        <f>IF(Buildings_Heat_Frontend[[#This Row],[Data]]="","", _xlfn.XLOOKUP(_xlfn.CONCAT(Buildings_Heat_Backend[[#This Row],[Level 1]:[Level 6]]),rng_EFConcat,rng_EF3WTT)*Buildings_Heat_Backend[[#This Row],[Converted data]]/1000)</f>
        <v/>
      </c>
      <c r="AJ72" s="210" t="str">
        <f>IF(Buildings_Heat_Frontend[[#This Row],[Data]]="","", _xlfn.XLOOKUP(_xlfn.CONCAT(Buildings_Heat_Backend[[#This Row],[Level 1]:[Level 6]]),rng_EFConcat,rng_EF3TD)*Buildings_Heat_Backend[[#This Row],[Converted data]]/1000)</f>
        <v/>
      </c>
      <c r="AK72" s="210" t="str">
        <f>IF(Buildings_Heat_Frontend[[#This Row],[Data]]="","", _xlfn.XLOOKUP(_xlfn.CONCAT(Buildings_Heat_Backend[[#This Row],[Level 1]:[Level 6]]),rng_EFConcat,rng_EF3WTTTD)*Buildings_Heat_Backend[[#This Row],[Converted data]]/1000)</f>
        <v/>
      </c>
      <c r="AL72" s="220">
        <f>SUM(Buildings_Heat_Backend[[#This Row],[Scope 1 (tCO2e)]:[Scope 3 WTT T&amp;D (tCO2e)]])</f>
        <v>0</v>
      </c>
      <c r="AM72" s="220" t="str">
        <f>IF(Buildings_Heat_Frontend[[#This Row],[Data]]="","", Buildings_Heat_Backend[[#This Row],[Total (tCO2e)]]*(1-Buildings_Heat_Backend[[#This Row],[RSD]]))</f>
        <v/>
      </c>
      <c r="AN72" s="220" t="str">
        <f>IF(Buildings_Heat_Frontend[[#This Row],[Data]]="","", Buildings_Heat_Backend[[#This Row],[Total (tCO2e)]]*(1+Buildings_Heat_Backend[[#This Row],[RSD]]))</f>
        <v/>
      </c>
      <c r="AO72" s="210" t="str">
        <f>IF(Buildings_Heat_Frontend[[#This Row],[Data]]="","", _xlfn.XLOOKUP(_xlfn.CONCAT(Buildings_Heat_Backend[[#This Row],[Level 1]:[Level 6]]),rng_EFConcat,rng_EFOOS)*Buildings_Heat_Backend[[#This Row],[Converted data]]/1000)</f>
        <v/>
      </c>
      <c r="AP72" s="174">
        <f>Buildings_Heat_Frontend[[#This Row],[Ease of collection]]</f>
        <v>0</v>
      </c>
      <c r="AQ72" s="174">
        <f>Buildings_Heat_Frontend[[#This Row],[Completeness]]</f>
        <v>0</v>
      </c>
      <c r="AR72" s="174">
        <f>Buildings_Heat_Frontend[[#This Row],[Notes]]</f>
        <v>0</v>
      </c>
    </row>
    <row r="73" spans="5:44" x14ac:dyDescent="0.3">
      <c r="E73" s="346"/>
      <c r="F73" s="364"/>
      <c r="G73" s="336"/>
      <c r="H73" s="336"/>
      <c r="I73" s="336"/>
      <c r="J73" s="334"/>
      <c r="K73" s="336"/>
      <c r="L73" s="336"/>
      <c r="M73" s="336"/>
      <c r="N73" s="352"/>
      <c r="O73" s="230">
        <f t="shared" si="2"/>
        <v>6</v>
      </c>
      <c r="Q73" s="212" t="str">
        <f t="shared" si="0"/>
        <v/>
      </c>
      <c r="R73" s="174" t="s">
        <v>265</v>
      </c>
      <c r="S73" s="174" t="s">
        <v>273</v>
      </c>
      <c r="T73" s="174" t="str">
        <f>IF(Buildings_Heat_Frontend[[#This Row],[Data]]="","", _xlfn.XLOOKUP(Buildings_Heat_Backend[[#This Row],[Info 1]],Buildings_SiteInfo[Site name],Buildings_SiteInfo[Site type]))</f>
        <v/>
      </c>
      <c r="U73" s="174" t="str">
        <f>IF(Buildings_Heat_Frontend[[#This Row],[Data]]="","", Buildings_Heat_Frontend[[#This Row],[Heating Type]])</f>
        <v/>
      </c>
      <c r="V73" s="174" t="str">
        <f>IF(Buildings_Heat_Frontend[[#This Row],[Data]]="","", Buildings_Heat_Frontend[[#This Row],[Fuel]])</f>
        <v/>
      </c>
      <c r="W73" s="174" t="str" cm="1">
        <f t="array" ref="W73">IF(Buildings_Heat_Frontend[[#This Row],[Data]]="","", _xlfn.XLOOKUP(Buildings_Heat_Backend[[#This Row],[Level 5]],rng_Level5Long,rng_Level6Long))</f>
        <v/>
      </c>
      <c r="X73" s="174" t="str">
        <f>IF(Buildings_Heat_Frontend[[#This Row],[Data]]="","", Buildings_Heat_Frontend[[#This Row],[Site Name]])</f>
        <v/>
      </c>
      <c r="Y73" s="174" t="str">
        <f>IF(Buildings_Heat_Frontend[[#This Row],[Data]]="","", Buildings_Heat_Frontend[[#This Row],[MPRN]])</f>
        <v/>
      </c>
      <c r="Z73" s="174" t="str">
        <f>IF(Buildings_Heat_Frontend[[#This Row],[Data]]="","", IF($I73="","",$I73))</f>
        <v/>
      </c>
      <c r="AA73" s="229" t="str" cm="1">
        <f t="array" ref="AA73">IF(Buildings_Heat_Frontend[[#This Row],[Data]]="","", INDEX(_xlfn.SWITCH(Buildings_Heat_Backend[[#This Row],[Methodology]],"Tier 1",rng_RSD1,"Tier 2",rng_RSD2,"Tier 3",rng_RSD3),MATCH(_xlfn.CONCAT(Buildings_Heat_Backend[[#This Row],[Level 1]:[Level 6]]),rng_LevelsConcat,0)))</f>
        <v/>
      </c>
      <c r="AB73" s="220" t="str">
        <f t="shared" si="1"/>
        <v/>
      </c>
      <c r="AC73" s="174">
        <f>Buildings_Heat_Frontend[[#This Row],[Units]]</f>
        <v>0</v>
      </c>
      <c r="AD7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3" s="174" t="str">
        <f>IF(Buildings_Heat_Frontend[[#This Row],[Data]]="","", _xlfn.XLOOKUP(_xlfn.CONCAT(Buildings_Heat_Backend[[#This Row],[Level 1]:[Level 6]]),rng_LevelsConcat,rng_UnitsLong))</f>
        <v/>
      </c>
      <c r="AF73" s="210" t="str">
        <f>IF(Buildings_Heat_Frontend[[#This Row],[Data]]="","", _xlfn.XLOOKUP(_xlfn.CONCAT(Buildings_Heat_Backend[[#This Row],[Level 1]:[Level 6]]),rng_EFConcat,rng_EF1)*Buildings_Heat_Backend[[#This Row],[Converted data]]/1000)</f>
        <v/>
      </c>
      <c r="AG73" s="210" t="str">
        <f>IF(Buildings_Heat_Frontend[[#This Row],[Data]]="","", _xlfn.XLOOKUP(_xlfn.CONCAT(Buildings_Heat_Backend[[#This Row],[Level 1]:[Level 6]]),rng_EFConcat,rng_EF2)*Buildings_Heat_Backend[[#This Row],[Converted data]]/1000)</f>
        <v/>
      </c>
      <c r="AH73" s="210" t="str">
        <f>IF(Buildings_Heat_Frontend[[#This Row],[Data]]="","", _xlfn.XLOOKUP(_xlfn.CONCAT(Buildings_Heat_Backend[[#This Row],[Level 1]:[Level 6]]),rng_EFConcat,rng_EF3)*Buildings_Heat_Backend[[#This Row],[Converted data]]/1000)</f>
        <v/>
      </c>
      <c r="AI73" s="210" t="str">
        <f>IF(Buildings_Heat_Frontend[[#This Row],[Data]]="","", _xlfn.XLOOKUP(_xlfn.CONCAT(Buildings_Heat_Backend[[#This Row],[Level 1]:[Level 6]]),rng_EFConcat,rng_EF3WTT)*Buildings_Heat_Backend[[#This Row],[Converted data]]/1000)</f>
        <v/>
      </c>
      <c r="AJ73" s="210" t="str">
        <f>IF(Buildings_Heat_Frontend[[#This Row],[Data]]="","", _xlfn.XLOOKUP(_xlfn.CONCAT(Buildings_Heat_Backend[[#This Row],[Level 1]:[Level 6]]),rng_EFConcat,rng_EF3TD)*Buildings_Heat_Backend[[#This Row],[Converted data]]/1000)</f>
        <v/>
      </c>
      <c r="AK73" s="210" t="str">
        <f>IF(Buildings_Heat_Frontend[[#This Row],[Data]]="","", _xlfn.XLOOKUP(_xlfn.CONCAT(Buildings_Heat_Backend[[#This Row],[Level 1]:[Level 6]]),rng_EFConcat,rng_EF3WTTTD)*Buildings_Heat_Backend[[#This Row],[Converted data]]/1000)</f>
        <v/>
      </c>
      <c r="AL73" s="220">
        <f>SUM(Buildings_Heat_Backend[[#This Row],[Scope 1 (tCO2e)]:[Scope 3 WTT T&amp;D (tCO2e)]])</f>
        <v>0</v>
      </c>
      <c r="AM73" s="220" t="str">
        <f>IF(Buildings_Heat_Frontend[[#This Row],[Data]]="","", Buildings_Heat_Backend[[#This Row],[Total (tCO2e)]]*(1-Buildings_Heat_Backend[[#This Row],[RSD]]))</f>
        <v/>
      </c>
      <c r="AN73" s="220" t="str">
        <f>IF(Buildings_Heat_Frontend[[#This Row],[Data]]="","", Buildings_Heat_Backend[[#This Row],[Total (tCO2e)]]*(1+Buildings_Heat_Backend[[#This Row],[RSD]]))</f>
        <v/>
      </c>
      <c r="AO73" s="210" t="str">
        <f>IF(Buildings_Heat_Frontend[[#This Row],[Data]]="","", _xlfn.XLOOKUP(_xlfn.CONCAT(Buildings_Heat_Backend[[#This Row],[Level 1]:[Level 6]]),rng_EFConcat,rng_EFOOS)*Buildings_Heat_Backend[[#This Row],[Converted data]]/1000)</f>
        <v/>
      </c>
      <c r="AP73" s="174">
        <f>Buildings_Heat_Frontend[[#This Row],[Ease of collection]]</f>
        <v>0</v>
      </c>
      <c r="AQ73" s="174">
        <f>Buildings_Heat_Frontend[[#This Row],[Completeness]]</f>
        <v>0</v>
      </c>
      <c r="AR73" s="174">
        <f>Buildings_Heat_Frontend[[#This Row],[Notes]]</f>
        <v>0</v>
      </c>
    </row>
    <row r="74" spans="5:44" x14ac:dyDescent="0.3">
      <c r="E74" s="346"/>
      <c r="F74" s="364"/>
      <c r="G74" s="336"/>
      <c r="H74" s="336"/>
      <c r="I74" s="336"/>
      <c r="J74" s="334"/>
      <c r="K74" s="336"/>
      <c r="L74" s="336"/>
      <c r="M74" s="336"/>
      <c r="N74" s="352"/>
      <c r="O74" s="230">
        <f t="shared" si="2"/>
        <v>6</v>
      </c>
      <c r="Q74" s="212" t="str">
        <f t="shared" si="0"/>
        <v/>
      </c>
      <c r="R74" s="174" t="s">
        <v>265</v>
      </c>
      <c r="S74" s="174" t="s">
        <v>273</v>
      </c>
      <c r="T74" s="174" t="str">
        <f>IF(Buildings_Heat_Frontend[[#This Row],[Data]]="","", _xlfn.XLOOKUP(Buildings_Heat_Backend[[#This Row],[Info 1]],Buildings_SiteInfo[Site name],Buildings_SiteInfo[Site type]))</f>
        <v/>
      </c>
      <c r="U74" s="174" t="str">
        <f>IF(Buildings_Heat_Frontend[[#This Row],[Data]]="","", Buildings_Heat_Frontend[[#This Row],[Heating Type]])</f>
        <v/>
      </c>
      <c r="V74" s="174" t="str">
        <f>IF(Buildings_Heat_Frontend[[#This Row],[Data]]="","", Buildings_Heat_Frontend[[#This Row],[Fuel]])</f>
        <v/>
      </c>
      <c r="W74" s="174" t="str" cm="1">
        <f t="array" ref="W74">IF(Buildings_Heat_Frontend[[#This Row],[Data]]="","", _xlfn.XLOOKUP(Buildings_Heat_Backend[[#This Row],[Level 5]],rng_Level5Long,rng_Level6Long))</f>
        <v/>
      </c>
      <c r="X74" s="174" t="str">
        <f>IF(Buildings_Heat_Frontend[[#This Row],[Data]]="","", Buildings_Heat_Frontend[[#This Row],[Site Name]])</f>
        <v/>
      </c>
      <c r="Y74" s="174" t="str">
        <f>IF(Buildings_Heat_Frontend[[#This Row],[Data]]="","", Buildings_Heat_Frontend[[#This Row],[MPRN]])</f>
        <v/>
      </c>
      <c r="Z74" s="174" t="str">
        <f>IF(Buildings_Heat_Frontend[[#This Row],[Data]]="","", IF($I74="","",$I74))</f>
        <v/>
      </c>
      <c r="AA74" s="229" t="str" cm="1">
        <f t="array" ref="AA74">IF(Buildings_Heat_Frontend[[#This Row],[Data]]="","", INDEX(_xlfn.SWITCH(Buildings_Heat_Backend[[#This Row],[Methodology]],"Tier 1",rng_RSD1,"Tier 2",rng_RSD2,"Tier 3",rng_RSD3),MATCH(_xlfn.CONCAT(Buildings_Heat_Backend[[#This Row],[Level 1]:[Level 6]]),rng_LevelsConcat,0)))</f>
        <v/>
      </c>
      <c r="AB74" s="220" t="str">
        <f t="shared" si="1"/>
        <v/>
      </c>
      <c r="AC74" s="174">
        <f>Buildings_Heat_Frontend[[#This Row],[Units]]</f>
        <v>0</v>
      </c>
      <c r="AD7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4" s="174" t="str">
        <f>IF(Buildings_Heat_Frontend[[#This Row],[Data]]="","", _xlfn.XLOOKUP(_xlfn.CONCAT(Buildings_Heat_Backend[[#This Row],[Level 1]:[Level 6]]),rng_LevelsConcat,rng_UnitsLong))</f>
        <v/>
      </c>
      <c r="AF74" s="210" t="str">
        <f>IF(Buildings_Heat_Frontend[[#This Row],[Data]]="","", _xlfn.XLOOKUP(_xlfn.CONCAT(Buildings_Heat_Backend[[#This Row],[Level 1]:[Level 6]]),rng_EFConcat,rng_EF1)*Buildings_Heat_Backend[[#This Row],[Converted data]]/1000)</f>
        <v/>
      </c>
      <c r="AG74" s="210" t="str">
        <f>IF(Buildings_Heat_Frontend[[#This Row],[Data]]="","", _xlfn.XLOOKUP(_xlfn.CONCAT(Buildings_Heat_Backend[[#This Row],[Level 1]:[Level 6]]),rng_EFConcat,rng_EF2)*Buildings_Heat_Backend[[#This Row],[Converted data]]/1000)</f>
        <v/>
      </c>
      <c r="AH74" s="210" t="str">
        <f>IF(Buildings_Heat_Frontend[[#This Row],[Data]]="","", _xlfn.XLOOKUP(_xlfn.CONCAT(Buildings_Heat_Backend[[#This Row],[Level 1]:[Level 6]]),rng_EFConcat,rng_EF3)*Buildings_Heat_Backend[[#This Row],[Converted data]]/1000)</f>
        <v/>
      </c>
      <c r="AI74" s="210" t="str">
        <f>IF(Buildings_Heat_Frontend[[#This Row],[Data]]="","", _xlfn.XLOOKUP(_xlfn.CONCAT(Buildings_Heat_Backend[[#This Row],[Level 1]:[Level 6]]),rng_EFConcat,rng_EF3WTT)*Buildings_Heat_Backend[[#This Row],[Converted data]]/1000)</f>
        <v/>
      </c>
      <c r="AJ74" s="210" t="str">
        <f>IF(Buildings_Heat_Frontend[[#This Row],[Data]]="","", _xlfn.XLOOKUP(_xlfn.CONCAT(Buildings_Heat_Backend[[#This Row],[Level 1]:[Level 6]]),rng_EFConcat,rng_EF3TD)*Buildings_Heat_Backend[[#This Row],[Converted data]]/1000)</f>
        <v/>
      </c>
      <c r="AK74" s="210" t="str">
        <f>IF(Buildings_Heat_Frontend[[#This Row],[Data]]="","", _xlfn.XLOOKUP(_xlfn.CONCAT(Buildings_Heat_Backend[[#This Row],[Level 1]:[Level 6]]),rng_EFConcat,rng_EF3WTTTD)*Buildings_Heat_Backend[[#This Row],[Converted data]]/1000)</f>
        <v/>
      </c>
      <c r="AL74" s="220">
        <f>SUM(Buildings_Heat_Backend[[#This Row],[Scope 1 (tCO2e)]:[Scope 3 WTT T&amp;D (tCO2e)]])</f>
        <v>0</v>
      </c>
      <c r="AM74" s="220" t="str">
        <f>IF(Buildings_Heat_Frontend[[#This Row],[Data]]="","", Buildings_Heat_Backend[[#This Row],[Total (tCO2e)]]*(1-Buildings_Heat_Backend[[#This Row],[RSD]]))</f>
        <v/>
      </c>
      <c r="AN74" s="220" t="str">
        <f>IF(Buildings_Heat_Frontend[[#This Row],[Data]]="","", Buildings_Heat_Backend[[#This Row],[Total (tCO2e)]]*(1+Buildings_Heat_Backend[[#This Row],[RSD]]))</f>
        <v/>
      </c>
      <c r="AO74" s="210" t="str">
        <f>IF(Buildings_Heat_Frontend[[#This Row],[Data]]="","", _xlfn.XLOOKUP(_xlfn.CONCAT(Buildings_Heat_Backend[[#This Row],[Level 1]:[Level 6]]),rng_EFConcat,rng_EFOOS)*Buildings_Heat_Backend[[#This Row],[Converted data]]/1000)</f>
        <v/>
      </c>
      <c r="AP74" s="174">
        <f>Buildings_Heat_Frontend[[#This Row],[Ease of collection]]</f>
        <v>0</v>
      </c>
      <c r="AQ74" s="174">
        <f>Buildings_Heat_Frontend[[#This Row],[Completeness]]</f>
        <v>0</v>
      </c>
      <c r="AR74" s="174">
        <f>Buildings_Heat_Frontend[[#This Row],[Notes]]</f>
        <v>0</v>
      </c>
    </row>
    <row r="75" spans="5:44" x14ac:dyDescent="0.3">
      <c r="E75" s="346"/>
      <c r="F75" s="364"/>
      <c r="G75" s="336"/>
      <c r="H75" s="336"/>
      <c r="I75" s="336"/>
      <c r="J75" s="334"/>
      <c r="K75" s="336"/>
      <c r="L75" s="336"/>
      <c r="M75" s="336"/>
      <c r="N75" s="352"/>
      <c r="O75" s="230">
        <f t="shared" si="2"/>
        <v>6</v>
      </c>
      <c r="Q75" s="212" t="str">
        <f t="shared" si="0"/>
        <v/>
      </c>
      <c r="R75" s="174" t="s">
        <v>265</v>
      </c>
      <c r="S75" s="174" t="s">
        <v>273</v>
      </c>
      <c r="T75" s="174" t="str">
        <f>IF(Buildings_Heat_Frontend[[#This Row],[Data]]="","", _xlfn.XLOOKUP(Buildings_Heat_Backend[[#This Row],[Info 1]],Buildings_SiteInfo[Site name],Buildings_SiteInfo[Site type]))</f>
        <v/>
      </c>
      <c r="U75" s="174" t="str">
        <f>IF(Buildings_Heat_Frontend[[#This Row],[Data]]="","", Buildings_Heat_Frontend[[#This Row],[Heating Type]])</f>
        <v/>
      </c>
      <c r="V75" s="174" t="str">
        <f>IF(Buildings_Heat_Frontend[[#This Row],[Data]]="","", Buildings_Heat_Frontend[[#This Row],[Fuel]])</f>
        <v/>
      </c>
      <c r="W75" s="174" t="str" cm="1">
        <f t="array" ref="W75">IF(Buildings_Heat_Frontend[[#This Row],[Data]]="","", _xlfn.XLOOKUP(Buildings_Heat_Backend[[#This Row],[Level 5]],rng_Level5Long,rng_Level6Long))</f>
        <v/>
      </c>
      <c r="X75" s="174" t="str">
        <f>IF(Buildings_Heat_Frontend[[#This Row],[Data]]="","", Buildings_Heat_Frontend[[#This Row],[Site Name]])</f>
        <v/>
      </c>
      <c r="Y75" s="174" t="str">
        <f>IF(Buildings_Heat_Frontend[[#This Row],[Data]]="","", Buildings_Heat_Frontend[[#This Row],[MPRN]])</f>
        <v/>
      </c>
      <c r="Z75" s="174" t="str">
        <f>IF(Buildings_Heat_Frontend[[#This Row],[Data]]="","", IF($I75="","",$I75))</f>
        <v/>
      </c>
      <c r="AA75" s="229" t="str" cm="1">
        <f t="array" ref="AA75">IF(Buildings_Heat_Frontend[[#This Row],[Data]]="","", INDEX(_xlfn.SWITCH(Buildings_Heat_Backend[[#This Row],[Methodology]],"Tier 1",rng_RSD1,"Tier 2",rng_RSD2,"Tier 3",rng_RSD3),MATCH(_xlfn.CONCAT(Buildings_Heat_Backend[[#This Row],[Level 1]:[Level 6]]),rng_LevelsConcat,0)))</f>
        <v/>
      </c>
      <c r="AB75" s="220" t="str">
        <f t="shared" si="1"/>
        <v/>
      </c>
      <c r="AC75" s="174">
        <f>Buildings_Heat_Frontend[[#This Row],[Units]]</f>
        <v>0</v>
      </c>
      <c r="AD7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5" s="174" t="str">
        <f>IF(Buildings_Heat_Frontend[[#This Row],[Data]]="","", _xlfn.XLOOKUP(_xlfn.CONCAT(Buildings_Heat_Backend[[#This Row],[Level 1]:[Level 6]]),rng_LevelsConcat,rng_UnitsLong))</f>
        <v/>
      </c>
      <c r="AF75" s="210" t="str">
        <f>IF(Buildings_Heat_Frontend[[#This Row],[Data]]="","", _xlfn.XLOOKUP(_xlfn.CONCAT(Buildings_Heat_Backend[[#This Row],[Level 1]:[Level 6]]),rng_EFConcat,rng_EF1)*Buildings_Heat_Backend[[#This Row],[Converted data]]/1000)</f>
        <v/>
      </c>
      <c r="AG75" s="210" t="str">
        <f>IF(Buildings_Heat_Frontend[[#This Row],[Data]]="","", _xlfn.XLOOKUP(_xlfn.CONCAT(Buildings_Heat_Backend[[#This Row],[Level 1]:[Level 6]]),rng_EFConcat,rng_EF2)*Buildings_Heat_Backend[[#This Row],[Converted data]]/1000)</f>
        <v/>
      </c>
      <c r="AH75" s="210" t="str">
        <f>IF(Buildings_Heat_Frontend[[#This Row],[Data]]="","", _xlfn.XLOOKUP(_xlfn.CONCAT(Buildings_Heat_Backend[[#This Row],[Level 1]:[Level 6]]),rng_EFConcat,rng_EF3)*Buildings_Heat_Backend[[#This Row],[Converted data]]/1000)</f>
        <v/>
      </c>
      <c r="AI75" s="210" t="str">
        <f>IF(Buildings_Heat_Frontend[[#This Row],[Data]]="","", _xlfn.XLOOKUP(_xlfn.CONCAT(Buildings_Heat_Backend[[#This Row],[Level 1]:[Level 6]]),rng_EFConcat,rng_EF3WTT)*Buildings_Heat_Backend[[#This Row],[Converted data]]/1000)</f>
        <v/>
      </c>
      <c r="AJ75" s="210" t="str">
        <f>IF(Buildings_Heat_Frontend[[#This Row],[Data]]="","", _xlfn.XLOOKUP(_xlfn.CONCAT(Buildings_Heat_Backend[[#This Row],[Level 1]:[Level 6]]),rng_EFConcat,rng_EF3TD)*Buildings_Heat_Backend[[#This Row],[Converted data]]/1000)</f>
        <v/>
      </c>
      <c r="AK75" s="210" t="str">
        <f>IF(Buildings_Heat_Frontend[[#This Row],[Data]]="","", _xlfn.XLOOKUP(_xlfn.CONCAT(Buildings_Heat_Backend[[#This Row],[Level 1]:[Level 6]]),rng_EFConcat,rng_EF3WTTTD)*Buildings_Heat_Backend[[#This Row],[Converted data]]/1000)</f>
        <v/>
      </c>
      <c r="AL75" s="220">
        <f>SUM(Buildings_Heat_Backend[[#This Row],[Scope 1 (tCO2e)]:[Scope 3 WTT T&amp;D (tCO2e)]])</f>
        <v>0</v>
      </c>
      <c r="AM75" s="220" t="str">
        <f>IF(Buildings_Heat_Frontend[[#This Row],[Data]]="","", Buildings_Heat_Backend[[#This Row],[Total (tCO2e)]]*(1-Buildings_Heat_Backend[[#This Row],[RSD]]))</f>
        <v/>
      </c>
      <c r="AN75" s="220" t="str">
        <f>IF(Buildings_Heat_Frontend[[#This Row],[Data]]="","", Buildings_Heat_Backend[[#This Row],[Total (tCO2e)]]*(1+Buildings_Heat_Backend[[#This Row],[RSD]]))</f>
        <v/>
      </c>
      <c r="AO75" s="210" t="str">
        <f>IF(Buildings_Heat_Frontend[[#This Row],[Data]]="","", _xlfn.XLOOKUP(_xlfn.CONCAT(Buildings_Heat_Backend[[#This Row],[Level 1]:[Level 6]]),rng_EFConcat,rng_EFOOS)*Buildings_Heat_Backend[[#This Row],[Converted data]]/1000)</f>
        <v/>
      </c>
      <c r="AP75" s="174">
        <f>Buildings_Heat_Frontend[[#This Row],[Ease of collection]]</f>
        <v>0</v>
      </c>
      <c r="AQ75" s="174">
        <f>Buildings_Heat_Frontend[[#This Row],[Completeness]]</f>
        <v>0</v>
      </c>
      <c r="AR75" s="174">
        <f>Buildings_Heat_Frontend[[#This Row],[Notes]]</f>
        <v>0</v>
      </c>
    </row>
    <row r="76" spans="5:44" x14ac:dyDescent="0.3">
      <c r="E76" s="346"/>
      <c r="F76" s="364"/>
      <c r="G76" s="336"/>
      <c r="H76" s="336"/>
      <c r="I76" s="336"/>
      <c r="J76" s="334"/>
      <c r="K76" s="336"/>
      <c r="L76" s="336"/>
      <c r="M76" s="336"/>
      <c r="N76" s="352"/>
      <c r="O76" s="230">
        <f t="shared" si="2"/>
        <v>6</v>
      </c>
      <c r="Q76" s="212" t="str">
        <f t="shared" si="0"/>
        <v/>
      </c>
      <c r="R76" s="174" t="s">
        <v>265</v>
      </c>
      <c r="S76" s="174" t="s">
        <v>273</v>
      </c>
      <c r="T76" s="174" t="str">
        <f>IF(Buildings_Heat_Frontend[[#This Row],[Data]]="","", _xlfn.XLOOKUP(Buildings_Heat_Backend[[#This Row],[Info 1]],Buildings_SiteInfo[Site name],Buildings_SiteInfo[Site type]))</f>
        <v/>
      </c>
      <c r="U76" s="174" t="str">
        <f>IF(Buildings_Heat_Frontend[[#This Row],[Data]]="","", Buildings_Heat_Frontend[[#This Row],[Heating Type]])</f>
        <v/>
      </c>
      <c r="V76" s="174" t="str">
        <f>IF(Buildings_Heat_Frontend[[#This Row],[Data]]="","", Buildings_Heat_Frontend[[#This Row],[Fuel]])</f>
        <v/>
      </c>
      <c r="W76" s="174" t="str" cm="1">
        <f t="array" ref="W76">IF(Buildings_Heat_Frontend[[#This Row],[Data]]="","", _xlfn.XLOOKUP(Buildings_Heat_Backend[[#This Row],[Level 5]],rng_Level5Long,rng_Level6Long))</f>
        <v/>
      </c>
      <c r="X76" s="174" t="str">
        <f>IF(Buildings_Heat_Frontend[[#This Row],[Data]]="","", Buildings_Heat_Frontend[[#This Row],[Site Name]])</f>
        <v/>
      </c>
      <c r="Y76" s="174" t="str">
        <f>IF(Buildings_Heat_Frontend[[#This Row],[Data]]="","", Buildings_Heat_Frontend[[#This Row],[MPRN]])</f>
        <v/>
      </c>
      <c r="Z76" s="174" t="str">
        <f>IF(Buildings_Heat_Frontend[[#This Row],[Data]]="","", IF($I76="","",$I76))</f>
        <v/>
      </c>
      <c r="AA76" s="229" t="str" cm="1">
        <f t="array" ref="AA76">IF(Buildings_Heat_Frontend[[#This Row],[Data]]="","", INDEX(_xlfn.SWITCH(Buildings_Heat_Backend[[#This Row],[Methodology]],"Tier 1",rng_RSD1,"Tier 2",rng_RSD2,"Tier 3",rng_RSD3),MATCH(_xlfn.CONCAT(Buildings_Heat_Backend[[#This Row],[Level 1]:[Level 6]]),rng_LevelsConcat,0)))</f>
        <v/>
      </c>
      <c r="AB76" s="220" t="str">
        <f t="shared" si="1"/>
        <v/>
      </c>
      <c r="AC76" s="174">
        <f>Buildings_Heat_Frontend[[#This Row],[Units]]</f>
        <v>0</v>
      </c>
      <c r="AD7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6" s="174" t="str">
        <f>IF(Buildings_Heat_Frontend[[#This Row],[Data]]="","", _xlfn.XLOOKUP(_xlfn.CONCAT(Buildings_Heat_Backend[[#This Row],[Level 1]:[Level 6]]),rng_LevelsConcat,rng_UnitsLong))</f>
        <v/>
      </c>
      <c r="AF76" s="210" t="str">
        <f>IF(Buildings_Heat_Frontend[[#This Row],[Data]]="","", _xlfn.XLOOKUP(_xlfn.CONCAT(Buildings_Heat_Backend[[#This Row],[Level 1]:[Level 6]]),rng_EFConcat,rng_EF1)*Buildings_Heat_Backend[[#This Row],[Converted data]]/1000)</f>
        <v/>
      </c>
      <c r="AG76" s="210" t="str">
        <f>IF(Buildings_Heat_Frontend[[#This Row],[Data]]="","", _xlfn.XLOOKUP(_xlfn.CONCAT(Buildings_Heat_Backend[[#This Row],[Level 1]:[Level 6]]),rng_EFConcat,rng_EF2)*Buildings_Heat_Backend[[#This Row],[Converted data]]/1000)</f>
        <v/>
      </c>
      <c r="AH76" s="210" t="str">
        <f>IF(Buildings_Heat_Frontend[[#This Row],[Data]]="","", _xlfn.XLOOKUP(_xlfn.CONCAT(Buildings_Heat_Backend[[#This Row],[Level 1]:[Level 6]]),rng_EFConcat,rng_EF3)*Buildings_Heat_Backend[[#This Row],[Converted data]]/1000)</f>
        <v/>
      </c>
      <c r="AI76" s="210" t="str">
        <f>IF(Buildings_Heat_Frontend[[#This Row],[Data]]="","", _xlfn.XLOOKUP(_xlfn.CONCAT(Buildings_Heat_Backend[[#This Row],[Level 1]:[Level 6]]),rng_EFConcat,rng_EF3WTT)*Buildings_Heat_Backend[[#This Row],[Converted data]]/1000)</f>
        <v/>
      </c>
      <c r="AJ76" s="210" t="str">
        <f>IF(Buildings_Heat_Frontend[[#This Row],[Data]]="","", _xlfn.XLOOKUP(_xlfn.CONCAT(Buildings_Heat_Backend[[#This Row],[Level 1]:[Level 6]]),rng_EFConcat,rng_EF3TD)*Buildings_Heat_Backend[[#This Row],[Converted data]]/1000)</f>
        <v/>
      </c>
      <c r="AK76" s="210" t="str">
        <f>IF(Buildings_Heat_Frontend[[#This Row],[Data]]="","", _xlfn.XLOOKUP(_xlfn.CONCAT(Buildings_Heat_Backend[[#This Row],[Level 1]:[Level 6]]),rng_EFConcat,rng_EF3WTTTD)*Buildings_Heat_Backend[[#This Row],[Converted data]]/1000)</f>
        <v/>
      </c>
      <c r="AL76" s="220">
        <f>SUM(Buildings_Heat_Backend[[#This Row],[Scope 1 (tCO2e)]:[Scope 3 WTT T&amp;D (tCO2e)]])</f>
        <v>0</v>
      </c>
      <c r="AM76" s="220" t="str">
        <f>IF(Buildings_Heat_Frontend[[#This Row],[Data]]="","", Buildings_Heat_Backend[[#This Row],[Total (tCO2e)]]*(1-Buildings_Heat_Backend[[#This Row],[RSD]]))</f>
        <v/>
      </c>
      <c r="AN76" s="220" t="str">
        <f>IF(Buildings_Heat_Frontend[[#This Row],[Data]]="","", Buildings_Heat_Backend[[#This Row],[Total (tCO2e)]]*(1+Buildings_Heat_Backend[[#This Row],[RSD]]))</f>
        <v/>
      </c>
      <c r="AO76" s="210" t="str">
        <f>IF(Buildings_Heat_Frontend[[#This Row],[Data]]="","", _xlfn.XLOOKUP(_xlfn.CONCAT(Buildings_Heat_Backend[[#This Row],[Level 1]:[Level 6]]),rng_EFConcat,rng_EFOOS)*Buildings_Heat_Backend[[#This Row],[Converted data]]/1000)</f>
        <v/>
      </c>
      <c r="AP76" s="174">
        <f>Buildings_Heat_Frontend[[#This Row],[Ease of collection]]</f>
        <v>0</v>
      </c>
      <c r="AQ76" s="174">
        <f>Buildings_Heat_Frontend[[#This Row],[Completeness]]</f>
        <v>0</v>
      </c>
      <c r="AR76" s="174">
        <f>Buildings_Heat_Frontend[[#This Row],[Notes]]</f>
        <v>0</v>
      </c>
    </row>
    <row r="77" spans="5:44" x14ac:dyDescent="0.3">
      <c r="E77" s="346"/>
      <c r="F77" s="364"/>
      <c r="G77" s="336"/>
      <c r="H77" s="336"/>
      <c r="I77" s="336"/>
      <c r="J77" s="334"/>
      <c r="K77" s="336"/>
      <c r="L77" s="336"/>
      <c r="M77" s="336"/>
      <c r="N77" s="352"/>
      <c r="O77" s="230">
        <f t="shared" si="2"/>
        <v>6</v>
      </c>
      <c r="Q77" s="212" t="str">
        <f t="shared" si="0"/>
        <v/>
      </c>
      <c r="R77" s="174" t="s">
        <v>265</v>
      </c>
      <c r="S77" s="174" t="s">
        <v>273</v>
      </c>
      <c r="T77" s="174" t="str">
        <f>IF(Buildings_Heat_Frontend[[#This Row],[Data]]="","", _xlfn.XLOOKUP(Buildings_Heat_Backend[[#This Row],[Info 1]],Buildings_SiteInfo[Site name],Buildings_SiteInfo[Site type]))</f>
        <v/>
      </c>
      <c r="U77" s="174" t="str">
        <f>IF(Buildings_Heat_Frontend[[#This Row],[Data]]="","", Buildings_Heat_Frontend[[#This Row],[Heating Type]])</f>
        <v/>
      </c>
      <c r="V77" s="174" t="str">
        <f>IF(Buildings_Heat_Frontend[[#This Row],[Data]]="","", Buildings_Heat_Frontend[[#This Row],[Fuel]])</f>
        <v/>
      </c>
      <c r="W77" s="174" t="str" cm="1">
        <f t="array" ref="W77">IF(Buildings_Heat_Frontend[[#This Row],[Data]]="","", _xlfn.XLOOKUP(Buildings_Heat_Backend[[#This Row],[Level 5]],rng_Level5Long,rng_Level6Long))</f>
        <v/>
      </c>
      <c r="X77" s="174" t="str">
        <f>IF(Buildings_Heat_Frontend[[#This Row],[Data]]="","", Buildings_Heat_Frontend[[#This Row],[Site Name]])</f>
        <v/>
      </c>
      <c r="Y77" s="174" t="str">
        <f>IF(Buildings_Heat_Frontend[[#This Row],[Data]]="","", Buildings_Heat_Frontend[[#This Row],[MPRN]])</f>
        <v/>
      </c>
      <c r="Z77" s="174" t="str">
        <f>IF(Buildings_Heat_Frontend[[#This Row],[Data]]="","", IF($I77="","",$I77))</f>
        <v/>
      </c>
      <c r="AA77" s="229" t="str" cm="1">
        <f t="array" ref="AA77">IF(Buildings_Heat_Frontend[[#This Row],[Data]]="","", INDEX(_xlfn.SWITCH(Buildings_Heat_Backend[[#This Row],[Methodology]],"Tier 1",rng_RSD1,"Tier 2",rng_RSD2,"Tier 3",rng_RSD3),MATCH(_xlfn.CONCAT(Buildings_Heat_Backend[[#This Row],[Level 1]:[Level 6]]),rng_LevelsConcat,0)))</f>
        <v/>
      </c>
      <c r="AB77" s="220" t="str">
        <f t="shared" si="1"/>
        <v/>
      </c>
      <c r="AC77" s="174">
        <f>Buildings_Heat_Frontend[[#This Row],[Units]]</f>
        <v>0</v>
      </c>
      <c r="AD7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7" s="174" t="str">
        <f>IF(Buildings_Heat_Frontend[[#This Row],[Data]]="","", _xlfn.XLOOKUP(_xlfn.CONCAT(Buildings_Heat_Backend[[#This Row],[Level 1]:[Level 6]]),rng_LevelsConcat,rng_UnitsLong))</f>
        <v/>
      </c>
      <c r="AF77" s="210" t="str">
        <f>IF(Buildings_Heat_Frontend[[#This Row],[Data]]="","", _xlfn.XLOOKUP(_xlfn.CONCAT(Buildings_Heat_Backend[[#This Row],[Level 1]:[Level 6]]),rng_EFConcat,rng_EF1)*Buildings_Heat_Backend[[#This Row],[Converted data]]/1000)</f>
        <v/>
      </c>
      <c r="AG77" s="210" t="str">
        <f>IF(Buildings_Heat_Frontend[[#This Row],[Data]]="","", _xlfn.XLOOKUP(_xlfn.CONCAT(Buildings_Heat_Backend[[#This Row],[Level 1]:[Level 6]]),rng_EFConcat,rng_EF2)*Buildings_Heat_Backend[[#This Row],[Converted data]]/1000)</f>
        <v/>
      </c>
      <c r="AH77" s="210" t="str">
        <f>IF(Buildings_Heat_Frontend[[#This Row],[Data]]="","", _xlfn.XLOOKUP(_xlfn.CONCAT(Buildings_Heat_Backend[[#This Row],[Level 1]:[Level 6]]),rng_EFConcat,rng_EF3)*Buildings_Heat_Backend[[#This Row],[Converted data]]/1000)</f>
        <v/>
      </c>
      <c r="AI77" s="210" t="str">
        <f>IF(Buildings_Heat_Frontend[[#This Row],[Data]]="","", _xlfn.XLOOKUP(_xlfn.CONCAT(Buildings_Heat_Backend[[#This Row],[Level 1]:[Level 6]]),rng_EFConcat,rng_EF3WTT)*Buildings_Heat_Backend[[#This Row],[Converted data]]/1000)</f>
        <v/>
      </c>
      <c r="AJ77" s="210" t="str">
        <f>IF(Buildings_Heat_Frontend[[#This Row],[Data]]="","", _xlfn.XLOOKUP(_xlfn.CONCAT(Buildings_Heat_Backend[[#This Row],[Level 1]:[Level 6]]),rng_EFConcat,rng_EF3TD)*Buildings_Heat_Backend[[#This Row],[Converted data]]/1000)</f>
        <v/>
      </c>
      <c r="AK77" s="210" t="str">
        <f>IF(Buildings_Heat_Frontend[[#This Row],[Data]]="","", _xlfn.XLOOKUP(_xlfn.CONCAT(Buildings_Heat_Backend[[#This Row],[Level 1]:[Level 6]]),rng_EFConcat,rng_EF3WTTTD)*Buildings_Heat_Backend[[#This Row],[Converted data]]/1000)</f>
        <v/>
      </c>
      <c r="AL77" s="220">
        <f>SUM(Buildings_Heat_Backend[[#This Row],[Scope 1 (tCO2e)]:[Scope 3 WTT T&amp;D (tCO2e)]])</f>
        <v>0</v>
      </c>
      <c r="AM77" s="220" t="str">
        <f>IF(Buildings_Heat_Frontend[[#This Row],[Data]]="","", Buildings_Heat_Backend[[#This Row],[Total (tCO2e)]]*(1-Buildings_Heat_Backend[[#This Row],[RSD]]))</f>
        <v/>
      </c>
      <c r="AN77" s="220" t="str">
        <f>IF(Buildings_Heat_Frontend[[#This Row],[Data]]="","", Buildings_Heat_Backend[[#This Row],[Total (tCO2e)]]*(1+Buildings_Heat_Backend[[#This Row],[RSD]]))</f>
        <v/>
      </c>
      <c r="AO77" s="210" t="str">
        <f>IF(Buildings_Heat_Frontend[[#This Row],[Data]]="","", _xlfn.XLOOKUP(_xlfn.CONCAT(Buildings_Heat_Backend[[#This Row],[Level 1]:[Level 6]]),rng_EFConcat,rng_EFOOS)*Buildings_Heat_Backend[[#This Row],[Converted data]]/1000)</f>
        <v/>
      </c>
      <c r="AP77" s="174">
        <f>Buildings_Heat_Frontend[[#This Row],[Ease of collection]]</f>
        <v>0</v>
      </c>
      <c r="AQ77" s="174">
        <f>Buildings_Heat_Frontend[[#This Row],[Completeness]]</f>
        <v>0</v>
      </c>
      <c r="AR77" s="174">
        <f>Buildings_Heat_Frontend[[#This Row],[Notes]]</f>
        <v>0</v>
      </c>
    </row>
    <row r="78" spans="5:44" x14ac:dyDescent="0.3">
      <c r="E78" s="346"/>
      <c r="F78" s="364"/>
      <c r="G78" s="336"/>
      <c r="H78" s="336"/>
      <c r="I78" s="336"/>
      <c r="J78" s="334"/>
      <c r="K78" s="336"/>
      <c r="L78" s="336"/>
      <c r="M78" s="336"/>
      <c r="N78" s="352"/>
      <c r="O78" s="230">
        <f t="shared" si="2"/>
        <v>6</v>
      </c>
      <c r="Q78" s="212" t="str">
        <f t="shared" si="0"/>
        <v/>
      </c>
      <c r="R78" s="174" t="s">
        <v>265</v>
      </c>
      <c r="S78" s="174" t="s">
        <v>273</v>
      </c>
      <c r="T78" s="174" t="str">
        <f>IF(Buildings_Heat_Frontend[[#This Row],[Data]]="","", _xlfn.XLOOKUP(Buildings_Heat_Backend[[#This Row],[Info 1]],Buildings_SiteInfo[Site name],Buildings_SiteInfo[Site type]))</f>
        <v/>
      </c>
      <c r="U78" s="174" t="str">
        <f>IF(Buildings_Heat_Frontend[[#This Row],[Data]]="","", Buildings_Heat_Frontend[[#This Row],[Heating Type]])</f>
        <v/>
      </c>
      <c r="V78" s="174" t="str">
        <f>IF(Buildings_Heat_Frontend[[#This Row],[Data]]="","", Buildings_Heat_Frontend[[#This Row],[Fuel]])</f>
        <v/>
      </c>
      <c r="W78" s="174" t="str" cm="1">
        <f t="array" ref="W78">IF(Buildings_Heat_Frontend[[#This Row],[Data]]="","", _xlfn.XLOOKUP(Buildings_Heat_Backend[[#This Row],[Level 5]],rng_Level5Long,rng_Level6Long))</f>
        <v/>
      </c>
      <c r="X78" s="174" t="str">
        <f>IF(Buildings_Heat_Frontend[[#This Row],[Data]]="","", Buildings_Heat_Frontend[[#This Row],[Site Name]])</f>
        <v/>
      </c>
      <c r="Y78" s="174" t="str">
        <f>IF(Buildings_Heat_Frontend[[#This Row],[Data]]="","", Buildings_Heat_Frontend[[#This Row],[MPRN]])</f>
        <v/>
      </c>
      <c r="Z78" s="174" t="str">
        <f>IF(Buildings_Heat_Frontend[[#This Row],[Data]]="","", IF($I78="","",$I78))</f>
        <v/>
      </c>
      <c r="AA78" s="229" t="str" cm="1">
        <f t="array" ref="AA78">IF(Buildings_Heat_Frontend[[#This Row],[Data]]="","", INDEX(_xlfn.SWITCH(Buildings_Heat_Backend[[#This Row],[Methodology]],"Tier 1",rng_RSD1,"Tier 2",rng_RSD2,"Tier 3",rng_RSD3),MATCH(_xlfn.CONCAT(Buildings_Heat_Backend[[#This Row],[Level 1]:[Level 6]]),rng_LevelsConcat,0)))</f>
        <v/>
      </c>
      <c r="AB78" s="220" t="str">
        <f t="shared" si="1"/>
        <v/>
      </c>
      <c r="AC78" s="174">
        <f>Buildings_Heat_Frontend[[#This Row],[Units]]</f>
        <v>0</v>
      </c>
      <c r="AD7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8" s="174" t="str">
        <f>IF(Buildings_Heat_Frontend[[#This Row],[Data]]="","", _xlfn.XLOOKUP(_xlfn.CONCAT(Buildings_Heat_Backend[[#This Row],[Level 1]:[Level 6]]),rng_LevelsConcat,rng_UnitsLong))</f>
        <v/>
      </c>
      <c r="AF78" s="210" t="str">
        <f>IF(Buildings_Heat_Frontend[[#This Row],[Data]]="","", _xlfn.XLOOKUP(_xlfn.CONCAT(Buildings_Heat_Backend[[#This Row],[Level 1]:[Level 6]]),rng_EFConcat,rng_EF1)*Buildings_Heat_Backend[[#This Row],[Converted data]]/1000)</f>
        <v/>
      </c>
      <c r="AG78" s="210" t="str">
        <f>IF(Buildings_Heat_Frontend[[#This Row],[Data]]="","", _xlfn.XLOOKUP(_xlfn.CONCAT(Buildings_Heat_Backend[[#This Row],[Level 1]:[Level 6]]),rng_EFConcat,rng_EF2)*Buildings_Heat_Backend[[#This Row],[Converted data]]/1000)</f>
        <v/>
      </c>
      <c r="AH78" s="210" t="str">
        <f>IF(Buildings_Heat_Frontend[[#This Row],[Data]]="","", _xlfn.XLOOKUP(_xlfn.CONCAT(Buildings_Heat_Backend[[#This Row],[Level 1]:[Level 6]]),rng_EFConcat,rng_EF3)*Buildings_Heat_Backend[[#This Row],[Converted data]]/1000)</f>
        <v/>
      </c>
      <c r="AI78" s="210" t="str">
        <f>IF(Buildings_Heat_Frontend[[#This Row],[Data]]="","", _xlfn.XLOOKUP(_xlfn.CONCAT(Buildings_Heat_Backend[[#This Row],[Level 1]:[Level 6]]),rng_EFConcat,rng_EF3WTT)*Buildings_Heat_Backend[[#This Row],[Converted data]]/1000)</f>
        <v/>
      </c>
      <c r="AJ78" s="210" t="str">
        <f>IF(Buildings_Heat_Frontend[[#This Row],[Data]]="","", _xlfn.XLOOKUP(_xlfn.CONCAT(Buildings_Heat_Backend[[#This Row],[Level 1]:[Level 6]]),rng_EFConcat,rng_EF3TD)*Buildings_Heat_Backend[[#This Row],[Converted data]]/1000)</f>
        <v/>
      </c>
      <c r="AK78" s="210" t="str">
        <f>IF(Buildings_Heat_Frontend[[#This Row],[Data]]="","", _xlfn.XLOOKUP(_xlfn.CONCAT(Buildings_Heat_Backend[[#This Row],[Level 1]:[Level 6]]),rng_EFConcat,rng_EF3WTTTD)*Buildings_Heat_Backend[[#This Row],[Converted data]]/1000)</f>
        <v/>
      </c>
      <c r="AL78" s="220">
        <f>SUM(Buildings_Heat_Backend[[#This Row],[Scope 1 (tCO2e)]:[Scope 3 WTT T&amp;D (tCO2e)]])</f>
        <v>0</v>
      </c>
      <c r="AM78" s="220" t="str">
        <f>IF(Buildings_Heat_Frontend[[#This Row],[Data]]="","", Buildings_Heat_Backend[[#This Row],[Total (tCO2e)]]*(1-Buildings_Heat_Backend[[#This Row],[RSD]]))</f>
        <v/>
      </c>
      <c r="AN78" s="220" t="str">
        <f>IF(Buildings_Heat_Frontend[[#This Row],[Data]]="","", Buildings_Heat_Backend[[#This Row],[Total (tCO2e)]]*(1+Buildings_Heat_Backend[[#This Row],[RSD]]))</f>
        <v/>
      </c>
      <c r="AO78" s="210" t="str">
        <f>IF(Buildings_Heat_Frontend[[#This Row],[Data]]="","", _xlfn.XLOOKUP(_xlfn.CONCAT(Buildings_Heat_Backend[[#This Row],[Level 1]:[Level 6]]),rng_EFConcat,rng_EFOOS)*Buildings_Heat_Backend[[#This Row],[Converted data]]/1000)</f>
        <v/>
      </c>
      <c r="AP78" s="174">
        <f>Buildings_Heat_Frontend[[#This Row],[Ease of collection]]</f>
        <v>0</v>
      </c>
      <c r="AQ78" s="174">
        <f>Buildings_Heat_Frontend[[#This Row],[Completeness]]</f>
        <v>0</v>
      </c>
      <c r="AR78" s="174">
        <f>Buildings_Heat_Frontend[[#This Row],[Notes]]</f>
        <v>0</v>
      </c>
    </row>
    <row r="79" spans="5:44" x14ac:dyDescent="0.3">
      <c r="E79" s="346"/>
      <c r="F79" s="364"/>
      <c r="G79" s="336"/>
      <c r="H79" s="336"/>
      <c r="I79" s="336"/>
      <c r="J79" s="334"/>
      <c r="K79" s="336"/>
      <c r="L79" s="336"/>
      <c r="M79" s="336"/>
      <c r="N79" s="352"/>
      <c r="O79" s="230">
        <f t="shared" si="2"/>
        <v>6</v>
      </c>
      <c r="Q79" s="212" t="str">
        <f t="shared" ref="Q79:Q142" si="3">IF(O79=0,SUBSTITUTE(2025&amp;TRIM(cl_org_name_select)&amp;TRIM($E$12)&amp;(ROW(O79)-ROW($O$15))," ",""),"")</f>
        <v/>
      </c>
      <c r="R79" s="174" t="s">
        <v>265</v>
      </c>
      <c r="S79" s="174" t="s">
        <v>273</v>
      </c>
      <c r="T79" s="174" t="str">
        <f>IF(Buildings_Heat_Frontend[[#This Row],[Data]]="","", _xlfn.XLOOKUP(Buildings_Heat_Backend[[#This Row],[Info 1]],Buildings_SiteInfo[Site name],Buildings_SiteInfo[Site type]))</f>
        <v/>
      </c>
      <c r="U79" s="174" t="str">
        <f>IF(Buildings_Heat_Frontend[[#This Row],[Data]]="","", Buildings_Heat_Frontend[[#This Row],[Heating Type]])</f>
        <v/>
      </c>
      <c r="V79" s="174" t="str">
        <f>IF(Buildings_Heat_Frontend[[#This Row],[Data]]="","", Buildings_Heat_Frontend[[#This Row],[Fuel]])</f>
        <v/>
      </c>
      <c r="W79" s="174" t="str" cm="1">
        <f t="array" ref="W79">IF(Buildings_Heat_Frontend[[#This Row],[Data]]="","", _xlfn.XLOOKUP(Buildings_Heat_Backend[[#This Row],[Level 5]],rng_Level5Long,rng_Level6Long))</f>
        <v/>
      </c>
      <c r="X79" s="174" t="str">
        <f>IF(Buildings_Heat_Frontend[[#This Row],[Data]]="","", Buildings_Heat_Frontend[[#This Row],[Site Name]])</f>
        <v/>
      </c>
      <c r="Y79" s="174" t="str">
        <f>IF(Buildings_Heat_Frontend[[#This Row],[Data]]="","", Buildings_Heat_Frontend[[#This Row],[MPRN]])</f>
        <v/>
      </c>
      <c r="Z79" s="174" t="str">
        <f>IF(Buildings_Heat_Frontend[[#This Row],[Data]]="","", IF($I79="","",$I79))</f>
        <v/>
      </c>
      <c r="AA79" s="229" t="str" cm="1">
        <f t="array" ref="AA79">IF(Buildings_Heat_Frontend[[#This Row],[Data]]="","", INDEX(_xlfn.SWITCH(Buildings_Heat_Backend[[#This Row],[Methodology]],"Tier 1",rng_RSD1,"Tier 2",rng_RSD2,"Tier 3",rng_RSD3),MATCH(_xlfn.CONCAT(Buildings_Heat_Backend[[#This Row],[Level 1]:[Level 6]]),rng_LevelsConcat,0)))</f>
        <v/>
      </c>
      <c r="AB79" s="220" t="str">
        <f t="shared" ref="AB79:AB142" si="4">IF($J79="","",$J79)</f>
        <v/>
      </c>
      <c r="AC79" s="174">
        <f>Buildings_Heat_Frontend[[#This Row],[Units]]</f>
        <v>0</v>
      </c>
      <c r="AD7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79" s="174" t="str">
        <f>IF(Buildings_Heat_Frontend[[#This Row],[Data]]="","", _xlfn.XLOOKUP(_xlfn.CONCAT(Buildings_Heat_Backend[[#This Row],[Level 1]:[Level 6]]),rng_LevelsConcat,rng_UnitsLong))</f>
        <v/>
      </c>
      <c r="AF79" s="210" t="str">
        <f>IF(Buildings_Heat_Frontend[[#This Row],[Data]]="","", _xlfn.XLOOKUP(_xlfn.CONCAT(Buildings_Heat_Backend[[#This Row],[Level 1]:[Level 6]]),rng_EFConcat,rng_EF1)*Buildings_Heat_Backend[[#This Row],[Converted data]]/1000)</f>
        <v/>
      </c>
      <c r="AG79" s="210" t="str">
        <f>IF(Buildings_Heat_Frontend[[#This Row],[Data]]="","", _xlfn.XLOOKUP(_xlfn.CONCAT(Buildings_Heat_Backend[[#This Row],[Level 1]:[Level 6]]),rng_EFConcat,rng_EF2)*Buildings_Heat_Backend[[#This Row],[Converted data]]/1000)</f>
        <v/>
      </c>
      <c r="AH79" s="210" t="str">
        <f>IF(Buildings_Heat_Frontend[[#This Row],[Data]]="","", _xlfn.XLOOKUP(_xlfn.CONCAT(Buildings_Heat_Backend[[#This Row],[Level 1]:[Level 6]]),rng_EFConcat,rng_EF3)*Buildings_Heat_Backend[[#This Row],[Converted data]]/1000)</f>
        <v/>
      </c>
      <c r="AI79" s="210" t="str">
        <f>IF(Buildings_Heat_Frontend[[#This Row],[Data]]="","", _xlfn.XLOOKUP(_xlfn.CONCAT(Buildings_Heat_Backend[[#This Row],[Level 1]:[Level 6]]),rng_EFConcat,rng_EF3WTT)*Buildings_Heat_Backend[[#This Row],[Converted data]]/1000)</f>
        <v/>
      </c>
      <c r="AJ79" s="210" t="str">
        <f>IF(Buildings_Heat_Frontend[[#This Row],[Data]]="","", _xlfn.XLOOKUP(_xlfn.CONCAT(Buildings_Heat_Backend[[#This Row],[Level 1]:[Level 6]]),rng_EFConcat,rng_EF3TD)*Buildings_Heat_Backend[[#This Row],[Converted data]]/1000)</f>
        <v/>
      </c>
      <c r="AK79" s="210" t="str">
        <f>IF(Buildings_Heat_Frontend[[#This Row],[Data]]="","", _xlfn.XLOOKUP(_xlfn.CONCAT(Buildings_Heat_Backend[[#This Row],[Level 1]:[Level 6]]),rng_EFConcat,rng_EF3WTTTD)*Buildings_Heat_Backend[[#This Row],[Converted data]]/1000)</f>
        <v/>
      </c>
      <c r="AL79" s="220">
        <f>SUM(Buildings_Heat_Backend[[#This Row],[Scope 1 (tCO2e)]:[Scope 3 WTT T&amp;D (tCO2e)]])</f>
        <v>0</v>
      </c>
      <c r="AM79" s="220" t="str">
        <f>IF(Buildings_Heat_Frontend[[#This Row],[Data]]="","", Buildings_Heat_Backend[[#This Row],[Total (tCO2e)]]*(1-Buildings_Heat_Backend[[#This Row],[RSD]]))</f>
        <v/>
      </c>
      <c r="AN79" s="220" t="str">
        <f>IF(Buildings_Heat_Frontend[[#This Row],[Data]]="","", Buildings_Heat_Backend[[#This Row],[Total (tCO2e)]]*(1+Buildings_Heat_Backend[[#This Row],[RSD]]))</f>
        <v/>
      </c>
      <c r="AO79" s="210" t="str">
        <f>IF(Buildings_Heat_Frontend[[#This Row],[Data]]="","", _xlfn.XLOOKUP(_xlfn.CONCAT(Buildings_Heat_Backend[[#This Row],[Level 1]:[Level 6]]),rng_EFConcat,rng_EFOOS)*Buildings_Heat_Backend[[#This Row],[Converted data]]/1000)</f>
        <v/>
      </c>
      <c r="AP79" s="174">
        <f>Buildings_Heat_Frontend[[#This Row],[Ease of collection]]</f>
        <v>0</v>
      </c>
      <c r="AQ79" s="174">
        <f>Buildings_Heat_Frontend[[#This Row],[Completeness]]</f>
        <v>0</v>
      </c>
      <c r="AR79" s="174">
        <f>Buildings_Heat_Frontend[[#This Row],[Notes]]</f>
        <v>0</v>
      </c>
    </row>
    <row r="80" spans="5:44" x14ac:dyDescent="0.3">
      <c r="E80" s="346"/>
      <c r="F80" s="364"/>
      <c r="G80" s="336"/>
      <c r="H80" s="336"/>
      <c r="I80" s="336"/>
      <c r="J80" s="334"/>
      <c r="K80" s="336"/>
      <c r="L80" s="336"/>
      <c r="M80" s="336"/>
      <c r="N80" s="352"/>
      <c r="O80" s="230">
        <f t="shared" ref="O80:O143" si="5">ISBLANK(E80)+ISBLANK(G80)+ISBLANK(H80)+ISBLANK(I80)+ISBLANK(J80)+ISBLANK(K80)</f>
        <v>6</v>
      </c>
      <c r="Q80" s="212" t="str">
        <f t="shared" si="3"/>
        <v/>
      </c>
      <c r="R80" s="174" t="s">
        <v>265</v>
      </c>
      <c r="S80" s="174" t="s">
        <v>273</v>
      </c>
      <c r="T80" s="174" t="str">
        <f>IF(Buildings_Heat_Frontend[[#This Row],[Data]]="","", _xlfn.XLOOKUP(Buildings_Heat_Backend[[#This Row],[Info 1]],Buildings_SiteInfo[Site name],Buildings_SiteInfo[Site type]))</f>
        <v/>
      </c>
      <c r="U80" s="174" t="str">
        <f>IF(Buildings_Heat_Frontend[[#This Row],[Data]]="","", Buildings_Heat_Frontend[[#This Row],[Heating Type]])</f>
        <v/>
      </c>
      <c r="V80" s="174" t="str">
        <f>IF(Buildings_Heat_Frontend[[#This Row],[Data]]="","", Buildings_Heat_Frontend[[#This Row],[Fuel]])</f>
        <v/>
      </c>
      <c r="W80" s="174" t="str" cm="1">
        <f t="array" ref="W80">IF(Buildings_Heat_Frontend[[#This Row],[Data]]="","", _xlfn.XLOOKUP(Buildings_Heat_Backend[[#This Row],[Level 5]],rng_Level5Long,rng_Level6Long))</f>
        <v/>
      </c>
      <c r="X80" s="174" t="str">
        <f>IF(Buildings_Heat_Frontend[[#This Row],[Data]]="","", Buildings_Heat_Frontend[[#This Row],[Site Name]])</f>
        <v/>
      </c>
      <c r="Y80" s="174" t="str">
        <f>IF(Buildings_Heat_Frontend[[#This Row],[Data]]="","", Buildings_Heat_Frontend[[#This Row],[MPRN]])</f>
        <v/>
      </c>
      <c r="Z80" s="174" t="str">
        <f>IF(Buildings_Heat_Frontend[[#This Row],[Data]]="","", IF($I80="","",$I80))</f>
        <v/>
      </c>
      <c r="AA80" s="229" t="str" cm="1">
        <f t="array" ref="AA80">IF(Buildings_Heat_Frontend[[#This Row],[Data]]="","", INDEX(_xlfn.SWITCH(Buildings_Heat_Backend[[#This Row],[Methodology]],"Tier 1",rng_RSD1,"Tier 2",rng_RSD2,"Tier 3",rng_RSD3),MATCH(_xlfn.CONCAT(Buildings_Heat_Backend[[#This Row],[Level 1]:[Level 6]]),rng_LevelsConcat,0)))</f>
        <v/>
      </c>
      <c r="AB80" s="220" t="str">
        <f t="shared" si="4"/>
        <v/>
      </c>
      <c r="AC80" s="174">
        <f>Buildings_Heat_Frontend[[#This Row],[Units]]</f>
        <v>0</v>
      </c>
      <c r="AD8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0" s="174" t="str">
        <f>IF(Buildings_Heat_Frontend[[#This Row],[Data]]="","", _xlfn.XLOOKUP(_xlfn.CONCAT(Buildings_Heat_Backend[[#This Row],[Level 1]:[Level 6]]),rng_LevelsConcat,rng_UnitsLong))</f>
        <v/>
      </c>
      <c r="AF80" s="210" t="str">
        <f>IF(Buildings_Heat_Frontend[[#This Row],[Data]]="","", _xlfn.XLOOKUP(_xlfn.CONCAT(Buildings_Heat_Backend[[#This Row],[Level 1]:[Level 6]]),rng_EFConcat,rng_EF1)*Buildings_Heat_Backend[[#This Row],[Converted data]]/1000)</f>
        <v/>
      </c>
      <c r="AG80" s="210" t="str">
        <f>IF(Buildings_Heat_Frontend[[#This Row],[Data]]="","", _xlfn.XLOOKUP(_xlfn.CONCAT(Buildings_Heat_Backend[[#This Row],[Level 1]:[Level 6]]),rng_EFConcat,rng_EF2)*Buildings_Heat_Backend[[#This Row],[Converted data]]/1000)</f>
        <v/>
      </c>
      <c r="AH80" s="210" t="str">
        <f>IF(Buildings_Heat_Frontend[[#This Row],[Data]]="","", _xlfn.XLOOKUP(_xlfn.CONCAT(Buildings_Heat_Backend[[#This Row],[Level 1]:[Level 6]]),rng_EFConcat,rng_EF3)*Buildings_Heat_Backend[[#This Row],[Converted data]]/1000)</f>
        <v/>
      </c>
      <c r="AI80" s="210" t="str">
        <f>IF(Buildings_Heat_Frontend[[#This Row],[Data]]="","", _xlfn.XLOOKUP(_xlfn.CONCAT(Buildings_Heat_Backend[[#This Row],[Level 1]:[Level 6]]),rng_EFConcat,rng_EF3WTT)*Buildings_Heat_Backend[[#This Row],[Converted data]]/1000)</f>
        <v/>
      </c>
      <c r="AJ80" s="210" t="str">
        <f>IF(Buildings_Heat_Frontend[[#This Row],[Data]]="","", _xlfn.XLOOKUP(_xlfn.CONCAT(Buildings_Heat_Backend[[#This Row],[Level 1]:[Level 6]]),rng_EFConcat,rng_EF3TD)*Buildings_Heat_Backend[[#This Row],[Converted data]]/1000)</f>
        <v/>
      </c>
      <c r="AK80" s="210" t="str">
        <f>IF(Buildings_Heat_Frontend[[#This Row],[Data]]="","", _xlfn.XLOOKUP(_xlfn.CONCAT(Buildings_Heat_Backend[[#This Row],[Level 1]:[Level 6]]),rng_EFConcat,rng_EF3WTTTD)*Buildings_Heat_Backend[[#This Row],[Converted data]]/1000)</f>
        <v/>
      </c>
      <c r="AL80" s="220">
        <f>SUM(Buildings_Heat_Backend[[#This Row],[Scope 1 (tCO2e)]:[Scope 3 WTT T&amp;D (tCO2e)]])</f>
        <v>0</v>
      </c>
      <c r="AM80" s="220" t="str">
        <f>IF(Buildings_Heat_Frontend[[#This Row],[Data]]="","", Buildings_Heat_Backend[[#This Row],[Total (tCO2e)]]*(1-Buildings_Heat_Backend[[#This Row],[RSD]]))</f>
        <v/>
      </c>
      <c r="AN80" s="220" t="str">
        <f>IF(Buildings_Heat_Frontend[[#This Row],[Data]]="","", Buildings_Heat_Backend[[#This Row],[Total (tCO2e)]]*(1+Buildings_Heat_Backend[[#This Row],[RSD]]))</f>
        <v/>
      </c>
      <c r="AO80" s="210" t="str">
        <f>IF(Buildings_Heat_Frontend[[#This Row],[Data]]="","", _xlfn.XLOOKUP(_xlfn.CONCAT(Buildings_Heat_Backend[[#This Row],[Level 1]:[Level 6]]),rng_EFConcat,rng_EFOOS)*Buildings_Heat_Backend[[#This Row],[Converted data]]/1000)</f>
        <v/>
      </c>
      <c r="AP80" s="174">
        <f>Buildings_Heat_Frontend[[#This Row],[Ease of collection]]</f>
        <v>0</v>
      </c>
      <c r="AQ80" s="174">
        <f>Buildings_Heat_Frontend[[#This Row],[Completeness]]</f>
        <v>0</v>
      </c>
      <c r="AR80" s="174">
        <f>Buildings_Heat_Frontend[[#This Row],[Notes]]</f>
        <v>0</v>
      </c>
    </row>
    <row r="81" spans="5:44" x14ac:dyDescent="0.3">
      <c r="E81" s="346"/>
      <c r="F81" s="364"/>
      <c r="G81" s="336"/>
      <c r="H81" s="336"/>
      <c r="I81" s="336"/>
      <c r="J81" s="334"/>
      <c r="K81" s="336"/>
      <c r="L81" s="336"/>
      <c r="M81" s="336"/>
      <c r="N81" s="352"/>
      <c r="O81" s="230">
        <f t="shared" si="5"/>
        <v>6</v>
      </c>
      <c r="Q81" s="212" t="str">
        <f t="shared" si="3"/>
        <v/>
      </c>
      <c r="R81" s="174" t="s">
        <v>265</v>
      </c>
      <c r="S81" s="174" t="s">
        <v>273</v>
      </c>
      <c r="T81" s="174" t="str">
        <f>IF(Buildings_Heat_Frontend[[#This Row],[Data]]="","", _xlfn.XLOOKUP(Buildings_Heat_Backend[[#This Row],[Info 1]],Buildings_SiteInfo[Site name],Buildings_SiteInfo[Site type]))</f>
        <v/>
      </c>
      <c r="U81" s="174" t="str">
        <f>IF(Buildings_Heat_Frontend[[#This Row],[Data]]="","", Buildings_Heat_Frontend[[#This Row],[Heating Type]])</f>
        <v/>
      </c>
      <c r="V81" s="174" t="str">
        <f>IF(Buildings_Heat_Frontend[[#This Row],[Data]]="","", Buildings_Heat_Frontend[[#This Row],[Fuel]])</f>
        <v/>
      </c>
      <c r="W81" s="174" t="str" cm="1">
        <f t="array" ref="W81">IF(Buildings_Heat_Frontend[[#This Row],[Data]]="","", _xlfn.XLOOKUP(Buildings_Heat_Backend[[#This Row],[Level 5]],rng_Level5Long,rng_Level6Long))</f>
        <v/>
      </c>
      <c r="X81" s="174" t="str">
        <f>IF(Buildings_Heat_Frontend[[#This Row],[Data]]="","", Buildings_Heat_Frontend[[#This Row],[Site Name]])</f>
        <v/>
      </c>
      <c r="Y81" s="174" t="str">
        <f>IF(Buildings_Heat_Frontend[[#This Row],[Data]]="","", Buildings_Heat_Frontend[[#This Row],[MPRN]])</f>
        <v/>
      </c>
      <c r="Z81" s="174" t="str">
        <f>IF(Buildings_Heat_Frontend[[#This Row],[Data]]="","", IF($I81="","",$I81))</f>
        <v/>
      </c>
      <c r="AA81" s="229" t="str" cm="1">
        <f t="array" ref="AA81">IF(Buildings_Heat_Frontend[[#This Row],[Data]]="","", INDEX(_xlfn.SWITCH(Buildings_Heat_Backend[[#This Row],[Methodology]],"Tier 1",rng_RSD1,"Tier 2",rng_RSD2,"Tier 3",rng_RSD3),MATCH(_xlfn.CONCAT(Buildings_Heat_Backend[[#This Row],[Level 1]:[Level 6]]),rng_LevelsConcat,0)))</f>
        <v/>
      </c>
      <c r="AB81" s="220" t="str">
        <f t="shared" si="4"/>
        <v/>
      </c>
      <c r="AC81" s="174">
        <f>Buildings_Heat_Frontend[[#This Row],[Units]]</f>
        <v>0</v>
      </c>
      <c r="AD8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1" s="174" t="str">
        <f>IF(Buildings_Heat_Frontend[[#This Row],[Data]]="","", _xlfn.XLOOKUP(_xlfn.CONCAT(Buildings_Heat_Backend[[#This Row],[Level 1]:[Level 6]]),rng_LevelsConcat,rng_UnitsLong))</f>
        <v/>
      </c>
      <c r="AF81" s="210" t="str">
        <f>IF(Buildings_Heat_Frontend[[#This Row],[Data]]="","", _xlfn.XLOOKUP(_xlfn.CONCAT(Buildings_Heat_Backend[[#This Row],[Level 1]:[Level 6]]),rng_EFConcat,rng_EF1)*Buildings_Heat_Backend[[#This Row],[Converted data]]/1000)</f>
        <v/>
      </c>
      <c r="AG81" s="210" t="str">
        <f>IF(Buildings_Heat_Frontend[[#This Row],[Data]]="","", _xlfn.XLOOKUP(_xlfn.CONCAT(Buildings_Heat_Backend[[#This Row],[Level 1]:[Level 6]]),rng_EFConcat,rng_EF2)*Buildings_Heat_Backend[[#This Row],[Converted data]]/1000)</f>
        <v/>
      </c>
      <c r="AH81" s="210" t="str">
        <f>IF(Buildings_Heat_Frontend[[#This Row],[Data]]="","", _xlfn.XLOOKUP(_xlfn.CONCAT(Buildings_Heat_Backend[[#This Row],[Level 1]:[Level 6]]),rng_EFConcat,rng_EF3)*Buildings_Heat_Backend[[#This Row],[Converted data]]/1000)</f>
        <v/>
      </c>
      <c r="AI81" s="210" t="str">
        <f>IF(Buildings_Heat_Frontend[[#This Row],[Data]]="","", _xlfn.XLOOKUP(_xlfn.CONCAT(Buildings_Heat_Backend[[#This Row],[Level 1]:[Level 6]]),rng_EFConcat,rng_EF3WTT)*Buildings_Heat_Backend[[#This Row],[Converted data]]/1000)</f>
        <v/>
      </c>
      <c r="AJ81" s="210" t="str">
        <f>IF(Buildings_Heat_Frontend[[#This Row],[Data]]="","", _xlfn.XLOOKUP(_xlfn.CONCAT(Buildings_Heat_Backend[[#This Row],[Level 1]:[Level 6]]),rng_EFConcat,rng_EF3TD)*Buildings_Heat_Backend[[#This Row],[Converted data]]/1000)</f>
        <v/>
      </c>
      <c r="AK81" s="210" t="str">
        <f>IF(Buildings_Heat_Frontend[[#This Row],[Data]]="","", _xlfn.XLOOKUP(_xlfn.CONCAT(Buildings_Heat_Backend[[#This Row],[Level 1]:[Level 6]]),rng_EFConcat,rng_EF3WTTTD)*Buildings_Heat_Backend[[#This Row],[Converted data]]/1000)</f>
        <v/>
      </c>
      <c r="AL81" s="220">
        <f>SUM(Buildings_Heat_Backend[[#This Row],[Scope 1 (tCO2e)]:[Scope 3 WTT T&amp;D (tCO2e)]])</f>
        <v>0</v>
      </c>
      <c r="AM81" s="220" t="str">
        <f>IF(Buildings_Heat_Frontend[[#This Row],[Data]]="","", Buildings_Heat_Backend[[#This Row],[Total (tCO2e)]]*(1-Buildings_Heat_Backend[[#This Row],[RSD]]))</f>
        <v/>
      </c>
      <c r="AN81" s="220" t="str">
        <f>IF(Buildings_Heat_Frontend[[#This Row],[Data]]="","", Buildings_Heat_Backend[[#This Row],[Total (tCO2e)]]*(1+Buildings_Heat_Backend[[#This Row],[RSD]]))</f>
        <v/>
      </c>
      <c r="AO81" s="210" t="str">
        <f>IF(Buildings_Heat_Frontend[[#This Row],[Data]]="","", _xlfn.XLOOKUP(_xlfn.CONCAT(Buildings_Heat_Backend[[#This Row],[Level 1]:[Level 6]]),rng_EFConcat,rng_EFOOS)*Buildings_Heat_Backend[[#This Row],[Converted data]]/1000)</f>
        <v/>
      </c>
      <c r="AP81" s="174">
        <f>Buildings_Heat_Frontend[[#This Row],[Ease of collection]]</f>
        <v>0</v>
      </c>
      <c r="AQ81" s="174">
        <f>Buildings_Heat_Frontend[[#This Row],[Completeness]]</f>
        <v>0</v>
      </c>
      <c r="AR81" s="174">
        <f>Buildings_Heat_Frontend[[#This Row],[Notes]]</f>
        <v>0</v>
      </c>
    </row>
    <row r="82" spans="5:44" x14ac:dyDescent="0.3">
      <c r="E82" s="346"/>
      <c r="F82" s="364"/>
      <c r="G82" s="336"/>
      <c r="H82" s="336"/>
      <c r="I82" s="336"/>
      <c r="J82" s="334"/>
      <c r="K82" s="336"/>
      <c r="L82" s="336"/>
      <c r="M82" s="336"/>
      <c r="N82" s="352"/>
      <c r="O82" s="230">
        <f t="shared" si="5"/>
        <v>6</v>
      </c>
      <c r="Q82" s="212" t="str">
        <f t="shared" si="3"/>
        <v/>
      </c>
      <c r="R82" s="174" t="s">
        <v>265</v>
      </c>
      <c r="S82" s="174" t="s">
        <v>273</v>
      </c>
      <c r="T82" s="174" t="str">
        <f>IF(Buildings_Heat_Frontend[[#This Row],[Data]]="","", _xlfn.XLOOKUP(Buildings_Heat_Backend[[#This Row],[Info 1]],Buildings_SiteInfo[Site name],Buildings_SiteInfo[Site type]))</f>
        <v/>
      </c>
      <c r="U82" s="174" t="str">
        <f>IF(Buildings_Heat_Frontend[[#This Row],[Data]]="","", Buildings_Heat_Frontend[[#This Row],[Heating Type]])</f>
        <v/>
      </c>
      <c r="V82" s="174" t="str">
        <f>IF(Buildings_Heat_Frontend[[#This Row],[Data]]="","", Buildings_Heat_Frontend[[#This Row],[Fuel]])</f>
        <v/>
      </c>
      <c r="W82" s="174" t="str" cm="1">
        <f t="array" ref="W82">IF(Buildings_Heat_Frontend[[#This Row],[Data]]="","", _xlfn.XLOOKUP(Buildings_Heat_Backend[[#This Row],[Level 5]],rng_Level5Long,rng_Level6Long))</f>
        <v/>
      </c>
      <c r="X82" s="174" t="str">
        <f>IF(Buildings_Heat_Frontend[[#This Row],[Data]]="","", Buildings_Heat_Frontend[[#This Row],[Site Name]])</f>
        <v/>
      </c>
      <c r="Y82" s="174" t="str">
        <f>IF(Buildings_Heat_Frontend[[#This Row],[Data]]="","", Buildings_Heat_Frontend[[#This Row],[MPRN]])</f>
        <v/>
      </c>
      <c r="Z82" s="174" t="str">
        <f>IF(Buildings_Heat_Frontend[[#This Row],[Data]]="","", IF($I82="","",$I82))</f>
        <v/>
      </c>
      <c r="AA82" s="229" t="str" cm="1">
        <f t="array" ref="AA82">IF(Buildings_Heat_Frontend[[#This Row],[Data]]="","", INDEX(_xlfn.SWITCH(Buildings_Heat_Backend[[#This Row],[Methodology]],"Tier 1",rng_RSD1,"Tier 2",rng_RSD2,"Tier 3",rng_RSD3),MATCH(_xlfn.CONCAT(Buildings_Heat_Backend[[#This Row],[Level 1]:[Level 6]]),rng_LevelsConcat,0)))</f>
        <v/>
      </c>
      <c r="AB82" s="220" t="str">
        <f t="shared" si="4"/>
        <v/>
      </c>
      <c r="AC82" s="174">
        <f>Buildings_Heat_Frontend[[#This Row],[Units]]</f>
        <v>0</v>
      </c>
      <c r="AD8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2" s="174" t="str">
        <f>IF(Buildings_Heat_Frontend[[#This Row],[Data]]="","", _xlfn.XLOOKUP(_xlfn.CONCAT(Buildings_Heat_Backend[[#This Row],[Level 1]:[Level 6]]),rng_LevelsConcat,rng_UnitsLong))</f>
        <v/>
      </c>
      <c r="AF82" s="210" t="str">
        <f>IF(Buildings_Heat_Frontend[[#This Row],[Data]]="","", _xlfn.XLOOKUP(_xlfn.CONCAT(Buildings_Heat_Backend[[#This Row],[Level 1]:[Level 6]]),rng_EFConcat,rng_EF1)*Buildings_Heat_Backend[[#This Row],[Converted data]]/1000)</f>
        <v/>
      </c>
      <c r="AG82" s="210" t="str">
        <f>IF(Buildings_Heat_Frontend[[#This Row],[Data]]="","", _xlfn.XLOOKUP(_xlfn.CONCAT(Buildings_Heat_Backend[[#This Row],[Level 1]:[Level 6]]),rng_EFConcat,rng_EF2)*Buildings_Heat_Backend[[#This Row],[Converted data]]/1000)</f>
        <v/>
      </c>
      <c r="AH82" s="210" t="str">
        <f>IF(Buildings_Heat_Frontend[[#This Row],[Data]]="","", _xlfn.XLOOKUP(_xlfn.CONCAT(Buildings_Heat_Backend[[#This Row],[Level 1]:[Level 6]]),rng_EFConcat,rng_EF3)*Buildings_Heat_Backend[[#This Row],[Converted data]]/1000)</f>
        <v/>
      </c>
      <c r="AI82" s="210" t="str">
        <f>IF(Buildings_Heat_Frontend[[#This Row],[Data]]="","", _xlfn.XLOOKUP(_xlfn.CONCAT(Buildings_Heat_Backend[[#This Row],[Level 1]:[Level 6]]),rng_EFConcat,rng_EF3WTT)*Buildings_Heat_Backend[[#This Row],[Converted data]]/1000)</f>
        <v/>
      </c>
      <c r="AJ82" s="210" t="str">
        <f>IF(Buildings_Heat_Frontend[[#This Row],[Data]]="","", _xlfn.XLOOKUP(_xlfn.CONCAT(Buildings_Heat_Backend[[#This Row],[Level 1]:[Level 6]]),rng_EFConcat,rng_EF3TD)*Buildings_Heat_Backend[[#This Row],[Converted data]]/1000)</f>
        <v/>
      </c>
      <c r="AK82" s="210" t="str">
        <f>IF(Buildings_Heat_Frontend[[#This Row],[Data]]="","", _xlfn.XLOOKUP(_xlfn.CONCAT(Buildings_Heat_Backend[[#This Row],[Level 1]:[Level 6]]),rng_EFConcat,rng_EF3WTTTD)*Buildings_Heat_Backend[[#This Row],[Converted data]]/1000)</f>
        <v/>
      </c>
      <c r="AL82" s="220">
        <f>SUM(Buildings_Heat_Backend[[#This Row],[Scope 1 (tCO2e)]:[Scope 3 WTT T&amp;D (tCO2e)]])</f>
        <v>0</v>
      </c>
      <c r="AM82" s="220" t="str">
        <f>IF(Buildings_Heat_Frontend[[#This Row],[Data]]="","", Buildings_Heat_Backend[[#This Row],[Total (tCO2e)]]*(1-Buildings_Heat_Backend[[#This Row],[RSD]]))</f>
        <v/>
      </c>
      <c r="AN82" s="220" t="str">
        <f>IF(Buildings_Heat_Frontend[[#This Row],[Data]]="","", Buildings_Heat_Backend[[#This Row],[Total (tCO2e)]]*(1+Buildings_Heat_Backend[[#This Row],[RSD]]))</f>
        <v/>
      </c>
      <c r="AO82" s="210" t="str">
        <f>IF(Buildings_Heat_Frontend[[#This Row],[Data]]="","", _xlfn.XLOOKUP(_xlfn.CONCAT(Buildings_Heat_Backend[[#This Row],[Level 1]:[Level 6]]),rng_EFConcat,rng_EFOOS)*Buildings_Heat_Backend[[#This Row],[Converted data]]/1000)</f>
        <v/>
      </c>
      <c r="AP82" s="174">
        <f>Buildings_Heat_Frontend[[#This Row],[Ease of collection]]</f>
        <v>0</v>
      </c>
      <c r="AQ82" s="174">
        <f>Buildings_Heat_Frontend[[#This Row],[Completeness]]</f>
        <v>0</v>
      </c>
      <c r="AR82" s="174">
        <f>Buildings_Heat_Frontend[[#This Row],[Notes]]</f>
        <v>0</v>
      </c>
    </row>
    <row r="83" spans="5:44" x14ac:dyDescent="0.3">
      <c r="E83" s="346"/>
      <c r="F83" s="364"/>
      <c r="G83" s="336"/>
      <c r="H83" s="336"/>
      <c r="I83" s="336"/>
      <c r="J83" s="334"/>
      <c r="K83" s="336"/>
      <c r="L83" s="336"/>
      <c r="M83" s="336"/>
      <c r="N83" s="352"/>
      <c r="O83" s="230">
        <f t="shared" si="5"/>
        <v>6</v>
      </c>
      <c r="Q83" s="212" t="str">
        <f t="shared" si="3"/>
        <v/>
      </c>
      <c r="R83" s="174" t="s">
        <v>265</v>
      </c>
      <c r="S83" s="174" t="s">
        <v>273</v>
      </c>
      <c r="T83" s="174" t="str">
        <f>IF(Buildings_Heat_Frontend[[#This Row],[Data]]="","", _xlfn.XLOOKUP(Buildings_Heat_Backend[[#This Row],[Info 1]],Buildings_SiteInfo[Site name],Buildings_SiteInfo[Site type]))</f>
        <v/>
      </c>
      <c r="U83" s="174" t="str">
        <f>IF(Buildings_Heat_Frontend[[#This Row],[Data]]="","", Buildings_Heat_Frontend[[#This Row],[Heating Type]])</f>
        <v/>
      </c>
      <c r="V83" s="174" t="str">
        <f>IF(Buildings_Heat_Frontend[[#This Row],[Data]]="","", Buildings_Heat_Frontend[[#This Row],[Fuel]])</f>
        <v/>
      </c>
      <c r="W83" s="174" t="str" cm="1">
        <f t="array" ref="W83">IF(Buildings_Heat_Frontend[[#This Row],[Data]]="","", _xlfn.XLOOKUP(Buildings_Heat_Backend[[#This Row],[Level 5]],rng_Level5Long,rng_Level6Long))</f>
        <v/>
      </c>
      <c r="X83" s="174" t="str">
        <f>IF(Buildings_Heat_Frontend[[#This Row],[Data]]="","", Buildings_Heat_Frontend[[#This Row],[Site Name]])</f>
        <v/>
      </c>
      <c r="Y83" s="174" t="str">
        <f>IF(Buildings_Heat_Frontend[[#This Row],[Data]]="","", Buildings_Heat_Frontend[[#This Row],[MPRN]])</f>
        <v/>
      </c>
      <c r="Z83" s="174" t="str">
        <f>IF(Buildings_Heat_Frontend[[#This Row],[Data]]="","", IF($I83="","",$I83))</f>
        <v/>
      </c>
      <c r="AA83" s="229" t="str" cm="1">
        <f t="array" ref="AA83">IF(Buildings_Heat_Frontend[[#This Row],[Data]]="","", INDEX(_xlfn.SWITCH(Buildings_Heat_Backend[[#This Row],[Methodology]],"Tier 1",rng_RSD1,"Tier 2",rng_RSD2,"Tier 3",rng_RSD3),MATCH(_xlfn.CONCAT(Buildings_Heat_Backend[[#This Row],[Level 1]:[Level 6]]),rng_LevelsConcat,0)))</f>
        <v/>
      </c>
      <c r="AB83" s="220" t="str">
        <f t="shared" si="4"/>
        <v/>
      </c>
      <c r="AC83" s="174">
        <f>Buildings_Heat_Frontend[[#This Row],[Units]]</f>
        <v>0</v>
      </c>
      <c r="AD8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3" s="174" t="str">
        <f>IF(Buildings_Heat_Frontend[[#This Row],[Data]]="","", _xlfn.XLOOKUP(_xlfn.CONCAT(Buildings_Heat_Backend[[#This Row],[Level 1]:[Level 6]]),rng_LevelsConcat,rng_UnitsLong))</f>
        <v/>
      </c>
      <c r="AF83" s="210" t="str">
        <f>IF(Buildings_Heat_Frontend[[#This Row],[Data]]="","", _xlfn.XLOOKUP(_xlfn.CONCAT(Buildings_Heat_Backend[[#This Row],[Level 1]:[Level 6]]),rng_EFConcat,rng_EF1)*Buildings_Heat_Backend[[#This Row],[Converted data]]/1000)</f>
        <v/>
      </c>
      <c r="AG83" s="210" t="str">
        <f>IF(Buildings_Heat_Frontend[[#This Row],[Data]]="","", _xlfn.XLOOKUP(_xlfn.CONCAT(Buildings_Heat_Backend[[#This Row],[Level 1]:[Level 6]]),rng_EFConcat,rng_EF2)*Buildings_Heat_Backend[[#This Row],[Converted data]]/1000)</f>
        <v/>
      </c>
      <c r="AH83" s="210" t="str">
        <f>IF(Buildings_Heat_Frontend[[#This Row],[Data]]="","", _xlfn.XLOOKUP(_xlfn.CONCAT(Buildings_Heat_Backend[[#This Row],[Level 1]:[Level 6]]),rng_EFConcat,rng_EF3)*Buildings_Heat_Backend[[#This Row],[Converted data]]/1000)</f>
        <v/>
      </c>
      <c r="AI83" s="210" t="str">
        <f>IF(Buildings_Heat_Frontend[[#This Row],[Data]]="","", _xlfn.XLOOKUP(_xlfn.CONCAT(Buildings_Heat_Backend[[#This Row],[Level 1]:[Level 6]]),rng_EFConcat,rng_EF3WTT)*Buildings_Heat_Backend[[#This Row],[Converted data]]/1000)</f>
        <v/>
      </c>
      <c r="AJ83" s="210" t="str">
        <f>IF(Buildings_Heat_Frontend[[#This Row],[Data]]="","", _xlfn.XLOOKUP(_xlfn.CONCAT(Buildings_Heat_Backend[[#This Row],[Level 1]:[Level 6]]),rng_EFConcat,rng_EF3TD)*Buildings_Heat_Backend[[#This Row],[Converted data]]/1000)</f>
        <v/>
      </c>
      <c r="AK83" s="210" t="str">
        <f>IF(Buildings_Heat_Frontend[[#This Row],[Data]]="","", _xlfn.XLOOKUP(_xlfn.CONCAT(Buildings_Heat_Backend[[#This Row],[Level 1]:[Level 6]]),rng_EFConcat,rng_EF3WTTTD)*Buildings_Heat_Backend[[#This Row],[Converted data]]/1000)</f>
        <v/>
      </c>
      <c r="AL83" s="220">
        <f>SUM(Buildings_Heat_Backend[[#This Row],[Scope 1 (tCO2e)]:[Scope 3 WTT T&amp;D (tCO2e)]])</f>
        <v>0</v>
      </c>
      <c r="AM83" s="220" t="str">
        <f>IF(Buildings_Heat_Frontend[[#This Row],[Data]]="","", Buildings_Heat_Backend[[#This Row],[Total (tCO2e)]]*(1-Buildings_Heat_Backend[[#This Row],[RSD]]))</f>
        <v/>
      </c>
      <c r="AN83" s="220" t="str">
        <f>IF(Buildings_Heat_Frontend[[#This Row],[Data]]="","", Buildings_Heat_Backend[[#This Row],[Total (tCO2e)]]*(1+Buildings_Heat_Backend[[#This Row],[RSD]]))</f>
        <v/>
      </c>
      <c r="AO83" s="210" t="str">
        <f>IF(Buildings_Heat_Frontend[[#This Row],[Data]]="","", _xlfn.XLOOKUP(_xlfn.CONCAT(Buildings_Heat_Backend[[#This Row],[Level 1]:[Level 6]]),rng_EFConcat,rng_EFOOS)*Buildings_Heat_Backend[[#This Row],[Converted data]]/1000)</f>
        <v/>
      </c>
      <c r="AP83" s="174">
        <f>Buildings_Heat_Frontend[[#This Row],[Ease of collection]]</f>
        <v>0</v>
      </c>
      <c r="AQ83" s="174">
        <f>Buildings_Heat_Frontend[[#This Row],[Completeness]]</f>
        <v>0</v>
      </c>
      <c r="AR83" s="174">
        <f>Buildings_Heat_Frontend[[#This Row],[Notes]]</f>
        <v>0</v>
      </c>
    </row>
    <row r="84" spans="5:44" x14ac:dyDescent="0.3">
      <c r="E84" s="346"/>
      <c r="F84" s="364"/>
      <c r="G84" s="336"/>
      <c r="H84" s="336"/>
      <c r="I84" s="336"/>
      <c r="J84" s="334"/>
      <c r="K84" s="336"/>
      <c r="L84" s="336"/>
      <c r="M84" s="336"/>
      <c r="N84" s="352"/>
      <c r="O84" s="230">
        <f t="shared" si="5"/>
        <v>6</v>
      </c>
      <c r="Q84" s="212" t="str">
        <f t="shared" si="3"/>
        <v/>
      </c>
      <c r="R84" s="174" t="s">
        <v>265</v>
      </c>
      <c r="S84" s="174" t="s">
        <v>273</v>
      </c>
      <c r="T84" s="174" t="str">
        <f>IF(Buildings_Heat_Frontend[[#This Row],[Data]]="","", _xlfn.XLOOKUP(Buildings_Heat_Backend[[#This Row],[Info 1]],Buildings_SiteInfo[Site name],Buildings_SiteInfo[Site type]))</f>
        <v/>
      </c>
      <c r="U84" s="174" t="str">
        <f>IF(Buildings_Heat_Frontend[[#This Row],[Data]]="","", Buildings_Heat_Frontend[[#This Row],[Heating Type]])</f>
        <v/>
      </c>
      <c r="V84" s="174" t="str">
        <f>IF(Buildings_Heat_Frontend[[#This Row],[Data]]="","", Buildings_Heat_Frontend[[#This Row],[Fuel]])</f>
        <v/>
      </c>
      <c r="W84" s="174" t="str" cm="1">
        <f t="array" ref="W84">IF(Buildings_Heat_Frontend[[#This Row],[Data]]="","", _xlfn.XLOOKUP(Buildings_Heat_Backend[[#This Row],[Level 5]],rng_Level5Long,rng_Level6Long))</f>
        <v/>
      </c>
      <c r="X84" s="174" t="str">
        <f>IF(Buildings_Heat_Frontend[[#This Row],[Data]]="","", Buildings_Heat_Frontend[[#This Row],[Site Name]])</f>
        <v/>
      </c>
      <c r="Y84" s="174" t="str">
        <f>IF(Buildings_Heat_Frontend[[#This Row],[Data]]="","", Buildings_Heat_Frontend[[#This Row],[MPRN]])</f>
        <v/>
      </c>
      <c r="Z84" s="174" t="str">
        <f>IF(Buildings_Heat_Frontend[[#This Row],[Data]]="","", IF($I84="","",$I84))</f>
        <v/>
      </c>
      <c r="AA84" s="229" t="str" cm="1">
        <f t="array" ref="AA84">IF(Buildings_Heat_Frontend[[#This Row],[Data]]="","", INDEX(_xlfn.SWITCH(Buildings_Heat_Backend[[#This Row],[Methodology]],"Tier 1",rng_RSD1,"Tier 2",rng_RSD2,"Tier 3",rng_RSD3),MATCH(_xlfn.CONCAT(Buildings_Heat_Backend[[#This Row],[Level 1]:[Level 6]]),rng_LevelsConcat,0)))</f>
        <v/>
      </c>
      <c r="AB84" s="220" t="str">
        <f t="shared" si="4"/>
        <v/>
      </c>
      <c r="AC84" s="174">
        <f>Buildings_Heat_Frontend[[#This Row],[Units]]</f>
        <v>0</v>
      </c>
      <c r="AD8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4" s="174" t="str">
        <f>IF(Buildings_Heat_Frontend[[#This Row],[Data]]="","", _xlfn.XLOOKUP(_xlfn.CONCAT(Buildings_Heat_Backend[[#This Row],[Level 1]:[Level 6]]),rng_LevelsConcat,rng_UnitsLong))</f>
        <v/>
      </c>
      <c r="AF84" s="210" t="str">
        <f>IF(Buildings_Heat_Frontend[[#This Row],[Data]]="","", _xlfn.XLOOKUP(_xlfn.CONCAT(Buildings_Heat_Backend[[#This Row],[Level 1]:[Level 6]]),rng_EFConcat,rng_EF1)*Buildings_Heat_Backend[[#This Row],[Converted data]]/1000)</f>
        <v/>
      </c>
      <c r="AG84" s="210" t="str">
        <f>IF(Buildings_Heat_Frontend[[#This Row],[Data]]="","", _xlfn.XLOOKUP(_xlfn.CONCAT(Buildings_Heat_Backend[[#This Row],[Level 1]:[Level 6]]),rng_EFConcat,rng_EF2)*Buildings_Heat_Backend[[#This Row],[Converted data]]/1000)</f>
        <v/>
      </c>
      <c r="AH84" s="210" t="str">
        <f>IF(Buildings_Heat_Frontend[[#This Row],[Data]]="","", _xlfn.XLOOKUP(_xlfn.CONCAT(Buildings_Heat_Backend[[#This Row],[Level 1]:[Level 6]]),rng_EFConcat,rng_EF3)*Buildings_Heat_Backend[[#This Row],[Converted data]]/1000)</f>
        <v/>
      </c>
      <c r="AI84" s="210" t="str">
        <f>IF(Buildings_Heat_Frontend[[#This Row],[Data]]="","", _xlfn.XLOOKUP(_xlfn.CONCAT(Buildings_Heat_Backend[[#This Row],[Level 1]:[Level 6]]),rng_EFConcat,rng_EF3WTT)*Buildings_Heat_Backend[[#This Row],[Converted data]]/1000)</f>
        <v/>
      </c>
      <c r="AJ84" s="210" t="str">
        <f>IF(Buildings_Heat_Frontend[[#This Row],[Data]]="","", _xlfn.XLOOKUP(_xlfn.CONCAT(Buildings_Heat_Backend[[#This Row],[Level 1]:[Level 6]]),rng_EFConcat,rng_EF3TD)*Buildings_Heat_Backend[[#This Row],[Converted data]]/1000)</f>
        <v/>
      </c>
      <c r="AK84" s="210" t="str">
        <f>IF(Buildings_Heat_Frontend[[#This Row],[Data]]="","", _xlfn.XLOOKUP(_xlfn.CONCAT(Buildings_Heat_Backend[[#This Row],[Level 1]:[Level 6]]),rng_EFConcat,rng_EF3WTTTD)*Buildings_Heat_Backend[[#This Row],[Converted data]]/1000)</f>
        <v/>
      </c>
      <c r="AL84" s="220">
        <f>SUM(Buildings_Heat_Backend[[#This Row],[Scope 1 (tCO2e)]:[Scope 3 WTT T&amp;D (tCO2e)]])</f>
        <v>0</v>
      </c>
      <c r="AM84" s="220" t="str">
        <f>IF(Buildings_Heat_Frontend[[#This Row],[Data]]="","", Buildings_Heat_Backend[[#This Row],[Total (tCO2e)]]*(1-Buildings_Heat_Backend[[#This Row],[RSD]]))</f>
        <v/>
      </c>
      <c r="AN84" s="220" t="str">
        <f>IF(Buildings_Heat_Frontend[[#This Row],[Data]]="","", Buildings_Heat_Backend[[#This Row],[Total (tCO2e)]]*(1+Buildings_Heat_Backend[[#This Row],[RSD]]))</f>
        <v/>
      </c>
      <c r="AO84" s="210" t="str">
        <f>IF(Buildings_Heat_Frontend[[#This Row],[Data]]="","", _xlfn.XLOOKUP(_xlfn.CONCAT(Buildings_Heat_Backend[[#This Row],[Level 1]:[Level 6]]),rng_EFConcat,rng_EFOOS)*Buildings_Heat_Backend[[#This Row],[Converted data]]/1000)</f>
        <v/>
      </c>
      <c r="AP84" s="174">
        <f>Buildings_Heat_Frontend[[#This Row],[Ease of collection]]</f>
        <v>0</v>
      </c>
      <c r="AQ84" s="174">
        <f>Buildings_Heat_Frontend[[#This Row],[Completeness]]</f>
        <v>0</v>
      </c>
      <c r="AR84" s="174">
        <f>Buildings_Heat_Frontend[[#This Row],[Notes]]</f>
        <v>0</v>
      </c>
    </row>
    <row r="85" spans="5:44" x14ac:dyDescent="0.3">
      <c r="E85" s="346"/>
      <c r="F85" s="364"/>
      <c r="G85" s="336"/>
      <c r="H85" s="336"/>
      <c r="I85" s="336"/>
      <c r="J85" s="334"/>
      <c r="K85" s="336"/>
      <c r="L85" s="336"/>
      <c r="M85" s="336"/>
      <c r="N85" s="352"/>
      <c r="O85" s="230">
        <f t="shared" si="5"/>
        <v>6</v>
      </c>
      <c r="Q85" s="212" t="str">
        <f t="shared" si="3"/>
        <v/>
      </c>
      <c r="R85" s="174" t="s">
        <v>265</v>
      </c>
      <c r="S85" s="174" t="s">
        <v>273</v>
      </c>
      <c r="T85" s="174" t="str">
        <f>IF(Buildings_Heat_Frontend[[#This Row],[Data]]="","", _xlfn.XLOOKUP(Buildings_Heat_Backend[[#This Row],[Info 1]],Buildings_SiteInfo[Site name],Buildings_SiteInfo[Site type]))</f>
        <v/>
      </c>
      <c r="U85" s="174" t="str">
        <f>IF(Buildings_Heat_Frontend[[#This Row],[Data]]="","", Buildings_Heat_Frontend[[#This Row],[Heating Type]])</f>
        <v/>
      </c>
      <c r="V85" s="174" t="str">
        <f>IF(Buildings_Heat_Frontend[[#This Row],[Data]]="","", Buildings_Heat_Frontend[[#This Row],[Fuel]])</f>
        <v/>
      </c>
      <c r="W85" s="174" t="str" cm="1">
        <f t="array" ref="W85">IF(Buildings_Heat_Frontend[[#This Row],[Data]]="","", _xlfn.XLOOKUP(Buildings_Heat_Backend[[#This Row],[Level 5]],rng_Level5Long,rng_Level6Long))</f>
        <v/>
      </c>
      <c r="X85" s="174" t="str">
        <f>IF(Buildings_Heat_Frontend[[#This Row],[Data]]="","", Buildings_Heat_Frontend[[#This Row],[Site Name]])</f>
        <v/>
      </c>
      <c r="Y85" s="174" t="str">
        <f>IF(Buildings_Heat_Frontend[[#This Row],[Data]]="","", Buildings_Heat_Frontend[[#This Row],[MPRN]])</f>
        <v/>
      </c>
      <c r="Z85" s="174" t="str">
        <f>IF(Buildings_Heat_Frontend[[#This Row],[Data]]="","", IF($I85="","",$I85))</f>
        <v/>
      </c>
      <c r="AA85" s="229" t="str" cm="1">
        <f t="array" ref="AA85">IF(Buildings_Heat_Frontend[[#This Row],[Data]]="","", INDEX(_xlfn.SWITCH(Buildings_Heat_Backend[[#This Row],[Methodology]],"Tier 1",rng_RSD1,"Tier 2",rng_RSD2,"Tier 3",rng_RSD3),MATCH(_xlfn.CONCAT(Buildings_Heat_Backend[[#This Row],[Level 1]:[Level 6]]),rng_LevelsConcat,0)))</f>
        <v/>
      </c>
      <c r="AB85" s="220" t="str">
        <f t="shared" si="4"/>
        <v/>
      </c>
      <c r="AC85" s="174">
        <f>Buildings_Heat_Frontend[[#This Row],[Units]]</f>
        <v>0</v>
      </c>
      <c r="AD8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5" s="174" t="str">
        <f>IF(Buildings_Heat_Frontend[[#This Row],[Data]]="","", _xlfn.XLOOKUP(_xlfn.CONCAT(Buildings_Heat_Backend[[#This Row],[Level 1]:[Level 6]]),rng_LevelsConcat,rng_UnitsLong))</f>
        <v/>
      </c>
      <c r="AF85" s="210" t="str">
        <f>IF(Buildings_Heat_Frontend[[#This Row],[Data]]="","", _xlfn.XLOOKUP(_xlfn.CONCAT(Buildings_Heat_Backend[[#This Row],[Level 1]:[Level 6]]),rng_EFConcat,rng_EF1)*Buildings_Heat_Backend[[#This Row],[Converted data]]/1000)</f>
        <v/>
      </c>
      <c r="AG85" s="210" t="str">
        <f>IF(Buildings_Heat_Frontend[[#This Row],[Data]]="","", _xlfn.XLOOKUP(_xlfn.CONCAT(Buildings_Heat_Backend[[#This Row],[Level 1]:[Level 6]]),rng_EFConcat,rng_EF2)*Buildings_Heat_Backend[[#This Row],[Converted data]]/1000)</f>
        <v/>
      </c>
      <c r="AH85" s="210" t="str">
        <f>IF(Buildings_Heat_Frontend[[#This Row],[Data]]="","", _xlfn.XLOOKUP(_xlfn.CONCAT(Buildings_Heat_Backend[[#This Row],[Level 1]:[Level 6]]),rng_EFConcat,rng_EF3)*Buildings_Heat_Backend[[#This Row],[Converted data]]/1000)</f>
        <v/>
      </c>
      <c r="AI85" s="210" t="str">
        <f>IF(Buildings_Heat_Frontend[[#This Row],[Data]]="","", _xlfn.XLOOKUP(_xlfn.CONCAT(Buildings_Heat_Backend[[#This Row],[Level 1]:[Level 6]]),rng_EFConcat,rng_EF3WTT)*Buildings_Heat_Backend[[#This Row],[Converted data]]/1000)</f>
        <v/>
      </c>
      <c r="AJ85" s="210" t="str">
        <f>IF(Buildings_Heat_Frontend[[#This Row],[Data]]="","", _xlfn.XLOOKUP(_xlfn.CONCAT(Buildings_Heat_Backend[[#This Row],[Level 1]:[Level 6]]),rng_EFConcat,rng_EF3TD)*Buildings_Heat_Backend[[#This Row],[Converted data]]/1000)</f>
        <v/>
      </c>
      <c r="AK85" s="210" t="str">
        <f>IF(Buildings_Heat_Frontend[[#This Row],[Data]]="","", _xlfn.XLOOKUP(_xlfn.CONCAT(Buildings_Heat_Backend[[#This Row],[Level 1]:[Level 6]]),rng_EFConcat,rng_EF3WTTTD)*Buildings_Heat_Backend[[#This Row],[Converted data]]/1000)</f>
        <v/>
      </c>
      <c r="AL85" s="220">
        <f>SUM(Buildings_Heat_Backend[[#This Row],[Scope 1 (tCO2e)]:[Scope 3 WTT T&amp;D (tCO2e)]])</f>
        <v>0</v>
      </c>
      <c r="AM85" s="220" t="str">
        <f>IF(Buildings_Heat_Frontend[[#This Row],[Data]]="","", Buildings_Heat_Backend[[#This Row],[Total (tCO2e)]]*(1-Buildings_Heat_Backend[[#This Row],[RSD]]))</f>
        <v/>
      </c>
      <c r="AN85" s="220" t="str">
        <f>IF(Buildings_Heat_Frontend[[#This Row],[Data]]="","", Buildings_Heat_Backend[[#This Row],[Total (tCO2e)]]*(1+Buildings_Heat_Backend[[#This Row],[RSD]]))</f>
        <v/>
      </c>
      <c r="AO85" s="210" t="str">
        <f>IF(Buildings_Heat_Frontend[[#This Row],[Data]]="","", _xlfn.XLOOKUP(_xlfn.CONCAT(Buildings_Heat_Backend[[#This Row],[Level 1]:[Level 6]]),rng_EFConcat,rng_EFOOS)*Buildings_Heat_Backend[[#This Row],[Converted data]]/1000)</f>
        <v/>
      </c>
      <c r="AP85" s="174">
        <f>Buildings_Heat_Frontend[[#This Row],[Ease of collection]]</f>
        <v>0</v>
      </c>
      <c r="AQ85" s="174">
        <f>Buildings_Heat_Frontend[[#This Row],[Completeness]]</f>
        <v>0</v>
      </c>
      <c r="AR85" s="174">
        <f>Buildings_Heat_Frontend[[#This Row],[Notes]]</f>
        <v>0</v>
      </c>
    </row>
    <row r="86" spans="5:44" x14ac:dyDescent="0.3">
      <c r="E86" s="346"/>
      <c r="F86" s="364"/>
      <c r="G86" s="336"/>
      <c r="H86" s="336"/>
      <c r="I86" s="336"/>
      <c r="J86" s="334"/>
      <c r="K86" s="336"/>
      <c r="L86" s="336"/>
      <c r="M86" s="336"/>
      <c r="N86" s="352"/>
      <c r="O86" s="230">
        <f t="shared" si="5"/>
        <v>6</v>
      </c>
      <c r="Q86" s="212" t="str">
        <f t="shared" si="3"/>
        <v/>
      </c>
      <c r="R86" s="174" t="s">
        <v>265</v>
      </c>
      <c r="S86" s="174" t="s">
        <v>273</v>
      </c>
      <c r="T86" s="174" t="str">
        <f>IF(Buildings_Heat_Frontend[[#This Row],[Data]]="","", _xlfn.XLOOKUP(Buildings_Heat_Backend[[#This Row],[Info 1]],Buildings_SiteInfo[Site name],Buildings_SiteInfo[Site type]))</f>
        <v/>
      </c>
      <c r="U86" s="174" t="str">
        <f>IF(Buildings_Heat_Frontend[[#This Row],[Data]]="","", Buildings_Heat_Frontend[[#This Row],[Heating Type]])</f>
        <v/>
      </c>
      <c r="V86" s="174" t="str">
        <f>IF(Buildings_Heat_Frontend[[#This Row],[Data]]="","", Buildings_Heat_Frontend[[#This Row],[Fuel]])</f>
        <v/>
      </c>
      <c r="W86" s="174" t="str" cm="1">
        <f t="array" ref="W86">IF(Buildings_Heat_Frontend[[#This Row],[Data]]="","", _xlfn.XLOOKUP(Buildings_Heat_Backend[[#This Row],[Level 5]],rng_Level5Long,rng_Level6Long))</f>
        <v/>
      </c>
      <c r="X86" s="174" t="str">
        <f>IF(Buildings_Heat_Frontend[[#This Row],[Data]]="","", Buildings_Heat_Frontend[[#This Row],[Site Name]])</f>
        <v/>
      </c>
      <c r="Y86" s="174" t="str">
        <f>IF(Buildings_Heat_Frontend[[#This Row],[Data]]="","", Buildings_Heat_Frontend[[#This Row],[MPRN]])</f>
        <v/>
      </c>
      <c r="Z86" s="174" t="str">
        <f>IF(Buildings_Heat_Frontend[[#This Row],[Data]]="","", IF($I86="","",$I86))</f>
        <v/>
      </c>
      <c r="AA86" s="229" t="str" cm="1">
        <f t="array" ref="AA86">IF(Buildings_Heat_Frontend[[#This Row],[Data]]="","", INDEX(_xlfn.SWITCH(Buildings_Heat_Backend[[#This Row],[Methodology]],"Tier 1",rng_RSD1,"Tier 2",rng_RSD2,"Tier 3",rng_RSD3),MATCH(_xlfn.CONCAT(Buildings_Heat_Backend[[#This Row],[Level 1]:[Level 6]]),rng_LevelsConcat,0)))</f>
        <v/>
      </c>
      <c r="AB86" s="220" t="str">
        <f t="shared" si="4"/>
        <v/>
      </c>
      <c r="AC86" s="174">
        <f>Buildings_Heat_Frontend[[#This Row],[Units]]</f>
        <v>0</v>
      </c>
      <c r="AD8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6" s="174" t="str">
        <f>IF(Buildings_Heat_Frontend[[#This Row],[Data]]="","", _xlfn.XLOOKUP(_xlfn.CONCAT(Buildings_Heat_Backend[[#This Row],[Level 1]:[Level 6]]),rng_LevelsConcat,rng_UnitsLong))</f>
        <v/>
      </c>
      <c r="AF86" s="210" t="str">
        <f>IF(Buildings_Heat_Frontend[[#This Row],[Data]]="","", _xlfn.XLOOKUP(_xlfn.CONCAT(Buildings_Heat_Backend[[#This Row],[Level 1]:[Level 6]]),rng_EFConcat,rng_EF1)*Buildings_Heat_Backend[[#This Row],[Converted data]]/1000)</f>
        <v/>
      </c>
      <c r="AG86" s="210" t="str">
        <f>IF(Buildings_Heat_Frontend[[#This Row],[Data]]="","", _xlfn.XLOOKUP(_xlfn.CONCAT(Buildings_Heat_Backend[[#This Row],[Level 1]:[Level 6]]),rng_EFConcat,rng_EF2)*Buildings_Heat_Backend[[#This Row],[Converted data]]/1000)</f>
        <v/>
      </c>
      <c r="AH86" s="210" t="str">
        <f>IF(Buildings_Heat_Frontend[[#This Row],[Data]]="","", _xlfn.XLOOKUP(_xlfn.CONCAT(Buildings_Heat_Backend[[#This Row],[Level 1]:[Level 6]]),rng_EFConcat,rng_EF3)*Buildings_Heat_Backend[[#This Row],[Converted data]]/1000)</f>
        <v/>
      </c>
      <c r="AI86" s="210" t="str">
        <f>IF(Buildings_Heat_Frontend[[#This Row],[Data]]="","", _xlfn.XLOOKUP(_xlfn.CONCAT(Buildings_Heat_Backend[[#This Row],[Level 1]:[Level 6]]),rng_EFConcat,rng_EF3WTT)*Buildings_Heat_Backend[[#This Row],[Converted data]]/1000)</f>
        <v/>
      </c>
      <c r="AJ86" s="210" t="str">
        <f>IF(Buildings_Heat_Frontend[[#This Row],[Data]]="","", _xlfn.XLOOKUP(_xlfn.CONCAT(Buildings_Heat_Backend[[#This Row],[Level 1]:[Level 6]]),rng_EFConcat,rng_EF3TD)*Buildings_Heat_Backend[[#This Row],[Converted data]]/1000)</f>
        <v/>
      </c>
      <c r="AK86" s="210" t="str">
        <f>IF(Buildings_Heat_Frontend[[#This Row],[Data]]="","", _xlfn.XLOOKUP(_xlfn.CONCAT(Buildings_Heat_Backend[[#This Row],[Level 1]:[Level 6]]),rng_EFConcat,rng_EF3WTTTD)*Buildings_Heat_Backend[[#This Row],[Converted data]]/1000)</f>
        <v/>
      </c>
      <c r="AL86" s="220">
        <f>SUM(Buildings_Heat_Backend[[#This Row],[Scope 1 (tCO2e)]:[Scope 3 WTT T&amp;D (tCO2e)]])</f>
        <v>0</v>
      </c>
      <c r="AM86" s="220" t="str">
        <f>IF(Buildings_Heat_Frontend[[#This Row],[Data]]="","", Buildings_Heat_Backend[[#This Row],[Total (tCO2e)]]*(1-Buildings_Heat_Backend[[#This Row],[RSD]]))</f>
        <v/>
      </c>
      <c r="AN86" s="220" t="str">
        <f>IF(Buildings_Heat_Frontend[[#This Row],[Data]]="","", Buildings_Heat_Backend[[#This Row],[Total (tCO2e)]]*(1+Buildings_Heat_Backend[[#This Row],[RSD]]))</f>
        <v/>
      </c>
      <c r="AO86" s="210" t="str">
        <f>IF(Buildings_Heat_Frontend[[#This Row],[Data]]="","", _xlfn.XLOOKUP(_xlfn.CONCAT(Buildings_Heat_Backend[[#This Row],[Level 1]:[Level 6]]),rng_EFConcat,rng_EFOOS)*Buildings_Heat_Backend[[#This Row],[Converted data]]/1000)</f>
        <v/>
      </c>
      <c r="AP86" s="174">
        <f>Buildings_Heat_Frontend[[#This Row],[Ease of collection]]</f>
        <v>0</v>
      </c>
      <c r="AQ86" s="174">
        <f>Buildings_Heat_Frontend[[#This Row],[Completeness]]</f>
        <v>0</v>
      </c>
      <c r="AR86" s="174">
        <f>Buildings_Heat_Frontend[[#This Row],[Notes]]</f>
        <v>0</v>
      </c>
    </row>
    <row r="87" spans="5:44" x14ac:dyDescent="0.3">
      <c r="E87" s="346"/>
      <c r="F87" s="364"/>
      <c r="G87" s="336"/>
      <c r="H87" s="336"/>
      <c r="I87" s="336"/>
      <c r="J87" s="334"/>
      <c r="K87" s="336"/>
      <c r="L87" s="336"/>
      <c r="M87" s="336"/>
      <c r="N87" s="352"/>
      <c r="O87" s="230">
        <f t="shared" si="5"/>
        <v>6</v>
      </c>
      <c r="Q87" s="212" t="str">
        <f t="shared" si="3"/>
        <v/>
      </c>
      <c r="R87" s="174" t="s">
        <v>265</v>
      </c>
      <c r="S87" s="174" t="s">
        <v>273</v>
      </c>
      <c r="T87" s="174" t="str">
        <f>IF(Buildings_Heat_Frontend[[#This Row],[Data]]="","", _xlfn.XLOOKUP(Buildings_Heat_Backend[[#This Row],[Info 1]],Buildings_SiteInfo[Site name],Buildings_SiteInfo[Site type]))</f>
        <v/>
      </c>
      <c r="U87" s="174" t="str">
        <f>IF(Buildings_Heat_Frontend[[#This Row],[Data]]="","", Buildings_Heat_Frontend[[#This Row],[Heating Type]])</f>
        <v/>
      </c>
      <c r="V87" s="174" t="str">
        <f>IF(Buildings_Heat_Frontend[[#This Row],[Data]]="","", Buildings_Heat_Frontend[[#This Row],[Fuel]])</f>
        <v/>
      </c>
      <c r="W87" s="174" t="str" cm="1">
        <f t="array" ref="W87">IF(Buildings_Heat_Frontend[[#This Row],[Data]]="","", _xlfn.XLOOKUP(Buildings_Heat_Backend[[#This Row],[Level 5]],rng_Level5Long,rng_Level6Long))</f>
        <v/>
      </c>
      <c r="X87" s="174" t="str">
        <f>IF(Buildings_Heat_Frontend[[#This Row],[Data]]="","", Buildings_Heat_Frontend[[#This Row],[Site Name]])</f>
        <v/>
      </c>
      <c r="Y87" s="174" t="str">
        <f>IF(Buildings_Heat_Frontend[[#This Row],[Data]]="","", Buildings_Heat_Frontend[[#This Row],[MPRN]])</f>
        <v/>
      </c>
      <c r="Z87" s="174" t="str">
        <f>IF(Buildings_Heat_Frontend[[#This Row],[Data]]="","", IF($I87="","",$I87))</f>
        <v/>
      </c>
      <c r="AA87" s="229" t="str" cm="1">
        <f t="array" ref="AA87">IF(Buildings_Heat_Frontend[[#This Row],[Data]]="","", INDEX(_xlfn.SWITCH(Buildings_Heat_Backend[[#This Row],[Methodology]],"Tier 1",rng_RSD1,"Tier 2",rng_RSD2,"Tier 3",rng_RSD3),MATCH(_xlfn.CONCAT(Buildings_Heat_Backend[[#This Row],[Level 1]:[Level 6]]),rng_LevelsConcat,0)))</f>
        <v/>
      </c>
      <c r="AB87" s="220" t="str">
        <f t="shared" si="4"/>
        <v/>
      </c>
      <c r="AC87" s="174">
        <f>Buildings_Heat_Frontend[[#This Row],[Units]]</f>
        <v>0</v>
      </c>
      <c r="AD8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7" s="174" t="str">
        <f>IF(Buildings_Heat_Frontend[[#This Row],[Data]]="","", _xlfn.XLOOKUP(_xlfn.CONCAT(Buildings_Heat_Backend[[#This Row],[Level 1]:[Level 6]]),rng_LevelsConcat,rng_UnitsLong))</f>
        <v/>
      </c>
      <c r="AF87" s="210" t="str">
        <f>IF(Buildings_Heat_Frontend[[#This Row],[Data]]="","", _xlfn.XLOOKUP(_xlfn.CONCAT(Buildings_Heat_Backend[[#This Row],[Level 1]:[Level 6]]),rng_EFConcat,rng_EF1)*Buildings_Heat_Backend[[#This Row],[Converted data]]/1000)</f>
        <v/>
      </c>
      <c r="AG87" s="210" t="str">
        <f>IF(Buildings_Heat_Frontend[[#This Row],[Data]]="","", _xlfn.XLOOKUP(_xlfn.CONCAT(Buildings_Heat_Backend[[#This Row],[Level 1]:[Level 6]]),rng_EFConcat,rng_EF2)*Buildings_Heat_Backend[[#This Row],[Converted data]]/1000)</f>
        <v/>
      </c>
      <c r="AH87" s="210" t="str">
        <f>IF(Buildings_Heat_Frontend[[#This Row],[Data]]="","", _xlfn.XLOOKUP(_xlfn.CONCAT(Buildings_Heat_Backend[[#This Row],[Level 1]:[Level 6]]),rng_EFConcat,rng_EF3)*Buildings_Heat_Backend[[#This Row],[Converted data]]/1000)</f>
        <v/>
      </c>
      <c r="AI87" s="210" t="str">
        <f>IF(Buildings_Heat_Frontend[[#This Row],[Data]]="","", _xlfn.XLOOKUP(_xlfn.CONCAT(Buildings_Heat_Backend[[#This Row],[Level 1]:[Level 6]]),rng_EFConcat,rng_EF3WTT)*Buildings_Heat_Backend[[#This Row],[Converted data]]/1000)</f>
        <v/>
      </c>
      <c r="AJ87" s="210" t="str">
        <f>IF(Buildings_Heat_Frontend[[#This Row],[Data]]="","", _xlfn.XLOOKUP(_xlfn.CONCAT(Buildings_Heat_Backend[[#This Row],[Level 1]:[Level 6]]),rng_EFConcat,rng_EF3TD)*Buildings_Heat_Backend[[#This Row],[Converted data]]/1000)</f>
        <v/>
      </c>
      <c r="AK87" s="210" t="str">
        <f>IF(Buildings_Heat_Frontend[[#This Row],[Data]]="","", _xlfn.XLOOKUP(_xlfn.CONCAT(Buildings_Heat_Backend[[#This Row],[Level 1]:[Level 6]]),rng_EFConcat,rng_EF3WTTTD)*Buildings_Heat_Backend[[#This Row],[Converted data]]/1000)</f>
        <v/>
      </c>
      <c r="AL87" s="220">
        <f>SUM(Buildings_Heat_Backend[[#This Row],[Scope 1 (tCO2e)]:[Scope 3 WTT T&amp;D (tCO2e)]])</f>
        <v>0</v>
      </c>
      <c r="AM87" s="220" t="str">
        <f>IF(Buildings_Heat_Frontend[[#This Row],[Data]]="","", Buildings_Heat_Backend[[#This Row],[Total (tCO2e)]]*(1-Buildings_Heat_Backend[[#This Row],[RSD]]))</f>
        <v/>
      </c>
      <c r="AN87" s="220" t="str">
        <f>IF(Buildings_Heat_Frontend[[#This Row],[Data]]="","", Buildings_Heat_Backend[[#This Row],[Total (tCO2e)]]*(1+Buildings_Heat_Backend[[#This Row],[RSD]]))</f>
        <v/>
      </c>
      <c r="AO87" s="210" t="str">
        <f>IF(Buildings_Heat_Frontend[[#This Row],[Data]]="","", _xlfn.XLOOKUP(_xlfn.CONCAT(Buildings_Heat_Backend[[#This Row],[Level 1]:[Level 6]]),rng_EFConcat,rng_EFOOS)*Buildings_Heat_Backend[[#This Row],[Converted data]]/1000)</f>
        <v/>
      </c>
      <c r="AP87" s="174">
        <f>Buildings_Heat_Frontend[[#This Row],[Ease of collection]]</f>
        <v>0</v>
      </c>
      <c r="AQ87" s="174">
        <f>Buildings_Heat_Frontend[[#This Row],[Completeness]]</f>
        <v>0</v>
      </c>
      <c r="AR87" s="174">
        <f>Buildings_Heat_Frontend[[#This Row],[Notes]]</f>
        <v>0</v>
      </c>
    </row>
    <row r="88" spans="5:44" x14ac:dyDescent="0.3">
      <c r="E88" s="346"/>
      <c r="F88" s="364"/>
      <c r="G88" s="336"/>
      <c r="H88" s="336"/>
      <c r="I88" s="336"/>
      <c r="J88" s="334"/>
      <c r="K88" s="336"/>
      <c r="L88" s="336"/>
      <c r="M88" s="336"/>
      <c r="N88" s="352"/>
      <c r="O88" s="230">
        <f t="shared" si="5"/>
        <v>6</v>
      </c>
      <c r="Q88" s="212" t="str">
        <f t="shared" si="3"/>
        <v/>
      </c>
      <c r="R88" s="174" t="s">
        <v>265</v>
      </c>
      <c r="S88" s="174" t="s">
        <v>273</v>
      </c>
      <c r="T88" s="174" t="str">
        <f>IF(Buildings_Heat_Frontend[[#This Row],[Data]]="","", _xlfn.XLOOKUP(Buildings_Heat_Backend[[#This Row],[Info 1]],Buildings_SiteInfo[Site name],Buildings_SiteInfo[Site type]))</f>
        <v/>
      </c>
      <c r="U88" s="174" t="str">
        <f>IF(Buildings_Heat_Frontend[[#This Row],[Data]]="","", Buildings_Heat_Frontend[[#This Row],[Heating Type]])</f>
        <v/>
      </c>
      <c r="V88" s="174" t="str">
        <f>IF(Buildings_Heat_Frontend[[#This Row],[Data]]="","", Buildings_Heat_Frontend[[#This Row],[Fuel]])</f>
        <v/>
      </c>
      <c r="W88" s="174" t="str" cm="1">
        <f t="array" ref="W88">IF(Buildings_Heat_Frontend[[#This Row],[Data]]="","", _xlfn.XLOOKUP(Buildings_Heat_Backend[[#This Row],[Level 5]],rng_Level5Long,rng_Level6Long))</f>
        <v/>
      </c>
      <c r="X88" s="174" t="str">
        <f>IF(Buildings_Heat_Frontend[[#This Row],[Data]]="","", Buildings_Heat_Frontend[[#This Row],[Site Name]])</f>
        <v/>
      </c>
      <c r="Y88" s="174" t="str">
        <f>IF(Buildings_Heat_Frontend[[#This Row],[Data]]="","", Buildings_Heat_Frontend[[#This Row],[MPRN]])</f>
        <v/>
      </c>
      <c r="Z88" s="174" t="str">
        <f>IF(Buildings_Heat_Frontend[[#This Row],[Data]]="","", IF($I88="","",$I88))</f>
        <v/>
      </c>
      <c r="AA88" s="229" t="str" cm="1">
        <f t="array" ref="AA88">IF(Buildings_Heat_Frontend[[#This Row],[Data]]="","", INDEX(_xlfn.SWITCH(Buildings_Heat_Backend[[#This Row],[Methodology]],"Tier 1",rng_RSD1,"Tier 2",rng_RSD2,"Tier 3",rng_RSD3),MATCH(_xlfn.CONCAT(Buildings_Heat_Backend[[#This Row],[Level 1]:[Level 6]]),rng_LevelsConcat,0)))</f>
        <v/>
      </c>
      <c r="AB88" s="220" t="str">
        <f t="shared" si="4"/>
        <v/>
      </c>
      <c r="AC88" s="174">
        <f>Buildings_Heat_Frontend[[#This Row],[Units]]</f>
        <v>0</v>
      </c>
      <c r="AD8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8" s="174" t="str">
        <f>IF(Buildings_Heat_Frontend[[#This Row],[Data]]="","", _xlfn.XLOOKUP(_xlfn.CONCAT(Buildings_Heat_Backend[[#This Row],[Level 1]:[Level 6]]),rng_LevelsConcat,rng_UnitsLong))</f>
        <v/>
      </c>
      <c r="AF88" s="210" t="str">
        <f>IF(Buildings_Heat_Frontend[[#This Row],[Data]]="","", _xlfn.XLOOKUP(_xlfn.CONCAT(Buildings_Heat_Backend[[#This Row],[Level 1]:[Level 6]]),rng_EFConcat,rng_EF1)*Buildings_Heat_Backend[[#This Row],[Converted data]]/1000)</f>
        <v/>
      </c>
      <c r="AG88" s="210" t="str">
        <f>IF(Buildings_Heat_Frontend[[#This Row],[Data]]="","", _xlfn.XLOOKUP(_xlfn.CONCAT(Buildings_Heat_Backend[[#This Row],[Level 1]:[Level 6]]),rng_EFConcat,rng_EF2)*Buildings_Heat_Backend[[#This Row],[Converted data]]/1000)</f>
        <v/>
      </c>
      <c r="AH88" s="210" t="str">
        <f>IF(Buildings_Heat_Frontend[[#This Row],[Data]]="","", _xlfn.XLOOKUP(_xlfn.CONCAT(Buildings_Heat_Backend[[#This Row],[Level 1]:[Level 6]]),rng_EFConcat,rng_EF3)*Buildings_Heat_Backend[[#This Row],[Converted data]]/1000)</f>
        <v/>
      </c>
      <c r="AI88" s="210" t="str">
        <f>IF(Buildings_Heat_Frontend[[#This Row],[Data]]="","", _xlfn.XLOOKUP(_xlfn.CONCAT(Buildings_Heat_Backend[[#This Row],[Level 1]:[Level 6]]),rng_EFConcat,rng_EF3WTT)*Buildings_Heat_Backend[[#This Row],[Converted data]]/1000)</f>
        <v/>
      </c>
      <c r="AJ88" s="210" t="str">
        <f>IF(Buildings_Heat_Frontend[[#This Row],[Data]]="","", _xlfn.XLOOKUP(_xlfn.CONCAT(Buildings_Heat_Backend[[#This Row],[Level 1]:[Level 6]]),rng_EFConcat,rng_EF3TD)*Buildings_Heat_Backend[[#This Row],[Converted data]]/1000)</f>
        <v/>
      </c>
      <c r="AK88" s="210" t="str">
        <f>IF(Buildings_Heat_Frontend[[#This Row],[Data]]="","", _xlfn.XLOOKUP(_xlfn.CONCAT(Buildings_Heat_Backend[[#This Row],[Level 1]:[Level 6]]),rng_EFConcat,rng_EF3WTTTD)*Buildings_Heat_Backend[[#This Row],[Converted data]]/1000)</f>
        <v/>
      </c>
      <c r="AL88" s="220">
        <f>SUM(Buildings_Heat_Backend[[#This Row],[Scope 1 (tCO2e)]:[Scope 3 WTT T&amp;D (tCO2e)]])</f>
        <v>0</v>
      </c>
      <c r="AM88" s="220" t="str">
        <f>IF(Buildings_Heat_Frontend[[#This Row],[Data]]="","", Buildings_Heat_Backend[[#This Row],[Total (tCO2e)]]*(1-Buildings_Heat_Backend[[#This Row],[RSD]]))</f>
        <v/>
      </c>
      <c r="AN88" s="220" t="str">
        <f>IF(Buildings_Heat_Frontend[[#This Row],[Data]]="","", Buildings_Heat_Backend[[#This Row],[Total (tCO2e)]]*(1+Buildings_Heat_Backend[[#This Row],[RSD]]))</f>
        <v/>
      </c>
      <c r="AO88" s="210" t="str">
        <f>IF(Buildings_Heat_Frontend[[#This Row],[Data]]="","", _xlfn.XLOOKUP(_xlfn.CONCAT(Buildings_Heat_Backend[[#This Row],[Level 1]:[Level 6]]),rng_EFConcat,rng_EFOOS)*Buildings_Heat_Backend[[#This Row],[Converted data]]/1000)</f>
        <v/>
      </c>
      <c r="AP88" s="174">
        <f>Buildings_Heat_Frontend[[#This Row],[Ease of collection]]</f>
        <v>0</v>
      </c>
      <c r="AQ88" s="174">
        <f>Buildings_Heat_Frontend[[#This Row],[Completeness]]</f>
        <v>0</v>
      </c>
      <c r="AR88" s="174">
        <f>Buildings_Heat_Frontend[[#This Row],[Notes]]</f>
        <v>0</v>
      </c>
    </row>
    <row r="89" spans="5:44" x14ac:dyDescent="0.3">
      <c r="E89" s="346"/>
      <c r="F89" s="364"/>
      <c r="G89" s="336"/>
      <c r="H89" s="336"/>
      <c r="I89" s="336"/>
      <c r="J89" s="334"/>
      <c r="K89" s="336"/>
      <c r="L89" s="336"/>
      <c r="M89" s="336"/>
      <c r="N89" s="352"/>
      <c r="O89" s="230">
        <f t="shared" si="5"/>
        <v>6</v>
      </c>
      <c r="Q89" s="212" t="str">
        <f t="shared" si="3"/>
        <v/>
      </c>
      <c r="R89" s="174" t="s">
        <v>265</v>
      </c>
      <c r="S89" s="174" t="s">
        <v>273</v>
      </c>
      <c r="T89" s="174" t="str">
        <f>IF(Buildings_Heat_Frontend[[#This Row],[Data]]="","", _xlfn.XLOOKUP(Buildings_Heat_Backend[[#This Row],[Info 1]],Buildings_SiteInfo[Site name],Buildings_SiteInfo[Site type]))</f>
        <v/>
      </c>
      <c r="U89" s="174" t="str">
        <f>IF(Buildings_Heat_Frontend[[#This Row],[Data]]="","", Buildings_Heat_Frontend[[#This Row],[Heating Type]])</f>
        <v/>
      </c>
      <c r="V89" s="174" t="str">
        <f>IF(Buildings_Heat_Frontend[[#This Row],[Data]]="","", Buildings_Heat_Frontend[[#This Row],[Fuel]])</f>
        <v/>
      </c>
      <c r="W89" s="174" t="str" cm="1">
        <f t="array" ref="W89">IF(Buildings_Heat_Frontend[[#This Row],[Data]]="","", _xlfn.XLOOKUP(Buildings_Heat_Backend[[#This Row],[Level 5]],rng_Level5Long,rng_Level6Long))</f>
        <v/>
      </c>
      <c r="X89" s="174" t="str">
        <f>IF(Buildings_Heat_Frontend[[#This Row],[Data]]="","", Buildings_Heat_Frontend[[#This Row],[Site Name]])</f>
        <v/>
      </c>
      <c r="Y89" s="174" t="str">
        <f>IF(Buildings_Heat_Frontend[[#This Row],[Data]]="","", Buildings_Heat_Frontend[[#This Row],[MPRN]])</f>
        <v/>
      </c>
      <c r="Z89" s="174" t="str">
        <f>IF(Buildings_Heat_Frontend[[#This Row],[Data]]="","", IF($I89="","",$I89))</f>
        <v/>
      </c>
      <c r="AA89" s="229" t="str" cm="1">
        <f t="array" ref="AA89">IF(Buildings_Heat_Frontend[[#This Row],[Data]]="","", INDEX(_xlfn.SWITCH(Buildings_Heat_Backend[[#This Row],[Methodology]],"Tier 1",rng_RSD1,"Tier 2",rng_RSD2,"Tier 3",rng_RSD3),MATCH(_xlfn.CONCAT(Buildings_Heat_Backend[[#This Row],[Level 1]:[Level 6]]),rng_LevelsConcat,0)))</f>
        <v/>
      </c>
      <c r="AB89" s="220" t="str">
        <f t="shared" si="4"/>
        <v/>
      </c>
      <c r="AC89" s="174">
        <f>Buildings_Heat_Frontend[[#This Row],[Units]]</f>
        <v>0</v>
      </c>
      <c r="AD8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89" s="174" t="str">
        <f>IF(Buildings_Heat_Frontend[[#This Row],[Data]]="","", _xlfn.XLOOKUP(_xlfn.CONCAT(Buildings_Heat_Backend[[#This Row],[Level 1]:[Level 6]]),rng_LevelsConcat,rng_UnitsLong))</f>
        <v/>
      </c>
      <c r="AF89" s="210" t="str">
        <f>IF(Buildings_Heat_Frontend[[#This Row],[Data]]="","", _xlfn.XLOOKUP(_xlfn.CONCAT(Buildings_Heat_Backend[[#This Row],[Level 1]:[Level 6]]),rng_EFConcat,rng_EF1)*Buildings_Heat_Backend[[#This Row],[Converted data]]/1000)</f>
        <v/>
      </c>
      <c r="AG89" s="210" t="str">
        <f>IF(Buildings_Heat_Frontend[[#This Row],[Data]]="","", _xlfn.XLOOKUP(_xlfn.CONCAT(Buildings_Heat_Backend[[#This Row],[Level 1]:[Level 6]]),rng_EFConcat,rng_EF2)*Buildings_Heat_Backend[[#This Row],[Converted data]]/1000)</f>
        <v/>
      </c>
      <c r="AH89" s="210" t="str">
        <f>IF(Buildings_Heat_Frontend[[#This Row],[Data]]="","", _xlfn.XLOOKUP(_xlfn.CONCAT(Buildings_Heat_Backend[[#This Row],[Level 1]:[Level 6]]),rng_EFConcat,rng_EF3)*Buildings_Heat_Backend[[#This Row],[Converted data]]/1000)</f>
        <v/>
      </c>
      <c r="AI89" s="210" t="str">
        <f>IF(Buildings_Heat_Frontend[[#This Row],[Data]]="","", _xlfn.XLOOKUP(_xlfn.CONCAT(Buildings_Heat_Backend[[#This Row],[Level 1]:[Level 6]]),rng_EFConcat,rng_EF3WTT)*Buildings_Heat_Backend[[#This Row],[Converted data]]/1000)</f>
        <v/>
      </c>
      <c r="AJ89" s="210" t="str">
        <f>IF(Buildings_Heat_Frontend[[#This Row],[Data]]="","", _xlfn.XLOOKUP(_xlfn.CONCAT(Buildings_Heat_Backend[[#This Row],[Level 1]:[Level 6]]),rng_EFConcat,rng_EF3TD)*Buildings_Heat_Backend[[#This Row],[Converted data]]/1000)</f>
        <v/>
      </c>
      <c r="AK89" s="210" t="str">
        <f>IF(Buildings_Heat_Frontend[[#This Row],[Data]]="","", _xlfn.XLOOKUP(_xlfn.CONCAT(Buildings_Heat_Backend[[#This Row],[Level 1]:[Level 6]]),rng_EFConcat,rng_EF3WTTTD)*Buildings_Heat_Backend[[#This Row],[Converted data]]/1000)</f>
        <v/>
      </c>
      <c r="AL89" s="220">
        <f>SUM(Buildings_Heat_Backend[[#This Row],[Scope 1 (tCO2e)]:[Scope 3 WTT T&amp;D (tCO2e)]])</f>
        <v>0</v>
      </c>
      <c r="AM89" s="220" t="str">
        <f>IF(Buildings_Heat_Frontend[[#This Row],[Data]]="","", Buildings_Heat_Backend[[#This Row],[Total (tCO2e)]]*(1-Buildings_Heat_Backend[[#This Row],[RSD]]))</f>
        <v/>
      </c>
      <c r="AN89" s="220" t="str">
        <f>IF(Buildings_Heat_Frontend[[#This Row],[Data]]="","", Buildings_Heat_Backend[[#This Row],[Total (tCO2e)]]*(1+Buildings_Heat_Backend[[#This Row],[RSD]]))</f>
        <v/>
      </c>
      <c r="AO89" s="210" t="str">
        <f>IF(Buildings_Heat_Frontend[[#This Row],[Data]]="","", _xlfn.XLOOKUP(_xlfn.CONCAT(Buildings_Heat_Backend[[#This Row],[Level 1]:[Level 6]]),rng_EFConcat,rng_EFOOS)*Buildings_Heat_Backend[[#This Row],[Converted data]]/1000)</f>
        <v/>
      </c>
      <c r="AP89" s="174">
        <f>Buildings_Heat_Frontend[[#This Row],[Ease of collection]]</f>
        <v>0</v>
      </c>
      <c r="AQ89" s="174">
        <f>Buildings_Heat_Frontend[[#This Row],[Completeness]]</f>
        <v>0</v>
      </c>
      <c r="AR89" s="174">
        <f>Buildings_Heat_Frontend[[#This Row],[Notes]]</f>
        <v>0</v>
      </c>
    </row>
    <row r="90" spans="5:44" x14ac:dyDescent="0.3">
      <c r="E90" s="346"/>
      <c r="F90" s="364"/>
      <c r="G90" s="336"/>
      <c r="H90" s="336"/>
      <c r="I90" s="336"/>
      <c r="J90" s="334"/>
      <c r="K90" s="336"/>
      <c r="L90" s="336"/>
      <c r="M90" s="336"/>
      <c r="N90" s="352"/>
      <c r="O90" s="230">
        <f t="shared" si="5"/>
        <v>6</v>
      </c>
      <c r="Q90" s="212" t="str">
        <f t="shared" si="3"/>
        <v/>
      </c>
      <c r="R90" s="174" t="s">
        <v>265</v>
      </c>
      <c r="S90" s="174" t="s">
        <v>273</v>
      </c>
      <c r="T90" s="174" t="str">
        <f>IF(Buildings_Heat_Frontend[[#This Row],[Data]]="","", _xlfn.XLOOKUP(Buildings_Heat_Backend[[#This Row],[Info 1]],Buildings_SiteInfo[Site name],Buildings_SiteInfo[Site type]))</f>
        <v/>
      </c>
      <c r="U90" s="174" t="str">
        <f>IF(Buildings_Heat_Frontend[[#This Row],[Data]]="","", Buildings_Heat_Frontend[[#This Row],[Heating Type]])</f>
        <v/>
      </c>
      <c r="V90" s="174" t="str">
        <f>IF(Buildings_Heat_Frontend[[#This Row],[Data]]="","", Buildings_Heat_Frontend[[#This Row],[Fuel]])</f>
        <v/>
      </c>
      <c r="W90" s="174" t="str" cm="1">
        <f t="array" ref="W90">IF(Buildings_Heat_Frontend[[#This Row],[Data]]="","", _xlfn.XLOOKUP(Buildings_Heat_Backend[[#This Row],[Level 5]],rng_Level5Long,rng_Level6Long))</f>
        <v/>
      </c>
      <c r="X90" s="174" t="str">
        <f>IF(Buildings_Heat_Frontend[[#This Row],[Data]]="","", Buildings_Heat_Frontend[[#This Row],[Site Name]])</f>
        <v/>
      </c>
      <c r="Y90" s="174" t="str">
        <f>IF(Buildings_Heat_Frontend[[#This Row],[Data]]="","", Buildings_Heat_Frontend[[#This Row],[MPRN]])</f>
        <v/>
      </c>
      <c r="Z90" s="174" t="str">
        <f>IF(Buildings_Heat_Frontend[[#This Row],[Data]]="","", IF($I90="","",$I90))</f>
        <v/>
      </c>
      <c r="AA90" s="229" t="str" cm="1">
        <f t="array" ref="AA90">IF(Buildings_Heat_Frontend[[#This Row],[Data]]="","", INDEX(_xlfn.SWITCH(Buildings_Heat_Backend[[#This Row],[Methodology]],"Tier 1",rng_RSD1,"Tier 2",rng_RSD2,"Tier 3",rng_RSD3),MATCH(_xlfn.CONCAT(Buildings_Heat_Backend[[#This Row],[Level 1]:[Level 6]]),rng_LevelsConcat,0)))</f>
        <v/>
      </c>
      <c r="AB90" s="220" t="str">
        <f t="shared" si="4"/>
        <v/>
      </c>
      <c r="AC90" s="174">
        <f>Buildings_Heat_Frontend[[#This Row],[Units]]</f>
        <v>0</v>
      </c>
      <c r="AD9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0" s="174" t="str">
        <f>IF(Buildings_Heat_Frontend[[#This Row],[Data]]="","", _xlfn.XLOOKUP(_xlfn.CONCAT(Buildings_Heat_Backend[[#This Row],[Level 1]:[Level 6]]),rng_LevelsConcat,rng_UnitsLong))</f>
        <v/>
      </c>
      <c r="AF90" s="210" t="str">
        <f>IF(Buildings_Heat_Frontend[[#This Row],[Data]]="","", _xlfn.XLOOKUP(_xlfn.CONCAT(Buildings_Heat_Backend[[#This Row],[Level 1]:[Level 6]]),rng_EFConcat,rng_EF1)*Buildings_Heat_Backend[[#This Row],[Converted data]]/1000)</f>
        <v/>
      </c>
      <c r="AG90" s="210" t="str">
        <f>IF(Buildings_Heat_Frontend[[#This Row],[Data]]="","", _xlfn.XLOOKUP(_xlfn.CONCAT(Buildings_Heat_Backend[[#This Row],[Level 1]:[Level 6]]),rng_EFConcat,rng_EF2)*Buildings_Heat_Backend[[#This Row],[Converted data]]/1000)</f>
        <v/>
      </c>
      <c r="AH90" s="210" t="str">
        <f>IF(Buildings_Heat_Frontend[[#This Row],[Data]]="","", _xlfn.XLOOKUP(_xlfn.CONCAT(Buildings_Heat_Backend[[#This Row],[Level 1]:[Level 6]]),rng_EFConcat,rng_EF3)*Buildings_Heat_Backend[[#This Row],[Converted data]]/1000)</f>
        <v/>
      </c>
      <c r="AI90" s="210" t="str">
        <f>IF(Buildings_Heat_Frontend[[#This Row],[Data]]="","", _xlfn.XLOOKUP(_xlfn.CONCAT(Buildings_Heat_Backend[[#This Row],[Level 1]:[Level 6]]),rng_EFConcat,rng_EF3WTT)*Buildings_Heat_Backend[[#This Row],[Converted data]]/1000)</f>
        <v/>
      </c>
      <c r="AJ90" s="210" t="str">
        <f>IF(Buildings_Heat_Frontend[[#This Row],[Data]]="","", _xlfn.XLOOKUP(_xlfn.CONCAT(Buildings_Heat_Backend[[#This Row],[Level 1]:[Level 6]]),rng_EFConcat,rng_EF3TD)*Buildings_Heat_Backend[[#This Row],[Converted data]]/1000)</f>
        <v/>
      </c>
      <c r="AK90" s="210" t="str">
        <f>IF(Buildings_Heat_Frontend[[#This Row],[Data]]="","", _xlfn.XLOOKUP(_xlfn.CONCAT(Buildings_Heat_Backend[[#This Row],[Level 1]:[Level 6]]),rng_EFConcat,rng_EF3WTTTD)*Buildings_Heat_Backend[[#This Row],[Converted data]]/1000)</f>
        <v/>
      </c>
      <c r="AL90" s="220">
        <f>SUM(Buildings_Heat_Backend[[#This Row],[Scope 1 (tCO2e)]:[Scope 3 WTT T&amp;D (tCO2e)]])</f>
        <v>0</v>
      </c>
      <c r="AM90" s="220" t="str">
        <f>IF(Buildings_Heat_Frontend[[#This Row],[Data]]="","", Buildings_Heat_Backend[[#This Row],[Total (tCO2e)]]*(1-Buildings_Heat_Backend[[#This Row],[RSD]]))</f>
        <v/>
      </c>
      <c r="AN90" s="220" t="str">
        <f>IF(Buildings_Heat_Frontend[[#This Row],[Data]]="","", Buildings_Heat_Backend[[#This Row],[Total (tCO2e)]]*(1+Buildings_Heat_Backend[[#This Row],[RSD]]))</f>
        <v/>
      </c>
      <c r="AO90" s="210" t="str">
        <f>IF(Buildings_Heat_Frontend[[#This Row],[Data]]="","", _xlfn.XLOOKUP(_xlfn.CONCAT(Buildings_Heat_Backend[[#This Row],[Level 1]:[Level 6]]),rng_EFConcat,rng_EFOOS)*Buildings_Heat_Backend[[#This Row],[Converted data]]/1000)</f>
        <v/>
      </c>
      <c r="AP90" s="174">
        <f>Buildings_Heat_Frontend[[#This Row],[Ease of collection]]</f>
        <v>0</v>
      </c>
      <c r="AQ90" s="174">
        <f>Buildings_Heat_Frontend[[#This Row],[Completeness]]</f>
        <v>0</v>
      </c>
      <c r="AR90" s="174">
        <f>Buildings_Heat_Frontend[[#This Row],[Notes]]</f>
        <v>0</v>
      </c>
    </row>
    <row r="91" spans="5:44" x14ac:dyDescent="0.3">
      <c r="E91" s="346"/>
      <c r="F91" s="364"/>
      <c r="G91" s="336"/>
      <c r="H91" s="336"/>
      <c r="I91" s="336"/>
      <c r="J91" s="334"/>
      <c r="K91" s="336"/>
      <c r="L91" s="336"/>
      <c r="M91" s="336"/>
      <c r="N91" s="352"/>
      <c r="O91" s="230">
        <f t="shared" si="5"/>
        <v>6</v>
      </c>
      <c r="Q91" s="212" t="str">
        <f t="shared" si="3"/>
        <v/>
      </c>
      <c r="R91" s="174" t="s">
        <v>265</v>
      </c>
      <c r="S91" s="174" t="s">
        <v>273</v>
      </c>
      <c r="T91" s="174" t="str">
        <f>IF(Buildings_Heat_Frontend[[#This Row],[Data]]="","", _xlfn.XLOOKUP(Buildings_Heat_Backend[[#This Row],[Info 1]],Buildings_SiteInfo[Site name],Buildings_SiteInfo[Site type]))</f>
        <v/>
      </c>
      <c r="U91" s="174" t="str">
        <f>IF(Buildings_Heat_Frontend[[#This Row],[Data]]="","", Buildings_Heat_Frontend[[#This Row],[Heating Type]])</f>
        <v/>
      </c>
      <c r="V91" s="174" t="str">
        <f>IF(Buildings_Heat_Frontend[[#This Row],[Data]]="","", Buildings_Heat_Frontend[[#This Row],[Fuel]])</f>
        <v/>
      </c>
      <c r="W91" s="174" t="str" cm="1">
        <f t="array" ref="W91">IF(Buildings_Heat_Frontend[[#This Row],[Data]]="","", _xlfn.XLOOKUP(Buildings_Heat_Backend[[#This Row],[Level 5]],rng_Level5Long,rng_Level6Long))</f>
        <v/>
      </c>
      <c r="X91" s="174" t="str">
        <f>IF(Buildings_Heat_Frontend[[#This Row],[Data]]="","", Buildings_Heat_Frontend[[#This Row],[Site Name]])</f>
        <v/>
      </c>
      <c r="Y91" s="174" t="str">
        <f>IF(Buildings_Heat_Frontend[[#This Row],[Data]]="","", Buildings_Heat_Frontend[[#This Row],[MPRN]])</f>
        <v/>
      </c>
      <c r="Z91" s="174" t="str">
        <f>IF(Buildings_Heat_Frontend[[#This Row],[Data]]="","", IF($I91="","",$I91))</f>
        <v/>
      </c>
      <c r="AA91" s="229" t="str" cm="1">
        <f t="array" ref="AA91">IF(Buildings_Heat_Frontend[[#This Row],[Data]]="","", INDEX(_xlfn.SWITCH(Buildings_Heat_Backend[[#This Row],[Methodology]],"Tier 1",rng_RSD1,"Tier 2",rng_RSD2,"Tier 3",rng_RSD3),MATCH(_xlfn.CONCAT(Buildings_Heat_Backend[[#This Row],[Level 1]:[Level 6]]),rng_LevelsConcat,0)))</f>
        <v/>
      </c>
      <c r="AB91" s="220" t="str">
        <f t="shared" si="4"/>
        <v/>
      </c>
      <c r="AC91" s="174">
        <f>Buildings_Heat_Frontend[[#This Row],[Units]]</f>
        <v>0</v>
      </c>
      <c r="AD9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1" s="174" t="str">
        <f>IF(Buildings_Heat_Frontend[[#This Row],[Data]]="","", _xlfn.XLOOKUP(_xlfn.CONCAT(Buildings_Heat_Backend[[#This Row],[Level 1]:[Level 6]]),rng_LevelsConcat,rng_UnitsLong))</f>
        <v/>
      </c>
      <c r="AF91" s="210" t="str">
        <f>IF(Buildings_Heat_Frontend[[#This Row],[Data]]="","", _xlfn.XLOOKUP(_xlfn.CONCAT(Buildings_Heat_Backend[[#This Row],[Level 1]:[Level 6]]),rng_EFConcat,rng_EF1)*Buildings_Heat_Backend[[#This Row],[Converted data]]/1000)</f>
        <v/>
      </c>
      <c r="AG91" s="210" t="str">
        <f>IF(Buildings_Heat_Frontend[[#This Row],[Data]]="","", _xlfn.XLOOKUP(_xlfn.CONCAT(Buildings_Heat_Backend[[#This Row],[Level 1]:[Level 6]]),rng_EFConcat,rng_EF2)*Buildings_Heat_Backend[[#This Row],[Converted data]]/1000)</f>
        <v/>
      </c>
      <c r="AH91" s="210" t="str">
        <f>IF(Buildings_Heat_Frontend[[#This Row],[Data]]="","", _xlfn.XLOOKUP(_xlfn.CONCAT(Buildings_Heat_Backend[[#This Row],[Level 1]:[Level 6]]),rng_EFConcat,rng_EF3)*Buildings_Heat_Backend[[#This Row],[Converted data]]/1000)</f>
        <v/>
      </c>
      <c r="AI91" s="210" t="str">
        <f>IF(Buildings_Heat_Frontend[[#This Row],[Data]]="","", _xlfn.XLOOKUP(_xlfn.CONCAT(Buildings_Heat_Backend[[#This Row],[Level 1]:[Level 6]]),rng_EFConcat,rng_EF3WTT)*Buildings_Heat_Backend[[#This Row],[Converted data]]/1000)</f>
        <v/>
      </c>
      <c r="AJ91" s="210" t="str">
        <f>IF(Buildings_Heat_Frontend[[#This Row],[Data]]="","", _xlfn.XLOOKUP(_xlfn.CONCAT(Buildings_Heat_Backend[[#This Row],[Level 1]:[Level 6]]),rng_EFConcat,rng_EF3TD)*Buildings_Heat_Backend[[#This Row],[Converted data]]/1000)</f>
        <v/>
      </c>
      <c r="AK91" s="210" t="str">
        <f>IF(Buildings_Heat_Frontend[[#This Row],[Data]]="","", _xlfn.XLOOKUP(_xlfn.CONCAT(Buildings_Heat_Backend[[#This Row],[Level 1]:[Level 6]]),rng_EFConcat,rng_EF3WTTTD)*Buildings_Heat_Backend[[#This Row],[Converted data]]/1000)</f>
        <v/>
      </c>
      <c r="AL91" s="220">
        <f>SUM(Buildings_Heat_Backend[[#This Row],[Scope 1 (tCO2e)]:[Scope 3 WTT T&amp;D (tCO2e)]])</f>
        <v>0</v>
      </c>
      <c r="AM91" s="220" t="str">
        <f>IF(Buildings_Heat_Frontend[[#This Row],[Data]]="","", Buildings_Heat_Backend[[#This Row],[Total (tCO2e)]]*(1-Buildings_Heat_Backend[[#This Row],[RSD]]))</f>
        <v/>
      </c>
      <c r="AN91" s="220" t="str">
        <f>IF(Buildings_Heat_Frontend[[#This Row],[Data]]="","", Buildings_Heat_Backend[[#This Row],[Total (tCO2e)]]*(1+Buildings_Heat_Backend[[#This Row],[RSD]]))</f>
        <v/>
      </c>
      <c r="AO91" s="210" t="str">
        <f>IF(Buildings_Heat_Frontend[[#This Row],[Data]]="","", _xlfn.XLOOKUP(_xlfn.CONCAT(Buildings_Heat_Backend[[#This Row],[Level 1]:[Level 6]]),rng_EFConcat,rng_EFOOS)*Buildings_Heat_Backend[[#This Row],[Converted data]]/1000)</f>
        <v/>
      </c>
      <c r="AP91" s="174">
        <f>Buildings_Heat_Frontend[[#This Row],[Ease of collection]]</f>
        <v>0</v>
      </c>
      <c r="AQ91" s="174">
        <f>Buildings_Heat_Frontend[[#This Row],[Completeness]]</f>
        <v>0</v>
      </c>
      <c r="AR91" s="174">
        <f>Buildings_Heat_Frontend[[#This Row],[Notes]]</f>
        <v>0</v>
      </c>
    </row>
    <row r="92" spans="5:44" x14ac:dyDescent="0.3">
      <c r="E92" s="346"/>
      <c r="F92" s="364"/>
      <c r="G92" s="336"/>
      <c r="H92" s="336"/>
      <c r="I92" s="336"/>
      <c r="J92" s="334"/>
      <c r="K92" s="336"/>
      <c r="L92" s="336"/>
      <c r="M92" s="336"/>
      <c r="N92" s="352"/>
      <c r="O92" s="230">
        <f t="shared" si="5"/>
        <v>6</v>
      </c>
      <c r="Q92" s="212" t="str">
        <f t="shared" si="3"/>
        <v/>
      </c>
      <c r="R92" s="174" t="s">
        <v>265</v>
      </c>
      <c r="S92" s="174" t="s">
        <v>273</v>
      </c>
      <c r="T92" s="174" t="str">
        <f>IF(Buildings_Heat_Frontend[[#This Row],[Data]]="","", _xlfn.XLOOKUP(Buildings_Heat_Backend[[#This Row],[Info 1]],Buildings_SiteInfo[Site name],Buildings_SiteInfo[Site type]))</f>
        <v/>
      </c>
      <c r="U92" s="174" t="str">
        <f>IF(Buildings_Heat_Frontend[[#This Row],[Data]]="","", Buildings_Heat_Frontend[[#This Row],[Heating Type]])</f>
        <v/>
      </c>
      <c r="V92" s="174" t="str">
        <f>IF(Buildings_Heat_Frontend[[#This Row],[Data]]="","", Buildings_Heat_Frontend[[#This Row],[Fuel]])</f>
        <v/>
      </c>
      <c r="W92" s="174" t="str" cm="1">
        <f t="array" ref="W92">IF(Buildings_Heat_Frontend[[#This Row],[Data]]="","", _xlfn.XLOOKUP(Buildings_Heat_Backend[[#This Row],[Level 5]],rng_Level5Long,rng_Level6Long))</f>
        <v/>
      </c>
      <c r="X92" s="174" t="str">
        <f>IF(Buildings_Heat_Frontend[[#This Row],[Data]]="","", Buildings_Heat_Frontend[[#This Row],[Site Name]])</f>
        <v/>
      </c>
      <c r="Y92" s="174" t="str">
        <f>IF(Buildings_Heat_Frontend[[#This Row],[Data]]="","", Buildings_Heat_Frontend[[#This Row],[MPRN]])</f>
        <v/>
      </c>
      <c r="Z92" s="174" t="str">
        <f>IF(Buildings_Heat_Frontend[[#This Row],[Data]]="","", IF($I92="","",$I92))</f>
        <v/>
      </c>
      <c r="AA92" s="229" t="str" cm="1">
        <f t="array" ref="AA92">IF(Buildings_Heat_Frontend[[#This Row],[Data]]="","", INDEX(_xlfn.SWITCH(Buildings_Heat_Backend[[#This Row],[Methodology]],"Tier 1",rng_RSD1,"Tier 2",rng_RSD2,"Tier 3",rng_RSD3),MATCH(_xlfn.CONCAT(Buildings_Heat_Backend[[#This Row],[Level 1]:[Level 6]]),rng_LevelsConcat,0)))</f>
        <v/>
      </c>
      <c r="AB92" s="220" t="str">
        <f t="shared" si="4"/>
        <v/>
      </c>
      <c r="AC92" s="174">
        <f>Buildings_Heat_Frontend[[#This Row],[Units]]</f>
        <v>0</v>
      </c>
      <c r="AD9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2" s="174" t="str">
        <f>IF(Buildings_Heat_Frontend[[#This Row],[Data]]="","", _xlfn.XLOOKUP(_xlfn.CONCAT(Buildings_Heat_Backend[[#This Row],[Level 1]:[Level 6]]),rng_LevelsConcat,rng_UnitsLong))</f>
        <v/>
      </c>
      <c r="AF92" s="210" t="str">
        <f>IF(Buildings_Heat_Frontend[[#This Row],[Data]]="","", _xlfn.XLOOKUP(_xlfn.CONCAT(Buildings_Heat_Backend[[#This Row],[Level 1]:[Level 6]]),rng_EFConcat,rng_EF1)*Buildings_Heat_Backend[[#This Row],[Converted data]]/1000)</f>
        <v/>
      </c>
      <c r="AG92" s="210" t="str">
        <f>IF(Buildings_Heat_Frontend[[#This Row],[Data]]="","", _xlfn.XLOOKUP(_xlfn.CONCAT(Buildings_Heat_Backend[[#This Row],[Level 1]:[Level 6]]),rng_EFConcat,rng_EF2)*Buildings_Heat_Backend[[#This Row],[Converted data]]/1000)</f>
        <v/>
      </c>
      <c r="AH92" s="210" t="str">
        <f>IF(Buildings_Heat_Frontend[[#This Row],[Data]]="","", _xlfn.XLOOKUP(_xlfn.CONCAT(Buildings_Heat_Backend[[#This Row],[Level 1]:[Level 6]]),rng_EFConcat,rng_EF3)*Buildings_Heat_Backend[[#This Row],[Converted data]]/1000)</f>
        <v/>
      </c>
      <c r="AI92" s="210" t="str">
        <f>IF(Buildings_Heat_Frontend[[#This Row],[Data]]="","", _xlfn.XLOOKUP(_xlfn.CONCAT(Buildings_Heat_Backend[[#This Row],[Level 1]:[Level 6]]),rng_EFConcat,rng_EF3WTT)*Buildings_Heat_Backend[[#This Row],[Converted data]]/1000)</f>
        <v/>
      </c>
      <c r="AJ92" s="210" t="str">
        <f>IF(Buildings_Heat_Frontend[[#This Row],[Data]]="","", _xlfn.XLOOKUP(_xlfn.CONCAT(Buildings_Heat_Backend[[#This Row],[Level 1]:[Level 6]]),rng_EFConcat,rng_EF3TD)*Buildings_Heat_Backend[[#This Row],[Converted data]]/1000)</f>
        <v/>
      </c>
      <c r="AK92" s="210" t="str">
        <f>IF(Buildings_Heat_Frontend[[#This Row],[Data]]="","", _xlfn.XLOOKUP(_xlfn.CONCAT(Buildings_Heat_Backend[[#This Row],[Level 1]:[Level 6]]),rng_EFConcat,rng_EF3WTTTD)*Buildings_Heat_Backend[[#This Row],[Converted data]]/1000)</f>
        <v/>
      </c>
      <c r="AL92" s="220">
        <f>SUM(Buildings_Heat_Backend[[#This Row],[Scope 1 (tCO2e)]:[Scope 3 WTT T&amp;D (tCO2e)]])</f>
        <v>0</v>
      </c>
      <c r="AM92" s="220" t="str">
        <f>IF(Buildings_Heat_Frontend[[#This Row],[Data]]="","", Buildings_Heat_Backend[[#This Row],[Total (tCO2e)]]*(1-Buildings_Heat_Backend[[#This Row],[RSD]]))</f>
        <v/>
      </c>
      <c r="AN92" s="220" t="str">
        <f>IF(Buildings_Heat_Frontend[[#This Row],[Data]]="","", Buildings_Heat_Backend[[#This Row],[Total (tCO2e)]]*(1+Buildings_Heat_Backend[[#This Row],[RSD]]))</f>
        <v/>
      </c>
      <c r="AO92" s="210" t="str">
        <f>IF(Buildings_Heat_Frontend[[#This Row],[Data]]="","", _xlfn.XLOOKUP(_xlfn.CONCAT(Buildings_Heat_Backend[[#This Row],[Level 1]:[Level 6]]),rng_EFConcat,rng_EFOOS)*Buildings_Heat_Backend[[#This Row],[Converted data]]/1000)</f>
        <v/>
      </c>
      <c r="AP92" s="174">
        <f>Buildings_Heat_Frontend[[#This Row],[Ease of collection]]</f>
        <v>0</v>
      </c>
      <c r="AQ92" s="174">
        <f>Buildings_Heat_Frontend[[#This Row],[Completeness]]</f>
        <v>0</v>
      </c>
      <c r="AR92" s="174">
        <f>Buildings_Heat_Frontend[[#This Row],[Notes]]</f>
        <v>0</v>
      </c>
    </row>
    <row r="93" spans="5:44" x14ac:dyDescent="0.3">
      <c r="E93" s="346"/>
      <c r="F93" s="364"/>
      <c r="G93" s="336"/>
      <c r="H93" s="336"/>
      <c r="I93" s="336"/>
      <c r="J93" s="334"/>
      <c r="K93" s="336"/>
      <c r="L93" s="336"/>
      <c r="M93" s="336"/>
      <c r="N93" s="352"/>
      <c r="O93" s="230">
        <f t="shared" si="5"/>
        <v>6</v>
      </c>
      <c r="Q93" s="212" t="str">
        <f t="shared" si="3"/>
        <v/>
      </c>
      <c r="R93" s="174" t="s">
        <v>265</v>
      </c>
      <c r="S93" s="174" t="s">
        <v>273</v>
      </c>
      <c r="T93" s="174" t="str">
        <f>IF(Buildings_Heat_Frontend[[#This Row],[Data]]="","", _xlfn.XLOOKUP(Buildings_Heat_Backend[[#This Row],[Info 1]],Buildings_SiteInfo[Site name],Buildings_SiteInfo[Site type]))</f>
        <v/>
      </c>
      <c r="U93" s="174" t="str">
        <f>IF(Buildings_Heat_Frontend[[#This Row],[Data]]="","", Buildings_Heat_Frontend[[#This Row],[Heating Type]])</f>
        <v/>
      </c>
      <c r="V93" s="174" t="str">
        <f>IF(Buildings_Heat_Frontend[[#This Row],[Data]]="","", Buildings_Heat_Frontend[[#This Row],[Fuel]])</f>
        <v/>
      </c>
      <c r="W93" s="174" t="str" cm="1">
        <f t="array" ref="W93">IF(Buildings_Heat_Frontend[[#This Row],[Data]]="","", _xlfn.XLOOKUP(Buildings_Heat_Backend[[#This Row],[Level 5]],rng_Level5Long,rng_Level6Long))</f>
        <v/>
      </c>
      <c r="X93" s="174" t="str">
        <f>IF(Buildings_Heat_Frontend[[#This Row],[Data]]="","", Buildings_Heat_Frontend[[#This Row],[Site Name]])</f>
        <v/>
      </c>
      <c r="Y93" s="174" t="str">
        <f>IF(Buildings_Heat_Frontend[[#This Row],[Data]]="","", Buildings_Heat_Frontend[[#This Row],[MPRN]])</f>
        <v/>
      </c>
      <c r="Z93" s="174" t="str">
        <f>IF(Buildings_Heat_Frontend[[#This Row],[Data]]="","", IF($I93="","",$I93))</f>
        <v/>
      </c>
      <c r="AA93" s="229" t="str" cm="1">
        <f t="array" ref="AA93">IF(Buildings_Heat_Frontend[[#This Row],[Data]]="","", INDEX(_xlfn.SWITCH(Buildings_Heat_Backend[[#This Row],[Methodology]],"Tier 1",rng_RSD1,"Tier 2",rng_RSD2,"Tier 3",rng_RSD3),MATCH(_xlfn.CONCAT(Buildings_Heat_Backend[[#This Row],[Level 1]:[Level 6]]),rng_LevelsConcat,0)))</f>
        <v/>
      </c>
      <c r="AB93" s="220" t="str">
        <f t="shared" si="4"/>
        <v/>
      </c>
      <c r="AC93" s="174">
        <f>Buildings_Heat_Frontend[[#This Row],[Units]]</f>
        <v>0</v>
      </c>
      <c r="AD9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3" s="174" t="str">
        <f>IF(Buildings_Heat_Frontend[[#This Row],[Data]]="","", _xlfn.XLOOKUP(_xlfn.CONCAT(Buildings_Heat_Backend[[#This Row],[Level 1]:[Level 6]]),rng_LevelsConcat,rng_UnitsLong))</f>
        <v/>
      </c>
      <c r="AF93" s="210" t="str">
        <f>IF(Buildings_Heat_Frontend[[#This Row],[Data]]="","", _xlfn.XLOOKUP(_xlfn.CONCAT(Buildings_Heat_Backend[[#This Row],[Level 1]:[Level 6]]),rng_EFConcat,rng_EF1)*Buildings_Heat_Backend[[#This Row],[Converted data]]/1000)</f>
        <v/>
      </c>
      <c r="AG93" s="210" t="str">
        <f>IF(Buildings_Heat_Frontend[[#This Row],[Data]]="","", _xlfn.XLOOKUP(_xlfn.CONCAT(Buildings_Heat_Backend[[#This Row],[Level 1]:[Level 6]]),rng_EFConcat,rng_EF2)*Buildings_Heat_Backend[[#This Row],[Converted data]]/1000)</f>
        <v/>
      </c>
      <c r="AH93" s="210" t="str">
        <f>IF(Buildings_Heat_Frontend[[#This Row],[Data]]="","", _xlfn.XLOOKUP(_xlfn.CONCAT(Buildings_Heat_Backend[[#This Row],[Level 1]:[Level 6]]),rng_EFConcat,rng_EF3)*Buildings_Heat_Backend[[#This Row],[Converted data]]/1000)</f>
        <v/>
      </c>
      <c r="AI93" s="210" t="str">
        <f>IF(Buildings_Heat_Frontend[[#This Row],[Data]]="","", _xlfn.XLOOKUP(_xlfn.CONCAT(Buildings_Heat_Backend[[#This Row],[Level 1]:[Level 6]]),rng_EFConcat,rng_EF3WTT)*Buildings_Heat_Backend[[#This Row],[Converted data]]/1000)</f>
        <v/>
      </c>
      <c r="AJ93" s="210" t="str">
        <f>IF(Buildings_Heat_Frontend[[#This Row],[Data]]="","", _xlfn.XLOOKUP(_xlfn.CONCAT(Buildings_Heat_Backend[[#This Row],[Level 1]:[Level 6]]),rng_EFConcat,rng_EF3TD)*Buildings_Heat_Backend[[#This Row],[Converted data]]/1000)</f>
        <v/>
      </c>
      <c r="AK93" s="210" t="str">
        <f>IF(Buildings_Heat_Frontend[[#This Row],[Data]]="","", _xlfn.XLOOKUP(_xlfn.CONCAT(Buildings_Heat_Backend[[#This Row],[Level 1]:[Level 6]]),rng_EFConcat,rng_EF3WTTTD)*Buildings_Heat_Backend[[#This Row],[Converted data]]/1000)</f>
        <v/>
      </c>
      <c r="AL93" s="220">
        <f>SUM(Buildings_Heat_Backend[[#This Row],[Scope 1 (tCO2e)]:[Scope 3 WTT T&amp;D (tCO2e)]])</f>
        <v>0</v>
      </c>
      <c r="AM93" s="220" t="str">
        <f>IF(Buildings_Heat_Frontend[[#This Row],[Data]]="","", Buildings_Heat_Backend[[#This Row],[Total (tCO2e)]]*(1-Buildings_Heat_Backend[[#This Row],[RSD]]))</f>
        <v/>
      </c>
      <c r="AN93" s="220" t="str">
        <f>IF(Buildings_Heat_Frontend[[#This Row],[Data]]="","", Buildings_Heat_Backend[[#This Row],[Total (tCO2e)]]*(1+Buildings_Heat_Backend[[#This Row],[RSD]]))</f>
        <v/>
      </c>
      <c r="AO93" s="210" t="str">
        <f>IF(Buildings_Heat_Frontend[[#This Row],[Data]]="","", _xlfn.XLOOKUP(_xlfn.CONCAT(Buildings_Heat_Backend[[#This Row],[Level 1]:[Level 6]]),rng_EFConcat,rng_EFOOS)*Buildings_Heat_Backend[[#This Row],[Converted data]]/1000)</f>
        <v/>
      </c>
      <c r="AP93" s="174">
        <f>Buildings_Heat_Frontend[[#This Row],[Ease of collection]]</f>
        <v>0</v>
      </c>
      <c r="AQ93" s="174">
        <f>Buildings_Heat_Frontend[[#This Row],[Completeness]]</f>
        <v>0</v>
      </c>
      <c r="AR93" s="174">
        <f>Buildings_Heat_Frontend[[#This Row],[Notes]]</f>
        <v>0</v>
      </c>
    </row>
    <row r="94" spans="5:44" x14ac:dyDescent="0.3">
      <c r="E94" s="346"/>
      <c r="F94" s="364"/>
      <c r="G94" s="336"/>
      <c r="H94" s="336"/>
      <c r="I94" s="336"/>
      <c r="J94" s="334"/>
      <c r="K94" s="336"/>
      <c r="L94" s="336"/>
      <c r="M94" s="336"/>
      <c r="N94" s="352"/>
      <c r="O94" s="230">
        <f t="shared" si="5"/>
        <v>6</v>
      </c>
      <c r="Q94" s="212" t="str">
        <f t="shared" si="3"/>
        <v/>
      </c>
      <c r="R94" s="174" t="s">
        <v>265</v>
      </c>
      <c r="S94" s="174" t="s">
        <v>273</v>
      </c>
      <c r="T94" s="174" t="str">
        <f>IF(Buildings_Heat_Frontend[[#This Row],[Data]]="","", _xlfn.XLOOKUP(Buildings_Heat_Backend[[#This Row],[Info 1]],Buildings_SiteInfo[Site name],Buildings_SiteInfo[Site type]))</f>
        <v/>
      </c>
      <c r="U94" s="174" t="str">
        <f>IF(Buildings_Heat_Frontend[[#This Row],[Data]]="","", Buildings_Heat_Frontend[[#This Row],[Heating Type]])</f>
        <v/>
      </c>
      <c r="V94" s="174" t="str">
        <f>IF(Buildings_Heat_Frontend[[#This Row],[Data]]="","", Buildings_Heat_Frontend[[#This Row],[Fuel]])</f>
        <v/>
      </c>
      <c r="W94" s="174" t="str" cm="1">
        <f t="array" ref="W94">IF(Buildings_Heat_Frontend[[#This Row],[Data]]="","", _xlfn.XLOOKUP(Buildings_Heat_Backend[[#This Row],[Level 5]],rng_Level5Long,rng_Level6Long))</f>
        <v/>
      </c>
      <c r="X94" s="174" t="str">
        <f>IF(Buildings_Heat_Frontend[[#This Row],[Data]]="","", Buildings_Heat_Frontend[[#This Row],[Site Name]])</f>
        <v/>
      </c>
      <c r="Y94" s="174" t="str">
        <f>IF(Buildings_Heat_Frontend[[#This Row],[Data]]="","", Buildings_Heat_Frontend[[#This Row],[MPRN]])</f>
        <v/>
      </c>
      <c r="Z94" s="174" t="str">
        <f>IF(Buildings_Heat_Frontend[[#This Row],[Data]]="","", IF($I94="","",$I94))</f>
        <v/>
      </c>
      <c r="AA94" s="229" t="str" cm="1">
        <f t="array" ref="AA94">IF(Buildings_Heat_Frontend[[#This Row],[Data]]="","", INDEX(_xlfn.SWITCH(Buildings_Heat_Backend[[#This Row],[Methodology]],"Tier 1",rng_RSD1,"Tier 2",rng_RSD2,"Tier 3",rng_RSD3),MATCH(_xlfn.CONCAT(Buildings_Heat_Backend[[#This Row],[Level 1]:[Level 6]]),rng_LevelsConcat,0)))</f>
        <v/>
      </c>
      <c r="AB94" s="220" t="str">
        <f t="shared" si="4"/>
        <v/>
      </c>
      <c r="AC94" s="174">
        <f>Buildings_Heat_Frontend[[#This Row],[Units]]</f>
        <v>0</v>
      </c>
      <c r="AD9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4" s="174" t="str">
        <f>IF(Buildings_Heat_Frontend[[#This Row],[Data]]="","", _xlfn.XLOOKUP(_xlfn.CONCAT(Buildings_Heat_Backend[[#This Row],[Level 1]:[Level 6]]),rng_LevelsConcat,rng_UnitsLong))</f>
        <v/>
      </c>
      <c r="AF94" s="210" t="str">
        <f>IF(Buildings_Heat_Frontend[[#This Row],[Data]]="","", _xlfn.XLOOKUP(_xlfn.CONCAT(Buildings_Heat_Backend[[#This Row],[Level 1]:[Level 6]]),rng_EFConcat,rng_EF1)*Buildings_Heat_Backend[[#This Row],[Converted data]]/1000)</f>
        <v/>
      </c>
      <c r="AG94" s="210" t="str">
        <f>IF(Buildings_Heat_Frontend[[#This Row],[Data]]="","", _xlfn.XLOOKUP(_xlfn.CONCAT(Buildings_Heat_Backend[[#This Row],[Level 1]:[Level 6]]),rng_EFConcat,rng_EF2)*Buildings_Heat_Backend[[#This Row],[Converted data]]/1000)</f>
        <v/>
      </c>
      <c r="AH94" s="210" t="str">
        <f>IF(Buildings_Heat_Frontend[[#This Row],[Data]]="","", _xlfn.XLOOKUP(_xlfn.CONCAT(Buildings_Heat_Backend[[#This Row],[Level 1]:[Level 6]]),rng_EFConcat,rng_EF3)*Buildings_Heat_Backend[[#This Row],[Converted data]]/1000)</f>
        <v/>
      </c>
      <c r="AI94" s="210" t="str">
        <f>IF(Buildings_Heat_Frontend[[#This Row],[Data]]="","", _xlfn.XLOOKUP(_xlfn.CONCAT(Buildings_Heat_Backend[[#This Row],[Level 1]:[Level 6]]),rng_EFConcat,rng_EF3WTT)*Buildings_Heat_Backend[[#This Row],[Converted data]]/1000)</f>
        <v/>
      </c>
      <c r="AJ94" s="210" t="str">
        <f>IF(Buildings_Heat_Frontend[[#This Row],[Data]]="","", _xlfn.XLOOKUP(_xlfn.CONCAT(Buildings_Heat_Backend[[#This Row],[Level 1]:[Level 6]]),rng_EFConcat,rng_EF3TD)*Buildings_Heat_Backend[[#This Row],[Converted data]]/1000)</f>
        <v/>
      </c>
      <c r="AK94" s="210" t="str">
        <f>IF(Buildings_Heat_Frontend[[#This Row],[Data]]="","", _xlfn.XLOOKUP(_xlfn.CONCAT(Buildings_Heat_Backend[[#This Row],[Level 1]:[Level 6]]),rng_EFConcat,rng_EF3WTTTD)*Buildings_Heat_Backend[[#This Row],[Converted data]]/1000)</f>
        <v/>
      </c>
      <c r="AL94" s="220">
        <f>SUM(Buildings_Heat_Backend[[#This Row],[Scope 1 (tCO2e)]:[Scope 3 WTT T&amp;D (tCO2e)]])</f>
        <v>0</v>
      </c>
      <c r="AM94" s="220" t="str">
        <f>IF(Buildings_Heat_Frontend[[#This Row],[Data]]="","", Buildings_Heat_Backend[[#This Row],[Total (tCO2e)]]*(1-Buildings_Heat_Backend[[#This Row],[RSD]]))</f>
        <v/>
      </c>
      <c r="AN94" s="220" t="str">
        <f>IF(Buildings_Heat_Frontend[[#This Row],[Data]]="","", Buildings_Heat_Backend[[#This Row],[Total (tCO2e)]]*(1+Buildings_Heat_Backend[[#This Row],[RSD]]))</f>
        <v/>
      </c>
      <c r="AO94" s="210" t="str">
        <f>IF(Buildings_Heat_Frontend[[#This Row],[Data]]="","", _xlfn.XLOOKUP(_xlfn.CONCAT(Buildings_Heat_Backend[[#This Row],[Level 1]:[Level 6]]),rng_EFConcat,rng_EFOOS)*Buildings_Heat_Backend[[#This Row],[Converted data]]/1000)</f>
        <v/>
      </c>
      <c r="AP94" s="174">
        <f>Buildings_Heat_Frontend[[#This Row],[Ease of collection]]</f>
        <v>0</v>
      </c>
      <c r="AQ94" s="174">
        <f>Buildings_Heat_Frontend[[#This Row],[Completeness]]</f>
        <v>0</v>
      </c>
      <c r="AR94" s="174">
        <f>Buildings_Heat_Frontend[[#This Row],[Notes]]</f>
        <v>0</v>
      </c>
    </row>
    <row r="95" spans="5:44" x14ac:dyDescent="0.3">
      <c r="E95" s="346"/>
      <c r="F95" s="364"/>
      <c r="G95" s="336"/>
      <c r="H95" s="336"/>
      <c r="I95" s="336"/>
      <c r="J95" s="334"/>
      <c r="K95" s="336"/>
      <c r="L95" s="336"/>
      <c r="M95" s="336"/>
      <c r="N95" s="352"/>
      <c r="O95" s="230">
        <f t="shared" si="5"/>
        <v>6</v>
      </c>
      <c r="Q95" s="212" t="str">
        <f t="shared" si="3"/>
        <v/>
      </c>
      <c r="R95" s="174" t="s">
        <v>265</v>
      </c>
      <c r="S95" s="174" t="s">
        <v>273</v>
      </c>
      <c r="T95" s="174" t="str">
        <f>IF(Buildings_Heat_Frontend[[#This Row],[Data]]="","", _xlfn.XLOOKUP(Buildings_Heat_Backend[[#This Row],[Info 1]],Buildings_SiteInfo[Site name],Buildings_SiteInfo[Site type]))</f>
        <v/>
      </c>
      <c r="U95" s="174" t="str">
        <f>IF(Buildings_Heat_Frontend[[#This Row],[Data]]="","", Buildings_Heat_Frontend[[#This Row],[Heating Type]])</f>
        <v/>
      </c>
      <c r="V95" s="174" t="str">
        <f>IF(Buildings_Heat_Frontend[[#This Row],[Data]]="","", Buildings_Heat_Frontend[[#This Row],[Fuel]])</f>
        <v/>
      </c>
      <c r="W95" s="174" t="str" cm="1">
        <f t="array" ref="W95">IF(Buildings_Heat_Frontend[[#This Row],[Data]]="","", _xlfn.XLOOKUP(Buildings_Heat_Backend[[#This Row],[Level 5]],rng_Level5Long,rng_Level6Long))</f>
        <v/>
      </c>
      <c r="X95" s="174" t="str">
        <f>IF(Buildings_Heat_Frontend[[#This Row],[Data]]="","", Buildings_Heat_Frontend[[#This Row],[Site Name]])</f>
        <v/>
      </c>
      <c r="Y95" s="174" t="str">
        <f>IF(Buildings_Heat_Frontend[[#This Row],[Data]]="","", Buildings_Heat_Frontend[[#This Row],[MPRN]])</f>
        <v/>
      </c>
      <c r="Z95" s="174" t="str">
        <f>IF(Buildings_Heat_Frontend[[#This Row],[Data]]="","", IF($I95="","",$I95))</f>
        <v/>
      </c>
      <c r="AA95" s="229" t="str" cm="1">
        <f t="array" ref="AA95">IF(Buildings_Heat_Frontend[[#This Row],[Data]]="","", INDEX(_xlfn.SWITCH(Buildings_Heat_Backend[[#This Row],[Methodology]],"Tier 1",rng_RSD1,"Tier 2",rng_RSD2,"Tier 3",rng_RSD3),MATCH(_xlfn.CONCAT(Buildings_Heat_Backend[[#This Row],[Level 1]:[Level 6]]),rng_LevelsConcat,0)))</f>
        <v/>
      </c>
      <c r="AB95" s="220" t="str">
        <f t="shared" si="4"/>
        <v/>
      </c>
      <c r="AC95" s="174">
        <f>Buildings_Heat_Frontend[[#This Row],[Units]]</f>
        <v>0</v>
      </c>
      <c r="AD9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5" s="174" t="str">
        <f>IF(Buildings_Heat_Frontend[[#This Row],[Data]]="","", _xlfn.XLOOKUP(_xlfn.CONCAT(Buildings_Heat_Backend[[#This Row],[Level 1]:[Level 6]]),rng_LevelsConcat,rng_UnitsLong))</f>
        <v/>
      </c>
      <c r="AF95" s="210" t="str">
        <f>IF(Buildings_Heat_Frontend[[#This Row],[Data]]="","", _xlfn.XLOOKUP(_xlfn.CONCAT(Buildings_Heat_Backend[[#This Row],[Level 1]:[Level 6]]),rng_EFConcat,rng_EF1)*Buildings_Heat_Backend[[#This Row],[Converted data]]/1000)</f>
        <v/>
      </c>
      <c r="AG95" s="210" t="str">
        <f>IF(Buildings_Heat_Frontend[[#This Row],[Data]]="","", _xlfn.XLOOKUP(_xlfn.CONCAT(Buildings_Heat_Backend[[#This Row],[Level 1]:[Level 6]]),rng_EFConcat,rng_EF2)*Buildings_Heat_Backend[[#This Row],[Converted data]]/1000)</f>
        <v/>
      </c>
      <c r="AH95" s="210" t="str">
        <f>IF(Buildings_Heat_Frontend[[#This Row],[Data]]="","", _xlfn.XLOOKUP(_xlfn.CONCAT(Buildings_Heat_Backend[[#This Row],[Level 1]:[Level 6]]),rng_EFConcat,rng_EF3)*Buildings_Heat_Backend[[#This Row],[Converted data]]/1000)</f>
        <v/>
      </c>
      <c r="AI95" s="210" t="str">
        <f>IF(Buildings_Heat_Frontend[[#This Row],[Data]]="","", _xlfn.XLOOKUP(_xlfn.CONCAT(Buildings_Heat_Backend[[#This Row],[Level 1]:[Level 6]]),rng_EFConcat,rng_EF3WTT)*Buildings_Heat_Backend[[#This Row],[Converted data]]/1000)</f>
        <v/>
      </c>
      <c r="AJ95" s="210" t="str">
        <f>IF(Buildings_Heat_Frontend[[#This Row],[Data]]="","", _xlfn.XLOOKUP(_xlfn.CONCAT(Buildings_Heat_Backend[[#This Row],[Level 1]:[Level 6]]),rng_EFConcat,rng_EF3TD)*Buildings_Heat_Backend[[#This Row],[Converted data]]/1000)</f>
        <v/>
      </c>
      <c r="AK95" s="210" t="str">
        <f>IF(Buildings_Heat_Frontend[[#This Row],[Data]]="","", _xlfn.XLOOKUP(_xlfn.CONCAT(Buildings_Heat_Backend[[#This Row],[Level 1]:[Level 6]]),rng_EFConcat,rng_EF3WTTTD)*Buildings_Heat_Backend[[#This Row],[Converted data]]/1000)</f>
        <v/>
      </c>
      <c r="AL95" s="220">
        <f>SUM(Buildings_Heat_Backend[[#This Row],[Scope 1 (tCO2e)]:[Scope 3 WTT T&amp;D (tCO2e)]])</f>
        <v>0</v>
      </c>
      <c r="AM95" s="220" t="str">
        <f>IF(Buildings_Heat_Frontend[[#This Row],[Data]]="","", Buildings_Heat_Backend[[#This Row],[Total (tCO2e)]]*(1-Buildings_Heat_Backend[[#This Row],[RSD]]))</f>
        <v/>
      </c>
      <c r="AN95" s="220" t="str">
        <f>IF(Buildings_Heat_Frontend[[#This Row],[Data]]="","", Buildings_Heat_Backend[[#This Row],[Total (tCO2e)]]*(1+Buildings_Heat_Backend[[#This Row],[RSD]]))</f>
        <v/>
      </c>
      <c r="AO95" s="210" t="str">
        <f>IF(Buildings_Heat_Frontend[[#This Row],[Data]]="","", _xlfn.XLOOKUP(_xlfn.CONCAT(Buildings_Heat_Backend[[#This Row],[Level 1]:[Level 6]]),rng_EFConcat,rng_EFOOS)*Buildings_Heat_Backend[[#This Row],[Converted data]]/1000)</f>
        <v/>
      </c>
      <c r="AP95" s="174">
        <f>Buildings_Heat_Frontend[[#This Row],[Ease of collection]]</f>
        <v>0</v>
      </c>
      <c r="AQ95" s="174">
        <f>Buildings_Heat_Frontend[[#This Row],[Completeness]]</f>
        <v>0</v>
      </c>
      <c r="AR95" s="174">
        <f>Buildings_Heat_Frontend[[#This Row],[Notes]]</f>
        <v>0</v>
      </c>
    </row>
    <row r="96" spans="5:44" x14ac:dyDescent="0.3">
      <c r="E96" s="346"/>
      <c r="F96" s="364"/>
      <c r="G96" s="336"/>
      <c r="H96" s="336"/>
      <c r="I96" s="336"/>
      <c r="J96" s="334"/>
      <c r="K96" s="336"/>
      <c r="L96" s="336"/>
      <c r="M96" s="336"/>
      <c r="N96" s="352"/>
      <c r="O96" s="230">
        <f t="shared" si="5"/>
        <v>6</v>
      </c>
      <c r="Q96" s="212" t="str">
        <f t="shared" si="3"/>
        <v/>
      </c>
      <c r="R96" s="174" t="s">
        <v>265</v>
      </c>
      <c r="S96" s="174" t="s">
        <v>273</v>
      </c>
      <c r="T96" s="174" t="str">
        <f>IF(Buildings_Heat_Frontend[[#This Row],[Data]]="","", _xlfn.XLOOKUP(Buildings_Heat_Backend[[#This Row],[Info 1]],Buildings_SiteInfo[Site name],Buildings_SiteInfo[Site type]))</f>
        <v/>
      </c>
      <c r="U96" s="174" t="str">
        <f>IF(Buildings_Heat_Frontend[[#This Row],[Data]]="","", Buildings_Heat_Frontend[[#This Row],[Heating Type]])</f>
        <v/>
      </c>
      <c r="V96" s="174" t="str">
        <f>IF(Buildings_Heat_Frontend[[#This Row],[Data]]="","", Buildings_Heat_Frontend[[#This Row],[Fuel]])</f>
        <v/>
      </c>
      <c r="W96" s="174" t="str" cm="1">
        <f t="array" ref="W96">IF(Buildings_Heat_Frontend[[#This Row],[Data]]="","", _xlfn.XLOOKUP(Buildings_Heat_Backend[[#This Row],[Level 5]],rng_Level5Long,rng_Level6Long))</f>
        <v/>
      </c>
      <c r="X96" s="174" t="str">
        <f>IF(Buildings_Heat_Frontend[[#This Row],[Data]]="","", Buildings_Heat_Frontend[[#This Row],[Site Name]])</f>
        <v/>
      </c>
      <c r="Y96" s="174" t="str">
        <f>IF(Buildings_Heat_Frontend[[#This Row],[Data]]="","", Buildings_Heat_Frontend[[#This Row],[MPRN]])</f>
        <v/>
      </c>
      <c r="Z96" s="174" t="str">
        <f>IF(Buildings_Heat_Frontend[[#This Row],[Data]]="","", IF($I96="","",$I96))</f>
        <v/>
      </c>
      <c r="AA96" s="229" t="str" cm="1">
        <f t="array" ref="AA96">IF(Buildings_Heat_Frontend[[#This Row],[Data]]="","", INDEX(_xlfn.SWITCH(Buildings_Heat_Backend[[#This Row],[Methodology]],"Tier 1",rng_RSD1,"Tier 2",rng_RSD2,"Tier 3",rng_RSD3),MATCH(_xlfn.CONCAT(Buildings_Heat_Backend[[#This Row],[Level 1]:[Level 6]]),rng_LevelsConcat,0)))</f>
        <v/>
      </c>
      <c r="AB96" s="220" t="str">
        <f t="shared" si="4"/>
        <v/>
      </c>
      <c r="AC96" s="174">
        <f>Buildings_Heat_Frontend[[#This Row],[Units]]</f>
        <v>0</v>
      </c>
      <c r="AD9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6" s="174" t="str">
        <f>IF(Buildings_Heat_Frontend[[#This Row],[Data]]="","", _xlfn.XLOOKUP(_xlfn.CONCAT(Buildings_Heat_Backend[[#This Row],[Level 1]:[Level 6]]),rng_LevelsConcat,rng_UnitsLong))</f>
        <v/>
      </c>
      <c r="AF96" s="210" t="str">
        <f>IF(Buildings_Heat_Frontend[[#This Row],[Data]]="","", _xlfn.XLOOKUP(_xlfn.CONCAT(Buildings_Heat_Backend[[#This Row],[Level 1]:[Level 6]]),rng_EFConcat,rng_EF1)*Buildings_Heat_Backend[[#This Row],[Converted data]]/1000)</f>
        <v/>
      </c>
      <c r="AG96" s="210" t="str">
        <f>IF(Buildings_Heat_Frontend[[#This Row],[Data]]="","", _xlfn.XLOOKUP(_xlfn.CONCAT(Buildings_Heat_Backend[[#This Row],[Level 1]:[Level 6]]),rng_EFConcat,rng_EF2)*Buildings_Heat_Backend[[#This Row],[Converted data]]/1000)</f>
        <v/>
      </c>
      <c r="AH96" s="210" t="str">
        <f>IF(Buildings_Heat_Frontend[[#This Row],[Data]]="","", _xlfn.XLOOKUP(_xlfn.CONCAT(Buildings_Heat_Backend[[#This Row],[Level 1]:[Level 6]]),rng_EFConcat,rng_EF3)*Buildings_Heat_Backend[[#This Row],[Converted data]]/1000)</f>
        <v/>
      </c>
      <c r="AI96" s="210" t="str">
        <f>IF(Buildings_Heat_Frontend[[#This Row],[Data]]="","", _xlfn.XLOOKUP(_xlfn.CONCAT(Buildings_Heat_Backend[[#This Row],[Level 1]:[Level 6]]),rng_EFConcat,rng_EF3WTT)*Buildings_Heat_Backend[[#This Row],[Converted data]]/1000)</f>
        <v/>
      </c>
      <c r="AJ96" s="210" t="str">
        <f>IF(Buildings_Heat_Frontend[[#This Row],[Data]]="","", _xlfn.XLOOKUP(_xlfn.CONCAT(Buildings_Heat_Backend[[#This Row],[Level 1]:[Level 6]]),rng_EFConcat,rng_EF3TD)*Buildings_Heat_Backend[[#This Row],[Converted data]]/1000)</f>
        <v/>
      </c>
      <c r="AK96" s="210" t="str">
        <f>IF(Buildings_Heat_Frontend[[#This Row],[Data]]="","", _xlfn.XLOOKUP(_xlfn.CONCAT(Buildings_Heat_Backend[[#This Row],[Level 1]:[Level 6]]),rng_EFConcat,rng_EF3WTTTD)*Buildings_Heat_Backend[[#This Row],[Converted data]]/1000)</f>
        <v/>
      </c>
      <c r="AL96" s="220">
        <f>SUM(Buildings_Heat_Backend[[#This Row],[Scope 1 (tCO2e)]:[Scope 3 WTT T&amp;D (tCO2e)]])</f>
        <v>0</v>
      </c>
      <c r="AM96" s="220" t="str">
        <f>IF(Buildings_Heat_Frontend[[#This Row],[Data]]="","", Buildings_Heat_Backend[[#This Row],[Total (tCO2e)]]*(1-Buildings_Heat_Backend[[#This Row],[RSD]]))</f>
        <v/>
      </c>
      <c r="AN96" s="220" t="str">
        <f>IF(Buildings_Heat_Frontend[[#This Row],[Data]]="","", Buildings_Heat_Backend[[#This Row],[Total (tCO2e)]]*(1+Buildings_Heat_Backend[[#This Row],[RSD]]))</f>
        <v/>
      </c>
      <c r="AO96" s="210" t="str">
        <f>IF(Buildings_Heat_Frontend[[#This Row],[Data]]="","", _xlfn.XLOOKUP(_xlfn.CONCAT(Buildings_Heat_Backend[[#This Row],[Level 1]:[Level 6]]),rng_EFConcat,rng_EFOOS)*Buildings_Heat_Backend[[#This Row],[Converted data]]/1000)</f>
        <v/>
      </c>
      <c r="AP96" s="174">
        <f>Buildings_Heat_Frontend[[#This Row],[Ease of collection]]</f>
        <v>0</v>
      </c>
      <c r="AQ96" s="174">
        <f>Buildings_Heat_Frontend[[#This Row],[Completeness]]</f>
        <v>0</v>
      </c>
      <c r="AR96" s="174">
        <f>Buildings_Heat_Frontend[[#This Row],[Notes]]</f>
        <v>0</v>
      </c>
    </row>
    <row r="97" spans="5:44" x14ac:dyDescent="0.3">
      <c r="E97" s="346"/>
      <c r="F97" s="364"/>
      <c r="G97" s="336"/>
      <c r="H97" s="336"/>
      <c r="I97" s="336"/>
      <c r="J97" s="334"/>
      <c r="K97" s="336"/>
      <c r="L97" s="336"/>
      <c r="M97" s="336"/>
      <c r="N97" s="352"/>
      <c r="O97" s="230">
        <f t="shared" si="5"/>
        <v>6</v>
      </c>
      <c r="Q97" s="212" t="str">
        <f t="shared" si="3"/>
        <v/>
      </c>
      <c r="R97" s="174" t="s">
        <v>265</v>
      </c>
      <c r="S97" s="174" t="s">
        <v>273</v>
      </c>
      <c r="T97" s="174" t="str">
        <f>IF(Buildings_Heat_Frontend[[#This Row],[Data]]="","", _xlfn.XLOOKUP(Buildings_Heat_Backend[[#This Row],[Info 1]],Buildings_SiteInfo[Site name],Buildings_SiteInfo[Site type]))</f>
        <v/>
      </c>
      <c r="U97" s="174" t="str">
        <f>IF(Buildings_Heat_Frontend[[#This Row],[Data]]="","", Buildings_Heat_Frontend[[#This Row],[Heating Type]])</f>
        <v/>
      </c>
      <c r="V97" s="174" t="str">
        <f>IF(Buildings_Heat_Frontend[[#This Row],[Data]]="","", Buildings_Heat_Frontend[[#This Row],[Fuel]])</f>
        <v/>
      </c>
      <c r="W97" s="174" t="str" cm="1">
        <f t="array" ref="W97">IF(Buildings_Heat_Frontend[[#This Row],[Data]]="","", _xlfn.XLOOKUP(Buildings_Heat_Backend[[#This Row],[Level 5]],rng_Level5Long,rng_Level6Long))</f>
        <v/>
      </c>
      <c r="X97" s="174" t="str">
        <f>IF(Buildings_Heat_Frontend[[#This Row],[Data]]="","", Buildings_Heat_Frontend[[#This Row],[Site Name]])</f>
        <v/>
      </c>
      <c r="Y97" s="174" t="str">
        <f>IF(Buildings_Heat_Frontend[[#This Row],[Data]]="","", Buildings_Heat_Frontend[[#This Row],[MPRN]])</f>
        <v/>
      </c>
      <c r="Z97" s="174" t="str">
        <f>IF(Buildings_Heat_Frontend[[#This Row],[Data]]="","", IF($I97="","",$I97))</f>
        <v/>
      </c>
      <c r="AA97" s="229" t="str" cm="1">
        <f t="array" ref="AA97">IF(Buildings_Heat_Frontend[[#This Row],[Data]]="","", INDEX(_xlfn.SWITCH(Buildings_Heat_Backend[[#This Row],[Methodology]],"Tier 1",rng_RSD1,"Tier 2",rng_RSD2,"Tier 3",rng_RSD3),MATCH(_xlfn.CONCAT(Buildings_Heat_Backend[[#This Row],[Level 1]:[Level 6]]),rng_LevelsConcat,0)))</f>
        <v/>
      </c>
      <c r="AB97" s="220" t="str">
        <f t="shared" si="4"/>
        <v/>
      </c>
      <c r="AC97" s="174">
        <f>Buildings_Heat_Frontend[[#This Row],[Units]]</f>
        <v>0</v>
      </c>
      <c r="AD9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7" s="174" t="str">
        <f>IF(Buildings_Heat_Frontend[[#This Row],[Data]]="","", _xlfn.XLOOKUP(_xlfn.CONCAT(Buildings_Heat_Backend[[#This Row],[Level 1]:[Level 6]]),rng_LevelsConcat,rng_UnitsLong))</f>
        <v/>
      </c>
      <c r="AF97" s="210" t="str">
        <f>IF(Buildings_Heat_Frontend[[#This Row],[Data]]="","", _xlfn.XLOOKUP(_xlfn.CONCAT(Buildings_Heat_Backend[[#This Row],[Level 1]:[Level 6]]),rng_EFConcat,rng_EF1)*Buildings_Heat_Backend[[#This Row],[Converted data]]/1000)</f>
        <v/>
      </c>
      <c r="AG97" s="210" t="str">
        <f>IF(Buildings_Heat_Frontend[[#This Row],[Data]]="","", _xlfn.XLOOKUP(_xlfn.CONCAT(Buildings_Heat_Backend[[#This Row],[Level 1]:[Level 6]]),rng_EFConcat,rng_EF2)*Buildings_Heat_Backend[[#This Row],[Converted data]]/1000)</f>
        <v/>
      </c>
      <c r="AH97" s="210" t="str">
        <f>IF(Buildings_Heat_Frontend[[#This Row],[Data]]="","", _xlfn.XLOOKUP(_xlfn.CONCAT(Buildings_Heat_Backend[[#This Row],[Level 1]:[Level 6]]),rng_EFConcat,rng_EF3)*Buildings_Heat_Backend[[#This Row],[Converted data]]/1000)</f>
        <v/>
      </c>
      <c r="AI97" s="210" t="str">
        <f>IF(Buildings_Heat_Frontend[[#This Row],[Data]]="","", _xlfn.XLOOKUP(_xlfn.CONCAT(Buildings_Heat_Backend[[#This Row],[Level 1]:[Level 6]]),rng_EFConcat,rng_EF3WTT)*Buildings_Heat_Backend[[#This Row],[Converted data]]/1000)</f>
        <v/>
      </c>
      <c r="AJ97" s="210" t="str">
        <f>IF(Buildings_Heat_Frontend[[#This Row],[Data]]="","", _xlfn.XLOOKUP(_xlfn.CONCAT(Buildings_Heat_Backend[[#This Row],[Level 1]:[Level 6]]),rng_EFConcat,rng_EF3TD)*Buildings_Heat_Backend[[#This Row],[Converted data]]/1000)</f>
        <v/>
      </c>
      <c r="AK97" s="210" t="str">
        <f>IF(Buildings_Heat_Frontend[[#This Row],[Data]]="","", _xlfn.XLOOKUP(_xlfn.CONCAT(Buildings_Heat_Backend[[#This Row],[Level 1]:[Level 6]]),rng_EFConcat,rng_EF3WTTTD)*Buildings_Heat_Backend[[#This Row],[Converted data]]/1000)</f>
        <v/>
      </c>
      <c r="AL97" s="220">
        <f>SUM(Buildings_Heat_Backend[[#This Row],[Scope 1 (tCO2e)]:[Scope 3 WTT T&amp;D (tCO2e)]])</f>
        <v>0</v>
      </c>
      <c r="AM97" s="220" t="str">
        <f>IF(Buildings_Heat_Frontend[[#This Row],[Data]]="","", Buildings_Heat_Backend[[#This Row],[Total (tCO2e)]]*(1-Buildings_Heat_Backend[[#This Row],[RSD]]))</f>
        <v/>
      </c>
      <c r="AN97" s="220" t="str">
        <f>IF(Buildings_Heat_Frontend[[#This Row],[Data]]="","", Buildings_Heat_Backend[[#This Row],[Total (tCO2e)]]*(1+Buildings_Heat_Backend[[#This Row],[RSD]]))</f>
        <v/>
      </c>
      <c r="AO97" s="210" t="str">
        <f>IF(Buildings_Heat_Frontend[[#This Row],[Data]]="","", _xlfn.XLOOKUP(_xlfn.CONCAT(Buildings_Heat_Backend[[#This Row],[Level 1]:[Level 6]]),rng_EFConcat,rng_EFOOS)*Buildings_Heat_Backend[[#This Row],[Converted data]]/1000)</f>
        <v/>
      </c>
      <c r="AP97" s="174">
        <f>Buildings_Heat_Frontend[[#This Row],[Ease of collection]]</f>
        <v>0</v>
      </c>
      <c r="AQ97" s="174">
        <f>Buildings_Heat_Frontend[[#This Row],[Completeness]]</f>
        <v>0</v>
      </c>
      <c r="AR97" s="174">
        <f>Buildings_Heat_Frontend[[#This Row],[Notes]]</f>
        <v>0</v>
      </c>
    </row>
    <row r="98" spans="5:44" x14ac:dyDescent="0.3">
      <c r="E98" s="346"/>
      <c r="F98" s="364"/>
      <c r="G98" s="336"/>
      <c r="H98" s="336"/>
      <c r="I98" s="336"/>
      <c r="J98" s="334"/>
      <c r="K98" s="336"/>
      <c r="L98" s="336"/>
      <c r="M98" s="336"/>
      <c r="N98" s="352"/>
      <c r="O98" s="230">
        <f t="shared" si="5"/>
        <v>6</v>
      </c>
      <c r="Q98" s="212" t="str">
        <f t="shared" si="3"/>
        <v/>
      </c>
      <c r="R98" s="174" t="s">
        <v>265</v>
      </c>
      <c r="S98" s="174" t="s">
        <v>273</v>
      </c>
      <c r="T98" s="174" t="str">
        <f>IF(Buildings_Heat_Frontend[[#This Row],[Data]]="","", _xlfn.XLOOKUP(Buildings_Heat_Backend[[#This Row],[Info 1]],Buildings_SiteInfo[Site name],Buildings_SiteInfo[Site type]))</f>
        <v/>
      </c>
      <c r="U98" s="174" t="str">
        <f>IF(Buildings_Heat_Frontend[[#This Row],[Data]]="","", Buildings_Heat_Frontend[[#This Row],[Heating Type]])</f>
        <v/>
      </c>
      <c r="V98" s="174" t="str">
        <f>IF(Buildings_Heat_Frontend[[#This Row],[Data]]="","", Buildings_Heat_Frontend[[#This Row],[Fuel]])</f>
        <v/>
      </c>
      <c r="W98" s="174" t="str" cm="1">
        <f t="array" ref="W98">IF(Buildings_Heat_Frontend[[#This Row],[Data]]="","", _xlfn.XLOOKUP(Buildings_Heat_Backend[[#This Row],[Level 5]],rng_Level5Long,rng_Level6Long))</f>
        <v/>
      </c>
      <c r="X98" s="174" t="str">
        <f>IF(Buildings_Heat_Frontend[[#This Row],[Data]]="","", Buildings_Heat_Frontend[[#This Row],[Site Name]])</f>
        <v/>
      </c>
      <c r="Y98" s="174" t="str">
        <f>IF(Buildings_Heat_Frontend[[#This Row],[Data]]="","", Buildings_Heat_Frontend[[#This Row],[MPRN]])</f>
        <v/>
      </c>
      <c r="Z98" s="174" t="str">
        <f>IF(Buildings_Heat_Frontend[[#This Row],[Data]]="","", IF($I98="","",$I98))</f>
        <v/>
      </c>
      <c r="AA98" s="229" t="str" cm="1">
        <f t="array" ref="AA98">IF(Buildings_Heat_Frontend[[#This Row],[Data]]="","", INDEX(_xlfn.SWITCH(Buildings_Heat_Backend[[#This Row],[Methodology]],"Tier 1",rng_RSD1,"Tier 2",rng_RSD2,"Tier 3",rng_RSD3),MATCH(_xlfn.CONCAT(Buildings_Heat_Backend[[#This Row],[Level 1]:[Level 6]]),rng_LevelsConcat,0)))</f>
        <v/>
      </c>
      <c r="AB98" s="220" t="str">
        <f t="shared" si="4"/>
        <v/>
      </c>
      <c r="AC98" s="174">
        <f>Buildings_Heat_Frontend[[#This Row],[Units]]</f>
        <v>0</v>
      </c>
      <c r="AD9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8" s="174" t="str">
        <f>IF(Buildings_Heat_Frontend[[#This Row],[Data]]="","", _xlfn.XLOOKUP(_xlfn.CONCAT(Buildings_Heat_Backend[[#This Row],[Level 1]:[Level 6]]),rng_LevelsConcat,rng_UnitsLong))</f>
        <v/>
      </c>
      <c r="AF98" s="210" t="str">
        <f>IF(Buildings_Heat_Frontend[[#This Row],[Data]]="","", _xlfn.XLOOKUP(_xlfn.CONCAT(Buildings_Heat_Backend[[#This Row],[Level 1]:[Level 6]]),rng_EFConcat,rng_EF1)*Buildings_Heat_Backend[[#This Row],[Converted data]]/1000)</f>
        <v/>
      </c>
      <c r="AG98" s="210" t="str">
        <f>IF(Buildings_Heat_Frontend[[#This Row],[Data]]="","", _xlfn.XLOOKUP(_xlfn.CONCAT(Buildings_Heat_Backend[[#This Row],[Level 1]:[Level 6]]),rng_EFConcat,rng_EF2)*Buildings_Heat_Backend[[#This Row],[Converted data]]/1000)</f>
        <v/>
      </c>
      <c r="AH98" s="210" t="str">
        <f>IF(Buildings_Heat_Frontend[[#This Row],[Data]]="","", _xlfn.XLOOKUP(_xlfn.CONCAT(Buildings_Heat_Backend[[#This Row],[Level 1]:[Level 6]]),rng_EFConcat,rng_EF3)*Buildings_Heat_Backend[[#This Row],[Converted data]]/1000)</f>
        <v/>
      </c>
      <c r="AI98" s="210" t="str">
        <f>IF(Buildings_Heat_Frontend[[#This Row],[Data]]="","", _xlfn.XLOOKUP(_xlfn.CONCAT(Buildings_Heat_Backend[[#This Row],[Level 1]:[Level 6]]),rng_EFConcat,rng_EF3WTT)*Buildings_Heat_Backend[[#This Row],[Converted data]]/1000)</f>
        <v/>
      </c>
      <c r="AJ98" s="210" t="str">
        <f>IF(Buildings_Heat_Frontend[[#This Row],[Data]]="","", _xlfn.XLOOKUP(_xlfn.CONCAT(Buildings_Heat_Backend[[#This Row],[Level 1]:[Level 6]]),rng_EFConcat,rng_EF3TD)*Buildings_Heat_Backend[[#This Row],[Converted data]]/1000)</f>
        <v/>
      </c>
      <c r="AK98" s="210" t="str">
        <f>IF(Buildings_Heat_Frontend[[#This Row],[Data]]="","", _xlfn.XLOOKUP(_xlfn.CONCAT(Buildings_Heat_Backend[[#This Row],[Level 1]:[Level 6]]),rng_EFConcat,rng_EF3WTTTD)*Buildings_Heat_Backend[[#This Row],[Converted data]]/1000)</f>
        <v/>
      </c>
      <c r="AL98" s="220">
        <f>SUM(Buildings_Heat_Backend[[#This Row],[Scope 1 (tCO2e)]:[Scope 3 WTT T&amp;D (tCO2e)]])</f>
        <v>0</v>
      </c>
      <c r="AM98" s="220" t="str">
        <f>IF(Buildings_Heat_Frontend[[#This Row],[Data]]="","", Buildings_Heat_Backend[[#This Row],[Total (tCO2e)]]*(1-Buildings_Heat_Backend[[#This Row],[RSD]]))</f>
        <v/>
      </c>
      <c r="AN98" s="220" t="str">
        <f>IF(Buildings_Heat_Frontend[[#This Row],[Data]]="","", Buildings_Heat_Backend[[#This Row],[Total (tCO2e)]]*(1+Buildings_Heat_Backend[[#This Row],[RSD]]))</f>
        <v/>
      </c>
      <c r="AO98" s="210" t="str">
        <f>IF(Buildings_Heat_Frontend[[#This Row],[Data]]="","", _xlfn.XLOOKUP(_xlfn.CONCAT(Buildings_Heat_Backend[[#This Row],[Level 1]:[Level 6]]),rng_EFConcat,rng_EFOOS)*Buildings_Heat_Backend[[#This Row],[Converted data]]/1000)</f>
        <v/>
      </c>
      <c r="AP98" s="174">
        <f>Buildings_Heat_Frontend[[#This Row],[Ease of collection]]</f>
        <v>0</v>
      </c>
      <c r="AQ98" s="174">
        <f>Buildings_Heat_Frontend[[#This Row],[Completeness]]</f>
        <v>0</v>
      </c>
      <c r="AR98" s="174">
        <f>Buildings_Heat_Frontend[[#This Row],[Notes]]</f>
        <v>0</v>
      </c>
    </row>
    <row r="99" spans="5:44" x14ac:dyDescent="0.3">
      <c r="E99" s="346"/>
      <c r="F99" s="364"/>
      <c r="G99" s="336"/>
      <c r="H99" s="336"/>
      <c r="I99" s="336"/>
      <c r="J99" s="334"/>
      <c r="K99" s="336"/>
      <c r="L99" s="336"/>
      <c r="M99" s="336"/>
      <c r="N99" s="352"/>
      <c r="O99" s="230">
        <f t="shared" si="5"/>
        <v>6</v>
      </c>
      <c r="Q99" s="212" t="str">
        <f t="shared" si="3"/>
        <v/>
      </c>
      <c r="R99" s="174" t="s">
        <v>265</v>
      </c>
      <c r="S99" s="174" t="s">
        <v>273</v>
      </c>
      <c r="T99" s="174" t="str">
        <f>IF(Buildings_Heat_Frontend[[#This Row],[Data]]="","", _xlfn.XLOOKUP(Buildings_Heat_Backend[[#This Row],[Info 1]],Buildings_SiteInfo[Site name],Buildings_SiteInfo[Site type]))</f>
        <v/>
      </c>
      <c r="U99" s="174" t="str">
        <f>IF(Buildings_Heat_Frontend[[#This Row],[Data]]="","", Buildings_Heat_Frontend[[#This Row],[Heating Type]])</f>
        <v/>
      </c>
      <c r="V99" s="174" t="str">
        <f>IF(Buildings_Heat_Frontend[[#This Row],[Data]]="","", Buildings_Heat_Frontend[[#This Row],[Fuel]])</f>
        <v/>
      </c>
      <c r="W99" s="174" t="str" cm="1">
        <f t="array" ref="W99">IF(Buildings_Heat_Frontend[[#This Row],[Data]]="","", _xlfn.XLOOKUP(Buildings_Heat_Backend[[#This Row],[Level 5]],rng_Level5Long,rng_Level6Long))</f>
        <v/>
      </c>
      <c r="X99" s="174" t="str">
        <f>IF(Buildings_Heat_Frontend[[#This Row],[Data]]="","", Buildings_Heat_Frontend[[#This Row],[Site Name]])</f>
        <v/>
      </c>
      <c r="Y99" s="174" t="str">
        <f>IF(Buildings_Heat_Frontend[[#This Row],[Data]]="","", Buildings_Heat_Frontend[[#This Row],[MPRN]])</f>
        <v/>
      </c>
      <c r="Z99" s="174" t="str">
        <f>IF(Buildings_Heat_Frontend[[#This Row],[Data]]="","", IF($I99="","",$I99))</f>
        <v/>
      </c>
      <c r="AA99" s="229" t="str" cm="1">
        <f t="array" ref="AA99">IF(Buildings_Heat_Frontend[[#This Row],[Data]]="","", INDEX(_xlfn.SWITCH(Buildings_Heat_Backend[[#This Row],[Methodology]],"Tier 1",rng_RSD1,"Tier 2",rng_RSD2,"Tier 3",rng_RSD3),MATCH(_xlfn.CONCAT(Buildings_Heat_Backend[[#This Row],[Level 1]:[Level 6]]),rng_LevelsConcat,0)))</f>
        <v/>
      </c>
      <c r="AB99" s="220" t="str">
        <f t="shared" si="4"/>
        <v/>
      </c>
      <c r="AC99" s="174">
        <f>Buildings_Heat_Frontend[[#This Row],[Units]]</f>
        <v>0</v>
      </c>
      <c r="AD9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99" s="174" t="str">
        <f>IF(Buildings_Heat_Frontend[[#This Row],[Data]]="","", _xlfn.XLOOKUP(_xlfn.CONCAT(Buildings_Heat_Backend[[#This Row],[Level 1]:[Level 6]]),rng_LevelsConcat,rng_UnitsLong))</f>
        <v/>
      </c>
      <c r="AF99" s="210" t="str">
        <f>IF(Buildings_Heat_Frontend[[#This Row],[Data]]="","", _xlfn.XLOOKUP(_xlfn.CONCAT(Buildings_Heat_Backend[[#This Row],[Level 1]:[Level 6]]),rng_EFConcat,rng_EF1)*Buildings_Heat_Backend[[#This Row],[Converted data]]/1000)</f>
        <v/>
      </c>
      <c r="AG99" s="210" t="str">
        <f>IF(Buildings_Heat_Frontend[[#This Row],[Data]]="","", _xlfn.XLOOKUP(_xlfn.CONCAT(Buildings_Heat_Backend[[#This Row],[Level 1]:[Level 6]]),rng_EFConcat,rng_EF2)*Buildings_Heat_Backend[[#This Row],[Converted data]]/1000)</f>
        <v/>
      </c>
      <c r="AH99" s="210" t="str">
        <f>IF(Buildings_Heat_Frontend[[#This Row],[Data]]="","", _xlfn.XLOOKUP(_xlfn.CONCAT(Buildings_Heat_Backend[[#This Row],[Level 1]:[Level 6]]),rng_EFConcat,rng_EF3)*Buildings_Heat_Backend[[#This Row],[Converted data]]/1000)</f>
        <v/>
      </c>
      <c r="AI99" s="210" t="str">
        <f>IF(Buildings_Heat_Frontend[[#This Row],[Data]]="","", _xlfn.XLOOKUP(_xlfn.CONCAT(Buildings_Heat_Backend[[#This Row],[Level 1]:[Level 6]]),rng_EFConcat,rng_EF3WTT)*Buildings_Heat_Backend[[#This Row],[Converted data]]/1000)</f>
        <v/>
      </c>
      <c r="AJ99" s="210" t="str">
        <f>IF(Buildings_Heat_Frontend[[#This Row],[Data]]="","", _xlfn.XLOOKUP(_xlfn.CONCAT(Buildings_Heat_Backend[[#This Row],[Level 1]:[Level 6]]),rng_EFConcat,rng_EF3TD)*Buildings_Heat_Backend[[#This Row],[Converted data]]/1000)</f>
        <v/>
      </c>
      <c r="AK99" s="210" t="str">
        <f>IF(Buildings_Heat_Frontend[[#This Row],[Data]]="","", _xlfn.XLOOKUP(_xlfn.CONCAT(Buildings_Heat_Backend[[#This Row],[Level 1]:[Level 6]]),rng_EFConcat,rng_EF3WTTTD)*Buildings_Heat_Backend[[#This Row],[Converted data]]/1000)</f>
        <v/>
      </c>
      <c r="AL99" s="220">
        <f>SUM(Buildings_Heat_Backend[[#This Row],[Scope 1 (tCO2e)]:[Scope 3 WTT T&amp;D (tCO2e)]])</f>
        <v>0</v>
      </c>
      <c r="AM99" s="220" t="str">
        <f>IF(Buildings_Heat_Frontend[[#This Row],[Data]]="","", Buildings_Heat_Backend[[#This Row],[Total (tCO2e)]]*(1-Buildings_Heat_Backend[[#This Row],[RSD]]))</f>
        <v/>
      </c>
      <c r="AN99" s="220" t="str">
        <f>IF(Buildings_Heat_Frontend[[#This Row],[Data]]="","", Buildings_Heat_Backend[[#This Row],[Total (tCO2e)]]*(1+Buildings_Heat_Backend[[#This Row],[RSD]]))</f>
        <v/>
      </c>
      <c r="AO99" s="210" t="str">
        <f>IF(Buildings_Heat_Frontend[[#This Row],[Data]]="","", _xlfn.XLOOKUP(_xlfn.CONCAT(Buildings_Heat_Backend[[#This Row],[Level 1]:[Level 6]]),rng_EFConcat,rng_EFOOS)*Buildings_Heat_Backend[[#This Row],[Converted data]]/1000)</f>
        <v/>
      </c>
      <c r="AP99" s="174">
        <f>Buildings_Heat_Frontend[[#This Row],[Ease of collection]]</f>
        <v>0</v>
      </c>
      <c r="AQ99" s="174">
        <f>Buildings_Heat_Frontend[[#This Row],[Completeness]]</f>
        <v>0</v>
      </c>
      <c r="AR99" s="174">
        <f>Buildings_Heat_Frontend[[#This Row],[Notes]]</f>
        <v>0</v>
      </c>
    </row>
    <row r="100" spans="5:44" x14ac:dyDescent="0.3">
      <c r="E100" s="346"/>
      <c r="F100" s="364"/>
      <c r="G100" s="336"/>
      <c r="H100" s="336"/>
      <c r="I100" s="336"/>
      <c r="J100" s="334"/>
      <c r="K100" s="336"/>
      <c r="L100" s="336"/>
      <c r="M100" s="336"/>
      <c r="N100" s="352"/>
      <c r="O100" s="230">
        <f t="shared" si="5"/>
        <v>6</v>
      </c>
      <c r="Q100" s="212" t="str">
        <f t="shared" si="3"/>
        <v/>
      </c>
      <c r="R100" s="174" t="s">
        <v>265</v>
      </c>
      <c r="S100" s="174" t="s">
        <v>273</v>
      </c>
      <c r="T100" s="174" t="str">
        <f>IF(Buildings_Heat_Frontend[[#This Row],[Data]]="","", _xlfn.XLOOKUP(Buildings_Heat_Backend[[#This Row],[Info 1]],Buildings_SiteInfo[Site name],Buildings_SiteInfo[Site type]))</f>
        <v/>
      </c>
      <c r="U100" s="174" t="str">
        <f>IF(Buildings_Heat_Frontend[[#This Row],[Data]]="","", Buildings_Heat_Frontend[[#This Row],[Heating Type]])</f>
        <v/>
      </c>
      <c r="V100" s="174" t="str">
        <f>IF(Buildings_Heat_Frontend[[#This Row],[Data]]="","", Buildings_Heat_Frontend[[#This Row],[Fuel]])</f>
        <v/>
      </c>
      <c r="W100" s="174" t="str" cm="1">
        <f t="array" ref="W100">IF(Buildings_Heat_Frontend[[#This Row],[Data]]="","", _xlfn.XLOOKUP(Buildings_Heat_Backend[[#This Row],[Level 5]],rng_Level5Long,rng_Level6Long))</f>
        <v/>
      </c>
      <c r="X100" s="174" t="str">
        <f>IF(Buildings_Heat_Frontend[[#This Row],[Data]]="","", Buildings_Heat_Frontend[[#This Row],[Site Name]])</f>
        <v/>
      </c>
      <c r="Y100" s="174" t="str">
        <f>IF(Buildings_Heat_Frontend[[#This Row],[Data]]="","", Buildings_Heat_Frontend[[#This Row],[MPRN]])</f>
        <v/>
      </c>
      <c r="Z100" s="174" t="str">
        <f>IF(Buildings_Heat_Frontend[[#This Row],[Data]]="","", IF($I100="","",$I100))</f>
        <v/>
      </c>
      <c r="AA100" s="229" t="str" cm="1">
        <f t="array" ref="AA100">IF(Buildings_Heat_Frontend[[#This Row],[Data]]="","", INDEX(_xlfn.SWITCH(Buildings_Heat_Backend[[#This Row],[Methodology]],"Tier 1",rng_RSD1,"Tier 2",rng_RSD2,"Tier 3",rng_RSD3),MATCH(_xlfn.CONCAT(Buildings_Heat_Backend[[#This Row],[Level 1]:[Level 6]]),rng_LevelsConcat,0)))</f>
        <v/>
      </c>
      <c r="AB100" s="220" t="str">
        <f t="shared" si="4"/>
        <v/>
      </c>
      <c r="AC100" s="174">
        <f>Buildings_Heat_Frontend[[#This Row],[Units]]</f>
        <v>0</v>
      </c>
      <c r="AD10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0" s="174" t="str">
        <f>IF(Buildings_Heat_Frontend[[#This Row],[Data]]="","", _xlfn.XLOOKUP(_xlfn.CONCAT(Buildings_Heat_Backend[[#This Row],[Level 1]:[Level 6]]),rng_LevelsConcat,rng_UnitsLong))</f>
        <v/>
      </c>
      <c r="AF100" s="210" t="str">
        <f>IF(Buildings_Heat_Frontend[[#This Row],[Data]]="","", _xlfn.XLOOKUP(_xlfn.CONCAT(Buildings_Heat_Backend[[#This Row],[Level 1]:[Level 6]]),rng_EFConcat,rng_EF1)*Buildings_Heat_Backend[[#This Row],[Converted data]]/1000)</f>
        <v/>
      </c>
      <c r="AG100" s="210" t="str">
        <f>IF(Buildings_Heat_Frontend[[#This Row],[Data]]="","", _xlfn.XLOOKUP(_xlfn.CONCAT(Buildings_Heat_Backend[[#This Row],[Level 1]:[Level 6]]),rng_EFConcat,rng_EF2)*Buildings_Heat_Backend[[#This Row],[Converted data]]/1000)</f>
        <v/>
      </c>
      <c r="AH100" s="210" t="str">
        <f>IF(Buildings_Heat_Frontend[[#This Row],[Data]]="","", _xlfn.XLOOKUP(_xlfn.CONCAT(Buildings_Heat_Backend[[#This Row],[Level 1]:[Level 6]]),rng_EFConcat,rng_EF3)*Buildings_Heat_Backend[[#This Row],[Converted data]]/1000)</f>
        <v/>
      </c>
      <c r="AI100" s="210" t="str">
        <f>IF(Buildings_Heat_Frontend[[#This Row],[Data]]="","", _xlfn.XLOOKUP(_xlfn.CONCAT(Buildings_Heat_Backend[[#This Row],[Level 1]:[Level 6]]),rng_EFConcat,rng_EF3WTT)*Buildings_Heat_Backend[[#This Row],[Converted data]]/1000)</f>
        <v/>
      </c>
      <c r="AJ100" s="210" t="str">
        <f>IF(Buildings_Heat_Frontend[[#This Row],[Data]]="","", _xlfn.XLOOKUP(_xlfn.CONCAT(Buildings_Heat_Backend[[#This Row],[Level 1]:[Level 6]]),rng_EFConcat,rng_EF3TD)*Buildings_Heat_Backend[[#This Row],[Converted data]]/1000)</f>
        <v/>
      </c>
      <c r="AK100" s="210" t="str">
        <f>IF(Buildings_Heat_Frontend[[#This Row],[Data]]="","", _xlfn.XLOOKUP(_xlfn.CONCAT(Buildings_Heat_Backend[[#This Row],[Level 1]:[Level 6]]),rng_EFConcat,rng_EF3WTTTD)*Buildings_Heat_Backend[[#This Row],[Converted data]]/1000)</f>
        <v/>
      </c>
      <c r="AL100" s="220">
        <f>SUM(Buildings_Heat_Backend[[#This Row],[Scope 1 (tCO2e)]:[Scope 3 WTT T&amp;D (tCO2e)]])</f>
        <v>0</v>
      </c>
      <c r="AM100" s="220" t="str">
        <f>IF(Buildings_Heat_Frontend[[#This Row],[Data]]="","", Buildings_Heat_Backend[[#This Row],[Total (tCO2e)]]*(1-Buildings_Heat_Backend[[#This Row],[RSD]]))</f>
        <v/>
      </c>
      <c r="AN100" s="220" t="str">
        <f>IF(Buildings_Heat_Frontend[[#This Row],[Data]]="","", Buildings_Heat_Backend[[#This Row],[Total (tCO2e)]]*(1+Buildings_Heat_Backend[[#This Row],[RSD]]))</f>
        <v/>
      </c>
      <c r="AO100" s="210" t="str">
        <f>IF(Buildings_Heat_Frontend[[#This Row],[Data]]="","", _xlfn.XLOOKUP(_xlfn.CONCAT(Buildings_Heat_Backend[[#This Row],[Level 1]:[Level 6]]),rng_EFConcat,rng_EFOOS)*Buildings_Heat_Backend[[#This Row],[Converted data]]/1000)</f>
        <v/>
      </c>
      <c r="AP100" s="174">
        <f>Buildings_Heat_Frontend[[#This Row],[Ease of collection]]</f>
        <v>0</v>
      </c>
      <c r="AQ100" s="174">
        <f>Buildings_Heat_Frontend[[#This Row],[Completeness]]</f>
        <v>0</v>
      </c>
      <c r="AR100" s="174">
        <f>Buildings_Heat_Frontend[[#This Row],[Notes]]</f>
        <v>0</v>
      </c>
    </row>
    <row r="101" spans="5:44" x14ac:dyDescent="0.3">
      <c r="E101" s="346"/>
      <c r="F101" s="364"/>
      <c r="G101" s="336"/>
      <c r="H101" s="336"/>
      <c r="I101" s="336"/>
      <c r="J101" s="334"/>
      <c r="K101" s="336"/>
      <c r="L101" s="336"/>
      <c r="M101" s="336"/>
      <c r="N101" s="352"/>
      <c r="O101" s="230">
        <f t="shared" si="5"/>
        <v>6</v>
      </c>
      <c r="Q101" s="212" t="str">
        <f t="shared" si="3"/>
        <v/>
      </c>
      <c r="R101" s="174" t="s">
        <v>265</v>
      </c>
      <c r="S101" s="174" t="s">
        <v>273</v>
      </c>
      <c r="T101" s="174" t="str">
        <f>IF(Buildings_Heat_Frontend[[#This Row],[Data]]="","", _xlfn.XLOOKUP(Buildings_Heat_Backend[[#This Row],[Info 1]],Buildings_SiteInfo[Site name],Buildings_SiteInfo[Site type]))</f>
        <v/>
      </c>
      <c r="U101" s="174" t="str">
        <f>IF(Buildings_Heat_Frontend[[#This Row],[Data]]="","", Buildings_Heat_Frontend[[#This Row],[Heating Type]])</f>
        <v/>
      </c>
      <c r="V101" s="174" t="str">
        <f>IF(Buildings_Heat_Frontend[[#This Row],[Data]]="","", Buildings_Heat_Frontend[[#This Row],[Fuel]])</f>
        <v/>
      </c>
      <c r="W101" s="174" t="str" cm="1">
        <f t="array" ref="W101">IF(Buildings_Heat_Frontend[[#This Row],[Data]]="","", _xlfn.XLOOKUP(Buildings_Heat_Backend[[#This Row],[Level 5]],rng_Level5Long,rng_Level6Long))</f>
        <v/>
      </c>
      <c r="X101" s="174" t="str">
        <f>IF(Buildings_Heat_Frontend[[#This Row],[Data]]="","", Buildings_Heat_Frontend[[#This Row],[Site Name]])</f>
        <v/>
      </c>
      <c r="Y101" s="174" t="str">
        <f>IF(Buildings_Heat_Frontend[[#This Row],[Data]]="","", Buildings_Heat_Frontend[[#This Row],[MPRN]])</f>
        <v/>
      </c>
      <c r="Z101" s="174" t="str">
        <f>IF(Buildings_Heat_Frontend[[#This Row],[Data]]="","", IF($I101="","",$I101))</f>
        <v/>
      </c>
      <c r="AA101" s="229" t="str" cm="1">
        <f t="array" ref="AA101">IF(Buildings_Heat_Frontend[[#This Row],[Data]]="","", INDEX(_xlfn.SWITCH(Buildings_Heat_Backend[[#This Row],[Methodology]],"Tier 1",rng_RSD1,"Tier 2",rng_RSD2,"Tier 3",rng_RSD3),MATCH(_xlfn.CONCAT(Buildings_Heat_Backend[[#This Row],[Level 1]:[Level 6]]),rng_LevelsConcat,0)))</f>
        <v/>
      </c>
      <c r="AB101" s="220" t="str">
        <f t="shared" si="4"/>
        <v/>
      </c>
      <c r="AC101" s="174">
        <f>Buildings_Heat_Frontend[[#This Row],[Units]]</f>
        <v>0</v>
      </c>
      <c r="AD10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1" s="174" t="str">
        <f>IF(Buildings_Heat_Frontend[[#This Row],[Data]]="","", _xlfn.XLOOKUP(_xlfn.CONCAT(Buildings_Heat_Backend[[#This Row],[Level 1]:[Level 6]]),rng_LevelsConcat,rng_UnitsLong))</f>
        <v/>
      </c>
      <c r="AF101" s="210" t="str">
        <f>IF(Buildings_Heat_Frontend[[#This Row],[Data]]="","", _xlfn.XLOOKUP(_xlfn.CONCAT(Buildings_Heat_Backend[[#This Row],[Level 1]:[Level 6]]),rng_EFConcat,rng_EF1)*Buildings_Heat_Backend[[#This Row],[Converted data]]/1000)</f>
        <v/>
      </c>
      <c r="AG101" s="210" t="str">
        <f>IF(Buildings_Heat_Frontend[[#This Row],[Data]]="","", _xlfn.XLOOKUP(_xlfn.CONCAT(Buildings_Heat_Backend[[#This Row],[Level 1]:[Level 6]]),rng_EFConcat,rng_EF2)*Buildings_Heat_Backend[[#This Row],[Converted data]]/1000)</f>
        <v/>
      </c>
      <c r="AH101" s="210" t="str">
        <f>IF(Buildings_Heat_Frontend[[#This Row],[Data]]="","", _xlfn.XLOOKUP(_xlfn.CONCAT(Buildings_Heat_Backend[[#This Row],[Level 1]:[Level 6]]),rng_EFConcat,rng_EF3)*Buildings_Heat_Backend[[#This Row],[Converted data]]/1000)</f>
        <v/>
      </c>
      <c r="AI101" s="210" t="str">
        <f>IF(Buildings_Heat_Frontend[[#This Row],[Data]]="","", _xlfn.XLOOKUP(_xlfn.CONCAT(Buildings_Heat_Backend[[#This Row],[Level 1]:[Level 6]]),rng_EFConcat,rng_EF3WTT)*Buildings_Heat_Backend[[#This Row],[Converted data]]/1000)</f>
        <v/>
      </c>
      <c r="AJ101" s="210" t="str">
        <f>IF(Buildings_Heat_Frontend[[#This Row],[Data]]="","", _xlfn.XLOOKUP(_xlfn.CONCAT(Buildings_Heat_Backend[[#This Row],[Level 1]:[Level 6]]),rng_EFConcat,rng_EF3TD)*Buildings_Heat_Backend[[#This Row],[Converted data]]/1000)</f>
        <v/>
      </c>
      <c r="AK101" s="210" t="str">
        <f>IF(Buildings_Heat_Frontend[[#This Row],[Data]]="","", _xlfn.XLOOKUP(_xlfn.CONCAT(Buildings_Heat_Backend[[#This Row],[Level 1]:[Level 6]]),rng_EFConcat,rng_EF3WTTTD)*Buildings_Heat_Backend[[#This Row],[Converted data]]/1000)</f>
        <v/>
      </c>
      <c r="AL101" s="220">
        <f>SUM(Buildings_Heat_Backend[[#This Row],[Scope 1 (tCO2e)]:[Scope 3 WTT T&amp;D (tCO2e)]])</f>
        <v>0</v>
      </c>
      <c r="AM101" s="220" t="str">
        <f>IF(Buildings_Heat_Frontend[[#This Row],[Data]]="","", Buildings_Heat_Backend[[#This Row],[Total (tCO2e)]]*(1-Buildings_Heat_Backend[[#This Row],[RSD]]))</f>
        <v/>
      </c>
      <c r="AN101" s="220" t="str">
        <f>IF(Buildings_Heat_Frontend[[#This Row],[Data]]="","", Buildings_Heat_Backend[[#This Row],[Total (tCO2e)]]*(1+Buildings_Heat_Backend[[#This Row],[RSD]]))</f>
        <v/>
      </c>
      <c r="AO101" s="210" t="str">
        <f>IF(Buildings_Heat_Frontend[[#This Row],[Data]]="","", _xlfn.XLOOKUP(_xlfn.CONCAT(Buildings_Heat_Backend[[#This Row],[Level 1]:[Level 6]]),rng_EFConcat,rng_EFOOS)*Buildings_Heat_Backend[[#This Row],[Converted data]]/1000)</f>
        <v/>
      </c>
      <c r="AP101" s="174">
        <f>Buildings_Heat_Frontend[[#This Row],[Ease of collection]]</f>
        <v>0</v>
      </c>
      <c r="AQ101" s="174">
        <f>Buildings_Heat_Frontend[[#This Row],[Completeness]]</f>
        <v>0</v>
      </c>
      <c r="AR101" s="174">
        <f>Buildings_Heat_Frontend[[#This Row],[Notes]]</f>
        <v>0</v>
      </c>
    </row>
    <row r="102" spans="5:44" x14ac:dyDescent="0.3">
      <c r="E102" s="346"/>
      <c r="F102" s="364"/>
      <c r="G102" s="336"/>
      <c r="H102" s="336"/>
      <c r="I102" s="336"/>
      <c r="J102" s="334"/>
      <c r="K102" s="336"/>
      <c r="L102" s="336"/>
      <c r="M102" s="336"/>
      <c r="N102" s="352"/>
      <c r="O102" s="230">
        <f t="shared" si="5"/>
        <v>6</v>
      </c>
      <c r="Q102" s="212" t="str">
        <f t="shared" si="3"/>
        <v/>
      </c>
      <c r="R102" s="174" t="s">
        <v>265</v>
      </c>
      <c r="S102" s="174" t="s">
        <v>273</v>
      </c>
      <c r="T102" s="174" t="str">
        <f>IF(Buildings_Heat_Frontend[[#This Row],[Data]]="","", _xlfn.XLOOKUP(Buildings_Heat_Backend[[#This Row],[Info 1]],Buildings_SiteInfo[Site name],Buildings_SiteInfo[Site type]))</f>
        <v/>
      </c>
      <c r="U102" s="174" t="str">
        <f>IF(Buildings_Heat_Frontend[[#This Row],[Data]]="","", Buildings_Heat_Frontend[[#This Row],[Heating Type]])</f>
        <v/>
      </c>
      <c r="V102" s="174" t="str">
        <f>IF(Buildings_Heat_Frontend[[#This Row],[Data]]="","", Buildings_Heat_Frontend[[#This Row],[Fuel]])</f>
        <v/>
      </c>
      <c r="W102" s="174" t="str" cm="1">
        <f t="array" ref="W102">IF(Buildings_Heat_Frontend[[#This Row],[Data]]="","", _xlfn.XLOOKUP(Buildings_Heat_Backend[[#This Row],[Level 5]],rng_Level5Long,rng_Level6Long))</f>
        <v/>
      </c>
      <c r="X102" s="174" t="str">
        <f>IF(Buildings_Heat_Frontend[[#This Row],[Data]]="","", Buildings_Heat_Frontend[[#This Row],[Site Name]])</f>
        <v/>
      </c>
      <c r="Y102" s="174" t="str">
        <f>IF(Buildings_Heat_Frontend[[#This Row],[Data]]="","", Buildings_Heat_Frontend[[#This Row],[MPRN]])</f>
        <v/>
      </c>
      <c r="Z102" s="174" t="str">
        <f>IF(Buildings_Heat_Frontend[[#This Row],[Data]]="","", IF($I102="","",$I102))</f>
        <v/>
      </c>
      <c r="AA102" s="229" t="str" cm="1">
        <f t="array" ref="AA102">IF(Buildings_Heat_Frontend[[#This Row],[Data]]="","", INDEX(_xlfn.SWITCH(Buildings_Heat_Backend[[#This Row],[Methodology]],"Tier 1",rng_RSD1,"Tier 2",rng_RSD2,"Tier 3",rng_RSD3),MATCH(_xlfn.CONCAT(Buildings_Heat_Backend[[#This Row],[Level 1]:[Level 6]]),rng_LevelsConcat,0)))</f>
        <v/>
      </c>
      <c r="AB102" s="220" t="str">
        <f t="shared" si="4"/>
        <v/>
      </c>
      <c r="AC102" s="174">
        <f>Buildings_Heat_Frontend[[#This Row],[Units]]</f>
        <v>0</v>
      </c>
      <c r="AD10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2" s="174" t="str">
        <f>IF(Buildings_Heat_Frontend[[#This Row],[Data]]="","", _xlfn.XLOOKUP(_xlfn.CONCAT(Buildings_Heat_Backend[[#This Row],[Level 1]:[Level 6]]),rng_LevelsConcat,rng_UnitsLong))</f>
        <v/>
      </c>
      <c r="AF102" s="210" t="str">
        <f>IF(Buildings_Heat_Frontend[[#This Row],[Data]]="","", _xlfn.XLOOKUP(_xlfn.CONCAT(Buildings_Heat_Backend[[#This Row],[Level 1]:[Level 6]]),rng_EFConcat,rng_EF1)*Buildings_Heat_Backend[[#This Row],[Converted data]]/1000)</f>
        <v/>
      </c>
      <c r="AG102" s="210" t="str">
        <f>IF(Buildings_Heat_Frontend[[#This Row],[Data]]="","", _xlfn.XLOOKUP(_xlfn.CONCAT(Buildings_Heat_Backend[[#This Row],[Level 1]:[Level 6]]),rng_EFConcat,rng_EF2)*Buildings_Heat_Backend[[#This Row],[Converted data]]/1000)</f>
        <v/>
      </c>
      <c r="AH102" s="210" t="str">
        <f>IF(Buildings_Heat_Frontend[[#This Row],[Data]]="","", _xlfn.XLOOKUP(_xlfn.CONCAT(Buildings_Heat_Backend[[#This Row],[Level 1]:[Level 6]]),rng_EFConcat,rng_EF3)*Buildings_Heat_Backend[[#This Row],[Converted data]]/1000)</f>
        <v/>
      </c>
      <c r="AI102" s="210" t="str">
        <f>IF(Buildings_Heat_Frontend[[#This Row],[Data]]="","", _xlfn.XLOOKUP(_xlfn.CONCAT(Buildings_Heat_Backend[[#This Row],[Level 1]:[Level 6]]),rng_EFConcat,rng_EF3WTT)*Buildings_Heat_Backend[[#This Row],[Converted data]]/1000)</f>
        <v/>
      </c>
      <c r="AJ102" s="210" t="str">
        <f>IF(Buildings_Heat_Frontend[[#This Row],[Data]]="","", _xlfn.XLOOKUP(_xlfn.CONCAT(Buildings_Heat_Backend[[#This Row],[Level 1]:[Level 6]]),rng_EFConcat,rng_EF3TD)*Buildings_Heat_Backend[[#This Row],[Converted data]]/1000)</f>
        <v/>
      </c>
      <c r="AK102" s="210" t="str">
        <f>IF(Buildings_Heat_Frontend[[#This Row],[Data]]="","", _xlfn.XLOOKUP(_xlfn.CONCAT(Buildings_Heat_Backend[[#This Row],[Level 1]:[Level 6]]),rng_EFConcat,rng_EF3WTTTD)*Buildings_Heat_Backend[[#This Row],[Converted data]]/1000)</f>
        <v/>
      </c>
      <c r="AL102" s="220">
        <f>SUM(Buildings_Heat_Backend[[#This Row],[Scope 1 (tCO2e)]:[Scope 3 WTT T&amp;D (tCO2e)]])</f>
        <v>0</v>
      </c>
      <c r="AM102" s="220" t="str">
        <f>IF(Buildings_Heat_Frontend[[#This Row],[Data]]="","", Buildings_Heat_Backend[[#This Row],[Total (tCO2e)]]*(1-Buildings_Heat_Backend[[#This Row],[RSD]]))</f>
        <v/>
      </c>
      <c r="AN102" s="220" t="str">
        <f>IF(Buildings_Heat_Frontend[[#This Row],[Data]]="","", Buildings_Heat_Backend[[#This Row],[Total (tCO2e)]]*(1+Buildings_Heat_Backend[[#This Row],[RSD]]))</f>
        <v/>
      </c>
      <c r="AO102" s="210" t="str">
        <f>IF(Buildings_Heat_Frontend[[#This Row],[Data]]="","", _xlfn.XLOOKUP(_xlfn.CONCAT(Buildings_Heat_Backend[[#This Row],[Level 1]:[Level 6]]),rng_EFConcat,rng_EFOOS)*Buildings_Heat_Backend[[#This Row],[Converted data]]/1000)</f>
        <v/>
      </c>
      <c r="AP102" s="174">
        <f>Buildings_Heat_Frontend[[#This Row],[Ease of collection]]</f>
        <v>0</v>
      </c>
      <c r="AQ102" s="174">
        <f>Buildings_Heat_Frontend[[#This Row],[Completeness]]</f>
        <v>0</v>
      </c>
      <c r="AR102" s="174">
        <f>Buildings_Heat_Frontend[[#This Row],[Notes]]</f>
        <v>0</v>
      </c>
    </row>
    <row r="103" spans="5:44" x14ac:dyDescent="0.3">
      <c r="E103" s="346"/>
      <c r="F103" s="364"/>
      <c r="G103" s="336"/>
      <c r="H103" s="336"/>
      <c r="I103" s="336"/>
      <c r="J103" s="334"/>
      <c r="K103" s="336"/>
      <c r="L103" s="336"/>
      <c r="M103" s="336"/>
      <c r="N103" s="352"/>
      <c r="O103" s="230">
        <f t="shared" si="5"/>
        <v>6</v>
      </c>
      <c r="Q103" s="212" t="str">
        <f t="shared" si="3"/>
        <v/>
      </c>
      <c r="R103" s="174" t="s">
        <v>265</v>
      </c>
      <c r="S103" s="174" t="s">
        <v>273</v>
      </c>
      <c r="T103" s="174" t="str">
        <f>IF(Buildings_Heat_Frontend[[#This Row],[Data]]="","", _xlfn.XLOOKUP(Buildings_Heat_Backend[[#This Row],[Info 1]],Buildings_SiteInfo[Site name],Buildings_SiteInfo[Site type]))</f>
        <v/>
      </c>
      <c r="U103" s="174" t="str">
        <f>IF(Buildings_Heat_Frontend[[#This Row],[Data]]="","", Buildings_Heat_Frontend[[#This Row],[Heating Type]])</f>
        <v/>
      </c>
      <c r="V103" s="174" t="str">
        <f>IF(Buildings_Heat_Frontend[[#This Row],[Data]]="","", Buildings_Heat_Frontend[[#This Row],[Fuel]])</f>
        <v/>
      </c>
      <c r="W103" s="174" t="str" cm="1">
        <f t="array" ref="W103">IF(Buildings_Heat_Frontend[[#This Row],[Data]]="","", _xlfn.XLOOKUP(Buildings_Heat_Backend[[#This Row],[Level 5]],rng_Level5Long,rng_Level6Long))</f>
        <v/>
      </c>
      <c r="X103" s="174" t="str">
        <f>IF(Buildings_Heat_Frontend[[#This Row],[Data]]="","", Buildings_Heat_Frontend[[#This Row],[Site Name]])</f>
        <v/>
      </c>
      <c r="Y103" s="174" t="str">
        <f>IF(Buildings_Heat_Frontend[[#This Row],[Data]]="","", Buildings_Heat_Frontend[[#This Row],[MPRN]])</f>
        <v/>
      </c>
      <c r="Z103" s="174" t="str">
        <f>IF(Buildings_Heat_Frontend[[#This Row],[Data]]="","", IF($I103="","",$I103))</f>
        <v/>
      </c>
      <c r="AA103" s="229" t="str" cm="1">
        <f t="array" ref="AA103">IF(Buildings_Heat_Frontend[[#This Row],[Data]]="","", INDEX(_xlfn.SWITCH(Buildings_Heat_Backend[[#This Row],[Methodology]],"Tier 1",rng_RSD1,"Tier 2",rng_RSD2,"Tier 3",rng_RSD3),MATCH(_xlfn.CONCAT(Buildings_Heat_Backend[[#This Row],[Level 1]:[Level 6]]),rng_LevelsConcat,0)))</f>
        <v/>
      </c>
      <c r="AB103" s="220" t="str">
        <f t="shared" si="4"/>
        <v/>
      </c>
      <c r="AC103" s="174">
        <f>Buildings_Heat_Frontend[[#This Row],[Units]]</f>
        <v>0</v>
      </c>
      <c r="AD10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3" s="174" t="str">
        <f>IF(Buildings_Heat_Frontend[[#This Row],[Data]]="","", _xlfn.XLOOKUP(_xlfn.CONCAT(Buildings_Heat_Backend[[#This Row],[Level 1]:[Level 6]]),rng_LevelsConcat,rng_UnitsLong))</f>
        <v/>
      </c>
      <c r="AF103" s="210" t="str">
        <f>IF(Buildings_Heat_Frontend[[#This Row],[Data]]="","", _xlfn.XLOOKUP(_xlfn.CONCAT(Buildings_Heat_Backend[[#This Row],[Level 1]:[Level 6]]),rng_EFConcat,rng_EF1)*Buildings_Heat_Backend[[#This Row],[Converted data]]/1000)</f>
        <v/>
      </c>
      <c r="AG103" s="210" t="str">
        <f>IF(Buildings_Heat_Frontend[[#This Row],[Data]]="","", _xlfn.XLOOKUP(_xlfn.CONCAT(Buildings_Heat_Backend[[#This Row],[Level 1]:[Level 6]]),rng_EFConcat,rng_EF2)*Buildings_Heat_Backend[[#This Row],[Converted data]]/1000)</f>
        <v/>
      </c>
      <c r="AH103" s="210" t="str">
        <f>IF(Buildings_Heat_Frontend[[#This Row],[Data]]="","", _xlfn.XLOOKUP(_xlfn.CONCAT(Buildings_Heat_Backend[[#This Row],[Level 1]:[Level 6]]),rng_EFConcat,rng_EF3)*Buildings_Heat_Backend[[#This Row],[Converted data]]/1000)</f>
        <v/>
      </c>
      <c r="AI103" s="210" t="str">
        <f>IF(Buildings_Heat_Frontend[[#This Row],[Data]]="","", _xlfn.XLOOKUP(_xlfn.CONCAT(Buildings_Heat_Backend[[#This Row],[Level 1]:[Level 6]]),rng_EFConcat,rng_EF3WTT)*Buildings_Heat_Backend[[#This Row],[Converted data]]/1000)</f>
        <v/>
      </c>
      <c r="AJ103" s="210" t="str">
        <f>IF(Buildings_Heat_Frontend[[#This Row],[Data]]="","", _xlfn.XLOOKUP(_xlfn.CONCAT(Buildings_Heat_Backend[[#This Row],[Level 1]:[Level 6]]),rng_EFConcat,rng_EF3TD)*Buildings_Heat_Backend[[#This Row],[Converted data]]/1000)</f>
        <v/>
      </c>
      <c r="AK103" s="210" t="str">
        <f>IF(Buildings_Heat_Frontend[[#This Row],[Data]]="","", _xlfn.XLOOKUP(_xlfn.CONCAT(Buildings_Heat_Backend[[#This Row],[Level 1]:[Level 6]]),rng_EFConcat,rng_EF3WTTTD)*Buildings_Heat_Backend[[#This Row],[Converted data]]/1000)</f>
        <v/>
      </c>
      <c r="AL103" s="220">
        <f>SUM(Buildings_Heat_Backend[[#This Row],[Scope 1 (tCO2e)]:[Scope 3 WTT T&amp;D (tCO2e)]])</f>
        <v>0</v>
      </c>
      <c r="AM103" s="220" t="str">
        <f>IF(Buildings_Heat_Frontend[[#This Row],[Data]]="","", Buildings_Heat_Backend[[#This Row],[Total (tCO2e)]]*(1-Buildings_Heat_Backend[[#This Row],[RSD]]))</f>
        <v/>
      </c>
      <c r="AN103" s="220" t="str">
        <f>IF(Buildings_Heat_Frontend[[#This Row],[Data]]="","", Buildings_Heat_Backend[[#This Row],[Total (tCO2e)]]*(1+Buildings_Heat_Backend[[#This Row],[RSD]]))</f>
        <v/>
      </c>
      <c r="AO103" s="210" t="str">
        <f>IF(Buildings_Heat_Frontend[[#This Row],[Data]]="","", _xlfn.XLOOKUP(_xlfn.CONCAT(Buildings_Heat_Backend[[#This Row],[Level 1]:[Level 6]]),rng_EFConcat,rng_EFOOS)*Buildings_Heat_Backend[[#This Row],[Converted data]]/1000)</f>
        <v/>
      </c>
      <c r="AP103" s="174">
        <f>Buildings_Heat_Frontend[[#This Row],[Ease of collection]]</f>
        <v>0</v>
      </c>
      <c r="AQ103" s="174">
        <f>Buildings_Heat_Frontend[[#This Row],[Completeness]]</f>
        <v>0</v>
      </c>
      <c r="AR103" s="174">
        <f>Buildings_Heat_Frontend[[#This Row],[Notes]]</f>
        <v>0</v>
      </c>
    </row>
    <row r="104" spans="5:44" x14ac:dyDescent="0.3">
      <c r="E104" s="346"/>
      <c r="F104" s="364"/>
      <c r="G104" s="336"/>
      <c r="H104" s="336"/>
      <c r="I104" s="336"/>
      <c r="J104" s="334"/>
      <c r="K104" s="336"/>
      <c r="L104" s="336"/>
      <c r="M104" s="336"/>
      <c r="N104" s="352"/>
      <c r="O104" s="230">
        <f t="shared" si="5"/>
        <v>6</v>
      </c>
      <c r="Q104" s="212" t="str">
        <f t="shared" si="3"/>
        <v/>
      </c>
      <c r="R104" s="174" t="s">
        <v>265</v>
      </c>
      <c r="S104" s="174" t="s">
        <v>273</v>
      </c>
      <c r="T104" s="174" t="str">
        <f>IF(Buildings_Heat_Frontend[[#This Row],[Data]]="","", _xlfn.XLOOKUP(Buildings_Heat_Backend[[#This Row],[Info 1]],Buildings_SiteInfo[Site name],Buildings_SiteInfo[Site type]))</f>
        <v/>
      </c>
      <c r="U104" s="174" t="str">
        <f>IF(Buildings_Heat_Frontend[[#This Row],[Data]]="","", Buildings_Heat_Frontend[[#This Row],[Heating Type]])</f>
        <v/>
      </c>
      <c r="V104" s="174" t="str">
        <f>IF(Buildings_Heat_Frontend[[#This Row],[Data]]="","", Buildings_Heat_Frontend[[#This Row],[Fuel]])</f>
        <v/>
      </c>
      <c r="W104" s="174" t="str" cm="1">
        <f t="array" ref="W104">IF(Buildings_Heat_Frontend[[#This Row],[Data]]="","", _xlfn.XLOOKUP(Buildings_Heat_Backend[[#This Row],[Level 5]],rng_Level5Long,rng_Level6Long))</f>
        <v/>
      </c>
      <c r="X104" s="174" t="str">
        <f>IF(Buildings_Heat_Frontend[[#This Row],[Data]]="","", Buildings_Heat_Frontend[[#This Row],[Site Name]])</f>
        <v/>
      </c>
      <c r="Y104" s="174" t="str">
        <f>IF(Buildings_Heat_Frontend[[#This Row],[Data]]="","", Buildings_Heat_Frontend[[#This Row],[MPRN]])</f>
        <v/>
      </c>
      <c r="Z104" s="174" t="str">
        <f>IF(Buildings_Heat_Frontend[[#This Row],[Data]]="","", IF($I104="","",$I104))</f>
        <v/>
      </c>
      <c r="AA104" s="229" t="str" cm="1">
        <f t="array" ref="AA104">IF(Buildings_Heat_Frontend[[#This Row],[Data]]="","", INDEX(_xlfn.SWITCH(Buildings_Heat_Backend[[#This Row],[Methodology]],"Tier 1",rng_RSD1,"Tier 2",rng_RSD2,"Tier 3",rng_RSD3),MATCH(_xlfn.CONCAT(Buildings_Heat_Backend[[#This Row],[Level 1]:[Level 6]]),rng_LevelsConcat,0)))</f>
        <v/>
      </c>
      <c r="AB104" s="220" t="str">
        <f t="shared" si="4"/>
        <v/>
      </c>
      <c r="AC104" s="174">
        <f>Buildings_Heat_Frontend[[#This Row],[Units]]</f>
        <v>0</v>
      </c>
      <c r="AD10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4" s="174" t="str">
        <f>IF(Buildings_Heat_Frontend[[#This Row],[Data]]="","", _xlfn.XLOOKUP(_xlfn.CONCAT(Buildings_Heat_Backend[[#This Row],[Level 1]:[Level 6]]),rng_LevelsConcat,rng_UnitsLong))</f>
        <v/>
      </c>
      <c r="AF104" s="210" t="str">
        <f>IF(Buildings_Heat_Frontend[[#This Row],[Data]]="","", _xlfn.XLOOKUP(_xlfn.CONCAT(Buildings_Heat_Backend[[#This Row],[Level 1]:[Level 6]]),rng_EFConcat,rng_EF1)*Buildings_Heat_Backend[[#This Row],[Converted data]]/1000)</f>
        <v/>
      </c>
      <c r="AG104" s="210" t="str">
        <f>IF(Buildings_Heat_Frontend[[#This Row],[Data]]="","", _xlfn.XLOOKUP(_xlfn.CONCAT(Buildings_Heat_Backend[[#This Row],[Level 1]:[Level 6]]),rng_EFConcat,rng_EF2)*Buildings_Heat_Backend[[#This Row],[Converted data]]/1000)</f>
        <v/>
      </c>
      <c r="AH104" s="210" t="str">
        <f>IF(Buildings_Heat_Frontend[[#This Row],[Data]]="","", _xlfn.XLOOKUP(_xlfn.CONCAT(Buildings_Heat_Backend[[#This Row],[Level 1]:[Level 6]]),rng_EFConcat,rng_EF3)*Buildings_Heat_Backend[[#This Row],[Converted data]]/1000)</f>
        <v/>
      </c>
      <c r="AI104" s="210" t="str">
        <f>IF(Buildings_Heat_Frontend[[#This Row],[Data]]="","", _xlfn.XLOOKUP(_xlfn.CONCAT(Buildings_Heat_Backend[[#This Row],[Level 1]:[Level 6]]),rng_EFConcat,rng_EF3WTT)*Buildings_Heat_Backend[[#This Row],[Converted data]]/1000)</f>
        <v/>
      </c>
      <c r="AJ104" s="210" t="str">
        <f>IF(Buildings_Heat_Frontend[[#This Row],[Data]]="","", _xlfn.XLOOKUP(_xlfn.CONCAT(Buildings_Heat_Backend[[#This Row],[Level 1]:[Level 6]]),rng_EFConcat,rng_EF3TD)*Buildings_Heat_Backend[[#This Row],[Converted data]]/1000)</f>
        <v/>
      </c>
      <c r="AK104" s="210" t="str">
        <f>IF(Buildings_Heat_Frontend[[#This Row],[Data]]="","", _xlfn.XLOOKUP(_xlfn.CONCAT(Buildings_Heat_Backend[[#This Row],[Level 1]:[Level 6]]),rng_EFConcat,rng_EF3WTTTD)*Buildings_Heat_Backend[[#This Row],[Converted data]]/1000)</f>
        <v/>
      </c>
      <c r="AL104" s="220">
        <f>SUM(Buildings_Heat_Backend[[#This Row],[Scope 1 (tCO2e)]:[Scope 3 WTT T&amp;D (tCO2e)]])</f>
        <v>0</v>
      </c>
      <c r="AM104" s="220" t="str">
        <f>IF(Buildings_Heat_Frontend[[#This Row],[Data]]="","", Buildings_Heat_Backend[[#This Row],[Total (tCO2e)]]*(1-Buildings_Heat_Backend[[#This Row],[RSD]]))</f>
        <v/>
      </c>
      <c r="AN104" s="220" t="str">
        <f>IF(Buildings_Heat_Frontend[[#This Row],[Data]]="","", Buildings_Heat_Backend[[#This Row],[Total (tCO2e)]]*(1+Buildings_Heat_Backend[[#This Row],[RSD]]))</f>
        <v/>
      </c>
      <c r="AO104" s="210" t="str">
        <f>IF(Buildings_Heat_Frontend[[#This Row],[Data]]="","", _xlfn.XLOOKUP(_xlfn.CONCAT(Buildings_Heat_Backend[[#This Row],[Level 1]:[Level 6]]),rng_EFConcat,rng_EFOOS)*Buildings_Heat_Backend[[#This Row],[Converted data]]/1000)</f>
        <v/>
      </c>
      <c r="AP104" s="174">
        <f>Buildings_Heat_Frontend[[#This Row],[Ease of collection]]</f>
        <v>0</v>
      </c>
      <c r="AQ104" s="174">
        <f>Buildings_Heat_Frontend[[#This Row],[Completeness]]</f>
        <v>0</v>
      </c>
      <c r="AR104" s="174">
        <f>Buildings_Heat_Frontend[[#This Row],[Notes]]</f>
        <v>0</v>
      </c>
    </row>
    <row r="105" spans="5:44" x14ac:dyDescent="0.3">
      <c r="E105" s="346"/>
      <c r="F105" s="364"/>
      <c r="G105" s="336"/>
      <c r="H105" s="336"/>
      <c r="I105" s="336"/>
      <c r="J105" s="334"/>
      <c r="K105" s="336"/>
      <c r="L105" s="336"/>
      <c r="M105" s="336"/>
      <c r="N105" s="352"/>
      <c r="O105" s="230">
        <f t="shared" si="5"/>
        <v>6</v>
      </c>
      <c r="Q105" s="212" t="str">
        <f t="shared" si="3"/>
        <v/>
      </c>
      <c r="R105" s="174" t="s">
        <v>265</v>
      </c>
      <c r="S105" s="174" t="s">
        <v>273</v>
      </c>
      <c r="T105" s="174" t="str">
        <f>IF(Buildings_Heat_Frontend[[#This Row],[Data]]="","", _xlfn.XLOOKUP(Buildings_Heat_Backend[[#This Row],[Info 1]],Buildings_SiteInfo[Site name],Buildings_SiteInfo[Site type]))</f>
        <v/>
      </c>
      <c r="U105" s="174" t="str">
        <f>IF(Buildings_Heat_Frontend[[#This Row],[Data]]="","", Buildings_Heat_Frontend[[#This Row],[Heating Type]])</f>
        <v/>
      </c>
      <c r="V105" s="174" t="str">
        <f>IF(Buildings_Heat_Frontend[[#This Row],[Data]]="","", Buildings_Heat_Frontend[[#This Row],[Fuel]])</f>
        <v/>
      </c>
      <c r="W105" s="174" t="str" cm="1">
        <f t="array" ref="W105">IF(Buildings_Heat_Frontend[[#This Row],[Data]]="","", _xlfn.XLOOKUP(Buildings_Heat_Backend[[#This Row],[Level 5]],rng_Level5Long,rng_Level6Long))</f>
        <v/>
      </c>
      <c r="X105" s="174" t="str">
        <f>IF(Buildings_Heat_Frontend[[#This Row],[Data]]="","", Buildings_Heat_Frontend[[#This Row],[Site Name]])</f>
        <v/>
      </c>
      <c r="Y105" s="174" t="str">
        <f>IF(Buildings_Heat_Frontend[[#This Row],[Data]]="","", Buildings_Heat_Frontend[[#This Row],[MPRN]])</f>
        <v/>
      </c>
      <c r="Z105" s="174" t="str">
        <f>IF(Buildings_Heat_Frontend[[#This Row],[Data]]="","", IF($I105="","",$I105))</f>
        <v/>
      </c>
      <c r="AA105" s="229" t="str" cm="1">
        <f t="array" ref="AA105">IF(Buildings_Heat_Frontend[[#This Row],[Data]]="","", INDEX(_xlfn.SWITCH(Buildings_Heat_Backend[[#This Row],[Methodology]],"Tier 1",rng_RSD1,"Tier 2",rng_RSD2,"Tier 3",rng_RSD3),MATCH(_xlfn.CONCAT(Buildings_Heat_Backend[[#This Row],[Level 1]:[Level 6]]),rng_LevelsConcat,0)))</f>
        <v/>
      </c>
      <c r="AB105" s="220" t="str">
        <f t="shared" si="4"/>
        <v/>
      </c>
      <c r="AC105" s="174">
        <f>Buildings_Heat_Frontend[[#This Row],[Units]]</f>
        <v>0</v>
      </c>
      <c r="AD10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5" s="174" t="str">
        <f>IF(Buildings_Heat_Frontend[[#This Row],[Data]]="","", _xlfn.XLOOKUP(_xlfn.CONCAT(Buildings_Heat_Backend[[#This Row],[Level 1]:[Level 6]]),rng_LevelsConcat,rng_UnitsLong))</f>
        <v/>
      </c>
      <c r="AF105" s="210" t="str">
        <f>IF(Buildings_Heat_Frontend[[#This Row],[Data]]="","", _xlfn.XLOOKUP(_xlfn.CONCAT(Buildings_Heat_Backend[[#This Row],[Level 1]:[Level 6]]),rng_EFConcat,rng_EF1)*Buildings_Heat_Backend[[#This Row],[Converted data]]/1000)</f>
        <v/>
      </c>
      <c r="AG105" s="210" t="str">
        <f>IF(Buildings_Heat_Frontend[[#This Row],[Data]]="","", _xlfn.XLOOKUP(_xlfn.CONCAT(Buildings_Heat_Backend[[#This Row],[Level 1]:[Level 6]]),rng_EFConcat,rng_EF2)*Buildings_Heat_Backend[[#This Row],[Converted data]]/1000)</f>
        <v/>
      </c>
      <c r="AH105" s="210" t="str">
        <f>IF(Buildings_Heat_Frontend[[#This Row],[Data]]="","", _xlfn.XLOOKUP(_xlfn.CONCAT(Buildings_Heat_Backend[[#This Row],[Level 1]:[Level 6]]),rng_EFConcat,rng_EF3)*Buildings_Heat_Backend[[#This Row],[Converted data]]/1000)</f>
        <v/>
      </c>
      <c r="AI105" s="210" t="str">
        <f>IF(Buildings_Heat_Frontend[[#This Row],[Data]]="","", _xlfn.XLOOKUP(_xlfn.CONCAT(Buildings_Heat_Backend[[#This Row],[Level 1]:[Level 6]]),rng_EFConcat,rng_EF3WTT)*Buildings_Heat_Backend[[#This Row],[Converted data]]/1000)</f>
        <v/>
      </c>
      <c r="AJ105" s="210" t="str">
        <f>IF(Buildings_Heat_Frontend[[#This Row],[Data]]="","", _xlfn.XLOOKUP(_xlfn.CONCAT(Buildings_Heat_Backend[[#This Row],[Level 1]:[Level 6]]),rng_EFConcat,rng_EF3TD)*Buildings_Heat_Backend[[#This Row],[Converted data]]/1000)</f>
        <v/>
      </c>
      <c r="AK105" s="210" t="str">
        <f>IF(Buildings_Heat_Frontend[[#This Row],[Data]]="","", _xlfn.XLOOKUP(_xlfn.CONCAT(Buildings_Heat_Backend[[#This Row],[Level 1]:[Level 6]]),rng_EFConcat,rng_EF3WTTTD)*Buildings_Heat_Backend[[#This Row],[Converted data]]/1000)</f>
        <v/>
      </c>
      <c r="AL105" s="220">
        <f>SUM(Buildings_Heat_Backend[[#This Row],[Scope 1 (tCO2e)]:[Scope 3 WTT T&amp;D (tCO2e)]])</f>
        <v>0</v>
      </c>
      <c r="AM105" s="220" t="str">
        <f>IF(Buildings_Heat_Frontend[[#This Row],[Data]]="","", Buildings_Heat_Backend[[#This Row],[Total (tCO2e)]]*(1-Buildings_Heat_Backend[[#This Row],[RSD]]))</f>
        <v/>
      </c>
      <c r="AN105" s="220" t="str">
        <f>IF(Buildings_Heat_Frontend[[#This Row],[Data]]="","", Buildings_Heat_Backend[[#This Row],[Total (tCO2e)]]*(1+Buildings_Heat_Backend[[#This Row],[RSD]]))</f>
        <v/>
      </c>
      <c r="AO105" s="210" t="str">
        <f>IF(Buildings_Heat_Frontend[[#This Row],[Data]]="","", _xlfn.XLOOKUP(_xlfn.CONCAT(Buildings_Heat_Backend[[#This Row],[Level 1]:[Level 6]]),rng_EFConcat,rng_EFOOS)*Buildings_Heat_Backend[[#This Row],[Converted data]]/1000)</f>
        <v/>
      </c>
      <c r="AP105" s="174">
        <f>Buildings_Heat_Frontend[[#This Row],[Ease of collection]]</f>
        <v>0</v>
      </c>
      <c r="AQ105" s="174">
        <f>Buildings_Heat_Frontend[[#This Row],[Completeness]]</f>
        <v>0</v>
      </c>
      <c r="AR105" s="174">
        <f>Buildings_Heat_Frontend[[#This Row],[Notes]]</f>
        <v>0</v>
      </c>
    </row>
    <row r="106" spans="5:44" x14ac:dyDescent="0.3">
      <c r="E106" s="346"/>
      <c r="F106" s="364"/>
      <c r="G106" s="336"/>
      <c r="H106" s="336"/>
      <c r="I106" s="336"/>
      <c r="J106" s="334"/>
      <c r="K106" s="336"/>
      <c r="L106" s="336"/>
      <c r="M106" s="336"/>
      <c r="N106" s="352"/>
      <c r="O106" s="230">
        <f t="shared" si="5"/>
        <v>6</v>
      </c>
      <c r="Q106" s="212" t="str">
        <f t="shared" si="3"/>
        <v/>
      </c>
      <c r="R106" s="174" t="s">
        <v>265</v>
      </c>
      <c r="S106" s="174" t="s">
        <v>273</v>
      </c>
      <c r="T106" s="174" t="str">
        <f>IF(Buildings_Heat_Frontend[[#This Row],[Data]]="","", _xlfn.XLOOKUP(Buildings_Heat_Backend[[#This Row],[Info 1]],Buildings_SiteInfo[Site name],Buildings_SiteInfo[Site type]))</f>
        <v/>
      </c>
      <c r="U106" s="174" t="str">
        <f>IF(Buildings_Heat_Frontend[[#This Row],[Data]]="","", Buildings_Heat_Frontend[[#This Row],[Heating Type]])</f>
        <v/>
      </c>
      <c r="V106" s="174" t="str">
        <f>IF(Buildings_Heat_Frontend[[#This Row],[Data]]="","", Buildings_Heat_Frontend[[#This Row],[Fuel]])</f>
        <v/>
      </c>
      <c r="W106" s="174" t="str" cm="1">
        <f t="array" ref="W106">IF(Buildings_Heat_Frontend[[#This Row],[Data]]="","", _xlfn.XLOOKUP(Buildings_Heat_Backend[[#This Row],[Level 5]],rng_Level5Long,rng_Level6Long))</f>
        <v/>
      </c>
      <c r="X106" s="174" t="str">
        <f>IF(Buildings_Heat_Frontend[[#This Row],[Data]]="","", Buildings_Heat_Frontend[[#This Row],[Site Name]])</f>
        <v/>
      </c>
      <c r="Y106" s="174" t="str">
        <f>IF(Buildings_Heat_Frontend[[#This Row],[Data]]="","", Buildings_Heat_Frontend[[#This Row],[MPRN]])</f>
        <v/>
      </c>
      <c r="Z106" s="174" t="str">
        <f>IF(Buildings_Heat_Frontend[[#This Row],[Data]]="","", IF($I106="","",$I106))</f>
        <v/>
      </c>
      <c r="AA106" s="229" t="str" cm="1">
        <f t="array" ref="AA106">IF(Buildings_Heat_Frontend[[#This Row],[Data]]="","", INDEX(_xlfn.SWITCH(Buildings_Heat_Backend[[#This Row],[Methodology]],"Tier 1",rng_RSD1,"Tier 2",rng_RSD2,"Tier 3",rng_RSD3),MATCH(_xlfn.CONCAT(Buildings_Heat_Backend[[#This Row],[Level 1]:[Level 6]]),rng_LevelsConcat,0)))</f>
        <v/>
      </c>
      <c r="AB106" s="220" t="str">
        <f t="shared" si="4"/>
        <v/>
      </c>
      <c r="AC106" s="174">
        <f>Buildings_Heat_Frontend[[#This Row],[Units]]</f>
        <v>0</v>
      </c>
      <c r="AD10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6" s="174" t="str">
        <f>IF(Buildings_Heat_Frontend[[#This Row],[Data]]="","", _xlfn.XLOOKUP(_xlfn.CONCAT(Buildings_Heat_Backend[[#This Row],[Level 1]:[Level 6]]),rng_LevelsConcat,rng_UnitsLong))</f>
        <v/>
      </c>
      <c r="AF106" s="210" t="str">
        <f>IF(Buildings_Heat_Frontend[[#This Row],[Data]]="","", _xlfn.XLOOKUP(_xlfn.CONCAT(Buildings_Heat_Backend[[#This Row],[Level 1]:[Level 6]]),rng_EFConcat,rng_EF1)*Buildings_Heat_Backend[[#This Row],[Converted data]]/1000)</f>
        <v/>
      </c>
      <c r="AG106" s="210" t="str">
        <f>IF(Buildings_Heat_Frontend[[#This Row],[Data]]="","", _xlfn.XLOOKUP(_xlfn.CONCAT(Buildings_Heat_Backend[[#This Row],[Level 1]:[Level 6]]),rng_EFConcat,rng_EF2)*Buildings_Heat_Backend[[#This Row],[Converted data]]/1000)</f>
        <v/>
      </c>
      <c r="AH106" s="210" t="str">
        <f>IF(Buildings_Heat_Frontend[[#This Row],[Data]]="","", _xlfn.XLOOKUP(_xlfn.CONCAT(Buildings_Heat_Backend[[#This Row],[Level 1]:[Level 6]]),rng_EFConcat,rng_EF3)*Buildings_Heat_Backend[[#This Row],[Converted data]]/1000)</f>
        <v/>
      </c>
      <c r="AI106" s="210" t="str">
        <f>IF(Buildings_Heat_Frontend[[#This Row],[Data]]="","", _xlfn.XLOOKUP(_xlfn.CONCAT(Buildings_Heat_Backend[[#This Row],[Level 1]:[Level 6]]),rng_EFConcat,rng_EF3WTT)*Buildings_Heat_Backend[[#This Row],[Converted data]]/1000)</f>
        <v/>
      </c>
      <c r="AJ106" s="210" t="str">
        <f>IF(Buildings_Heat_Frontend[[#This Row],[Data]]="","", _xlfn.XLOOKUP(_xlfn.CONCAT(Buildings_Heat_Backend[[#This Row],[Level 1]:[Level 6]]),rng_EFConcat,rng_EF3TD)*Buildings_Heat_Backend[[#This Row],[Converted data]]/1000)</f>
        <v/>
      </c>
      <c r="AK106" s="210" t="str">
        <f>IF(Buildings_Heat_Frontend[[#This Row],[Data]]="","", _xlfn.XLOOKUP(_xlfn.CONCAT(Buildings_Heat_Backend[[#This Row],[Level 1]:[Level 6]]),rng_EFConcat,rng_EF3WTTTD)*Buildings_Heat_Backend[[#This Row],[Converted data]]/1000)</f>
        <v/>
      </c>
      <c r="AL106" s="220">
        <f>SUM(Buildings_Heat_Backend[[#This Row],[Scope 1 (tCO2e)]:[Scope 3 WTT T&amp;D (tCO2e)]])</f>
        <v>0</v>
      </c>
      <c r="AM106" s="220" t="str">
        <f>IF(Buildings_Heat_Frontend[[#This Row],[Data]]="","", Buildings_Heat_Backend[[#This Row],[Total (tCO2e)]]*(1-Buildings_Heat_Backend[[#This Row],[RSD]]))</f>
        <v/>
      </c>
      <c r="AN106" s="220" t="str">
        <f>IF(Buildings_Heat_Frontend[[#This Row],[Data]]="","", Buildings_Heat_Backend[[#This Row],[Total (tCO2e)]]*(1+Buildings_Heat_Backend[[#This Row],[RSD]]))</f>
        <v/>
      </c>
      <c r="AO106" s="210" t="str">
        <f>IF(Buildings_Heat_Frontend[[#This Row],[Data]]="","", _xlfn.XLOOKUP(_xlfn.CONCAT(Buildings_Heat_Backend[[#This Row],[Level 1]:[Level 6]]),rng_EFConcat,rng_EFOOS)*Buildings_Heat_Backend[[#This Row],[Converted data]]/1000)</f>
        <v/>
      </c>
      <c r="AP106" s="174">
        <f>Buildings_Heat_Frontend[[#This Row],[Ease of collection]]</f>
        <v>0</v>
      </c>
      <c r="AQ106" s="174">
        <f>Buildings_Heat_Frontend[[#This Row],[Completeness]]</f>
        <v>0</v>
      </c>
      <c r="AR106" s="174">
        <f>Buildings_Heat_Frontend[[#This Row],[Notes]]</f>
        <v>0</v>
      </c>
    </row>
    <row r="107" spans="5:44" x14ac:dyDescent="0.3">
      <c r="E107" s="346"/>
      <c r="F107" s="364"/>
      <c r="G107" s="336"/>
      <c r="H107" s="336"/>
      <c r="I107" s="336"/>
      <c r="J107" s="334"/>
      <c r="K107" s="336"/>
      <c r="L107" s="336"/>
      <c r="M107" s="336"/>
      <c r="N107" s="352"/>
      <c r="O107" s="230">
        <f t="shared" si="5"/>
        <v>6</v>
      </c>
      <c r="Q107" s="212" t="str">
        <f t="shared" si="3"/>
        <v/>
      </c>
      <c r="R107" s="174" t="s">
        <v>265</v>
      </c>
      <c r="S107" s="174" t="s">
        <v>273</v>
      </c>
      <c r="T107" s="174" t="str">
        <f>IF(Buildings_Heat_Frontend[[#This Row],[Data]]="","", _xlfn.XLOOKUP(Buildings_Heat_Backend[[#This Row],[Info 1]],Buildings_SiteInfo[Site name],Buildings_SiteInfo[Site type]))</f>
        <v/>
      </c>
      <c r="U107" s="174" t="str">
        <f>IF(Buildings_Heat_Frontend[[#This Row],[Data]]="","", Buildings_Heat_Frontend[[#This Row],[Heating Type]])</f>
        <v/>
      </c>
      <c r="V107" s="174" t="str">
        <f>IF(Buildings_Heat_Frontend[[#This Row],[Data]]="","", Buildings_Heat_Frontend[[#This Row],[Fuel]])</f>
        <v/>
      </c>
      <c r="W107" s="174" t="str" cm="1">
        <f t="array" ref="W107">IF(Buildings_Heat_Frontend[[#This Row],[Data]]="","", _xlfn.XLOOKUP(Buildings_Heat_Backend[[#This Row],[Level 5]],rng_Level5Long,rng_Level6Long))</f>
        <v/>
      </c>
      <c r="X107" s="174" t="str">
        <f>IF(Buildings_Heat_Frontend[[#This Row],[Data]]="","", Buildings_Heat_Frontend[[#This Row],[Site Name]])</f>
        <v/>
      </c>
      <c r="Y107" s="174" t="str">
        <f>IF(Buildings_Heat_Frontend[[#This Row],[Data]]="","", Buildings_Heat_Frontend[[#This Row],[MPRN]])</f>
        <v/>
      </c>
      <c r="Z107" s="174" t="str">
        <f>IF(Buildings_Heat_Frontend[[#This Row],[Data]]="","", IF($I107="","",$I107))</f>
        <v/>
      </c>
      <c r="AA107" s="229" t="str" cm="1">
        <f t="array" ref="AA107">IF(Buildings_Heat_Frontend[[#This Row],[Data]]="","", INDEX(_xlfn.SWITCH(Buildings_Heat_Backend[[#This Row],[Methodology]],"Tier 1",rng_RSD1,"Tier 2",rng_RSD2,"Tier 3",rng_RSD3),MATCH(_xlfn.CONCAT(Buildings_Heat_Backend[[#This Row],[Level 1]:[Level 6]]),rng_LevelsConcat,0)))</f>
        <v/>
      </c>
      <c r="AB107" s="220" t="str">
        <f t="shared" si="4"/>
        <v/>
      </c>
      <c r="AC107" s="174">
        <f>Buildings_Heat_Frontend[[#This Row],[Units]]</f>
        <v>0</v>
      </c>
      <c r="AD10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7" s="174" t="str">
        <f>IF(Buildings_Heat_Frontend[[#This Row],[Data]]="","", _xlfn.XLOOKUP(_xlfn.CONCAT(Buildings_Heat_Backend[[#This Row],[Level 1]:[Level 6]]),rng_LevelsConcat,rng_UnitsLong))</f>
        <v/>
      </c>
      <c r="AF107" s="210" t="str">
        <f>IF(Buildings_Heat_Frontend[[#This Row],[Data]]="","", _xlfn.XLOOKUP(_xlfn.CONCAT(Buildings_Heat_Backend[[#This Row],[Level 1]:[Level 6]]),rng_EFConcat,rng_EF1)*Buildings_Heat_Backend[[#This Row],[Converted data]]/1000)</f>
        <v/>
      </c>
      <c r="AG107" s="210" t="str">
        <f>IF(Buildings_Heat_Frontend[[#This Row],[Data]]="","", _xlfn.XLOOKUP(_xlfn.CONCAT(Buildings_Heat_Backend[[#This Row],[Level 1]:[Level 6]]),rng_EFConcat,rng_EF2)*Buildings_Heat_Backend[[#This Row],[Converted data]]/1000)</f>
        <v/>
      </c>
      <c r="AH107" s="210" t="str">
        <f>IF(Buildings_Heat_Frontend[[#This Row],[Data]]="","", _xlfn.XLOOKUP(_xlfn.CONCAT(Buildings_Heat_Backend[[#This Row],[Level 1]:[Level 6]]),rng_EFConcat,rng_EF3)*Buildings_Heat_Backend[[#This Row],[Converted data]]/1000)</f>
        <v/>
      </c>
      <c r="AI107" s="210" t="str">
        <f>IF(Buildings_Heat_Frontend[[#This Row],[Data]]="","", _xlfn.XLOOKUP(_xlfn.CONCAT(Buildings_Heat_Backend[[#This Row],[Level 1]:[Level 6]]),rng_EFConcat,rng_EF3WTT)*Buildings_Heat_Backend[[#This Row],[Converted data]]/1000)</f>
        <v/>
      </c>
      <c r="AJ107" s="210" t="str">
        <f>IF(Buildings_Heat_Frontend[[#This Row],[Data]]="","", _xlfn.XLOOKUP(_xlfn.CONCAT(Buildings_Heat_Backend[[#This Row],[Level 1]:[Level 6]]),rng_EFConcat,rng_EF3TD)*Buildings_Heat_Backend[[#This Row],[Converted data]]/1000)</f>
        <v/>
      </c>
      <c r="AK107" s="210" t="str">
        <f>IF(Buildings_Heat_Frontend[[#This Row],[Data]]="","", _xlfn.XLOOKUP(_xlfn.CONCAT(Buildings_Heat_Backend[[#This Row],[Level 1]:[Level 6]]),rng_EFConcat,rng_EF3WTTTD)*Buildings_Heat_Backend[[#This Row],[Converted data]]/1000)</f>
        <v/>
      </c>
      <c r="AL107" s="220">
        <f>SUM(Buildings_Heat_Backend[[#This Row],[Scope 1 (tCO2e)]:[Scope 3 WTT T&amp;D (tCO2e)]])</f>
        <v>0</v>
      </c>
      <c r="AM107" s="220" t="str">
        <f>IF(Buildings_Heat_Frontend[[#This Row],[Data]]="","", Buildings_Heat_Backend[[#This Row],[Total (tCO2e)]]*(1-Buildings_Heat_Backend[[#This Row],[RSD]]))</f>
        <v/>
      </c>
      <c r="AN107" s="220" t="str">
        <f>IF(Buildings_Heat_Frontend[[#This Row],[Data]]="","", Buildings_Heat_Backend[[#This Row],[Total (tCO2e)]]*(1+Buildings_Heat_Backend[[#This Row],[RSD]]))</f>
        <v/>
      </c>
      <c r="AO107" s="210" t="str">
        <f>IF(Buildings_Heat_Frontend[[#This Row],[Data]]="","", _xlfn.XLOOKUP(_xlfn.CONCAT(Buildings_Heat_Backend[[#This Row],[Level 1]:[Level 6]]),rng_EFConcat,rng_EFOOS)*Buildings_Heat_Backend[[#This Row],[Converted data]]/1000)</f>
        <v/>
      </c>
      <c r="AP107" s="174">
        <f>Buildings_Heat_Frontend[[#This Row],[Ease of collection]]</f>
        <v>0</v>
      </c>
      <c r="AQ107" s="174">
        <f>Buildings_Heat_Frontend[[#This Row],[Completeness]]</f>
        <v>0</v>
      </c>
      <c r="AR107" s="174">
        <f>Buildings_Heat_Frontend[[#This Row],[Notes]]</f>
        <v>0</v>
      </c>
    </row>
    <row r="108" spans="5:44" x14ac:dyDescent="0.3">
      <c r="E108" s="346"/>
      <c r="F108" s="364"/>
      <c r="G108" s="336"/>
      <c r="H108" s="336"/>
      <c r="I108" s="336"/>
      <c r="J108" s="334"/>
      <c r="K108" s="336"/>
      <c r="L108" s="336"/>
      <c r="M108" s="336"/>
      <c r="N108" s="352"/>
      <c r="O108" s="230">
        <f t="shared" si="5"/>
        <v>6</v>
      </c>
      <c r="Q108" s="212" t="str">
        <f t="shared" si="3"/>
        <v/>
      </c>
      <c r="R108" s="174" t="s">
        <v>265</v>
      </c>
      <c r="S108" s="174" t="s">
        <v>273</v>
      </c>
      <c r="T108" s="174" t="str">
        <f>IF(Buildings_Heat_Frontend[[#This Row],[Data]]="","", _xlfn.XLOOKUP(Buildings_Heat_Backend[[#This Row],[Info 1]],Buildings_SiteInfo[Site name],Buildings_SiteInfo[Site type]))</f>
        <v/>
      </c>
      <c r="U108" s="174" t="str">
        <f>IF(Buildings_Heat_Frontend[[#This Row],[Data]]="","", Buildings_Heat_Frontend[[#This Row],[Heating Type]])</f>
        <v/>
      </c>
      <c r="V108" s="174" t="str">
        <f>IF(Buildings_Heat_Frontend[[#This Row],[Data]]="","", Buildings_Heat_Frontend[[#This Row],[Fuel]])</f>
        <v/>
      </c>
      <c r="W108" s="174" t="str" cm="1">
        <f t="array" ref="W108">IF(Buildings_Heat_Frontend[[#This Row],[Data]]="","", _xlfn.XLOOKUP(Buildings_Heat_Backend[[#This Row],[Level 5]],rng_Level5Long,rng_Level6Long))</f>
        <v/>
      </c>
      <c r="X108" s="174" t="str">
        <f>IF(Buildings_Heat_Frontend[[#This Row],[Data]]="","", Buildings_Heat_Frontend[[#This Row],[Site Name]])</f>
        <v/>
      </c>
      <c r="Y108" s="174" t="str">
        <f>IF(Buildings_Heat_Frontend[[#This Row],[Data]]="","", Buildings_Heat_Frontend[[#This Row],[MPRN]])</f>
        <v/>
      </c>
      <c r="Z108" s="174" t="str">
        <f>IF(Buildings_Heat_Frontend[[#This Row],[Data]]="","", IF($I108="","",$I108))</f>
        <v/>
      </c>
      <c r="AA108" s="229" t="str" cm="1">
        <f t="array" ref="AA108">IF(Buildings_Heat_Frontend[[#This Row],[Data]]="","", INDEX(_xlfn.SWITCH(Buildings_Heat_Backend[[#This Row],[Methodology]],"Tier 1",rng_RSD1,"Tier 2",rng_RSD2,"Tier 3",rng_RSD3),MATCH(_xlfn.CONCAT(Buildings_Heat_Backend[[#This Row],[Level 1]:[Level 6]]),rng_LevelsConcat,0)))</f>
        <v/>
      </c>
      <c r="AB108" s="220" t="str">
        <f t="shared" si="4"/>
        <v/>
      </c>
      <c r="AC108" s="174">
        <f>Buildings_Heat_Frontend[[#This Row],[Units]]</f>
        <v>0</v>
      </c>
      <c r="AD10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8" s="174" t="str">
        <f>IF(Buildings_Heat_Frontend[[#This Row],[Data]]="","", _xlfn.XLOOKUP(_xlfn.CONCAT(Buildings_Heat_Backend[[#This Row],[Level 1]:[Level 6]]),rng_LevelsConcat,rng_UnitsLong))</f>
        <v/>
      </c>
      <c r="AF108" s="210" t="str">
        <f>IF(Buildings_Heat_Frontend[[#This Row],[Data]]="","", _xlfn.XLOOKUP(_xlfn.CONCAT(Buildings_Heat_Backend[[#This Row],[Level 1]:[Level 6]]),rng_EFConcat,rng_EF1)*Buildings_Heat_Backend[[#This Row],[Converted data]]/1000)</f>
        <v/>
      </c>
      <c r="AG108" s="210" t="str">
        <f>IF(Buildings_Heat_Frontend[[#This Row],[Data]]="","", _xlfn.XLOOKUP(_xlfn.CONCAT(Buildings_Heat_Backend[[#This Row],[Level 1]:[Level 6]]),rng_EFConcat,rng_EF2)*Buildings_Heat_Backend[[#This Row],[Converted data]]/1000)</f>
        <v/>
      </c>
      <c r="AH108" s="210" t="str">
        <f>IF(Buildings_Heat_Frontend[[#This Row],[Data]]="","", _xlfn.XLOOKUP(_xlfn.CONCAT(Buildings_Heat_Backend[[#This Row],[Level 1]:[Level 6]]),rng_EFConcat,rng_EF3)*Buildings_Heat_Backend[[#This Row],[Converted data]]/1000)</f>
        <v/>
      </c>
      <c r="AI108" s="210" t="str">
        <f>IF(Buildings_Heat_Frontend[[#This Row],[Data]]="","", _xlfn.XLOOKUP(_xlfn.CONCAT(Buildings_Heat_Backend[[#This Row],[Level 1]:[Level 6]]),rng_EFConcat,rng_EF3WTT)*Buildings_Heat_Backend[[#This Row],[Converted data]]/1000)</f>
        <v/>
      </c>
      <c r="AJ108" s="210" t="str">
        <f>IF(Buildings_Heat_Frontend[[#This Row],[Data]]="","", _xlfn.XLOOKUP(_xlfn.CONCAT(Buildings_Heat_Backend[[#This Row],[Level 1]:[Level 6]]),rng_EFConcat,rng_EF3TD)*Buildings_Heat_Backend[[#This Row],[Converted data]]/1000)</f>
        <v/>
      </c>
      <c r="AK108" s="210" t="str">
        <f>IF(Buildings_Heat_Frontend[[#This Row],[Data]]="","", _xlfn.XLOOKUP(_xlfn.CONCAT(Buildings_Heat_Backend[[#This Row],[Level 1]:[Level 6]]),rng_EFConcat,rng_EF3WTTTD)*Buildings_Heat_Backend[[#This Row],[Converted data]]/1000)</f>
        <v/>
      </c>
      <c r="AL108" s="220">
        <f>SUM(Buildings_Heat_Backend[[#This Row],[Scope 1 (tCO2e)]:[Scope 3 WTT T&amp;D (tCO2e)]])</f>
        <v>0</v>
      </c>
      <c r="AM108" s="220" t="str">
        <f>IF(Buildings_Heat_Frontend[[#This Row],[Data]]="","", Buildings_Heat_Backend[[#This Row],[Total (tCO2e)]]*(1-Buildings_Heat_Backend[[#This Row],[RSD]]))</f>
        <v/>
      </c>
      <c r="AN108" s="220" t="str">
        <f>IF(Buildings_Heat_Frontend[[#This Row],[Data]]="","", Buildings_Heat_Backend[[#This Row],[Total (tCO2e)]]*(1+Buildings_Heat_Backend[[#This Row],[RSD]]))</f>
        <v/>
      </c>
      <c r="AO108" s="210" t="str">
        <f>IF(Buildings_Heat_Frontend[[#This Row],[Data]]="","", _xlfn.XLOOKUP(_xlfn.CONCAT(Buildings_Heat_Backend[[#This Row],[Level 1]:[Level 6]]),rng_EFConcat,rng_EFOOS)*Buildings_Heat_Backend[[#This Row],[Converted data]]/1000)</f>
        <v/>
      </c>
      <c r="AP108" s="174">
        <f>Buildings_Heat_Frontend[[#This Row],[Ease of collection]]</f>
        <v>0</v>
      </c>
      <c r="AQ108" s="174">
        <f>Buildings_Heat_Frontend[[#This Row],[Completeness]]</f>
        <v>0</v>
      </c>
      <c r="AR108" s="174">
        <f>Buildings_Heat_Frontend[[#This Row],[Notes]]</f>
        <v>0</v>
      </c>
    </row>
    <row r="109" spans="5:44" x14ac:dyDescent="0.3">
      <c r="E109" s="346"/>
      <c r="F109" s="364"/>
      <c r="G109" s="336"/>
      <c r="H109" s="336"/>
      <c r="I109" s="336"/>
      <c r="J109" s="334"/>
      <c r="K109" s="336"/>
      <c r="L109" s="336"/>
      <c r="M109" s="336"/>
      <c r="N109" s="352"/>
      <c r="O109" s="230">
        <f t="shared" si="5"/>
        <v>6</v>
      </c>
      <c r="Q109" s="212" t="str">
        <f t="shared" si="3"/>
        <v/>
      </c>
      <c r="R109" s="174" t="s">
        <v>265</v>
      </c>
      <c r="S109" s="174" t="s">
        <v>273</v>
      </c>
      <c r="T109" s="174" t="str">
        <f>IF(Buildings_Heat_Frontend[[#This Row],[Data]]="","", _xlfn.XLOOKUP(Buildings_Heat_Backend[[#This Row],[Info 1]],Buildings_SiteInfo[Site name],Buildings_SiteInfo[Site type]))</f>
        <v/>
      </c>
      <c r="U109" s="174" t="str">
        <f>IF(Buildings_Heat_Frontend[[#This Row],[Data]]="","", Buildings_Heat_Frontend[[#This Row],[Heating Type]])</f>
        <v/>
      </c>
      <c r="V109" s="174" t="str">
        <f>IF(Buildings_Heat_Frontend[[#This Row],[Data]]="","", Buildings_Heat_Frontend[[#This Row],[Fuel]])</f>
        <v/>
      </c>
      <c r="W109" s="174" t="str" cm="1">
        <f t="array" ref="W109">IF(Buildings_Heat_Frontend[[#This Row],[Data]]="","", _xlfn.XLOOKUP(Buildings_Heat_Backend[[#This Row],[Level 5]],rng_Level5Long,rng_Level6Long))</f>
        <v/>
      </c>
      <c r="X109" s="174" t="str">
        <f>IF(Buildings_Heat_Frontend[[#This Row],[Data]]="","", Buildings_Heat_Frontend[[#This Row],[Site Name]])</f>
        <v/>
      </c>
      <c r="Y109" s="174" t="str">
        <f>IF(Buildings_Heat_Frontend[[#This Row],[Data]]="","", Buildings_Heat_Frontend[[#This Row],[MPRN]])</f>
        <v/>
      </c>
      <c r="Z109" s="174" t="str">
        <f>IF(Buildings_Heat_Frontend[[#This Row],[Data]]="","", IF($I109="","",$I109))</f>
        <v/>
      </c>
      <c r="AA109" s="229" t="str" cm="1">
        <f t="array" ref="AA109">IF(Buildings_Heat_Frontend[[#This Row],[Data]]="","", INDEX(_xlfn.SWITCH(Buildings_Heat_Backend[[#This Row],[Methodology]],"Tier 1",rng_RSD1,"Tier 2",rng_RSD2,"Tier 3",rng_RSD3),MATCH(_xlfn.CONCAT(Buildings_Heat_Backend[[#This Row],[Level 1]:[Level 6]]),rng_LevelsConcat,0)))</f>
        <v/>
      </c>
      <c r="AB109" s="220" t="str">
        <f t="shared" si="4"/>
        <v/>
      </c>
      <c r="AC109" s="174">
        <f>Buildings_Heat_Frontend[[#This Row],[Units]]</f>
        <v>0</v>
      </c>
      <c r="AD10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09" s="174" t="str">
        <f>IF(Buildings_Heat_Frontend[[#This Row],[Data]]="","", _xlfn.XLOOKUP(_xlfn.CONCAT(Buildings_Heat_Backend[[#This Row],[Level 1]:[Level 6]]),rng_LevelsConcat,rng_UnitsLong))</f>
        <v/>
      </c>
      <c r="AF109" s="210" t="str">
        <f>IF(Buildings_Heat_Frontend[[#This Row],[Data]]="","", _xlfn.XLOOKUP(_xlfn.CONCAT(Buildings_Heat_Backend[[#This Row],[Level 1]:[Level 6]]),rng_EFConcat,rng_EF1)*Buildings_Heat_Backend[[#This Row],[Converted data]]/1000)</f>
        <v/>
      </c>
      <c r="AG109" s="210" t="str">
        <f>IF(Buildings_Heat_Frontend[[#This Row],[Data]]="","", _xlfn.XLOOKUP(_xlfn.CONCAT(Buildings_Heat_Backend[[#This Row],[Level 1]:[Level 6]]),rng_EFConcat,rng_EF2)*Buildings_Heat_Backend[[#This Row],[Converted data]]/1000)</f>
        <v/>
      </c>
      <c r="AH109" s="210" t="str">
        <f>IF(Buildings_Heat_Frontend[[#This Row],[Data]]="","", _xlfn.XLOOKUP(_xlfn.CONCAT(Buildings_Heat_Backend[[#This Row],[Level 1]:[Level 6]]),rng_EFConcat,rng_EF3)*Buildings_Heat_Backend[[#This Row],[Converted data]]/1000)</f>
        <v/>
      </c>
      <c r="AI109" s="210" t="str">
        <f>IF(Buildings_Heat_Frontend[[#This Row],[Data]]="","", _xlfn.XLOOKUP(_xlfn.CONCAT(Buildings_Heat_Backend[[#This Row],[Level 1]:[Level 6]]),rng_EFConcat,rng_EF3WTT)*Buildings_Heat_Backend[[#This Row],[Converted data]]/1000)</f>
        <v/>
      </c>
      <c r="AJ109" s="210" t="str">
        <f>IF(Buildings_Heat_Frontend[[#This Row],[Data]]="","", _xlfn.XLOOKUP(_xlfn.CONCAT(Buildings_Heat_Backend[[#This Row],[Level 1]:[Level 6]]),rng_EFConcat,rng_EF3TD)*Buildings_Heat_Backend[[#This Row],[Converted data]]/1000)</f>
        <v/>
      </c>
      <c r="AK109" s="210" t="str">
        <f>IF(Buildings_Heat_Frontend[[#This Row],[Data]]="","", _xlfn.XLOOKUP(_xlfn.CONCAT(Buildings_Heat_Backend[[#This Row],[Level 1]:[Level 6]]),rng_EFConcat,rng_EF3WTTTD)*Buildings_Heat_Backend[[#This Row],[Converted data]]/1000)</f>
        <v/>
      </c>
      <c r="AL109" s="220">
        <f>SUM(Buildings_Heat_Backend[[#This Row],[Scope 1 (tCO2e)]:[Scope 3 WTT T&amp;D (tCO2e)]])</f>
        <v>0</v>
      </c>
      <c r="AM109" s="220" t="str">
        <f>IF(Buildings_Heat_Frontend[[#This Row],[Data]]="","", Buildings_Heat_Backend[[#This Row],[Total (tCO2e)]]*(1-Buildings_Heat_Backend[[#This Row],[RSD]]))</f>
        <v/>
      </c>
      <c r="AN109" s="220" t="str">
        <f>IF(Buildings_Heat_Frontend[[#This Row],[Data]]="","", Buildings_Heat_Backend[[#This Row],[Total (tCO2e)]]*(1+Buildings_Heat_Backend[[#This Row],[RSD]]))</f>
        <v/>
      </c>
      <c r="AO109" s="210" t="str">
        <f>IF(Buildings_Heat_Frontend[[#This Row],[Data]]="","", _xlfn.XLOOKUP(_xlfn.CONCAT(Buildings_Heat_Backend[[#This Row],[Level 1]:[Level 6]]),rng_EFConcat,rng_EFOOS)*Buildings_Heat_Backend[[#This Row],[Converted data]]/1000)</f>
        <v/>
      </c>
      <c r="AP109" s="174">
        <f>Buildings_Heat_Frontend[[#This Row],[Ease of collection]]</f>
        <v>0</v>
      </c>
      <c r="AQ109" s="174">
        <f>Buildings_Heat_Frontend[[#This Row],[Completeness]]</f>
        <v>0</v>
      </c>
      <c r="AR109" s="174">
        <f>Buildings_Heat_Frontend[[#This Row],[Notes]]</f>
        <v>0</v>
      </c>
    </row>
    <row r="110" spans="5:44" x14ac:dyDescent="0.3">
      <c r="E110" s="346"/>
      <c r="F110" s="364"/>
      <c r="G110" s="336"/>
      <c r="H110" s="336"/>
      <c r="I110" s="336"/>
      <c r="J110" s="334"/>
      <c r="K110" s="336"/>
      <c r="L110" s="336"/>
      <c r="M110" s="336"/>
      <c r="N110" s="352"/>
      <c r="O110" s="230">
        <f t="shared" si="5"/>
        <v>6</v>
      </c>
      <c r="Q110" s="212" t="str">
        <f t="shared" si="3"/>
        <v/>
      </c>
      <c r="R110" s="174" t="s">
        <v>265</v>
      </c>
      <c r="S110" s="174" t="s">
        <v>273</v>
      </c>
      <c r="T110" s="174" t="str">
        <f>IF(Buildings_Heat_Frontend[[#This Row],[Data]]="","", _xlfn.XLOOKUP(Buildings_Heat_Backend[[#This Row],[Info 1]],Buildings_SiteInfo[Site name],Buildings_SiteInfo[Site type]))</f>
        <v/>
      </c>
      <c r="U110" s="174" t="str">
        <f>IF(Buildings_Heat_Frontend[[#This Row],[Data]]="","", Buildings_Heat_Frontend[[#This Row],[Heating Type]])</f>
        <v/>
      </c>
      <c r="V110" s="174" t="str">
        <f>IF(Buildings_Heat_Frontend[[#This Row],[Data]]="","", Buildings_Heat_Frontend[[#This Row],[Fuel]])</f>
        <v/>
      </c>
      <c r="W110" s="174" t="str" cm="1">
        <f t="array" ref="W110">IF(Buildings_Heat_Frontend[[#This Row],[Data]]="","", _xlfn.XLOOKUP(Buildings_Heat_Backend[[#This Row],[Level 5]],rng_Level5Long,rng_Level6Long))</f>
        <v/>
      </c>
      <c r="X110" s="174" t="str">
        <f>IF(Buildings_Heat_Frontend[[#This Row],[Data]]="","", Buildings_Heat_Frontend[[#This Row],[Site Name]])</f>
        <v/>
      </c>
      <c r="Y110" s="174" t="str">
        <f>IF(Buildings_Heat_Frontend[[#This Row],[Data]]="","", Buildings_Heat_Frontend[[#This Row],[MPRN]])</f>
        <v/>
      </c>
      <c r="Z110" s="174" t="str">
        <f>IF(Buildings_Heat_Frontend[[#This Row],[Data]]="","", IF($I110="","",$I110))</f>
        <v/>
      </c>
      <c r="AA110" s="229" t="str" cm="1">
        <f t="array" ref="AA110">IF(Buildings_Heat_Frontend[[#This Row],[Data]]="","", INDEX(_xlfn.SWITCH(Buildings_Heat_Backend[[#This Row],[Methodology]],"Tier 1",rng_RSD1,"Tier 2",rng_RSD2,"Tier 3",rng_RSD3),MATCH(_xlfn.CONCAT(Buildings_Heat_Backend[[#This Row],[Level 1]:[Level 6]]),rng_LevelsConcat,0)))</f>
        <v/>
      </c>
      <c r="AB110" s="220" t="str">
        <f t="shared" si="4"/>
        <v/>
      </c>
      <c r="AC110" s="174">
        <f>Buildings_Heat_Frontend[[#This Row],[Units]]</f>
        <v>0</v>
      </c>
      <c r="AD11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0" s="174" t="str">
        <f>IF(Buildings_Heat_Frontend[[#This Row],[Data]]="","", _xlfn.XLOOKUP(_xlfn.CONCAT(Buildings_Heat_Backend[[#This Row],[Level 1]:[Level 6]]),rng_LevelsConcat,rng_UnitsLong))</f>
        <v/>
      </c>
      <c r="AF110" s="210" t="str">
        <f>IF(Buildings_Heat_Frontend[[#This Row],[Data]]="","", _xlfn.XLOOKUP(_xlfn.CONCAT(Buildings_Heat_Backend[[#This Row],[Level 1]:[Level 6]]),rng_EFConcat,rng_EF1)*Buildings_Heat_Backend[[#This Row],[Converted data]]/1000)</f>
        <v/>
      </c>
      <c r="AG110" s="210" t="str">
        <f>IF(Buildings_Heat_Frontend[[#This Row],[Data]]="","", _xlfn.XLOOKUP(_xlfn.CONCAT(Buildings_Heat_Backend[[#This Row],[Level 1]:[Level 6]]),rng_EFConcat,rng_EF2)*Buildings_Heat_Backend[[#This Row],[Converted data]]/1000)</f>
        <v/>
      </c>
      <c r="AH110" s="210" t="str">
        <f>IF(Buildings_Heat_Frontend[[#This Row],[Data]]="","", _xlfn.XLOOKUP(_xlfn.CONCAT(Buildings_Heat_Backend[[#This Row],[Level 1]:[Level 6]]),rng_EFConcat,rng_EF3)*Buildings_Heat_Backend[[#This Row],[Converted data]]/1000)</f>
        <v/>
      </c>
      <c r="AI110" s="210" t="str">
        <f>IF(Buildings_Heat_Frontend[[#This Row],[Data]]="","", _xlfn.XLOOKUP(_xlfn.CONCAT(Buildings_Heat_Backend[[#This Row],[Level 1]:[Level 6]]),rng_EFConcat,rng_EF3WTT)*Buildings_Heat_Backend[[#This Row],[Converted data]]/1000)</f>
        <v/>
      </c>
      <c r="AJ110" s="210" t="str">
        <f>IF(Buildings_Heat_Frontend[[#This Row],[Data]]="","", _xlfn.XLOOKUP(_xlfn.CONCAT(Buildings_Heat_Backend[[#This Row],[Level 1]:[Level 6]]),rng_EFConcat,rng_EF3TD)*Buildings_Heat_Backend[[#This Row],[Converted data]]/1000)</f>
        <v/>
      </c>
      <c r="AK110" s="210" t="str">
        <f>IF(Buildings_Heat_Frontend[[#This Row],[Data]]="","", _xlfn.XLOOKUP(_xlfn.CONCAT(Buildings_Heat_Backend[[#This Row],[Level 1]:[Level 6]]),rng_EFConcat,rng_EF3WTTTD)*Buildings_Heat_Backend[[#This Row],[Converted data]]/1000)</f>
        <v/>
      </c>
      <c r="AL110" s="220">
        <f>SUM(Buildings_Heat_Backend[[#This Row],[Scope 1 (tCO2e)]:[Scope 3 WTT T&amp;D (tCO2e)]])</f>
        <v>0</v>
      </c>
      <c r="AM110" s="220" t="str">
        <f>IF(Buildings_Heat_Frontend[[#This Row],[Data]]="","", Buildings_Heat_Backend[[#This Row],[Total (tCO2e)]]*(1-Buildings_Heat_Backend[[#This Row],[RSD]]))</f>
        <v/>
      </c>
      <c r="AN110" s="220" t="str">
        <f>IF(Buildings_Heat_Frontend[[#This Row],[Data]]="","", Buildings_Heat_Backend[[#This Row],[Total (tCO2e)]]*(1+Buildings_Heat_Backend[[#This Row],[RSD]]))</f>
        <v/>
      </c>
      <c r="AO110" s="210" t="str">
        <f>IF(Buildings_Heat_Frontend[[#This Row],[Data]]="","", _xlfn.XLOOKUP(_xlfn.CONCAT(Buildings_Heat_Backend[[#This Row],[Level 1]:[Level 6]]),rng_EFConcat,rng_EFOOS)*Buildings_Heat_Backend[[#This Row],[Converted data]]/1000)</f>
        <v/>
      </c>
      <c r="AP110" s="174">
        <f>Buildings_Heat_Frontend[[#This Row],[Ease of collection]]</f>
        <v>0</v>
      </c>
      <c r="AQ110" s="174">
        <f>Buildings_Heat_Frontend[[#This Row],[Completeness]]</f>
        <v>0</v>
      </c>
      <c r="AR110" s="174">
        <f>Buildings_Heat_Frontend[[#This Row],[Notes]]</f>
        <v>0</v>
      </c>
    </row>
    <row r="111" spans="5:44" x14ac:dyDescent="0.3">
      <c r="E111" s="346"/>
      <c r="F111" s="364"/>
      <c r="G111" s="336"/>
      <c r="H111" s="336"/>
      <c r="I111" s="336"/>
      <c r="J111" s="334"/>
      <c r="K111" s="336"/>
      <c r="L111" s="336"/>
      <c r="M111" s="336"/>
      <c r="N111" s="352"/>
      <c r="O111" s="230">
        <f t="shared" si="5"/>
        <v>6</v>
      </c>
      <c r="Q111" s="212" t="str">
        <f t="shared" si="3"/>
        <v/>
      </c>
      <c r="R111" s="174" t="s">
        <v>265</v>
      </c>
      <c r="S111" s="174" t="s">
        <v>273</v>
      </c>
      <c r="T111" s="174" t="str">
        <f>IF(Buildings_Heat_Frontend[[#This Row],[Data]]="","", _xlfn.XLOOKUP(Buildings_Heat_Backend[[#This Row],[Info 1]],Buildings_SiteInfo[Site name],Buildings_SiteInfo[Site type]))</f>
        <v/>
      </c>
      <c r="U111" s="174" t="str">
        <f>IF(Buildings_Heat_Frontend[[#This Row],[Data]]="","", Buildings_Heat_Frontend[[#This Row],[Heating Type]])</f>
        <v/>
      </c>
      <c r="V111" s="174" t="str">
        <f>IF(Buildings_Heat_Frontend[[#This Row],[Data]]="","", Buildings_Heat_Frontend[[#This Row],[Fuel]])</f>
        <v/>
      </c>
      <c r="W111" s="174" t="str" cm="1">
        <f t="array" ref="W111">IF(Buildings_Heat_Frontend[[#This Row],[Data]]="","", _xlfn.XLOOKUP(Buildings_Heat_Backend[[#This Row],[Level 5]],rng_Level5Long,rng_Level6Long))</f>
        <v/>
      </c>
      <c r="X111" s="174" t="str">
        <f>IF(Buildings_Heat_Frontend[[#This Row],[Data]]="","", Buildings_Heat_Frontend[[#This Row],[Site Name]])</f>
        <v/>
      </c>
      <c r="Y111" s="174" t="str">
        <f>IF(Buildings_Heat_Frontend[[#This Row],[Data]]="","", Buildings_Heat_Frontend[[#This Row],[MPRN]])</f>
        <v/>
      </c>
      <c r="Z111" s="174" t="str">
        <f>IF(Buildings_Heat_Frontend[[#This Row],[Data]]="","", IF($I111="","",$I111))</f>
        <v/>
      </c>
      <c r="AA111" s="229" t="str" cm="1">
        <f t="array" ref="AA111">IF(Buildings_Heat_Frontend[[#This Row],[Data]]="","", INDEX(_xlfn.SWITCH(Buildings_Heat_Backend[[#This Row],[Methodology]],"Tier 1",rng_RSD1,"Tier 2",rng_RSD2,"Tier 3",rng_RSD3),MATCH(_xlfn.CONCAT(Buildings_Heat_Backend[[#This Row],[Level 1]:[Level 6]]),rng_LevelsConcat,0)))</f>
        <v/>
      </c>
      <c r="AB111" s="220" t="str">
        <f t="shared" si="4"/>
        <v/>
      </c>
      <c r="AC111" s="174">
        <f>Buildings_Heat_Frontend[[#This Row],[Units]]</f>
        <v>0</v>
      </c>
      <c r="AD11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1" s="174" t="str">
        <f>IF(Buildings_Heat_Frontend[[#This Row],[Data]]="","", _xlfn.XLOOKUP(_xlfn.CONCAT(Buildings_Heat_Backend[[#This Row],[Level 1]:[Level 6]]),rng_LevelsConcat,rng_UnitsLong))</f>
        <v/>
      </c>
      <c r="AF111" s="210" t="str">
        <f>IF(Buildings_Heat_Frontend[[#This Row],[Data]]="","", _xlfn.XLOOKUP(_xlfn.CONCAT(Buildings_Heat_Backend[[#This Row],[Level 1]:[Level 6]]),rng_EFConcat,rng_EF1)*Buildings_Heat_Backend[[#This Row],[Converted data]]/1000)</f>
        <v/>
      </c>
      <c r="AG111" s="210" t="str">
        <f>IF(Buildings_Heat_Frontend[[#This Row],[Data]]="","", _xlfn.XLOOKUP(_xlfn.CONCAT(Buildings_Heat_Backend[[#This Row],[Level 1]:[Level 6]]),rng_EFConcat,rng_EF2)*Buildings_Heat_Backend[[#This Row],[Converted data]]/1000)</f>
        <v/>
      </c>
      <c r="AH111" s="210" t="str">
        <f>IF(Buildings_Heat_Frontend[[#This Row],[Data]]="","", _xlfn.XLOOKUP(_xlfn.CONCAT(Buildings_Heat_Backend[[#This Row],[Level 1]:[Level 6]]),rng_EFConcat,rng_EF3)*Buildings_Heat_Backend[[#This Row],[Converted data]]/1000)</f>
        <v/>
      </c>
      <c r="AI111" s="210" t="str">
        <f>IF(Buildings_Heat_Frontend[[#This Row],[Data]]="","", _xlfn.XLOOKUP(_xlfn.CONCAT(Buildings_Heat_Backend[[#This Row],[Level 1]:[Level 6]]),rng_EFConcat,rng_EF3WTT)*Buildings_Heat_Backend[[#This Row],[Converted data]]/1000)</f>
        <v/>
      </c>
      <c r="AJ111" s="210" t="str">
        <f>IF(Buildings_Heat_Frontend[[#This Row],[Data]]="","", _xlfn.XLOOKUP(_xlfn.CONCAT(Buildings_Heat_Backend[[#This Row],[Level 1]:[Level 6]]),rng_EFConcat,rng_EF3TD)*Buildings_Heat_Backend[[#This Row],[Converted data]]/1000)</f>
        <v/>
      </c>
      <c r="AK111" s="210" t="str">
        <f>IF(Buildings_Heat_Frontend[[#This Row],[Data]]="","", _xlfn.XLOOKUP(_xlfn.CONCAT(Buildings_Heat_Backend[[#This Row],[Level 1]:[Level 6]]),rng_EFConcat,rng_EF3WTTTD)*Buildings_Heat_Backend[[#This Row],[Converted data]]/1000)</f>
        <v/>
      </c>
      <c r="AL111" s="220">
        <f>SUM(Buildings_Heat_Backend[[#This Row],[Scope 1 (tCO2e)]:[Scope 3 WTT T&amp;D (tCO2e)]])</f>
        <v>0</v>
      </c>
      <c r="AM111" s="220" t="str">
        <f>IF(Buildings_Heat_Frontend[[#This Row],[Data]]="","", Buildings_Heat_Backend[[#This Row],[Total (tCO2e)]]*(1-Buildings_Heat_Backend[[#This Row],[RSD]]))</f>
        <v/>
      </c>
      <c r="AN111" s="220" t="str">
        <f>IF(Buildings_Heat_Frontend[[#This Row],[Data]]="","", Buildings_Heat_Backend[[#This Row],[Total (tCO2e)]]*(1+Buildings_Heat_Backend[[#This Row],[RSD]]))</f>
        <v/>
      </c>
      <c r="AO111" s="210" t="str">
        <f>IF(Buildings_Heat_Frontend[[#This Row],[Data]]="","", _xlfn.XLOOKUP(_xlfn.CONCAT(Buildings_Heat_Backend[[#This Row],[Level 1]:[Level 6]]),rng_EFConcat,rng_EFOOS)*Buildings_Heat_Backend[[#This Row],[Converted data]]/1000)</f>
        <v/>
      </c>
      <c r="AP111" s="174">
        <f>Buildings_Heat_Frontend[[#This Row],[Ease of collection]]</f>
        <v>0</v>
      </c>
      <c r="AQ111" s="174">
        <f>Buildings_Heat_Frontend[[#This Row],[Completeness]]</f>
        <v>0</v>
      </c>
      <c r="AR111" s="174">
        <f>Buildings_Heat_Frontend[[#This Row],[Notes]]</f>
        <v>0</v>
      </c>
    </row>
    <row r="112" spans="5:44" x14ac:dyDescent="0.3">
      <c r="E112" s="346"/>
      <c r="F112" s="364"/>
      <c r="G112" s="336"/>
      <c r="H112" s="336"/>
      <c r="I112" s="336"/>
      <c r="J112" s="334"/>
      <c r="K112" s="336"/>
      <c r="L112" s="336"/>
      <c r="M112" s="336"/>
      <c r="N112" s="352"/>
      <c r="O112" s="230">
        <f t="shared" si="5"/>
        <v>6</v>
      </c>
      <c r="Q112" s="212" t="str">
        <f t="shared" si="3"/>
        <v/>
      </c>
      <c r="R112" s="174" t="s">
        <v>265</v>
      </c>
      <c r="S112" s="174" t="s">
        <v>273</v>
      </c>
      <c r="T112" s="174" t="str">
        <f>IF(Buildings_Heat_Frontend[[#This Row],[Data]]="","", _xlfn.XLOOKUP(Buildings_Heat_Backend[[#This Row],[Info 1]],Buildings_SiteInfo[Site name],Buildings_SiteInfo[Site type]))</f>
        <v/>
      </c>
      <c r="U112" s="174" t="str">
        <f>IF(Buildings_Heat_Frontend[[#This Row],[Data]]="","", Buildings_Heat_Frontend[[#This Row],[Heating Type]])</f>
        <v/>
      </c>
      <c r="V112" s="174" t="str">
        <f>IF(Buildings_Heat_Frontend[[#This Row],[Data]]="","", Buildings_Heat_Frontend[[#This Row],[Fuel]])</f>
        <v/>
      </c>
      <c r="W112" s="174" t="str" cm="1">
        <f t="array" ref="W112">IF(Buildings_Heat_Frontend[[#This Row],[Data]]="","", _xlfn.XLOOKUP(Buildings_Heat_Backend[[#This Row],[Level 5]],rng_Level5Long,rng_Level6Long))</f>
        <v/>
      </c>
      <c r="X112" s="174" t="str">
        <f>IF(Buildings_Heat_Frontend[[#This Row],[Data]]="","", Buildings_Heat_Frontend[[#This Row],[Site Name]])</f>
        <v/>
      </c>
      <c r="Y112" s="174" t="str">
        <f>IF(Buildings_Heat_Frontend[[#This Row],[Data]]="","", Buildings_Heat_Frontend[[#This Row],[MPRN]])</f>
        <v/>
      </c>
      <c r="Z112" s="174" t="str">
        <f>IF(Buildings_Heat_Frontend[[#This Row],[Data]]="","", IF($I112="","",$I112))</f>
        <v/>
      </c>
      <c r="AA112" s="229" t="str" cm="1">
        <f t="array" ref="AA112">IF(Buildings_Heat_Frontend[[#This Row],[Data]]="","", INDEX(_xlfn.SWITCH(Buildings_Heat_Backend[[#This Row],[Methodology]],"Tier 1",rng_RSD1,"Tier 2",rng_RSD2,"Tier 3",rng_RSD3),MATCH(_xlfn.CONCAT(Buildings_Heat_Backend[[#This Row],[Level 1]:[Level 6]]),rng_LevelsConcat,0)))</f>
        <v/>
      </c>
      <c r="AB112" s="220" t="str">
        <f t="shared" si="4"/>
        <v/>
      </c>
      <c r="AC112" s="174">
        <f>Buildings_Heat_Frontend[[#This Row],[Units]]</f>
        <v>0</v>
      </c>
      <c r="AD11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2" s="174" t="str">
        <f>IF(Buildings_Heat_Frontend[[#This Row],[Data]]="","", _xlfn.XLOOKUP(_xlfn.CONCAT(Buildings_Heat_Backend[[#This Row],[Level 1]:[Level 6]]),rng_LevelsConcat,rng_UnitsLong))</f>
        <v/>
      </c>
      <c r="AF112" s="210" t="str">
        <f>IF(Buildings_Heat_Frontend[[#This Row],[Data]]="","", _xlfn.XLOOKUP(_xlfn.CONCAT(Buildings_Heat_Backend[[#This Row],[Level 1]:[Level 6]]),rng_EFConcat,rng_EF1)*Buildings_Heat_Backend[[#This Row],[Converted data]]/1000)</f>
        <v/>
      </c>
      <c r="AG112" s="210" t="str">
        <f>IF(Buildings_Heat_Frontend[[#This Row],[Data]]="","", _xlfn.XLOOKUP(_xlfn.CONCAT(Buildings_Heat_Backend[[#This Row],[Level 1]:[Level 6]]),rng_EFConcat,rng_EF2)*Buildings_Heat_Backend[[#This Row],[Converted data]]/1000)</f>
        <v/>
      </c>
      <c r="AH112" s="210" t="str">
        <f>IF(Buildings_Heat_Frontend[[#This Row],[Data]]="","", _xlfn.XLOOKUP(_xlfn.CONCAT(Buildings_Heat_Backend[[#This Row],[Level 1]:[Level 6]]),rng_EFConcat,rng_EF3)*Buildings_Heat_Backend[[#This Row],[Converted data]]/1000)</f>
        <v/>
      </c>
      <c r="AI112" s="210" t="str">
        <f>IF(Buildings_Heat_Frontend[[#This Row],[Data]]="","", _xlfn.XLOOKUP(_xlfn.CONCAT(Buildings_Heat_Backend[[#This Row],[Level 1]:[Level 6]]),rng_EFConcat,rng_EF3WTT)*Buildings_Heat_Backend[[#This Row],[Converted data]]/1000)</f>
        <v/>
      </c>
      <c r="AJ112" s="210" t="str">
        <f>IF(Buildings_Heat_Frontend[[#This Row],[Data]]="","", _xlfn.XLOOKUP(_xlfn.CONCAT(Buildings_Heat_Backend[[#This Row],[Level 1]:[Level 6]]),rng_EFConcat,rng_EF3TD)*Buildings_Heat_Backend[[#This Row],[Converted data]]/1000)</f>
        <v/>
      </c>
      <c r="AK112" s="210" t="str">
        <f>IF(Buildings_Heat_Frontend[[#This Row],[Data]]="","", _xlfn.XLOOKUP(_xlfn.CONCAT(Buildings_Heat_Backend[[#This Row],[Level 1]:[Level 6]]),rng_EFConcat,rng_EF3WTTTD)*Buildings_Heat_Backend[[#This Row],[Converted data]]/1000)</f>
        <v/>
      </c>
      <c r="AL112" s="220">
        <f>SUM(Buildings_Heat_Backend[[#This Row],[Scope 1 (tCO2e)]:[Scope 3 WTT T&amp;D (tCO2e)]])</f>
        <v>0</v>
      </c>
      <c r="AM112" s="220" t="str">
        <f>IF(Buildings_Heat_Frontend[[#This Row],[Data]]="","", Buildings_Heat_Backend[[#This Row],[Total (tCO2e)]]*(1-Buildings_Heat_Backend[[#This Row],[RSD]]))</f>
        <v/>
      </c>
      <c r="AN112" s="220" t="str">
        <f>IF(Buildings_Heat_Frontend[[#This Row],[Data]]="","", Buildings_Heat_Backend[[#This Row],[Total (tCO2e)]]*(1+Buildings_Heat_Backend[[#This Row],[RSD]]))</f>
        <v/>
      </c>
      <c r="AO112" s="210" t="str">
        <f>IF(Buildings_Heat_Frontend[[#This Row],[Data]]="","", _xlfn.XLOOKUP(_xlfn.CONCAT(Buildings_Heat_Backend[[#This Row],[Level 1]:[Level 6]]),rng_EFConcat,rng_EFOOS)*Buildings_Heat_Backend[[#This Row],[Converted data]]/1000)</f>
        <v/>
      </c>
      <c r="AP112" s="174">
        <f>Buildings_Heat_Frontend[[#This Row],[Ease of collection]]</f>
        <v>0</v>
      </c>
      <c r="AQ112" s="174">
        <f>Buildings_Heat_Frontend[[#This Row],[Completeness]]</f>
        <v>0</v>
      </c>
      <c r="AR112" s="174">
        <f>Buildings_Heat_Frontend[[#This Row],[Notes]]</f>
        <v>0</v>
      </c>
    </row>
    <row r="113" spans="5:44" x14ac:dyDescent="0.3">
      <c r="E113" s="346"/>
      <c r="F113" s="364"/>
      <c r="G113" s="336"/>
      <c r="H113" s="336"/>
      <c r="I113" s="336"/>
      <c r="J113" s="334"/>
      <c r="K113" s="336"/>
      <c r="L113" s="336"/>
      <c r="M113" s="336"/>
      <c r="N113" s="352"/>
      <c r="O113" s="230">
        <f t="shared" si="5"/>
        <v>6</v>
      </c>
      <c r="Q113" s="212" t="str">
        <f t="shared" si="3"/>
        <v/>
      </c>
      <c r="R113" s="174" t="s">
        <v>265</v>
      </c>
      <c r="S113" s="174" t="s">
        <v>273</v>
      </c>
      <c r="T113" s="174" t="str">
        <f>IF(Buildings_Heat_Frontend[[#This Row],[Data]]="","", _xlfn.XLOOKUP(Buildings_Heat_Backend[[#This Row],[Info 1]],Buildings_SiteInfo[Site name],Buildings_SiteInfo[Site type]))</f>
        <v/>
      </c>
      <c r="U113" s="174" t="str">
        <f>IF(Buildings_Heat_Frontend[[#This Row],[Data]]="","", Buildings_Heat_Frontend[[#This Row],[Heating Type]])</f>
        <v/>
      </c>
      <c r="V113" s="174" t="str">
        <f>IF(Buildings_Heat_Frontend[[#This Row],[Data]]="","", Buildings_Heat_Frontend[[#This Row],[Fuel]])</f>
        <v/>
      </c>
      <c r="W113" s="174" t="str" cm="1">
        <f t="array" ref="W113">IF(Buildings_Heat_Frontend[[#This Row],[Data]]="","", _xlfn.XLOOKUP(Buildings_Heat_Backend[[#This Row],[Level 5]],rng_Level5Long,rng_Level6Long))</f>
        <v/>
      </c>
      <c r="X113" s="174" t="str">
        <f>IF(Buildings_Heat_Frontend[[#This Row],[Data]]="","", Buildings_Heat_Frontend[[#This Row],[Site Name]])</f>
        <v/>
      </c>
      <c r="Y113" s="174" t="str">
        <f>IF(Buildings_Heat_Frontend[[#This Row],[Data]]="","", Buildings_Heat_Frontend[[#This Row],[MPRN]])</f>
        <v/>
      </c>
      <c r="Z113" s="174" t="str">
        <f>IF(Buildings_Heat_Frontend[[#This Row],[Data]]="","", IF($I113="","",$I113))</f>
        <v/>
      </c>
      <c r="AA113" s="229" t="str" cm="1">
        <f t="array" ref="AA113">IF(Buildings_Heat_Frontend[[#This Row],[Data]]="","", INDEX(_xlfn.SWITCH(Buildings_Heat_Backend[[#This Row],[Methodology]],"Tier 1",rng_RSD1,"Tier 2",rng_RSD2,"Tier 3",rng_RSD3),MATCH(_xlfn.CONCAT(Buildings_Heat_Backend[[#This Row],[Level 1]:[Level 6]]),rng_LevelsConcat,0)))</f>
        <v/>
      </c>
      <c r="AB113" s="220" t="str">
        <f t="shared" si="4"/>
        <v/>
      </c>
      <c r="AC113" s="174">
        <f>Buildings_Heat_Frontend[[#This Row],[Units]]</f>
        <v>0</v>
      </c>
      <c r="AD11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3" s="174" t="str">
        <f>IF(Buildings_Heat_Frontend[[#This Row],[Data]]="","", _xlfn.XLOOKUP(_xlfn.CONCAT(Buildings_Heat_Backend[[#This Row],[Level 1]:[Level 6]]),rng_LevelsConcat,rng_UnitsLong))</f>
        <v/>
      </c>
      <c r="AF113" s="210" t="str">
        <f>IF(Buildings_Heat_Frontend[[#This Row],[Data]]="","", _xlfn.XLOOKUP(_xlfn.CONCAT(Buildings_Heat_Backend[[#This Row],[Level 1]:[Level 6]]),rng_EFConcat,rng_EF1)*Buildings_Heat_Backend[[#This Row],[Converted data]]/1000)</f>
        <v/>
      </c>
      <c r="AG113" s="210" t="str">
        <f>IF(Buildings_Heat_Frontend[[#This Row],[Data]]="","", _xlfn.XLOOKUP(_xlfn.CONCAT(Buildings_Heat_Backend[[#This Row],[Level 1]:[Level 6]]),rng_EFConcat,rng_EF2)*Buildings_Heat_Backend[[#This Row],[Converted data]]/1000)</f>
        <v/>
      </c>
      <c r="AH113" s="210" t="str">
        <f>IF(Buildings_Heat_Frontend[[#This Row],[Data]]="","", _xlfn.XLOOKUP(_xlfn.CONCAT(Buildings_Heat_Backend[[#This Row],[Level 1]:[Level 6]]),rng_EFConcat,rng_EF3)*Buildings_Heat_Backend[[#This Row],[Converted data]]/1000)</f>
        <v/>
      </c>
      <c r="AI113" s="210" t="str">
        <f>IF(Buildings_Heat_Frontend[[#This Row],[Data]]="","", _xlfn.XLOOKUP(_xlfn.CONCAT(Buildings_Heat_Backend[[#This Row],[Level 1]:[Level 6]]),rng_EFConcat,rng_EF3WTT)*Buildings_Heat_Backend[[#This Row],[Converted data]]/1000)</f>
        <v/>
      </c>
      <c r="AJ113" s="210" t="str">
        <f>IF(Buildings_Heat_Frontend[[#This Row],[Data]]="","", _xlfn.XLOOKUP(_xlfn.CONCAT(Buildings_Heat_Backend[[#This Row],[Level 1]:[Level 6]]),rng_EFConcat,rng_EF3TD)*Buildings_Heat_Backend[[#This Row],[Converted data]]/1000)</f>
        <v/>
      </c>
      <c r="AK113" s="210" t="str">
        <f>IF(Buildings_Heat_Frontend[[#This Row],[Data]]="","", _xlfn.XLOOKUP(_xlfn.CONCAT(Buildings_Heat_Backend[[#This Row],[Level 1]:[Level 6]]),rng_EFConcat,rng_EF3WTTTD)*Buildings_Heat_Backend[[#This Row],[Converted data]]/1000)</f>
        <v/>
      </c>
      <c r="AL113" s="220">
        <f>SUM(Buildings_Heat_Backend[[#This Row],[Scope 1 (tCO2e)]:[Scope 3 WTT T&amp;D (tCO2e)]])</f>
        <v>0</v>
      </c>
      <c r="AM113" s="220" t="str">
        <f>IF(Buildings_Heat_Frontend[[#This Row],[Data]]="","", Buildings_Heat_Backend[[#This Row],[Total (tCO2e)]]*(1-Buildings_Heat_Backend[[#This Row],[RSD]]))</f>
        <v/>
      </c>
      <c r="AN113" s="220" t="str">
        <f>IF(Buildings_Heat_Frontend[[#This Row],[Data]]="","", Buildings_Heat_Backend[[#This Row],[Total (tCO2e)]]*(1+Buildings_Heat_Backend[[#This Row],[RSD]]))</f>
        <v/>
      </c>
      <c r="AO113" s="210" t="str">
        <f>IF(Buildings_Heat_Frontend[[#This Row],[Data]]="","", _xlfn.XLOOKUP(_xlfn.CONCAT(Buildings_Heat_Backend[[#This Row],[Level 1]:[Level 6]]),rng_EFConcat,rng_EFOOS)*Buildings_Heat_Backend[[#This Row],[Converted data]]/1000)</f>
        <v/>
      </c>
      <c r="AP113" s="174">
        <f>Buildings_Heat_Frontend[[#This Row],[Ease of collection]]</f>
        <v>0</v>
      </c>
      <c r="AQ113" s="174">
        <f>Buildings_Heat_Frontend[[#This Row],[Completeness]]</f>
        <v>0</v>
      </c>
      <c r="AR113" s="174">
        <f>Buildings_Heat_Frontend[[#This Row],[Notes]]</f>
        <v>0</v>
      </c>
    </row>
    <row r="114" spans="5:44" x14ac:dyDescent="0.3">
      <c r="E114" s="346"/>
      <c r="F114" s="364"/>
      <c r="G114" s="336"/>
      <c r="H114" s="336"/>
      <c r="I114" s="336"/>
      <c r="J114" s="334"/>
      <c r="K114" s="336"/>
      <c r="L114" s="336"/>
      <c r="M114" s="336"/>
      <c r="N114" s="352"/>
      <c r="O114" s="230">
        <f t="shared" si="5"/>
        <v>6</v>
      </c>
      <c r="Q114" s="212" t="str">
        <f t="shared" si="3"/>
        <v/>
      </c>
      <c r="R114" s="174" t="s">
        <v>265</v>
      </c>
      <c r="S114" s="174" t="s">
        <v>273</v>
      </c>
      <c r="T114" s="174" t="str">
        <f>IF(Buildings_Heat_Frontend[[#This Row],[Data]]="","", _xlfn.XLOOKUP(Buildings_Heat_Backend[[#This Row],[Info 1]],Buildings_SiteInfo[Site name],Buildings_SiteInfo[Site type]))</f>
        <v/>
      </c>
      <c r="U114" s="174" t="str">
        <f>IF(Buildings_Heat_Frontend[[#This Row],[Data]]="","", Buildings_Heat_Frontend[[#This Row],[Heating Type]])</f>
        <v/>
      </c>
      <c r="V114" s="174" t="str">
        <f>IF(Buildings_Heat_Frontend[[#This Row],[Data]]="","", Buildings_Heat_Frontend[[#This Row],[Fuel]])</f>
        <v/>
      </c>
      <c r="W114" s="174" t="str" cm="1">
        <f t="array" ref="W114">IF(Buildings_Heat_Frontend[[#This Row],[Data]]="","", _xlfn.XLOOKUP(Buildings_Heat_Backend[[#This Row],[Level 5]],rng_Level5Long,rng_Level6Long))</f>
        <v/>
      </c>
      <c r="X114" s="174" t="str">
        <f>IF(Buildings_Heat_Frontend[[#This Row],[Data]]="","", Buildings_Heat_Frontend[[#This Row],[Site Name]])</f>
        <v/>
      </c>
      <c r="Y114" s="174" t="str">
        <f>IF(Buildings_Heat_Frontend[[#This Row],[Data]]="","", Buildings_Heat_Frontend[[#This Row],[MPRN]])</f>
        <v/>
      </c>
      <c r="Z114" s="174" t="str">
        <f>IF(Buildings_Heat_Frontend[[#This Row],[Data]]="","", IF($I114="","",$I114))</f>
        <v/>
      </c>
      <c r="AA114" s="229" t="str" cm="1">
        <f t="array" ref="AA114">IF(Buildings_Heat_Frontend[[#This Row],[Data]]="","", INDEX(_xlfn.SWITCH(Buildings_Heat_Backend[[#This Row],[Methodology]],"Tier 1",rng_RSD1,"Tier 2",rng_RSD2,"Tier 3",rng_RSD3),MATCH(_xlfn.CONCAT(Buildings_Heat_Backend[[#This Row],[Level 1]:[Level 6]]),rng_LevelsConcat,0)))</f>
        <v/>
      </c>
      <c r="AB114" s="220" t="str">
        <f t="shared" si="4"/>
        <v/>
      </c>
      <c r="AC114" s="174">
        <f>Buildings_Heat_Frontend[[#This Row],[Units]]</f>
        <v>0</v>
      </c>
      <c r="AD11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4" s="174" t="str">
        <f>IF(Buildings_Heat_Frontend[[#This Row],[Data]]="","", _xlfn.XLOOKUP(_xlfn.CONCAT(Buildings_Heat_Backend[[#This Row],[Level 1]:[Level 6]]),rng_LevelsConcat,rng_UnitsLong))</f>
        <v/>
      </c>
      <c r="AF114" s="210" t="str">
        <f>IF(Buildings_Heat_Frontend[[#This Row],[Data]]="","", _xlfn.XLOOKUP(_xlfn.CONCAT(Buildings_Heat_Backend[[#This Row],[Level 1]:[Level 6]]),rng_EFConcat,rng_EF1)*Buildings_Heat_Backend[[#This Row],[Converted data]]/1000)</f>
        <v/>
      </c>
      <c r="AG114" s="210" t="str">
        <f>IF(Buildings_Heat_Frontend[[#This Row],[Data]]="","", _xlfn.XLOOKUP(_xlfn.CONCAT(Buildings_Heat_Backend[[#This Row],[Level 1]:[Level 6]]),rng_EFConcat,rng_EF2)*Buildings_Heat_Backend[[#This Row],[Converted data]]/1000)</f>
        <v/>
      </c>
      <c r="AH114" s="210" t="str">
        <f>IF(Buildings_Heat_Frontend[[#This Row],[Data]]="","", _xlfn.XLOOKUP(_xlfn.CONCAT(Buildings_Heat_Backend[[#This Row],[Level 1]:[Level 6]]),rng_EFConcat,rng_EF3)*Buildings_Heat_Backend[[#This Row],[Converted data]]/1000)</f>
        <v/>
      </c>
      <c r="AI114" s="210" t="str">
        <f>IF(Buildings_Heat_Frontend[[#This Row],[Data]]="","", _xlfn.XLOOKUP(_xlfn.CONCAT(Buildings_Heat_Backend[[#This Row],[Level 1]:[Level 6]]),rng_EFConcat,rng_EF3WTT)*Buildings_Heat_Backend[[#This Row],[Converted data]]/1000)</f>
        <v/>
      </c>
      <c r="AJ114" s="210" t="str">
        <f>IF(Buildings_Heat_Frontend[[#This Row],[Data]]="","", _xlfn.XLOOKUP(_xlfn.CONCAT(Buildings_Heat_Backend[[#This Row],[Level 1]:[Level 6]]),rng_EFConcat,rng_EF3TD)*Buildings_Heat_Backend[[#This Row],[Converted data]]/1000)</f>
        <v/>
      </c>
      <c r="AK114" s="210" t="str">
        <f>IF(Buildings_Heat_Frontend[[#This Row],[Data]]="","", _xlfn.XLOOKUP(_xlfn.CONCAT(Buildings_Heat_Backend[[#This Row],[Level 1]:[Level 6]]),rng_EFConcat,rng_EF3WTTTD)*Buildings_Heat_Backend[[#This Row],[Converted data]]/1000)</f>
        <v/>
      </c>
      <c r="AL114" s="220">
        <f>SUM(Buildings_Heat_Backend[[#This Row],[Scope 1 (tCO2e)]:[Scope 3 WTT T&amp;D (tCO2e)]])</f>
        <v>0</v>
      </c>
      <c r="AM114" s="220" t="str">
        <f>IF(Buildings_Heat_Frontend[[#This Row],[Data]]="","", Buildings_Heat_Backend[[#This Row],[Total (tCO2e)]]*(1-Buildings_Heat_Backend[[#This Row],[RSD]]))</f>
        <v/>
      </c>
      <c r="AN114" s="220" t="str">
        <f>IF(Buildings_Heat_Frontend[[#This Row],[Data]]="","", Buildings_Heat_Backend[[#This Row],[Total (tCO2e)]]*(1+Buildings_Heat_Backend[[#This Row],[RSD]]))</f>
        <v/>
      </c>
      <c r="AO114" s="210" t="str">
        <f>IF(Buildings_Heat_Frontend[[#This Row],[Data]]="","", _xlfn.XLOOKUP(_xlfn.CONCAT(Buildings_Heat_Backend[[#This Row],[Level 1]:[Level 6]]),rng_EFConcat,rng_EFOOS)*Buildings_Heat_Backend[[#This Row],[Converted data]]/1000)</f>
        <v/>
      </c>
      <c r="AP114" s="174">
        <f>Buildings_Heat_Frontend[[#This Row],[Ease of collection]]</f>
        <v>0</v>
      </c>
      <c r="AQ114" s="174">
        <f>Buildings_Heat_Frontend[[#This Row],[Completeness]]</f>
        <v>0</v>
      </c>
      <c r="AR114" s="174">
        <f>Buildings_Heat_Frontend[[#This Row],[Notes]]</f>
        <v>0</v>
      </c>
    </row>
    <row r="115" spans="5:44" x14ac:dyDescent="0.3">
      <c r="E115" s="346"/>
      <c r="F115" s="364"/>
      <c r="G115" s="336"/>
      <c r="H115" s="336"/>
      <c r="I115" s="336"/>
      <c r="J115" s="334"/>
      <c r="K115" s="336"/>
      <c r="L115" s="336"/>
      <c r="M115" s="336"/>
      <c r="N115" s="352"/>
      <c r="O115" s="230">
        <f t="shared" si="5"/>
        <v>6</v>
      </c>
      <c r="Q115" s="212" t="str">
        <f t="shared" si="3"/>
        <v/>
      </c>
      <c r="R115" s="174" t="s">
        <v>265</v>
      </c>
      <c r="S115" s="174" t="s">
        <v>273</v>
      </c>
      <c r="T115" s="174" t="str">
        <f>IF(Buildings_Heat_Frontend[[#This Row],[Data]]="","", _xlfn.XLOOKUP(Buildings_Heat_Backend[[#This Row],[Info 1]],Buildings_SiteInfo[Site name],Buildings_SiteInfo[Site type]))</f>
        <v/>
      </c>
      <c r="U115" s="174" t="str">
        <f>IF(Buildings_Heat_Frontend[[#This Row],[Data]]="","", Buildings_Heat_Frontend[[#This Row],[Heating Type]])</f>
        <v/>
      </c>
      <c r="V115" s="174" t="str">
        <f>IF(Buildings_Heat_Frontend[[#This Row],[Data]]="","", Buildings_Heat_Frontend[[#This Row],[Fuel]])</f>
        <v/>
      </c>
      <c r="W115" s="174" t="str" cm="1">
        <f t="array" ref="W115">IF(Buildings_Heat_Frontend[[#This Row],[Data]]="","", _xlfn.XLOOKUP(Buildings_Heat_Backend[[#This Row],[Level 5]],rng_Level5Long,rng_Level6Long))</f>
        <v/>
      </c>
      <c r="X115" s="174" t="str">
        <f>IF(Buildings_Heat_Frontend[[#This Row],[Data]]="","", Buildings_Heat_Frontend[[#This Row],[Site Name]])</f>
        <v/>
      </c>
      <c r="Y115" s="174" t="str">
        <f>IF(Buildings_Heat_Frontend[[#This Row],[Data]]="","", Buildings_Heat_Frontend[[#This Row],[MPRN]])</f>
        <v/>
      </c>
      <c r="Z115" s="174" t="str">
        <f>IF(Buildings_Heat_Frontend[[#This Row],[Data]]="","", IF($I115="","",$I115))</f>
        <v/>
      </c>
      <c r="AA115" s="229" t="str" cm="1">
        <f t="array" ref="AA115">IF(Buildings_Heat_Frontend[[#This Row],[Data]]="","", INDEX(_xlfn.SWITCH(Buildings_Heat_Backend[[#This Row],[Methodology]],"Tier 1",rng_RSD1,"Tier 2",rng_RSD2,"Tier 3",rng_RSD3),MATCH(_xlfn.CONCAT(Buildings_Heat_Backend[[#This Row],[Level 1]:[Level 6]]),rng_LevelsConcat,0)))</f>
        <v/>
      </c>
      <c r="AB115" s="220" t="str">
        <f t="shared" si="4"/>
        <v/>
      </c>
      <c r="AC115" s="174">
        <f>Buildings_Heat_Frontend[[#This Row],[Units]]</f>
        <v>0</v>
      </c>
      <c r="AD11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5" s="174" t="str">
        <f>IF(Buildings_Heat_Frontend[[#This Row],[Data]]="","", _xlfn.XLOOKUP(_xlfn.CONCAT(Buildings_Heat_Backend[[#This Row],[Level 1]:[Level 6]]),rng_LevelsConcat,rng_UnitsLong))</f>
        <v/>
      </c>
      <c r="AF115" s="210" t="str">
        <f>IF(Buildings_Heat_Frontend[[#This Row],[Data]]="","", _xlfn.XLOOKUP(_xlfn.CONCAT(Buildings_Heat_Backend[[#This Row],[Level 1]:[Level 6]]),rng_EFConcat,rng_EF1)*Buildings_Heat_Backend[[#This Row],[Converted data]]/1000)</f>
        <v/>
      </c>
      <c r="AG115" s="210" t="str">
        <f>IF(Buildings_Heat_Frontend[[#This Row],[Data]]="","", _xlfn.XLOOKUP(_xlfn.CONCAT(Buildings_Heat_Backend[[#This Row],[Level 1]:[Level 6]]),rng_EFConcat,rng_EF2)*Buildings_Heat_Backend[[#This Row],[Converted data]]/1000)</f>
        <v/>
      </c>
      <c r="AH115" s="210" t="str">
        <f>IF(Buildings_Heat_Frontend[[#This Row],[Data]]="","", _xlfn.XLOOKUP(_xlfn.CONCAT(Buildings_Heat_Backend[[#This Row],[Level 1]:[Level 6]]),rng_EFConcat,rng_EF3)*Buildings_Heat_Backend[[#This Row],[Converted data]]/1000)</f>
        <v/>
      </c>
      <c r="AI115" s="210" t="str">
        <f>IF(Buildings_Heat_Frontend[[#This Row],[Data]]="","", _xlfn.XLOOKUP(_xlfn.CONCAT(Buildings_Heat_Backend[[#This Row],[Level 1]:[Level 6]]),rng_EFConcat,rng_EF3WTT)*Buildings_Heat_Backend[[#This Row],[Converted data]]/1000)</f>
        <v/>
      </c>
      <c r="AJ115" s="210" t="str">
        <f>IF(Buildings_Heat_Frontend[[#This Row],[Data]]="","", _xlfn.XLOOKUP(_xlfn.CONCAT(Buildings_Heat_Backend[[#This Row],[Level 1]:[Level 6]]),rng_EFConcat,rng_EF3TD)*Buildings_Heat_Backend[[#This Row],[Converted data]]/1000)</f>
        <v/>
      </c>
      <c r="AK115" s="210" t="str">
        <f>IF(Buildings_Heat_Frontend[[#This Row],[Data]]="","", _xlfn.XLOOKUP(_xlfn.CONCAT(Buildings_Heat_Backend[[#This Row],[Level 1]:[Level 6]]),rng_EFConcat,rng_EF3WTTTD)*Buildings_Heat_Backend[[#This Row],[Converted data]]/1000)</f>
        <v/>
      </c>
      <c r="AL115" s="220">
        <f>SUM(Buildings_Heat_Backend[[#This Row],[Scope 1 (tCO2e)]:[Scope 3 WTT T&amp;D (tCO2e)]])</f>
        <v>0</v>
      </c>
      <c r="AM115" s="220" t="str">
        <f>IF(Buildings_Heat_Frontend[[#This Row],[Data]]="","", Buildings_Heat_Backend[[#This Row],[Total (tCO2e)]]*(1-Buildings_Heat_Backend[[#This Row],[RSD]]))</f>
        <v/>
      </c>
      <c r="AN115" s="220" t="str">
        <f>IF(Buildings_Heat_Frontend[[#This Row],[Data]]="","", Buildings_Heat_Backend[[#This Row],[Total (tCO2e)]]*(1+Buildings_Heat_Backend[[#This Row],[RSD]]))</f>
        <v/>
      </c>
      <c r="AO115" s="210" t="str">
        <f>IF(Buildings_Heat_Frontend[[#This Row],[Data]]="","", _xlfn.XLOOKUP(_xlfn.CONCAT(Buildings_Heat_Backend[[#This Row],[Level 1]:[Level 6]]),rng_EFConcat,rng_EFOOS)*Buildings_Heat_Backend[[#This Row],[Converted data]]/1000)</f>
        <v/>
      </c>
      <c r="AP115" s="174">
        <f>Buildings_Heat_Frontend[[#This Row],[Ease of collection]]</f>
        <v>0</v>
      </c>
      <c r="AQ115" s="174">
        <f>Buildings_Heat_Frontend[[#This Row],[Completeness]]</f>
        <v>0</v>
      </c>
      <c r="AR115" s="174">
        <f>Buildings_Heat_Frontend[[#This Row],[Notes]]</f>
        <v>0</v>
      </c>
    </row>
    <row r="116" spans="5:44" x14ac:dyDescent="0.3">
      <c r="E116" s="346"/>
      <c r="F116" s="364"/>
      <c r="G116" s="336"/>
      <c r="H116" s="336"/>
      <c r="I116" s="336"/>
      <c r="J116" s="334"/>
      <c r="K116" s="336"/>
      <c r="L116" s="336"/>
      <c r="M116" s="336"/>
      <c r="N116" s="352"/>
      <c r="O116" s="230">
        <f t="shared" si="5"/>
        <v>6</v>
      </c>
      <c r="Q116" s="212" t="str">
        <f t="shared" si="3"/>
        <v/>
      </c>
      <c r="R116" s="174" t="s">
        <v>265</v>
      </c>
      <c r="S116" s="174" t="s">
        <v>273</v>
      </c>
      <c r="T116" s="174" t="str">
        <f>IF(Buildings_Heat_Frontend[[#This Row],[Data]]="","", _xlfn.XLOOKUP(Buildings_Heat_Backend[[#This Row],[Info 1]],Buildings_SiteInfo[Site name],Buildings_SiteInfo[Site type]))</f>
        <v/>
      </c>
      <c r="U116" s="174" t="str">
        <f>IF(Buildings_Heat_Frontend[[#This Row],[Data]]="","", Buildings_Heat_Frontend[[#This Row],[Heating Type]])</f>
        <v/>
      </c>
      <c r="V116" s="174" t="str">
        <f>IF(Buildings_Heat_Frontend[[#This Row],[Data]]="","", Buildings_Heat_Frontend[[#This Row],[Fuel]])</f>
        <v/>
      </c>
      <c r="W116" s="174" t="str" cm="1">
        <f t="array" ref="W116">IF(Buildings_Heat_Frontend[[#This Row],[Data]]="","", _xlfn.XLOOKUP(Buildings_Heat_Backend[[#This Row],[Level 5]],rng_Level5Long,rng_Level6Long))</f>
        <v/>
      </c>
      <c r="X116" s="174" t="str">
        <f>IF(Buildings_Heat_Frontend[[#This Row],[Data]]="","", Buildings_Heat_Frontend[[#This Row],[Site Name]])</f>
        <v/>
      </c>
      <c r="Y116" s="174" t="str">
        <f>IF(Buildings_Heat_Frontend[[#This Row],[Data]]="","", Buildings_Heat_Frontend[[#This Row],[MPRN]])</f>
        <v/>
      </c>
      <c r="Z116" s="174" t="str">
        <f>IF(Buildings_Heat_Frontend[[#This Row],[Data]]="","", IF($I116="","",$I116))</f>
        <v/>
      </c>
      <c r="AA116" s="229" t="str" cm="1">
        <f t="array" ref="AA116">IF(Buildings_Heat_Frontend[[#This Row],[Data]]="","", INDEX(_xlfn.SWITCH(Buildings_Heat_Backend[[#This Row],[Methodology]],"Tier 1",rng_RSD1,"Tier 2",rng_RSD2,"Tier 3",rng_RSD3),MATCH(_xlfn.CONCAT(Buildings_Heat_Backend[[#This Row],[Level 1]:[Level 6]]),rng_LevelsConcat,0)))</f>
        <v/>
      </c>
      <c r="AB116" s="220" t="str">
        <f t="shared" si="4"/>
        <v/>
      </c>
      <c r="AC116" s="174">
        <f>Buildings_Heat_Frontend[[#This Row],[Units]]</f>
        <v>0</v>
      </c>
      <c r="AD11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6" s="174" t="str">
        <f>IF(Buildings_Heat_Frontend[[#This Row],[Data]]="","", _xlfn.XLOOKUP(_xlfn.CONCAT(Buildings_Heat_Backend[[#This Row],[Level 1]:[Level 6]]),rng_LevelsConcat,rng_UnitsLong))</f>
        <v/>
      </c>
      <c r="AF116" s="210" t="str">
        <f>IF(Buildings_Heat_Frontend[[#This Row],[Data]]="","", _xlfn.XLOOKUP(_xlfn.CONCAT(Buildings_Heat_Backend[[#This Row],[Level 1]:[Level 6]]),rng_EFConcat,rng_EF1)*Buildings_Heat_Backend[[#This Row],[Converted data]]/1000)</f>
        <v/>
      </c>
      <c r="AG116" s="210" t="str">
        <f>IF(Buildings_Heat_Frontend[[#This Row],[Data]]="","", _xlfn.XLOOKUP(_xlfn.CONCAT(Buildings_Heat_Backend[[#This Row],[Level 1]:[Level 6]]),rng_EFConcat,rng_EF2)*Buildings_Heat_Backend[[#This Row],[Converted data]]/1000)</f>
        <v/>
      </c>
      <c r="AH116" s="210" t="str">
        <f>IF(Buildings_Heat_Frontend[[#This Row],[Data]]="","", _xlfn.XLOOKUP(_xlfn.CONCAT(Buildings_Heat_Backend[[#This Row],[Level 1]:[Level 6]]),rng_EFConcat,rng_EF3)*Buildings_Heat_Backend[[#This Row],[Converted data]]/1000)</f>
        <v/>
      </c>
      <c r="AI116" s="210" t="str">
        <f>IF(Buildings_Heat_Frontend[[#This Row],[Data]]="","", _xlfn.XLOOKUP(_xlfn.CONCAT(Buildings_Heat_Backend[[#This Row],[Level 1]:[Level 6]]),rng_EFConcat,rng_EF3WTT)*Buildings_Heat_Backend[[#This Row],[Converted data]]/1000)</f>
        <v/>
      </c>
      <c r="AJ116" s="210" t="str">
        <f>IF(Buildings_Heat_Frontend[[#This Row],[Data]]="","", _xlfn.XLOOKUP(_xlfn.CONCAT(Buildings_Heat_Backend[[#This Row],[Level 1]:[Level 6]]),rng_EFConcat,rng_EF3TD)*Buildings_Heat_Backend[[#This Row],[Converted data]]/1000)</f>
        <v/>
      </c>
      <c r="AK116" s="210" t="str">
        <f>IF(Buildings_Heat_Frontend[[#This Row],[Data]]="","", _xlfn.XLOOKUP(_xlfn.CONCAT(Buildings_Heat_Backend[[#This Row],[Level 1]:[Level 6]]),rng_EFConcat,rng_EF3WTTTD)*Buildings_Heat_Backend[[#This Row],[Converted data]]/1000)</f>
        <v/>
      </c>
      <c r="AL116" s="220">
        <f>SUM(Buildings_Heat_Backend[[#This Row],[Scope 1 (tCO2e)]:[Scope 3 WTT T&amp;D (tCO2e)]])</f>
        <v>0</v>
      </c>
      <c r="AM116" s="220" t="str">
        <f>IF(Buildings_Heat_Frontend[[#This Row],[Data]]="","", Buildings_Heat_Backend[[#This Row],[Total (tCO2e)]]*(1-Buildings_Heat_Backend[[#This Row],[RSD]]))</f>
        <v/>
      </c>
      <c r="AN116" s="220" t="str">
        <f>IF(Buildings_Heat_Frontend[[#This Row],[Data]]="","", Buildings_Heat_Backend[[#This Row],[Total (tCO2e)]]*(1+Buildings_Heat_Backend[[#This Row],[RSD]]))</f>
        <v/>
      </c>
      <c r="AO116" s="210" t="str">
        <f>IF(Buildings_Heat_Frontend[[#This Row],[Data]]="","", _xlfn.XLOOKUP(_xlfn.CONCAT(Buildings_Heat_Backend[[#This Row],[Level 1]:[Level 6]]),rng_EFConcat,rng_EFOOS)*Buildings_Heat_Backend[[#This Row],[Converted data]]/1000)</f>
        <v/>
      </c>
      <c r="AP116" s="174">
        <f>Buildings_Heat_Frontend[[#This Row],[Ease of collection]]</f>
        <v>0</v>
      </c>
      <c r="AQ116" s="174">
        <f>Buildings_Heat_Frontend[[#This Row],[Completeness]]</f>
        <v>0</v>
      </c>
      <c r="AR116" s="174">
        <f>Buildings_Heat_Frontend[[#This Row],[Notes]]</f>
        <v>0</v>
      </c>
    </row>
    <row r="117" spans="5:44" x14ac:dyDescent="0.3">
      <c r="E117" s="346"/>
      <c r="F117" s="364"/>
      <c r="G117" s="336"/>
      <c r="H117" s="336"/>
      <c r="I117" s="336"/>
      <c r="J117" s="334"/>
      <c r="K117" s="336"/>
      <c r="L117" s="336"/>
      <c r="M117" s="336"/>
      <c r="N117" s="352"/>
      <c r="O117" s="230">
        <f t="shared" si="5"/>
        <v>6</v>
      </c>
      <c r="Q117" s="212" t="str">
        <f t="shared" si="3"/>
        <v/>
      </c>
      <c r="R117" s="174" t="s">
        <v>265</v>
      </c>
      <c r="S117" s="174" t="s">
        <v>273</v>
      </c>
      <c r="T117" s="174" t="str">
        <f>IF(Buildings_Heat_Frontend[[#This Row],[Data]]="","", _xlfn.XLOOKUP(Buildings_Heat_Backend[[#This Row],[Info 1]],Buildings_SiteInfo[Site name],Buildings_SiteInfo[Site type]))</f>
        <v/>
      </c>
      <c r="U117" s="174" t="str">
        <f>IF(Buildings_Heat_Frontend[[#This Row],[Data]]="","", Buildings_Heat_Frontend[[#This Row],[Heating Type]])</f>
        <v/>
      </c>
      <c r="V117" s="174" t="str">
        <f>IF(Buildings_Heat_Frontend[[#This Row],[Data]]="","", Buildings_Heat_Frontend[[#This Row],[Fuel]])</f>
        <v/>
      </c>
      <c r="W117" s="174" t="str" cm="1">
        <f t="array" ref="W117">IF(Buildings_Heat_Frontend[[#This Row],[Data]]="","", _xlfn.XLOOKUP(Buildings_Heat_Backend[[#This Row],[Level 5]],rng_Level5Long,rng_Level6Long))</f>
        <v/>
      </c>
      <c r="X117" s="174" t="str">
        <f>IF(Buildings_Heat_Frontend[[#This Row],[Data]]="","", Buildings_Heat_Frontend[[#This Row],[Site Name]])</f>
        <v/>
      </c>
      <c r="Y117" s="174" t="str">
        <f>IF(Buildings_Heat_Frontend[[#This Row],[Data]]="","", Buildings_Heat_Frontend[[#This Row],[MPRN]])</f>
        <v/>
      </c>
      <c r="Z117" s="174" t="str">
        <f>IF(Buildings_Heat_Frontend[[#This Row],[Data]]="","", IF($I117="","",$I117))</f>
        <v/>
      </c>
      <c r="AA117" s="229" t="str" cm="1">
        <f t="array" ref="AA117">IF(Buildings_Heat_Frontend[[#This Row],[Data]]="","", INDEX(_xlfn.SWITCH(Buildings_Heat_Backend[[#This Row],[Methodology]],"Tier 1",rng_RSD1,"Tier 2",rng_RSD2,"Tier 3",rng_RSD3),MATCH(_xlfn.CONCAT(Buildings_Heat_Backend[[#This Row],[Level 1]:[Level 6]]),rng_LevelsConcat,0)))</f>
        <v/>
      </c>
      <c r="AB117" s="220" t="str">
        <f t="shared" si="4"/>
        <v/>
      </c>
      <c r="AC117" s="174">
        <f>Buildings_Heat_Frontend[[#This Row],[Units]]</f>
        <v>0</v>
      </c>
      <c r="AD11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7" s="174" t="str">
        <f>IF(Buildings_Heat_Frontend[[#This Row],[Data]]="","", _xlfn.XLOOKUP(_xlfn.CONCAT(Buildings_Heat_Backend[[#This Row],[Level 1]:[Level 6]]),rng_LevelsConcat,rng_UnitsLong))</f>
        <v/>
      </c>
      <c r="AF117" s="210" t="str">
        <f>IF(Buildings_Heat_Frontend[[#This Row],[Data]]="","", _xlfn.XLOOKUP(_xlfn.CONCAT(Buildings_Heat_Backend[[#This Row],[Level 1]:[Level 6]]),rng_EFConcat,rng_EF1)*Buildings_Heat_Backend[[#This Row],[Converted data]]/1000)</f>
        <v/>
      </c>
      <c r="AG117" s="210" t="str">
        <f>IF(Buildings_Heat_Frontend[[#This Row],[Data]]="","", _xlfn.XLOOKUP(_xlfn.CONCAT(Buildings_Heat_Backend[[#This Row],[Level 1]:[Level 6]]),rng_EFConcat,rng_EF2)*Buildings_Heat_Backend[[#This Row],[Converted data]]/1000)</f>
        <v/>
      </c>
      <c r="AH117" s="210" t="str">
        <f>IF(Buildings_Heat_Frontend[[#This Row],[Data]]="","", _xlfn.XLOOKUP(_xlfn.CONCAT(Buildings_Heat_Backend[[#This Row],[Level 1]:[Level 6]]),rng_EFConcat,rng_EF3)*Buildings_Heat_Backend[[#This Row],[Converted data]]/1000)</f>
        <v/>
      </c>
      <c r="AI117" s="210" t="str">
        <f>IF(Buildings_Heat_Frontend[[#This Row],[Data]]="","", _xlfn.XLOOKUP(_xlfn.CONCAT(Buildings_Heat_Backend[[#This Row],[Level 1]:[Level 6]]),rng_EFConcat,rng_EF3WTT)*Buildings_Heat_Backend[[#This Row],[Converted data]]/1000)</f>
        <v/>
      </c>
      <c r="AJ117" s="210" t="str">
        <f>IF(Buildings_Heat_Frontend[[#This Row],[Data]]="","", _xlfn.XLOOKUP(_xlfn.CONCAT(Buildings_Heat_Backend[[#This Row],[Level 1]:[Level 6]]),rng_EFConcat,rng_EF3TD)*Buildings_Heat_Backend[[#This Row],[Converted data]]/1000)</f>
        <v/>
      </c>
      <c r="AK117" s="210" t="str">
        <f>IF(Buildings_Heat_Frontend[[#This Row],[Data]]="","", _xlfn.XLOOKUP(_xlfn.CONCAT(Buildings_Heat_Backend[[#This Row],[Level 1]:[Level 6]]),rng_EFConcat,rng_EF3WTTTD)*Buildings_Heat_Backend[[#This Row],[Converted data]]/1000)</f>
        <v/>
      </c>
      <c r="AL117" s="220">
        <f>SUM(Buildings_Heat_Backend[[#This Row],[Scope 1 (tCO2e)]:[Scope 3 WTT T&amp;D (tCO2e)]])</f>
        <v>0</v>
      </c>
      <c r="AM117" s="220" t="str">
        <f>IF(Buildings_Heat_Frontend[[#This Row],[Data]]="","", Buildings_Heat_Backend[[#This Row],[Total (tCO2e)]]*(1-Buildings_Heat_Backend[[#This Row],[RSD]]))</f>
        <v/>
      </c>
      <c r="AN117" s="220" t="str">
        <f>IF(Buildings_Heat_Frontend[[#This Row],[Data]]="","", Buildings_Heat_Backend[[#This Row],[Total (tCO2e)]]*(1+Buildings_Heat_Backend[[#This Row],[RSD]]))</f>
        <v/>
      </c>
      <c r="AO117" s="210" t="str">
        <f>IF(Buildings_Heat_Frontend[[#This Row],[Data]]="","", _xlfn.XLOOKUP(_xlfn.CONCAT(Buildings_Heat_Backend[[#This Row],[Level 1]:[Level 6]]),rng_EFConcat,rng_EFOOS)*Buildings_Heat_Backend[[#This Row],[Converted data]]/1000)</f>
        <v/>
      </c>
      <c r="AP117" s="174">
        <f>Buildings_Heat_Frontend[[#This Row],[Ease of collection]]</f>
        <v>0</v>
      </c>
      <c r="AQ117" s="174">
        <f>Buildings_Heat_Frontend[[#This Row],[Completeness]]</f>
        <v>0</v>
      </c>
      <c r="AR117" s="174">
        <f>Buildings_Heat_Frontend[[#This Row],[Notes]]</f>
        <v>0</v>
      </c>
    </row>
    <row r="118" spans="5:44" x14ac:dyDescent="0.3">
      <c r="E118" s="346"/>
      <c r="F118" s="364"/>
      <c r="G118" s="336"/>
      <c r="H118" s="336"/>
      <c r="I118" s="336"/>
      <c r="J118" s="334"/>
      <c r="K118" s="336"/>
      <c r="L118" s="336"/>
      <c r="M118" s="336"/>
      <c r="N118" s="352"/>
      <c r="O118" s="230">
        <f t="shared" si="5"/>
        <v>6</v>
      </c>
      <c r="Q118" s="212" t="str">
        <f t="shared" si="3"/>
        <v/>
      </c>
      <c r="R118" s="174" t="s">
        <v>265</v>
      </c>
      <c r="S118" s="174" t="s">
        <v>273</v>
      </c>
      <c r="T118" s="174" t="str">
        <f>IF(Buildings_Heat_Frontend[[#This Row],[Data]]="","", _xlfn.XLOOKUP(Buildings_Heat_Backend[[#This Row],[Info 1]],Buildings_SiteInfo[Site name],Buildings_SiteInfo[Site type]))</f>
        <v/>
      </c>
      <c r="U118" s="174" t="str">
        <f>IF(Buildings_Heat_Frontend[[#This Row],[Data]]="","", Buildings_Heat_Frontend[[#This Row],[Heating Type]])</f>
        <v/>
      </c>
      <c r="V118" s="174" t="str">
        <f>IF(Buildings_Heat_Frontend[[#This Row],[Data]]="","", Buildings_Heat_Frontend[[#This Row],[Fuel]])</f>
        <v/>
      </c>
      <c r="W118" s="174" t="str" cm="1">
        <f t="array" ref="W118">IF(Buildings_Heat_Frontend[[#This Row],[Data]]="","", _xlfn.XLOOKUP(Buildings_Heat_Backend[[#This Row],[Level 5]],rng_Level5Long,rng_Level6Long))</f>
        <v/>
      </c>
      <c r="X118" s="174" t="str">
        <f>IF(Buildings_Heat_Frontend[[#This Row],[Data]]="","", Buildings_Heat_Frontend[[#This Row],[Site Name]])</f>
        <v/>
      </c>
      <c r="Y118" s="174" t="str">
        <f>IF(Buildings_Heat_Frontend[[#This Row],[Data]]="","", Buildings_Heat_Frontend[[#This Row],[MPRN]])</f>
        <v/>
      </c>
      <c r="Z118" s="174" t="str">
        <f>IF(Buildings_Heat_Frontend[[#This Row],[Data]]="","", IF($I118="","",$I118))</f>
        <v/>
      </c>
      <c r="AA118" s="229" t="str" cm="1">
        <f t="array" ref="AA118">IF(Buildings_Heat_Frontend[[#This Row],[Data]]="","", INDEX(_xlfn.SWITCH(Buildings_Heat_Backend[[#This Row],[Methodology]],"Tier 1",rng_RSD1,"Tier 2",rng_RSD2,"Tier 3",rng_RSD3),MATCH(_xlfn.CONCAT(Buildings_Heat_Backend[[#This Row],[Level 1]:[Level 6]]),rng_LevelsConcat,0)))</f>
        <v/>
      </c>
      <c r="AB118" s="220" t="str">
        <f t="shared" si="4"/>
        <v/>
      </c>
      <c r="AC118" s="174">
        <f>Buildings_Heat_Frontend[[#This Row],[Units]]</f>
        <v>0</v>
      </c>
      <c r="AD11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8" s="174" t="str">
        <f>IF(Buildings_Heat_Frontend[[#This Row],[Data]]="","", _xlfn.XLOOKUP(_xlfn.CONCAT(Buildings_Heat_Backend[[#This Row],[Level 1]:[Level 6]]),rng_LevelsConcat,rng_UnitsLong))</f>
        <v/>
      </c>
      <c r="AF118" s="210" t="str">
        <f>IF(Buildings_Heat_Frontend[[#This Row],[Data]]="","", _xlfn.XLOOKUP(_xlfn.CONCAT(Buildings_Heat_Backend[[#This Row],[Level 1]:[Level 6]]),rng_EFConcat,rng_EF1)*Buildings_Heat_Backend[[#This Row],[Converted data]]/1000)</f>
        <v/>
      </c>
      <c r="AG118" s="210" t="str">
        <f>IF(Buildings_Heat_Frontend[[#This Row],[Data]]="","", _xlfn.XLOOKUP(_xlfn.CONCAT(Buildings_Heat_Backend[[#This Row],[Level 1]:[Level 6]]),rng_EFConcat,rng_EF2)*Buildings_Heat_Backend[[#This Row],[Converted data]]/1000)</f>
        <v/>
      </c>
      <c r="AH118" s="210" t="str">
        <f>IF(Buildings_Heat_Frontend[[#This Row],[Data]]="","", _xlfn.XLOOKUP(_xlfn.CONCAT(Buildings_Heat_Backend[[#This Row],[Level 1]:[Level 6]]),rng_EFConcat,rng_EF3)*Buildings_Heat_Backend[[#This Row],[Converted data]]/1000)</f>
        <v/>
      </c>
      <c r="AI118" s="210" t="str">
        <f>IF(Buildings_Heat_Frontend[[#This Row],[Data]]="","", _xlfn.XLOOKUP(_xlfn.CONCAT(Buildings_Heat_Backend[[#This Row],[Level 1]:[Level 6]]),rng_EFConcat,rng_EF3WTT)*Buildings_Heat_Backend[[#This Row],[Converted data]]/1000)</f>
        <v/>
      </c>
      <c r="AJ118" s="210" t="str">
        <f>IF(Buildings_Heat_Frontend[[#This Row],[Data]]="","", _xlfn.XLOOKUP(_xlfn.CONCAT(Buildings_Heat_Backend[[#This Row],[Level 1]:[Level 6]]),rng_EFConcat,rng_EF3TD)*Buildings_Heat_Backend[[#This Row],[Converted data]]/1000)</f>
        <v/>
      </c>
      <c r="AK118" s="210" t="str">
        <f>IF(Buildings_Heat_Frontend[[#This Row],[Data]]="","", _xlfn.XLOOKUP(_xlfn.CONCAT(Buildings_Heat_Backend[[#This Row],[Level 1]:[Level 6]]),rng_EFConcat,rng_EF3WTTTD)*Buildings_Heat_Backend[[#This Row],[Converted data]]/1000)</f>
        <v/>
      </c>
      <c r="AL118" s="220">
        <f>SUM(Buildings_Heat_Backend[[#This Row],[Scope 1 (tCO2e)]:[Scope 3 WTT T&amp;D (tCO2e)]])</f>
        <v>0</v>
      </c>
      <c r="AM118" s="220" t="str">
        <f>IF(Buildings_Heat_Frontend[[#This Row],[Data]]="","", Buildings_Heat_Backend[[#This Row],[Total (tCO2e)]]*(1-Buildings_Heat_Backend[[#This Row],[RSD]]))</f>
        <v/>
      </c>
      <c r="AN118" s="220" t="str">
        <f>IF(Buildings_Heat_Frontend[[#This Row],[Data]]="","", Buildings_Heat_Backend[[#This Row],[Total (tCO2e)]]*(1+Buildings_Heat_Backend[[#This Row],[RSD]]))</f>
        <v/>
      </c>
      <c r="AO118" s="210" t="str">
        <f>IF(Buildings_Heat_Frontend[[#This Row],[Data]]="","", _xlfn.XLOOKUP(_xlfn.CONCAT(Buildings_Heat_Backend[[#This Row],[Level 1]:[Level 6]]),rng_EFConcat,rng_EFOOS)*Buildings_Heat_Backend[[#This Row],[Converted data]]/1000)</f>
        <v/>
      </c>
      <c r="AP118" s="174">
        <f>Buildings_Heat_Frontend[[#This Row],[Ease of collection]]</f>
        <v>0</v>
      </c>
      <c r="AQ118" s="174">
        <f>Buildings_Heat_Frontend[[#This Row],[Completeness]]</f>
        <v>0</v>
      </c>
      <c r="AR118" s="174">
        <f>Buildings_Heat_Frontend[[#This Row],[Notes]]</f>
        <v>0</v>
      </c>
    </row>
    <row r="119" spans="5:44" x14ac:dyDescent="0.3">
      <c r="E119" s="346"/>
      <c r="F119" s="364"/>
      <c r="G119" s="336"/>
      <c r="H119" s="336"/>
      <c r="I119" s="336"/>
      <c r="J119" s="334"/>
      <c r="K119" s="336"/>
      <c r="L119" s="336"/>
      <c r="M119" s="336"/>
      <c r="N119" s="352"/>
      <c r="O119" s="230">
        <f t="shared" si="5"/>
        <v>6</v>
      </c>
      <c r="Q119" s="212" t="str">
        <f t="shared" si="3"/>
        <v/>
      </c>
      <c r="R119" s="174" t="s">
        <v>265</v>
      </c>
      <c r="S119" s="174" t="s">
        <v>273</v>
      </c>
      <c r="T119" s="174" t="str">
        <f>IF(Buildings_Heat_Frontend[[#This Row],[Data]]="","", _xlfn.XLOOKUP(Buildings_Heat_Backend[[#This Row],[Info 1]],Buildings_SiteInfo[Site name],Buildings_SiteInfo[Site type]))</f>
        <v/>
      </c>
      <c r="U119" s="174" t="str">
        <f>IF(Buildings_Heat_Frontend[[#This Row],[Data]]="","", Buildings_Heat_Frontend[[#This Row],[Heating Type]])</f>
        <v/>
      </c>
      <c r="V119" s="174" t="str">
        <f>IF(Buildings_Heat_Frontend[[#This Row],[Data]]="","", Buildings_Heat_Frontend[[#This Row],[Fuel]])</f>
        <v/>
      </c>
      <c r="W119" s="174" t="str" cm="1">
        <f t="array" ref="W119">IF(Buildings_Heat_Frontend[[#This Row],[Data]]="","", _xlfn.XLOOKUP(Buildings_Heat_Backend[[#This Row],[Level 5]],rng_Level5Long,rng_Level6Long))</f>
        <v/>
      </c>
      <c r="X119" s="174" t="str">
        <f>IF(Buildings_Heat_Frontend[[#This Row],[Data]]="","", Buildings_Heat_Frontend[[#This Row],[Site Name]])</f>
        <v/>
      </c>
      <c r="Y119" s="174" t="str">
        <f>IF(Buildings_Heat_Frontend[[#This Row],[Data]]="","", Buildings_Heat_Frontend[[#This Row],[MPRN]])</f>
        <v/>
      </c>
      <c r="Z119" s="174" t="str">
        <f>IF(Buildings_Heat_Frontend[[#This Row],[Data]]="","", IF($I119="","",$I119))</f>
        <v/>
      </c>
      <c r="AA119" s="229" t="str" cm="1">
        <f t="array" ref="AA119">IF(Buildings_Heat_Frontend[[#This Row],[Data]]="","", INDEX(_xlfn.SWITCH(Buildings_Heat_Backend[[#This Row],[Methodology]],"Tier 1",rng_RSD1,"Tier 2",rng_RSD2,"Tier 3",rng_RSD3),MATCH(_xlfn.CONCAT(Buildings_Heat_Backend[[#This Row],[Level 1]:[Level 6]]),rng_LevelsConcat,0)))</f>
        <v/>
      </c>
      <c r="AB119" s="220" t="str">
        <f t="shared" si="4"/>
        <v/>
      </c>
      <c r="AC119" s="174">
        <f>Buildings_Heat_Frontend[[#This Row],[Units]]</f>
        <v>0</v>
      </c>
      <c r="AD11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19" s="174" t="str">
        <f>IF(Buildings_Heat_Frontend[[#This Row],[Data]]="","", _xlfn.XLOOKUP(_xlfn.CONCAT(Buildings_Heat_Backend[[#This Row],[Level 1]:[Level 6]]),rng_LevelsConcat,rng_UnitsLong))</f>
        <v/>
      </c>
      <c r="AF119" s="210" t="str">
        <f>IF(Buildings_Heat_Frontend[[#This Row],[Data]]="","", _xlfn.XLOOKUP(_xlfn.CONCAT(Buildings_Heat_Backend[[#This Row],[Level 1]:[Level 6]]),rng_EFConcat,rng_EF1)*Buildings_Heat_Backend[[#This Row],[Converted data]]/1000)</f>
        <v/>
      </c>
      <c r="AG119" s="210" t="str">
        <f>IF(Buildings_Heat_Frontend[[#This Row],[Data]]="","", _xlfn.XLOOKUP(_xlfn.CONCAT(Buildings_Heat_Backend[[#This Row],[Level 1]:[Level 6]]),rng_EFConcat,rng_EF2)*Buildings_Heat_Backend[[#This Row],[Converted data]]/1000)</f>
        <v/>
      </c>
      <c r="AH119" s="210" t="str">
        <f>IF(Buildings_Heat_Frontend[[#This Row],[Data]]="","", _xlfn.XLOOKUP(_xlfn.CONCAT(Buildings_Heat_Backend[[#This Row],[Level 1]:[Level 6]]),rng_EFConcat,rng_EF3)*Buildings_Heat_Backend[[#This Row],[Converted data]]/1000)</f>
        <v/>
      </c>
      <c r="AI119" s="210" t="str">
        <f>IF(Buildings_Heat_Frontend[[#This Row],[Data]]="","", _xlfn.XLOOKUP(_xlfn.CONCAT(Buildings_Heat_Backend[[#This Row],[Level 1]:[Level 6]]),rng_EFConcat,rng_EF3WTT)*Buildings_Heat_Backend[[#This Row],[Converted data]]/1000)</f>
        <v/>
      </c>
      <c r="AJ119" s="210" t="str">
        <f>IF(Buildings_Heat_Frontend[[#This Row],[Data]]="","", _xlfn.XLOOKUP(_xlfn.CONCAT(Buildings_Heat_Backend[[#This Row],[Level 1]:[Level 6]]),rng_EFConcat,rng_EF3TD)*Buildings_Heat_Backend[[#This Row],[Converted data]]/1000)</f>
        <v/>
      </c>
      <c r="AK119" s="210" t="str">
        <f>IF(Buildings_Heat_Frontend[[#This Row],[Data]]="","", _xlfn.XLOOKUP(_xlfn.CONCAT(Buildings_Heat_Backend[[#This Row],[Level 1]:[Level 6]]),rng_EFConcat,rng_EF3WTTTD)*Buildings_Heat_Backend[[#This Row],[Converted data]]/1000)</f>
        <v/>
      </c>
      <c r="AL119" s="220">
        <f>SUM(Buildings_Heat_Backend[[#This Row],[Scope 1 (tCO2e)]:[Scope 3 WTT T&amp;D (tCO2e)]])</f>
        <v>0</v>
      </c>
      <c r="AM119" s="220" t="str">
        <f>IF(Buildings_Heat_Frontend[[#This Row],[Data]]="","", Buildings_Heat_Backend[[#This Row],[Total (tCO2e)]]*(1-Buildings_Heat_Backend[[#This Row],[RSD]]))</f>
        <v/>
      </c>
      <c r="AN119" s="220" t="str">
        <f>IF(Buildings_Heat_Frontend[[#This Row],[Data]]="","", Buildings_Heat_Backend[[#This Row],[Total (tCO2e)]]*(1+Buildings_Heat_Backend[[#This Row],[RSD]]))</f>
        <v/>
      </c>
      <c r="AO119" s="210" t="str">
        <f>IF(Buildings_Heat_Frontend[[#This Row],[Data]]="","", _xlfn.XLOOKUP(_xlfn.CONCAT(Buildings_Heat_Backend[[#This Row],[Level 1]:[Level 6]]),rng_EFConcat,rng_EFOOS)*Buildings_Heat_Backend[[#This Row],[Converted data]]/1000)</f>
        <v/>
      </c>
      <c r="AP119" s="174">
        <f>Buildings_Heat_Frontend[[#This Row],[Ease of collection]]</f>
        <v>0</v>
      </c>
      <c r="AQ119" s="174">
        <f>Buildings_Heat_Frontend[[#This Row],[Completeness]]</f>
        <v>0</v>
      </c>
      <c r="AR119" s="174">
        <f>Buildings_Heat_Frontend[[#This Row],[Notes]]</f>
        <v>0</v>
      </c>
    </row>
    <row r="120" spans="5:44" x14ac:dyDescent="0.3">
      <c r="E120" s="346"/>
      <c r="F120" s="364"/>
      <c r="G120" s="336"/>
      <c r="H120" s="336"/>
      <c r="I120" s="336"/>
      <c r="J120" s="334"/>
      <c r="K120" s="336"/>
      <c r="L120" s="336"/>
      <c r="M120" s="336"/>
      <c r="N120" s="352"/>
      <c r="O120" s="230">
        <f t="shared" si="5"/>
        <v>6</v>
      </c>
      <c r="Q120" s="212" t="str">
        <f t="shared" si="3"/>
        <v/>
      </c>
      <c r="R120" s="174" t="s">
        <v>265</v>
      </c>
      <c r="S120" s="174" t="s">
        <v>273</v>
      </c>
      <c r="T120" s="174" t="str">
        <f>IF(Buildings_Heat_Frontend[[#This Row],[Data]]="","", _xlfn.XLOOKUP(Buildings_Heat_Backend[[#This Row],[Info 1]],Buildings_SiteInfo[Site name],Buildings_SiteInfo[Site type]))</f>
        <v/>
      </c>
      <c r="U120" s="174" t="str">
        <f>IF(Buildings_Heat_Frontend[[#This Row],[Data]]="","", Buildings_Heat_Frontend[[#This Row],[Heating Type]])</f>
        <v/>
      </c>
      <c r="V120" s="174" t="str">
        <f>IF(Buildings_Heat_Frontend[[#This Row],[Data]]="","", Buildings_Heat_Frontend[[#This Row],[Fuel]])</f>
        <v/>
      </c>
      <c r="W120" s="174" t="str" cm="1">
        <f t="array" ref="W120">IF(Buildings_Heat_Frontend[[#This Row],[Data]]="","", _xlfn.XLOOKUP(Buildings_Heat_Backend[[#This Row],[Level 5]],rng_Level5Long,rng_Level6Long))</f>
        <v/>
      </c>
      <c r="X120" s="174" t="str">
        <f>IF(Buildings_Heat_Frontend[[#This Row],[Data]]="","", Buildings_Heat_Frontend[[#This Row],[Site Name]])</f>
        <v/>
      </c>
      <c r="Y120" s="174" t="str">
        <f>IF(Buildings_Heat_Frontend[[#This Row],[Data]]="","", Buildings_Heat_Frontend[[#This Row],[MPRN]])</f>
        <v/>
      </c>
      <c r="Z120" s="174" t="str">
        <f>IF(Buildings_Heat_Frontend[[#This Row],[Data]]="","", IF($I120="","",$I120))</f>
        <v/>
      </c>
      <c r="AA120" s="229" t="str" cm="1">
        <f t="array" ref="AA120">IF(Buildings_Heat_Frontend[[#This Row],[Data]]="","", INDEX(_xlfn.SWITCH(Buildings_Heat_Backend[[#This Row],[Methodology]],"Tier 1",rng_RSD1,"Tier 2",rng_RSD2,"Tier 3",rng_RSD3),MATCH(_xlfn.CONCAT(Buildings_Heat_Backend[[#This Row],[Level 1]:[Level 6]]),rng_LevelsConcat,0)))</f>
        <v/>
      </c>
      <c r="AB120" s="220" t="str">
        <f t="shared" si="4"/>
        <v/>
      </c>
      <c r="AC120" s="174">
        <f>Buildings_Heat_Frontend[[#This Row],[Units]]</f>
        <v>0</v>
      </c>
      <c r="AD12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0" s="174" t="str">
        <f>IF(Buildings_Heat_Frontend[[#This Row],[Data]]="","", _xlfn.XLOOKUP(_xlfn.CONCAT(Buildings_Heat_Backend[[#This Row],[Level 1]:[Level 6]]),rng_LevelsConcat,rng_UnitsLong))</f>
        <v/>
      </c>
      <c r="AF120" s="210" t="str">
        <f>IF(Buildings_Heat_Frontend[[#This Row],[Data]]="","", _xlfn.XLOOKUP(_xlfn.CONCAT(Buildings_Heat_Backend[[#This Row],[Level 1]:[Level 6]]),rng_EFConcat,rng_EF1)*Buildings_Heat_Backend[[#This Row],[Converted data]]/1000)</f>
        <v/>
      </c>
      <c r="AG120" s="210" t="str">
        <f>IF(Buildings_Heat_Frontend[[#This Row],[Data]]="","", _xlfn.XLOOKUP(_xlfn.CONCAT(Buildings_Heat_Backend[[#This Row],[Level 1]:[Level 6]]),rng_EFConcat,rng_EF2)*Buildings_Heat_Backend[[#This Row],[Converted data]]/1000)</f>
        <v/>
      </c>
      <c r="AH120" s="210" t="str">
        <f>IF(Buildings_Heat_Frontend[[#This Row],[Data]]="","", _xlfn.XLOOKUP(_xlfn.CONCAT(Buildings_Heat_Backend[[#This Row],[Level 1]:[Level 6]]),rng_EFConcat,rng_EF3)*Buildings_Heat_Backend[[#This Row],[Converted data]]/1000)</f>
        <v/>
      </c>
      <c r="AI120" s="210" t="str">
        <f>IF(Buildings_Heat_Frontend[[#This Row],[Data]]="","", _xlfn.XLOOKUP(_xlfn.CONCAT(Buildings_Heat_Backend[[#This Row],[Level 1]:[Level 6]]),rng_EFConcat,rng_EF3WTT)*Buildings_Heat_Backend[[#This Row],[Converted data]]/1000)</f>
        <v/>
      </c>
      <c r="AJ120" s="210" t="str">
        <f>IF(Buildings_Heat_Frontend[[#This Row],[Data]]="","", _xlfn.XLOOKUP(_xlfn.CONCAT(Buildings_Heat_Backend[[#This Row],[Level 1]:[Level 6]]),rng_EFConcat,rng_EF3TD)*Buildings_Heat_Backend[[#This Row],[Converted data]]/1000)</f>
        <v/>
      </c>
      <c r="AK120" s="210" t="str">
        <f>IF(Buildings_Heat_Frontend[[#This Row],[Data]]="","", _xlfn.XLOOKUP(_xlfn.CONCAT(Buildings_Heat_Backend[[#This Row],[Level 1]:[Level 6]]),rng_EFConcat,rng_EF3WTTTD)*Buildings_Heat_Backend[[#This Row],[Converted data]]/1000)</f>
        <v/>
      </c>
      <c r="AL120" s="220">
        <f>SUM(Buildings_Heat_Backend[[#This Row],[Scope 1 (tCO2e)]:[Scope 3 WTT T&amp;D (tCO2e)]])</f>
        <v>0</v>
      </c>
      <c r="AM120" s="220" t="str">
        <f>IF(Buildings_Heat_Frontend[[#This Row],[Data]]="","", Buildings_Heat_Backend[[#This Row],[Total (tCO2e)]]*(1-Buildings_Heat_Backend[[#This Row],[RSD]]))</f>
        <v/>
      </c>
      <c r="AN120" s="220" t="str">
        <f>IF(Buildings_Heat_Frontend[[#This Row],[Data]]="","", Buildings_Heat_Backend[[#This Row],[Total (tCO2e)]]*(1+Buildings_Heat_Backend[[#This Row],[RSD]]))</f>
        <v/>
      </c>
      <c r="AO120" s="210" t="str">
        <f>IF(Buildings_Heat_Frontend[[#This Row],[Data]]="","", _xlfn.XLOOKUP(_xlfn.CONCAT(Buildings_Heat_Backend[[#This Row],[Level 1]:[Level 6]]),rng_EFConcat,rng_EFOOS)*Buildings_Heat_Backend[[#This Row],[Converted data]]/1000)</f>
        <v/>
      </c>
      <c r="AP120" s="174">
        <f>Buildings_Heat_Frontend[[#This Row],[Ease of collection]]</f>
        <v>0</v>
      </c>
      <c r="AQ120" s="174">
        <f>Buildings_Heat_Frontend[[#This Row],[Completeness]]</f>
        <v>0</v>
      </c>
      <c r="AR120" s="174">
        <f>Buildings_Heat_Frontend[[#This Row],[Notes]]</f>
        <v>0</v>
      </c>
    </row>
    <row r="121" spans="5:44" x14ac:dyDescent="0.3">
      <c r="E121" s="346"/>
      <c r="F121" s="364"/>
      <c r="G121" s="336"/>
      <c r="H121" s="336"/>
      <c r="I121" s="336"/>
      <c r="J121" s="334"/>
      <c r="K121" s="336"/>
      <c r="L121" s="336"/>
      <c r="M121" s="336"/>
      <c r="N121" s="352"/>
      <c r="O121" s="230">
        <f t="shared" si="5"/>
        <v>6</v>
      </c>
      <c r="Q121" s="212" t="str">
        <f t="shared" si="3"/>
        <v/>
      </c>
      <c r="R121" s="174" t="s">
        <v>265</v>
      </c>
      <c r="S121" s="174" t="s">
        <v>273</v>
      </c>
      <c r="T121" s="174" t="str">
        <f>IF(Buildings_Heat_Frontend[[#This Row],[Data]]="","", _xlfn.XLOOKUP(Buildings_Heat_Backend[[#This Row],[Info 1]],Buildings_SiteInfo[Site name],Buildings_SiteInfo[Site type]))</f>
        <v/>
      </c>
      <c r="U121" s="174" t="str">
        <f>IF(Buildings_Heat_Frontend[[#This Row],[Data]]="","", Buildings_Heat_Frontend[[#This Row],[Heating Type]])</f>
        <v/>
      </c>
      <c r="V121" s="174" t="str">
        <f>IF(Buildings_Heat_Frontend[[#This Row],[Data]]="","", Buildings_Heat_Frontend[[#This Row],[Fuel]])</f>
        <v/>
      </c>
      <c r="W121" s="174" t="str" cm="1">
        <f t="array" ref="W121">IF(Buildings_Heat_Frontend[[#This Row],[Data]]="","", _xlfn.XLOOKUP(Buildings_Heat_Backend[[#This Row],[Level 5]],rng_Level5Long,rng_Level6Long))</f>
        <v/>
      </c>
      <c r="X121" s="174" t="str">
        <f>IF(Buildings_Heat_Frontend[[#This Row],[Data]]="","", Buildings_Heat_Frontend[[#This Row],[Site Name]])</f>
        <v/>
      </c>
      <c r="Y121" s="174" t="str">
        <f>IF(Buildings_Heat_Frontend[[#This Row],[Data]]="","", Buildings_Heat_Frontend[[#This Row],[MPRN]])</f>
        <v/>
      </c>
      <c r="Z121" s="174" t="str">
        <f>IF(Buildings_Heat_Frontend[[#This Row],[Data]]="","", IF($I121="","",$I121))</f>
        <v/>
      </c>
      <c r="AA121" s="229" t="str" cm="1">
        <f t="array" ref="AA121">IF(Buildings_Heat_Frontend[[#This Row],[Data]]="","", INDEX(_xlfn.SWITCH(Buildings_Heat_Backend[[#This Row],[Methodology]],"Tier 1",rng_RSD1,"Tier 2",rng_RSD2,"Tier 3",rng_RSD3),MATCH(_xlfn.CONCAT(Buildings_Heat_Backend[[#This Row],[Level 1]:[Level 6]]),rng_LevelsConcat,0)))</f>
        <v/>
      </c>
      <c r="AB121" s="220" t="str">
        <f t="shared" si="4"/>
        <v/>
      </c>
      <c r="AC121" s="174">
        <f>Buildings_Heat_Frontend[[#This Row],[Units]]</f>
        <v>0</v>
      </c>
      <c r="AD12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1" s="174" t="str">
        <f>IF(Buildings_Heat_Frontend[[#This Row],[Data]]="","", _xlfn.XLOOKUP(_xlfn.CONCAT(Buildings_Heat_Backend[[#This Row],[Level 1]:[Level 6]]),rng_LevelsConcat,rng_UnitsLong))</f>
        <v/>
      </c>
      <c r="AF121" s="210" t="str">
        <f>IF(Buildings_Heat_Frontend[[#This Row],[Data]]="","", _xlfn.XLOOKUP(_xlfn.CONCAT(Buildings_Heat_Backend[[#This Row],[Level 1]:[Level 6]]),rng_EFConcat,rng_EF1)*Buildings_Heat_Backend[[#This Row],[Converted data]]/1000)</f>
        <v/>
      </c>
      <c r="AG121" s="210" t="str">
        <f>IF(Buildings_Heat_Frontend[[#This Row],[Data]]="","", _xlfn.XLOOKUP(_xlfn.CONCAT(Buildings_Heat_Backend[[#This Row],[Level 1]:[Level 6]]),rng_EFConcat,rng_EF2)*Buildings_Heat_Backend[[#This Row],[Converted data]]/1000)</f>
        <v/>
      </c>
      <c r="AH121" s="210" t="str">
        <f>IF(Buildings_Heat_Frontend[[#This Row],[Data]]="","", _xlfn.XLOOKUP(_xlfn.CONCAT(Buildings_Heat_Backend[[#This Row],[Level 1]:[Level 6]]),rng_EFConcat,rng_EF3)*Buildings_Heat_Backend[[#This Row],[Converted data]]/1000)</f>
        <v/>
      </c>
      <c r="AI121" s="210" t="str">
        <f>IF(Buildings_Heat_Frontend[[#This Row],[Data]]="","", _xlfn.XLOOKUP(_xlfn.CONCAT(Buildings_Heat_Backend[[#This Row],[Level 1]:[Level 6]]),rng_EFConcat,rng_EF3WTT)*Buildings_Heat_Backend[[#This Row],[Converted data]]/1000)</f>
        <v/>
      </c>
      <c r="AJ121" s="210" t="str">
        <f>IF(Buildings_Heat_Frontend[[#This Row],[Data]]="","", _xlfn.XLOOKUP(_xlfn.CONCAT(Buildings_Heat_Backend[[#This Row],[Level 1]:[Level 6]]),rng_EFConcat,rng_EF3TD)*Buildings_Heat_Backend[[#This Row],[Converted data]]/1000)</f>
        <v/>
      </c>
      <c r="AK121" s="210" t="str">
        <f>IF(Buildings_Heat_Frontend[[#This Row],[Data]]="","", _xlfn.XLOOKUP(_xlfn.CONCAT(Buildings_Heat_Backend[[#This Row],[Level 1]:[Level 6]]),rng_EFConcat,rng_EF3WTTTD)*Buildings_Heat_Backend[[#This Row],[Converted data]]/1000)</f>
        <v/>
      </c>
      <c r="AL121" s="220">
        <f>SUM(Buildings_Heat_Backend[[#This Row],[Scope 1 (tCO2e)]:[Scope 3 WTT T&amp;D (tCO2e)]])</f>
        <v>0</v>
      </c>
      <c r="AM121" s="220" t="str">
        <f>IF(Buildings_Heat_Frontend[[#This Row],[Data]]="","", Buildings_Heat_Backend[[#This Row],[Total (tCO2e)]]*(1-Buildings_Heat_Backend[[#This Row],[RSD]]))</f>
        <v/>
      </c>
      <c r="AN121" s="220" t="str">
        <f>IF(Buildings_Heat_Frontend[[#This Row],[Data]]="","", Buildings_Heat_Backend[[#This Row],[Total (tCO2e)]]*(1+Buildings_Heat_Backend[[#This Row],[RSD]]))</f>
        <v/>
      </c>
      <c r="AO121" s="210" t="str">
        <f>IF(Buildings_Heat_Frontend[[#This Row],[Data]]="","", _xlfn.XLOOKUP(_xlfn.CONCAT(Buildings_Heat_Backend[[#This Row],[Level 1]:[Level 6]]),rng_EFConcat,rng_EFOOS)*Buildings_Heat_Backend[[#This Row],[Converted data]]/1000)</f>
        <v/>
      </c>
      <c r="AP121" s="174">
        <f>Buildings_Heat_Frontend[[#This Row],[Ease of collection]]</f>
        <v>0</v>
      </c>
      <c r="AQ121" s="174">
        <f>Buildings_Heat_Frontend[[#This Row],[Completeness]]</f>
        <v>0</v>
      </c>
      <c r="AR121" s="174">
        <f>Buildings_Heat_Frontend[[#This Row],[Notes]]</f>
        <v>0</v>
      </c>
    </row>
    <row r="122" spans="5:44" x14ac:dyDescent="0.3">
      <c r="E122" s="346"/>
      <c r="F122" s="364"/>
      <c r="G122" s="336"/>
      <c r="H122" s="336"/>
      <c r="I122" s="336"/>
      <c r="J122" s="334"/>
      <c r="K122" s="336"/>
      <c r="L122" s="336"/>
      <c r="M122" s="336"/>
      <c r="N122" s="352"/>
      <c r="O122" s="230">
        <f t="shared" si="5"/>
        <v>6</v>
      </c>
      <c r="Q122" s="212" t="str">
        <f t="shared" si="3"/>
        <v/>
      </c>
      <c r="R122" s="174" t="s">
        <v>265</v>
      </c>
      <c r="S122" s="174" t="s">
        <v>273</v>
      </c>
      <c r="T122" s="174" t="str">
        <f>IF(Buildings_Heat_Frontend[[#This Row],[Data]]="","", _xlfn.XLOOKUP(Buildings_Heat_Backend[[#This Row],[Info 1]],Buildings_SiteInfo[Site name],Buildings_SiteInfo[Site type]))</f>
        <v/>
      </c>
      <c r="U122" s="174" t="str">
        <f>IF(Buildings_Heat_Frontend[[#This Row],[Data]]="","", Buildings_Heat_Frontend[[#This Row],[Heating Type]])</f>
        <v/>
      </c>
      <c r="V122" s="174" t="str">
        <f>IF(Buildings_Heat_Frontend[[#This Row],[Data]]="","", Buildings_Heat_Frontend[[#This Row],[Fuel]])</f>
        <v/>
      </c>
      <c r="W122" s="174" t="str" cm="1">
        <f t="array" ref="W122">IF(Buildings_Heat_Frontend[[#This Row],[Data]]="","", _xlfn.XLOOKUP(Buildings_Heat_Backend[[#This Row],[Level 5]],rng_Level5Long,rng_Level6Long))</f>
        <v/>
      </c>
      <c r="X122" s="174" t="str">
        <f>IF(Buildings_Heat_Frontend[[#This Row],[Data]]="","", Buildings_Heat_Frontend[[#This Row],[Site Name]])</f>
        <v/>
      </c>
      <c r="Y122" s="174" t="str">
        <f>IF(Buildings_Heat_Frontend[[#This Row],[Data]]="","", Buildings_Heat_Frontend[[#This Row],[MPRN]])</f>
        <v/>
      </c>
      <c r="Z122" s="174" t="str">
        <f>IF(Buildings_Heat_Frontend[[#This Row],[Data]]="","", IF($I122="","",$I122))</f>
        <v/>
      </c>
      <c r="AA122" s="229" t="str" cm="1">
        <f t="array" ref="AA122">IF(Buildings_Heat_Frontend[[#This Row],[Data]]="","", INDEX(_xlfn.SWITCH(Buildings_Heat_Backend[[#This Row],[Methodology]],"Tier 1",rng_RSD1,"Tier 2",rng_RSD2,"Tier 3",rng_RSD3),MATCH(_xlfn.CONCAT(Buildings_Heat_Backend[[#This Row],[Level 1]:[Level 6]]),rng_LevelsConcat,0)))</f>
        <v/>
      </c>
      <c r="AB122" s="220" t="str">
        <f t="shared" si="4"/>
        <v/>
      </c>
      <c r="AC122" s="174">
        <f>Buildings_Heat_Frontend[[#This Row],[Units]]</f>
        <v>0</v>
      </c>
      <c r="AD12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2" s="174" t="str">
        <f>IF(Buildings_Heat_Frontend[[#This Row],[Data]]="","", _xlfn.XLOOKUP(_xlfn.CONCAT(Buildings_Heat_Backend[[#This Row],[Level 1]:[Level 6]]),rng_LevelsConcat,rng_UnitsLong))</f>
        <v/>
      </c>
      <c r="AF122" s="210" t="str">
        <f>IF(Buildings_Heat_Frontend[[#This Row],[Data]]="","", _xlfn.XLOOKUP(_xlfn.CONCAT(Buildings_Heat_Backend[[#This Row],[Level 1]:[Level 6]]),rng_EFConcat,rng_EF1)*Buildings_Heat_Backend[[#This Row],[Converted data]]/1000)</f>
        <v/>
      </c>
      <c r="AG122" s="210" t="str">
        <f>IF(Buildings_Heat_Frontend[[#This Row],[Data]]="","", _xlfn.XLOOKUP(_xlfn.CONCAT(Buildings_Heat_Backend[[#This Row],[Level 1]:[Level 6]]),rng_EFConcat,rng_EF2)*Buildings_Heat_Backend[[#This Row],[Converted data]]/1000)</f>
        <v/>
      </c>
      <c r="AH122" s="210" t="str">
        <f>IF(Buildings_Heat_Frontend[[#This Row],[Data]]="","", _xlfn.XLOOKUP(_xlfn.CONCAT(Buildings_Heat_Backend[[#This Row],[Level 1]:[Level 6]]),rng_EFConcat,rng_EF3)*Buildings_Heat_Backend[[#This Row],[Converted data]]/1000)</f>
        <v/>
      </c>
      <c r="AI122" s="210" t="str">
        <f>IF(Buildings_Heat_Frontend[[#This Row],[Data]]="","", _xlfn.XLOOKUP(_xlfn.CONCAT(Buildings_Heat_Backend[[#This Row],[Level 1]:[Level 6]]),rng_EFConcat,rng_EF3WTT)*Buildings_Heat_Backend[[#This Row],[Converted data]]/1000)</f>
        <v/>
      </c>
      <c r="AJ122" s="210" t="str">
        <f>IF(Buildings_Heat_Frontend[[#This Row],[Data]]="","", _xlfn.XLOOKUP(_xlfn.CONCAT(Buildings_Heat_Backend[[#This Row],[Level 1]:[Level 6]]),rng_EFConcat,rng_EF3TD)*Buildings_Heat_Backend[[#This Row],[Converted data]]/1000)</f>
        <v/>
      </c>
      <c r="AK122" s="210" t="str">
        <f>IF(Buildings_Heat_Frontend[[#This Row],[Data]]="","", _xlfn.XLOOKUP(_xlfn.CONCAT(Buildings_Heat_Backend[[#This Row],[Level 1]:[Level 6]]),rng_EFConcat,rng_EF3WTTTD)*Buildings_Heat_Backend[[#This Row],[Converted data]]/1000)</f>
        <v/>
      </c>
      <c r="AL122" s="220">
        <f>SUM(Buildings_Heat_Backend[[#This Row],[Scope 1 (tCO2e)]:[Scope 3 WTT T&amp;D (tCO2e)]])</f>
        <v>0</v>
      </c>
      <c r="AM122" s="220" t="str">
        <f>IF(Buildings_Heat_Frontend[[#This Row],[Data]]="","", Buildings_Heat_Backend[[#This Row],[Total (tCO2e)]]*(1-Buildings_Heat_Backend[[#This Row],[RSD]]))</f>
        <v/>
      </c>
      <c r="AN122" s="220" t="str">
        <f>IF(Buildings_Heat_Frontend[[#This Row],[Data]]="","", Buildings_Heat_Backend[[#This Row],[Total (tCO2e)]]*(1+Buildings_Heat_Backend[[#This Row],[RSD]]))</f>
        <v/>
      </c>
      <c r="AO122" s="210" t="str">
        <f>IF(Buildings_Heat_Frontend[[#This Row],[Data]]="","", _xlfn.XLOOKUP(_xlfn.CONCAT(Buildings_Heat_Backend[[#This Row],[Level 1]:[Level 6]]),rng_EFConcat,rng_EFOOS)*Buildings_Heat_Backend[[#This Row],[Converted data]]/1000)</f>
        <v/>
      </c>
      <c r="AP122" s="174">
        <f>Buildings_Heat_Frontend[[#This Row],[Ease of collection]]</f>
        <v>0</v>
      </c>
      <c r="AQ122" s="174">
        <f>Buildings_Heat_Frontend[[#This Row],[Completeness]]</f>
        <v>0</v>
      </c>
      <c r="AR122" s="174">
        <f>Buildings_Heat_Frontend[[#This Row],[Notes]]</f>
        <v>0</v>
      </c>
    </row>
    <row r="123" spans="5:44" x14ac:dyDescent="0.3">
      <c r="E123" s="346"/>
      <c r="F123" s="364"/>
      <c r="G123" s="336"/>
      <c r="H123" s="336"/>
      <c r="I123" s="336"/>
      <c r="J123" s="334"/>
      <c r="K123" s="336"/>
      <c r="L123" s="336"/>
      <c r="M123" s="336"/>
      <c r="N123" s="352"/>
      <c r="O123" s="230">
        <f t="shared" si="5"/>
        <v>6</v>
      </c>
      <c r="Q123" s="212" t="str">
        <f t="shared" si="3"/>
        <v/>
      </c>
      <c r="R123" s="174" t="s">
        <v>265</v>
      </c>
      <c r="S123" s="174" t="s">
        <v>273</v>
      </c>
      <c r="T123" s="174" t="str">
        <f>IF(Buildings_Heat_Frontend[[#This Row],[Data]]="","", _xlfn.XLOOKUP(Buildings_Heat_Backend[[#This Row],[Info 1]],Buildings_SiteInfo[Site name],Buildings_SiteInfo[Site type]))</f>
        <v/>
      </c>
      <c r="U123" s="174" t="str">
        <f>IF(Buildings_Heat_Frontend[[#This Row],[Data]]="","", Buildings_Heat_Frontend[[#This Row],[Heating Type]])</f>
        <v/>
      </c>
      <c r="V123" s="174" t="str">
        <f>IF(Buildings_Heat_Frontend[[#This Row],[Data]]="","", Buildings_Heat_Frontend[[#This Row],[Fuel]])</f>
        <v/>
      </c>
      <c r="W123" s="174" t="str" cm="1">
        <f t="array" ref="W123">IF(Buildings_Heat_Frontend[[#This Row],[Data]]="","", _xlfn.XLOOKUP(Buildings_Heat_Backend[[#This Row],[Level 5]],rng_Level5Long,rng_Level6Long))</f>
        <v/>
      </c>
      <c r="X123" s="174" t="str">
        <f>IF(Buildings_Heat_Frontend[[#This Row],[Data]]="","", Buildings_Heat_Frontend[[#This Row],[Site Name]])</f>
        <v/>
      </c>
      <c r="Y123" s="174" t="str">
        <f>IF(Buildings_Heat_Frontend[[#This Row],[Data]]="","", Buildings_Heat_Frontend[[#This Row],[MPRN]])</f>
        <v/>
      </c>
      <c r="Z123" s="174" t="str">
        <f>IF(Buildings_Heat_Frontend[[#This Row],[Data]]="","", IF($I123="","",$I123))</f>
        <v/>
      </c>
      <c r="AA123" s="229" t="str" cm="1">
        <f t="array" ref="AA123">IF(Buildings_Heat_Frontend[[#This Row],[Data]]="","", INDEX(_xlfn.SWITCH(Buildings_Heat_Backend[[#This Row],[Methodology]],"Tier 1",rng_RSD1,"Tier 2",rng_RSD2,"Tier 3",rng_RSD3),MATCH(_xlfn.CONCAT(Buildings_Heat_Backend[[#This Row],[Level 1]:[Level 6]]),rng_LevelsConcat,0)))</f>
        <v/>
      </c>
      <c r="AB123" s="220" t="str">
        <f t="shared" si="4"/>
        <v/>
      </c>
      <c r="AC123" s="174">
        <f>Buildings_Heat_Frontend[[#This Row],[Units]]</f>
        <v>0</v>
      </c>
      <c r="AD12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3" s="174" t="str">
        <f>IF(Buildings_Heat_Frontend[[#This Row],[Data]]="","", _xlfn.XLOOKUP(_xlfn.CONCAT(Buildings_Heat_Backend[[#This Row],[Level 1]:[Level 6]]),rng_LevelsConcat,rng_UnitsLong))</f>
        <v/>
      </c>
      <c r="AF123" s="210" t="str">
        <f>IF(Buildings_Heat_Frontend[[#This Row],[Data]]="","", _xlfn.XLOOKUP(_xlfn.CONCAT(Buildings_Heat_Backend[[#This Row],[Level 1]:[Level 6]]),rng_EFConcat,rng_EF1)*Buildings_Heat_Backend[[#This Row],[Converted data]]/1000)</f>
        <v/>
      </c>
      <c r="AG123" s="210" t="str">
        <f>IF(Buildings_Heat_Frontend[[#This Row],[Data]]="","", _xlfn.XLOOKUP(_xlfn.CONCAT(Buildings_Heat_Backend[[#This Row],[Level 1]:[Level 6]]),rng_EFConcat,rng_EF2)*Buildings_Heat_Backend[[#This Row],[Converted data]]/1000)</f>
        <v/>
      </c>
      <c r="AH123" s="210" t="str">
        <f>IF(Buildings_Heat_Frontend[[#This Row],[Data]]="","", _xlfn.XLOOKUP(_xlfn.CONCAT(Buildings_Heat_Backend[[#This Row],[Level 1]:[Level 6]]),rng_EFConcat,rng_EF3)*Buildings_Heat_Backend[[#This Row],[Converted data]]/1000)</f>
        <v/>
      </c>
      <c r="AI123" s="210" t="str">
        <f>IF(Buildings_Heat_Frontend[[#This Row],[Data]]="","", _xlfn.XLOOKUP(_xlfn.CONCAT(Buildings_Heat_Backend[[#This Row],[Level 1]:[Level 6]]),rng_EFConcat,rng_EF3WTT)*Buildings_Heat_Backend[[#This Row],[Converted data]]/1000)</f>
        <v/>
      </c>
      <c r="AJ123" s="210" t="str">
        <f>IF(Buildings_Heat_Frontend[[#This Row],[Data]]="","", _xlfn.XLOOKUP(_xlfn.CONCAT(Buildings_Heat_Backend[[#This Row],[Level 1]:[Level 6]]),rng_EFConcat,rng_EF3TD)*Buildings_Heat_Backend[[#This Row],[Converted data]]/1000)</f>
        <v/>
      </c>
      <c r="AK123" s="210" t="str">
        <f>IF(Buildings_Heat_Frontend[[#This Row],[Data]]="","", _xlfn.XLOOKUP(_xlfn.CONCAT(Buildings_Heat_Backend[[#This Row],[Level 1]:[Level 6]]),rng_EFConcat,rng_EF3WTTTD)*Buildings_Heat_Backend[[#This Row],[Converted data]]/1000)</f>
        <v/>
      </c>
      <c r="AL123" s="220">
        <f>SUM(Buildings_Heat_Backend[[#This Row],[Scope 1 (tCO2e)]:[Scope 3 WTT T&amp;D (tCO2e)]])</f>
        <v>0</v>
      </c>
      <c r="AM123" s="220" t="str">
        <f>IF(Buildings_Heat_Frontend[[#This Row],[Data]]="","", Buildings_Heat_Backend[[#This Row],[Total (tCO2e)]]*(1-Buildings_Heat_Backend[[#This Row],[RSD]]))</f>
        <v/>
      </c>
      <c r="AN123" s="220" t="str">
        <f>IF(Buildings_Heat_Frontend[[#This Row],[Data]]="","", Buildings_Heat_Backend[[#This Row],[Total (tCO2e)]]*(1+Buildings_Heat_Backend[[#This Row],[RSD]]))</f>
        <v/>
      </c>
      <c r="AO123" s="210" t="str">
        <f>IF(Buildings_Heat_Frontend[[#This Row],[Data]]="","", _xlfn.XLOOKUP(_xlfn.CONCAT(Buildings_Heat_Backend[[#This Row],[Level 1]:[Level 6]]),rng_EFConcat,rng_EFOOS)*Buildings_Heat_Backend[[#This Row],[Converted data]]/1000)</f>
        <v/>
      </c>
      <c r="AP123" s="174">
        <f>Buildings_Heat_Frontend[[#This Row],[Ease of collection]]</f>
        <v>0</v>
      </c>
      <c r="AQ123" s="174">
        <f>Buildings_Heat_Frontend[[#This Row],[Completeness]]</f>
        <v>0</v>
      </c>
      <c r="AR123" s="174">
        <f>Buildings_Heat_Frontend[[#This Row],[Notes]]</f>
        <v>0</v>
      </c>
    </row>
    <row r="124" spans="5:44" x14ac:dyDescent="0.3">
      <c r="E124" s="346"/>
      <c r="F124" s="364"/>
      <c r="G124" s="336"/>
      <c r="H124" s="336"/>
      <c r="I124" s="336"/>
      <c r="J124" s="334"/>
      <c r="K124" s="336"/>
      <c r="L124" s="336"/>
      <c r="M124" s="336"/>
      <c r="N124" s="352"/>
      <c r="O124" s="230">
        <f t="shared" si="5"/>
        <v>6</v>
      </c>
      <c r="Q124" s="212" t="str">
        <f t="shared" si="3"/>
        <v/>
      </c>
      <c r="R124" s="174" t="s">
        <v>265</v>
      </c>
      <c r="S124" s="174" t="s">
        <v>273</v>
      </c>
      <c r="T124" s="174" t="str">
        <f>IF(Buildings_Heat_Frontend[[#This Row],[Data]]="","", _xlfn.XLOOKUP(Buildings_Heat_Backend[[#This Row],[Info 1]],Buildings_SiteInfo[Site name],Buildings_SiteInfo[Site type]))</f>
        <v/>
      </c>
      <c r="U124" s="174" t="str">
        <f>IF(Buildings_Heat_Frontend[[#This Row],[Data]]="","", Buildings_Heat_Frontend[[#This Row],[Heating Type]])</f>
        <v/>
      </c>
      <c r="V124" s="174" t="str">
        <f>IF(Buildings_Heat_Frontend[[#This Row],[Data]]="","", Buildings_Heat_Frontend[[#This Row],[Fuel]])</f>
        <v/>
      </c>
      <c r="W124" s="174" t="str" cm="1">
        <f t="array" ref="W124">IF(Buildings_Heat_Frontend[[#This Row],[Data]]="","", _xlfn.XLOOKUP(Buildings_Heat_Backend[[#This Row],[Level 5]],rng_Level5Long,rng_Level6Long))</f>
        <v/>
      </c>
      <c r="X124" s="174" t="str">
        <f>IF(Buildings_Heat_Frontend[[#This Row],[Data]]="","", Buildings_Heat_Frontend[[#This Row],[Site Name]])</f>
        <v/>
      </c>
      <c r="Y124" s="174" t="str">
        <f>IF(Buildings_Heat_Frontend[[#This Row],[Data]]="","", Buildings_Heat_Frontend[[#This Row],[MPRN]])</f>
        <v/>
      </c>
      <c r="Z124" s="174" t="str">
        <f>IF(Buildings_Heat_Frontend[[#This Row],[Data]]="","", IF($I124="","",$I124))</f>
        <v/>
      </c>
      <c r="AA124" s="229" t="str" cm="1">
        <f t="array" ref="AA124">IF(Buildings_Heat_Frontend[[#This Row],[Data]]="","", INDEX(_xlfn.SWITCH(Buildings_Heat_Backend[[#This Row],[Methodology]],"Tier 1",rng_RSD1,"Tier 2",rng_RSD2,"Tier 3",rng_RSD3),MATCH(_xlfn.CONCAT(Buildings_Heat_Backend[[#This Row],[Level 1]:[Level 6]]),rng_LevelsConcat,0)))</f>
        <v/>
      </c>
      <c r="AB124" s="220" t="str">
        <f t="shared" si="4"/>
        <v/>
      </c>
      <c r="AC124" s="174">
        <f>Buildings_Heat_Frontend[[#This Row],[Units]]</f>
        <v>0</v>
      </c>
      <c r="AD12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4" s="174" t="str">
        <f>IF(Buildings_Heat_Frontend[[#This Row],[Data]]="","", _xlfn.XLOOKUP(_xlfn.CONCAT(Buildings_Heat_Backend[[#This Row],[Level 1]:[Level 6]]),rng_LevelsConcat,rng_UnitsLong))</f>
        <v/>
      </c>
      <c r="AF124" s="210" t="str">
        <f>IF(Buildings_Heat_Frontend[[#This Row],[Data]]="","", _xlfn.XLOOKUP(_xlfn.CONCAT(Buildings_Heat_Backend[[#This Row],[Level 1]:[Level 6]]),rng_EFConcat,rng_EF1)*Buildings_Heat_Backend[[#This Row],[Converted data]]/1000)</f>
        <v/>
      </c>
      <c r="AG124" s="210" t="str">
        <f>IF(Buildings_Heat_Frontend[[#This Row],[Data]]="","", _xlfn.XLOOKUP(_xlfn.CONCAT(Buildings_Heat_Backend[[#This Row],[Level 1]:[Level 6]]),rng_EFConcat,rng_EF2)*Buildings_Heat_Backend[[#This Row],[Converted data]]/1000)</f>
        <v/>
      </c>
      <c r="AH124" s="210" t="str">
        <f>IF(Buildings_Heat_Frontend[[#This Row],[Data]]="","", _xlfn.XLOOKUP(_xlfn.CONCAT(Buildings_Heat_Backend[[#This Row],[Level 1]:[Level 6]]),rng_EFConcat,rng_EF3)*Buildings_Heat_Backend[[#This Row],[Converted data]]/1000)</f>
        <v/>
      </c>
      <c r="AI124" s="210" t="str">
        <f>IF(Buildings_Heat_Frontend[[#This Row],[Data]]="","", _xlfn.XLOOKUP(_xlfn.CONCAT(Buildings_Heat_Backend[[#This Row],[Level 1]:[Level 6]]),rng_EFConcat,rng_EF3WTT)*Buildings_Heat_Backend[[#This Row],[Converted data]]/1000)</f>
        <v/>
      </c>
      <c r="AJ124" s="210" t="str">
        <f>IF(Buildings_Heat_Frontend[[#This Row],[Data]]="","", _xlfn.XLOOKUP(_xlfn.CONCAT(Buildings_Heat_Backend[[#This Row],[Level 1]:[Level 6]]),rng_EFConcat,rng_EF3TD)*Buildings_Heat_Backend[[#This Row],[Converted data]]/1000)</f>
        <v/>
      </c>
      <c r="AK124" s="210" t="str">
        <f>IF(Buildings_Heat_Frontend[[#This Row],[Data]]="","", _xlfn.XLOOKUP(_xlfn.CONCAT(Buildings_Heat_Backend[[#This Row],[Level 1]:[Level 6]]),rng_EFConcat,rng_EF3WTTTD)*Buildings_Heat_Backend[[#This Row],[Converted data]]/1000)</f>
        <v/>
      </c>
      <c r="AL124" s="220">
        <f>SUM(Buildings_Heat_Backend[[#This Row],[Scope 1 (tCO2e)]:[Scope 3 WTT T&amp;D (tCO2e)]])</f>
        <v>0</v>
      </c>
      <c r="AM124" s="220" t="str">
        <f>IF(Buildings_Heat_Frontend[[#This Row],[Data]]="","", Buildings_Heat_Backend[[#This Row],[Total (tCO2e)]]*(1-Buildings_Heat_Backend[[#This Row],[RSD]]))</f>
        <v/>
      </c>
      <c r="AN124" s="220" t="str">
        <f>IF(Buildings_Heat_Frontend[[#This Row],[Data]]="","", Buildings_Heat_Backend[[#This Row],[Total (tCO2e)]]*(1+Buildings_Heat_Backend[[#This Row],[RSD]]))</f>
        <v/>
      </c>
      <c r="AO124" s="210" t="str">
        <f>IF(Buildings_Heat_Frontend[[#This Row],[Data]]="","", _xlfn.XLOOKUP(_xlfn.CONCAT(Buildings_Heat_Backend[[#This Row],[Level 1]:[Level 6]]),rng_EFConcat,rng_EFOOS)*Buildings_Heat_Backend[[#This Row],[Converted data]]/1000)</f>
        <v/>
      </c>
      <c r="AP124" s="174">
        <f>Buildings_Heat_Frontend[[#This Row],[Ease of collection]]</f>
        <v>0</v>
      </c>
      <c r="AQ124" s="174">
        <f>Buildings_Heat_Frontend[[#This Row],[Completeness]]</f>
        <v>0</v>
      </c>
      <c r="AR124" s="174">
        <f>Buildings_Heat_Frontend[[#This Row],[Notes]]</f>
        <v>0</v>
      </c>
    </row>
    <row r="125" spans="5:44" x14ac:dyDescent="0.3">
      <c r="E125" s="346"/>
      <c r="F125" s="364"/>
      <c r="G125" s="336"/>
      <c r="H125" s="336"/>
      <c r="I125" s="336"/>
      <c r="J125" s="334"/>
      <c r="K125" s="336"/>
      <c r="L125" s="336"/>
      <c r="M125" s="336"/>
      <c r="N125" s="352"/>
      <c r="O125" s="230">
        <f t="shared" si="5"/>
        <v>6</v>
      </c>
      <c r="Q125" s="212" t="str">
        <f t="shared" si="3"/>
        <v/>
      </c>
      <c r="R125" s="174" t="s">
        <v>265</v>
      </c>
      <c r="S125" s="174" t="s">
        <v>273</v>
      </c>
      <c r="T125" s="174" t="str">
        <f>IF(Buildings_Heat_Frontend[[#This Row],[Data]]="","", _xlfn.XLOOKUP(Buildings_Heat_Backend[[#This Row],[Info 1]],Buildings_SiteInfo[Site name],Buildings_SiteInfo[Site type]))</f>
        <v/>
      </c>
      <c r="U125" s="174" t="str">
        <f>IF(Buildings_Heat_Frontend[[#This Row],[Data]]="","", Buildings_Heat_Frontend[[#This Row],[Heating Type]])</f>
        <v/>
      </c>
      <c r="V125" s="174" t="str">
        <f>IF(Buildings_Heat_Frontend[[#This Row],[Data]]="","", Buildings_Heat_Frontend[[#This Row],[Fuel]])</f>
        <v/>
      </c>
      <c r="W125" s="174" t="str" cm="1">
        <f t="array" ref="W125">IF(Buildings_Heat_Frontend[[#This Row],[Data]]="","", _xlfn.XLOOKUP(Buildings_Heat_Backend[[#This Row],[Level 5]],rng_Level5Long,rng_Level6Long))</f>
        <v/>
      </c>
      <c r="X125" s="174" t="str">
        <f>IF(Buildings_Heat_Frontend[[#This Row],[Data]]="","", Buildings_Heat_Frontend[[#This Row],[Site Name]])</f>
        <v/>
      </c>
      <c r="Y125" s="174" t="str">
        <f>IF(Buildings_Heat_Frontend[[#This Row],[Data]]="","", Buildings_Heat_Frontend[[#This Row],[MPRN]])</f>
        <v/>
      </c>
      <c r="Z125" s="174" t="str">
        <f>IF(Buildings_Heat_Frontend[[#This Row],[Data]]="","", IF($I125="","",$I125))</f>
        <v/>
      </c>
      <c r="AA125" s="229" t="str" cm="1">
        <f t="array" ref="AA125">IF(Buildings_Heat_Frontend[[#This Row],[Data]]="","", INDEX(_xlfn.SWITCH(Buildings_Heat_Backend[[#This Row],[Methodology]],"Tier 1",rng_RSD1,"Tier 2",rng_RSD2,"Tier 3",rng_RSD3),MATCH(_xlfn.CONCAT(Buildings_Heat_Backend[[#This Row],[Level 1]:[Level 6]]),rng_LevelsConcat,0)))</f>
        <v/>
      </c>
      <c r="AB125" s="220" t="str">
        <f t="shared" si="4"/>
        <v/>
      </c>
      <c r="AC125" s="174">
        <f>Buildings_Heat_Frontend[[#This Row],[Units]]</f>
        <v>0</v>
      </c>
      <c r="AD12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5" s="174" t="str">
        <f>IF(Buildings_Heat_Frontend[[#This Row],[Data]]="","", _xlfn.XLOOKUP(_xlfn.CONCAT(Buildings_Heat_Backend[[#This Row],[Level 1]:[Level 6]]),rng_LevelsConcat,rng_UnitsLong))</f>
        <v/>
      </c>
      <c r="AF125" s="210" t="str">
        <f>IF(Buildings_Heat_Frontend[[#This Row],[Data]]="","", _xlfn.XLOOKUP(_xlfn.CONCAT(Buildings_Heat_Backend[[#This Row],[Level 1]:[Level 6]]),rng_EFConcat,rng_EF1)*Buildings_Heat_Backend[[#This Row],[Converted data]]/1000)</f>
        <v/>
      </c>
      <c r="AG125" s="210" t="str">
        <f>IF(Buildings_Heat_Frontend[[#This Row],[Data]]="","", _xlfn.XLOOKUP(_xlfn.CONCAT(Buildings_Heat_Backend[[#This Row],[Level 1]:[Level 6]]),rng_EFConcat,rng_EF2)*Buildings_Heat_Backend[[#This Row],[Converted data]]/1000)</f>
        <v/>
      </c>
      <c r="AH125" s="210" t="str">
        <f>IF(Buildings_Heat_Frontend[[#This Row],[Data]]="","", _xlfn.XLOOKUP(_xlfn.CONCAT(Buildings_Heat_Backend[[#This Row],[Level 1]:[Level 6]]),rng_EFConcat,rng_EF3)*Buildings_Heat_Backend[[#This Row],[Converted data]]/1000)</f>
        <v/>
      </c>
      <c r="AI125" s="210" t="str">
        <f>IF(Buildings_Heat_Frontend[[#This Row],[Data]]="","", _xlfn.XLOOKUP(_xlfn.CONCAT(Buildings_Heat_Backend[[#This Row],[Level 1]:[Level 6]]),rng_EFConcat,rng_EF3WTT)*Buildings_Heat_Backend[[#This Row],[Converted data]]/1000)</f>
        <v/>
      </c>
      <c r="AJ125" s="210" t="str">
        <f>IF(Buildings_Heat_Frontend[[#This Row],[Data]]="","", _xlfn.XLOOKUP(_xlfn.CONCAT(Buildings_Heat_Backend[[#This Row],[Level 1]:[Level 6]]),rng_EFConcat,rng_EF3TD)*Buildings_Heat_Backend[[#This Row],[Converted data]]/1000)</f>
        <v/>
      </c>
      <c r="AK125" s="210" t="str">
        <f>IF(Buildings_Heat_Frontend[[#This Row],[Data]]="","", _xlfn.XLOOKUP(_xlfn.CONCAT(Buildings_Heat_Backend[[#This Row],[Level 1]:[Level 6]]),rng_EFConcat,rng_EF3WTTTD)*Buildings_Heat_Backend[[#This Row],[Converted data]]/1000)</f>
        <v/>
      </c>
      <c r="AL125" s="220">
        <f>SUM(Buildings_Heat_Backend[[#This Row],[Scope 1 (tCO2e)]:[Scope 3 WTT T&amp;D (tCO2e)]])</f>
        <v>0</v>
      </c>
      <c r="AM125" s="220" t="str">
        <f>IF(Buildings_Heat_Frontend[[#This Row],[Data]]="","", Buildings_Heat_Backend[[#This Row],[Total (tCO2e)]]*(1-Buildings_Heat_Backend[[#This Row],[RSD]]))</f>
        <v/>
      </c>
      <c r="AN125" s="220" t="str">
        <f>IF(Buildings_Heat_Frontend[[#This Row],[Data]]="","", Buildings_Heat_Backend[[#This Row],[Total (tCO2e)]]*(1+Buildings_Heat_Backend[[#This Row],[RSD]]))</f>
        <v/>
      </c>
      <c r="AO125" s="210" t="str">
        <f>IF(Buildings_Heat_Frontend[[#This Row],[Data]]="","", _xlfn.XLOOKUP(_xlfn.CONCAT(Buildings_Heat_Backend[[#This Row],[Level 1]:[Level 6]]),rng_EFConcat,rng_EFOOS)*Buildings_Heat_Backend[[#This Row],[Converted data]]/1000)</f>
        <v/>
      </c>
      <c r="AP125" s="174">
        <f>Buildings_Heat_Frontend[[#This Row],[Ease of collection]]</f>
        <v>0</v>
      </c>
      <c r="AQ125" s="174">
        <f>Buildings_Heat_Frontend[[#This Row],[Completeness]]</f>
        <v>0</v>
      </c>
      <c r="AR125" s="174">
        <f>Buildings_Heat_Frontend[[#This Row],[Notes]]</f>
        <v>0</v>
      </c>
    </row>
    <row r="126" spans="5:44" x14ac:dyDescent="0.3">
      <c r="E126" s="346"/>
      <c r="F126" s="364"/>
      <c r="G126" s="336"/>
      <c r="H126" s="336"/>
      <c r="I126" s="336"/>
      <c r="J126" s="334"/>
      <c r="K126" s="336"/>
      <c r="L126" s="336"/>
      <c r="M126" s="336"/>
      <c r="N126" s="352"/>
      <c r="O126" s="230">
        <f t="shared" si="5"/>
        <v>6</v>
      </c>
      <c r="Q126" s="212" t="str">
        <f t="shared" si="3"/>
        <v/>
      </c>
      <c r="R126" s="174" t="s">
        <v>265</v>
      </c>
      <c r="S126" s="174" t="s">
        <v>273</v>
      </c>
      <c r="T126" s="174" t="str">
        <f>IF(Buildings_Heat_Frontend[[#This Row],[Data]]="","", _xlfn.XLOOKUP(Buildings_Heat_Backend[[#This Row],[Info 1]],Buildings_SiteInfo[Site name],Buildings_SiteInfo[Site type]))</f>
        <v/>
      </c>
      <c r="U126" s="174" t="str">
        <f>IF(Buildings_Heat_Frontend[[#This Row],[Data]]="","", Buildings_Heat_Frontend[[#This Row],[Heating Type]])</f>
        <v/>
      </c>
      <c r="V126" s="174" t="str">
        <f>IF(Buildings_Heat_Frontend[[#This Row],[Data]]="","", Buildings_Heat_Frontend[[#This Row],[Fuel]])</f>
        <v/>
      </c>
      <c r="W126" s="174" t="str" cm="1">
        <f t="array" ref="W126">IF(Buildings_Heat_Frontend[[#This Row],[Data]]="","", _xlfn.XLOOKUP(Buildings_Heat_Backend[[#This Row],[Level 5]],rng_Level5Long,rng_Level6Long))</f>
        <v/>
      </c>
      <c r="X126" s="174" t="str">
        <f>IF(Buildings_Heat_Frontend[[#This Row],[Data]]="","", Buildings_Heat_Frontend[[#This Row],[Site Name]])</f>
        <v/>
      </c>
      <c r="Y126" s="174" t="str">
        <f>IF(Buildings_Heat_Frontend[[#This Row],[Data]]="","", Buildings_Heat_Frontend[[#This Row],[MPRN]])</f>
        <v/>
      </c>
      <c r="Z126" s="174" t="str">
        <f>IF(Buildings_Heat_Frontend[[#This Row],[Data]]="","", IF($I126="","",$I126))</f>
        <v/>
      </c>
      <c r="AA126" s="229" t="str" cm="1">
        <f t="array" ref="AA126">IF(Buildings_Heat_Frontend[[#This Row],[Data]]="","", INDEX(_xlfn.SWITCH(Buildings_Heat_Backend[[#This Row],[Methodology]],"Tier 1",rng_RSD1,"Tier 2",rng_RSD2,"Tier 3",rng_RSD3),MATCH(_xlfn.CONCAT(Buildings_Heat_Backend[[#This Row],[Level 1]:[Level 6]]),rng_LevelsConcat,0)))</f>
        <v/>
      </c>
      <c r="AB126" s="220" t="str">
        <f t="shared" si="4"/>
        <v/>
      </c>
      <c r="AC126" s="174">
        <f>Buildings_Heat_Frontend[[#This Row],[Units]]</f>
        <v>0</v>
      </c>
      <c r="AD12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6" s="174" t="str">
        <f>IF(Buildings_Heat_Frontend[[#This Row],[Data]]="","", _xlfn.XLOOKUP(_xlfn.CONCAT(Buildings_Heat_Backend[[#This Row],[Level 1]:[Level 6]]),rng_LevelsConcat,rng_UnitsLong))</f>
        <v/>
      </c>
      <c r="AF126" s="210" t="str">
        <f>IF(Buildings_Heat_Frontend[[#This Row],[Data]]="","", _xlfn.XLOOKUP(_xlfn.CONCAT(Buildings_Heat_Backend[[#This Row],[Level 1]:[Level 6]]),rng_EFConcat,rng_EF1)*Buildings_Heat_Backend[[#This Row],[Converted data]]/1000)</f>
        <v/>
      </c>
      <c r="AG126" s="210" t="str">
        <f>IF(Buildings_Heat_Frontend[[#This Row],[Data]]="","", _xlfn.XLOOKUP(_xlfn.CONCAT(Buildings_Heat_Backend[[#This Row],[Level 1]:[Level 6]]),rng_EFConcat,rng_EF2)*Buildings_Heat_Backend[[#This Row],[Converted data]]/1000)</f>
        <v/>
      </c>
      <c r="AH126" s="210" t="str">
        <f>IF(Buildings_Heat_Frontend[[#This Row],[Data]]="","", _xlfn.XLOOKUP(_xlfn.CONCAT(Buildings_Heat_Backend[[#This Row],[Level 1]:[Level 6]]),rng_EFConcat,rng_EF3)*Buildings_Heat_Backend[[#This Row],[Converted data]]/1000)</f>
        <v/>
      </c>
      <c r="AI126" s="210" t="str">
        <f>IF(Buildings_Heat_Frontend[[#This Row],[Data]]="","", _xlfn.XLOOKUP(_xlfn.CONCAT(Buildings_Heat_Backend[[#This Row],[Level 1]:[Level 6]]),rng_EFConcat,rng_EF3WTT)*Buildings_Heat_Backend[[#This Row],[Converted data]]/1000)</f>
        <v/>
      </c>
      <c r="AJ126" s="210" t="str">
        <f>IF(Buildings_Heat_Frontend[[#This Row],[Data]]="","", _xlfn.XLOOKUP(_xlfn.CONCAT(Buildings_Heat_Backend[[#This Row],[Level 1]:[Level 6]]),rng_EFConcat,rng_EF3TD)*Buildings_Heat_Backend[[#This Row],[Converted data]]/1000)</f>
        <v/>
      </c>
      <c r="AK126" s="210" t="str">
        <f>IF(Buildings_Heat_Frontend[[#This Row],[Data]]="","", _xlfn.XLOOKUP(_xlfn.CONCAT(Buildings_Heat_Backend[[#This Row],[Level 1]:[Level 6]]),rng_EFConcat,rng_EF3WTTTD)*Buildings_Heat_Backend[[#This Row],[Converted data]]/1000)</f>
        <v/>
      </c>
      <c r="AL126" s="220">
        <f>SUM(Buildings_Heat_Backend[[#This Row],[Scope 1 (tCO2e)]:[Scope 3 WTT T&amp;D (tCO2e)]])</f>
        <v>0</v>
      </c>
      <c r="AM126" s="220" t="str">
        <f>IF(Buildings_Heat_Frontend[[#This Row],[Data]]="","", Buildings_Heat_Backend[[#This Row],[Total (tCO2e)]]*(1-Buildings_Heat_Backend[[#This Row],[RSD]]))</f>
        <v/>
      </c>
      <c r="AN126" s="220" t="str">
        <f>IF(Buildings_Heat_Frontend[[#This Row],[Data]]="","", Buildings_Heat_Backend[[#This Row],[Total (tCO2e)]]*(1+Buildings_Heat_Backend[[#This Row],[RSD]]))</f>
        <v/>
      </c>
      <c r="AO126" s="210" t="str">
        <f>IF(Buildings_Heat_Frontend[[#This Row],[Data]]="","", _xlfn.XLOOKUP(_xlfn.CONCAT(Buildings_Heat_Backend[[#This Row],[Level 1]:[Level 6]]),rng_EFConcat,rng_EFOOS)*Buildings_Heat_Backend[[#This Row],[Converted data]]/1000)</f>
        <v/>
      </c>
      <c r="AP126" s="174">
        <f>Buildings_Heat_Frontend[[#This Row],[Ease of collection]]</f>
        <v>0</v>
      </c>
      <c r="AQ126" s="174">
        <f>Buildings_Heat_Frontend[[#This Row],[Completeness]]</f>
        <v>0</v>
      </c>
      <c r="AR126" s="174">
        <f>Buildings_Heat_Frontend[[#This Row],[Notes]]</f>
        <v>0</v>
      </c>
    </row>
    <row r="127" spans="5:44" x14ac:dyDescent="0.3">
      <c r="E127" s="346"/>
      <c r="F127" s="364"/>
      <c r="G127" s="336"/>
      <c r="H127" s="336"/>
      <c r="I127" s="336"/>
      <c r="J127" s="334"/>
      <c r="K127" s="336"/>
      <c r="L127" s="336"/>
      <c r="M127" s="336"/>
      <c r="N127" s="352"/>
      <c r="O127" s="230">
        <f t="shared" si="5"/>
        <v>6</v>
      </c>
      <c r="Q127" s="212" t="str">
        <f t="shared" si="3"/>
        <v/>
      </c>
      <c r="R127" s="174" t="s">
        <v>265</v>
      </c>
      <c r="S127" s="174" t="s">
        <v>273</v>
      </c>
      <c r="T127" s="174" t="str">
        <f>IF(Buildings_Heat_Frontend[[#This Row],[Data]]="","", _xlfn.XLOOKUP(Buildings_Heat_Backend[[#This Row],[Info 1]],Buildings_SiteInfo[Site name],Buildings_SiteInfo[Site type]))</f>
        <v/>
      </c>
      <c r="U127" s="174" t="str">
        <f>IF(Buildings_Heat_Frontend[[#This Row],[Data]]="","", Buildings_Heat_Frontend[[#This Row],[Heating Type]])</f>
        <v/>
      </c>
      <c r="V127" s="174" t="str">
        <f>IF(Buildings_Heat_Frontend[[#This Row],[Data]]="","", Buildings_Heat_Frontend[[#This Row],[Fuel]])</f>
        <v/>
      </c>
      <c r="W127" s="174" t="str" cm="1">
        <f t="array" ref="W127">IF(Buildings_Heat_Frontend[[#This Row],[Data]]="","", _xlfn.XLOOKUP(Buildings_Heat_Backend[[#This Row],[Level 5]],rng_Level5Long,rng_Level6Long))</f>
        <v/>
      </c>
      <c r="X127" s="174" t="str">
        <f>IF(Buildings_Heat_Frontend[[#This Row],[Data]]="","", Buildings_Heat_Frontend[[#This Row],[Site Name]])</f>
        <v/>
      </c>
      <c r="Y127" s="174" t="str">
        <f>IF(Buildings_Heat_Frontend[[#This Row],[Data]]="","", Buildings_Heat_Frontend[[#This Row],[MPRN]])</f>
        <v/>
      </c>
      <c r="Z127" s="174" t="str">
        <f>IF(Buildings_Heat_Frontend[[#This Row],[Data]]="","", IF($I127="","",$I127))</f>
        <v/>
      </c>
      <c r="AA127" s="229" t="str" cm="1">
        <f t="array" ref="AA127">IF(Buildings_Heat_Frontend[[#This Row],[Data]]="","", INDEX(_xlfn.SWITCH(Buildings_Heat_Backend[[#This Row],[Methodology]],"Tier 1",rng_RSD1,"Tier 2",rng_RSD2,"Tier 3",rng_RSD3),MATCH(_xlfn.CONCAT(Buildings_Heat_Backend[[#This Row],[Level 1]:[Level 6]]),rng_LevelsConcat,0)))</f>
        <v/>
      </c>
      <c r="AB127" s="220" t="str">
        <f t="shared" si="4"/>
        <v/>
      </c>
      <c r="AC127" s="174">
        <f>Buildings_Heat_Frontend[[#This Row],[Units]]</f>
        <v>0</v>
      </c>
      <c r="AD12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7" s="174" t="str">
        <f>IF(Buildings_Heat_Frontend[[#This Row],[Data]]="","", _xlfn.XLOOKUP(_xlfn.CONCAT(Buildings_Heat_Backend[[#This Row],[Level 1]:[Level 6]]),rng_LevelsConcat,rng_UnitsLong))</f>
        <v/>
      </c>
      <c r="AF127" s="210" t="str">
        <f>IF(Buildings_Heat_Frontend[[#This Row],[Data]]="","", _xlfn.XLOOKUP(_xlfn.CONCAT(Buildings_Heat_Backend[[#This Row],[Level 1]:[Level 6]]),rng_EFConcat,rng_EF1)*Buildings_Heat_Backend[[#This Row],[Converted data]]/1000)</f>
        <v/>
      </c>
      <c r="AG127" s="210" t="str">
        <f>IF(Buildings_Heat_Frontend[[#This Row],[Data]]="","", _xlfn.XLOOKUP(_xlfn.CONCAT(Buildings_Heat_Backend[[#This Row],[Level 1]:[Level 6]]),rng_EFConcat,rng_EF2)*Buildings_Heat_Backend[[#This Row],[Converted data]]/1000)</f>
        <v/>
      </c>
      <c r="AH127" s="210" t="str">
        <f>IF(Buildings_Heat_Frontend[[#This Row],[Data]]="","", _xlfn.XLOOKUP(_xlfn.CONCAT(Buildings_Heat_Backend[[#This Row],[Level 1]:[Level 6]]),rng_EFConcat,rng_EF3)*Buildings_Heat_Backend[[#This Row],[Converted data]]/1000)</f>
        <v/>
      </c>
      <c r="AI127" s="210" t="str">
        <f>IF(Buildings_Heat_Frontend[[#This Row],[Data]]="","", _xlfn.XLOOKUP(_xlfn.CONCAT(Buildings_Heat_Backend[[#This Row],[Level 1]:[Level 6]]),rng_EFConcat,rng_EF3WTT)*Buildings_Heat_Backend[[#This Row],[Converted data]]/1000)</f>
        <v/>
      </c>
      <c r="AJ127" s="210" t="str">
        <f>IF(Buildings_Heat_Frontend[[#This Row],[Data]]="","", _xlfn.XLOOKUP(_xlfn.CONCAT(Buildings_Heat_Backend[[#This Row],[Level 1]:[Level 6]]),rng_EFConcat,rng_EF3TD)*Buildings_Heat_Backend[[#This Row],[Converted data]]/1000)</f>
        <v/>
      </c>
      <c r="AK127" s="210" t="str">
        <f>IF(Buildings_Heat_Frontend[[#This Row],[Data]]="","", _xlfn.XLOOKUP(_xlfn.CONCAT(Buildings_Heat_Backend[[#This Row],[Level 1]:[Level 6]]),rng_EFConcat,rng_EF3WTTTD)*Buildings_Heat_Backend[[#This Row],[Converted data]]/1000)</f>
        <v/>
      </c>
      <c r="AL127" s="220">
        <f>SUM(Buildings_Heat_Backend[[#This Row],[Scope 1 (tCO2e)]:[Scope 3 WTT T&amp;D (tCO2e)]])</f>
        <v>0</v>
      </c>
      <c r="AM127" s="220" t="str">
        <f>IF(Buildings_Heat_Frontend[[#This Row],[Data]]="","", Buildings_Heat_Backend[[#This Row],[Total (tCO2e)]]*(1-Buildings_Heat_Backend[[#This Row],[RSD]]))</f>
        <v/>
      </c>
      <c r="AN127" s="220" t="str">
        <f>IF(Buildings_Heat_Frontend[[#This Row],[Data]]="","", Buildings_Heat_Backend[[#This Row],[Total (tCO2e)]]*(1+Buildings_Heat_Backend[[#This Row],[RSD]]))</f>
        <v/>
      </c>
      <c r="AO127" s="210" t="str">
        <f>IF(Buildings_Heat_Frontend[[#This Row],[Data]]="","", _xlfn.XLOOKUP(_xlfn.CONCAT(Buildings_Heat_Backend[[#This Row],[Level 1]:[Level 6]]),rng_EFConcat,rng_EFOOS)*Buildings_Heat_Backend[[#This Row],[Converted data]]/1000)</f>
        <v/>
      </c>
      <c r="AP127" s="174">
        <f>Buildings_Heat_Frontend[[#This Row],[Ease of collection]]</f>
        <v>0</v>
      </c>
      <c r="AQ127" s="174">
        <f>Buildings_Heat_Frontend[[#This Row],[Completeness]]</f>
        <v>0</v>
      </c>
      <c r="AR127" s="174">
        <f>Buildings_Heat_Frontend[[#This Row],[Notes]]</f>
        <v>0</v>
      </c>
    </row>
    <row r="128" spans="5:44" x14ac:dyDescent="0.3">
      <c r="E128" s="346"/>
      <c r="F128" s="364"/>
      <c r="G128" s="336"/>
      <c r="H128" s="336"/>
      <c r="I128" s="336"/>
      <c r="J128" s="334"/>
      <c r="K128" s="336"/>
      <c r="L128" s="336"/>
      <c r="M128" s="336"/>
      <c r="N128" s="352"/>
      <c r="O128" s="230">
        <f t="shared" si="5"/>
        <v>6</v>
      </c>
      <c r="Q128" s="212" t="str">
        <f t="shared" si="3"/>
        <v/>
      </c>
      <c r="R128" s="174" t="s">
        <v>265</v>
      </c>
      <c r="S128" s="174" t="s">
        <v>273</v>
      </c>
      <c r="T128" s="174" t="str">
        <f>IF(Buildings_Heat_Frontend[[#This Row],[Data]]="","", _xlfn.XLOOKUP(Buildings_Heat_Backend[[#This Row],[Info 1]],Buildings_SiteInfo[Site name],Buildings_SiteInfo[Site type]))</f>
        <v/>
      </c>
      <c r="U128" s="174" t="str">
        <f>IF(Buildings_Heat_Frontend[[#This Row],[Data]]="","", Buildings_Heat_Frontend[[#This Row],[Heating Type]])</f>
        <v/>
      </c>
      <c r="V128" s="174" t="str">
        <f>IF(Buildings_Heat_Frontend[[#This Row],[Data]]="","", Buildings_Heat_Frontend[[#This Row],[Fuel]])</f>
        <v/>
      </c>
      <c r="W128" s="174" t="str" cm="1">
        <f t="array" ref="W128">IF(Buildings_Heat_Frontend[[#This Row],[Data]]="","", _xlfn.XLOOKUP(Buildings_Heat_Backend[[#This Row],[Level 5]],rng_Level5Long,rng_Level6Long))</f>
        <v/>
      </c>
      <c r="X128" s="174" t="str">
        <f>IF(Buildings_Heat_Frontend[[#This Row],[Data]]="","", Buildings_Heat_Frontend[[#This Row],[Site Name]])</f>
        <v/>
      </c>
      <c r="Y128" s="174" t="str">
        <f>IF(Buildings_Heat_Frontend[[#This Row],[Data]]="","", Buildings_Heat_Frontend[[#This Row],[MPRN]])</f>
        <v/>
      </c>
      <c r="Z128" s="174" t="str">
        <f>IF(Buildings_Heat_Frontend[[#This Row],[Data]]="","", IF($I128="","",$I128))</f>
        <v/>
      </c>
      <c r="AA128" s="229" t="str" cm="1">
        <f t="array" ref="AA128">IF(Buildings_Heat_Frontend[[#This Row],[Data]]="","", INDEX(_xlfn.SWITCH(Buildings_Heat_Backend[[#This Row],[Methodology]],"Tier 1",rng_RSD1,"Tier 2",rng_RSD2,"Tier 3",rng_RSD3),MATCH(_xlfn.CONCAT(Buildings_Heat_Backend[[#This Row],[Level 1]:[Level 6]]),rng_LevelsConcat,0)))</f>
        <v/>
      </c>
      <c r="AB128" s="220" t="str">
        <f t="shared" si="4"/>
        <v/>
      </c>
      <c r="AC128" s="174">
        <f>Buildings_Heat_Frontend[[#This Row],[Units]]</f>
        <v>0</v>
      </c>
      <c r="AD12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8" s="174" t="str">
        <f>IF(Buildings_Heat_Frontend[[#This Row],[Data]]="","", _xlfn.XLOOKUP(_xlfn.CONCAT(Buildings_Heat_Backend[[#This Row],[Level 1]:[Level 6]]),rng_LevelsConcat,rng_UnitsLong))</f>
        <v/>
      </c>
      <c r="AF128" s="210" t="str">
        <f>IF(Buildings_Heat_Frontend[[#This Row],[Data]]="","", _xlfn.XLOOKUP(_xlfn.CONCAT(Buildings_Heat_Backend[[#This Row],[Level 1]:[Level 6]]),rng_EFConcat,rng_EF1)*Buildings_Heat_Backend[[#This Row],[Converted data]]/1000)</f>
        <v/>
      </c>
      <c r="AG128" s="210" t="str">
        <f>IF(Buildings_Heat_Frontend[[#This Row],[Data]]="","", _xlfn.XLOOKUP(_xlfn.CONCAT(Buildings_Heat_Backend[[#This Row],[Level 1]:[Level 6]]),rng_EFConcat,rng_EF2)*Buildings_Heat_Backend[[#This Row],[Converted data]]/1000)</f>
        <v/>
      </c>
      <c r="AH128" s="210" t="str">
        <f>IF(Buildings_Heat_Frontend[[#This Row],[Data]]="","", _xlfn.XLOOKUP(_xlfn.CONCAT(Buildings_Heat_Backend[[#This Row],[Level 1]:[Level 6]]),rng_EFConcat,rng_EF3)*Buildings_Heat_Backend[[#This Row],[Converted data]]/1000)</f>
        <v/>
      </c>
      <c r="AI128" s="210" t="str">
        <f>IF(Buildings_Heat_Frontend[[#This Row],[Data]]="","", _xlfn.XLOOKUP(_xlfn.CONCAT(Buildings_Heat_Backend[[#This Row],[Level 1]:[Level 6]]),rng_EFConcat,rng_EF3WTT)*Buildings_Heat_Backend[[#This Row],[Converted data]]/1000)</f>
        <v/>
      </c>
      <c r="AJ128" s="210" t="str">
        <f>IF(Buildings_Heat_Frontend[[#This Row],[Data]]="","", _xlfn.XLOOKUP(_xlfn.CONCAT(Buildings_Heat_Backend[[#This Row],[Level 1]:[Level 6]]),rng_EFConcat,rng_EF3TD)*Buildings_Heat_Backend[[#This Row],[Converted data]]/1000)</f>
        <v/>
      </c>
      <c r="AK128" s="210" t="str">
        <f>IF(Buildings_Heat_Frontend[[#This Row],[Data]]="","", _xlfn.XLOOKUP(_xlfn.CONCAT(Buildings_Heat_Backend[[#This Row],[Level 1]:[Level 6]]),rng_EFConcat,rng_EF3WTTTD)*Buildings_Heat_Backend[[#This Row],[Converted data]]/1000)</f>
        <v/>
      </c>
      <c r="AL128" s="220">
        <f>SUM(Buildings_Heat_Backend[[#This Row],[Scope 1 (tCO2e)]:[Scope 3 WTT T&amp;D (tCO2e)]])</f>
        <v>0</v>
      </c>
      <c r="AM128" s="220" t="str">
        <f>IF(Buildings_Heat_Frontend[[#This Row],[Data]]="","", Buildings_Heat_Backend[[#This Row],[Total (tCO2e)]]*(1-Buildings_Heat_Backend[[#This Row],[RSD]]))</f>
        <v/>
      </c>
      <c r="AN128" s="220" t="str">
        <f>IF(Buildings_Heat_Frontend[[#This Row],[Data]]="","", Buildings_Heat_Backend[[#This Row],[Total (tCO2e)]]*(1+Buildings_Heat_Backend[[#This Row],[RSD]]))</f>
        <v/>
      </c>
      <c r="AO128" s="210" t="str">
        <f>IF(Buildings_Heat_Frontend[[#This Row],[Data]]="","", _xlfn.XLOOKUP(_xlfn.CONCAT(Buildings_Heat_Backend[[#This Row],[Level 1]:[Level 6]]),rng_EFConcat,rng_EFOOS)*Buildings_Heat_Backend[[#This Row],[Converted data]]/1000)</f>
        <v/>
      </c>
      <c r="AP128" s="174">
        <f>Buildings_Heat_Frontend[[#This Row],[Ease of collection]]</f>
        <v>0</v>
      </c>
      <c r="AQ128" s="174">
        <f>Buildings_Heat_Frontend[[#This Row],[Completeness]]</f>
        <v>0</v>
      </c>
      <c r="AR128" s="174">
        <f>Buildings_Heat_Frontend[[#This Row],[Notes]]</f>
        <v>0</v>
      </c>
    </row>
    <row r="129" spans="5:44" x14ac:dyDescent="0.3">
      <c r="E129" s="346"/>
      <c r="F129" s="364"/>
      <c r="G129" s="336"/>
      <c r="H129" s="336"/>
      <c r="I129" s="336"/>
      <c r="J129" s="334"/>
      <c r="K129" s="336"/>
      <c r="L129" s="336"/>
      <c r="M129" s="336"/>
      <c r="N129" s="352"/>
      <c r="O129" s="230">
        <f t="shared" si="5"/>
        <v>6</v>
      </c>
      <c r="Q129" s="212" t="str">
        <f t="shared" si="3"/>
        <v/>
      </c>
      <c r="R129" s="174" t="s">
        <v>265</v>
      </c>
      <c r="S129" s="174" t="s">
        <v>273</v>
      </c>
      <c r="T129" s="174" t="str">
        <f>IF(Buildings_Heat_Frontend[[#This Row],[Data]]="","", _xlfn.XLOOKUP(Buildings_Heat_Backend[[#This Row],[Info 1]],Buildings_SiteInfo[Site name],Buildings_SiteInfo[Site type]))</f>
        <v/>
      </c>
      <c r="U129" s="174" t="str">
        <f>IF(Buildings_Heat_Frontend[[#This Row],[Data]]="","", Buildings_Heat_Frontend[[#This Row],[Heating Type]])</f>
        <v/>
      </c>
      <c r="V129" s="174" t="str">
        <f>IF(Buildings_Heat_Frontend[[#This Row],[Data]]="","", Buildings_Heat_Frontend[[#This Row],[Fuel]])</f>
        <v/>
      </c>
      <c r="W129" s="174" t="str" cm="1">
        <f t="array" ref="W129">IF(Buildings_Heat_Frontend[[#This Row],[Data]]="","", _xlfn.XLOOKUP(Buildings_Heat_Backend[[#This Row],[Level 5]],rng_Level5Long,rng_Level6Long))</f>
        <v/>
      </c>
      <c r="X129" s="174" t="str">
        <f>IF(Buildings_Heat_Frontend[[#This Row],[Data]]="","", Buildings_Heat_Frontend[[#This Row],[Site Name]])</f>
        <v/>
      </c>
      <c r="Y129" s="174" t="str">
        <f>IF(Buildings_Heat_Frontend[[#This Row],[Data]]="","", Buildings_Heat_Frontend[[#This Row],[MPRN]])</f>
        <v/>
      </c>
      <c r="Z129" s="174" t="str">
        <f>IF(Buildings_Heat_Frontend[[#This Row],[Data]]="","", IF($I129="","",$I129))</f>
        <v/>
      </c>
      <c r="AA129" s="229" t="str" cm="1">
        <f t="array" ref="AA129">IF(Buildings_Heat_Frontend[[#This Row],[Data]]="","", INDEX(_xlfn.SWITCH(Buildings_Heat_Backend[[#This Row],[Methodology]],"Tier 1",rng_RSD1,"Tier 2",rng_RSD2,"Tier 3",rng_RSD3),MATCH(_xlfn.CONCAT(Buildings_Heat_Backend[[#This Row],[Level 1]:[Level 6]]),rng_LevelsConcat,0)))</f>
        <v/>
      </c>
      <c r="AB129" s="220" t="str">
        <f t="shared" si="4"/>
        <v/>
      </c>
      <c r="AC129" s="174">
        <f>Buildings_Heat_Frontend[[#This Row],[Units]]</f>
        <v>0</v>
      </c>
      <c r="AD12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29" s="174" t="str">
        <f>IF(Buildings_Heat_Frontend[[#This Row],[Data]]="","", _xlfn.XLOOKUP(_xlfn.CONCAT(Buildings_Heat_Backend[[#This Row],[Level 1]:[Level 6]]),rng_LevelsConcat,rng_UnitsLong))</f>
        <v/>
      </c>
      <c r="AF129" s="210" t="str">
        <f>IF(Buildings_Heat_Frontend[[#This Row],[Data]]="","", _xlfn.XLOOKUP(_xlfn.CONCAT(Buildings_Heat_Backend[[#This Row],[Level 1]:[Level 6]]),rng_EFConcat,rng_EF1)*Buildings_Heat_Backend[[#This Row],[Converted data]]/1000)</f>
        <v/>
      </c>
      <c r="AG129" s="210" t="str">
        <f>IF(Buildings_Heat_Frontend[[#This Row],[Data]]="","", _xlfn.XLOOKUP(_xlfn.CONCAT(Buildings_Heat_Backend[[#This Row],[Level 1]:[Level 6]]),rng_EFConcat,rng_EF2)*Buildings_Heat_Backend[[#This Row],[Converted data]]/1000)</f>
        <v/>
      </c>
      <c r="AH129" s="210" t="str">
        <f>IF(Buildings_Heat_Frontend[[#This Row],[Data]]="","", _xlfn.XLOOKUP(_xlfn.CONCAT(Buildings_Heat_Backend[[#This Row],[Level 1]:[Level 6]]),rng_EFConcat,rng_EF3)*Buildings_Heat_Backend[[#This Row],[Converted data]]/1000)</f>
        <v/>
      </c>
      <c r="AI129" s="210" t="str">
        <f>IF(Buildings_Heat_Frontend[[#This Row],[Data]]="","", _xlfn.XLOOKUP(_xlfn.CONCAT(Buildings_Heat_Backend[[#This Row],[Level 1]:[Level 6]]),rng_EFConcat,rng_EF3WTT)*Buildings_Heat_Backend[[#This Row],[Converted data]]/1000)</f>
        <v/>
      </c>
      <c r="AJ129" s="210" t="str">
        <f>IF(Buildings_Heat_Frontend[[#This Row],[Data]]="","", _xlfn.XLOOKUP(_xlfn.CONCAT(Buildings_Heat_Backend[[#This Row],[Level 1]:[Level 6]]),rng_EFConcat,rng_EF3TD)*Buildings_Heat_Backend[[#This Row],[Converted data]]/1000)</f>
        <v/>
      </c>
      <c r="AK129" s="210" t="str">
        <f>IF(Buildings_Heat_Frontend[[#This Row],[Data]]="","", _xlfn.XLOOKUP(_xlfn.CONCAT(Buildings_Heat_Backend[[#This Row],[Level 1]:[Level 6]]),rng_EFConcat,rng_EF3WTTTD)*Buildings_Heat_Backend[[#This Row],[Converted data]]/1000)</f>
        <v/>
      </c>
      <c r="AL129" s="220">
        <f>SUM(Buildings_Heat_Backend[[#This Row],[Scope 1 (tCO2e)]:[Scope 3 WTT T&amp;D (tCO2e)]])</f>
        <v>0</v>
      </c>
      <c r="AM129" s="220" t="str">
        <f>IF(Buildings_Heat_Frontend[[#This Row],[Data]]="","", Buildings_Heat_Backend[[#This Row],[Total (tCO2e)]]*(1-Buildings_Heat_Backend[[#This Row],[RSD]]))</f>
        <v/>
      </c>
      <c r="AN129" s="220" t="str">
        <f>IF(Buildings_Heat_Frontend[[#This Row],[Data]]="","", Buildings_Heat_Backend[[#This Row],[Total (tCO2e)]]*(1+Buildings_Heat_Backend[[#This Row],[RSD]]))</f>
        <v/>
      </c>
      <c r="AO129" s="210" t="str">
        <f>IF(Buildings_Heat_Frontend[[#This Row],[Data]]="","", _xlfn.XLOOKUP(_xlfn.CONCAT(Buildings_Heat_Backend[[#This Row],[Level 1]:[Level 6]]),rng_EFConcat,rng_EFOOS)*Buildings_Heat_Backend[[#This Row],[Converted data]]/1000)</f>
        <v/>
      </c>
      <c r="AP129" s="174">
        <f>Buildings_Heat_Frontend[[#This Row],[Ease of collection]]</f>
        <v>0</v>
      </c>
      <c r="AQ129" s="174">
        <f>Buildings_Heat_Frontend[[#This Row],[Completeness]]</f>
        <v>0</v>
      </c>
      <c r="AR129" s="174">
        <f>Buildings_Heat_Frontend[[#This Row],[Notes]]</f>
        <v>0</v>
      </c>
    </row>
    <row r="130" spans="5:44" x14ac:dyDescent="0.3">
      <c r="E130" s="346"/>
      <c r="F130" s="364"/>
      <c r="G130" s="336"/>
      <c r="H130" s="336"/>
      <c r="I130" s="336"/>
      <c r="J130" s="334"/>
      <c r="K130" s="336"/>
      <c r="L130" s="336"/>
      <c r="M130" s="336"/>
      <c r="N130" s="352"/>
      <c r="O130" s="230">
        <f t="shared" si="5"/>
        <v>6</v>
      </c>
      <c r="Q130" s="212" t="str">
        <f t="shared" si="3"/>
        <v/>
      </c>
      <c r="R130" s="174" t="s">
        <v>265</v>
      </c>
      <c r="S130" s="174" t="s">
        <v>273</v>
      </c>
      <c r="T130" s="174" t="str">
        <f>IF(Buildings_Heat_Frontend[[#This Row],[Data]]="","", _xlfn.XLOOKUP(Buildings_Heat_Backend[[#This Row],[Info 1]],Buildings_SiteInfo[Site name],Buildings_SiteInfo[Site type]))</f>
        <v/>
      </c>
      <c r="U130" s="174" t="str">
        <f>IF(Buildings_Heat_Frontend[[#This Row],[Data]]="","", Buildings_Heat_Frontend[[#This Row],[Heating Type]])</f>
        <v/>
      </c>
      <c r="V130" s="174" t="str">
        <f>IF(Buildings_Heat_Frontend[[#This Row],[Data]]="","", Buildings_Heat_Frontend[[#This Row],[Fuel]])</f>
        <v/>
      </c>
      <c r="W130" s="174" t="str" cm="1">
        <f t="array" ref="W130">IF(Buildings_Heat_Frontend[[#This Row],[Data]]="","", _xlfn.XLOOKUP(Buildings_Heat_Backend[[#This Row],[Level 5]],rng_Level5Long,rng_Level6Long))</f>
        <v/>
      </c>
      <c r="X130" s="174" t="str">
        <f>IF(Buildings_Heat_Frontend[[#This Row],[Data]]="","", Buildings_Heat_Frontend[[#This Row],[Site Name]])</f>
        <v/>
      </c>
      <c r="Y130" s="174" t="str">
        <f>IF(Buildings_Heat_Frontend[[#This Row],[Data]]="","", Buildings_Heat_Frontend[[#This Row],[MPRN]])</f>
        <v/>
      </c>
      <c r="Z130" s="174" t="str">
        <f>IF(Buildings_Heat_Frontend[[#This Row],[Data]]="","", IF($I130="","",$I130))</f>
        <v/>
      </c>
      <c r="AA130" s="229" t="str" cm="1">
        <f t="array" ref="AA130">IF(Buildings_Heat_Frontend[[#This Row],[Data]]="","", INDEX(_xlfn.SWITCH(Buildings_Heat_Backend[[#This Row],[Methodology]],"Tier 1",rng_RSD1,"Tier 2",rng_RSD2,"Tier 3",rng_RSD3),MATCH(_xlfn.CONCAT(Buildings_Heat_Backend[[#This Row],[Level 1]:[Level 6]]),rng_LevelsConcat,0)))</f>
        <v/>
      </c>
      <c r="AB130" s="220" t="str">
        <f t="shared" si="4"/>
        <v/>
      </c>
      <c r="AC130" s="174">
        <f>Buildings_Heat_Frontend[[#This Row],[Units]]</f>
        <v>0</v>
      </c>
      <c r="AD13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0" s="174" t="str">
        <f>IF(Buildings_Heat_Frontend[[#This Row],[Data]]="","", _xlfn.XLOOKUP(_xlfn.CONCAT(Buildings_Heat_Backend[[#This Row],[Level 1]:[Level 6]]),rng_LevelsConcat,rng_UnitsLong))</f>
        <v/>
      </c>
      <c r="AF130" s="210" t="str">
        <f>IF(Buildings_Heat_Frontend[[#This Row],[Data]]="","", _xlfn.XLOOKUP(_xlfn.CONCAT(Buildings_Heat_Backend[[#This Row],[Level 1]:[Level 6]]),rng_EFConcat,rng_EF1)*Buildings_Heat_Backend[[#This Row],[Converted data]]/1000)</f>
        <v/>
      </c>
      <c r="AG130" s="210" t="str">
        <f>IF(Buildings_Heat_Frontend[[#This Row],[Data]]="","", _xlfn.XLOOKUP(_xlfn.CONCAT(Buildings_Heat_Backend[[#This Row],[Level 1]:[Level 6]]),rng_EFConcat,rng_EF2)*Buildings_Heat_Backend[[#This Row],[Converted data]]/1000)</f>
        <v/>
      </c>
      <c r="AH130" s="210" t="str">
        <f>IF(Buildings_Heat_Frontend[[#This Row],[Data]]="","", _xlfn.XLOOKUP(_xlfn.CONCAT(Buildings_Heat_Backend[[#This Row],[Level 1]:[Level 6]]),rng_EFConcat,rng_EF3)*Buildings_Heat_Backend[[#This Row],[Converted data]]/1000)</f>
        <v/>
      </c>
      <c r="AI130" s="210" t="str">
        <f>IF(Buildings_Heat_Frontend[[#This Row],[Data]]="","", _xlfn.XLOOKUP(_xlfn.CONCAT(Buildings_Heat_Backend[[#This Row],[Level 1]:[Level 6]]),rng_EFConcat,rng_EF3WTT)*Buildings_Heat_Backend[[#This Row],[Converted data]]/1000)</f>
        <v/>
      </c>
      <c r="AJ130" s="210" t="str">
        <f>IF(Buildings_Heat_Frontend[[#This Row],[Data]]="","", _xlfn.XLOOKUP(_xlfn.CONCAT(Buildings_Heat_Backend[[#This Row],[Level 1]:[Level 6]]),rng_EFConcat,rng_EF3TD)*Buildings_Heat_Backend[[#This Row],[Converted data]]/1000)</f>
        <v/>
      </c>
      <c r="AK130" s="210" t="str">
        <f>IF(Buildings_Heat_Frontend[[#This Row],[Data]]="","", _xlfn.XLOOKUP(_xlfn.CONCAT(Buildings_Heat_Backend[[#This Row],[Level 1]:[Level 6]]),rng_EFConcat,rng_EF3WTTTD)*Buildings_Heat_Backend[[#This Row],[Converted data]]/1000)</f>
        <v/>
      </c>
      <c r="AL130" s="220">
        <f>SUM(Buildings_Heat_Backend[[#This Row],[Scope 1 (tCO2e)]:[Scope 3 WTT T&amp;D (tCO2e)]])</f>
        <v>0</v>
      </c>
      <c r="AM130" s="220" t="str">
        <f>IF(Buildings_Heat_Frontend[[#This Row],[Data]]="","", Buildings_Heat_Backend[[#This Row],[Total (tCO2e)]]*(1-Buildings_Heat_Backend[[#This Row],[RSD]]))</f>
        <v/>
      </c>
      <c r="AN130" s="220" t="str">
        <f>IF(Buildings_Heat_Frontend[[#This Row],[Data]]="","", Buildings_Heat_Backend[[#This Row],[Total (tCO2e)]]*(1+Buildings_Heat_Backend[[#This Row],[RSD]]))</f>
        <v/>
      </c>
      <c r="AO130" s="210" t="str">
        <f>IF(Buildings_Heat_Frontend[[#This Row],[Data]]="","", _xlfn.XLOOKUP(_xlfn.CONCAT(Buildings_Heat_Backend[[#This Row],[Level 1]:[Level 6]]),rng_EFConcat,rng_EFOOS)*Buildings_Heat_Backend[[#This Row],[Converted data]]/1000)</f>
        <v/>
      </c>
      <c r="AP130" s="174">
        <f>Buildings_Heat_Frontend[[#This Row],[Ease of collection]]</f>
        <v>0</v>
      </c>
      <c r="AQ130" s="174">
        <f>Buildings_Heat_Frontend[[#This Row],[Completeness]]</f>
        <v>0</v>
      </c>
      <c r="AR130" s="174">
        <f>Buildings_Heat_Frontend[[#This Row],[Notes]]</f>
        <v>0</v>
      </c>
    </row>
    <row r="131" spans="5:44" x14ac:dyDescent="0.3">
      <c r="E131" s="346"/>
      <c r="F131" s="364"/>
      <c r="G131" s="336"/>
      <c r="H131" s="336"/>
      <c r="I131" s="336"/>
      <c r="J131" s="334"/>
      <c r="K131" s="336"/>
      <c r="L131" s="336"/>
      <c r="M131" s="336"/>
      <c r="N131" s="352"/>
      <c r="O131" s="230">
        <f t="shared" si="5"/>
        <v>6</v>
      </c>
      <c r="Q131" s="212" t="str">
        <f t="shared" si="3"/>
        <v/>
      </c>
      <c r="R131" s="174" t="s">
        <v>265</v>
      </c>
      <c r="S131" s="174" t="s">
        <v>273</v>
      </c>
      <c r="T131" s="174" t="str">
        <f>IF(Buildings_Heat_Frontend[[#This Row],[Data]]="","", _xlfn.XLOOKUP(Buildings_Heat_Backend[[#This Row],[Info 1]],Buildings_SiteInfo[Site name],Buildings_SiteInfo[Site type]))</f>
        <v/>
      </c>
      <c r="U131" s="174" t="str">
        <f>IF(Buildings_Heat_Frontend[[#This Row],[Data]]="","", Buildings_Heat_Frontend[[#This Row],[Heating Type]])</f>
        <v/>
      </c>
      <c r="V131" s="174" t="str">
        <f>IF(Buildings_Heat_Frontend[[#This Row],[Data]]="","", Buildings_Heat_Frontend[[#This Row],[Fuel]])</f>
        <v/>
      </c>
      <c r="W131" s="174" t="str" cm="1">
        <f t="array" ref="W131">IF(Buildings_Heat_Frontend[[#This Row],[Data]]="","", _xlfn.XLOOKUP(Buildings_Heat_Backend[[#This Row],[Level 5]],rng_Level5Long,rng_Level6Long))</f>
        <v/>
      </c>
      <c r="X131" s="174" t="str">
        <f>IF(Buildings_Heat_Frontend[[#This Row],[Data]]="","", Buildings_Heat_Frontend[[#This Row],[Site Name]])</f>
        <v/>
      </c>
      <c r="Y131" s="174" t="str">
        <f>IF(Buildings_Heat_Frontend[[#This Row],[Data]]="","", Buildings_Heat_Frontend[[#This Row],[MPRN]])</f>
        <v/>
      </c>
      <c r="Z131" s="174" t="str">
        <f>IF(Buildings_Heat_Frontend[[#This Row],[Data]]="","", IF($I131="","",$I131))</f>
        <v/>
      </c>
      <c r="AA131" s="229" t="str" cm="1">
        <f t="array" ref="AA131">IF(Buildings_Heat_Frontend[[#This Row],[Data]]="","", INDEX(_xlfn.SWITCH(Buildings_Heat_Backend[[#This Row],[Methodology]],"Tier 1",rng_RSD1,"Tier 2",rng_RSD2,"Tier 3",rng_RSD3),MATCH(_xlfn.CONCAT(Buildings_Heat_Backend[[#This Row],[Level 1]:[Level 6]]),rng_LevelsConcat,0)))</f>
        <v/>
      </c>
      <c r="AB131" s="220" t="str">
        <f t="shared" si="4"/>
        <v/>
      </c>
      <c r="AC131" s="174">
        <f>Buildings_Heat_Frontend[[#This Row],[Units]]</f>
        <v>0</v>
      </c>
      <c r="AD13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1" s="174" t="str">
        <f>IF(Buildings_Heat_Frontend[[#This Row],[Data]]="","", _xlfn.XLOOKUP(_xlfn.CONCAT(Buildings_Heat_Backend[[#This Row],[Level 1]:[Level 6]]),rng_LevelsConcat,rng_UnitsLong))</f>
        <v/>
      </c>
      <c r="AF131" s="210" t="str">
        <f>IF(Buildings_Heat_Frontend[[#This Row],[Data]]="","", _xlfn.XLOOKUP(_xlfn.CONCAT(Buildings_Heat_Backend[[#This Row],[Level 1]:[Level 6]]),rng_EFConcat,rng_EF1)*Buildings_Heat_Backend[[#This Row],[Converted data]]/1000)</f>
        <v/>
      </c>
      <c r="AG131" s="210" t="str">
        <f>IF(Buildings_Heat_Frontend[[#This Row],[Data]]="","", _xlfn.XLOOKUP(_xlfn.CONCAT(Buildings_Heat_Backend[[#This Row],[Level 1]:[Level 6]]),rng_EFConcat,rng_EF2)*Buildings_Heat_Backend[[#This Row],[Converted data]]/1000)</f>
        <v/>
      </c>
      <c r="AH131" s="210" t="str">
        <f>IF(Buildings_Heat_Frontend[[#This Row],[Data]]="","", _xlfn.XLOOKUP(_xlfn.CONCAT(Buildings_Heat_Backend[[#This Row],[Level 1]:[Level 6]]),rng_EFConcat,rng_EF3)*Buildings_Heat_Backend[[#This Row],[Converted data]]/1000)</f>
        <v/>
      </c>
      <c r="AI131" s="210" t="str">
        <f>IF(Buildings_Heat_Frontend[[#This Row],[Data]]="","", _xlfn.XLOOKUP(_xlfn.CONCAT(Buildings_Heat_Backend[[#This Row],[Level 1]:[Level 6]]),rng_EFConcat,rng_EF3WTT)*Buildings_Heat_Backend[[#This Row],[Converted data]]/1000)</f>
        <v/>
      </c>
      <c r="AJ131" s="210" t="str">
        <f>IF(Buildings_Heat_Frontend[[#This Row],[Data]]="","", _xlfn.XLOOKUP(_xlfn.CONCAT(Buildings_Heat_Backend[[#This Row],[Level 1]:[Level 6]]),rng_EFConcat,rng_EF3TD)*Buildings_Heat_Backend[[#This Row],[Converted data]]/1000)</f>
        <v/>
      </c>
      <c r="AK131" s="210" t="str">
        <f>IF(Buildings_Heat_Frontend[[#This Row],[Data]]="","", _xlfn.XLOOKUP(_xlfn.CONCAT(Buildings_Heat_Backend[[#This Row],[Level 1]:[Level 6]]),rng_EFConcat,rng_EF3WTTTD)*Buildings_Heat_Backend[[#This Row],[Converted data]]/1000)</f>
        <v/>
      </c>
      <c r="AL131" s="220">
        <f>SUM(Buildings_Heat_Backend[[#This Row],[Scope 1 (tCO2e)]:[Scope 3 WTT T&amp;D (tCO2e)]])</f>
        <v>0</v>
      </c>
      <c r="AM131" s="220" t="str">
        <f>IF(Buildings_Heat_Frontend[[#This Row],[Data]]="","", Buildings_Heat_Backend[[#This Row],[Total (tCO2e)]]*(1-Buildings_Heat_Backend[[#This Row],[RSD]]))</f>
        <v/>
      </c>
      <c r="AN131" s="220" t="str">
        <f>IF(Buildings_Heat_Frontend[[#This Row],[Data]]="","", Buildings_Heat_Backend[[#This Row],[Total (tCO2e)]]*(1+Buildings_Heat_Backend[[#This Row],[RSD]]))</f>
        <v/>
      </c>
      <c r="AO131" s="210" t="str">
        <f>IF(Buildings_Heat_Frontend[[#This Row],[Data]]="","", _xlfn.XLOOKUP(_xlfn.CONCAT(Buildings_Heat_Backend[[#This Row],[Level 1]:[Level 6]]),rng_EFConcat,rng_EFOOS)*Buildings_Heat_Backend[[#This Row],[Converted data]]/1000)</f>
        <v/>
      </c>
      <c r="AP131" s="174">
        <f>Buildings_Heat_Frontend[[#This Row],[Ease of collection]]</f>
        <v>0</v>
      </c>
      <c r="AQ131" s="174">
        <f>Buildings_Heat_Frontend[[#This Row],[Completeness]]</f>
        <v>0</v>
      </c>
      <c r="AR131" s="174">
        <f>Buildings_Heat_Frontend[[#This Row],[Notes]]</f>
        <v>0</v>
      </c>
    </row>
    <row r="132" spans="5:44" x14ac:dyDescent="0.3">
      <c r="E132" s="346"/>
      <c r="F132" s="364"/>
      <c r="G132" s="336"/>
      <c r="H132" s="336"/>
      <c r="I132" s="336"/>
      <c r="J132" s="334"/>
      <c r="K132" s="336"/>
      <c r="L132" s="336"/>
      <c r="M132" s="336"/>
      <c r="N132" s="352"/>
      <c r="O132" s="230">
        <f t="shared" si="5"/>
        <v>6</v>
      </c>
      <c r="Q132" s="212" t="str">
        <f t="shared" si="3"/>
        <v/>
      </c>
      <c r="R132" s="174" t="s">
        <v>265</v>
      </c>
      <c r="S132" s="174" t="s">
        <v>273</v>
      </c>
      <c r="T132" s="174" t="str">
        <f>IF(Buildings_Heat_Frontend[[#This Row],[Data]]="","", _xlfn.XLOOKUP(Buildings_Heat_Backend[[#This Row],[Info 1]],Buildings_SiteInfo[Site name],Buildings_SiteInfo[Site type]))</f>
        <v/>
      </c>
      <c r="U132" s="174" t="str">
        <f>IF(Buildings_Heat_Frontend[[#This Row],[Data]]="","", Buildings_Heat_Frontend[[#This Row],[Heating Type]])</f>
        <v/>
      </c>
      <c r="V132" s="174" t="str">
        <f>IF(Buildings_Heat_Frontend[[#This Row],[Data]]="","", Buildings_Heat_Frontend[[#This Row],[Fuel]])</f>
        <v/>
      </c>
      <c r="W132" s="174" t="str" cm="1">
        <f t="array" ref="W132">IF(Buildings_Heat_Frontend[[#This Row],[Data]]="","", _xlfn.XLOOKUP(Buildings_Heat_Backend[[#This Row],[Level 5]],rng_Level5Long,rng_Level6Long))</f>
        <v/>
      </c>
      <c r="X132" s="174" t="str">
        <f>IF(Buildings_Heat_Frontend[[#This Row],[Data]]="","", Buildings_Heat_Frontend[[#This Row],[Site Name]])</f>
        <v/>
      </c>
      <c r="Y132" s="174" t="str">
        <f>IF(Buildings_Heat_Frontend[[#This Row],[Data]]="","", Buildings_Heat_Frontend[[#This Row],[MPRN]])</f>
        <v/>
      </c>
      <c r="Z132" s="174" t="str">
        <f>IF(Buildings_Heat_Frontend[[#This Row],[Data]]="","", IF($I132="","",$I132))</f>
        <v/>
      </c>
      <c r="AA132" s="229" t="str" cm="1">
        <f t="array" ref="AA132">IF(Buildings_Heat_Frontend[[#This Row],[Data]]="","", INDEX(_xlfn.SWITCH(Buildings_Heat_Backend[[#This Row],[Methodology]],"Tier 1",rng_RSD1,"Tier 2",rng_RSD2,"Tier 3",rng_RSD3),MATCH(_xlfn.CONCAT(Buildings_Heat_Backend[[#This Row],[Level 1]:[Level 6]]),rng_LevelsConcat,0)))</f>
        <v/>
      </c>
      <c r="AB132" s="220" t="str">
        <f t="shared" si="4"/>
        <v/>
      </c>
      <c r="AC132" s="174">
        <f>Buildings_Heat_Frontend[[#This Row],[Units]]</f>
        <v>0</v>
      </c>
      <c r="AD13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2" s="174" t="str">
        <f>IF(Buildings_Heat_Frontend[[#This Row],[Data]]="","", _xlfn.XLOOKUP(_xlfn.CONCAT(Buildings_Heat_Backend[[#This Row],[Level 1]:[Level 6]]),rng_LevelsConcat,rng_UnitsLong))</f>
        <v/>
      </c>
      <c r="AF132" s="210" t="str">
        <f>IF(Buildings_Heat_Frontend[[#This Row],[Data]]="","", _xlfn.XLOOKUP(_xlfn.CONCAT(Buildings_Heat_Backend[[#This Row],[Level 1]:[Level 6]]),rng_EFConcat,rng_EF1)*Buildings_Heat_Backend[[#This Row],[Converted data]]/1000)</f>
        <v/>
      </c>
      <c r="AG132" s="210" t="str">
        <f>IF(Buildings_Heat_Frontend[[#This Row],[Data]]="","", _xlfn.XLOOKUP(_xlfn.CONCAT(Buildings_Heat_Backend[[#This Row],[Level 1]:[Level 6]]),rng_EFConcat,rng_EF2)*Buildings_Heat_Backend[[#This Row],[Converted data]]/1000)</f>
        <v/>
      </c>
      <c r="AH132" s="210" t="str">
        <f>IF(Buildings_Heat_Frontend[[#This Row],[Data]]="","", _xlfn.XLOOKUP(_xlfn.CONCAT(Buildings_Heat_Backend[[#This Row],[Level 1]:[Level 6]]),rng_EFConcat,rng_EF3)*Buildings_Heat_Backend[[#This Row],[Converted data]]/1000)</f>
        <v/>
      </c>
      <c r="AI132" s="210" t="str">
        <f>IF(Buildings_Heat_Frontend[[#This Row],[Data]]="","", _xlfn.XLOOKUP(_xlfn.CONCAT(Buildings_Heat_Backend[[#This Row],[Level 1]:[Level 6]]),rng_EFConcat,rng_EF3WTT)*Buildings_Heat_Backend[[#This Row],[Converted data]]/1000)</f>
        <v/>
      </c>
      <c r="AJ132" s="210" t="str">
        <f>IF(Buildings_Heat_Frontend[[#This Row],[Data]]="","", _xlfn.XLOOKUP(_xlfn.CONCAT(Buildings_Heat_Backend[[#This Row],[Level 1]:[Level 6]]),rng_EFConcat,rng_EF3TD)*Buildings_Heat_Backend[[#This Row],[Converted data]]/1000)</f>
        <v/>
      </c>
      <c r="AK132" s="210" t="str">
        <f>IF(Buildings_Heat_Frontend[[#This Row],[Data]]="","", _xlfn.XLOOKUP(_xlfn.CONCAT(Buildings_Heat_Backend[[#This Row],[Level 1]:[Level 6]]),rng_EFConcat,rng_EF3WTTTD)*Buildings_Heat_Backend[[#This Row],[Converted data]]/1000)</f>
        <v/>
      </c>
      <c r="AL132" s="220">
        <f>SUM(Buildings_Heat_Backend[[#This Row],[Scope 1 (tCO2e)]:[Scope 3 WTT T&amp;D (tCO2e)]])</f>
        <v>0</v>
      </c>
      <c r="AM132" s="220" t="str">
        <f>IF(Buildings_Heat_Frontend[[#This Row],[Data]]="","", Buildings_Heat_Backend[[#This Row],[Total (tCO2e)]]*(1-Buildings_Heat_Backend[[#This Row],[RSD]]))</f>
        <v/>
      </c>
      <c r="AN132" s="220" t="str">
        <f>IF(Buildings_Heat_Frontend[[#This Row],[Data]]="","", Buildings_Heat_Backend[[#This Row],[Total (tCO2e)]]*(1+Buildings_Heat_Backend[[#This Row],[RSD]]))</f>
        <v/>
      </c>
      <c r="AO132" s="210" t="str">
        <f>IF(Buildings_Heat_Frontend[[#This Row],[Data]]="","", _xlfn.XLOOKUP(_xlfn.CONCAT(Buildings_Heat_Backend[[#This Row],[Level 1]:[Level 6]]),rng_EFConcat,rng_EFOOS)*Buildings_Heat_Backend[[#This Row],[Converted data]]/1000)</f>
        <v/>
      </c>
      <c r="AP132" s="174">
        <f>Buildings_Heat_Frontend[[#This Row],[Ease of collection]]</f>
        <v>0</v>
      </c>
      <c r="AQ132" s="174">
        <f>Buildings_Heat_Frontend[[#This Row],[Completeness]]</f>
        <v>0</v>
      </c>
      <c r="AR132" s="174">
        <f>Buildings_Heat_Frontend[[#This Row],[Notes]]</f>
        <v>0</v>
      </c>
    </row>
    <row r="133" spans="5:44" x14ac:dyDescent="0.3">
      <c r="E133" s="346"/>
      <c r="F133" s="364"/>
      <c r="G133" s="336"/>
      <c r="H133" s="336"/>
      <c r="I133" s="336"/>
      <c r="J133" s="334"/>
      <c r="K133" s="336"/>
      <c r="L133" s="336"/>
      <c r="M133" s="336"/>
      <c r="N133" s="352"/>
      <c r="O133" s="230">
        <f t="shared" si="5"/>
        <v>6</v>
      </c>
      <c r="Q133" s="212" t="str">
        <f t="shared" si="3"/>
        <v/>
      </c>
      <c r="R133" s="174" t="s">
        <v>265</v>
      </c>
      <c r="S133" s="174" t="s">
        <v>273</v>
      </c>
      <c r="T133" s="174" t="str">
        <f>IF(Buildings_Heat_Frontend[[#This Row],[Data]]="","", _xlfn.XLOOKUP(Buildings_Heat_Backend[[#This Row],[Info 1]],Buildings_SiteInfo[Site name],Buildings_SiteInfo[Site type]))</f>
        <v/>
      </c>
      <c r="U133" s="174" t="str">
        <f>IF(Buildings_Heat_Frontend[[#This Row],[Data]]="","", Buildings_Heat_Frontend[[#This Row],[Heating Type]])</f>
        <v/>
      </c>
      <c r="V133" s="174" t="str">
        <f>IF(Buildings_Heat_Frontend[[#This Row],[Data]]="","", Buildings_Heat_Frontend[[#This Row],[Fuel]])</f>
        <v/>
      </c>
      <c r="W133" s="174" t="str" cm="1">
        <f t="array" ref="W133">IF(Buildings_Heat_Frontend[[#This Row],[Data]]="","", _xlfn.XLOOKUP(Buildings_Heat_Backend[[#This Row],[Level 5]],rng_Level5Long,rng_Level6Long))</f>
        <v/>
      </c>
      <c r="X133" s="174" t="str">
        <f>IF(Buildings_Heat_Frontend[[#This Row],[Data]]="","", Buildings_Heat_Frontend[[#This Row],[Site Name]])</f>
        <v/>
      </c>
      <c r="Y133" s="174" t="str">
        <f>IF(Buildings_Heat_Frontend[[#This Row],[Data]]="","", Buildings_Heat_Frontend[[#This Row],[MPRN]])</f>
        <v/>
      </c>
      <c r="Z133" s="174" t="str">
        <f>IF(Buildings_Heat_Frontend[[#This Row],[Data]]="","", IF($I133="","",$I133))</f>
        <v/>
      </c>
      <c r="AA133" s="229" t="str" cm="1">
        <f t="array" ref="AA133">IF(Buildings_Heat_Frontend[[#This Row],[Data]]="","", INDEX(_xlfn.SWITCH(Buildings_Heat_Backend[[#This Row],[Methodology]],"Tier 1",rng_RSD1,"Tier 2",rng_RSD2,"Tier 3",rng_RSD3),MATCH(_xlfn.CONCAT(Buildings_Heat_Backend[[#This Row],[Level 1]:[Level 6]]),rng_LevelsConcat,0)))</f>
        <v/>
      </c>
      <c r="AB133" s="220" t="str">
        <f t="shared" si="4"/>
        <v/>
      </c>
      <c r="AC133" s="174">
        <f>Buildings_Heat_Frontend[[#This Row],[Units]]</f>
        <v>0</v>
      </c>
      <c r="AD13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3" s="174" t="str">
        <f>IF(Buildings_Heat_Frontend[[#This Row],[Data]]="","", _xlfn.XLOOKUP(_xlfn.CONCAT(Buildings_Heat_Backend[[#This Row],[Level 1]:[Level 6]]),rng_LevelsConcat,rng_UnitsLong))</f>
        <v/>
      </c>
      <c r="AF133" s="210" t="str">
        <f>IF(Buildings_Heat_Frontend[[#This Row],[Data]]="","", _xlfn.XLOOKUP(_xlfn.CONCAT(Buildings_Heat_Backend[[#This Row],[Level 1]:[Level 6]]),rng_EFConcat,rng_EF1)*Buildings_Heat_Backend[[#This Row],[Converted data]]/1000)</f>
        <v/>
      </c>
      <c r="AG133" s="210" t="str">
        <f>IF(Buildings_Heat_Frontend[[#This Row],[Data]]="","", _xlfn.XLOOKUP(_xlfn.CONCAT(Buildings_Heat_Backend[[#This Row],[Level 1]:[Level 6]]),rng_EFConcat,rng_EF2)*Buildings_Heat_Backend[[#This Row],[Converted data]]/1000)</f>
        <v/>
      </c>
      <c r="AH133" s="210" t="str">
        <f>IF(Buildings_Heat_Frontend[[#This Row],[Data]]="","", _xlfn.XLOOKUP(_xlfn.CONCAT(Buildings_Heat_Backend[[#This Row],[Level 1]:[Level 6]]),rng_EFConcat,rng_EF3)*Buildings_Heat_Backend[[#This Row],[Converted data]]/1000)</f>
        <v/>
      </c>
      <c r="AI133" s="210" t="str">
        <f>IF(Buildings_Heat_Frontend[[#This Row],[Data]]="","", _xlfn.XLOOKUP(_xlfn.CONCAT(Buildings_Heat_Backend[[#This Row],[Level 1]:[Level 6]]),rng_EFConcat,rng_EF3WTT)*Buildings_Heat_Backend[[#This Row],[Converted data]]/1000)</f>
        <v/>
      </c>
      <c r="AJ133" s="210" t="str">
        <f>IF(Buildings_Heat_Frontend[[#This Row],[Data]]="","", _xlfn.XLOOKUP(_xlfn.CONCAT(Buildings_Heat_Backend[[#This Row],[Level 1]:[Level 6]]),rng_EFConcat,rng_EF3TD)*Buildings_Heat_Backend[[#This Row],[Converted data]]/1000)</f>
        <v/>
      </c>
      <c r="AK133" s="210" t="str">
        <f>IF(Buildings_Heat_Frontend[[#This Row],[Data]]="","", _xlfn.XLOOKUP(_xlfn.CONCAT(Buildings_Heat_Backend[[#This Row],[Level 1]:[Level 6]]),rng_EFConcat,rng_EF3WTTTD)*Buildings_Heat_Backend[[#This Row],[Converted data]]/1000)</f>
        <v/>
      </c>
      <c r="AL133" s="220">
        <f>SUM(Buildings_Heat_Backend[[#This Row],[Scope 1 (tCO2e)]:[Scope 3 WTT T&amp;D (tCO2e)]])</f>
        <v>0</v>
      </c>
      <c r="AM133" s="220" t="str">
        <f>IF(Buildings_Heat_Frontend[[#This Row],[Data]]="","", Buildings_Heat_Backend[[#This Row],[Total (tCO2e)]]*(1-Buildings_Heat_Backend[[#This Row],[RSD]]))</f>
        <v/>
      </c>
      <c r="AN133" s="220" t="str">
        <f>IF(Buildings_Heat_Frontend[[#This Row],[Data]]="","", Buildings_Heat_Backend[[#This Row],[Total (tCO2e)]]*(1+Buildings_Heat_Backend[[#This Row],[RSD]]))</f>
        <v/>
      </c>
      <c r="AO133" s="210" t="str">
        <f>IF(Buildings_Heat_Frontend[[#This Row],[Data]]="","", _xlfn.XLOOKUP(_xlfn.CONCAT(Buildings_Heat_Backend[[#This Row],[Level 1]:[Level 6]]),rng_EFConcat,rng_EFOOS)*Buildings_Heat_Backend[[#This Row],[Converted data]]/1000)</f>
        <v/>
      </c>
      <c r="AP133" s="174">
        <f>Buildings_Heat_Frontend[[#This Row],[Ease of collection]]</f>
        <v>0</v>
      </c>
      <c r="AQ133" s="174">
        <f>Buildings_Heat_Frontend[[#This Row],[Completeness]]</f>
        <v>0</v>
      </c>
      <c r="AR133" s="174">
        <f>Buildings_Heat_Frontend[[#This Row],[Notes]]</f>
        <v>0</v>
      </c>
    </row>
    <row r="134" spans="5:44" x14ac:dyDescent="0.3">
      <c r="E134" s="346"/>
      <c r="F134" s="364"/>
      <c r="G134" s="336"/>
      <c r="H134" s="336"/>
      <c r="I134" s="336"/>
      <c r="J134" s="334"/>
      <c r="K134" s="336"/>
      <c r="L134" s="336"/>
      <c r="M134" s="336"/>
      <c r="N134" s="352"/>
      <c r="O134" s="230">
        <f t="shared" si="5"/>
        <v>6</v>
      </c>
      <c r="Q134" s="212" t="str">
        <f t="shared" si="3"/>
        <v/>
      </c>
      <c r="R134" s="174" t="s">
        <v>265</v>
      </c>
      <c r="S134" s="174" t="s">
        <v>273</v>
      </c>
      <c r="T134" s="174" t="str">
        <f>IF(Buildings_Heat_Frontend[[#This Row],[Data]]="","", _xlfn.XLOOKUP(Buildings_Heat_Backend[[#This Row],[Info 1]],Buildings_SiteInfo[Site name],Buildings_SiteInfo[Site type]))</f>
        <v/>
      </c>
      <c r="U134" s="174" t="str">
        <f>IF(Buildings_Heat_Frontend[[#This Row],[Data]]="","", Buildings_Heat_Frontend[[#This Row],[Heating Type]])</f>
        <v/>
      </c>
      <c r="V134" s="174" t="str">
        <f>IF(Buildings_Heat_Frontend[[#This Row],[Data]]="","", Buildings_Heat_Frontend[[#This Row],[Fuel]])</f>
        <v/>
      </c>
      <c r="W134" s="174" t="str" cm="1">
        <f t="array" ref="W134">IF(Buildings_Heat_Frontend[[#This Row],[Data]]="","", _xlfn.XLOOKUP(Buildings_Heat_Backend[[#This Row],[Level 5]],rng_Level5Long,rng_Level6Long))</f>
        <v/>
      </c>
      <c r="X134" s="174" t="str">
        <f>IF(Buildings_Heat_Frontend[[#This Row],[Data]]="","", Buildings_Heat_Frontend[[#This Row],[Site Name]])</f>
        <v/>
      </c>
      <c r="Y134" s="174" t="str">
        <f>IF(Buildings_Heat_Frontend[[#This Row],[Data]]="","", Buildings_Heat_Frontend[[#This Row],[MPRN]])</f>
        <v/>
      </c>
      <c r="Z134" s="174" t="str">
        <f>IF(Buildings_Heat_Frontend[[#This Row],[Data]]="","", IF($I134="","",$I134))</f>
        <v/>
      </c>
      <c r="AA134" s="229" t="str" cm="1">
        <f t="array" ref="AA134">IF(Buildings_Heat_Frontend[[#This Row],[Data]]="","", INDEX(_xlfn.SWITCH(Buildings_Heat_Backend[[#This Row],[Methodology]],"Tier 1",rng_RSD1,"Tier 2",rng_RSD2,"Tier 3",rng_RSD3),MATCH(_xlfn.CONCAT(Buildings_Heat_Backend[[#This Row],[Level 1]:[Level 6]]),rng_LevelsConcat,0)))</f>
        <v/>
      </c>
      <c r="AB134" s="220" t="str">
        <f t="shared" si="4"/>
        <v/>
      </c>
      <c r="AC134" s="174">
        <f>Buildings_Heat_Frontend[[#This Row],[Units]]</f>
        <v>0</v>
      </c>
      <c r="AD13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4" s="174" t="str">
        <f>IF(Buildings_Heat_Frontend[[#This Row],[Data]]="","", _xlfn.XLOOKUP(_xlfn.CONCAT(Buildings_Heat_Backend[[#This Row],[Level 1]:[Level 6]]),rng_LevelsConcat,rng_UnitsLong))</f>
        <v/>
      </c>
      <c r="AF134" s="210" t="str">
        <f>IF(Buildings_Heat_Frontend[[#This Row],[Data]]="","", _xlfn.XLOOKUP(_xlfn.CONCAT(Buildings_Heat_Backend[[#This Row],[Level 1]:[Level 6]]),rng_EFConcat,rng_EF1)*Buildings_Heat_Backend[[#This Row],[Converted data]]/1000)</f>
        <v/>
      </c>
      <c r="AG134" s="210" t="str">
        <f>IF(Buildings_Heat_Frontend[[#This Row],[Data]]="","", _xlfn.XLOOKUP(_xlfn.CONCAT(Buildings_Heat_Backend[[#This Row],[Level 1]:[Level 6]]),rng_EFConcat,rng_EF2)*Buildings_Heat_Backend[[#This Row],[Converted data]]/1000)</f>
        <v/>
      </c>
      <c r="AH134" s="210" t="str">
        <f>IF(Buildings_Heat_Frontend[[#This Row],[Data]]="","", _xlfn.XLOOKUP(_xlfn.CONCAT(Buildings_Heat_Backend[[#This Row],[Level 1]:[Level 6]]),rng_EFConcat,rng_EF3)*Buildings_Heat_Backend[[#This Row],[Converted data]]/1000)</f>
        <v/>
      </c>
      <c r="AI134" s="210" t="str">
        <f>IF(Buildings_Heat_Frontend[[#This Row],[Data]]="","", _xlfn.XLOOKUP(_xlfn.CONCAT(Buildings_Heat_Backend[[#This Row],[Level 1]:[Level 6]]),rng_EFConcat,rng_EF3WTT)*Buildings_Heat_Backend[[#This Row],[Converted data]]/1000)</f>
        <v/>
      </c>
      <c r="AJ134" s="210" t="str">
        <f>IF(Buildings_Heat_Frontend[[#This Row],[Data]]="","", _xlfn.XLOOKUP(_xlfn.CONCAT(Buildings_Heat_Backend[[#This Row],[Level 1]:[Level 6]]),rng_EFConcat,rng_EF3TD)*Buildings_Heat_Backend[[#This Row],[Converted data]]/1000)</f>
        <v/>
      </c>
      <c r="AK134" s="210" t="str">
        <f>IF(Buildings_Heat_Frontend[[#This Row],[Data]]="","", _xlfn.XLOOKUP(_xlfn.CONCAT(Buildings_Heat_Backend[[#This Row],[Level 1]:[Level 6]]),rng_EFConcat,rng_EF3WTTTD)*Buildings_Heat_Backend[[#This Row],[Converted data]]/1000)</f>
        <v/>
      </c>
      <c r="AL134" s="220">
        <f>SUM(Buildings_Heat_Backend[[#This Row],[Scope 1 (tCO2e)]:[Scope 3 WTT T&amp;D (tCO2e)]])</f>
        <v>0</v>
      </c>
      <c r="AM134" s="220" t="str">
        <f>IF(Buildings_Heat_Frontend[[#This Row],[Data]]="","", Buildings_Heat_Backend[[#This Row],[Total (tCO2e)]]*(1-Buildings_Heat_Backend[[#This Row],[RSD]]))</f>
        <v/>
      </c>
      <c r="AN134" s="220" t="str">
        <f>IF(Buildings_Heat_Frontend[[#This Row],[Data]]="","", Buildings_Heat_Backend[[#This Row],[Total (tCO2e)]]*(1+Buildings_Heat_Backend[[#This Row],[RSD]]))</f>
        <v/>
      </c>
      <c r="AO134" s="210" t="str">
        <f>IF(Buildings_Heat_Frontend[[#This Row],[Data]]="","", _xlfn.XLOOKUP(_xlfn.CONCAT(Buildings_Heat_Backend[[#This Row],[Level 1]:[Level 6]]),rng_EFConcat,rng_EFOOS)*Buildings_Heat_Backend[[#This Row],[Converted data]]/1000)</f>
        <v/>
      </c>
      <c r="AP134" s="174">
        <f>Buildings_Heat_Frontend[[#This Row],[Ease of collection]]</f>
        <v>0</v>
      </c>
      <c r="AQ134" s="174">
        <f>Buildings_Heat_Frontend[[#This Row],[Completeness]]</f>
        <v>0</v>
      </c>
      <c r="AR134" s="174">
        <f>Buildings_Heat_Frontend[[#This Row],[Notes]]</f>
        <v>0</v>
      </c>
    </row>
    <row r="135" spans="5:44" x14ac:dyDescent="0.3">
      <c r="E135" s="346"/>
      <c r="F135" s="364"/>
      <c r="G135" s="336"/>
      <c r="H135" s="336"/>
      <c r="I135" s="336"/>
      <c r="J135" s="334"/>
      <c r="K135" s="336"/>
      <c r="L135" s="336"/>
      <c r="M135" s="336"/>
      <c r="N135" s="352"/>
      <c r="O135" s="230">
        <f t="shared" si="5"/>
        <v>6</v>
      </c>
      <c r="Q135" s="212" t="str">
        <f t="shared" si="3"/>
        <v/>
      </c>
      <c r="R135" s="174" t="s">
        <v>265</v>
      </c>
      <c r="S135" s="174" t="s">
        <v>273</v>
      </c>
      <c r="T135" s="174" t="str">
        <f>IF(Buildings_Heat_Frontend[[#This Row],[Data]]="","", _xlfn.XLOOKUP(Buildings_Heat_Backend[[#This Row],[Info 1]],Buildings_SiteInfo[Site name],Buildings_SiteInfo[Site type]))</f>
        <v/>
      </c>
      <c r="U135" s="174" t="str">
        <f>IF(Buildings_Heat_Frontend[[#This Row],[Data]]="","", Buildings_Heat_Frontend[[#This Row],[Heating Type]])</f>
        <v/>
      </c>
      <c r="V135" s="174" t="str">
        <f>IF(Buildings_Heat_Frontend[[#This Row],[Data]]="","", Buildings_Heat_Frontend[[#This Row],[Fuel]])</f>
        <v/>
      </c>
      <c r="W135" s="174" t="str" cm="1">
        <f t="array" ref="W135">IF(Buildings_Heat_Frontend[[#This Row],[Data]]="","", _xlfn.XLOOKUP(Buildings_Heat_Backend[[#This Row],[Level 5]],rng_Level5Long,rng_Level6Long))</f>
        <v/>
      </c>
      <c r="X135" s="174" t="str">
        <f>IF(Buildings_Heat_Frontend[[#This Row],[Data]]="","", Buildings_Heat_Frontend[[#This Row],[Site Name]])</f>
        <v/>
      </c>
      <c r="Y135" s="174" t="str">
        <f>IF(Buildings_Heat_Frontend[[#This Row],[Data]]="","", Buildings_Heat_Frontend[[#This Row],[MPRN]])</f>
        <v/>
      </c>
      <c r="Z135" s="174" t="str">
        <f>IF(Buildings_Heat_Frontend[[#This Row],[Data]]="","", IF($I135="","",$I135))</f>
        <v/>
      </c>
      <c r="AA135" s="229" t="str" cm="1">
        <f t="array" ref="AA135">IF(Buildings_Heat_Frontend[[#This Row],[Data]]="","", INDEX(_xlfn.SWITCH(Buildings_Heat_Backend[[#This Row],[Methodology]],"Tier 1",rng_RSD1,"Tier 2",rng_RSD2,"Tier 3",rng_RSD3),MATCH(_xlfn.CONCAT(Buildings_Heat_Backend[[#This Row],[Level 1]:[Level 6]]),rng_LevelsConcat,0)))</f>
        <v/>
      </c>
      <c r="AB135" s="220" t="str">
        <f t="shared" si="4"/>
        <v/>
      </c>
      <c r="AC135" s="174">
        <f>Buildings_Heat_Frontend[[#This Row],[Units]]</f>
        <v>0</v>
      </c>
      <c r="AD13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5" s="174" t="str">
        <f>IF(Buildings_Heat_Frontend[[#This Row],[Data]]="","", _xlfn.XLOOKUP(_xlfn.CONCAT(Buildings_Heat_Backend[[#This Row],[Level 1]:[Level 6]]),rng_LevelsConcat,rng_UnitsLong))</f>
        <v/>
      </c>
      <c r="AF135" s="210" t="str">
        <f>IF(Buildings_Heat_Frontend[[#This Row],[Data]]="","", _xlfn.XLOOKUP(_xlfn.CONCAT(Buildings_Heat_Backend[[#This Row],[Level 1]:[Level 6]]),rng_EFConcat,rng_EF1)*Buildings_Heat_Backend[[#This Row],[Converted data]]/1000)</f>
        <v/>
      </c>
      <c r="AG135" s="210" t="str">
        <f>IF(Buildings_Heat_Frontend[[#This Row],[Data]]="","", _xlfn.XLOOKUP(_xlfn.CONCAT(Buildings_Heat_Backend[[#This Row],[Level 1]:[Level 6]]),rng_EFConcat,rng_EF2)*Buildings_Heat_Backend[[#This Row],[Converted data]]/1000)</f>
        <v/>
      </c>
      <c r="AH135" s="210" t="str">
        <f>IF(Buildings_Heat_Frontend[[#This Row],[Data]]="","", _xlfn.XLOOKUP(_xlfn.CONCAT(Buildings_Heat_Backend[[#This Row],[Level 1]:[Level 6]]),rng_EFConcat,rng_EF3)*Buildings_Heat_Backend[[#This Row],[Converted data]]/1000)</f>
        <v/>
      </c>
      <c r="AI135" s="210" t="str">
        <f>IF(Buildings_Heat_Frontend[[#This Row],[Data]]="","", _xlfn.XLOOKUP(_xlfn.CONCAT(Buildings_Heat_Backend[[#This Row],[Level 1]:[Level 6]]),rng_EFConcat,rng_EF3WTT)*Buildings_Heat_Backend[[#This Row],[Converted data]]/1000)</f>
        <v/>
      </c>
      <c r="AJ135" s="210" t="str">
        <f>IF(Buildings_Heat_Frontend[[#This Row],[Data]]="","", _xlfn.XLOOKUP(_xlfn.CONCAT(Buildings_Heat_Backend[[#This Row],[Level 1]:[Level 6]]),rng_EFConcat,rng_EF3TD)*Buildings_Heat_Backend[[#This Row],[Converted data]]/1000)</f>
        <v/>
      </c>
      <c r="AK135" s="210" t="str">
        <f>IF(Buildings_Heat_Frontend[[#This Row],[Data]]="","", _xlfn.XLOOKUP(_xlfn.CONCAT(Buildings_Heat_Backend[[#This Row],[Level 1]:[Level 6]]),rng_EFConcat,rng_EF3WTTTD)*Buildings_Heat_Backend[[#This Row],[Converted data]]/1000)</f>
        <v/>
      </c>
      <c r="AL135" s="220">
        <f>SUM(Buildings_Heat_Backend[[#This Row],[Scope 1 (tCO2e)]:[Scope 3 WTT T&amp;D (tCO2e)]])</f>
        <v>0</v>
      </c>
      <c r="AM135" s="220" t="str">
        <f>IF(Buildings_Heat_Frontend[[#This Row],[Data]]="","", Buildings_Heat_Backend[[#This Row],[Total (tCO2e)]]*(1-Buildings_Heat_Backend[[#This Row],[RSD]]))</f>
        <v/>
      </c>
      <c r="AN135" s="220" t="str">
        <f>IF(Buildings_Heat_Frontend[[#This Row],[Data]]="","", Buildings_Heat_Backend[[#This Row],[Total (tCO2e)]]*(1+Buildings_Heat_Backend[[#This Row],[RSD]]))</f>
        <v/>
      </c>
      <c r="AO135" s="210" t="str">
        <f>IF(Buildings_Heat_Frontend[[#This Row],[Data]]="","", _xlfn.XLOOKUP(_xlfn.CONCAT(Buildings_Heat_Backend[[#This Row],[Level 1]:[Level 6]]),rng_EFConcat,rng_EFOOS)*Buildings_Heat_Backend[[#This Row],[Converted data]]/1000)</f>
        <v/>
      </c>
      <c r="AP135" s="174">
        <f>Buildings_Heat_Frontend[[#This Row],[Ease of collection]]</f>
        <v>0</v>
      </c>
      <c r="AQ135" s="174">
        <f>Buildings_Heat_Frontend[[#This Row],[Completeness]]</f>
        <v>0</v>
      </c>
      <c r="AR135" s="174">
        <f>Buildings_Heat_Frontend[[#This Row],[Notes]]</f>
        <v>0</v>
      </c>
    </row>
    <row r="136" spans="5:44" x14ac:dyDescent="0.3">
      <c r="E136" s="346"/>
      <c r="F136" s="364"/>
      <c r="G136" s="336"/>
      <c r="H136" s="336"/>
      <c r="I136" s="336"/>
      <c r="J136" s="334"/>
      <c r="K136" s="336"/>
      <c r="L136" s="336"/>
      <c r="M136" s="336"/>
      <c r="N136" s="352"/>
      <c r="O136" s="230">
        <f t="shared" si="5"/>
        <v>6</v>
      </c>
      <c r="Q136" s="212" t="str">
        <f t="shared" si="3"/>
        <v/>
      </c>
      <c r="R136" s="174" t="s">
        <v>265</v>
      </c>
      <c r="S136" s="174" t="s">
        <v>273</v>
      </c>
      <c r="T136" s="174" t="str">
        <f>IF(Buildings_Heat_Frontend[[#This Row],[Data]]="","", _xlfn.XLOOKUP(Buildings_Heat_Backend[[#This Row],[Info 1]],Buildings_SiteInfo[Site name],Buildings_SiteInfo[Site type]))</f>
        <v/>
      </c>
      <c r="U136" s="174" t="str">
        <f>IF(Buildings_Heat_Frontend[[#This Row],[Data]]="","", Buildings_Heat_Frontend[[#This Row],[Heating Type]])</f>
        <v/>
      </c>
      <c r="V136" s="174" t="str">
        <f>IF(Buildings_Heat_Frontend[[#This Row],[Data]]="","", Buildings_Heat_Frontend[[#This Row],[Fuel]])</f>
        <v/>
      </c>
      <c r="W136" s="174" t="str" cm="1">
        <f t="array" ref="W136">IF(Buildings_Heat_Frontend[[#This Row],[Data]]="","", _xlfn.XLOOKUP(Buildings_Heat_Backend[[#This Row],[Level 5]],rng_Level5Long,rng_Level6Long))</f>
        <v/>
      </c>
      <c r="X136" s="174" t="str">
        <f>IF(Buildings_Heat_Frontend[[#This Row],[Data]]="","", Buildings_Heat_Frontend[[#This Row],[Site Name]])</f>
        <v/>
      </c>
      <c r="Y136" s="174" t="str">
        <f>IF(Buildings_Heat_Frontend[[#This Row],[Data]]="","", Buildings_Heat_Frontend[[#This Row],[MPRN]])</f>
        <v/>
      </c>
      <c r="Z136" s="174" t="str">
        <f>IF(Buildings_Heat_Frontend[[#This Row],[Data]]="","", IF($I136="","",$I136))</f>
        <v/>
      </c>
      <c r="AA136" s="229" t="str" cm="1">
        <f t="array" ref="AA136">IF(Buildings_Heat_Frontend[[#This Row],[Data]]="","", INDEX(_xlfn.SWITCH(Buildings_Heat_Backend[[#This Row],[Methodology]],"Tier 1",rng_RSD1,"Tier 2",rng_RSD2,"Tier 3",rng_RSD3),MATCH(_xlfn.CONCAT(Buildings_Heat_Backend[[#This Row],[Level 1]:[Level 6]]),rng_LevelsConcat,0)))</f>
        <v/>
      </c>
      <c r="AB136" s="220" t="str">
        <f t="shared" si="4"/>
        <v/>
      </c>
      <c r="AC136" s="174">
        <f>Buildings_Heat_Frontend[[#This Row],[Units]]</f>
        <v>0</v>
      </c>
      <c r="AD13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6" s="174" t="str">
        <f>IF(Buildings_Heat_Frontend[[#This Row],[Data]]="","", _xlfn.XLOOKUP(_xlfn.CONCAT(Buildings_Heat_Backend[[#This Row],[Level 1]:[Level 6]]),rng_LevelsConcat,rng_UnitsLong))</f>
        <v/>
      </c>
      <c r="AF136" s="210" t="str">
        <f>IF(Buildings_Heat_Frontend[[#This Row],[Data]]="","", _xlfn.XLOOKUP(_xlfn.CONCAT(Buildings_Heat_Backend[[#This Row],[Level 1]:[Level 6]]),rng_EFConcat,rng_EF1)*Buildings_Heat_Backend[[#This Row],[Converted data]]/1000)</f>
        <v/>
      </c>
      <c r="AG136" s="210" t="str">
        <f>IF(Buildings_Heat_Frontend[[#This Row],[Data]]="","", _xlfn.XLOOKUP(_xlfn.CONCAT(Buildings_Heat_Backend[[#This Row],[Level 1]:[Level 6]]),rng_EFConcat,rng_EF2)*Buildings_Heat_Backend[[#This Row],[Converted data]]/1000)</f>
        <v/>
      </c>
      <c r="AH136" s="210" t="str">
        <f>IF(Buildings_Heat_Frontend[[#This Row],[Data]]="","", _xlfn.XLOOKUP(_xlfn.CONCAT(Buildings_Heat_Backend[[#This Row],[Level 1]:[Level 6]]),rng_EFConcat,rng_EF3)*Buildings_Heat_Backend[[#This Row],[Converted data]]/1000)</f>
        <v/>
      </c>
      <c r="AI136" s="210" t="str">
        <f>IF(Buildings_Heat_Frontend[[#This Row],[Data]]="","", _xlfn.XLOOKUP(_xlfn.CONCAT(Buildings_Heat_Backend[[#This Row],[Level 1]:[Level 6]]),rng_EFConcat,rng_EF3WTT)*Buildings_Heat_Backend[[#This Row],[Converted data]]/1000)</f>
        <v/>
      </c>
      <c r="AJ136" s="210" t="str">
        <f>IF(Buildings_Heat_Frontend[[#This Row],[Data]]="","", _xlfn.XLOOKUP(_xlfn.CONCAT(Buildings_Heat_Backend[[#This Row],[Level 1]:[Level 6]]),rng_EFConcat,rng_EF3TD)*Buildings_Heat_Backend[[#This Row],[Converted data]]/1000)</f>
        <v/>
      </c>
      <c r="AK136" s="210" t="str">
        <f>IF(Buildings_Heat_Frontend[[#This Row],[Data]]="","", _xlfn.XLOOKUP(_xlfn.CONCAT(Buildings_Heat_Backend[[#This Row],[Level 1]:[Level 6]]),rng_EFConcat,rng_EF3WTTTD)*Buildings_Heat_Backend[[#This Row],[Converted data]]/1000)</f>
        <v/>
      </c>
      <c r="AL136" s="220">
        <f>SUM(Buildings_Heat_Backend[[#This Row],[Scope 1 (tCO2e)]:[Scope 3 WTT T&amp;D (tCO2e)]])</f>
        <v>0</v>
      </c>
      <c r="AM136" s="220" t="str">
        <f>IF(Buildings_Heat_Frontend[[#This Row],[Data]]="","", Buildings_Heat_Backend[[#This Row],[Total (tCO2e)]]*(1-Buildings_Heat_Backend[[#This Row],[RSD]]))</f>
        <v/>
      </c>
      <c r="AN136" s="220" t="str">
        <f>IF(Buildings_Heat_Frontend[[#This Row],[Data]]="","", Buildings_Heat_Backend[[#This Row],[Total (tCO2e)]]*(1+Buildings_Heat_Backend[[#This Row],[RSD]]))</f>
        <v/>
      </c>
      <c r="AO136" s="210" t="str">
        <f>IF(Buildings_Heat_Frontend[[#This Row],[Data]]="","", _xlfn.XLOOKUP(_xlfn.CONCAT(Buildings_Heat_Backend[[#This Row],[Level 1]:[Level 6]]),rng_EFConcat,rng_EFOOS)*Buildings_Heat_Backend[[#This Row],[Converted data]]/1000)</f>
        <v/>
      </c>
      <c r="AP136" s="174">
        <f>Buildings_Heat_Frontend[[#This Row],[Ease of collection]]</f>
        <v>0</v>
      </c>
      <c r="AQ136" s="174">
        <f>Buildings_Heat_Frontend[[#This Row],[Completeness]]</f>
        <v>0</v>
      </c>
      <c r="AR136" s="174">
        <f>Buildings_Heat_Frontend[[#This Row],[Notes]]</f>
        <v>0</v>
      </c>
    </row>
    <row r="137" spans="5:44" x14ac:dyDescent="0.3">
      <c r="E137" s="346"/>
      <c r="F137" s="364"/>
      <c r="G137" s="336"/>
      <c r="H137" s="336"/>
      <c r="I137" s="336"/>
      <c r="J137" s="334"/>
      <c r="K137" s="336"/>
      <c r="L137" s="336"/>
      <c r="M137" s="336"/>
      <c r="N137" s="352"/>
      <c r="O137" s="230">
        <f t="shared" si="5"/>
        <v>6</v>
      </c>
      <c r="Q137" s="212" t="str">
        <f t="shared" si="3"/>
        <v/>
      </c>
      <c r="R137" s="174" t="s">
        <v>265</v>
      </c>
      <c r="S137" s="174" t="s">
        <v>273</v>
      </c>
      <c r="T137" s="174" t="str">
        <f>IF(Buildings_Heat_Frontend[[#This Row],[Data]]="","", _xlfn.XLOOKUP(Buildings_Heat_Backend[[#This Row],[Info 1]],Buildings_SiteInfo[Site name],Buildings_SiteInfo[Site type]))</f>
        <v/>
      </c>
      <c r="U137" s="174" t="str">
        <f>IF(Buildings_Heat_Frontend[[#This Row],[Data]]="","", Buildings_Heat_Frontend[[#This Row],[Heating Type]])</f>
        <v/>
      </c>
      <c r="V137" s="174" t="str">
        <f>IF(Buildings_Heat_Frontend[[#This Row],[Data]]="","", Buildings_Heat_Frontend[[#This Row],[Fuel]])</f>
        <v/>
      </c>
      <c r="W137" s="174" t="str" cm="1">
        <f t="array" ref="W137">IF(Buildings_Heat_Frontend[[#This Row],[Data]]="","", _xlfn.XLOOKUP(Buildings_Heat_Backend[[#This Row],[Level 5]],rng_Level5Long,rng_Level6Long))</f>
        <v/>
      </c>
      <c r="X137" s="174" t="str">
        <f>IF(Buildings_Heat_Frontend[[#This Row],[Data]]="","", Buildings_Heat_Frontend[[#This Row],[Site Name]])</f>
        <v/>
      </c>
      <c r="Y137" s="174" t="str">
        <f>IF(Buildings_Heat_Frontend[[#This Row],[Data]]="","", Buildings_Heat_Frontend[[#This Row],[MPRN]])</f>
        <v/>
      </c>
      <c r="Z137" s="174" t="str">
        <f>IF(Buildings_Heat_Frontend[[#This Row],[Data]]="","", IF($I137="","",$I137))</f>
        <v/>
      </c>
      <c r="AA137" s="229" t="str" cm="1">
        <f t="array" ref="AA137">IF(Buildings_Heat_Frontend[[#This Row],[Data]]="","", INDEX(_xlfn.SWITCH(Buildings_Heat_Backend[[#This Row],[Methodology]],"Tier 1",rng_RSD1,"Tier 2",rng_RSD2,"Tier 3",rng_RSD3),MATCH(_xlfn.CONCAT(Buildings_Heat_Backend[[#This Row],[Level 1]:[Level 6]]),rng_LevelsConcat,0)))</f>
        <v/>
      </c>
      <c r="AB137" s="220" t="str">
        <f t="shared" si="4"/>
        <v/>
      </c>
      <c r="AC137" s="174">
        <f>Buildings_Heat_Frontend[[#This Row],[Units]]</f>
        <v>0</v>
      </c>
      <c r="AD13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7" s="174" t="str">
        <f>IF(Buildings_Heat_Frontend[[#This Row],[Data]]="","", _xlfn.XLOOKUP(_xlfn.CONCAT(Buildings_Heat_Backend[[#This Row],[Level 1]:[Level 6]]),rng_LevelsConcat,rng_UnitsLong))</f>
        <v/>
      </c>
      <c r="AF137" s="210" t="str">
        <f>IF(Buildings_Heat_Frontend[[#This Row],[Data]]="","", _xlfn.XLOOKUP(_xlfn.CONCAT(Buildings_Heat_Backend[[#This Row],[Level 1]:[Level 6]]),rng_EFConcat,rng_EF1)*Buildings_Heat_Backend[[#This Row],[Converted data]]/1000)</f>
        <v/>
      </c>
      <c r="AG137" s="210" t="str">
        <f>IF(Buildings_Heat_Frontend[[#This Row],[Data]]="","", _xlfn.XLOOKUP(_xlfn.CONCAT(Buildings_Heat_Backend[[#This Row],[Level 1]:[Level 6]]),rng_EFConcat,rng_EF2)*Buildings_Heat_Backend[[#This Row],[Converted data]]/1000)</f>
        <v/>
      </c>
      <c r="AH137" s="210" t="str">
        <f>IF(Buildings_Heat_Frontend[[#This Row],[Data]]="","", _xlfn.XLOOKUP(_xlfn.CONCAT(Buildings_Heat_Backend[[#This Row],[Level 1]:[Level 6]]),rng_EFConcat,rng_EF3)*Buildings_Heat_Backend[[#This Row],[Converted data]]/1000)</f>
        <v/>
      </c>
      <c r="AI137" s="210" t="str">
        <f>IF(Buildings_Heat_Frontend[[#This Row],[Data]]="","", _xlfn.XLOOKUP(_xlfn.CONCAT(Buildings_Heat_Backend[[#This Row],[Level 1]:[Level 6]]),rng_EFConcat,rng_EF3WTT)*Buildings_Heat_Backend[[#This Row],[Converted data]]/1000)</f>
        <v/>
      </c>
      <c r="AJ137" s="210" t="str">
        <f>IF(Buildings_Heat_Frontend[[#This Row],[Data]]="","", _xlfn.XLOOKUP(_xlfn.CONCAT(Buildings_Heat_Backend[[#This Row],[Level 1]:[Level 6]]),rng_EFConcat,rng_EF3TD)*Buildings_Heat_Backend[[#This Row],[Converted data]]/1000)</f>
        <v/>
      </c>
      <c r="AK137" s="210" t="str">
        <f>IF(Buildings_Heat_Frontend[[#This Row],[Data]]="","", _xlfn.XLOOKUP(_xlfn.CONCAT(Buildings_Heat_Backend[[#This Row],[Level 1]:[Level 6]]),rng_EFConcat,rng_EF3WTTTD)*Buildings_Heat_Backend[[#This Row],[Converted data]]/1000)</f>
        <v/>
      </c>
      <c r="AL137" s="220">
        <f>SUM(Buildings_Heat_Backend[[#This Row],[Scope 1 (tCO2e)]:[Scope 3 WTT T&amp;D (tCO2e)]])</f>
        <v>0</v>
      </c>
      <c r="AM137" s="220" t="str">
        <f>IF(Buildings_Heat_Frontend[[#This Row],[Data]]="","", Buildings_Heat_Backend[[#This Row],[Total (tCO2e)]]*(1-Buildings_Heat_Backend[[#This Row],[RSD]]))</f>
        <v/>
      </c>
      <c r="AN137" s="220" t="str">
        <f>IF(Buildings_Heat_Frontend[[#This Row],[Data]]="","", Buildings_Heat_Backend[[#This Row],[Total (tCO2e)]]*(1+Buildings_Heat_Backend[[#This Row],[RSD]]))</f>
        <v/>
      </c>
      <c r="AO137" s="210" t="str">
        <f>IF(Buildings_Heat_Frontend[[#This Row],[Data]]="","", _xlfn.XLOOKUP(_xlfn.CONCAT(Buildings_Heat_Backend[[#This Row],[Level 1]:[Level 6]]),rng_EFConcat,rng_EFOOS)*Buildings_Heat_Backend[[#This Row],[Converted data]]/1000)</f>
        <v/>
      </c>
      <c r="AP137" s="174">
        <f>Buildings_Heat_Frontend[[#This Row],[Ease of collection]]</f>
        <v>0</v>
      </c>
      <c r="AQ137" s="174">
        <f>Buildings_Heat_Frontend[[#This Row],[Completeness]]</f>
        <v>0</v>
      </c>
      <c r="AR137" s="174">
        <f>Buildings_Heat_Frontend[[#This Row],[Notes]]</f>
        <v>0</v>
      </c>
    </row>
    <row r="138" spans="5:44" x14ac:dyDescent="0.3">
      <c r="E138" s="346"/>
      <c r="F138" s="364"/>
      <c r="G138" s="336"/>
      <c r="H138" s="336"/>
      <c r="I138" s="336"/>
      <c r="J138" s="334"/>
      <c r="K138" s="336"/>
      <c r="L138" s="336"/>
      <c r="M138" s="336"/>
      <c r="N138" s="352"/>
      <c r="O138" s="230">
        <f t="shared" si="5"/>
        <v>6</v>
      </c>
      <c r="Q138" s="212" t="str">
        <f t="shared" si="3"/>
        <v/>
      </c>
      <c r="R138" s="174" t="s">
        <v>265</v>
      </c>
      <c r="S138" s="174" t="s">
        <v>273</v>
      </c>
      <c r="T138" s="174" t="str">
        <f>IF(Buildings_Heat_Frontend[[#This Row],[Data]]="","", _xlfn.XLOOKUP(Buildings_Heat_Backend[[#This Row],[Info 1]],Buildings_SiteInfo[Site name],Buildings_SiteInfo[Site type]))</f>
        <v/>
      </c>
      <c r="U138" s="174" t="str">
        <f>IF(Buildings_Heat_Frontend[[#This Row],[Data]]="","", Buildings_Heat_Frontend[[#This Row],[Heating Type]])</f>
        <v/>
      </c>
      <c r="V138" s="174" t="str">
        <f>IF(Buildings_Heat_Frontend[[#This Row],[Data]]="","", Buildings_Heat_Frontend[[#This Row],[Fuel]])</f>
        <v/>
      </c>
      <c r="W138" s="174" t="str" cm="1">
        <f t="array" ref="W138">IF(Buildings_Heat_Frontend[[#This Row],[Data]]="","", _xlfn.XLOOKUP(Buildings_Heat_Backend[[#This Row],[Level 5]],rng_Level5Long,rng_Level6Long))</f>
        <v/>
      </c>
      <c r="X138" s="174" t="str">
        <f>IF(Buildings_Heat_Frontend[[#This Row],[Data]]="","", Buildings_Heat_Frontend[[#This Row],[Site Name]])</f>
        <v/>
      </c>
      <c r="Y138" s="174" t="str">
        <f>IF(Buildings_Heat_Frontend[[#This Row],[Data]]="","", Buildings_Heat_Frontend[[#This Row],[MPRN]])</f>
        <v/>
      </c>
      <c r="Z138" s="174" t="str">
        <f>IF(Buildings_Heat_Frontend[[#This Row],[Data]]="","", IF($I138="","",$I138))</f>
        <v/>
      </c>
      <c r="AA138" s="229" t="str" cm="1">
        <f t="array" ref="AA138">IF(Buildings_Heat_Frontend[[#This Row],[Data]]="","", INDEX(_xlfn.SWITCH(Buildings_Heat_Backend[[#This Row],[Methodology]],"Tier 1",rng_RSD1,"Tier 2",rng_RSD2,"Tier 3",rng_RSD3),MATCH(_xlfn.CONCAT(Buildings_Heat_Backend[[#This Row],[Level 1]:[Level 6]]),rng_LevelsConcat,0)))</f>
        <v/>
      </c>
      <c r="AB138" s="220" t="str">
        <f t="shared" si="4"/>
        <v/>
      </c>
      <c r="AC138" s="174">
        <f>Buildings_Heat_Frontend[[#This Row],[Units]]</f>
        <v>0</v>
      </c>
      <c r="AD13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8" s="174" t="str">
        <f>IF(Buildings_Heat_Frontend[[#This Row],[Data]]="","", _xlfn.XLOOKUP(_xlfn.CONCAT(Buildings_Heat_Backend[[#This Row],[Level 1]:[Level 6]]),rng_LevelsConcat,rng_UnitsLong))</f>
        <v/>
      </c>
      <c r="AF138" s="210" t="str">
        <f>IF(Buildings_Heat_Frontend[[#This Row],[Data]]="","", _xlfn.XLOOKUP(_xlfn.CONCAT(Buildings_Heat_Backend[[#This Row],[Level 1]:[Level 6]]),rng_EFConcat,rng_EF1)*Buildings_Heat_Backend[[#This Row],[Converted data]]/1000)</f>
        <v/>
      </c>
      <c r="AG138" s="210" t="str">
        <f>IF(Buildings_Heat_Frontend[[#This Row],[Data]]="","", _xlfn.XLOOKUP(_xlfn.CONCAT(Buildings_Heat_Backend[[#This Row],[Level 1]:[Level 6]]),rng_EFConcat,rng_EF2)*Buildings_Heat_Backend[[#This Row],[Converted data]]/1000)</f>
        <v/>
      </c>
      <c r="AH138" s="210" t="str">
        <f>IF(Buildings_Heat_Frontend[[#This Row],[Data]]="","", _xlfn.XLOOKUP(_xlfn.CONCAT(Buildings_Heat_Backend[[#This Row],[Level 1]:[Level 6]]),rng_EFConcat,rng_EF3)*Buildings_Heat_Backend[[#This Row],[Converted data]]/1000)</f>
        <v/>
      </c>
      <c r="AI138" s="210" t="str">
        <f>IF(Buildings_Heat_Frontend[[#This Row],[Data]]="","", _xlfn.XLOOKUP(_xlfn.CONCAT(Buildings_Heat_Backend[[#This Row],[Level 1]:[Level 6]]),rng_EFConcat,rng_EF3WTT)*Buildings_Heat_Backend[[#This Row],[Converted data]]/1000)</f>
        <v/>
      </c>
      <c r="AJ138" s="210" t="str">
        <f>IF(Buildings_Heat_Frontend[[#This Row],[Data]]="","", _xlfn.XLOOKUP(_xlfn.CONCAT(Buildings_Heat_Backend[[#This Row],[Level 1]:[Level 6]]),rng_EFConcat,rng_EF3TD)*Buildings_Heat_Backend[[#This Row],[Converted data]]/1000)</f>
        <v/>
      </c>
      <c r="AK138" s="210" t="str">
        <f>IF(Buildings_Heat_Frontend[[#This Row],[Data]]="","", _xlfn.XLOOKUP(_xlfn.CONCAT(Buildings_Heat_Backend[[#This Row],[Level 1]:[Level 6]]),rng_EFConcat,rng_EF3WTTTD)*Buildings_Heat_Backend[[#This Row],[Converted data]]/1000)</f>
        <v/>
      </c>
      <c r="AL138" s="220">
        <f>SUM(Buildings_Heat_Backend[[#This Row],[Scope 1 (tCO2e)]:[Scope 3 WTT T&amp;D (tCO2e)]])</f>
        <v>0</v>
      </c>
      <c r="AM138" s="220" t="str">
        <f>IF(Buildings_Heat_Frontend[[#This Row],[Data]]="","", Buildings_Heat_Backend[[#This Row],[Total (tCO2e)]]*(1-Buildings_Heat_Backend[[#This Row],[RSD]]))</f>
        <v/>
      </c>
      <c r="AN138" s="220" t="str">
        <f>IF(Buildings_Heat_Frontend[[#This Row],[Data]]="","", Buildings_Heat_Backend[[#This Row],[Total (tCO2e)]]*(1+Buildings_Heat_Backend[[#This Row],[RSD]]))</f>
        <v/>
      </c>
      <c r="AO138" s="210" t="str">
        <f>IF(Buildings_Heat_Frontend[[#This Row],[Data]]="","", _xlfn.XLOOKUP(_xlfn.CONCAT(Buildings_Heat_Backend[[#This Row],[Level 1]:[Level 6]]),rng_EFConcat,rng_EFOOS)*Buildings_Heat_Backend[[#This Row],[Converted data]]/1000)</f>
        <v/>
      </c>
      <c r="AP138" s="174">
        <f>Buildings_Heat_Frontend[[#This Row],[Ease of collection]]</f>
        <v>0</v>
      </c>
      <c r="AQ138" s="174">
        <f>Buildings_Heat_Frontend[[#This Row],[Completeness]]</f>
        <v>0</v>
      </c>
      <c r="AR138" s="174">
        <f>Buildings_Heat_Frontend[[#This Row],[Notes]]</f>
        <v>0</v>
      </c>
    </row>
    <row r="139" spans="5:44" x14ac:dyDescent="0.3">
      <c r="E139" s="346"/>
      <c r="F139" s="364"/>
      <c r="G139" s="336"/>
      <c r="H139" s="336"/>
      <c r="I139" s="336"/>
      <c r="J139" s="334"/>
      <c r="K139" s="336"/>
      <c r="L139" s="336"/>
      <c r="M139" s="336"/>
      <c r="N139" s="352"/>
      <c r="O139" s="230">
        <f t="shared" si="5"/>
        <v>6</v>
      </c>
      <c r="Q139" s="212" t="str">
        <f t="shared" si="3"/>
        <v/>
      </c>
      <c r="R139" s="174" t="s">
        <v>265</v>
      </c>
      <c r="S139" s="174" t="s">
        <v>273</v>
      </c>
      <c r="T139" s="174" t="str">
        <f>IF(Buildings_Heat_Frontend[[#This Row],[Data]]="","", _xlfn.XLOOKUP(Buildings_Heat_Backend[[#This Row],[Info 1]],Buildings_SiteInfo[Site name],Buildings_SiteInfo[Site type]))</f>
        <v/>
      </c>
      <c r="U139" s="174" t="str">
        <f>IF(Buildings_Heat_Frontend[[#This Row],[Data]]="","", Buildings_Heat_Frontend[[#This Row],[Heating Type]])</f>
        <v/>
      </c>
      <c r="V139" s="174" t="str">
        <f>IF(Buildings_Heat_Frontend[[#This Row],[Data]]="","", Buildings_Heat_Frontend[[#This Row],[Fuel]])</f>
        <v/>
      </c>
      <c r="W139" s="174" t="str" cm="1">
        <f t="array" ref="W139">IF(Buildings_Heat_Frontend[[#This Row],[Data]]="","", _xlfn.XLOOKUP(Buildings_Heat_Backend[[#This Row],[Level 5]],rng_Level5Long,rng_Level6Long))</f>
        <v/>
      </c>
      <c r="X139" s="174" t="str">
        <f>IF(Buildings_Heat_Frontend[[#This Row],[Data]]="","", Buildings_Heat_Frontend[[#This Row],[Site Name]])</f>
        <v/>
      </c>
      <c r="Y139" s="174" t="str">
        <f>IF(Buildings_Heat_Frontend[[#This Row],[Data]]="","", Buildings_Heat_Frontend[[#This Row],[MPRN]])</f>
        <v/>
      </c>
      <c r="Z139" s="174" t="str">
        <f>IF(Buildings_Heat_Frontend[[#This Row],[Data]]="","", IF($I139="","",$I139))</f>
        <v/>
      </c>
      <c r="AA139" s="229" t="str" cm="1">
        <f t="array" ref="AA139">IF(Buildings_Heat_Frontend[[#This Row],[Data]]="","", INDEX(_xlfn.SWITCH(Buildings_Heat_Backend[[#This Row],[Methodology]],"Tier 1",rng_RSD1,"Tier 2",rng_RSD2,"Tier 3",rng_RSD3),MATCH(_xlfn.CONCAT(Buildings_Heat_Backend[[#This Row],[Level 1]:[Level 6]]),rng_LevelsConcat,0)))</f>
        <v/>
      </c>
      <c r="AB139" s="220" t="str">
        <f t="shared" si="4"/>
        <v/>
      </c>
      <c r="AC139" s="174">
        <f>Buildings_Heat_Frontend[[#This Row],[Units]]</f>
        <v>0</v>
      </c>
      <c r="AD13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39" s="174" t="str">
        <f>IF(Buildings_Heat_Frontend[[#This Row],[Data]]="","", _xlfn.XLOOKUP(_xlfn.CONCAT(Buildings_Heat_Backend[[#This Row],[Level 1]:[Level 6]]),rng_LevelsConcat,rng_UnitsLong))</f>
        <v/>
      </c>
      <c r="AF139" s="210" t="str">
        <f>IF(Buildings_Heat_Frontend[[#This Row],[Data]]="","", _xlfn.XLOOKUP(_xlfn.CONCAT(Buildings_Heat_Backend[[#This Row],[Level 1]:[Level 6]]),rng_EFConcat,rng_EF1)*Buildings_Heat_Backend[[#This Row],[Converted data]]/1000)</f>
        <v/>
      </c>
      <c r="AG139" s="210" t="str">
        <f>IF(Buildings_Heat_Frontend[[#This Row],[Data]]="","", _xlfn.XLOOKUP(_xlfn.CONCAT(Buildings_Heat_Backend[[#This Row],[Level 1]:[Level 6]]),rng_EFConcat,rng_EF2)*Buildings_Heat_Backend[[#This Row],[Converted data]]/1000)</f>
        <v/>
      </c>
      <c r="AH139" s="210" t="str">
        <f>IF(Buildings_Heat_Frontend[[#This Row],[Data]]="","", _xlfn.XLOOKUP(_xlfn.CONCAT(Buildings_Heat_Backend[[#This Row],[Level 1]:[Level 6]]),rng_EFConcat,rng_EF3)*Buildings_Heat_Backend[[#This Row],[Converted data]]/1000)</f>
        <v/>
      </c>
      <c r="AI139" s="210" t="str">
        <f>IF(Buildings_Heat_Frontend[[#This Row],[Data]]="","", _xlfn.XLOOKUP(_xlfn.CONCAT(Buildings_Heat_Backend[[#This Row],[Level 1]:[Level 6]]),rng_EFConcat,rng_EF3WTT)*Buildings_Heat_Backend[[#This Row],[Converted data]]/1000)</f>
        <v/>
      </c>
      <c r="AJ139" s="210" t="str">
        <f>IF(Buildings_Heat_Frontend[[#This Row],[Data]]="","", _xlfn.XLOOKUP(_xlfn.CONCAT(Buildings_Heat_Backend[[#This Row],[Level 1]:[Level 6]]),rng_EFConcat,rng_EF3TD)*Buildings_Heat_Backend[[#This Row],[Converted data]]/1000)</f>
        <v/>
      </c>
      <c r="AK139" s="210" t="str">
        <f>IF(Buildings_Heat_Frontend[[#This Row],[Data]]="","", _xlfn.XLOOKUP(_xlfn.CONCAT(Buildings_Heat_Backend[[#This Row],[Level 1]:[Level 6]]),rng_EFConcat,rng_EF3WTTTD)*Buildings_Heat_Backend[[#This Row],[Converted data]]/1000)</f>
        <v/>
      </c>
      <c r="AL139" s="220">
        <f>SUM(Buildings_Heat_Backend[[#This Row],[Scope 1 (tCO2e)]:[Scope 3 WTT T&amp;D (tCO2e)]])</f>
        <v>0</v>
      </c>
      <c r="AM139" s="220" t="str">
        <f>IF(Buildings_Heat_Frontend[[#This Row],[Data]]="","", Buildings_Heat_Backend[[#This Row],[Total (tCO2e)]]*(1-Buildings_Heat_Backend[[#This Row],[RSD]]))</f>
        <v/>
      </c>
      <c r="AN139" s="220" t="str">
        <f>IF(Buildings_Heat_Frontend[[#This Row],[Data]]="","", Buildings_Heat_Backend[[#This Row],[Total (tCO2e)]]*(1+Buildings_Heat_Backend[[#This Row],[RSD]]))</f>
        <v/>
      </c>
      <c r="AO139" s="210" t="str">
        <f>IF(Buildings_Heat_Frontend[[#This Row],[Data]]="","", _xlfn.XLOOKUP(_xlfn.CONCAT(Buildings_Heat_Backend[[#This Row],[Level 1]:[Level 6]]),rng_EFConcat,rng_EFOOS)*Buildings_Heat_Backend[[#This Row],[Converted data]]/1000)</f>
        <v/>
      </c>
      <c r="AP139" s="174">
        <f>Buildings_Heat_Frontend[[#This Row],[Ease of collection]]</f>
        <v>0</v>
      </c>
      <c r="AQ139" s="174">
        <f>Buildings_Heat_Frontend[[#This Row],[Completeness]]</f>
        <v>0</v>
      </c>
      <c r="AR139" s="174">
        <f>Buildings_Heat_Frontend[[#This Row],[Notes]]</f>
        <v>0</v>
      </c>
    </row>
    <row r="140" spans="5:44" x14ac:dyDescent="0.3">
      <c r="E140" s="346"/>
      <c r="F140" s="364"/>
      <c r="G140" s="336"/>
      <c r="H140" s="336"/>
      <c r="I140" s="336"/>
      <c r="J140" s="334"/>
      <c r="K140" s="336"/>
      <c r="L140" s="336"/>
      <c r="M140" s="336"/>
      <c r="N140" s="352"/>
      <c r="O140" s="230">
        <f t="shared" si="5"/>
        <v>6</v>
      </c>
      <c r="Q140" s="212" t="str">
        <f t="shared" si="3"/>
        <v/>
      </c>
      <c r="R140" s="174" t="s">
        <v>265</v>
      </c>
      <c r="S140" s="174" t="s">
        <v>273</v>
      </c>
      <c r="T140" s="174" t="str">
        <f>IF(Buildings_Heat_Frontend[[#This Row],[Data]]="","", _xlfn.XLOOKUP(Buildings_Heat_Backend[[#This Row],[Info 1]],Buildings_SiteInfo[Site name],Buildings_SiteInfo[Site type]))</f>
        <v/>
      </c>
      <c r="U140" s="174" t="str">
        <f>IF(Buildings_Heat_Frontend[[#This Row],[Data]]="","", Buildings_Heat_Frontend[[#This Row],[Heating Type]])</f>
        <v/>
      </c>
      <c r="V140" s="174" t="str">
        <f>IF(Buildings_Heat_Frontend[[#This Row],[Data]]="","", Buildings_Heat_Frontend[[#This Row],[Fuel]])</f>
        <v/>
      </c>
      <c r="W140" s="174" t="str" cm="1">
        <f t="array" ref="W140">IF(Buildings_Heat_Frontend[[#This Row],[Data]]="","", _xlfn.XLOOKUP(Buildings_Heat_Backend[[#This Row],[Level 5]],rng_Level5Long,rng_Level6Long))</f>
        <v/>
      </c>
      <c r="X140" s="174" t="str">
        <f>IF(Buildings_Heat_Frontend[[#This Row],[Data]]="","", Buildings_Heat_Frontend[[#This Row],[Site Name]])</f>
        <v/>
      </c>
      <c r="Y140" s="174" t="str">
        <f>IF(Buildings_Heat_Frontend[[#This Row],[Data]]="","", Buildings_Heat_Frontend[[#This Row],[MPRN]])</f>
        <v/>
      </c>
      <c r="Z140" s="174" t="str">
        <f>IF(Buildings_Heat_Frontend[[#This Row],[Data]]="","", IF($I140="","",$I140))</f>
        <v/>
      </c>
      <c r="AA140" s="229" t="str" cm="1">
        <f t="array" ref="AA140">IF(Buildings_Heat_Frontend[[#This Row],[Data]]="","", INDEX(_xlfn.SWITCH(Buildings_Heat_Backend[[#This Row],[Methodology]],"Tier 1",rng_RSD1,"Tier 2",rng_RSD2,"Tier 3",rng_RSD3),MATCH(_xlfn.CONCAT(Buildings_Heat_Backend[[#This Row],[Level 1]:[Level 6]]),rng_LevelsConcat,0)))</f>
        <v/>
      </c>
      <c r="AB140" s="220" t="str">
        <f t="shared" si="4"/>
        <v/>
      </c>
      <c r="AC140" s="174">
        <f>Buildings_Heat_Frontend[[#This Row],[Units]]</f>
        <v>0</v>
      </c>
      <c r="AD14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0" s="174" t="str">
        <f>IF(Buildings_Heat_Frontend[[#This Row],[Data]]="","", _xlfn.XLOOKUP(_xlfn.CONCAT(Buildings_Heat_Backend[[#This Row],[Level 1]:[Level 6]]),rng_LevelsConcat,rng_UnitsLong))</f>
        <v/>
      </c>
      <c r="AF140" s="210" t="str">
        <f>IF(Buildings_Heat_Frontend[[#This Row],[Data]]="","", _xlfn.XLOOKUP(_xlfn.CONCAT(Buildings_Heat_Backend[[#This Row],[Level 1]:[Level 6]]),rng_EFConcat,rng_EF1)*Buildings_Heat_Backend[[#This Row],[Converted data]]/1000)</f>
        <v/>
      </c>
      <c r="AG140" s="210" t="str">
        <f>IF(Buildings_Heat_Frontend[[#This Row],[Data]]="","", _xlfn.XLOOKUP(_xlfn.CONCAT(Buildings_Heat_Backend[[#This Row],[Level 1]:[Level 6]]),rng_EFConcat,rng_EF2)*Buildings_Heat_Backend[[#This Row],[Converted data]]/1000)</f>
        <v/>
      </c>
      <c r="AH140" s="210" t="str">
        <f>IF(Buildings_Heat_Frontend[[#This Row],[Data]]="","", _xlfn.XLOOKUP(_xlfn.CONCAT(Buildings_Heat_Backend[[#This Row],[Level 1]:[Level 6]]),rng_EFConcat,rng_EF3)*Buildings_Heat_Backend[[#This Row],[Converted data]]/1000)</f>
        <v/>
      </c>
      <c r="AI140" s="210" t="str">
        <f>IF(Buildings_Heat_Frontend[[#This Row],[Data]]="","", _xlfn.XLOOKUP(_xlfn.CONCAT(Buildings_Heat_Backend[[#This Row],[Level 1]:[Level 6]]),rng_EFConcat,rng_EF3WTT)*Buildings_Heat_Backend[[#This Row],[Converted data]]/1000)</f>
        <v/>
      </c>
      <c r="AJ140" s="210" t="str">
        <f>IF(Buildings_Heat_Frontend[[#This Row],[Data]]="","", _xlfn.XLOOKUP(_xlfn.CONCAT(Buildings_Heat_Backend[[#This Row],[Level 1]:[Level 6]]),rng_EFConcat,rng_EF3TD)*Buildings_Heat_Backend[[#This Row],[Converted data]]/1000)</f>
        <v/>
      </c>
      <c r="AK140" s="210" t="str">
        <f>IF(Buildings_Heat_Frontend[[#This Row],[Data]]="","", _xlfn.XLOOKUP(_xlfn.CONCAT(Buildings_Heat_Backend[[#This Row],[Level 1]:[Level 6]]),rng_EFConcat,rng_EF3WTTTD)*Buildings_Heat_Backend[[#This Row],[Converted data]]/1000)</f>
        <v/>
      </c>
      <c r="AL140" s="220">
        <f>SUM(Buildings_Heat_Backend[[#This Row],[Scope 1 (tCO2e)]:[Scope 3 WTT T&amp;D (tCO2e)]])</f>
        <v>0</v>
      </c>
      <c r="AM140" s="220" t="str">
        <f>IF(Buildings_Heat_Frontend[[#This Row],[Data]]="","", Buildings_Heat_Backend[[#This Row],[Total (tCO2e)]]*(1-Buildings_Heat_Backend[[#This Row],[RSD]]))</f>
        <v/>
      </c>
      <c r="AN140" s="220" t="str">
        <f>IF(Buildings_Heat_Frontend[[#This Row],[Data]]="","", Buildings_Heat_Backend[[#This Row],[Total (tCO2e)]]*(1+Buildings_Heat_Backend[[#This Row],[RSD]]))</f>
        <v/>
      </c>
      <c r="AO140" s="210" t="str">
        <f>IF(Buildings_Heat_Frontend[[#This Row],[Data]]="","", _xlfn.XLOOKUP(_xlfn.CONCAT(Buildings_Heat_Backend[[#This Row],[Level 1]:[Level 6]]),rng_EFConcat,rng_EFOOS)*Buildings_Heat_Backend[[#This Row],[Converted data]]/1000)</f>
        <v/>
      </c>
      <c r="AP140" s="174">
        <f>Buildings_Heat_Frontend[[#This Row],[Ease of collection]]</f>
        <v>0</v>
      </c>
      <c r="AQ140" s="174">
        <f>Buildings_Heat_Frontend[[#This Row],[Completeness]]</f>
        <v>0</v>
      </c>
      <c r="AR140" s="174">
        <f>Buildings_Heat_Frontend[[#This Row],[Notes]]</f>
        <v>0</v>
      </c>
    </row>
    <row r="141" spans="5:44" x14ac:dyDescent="0.3">
      <c r="E141" s="346"/>
      <c r="F141" s="364"/>
      <c r="G141" s="336"/>
      <c r="H141" s="336"/>
      <c r="I141" s="336"/>
      <c r="J141" s="334"/>
      <c r="K141" s="336"/>
      <c r="L141" s="336"/>
      <c r="M141" s="336"/>
      <c r="N141" s="352"/>
      <c r="O141" s="230">
        <f t="shared" si="5"/>
        <v>6</v>
      </c>
      <c r="Q141" s="212" t="str">
        <f t="shared" si="3"/>
        <v/>
      </c>
      <c r="R141" s="174" t="s">
        <v>265</v>
      </c>
      <c r="S141" s="174" t="s">
        <v>273</v>
      </c>
      <c r="T141" s="174" t="str">
        <f>IF(Buildings_Heat_Frontend[[#This Row],[Data]]="","", _xlfn.XLOOKUP(Buildings_Heat_Backend[[#This Row],[Info 1]],Buildings_SiteInfo[Site name],Buildings_SiteInfo[Site type]))</f>
        <v/>
      </c>
      <c r="U141" s="174" t="str">
        <f>IF(Buildings_Heat_Frontend[[#This Row],[Data]]="","", Buildings_Heat_Frontend[[#This Row],[Heating Type]])</f>
        <v/>
      </c>
      <c r="V141" s="174" t="str">
        <f>IF(Buildings_Heat_Frontend[[#This Row],[Data]]="","", Buildings_Heat_Frontend[[#This Row],[Fuel]])</f>
        <v/>
      </c>
      <c r="W141" s="174" t="str" cm="1">
        <f t="array" ref="W141">IF(Buildings_Heat_Frontend[[#This Row],[Data]]="","", _xlfn.XLOOKUP(Buildings_Heat_Backend[[#This Row],[Level 5]],rng_Level5Long,rng_Level6Long))</f>
        <v/>
      </c>
      <c r="X141" s="174" t="str">
        <f>IF(Buildings_Heat_Frontend[[#This Row],[Data]]="","", Buildings_Heat_Frontend[[#This Row],[Site Name]])</f>
        <v/>
      </c>
      <c r="Y141" s="174" t="str">
        <f>IF(Buildings_Heat_Frontend[[#This Row],[Data]]="","", Buildings_Heat_Frontend[[#This Row],[MPRN]])</f>
        <v/>
      </c>
      <c r="Z141" s="174" t="str">
        <f>IF(Buildings_Heat_Frontend[[#This Row],[Data]]="","", IF($I141="","",$I141))</f>
        <v/>
      </c>
      <c r="AA141" s="229" t="str" cm="1">
        <f t="array" ref="AA141">IF(Buildings_Heat_Frontend[[#This Row],[Data]]="","", INDEX(_xlfn.SWITCH(Buildings_Heat_Backend[[#This Row],[Methodology]],"Tier 1",rng_RSD1,"Tier 2",rng_RSD2,"Tier 3",rng_RSD3),MATCH(_xlfn.CONCAT(Buildings_Heat_Backend[[#This Row],[Level 1]:[Level 6]]),rng_LevelsConcat,0)))</f>
        <v/>
      </c>
      <c r="AB141" s="220" t="str">
        <f t="shared" si="4"/>
        <v/>
      </c>
      <c r="AC141" s="174">
        <f>Buildings_Heat_Frontend[[#This Row],[Units]]</f>
        <v>0</v>
      </c>
      <c r="AD14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1" s="174" t="str">
        <f>IF(Buildings_Heat_Frontend[[#This Row],[Data]]="","", _xlfn.XLOOKUP(_xlfn.CONCAT(Buildings_Heat_Backend[[#This Row],[Level 1]:[Level 6]]),rng_LevelsConcat,rng_UnitsLong))</f>
        <v/>
      </c>
      <c r="AF141" s="210" t="str">
        <f>IF(Buildings_Heat_Frontend[[#This Row],[Data]]="","", _xlfn.XLOOKUP(_xlfn.CONCAT(Buildings_Heat_Backend[[#This Row],[Level 1]:[Level 6]]),rng_EFConcat,rng_EF1)*Buildings_Heat_Backend[[#This Row],[Converted data]]/1000)</f>
        <v/>
      </c>
      <c r="AG141" s="210" t="str">
        <f>IF(Buildings_Heat_Frontend[[#This Row],[Data]]="","", _xlfn.XLOOKUP(_xlfn.CONCAT(Buildings_Heat_Backend[[#This Row],[Level 1]:[Level 6]]),rng_EFConcat,rng_EF2)*Buildings_Heat_Backend[[#This Row],[Converted data]]/1000)</f>
        <v/>
      </c>
      <c r="AH141" s="210" t="str">
        <f>IF(Buildings_Heat_Frontend[[#This Row],[Data]]="","", _xlfn.XLOOKUP(_xlfn.CONCAT(Buildings_Heat_Backend[[#This Row],[Level 1]:[Level 6]]),rng_EFConcat,rng_EF3)*Buildings_Heat_Backend[[#This Row],[Converted data]]/1000)</f>
        <v/>
      </c>
      <c r="AI141" s="210" t="str">
        <f>IF(Buildings_Heat_Frontend[[#This Row],[Data]]="","", _xlfn.XLOOKUP(_xlfn.CONCAT(Buildings_Heat_Backend[[#This Row],[Level 1]:[Level 6]]),rng_EFConcat,rng_EF3WTT)*Buildings_Heat_Backend[[#This Row],[Converted data]]/1000)</f>
        <v/>
      </c>
      <c r="AJ141" s="210" t="str">
        <f>IF(Buildings_Heat_Frontend[[#This Row],[Data]]="","", _xlfn.XLOOKUP(_xlfn.CONCAT(Buildings_Heat_Backend[[#This Row],[Level 1]:[Level 6]]),rng_EFConcat,rng_EF3TD)*Buildings_Heat_Backend[[#This Row],[Converted data]]/1000)</f>
        <v/>
      </c>
      <c r="AK141" s="210" t="str">
        <f>IF(Buildings_Heat_Frontend[[#This Row],[Data]]="","", _xlfn.XLOOKUP(_xlfn.CONCAT(Buildings_Heat_Backend[[#This Row],[Level 1]:[Level 6]]),rng_EFConcat,rng_EF3WTTTD)*Buildings_Heat_Backend[[#This Row],[Converted data]]/1000)</f>
        <v/>
      </c>
      <c r="AL141" s="220">
        <f>SUM(Buildings_Heat_Backend[[#This Row],[Scope 1 (tCO2e)]:[Scope 3 WTT T&amp;D (tCO2e)]])</f>
        <v>0</v>
      </c>
      <c r="AM141" s="220" t="str">
        <f>IF(Buildings_Heat_Frontend[[#This Row],[Data]]="","", Buildings_Heat_Backend[[#This Row],[Total (tCO2e)]]*(1-Buildings_Heat_Backend[[#This Row],[RSD]]))</f>
        <v/>
      </c>
      <c r="AN141" s="220" t="str">
        <f>IF(Buildings_Heat_Frontend[[#This Row],[Data]]="","", Buildings_Heat_Backend[[#This Row],[Total (tCO2e)]]*(1+Buildings_Heat_Backend[[#This Row],[RSD]]))</f>
        <v/>
      </c>
      <c r="AO141" s="210" t="str">
        <f>IF(Buildings_Heat_Frontend[[#This Row],[Data]]="","", _xlfn.XLOOKUP(_xlfn.CONCAT(Buildings_Heat_Backend[[#This Row],[Level 1]:[Level 6]]),rng_EFConcat,rng_EFOOS)*Buildings_Heat_Backend[[#This Row],[Converted data]]/1000)</f>
        <v/>
      </c>
      <c r="AP141" s="174">
        <f>Buildings_Heat_Frontend[[#This Row],[Ease of collection]]</f>
        <v>0</v>
      </c>
      <c r="AQ141" s="174">
        <f>Buildings_Heat_Frontend[[#This Row],[Completeness]]</f>
        <v>0</v>
      </c>
      <c r="AR141" s="174">
        <f>Buildings_Heat_Frontend[[#This Row],[Notes]]</f>
        <v>0</v>
      </c>
    </row>
    <row r="142" spans="5:44" x14ac:dyDescent="0.3">
      <c r="E142" s="346"/>
      <c r="F142" s="364"/>
      <c r="G142" s="336"/>
      <c r="H142" s="336"/>
      <c r="I142" s="336"/>
      <c r="J142" s="334"/>
      <c r="K142" s="336"/>
      <c r="L142" s="336"/>
      <c r="M142" s="336"/>
      <c r="N142" s="352"/>
      <c r="O142" s="230">
        <f t="shared" si="5"/>
        <v>6</v>
      </c>
      <c r="Q142" s="212" t="str">
        <f t="shared" si="3"/>
        <v/>
      </c>
      <c r="R142" s="174" t="s">
        <v>265</v>
      </c>
      <c r="S142" s="174" t="s">
        <v>273</v>
      </c>
      <c r="T142" s="174" t="str">
        <f>IF(Buildings_Heat_Frontend[[#This Row],[Data]]="","", _xlfn.XLOOKUP(Buildings_Heat_Backend[[#This Row],[Info 1]],Buildings_SiteInfo[Site name],Buildings_SiteInfo[Site type]))</f>
        <v/>
      </c>
      <c r="U142" s="174" t="str">
        <f>IF(Buildings_Heat_Frontend[[#This Row],[Data]]="","", Buildings_Heat_Frontend[[#This Row],[Heating Type]])</f>
        <v/>
      </c>
      <c r="V142" s="174" t="str">
        <f>IF(Buildings_Heat_Frontend[[#This Row],[Data]]="","", Buildings_Heat_Frontend[[#This Row],[Fuel]])</f>
        <v/>
      </c>
      <c r="W142" s="174" t="str" cm="1">
        <f t="array" ref="W142">IF(Buildings_Heat_Frontend[[#This Row],[Data]]="","", _xlfn.XLOOKUP(Buildings_Heat_Backend[[#This Row],[Level 5]],rng_Level5Long,rng_Level6Long))</f>
        <v/>
      </c>
      <c r="X142" s="174" t="str">
        <f>IF(Buildings_Heat_Frontend[[#This Row],[Data]]="","", Buildings_Heat_Frontend[[#This Row],[Site Name]])</f>
        <v/>
      </c>
      <c r="Y142" s="174" t="str">
        <f>IF(Buildings_Heat_Frontend[[#This Row],[Data]]="","", Buildings_Heat_Frontend[[#This Row],[MPRN]])</f>
        <v/>
      </c>
      <c r="Z142" s="174" t="str">
        <f>IF(Buildings_Heat_Frontend[[#This Row],[Data]]="","", IF($I142="","",$I142))</f>
        <v/>
      </c>
      <c r="AA142" s="229" t="str" cm="1">
        <f t="array" ref="AA142">IF(Buildings_Heat_Frontend[[#This Row],[Data]]="","", INDEX(_xlfn.SWITCH(Buildings_Heat_Backend[[#This Row],[Methodology]],"Tier 1",rng_RSD1,"Tier 2",rng_RSD2,"Tier 3",rng_RSD3),MATCH(_xlfn.CONCAT(Buildings_Heat_Backend[[#This Row],[Level 1]:[Level 6]]),rng_LevelsConcat,0)))</f>
        <v/>
      </c>
      <c r="AB142" s="220" t="str">
        <f t="shared" si="4"/>
        <v/>
      </c>
      <c r="AC142" s="174">
        <f>Buildings_Heat_Frontend[[#This Row],[Units]]</f>
        <v>0</v>
      </c>
      <c r="AD14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2" s="174" t="str">
        <f>IF(Buildings_Heat_Frontend[[#This Row],[Data]]="","", _xlfn.XLOOKUP(_xlfn.CONCAT(Buildings_Heat_Backend[[#This Row],[Level 1]:[Level 6]]),rng_LevelsConcat,rng_UnitsLong))</f>
        <v/>
      </c>
      <c r="AF142" s="210" t="str">
        <f>IF(Buildings_Heat_Frontend[[#This Row],[Data]]="","", _xlfn.XLOOKUP(_xlfn.CONCAT(Buildings_Heat_Backend[[#This Row],[Level 1]:[Level 6]]),rng_EFConcat,rng_EF1)*Buildings_Heat_Backend[[#This Row],[Converted data]]/1000)</f>
        <v/>
      </c>
      <c r="AG142" s="210" t="str">
        <f>IF(Buildings_Heat_Frontend[[#This Row],[Data]]="","", _xlfn.XLOOKUP(_xlfn.CONCAT(Buildings_Heat_Backend[[#This Row],[Level 1]:[Level 6]]),rng_EFConcat,rng_EF2)*Buildings_Heat_Backend[[#This Row],[Converted data]]/1000)</f>
        <v/>
      </c>
      <c r="AH142" s="210" t="str">
        <f>IF(Buildings_Heat_Frontend[[#This Row],[Data]]="","", _xlfn.XLOOKUP(_xlfn.CONCAT(Buildings_Heat_Backend[[#This Row],[Level 1]:[Level 6]]),rng_EFConcat,rng_EF3)*Buildings_Heat_Backend[[#This Row],[Converted data]]/1000)</f>
        <v/>
      </c>
      <c r="AI142" s="210" t="str">
        <f>IF(Buildings_Heat_Frontend[[#This Row],[Data]]="","", _xlfn.XLOOKUP(_xlfn.CONCAT(Buildings_Heat_Backend[[#This Row],[Level 1]:[Level 6]]),rng_EFConcat,rng_EF3WTT)*Buildings_Heat_Backend[[#This Row],[Converted data]]/1000)</f>
        <v/>
      </c>
      <c r="AJ142" s="210" t="str">
        <f>IF(Buildings_Heat_Frontend[[#This Row],[Data]]="","", _xlfn.XLOOKUP(_xlfn.CONCAT(Buildings_Heat_Backend[[#This Row],[Level 1]:[Level 6]]),rng_EFConcat,rng_EF3TD)*Buildings_Heat_Backend[[#This Row],[Converted data]]/1000)</f>
        <v/>
      </c>
      <c r="AK142" s="210" t="str">
        <f>IF(Buildings_Heat_Frontend[[#This Row],[Data]]="","", _xlfn.XLOOKUP(_xlfn.CONCAT(Buildings_Heat_Backend[[#This Row],[Level 1]:[Level 6]]),rng_EFConcat,rng_EF3WTTTD)*Buildings_Heat_Backend[[#This Row],[Converted data]]/1000)</f>
        <v/>
      </c>
      <c r="AL142" s="220">
        <f>SUM(Buildings_Heat_Backend[[#This Row],[Scope 1 (tCO2e)]:[Scope 3 WTT T&amp;D (tCO2e)]])</f>
        <v>0</v>
      </c>
      <c r="AM142" s="220" t="str">
        <f>IF(Buildings_Heat_Frontend[[#This Row],[Data]]="","", Buildings_Heat_Backend[[#This Row],[Total (tCO2e)]]*(1-Buildings_Heat_Backend[[#This Row],[RSD]]))</f>
        <v/>
      </c>
      <c r="AN142" s="220" t="str">
        <f>IF(Buildings_Heat_Frontend[[#This Row],[Data]]="","", Buildings_Heat_Backend[[#This Row],[Total (tCO2e)]]*(1+Buildings_Heat_Backend[[#This Row],[RSD]]))</f>
        <v/>
      </c>
      <c r="AO142" s="210" t="str">
        <f>IF(Buildings_Heat_Frontend[[#This Row],[Data]]="","", _xlfn.XLOOKUP(_xlfn.CONCAT(Buildings_Heat_Backend[[#This Row],[Level 1]:[Level 6]]),rng_EFConcat,rng_EFOOS)*Buildings_Heat_Backend[[#This Row],[Converted data]]/1000)</f>
        <v/>
      </c>
      <c r="AP142" s="174">
        <f>Buildings_Heat_Frontend[[#This Row],[Ease of collection]]</f>
        <v>0</v>
      </c>
      <c r="AQ142" s="174">
        <f>Buildings_Heat_Frontend[[#This Row],[Completeness]]</f>
        <v>0</v>
      </c>
      <c r="AR142" s="174">
        <f>Buildings_Heat_Frontend[[#This Row],[Notes]]</f>
        <v>0</v>
      </c>
    </row>
    <row r="143" spans="5:44" x14ac:dyDescent="0.3">
      <c r="E143" s="346"/>
      <c r="F143" s="364"/>
      <c r="G143" s="336"/>
      <c r="H143" s="336"/>
      <c r="I143" s="336"/>
      <c r="J143" s="334"/>
      <c r="K143" s="336"/>
      <c r="L143" s="336"/>
      <c r="M143" s="336"/>
      <c r="N143" s="352"/>
      <c r="O143" s="230">
        <f t="shared" si="5"/>
        <v>6</v>
      </c>
      <c r="Q143" s="212" t="str">
        <f t="shared" ref="Q143:Q206" si="6">IF(O143=0,SUBSTITUTE(2025&amp;TRIM(cl_org_name_select)&amp;TRIM($E$12)&amp;(ROW(O143)-ROW($O$15))," ",""),"")</f>
        <v/>
      </c>
      <c r="R143" s="174" t="s">
        <v>265</v>
      </c>
      <c r="S143" s="174" t="s">
        <v>273</v>
      </c>
      <c r="T143" s="174" t="str">
        <f>IF(Buildings_Heat_Frontend[[#This Row],[Data]]="","", _xlfn.XLOOKUP(Buildings_Heat_Backend[[#This Row],[Info 1]],Buildings_SiteInfo[Site name],Buildings_SiteInfo[Site type]))</f>
        <v/>
      </c>
      <c r="U143" s="174" t="str">
        <f>IF(Buildings_Heat_Frontend[[#This Row],[Data]]="","", Buildings_Heat_Frontend[[#This Row],[Heating Type]])</f>
        <v/>
      </c>
      <c r="V143" s="174" t="str">
        <f>IF(Buildings_Heat_Frontend[[#This Row],[Data]]="","", Buildings_Heat_Frontend[[#This Row],[Fuel]])</f>
        <v/>
      </c>
      <c r="W143" s="174" t="str" cm="1">
        <f t="array" ref="W143">IF(Buildings_Heat_Frontend[[#This Row],[Data]]="","", _xlfn.XLOOKUP(Buildings_Heat_Backend[[#This Row],[Level 5]],rng_Level5Long,rng_Level6Long))</f>
        <v/>
      </c>
      <c r="X143" s="174" t="str">
        <f>IF(Buildings_Heat_Frontend[[#This Row],[Data]]="","", Buildings_Heat_Frontend[[#This Row],[Site Name]])</f>
        <v/>
      </c>
      <c r="Y143" s="174" t="str">
        <f>IF(Buildings_Heat_Frontend[[#This Row],[Data]]="","", Buildings_Heat_Frontend[[#This Row],[MPRN]])</f>
        <v/>
      </c>
      <c r="Z143" s="174" t="str">
        <f>IF(Buildings_Heat_Frontend[[#This Row],[Data]]="","", IF($I143="","",$I143))</f>
        <v/>
      </c>
      <c r="AA143" s="229" t="str" cm="1">
        <f t="array" ref="AA143">IF(Buildings_Heat_Frontend[[#This Row],[Data]]="","", INDEX(_xlfn.SWITCH(Buildings_Heat_Backend[[#This Row],[Methodology]],"Tier 1",rng_RSD1,"Tier 2",rng_RSD2,"Tier 3",rng_RSD3),MATCH(_xlfn.CONCAT(Buildings_Heat_Backend[[#This Row],[Level 1]:[Level 6]]),rng_LevelsConcat,0)))</f>
        <v/>
      </c>
      <c r="AB143" s="220" t="str">
        <f t="shared" ref="AB143:AB206" si="7">IF($J143="","",$J143)</f>
        <v/>
      </c>
      <c r="AC143" s="174">
        <f>Buildings_Heat_Frontend[[#This Row],[Units]]</f>
        <v>0</v>
      </c>
      <c r="AD14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3" s="174" t="str">
        <f>IF(Buildings_Heat_Frontend[[#This Row],[Data]]="","", _xlfn.XLOOKUP(_xlfn.CONCAT(Buildings_Heat_Backend[[#This Row],[Level 1]:[Level 6]]),rng_LevelsConcat,rng_UnitsLong))</f>
        <v/>
      </c>
      <c r="AF143" s="210" t="str">
        <f>IF(Buildings_Heat_Frontend[[#This Row],[Data]]="","", _xlfn.XLOOKUP(_xlfn.CONCAT(Buildings_Heat_Backend[[#This Row],[Level 1]:[Level 6]]),rng_EFConcat,rng_EF1)*Buildings_Heat_Backend[[#This Row],[Converted data]]/1000)</f>
        <v/>
      </c>
      <c r="AG143" s="210" t="str">
        <f>IF(Buildings_Heat_Frontend[[#This Row],[Data]]="","", _xlfn.XLOOKUP(_xlfn.CONCAT(Buildings_Heat_Backend[[#This Row],[Level 1]:[Level 6]]),rng_EFConcat,rng_EF2)*Buildings_Heat_Backend[[#This Row],[Converted data]]/1000)</f>
        <v/>
      </c>
      <c r="AH143" s="210" t="str">
        <f>IF(Buildings_Heat_Frontend[[#This Row],[Data]]="","", _xlfn.XLOOKUP(_xlfn.CONCAT(Buildings_Heat_Backend[[#This Row],[Level 1]:[Level 6]]),rng_EFConcat,rng_EF3)*Buildings_Heat_Backend[[#This Row],[Converted data]]/1000)</f>
        <v/>
      </c>
      <c r="AI143" s="210" t="str">
        <f>IF(Buildings_Heat_Frontend[[#This Row],[Data]]="","", _xlfn.XLOOKUP(_xlfn.CONCAT(Buildings_Heat_Backend[[#This Row],[Level 1]:[Level 6]]),rng_EFConcat,rng_EF3WTT)*Buildings_Heat_Backend[[#This Row],[Converted data]]/1000)</f>
        <v/>
      </c>
      <c r="AJ143" s="210" t="str">
        <f>IF(Buildings_Heat_Frontend[[#This Row],[Data]]="","", _xlfn.XLOOKUP(_xlfn.CONCAT(Buildings_Heat_Backend[[#This Row],[Level 1]:[Level 6]]),rng_EFConcat,rng_EF3TD)*Buildings_Heat_Backend[[#This Row],[Converted data]]/1000)</f>
        <v/>
      </c>
      <c r="AK143" s="210" t="str">
        <f>IF(Buildings_Heat_Frontend[[#This Row],[Data]]="","", _xlfn.XLOOKUP(_xlfn.CONCAT(Buildings_Heat_Backend[[#This Row],[Level 1]:[Level 6]]),rng_EFConcat,rng_EF3WTTTD)*Buildings_Heat_Backend[[#This Row],[Converted data]]/1000)</f>
        <v/>
      </c>
      <c r="AL143" s="220">
        <f>SUM(Buildings_Heat_Backend[[#This Row],[Scope 1 (tCO2e)]:[Scope 3 WTT T&amp;D (tCO2e)]])</f>
        <v>0</v>
      </c>
      <c r="AM143" s="220" t="str">
        <f>IF(Buildings_Heat_Frontend[[#This Row],[Data]]="","", Buildings_Heat_Backend[[#This Row],[Total (tCO2e)]]*(1-Buildings_Heat_Backend[[#This Row],[RSD]]))</f>
        <v/>
      </c>
      <c r="AN143" s="220" t="str">
        <f>IF(Buildings_Heat_Frontend[[#This Row],[Data]]="","", Buildings_Heat_Backend[[#This Row],[Total (tCO2e)]]*(1+Buildings_Heat_Backend[[#This Row],[RSD]]))</f>
        <v/>
      </c>
      <c r="AO143" s="210" t="str">
        <f>IF(Buildings_Heat_Frontend[[#This Row],[Data]]="","", _xlfn.XLOOKUP(_xlfn.CONCAT(Buildings_Heat_Backend[[#This Row],[Level 1]:[Level 6]]),rng_EFConcat,rng_EFOOS)*Buildings_Heat_Backend[[#This Row],[Converted data]]/1000)</f>
        <v/>
      </c>
      <c r="AP143" s="174">
        <f>Buildings_Heat_Frontend[[#This Row],[Ease of collection]]</f>
        <v>0</v>
      </c>
      <c r="AQ143" s="174">
        <f>Buildings_Heat_Frontend[[#This Row],[Completeness]]</f>
        <v>0</v>
      </c>
      <c r="AR143" s="174">
        <f>Buildings_Heat_Frontend[[#This Row],[Notes]]</f>
        <v>0</v>
      </c>
    </row>
    <row r="144" spans="5:44" x14ac:dyDescent="0.3">
      <c r="E144" s="346"/>
      <c r="F144" s="364"/>
      <c r="G144" s="336"/>
      <c r="H144" s="336"/>
      <c r="I144" s="336"/>
      <c r="J144" s="334"/>
      <c r="K144" s="336"/>
      <c r="L144" s="336"/>
      <c r="M144" s="336"/>
      <c r="N144" s="352"/>
      <c r="O144" s="230">
        <f t="shared" ref="O144:O207" si="8">ISBLANK(E144)+ISBLANK(G144)+ISBLANK(H144)+ISBLANK(I144)+ISBLANK(J144)+ISBLANK(K144)</f>
        <v>6</v>
      </c>
      <c r="Q144" s="212" t="str">
        <f t="shared" si="6"/>
        <v/>
      </c>
      <c r="R144" s="174" t="s">
        <v>265</v>
      </c>
      <c r="S144" s="174" t="s">
        <v>273</v>
      </c>
      <c r="T144" s="174" t="str">
        <f>IF(Buildings_Heat_Frontend[[#This Row],[Data]]="","", _xlfn.XLOOKUP(Buildings_Heat_Backend[[#This Row],[Info 1]],Buildings_SiteInfo[Site name],Buildings_SiteInfo[Site type]))</f>
        <v/>
      </c>
      <c r="U144" s="174" t="str">
        <f>IF(Buildings_Heat_Frontend[[#This Row],[Data]]="","", Buildings_Heat_Frontend[[#This Row],[Heating Type]])</f>
        <v/>
      </c>
      <c r="V144" s="174" t="str">
        <f>IF(Buildings_Heat_Frontend[[#This Row],[Data]]="","", Buildings_Heat_Frontend[[#This Row],[Fuel]])</f>
        <v/>
      </c>
      <c r="W144" s="174" t="str" cm="1">
        <f t="array" ref="W144">IF(Buildings_Heat_Frontend[[#This Row],[Data]]="","", _xlfn.XLOOKUP(Buildings_Heat_Backend[[#This Row],[Level 5]],rng_Level5Long,rng_Level6Long))</f>
        <v/>
      </c>
      <c r="X144" s="174" t="str">
        <f>IF(Buildings_Heat_Frontend[[#This Row],[Data]]="","", Buildings_Heat_Frontend[[#This Row],[Site Name]])</f>
        <v/>
      </c>
      <c r="Y144" s="174" t="str">
        <f>IF(Buildings_Heat_Frontend[[#This Row],[Data]]="","", Buildings_Heat_Frontend[[#This Row],[MPRN]])</f>
        <v/>
      </c>
      <c r="Z144" s="174" t="str">
        <f>IF(Buildings_Heat_Frontend[[#This Row],[Data]]="","", IF($I144="","",$I144))</f>
        <v/>
      </c>
      <c r="AA144" s="229" t="str" cm="1">
        <f t="array" ref="AA144">IF(Buildings_Heat_Frontend[[#This Row],[Data]]="","", INDEX(_xlfn.SWITCH(Buildings_Heat_Backend[[#This Row],[Methodology]],"Tier 1",rng_RSD1,"Tier 2",rng_RSD2,"Tier 3",rng_RSD3),MATCH(_xlfn.CONCAT(Buildings_Heat_Backend[[#This Row],[Level 1]:[Level 6]]),rng_LevelsConcat,0)))</f>
        <v/>
      </c>
      <c r="AB144" s="220" t="str">
        <f t="shared" si="7"/>
        <v/>
      </c>
      <c r="AC144" s="174">
        <f>Buildings_Heat_Frontend[[#This Row],[Units]]</f>
        <v>0</v>
      </c>
      <c r="AD14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4" s="174" t="str">
        <f>IF(Buildings_Heat_Frontend[[#This Row],[Data]]="","", _xlfn.XLOOKUP(_xlfn.CONCAT(Buildings_Heat_Backend[[#This Row],[Level 1]:[Level 6]]),rng_LevelsConcat,rng_UnitsLong))</f>
        <v/>
      </c>
      <c r="AF144" s="210" t="str">
        <f>IF(Buildings_Heat_Frontend[[#This Row],[Data]]="","", _xlfn.XLOOKUP(_xlfn.CONCAT(Buildings_Heat_Backend[[#This Row],[Level 1]:[Level 6]]),rng_EFConcat,rng_EF1)*Buildings_Heat_Backend[[#This Row],[Converted data]]/1000)</f>
        <v/>
      </c>
      <c r="AG144" s="210" t="str">
        <f>IF(Buildings_Heat_Frontend[[#This Row],[Data]]="","", _xlfn.XLOOKUP(_xlfn.CONCAT(Buildings_Heat_Backend[[#This Row],[Level 1]:[Level 6]]),rng_EFConcat,rng_EF2)*Buildings_Heat_Backend[[#This Row],[Converted data]]/1000)</f>
        <v/>
      </c>
      <c r="AH144" s="210" t="str">
        <f>IF(Buildings_Heat_Frontend[[#This Row],[Data]]="","", _xlfn.XLOOKUP(_xlfn.CONCAT(Buildings_Heat_Backend[[#This Row],[Level 1]:[Level 6]]),rng_EFConcat,rng_EF3)*Buildings_Heat_Backend[[#This Row],[Converted data]]/1000)</f>
        <v/>
      </c>
      <c r="AI144" s="210" t="str">
        <f>IF(Buildings_Heat_Frontend[[#This Row],[Data]]="","", _xlfn.XLOOKUP(_xlfn.CONCAT(Buildings_Heat_Backend[[#This Row],[Level 1]:[Level 6]]),rng_EFConcat,rng_EF3WTT)*Buildings_Heat_Backend[[#This Row],[Converted data]]/1000)</f>
        <v/>
      </c>
      <c r="AJ144" s="210" t="str">
        <f>IF(Buildings_Heat_Frontend[[#This Row],[Data]]="","", _xlfn.XLOOKUP(_xlfn.CONCAT(Buildings_Heat_Backend[[#This Row],[Level 1]:[Level 6]]),rng_EFConcat,rng_EF3TD)*Buildings_Heat_Backend[[#This Row],[Converted data]]/1000)</f>
        <v/>
      </c>
      <c r="AK144" s="210" t="str">
        <f>IF(Buildings_Heat_Frontend[[#This Row],[Data]]="","", _xlfn.XLOOKUP(_xlfn.CONCAT(Buildings_Heat_Backend[[#This Row],[Level 1]:[Level 6]]),rng_EFConcat,rng_EF3WTTTD)*Buildings_Heat_Backend[[#This Row],[Converted data]]/1000)</f>
        <v/>
      </c>
      <c r="AL144" s="220">
        <f>SUM(Buildings_Heat_Backend[[#This Row],[Scope 1 (tCO2e)]:[Scope 3 WTT T&amp;D (tCO2e)]])</f>
        <v>0</v>
      </c>
      <c r="AM144" s="220" t="str">
        <f>IF(Buildings_Heat_Frontend[[#This Row],[Data]]="","", Buildings_Heat_Backend[[#This Row],[Total (tCO2e)]]*(1-Buildings_Heat_Backend[[#This Row],[RSD]]))</f>
        <v/>
      </c>
      <c r="AN144" s="220" t="str">
        <f>IF(Buildings_Heat_Frontend[[#This Row],[Data]]="","", Buildings_Heat_Backend[[#This Row],[Total (tCO2e)]]*(1+Buildings_Heat_Backend[[#This Row],[RSD]]))</f>
        <v/>
      </c>
      <c r="AO144" s="210" t="str">
        <f>IF(Buildings_Heat_Frontend[[#This Row],[Data]]="","", _xlfn.XLOOKUP(_xlfn.CONCAT(Buildings_Heat_Backend[[#This Row],[Level 1]:[Level 6]]),rng_EFConcat,rng_EFOOS)*Buildings_Heat_Backend[[#This Row],[Converted data]]/1000)</f>
        <v/>
      </c>
      <c r="AP144" s="174">
        <f>Buildings_Heat_Frontend[[#This Row],[Ease of collection]]</f>
        <v>0</v>
      </c>
      <c r="AQ144" s="174">
        <f>Buildings_Heat_Frontend[[#This Row],[Completeness]]</f>
        <v>0</v>
      </c>
      <c r="AR144" s="174">
        <f>Buildings_Heat_Frontend[[#This Row],[Notes]]</f>
        <v>0</v>
      </c>
    </row>
    <row r="145" spans="5:44" x14ac:dyDescent="0.3">
      <c r="E145" s="346"/>
      <c r="F145" s="364"/>
      <c r="G145" s="336"/>
      <c r="H145" s="336"/>
      <c r="I145" s="336"/>
      <c r="J145" s="334"/>
      <c r="K145" s="336"/>
      <c r="L145" s="336"/>
      <c r="M145" s="336"/>
      <c r="N145" s="352"/>
      <c r="O145" s="230">
        <f t="shared" si="8"/>
        <v>6</v>
      </c>
      <c r="Q145" s="212" t="str">
        <f t="shared" si="6"/>
        <v/>
      </c>
      <c r="R145" s="174" t="s">
        <v>265</v>
      </c>
      <c r="S145" s="174" t="s">
        <v>273</v>
      </c>
      <c r="T145" s="174" t="str">
        <f>IF(Buildings_Heat_Frontend[[#This Row],[Data]]="","", _xlfn.XLOOKUP(Buildings_Heat_Backend[[#This Row],[Info 1]],Buildings_SiteInfo[Site name],Buildings_SiteInfo[Site type]))</f>
        <v/>
      </c>
      <c r="U145" s="174" t="str">
        <f>IF(Buildings_Heat_Frontend[[#This Row],[Data]]="","", Buildings_Heat_Frontend[[#This Row],[Heating Type]])</f>
        <v/>
      </c>
      <c r="V145" s="174" t="str">
        <f>IF(Buildings_Heat_Frontend[[#This Row],[Data]]="","", Buildings_Heat_Frontend[[#This Row],[Fuel]])</f>
        <v/>
      </c>
      <c r="W145" s="174" t="str" cm="1">
        <f t="array" ref="W145">IF(Buildings_Heat_Frontend[[#This Row],[Data]]="","", _xlfn.XLOOKUP(Buildings_Heat_Backend[[#This Row],[Level 5]],rng_Level5Long,rng_Level6Long))</f>
        <v/>
      </c>
      <c r="X145" s="174" t="str">
        <f>IF(Buildings_Heat_Frontend[[#This Row],[Data]]="","", Buildings_Heat_Frontend[[#This Row],[Site Name]])</f>
        <v/>
      </c>
      <c r="Y145" s="174" t="str">
        <f>IF(Buildings_Heat_Frontend[[#This Row],[Data]]="","", Buildings_Heat_Frontend[[#This Row],[MPRN]])</f>
        <v/>
      </c>
      <c r="Z145" s="174" t="str">
        <f>IF(Buildings_Heat_Frontend[[#This Row],[Data]]="","", IF($I145="","",$I145))</f>
        <v/>
      </c>
      <c r="AA145" s="229" t="str" cm="1">
        <f t="array" ref="AA145">IF(Buildings_Heat_Frontend[[#This Row],[Data]]="","", INDEX(_xlfn.SWITCH(Buildings_Heat_Backend[[#This Row],[Methodology]],"Tier 1",rng_RSD1,"Tier 2",rng_RSD2,"Tier 3",rng_RSD3),MATCH(_xlfn.CONCAT(Buildings_Heat_Backend[[#This Row],[Level 1]:[Level 6]]),rng_LevelsConcat,0)))</f>
        <v/>
      </c>
      <c r="AB145" s="220" t="str">
        <f t="shared" si="7"/>
        <v/>
      </c>
      <c r="AC145" s="174">
        <f>Buildings_Heat_Frontend[[#This Row],[Units]]</f>
        <v>0</v>
      </c>
      <c r="AD14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5" s="174" t="str">
        <f>IF(Buildings_Heat_Frontend[[#This Row],[Data]]="","", _xlfn.XLOOKUP(_xlfn.CONCAT(Buildings_Heat_Backend[[#This Row],[Level 1]:[Level 6]]),rng_LevelsConcat,rng_UnitsLong))</f>
        <v/>
      </c>
      <c r="AF145" s="210" t="str">
        <f>IF(Buildings_Heat_Frontend[[#This Row],[Data]]="","", _xlfn.XLOOKUP(_xlfn.CONCAT(Buildings_Heat_Backend[[#This Row],[Level 1]:[Level 6]]),rng_EFConcat,rng_EF1)*Buildings_Heat_Backend[[#This Row],[Converted data]]/1000)</f>
        <v/>
      </c>
      <c r="AG145" s="210" t="str">
        <f>IF(Buildings_Heat_Frontend[[#This Row],[Data]]="","", _xlfn.XLOOKUP(_xlfn.CONCAT(Buildings_Heat_Backend[[#This Row],[Level 1]:[Level 6]]),rng_EFConcat,rng_EF2)*Buildings_Heat_Backend[[#This Row],[Converted data]]/1000)</f>
        <v/>
      </c>
      <c r="AH145" s="210" t="str">
        <f>IF(Buildings_Heat_Frontend[[#This Row],[Data]]="","", _xlfn.XLOOKUP(_xlfn.CONCAT(Buildings_Heat_Backend[[#This Row],[Level 1]:[Level 6]]),rng_EFConcat,rng_EF3)*Buildings_Heat_Backend[[#This Row],[Converted data]]/1000)</f>
        <v/>
      </c>
      <c r="AI145" s="210" t="str">
        <f>IF(Buildings_Heat_Frontend[[#This Row],[Data]]="","", _xlfn.XLOOKUP(_xlfn.CONCAT(Buildings_Heat_Backend[[#This Row],[Level 1]:[Level 6]]),rng_EFConcat,rng_EF3WTT)*Buildings_Heat_Backend[[#This Row],[Converted data]]/1000)</f>
        <v/>
      </c>
      <c r="AJ145" s="210" t="str">
        <f>IF(Buildings_Heat_Frontend[[#This Row],[Data]]="","", _xlfn.XLOOKUP(_xlfn.CONCAT(Buildings_Heat_Backend[[#This Row],[Level 1]:[Level 6]]),rng_EFConcat,rng_EF3TD)*Buildings_Heat_Backend[[#This Row],[Converted data]]/1000)</f>
        <v/>
      </c>
      <c r="AK145" s="210" t="str">
        <f>IF(Buildings_Heat_Frontend[[#This Row],[Data]]="","", _xlfn.XLOOKUP(_xlfn.CONCAT(Buildings_Heat_Backend[[#This Row],[Level 1]:[Level 6]]),rng_EFConcat,rng_EF3WTTTD)*Buildings_Heat_Backend[[#This Row],[Converted data]]/1000)</f>
        <v/>
      </c>
      <c r="AL145" s="220">
        <f>SUM(Buildings_Heat_Backend[[#This Row],[Scope 1 (tCO2e)]:[Scope 3 WTT T&amp;D (tCO2e)]])</f>
        <v>0</v>
      </c>
      <c r="AM145" s="220" t="str">
        <f>IF(Buildings_Heat_Frontend[[#This Row],[Data]]="","", Buildings_Heat_Backend[[#This Row],[Total (tCO2e)]]*(1-Buildings_Heat_Backend[[#This Row],[RSD]]))</f>
        <v/>
      </c>
      <c r="AN145" s="220" t="str">
        <f>IF(Buildings_Heat_Frontend[[#This Row],[Data]]="","", Buildings_Heat_Backend[[#This Row],[Total (tCO2e)]]*(1+Buildings_Heat_Backend[[#This Row],[RSD]]))</f>
        <v/>
      </c>
      <c r="AO145" s="210" t="str">
        <f>IF(Buildings_Heat_Frontend[[#This Row],[Data]]="","", _xlfn.XLOOKUP(_xlfn.CONCAT(Buildings_Heat_Backend[[#This Row],[Level 1]:[Level 6]]),rng_EFConcat,rng_EFOOS)*Buildings_Heat_Backend[[#This Row],[Converted data]]/1000)</f>
        <v/>
      </c>
      <c r="AP145" s="174">
        <f>Buildings_Heat_Frontend[[#This Row],[Ease of collection]]</f>
        <v>0</v>
      </c>
      <c r="AQ145" s="174">
        <f>Buildings_Heat_Frontend[[#This Row],[Completeness]]</f>
        <v>0</v>
      </c>
      <c r="AR145" s="174">
        <f>Buildings_Heat_Frontend[[#This Row],[Notes]]</f>
        <v>0</v>
      </c>
    </row>
    <row r="146" spans="5:44" x14ac:dyDescent="0.3">
      <c r="E146" s="346"/>
      <c r="F146" s="364"/>
      <c r="G146" s="336"/>
      <c r="H146" s="336"/>
      <c r="I146" s="336"/>
      <c r="J146" s="334"/>
      <c r="K146" s="336"/>
      <c r="L146" s="336"/>
      <c r="M146" s="336"/>
      <c r="N146" s="352"/>
      <c r="O146" s="230">
        <f t="shared" si="8"/>
        <v>6</v>
      </c>
      <c r="Q146" s="212" t="str">
        <f t="shared" si="6"/>
        <v/>
      </c>
      <c r="R146" s="174" t="s">
        <v>265</v>
      </c>
      <c r="S146" s="174" t="s">
        <v>273</v>
      </c>
      <c r="T146" s="174" t="str">
        <f>IF(Buildings_Heat_Frontend[[#This Row],[Data]]="","", _xlfn.XLOOKUP(Buildings_Heat_Backend[[#This Row],[Info 1]],Buildings_SiteInfo[Site name],Buildings_SiteInfo[Site type]))</f>
        <v/>
      </c>
      <c r="U146" s="174" t="str">
        <f>IF(Buildings_Heat_Frontend[[#This Row],[Data]]="","", Buildings_Heat_Frontend[[#This Row],[Heating Type]])</f>
        <v/>
      </c>
      <c r="V146" s="174" t="str">
        <f>IF(Buildings_Heat_Frontend[[#This Row],[Data]]="","", Buildings_Heat_Frontend[[#This Row],[Fuel]])</f>
        <v/>
      </c>
      <c r="W146" s="174" t="str" cm="1">
        <f t="array" ref="W146">IF(Buildings_Heat_Frontend[[#This Row],[Data]]="","", _xlfn.XLOOKUP(Buildings_Heat_Backend[[#This Row],[Level 5]],rng_Level5Long,rng_Level6Long))</f>
        <v/>
      </c>
      <c r="X146" s="174" t="str">
        <f>IF(Buildings_Heat_Frontend[[#This Row],[Data]]="","", Buildings_Heat_Frontend[[#This Row],[Site Name]])</f>
        <v/>
      </c>
      <c r="Y146" s="174" t="str">
        <f>IF(Buildings_Heat_Frontend[[#This Row],[Data]]="","", Buildings_Heat_Frontend[[#This Row],[MPRN]])</f>
        <v/>
      </c>
      <c r="Z146" s="174" t="str">
        <f>IF(Buildings_Heat_Frontend[[#This Row],[Data]]="","", IF($I146="","",$I146))</f>
        <v/>
      </c>
      <c r="AA146" s="229" t="str" cm="1">
        <f t="array" ref="AA146">IF(Buildings_Heat_Frontend[[#This Row],[Data]]="","", INDEX(_xlfn.SWITCH(Buildings_Heat_Backend[[#This Row],[Methodology]],"Tier 1",rng_RSD1,"Tier 2",rng_RSD2,"Tier 3",rng_RSD3),MATCH(_xlfn.CONCAT(Buildings_Heat_Backend[[#This Row],[Level 1]:[Level 6]]),rng_LevelsConcat,0)))</f>
        <v/>
      </c>
      <c r="AB146" s="220" t="str">
        <f t="shared" si="7"/>
        <v/>
      </c>
      <c r="AC146" s="174">
        <f>Buildings_Heat_Frontend[[#This Row],[Units]]</f>
        <v>0</v>
      </c>
      <c r="AD14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6" s="174" t="str">
        <f>IF(Buildings_Heat_Frontend[[#This Row],[Data]]="","", _xlfn.XLOOKUP(_xlfn.CONCAT(Buildings_Heat_Backend[[#This Row],[Level 1]:[Level 6]]),rng_LevelsConcat,rng_UnitsLong))</f>
        <v/>
      </c>
      <c r="AF146" s="210" t="str">
        <f>IF(Buildings_Heat_Frontend[[#This Row],[Data]]="","", _xlfn.XLOOKUP(_xlfn.CONCAT(Buildings_Heat_Backend[[#This Row],[Level 1]:[Level 6]]),rng_EFConcat,rng_EF1)*Buildings_Heat_Backend[[#This Row],[Converted data]]/1000)</f>
        <v/>
      </c>
      <c r="AG146" s="210" t="str">
        <f>IF(Buildings_Heat_Frontend[[#This Row],[Data]]="","", _xlfn.XLOOKUP(_xlfn.CONCAT(Buildings_Heat_Backend[[#This Row],[Level 1]:[Level 6]]),rng_EFConcat,rng_EF2)*Buildings_Heat_Backend[[#This Row],[Converted data]]/1000)</f>
        <v/>
      </c>
      <c r="AH146" s="210" t="str">
        <f>IF(Buildings_Heat_Frontend[[#This Row],[Data]]="","", _xlfn.XLOOKUP(_xlfn.CONCAT(Buildings_Heat_Backend[[#This Row],[Level 1]:[Level 6]]),rng_EFConcat,rng_EF3)*Buildings_Heat_Backend[[#This Row],[Converted data]]/1000)</f>
        <v/>
      </c>
      <c r="AI146" s="210" t="str">
        <f>IF(Buildings_Heat_Frontend[[#This Row],[Data]]="","", _xlfn.XLOOKUP(_xlfn.CONCAT(Buildings_Heat_Backend[[#This Row],[Level 1]:[Level 6]]),rng_EFConcat,rng_EF3WTT)*Buildings_Heat_Backend[[#This Row],[Converted data]]/1000)</f>
        <v/>
      </c>
      <c r="AJ146" s="210" t="str">
        <f>IF(Buildings_Heat_Frontend[[#This Row],[Data]]="","", _xlfn.XLOOKUP(_xlfn.CONCAT(Buildings_Heat_Backend[[#This Row],[Level 1]:[Level 6]]),rng_EFConcat,rng_EF3TD)*Buildings_Heat_Backend[[#This Row],[Converted data]]/1000)</f>
        <v/>
      </c>
      <c r="AK146" s="210" t="str">
        <f>IF(Buildings_Heat_Frontend[[#This Row],[Data]]="","", _xlfn.XLOOKUP(_xlfn.CONCAT(Buildings_Heat_Backend[[#This Row],[Level 1]:[Level 6]]),rng_EFConcat,rng_EF3WTTTD)*Buildings_Heat_Backend[[#This Row],[Converted data]]/1000)</f>
        <v/>
      </c>
      <c r="AL146" s="220">
        <f>SUM(Buildings_Heat_Backend[[#This Row],[Scope 1 (tCO2e)]:[Scope 3 WTT T&amp;D (tCO2e)]])</f>
        <v>0</v>
      </c>
      <c r="AM146" s="220" t="str">
        <f>IF(Buildings_Heat_Frontend[[#This Row],[Data]]="","", Buildings_Heat_Backend[[#This Row],[Total (tCO2e)]]*(1-Buildings_Heat_Backend[[#This Row],[RSD]]))</f>
        <v/>
      </c>
      <c r="AN146" s="220" t="str">
        <f>IF(Buildings_Heat_Frontend[[#This Row],[Data]]="","", Buildings_Heat_Backend[[#This Row],[Total (tCO2e)]]*(1+Buildings_Heat_Backend[[#This Row],[RSD]]))</f>
        <v/>
      </c>
      <c r="AO146" s="210" t="str">
        <f>IF(Buildings_Heat_Frontend[[#This Row],[Data]]="","", _xlfn.XLOOKUP(_xlfn.CONCAT(Buildings_Heat_Backend[[#This Row],[Level 1]:[Level 6]]),rng_EFConcat,rng_EFOOS)*Buildings_Heat_Backend[[#This Row],[Converted data]]/1000)</f>
        <v/>
      </c>
      <c r="AP146" s="174">
        <f>Buildings_Heat_Frontend[[#This Row],[Ease of collection]]</f>
        <v>0</v>
      </c>
      <c r="AQ146" s="174">
        <f>Buildings_Heat_Frontend[[#This Row],[Completeness]]</f>
        <v>0</v>
      </c>
      <c r="AR146" s="174">
        <f>Buildings_Heat_Frontend[[#This Row],[Notes]]</f>
        <v>0</v>
      </c>
    </row>
    <row r="147" spans="5:44" x14ac:dyDescent="0.3">
      <c r="E147" s="346"/>
      <c r="F147" s="364"/>
      <c r="G147" s="336"/>
      <c r="H147" s="336"/>
      <c r="I147" s="336"/>
      <c r="J147" s="334"/>
      <c r="K147" s="336"/>
      <c r="L147" s="336"/>
      <c r="M147" s="336"/>
      <c r="N147" s="352"/>
      <c r="O147" s="230">
        <f t="shared" si="8"/>
        <v>6</v>
      </c>
      <c r="Q147" s="212" t="str">
        <f t="shared" si="6"/>
        <v/>
      </c>
      <c r="R147" s="174" t="s">
        <v>265</v>
      </c>
      <c r="S147" s="174" t="s">
        <v>273</v>
      </c>
      <c r="T147" s="174" t="str">
        <f>IF(Buildings_Heat_Frontend[[#This Row],[Data]]="","", _xlfn.XLOOKUP(Buildings_Heat_Backend[[#This Row],[Info 1]],Buildings_SiteInfo[Site name],Buildings_SiteInfo[Site type]))</f>
        <v/>
      </c>
      <c r="U147" s="174" t="str">
        <f>IF(Buildings_Heat_Frontend[[#This Row],[Data]]="","", Buildings_Heat_Frontend[[#This Row],[Heating Type]])</f>
        <v/>
      </c>
      <c r="V147" s="174" t="str">
        <f>IF(Buildings_Heat_Frontend[[#This Row],[Data]]="","", Buildings_Heat_Frontend[[#This Row],[Fuel]])</f>
        <v/>
      </c>
      <c r="W147" s="174" t="str" cm="1">
        <f t="array" ref="W147">IF(Buildings_Heat_Frontend[[#This Row],[Data]]="","", _xlfn.XLOOKUP(Buildings_Heat_Backend[[#This Row],[Level 5]],rng_Level5Long,rng_Level6Long))</f>
        <v/>
      </c>
      <c r="X147" s="174" t="str">
        <f>IF(Buildings_Heat_Frontend[[#This Row],[Data]]="","", Buildings_Heat_Frontend[[#This Row],[Site Name]])</f>
        <v/>
      </c>
      <c r="Y147" s="174" t="str">
        <f>IF(Buildings_Heat_Frontend[[#This Row],[Data]]="","", Buildings_Heat_Frontend[[#This Row],[MPRN]])</f>
        <v/>
      </c>
      <c r="Z147" s="174" t="str">
        <f>IF(Buildings_Heat_Frontend[[#This Row],[Data]]="","", IF($I147="","",$I147))</f>
        <v/>
      </c>
      <c r="AA147" s="229" t="str" cm="1">
        <f t="array" ref="AA147">IF(Buildings_Heat_Frontend[[#This Row],[Data]]="","", INDEX(_xlfn.SWITCH(Buildings_Heat_Backend[[#This Row],[Methodology]],"Tier 1",rng_RSD1,"Tier 2",rng_RSD2,"Tier 3",rng_RSD3),MATCH(_xlfn.CONCAT(Buildings_Heat_Backend[[#This Row],[Level 1]:[Level 6]]),rng_LevelsConcat,0)))</f>
        <v/>
      </c>
      <c r="AB147" s="220" t="str">
        <f t="shared" si="7"/>
        <v/>
      </c>
      <c r="AC147" s="174">
        <f>Buildings_Heat_Frontend[[#This Row],[Units]]</f>
        <v>0</v>
      </c>
      <c r="AD14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7" s="174" t="str">
        <f>IF(Buildings_Heat_Frontend[[#This Row],[Data]]="","", _xlfn.XLOOKUP(_xlfn.CONCAT(Buildings_Heat_Backend[[#This Row],[Level 1]:[Level 6]]),rng_LevelsConcat,rng_UnitsLong))</f>
        <v/>
      </c>
      <c r="AF147" s="210" t="str">
        <f>IF(Buildings_Heat_Frontend[[#This Row],[Data]]="","", _xlfn.XLOOKUP(_xlfn.CONCAT(Buildings_Heat_Backend[[#This Row],[Level 1]:[Level 6]]),rng_EFConcat,rng_EF1)*Buildings_Heat_Backend[[#This Row],[Converted data]]/1000)</f>
        <v/>
      </c>
      <c r="AG147" s="210" t="str">
        <f>IF(Buildings_Heat_Frontend[[#This Row],[Data]]="","", _xlfn.XLOOKUP(_xlfn.CONCAT(Buildings_Heat_Backend[[#This Row],[Level 1]:[Level 6]]),rng_EFConcat,rng_EF2)*Buildings_Heat_Backend[[#This Row],[Converted data]]/1000)</f>
        <v/>
      </c>
      <c r="AH147" s="210" t="str">
        <f>IF(Buildings_Heat_Frontend[[#This Row],[Data]]="","", _xlfn.XLOOKUP(_xlfn.CONCAT(Buildings_Heat_Backend[[#This Row],[Level 1]:[Level 6]]),rng_EFConcat,rng_EF3)*Buildings_Heat_Backend[[#This Row],[Converted data]]/1000)</f>
        <v/>
      </c>
      <c r="AI147" s="210" t="str">
        <f>IF(Buildings_Heat_Frontend[[#This Row],[Data]]="","", _xlfn.XLOOKUP(_xlfn.CONCAT(Buildings_Heat_Backend[[#This Row],[Level 1]:[Level 6]]),rng_EFConcat,rng_EF3WTT)*Buildings_Heat_Backend[[#This Row],[Converted data]]/1000)</f>
        <v/>
      </c>
      <c r="AJ147" s="210" t="str">
        <f>IF(Buildings_Heat_Frontend[[#This Row],[Data]]="","", _xlfn.XLOOKUP(_xlfn.CONCAT(Buildings_Heat_Backend[[#This Row],[Level 1]:[Level 6]]),rng_EFConcat,rng_EF3TD)*Buildings_Heat_Backend[[#This Row],[Converted data]]/1000)</f>
        <v/>
      </c>
      <c r="AK147" s="210" t="str">
        <f>IF(Buildings_Heat_Frontend[[#This Row],[Data]]="","", _xlfn.XLOOKUP(_xlfn.CONCAT(Buildings_Heat_Backend[[#This Row],[Level 1]:[Level 6]]),rng_EFConcat,rng_EF3WTTTD)*Buildings_Heat_Backend[[#This Row],[Converted data]]/1000)</f>
        <v/>
      </c>
      <c r="AL147" s="220">
        <f>SUM(Buildings_Heat_Backend[[#This Row],[Scope 1 (tCO2e)]:[Scope 3 WTT T&amp;D (tCO2e)]])</f>
        <v>0</v>
      </c>
      <c r="AM147" s="220" t="str">
        <f>IF(Buildings_Heat_Frontend[[#This Row],[Data]]="","", Buildings_Heat_Backend[[#This Row],[Total (tCO2e)]]*(1-Buildings_Heat_Backend[[#This Row],[RSD]]))</f>
        <v/>
      </c>
      <c r="AN147" s="220" t="str">
        <f>IF(Buildings_Heat_Frontend[[#This Row],[Data]]="","", Buildings_Heat_Backend[[#This Row],[Total (tCO2e)]]*(1+Buildings_Heat_Backend[[#This Row],[RSD]]))</f>
        <v/>
      </c>
      <c r="AO147" s="210" t="str">
        <f>IF(Buildings_Heat_Frontend[[#This Row],[Data]]="","", _xlfn.XLOOKUP(_xlfn.CONCAT(Buildings_Heat_Backend[[#This Row],[Level 1]:[Level 6]]),rng_EFConcat,rng_EFOOS)*Buildings_Heat_Backend[[#This Row],[Converted data]]/1000)</f>
        <v/>
      </c>
      <c r="AP147" s="174">
        <f>Buildings_Heat_Frontend[[#This Row],[Ease of collection]]</f>
        <v>0</v>
      </c>
      <c r="AQ147" s="174">
        <f>Buildings_Heat_Frontend[[#This Row],[Completeness]]</f>
        <v>0</v>
      </c>
      <c r="AR147" s="174">
        <f>Buildings_Heat_Frontend[[#This Row],[Notes]]</f>
        <v>0</v>
      </c>
    </row>
    <row r="148" spans="5:44" x14ac:dyDescent="0.3">
      <c r="E148" s="346"/>
      <c r="F148" s="364"/>
      <c r="G148" s="336"/>
      <c r="H148" s="336"/>
      <c r="I148" s="336"/>
      <c r="J148" s="334"/>
      <c r="K148" s="336"/>
      <c r="L148" s="336"/>
      <c r="M148" s="336"/>
      <c r="N148" s="352"/>
      <c r="O148" s="230">
        <f t="shared" si="8"/>
        <v>6</v>
      </c>
      <c r="Q148" s="212" t="str">
        <f t="shared" si="6"/>
        <v/>
      </c>
      <c r="R148" s="174" t="s">
        <v>265</v>
      </c>
      <c r="S148" s="174" t="s">
        <v>273</v>
      </c>
      <c r="T148" s="174" t="str">
        <f>IF(Buildings_Heat_Frontend[[#This Row],[Data]]="","", _xlfn.XLOOKUP(Buildings_Heat_Backend[[#This Row],[Info 1]],Buildings_SiteInfo[Site name],Buildings_SiteInfo[Site type]))</f>
        <v/>
      </c>
      <c r="U148" s="174" t="str">
        <f>IF(Buildings_Heat_Frontend[[#This Row],[Data]]="","", Buildings_Heat_Frontend[[#This Row],[Heating Type]])</f>
        <v/>
      </c>
      <c r="V148" s="174" t="str">
        <f>IF(Buildings_Heat_Frontend[[#This Row],[Data]]="","", Buildings_Heat_Frontend[[#This Row],[Fuel]])</f>
        <v/>
      </c>
      <c r="W148" s="174" t="str" cm="1">
        <f t="array" ref="W148">IF(Buildings_Heat_Frontend[[#This Row],[Data]]="","", _xlfn.XLOOKUP(Buildings_Heat_Backend[[#This Row],[Level 5]],rng_Level5Long,rng_Level6Long))</f>
        <v/>
      </c>
      <c r="X148" s="174" t="str">
        <f>IF(Buildings_Heat_Frontend[[#This Row],[Data]]="","", Buildings_Heat_Frontend[[#This Row],[Site Name]])</f>
        <v/>
      </c>
      <c r="Y148" s="174" t="str">
        <f>IF(Buildings_Heat_Frontend[[#This Row],[Data]]="","", Buildings_Heat_Frontend[[#This Row],[MPRN]])</f>
        <v/>
      </c>
      <c r="Z148" s="174" t="str">
        <f>IF(Buildings_Heat_Frontend[[#This Row],[Data]]="","", IF($I148="","",$I148))</f>
        <v/>
      </c>
      <c r="AA148" s="229" t="str" cm="1">
        <f t="array" ref="AA148">IF(Buildings_Heat_Frontend[[#This Row],[Data]]="","", INDEX(_xlfn.SWITCH(Buildings_Heat_Backend[[#This Row],[Methodology]],"Tier 1",rng_RSD1,"Tier 2",rng_RSD2,"Tier 3",rng_RSD3),MATCH(_xlfn.CONCAT(Buildings_Heat_Backend[[#This Row],[Level 1]:[Level 6]]),rng_LevelsConcat,0)))</f>
        <v/>
      </c>
      <c r="AB148" s="220" t="str">
        <f t="shared" si="7"/>
        <v/>
      </c>
      <c r="AC148" s="174">
        <f>Buildings_Heat_Frontend[[#This Row],[Units]]</f>
        <v>0</v>
      </c>
      <c r="AD14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8" s="174" t="str">
        <f>IF(Buildings_Heat_Frontend[[#This Row],[Data]]="","", _xlfn.XLOOKUP(_xlfn.CONCAT(Buildings_Heat_Backend[[#This Row],[Level 1]:[Level 6]]),rng_LevelsConcat,rng_UnitsLong))</f>
        <v/>
      </c>
      <c r="AF148" s="210" t="str">
        <f>IF(Buildings_Heat_Frontend[[#This Row],[Data]]="","", _xlfn.XLOOKUP(_xlfn.CONCAT(Buildings_Heat_Backend[[#This Row],[Level 1]:[Level 6]]),rng_EFConcat,rng_EF1)*Buildings_Heat_Backend[[#This Row],[Converted data]]/1000)</f>
        <v/>
      </c>
      <c r="AG148" s="210" t="str">
        <f>IF(Buildings_Heat_Frontend[[#This Row],[Data]]="","", _xlfn.XLOOKUP(_xlfn.CONCAT(Buildings_Heat_Backend[[#This Row],[Level 1]:[Level 6]]),rng_EFConcat,rng_EF2)*Buildings_Heat_Backend[[#This Row],[Converted data]]/1000)</f>
        <v/>
      </c>
      <c r="AH148" s="210" t="str">
        <f>IF(Buildings_Heat_Frontend[[#This Row],[Data]]="","", _xlfn.XLOOKUP(_xlfn.CONCAT(Buildings_Heat_Backend[[#This Row],[Level 1]:[Level 6]]),rng_EFConcat,rng_EF3)*Buildings_Heat_Backend[[#This Row],[Converted data]]/1000)</f>
        <v/>
      </c>
      <c r="AI148" s="210" t="str">
        <f>IF(Buildings_Heat_Frontend[[#This Row],[Data]]="","", _xlfn.XLOOKUP(_xlfn.CONCAT(Buildings_Heat_Backend[[#This Row],[Level 1]:[Level 6]]),rng_EFConcat,rng_EF3WTT)*Buildings_Heat_Backend[[#This Row],[Converted data]]/1000)</f>
        <v/>
      </c>
      <c r="AJ148" s="210" t="str">
        <f>IF(Buildings_Heat_Frontend[[#This Row],[Data]]="","", _xlfn.XLOOKUP(_xlfn.CONCAT(Buildings_Heat_Backend[[#This Row],[Level 1]:[Level 6]]),rng_EFConcat,rng_EF3TD)*Buildings_Heat_Backend[[#This Row],[Converted data]]/1000)</f>
        <v/>
      </c>
      <c r="AK148" s="210" t="str">
        <f>IF(Buildings_Heat_Frontend[[#This Row],[Data]]="","", _xlfn.XLOOKUP(_xlfn.CONCAT(Buildings_Heat_Backend[[#This Row],[Level 1]:[Level 6]]),rng_EFConcat,rng_EF3WTTTD)*Buildings_Heat_Backend[[#This Row],[Converted data]]/1000)</f>
        <v/>
      </c>
      <c r="AL148" s="220">
        <f>SUM(Buildings_Heat_Backend[[#This Row],[Scope 1 (tCO2e)]:[Scope 3 WTT T&amp;D (tCO2e)]])</f>
        <v>0</v>
      </c>
      <c r="AM148" s="220" t="str">
        <f>IF(Buildings_Heat_Frontend[[#This Row],[Data]]="","", Buildings_Heat_Backend[[#This Row],[Total (tCO2e)]]*(1-Buildings_Heat_Backend[[#This Row],[RSD]]))</f>
        <v/>
      </c>
      <c r="AN148" s="220" t="str">
        <f>IF(Buildings_Heat_Frontend[[#This Row],[Data]]="","", Buildings_Heat_Backend[[#This Row],[Total (tCO2e)]]*(1+Buildings_Heat_Backend[[#This Row],[RSD]]))</f>
        <v/>
      </c>
      <c r="AO148" s="210" t="str">
        <f>IF(Buildings_Heat_Frontend[[#This Row],[Data]]="","", _xlfn.XLOOKUP(_xlfn.CONCAT(Buildings_Heat_Backend[[#This Row],[Level 1]:[Level 6]]),rng_EFConcat,rng_EFOOS)*Buildings_Heat_Backend[[#This Row],[Converted data]]/1000)</f>
        <v/>
      </c>
      <c r="AP148" s="174">
        <f>Buildings_Heat_Frontend[[#This Row],[Ease of collection]]</f>
        <v>0</v>
      </c>
      <c r="AQ148" s="174">
        <f>Buildings_Heat_Frontend[[#This Row],[Completeness]]</f>
        <v>0</v>
      </c>
      <c r="AR148" s="174">
        <f>Buildings_Heat_Frontend[[#This Row],[Notes]]</f>
        <v>0</v>
      </c>
    </row>
    <row r="149" spans="5:44" x14ac:dyDescent="0.3">
      <c r="E149" s="346"/>
      <c r="F149" s="364"/>
      <c r="G149" s="336"/>
      <c r="H149" s="336"/>
      <c r="I149" s="336"/>
      <c r="J149" s="334"/>
      <c r="K149" s="336"/>
      <c r="L149" s="336"/>
      <c r="M149" s="336"/>
      <c r="N149" s="352"/>
      <c r="O149" s="230">
        <f t="shared" si="8"/>
        <v>6</v>
      </c>
      <c r="Q149" s="212" t="str">
        <f t="shared" si="6"/>
        <v/>
      </c>
      <c r="R149" s="174" t="s">
        <v>265</v>
      </c>
      <c r="S149" s="174" t="s">
        <v>273</v>
      </c>
      <c r="T149" s="174" t="str">
        <f>IF(Buildings_Heat_Frontend[[#This Row],[Data]]="","", _xlfn.XLOOKUP(Buildings_Heat_Backend[[#This Row],[Info 1]],Buildings_SiteInfo[Site name],Buildings_SiteInfo[Site type]))</f>
        <v/>
      </c>
      <c r="U149" s="174" t="str">
        <f>IF(Buildings_Heat_Frontend[[#This Row],[Data]]="","", Buildings_Heat_Frontend[[#This Row],[Heating Type]])</f>
        <v/>
      </c>
      <c r="V149" s="174" t="str">
        <f>IF(Buildings_Heat_Frontend[[#This Row],[Data]]="","", Buildings_Heat_Frontend[[#This Row],[Fuel]])</f>
        <v/>
      </c>
      <c r="W149" s="174" t="str" cm="1">
        <f t="array" ref="W149">IF(Buildings_Heat_Frontend[[#This Row],[Data]]="","", _xlfn.XLOOKUP(Buildings_Heat_Backend[[#This Row],[Level 5]],rng_Level5Long,rng_Level6Long))</f>
        <v/>
      </c>
      <c r="X149" s="174" t="str">
        <f>IF(Buildings_Heat_Frontend[[#This Row],[Data]]="","", Buildings_Heat_Frontend[[#This Row],[Site Name]])</f>
        <v/>
      </c>
      <c r="Y149" s="174" t="str">
        <f>IF(Buildings_Heat_Frontend[[#This Row],[Data]]="","", Buildings_Heat_Frontend[[#This Row],[MPRN]])</f>
        <v/>
      </c>
      <c r="Z149" s="174" t="str">
        <f>IF(Buildings_Heat_Frontend[[#This Row],[Data]]="","", IF($I149="","",$I149))</f>
        <v/>
      </c>
      <c r="AA149" s="229" t="str" cm="1">
        <f t="array" ref="AA149">IF(Buildings_Heat_Frontend[[#This Row],[Data]]="","", INDEX(_xlfn.SWITCH(Buildings_Heat_Backend[[#This Row],[Methodology]],"Tier 1",rng_RSD1,"Tier 2",rng_RSD2,"Tier 3",rng_RSD3),MATCH(_xlfn.CONCAT(Buildings_Heat_Backend[[#This Row],[Level 1]:[Level 6]]),rng_LevelsConcat,0)))</f>
        <v/>
      </c>
      <c r="AB149" s="220" t="str">
        <f t="shared" si="7"/>
        <v/>
      </c>
      <c r="AC149" s="174">
        <f>Buildings_Heat_Frontend[[#This Row],[Units]]</f>
        <v>0</v>
      </c>
      <c r="AD14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49" s="174" t="str">
        <f>IF(Buildings_Heat_Frontend[[#This Row],[Data]]="","", _xlfn.XLOOKUP(_xlfn.CONCAT(Buildings_Heat_Backend[[#This Row],[Level 1]:[Level 6]]),rng_LevelsConcat,rng_UnitsLong))</f>
        <v/>
      </c>
      <c r="AF149" s="210" t="str">
        <f>IF(Buildings_Heat_Frontend[[#This Row],[Data]]="","", _xlfn.XLOOKUP(_xlfn.CONCAT(Buildings_Heat_Backend[[#This Row],[Level 1]:[Level 6]]),rng_EFConcat,rng_EF1)*Buildings_Heat_Backend[[#This Row],[Converted data]]/1000)</f>
        <v/>
      </c>
      <c r="AG149" s="210" t="str">
        <f>IF(Buildings_Heat_Frontend[[#This Row],[Data]]="","", _xlfn.XLOOKUP(_xlfn.CONCAT(Buildings_Heat_Backend[[#This Row],[Level 1]:[Level 6]]),rng_EFConcat,rng_EF2)*Buildings_Heat_Backend[[#This Row],[Converted data]]/1000)</f>
        <v/>
      </c>
      <c r="AH149" s="210" t="str">
        <f>IF(Buildings_Heat_Frontend[[#This Row],[Data]]="","", _xlfn.XLOOKUP(_xlfn.CONCAT(Buildings_Heat_Backend[[#This Row],[Level 1]:[Level 6]]),rng_EFConcat,rng_EF3)*Buildings_Heat_Backend[[#This Row],[Converted data]]/1000)</f>
        <v/>
      </c>
      <c r="AI149" s="210" t="str">
        <f>IF(Buildings_Heat_Frontend[[#This Row],[Data]]="","", _xlfn.XLOOKUP(_xlfn.CONCAT(Buildings_Heat_Backend[[#This Row],[Level 1]:[Level 6]]),rng_EFConcat,rng_EF3WTT)*Buildings_Heat_Backend[[#This Row],[Converted data]]/1000)</f>
        <v/>
      </c>
      <c r="AJ149" s="210" t="str">
        <f>IF(Buildings_Heat_Frontend[[#This Row],[Data]]="","", _xlfn.XLOOKUP(_xlfn.CONCAT(Buildings_Heat_Backend[[#This Row],[Level 1]:[Level 6]]),rng_EFConcat,rng_EF3TD)*Buildings_Heat_Backend[[#This Row],[Converted data]]/1000)</f>
        <v/>
      </c>
      <c r="AK149" s="210" t="str">
        <f>IF(Buildings_Heat_Frontend[[#This Row],[Data]]="","", _xlfn.XLOOKUP(_xlfn.CONCAT(Buildings_Heat_Backend[[#This Row],[Level 1]:[Level 6]]),rng_EFConcat,rng_EF3WTTTD)*Buildings_Heat_Backend[[#This Row],[Converted data]]/1000)</f>
        <v/>
      </c>
      <c r="AL149" s="220">
        <f>SUM(Buildings_Heat_Backend[[#This Row],[Scope 1 (tCO2e)]:[Scope 3 WTT T&amp;D (tCO2e)]])</f>
        <v>0</v>
      </c>
      <c r="AM149" s="220" t="str">
        <f>IF(Buildings_Heat_Frontend[[#This Row],[Data]]="","", Buildings_Heat_Backend[[#This Row],[Total (tCO2e)]]*(1-Buildings_Heat_Backend[[#This Row],[RSD]]))</f>
        <v/>
      </c>
      <c r="AN149" s="220" t="str">
        <f>IF(Buildings_Heat_Frontend[[#This Row],[Data]]="","", Buildings_Heat_Backend[[#This Row],[Total (tCO2e)]]*(1+Buildings_Heat_Backend[[#This Row],[RSD]]))</f>
        <v/>
      </c>
      <c r="AO149" s="210" t="str">
        <f>IF(Buildings_Heat_Frontend[[#This Row],[Data]]="","", _xlfn.XLOOKUP(_xlfn.CONCAT(Buildings_Heat_Backend[[#This Row],[Level 1]:[Level 6]]),rng_EFConcat,rng_EFOOS)*Buildings_Heat_Backend[[#This Row],[Converted data]]/1000)</f>
        <v/>
      </c>
      <c r="AP149" s="174">
        <f>Buildings_Heat_Frontend[[#This Row],[Ease of collection]]</f>
        <v>0</v>
      </c>
      <c r="AQ149" s="174">
        <f>Buildings_Heat_Frontend[[#This Row],[Completeness]]</f>
        <v>0</v>
      </c>
      <c r="AR149" s="174">
        <f>Buildings_Heat_Frontend[[#This Row],[Notes]]</f>
        <v>0</v>
      </c>
    </row>
    <row r="150" spans="5:44" x14ac:dyDescent="0.3">
      <c r="E150" s="346"/>
      <c r="F150" s="364"/>
      <c r="G150" s="336"/>
      <c r="H150" s="336"/>
      <c r="I150" s="336"/>
      <c r="J150" s="334"/>
      <c r="K150" s="336"/>
      <c r="L150" s="336"/>
      <c r="M150" s="336"/>
      <c r="N150" s="352"/>
      <c r="O150" s="230">
        <f t="shared" si="8"/>
        <v>6</v>
      </c>
      <c r="Q150" s="212" t="str">
        <f t="shared" si="6"/>
        <v/>
      </c>
      <c r="R150" s="174" t="s">
        <v>265</v>
      </c>
      <c r="S150" s="174" t="s">
        <v>273</v>
      </c>
      <c r="T150" s="174" t="str">
        <f>IF(Buildings_Heat_Frontend[[#This Row],[Data]]="","", _xlfn.XLOOKUP(Buildings_Heat_Backend[[#This Row],[Info 1]],Buildings_SiteInfo[Site name],Buildings_SiteInfo[Site type]))</f>
        <v/>
      </c>
      <c r="U150" s="174" t="str">
        <f>IF(Buildings_Heat_Frontend[[#This Row],[Data]]="","", Buildings_Heat_Frontend[[#This Row],[Heating Type]])</f>
        <v/>
      </c>
      <c r="V150" s="174" t="str">
        <f>IF(Buildings_Heat_Frontend[[#This Row],[Data]]="","", Buildings_Heat_Frontend[[#This Row],[Fuel]])</f>
        <v/>
      </c>
      <c r="W150" s="174" t="str" cm="1">
        <f t="array" ref="W150">IF(Buildings_Heat_Frontend[[#This Row],[Data]]="","", _xlfn.XLOOKUP(Buildings_Heat_Backend[[#This Row],[Level 5]],rng_Level5Long,rng_Level6Long))</f>
        <v/>
      </c>
      <c r="X150" s="174" t="str">
        <f>IF(Buildings_Heat_Frontend[[#This Row],[Data]]="","", Buildings_Heat_Frontend[[#This Row],[Site Name]])</f>
        <v/>
      </c>
      <c r="Y150" s="174" t="str">
        <f>IF(Buildings_Heat_Frontend[[#This Row],[Data]]="","", Buildings_Heat_Frontend[[#This Row],[MPRN]])</f>
        <v/>
      </c>
      <c r="Z150" s="174" t="str">
        <f>IF(Buildings_Heat_Frontend[[#This Row],[Data]]="","", IF($I150="","",$I150))</f>
        <v/>
      </c>
      <c r="AA150" s="229" t="str" cm="1">
        <f t="array" ref="AA150">IF(Buildings_Heat_Frontend[[#This Row],[Data]]="","", INDEX(_xlfn.SWITCH(Buildings_Heat_Backend[[#This Row],[Methodology]],"Tier 1",rng_RSD1,"Tier 2",rng_RSD2,"Tier 3",rng_RSD3),MATCH(_xlfn.CONCAT(Buildings_Heat_Backend[[#This Row],[Level 1]:[Level 6]]),rng_LevelsConcat,0)))</f>
        <v/>
      </c>
      <c r="AB150" s="220" t="str">
        <f t="shared" si="7"/>
        <v/>
      </c>
      <c r="AC150" s="174">
        <f>Buildings_Heat_Frontend[[#This Row],[Units]]</f>
        <v>0</v>
      </c>
      <c r="AD15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0" s="174" t="str">
        <f>IF(Buildings_Heat_Frontend[[#This Row],[Data]]="","", _xlfn.XLOOKUP(_xlfn.CONCAT(Buildings_Heat_Backend[[#This Row],[Level 1]:[Level 6]]),rng_LevelsConcat,rng_UnitsLong))</f>
        <v/>
      </c>
      <c r="AF150" s="210" t="str">
        <f>IF(Buildings_Heat_Frontend[[#This Row],[Data]]="","", _xlfn.XLOOKUP(_xlfn.CONCAT(Buildings_Heat_Backend[[#This Row],[Level 1]:[Level 6]]),rng_EFConcat,rng_EF1)*Buildings_Heat_Backend[[#This Row],[Converted data]]/1000)</f>
        <v/>
      </c>
      <c r="AG150" s="210" t="str">
        <f>IF(Buildings_Heat_Frontend[[#This Row],[Data]]="","", _xlfn.XLOOKUP(_xlfn.CONCAT(Buildings_Heat_Backend[[#This Row],[Level 1]:[Level 6]]),rng_EFConcat,rng_EF2)*Buildings_Heat_Backend[[#This Row],[Converted data]]/1000)</f>
        <v/>
      </c>
      <c r="AH150" s="210" t="str">
        <f>IF(Buildings_Heat_Frontend[[#This Row],[Data]]="","", _xlfn.XLOOKUP(_xlfn.CONCAT(Buildings_Heat_Backend[[#This Row],[Level 1]:[Level 6]]),rng_EFConcat,rng_EF3)*Buildings_Heat_Backend[[#This Row],[Converted data]]/1000)</f>
        <v/>
      </c>
      <c r="AI150" s="210" t="str">
        <f>IF(Buildings_Heat_Frontend[[#This Row],[Data]]="","", _xlfn.XLOOKUP(_xlfn.CONCAT(Buildings_Heat_Backend[[#This Row],[Level 1]:[Level 6]]),rng_EFConcat,rng_EF3WTT)*Buildings_Heat_Backend[[#This Row],[Converted data]]/1000)</f>
        <v/>
      </c>
      <c r="AJ150" s="210" t="str">
        <f>IF(Buildings_Heat_Frontend[[#This Row],[Data]]="","", _xlfn.XLOOKUP(_xlfn.CONCAT(Buildings_Heat_Backend[[#This Row],[Level 1]:[Level 6]]),rng_EFConcat,rng_EF3TD)*Buildings_Heat_Backend[[#This Row],[Converted data]]/1000)</f>
        <v/>
      </c>
      <c r="AK150" s="210" t="str">
        <f>IF(Buildings_Heat_Frontend[[#This Row],[Data]]="","", _xlfn.XLOOKUP(_xlfn.CONCAT(Buildings_Heat_Backend[[#This Row],[Level 1]:[Level 6]]),rng_EFConcat,rng_EF3WTTTD)*Buildings_Heat_Backend[[#This Row],[Converted data]]/1000)</f>
        <v/>
      </c>
      <c r="AL150" s="220">
        <f>SUM(Buildings_Heat_Backend[[#This Row],[Scope 1 (tCO2e)]:[Scope 3 WTT T&amp;D (tCO2e)]])</f>
        <v>0</v>
      </c>
      <c r="AM150" s="220" t="str">
        <f>IF(Buildings_Heat_Frontend[[#This Row],[Data]]="","", Buildings_Heat_Backend[[#This Row],[Total (tCO2e)]]*(1-Buildings_Heat_Backend[[#This Row],[RSD]]))</f>
        <v/>
      </c>
      <c r="AN150" s="220" t="str">
        <f>IF(Buildings_Heat_Frontend[[#This Row],[Data]]="","", Buildings_Heat_Backend[[#This Row],[Total (tCO2e)]]*(1+Buildings_Heat_Backend[[#This Row],[RSD]]))</f>
        <v/>
      </c>
      <c r="AO150" s="210" t="str">
        <f>IF(Buildings_Heat_Frontend[[#This Row],[Data]]="","", _xlfn.XLOOKUP(_xlfn.CONCAT(Buildings_Heat_Backend[[#This Row],[Level 1]:[Level 6]]),rng_EFConcat,rng_EFOOS)*Buildings_Heat_Backend[[#This Row],[Converted data]]/1000)</f>
        <v/>
      </c>
      <c r="AP150" s="174">
        <f>Buildings_Heat_Frontend[[#This Row],[Ease of collection]]</f>
        <v>0</v>
      </c>
      <c r="AQ150" s="174">
        <f>Buildings_Heat_Frontend[[#This Row],[Completeness]]</f>
        <v>0</v>
      </c>
      <c r="AR150" s="174">
        <f>Buildings_Heat_Frontend[[#This Row],[Notes]]</f>
        <v>0</v>
      </c>
    </row>
    <row r="151" spans="5:44" x14ac:dyDescent="0.3">
      <c r="E151" s="346"/>
      <c r="F151" s="364"/>
      <c r="G151" s="336"/>
      <c r="H151" s="336"/>
      <c r="I151" s="336"/>
      <c r="J151" s="334"/>
      <c r="K151" s="336"/>
      <c r="L151" s="336"/>
      <c r="M151" s="336"/>
      <c r="N151" s="352"/>
      <c r="O151" s="230">
        <f t="shared" si="8"/>
        <v>6</v>
      </c>
      <c r="Q151" s="212" t="str">
        <f t="shared" si="6"/>
        <v/>
      </c>
      <c r="R151" s="174" t="s">
        <v>265</v>
      </c>
      <c r="S151" s="174" t="s">
        <v>273</v>
      </c>
      <c r="T151" s="174" t="str">
        <f>IF(Buildings_Heat_Frontend[[#This Row],[Data]]="","", _xlfn.XLOOKUP(Buildings_Heat_Backend[[#This Row],[Info 1]],Buildings_SiteInfo[Site name],Buildings_SiteInfo[Site type]))</f>
        <v/>
      </c>
      <c r="U151" s="174" t="str">
        <f>IF(Buildings_Heat_Frontend[[#This Row],[Data]]="","", Buildings_Heat_Frontend[[#This Row],[Heating Type]])</f>
        <v/>
      </c>
      <c r="V151" s="174" t="str">
        <f>IF(Buildings_Heat_Frontend[[#This Row],[Data]]="","", Buildings_Heat_Frontend[[#This Row],[Fuel]])</f>
        <v/>
      </c>
      <c r="W151" s="174" t="str" cm="1">
        <f t="array" ref="W151">IF(Buildings_Heat_Frontend[[#This Row],[Data]]="","", _xlfn.XLOOKUP(Buildings_Heat_Backend[[#This Row],[Level 5]],rng_Level5Long,rng_Level6Long))</f>
        <v/>
      </c>
      <c r="X151" s="174" t="str">
        <f>IF(Buildings_Heat_Frontend[[#This Row],[Data]]="","", Buildings_Heat_Frontend[[#This Row],[Site Name]])</f>
        <v/>
      </c>
      <c r="Y151" s="174" t="str">
        <f>IF(Buildings_Heat_Frontend[[#This Row],[Data]]="","", Buildings_Heat_Frontend[[#This Row],[MPRN]])</f>
        <v/>
      </c>
      <c r="Z151" s="174" t="str">
        <f>IF(Buildings_Heat_Frontend[[#This Row],[Data]]="","", IF($I151="","",$I151))</f>
        <v/>
      </c>
      <c r="AA151" s="229" t="str" cm="1">
        <f t="array" ref="AA151">IF(Buildings_Heat_Frontend[[#This Row],[Data]]="","", INDEX(_xlfn.SWITCH(Buildings_Heat_Backend[[#This Row],[Methodology]],"Tier 1",rng_RSD1,"Tier 2",rng_RSD2,"Tier 3",rng_RSD3),MATCH(_xlfn.CONCAT(Buildings_Heat_Backend[[#This Row],[Level 1]:[Level 6]]),rng_LevelsConcat,0)))</f>
        <v/>
      </c>
      <c r="AB151" s="220" t="str">
        <f t="shared" si="7"/>
        <v/>
      </c>
      <c r="AC151" s="174">
        <f>Buildings_Heat_Frontend[[#This Row],[Units]]</f>
        <v>0</v>
      </c>
      <c r="AD15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1" s="174" t="str">
        <f>IF(Buildings_Heat_Frontend[[#This Row],[Data]]="","", _xlfn.XLOOKUP(_xlfn.CONCAT(Buildings_Heat_Backend[[#This Row],[Level 1]:[Level 6]]),rng_LevelsConcat,rng_UnitsLong))</f>
        <v/>
      </c>
      <c r="AF151" s="210" t="str">
        <f>IF(Buildings_Heat_Frontend[[#This Row],[Data]]="","", _xlfn.XLOOKUP(_xlfn.CONCAT(Buildings_Heat_Backend[[#This Row],[Level 1]:[Level 6]]),rng_EFConcat,rng_EF1)*Buildings_Heat_Backend[[#This Row],[Converted data]]/1000)</f>
        <v/>
      </c>
      <c r="AG151" s="210" t="str">
        <f>IF(Buildings_Heat_Frontend[[#This Row],[Data]]="","", _xlfn.XLOOKUP(_xlfn.CONCAT(Buildings_Heat_Backend[[#This Row],[Level 1]:[Level 6]]),rng_EFConcat,rng_EF2)*Buildings_Heat_Backend[[#This Row],[Converted data]]/1000)</f>
        <v/>
      </c>
      <c r="AH151" s="210" t="str">
        <f>IF(Buildings_Heat_Frontend[[#This Row],[Data]]="","", _xlfn.XLOOKUP(_xlfn.CONCAT(Buildings_Heat_Backend[[#This Row],[Level 1]:[Level 6]]),rng_EFConcat,rng_EF3)*Buildings_Heat_Backend[[#This Row],[Converted data]]/1000)</f>
        <v/>
      </c>
      <c r="AI151" s="210" t="str">
        <f>IF(Buildings_Heat_Frontend[[#This Row],[Data]]="","", _xlfn.XLOOKUP(_xlfn.CONCAT(Buildings_Heat_Backend[[#This Row],[Level 1]:[Level 6]]),rng_EFConcat,rng_EF3WTT)*Buildings_Heat_Backend[[#This Row],[Converted data]]/1000)</f>
        <v/>
      </c>
      <c r="AJ151" s="210" t="str">
        <f>IF(Buildings_Heat_Frontend[[#This Row],[Data]]="","", _xlfn.XLOOKUP(_xlfn.CONCAT(Buildings_Heat_Backend[[#This Row],[Level 1]:[Level 6]]),rng_EFConcat,rng_EF3TD)*Buildings_Heat_Backend[[#This Row],[Converted data]]/1000)</f>
        <v/>
      </c>
      <c r="AK151" s="210" t="str">
        <f>IF(Buildings_Heat_Frontend[[#This Row],[Data]]="","", _xlfn.XLOOKUP(_xlfn.CONCAT(Buildings_Heat_Backend[[#This Row],[Level 1]:[Level 6]]),rng_EFConcat,rng_EF3WTTTD)*Buildings_Heat_Backend[[#This Row],[Converted data]]/1000)</f>
        <v/>
      </c>
      <c r="AL151" s="220">
        <f>SUM(Buildings_Heat_Backend[[#This Row],[Scope 1 (tCO2e)]:[Scope 3 WTT T&amp;D (tCO2e)]])</f>
        <v>0</v>
      </c>
      <c r="AM151" s="220" t="str">
        <f>IF(Buildings_Heat_Frontend[[#This Row],[Data]]="","", Buildings_Heat_Backend[[#This Row],[Total (tCO2e)]]*(1-Buildings_Heat_Backend[[#This Row],[RSD]]))</f>
        <v/>
      </c>
      <c r="AN151" s="220" t="str">
        <f>IF(Buildings_Heat_Frontend[[#This Row],[Data]]="","", Buildings_Heat_Backend[[#This Row],[Total (tCO2e)]]*(1+Buildings_Heat_Backend[[#This Row],[RSD]]))</f>
        <v/>
      </c>
      <c r="AO151" s="210" t="str">
        <f>IF(Buildings_Heat_Frontend[[#This Row],[Data]]="","", _xlfn.XLOOKUP(_xlfn.CONCAT(Buildings_Heat_Backend[[#This Row],[Level 1]:[Level 6]]),rng_EFConcat,rng_EFOOS)*Buildings_Heat_Backend[[#This Row],[Converted data]]/1000)</f>
        <v/>
      </c>
      <c r="AP151" s="174">
        <f>Buildings_Heat_Frontend[[#This Row],[Ease of collection]]</f>
        <v>0</v>
      </c>
      <c r="AQ151" s="174">
        <f>Buildings_Heat_Frontend[[#This Row],[Completeness]]</f>
        <v>0</v>
      </c>
      <c r="AR151" s="174">
        <f>Buildings_Heat_Frontend[[#This Row],[Notes]]</f>
        <v>0</v>
      </c>
    </row>
    <row r="152" spans="5:44" x14ac:dyDescent="0.3">
      <c r="E152" s="346"/>
      <c r="F152" s="364"/>
      <c r="G152" s="336"/>
      <c r="H152" s="336"/>
      <c r="I152" s="336"/>
      <c r="J152" s="334"/>
      <c r="K152" s="336"/>
      <c r="L152" s="336"/>
      <c r="M152" s="336"/>
      <c r="N152" s="352"/>
      <c r="O152" s="230">
        <f t="shared" si="8"/>
        <v>6</v>
      </c>
      <c r="Q152" s="212" t="str">
        <f t="shared" si="6"/>
        <v/>
      </c>
      <c r="R152" s="174" t="s">
        <v>265</v>
      </c>
      <c r="S152" s="174" t="s">
        <v>273</v>
      </c>
      <c r="T152" s="174" t="str">
        <f>IF(Buildings_Heat_Frontend[[#This Row],[Data]]="","", _xlfn.XLOOKUP(Buildings_Heat_Backend[[#This Row],[Info 1]],Buildings_SiteInfo[Site name],Buildings_SiteInfo[Site type]))</f>
        <v/>
      </c>
      <c r="U152" s="174" t="str">
        <f>IF(Buildings_Heat_Frontend[[#This Row],[Data]]="","", Buildings_Heat_Frontend[[#This Row],[Heating Type]])</f>
        <v/>
      </c>
      <c r="V152" s="174" t="str">
        <f>IF(Buildings_Heat_Frontend[[#This Row],[Data]]="","", Buildings_Heat_Frontend[[#This Row],[Fuel]])</f>
        <v/>
      </c>
      <c r="W152" s="174" t="str" cm="1">
        <f t="array" ref="W152">IF(Buildings_Heat_Frontend[[#This Row],[Data]]="","", _xlfn.XLOOKUP(Buildings_Heat_Backend[[#This Row],[Level 5]],rng_Level5Long,rng_Level6Long))</f>
        <v/>
      </c>
      <c r="X152" s="174" t="str">
        <f>IF(Buildings_Heat_Frontend[[#This Row],[Data]]="","", Buildings_Heat_Frontend[[#This Row],[Site Name]])</f>
        <v/>
      </c>
      <c r="Y152" s="174" t="str">
        <f>IF(Buildings_Heat_Frontend[[#This Row],[Data]]="","", Buildings_Heat_Frontend[[#This Row],[MPRN]])</f>
        <v/>
      </c>
      <c r="Z152" s="174" t="str">
        <f>IF(Buildings_Heat_Frontend[[#This Row],[Data]]="","", IF($I152="","",$I152))</f>
        <v/>
      </c>
      <c r="AA152" s="229" t="str" cm="1">
        <f t="array" ref="AA152">IF(Buildings_Heat_Frontend[[#This Row],[Data]]="","", INDEX(_xlfn.SWITCH(Buildings_Heat_Backend[[#This Row],[Methodology]],"Tier 1",rng_RSD1,"Tier 2",rng_RSD2,"Tier 3",rng_RSD3),MATCH(_xlfn.CONCAT(Buildings_Heat_Backend[[#This Row],[Level 1]:[Level 6]]),rng_LevelsConcat,0)))</f>
        <v/>
      </c>
      <c r="AB152" s="220" t="str">
        <f t="shared" si="7"/>
        <v/>
      </c>
      <c r="AC152" s="174">
        <f>Buildings_Heat_Frontend[[#This Row],[Units]]</f>
        <v>0</v>
      </c>
      <c r="AD15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2" s="174" t="str">
        <f>IF(Buildings_Heat_Frontend[[#This Row],[Data]]="","", _xlfn.XLOOKUP(_xlfn.CONCAT(Buildings_Heat_Backend[[#This Row],[Level 1]:[Level 6]]),rng_LevelsConcat,rng_UnitsLong))</f>
        <v/>
      </c>
      <c r="AF152" s="210" t="str">
        <f>IF(Buildings_Heat_Frontend[[#This Row],[Data]]="","", _xlfn.XLOOKUP(_xlfn.CONCAT(Buildings_Heat_Backend[[#This Row],[Level 1]:[Level 6]]),rng_EFConcat,rng_EF1)*Buildings_Heat_Backend[[#This Row],[Converted data]]/1000)</f>
        <v/>
      </c>
      <c r="AG152" s="210" t="str">
        <f>IF(Buildings_Heat_Frontend[[#This Row],[Data]]="","", _xlfn.XLOOKUP(_xlfn.CONCAT(Buildings_Heat_Backend[[#This Row],[Level 1]:[Level 6]]),rng_EFConcat,rng_EF2)*Buildings_Heat_Backend[[#This Row],[Converted data]]/1000)</f>
        <v/>
      </c>
      <c r="AH152" s="210" t="str">
        <f>IF(Buildings_Heat_Frontend[[#This Row],[Data]]="","", _xlfn.XLOOKUP(_xlfn.CONCAT(Buildings_Heat_Backend[[#This Row],[Level 1]:[Level 6]]),rng_EFConcat,rng_EF3)*Buildings_Heat_Backend[[#This Row],[Converted data]]/1000)</f>
        <v/>
      </c>
      <c r="AI152" s="210" t="str">
        <f>IF(Buildings_Heat_Frontend[[#This Row],[Data]]="","", _xlfn.XLOOKUP(_xlfn.CONCAT(Buildings_Heat_Backend[[#This Row],[Level 1]:[Level 6]]),rng_EFConcat,rng_EF3WTT)*Buildings_Heat_Backend[[#This Row],[Converted data]]/1000)</f>
        <v/>
      </c>
      <c r="AJ152" s="210" t="str">
        <f>IF(Buildings_Heat_Frontend[[#This Row],[Data]]="","", _xlfn.XLOOKUP(_xlfn.CONCAT(Buildings_Heat_Backend[[#This Row],[Level 1]:[Level 6]]),rng_EFConcat,rng_EF3TD)*Buildings_Heat_Backend[[#This Row],[Converted data]]/1000)</f>
        <v/>
      </c>
      <c r="AK152" s="210" t="str">
        <f>IF(Buildings_Heat_Frontend[[#This Row],[Data]]="","", _xlfn.XLOOKUP(_xlfn.CONCAT(Buildings_Heat_Backend[[#This Row],[Level 1]:[Level 6]]),rng_EFConcat,rng_EF3WTTTD)*Buildings_Heat_Backend[[#This Row],[Converted data]]/1000)</f>
        <v/>
      </c>
      <c r="AL152" s="220">
        <f>SUM(Buildings_Heat_Backend[[#This Row],[Scope 1 (tCO2e)]:[Scope 3 WTT T&amp;D (tCO2e)]])</f>
        <v>0</v>
      </c>
      <c r="AM152" s="220" t="str">
        <f>IF(Buildings_Heat_Frontend[[#This Row],[Data]]="","", Buildings_Heat_Backend[[#This Row],[Total (tCO2e)]]*(1-Buildings_Heat_Backend[[#This Row],[RSD]]))</f>
        <v/>
      </c>
      <c r="AN152" s="220" t="str">
        <f>IF(Buildings_Heat_Frontend[[#This Row],[Data]]="","", Buildings_Heat_Backend[[#This Row],[Total (tCO2e)]]*(1+Buildings_Heat_Backend[[#This Row],[RSD]]))</f>
        <v/>
      </c>
      <c r="AO152" s="210" t="str">
        <f>IF(Buildings_Heat_Frontend[[#This Row],[Data]]="","", _xlfn.XLOOKUP(_xlfn.CONCAT(Buildings_Heat_Backend[[#This Row],[Level 1]:[Level 6]]),rng_EFConcat,rng_EFOOS)*Buildings_Heat_Backend[[#This Row],[Converted data]]/1000)</f>
        <v/>
      </c>
      <c r="AP152" s="174">
        <f>Buildings_Heat_Frontend[[#This Row],[Ease of collection]]</f>
        <v>0</v>
      </c>
      <c r="AQ152" s="174">
        <f>Buildings_Heat_Frontend[[#This Row],[Completeness]]</f>
        <v>0</v>
      </c>
      <c r="AR152" s="174">
        <f>Buildings_Heat_Frontend[[#This Row],[Notes]]</f>
        <v>0</v>
      </c>
    </row>
    <row r="153" spans="5:44" x14ac:dyDescent="0.3">
      <c r="E153" s="346"/>
      <c r="F153" s="364"/>
      <c r="G153" s="336"/>
      <c r="H153" s="336"/>
      <c r="I153" s="336"/>
      <c r="J153" s="334"/>
      <c r="K153" s="336"/>
      <c r="L153" s="336"/>
      <c r="M153" s="336"/>
      <c r="N153" s="352"/>
      <c r="O153" s="230">
        <f t="shared" si="8"/>
        <v>6</v>
      </c>
      <c r="Q153" s="212" t="str">
        <f t="shared" si="6"/>
        <v/>
      </c>
      <c r="R153" s="174" t="s">
        <v>265</v>
      </c>
      <c r="S153" s="174" t="s">
        <v>273</v>
      </c>
      <c r="T153" s="174" t="str">
        <f>IF(Buildings_Heat_Frontend[[#This Row],[Data]]="","", _xlfn.XLOOKUP(Buildings_Heat_Backend[[#This Row],[Info 1]],Buildings_SiteInfo[Site name],Buildings_SiteInfo[Site type]))</f>
        <v/>
      </c>
      <c r="U153" s="174" t="str">
        <f>IF(Buildings_Heat_Frontend[[#This Row],[Data]]="","", Buildings_Heat_Frontend[[#This Row],[Heating Type]])</f>
        <v/>
      </c>
      <c r="V153" s="174" t="str">
        <f>IF(Buildings_Heat_Frontend[[#This Row],[Data]]="","", Buildings_Heat_Frontend[[#This Row],[Fuel]])</f>
        <v/>
      </c>
      <c r="W153" s="174" t="str" cm="1">
        <f t="array" ref="W153">IF(Buildings_Heat_Frontend[[#This Row],[Data]]="","", _xlfn.XLOOKUP(Buildings_Heat_Backend[[#This Row],[Level 5]],rng_Level5Long,rng_Level6Long))</f>
        <v/>
      </c>
      <c r="X153" s="174" t="str">
        <f>IF(Buildings_Heat_Frontend[[#This Row],[Data]]="","", Buildings_Heat_Frontend[[#This Row],[Site Name]])</f>
        <v/>
      </c>
      <c r="Y153" s="174" t="str">
        <f>IF(Buildings_Heat_Frontend[[#This Row],[Data]]="","", Buildings_Heat_Frontend[[#This Row],[MPRN]])</f>
        <v/>
      </c>
      <c r="Z153" s="174" t="str">
        <f>IF(Buildings_Heat_Frontend[[#This Row],[Data]]="","", IF($I153="","",$I153))</f>
        <v/>
      </c>
      <c r="AA153" s="229" t="str" cm="1">
        <f t="array" ref="AA153">IF(Buildings_Heat_Frontend[[#This Row],[Data]]="","", INDEX(_xlfn.SWITCH(Buildings_Heat_Backend[[#This Row],[Methodology]],"Tier 1",rng_RSD1,"Tier 2",rng_RSD2,"Tier 3",rng_RSD3),MATCH(_xlfn.CONCAT(Buildings_Heat_Backend[[#This Row],[Level 1]:[Level 6]]),rng_LevelsConcat,0)))</f>
        <v/>
      </c>
      <c r="AB153" s="220" t="str">
        <f t="shared" si="7"/>
        <v/>
      </c>
      <c r="AC153" s="174">
        <f>Buildings_Heat_Frontend[[#This Row],[Units]]</f>
        <v>0</v>
      </c>
      <c r="AD15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3" s="174" t="str">
        <f>IF(Buildings_Heat_Frontend[[#This Row],[Data]]="","", _xlfn.XLOOKUP(_xlfn.CONCAT(Buildings_Heat_Backend[[#This Row],[Level 1]:[Level 6]]),rng_LevelsConcat,rng_UnitsLong))</f>
        <v/>
      </c>
      <c r="AF153" s="210" t="str">
        <f>IF(Buildings_Heat_Frontend[[#This Row],[Data]]="","", _xlfn.XLOOKUP(_xlfn.CONCAT(Buildings_Heat_Backend[[#This Row],[Level 1]:[Level 6]]),rng_EFConcat,rng_EF1)*Buildings_Heat_Backend[[#This Row],[Converted data]]/1000)</f>
        <v/>
      </c>
      <c r="AG153" s="210" t="str">
        <f>IF(Buildings_Heat_Frontend[[#This Row],[Data]]="","", _xlfn.XLOOKUP(_xlfn.CONCAT(Buildings_Heat_Backend[[#This Row],[Level 1]:[Level 6]]),rng_EFConcat,rng_EF2)*Buildings_Heat_Backend[[#This Row],[Converted data]]/1000)</f>
        <v/>
      </c>
      <c r="AH153" s="210" t="str">
        <f>IF(Buildings_Heat_Frontend[[#This Row],[Data]]="","", _xlfn.XLOOKUP(_xlfn.CONCAT(Buildings_Heat_Backend[[#This Row],[Level 1]:[Level 6]]),rng_EFConcat,rng_EF3)*Buildings_Heat_Backend[[#This Row],[Converted data]]/1000)</f>
        <v/>
      </c>
      <c r="AI153" s="210" t="str">
        <f>IF(Buildings_Heat_Frontend[[#This Row],[Data]]="","", _xlfn.XLOOKUP(_xlfn.CONCAT(Buildings_Heat_Backend[[#This Row],[Level 1]:[Level 6]]),rng_EFConcat,rng_EF3WTT)*Buildings_Heat_Backend[[#This Row],[Converted data]]/1000)</f>
        <v/>
      </c>
      <c r="AJ153" s="210" t="str">
        <f>IF(Buildings_Heat_Frontend[[#This Row],[Data]]="","", _xlfn.XLOOKUP(_xlfn.CONCAT(Buildings_Heat_Backend[[#This Row],[Level 1]:[Level 6]]),rng_EFConcat,rng_EF3TD)*Buildings_Heat_Backend[[#This Row],[Converted data]]/1000)</f>
        <v/>
      </c>
      <c r="AK153" s="210" t="str">
        <f>IF(Buildings_Heat_Frontend[[#This Row],[Data]]="","", _xlfn.XLOOKUP(_xlfn.CONCAT(Buildings_Heat_Backend[[#This Row],[Level 1]:[Level 6]]),rng_EFConcat,rng_EF3WTTTD)*Buildings_Heat_Backend[[#This Row],[Converted data]]/1000)</f>
        <v/>
      </c>
      <c r="AL153" s="220">
        <f>SUM(Buildings_Heat_Backend[[#This Row],[Scope 1 (tCO2e)]:[Scope 3 WTT T&amp;D (tCO2e)]])</f>
        <v>0</v>
      </c>
      <c r="AM153" s="220" t="str">
        <f>IF(Buildings_Heat_Frontend[[#This Row],[Data]]="","", Buildings_Heat_Backend[[#This Row],[Total (tCO2e)]]*(1-Buildings_Heat_Backend[[#This Row],[RSD]]))</f>
        <v/>
      </c>
      <c r="AN153" s="220" t="str">
        <f>IF(Buildings_Heat_Frontend[[#This Row],[Data]]="","", Buildings_Heat_Backend[[#This Row],[Total (tCO2e)]]*(1+Buildings_Heat_Backend[[#This Row],[RSD]]))</f>
        <v/>
      </c>
      <c r="AO153" s="210" t="str">
        <f>IF(Buildings_Heat_Frontend[[#This Row],[Data]]="","", _xlfn.XLOOKUP(_xlfn.CONCAT(Buildings_Heat_Backend[[#This Row],[Level 1]:[Level 6]]),rng_EFConcat,rng_EFOOS)*Buildings_Heat_Backend[[#This Row],[Converted data]]/1000)</f>
        <v/>
      </c>
      <c r="AP153" s="174">
        <f>Buildings_Heat_Frontend[[#This Row],[Ease of collection]]</f>
        <v>0</v>
      </c>
      <c r="AQ153" s="174">
        <f>Buildings_Heat_Frontend[[#This Row],[Completeness]]</f>
        <v>0</v>
      </c>
      <c r="AR153" s="174">
        <f>Buildings_Heat_Frontend[[#This Row],[Notes]]</f>
        <v>0</v>
      </c>
    </row>
    <row r="154" spans="5:44" x14ac:dyDescent="0.3">
      <c r="E154" s="346"/>
      <c r="F154" s="364"/>
      <c r="G154" s="336"/>
      <c r="H154" s="336"/>
      <c r="I154" s="336"/>
      <c r="J154" s="334"/>
      <c r="K154" s="336"/>
      <c r="L154" s="336"/>
      <c r="M154" s="336"/>
      <c r="N154" s="352"/>
      <c r="O154" s="230">
        <f t="shared" si="8"/>
        <v>6</v>
      </c>
      <c r="Q154" s="212" t="str">
        <f t="shared" si="6"/>
        <v/>
      </c>
      <c r="R154" s="174" t="s">
        <v>265</v>
      </c>
      <c r="S154" s="174" t="s">
        <v>273</v>
      </c>
      <c r="T154" s="174" t="str">
        <f>IF(Buildings_Heat_Frontend[[#This Row],[Data]]="","", _xlfn.XLOOKUP(Buildings_Heat_Backend[[#This Row],[Info 1]],Buildings_SiteInfo[Site name],Buildings_SiteInfo[Site type]))</f>
        <v/>
      </c>
      <c r="U154" s="174" t="str">
        <f>IF(Buildings_Heat_Frontend[[#This Row],[Data]]="","", Buildings_Heat_Frontend[[#This Row],[Heating Type]])</f>
        <v/>
      </c>
      <c r="V154" s="174" t="str">
        <f>IF(Buildings_Heat_Frontend[[#This Row],[Data]]="","", Buildings_Heat_Frontend[[#This Row],[Fuel]])</f>
        <v/>
      </c>
      <c r="W154" s="174" t="str" cm="1">
        <f t="array" ref="W154">IF(Buildings_Heat_Frontend[[#This Row],[Data]]="","", _xlfn.XLOOKUP(Buildings_Heat_Backend[[#This Row],[Level 5]],rng_Level5Long,rng_Level6Long))</f>
        <v/>
      </c>
      <c r="X154" s="174" t="str">
        <f>IF(Buildings_Heat_Frontend[[#This Row],[Data]]="","", Buildings_Heat_Frontend[[#This Row],[Site Name]])</f>
        <v/>
      </c>
      <c r="Y154" s="174" t="str">
        <f>IF(Buildings_Heat_Frontend[[#This Row],[Data]]="","", Buildings_Heat_Frontend[[#This Row],[MPRN]])</f>
        <v/>
      </c>
      <c r="Z154" s="174" t="str">
        <f>IF(Buildings_Heat_Frontend[[#This Row],[Data]]="","", IF($I154="","",$I154))</f>
        <v/>
      </c>
      <c r="AA154" s="229" t="str" cm="1">
        <f t="array" ref="AA154">IF(Buildings_Heat_Frontend[[#This Row],[Data]]="","", INDEX(_xlfn.SWITCH(Buildings_Heat_Backend[[#This Row],[Methodology]],"Tier 1",rng_RSD1,"Tier 2",rng_RSD2,"Tier 3",rng_RSD3),MATCH(_xlfn.CONCAT(Buildings_Heat_Backend[[#This Row],[Level 1]:[Level 6]]),rng_LevelsConcat,0)))</f>
        <v/>
      </c>
      <c r="AB154" s="220" t="str">
        <f t="shared" si="7"/>
        <v/>
      </c>
      <c r="AC154" s="174">
        <f>Buildings_Heat_Frontend[[#This Row],[Units]]</f>
        <v>0</v>
      </c>
      <c r="AD15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4" s="174" t="str">
        <f>IF(Buildings_Heat_Frontend[[#This Row],[Data]]="","", _xlfn.XLOOKUP(_xlfn.CONCAT(Buildings_Heat_Backend[[#This Row],[Level 1]:[Level 6]]),rng_LevelsConcat,rng_UnitsLong))</f>
        <v/>
      </c>
      <c r="AF154" s="210" t="str">
        <f>IF(Buildings_Heat_Frontend[[#This Row],[Data]]="","", _xlfn.XLOOKUP(_xlfn.CONCAT(Buildings_Heat_Backend[[#This Row],[Level 1]:[Level 6]]),rng_EFConcat,rng_EF1)*Buildings_Heat_Backend[[#This Row],[Converted data]]/1000)</f>
        <v/>
      </c>
      <c r="AG154" s="210" t="str">
        <f>IF(Buildings_Heat_Frontend[[#This Row],[Data]]="","", _xlfn.XLOOKUP(_xlfn.CONCAT(Buildings_Heat_Backend[[#This Row],[Level 1]:[Level 6]]),rng_EFConcat,rng_EF2)*Buildings_Heat_Backend[[#This Row],[Converted data]]/1000)</f>
        <v/>
      </c>
      <c r="AH154" s="210" t="str">
        <f>IF(Buildings_Heat_Frontend[[#This Row],[Data]]="","", _xlfn.XLOOKUP(_xlfn.CONCAT(Buildings_Heat_Backend[[#This Row],[Level 1]:[Level 6]]),rng_EFConcat,rng_EF3)*Buildings_Heat_Backend[[#This Row],[Converted data]]/1000)</f>
        <v/>
      </c>
      <c r="AI154" s="210" t="str">
        <f>IF(Buildings_Heat_Frontend[[#This Row],[Data]]="","", _xlfn.XLOOKUP(_xlfn.CONCAT(Buildings_Heat_Backend[[#This Row],[Level 1]:[Level 6]]),rng_EFConcat,rng_EF3WTT)*Buildings_Heat_Backend[[#This Row],[Converted data]]/1000)</f>
        <v/>
      </c>
      <c r="AJ154" s="210" t="str">
        <f>IF(Buildings_Heat_Frontend[[#This Row],[Data]]="","", _xlfn.XLOOKUP(_xlfn.CONCAT(Buildings_Heat_Backend[[#This Row],[Level 1]:[Level 6]]),rng_EFConcat,rng_EF3TD)*Buildings_Heat_Backend[[#This Row],[Converted data]]/1000)</f>
        <v/>
      </c>
      <c r="AK154" s="210" t="str">
        <f>IF(Buildings_Heat_Frontend[[#This Row],[Data]]="","", _xlfn.XLOOKUP(_xlfn.CONCAT(Buildings_Heat_Backend[[#This Row],[Level 1]:[Level 6]]),rng_EFConcat,rng_EF3WTTTD)*Buildings_Heat_Backend[[#This Row],[Converted data]]/1000)</f>
        <v/>
      </c>
      <c r="AL154" s="220">
        <f>SUM(Buildings_Heat_Backend[[#This Row],[Scope 1 (tCO2e)]:[Scope 3 WTT T&amp;D (tCO2e)]])</f>
        <v>0</v>
      </c>
      <c r="AM154" s="220" t="str">
        <f>IF(Buildings_Heat_Frontend[[#This Row],[Data]]="","", Buildings_Heat_Backend[[#This Row],[Total (tCO2e)]]*(1-Buildings_Heat_Backend[[#This Row],[RSD]]))</f>
        <v/>
      </c>
      <c r="AN154" s="220" t="str">
        <f>IF(Buildings_Heat_Frontend[[#This Row],[Data]]="","", Buildings_Heat_Backend[[#This Row],[Total (tCO2e)]]*(1+Buildings_Heat_Backend[[#This Row],[RSD]]))</f>
        <v/>
      </c>
      <c r="AO154" s="210" t="str">
        <f>IF(Buildings_Heat_Frontend[[#This Row],[Data]]="","", _xlfn.XLOOKUP(_xlfn.CONCAT(Buildings_Heat_Backend[[#This Row],[Level 1]:[Level 6]]),rng_EFConcat,rng_EFOOS)*Buildings_Heat_Backend[[#This Row],[Converted data]]/1000)</f>
        <v/>
      </c>
      <c r="AP154" s="174">
        <f>Buildings_Heat_Frontend[[#This Row],[Ease of collection]]</f>
        <v>0</v>
      </c>
      <c r="AQ154" s="174">
        <f>Buildings_Heat_Frontend[[#This Row],[Completeness]]</f>
        <v>0</v>
      </c>
      <c r="AR154" s="174">
        <f>Buildings_Heat_Frontend[[#This Row],[Notes]]</f>
        <v>0</v>
      </c>
    </row>
    <row r="155" spans="5:44" x14ac:dyDescent="0.3">
      <c r="E155" s="346"/>
      <c r="F155" s="364"/>
      <c r="G155" s="336"/>
      <c r="H155" s="336"/>
      <c r="I155" s="336"/>
      <c r="J155" s="334"/>
      <c r="K155" s="336"/>
      <c r="L155" s="336"/>
      <c r="M155" s="336"/>
      <c r="N155" s="352"/>
      <c r="O155" s="230">
        <f t="shared" si="8"/>
        <v>6</v>
      </c>
      <c r="Q155" s="212" t="str">
        <f t="shared" si="6"/>
        <v/>
      </c>
      <c r="R155" s="174" t="s">
        <v>265</v>
      </c>
      <c r="S155" s="174" t="s">
        <v>273</v>
      </c>
      <c r="T155" s="174" t="str">
        <f>IF(Buildings_Heat_Frontend[[#This Row],[Data]]="","", _xlfn.XLOOKUP(Buildings_Heat_Backend[[#This Row],[Info 1]],Buildings_SiteInfo[Site name],Buildings_SiteInfo[Site type]))</f>
        <v/>
      </c>
      <c r="U155" s="174" t="str">
        <f>IF(Buildings_Heat_Frontend[[#This Row],[Data]]="","", Buildings_Heat_Frontend[[#This Row],[Heating Type]])</f>
        <v/>
      </c>
      <c r="V155" s="174" t="str">
        <f>IF(Buildings_Heat_Frontend[[#This Row],[Data]]="","", Buildings_Heat_Frontend[[#This Row],[Fuel]])</f>
        <v/>
      </c>
      <c r="W155" s="174" t="str" cm="1">
        <f t="array" ref="W155">IF(Buildings_Heat_Frontend[[#This Row],[Data]]="","", _xlfn.XLOOKUP(Buildings_Heat_Backend[[#This Row],[Level 5]],rng_Level5Long,rng_Level6Long))</f>
        <v/>
      </c>
      <c r="X155" s="174" t="str">
        <f>IF(Buildings_Heat_Frontend[[#This Row],[Data]]="","", Buildings_Heat_Frontend[[#This Row],[Site Name]])</f>
        <v/>
      </c>
      <c r="Y155" s="174" t="str">
        <f>IF(Buildings_Heat_Frontend[[#This Row],[Data]]="","", Buildings_Heat_Frontend[[#This Row],[MPRN]])</f>
        <v/>
      </c>
      <c r="Z155" s="174" t="str">
        <f>IF(Buildings_Heat_Frontend[[#This Row],[Data]]="","", IF($I155="","",$I155))</f>
        <v/>
      </c>
      <c r="AA155" s="229" t="str" cm="1">
        <f t="array" ref="AA155">IF(Buildings_Heat_Frontend[[#This Row],[Data]]="","", INDEX(_xlfn.SWITCH(Buildings_Heat_Backend[[#This Row],[Methodology]],"Tier 1",rng_RSD1,"Tier 2",rng_RSD2,"Tier 3",rng_RSD3),MATCH(_xlfn.CONCAT(Buildings_Heat_Backend[[#This Row],[Level 1]:[Level 6]]),rng_LevelsConcat,0)))</f>
        <v/>
      </c>
      <c r="AB155" s="220" t="str">
        <f t="shared" si="7"/>
        <v/>
      </c>
      <c r="AC155" s="174">
        <f>Buildings_Heat_Frontend[[#This Row],[Units]]</f>
        <v>0</v>
      </c>
      <c r="AD15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5" s="174" t="str">
        <f>IF(Buildings_Heat_Frontend[[#This Row],[Data]]="","", _xlfn.XLOOKUP(_xlfn.CONCAT(Buildings_Heat_Backend[[#This Row],[Level 1]:[Level 6]]),rng_LevelsConcat,rng_UnitsLong))</f>
        <v/>
      </c>
      <c r="AF155" s="210" t="str">
        <f>IF(Buildings_Heat_Frontend[[#This Row],[Data]]="","", _xlfn.XLOOKUP(_xlfn.CONCAT(Buildings_Heat_Backend[[#This Row],[Level 1]:[Level 6]]),rng_EFConcat,rng_EF1)*Buildings_Heat_Backend[[#This Row],[Converted data]]/1000)</f>
        <v/>
      </c>
      <c r="AG155" s="210" t="str">
        <f>IF(Buildings_Heat_Frontend[[#This Row],[Data]]="","", _xlfn.XLOOKUP(_xlfn.CONCAT(Buildings_Heat_Backend[[#This Row],[Level 1]:[Level 6]]),rng_EFConcat,rng_EF2)*Buildings_Heat_Backend[[#This Row],[Converted data]]/1000)</f>
        <v/>
      </c>
      <c r="AH155" s="210" t="str">
        <f>IF(Buildings_Heat_Frontend[[#This Row],[Data]]="","", _xlfn.XLOOKUP(_xlfn.CONCAT(Buildings_Heat_Backend[[#This Row],[Level 1]:[Level 6]]),rng_EFConcat,rng_EF3)*Buildings_Heat_Backend[[#This Row],[Converted data]]/1000)</f>
        <v/>
      </c>
      <c r="AI155" s="210" t="str">
        <f>IF(Buildings_Heat_Frontend[[#This Row],[Data]]="","", _xlfn.XLOOKUP(_xlfn.CONCAT(Buildings_Heat_Backend[[#This Row],[Level 1]:[Level 6]]),rng_EFConcat,rng_EF3WTT)*Buildings_Heat_Backend[[#This Row],[Converted data]]/1000)</f>
        <v/>
      </c>
      <c r="AJ155" s="210" t="str">
        <f>IF(Buildings_Heat_Frontend[[#This Row],[Data]]="","", _xlfn.XLOOKUP(_xlfn.CONCAT(Buildings_Heat_Backend[[#This Row],[Level 1]:[Level 6]]),rng_EFConcat,rng_EF3TD)*Buildings_Heat_Backend[[#This Row],[Converted data]]/1000)</f>
        <v/>
      </c>
      <c r="AK155" s="210" t="str">
        <f>IF(Buildings_Heat_Frontend[[#This Row],[Data]]="","", _xlfn.XLOOKUP(_xlfn.CONCAT(Buildings_Heat_Backend[[#This Row],[Level 1]:[Level 6]]),rng_EFConcat,rng_EF3WTTTD)*Buildings_Heat_Backend[[#This Row],[Converted data]]/1000)</f>
        <v/>
      </c>
      <c r="AL155" s="220">
        <f>SUM(Buildings_Heat_Backend[[#This Row],[Scope 1 (tCO2e)]:[Scope 3 WTT T&amp;D (tCO2e)]])</f>
        <v>0</v>
      </c>
      <c r="AM155" s="220" t="str">
        <f>IF(Buildings_Heat_Frontend[[#This Row],[Data]]="","", Buildings_Heat_Backend[[#This Row],[Total (tCO2e)]]*(1-Buildings_Heat_Backend[[#This Row],[RSD]]))</f>
        <v/>
      </c>
      <c r="AN155" s="220" t="str">
        <f>IF(Buildings_Heat_Frontend[[#This Row],[Data]]="","", Buildings_Heat_Backend[[#This Row],[Total (tCO2e)]]*(1+Buildings_Heat_Backend[[#This Row],[RSD]]))</f>
        <v/>
      </c>
      <c r="AO155" s="210" t="str">
        <f>IF(Buildings_Heat_Frontend[[#This Row],[Data]]="","", _xlfn.XLOOKUP(_xlfn.CONCAT(Buildings_Heat_Backend[[#This Row],[Level 1]:[Level 6]]),rng_EFConcat,rng_EFOOS)*Buildings_Heat_Backend[[#This Row],[Converted data]]/1000)</f>
        <v/>
      </c>
      <c r="AP155" s="174">
        <f>Buildings_Heat_Frontend[[#This Row],[Ease of collection]]</f>
        <v>0</v>
      </c>
      <c r="AQ155" s="174">
        <f>Buildings_Heat_Frontend[[#This Row],[Completeness]]</f>
        <v>0</v>
      </c>
      <c r="AR155" s="174">
        <f>Buildings_Heat_Frontend[[#This Row],[Notes]]</f>
        <v>0</v>
      </c>
    </row>
    <row r="156" spans="5:44" x14ac:dyDescent="0.3">
      <c r="E156" s="346"/>
      <c r="F156" s="364"/>
      <c r="G156" s="336"/>
      <c r="H156" s="336"/>
      <c r="I156" s="336"/>
      <c r="J156" s="334"/>
      <c r="K156" s="336"/>
      <c r="L156" s="336"/>
      <c r="M156" s="336"/>
      <c r="N156" s="352"/>
      <c r="O156" s="230">
        <f t="shared" si="8"/>
        <v>6</v>
      </c>
      <c r="Q156" s="212" t="str">
        <f t="shared" si="6"/>
        <v/>
      </c>
      <c r="R156" s="174" t="s">
        <v>265</v>
      </c>
      <c r="S156" s="174" t="s">
        <v>273</v>
      </c>
      <c r="T156" s="174" t="str">
        <f>IF(Buildings_Heat_Frontend[[#This Row],[Data]]="","", _xlfn.XLOOKUP(Buildings_Heat_Backend[[#This Row],[Info 1]],Buildings_SiteInfo[Site name],Buildings_SiteInfo[Site type]))</f>
        <v/>
      </c>
      <c r="U156" s="174" t="str">
        <f>IF(Buildings_Heat_Frontend[[#This Row],[Data]]="","", Buildings_Heat_Frontend[[#This Row],[Heating Type]])</f>
        <v/>
      </c>
      <c r="V156" s="174" t="str">
        <f>IF(Buildings_Heat_Frontend[[#This Row],[Data]]="","", Buildings_Heat_Frontend[[#This Row],[Fuel]])</f>
        <v/>
      </c>
      <c r="W156" s="174" t="str" cm="1">
        <f t="array" ref="W156">IF(Buildings_Heat_Frontend[[#This Row],[Data]]="","", _xlfn.XLOOKUP(Buildings_Heat_Backend[[#This Row],[Level 5]],rng_Level5Long,rng_Level6Long))</f>
        <v/>
      </c>
      <c r="X156" s="174" t="str">
        <f>IF(Buildings_Heat_Frontend[[#This Row],[Data]]="","", Buildings_Heat_Frontend[[#This Row],[Site Name]])</f>
        <v/>
      </c>
      <c r="Y156" s="174" t="str">
        <f>IF(Buildings_Heat_Frontend[[#This Row],[Data]]="","", Buildings_Heat_Frontend[[#This Row],[MPRN]])</f>
        <v/>
      </c>
      <c r="Z156" s="174" t="str">
        <f>IF(Buildings_Heat_Frontend[[#This Row],[Data]]="","", IF($I156="","",$I156))</f>
        <v/>
      </c>
      <c r="AA156" s="229" t="str" cm="1">
        <f t="array" ref="AA156">IF(Buildings_Heat_Frontend[[#This Row],[Data]]="","", INDEX(_xlfn.SWITCH(Buildings_Heat_Backend[[#This Row],[Methodology]],"Tier 1",rng_RSD1,"Tier 2",rng_RSD2,"Tier 3",rng_RSD3),MATCH(_xlfn.CONCAT(Buildings_Heat_Backend[[#This Row],[Level 1]:[Level 6]]),rng_LevelsConcat,0)))</f>
        <v/>
      </c>
      <c r="AB156" s="220" t="str">
        <f t="shared" si="7"/>
        <v/>
      </c>
      <c r="AC156" s="174">
        <f>Buildings_Heat_Frontend[[#This Row],[Units]]</f>
        <v>0</v>
      </c>
      <c r="AD15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6" s="174" t="str">
        <f>IF(Buildings_Heat_Frontend[[#This Row],[Data]]="","", _xlfn.XLOOKUP(_xlfn.CONCAT(Buildings_Heat_Backend[[#This Row],[Level 1]:[Level 6]]),rng_LevelsConcat,rng_UnitsLong))</f>
        <v/>
      </c>
      <c r="AF156" s="210" t="str">
        <f>IF(Buildings_Heat_Frontend[[#This Row],[Data]]="","", _xlfn.XLOOKUP(_xlfn.CONCAT(Buildings_Heat_Backend[[#This Row],[Level 1]:[Level 6]]),rng_EFConcat,rng_EF1)*Buildings_Heat_Backend[[#This Row],[Converted data]]/1000)</f>
        <v/>
      </c>
      <c r="AG156" s="210" t="str">
        <f>IF(Buildings_Heat_Frontend[[#This Row],[Data]]="","", _xlfn.XLOOKUP(_xlfn.CONCAT(Buildings_Heat_Backend[[#This Row],[Level 1]:[Level 6]]),rng_EFConcat,rng_EF2)*Buildings_Heat_Backend[[#This Row],[Converted data]]/1000)</f>
        <v/>
      </c>
      <c r="AH156" s="210" t="str">
        <f>IF(Buildings_Heat_Frontend[[#This Row],[Data]]="","", _xlfn.XLOOKUP(_xlfn.CONCAT(Buildings_Heat_Backend[[#This Row],[Level 1]:[Level 6]]),rng_EFConcat,rng_EF3)*Buildings_Heat_Backend[[#This Row],[Converted data]]/1000)</f>
        <v/>
      </c>
      <c r="AI156" s="210" t="str">
        <f>IF(Buildings_Heat_Frontend[[#This Row],[Data]]="","", _xlfn.XLOOKUP(_xlfn.CONCAT(Buildings_Heat_Backend[[#This Row],[Level 1]:[Level 6]]),rng_EFConcat,rng_EF3WTT)*Buildings_Heat_Backend[[#This Row],[Converted data]]/1000)</f>
        <v/>
      </c>
      <c r="AJ156" s="210" t="str">
        <f>IF(Buildings_Heat_Frontend[[#This Row],[Data]]="","", _xlfn.XLOOKUP(_xlfn.CONCAT(Buildings_Heat_Backend[[#This Row],[Level 1]:[Level 6]]),rng_EFConcat,rng_EF3TD)*Buildings_Heat_Backend[[#This Row],[Converted data]]/1000)</f>
        <v/>
      </c>
      <c r="AK156" s="210" t="str">
        <f>IF(Buildings_Heat_Frontend[[#This Row],[Data]]="","", _xlfn.XLOOKUP(_xlfn.CONCAT(Buildings_Heat_Backend[[#This Row],[Level 1]:[Level 6]]),rng_EFConcat,rng_EF3WTTTD)*Buildings_Heat_Backend[[#This Row],[Converted data]]/1000)</f>
        <v/>
      </c>
      <c r="AL156" s="220">
        <f>SUM(Buildings_Heat_Backend[[#This Row],[Scope 1 (tCO2e)]:[Scope 3 WTT T&amp;D (tCO2e)]])</f>
        <v>0</v>
      </c>
      <c r="AM156" s="220" t="str">
        <f>IF(Buildings_Heat_Frontend[[#This Row],[Data]]="","", Buildings_Heat_Backend[[#This Row],[Total (tCO2e)]]*(1-Buildings_Heat_Backend[[#This Row],[RSD]]))</f>
        <v/>
      </c>
      <c r="AN156" s="220" t="str">
        <f>IF(Buildings_Heat_Frontend[[#This Row],[Data]]="","", Buildings_Heat_Backend[[#This Row],[Total (tCO2e)]]*(1+Buildings_Heat_Backend[[#This Row],[RSD]]))</f>
        <v/>
      </c>
      <c r="AO156" s="210" t="str">
        <f>IF(Buildings_Heat_Frontend[[#This Row],[Data]]="","", _xlfn.XLOOKUP(_xlfn.CONCAT(Buildings_Heat_Backend[[#This Row],[Level 1]:[Level 6]]),rng_EFConcat,rng_EFOOS)*Buildings_Heat_Backend[[#This Row],[Converted data]]/1000)</f>
        <v/>
      </c>
      <c r="AP156" s="174">
        <f>Buildings_Heat_Frontend[[#This Row],[Ease of collection]]</f>
        <v>0</v>
      </c>
      <c r="AQ156" s="174">
        <f>Buildings_Heat_Frontend[[#This Row],[Completeness]]</f>
        <v>0</v>
      </c>
      <c r="AR156" s="174">
        <f>Buildings_Heat_Frontend[[#This Row],[Notes]]</f>
        <v>0</v>
      </c>
    </row>
    <row r="157" spans="5:44" x14ac:dyDescent="0.3">
      <c r="E157" s="346"/>
      <c r="F157" s="364"/>
      <c r="G157" s="336"/>
      <c r="H157" s="336"/>
      <c r="I157" s="336"/>
      <c r="J157" s="334"/>
      <c r="K157" s="336"/>
      <c r="L157" s="336"/>
      <c r="M157" s="336"/>
      <c r="N157" s="352"/>
      <c r="O157" s="230">
        <f t="shared" si="8"/>
        <v>6</v>
      </c>
      <c r="Q157" s="212" t="str">
        <f t="shared" si="6"/>
        <v/>
      </c>
      <c r="R157" s="174" t="s">
        <v>265</v>
      </c>
      <c r="S157" s="174" t="s">
        <v>273</v>
      </c>
      <c r="T157" s="174" t="str">
        <f>IF(Buildings_Heat_Frontend[[#This Row],[Data]]="","", _xlfn.XLOOKUP(Buildings_Heat_Backend[[#This Row],[Info 1]],Buildings_SiteInfo[Site name],Buildings_SiteInfo[Site type]))</f>
        <v/>
      </c>
      <c r="U157" s="174" t="str">
        <f>IF(Buildings_Heat_Frontend[[#This Row],[Data]]="","", Buildings_Heat_Frontend[[#This Row],[Heating Type]])</f>
        <v/>
      </c>
      <c r="V157" s="174" t="str">
        <f>IF(Buildings_Heat_Frontend[[#This Row],[Data]]="","", Buildings_Heat_Frontend[[#This Row],[Fuel]])</f>
        <v/>
      </c>
      <c r="W157" s="174" t="str" cm="1">
        <f t="array" ref="W157">IF(Buildings_Heat_Frontend[[#This Row],[Data]]="","", _xlfn.XLOOKUP(Buildings_Heat_Backend[[#This Row],[Level 5]],rng_Level5Long,rng_Level6Long))</f>
        <v/>
      </c>
      <c r="X157" s="174" t="str">
        <f>IF(Buildings_Heat_Frontend[[#This Row],[Data]]="","", Buildings_Heat_Frontend[[#This Row],[Site Name]])</f>
        <v/>
      </c>
      <c r="Y157" s="174" t="str">
        <f>IF(Buildings_Heat_Frontend[[#This Row],[Data]]="","", Buildings_Heat_Frontend[[#This Row],[MPRN]])</f>
        <v/>
      </c>
      <c r="Z157" s="174" t="str">
        <f>IF(Buildings_Heat_Frontend[[#This Row],[Data]]="","", IF($I157="","",$I157))</f>
        <v/>
      </c>
      <c r="AA157" s="229" t="str" cm="1">
        <f t="array" ref="AA157">IF(Buildings_Heat_Frontend[[#This Row],[Data]]="","", INDEX(_xlfn.SWITCH(Buildings_Heat_Backend[[#This Row],[Methodology]],"Tier 1",rng_RSD1,"Tier 2",rng_RSD2,"Tier 3",rng_RSD3),MATCH(_xlfn.CONCAT(Buildings_Heat_Backend[[#This Row],[Level 1]:[Level 6]]),rng_LevelsConcat,0)))</f>
        <v/>
      </c>
      <c r="AB157" s="220" t="str">
        <f t="shared" si="7"/>
        <v/>
      </c>
      <c r="AC157" s="174">
        <f>Buildings_Heat_Frontend[[#This Row],[Units]]</f>
        <v>0</v>
      </c>
      <c r="AD15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7" s="174" t="str">
        <f>IF(Buildings_Heat_Frontend[[#This Row],[Data]]="","", _xlfn.XLOOKUP(_xlfn.CONCAT(Buildings_Heat_Backend[[#This Row],[Level 1]:[Level 6]]),rng_LevelsConcat,rng_UnitsLong))</f>
        <v/>
      </c>
      <c r="AF157" s="210" t="str">
        <f>IF(Buildings_Heat_Frontend[[#This Row],[Data]]="","", _xlfn.XLOOKUP(_xlfn.CONCAT(Buildings_Heat_Backend[[#This Row],[Level 1]:[Level 6]]),rng_EFConcat,rng_EF1)*Buildings_Heat_Backend[[#This Row],[Converted data]]/1000)</f>
        <v/>
      </c>
      <c r="AG157" s="210" t="str">
        <f>IF(Buildings_Heat_Frontend[[#This Row],[Data]]="","", _xlfn.XLOOKUP(_xlfn.CONCAT(Buildings_Heat_Backend[[#This Row],[Level 1]:[Level 6]]),rng_EFConcat,rng_EF2)*Buildings_Heat_Backend[[#This Row],[Converted data]]/1000)</f>
        <v/>
      </c>
      <c r="AH157" s="210" t="str">
        <f>IF(Buildings_Heat_Frontend[[#This Row],[Data]]="","", _xlfn.XLOOKUP(_xlfn.CONCAT(Buildings_Heat_Backend[[#This Row],[Level 1]:[Level 6]]),rng_EFConcat,rng_EF3)*Buildings_Heat_Backend[[#This Row],[Converted data]]/1000)</f>
        <v/>
      </c>
      <c r="AI157" s="210" t="str">
        <f>IF(Buildings_Heat_Frontend[[#This Row],[Data]]="","", _xlfn.XLOOKUP(_xlfn.CONCAT(Buildings_Heat_Backend[[#This Row],[Level 1]:[Level 6]]),rng_EFConcat,rng_EF3WTT)*Buildings_Heat_Backend[[#This Row],[Converted data]]/1000)</f>
        <v/>
      </c>
      <c r="AJ157" s="210" t="str">
        <f>IF(Buildings_Heat_Frontend[[#This Row],[Data]]="","", _xlfn.XLOOKUP(_xlfn.CONCAT(Buildings_Heat_Backend[[#This Row],[Level 1]:[Level 6]]),rng_EFConcat,rng_EF3TD)*Buildings_Heat_Backend[[#This Row],[Converted data]]/1000)</f>
        <v/>
      </c>
      <c r="AK157" s="210" t="str">
        <f>IF(Buildings_Heat_Frontend[[#This Row],[Data]]="","", _xlfn.XLOOKUP(_xlfn.CONCAT(Buildings_Heat_Backend[[#This Row],[Level 1]:[Level 6]]),rng_EFConcat,rng_EF3WTTTD)*Buildings_Heat_Backend[[#This Row],[Converted data]]/1000)</f>
        <v/>
      </c>
      <c r="AL157" s="220">
        <f>SUM(Buildings_Heat_Backend[[#This Row],[Scope 1 (tCO2e)]:[Scope 3 WTT T&amp;D (tCO2e)]])</f>
        <v>0</v>
      </c>
      <c r="AM157" s="220" t="str">
        <f>IF(Buildings_Heat_Frontend[[#This Row],[Data]]="","", Buildings_Heat_Backend[[#This Row],[Total (tCO2e)]]*(1-Buildings_Heat_Backend[[#This Row],[RSD]]))</f>
        <v/>
      </c>
      <c r="AN157" s="220" t="str">
        <f>IF(Buildings_Heat_Frontend[[#This Row],[Data]]="","", Buildings_Heat_Backend[[#This Row],[Total (tCO2e)]]*(1+Buildings_Heat_Backend[[#This Row],[RSD]]))</f>
        <v/>
      </c>
      <c r="AO157" s="210" t="str">
        <f>IF(Buildings_Heat_Frontend[[#This Row],[Data]]="","", _xlfn.XLOOKUP(_xlfn.CONCAT(Buildings_Heat_Backend[[#This Row],[Level 1]:[Level 6]]),rng_EFConcat,rng_EFOOS)*Buildings_Heat_Backend[[#This Row],[Converted data]]/1000)</f>
        <v/>
      </c>
      <c r="AP157" s="174">
        <f>Buildings_Heat_Frontend[[#This Row],[Ease of collection]]</f>
        <v>0</v>
      </c>
      <c r="AQ157" s="174">
        <f>Buildings_Heat_Frontend[[#This Row],[Completeness]]</f>
        <v>0</v>
      </c>
      <c r="AR157" s="174">
        <f>Buildings_Heat_Frontend[[#This Row],[Notes]]</f>
        <v>0</v>
      </c>
    </row>
    <row r="158" spans="5:44" x14ac:dyDescent="0.3">
      <c r="E158" s="346"/>
      <c r="F158" s="364"/>
      <c r="G158" s="336"/>
      <c r="H158" s="336"/>
      <c r="I158" s="336"/>
      <c r="J158" s="334"/>
      <c r="K158" s="336"/>
      <c r="L158" s="336"/>
      <c r="M158" s="336"/>
      <c r="N158" s="352"/>
      <c r="O158" s="230">
        <f t="shared" si="8"/>
        <v>6</v>
      </c>
      <c r="Q158" s="212" t="str">
        <f t="shared" si="6"/>
        <v/>
      </c>
      <c r="R158" s="174" t="s">
        <v>265</v>
      </c>
      <c r="S158" s="174" t="s">
        <v>273</v>
      </c>
      <c r="T158" s="174" t="str">
        <f>IF(Buildings_Heat_Frontend[[#This Row],[Data]]="","", _xlfn.XLOOKUP(Buildings_Heat_Backend[[#This Row],[Info 1]],Buildings_SiteInfo[Site name],Buildings_SiteInfo[Site type]))</f>
        <v/>
      </c>
      <c r="U158" s="174" t="str">
        <f>IF(Buildings_Heat_Frontend[[#This Row],[Data]]="","", Buildings_Heat_Frontend[[#This Row],[Heating Type]])</f>
        <v/>
      </c>
      <c r="V158" s="174" t="str">
        <f>IF(Buildings_Heat_Frontend[[#This Row],[Data]]="","", Buildings_Heat_Frontend[[#This Row],[Fuel]])</f>
        <v/>
      </c>
      <c r="W158" s="174" t="str" cm="1">
        <f t="array" ref="W158">IF(Buildings_Heat_Frontend[[#This Row],[Data]]="","", _xlfn.XLOOKUP(Buildings_Heat_Backend[[#This Row],[Level 5]],rng_Level5Long,rng_Level6Long))</f>
        <v/>
      </c>
      <c r="X158" s="174" t="str">
        <f>IF(Buildings_Heat_Frontend[[#This Row],[Data]]="","", Buildings_Heat_Frontend[[#This Row],[Site Name]])</f>
        <v/>
      </c>
      <c r="Y158" s="174" t="str">
        <f>IF(Buildings_Heat_Frontend[[#This Row],[Data]]="","", Buildings_Heat_Frontend[[#This Row],[MPRN]])</f>
        <v/>
      </c>
      <c r="Z158" s="174" t="str">
        <f>IF(Buildings_Heat_Frontend[[#This Row],[Data]]="","", IF($I158="","",$I158))</f>
        <v/>
      </c>
      <c r="AA158" s="229" t="str" cm="1">
        <f t="array" ref="AA158">IF(Buildings_Heat_Frontend[[#This Row],[Data]]="","", INDEX(_xlfn.SWITCH(Buildings_Heat_Backend[[#This Row],[Methodology]],"Tier 1",rng_RSD1,"Tier 2",rng_RSD2,"Tier 3",rng_RSD3),MATCH(_xlfn.CONCAT(Buildings_Heat_Backend[[#This Row],[Level 1]:[Level 6]]),rng_LevelsConcat,0)))</f>
        <v/>
      </c>
      <c r="AB158" s="220" t="str">
        <f t="shared" si="7"/>
        <v/>
      </c>
      <c r="AC158" s="174">
        <f>Buildings_Heat_Frontend[[#This Row],[Units]]</f>
        <v>0</v>
      </c>
      <c r="AD15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8" s="174" t="str">
        <f>IF(Buildings_Heat_Frontend[[#This Row],[Data]]="","", _xlfn.XLOOKUP(_xlfn.CONCAT(Buildings_Heat_Backend[[#This Row],[Level 1]:[Level 6]]),rng_LevelsConcat,rng_UnitsLong))</f>
        <v/>
      </c>
      <c r="AF158" s="210" t="str">
        <f>IF(Buildings_Heat_Frontend[[#This Row],[Data]]="","", _xlfn.XLOOKUP(_xlfn.CONCAT(Buildings_Heat_Backend[[#This Row],[Level 1]:[Level 6]]),rng_EFConcat,rng_EF1)*Buildings_Heat_Backend[[#This Row],[Converted data]]/1000)</f>
        <v/>
      </c>
      <c r="AG158" s="210" t="str">
        <f>IF(Buildings_Heat_Frontend[[#This Row],[Data]]="","", _xlfn.XLOOKUP(_xlfn.CONCAT(Buildings_Heat_Backend[[#This Row],[Level 1]:[Level 6]]),rng_EFConcat,rng_EF2)*Buildings_Heat_Backend[[#This Row],[Converted data]]/1000)</f>
        <v/>
      </c>
      <c r="AH158" s="210" t="str">
        <f>IF(Buildings_Heat_Frontend[[#This Row],[Data]]="","", _xlfn.XLOOKUP(_xlfn.CONCAT(Buildings_Heat_Backend[[#This Row],[Level 1]:[Level 6]]),rng_EFConcat,rng_EF3)*Buildings_Heat_Backend[[#This Row],[Converted data]]/1000)</f>
        <v/>
      </c>
      <c r="AI158" s="210" t="str">
        <f>IF(Buildings_Heat_Frontend[[#This Row],[Data]]="","", _xlfn.XLOOKUP(_xlfn.CONCAT(Buildings_Heat_Backend[[#This Row],[Level 1]:[Level 6]]),rng_EFConcat,rng_EF3WTT)*Buildings_Heat_Backend[[#This Row],[Converted data]]/1000)</f>
        <v/>
      </c>
      <c r="AJ158" s="210" t="str">
        <f>IF(Buildings_Heat_Frontend[[#This Row],[Data]]="","", _xlfn.XLOOKUP(_xlfn.CONCAT(Buildings_Heat_Backend[[#This Row],[Level 1]:[Level 6]]),rng_EFConcat,rng_EF3TD)*Buildings_Heat_Backend[[#This Row],[Converted data]]/1000)</f>
        <v/>
      </c>
      <c r="AK158" s="210" t="str">
        <f>IF(Buildings_Heat_Frontend[[#This Row],[Data]]="","", _xlfn.XLOOKUP(_xlfn.CONCAT(Buildings_Heat_Backend[[#This Row],[Level 1]:[Level 6]]),rng_EFConcat,rng_EF3WTTTD)*Buildings_Heat_Backend[[#This Row],[Converted data]]/1000)</f>
        <v/>
      </c>
      <c r="AL158" s="220">
        <f>SUM(Buildings_Heat_Backend[[#This Row],[Scope 1 (tCO2e)]:[Scope 3 WTT T&amp;D (tCO2e)]])</f>
        <v>0</v>
      </c>
      <c r="AM158" s="220" t="str">
        <f>IF(Buildings_Heat_Frontend[[#This Row],[Data]]="","", Buildings_Heat_Backend[[#This Row],[Total (tCO2e)]]*(1-Buildings_Heat_Backend[[#This Row],[RSD]]))</f>
        <v/>
      </c>
      <c r="AN158" s="220" t="str">
        <f>IF(Buildings_Heat_Frontend[[#This Row],[Data]]="","", Buildings_Heat_Backend[[#This Row],[Total (tCO2e)]]*(1+Buildings_Heat_Backend[[#This Row],[RSD]]))</f>
        <v/>
      </c>
      <c r="AO158" s="210" t="str">
        <f>IF(Buildings_Heat_Frontend[[#This Row],[Data]]="","", _xlfn.XLOOKUP(_xlfn.CONCAT(Buildings_Heat_Backend[[#This Row],[Level 1]:[Level 6]]),rng_EFConcat,rng_EFOOS)*Buildings_Heat_Backend[[#This Row],[Converted data]]/1000)</f>
        <v/>
      </c>
      <c r="AP158" s="174">
        <f>Buildings_Heat_Frontend[[#This Row],[Ease of collection]]</f>
        <v>0</v>
      </c>
      <c r="AQ158" s="174">
        <f>Buildings_Heat_Frontend[[#This Row],[Completeness]]</f>
        <v>0</v>
      </c>
      <c r="AR158" s="174">
        <f>Buildings_Heat_Frontend[[#This Row],[Notes]]</f>
        <v>0</v>
      </c>
    </row>
    <row r="159" spans="5:44" x14ac:dyDescent="0.3">
      <c r="E159" s="346"/>
      <c r="F159" s="364"/>
      <c r="G159" s="336"/>
      <c r="H159" s="336"/>
      <c r="I159" s="336"/>
      <c r="J159" s="334"/>
      <c r="K159" s="336"/>
      <c r="L159" s="336"/>
      <c r="M159" s="336"/>
      <c r="N159" s="352"/>
      <c r="O159" s="230">
        <f t="shared" si="8"/>
        <v>6</v>
      </c>
      <c r="Q159" s="212" t="str">
        <f t="shared" si="6"/>
        <v/>
      </c>
      <c r="R159" s="174" t="s">
        <v>265</v>
      </c>
      <c r="S159" s="174" t="s">
        <v>273</v>
      </c>
      <c r="T159" s="174" t="str">
        <f>IF(Buildings_Heat_Frontend[[#This Row],[Data]]="","", _xlfn.XLOOKUP(Buildings_Heat_Backend[[#This Row],[Info 1]],Buildings_SiteInfo[Site name],Buildings_SiteInfo[Site type]))</f>
        <v/>
      </c>
      <c r="U159" s="174" t="str">
        <f>IF(Buildings_Heat_Frontend[[#This Row],[Data]]="","", Buildings_Heat_Frontend[[#This Row],[Heating Type]])</f>
        <v/>
      </c>
      <c r="V159" s="174" t="str">
        <f>IF(Buildings_Heat_Frontend[[#This Row],[Data]]="","", Buildings_Heat_Frontend[[#This Row],[Fuel]])</f>
        <v/>
      </c>
      <c r="W159" s="174" t="str" cm="1">
        <f t="array" ref="W159">IF(Buildings_Heat_Frontend[[#This Row],[Data]]="","", _xlfn.XLOOKUP(Buildings_Heat_Backend[[#This Row],[Level 5]],rng_Level5Long,rng_Level6Long))</f>
        <v/>
      </c>
      <c r="X159" s="174" t="str">
        <f>IF(Buildings_Heat_Frontend[[#This Row],[Data]]="","", Buildings_Heat_Frontend[[#This Row],[Site Name]])</f>
        <v/>
      </c>
      <c r="Y159" s="174" t="str">
        <f>IF(Buildings_Heat_Frontend[[#This Row],[Data]]="","", Buildings_Heat_Frontend[[#This Row],[MPRN]])</f>
        <v/>
      </c>
      <c r="Z159" s="174" t="str">
        <f>IF(Buildings_Heat_Frontend[[#This Row],[Data]]="","", IF($I159="","",$I159))</f>
        <v/>
      </c>
      <c r="AA159" s="229" t="str" cm="1">
        <f t="array" ref="AA159">IF(Buildings_Heat_Frontend[[#This Row],[Data]]="","", INDEX(_xlfn.SWITCH(Buildings_Heat_Backend[[#This Row],[Methodology]],"Tier 1",rng_RSD1,"Tier 2",rng_RSD2,"Tier 3",rng_RSD3),MATCH(_xlfn.CONCAT(Buildings_Heat_Backend[[#This Row],[Level 1]:[Level 6]]),rng_LevelsConcat,0)))</f>
        <v/>
      </c>
      <c r="AB159" s="220" t="str">
        <f t="shared" si="7"/>
        <v/>
      </c>
      <c r="AC159" s="174">
        <f>Buildings_Heat_Frontend[[#This Row],[Units]]</f>
        <v>0</v>
      </c>
      <c r="AD15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59" s="174" t="str">
        <f>IF(Buildings_Heat_Frontend[[#This Row],[Data]]="","", _xlfn.XLOOKUP(_xlfn.CONCAT(Buildings_Heat_Backend[[#This Row],[Level 1]:[Level 6]]),rng_LevelsConcat,rng_UnitsLong))</f>
        <v/>
      </c>
      <c r="AF159" s="210" t="str">
        <f>IF(Buildings_Heat_Frontend[[#This Row],[Data]]="","", _xlfn.XLOOKUP(_xlfn.CONCAT(Buildings_Heat_Backend[[#This Row],[Level 1]:[Level 6]]),rng_EFConcat,rng_EF1)*Buildings_Heat_Backend[[#This Row],[Converted data]]/1000)</f>
        <v/>
      </c>
      <c r="AG159" s="210" t="str">
        <f>IF(Buildings_Heat_Frontend[[#This Row],[Data]]="","", _xlfn.XLOOKUP(_xlfn.CONCAT(Buildings_Heat_Backend[[#This Row],[Level 1]:[Level 6]]),rng_EFConcat,rng_EF2)*Buildings_Heat_Backend[[#This Row],[Converted data]]/1000)</f>
        <v/>
      </c>
      <c r="AH159" s="210" t="str">
        <f>IF(Buildings_Heat_Frontend[[#This Row],[Data]]="","", _xlfn.XLOOKUP(_xlfn.CONCAT(Buildings_Heat_Backend[[#This Row],[Level 1]:[Level 6]]),rng_EFConcat,rng_EF3)*Buildings_Heat_Backend[[#This Row],[Converted data]]/1000)</f>
        <v/>
      </c>
      <c r="AI159" s="210" t="str">
        <f>IF(Buildings_Heat_Frontend[[#This Row],[Data]]="","", _xlfn.XLOOKUP(_xlfn.CONCAT(Buildings_Heat_Backend[[#This Row],[Level 1]:[Level 6]]),rng_EFConcat,rng_EF3WTT)*Buildings_Heat_Backend[[#This Row],[Converted data]]/1000)</f>
        <v/>
      </c>
      <c r="AJ159" s="210" t="str">
        <f>IF(Buildings_Heat_Frontend[[#This Row],[Data]]="","", _xlfn.XLOOKUP(_xlfn.CONCAT(Buildings_Heat_Backend[[#This Row],[Level 1]:[Level 6]]),rng_EFConcat,rng_EF3TD)*Buildings_Heat_Backend[[#This Row],[Converted data]]/1000)</f>
        <v/>
      </c>
      <c r="AK159" s="210" t="str">
        <f>IF(Buildings_Heat_Frontend[[#This Row],[Data]]="","", _xlfn.XLOOKUP(_xlfn.CONCAT(Buildings_Heat_Backend[[#This Row],[Level 1]:[Level 6]]),rng_EFConcat,rng_EF3WTTTD)*Buildings_Heat_Backend[[#This Row],[Converted data]]/1000)</f>
        <v/>
      </c>
      <c r="AL159" s="220">
        <f>SUM(Buildings_Heat_Backend[[#This Row],[Scope 1 (tCO2e)]:[Scope 3 WTT T&amp;D (tCO2e)]])</f>
        <v>0</v>
      </c>
      <c r="AM159" s="220" t="str">
        <f>IF(Buildings_Heat_Frontend[[#This Row],[Data]]="","", Buildings_Heat_Backend[[#This Row],[Total (tCO2e)]]*(1-Buildings_Heat_Backend[[#This Row],[RSD]]))</f>
        <v/>
      </c>
      <c r="AN159" s="220" t="str">
        <f>IF(Buildings_Heat_Frontend[[#This Row],[Data]]="","", Buildings_Heat_Backend[[#This Row],[Total (tCO2e)]]*(1+Buildings_Heat_Backend[[#This Row],[RSD]]))</f>
        <v/>
      </c>
      <c r="AO159" s="210" t="str">
        <f>IF(Buildings_Heat_Frontend[[#This Row],[Data]]="","", _xlfn.XLOOKUP(_xlfn.CONCAT(Buildings_Heat_Backend[[#This Row],[Level 1]:[Level 6]]),rng_EFConcat,rng_EFOOS)*Buildings_Heat_Backend[[#This Row],[Converted data]]/1000)</f>
        <v/>
      </c>
      <c r="AP159" s="174">
        <f>Buildings_Heat_Frontend[[#This Row],[Ease of collection]]</f>
        <v>0</v>
      </c>
      <c r="AQ159" s="174">
        <f>Buildings_Heat_Frontend[[#This Row],[Completeness]]</f>
        <v>0</v>
      </c>
      <c r="AR159" s="174">
        <f>Buildings_Heat_Frontend[[#This Row],[Notes]]</f>
        <v>0</v>
      </c>
    </row>
    <row r="160" spans="5:44" x14ac:dyDescent="0.3">
      <c r="E160" s="346"/>
      <c r="F160" s="364"/>
      <c r="G160" s="336"/>
      <c r="H160" s="336"/>
      <c r="I160" s="336"/>
      <c r="J160" s="334"/>
      <c r="K160" s="336"/>
      <c r="L160" s="336"/>
      <c r="M160" s="336"/>
      <c r="N160" s="352"/>
      <c r="O160" s="230">
        <f t="shared" si="8"/>
        <v>6</v>
      </c>
      <c r="Q160" s="212" t="str">
        <f t="shared" si="6"/>
        <v/>
      </c>
      <c r="R160" s="174" t="s">
        <v>265</v>
      </c>
      <c r="S160" s="174" t="s">
        <v>273</v>
      </c>
      <c r="T160" s="174" t="str">
        <f>IF(Buildings_Heat_Frontend[[#This Row],[Data]]="","", _xlfn.XLOOKUP(Buildings_Heat_Backend[[#This Row],[Info 1]],Buildings_SiteInfo[Site name],Buildings_SiteInfo[Site type]))</f>
        <v/>
      </c>
      <c r="U160" s="174" t="str">
        <f>IF(Buildings_Heat_Frontend[[#This Row],[Data]]="","", Buildings_Heat_Frontend[[#This Row],[Heating Type]])</f>
        <v/>
      </c>
      <c r="V160" s="174" t="str">
        <f>IF(Buildings_Heat_Frontend[[#This Row],[Data]]="","", Buildings_Heat_Frontend[[#This Row],[Fuel]])</f>
        <v/>
      </c>
      <c r="W160" s="174" t="str" cm="1">
        <f t="array" ref="W160">IF(Buildings_Heat_Frontend[[#This Row],[Data]]="","", _xlfn.XLOOKUP(Buildings_Heat_Backend[[#This Row],[Level 5]],rng_Level5Long,rng_Level6Long))</f>
        <v/>
      </c>
      <c r="X160" s="174" t="str">
        <f>IF(Buildings_Heat_Frontend[[#This Row],[Data]]="","", Buildings_Heat_Frontend[[#This Row],[Site Name]])</f>
        <v/>
      </c>
      <c r="Y160" s="174" t="str">
        <f>IF(Buildings_Heat_Frontend[[#This Row],[Data]]="","", Buildings_Heat_Frontend[[#This Row],[MPRN]])</f>
        <v/>
      </c>
      <c r="Z160" s="174" t="str">
        <f>IF(Buildings_Heat_Frontend[[#This Row],[Data]]="","", IF($I160="","",$I160))</f>
        <v/>
      </c>
      <c r="AA160" s="229" t="str" cm="1">
        <f t="array" ref="AA160">IF(Buildings_Heat_Frontend[[#This Row],[Data]]="","", INDEX(_xlfn.SWITCH(Buildings_Heat_Backend[[#This Row],[Methodology]],"Tier 1",rng_RSD1,"Tier 2",rng_RSD2,"Tier 3",rng_RSD3),MATCH(_xlfn.CONCAT(Buildings_Heat_Backend[[#This Row],[Level 1]:[Level 6]]),rng_LevelsConcat,0)))</f>
        <v/>
      </c>
      <c r="AB160" s="220" t="str">
        <f t="shared" si="7"/>
        <v/>
      </c>
      <c r="AC160" s="174">
        <f>Buildings_Heat_Frontend[[#This Row],[Units]]</f>
        <v>0</v>
      </c>
      <c r="AD16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0" s="174" t="str">
        <f>IF(Buildings_Heat_Frontend[[#This Row],[Data]]="","", _xlfn.XLOOKUP(_xlfn.CONCAT(Buildings_Heat_Backend[[#This Row],[Level 1]:[Level 6]]),rng_LevelsConcat,rng_UnitsLong))</f>
        <v/>
      </c>
      <c r="AF160" s="210" t="str">
        <f>IF(Buildings_Heat_Frontend[[#This Row],[Data]]="","", _xlfn.XLOOKUP(_xlfn.CONCAT(Buildings_Heat_Backend[[#This Row],[Level 1]:[Level 6]]),rng_EFConcat,rng_EF1)*Buildings_Heat_Backend[[#This Row],[Converted data]]/1000)</f>
        <v/>
      </c>
      <c r="AG160" s="210" t="str">
        <f>IF(Buildings_Heat_Frontend[[#This Row],[Data]]="","", _xlfn.XLOOKUP(_xlfn.CONCAT(Buildings_Heat_Backend[[#This Row],[Level 1]:[Level 6]]),rng_EFConcat,rng_EF2)*Buildings_Heat_Backend[[#This Row],[Converted data]]/1000)</f>
        <v/>
      </c>
      <c r="AH160" s="210" t="str">
        <f>IF(Buildings_Heat_Frontend[[#This Row],[Data]]="","", _xlfn.XLOOKUP(_xlfn.CONCAT(Buildings_Heat_Backend[[#This Row],[Level 1]:[Level 6]]),rng_EFConcat,rng_EF3)*Buildings_Heat_Backend[[#This Row],[Converted data]]/1000)</f>
        <v/>
      </c>
      <c r="AI160" s="210" t="str">
        <f>IF(Buildings_Heat_Frontend[[#This Row],[Data]]="","", _xlfn.XLOOKUP(_xlfn.CONCAT(Buildings_Heat_Backend[[#This Row],[Level 1]:[Level 6]]),rng_EFConcat,rng_EF3WTT)*Buildings_Heat_Backend[[#This Row],[Converted data]]/1000)</f>
        <v/>
      </c>
      <c r="AJ160" s="210" t="str">
        <f>IF(Buildings_Heat_Frontend[[#This Row],[Data]]="","", _xlfn.XLOOKUP(_xlfn.CONCAT(Buildings_Heat_Backend[[#This Row],[Level 1]:[Level 6]]),rng_EFConcat,rng_EF3TD)*Buildings_Heat_Backend[[#This Row],[Converted data]]/1000)</f>
        <v/>
      </c>
      <c r="AK160" s="210" t="str">
        <f>IF(Buildings_Heat_Frontend[[#This Row],[Data]]="","", _xlfn.XLOOKUP(_xlfn.CONCAT(Buildings_Heat_Backend[[#This Row],[Level 1]:[Level 6]]),rng_EFConcat,rng_EF3WTTTD)*Buildings_Heat_Backend[[#This Row],[Converted data]]/1000)</f>
        <v/>
      </c>
      <c r="AL160" s="220">
        <f>SUM(Buildings_Heat_Backend[[#This Row],[Scope 1 (tCO2e)]:[Scope 3 WTT T&amp;D (tCO2e)]])</f>
        <v>0</v>
      </c>
      <c r="AM160" s="220" t="str">
        <f>IF(Buildings_Heat_Frontend[[#This Row],[Data]]="","", Buildings_Heat_Backend[[#This Row],[Total (tCO2e)]]*(1-Buildings_Heat_Backend[[#This Row],[RSD]]))</f>
        <v/>
      </c>
      <c r="AN160" s="220" t="str">
        <f>IF(Buildings_Heat_Frontend[[#This Row],[Data]]="","", Buildings_Heat_Backend[[#This Row],[Total (tCO2e)]]*(1+Buildings_Heat_Backend[[#This Row],[RSD]]))</f>
        <v/>
      </c>
      <c r="AO160" s="210" t="str">
        <f>IF(Buildings_Heat_Frontend[[#This Row],[Data]]="","", _xlfn.XLOOKUP(_xlfn.CONCAT(Buildings_Heat_Backend[[#This Row],[Level 1]:[Level 6]]),rng_EFConcat,rng_EFOOS)*Buildings_Heat_Backend[[#This Row],[Converted data]]/1000)</f>
        <v/>
      </c>
      <c r="AP160" s="174">
        <f>Buildings_Heat_Frontend[[#This Row],[Ease of collection]]</f>
        <v>0</v>
      </c>
      <c r="AQ160" s="174">
        <f>Buildings_Heat_Frontend[[#This Row],[Completeness]]</f>
        <v>0</v>
      </c>
      <c r="AR160" s="174">
        <f>Buildings_Heat_Frontend[[#This Row],[Notes]]</f>
        <v>0</v>
      </c>
    </row>
    <row r="161" spans="5:44" x14ac:dyDescent="0.3">
      <c r="E161" s="346"/>
      <c r="F161" s="364"/>
      <c r="G161" s="336"/>
      <c r="H161" s="336"/>
      <c r="I161" s="336"/>
      <c r="J161" s="334"/>
      <c r="K161" s="336"/>
      <c r="L161" s="336"/>
      <c r="M161" s="336"/>
      <c r="N161" s="352"/>
      <c r="O161" s="230">
        <f t="shared" si="8"/>
        <v>6</v>
      </c>
      <c r="Q161" s="212" t="str">
        <f t="shared" si="6"/>
        <v/>
      </c>
      <c r="R161" s="174" t="s">
        <v>265</v>
      </c>
      <c r="S161" s="174" t="s">
        <v>273</v>
      </c>
      <c r="T161" s="174" t="str">
        <f>IF(Buildings_Heat_Frontend[[#This Row],[Data]]="","", _xlfn.XLOOKUP(Buildings_Heat_Backend[[#This Row],[Info 1]],Buildings_SiteInfo[Site name],Buildings_SiteInfo[Site type]))</f>
        <v/>
      </c>
      <c r="U161" s="174" t="str">
        <f>IF(Buildings_Heat_Frontend[[#This Row],[Data]]="","", Buildings_Heat_Frontend[[#This Row],[Heating Type]])</f>
        <v/>
      </c>
      <c r="V161" s="174" t="str">
        <f>IF(Buildings_Heat_Frontend[[#This Row],[Data]]="","", Buildings_Heat_Frontend[[#This Row],[Fuel]])</f>
        <v/>
      </c>
      <c r="W161" s="174" t="str" cm="1">
        <f t="array" ref="W161">IF(Buildings_Heat_Frontend[[#This Row],[Data]]="","", _xlfn.XLOOKUP(Buildings_Heat_Backend[[#This Row],[Level 5]],rng_Level5Long,rng_Level6Long))</f>
        <v/>
      </c>
      <c r="X161" s="174" t="str">
        <f>IF(Buildings_Heat_Frontend[[#This Row],[Data]]="","", Buildings_Heat_Frontend[[#This Row],[Site Name]])</f>
        <v/>
      </c>
      <c r="Y161" s="174" t="str">
        <f>IF(Buildings_Heat_Frontend[[#This Row],[Data]]="","", Buildings_Heat_Frontend[[#This Row],[MPRN]])</f>
        <v/>
      </c>
      <c r="Z161" s="174" t="str">
        <f>IF(Buildings_Heat_Frontend[[#This Row],[Data]]="","", IF($I161="","",$I161))</f>
        <v/>
      </c>
      <c r="AA161" s="229" t="str" cm="1">
        <f t="array" ref="AA161">IF(Buildings_Heat_Frontend[[#This Row],[Data]]="","", INDEX(_xlfn.SWITCH(Buildings_Heat_Backend[[#This Row],[Methodology]],"Tier 1",rng_RSD1,"Tier 2",rng_RSD2,"Tier 3",rng_RSD3),MATCH(_xlfn.CONCAT(Buildings_Heat_Backend[[#This Row],[Level 1]:[Level 6]]),rng_LevelsConcat,0)))</f>
        <v/>
      </c>
      <c r="AB161" s="220" t="str">
        <f t="shared" si="7"/>
        <v/>
      </c>
      <c r="AC161" s="174">
        <f>Buildings_Heat_Frontend[[#This Row],[Units]]</f>
        <v>0</v>
      </c>
      <c r="AD16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1" s="174" t="str">
        <f>IF(Buildings_Heat_Frontend[[#This Row],[Data]]="","", _xlfn.XLOOKUP(_xlfn.CONCAT(Buildings_Heat_Backend[[#This Row],[Level 1]:[Level 6]]),rng_LevelsConcat,rng_UnitsLong))</f>
        <v/>
      </c>
      <c r="AF161" s="210" t="str">
        <f>IF(Buildings_Heat_Frontend[[#This Row],[Data]]="","", _xlfn.XLOOKUP(_xlfn.CONCAT(Buildings_Heat_Backend[[#This Row],[Level 1]:[Level 6]]),rng_EFConcat,rng_EF1)*Buildings_Heat_Backend[[#This Row],[Converted data]]/1000)</f>
        <v/>
      </c>
      <c r="AG161" s="210" t="str">
        <f>IF(Buildings_Heat_Frontend[[#This Row],[Data]]="","", _xlfn.XLOOKUP(_xlfn.CONCAT(Buildings_Heat_Backend[[#This Row],[Level 1]:[Level 6]]),rng_EFConcat,rng_EF2)*Buildings_Heat_Backend[[#This Row],[Converted data]]/1000)</f>
        <v/>
      </c>
      <c r="AH161" s="210" t="str">
        <f>IF(Buildings_Heat_Frontend[[#This Row],[Data]]="","", _xlfn.XLOOKUP(_xlfn.CONCAT(Buildings_Heat_Backend[[#This Row],[Level 1]:[Level 6]]),rng_EFConcat,rng_EF3)*Buildings_Heat_Backend[[#This Row],[Converted data]]/1000)</f>
        <v/>
      </c>
      <c r="AI161" s="210" t="str">
        <f>IF(Buildings_Heat_Frontend[[#This Row],[Data]]="","", _xlfn.XLOOKUP(_xlfn.CONCAT(Buildings_Heat_Backend[[#This Row],[Level 1]:[Level 6]]),rng_EFConcat,rng_EF3WTT)*Buildings_Heat_Backend[[#This Row],[Converted data]]/1000)</f>
        <v/>
      </c>
      <c r="AJ161" s="210" t="str">
        <f>IF(Buildings_Heat_Frontend[[#This Row],[Data]]="","", _xlfn.XLOOKUP(_xlfn.CONCAT(Buildings_Heat_Backend[[#This Row],[Level 1]:[Level 6]]),rng_EFConcat,rng_EF3TD)*Buildings_Heat_Backend[[#This Row],[Converted data]]/1000)</f>
        <v/>
      </c>
      <c r="AK161" s="210" t="str">
        <f>IF(Buildings_Heat_Frontend[[#This Row],[Data]]="","", _xlfn.XLOOKUP(_xlfn.CONCAT(Buildings_Heat_Backend[[#This Row],[Level 1]:[Level 6]]),rng_EFConcat,rng_EF3WTTTD)*Buildings_Heat_Backend[[#This Row],[Converted data]]/1000)</f>
        <v/>
      </c>
      <c r="AL161" s="220">
        <f>SUM(Buildings_Heat_Backend[[#This Row],[Scope 1 (tCO2e)]:[Scope 3 WTT T&amp;D (tCO2e)]])</f>
        <v>0</v>
      </c>
      <c r="AM161" s="220" t="str">
        <f>IF(Buildings_Heat_Frontend[[#This Row],[Data]]="","", Buildings_Heat_Backend[[#This Row],[Total (tCO2e)]]*(1-Buildings_Heat_Backend[[#This Row],[RSD]]))</f>
        <v/>
      </c>
      <c r="AN161" s="220" t="str">
        <f>IF(Buildings_Heat_Frontend[[#This Row],[Data]]="","", Buildings_Heat_Backend[[#This Row],[Total (tCO2e)]]*(1+Buildings_Heat_Backend[[#This Row],[RSD]]))</f>
        <v/>
      </c>
      <c r="AO161" s="210" t="str">
        <f>IF(Buildings_Heat_Frontend[[#This Row],[Data]]="","", _xlfn.XLOOKUP(_xlfn.CONCAT(Buildings_Heat_Backend[[#This Row],[Level 1]:[Level 6]]),rng_EFConcat,rng_EFOOS)*Buildings_Heat_Backend[[#This Row],[Converted data]]/1000)</f>
        <v/>
      </c>
      <c r="AP161" s="174">
        <f>Buildings_Heat_Frontend[[#This Row],[Ease of collection]]</f>
        <v>0</v>
      </c>
      <c r="AQ161" s="174">
        <f>Buildings_Heat_Frontend[[#This Row],[Completeness]]</f>
        <v>0</v>
      </c>
      <c r="AR161" s="174">
        <f>Buildings_Heat_Frontend[[#This Row],[Notes]]</f>
        <v>0</v>
      </c>
    </row>
    <row r="162" spans="5:44" x14ac:dyDescent="0.3">
      <c r="E162" s="346"/>
      <c r="F162" s="364"/>
      <c r="G162" s="336"/>
      <c r="H162" s="336"/>
      <c r="I162" s="336"/>
      <c r="J162" s="334"/>
      <c r="K162" s="336"/>
      <c r="L162" s="336"/>
      <c r="M162" s="336"/>
      <c r="N162" s="352"/>
      <c r="O162" s="230">
        <f t="shared" si="8"/>
        <v>6</v>
      </c>
      <c r="Q162" s="212" t="str">
        <f t="shared" si="6"/>
        <v/>
      </c>
      <c r="R162" s="174" t="s">
        <v>265</v>
      </c>
      <c r="S162" s="174" t="s">
        <v>273</v>
      </c>
      <c r="T162" s="174" t="str">
        <f>IF(Buildings_Heat_Frontend[[#This Row],[Data]]="","", _xlfn.XLOOKUP(Buildings_Heat_Backend[[#This Row],[Info 1]],Buildings_SiteInfo[Site name],Buildings_SiteInfo[Site type]))</f>
        <v/>
      </c>
      <c r="U162" s="174" t="str">
        <f>IF(Buildings_Heat_Frontend[[#This Row],[Data]]="","", Buildings_Heat_Frontend[[#This Row],[Heating Type]])</f>
        <v/>
      </c>
      <c r="V162" s="174" t="str">
        <f>IF(Buildings_Heat_Frontend[[#This Row],[Data]]="","", Buildings_Heat_Frontend[[#This Row],[Fuel]])</f>
        <v/>
      </c>
      <c r="W162" s="174" t="str" cm="1">
        <f t="array" ref="W162">IF(Buildings_Heat_Frontend[[#This Row],[Data]]="","", _xlfn.XLOOKUP(Buildings_Heat_Backend[[#This Row],[Level 5]],rng_Level5Long,rng_Level6Long))</f>
        <v/>
      </c>
      <c r="X162" s="174" t="str">
        <f>IF(Buildings_Heat_Frontend[[#This Row],[Data]]="","", Buildings_Heat_Frontend[[#This Row],[Site Name]])</f>
        <v/>
      </c>
      <c r="Y162" s="174" t="str">
        <f>IF(Buildings_Heat_Frontend[[#This Row],[Data]]="","", Buildings_Heat_Frontend[[#This Row],[MPRN]])</f>
        <v/>
      </c>
      <c r="Z162" s="174" t="str">
        <f>IF(Buildings_Heat_Frontend[[#This Row],[Data]]="","", IF($I162="","",$I162))</f>
        <v/>
      </c>
      <c r="AA162" s="229" t="str" cm="1">
        <f t="array" ref="AA162">IF(Buildings_Heat_Frontend[[#This Row],[Data]]="","", INDEX(_xlfn.SWITCH(Buildings_Heat_Backend[[#This Row],[Methodology]],"Tier 1",rng_RSD1,"Tier 2",rng_RSD2,"Tier 3",rng_RSD3),MATCH(_xlfn.CONCAT(Buildings_Heat_Backend[[#This Row],[Level 1]:[Level 6]]),rng_LevelsConcat,0)))</f>
        <v/>
      </c>
      <c r="AB162" s="220" t="str">
        <f t="shared" si="7"/>
        <v/>
      </c>
      <c r="AC162" s="174">
        <f>Buildings_Heat_Frontend[[#This Row],[Units]]</f>
        <v>0</v>
      </c>
      <c r="AD16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2" s="174" t="str">
        <f>IF(Buildings_Heat_Frontend[[#This Row],[Data]]="","", _xlfn.XLOOKUP(_xlfn.CONCAT(Buildings_Heat_Backend[[#This Row],[Level 1]:[Level 6]]),rng_LevelsConcat,rng_UnitsLong))</f>
        <v/>
      </c>
      <c r="AF162" s="210" t="str">
        <f>IF(Buildings_Heat_Frontend[[#This Row],[Data]]="","", _xlfn.XLOOKUP(_xlfn.CONCAT(Buildings_Heat_Backend[[#This Row],[Level 1]:[Level 6]]),rng_EFConcat,rng_EF1)*Buildings_Heat_Backend[[#This Row],[Converted data]]/1000)</f>
        <v/>
      </c>
      <c r="AG162" s="210" t="str">
        <f>IF(Buildings_Heat_Frontend[[#This Row],[Data]]="","", _xlfn.XLOOKUP(_xlfn.CONCAT(Buildings_Heat_Backend[[#This Row],[Level 1]:[Level 6]]),rng_EFConcat,rng_EF2)*Buildings_Heat_Backend[[#This Row],[Converted data]]/1000)</f>
        <v/>
      </c>
      <c r="AH162" s="210" t="str">
        <f>IF(Buildings_Heat_Frontend[[#This Row],[Data]]="","", _xlfn.XLOOKUP(_xlfn.CONCAT(Buildings_Heat_Backend[[#This Row],[Level 1]:[Level 6]]),rng_EFConcat,rng_EF3)*Buildings_Heat_Backend[[#This Row],[Converted data]]/1000)</f>
        <v/>
      </c>
      <c r="AI162" s="210" t="str">
        <f>IF(Buildings_Heat_Frontend[[#This Row],[Data]]="","", _xlfn.XLOOKUP(_xlfn.CONCAT(Buildings_Heat_Backend[[#This Row],[Level 1]:[Level 6]]),rng_EFConcat,rng_EF3WTT)*Buildings_Heat_Backend[[#This Row],[Converted data]]/1000)</f>
        <v/>
      </c>
      <c r="AJ162" s="210" t="str">
        <f>IF(Buildings_Heat_Frontend[[#This Row],[Data]]="","", _xlfn.XLOOKUP(_xlfn.CONCAT(Buildings_Heat_Backend[[#This Row],[Level 1]:[Level 6]]),rng_EFConcat,rng_EF3TD)*Buildings_Heat_Backend[[#This Row],[Converted data]]/1000)</f>
        <v/>
      </c>
      <c r="AK162" s="210" t="str">
        <f>IF(Buildings_Heat_Frontend[[#This Row],[Data]]="","", _xlfn.XLOOKUP(_xlfn.CONCAT(Buildings_Heat_Backend[[#This Row],[Level 1]:[Level 6]]),rng_EFConcat,rng_EF3WTTTD)*Buildings_Heat_Backend[[#This Row],[Converted data]]/1000)</f>
        <v/>
      </c>
      <c r="AL162" s="220">
        <f>SUM(Buildings_Heat_Backend[[#This Row],[Scope 1 (tCO2e)]:[Scope 3 WTT T&amp;D (tCO2e)]])</f>
        <v>0</v>
      </c>
      <c r="AM162" s="220" t="str">
        <f>IF(Buildings_Heat_Frontend[[#This Row],[Data]]="","", Buildings_Heat_Backend[[#This Row],[Total (tCO2e)]]*(1-Buildings_Heat_Backend[[#This Row],[RSD]]))</f>
        <v/>
      </c>
      <c r="AN162" s="220" t="str">
        <f>IF(Buildings_Heat_Frontend[[#This Row],[Data]]="","", Buildings_Heat_Backend[[#This Row],[Total (tCO2e)]]*(1+Buildings_Heat_Backend[[#This Row],[RSD]]))</f>
        <v/>
      </c>
      <c r="AO162" s="210" t="str">
        <f>IF(Buildings_Heat_Frontend[[#This Row],[Data]]="","", _xlfn.XLOOKUP(_xlfn.CONCAT(Buildings_Heat_Backend[[#This Row],[Level 1]:[Level 6]]),rng_EFConcat,rng_EFOOS)*Buildings_Heat_Backend[[#This Row],[Converted data]]/1000)</f>
        <v/>
      </c>
      <c r="AP162" s="174">
        <f>Buildings_Heat_Frontend[[#This Row],[Ease of collection]]</f>
        <v>0</v>
      </c>
      <c r="AQ162" s="174">
        <f>Buildings_Heat_Frontend[[#This Row],[Completeness]]</f>
        <v>0</v>
      </c>
      <c r="AR162" s="174">
        <f>Buildings_Heat_Frontend[[#This Row],[Notes]]</f>
        <v>0</v>
      </c>
    </row>
    <row r="163" spans="5:44" x14ac:dyDescent="0.3">
      <c r="E163" s="346"/>
      <c r="F163" s="364"/>
      <c r="G163" s="336"/>
      <c r="H163" s="336"/>
      <c r="I163" s="336"/>
      <c r="J163" s="334"/>
      <c r="K163" s="336"/>
      <c r="L163" s="336"/>
      <c r="M163" s="336"/>
      <c r="N163" s="352"/>
      <c r="O163" s="230">
        <f t="shared" si="8"/>
        <v>6</v>
      </c>
      <c r="Q163" s="212" t="str">
        <f t="shared" si="6"/>
        <v/>
      </c>
      <c r="R163" s="174" t="s">
        <v>265</v>
      </c>
      <c r="S163" s="174" t="s">
        <v>273</v>
      </c>
      <c r="T163" s="174" t="str">
        <f>IF(Buildings_Heat_Frontend[[#This Row],[Data]]="","", _xlfn.XLOOKUP(Buildings_Heat_Backend[[#This Row],[Info 1]],Buildings_SiteInfo[Site name],Buildings_SiteInfo[Site type]))</f>
        <v/>
      </c>
      <c r="U163" s="174" t="str">
        <f>IF(Buildings_Heat_Frontend[[#This Row],[Data]]="","", Buildings_Heat_Frontend[[#This Row],[Heating Type]])</f>
        <v/>
      </c>
      <c r="V163" s="174" t="str">
        <f>IF(Buildings_Heat_Frontend[[#This Row],[Data]]="","", Buildings_Heat_Frontend[[#This Row],[Fuel]])</f>
        <v/>
      </c>
      <c r="W163" s="174" t="str" cm="1">
        <f t="array" ref="W163">IF(Buildings_Heat_Frontend[[#This Row],[Data]]="","", _xlfn.XLOOKUP(Buildings_Heat_Backend[[#This Row],[Level 5]],rng_Level5Long,rng_Level6Long))</f>
        <v/>
      </c>
      <c r="X163" s="174" t="str">
        <f>IF(Buildings_Heat_Frontend[[#This Row],[Data]]="","", Buildings_Heat_Frontend[[#This Row],[Site Name]])</f>
        <v/>
      </c>
      <c r="Y163" s="174" t="str">
        <f>IF(Buildings_Heat_Frontend[[#This Row],[Data]]="","", Buildings_Heat_Frontend[[#This Row],[MPRN]])</f>
        <v/>
      </c>
      <c r="Z163" s="174" t="str">
        <f>IF(Buildings_Heat_Frontend[[#This Row],[Data]]="","", IF($I163="","",$I163))</f>
        <v/>
      </c>
      <c r="AA163" s="229" t="str" cm="1">
        <f t="array" ref="AA163">IF(Buildings_Heat_Frontend[[#This Row],[Data]]="","", INDEX(_xlfn.SWITCH(Buildings_Heat_Backend[[#This Row],[Methodology]],"Tier 1",rng_RSD1,"Tier 2",rng_RSD2,"Tier 3",rng_RSD3),MATCH(_xlfn.CONCAT(Buildings_Heat_Backend[[#This Row],[Level 1]:[Level 6]]),rng_LevelsConcat,0)))</f>
        <v/>
      </c>
      <c r="AB163" s="220" t="str">
        <f t="shared" si="7"/>
        <v/>
      </c>
      <c r="AC163" s="174">
        <f>Buildings_Heat_Frontend[[#This Row],[Units]]</f>
        <v>0</v>
      </c>
      <c r="AD16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3" s="174" t="str">
        <f>IF(Buildings_Heat_Frontend[[#This Row],[Data]]="","", _xlfn.XLOOKUP(_xlfn.CONCAT(Buildings_Heat_Backend[[#This Row],[Level 1]:[Level 6]]),rng_LevelsConcat,rng_UnitsLong))</f>
        <v/>
      </c>
      <c r="AF163" s="210" t="str">
        <f>IF(Buildings_Heat_Frontend[[#This Row],[Data]]="","", _xlfn.XLOOKUP(_xlfn.CONCAT(Buildings_Heat_Backend[[#This Row],[Level 1]:[Level 6]]),rng_EFConcat,rng_EF1)*Buildings_Heat_Backend[[#This Row],[Converted data]]/1000)</f>
        <v/>
      </c>
      <c r="AG163" s="210" t="str">
        <f>IF(Buildings_Heat_Frontend[[#This Row],[Data]]="","", _xlfn.XLOOKUP(_xlfn.CONCAT(Buildings_Heat_Backend[[#This Row],[Level 1]:[Level 6]]),rng_EFConcat,rng_EF2)*Buildings_Heat_Backend[[#This Row],[Converted data]]/1000)</f>
        <v/>
      </c>
      <c r="AH163" s="210" t="str">
        <f>IF(Buildings_Heat_Frontend[[#This Row],[Data]]="","", _xlfn.XLOOKUP(_xlfn.CONCAT(Buildings_Heat_Backend[[#This Row],[Level 1]:[Level 6]]),rng_EFConcat,rng_EF3)*Buildings_Heat_Backend[[#This Row],[Converted data]]/1000)</f>
        <v/>
      </c>
      <c r="AI163" s="210" t="str">
        <f>IF(Buildings_Heat_Frontend[[#This Row],[Data]]="","", _xlfn.XLOOKUP(_xlfn.CONCAT(Buildings_Heat_Backend[[#This Row],[Level 1]:[Level 6]]),rng_EFConcat,rng_EF3WTT)*Buildings_Heat_Backend[[#This Row],[Converted data]]/1000)</f>
        <v/>
      </c>
      <c r="AJ163" s="210" t="str">
        <f>IF(Buildings_Heat_Frontend[[#This Row],[Data]]="","", _xlfn.XLOOKUP(_xlfn.CONCAT(Buildings_Heat_Backend[[#This Row],[Level 1]:[Level 6]]),rng_EFConcat,rng_EF3TD)*Buildings_Heat_Backend[[#This Row],[Converted data]]/1000)</f>
        <v/>
      </c>
      <c r="AK163" s="210" t="str">
        <f>IF(Buildings_Heat_Frontend[[#This Row],[Data]]="","", _xlfn.XLOOKUP(_xlfn.CONCAT(Buildings_Heat_Backend[[#This Row],[Level 1]:[Level 6]]),rng_EFConcat,rng_EF3WTTTD)*Buildings_Heat_Backend[[#This Row],[Converted data]]/1000)</f>
        <v/>
      </c>
      <c r="AL163" s="220">
        <f>SUM(Buildings_Heat_Backend[[#This Row],[Scope 1 (tCO2e)]:[Scope 3 WTT T&amp;D (tCO2e)]])</f>
        <v>0</v>
      </c>
      <c r="AM163" s="220" t="str">
        <f>IF(Buildings_Heat_Frontend[[#This Row],[Data]]="","", Buildings_Heat_Backend[[#This Row],[Total (tCO2e)]]*(1-Buildings_Heat_Backend[[#This Row],[RSD]]))</f>
        <v/>
      </c>
      <c r="AN163" s="220" t="str">
        <f>IF(Buildings_Heat_Frontend[[#This Row],[Data]]="","", Buildings_Heat_Backend[[#This Row],[Total (tCO2e)]]*(1+Buildings_Heat_Backend[[#This Row],[RSD]]))</f>
        <v/>
      </c>
      <c r="AO163" s="210" t="str">
        <f>IF(Buildings_Heat_Frontend[[#This Row],[Data]]="","", _xlfn.XLOOKUP(_xlfn.CONCAT(Buildings_Heat_Backend[[#This Row],[Level 1]:[Level 6]]),rng_EFConcat,rng_EFOOS)*Buildings_Heat_Backend[[#This Row],[Converted data]]/1000)</f>
        <v/>
      </c>
      <c r="AP163" s="174">
        <f>Buildings_Heat_Frontend[[#This Row],[Ease of collection]]</f>
        <v>0</v>
      </c>
      <c r="AQ163" s="174">
        <f>Buildings_Heat_Frontend[[#This Row],[Completeness]]</f>
        <v>0</v>
      </c>
      <c r="AR163" s="174">
        <f>Buildings_Heat_Frontend[[#This Row],[Notes]]</f>
        <v>0</v>
      </c>
    </row>
    <row r="164" spans="5:44" x14ac:dyDescent="0.3">
      <c r="E164" s="346"/>
      <c r="F164" s="364"/>
      <c r="G164" s="336"/>
      <c r="H164" s="336"/>
      <c r="I164" s="336"/>
      <c r="J164" s="334"/>
      <c r="K164" s="336"/>
      <c r="L164" s="336"/>
      <c r="M164" s="336"/>
      <c r="N164" s="352"/>
      <c r="O164" s="230">
        <f t="shared" si="8"/>
        <v>6</v>
      </c>
      <c r="Q164" s="212" t="str">
        <f t="shared" si="6"/>
        <v/>
      </c>
      <c r="R164" s="174" t="s">
        <v>265</v>
      </c>
      <c r="S164" s="174" t="s">
        <v>273</v>
      </c>
      <c r="T164" s="174" t="str">
        <f>IF(Buildings_Heat_Frontend[[#This Row],[Data]]="","", _xlfn.XLOOKUP(Buildings_Heat_Backend[[#This Row],[Info 1]],Buildings_SiteInfo[Site name],Buildings_SiteInfo[Site type]))</f>
        <v/>
      </c>
      <c r="U164" s="174" t="str">
        <f>IF(Buildings_Heat_Frontend[[#This Row],[Data]]="","", Buildings_Heat_Frontend[[#This Row],[Heating Type]])</f>
        <v/>
      </c>
      <c r="V164" s="174" t="str">
        <f>IF(Buildings_Heat_Frontend[[#This Row],[Data]]="","", Buildings_Heat_Frontend[[#This Row],[Fuel]])</f>
        <v/>
      </c>
      <c r="W164" s="174" t="str" cm="1">
        <f t="array" ref="W164">IF(Buildings_Heat_Frontend[[#This Row],[Data]]="","", _xlfn.XLOOKUP(Buildings_Heat_Backend[[#This Row],[Level 5]],rng_Level5Long,rng_Level6Long))</f>
        <v/>
      </c>
      <c r="X164" s="174" t="str">
        <f>IF(Buildings_Heat_Frontend[[#This Row],[Data]]="","", Buildings_Heat_Frontend[[#This Row],[Site Name]])</f>
        <v/>
      </c>
      <c r="Y164" s="174" t="str">
        <f>IF(Buildings_Heat_Frontend[[#This Row],[Data]]="","", Buildings_Heat_Frontend[[#This Row],[MPRN]])</f>
        <v/>
      </c>
      <c r="Z164" s="174" t="str">
        <f>IF(Buildings_Heat_Frontend[[#This Row],[Data]]="","", IF($I164="","",$I164))</f>
        <v/>
      </c>
      <c r="AA164" s="229" t="str" cm="1">
        <f t="array" ref="AA164">IF(Buildings_Heat_Frontend[[#This Row],[Data]]="","", INDEX(_xlfn.SWITCH(Buildings_Heat_Backend[[#This Row],[Methodology]],"Tier 1",rng_RSD1,"Tier 2",rng_RSD2,"Tier 3",rng_RSD3),MATCH(_xlfn.CONCAT(Buildings_Heat_Backend[[#This Row],[Level 1]:[Level 6]]),rng_LevelsConcat,0)))</f>
        <v/>
      </c>
      <c r="AB164" s="220" t="str">
        <f t="shared" si="7"/>
        <v/>
      </c>
      <c r="AC164" s="174">
        <f>Buildings_Heat_Frontend[[#This Row],[Units]]</f>
        <v>0</v>
      </c>
      <c r="AD16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4" s="174" t="str">
        <f>IF(Buildings_Heat_Frontend[[#This Row],[Data]]="","", _xlfn.XLOOKUP(_xlfn.CONCAT(Buildings_Heat_Backend[[#This Row],[Level 1]:[Level 6]]),rng_LevelsConcat,rng_UnitsLong))</f>
        <v/>
      </c>
      <c r="AF164" s="210" t="str">
        <f>IF(Buildings_Heat_Frontend[[#This Row],[Data]]="","", _xlfn.XLOOKUP(_xlfn.CONCAT(Buildings_Heat_Backend[[#This Row],[Level 1]:[Level 6]]),rng_EFConcat,rng_EF1)*Buildings_Heat_Backend[[#This Row],[Converted data]]/1000)</f>
        <v/>
      </c>
      <c r="AG164" s="210" t="str">
        <f>IF(Buildings_Heat_Frontend[[#This Row],[Data]]="","", _xlfn.XLOOKUP(_xlfn.CONCAT(Buildings_Heat_Backend[[#This Row],[Level 1]:[Level 6]]),rng_EFConcat,rng_EF2)*Buildings_Heat_Backend[[#This Row],[Converted data]]/1000)</f>
        <v/>
      </c>
      <c r="AH164" s="210" t="str">
        <f>IF(Buildings_Heat_Frontend[[#This Row],[Data]]="","", _xlfn.XLOOKUP(_xlfn.CONCAT(Buildings_Heat_Backend[[#This Row],[Level 1]:[Level 6]]),rng_EFConcat,rng_EF3)*Buildings_Heat_Backend[[#This Row],[Converted data]]/1000)</f>
        <v/>
      </c>
      <c r="AI164" s="210" t="str">
        <f>IF(Buildings_Heat_Frontend[[#This Row],[Data]]="","", _xlfn.XLOOKUP(_xlfn.CONCAT(Buildings_Heat_Backend[[#This Row],[Level 1]:[Level 6]]),rng_EFConcat,rng_EF3WTT)*Buildings_Heat_Backend[[#This Row],[Converted data]]/1000)</f>
        <v/>
      </c>
      <c r="AJ164" s="210" t="str">
        <f>IF(Buildings_Heat_Frontend[[#This Row],[Data]]="","", _xlfn.XLOOKUP(_xlfn.CONCAT(Buildings_Heat_Backend[[#This Row],[Level 1]:[Level 6]]),rng_EFConcat,rng_EF3TD)*Buildings_Heat_Backend[[#This Row],[Converted data]]/1000)</f>
        <v/>
      </c>
      <c r="AK164" s="210" t="str">
        <f>IF(Buildings_Heat_Frontend[[#This Row],[Data]]="","", _xlfn.XLOOKUP(_xlfn.CONCAT(Buildings_Heat_Backend[[#This Row],[Level 1]:[Level 6]]),rng_EFConcat,rng_EF3WTTTD)*Buildings_Heat_Backend[[#This Row],[Converted data]]/1000)</f>
        <v/>
      </c>
      <c r="AL164" s="220">
        <f>SUM(Buildings_Heat_Backend[[#This Row],[Scope 1 (tCO2e)]:[Scope 3 WTT T&amp;D (tCO2e)]])</f>
        <v>0</v>
      </c>
      <c r="AM164" s="220" t="str">
        <f>IF(Buildings_Heat_Frontend[[#This Row],[Data]]="","", Buildings_Heat_Backend[[#This Row],[Total (tCO2e)]]*(1-Buildings_Heat_Backend[[#This Row],[RSD]]))</f>
        <v/>
      </c>
      <c r="AN164" s="220" t="str">
        <f>IF(Buildings_Heat_Frontend[[#This Row],[Data]]="","", Buildings_Heat_Backend[[#This Row],[Total (tCO2e)]]*(1+Buildings_Heat_Backend[[#This Row],[RSD]]))</f>
        <v/>
      </c>
      <c r="AO164" s="210" t="str">
        <f>IF(Buildings_Heat_Frontend[[#This Row],[Data]]="","", _xlfn.XLOOKUP(_xlfn.CONCAT(Buildings_Heat_Backend[[#This Row],[Level 1]:[Level 6]]),rng_EFConcat,rng_EFOOS)*Buildings_Heat_Backend[[#This Row],[Converted data]]/1000)</f>
        <v/>
      </c>
      <c r="AP164" s="174">
        <f>Buildings_Heat_Frontend[[#This Row],[Ease of collection]]</f>
        <v>0</v>
      </c>
      <c r="AQ164" s="174">
        <f>Buildings_Heat_Frontend[[#This Row],[Completeness]]</f>
        <v>0</v>
      </c>
      <c r="AR164" s="174">
        <f>Buildings_Heat_Frontend[[#This Row],[Notes]]</f>
        <v>0</v>
      </c>
    </row>
    <row r="165" spans="5:44" x14ac:dyDescent="0.3">
      <c r="E165" s="346"/>
      <c r="F165" s="364"/>
      <c r="G165" s="336"/>
      <c r="H165" s="336"/>
      <c r="I165" s="336"/>
      <c r="J165" s="334"/>
      <c r="K165" s="336"/>
      <c r="L165" s="336"/>
      <c r="M165" s="336"/>
      <c r="N165" s="352"/>
      <c r="O165" s="230">
        <f t="shared" si="8"/>
        <v>6</v>
      </c>
      <c r="Q165" s="212" t="str">
        <f t="shared" si="6"/>
        <v/>
      </c>
      <c r="R165" s="174" t="s">
        <v>265</v>
      </c>
      <c r="S165" s="174" t="s">
        <v>273</v>
      </c>
      <c r="T165" s="174" t="str">
        <f>IF(Buildings_Heat_Frontend[[#This Row],[Data]]="","", _xlfn.XLOOKUP(Buildings_Heat_Backend[[#This Row],[Info 1]],Buildings_SiteInfo[Site name],Buildings_SiteInfo[Site type]))</f>
        <v/>
      </c>
      <c r="U165" s="174" t="str">
        <f>IF(Buildings_Heat_Frontend[[#This Row],[Data]]="","", Buildings_Heat_Frontend[[#This Row],[Heating Type]])</f>
        <v/>
      </c>
      <c r="V165" s="174" t="str">
        <f>IF(Buildings_Heat_Frontend[[#This Row],[Data]]="","", Buildings_Heat_Frontend[[#This Row],[Fuel]])</f>
        <v/>
      </c>
      <c r="W165" s="174" t="str" cm="1">
        <f t="array" ref="W165">IF(Buildings_Heat_Frontend[[#This Row],[Data]]="","", _xlfn.XLOOKUP(Buildings_Heat_Backend[[#This Row],[Level 5]],rng_Level5Long,rng_Level6Long))</f>
        <v/>
      </c>
      <c r="X165" s="174" t="str">
        <f>IF(Buildings_Heat_Frontend[[#This Row],[Data]]="","", Buildings_Heat_Frontend[[#This Row],[Site Name]])</f>
        <v/>
      </c>
      <c r="Y165" s="174" t="str">
        <f>IF(Buildings_Heat_Frontend[[#This Row],[Data]]="","", Buildings_Heat_Frontend[[#This Row],[MPRN]])</f>
        <v/>
      </c>
      <c r="Z165" s="174" t="str">
        <f>IF(Buildings_Heat_Frontend[[#This Row],[Data]]="","", IF($I165="","",$I165))</f>
        <v/>
      </c>
      <c r="AA165" s="229" t="str" cm="1">
        <f t="array" ref="AA165">IF(Buildings_Heat_Frontend[[#This Row],[Data]]="","", INDEX(_xlfn.SWITCH(Buildings_Heat_Backend[[#This Row],[Methodology]],"Tier 1",rng_RSD1,"Tier 2",rng_RSD2,"Tier 3",rng_RSD3),MATCH(_xlfn.CONCAT(Buildings_Heat_Backend[[#This Row],[Level 1]:[Level 6]]),rng_LevelsConcat,0)))</f>
        <v/>
      </c>
      <c r="AB165" s="220" t="str">
        <f t="shared" si="7"/>
        <v/>
      </c>
      <c r="AC165" s="174">
        <f>Buildings_Heat_Frontend[[#This Row],[Units]]</f>
        <v>0</v>
      </c>
      <c r="AD16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5" s="174" t="str">
        <f>IF(Buildings_Heat_Frontend[[#This Row],[Data]]="","", _xlfn.XLOOKUP(_xlfn.CONCAT(Buildings_Heat_Backend[[#This Row],[Level 1]:[Level 6]]),rng_LevelsConcat,rng_UnitsLong))</f>
        <v/>
      </c>
      <c r="AF165" s="210" t="str">
        <f>IF(Buildings_Heat_Frontend[[#This Row],[Data]]="","", _xlfn.XLOOKUP(_xlfn.CONCAT(Buildings_Heat_Backend[[#This Row],[Level 1]:[Level 6]]),rng_EFConcat,rng_EF1)*Buildings_Heat_Backend[[#This Row],[Converted data]]/1000)</f>
        <v/>
      </c>
      <c r="AG165" s="210" t="str">
        <f>IF(Buildings_Heat_Frontend[[#This Row],[Data]]="","", _xlfn.XLOOKUP(_xlfn.CONCAT(Buildings_Heat_Backend[[#This Row],[Level 1]:[Level 6]]),rng_EFConcat,rng_EF2)*Buildings_Heat_Backend[[#This Row],[Converted data]]/1000)</f>
        <v/>
      </c>
      <c r="AH165" s="210" t="str">
        <f>IF(Buildings_Heat_Frontend[[#This Row],[Data]]="","", _xlfn.XLOOKUP(_xlfn.CONCAT(Buildings_Heat_Backend[[#This Row],[Level 1]:[Level 6]]),rng_EFConcat,rng_EF3)*Buildings_Heat_Backend[[#This Row],[Converted data]]/1000)</f>
        <v/>
      </c>
      <c r="AI165" s="210" t="str">
        <f>IF(Buildings_Heat_Frontend[[#This Row],[Data]]="","", _xlfn.XLOOKUP(_xlfn.CONCAT(Buildings_Heat_Backend[[#This Row],[Level 1]:[Level 6]]),rng_EFConcat,rng_EF3WTT)*Buildings_Heat_Backend[[#This Row],[Converted data]]/1000)</f>
        <v/>
      </c>
      <c r="AJ165" s="210" t="str">
        <f>IF(Buildings_Heat_Frontend[[#This Row],[Data]]="","", _xlfn.XLOOKUP(_xlfn.CONCAT(Buildings_Heat_Backend[[#This Row],[Level 1]:[Level 6]]),rng_EFConcat,rng_EF3TD)*Buildings_Heat_Backend[[#This Row],[Converted data]]/1000)</f>
        <v/>
      </c>
      <c r="AK165" s="210" t="str">
        <f>IF(Buildings_Heat_Frontend[[#This Row],[Data]]="","", _xlfn.XLOOKUP(_xlfn.CONCAT(Buildings_Heat_Backend[[#This Row],[Level 1]:[Level 6]]),rng_EFConcat,rng_EF3WTTTD)*Buildings_Heat_Backend[[#This Row],[Converted data]]/1000)</f>
        <v/>
      </c>
      <c r="AL165" s="220">
        <f>SUM(Buildings_Heat_Backend[[#This Row],[Scope 1 (tCO2e)]:[Scope 3 WTT T&amp;D (tCO2e)]])</f>
        <v>0</v>
      </c>
      <c r="AM165" s="220" t="str">
        <f>IF(Buildings_Heat_Frontend[[#This Row],[Data]]="","", Buildings_Heat_Backend[[#This Row],[Total (tCO2e)]]*(1-Buildings_Heat_Backend[[#This Row],[RSD]]))</f>
        <v/>
      </c>
      <c r="AN165" s="220" t="str">
        <f>IF(Buildings_Heat_Frontend[[#This Row],[Data]]="","", Buildings_Heat_Backend[[#This Row],[Total (tCO2e)]]*(1+Buildings_Heat_Backend[[#This Row],[RSD]]))</f>
        <v/>
      </c>
      <c r="AO165" s="210" t="str">
        <f>IF(Buildings_Heat_Frontend[[#This Row],[Data]]="","", _xlfn.XLOOKUP(_xlfn.CONCAT(Buildings_Heat_Backend[[#This Row],[Level 1]:[Level 6]]),rng_EFConcat,rng_EFOOS)*Buildings_Heat_Backend[[#This Row],[Converted data]]/1000)</f>
        <v/>
      </c>
      <c r="AP165" s="174">
        <f>Buildings_Heat_Frontend[[#This Row],[Ease of collection]]</f>
        <v>0</v>
      </c>
      <c r="AQ165" s="174">
        <f>Buildings_Heat_Frontend[[#This Row],[Completeness]]</f>
        <v>0</v>
      </c>
      <c r="AR165" s="174">
        <f>Buildings_Heat_Frontend[[#This Row],[Notes]]</f>
        <v>0</v>
      </c>
    </row>
    <row r="166" spans="5:44" x14ac:dyDescent="0.3">
      <c r="E166" s="346"/>
      <c r="F166" s="364"/>
      <c r="G166" s="336"/>
      <c r="H166" s="336"/>
      <c r="I166" s="336"/>
      <c r="J166" s="334"/>
      <c r="K166" s="336"/>
      <c r="L166" s="336"/>
      <c r="M166" s="336"/>
      <c r="N166" s="352"/>
      <c r="O166" s="230">
        <f t="shared" si="8"/>
        <v>6</v>
      </c>
      <c r="Q166" s="212" t="str">
        <f t="shared" si="6"/>
        <v/>
      </c>
      <c r="R166" s="174" t="s">
        <v>265</v>
      </c>
      <c r="S166" s="174" t="s">
        <v>273</v>
      </c>
      <c r="T166" s="174" t="str">
        <f>IF(Buildings_Heat_Frontend[[#This Row],[Data]]="","", _xlfn.XLOOKUP(Buildings_Heat_Backend[[#This Row],[Info 1]],Buildings_SiteInfo[Site name],Buildings_SiteInfo[Site type]))</f>
        <v/>
      </c>
      <c r="U166" s="174" t="str">
        <f>IF(Buildings_Heat_Frontend[[#This Row],[Data]]="","", Buildings_Heat_Frontend[[#This Row],[Heating Type]])</f>
        <v/>
      </c>
      <c r="V166" s="174" t="str">
        <f>IF(Buildings_Heat_Frontend[[#This Row],[Data]]="","", Buildings_Heat_Frontend[[#This Row],[Fuel]])</f>
        <v/>
      </c>
      <c r="W166" s="174" t="str" cm="1">
        <f t="array" ref="W166">IF(Buildings_Heat_Frontend[[#This Row],[Data]]="","", _xlfn.XLOOKUP(Buildings_Heat_Backend[[#This Row],[Level 5]],rng_Level5Long,rng_Level6Long))</f>
        <v/>
      </c>
      <c r="X166" s="174" t="str">
        <f>IF(Buildings_Heat_Frontend[[#This Row],[Data]]="","", Buildings_Heat_Frontend[[#This Row],[Site Name]])</f>
        <v/>
      </c>
      <c r="Y166" s="174" t="str">
        <f>IF(Buildings_Heat_Frontend[[#This Row],[Data]]="","", Buildings_Heat_Frontend[[#This Row],[MPRN]])</f>
        <v/>
      </c>
      <c r="Z166" s="174" t="str">
        <f>IF(Buildings_Heat_Frontend[[#This Row],[Data]]="","", IF($I166="","",$I166))</f>
        <v/>
      </c>
      <c r="AA166" s="229" t="str" cm="1">
        <f t="array" ref="AA166">IF(Buildings_Heat_Frontend[[#This Row],[Data]]="","", INDEX(_xlfn.SWITCH(Buildings_Heat_Backend[[#This Row],[Methodology]],"Tier 1",rng_RSD1,"Tier 2",rng_RSD2,"Tier 3",rng_RSD3),MATCH(_xlfn.CONCAT(Buildings_Heat_Backend[[#This Row],[Level 1]:[Level 6]]),rng_LevelsConcat,0)))</f>
        <v/>
      </c>
      <c r="AB166" s="220" t="str">
        <f t="shared" si="7"/>
        <v/>
      </c>
      <c r="AC166" s="174">
        <f>Buildings_Heat_Frontend[[#This Row],[Units]]</f>
        <v>0</v>
      </c>
      <c r="AD16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6" s="174" t="str">
        <f>IF(Buildings_Heat_Frontend[[#This Row],[Data]]="","", _xlfn.XLOOKUP(_xlfn.CONCAT(Buildings_Heat_Backend[[#This Row],[Level 1]:[Level 6]]),rng_LevelsConcat,rng_UnitsLong))</f>
        <v/>
      </c>
      <c r="AF166" s="210" t="str">
        <f>IF(Buildings_Heat_Frontend[[#This Row],[Data]]="","", _xlfn.XLOOKUP(_xlfn.CONCAT(Buildings_Heat_Backend[[#This Row],[Level 1]:[Level 6]]),rng_EFConcat,rng_EF1)*Buildings_Heat_Backend[[#This Row],[Converted data]]/1000)</f>
        <v/>
      </c>
      <c r="AG166" s="210" t="str">
        <f>IF(Buildings_Heat_Frontend[[#This Row],[Data]]="","", _xlfn.XLOOKUP(_xlfn.CONCAT(Buildings_Heat_Backend[[#This Row],[Level 1]:[Level 6]]),rng_EFConcat,rng_EF2)*Buildings_Heat_Backend[[#This Row],[Converted data]]/1000)</f>
        <v/>
      </c>
      <c r="AH166" s="210" t="str">
        <f>IF(Buildings_Heat_Frontend[[#This Row],[Data]]="","", _xlfn.XLOOKUP(_xlfn.CONCAT(Buildings_Heat_Backend[[#This Row],[Level 1]:[Level 6]]),rng_EFConcat,rng_EF3)*Buildings_Heat_Backend[[#This Row],[Converted data]]/1000)</f>
        <v/>
      </c>
      <c r="AI166" s="210" t="str">
        <f>IF(Buildings_Heat_Frontend[[#This Row],[Data]]="","", _xlfn.XLOOKUP(_xlfn.CONCAT(Buildings_Heat_Backend[[#This Row],[Level 1]:[Level 6]]),rng_EFConcat,rng_EF3WTT)*Buildings_Heat_Backend[[#This Row],[Converted data]]/1000)</f>
        <v/>
      </c>
      <c r="AJ166" s="210" t="str">
        <f>IF(Buildings_Heat_Frontend[[#This Row],[Data]]="","", _xlfn.XLOOKUP(_xlfn.CONCAT(Buildings_Heat_Backend[[#This Row],[Level 1]:[Level 6]]),rng_EFConcat,rng_EF3TD)*Buildings_Heat_Backend[[#This Row],[Converted data]]/1000)</f>
        <v/>
      </c>
      <c r="AK166" s="210" t="str">
        <f>IF(Buildings_Heat_Frontend[[#This Row],[Data]]="","", _xlfn.XLOOKUP(_xlfn.CONCAT(Buildings_Heat_Backend[[#This Row],[Level 1]:[Level 6]]),rng_EFConcat,rng_EF3WTTTD)*Buildings_Heat_Backend[[#This Row],[Converted data]]/1000)</f>
        <v/>
      </c>
      <c r="AL166" s="220">
        <f>SUM(Buildings_Heat_Backend[[#This Row],[Scope 1 (tCO2e)]:[Scope 3 WTT T&amp;D (tCO2e)]])</f>
        <v>0</v>
      </c>
      <c r="AM166" s="220" t="str">
        <f>IF(Buildings_Heat_Frontend[[#This Row],[Data]]="","", Buildings_Heat_Backend[[#This Row],[Total (tCO2e)]]*(1-Buildings_Heat_Backend[[#This Row],[RSD]]))</f>
        <v/>
      </c>
      <c r="AN166" s="220" t="str">
        <f>IF(Buildings_Heat_Frontend[[#This Row],[Data]]="","", Buildings_Heat_Backend[[#This Row],[Total (tCO2e)]]*(1+Buildings_Heat_Backend[[#This Row],[RSD]]))</f>
        <v/>
      </c>
      <c r="AO166" s="210" t="str">
        <f>IF(Buildings_Heat_Frontend[[#This Row],[Data]]="","", _xlfn.XLOOKUP(_xlfn.CONCAT(Buildings_Heat_Backend[[#This Row],[Level 1]:[Level 6]]),rng_EFConcat,rng_EFOOS)*Buildings_Heat_Backend[[#This Row],[Converted data]]/1000)</f>
        <v/>
      </c>
      <c r="AP166" s="174">
        <f>Buildings_Heat_Frontend[[#This Row],[Ease of collection]]</f>
        <v>0</v>
      </c>
      <c r="AQ166" s="174">
        <f>Buildings_Heat_Frontend[[#This Row],[Completeness]]</f>
        <v>0</v>
      </c>
      <c r="AR166" s="174">
        <f>Buildings_Heat_Frontend[[#This Row],[Notes]]</f>
        <v>0</v>
      </c>
    </row>
    <row r="167" spans="5:44" x14ac:dyDescent="0.3">
      <c r="E167" s="346"/>
      <c r="F167" s="364"/>
      <c r="G167" s="336"/>
      <c r="H167" s="336"/>
      <c r="I167" s="336"/>
      <c r="J167" s="334"/>
      <c r="K167" s="336"/>
      <c r="L167" s="336"/>
      <c r="M167" s="336"/>
      <c r="N167" s="352"/>
      <c r="O167" s="230">
        <f t="shared" si="8"/>
        <v>6</v>
      </c>
      <c r="Q167" s="212" t="str">
        <f t="shared" si="6"/>
        <v/>
      </c>
      <c r="R167" s="174" t="s">
        <v>265</v>
      </c>
      <c r="S167" s="174" t="s">
        <v>273</v>
      </c>
      <c r="T167" s="174" t="str">
        <f>IF(Buildings_Heat_Frontend[[#This Row],[Data]]="","", _xlfn.XLOOKUP(Buildings_Heat_Backend[[#This Row],[Info 1]],Buildings_SiteInfo[Site name],Buildings_SiteInfo[Site type]))</f>
        <v/>
      </c>
      <c r="U167" s="174" t="str">
        <f>IF(Buildings_Heat_Frontend[[#This Row],[Data]]="","", Buildings_Heat_Frontend[[#This Row],[Heating Type]])</f>
        <v/>
      </c>
      <c r="V167" s="174" t="str">
        <f>IF(Buildings_Heat_Frontend[[#This Row],[Data]]="","", Buildings_Heat_Frontend[[#This Row],[Fuel]])</f>
        <v/>
      </c>
      <c r="W167" s="174" t="str" cm="1">
        <f t="array" ref="W167">IF(Buildings_Heat_Frontend[[#This Row],[Data]]="","", _xlfn.XLOOKUP(Buildings_Heat_Backend[[#This Row],[Level 5]],rng_Level5Long,rng_Level6Long))</f>
        <v/>
      </c>
      <c r="X167" s="174" t="str">
        <f>IF(Buildings_Heat_Frontend[[#This Row],[Data]]="","", Buildings_Heat_Frontend[[#This Row],[Site Name]])</f>
        <v/>
      </c>
      <c r="Y167" s="174" t="str">
        <f>IF(Buildings_Heat_Frontend[[#This Row],[Data]]="","", Buildings_Heat_Frontend[[#This Row],[MPRN]])</f>
        <v/>
      </c>
      <c r="Z167" s="174" t="str">
        <f>IF(Buildings_Heat_Frontend[[#This Row],[Data]]="","", IF($I167="","",$I167))</f>
        <v/>
      </c>
      <c r="AA167" s="229" t="str" cm="1">
        <f t="array" ref="AA167">IF(Buildings_Heat_Frontend[[#This Row],[Data]]="","", INDEX(_xlfn.SWITCH(Buildings_Heat_Backend[[#This Row],[Methodology]],"Tier 1",rng_RSD1,"Tier 2",rng_RSD2,"Tier 3",rng_RSD3),MATCH(_xlfn.CONCAT(Buildings_Heat_Backend[[#This Row],[Level 1]:[Level 6]]),rng_LevelsConcat,0)))</f>
        <v/>
      </c>
      <c r="AB167" s="220" t="str">
        <f t="shared" si="7"/>
        <v/>
      </c>
      <c r="AC167" s="174">
        <f>Buildings_Heat_Frontend[[#This Row],[Units]]</f>
        <v>0</v>
      </c>
      <c r="AD16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7" s="174" t="str">
        <f>IF(Buildings_Heat_Frontend[[#This Row],[Data]]="","", _xlfn.XLOOKUP(_xlfn.CONCAT(Buildings_Heat_Backend[[#This Row],[Level 1]:[Level 6]]),rng_LevelsConcat,rng_UnitsLong))</f>
        <v/>
      </c>
      <c r="AF167" s="210" t="str">
        <f>IF(Buildings_Heat_Frontend[[#This Row],[Data]]="","", _xlfn.XLOOKUP(_xlfn.CONCAT(Buildings_Heat_Backend[[#This Row],[Level 1]:[Level 6]]),rng_EFConcat,rng_EF1)*Buildings_Heat_Backend[[#This Row],[Converted data]]/1000)</f>
        <v/>
      </c>
      <c r="AG167" s="210" t="str">
        <f>IF(Buildings_Heat_Frontend[[#This Row],[Data]]="","", _xlfn.XLOOKUP(_xlfn.CONCAT(Buildings_Heat_Backend[[#This Row],[Level 1]:[Level 6]]),rng_EFConcat,rng_EF2)*Buildings_Heat_Backend[[#This Row],[Converted data]]/1000)</f>
        <v/>
      </c>
      <c r="AH167" s="210" t="str">
        <f>IF(Buildings_Heat_Frontend[[#This Row],[Data]]="","", _xlfn.XLOOKUP(_xlfn.CONCAT(Buildings_Heat_Backend[[#This Row],[Level 1]:[Level 6]]),rng_EFConcat,rng_EF3)*Buildings_Heat_Backend[[#This Row],[Converted data]]/1000)</f>
        <v/>
      </c>
      <c r="AI167" s="210" t="str">
        <f>IF(Buildings_Heat_Frontend[[#This Row],[Data]]="","", _xlfn.XLOOKUP(_xlfn.CONCAT(Buildings_Heat_Backend[[#This Row],[Level 1]:[Level 6]]),rng_EFConcat,rng_EF3WTT)*Buildings_Heat_Backend[[#This Row],[Converted data]]/1000)</f>
        <v/>
      </c>
      <c r="AJ167" s="210" t="str">
        <f>IF(Buildings_Heat_Frontend[[#This Row],[Data]]="","", _xlfn.XLOOKUP(_xlfn.CONCAT(Buildings_Heat_Backend[[#This Row],[Level 1]:[Level 6]]),rng_EFConcat,rng_EF3TD)*Buildings_Heat_Backend[[#This Row],[Converted data]]/1000)</f>
        <v/>
      </c>
      <c r="AK167" s="210" t="str">
        <f>IF(Buildings_Heat_Frontend[[#This Row],[Data]]="","", _xlfn.XLOOKUP(_xlfn.CONCAT(Buildings_Heat_Backend[[#This Row],[Level 1]:[Level 6]]),rng_EFConcat,rng_EF3WTTTD)*Buildings_Heat_Backend[[#This Row],[Converted data]]/1000)</f>
        <v/>
      </c>
      <c r="AL167" s="220">
        <f>SUM(Buildings_Heat_Backend[[#This Row],[Scope 1 (tCO2e)]:[Scope 3 WTT T&amp;D (tCO2e)]])</f>
        <v>0</v>
      </c>
      <c r="AM167" s="220" t="str">
        <f>IF(Buildings_Heat_Frontend[[#This Row],[Data]]="","", Buildings_Heat_Backend[[#This Row],[Total (tCO2e)]]*(1-Buildings_Heat_Backend[[#This Row],[RSD]]))</f>
        <v/>
      </c>
      <c r="AN167" s="220" t="str">
        <f>IF(Buildings_Heat_Frontend[[#This Row],[Data]]="","", Buildings_Heat_Backend[[#This Row],[Total (tCO2e)]]*(1+Buildings_Heat_Backend[[#This Row],[RSD]]))</f>
        <v/>
      </c>
      <c r="AO167" s="210" t="str">
        <f>IF(Buildings_Heat_Frontend[[#This Row],[Data]]="","", _xlfn.XLOOKUP(_xlfn.CONCAT(Buildings_Heat_Backend[[#This Row],[Level 1]:[Level 6]]),rng_EFConcat,rng_EFOOS)*Buildings_Heat_Backend[[#This Row],[Converted data]]/1000)</f>
        <v/>
      </c>
      <c r="AP167" s="174">
        <f>Buildings_Heat_Frontend[[#This Row],[Ease of collection]]</f>
        <v>0</v>
      </c>
      <c r="AQ167" s="174">
        <f>Buildings_Heat_Frontend[[#This Row],[Completeness]]</f>
        <v>0</v>
      </c>
      <c r="AR167" s="174">
        <f>Buildings_Heat_Frontend[[#This Row],[Notes]]</f>
        <v>0</v>
      </c>
    </row>
    <row r="168" spans="5:44" x14ac:dyDescent="0.3">
      <c r="E168" s="346"/>
      <c r="F168" s="364"/>
      <c r="G168" s="336"/>
      <c r="H168" s="336"/>
      <c r="I168" s="336"/>
      <c r="J168" s="334"/>
      <c r="K168" s="336"/>
      <c r="L168" s="336"/>
      <c r="M168" s="336"/>
      <c r="N168" s="352"/>
      <c r="O168" s="230">
        <f t="shared" si="8"/>
        <v>6</v>
      </c>
      <c r="Q168" s="212" t="str">
        <f t="shared" si="6"/>
        <v/>
      </c>
      <c r="R168" s="174" t="s">
        <v>265</v>
      </c>
      <c r="S168" s="174" t="s">
        <v>273</v>
      </c>
      <c r="T168" s="174" t="str">
        <f>IF(Buildings_Heat_Frontend[[#This Row],[Data]]="","", _xlfn.XLOOKUP(Buildings_Heat_Backend[[#This Row],[Info 1]],Buildings_SiteInfo[Site name],Buildings_SiteInfo[Site type]))</f>
        <v/>
      </c>
      <c r="U168" s="174" t="str">
        <f>IF(Buildings_Heat_Frontend[[#This Row],[Data]]="","", Buildings_Heat_Frontend[[#This Row],[Heating Type]])</f>
        <v/>
      </c>
      <c r="V168" s="174" t="str">
        <f>IF(Buildings_Heat_Frontend[[#This Row],[Data]]="","", Buildings_Heat_Frontend[[#This Row],[Fuel]])</f>
        <v/>
      </c>
      <c r="W168" s="174" t="str" cm="1">
        <f t="array" ref="W168">IF(Buildings_Heat_Frontend[[#This Row],[Data]]="","", _xlfn.XLOOKUP(Buildings_Heat_Backend[[#This Row],[Level 5]],rng_Level5Long,rng_Level6Long))</f>
        <v/>
      </c>
      <c r="X168" s="174" t="str">
        <f>IF(Buildings_Heat_Frontend[[#This Row],[Data]]="","", Buildings_Heat_Frontend[[#This Row],[Site Name]])</f>
        <v/>
      </c>
      <c r="Y168" s="174" t="str">
        <f>IF(Buildings_Heat_Frontend[[#This Row],[Data]]="","", Buildings_Heat_Frontend[[#This Row],[MPRN]])</f>
        <v/>
      </c>
      <c r="Z168" s="174" t="str">
        <f>IF(Buildings_Heat_Frontend[[#This Row],[Data]]="","", IF($I168="","",$I168))</f>
        <v/>
      </c>
      <c r="AA168" s="229" t="str" cm="1">
        <f t="array" ref="AA168">IF(Buildings_Heat_Frontend[[#This Row],[Data]]="","", INDEX(_xlfn.SWITCH(Buildings_Heat_Backend[[#This Row],[Methodology]],"Tier 1",rng_RSD1,"Tier 2",rng_RSD2,"Tier 3",rng_RSD3),MATCH(_xlfn.CONCAT(Buildings_Heat_Backend[[#This Row],[Level 1]:[Level 6]]),rng_LevelsConcat,0)))</f>
        <v/>
      </c>
      <c r="AB168" s="220" t="str">
        <f t="shared" si="7"/>
        <v/>
      </c>
      <c r="AC168" s="174">
        <f>Buildings_Heat_Frontend[[#This Row],[Units]]</f>
        <v>0</v>
      </c>
      <c r="AD16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8" s="174" t="str">
        <f>IF(Buildings_Heat_Frontend[[#This Row],[Data]]="","", _xlfn.XLOOKUP(_xlfn.CONCAT(Buildings_Heat_Backend[[#This Row],[Level 1]:[Level 6]]),rng_LevelsConcat,rng_UnitsLong))</f>
        <v/>
      </c>
      <c r="AF168" s="210" t="str">
        <f>IF(Buildings_Heat_Frontend[[#This Row],[Data]]="","", _xlfn.XLOOKUP(_xlfn.CONCAT(Buildings_Heat_Backend[[#This Row],[Level 1]:[Level 6]]),rng_EFConcat,rng_EF1)*Buildings_Heat_Backend[[#This Row],[Converted data]]/1000)</f>
        <v/>
      </c>
      <c r="AG168" s="210" t="str">
        <f>IF(Buildings_Heat_Frontend[[#This Row],[Data]]="","", _xlfn.XLOOKUP(_xlfn.CONCAT(Buildings_Heat_Backend[[#This Row],[Level 1]:[Level 6]]),rng_EFConcat,rng_EF2)*Buildings_Heat_Backend[[#This Row],[Converted data]]/1000)</f>
        <v/>
      </c>
      <c r="AH168" s="210" t="str">
        <f>IF(Buildings_Heat_Frontend[[#This Row],[Data]]="","", _xlfn.XLOOKUP(_xlfn.CONCAT(Buildings_Heat_Backend[[#This Row],[Level 1]:[Level 6]]),rng_EFConcat,rng_EF3)*Buildings_Heat_Backend[[#This Row],[Converted data]]/1000)</f>
        <v/>
      </c>
      <c r="AI168" s="210" t="str">
        <f>IF(Buildings_Heat_Frontend[[#This Row],[Data]]="","", _xlfn.XLOOKUP(_xlfn.CONCAT(Buildings_Heat_Backend[[#This Row],[Level 1]:[Level 6]]),rng_EFConcat,rng_EF3WTT)*Buildings_Heat_Backend[[#This Row],[Converted data]]/1000)</f>
        <v/>
      </c>
      <c r="AJ168" s="210" t="str">
        <f>IF(Buildings_Heat_Frontend[[#This Row],[Data]]="","", _xlfn.XLOOKUP(_xlfn.CONCAT(Buildings_Heat_Backend[[#This Row],[Level 1]:[Level 6]]),rng_EFConcat,rng_EF3TD)*Buildings_Heat_Backend[[#This Row],[Converted data]]/1000)</f>
        <v/>
      </c>
      <c r="AK168" s="210" t="str">
        <f>IF(Buildings_Heat_Frontend[[#This Row],[Data]]="","", _xlfn.XLOOKUP(_xlfn.CONCAT(Buildings_Heat_Backend[[#This Row],[Level 1]:[Level 6]]),rng_EFConcat,rng_EF3WTTTD)*Buildings_Heat_Backend[[#This Row],[Converted data]]/1000)</f>
        <v/>
      </c>
      <c r="AL168" s="220">
        <f>SUM(Buildings_Heat_Backend[[#This Row],[Scope 1 (tCO2e)]:[Scope 3 WTT T&amp;D (tCO2e)]])</f>
        <v>0</v>
      </c>
      <c r="AM168" s="220" t="str">
        <f>IF(Buildings_Heat_Frontend[[#This Row],[Data]]="","", Buildings_Heat_Backend[[#This Row],[Total (tCO2e)]]*(1-Buildings_Heat_Backend[[#This Row],[RSD]]))</f>
        <v/>
      </c>
      <c r="AN168" s="220" t="str">
        <f>IF(Buildings_Heat_Frontend[[#This Row],[Data]]="","", Buildings_Heat_Backend[[#This Row],[Total (tCO2e)]]*(1+Buildings_Heat_Backend[[#This Row],[RSD]]))</f>
        <v/>
      </c>
      <c r="AO168" s="210" t="str">
        <f>IF(Buildings_Heat_Frontend[[#This Row],[Data]]="","", _xlfn.XLOOKUP(_xlfn.CONCAT(Buildings_Heat_Backend[[#This Row],[Level 1]:[Level 6]]),rng_EFConcat,rng_EFOOS)*Buildings_Heat_Backend[[#This Row],[Converted data]]/1000)</f>
        <v/>
      </c>
      <c r="AP168" s="174">
        <f>Buildings_Heat_Frontend[[#This Row],[Ease of collection]]</f>
        <v>0</v>
      </c>
      <c r="AQ168" s="174">
        <f>Buildings_Heat_Frontend[[#This Row],[Completeness]]</f>
        <v>0</v>
      </c>
      <c r="AR168" s="174">
        <f>Buildings_Heat_Frontend[[#This Row],[Notes]]</f>
        <v>0</v>
      </c>
    </row>
    <row r="169" spans="5:44" x14ac:dyDescent="0.3">
      <c r="E169" s="346"/>
      <c r="F169" s="364"/>
      <c r="G169" s="336"/>
      <c r="H169" s="336"/>
      <c r="I169" s="336"/>
      <c r="J169" s="334"/>
      <c r="K169" s="336"/>
      <c r="L169" s="336"/>
      <c r="M169" s="336"/>
      <c r="N169" s="352"/>
      <c r="O169" s="230">
        <f t="shared" si="8"/>
        <v>6</v>
      </c>
      <c r="Q169" s="212" t="str">
        <f t="shared" si="6"/>
        <v/>
      </c>
      <c r="R169" s="174" t="s">
        <v>265</v>
      </c>
      <c r="S169" s="174" t="s">
        <v>273</v>
      </c>
      <c r="T169" s="174" t="str">
        <f>IF(Buildings_Heat_Frontend[[#This Row],[Data]]="","", _xlfn.XLOOKUP(Buildings_Heat_Backend[[#This Row],[Info 1]],Buildings_SiteInfo[Site name],Buildings_SiteInfo[Site type]))</f>
        <v/>
      </c>
      <c r="U169" s="174" t="str">
        <f>IF(Buildings_Heat_Frontend[[#This Row],[Data]]="","", Buildings_Heat_Frontend[[#This Row],[Heating Type]])</f>
        <v/>
      </c>
      <c r="V169" s="174" t="str">
        <f>IF(Buildings_Heat_Frontend[[#This Row],[Data]]="","", Buildings_Heat_Frontend[[#This Row],[Fuel]])</f>
        <v/>
      </c>
      <c r="W169" s="174" t="str" cm="1">
        <f t="array" ref="W169">IF(Buildings_Heat_Frontend[[#This Row],[Data]]="","", _xlfn.XLOOKUP(Buildings_Heat_Backend[[#This Row],[Level 5]],rng_Level5Long,rng_Level6Long))</f>
        <v/>
      </c>
      <c r="X169" s="174" t="str">
        <f>IF(Buildings_Heat_Frontend[[#This Row],[Data]]="","", Buildings_Heat_Frontend[[#This Row],[Site Name]])</f>
        <v/>
      </c>
      <c r="Y169" s="174" t="str">
        <f>IF(Buildings_Heat_Frontend[[#This Row],[Data]]="","", Buildings_Heat_Frontend[[#This Row],[MPRN]])</f>
        <v/>
      </c>
      <c r="Z169" s="174" t="str">
        <f>IF(Buildings_Heat_Frontend[[#This Row],[Data]]="","", IF($I169="","",$I169))</f>
        <v/>
      </c>
      <c r="AA169" s="229" t="str" cm="1">
        <f t="array" ref="AA169">IF(Buildings_Heat_Frontend[[#This Row],[Data]]="","", INDEX(_xlfn.SWITCH(Buildings_Heat_Backend[[#This Row],[Methodology]],"Tier 1",rng_RSD1,"Tier 2",rng_RSD2,"Tier 3",rng_RSD3),MATCH(_xlfn.CONCAT(Buildings_Heat_Backend[[#This Row],[Level 1]:[Level 6]]),rng_LevelsConcat,0)))</f>
        <v/>
      </c>
      <c r="AB169" s="220" t="str">
        <f t="shared" si="7"/>
        <v/>
      </c>
      <c r="AC169" s="174">
        <f>Buildings_Heat_Frontend[[#This Row],[Units]]</f>
        <v>0</v>
      </c>
      <c r="AD16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69" s="174" t="str">
        <f>IF(Buildings_Heat_Frontend[[#This Row],[Data]]="","", _xlfn.XLOOKUP(_xlfn.CONCAT(Buildings_Heat_Backend[[#This Row],[Level 1]:[Level 6]]),rng_LevelsConcat,rng_UnitsLong))</f>
        <v/>
      </c>
      <c r="AF169" s="210" t="str">
        <f>IF(Buildings_Heat_Frontend[[#This Row],[Data]]="","", _xlfn.XLOOKUP(_xlfn.CONCAT(Buildings_Heat_Backend[[#This Row],[Level 1]:[Level 6]]),rng_EFConcat,rng_EF1)*Buildings_Heat_Backend[[#This Row],[Converted data]]/1000)</f>
        <v/>
      </c>
      <c r="AG169" s="210" t="str">
        <f>IF(Buildings_Heat_Frontend[[#This Row],[Data]]="","", _xlfn.XLOOKUP(_xlfn.CONCAT(Buildings_Heat_Backend[[#This Row],[Level 1]:[Level 6]]),rng_EFConcat,rng_EF2)*Buildings_Heat_Backend[[#This Row],[Converted data]]/1000)</f>
        <v/>
      </c>
      <c r="AH169" s="210" t="str">
        <f>IF(Buildings_Heat_Frontend[[#This Row],[Data]]="","", _xlfn.XLOOKUP(_xlfn.CONCAT(Buildings_Heat_Backend[[#This Row],[Level 1]:[Level 6]]),rng_EFConcat,rng_EF3)*Buildings_Heat_Backend[[#This Row],[Converted data]]/1000)</f>
        <v/>
      </c>
      <c r="AI169" s="210" t="str">
        <f>IF(Buildings_Heat_Frontend[[#This Row],[Data]]="","", _xlfn.XLOOKUP(_xlfn.CONCAT(Buildings_Heat_Backend[[#This Row],[Level 1]:[Level 6]]),rng_EFConcat,rng_EF3WTT)*Buildings_Heat_Backend[[#This Row],[Converted data]]/1000)</f>
        <v/>
      </c>
      <c r="AJ169" s="210" t="str">
        <f>IF(Buildings_Heat_Frontend[[#This Row],[Data]]="","", _xlfn.XLOOKUP(_xlfn.CONCAT(Buildings_Heat_Backend[[#This Row],[Level 1]:[Level 6]]),rng_EFConcat,rng_EF3TD)*Buildings_Heat_Backend[[#This Row],[Converted data]]/1000)</f>
        <v/>
      </c>
      <c r="AK169" s="210" t="str">
        <f>IF(Buildings_Heat_Frontend[[#This Row],[Data]]="","", _xlfn.XLOOKUP(_xlfn.CONCAT(Buildings_Heat_Backend[[#This Row],[Level 1]:[Level 6]]),rng_EFConcat,rng_EF3WTTTD)*Buildings_Heat_Backend[[#This Row],[Converted data]]/1000)</f>
        <v/>
      </c>
      <c r="AL169" s="220">
        <f>SUM(Buildings_Heat_Backend[[#This Row],[Scope 1 (tCO2e)]:[Scope 3 WTT T&amp;D (tCO2e)]])</f>
        <v>0</v>
      </c>
      <c r="AM169" s="220" t="str">
        <f>IF(Buildings_Heat_Frontend[[#This Row],[Data]]="","", Buildings_Heat_Backend[[#This Row],[Total (tCO2e)]]*(1-Buildings_Heat_Backend[[#This Row],[RSD]]))</f>
        <v/>
      </c>
      <c r="AN169" s="220" t="str">
        <f>IF(Buildings_Heat_Frontend[[#This Row],[Data]]="","", Buildings_Heat_Backend[[#This Row],[Total (tCO2e)]]*(1+Buildings_Heat_Backend[[#This Row],[RSD]]))</f>
        <v/>
      </c>
      <c r="AO169" s="210" t="str">
        <f>IF(Buildings_Heat_Frontend[[#This Row],[Data]]="","", _xlfn.XLOOKUP(_xlfn.CONCAT(Buildings_Heat_Backend[[#This Row],[Level 1]:[Level 6]]),rng_EFConcat,rng_EFOOS)*Buildings_Heat_Backend[[#This Row],[Converted data]]/1000)</f>
        <v/>
      </c>
      <c r="AP169" s="174">
        <f>Buildings_Heat_Frontend[[#This Row],[Ease of collection]]</f>
        <v>0</v>
      </c>
      <c r="AQ169" s="174">
        <f>Buildings_Heat_Frontend[[#This Row],[Completeness]]</f>
        <v>0</v>
      </c>
      <c r="AR169" s="174">
        <f>Buildings_Heat_Frontend[[#This Row],[Notes]]</f>
        <v>0</v>
      </c>
    </row>
    <row r="170" spans="5:44" x14ac:dyDescent="0.3">
      <c r="E170" s="346"/>
      <c r="F170" s="364"/>
      <c r="G170" s="336"/>
      <c r="H170" s="336"/>
      <c r="I170" s="336"/>
      <c r="J170" s="334"/>
      <c r="K170" s="336"/>
      <c r="L170" s="336"/>
      <c r="M170" s="336"/>
      <c r="N170" s="352"/>
      <c r="O170" s="230">
        <f t="shared" si="8"/>
        <v>6</v>
      </c>
      <c r="Q170" s="212" t="str">
        <f t="shared" si="6"/>
        <v/>
      </c>
      <c r="R170" s="174" t="s">
        <v>265</v>
      </c>
      <c r="S170" s="174" t="s">
        <v>273</v>
      </c>
      <c r="T170" s="174" t="str">
        <f>IF(Buildings_Heat_Frontend[[#This Row],[Data]]="","", _xlfn.XLOOKUP(Buildings_Heat_Backend[[#This Row],[Info 1]],Buildings_SiteInfo[Site name],Buildings_SiteInfo[Site type]))</f>
        <v/>
      </c>
      <c r="U170" s="174" t="str">
        <f>IF(Buildings_Heat_Frontend[[#This Row],[Data]]="","", Buildings_Heat_Frontend[[#This Row],[Heating Type]])</f>
        <v/>
      </c>
      <c r="V170" s="174" t="str">
        <f>IF(Buildings_Heat_Frontend[[#This Row],[Data]]="","", Buildings_Heat_Frontend[[#This Row],[Fuel]])</f>
        <v/>
      </c>
      <c r="W170" s="174" t="str" cm="1">
        <f t="array" ref="W170">IF(Buildings_Heat_Frontend[[#This Row],[Data]]="","", _xlfn.XLOOKUP(Buildings_Heat_Backend[[#This Row],[Level 5]],rng_Level5Long,rng_Level6Long))</f>
        <v/>
      </c>
      <c r="X170" s="174" t="str">
        <f>IF(Buildings_Heat_Frontend[[#This Row],[Data]]="","", Buildings_Heat_Frontend[[#This Row],[Site Name]])</f>
        <v/>
      </c>
      <c r="Y170" s="174" t="str">
        <f>IF(Buildings_Heat_Frontend[[#This Row],[Data]]="","", Buildings_Heat_Frontend[[#This Row],[MPRN]])</f>
        <v/>
      </c>
      <c r="Z170" s="174" t="str">
        <f>IF(Buildings_Heat_Frontend[[#This Row],[Data]]="","", IF($I170="","",$I170))</f>
        <v/>
      </c>
      <c r="AA170" s="229" t="str" cm="1">
        <f t="array" ref="AA170">IF(Buildings_Heat_Frontend[[#This Row],[Data]]="","", INDEX(_xlfn.SWITCH(Buildings_Heat_Backend[[#This Row],[Methodology]],"Tier 1",rng_RSD1,"Tier 2",rng_RSD2,"Tier 3",rng_RSD3),MATCH(_xlfn.CONCAT(Buildings_Heat_Backend[[#This Row],[Level 1]:[Level 6]]),rng_LevelsConcat,0)))</f>
        <v/>
      </c>
      <c r="AB170" s="220" t="str">
        <f t="shared" si="7"/>
        <v/>
      </c>
      <c r="AC170" s="174">
        <f>Buildings_Heat_Frontend[[#This Row],[Units]]</f>
        <v>0</v>
      </c>
      <c r="AD17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0" s="174" t="str">
        <f>IF(Buildings_Heat_Frontend[[#This Row],[Data]]="","", _xlfn.XLOOKUP(_xlfn.CONCAT(Buildings_Heat_Backend[[#This Row],[Level 1]:[Level 6]]),rng_LevelsConcat,rng_UnitsLong))</f>
        <v/>
      </c>
      <c r="AF170" s="210" t="str">
        <f>IF(Buildings_Heat_Frontend[[#This Row],[Data]]="","", _xlfn.XLOOKUP(_xlfn.CONCAT(Buildings_Heat_Backend[[#This Row],[Level 1]:[Level 6]]),rng_EFConcat,rng_EF1)*Buildings_Heat_Backend[[#This Row],[Converted data]]/1000)</f>
        <v/>
      </c>
      <c r="AG170" s="210" t="str">
        <f>IF(Buildings_Heat_Frontend[[#This Row],[Data]]="","", _xlfn.XLOOKUP(_xlfn.CONCAT(Buildings_Heat_Backend[[#This Row],[Level 1]:[Level 6]]),rng_EFConcat,rng_EF2)*Buildings_Heat_Backend[[#This Row],[Converted data]]/1000)</f>
        <v/>
      </c>
      <c r="AH170" s="210" t="str">
        <f>IF(Buildings_Heat_Frontend[[#This Row],[Data]]="","", _xlfn.XLOOKUP(_xlfn.CONCAT(Buildings_Heat_Backend[[#This Row],[Level 1]:[Level 6]]),rng_EFConcat,rng_EF3)*Buildings_Heat_Backend[[#This Row],[Converted data]]/1000)</f>
        <v/>
      </c>
      <c r="AI170" s="210" t="str">
        <f>IF(Buildings_Heat_Frontend[[#This Row],[Data]]="","", _xlfn.XLOOKUP(_xlfn.CONCAT(Buildings_Heat_Backend[[#This Row],[Level 1]:[Level 6]]),rng_EFConcat,rng_EF3WTT)*Buildings_Heat_Backend[[#This Row],[Converted data]]/1000)</f>
        <v/>
      </c>
      <c r="AJ170" s="210" t="str">
        <f>IF(Buildings_Heat_Frontend[[#This Row],[Data]]="","", _xlfn.XLOOKUP(_xlfn.CONCAT(Buildings_Heat_Backend[[#This Row],[Level 1]:[Level 6]]),rng_EFConcat,rng_EF3TD)*Buildings_Heat_Backend[[#This Row],[Converted data]]/1000)</f>
        <v/>
      </c>
      <c r="AK170" s="210" t="str">
        <f>IF(Buildings_Heat_Frontend[[#This Row],[Data]]="","", _xlfn.XLOOKUP(_xlfn.CONCAT(Buildings_Heat_Backend[[#This Row],[Level 1]:[Level 6]]),rng_EFConcat,rng_EF3WTTTD)*Buildings_Heat_Backend[[#This Row],[Converted data]]/1000)</f>
        <v/>
      </c>
      <c r="AL170" s="220">
        <f>SUM(Buildings_Heat_Backend[[#This Row],[Scope 1 (tCO2e)]:[Scope 3 WTT T&amp;D (tCO2e)]])</f>
        <v>0</v>
      </c>
      <c r="AM170" s="220" t="str">
        <f>IF(Buildings_Heat_Frontend[[#This Row],[Data]]="","", Buildings_Heat_Backend[[#This Row],[Total (tCO2e)]]*(1-Buildings_Heat_Backend[[#This Row],[RSD]]))</f>
        <v/>
      </c>
      <c r="AN170" s="220" t="str">
        <f>IF(Buildings_Heat_Frontend[[#This Row],[Data]]="","", Buildings_Heat_Backend[[#This Row],[Total (tCO2e)]]*(1+Buildings_Heat_Backend[[#This Row],[RSD]]))</f>
        <v/>
      </c>
      <c r="AO170" s="210" t="str">
        <f>IF(Buildings_Heat_Frontend[[#This Row],[Data]]="","", _xlfn.XLOOKUP(_xlfn.CONCAT(Buildings_Heat_Backend[[#This Row],[Level 1]:[Level 6]]),rng_EFConcat,rng_EFOOS)*Buildings_Heat_Backend[[#This Row],[Converted data]]/1000)</f>
        <v/>
      </c>
      <c r="AP170" s="174">
        <f>Buildings_Heat_Frontend[[#This Row],[Ease of collection]]</f>
        <v>0</v>
      </c>
      <c r="AQ170" s="174">
        <f>Buildings_Heat_Frontend[[#This Row],[Completeness]]</f>
        <v>0</v>
      </c>
      <c r="AR170" s="174">
        <f>Buildings_Heat_Frontend[[#This Row],[Notes]]</f>
        <v>0</v>
      </c>
    </row>
    <row r="171" spans="5:44" x14ac:dyDescent="0.3">
      <c r="E171" s="346"/>
      <c r="F171" s="364"/>
      <c r="G171" s="336"/>
      <c r="H171" s="336"/>
      <c r="I171" s="336"/>
      <c r="J171" s="334"/>
      <c r="K171" s="336"/>
      <c r="L171" s="336"/>
      <c r="M171" s="336"/>
      <c r="N171" s="352"/>
      <c r="O171" s="230">
        <f t="shared" si="8"/>
        <v>6</v>
      </c>
      <c r="Q171" s="212" t="str">
        <f t="shared" si="6"/>
        <v/>
      </c>
      <c r="R171" s="174" t="s">
        <v>265</v>
      </c>
      <c r="S171" s="174" t="s">
        <v>273</v>
      </c>
      <c r="T171" s="174" t="str">
        <f>IF(Buildings_Heat_Frontend[[#This Row],[Data]]="","", _xlfn.XLOOKUP(Buildings_Heat_Backend[[#This Row],[Info 1]],Buildings_SiteInfo[Site name],Buildings_SiteInfo[Site type]))</f>
        <v/>
      </c>
      <c r="U171" s="174" t="str">
        <f>IF(Buildings_Heat_Frontend[[#This Row],[Data]]="","", Buildings_Heat_Frontend[[#This Row],[Heating Type]])</f>
        <v/>
      </c>
      <c r="V171" s="174" t="str">
        <f>IF(Buildings_Heat_Frontend[[#This Row],[Data]]="","", Buildings_Heat_Frontend[[#This Row],[Fuel]])</f>
        <v/>
      </c>
      <c r="W171" s="174" t="str" cm="1">
        <f t="array" ref="W171">IF(Buildings_Heat_Frontend[[#This Row],[Data]]="","", _xlfn.XLOOKUP(Buildings_Heat_Backend[[#This Row],[Level 5]],rng_Level5Long,rng_Level6Long))</f>
        <v/>
      </c>
      <c r="X171" s="174" t="str">
        <f>IF(Buildings_Heat_Frontend[[#This Row],[Data]]="","", Buildings_Heat_Frontend[[#This Row],[Site Name]])</f>
        <v/>
      </c>
      <c r="Y171" s="174" t="str">
        <f>IF(Buildings_Heat_Frontend[[#This Row],[Data]]="","", Buildings_Heat_Frontend[[#This Row],[MPRN]])</f>
        <v/>
      </c>
      <c r="Z171" s="174" t="str">
        <f>IF(Buildings_Heat_Frontend[[#This Row],[Data]]="","", IF($I171="","",$I171))</f>
        <v/>
      </c>
      <c r="AA171" s="229" t="str" cm="1">
        <f t="array" ref="AA171">IF(Buildings_Heat_Frontend[[#This Row],[Data]]="","", INDEX(_xlfn.SWITCH(Buildings_Heat_Backend[[#This Row],[Methodology]],"Tier 1",rng_RSD1,"Tier 2",rng_RSD2,"Tier 3",rng_RSD3),MATCH(_xlfn.CONCAT(Buildings_Heat_Backend[[#This Row],[Level 1]:[Level 6]]),rng_LevelsConcat,0)))</f>
        <v/>
      </c>
      <c r="AB171" s="220" t="str">
        <f t="shared" si="7"/>
        <v/>
      </c>
      <c r="AC171" s="174">
        <f>Buildings_Heat_Frontend[[#This Row],[Units]]</f>
        <v>0</v>
      </c>
      <c r="AD17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1" s="174" t="str">
        <f>IF(Buildings_Heat_Frontend[[#This Row],[Data]]="","", _xlfn.XLOOKUP(_xlfn.CONCAT(Buildings_Heat_Backend[[#This Row],[Level 1]:[Level 6]]),rng_LevelsConcat,rng_UnitsLong))</f>
        <v/>
      </c>
      <c r="AF171" s="210" t="str">
        <f>IF(Buildings_Heat_Frontend[[#This Row],[Data]]="","", _xlfn.XLOOKUP(_xlfn.CONCAT(Buildings_Heat_Backend[[#This Row],[Level 1]:[Level 6]]),rng_EFConcat,rng_EF1)*Buildings_Heat_Backend[[#This Row],[Converted data]]/1000)</f>
        <v/>
      </c>
      <c r="AG171" s="210" t="str">
        <f>IF(Buildings_Heat_Frontend[[#This Row],[Data]]="","", _xlfn.XLOOKUP(_xlfn.CONCAT(Buildings_Heat_Backend[[#This Row],[Level 1]:[Level 6]]),rng_EFConcat,rng_EF2)*Buildings_Heat_Backend[[#This Row],[Converted data]]/1000)</f>
        <v/>
      </c>
      <c r="AH171" s="210" t="str">
        <f>IF(Buildings_Heat_Frontend[[#This Row],[Data]]="","", _xlfn.XLOOKUP(_xlfn.CONCAT(Buildings_Heat_Backend[[#This Row],[Level 1]:[Level 6]]),rng_EFConcat,rng_EF3)*Buildings_Heat_Backend[[#This Row],[Converted data]]/1000)</f>
        <v/>
      </c>
      <c r="AI171" s="210" t="str">
        <f>IF(Buildings_Heat_Frontend[[#This Row],[Data]]="","", _xlfn.XLOOKUP(_xlfn.CONCAT(Buildings_Heat_Backend[[#This Row],[Level 1]:[Level 6]]),rng_EFConcat,rng_EF3WTT)*Buildings_Heat_Backend[[#This Row],[Converted data]]/1000)</f>
        <v/>
      </c>
      <c r="AJ171" s="210" t="str">
        <f>IF(Buildings_Heat_Frontend[[#This Row],[Data]]="","", _xlfn.XLOOKUP(_xlfn.CONCAT(Buildings_Heat_Backend[[#This Row],[Level 1]:[Level 6]]),rng_EFConcat,rng_EF3TD)*Buildings_Heat_Backend[[#This Row],[Converted data]]/1000)</f>
        <v/>
      </c>
      <c r="AK171" s="210" t="str">
        <f>IF(Buildings_Heat_Frontend[[#This Row],[Data]]="","", _xlfn.XLOOKUP(_xlfn.CONCAT(Buildings_Heat_Backend[[#This Row],[Level 1]:[Level 6]]),rng_EFConcat,rng_EF3WTTTD)*Buildings_Heat_Backend[[#This Row],[Converted data]]/1000)</f>
        <v/>
      </c>
      <c r="AL171" s="220">
        <f>SUM(Buildings_Heat_Backend[[#This Row],[Scope 1 (tCO2e)]:[Scope 3 WTT T&amp;D (tCO2e)]])</f>
        <v>0</v>
      </c>
      <c r="AM171" s="220" t="str">
        <f>IF(Buildings_Heat_Frontend[[#This Row],[Data]]="","", Buildings_Heat_Backend[[#This Row],[Total (tCO2e)]]*(1-Buildings_Heat_Backend[[#This Row],[RSD]]))</f>
        <v/>
      </c>
      <c r="AN171" s="220" t="str">
        <f>IF(Buildings_Heat_Frontend[[#This Row],[Data]]="","", Buildings_Heat_Backend[[#This Row],[Total (tCO2e)]]*(1+Buildings_Heat_Backend[[#This Row],[RSD]]))</f>
        <v/>
      </c>
      <c r="AO171" s="210" t="str">
        <f>IF(Buildings_Heat_Frontend[[#This Row],[Data]]="","", _xlfn.XLOOKUP(_xlfn.CONCAT(Buildings_Heat_Backend[[#This Row],[Level 1]:[Level 6]]),rng_EFConcat,rng_EFOOS)*Buildings_Heat_Backend[[#This Row],[Converted data]]/1000)</f>
        <v/>
      </c>
      <c r="AP171" s="174">
        <f>Buildings_Heat_Frontend[[#This Row],[Ease of collection]]</f>
        <v>0</v>
      </c>
      <c r="AQ171" s="174">
        <f>Buildings_Heat_Frontend[[#This Row],[Completeness]]</f>
        <v>0</v>
      </c>
      <c r="AR171" s="174">
        <f>Buildings_Heat_Frontend[[#This Row],[Notes]]</f>
        <v>0</v>
      </c>
    </row>
    <row r="172" spans="5:44" x14ac:dyDescent="0.3">
      <c r="E172" s="346"/>
      <c r="F172" s="364"/>
      <c r="G172" s="336"/>
      <c r="H172" s="336"/>
      <c r="I172" s="336"/>
      <c r="J172" s="334"/>
      <c r="K172" s="336"/>
      <c r="L172" s="336"/>
      <c r="M172" s="336"/>
      <c r="N172" s="352"/>
      <c r="O172" s="230">
        <f t="shared" si="8"/>
        <v>6</v>
      </c>
      <c r="Q172" s="212" t="str">
        <f t="shared" si="6"/>
        <v/>
      </c>
      <c r="R172" s="174" t="s">
        <v>265</v>
      </c>
      <c r="S172" s="174" t="s">
        <v>273</v>
      </c>
      <c r="T172" s="174" t="str">
        <f>IF(Buildings_Heat_Frontend[[#This Row],[Data]]="","", _xlfn.XLOOKUP(Buildings_Heat_Backend[[#This Row],[Info 1]],Buildings_SiteInfo[Site name],Buildings_SiteInfo[Site type]))</f>
        <v/>
      </c>
      <c r="U172" s="174" t="str">
        <f>IF(Buildings_Heat_Frontend[[#This Row],[Data]]="","", Buildings_Heat_Frontend[[#This Row],[Heating Type]])</f>
        <v/>
      </c>
      <c r="V172" s="174" t="str">
        <f>IF(Buildings_Heat_Frontend[[#This Row],[Data]]="","", Buildings_Heat_Frontend[[#This Row],[Fuel]])</f>
        <v/>
      </c>
      <c r="W172" s="174" t="str" cm="1">
        <f t="array" ref="W172">IF(Buildings_Heat_Frontend[[#This Row],[Data]]="","", _xlfn.XLOOKUP(Buildings_Heat_Backend[[#This Row],[Level 5]],rng_Level5Long,rng_Level6Long))</f>
        <v/>
      </c>
      <c r="X172" s="174" t="str">
        <f>IF(Buildings_Heat_Frontend[[#This Row],[Data]]="","", Buildings_Heat_Frontend[[#This Row],[Site Name]])</f>
        <v/>
      </c>
      <c r="Y172" s="174" t="str">
        <f>IF(Buildings_Heat_Frontend[[#This Row],[Data]]="","", Buildings_Heat_Frontend[[#This Row],[MPRN]])</f>
        <v/>
      </c>
      <c r="Z172" s="174" t="str">
        <f>IF(Buildings_Heat_Frontend[[#This Row],[Data]]="","", IF($I172="","",$I172))</f>
        <v/>
      </c>
      <c r="AA172" s="229" t="str" cm="1">
        <f t="array" ref="AA172">IF(Buildings_Heat_Frontend[[#This Row],[Data]]="","", INDEX(_xlfn.SWITCH(Buildings_Heat_Backend[[#This Row],[Methodology]],"Tier 1",rng_RSD1,"Tier 2",rng_RSD2,"Tier 3",rng_RSD3),MATCH(_xlfn.CONCAT(Buildings_Heat_Backend[[#This Row],[Level 1]:[Level 6]]),rng_LevelsConcat,0)))</f>
        <v/>
      </c>
      <c r="AB172" s="220" t="str">
        <f t="shared" si="7"/>
        <v/>
      </c>
      <c r="AC172" s="174">
        <f>Buildings_Heat_Frontend[[#This Row],[Units]]</f>
        <v>0</v>
      </c>
      <c r="AD17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2" s="174" t="str">
        <f>IF(Buildings_Heat_Frontend[[#This Row],[Data]]="","", _xlfn.XLOOKUP(_xlfn.CONCAT(Buildings_Heat_Backend[[#This Row],[Level 1]:[Level 6]]),rng_LevelsConcat,rng_UnitsLong))</f>
        <v/>
      </c>
      <c r="AF172" s="210" t="str">
        <f>IF(Buildings_Heat_Frontend[[#This Row],[Data]]="","", _xlfn.XLOOKUP(_xlfn.CONCAT(Buildings_Heat_Backend[[#This Row],[Level 1]:[Level 6]]),rng_EFConcat,rng_EF1)*Buildings_Heat_Backend[[#This Row],[Converted data]]/1000)</f>
        <v/>
      </c>
      <c r="AG172" s="210" t="str">
        <f>IF(Buildings_Heat_Frontend[[#This Row],[Data]]="","", _xlfn.XLOOKUP(_xlfn.CONCAT(Buildings_Heat_Backend[[#This Row],[Level 1]:[Level 6]]),rng_EFConcat,rng_EF2)*Buildings_Heat_Backend[[#This Row],[Converted data]]/1000)</f>
        <v/>
      </c>
      <c r="AH172" s="210" t="str">
        <f>IF(Buildings_Heat_Frontend[[#This Row],[Data]]="","", _xlfn.XLOOKUP(_xlfn.CONCAT(Buildings_Heat_Backend[[#This Row],[Level 1]:[Level 6]]),rng_EFConcat,rng_EF3)*Buildings_Heat_Backend[[#This Row],[Converted data]]/1000)</f>
        <v/>
      </c>
      <c r="AI172" s="210" t="str">
        <f>IF(Buildings_Heat_Frontend[[#This Row],[Data]]="","", _xlfn.XLOOKUP(_xlfn.CONCAT(Buildings_Heat_Backend[[#This Row],[Level 1]:[Level 6]]),rng_EFConcat,rng_EF3WTT)*Buildings_Heat_Backend[[#This Row],[Converted data]]/1000)</f>
        <v/>
      </c>
      <c r="AJ172" s="210" t="str">
        <f>IF(Buildings_Heat_Frontend[[#This Row],[Data]]="","", _xlfn.XLOOKUP(_xlfn.CONCAT(Buildings_Heat_Backend[[#This Row],[Level 1]:[Level 6]]),rng_EFConcat,rng_EF3TD)*Buildings_Heat_Backend[[#This Row],[Converted data]]/1000)</f>
        <v/>
      </c>
      <c r="AK172" s="210" t="str">
        <f>IF(Buildings_Heat_Frontend[[#This Row],[Data]]="","", _xlfn.XLOOKUP(_xlfn.CONCAT(Buildings_Heat_Backend[[#This Row],[Level 1]:[Level 6]]),rng_EFConcat,rng_EF3WTTTD)*Buildings_Heat_Backend[[#This Row],[Converted data]]/1000)</f>
        <v/>
      </c>
      <c r="AL172" s="220">
        <f>SUM(Buildings_Heat_Backend[[#This Row],[Scope 1 (tCO2e)]:[Scope 3 WTT T&amp;D (tCO2e)]])</f>
        <v>0</v>
      </c>
      <c r="AM172" s="220" t="str">
        <f>IF(Buildings_Heat_Frontend[[#This Row],[Data]]="","", Buildings_Heat_Backend[[#This Row],[Total (tCO2e)]]*(1-Buildings_Heat_Backend[[#This Row],[RSD]]))</f>
        <v/>
      </c>
      <c r="AN172" s="220" t="str">
        <f>IF(Buildings_Heat_Frontend[[#This Row],[Data]]="","", Buildings_Heat_Backend[[#This Row],[Total (tCO2e)]]*(1+Buildings_Heat_Backend[[#This Row],[RSD]]))</f>
        <v/>
      </c>
      <c r="AO172" s="210" t="str">
        <f>IF(Buildings_Heat_Frontend[[#This Row],[Data]]="","", _xlfn.XLOOKUP(_xlfn.CONCAT(Buildings_Heat_Backend[[#This Row],[Level 1]:[Level 6]]),rng_EFConcat,rng_EFOOS)*Buildings_Heat_Backend[[#This Row],[Converted data]]/1000)</f>
        <v/>
      </c>
      <c r="AP172" s="174">
        <f>Buildings_Heat_Frontend[[#This Row],[Ease of collection]]</f>
        <v>0</v>
      </c>
      <c r="AQ172" s="174">
        <f>Buildings_Heat_Frontend[[#This Row],[Completeness]]</f>
        <v>0</v>
      </c>
      <c r="AR172" s="174">
        <f>Buildings_Heat_Frontend[[#This Row],[Notes]]</f>
        <v>0</v>
      </c>
    </row>
    <row r="173" spans="5:44" x14ac:dyDescent="0.3">
      <c r="E173" s="346"/>
      <c r="F173" s="364"/>
      <c r="G173" s="336"/>
      <c r="H173" s="336"/>
      <c r="I173" s="336"/>
      <c r="J173" s="334"/>
      <c r="K173" s="336"/>
      <c r="L173" s="336"/>
      <c r="M173" s="336"/>
      <c r="N173" s="352"/>
      <c r="O173" s="230">
        <f t="shared" si="8"/>
        <v>6</v>
      </c>
      <c r="Q173" s="212" t="str">
        <f t="shared" si="6"/>
        <v/>
      </c>
      <c r="R173" s="174" t="s">
        <v>265</v>
      </c>
      <c r="S173" s="174" t="s">
        <v>273</v>
      </c>
      <c r="T173" s="174" t="str">
        <f>IF(Buildings_Heat_Frontend[[#This Row],[Data]]="","", _xlfn.XLOOKUP(Buildings_Heat_Backend[[#This Row],[Info 1]],Buildings_SiteInfo[Site name],Buildings_SiteInfo[Site type]))</f>
        <v/>
      </c>
      <c r="U173" s="174" t="str">
        <f>IF(Buildings_Heat_Frontend[[#This Row],[Data]]="","", Buildings_Heat_Frontend[[#This Row],[Heating Type]])</f>
        <v/>
      </c>
      <c r="V173" s="174" t="str">
        <f>IF(Buildings_Heat_Frontend[[#This Row],[Data]]="","", Buildings_Heat_Frontend[[#This Row],[Fuel]])</f>
        <v/>
      </c>
      <c r="W173" s="174" t="str" cm="1">
        <f t="array" ref="W173">IF(Buildings_Heat_Frontend[[#This Row],[Data]]="","", _xlfn.XLOOKUP(Buildings_Heat_Backend[[#This Row],[Level 5]],rng_Level5Long,rng_Level6Long))</f>
        <v/>
      </c>
      <c r="X173" s="174" t="str">
        <f>IF(Buildings_Heat_Frontend[[#This Row],[Data]]="","", Buildings_Heat_Frontend[[#This Row],[Site Name]])</f>
        <v/>
      </c>
      <c r="Y173" s="174" t="str">
        <f>IF(Buildings_Heat_Frontend[[#This Row],[Data]]="","", Buildings_Heat_Frontend[[#This Row],[MPRN]])</f>
        <v/>
      </c>
      <c r="Z173" s="174" t="str">
        <f>IF(Buildings_Heat_Frontend[[#This Row],[Data]]="","", IF($I173="","",$I173))</f>
        <v/>
      </c>
      <c r="AA173" s="229" t="str" cm="1">
        <f t="array" ref="AA173">IF(Buildings_Heat_Frontend[[#This Row],[Data]]="","", INDEX(_xlfn.SWITCH(Buildings_Heat_Backend[[#This Row],[Methodology]],"Tier 1",rng_RSD1,"Tier 2",rng_RSD2,"Tier 3",rng_RSD3),MATCH(_xlfn.CONCAT(Buildings_Heat_Backend[[#This Row],[Level 1]:[Level 6]]),rng_LevelsConcat,0)))</f>
        <v/>
      </c>
      <c r="AB173" s="220" t="str">
        <f t="shared" si="7"/>
        <v/>
      </c>
      <c r="AC173" s="174">
        <f>Buildings_Heat_Frontend[[#This Row],[Units]]</f>
        <v>0</v>
      </c>
      <c r="AD17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3" s="174" t="str">
        <f>IF(Buildings_Heat_Frontend[[#This Row],[Data]]="","", _xlfn.XLOOKUP(_xlfn.CONCAT(Buildings_Heat_Backend[[#This Row],[Level 1]:[Level 6]]),rng_LevelsConcat,rng_UnitsLong))</f>
        <v/>
      </c>
      <c r="AF173" s="210" t="str">
        <f>IF(Buildings_Heat_Frontend[[#This Row],[Data]]="","", _xlfn.XLOOKUP(_xlfn.CONCAT(Buildings_Heat_Backend[[#This Row],[Level 1]:[Level 6]]),rng_EFConcat,rng_EF1)*Buildings_Heat_Backend[[#This Row],[Converted data]]/1000)</f>
        <v/>
      </c>
      <c r="AG173" s="210" t="str">
        <f>IF(Buildings_Heat_Frontend[[#This Row],[Data]]="","", _xlfn.XLOOKUP(_xlfn.CONCAT(Buildings_Heat_Backend[[#This Row],[Level 1]:[Level 6]]),rng_EFConcat,rng_EF2)*Buildings_Heat_Backend[[#This Row],[Converted data]]/1000)</f>
        <v/>
      </c>
      <c r="AH173" s="210" t="str">
        <f>IF(Buildings_Heat_Frontend[[#This Row],[Data]]="","", _xlfn.XLOOKUP(_xlfn.CONCAT(Buildings_Heat_Backend[[#This Row],[Level 1]:[Level 6]]),rng_EFConcat,rng_EF3)*Buildings_Heat_Backend[[#This Row],[Converted data]]/1000)</f>
        <v/>
      </c>
      <c r="AI173" s="210" t="str">
        <f>IF(Buildings_Heat_Frontend[[#This Row],[Data]]="","", _xlfn.XLOOKUP(_xlfn.CONCAT(Buildings_Heat_Backend[[#This Row],[Level 1]:[Level 6]]),rng_EFConcat,rng_EF3WTT)*Buildings_Heat_Backend[[#This Row],[Converted data]]/1000)</f>
        <v/>
      </c>
      <c r="AJ173" s="210" t="str">
        <f>IF(Buildings_Heat_Frontend[[#This Row],[Data]]="","", _xlfn.XLOOKUP(_xlfn.CONCAT(Buildings_Heat_Backend[[#This Row],[Level 1]:[Level 6]]),rng_EFConcat,rng_EF3TD)*Buildings_Heat_Backend[[#This Row],[Converted data]]/1000)</f>
        <v/>
      </c>
      <c r="AK173" s="210" t="str">
        <f>IF(Buildings_Heat_Frontend[[#This Row],[Data]]="","", _xlfn.XLOOKUP(_xlfn.CONCAT(Buildings_Heat_Backend[[#This Row],[Level 1]:[Level 6]]),rng_EFConcat,rng_EF3WTTTD)*Buildings_Heat_Backend[[#This Row],[Converted data]]/1000)</f>
        <v/>
      </c>
      <c r="AL173" s="220">
        <f>SUM(Buildings_Heat_Backend[[#This Row],[Scope 1 (tCO2e)]:[Scope 3 WTT T&amp;D (tCO2e)]])</f>
        <v>0</v>
      </c>
      <c r="AM173" s="220" t="str">
        <f>IF(Buildings_Heat_Frontend[[#This Row],[Data]]="","", Buildings_Heat_Backend[[#This Row],[Total (tCO2e)]]*(1-Buildings_Heat_Backend[[#This Row],[RSD]]))</f>
        <v/>
      </c>
      <c r="AN173" s="220" t="str">
        <f>IF(Buildings_Heat_Frontend[[#This Row],[Data]]="","", Buildings_Heat_Backend[[#This Row],[Total (tCO2e)]]*(1+Buildings_Heat_Backend[[#This Row],[RSD]]))</f>
        <v/>
      </c>
      <c r="AO173" s="210" t="str">
        <f>IF(Buildings_Heat_Frontend[[#This Row],[Data]]="","", _xlfn.XLOOKUP(_xlfn.CONCAT(Buildings_Heat_Backend[[#This Row],[Level 1]:[Level 6]]),rng_EFConcat,rng_EFOOS)*Buildings_Heat_Backend[[#This Row],[Converted data]]/1000)</f>
        <v/>
      </c>
      <c r="AP173" s="174">
        <f>Buildings_Heat_Frontend[[#This Row],[Ease of collection]]</f>
        <v>0</v>
      </c>
      <c r="AQ173" s="174">
        <f>Buildings_Heat_Frontend[[#This Row],[Completeness]]</f>
        <v>0</v>
      </c>
      <c r="AR173" s="174">
        <f>Buildings_Heat_Frontend[[#This Row],[Notes]]</f>
        <v>0</v>
      </c>
    </row>
    <row r="174" spans="5:44" x14ac:dyDescent="0.3">
      <c r="E174" s="346"/>
      <c r="F174" s="364"/>
      <c r="G174" s="336"/>
      <c r="H174" s="336"/>
      <c r="I174" s="336"/>
      <c r="J174" s="334"/>
      <c r="K174" s="336"/>
      <c r="L174" s="336"/>
      <c r="M174" s="336"/>
      <c r="N174" s="352"/>
      <c r="O174" s="230">
        <f t="shared" si="8"/>
        <v>6</v>
      </c>
      <c r="Q174" s="212" t="str">
        <f t="shared" si="6"/>
        <v/>
      </c>
      <c r="R174" s="174" t="s">
        <v>265</v>
      </c>
      <c r="S174" s="174" t="s">
        <v>273</v>
      </c>
      <c r="T174" s="174" t="str">
        <f>IF(Buildings_Heat_Frontend[[#This Row],[Data]]="","", _xlfn.XLOOKUP(Buildings_Heat_Backend[[#This Row],[Info 1]],Buildings_SiteInfo[Site name],Buildings_SiteInfo[Site type]))</f>
        <v/>
      </c>
      <c r="U174" s="174" t="str">
        <f>IF(Buildings_Heat_Frontend[[#This Row],[Data]]="","", Buildings_Heat_Frontend[[#This Row],[Heating Type]])</f>
        <v/>
      </c>
      <c r="V174" s="174" t="str">
        <f>IF(Buildings_Heat_Frontend[[#This Row],[Data]]="","", Buildings_Heat_Frontend[[#This Row],[Fuel]])</f>
        <v/>
      </c>
      <c r="W174" s="174" t="str" cm="1">
        <f t="array" ref="W174">IF(Buildings_Heat_Frontend[[#This Row],[Data]]="","", _xlfn.XLOOKUP(Buildings_Heat_Backend[[#This Row],[Level 5]],rng_Level5Long,rng_Level6Long))</f>
        <v/>
      </c>
      <c r="X174" s="174" t="str">
        <f>IF(Buildings_Heat_Frontend[[#This Row],[Data]]="","", Buildings_Heat_Frontend[[#This Row],[Site Name]])</f>
        <v/>
      </c>
      <c r="Y174" s="174" t="str">
        <f>IF(Buildings_Heat_Frontend[[#This Row],[Data]]="","", Buildings_Heat_Frontend[[#This Row],[MPRN]])</f>
        <v/>
      </c>
      <c r="Z174" s="174" t="str">
        <f>IF(Buildings_Heat_Frontend[[#This Row],[Data]]="","", IF($I174="","",$I174))</f>
        <v/>
      </c>
      <c r="AA174" s="229" t="str" cm="1">
        <f t="array" ref="AA174">IF(Buildings_Heat_Frontend[[#This Row],[Data]]="","", INDEX(_xlfn.SWITCH(Buildings_Heat_Backend[[#This Row],[Methodology]],"Tier 1",rng_RSD1,"Tier 2",rng_RSD2,"Tier 3",rng_RSD3),MATCH(_xlfn.CONCAT(Buildings_Heat_Backend[[#This Row],[Level 1]:[Level 6]]),rng_LevelsConcat,0)))</f>
        <v/>
      </c>
      <c r="AB174" s="220" t="str">
        <f t="shared" si="7"/>
        <v/>
      </c>
      <c r="AC174" s="174">
        <f>Buildings_Heat_Frontend[[#This Row],[Units]]</f>
        <v>0</v>
      </c>
      <c r="AD17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4" s="174" t="str">
        <f>IF(Buildings_Heat_Frontend[[#This Row],[Data]]="","", _xlfn.XLOOKUP(_xlfn.CONCAT(Buildings_Heat_Backend[[#This Row],[Level 1]:[Level 6]]),rng_LevelsConcat,rng_UnitsLong))</f>
        <v/>
      </c>
      <c r="AF174" s="210" t="str">
        <f>IF(Buildings_Heat_Frontend[[#This Row],[Data]]="","", _xlfn.XLOOKUP(_xlfn.CONCAT(Buildings_Heat_Backend[[#This Row],[Level 1]:[Level 6]]),rng_EFConcat,rng_EF1)*Buildings_Heat_Backend[[#This Row],[Converted data]]/1000)</f>
        <v/>
      </c>
      <c r="AG174" s="210" t="str">
        <f>IF(Buildings_Heat_Frontend[[#This Row],[Data]]="","", _xlfn.XLOOKUP(_xlfn.CONCAT(Buildings_Heat_Backend[[#This Row],[Level 1]:[Level 6]]),rng_EFConcat,rng_EF2)*Buildings_Heat_Backend[[#This Row],[Converted data]]/1000)</f>
        <v/>
      </c>
      <c r="AH174" s="210" t="str">
        <f>IF(Buildings_Heat_Frontend[[#This Row],[Data]]="","", _xlfn.XLOOKUP(_xlfn.CONCAT(Buildings_Heat_Backend[[#This Row],[Level 1]:[Level 6]]),rng_EFConcat,rng_EF3)*Buildings_Heat_Backend[[#This Row],[Converted data]]/1000)</f>
        <v/>
      </c>
      <c r="AI174" s="210" t="str">
        <f>IF(Buildings_Heat_Frontend[[#This Row],[Data]]="","", _xlfn.XLOOKUP(_xlfn.CONCAT(Buildings_Heat_Backend[[#This Row],[Level 1]:[Level 6]]),rng_EFConcat,rng_EF3WTT)*Buildings_Heat_Backend[[#This Row],[Converted data]]/1000)</f>
        <v/>
      </c>
      <c r="AJ174" s="210" t="str">
        <f>IF(Buildings_Heat_Frontend[[#This Row],[Data]]="","", _xlfn.XLOOKUP(_xlfn.CONCAT(Buildings_Heat_Backend[[#This Row],[Level 1]:[Level 6]]),rng_EFConcat,rng_EF3TD)*Buildings_Heat_Backend[[#This Row],[Converted data]]/1000)</f>
        <v/>
      </c>
      <c r="AK174" s="210" t="str">
        <f>IF(Buildings_Heat_Frontend[[#This Row],[Data]]="","", _xlfn.XLOOKUP(_xlfn.CONCAT(Buildings_Heat_Backend[[#This Row],[Level 1]:[Level 6]]),rng_EFConcat,rng_EF3WTTTD)*Buildings_Heat_Backend[[#This Row],[Converted data]]/1000)</f>
        <v/>
      </c>
      <c r="AL174" s="220">
        <f>SUM(Buildings_Heat_Backend[[#This Row],[Scope 1 (tCO2e)]:[Scope 3 WTT T&amp;D (tCO2e)]])</f>
        <v>0</v>
      </c>
      <c r="AM174" s="220" t="str">
        <f>IF(Buildings_Heat_Frontend[[#This Row],[Data]]="","", Buildings_Heat_Backend[[#This Row],[Total (tCO2e)]]*(1-Buildings_Heat_Backend[[#This Row],[RSD]]))</f>
        <v/>
      </c>
      <c r="AN174" s="220" t="str">
        <f>IF(Buildings_Heat_Frontend[[#This Row],[Data]]="","", Buildings_Heat_Backend[[#This Row],[Total (tCO2e)]]*(1+Buildings_Heat_Backend[[#This Row],[RSD]]))</f>
        <v/>
      </c>
      <c r="AO174" s="210" t="str">
        <f>IF(Buildings_Heat_Frontend[[#This Row],[Data]]="","", _xlfn.XLOOKUP(_xlfn.CONCAT(Buildings_Heat_Backend[[#This Row],[Level 1]:[Level 6]]),rng_EFConcat,rng_EFOOS)*Buildings_Heat_Backend[[#This Row],[Converted data]]/1000)</f>
        <v/>
      </c>
      <c r="AP174" s="174">
        <f>Buildings_Heat_Frontend[[#This Row],[Ease of collection]]</f>
        <v>0</v>
      </c>
      <c r="AQ174" s="174">
        <f>Buildings_Heat_Frontend[[#This Row],[Completeness]]</f>
        <v>0</v>
      </c>
      <c r="AR174" s="174">
        <f>Buildings_Heat_Frontend[[#This Row],[Notes]]</f>
        <v>0</v>
      </c>
    </row>
    <row r="175" spans="5:44" x14ac:dyDescent="0.3">
      <c r="E175" s="346"/>
      <c r="F175" s="364"/>
      <c r="G175" s="336"/>
      <c r="H175" s="336"/>
      <c r="I175" s="336"/>
      <c r="J175" s="334"/>
      <c r="K175" s="336"/>
      <c r="L175" s="336"/>
      <c r="M175" s="336"/>
      <c r="N175" s="352"/>
      <c r="O175" s="230">
        <f t="shared" si="8"/>
        <v>6</v>
      </c>
      <c r="Q175" s="212" t="str">
        <f t="shared" si="6"/>
        <v/>
      </c>
      <c r="R175" s="174" t="s">
        <v>265</v>
      </c>
      <c r="S175" s="174" t="s">
        <v>273</v>
      </c>
      <c r="T175" s="174" t="str">
        <f>IF(Buildings_Heat_Frontend[[#This Row],[Data]]="","", _xlfn.XLOOKUP(Buildings_Heat_Backend[[#This Row],[Info 1]],Buildings_SiteInfo[Site name],Buildings_SiteInfo[Site type]))</f>
        <v/>
      </c>
      <c r="U175" s="174" t="str">
        <f>IF(Buildings_Heat_Frontend[[#This Row],[Data]]="","", Buildings_Heat_Frontend[[#This Row],[Heating Type]])</f>
        <v/>
      </c>
      <c r="V175" s="174" t="str">
        <f>IF(Buildings_Heat_Frontend[[#This Row],[Data]]="","", Buildings_Heat_Frontend[[#This Row],[Fuel]])</f>
        <v/>
      </c>
      <c r="W175" s="174" t="str" cm="1">
        <f t="array" ref="W175">IF(Buildings_Heat_Frontend[[#This Row],[Data]]="","", _xlfn.XLOOKUP(Buildings_Heat_Backend[[#This Row],[Level 5]],rng_Level5Long,rng_Level6Long))</f>
        <v/>
      </c>
      <c r="X175" s="174" t="str">
        <f>IF(Buildings_Heat_Frontend[[#This Row],[Data]]="","", Buildings_Heat_Frontend[[#This Row],[Site Name]])</f>
        <v/>
      </c>
      <c r="Y175" s="174" t="str">
        <f>IF(Buildings_Heat_Frontend[[#This Row],[Data]]="","", Buildings_Heat_Frontend[[#This Row],[MPRN]])</f>
        <v/>
      </c>
      <c r="Z175" s="174" t="str">
        <f>IF(Buildings_Heat_Frontend[[#This Row],[Data]]="","", IF($I175="","",$I175))</f>
        <v/>
      </c>
      <c r="AA175" s="229" t="str" cm="1">
        <f t="array" ref="AA175">IF(Buildings_Heat_Frontend[[#This Row],[Data]]="","", INDEX(_xlfn.SWITCH(Buildings_Heat_Backend[[#This Row],[Methodology]],"Tier 1",rng_RSD1,"Tier 2",rng_RSD2,"Tier 3",rng_RSD3),MATCH(_xlfn.CONCAT(Buildings_Heat_Backend[[#This Row],[Level 1]:[Level 6]]),rng_LevelsConcat,0)))</f>
        <v/>
      </c>
      <c r="AB175" s="220" t="str">
        <f t="shared" si="7"/>
        <v/>
      </c>
      <c r="AC175" s="174">
        <f>Buildings_Heat_Frontend[[#This Row],[Units]]</f>
        <v>0</v>
      </c>
      <c r="AD17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5" s="174" t="str">
        <f>IF(Buildings_Heat_Frontend[[#This Row],[Data]]="","", _xlfn.XLOOKUP(_xlfn.CONCAT(Buildings_Heat_Backend[[#This Row],[Level 1]:[Level 6]]),rng_LevelsConcat,rng_UnitsLong))</f>
        <v/>
      </c>
      <c r="AF175" s="210" t="str">
        <f>IF(Buildings_Heat_Frontend[[#This Row],[Data]]="","", _xlfn.XLOOKUP(_xlfn.CONCAT(Buildings_Heat_Backend[[#This Row],[Level 1]:[Level 6]]),rng_EFConcat,rng_EF1)*Buildings_Heat_Backend[[#This Row],[Converted data]]/1000)</f>
        <v/>
      </c>
      <c r="AG175" s="210" t="str">
        <f>IF(Buildings_Heat_Frontend[[#This Row],[Data]]="","", _xlfn.XLOOKUP(_xlfn.CONCAT(Buildings_Heat_Backend[[#This Row],[Level 1]:[Level 6]]),rng_EFConcat,rng_EF2)*Buildings_Heat_Backend[[#This Row],[Converted data]]/1000)</f>
        <v/>
      </c>
      <c r="AH175" s="210" t="str">
        <f>IF(Buildings_Heat_Frontend[[#This Row],[Data]]="","", _xlfn.XLOOKUP(_xlfn.CONCAT(Buildings_Heat_Backend[[#This Row],[Level 1]:[Level 6]]),rng_EFConcat,rng_EF3)*Buildings_Heat_Backend[[#This Row],[Converted data]]/1000)</f>
        <v/>
      </c>
      <c r="AI175" s="210" t="str">
        <f>IF(Buildings_Heat_Frontend[[#This Row],[Data]]="","", _xlfn.XLOOKUP(_xlfn.CONCAT(Buildings_Heat_Backend[[#This Row],[Level 1]:[Level 6]]),rng_EFConcat,rng_EF3WTT)*Buildings_Heat_Backend[[#This Row],[Converted data]]/1000)</f>
        <v/>
      </c>
      <c r="AJ175" s="210" t="str">
        <f>IF(Buildings_Heat_Frontend[[#This Row],[Data]]="","", _xlfn.XLOOKUP(_xlfn.CONCAT(Buildings_Heat_Backend[[#This Row],[Level 1]:[Level 6]]),rng_EFConcat,rng_EF3TD)*Buildings_Heat_Backend[[#This Row],[Converted data]]/1000)</f>
        <v/>
      </c>
      <c r="AK175" s="210" t="str">
        <f>IF(Buildings_Heat_Frontend[[#This Row],[Data]]="","", _xlfn.XLOOKUP(_xlfn.CONCAT(Buildings_Heat_Backend[[#This Row],[Level 1]:[Level 6]]),rng_EFConcat,rng_EF3WTTTD)*Buildings_Heat_Backend[[#This Row],[Converted data]]/1000)</f>
        <v/>
      </c>
      <c r="AL175" s="220">
        <f>SUM(Buildings_Heat_Backend[[#This Row],[Scope 1 (tCO2e)]:[Scope 3 WTT T&amp;D (tCO2e)]])</f>
        <v>0</v>
      </c>
      <c r="AM175" s="220" t="str">
        <f>IF(Buildings_Heat_Frontend[[#This Row],[Data]]="","", Buildings_Heat_Backend[[#This Row],[Total (tCO2e)]]*(1-Buildings_Heat_Backend[[#This Row],[RSD]]))</f>
        <v/>
      </c>
      <c r="AN175" s="220" t="str">
        <f>IF(Buildings_Heat_Frontend[[#This Row],[Data]]="","", Buildings_Heat_Backend[[#This Row],[Total (tCO2e)]]*(1+Buildings_Heat_Backend[[#This Row],[RSD]]))</f>
        <v/>
      </c>
      <c r="AO175" s="210" t="str">
        <f>IF(Buildings_Heat_Frontend[[#This Row],[Data]]="","", _xlfn.XLOOKUP(_xlfn.CONCAT(Buildings_Heat_Backend[[#This Row],[Level 1]:[Level 6]]),rng_EFConcat,rng_EFOOS)*Buildings_Heat_Backend[[#This Row],[Converted data]]/1000)</f>
        <v/>
      </c>
      <c r="AP175" s="174">
        <f>Buildings_Heat_Frontend[[#This Row],[Ease of collection]]</f>
        <v>0</v>
      </c>
      <c r="AQ175" s="174">
        <f>Buildings_Heat_Frontend[[#This Row],[Completeness]]</f>
        <v>0</v>
      </c>
      <c r="AR175" s="174">
        <f>Buildings_Heat_Frontend[[#This Row],[Notes]]</f>
        <v>0</v>
      </c>
    </row>
    <row r="176" spans="5:44" x14ac:dyDescent="0.3">
      <c r="E176" s="346"/>
      <c r="F176" s="364"/>
      <c r="G176" s="336"/>
      <c r="H176" s="336"/>
      <c r="I176" s="336"/>
      <c r="J176" s="334"/>
      <c r="K176" s="336"/>
      <c r="L176" s="336"/>
      <c r="M176" s="336"/>
      <c r="N176" s="352"/>
      <c r="O176" s="230">
        <f t="shared" si="8"/>
        <v>6</v>
      </c>
      <c r="Q176" s="212" t="str">
        <f t="shared" si="6"/>
        <v/>
      </c>
      <c r="R176" s="174" t="s">
        <v>265</v>
      </c>
      <c r="S176" s="174" t="s">
        <v>273</v>
      </c>
      <c r="T176" s="174" t="str">
        <f>IF(Buildings_Heat_Frontend[[#This Row],[Data]]="","", _xlfn.XLOOKUP(Buildings_Heat_Backend[[#This Row],[Info 1]],Buildings_SiteInfo[Site name],Buildings_SiteInfo[Site type]))</f>
        <v/>
      </c>
      <c r="U176" s="174" t="str">
        <f>IF(Buildings_Heat_Frontend[[#This Row],[Data]]="","", Buildings_Heat_Frontend[[#This Row],[Heating Type]])</f>
        <v/>
      </c>
      <c r="V176" s="174" t="str">
        <f>IF(Buildings_Heat_Frontend[[#This Row],[Data]]="","", Buildings_Heat_Frontend[[#This Row],[Fuel]])</f>
        <v/>
      </c>
      <c r="W176" s="174" t="str" cm="1">
        <f t="array" ref="W176">IF(Buildings_Heat_Frontend[[#This Row],[Data]]="","", _xlfn.XLOOKUP(Buildings_Heat_Backend[[#This Row],[Level 5]],rng_Level5Long,rng_Level6Long))</f>
        <v/>
      </c>
      <c r="X176" s="174" t="str">
        <f>IF(Buildings_Heat_Frontend[[#This Row],[Data]]="","", Buildings_Heat_Frontend[[#This Row],[Site Name]])</f>
        <v/>
      </c>
      <c r="Y176" s="174" t="str">
        <f>IF(Buildings_Heat_Frontend[[#This Row],[Data]]="","", Buildings_Heat_Frontend[[#This Row],[MPRN]])</f>
        <v/>
      </c>
      <c r="Z176" s="174" t="str">
        <f>IF(Buildings_Heat_Frontend[[#This Row],[Data]]="","", IF($I176="","",$I176))</f>
        <v/>
      </c>
      <c r="AA176" s="229" t="str" cm="1">
        <f t="array" ref="AA176">IF(Buildings_Heat_Frontend[[#This Row],[Data]]="","", INDEX(_xlfn.SWITCH(Buildings_Heat_Backend[[#This Row],[Methodology]],"Tier 1",rng_RSD1,"Tier 2",rng_RSD2,"Tier 3",rng_RSD3),MATCH(_xlfn.CONCAT(Buildings_Heat_Backend[[#This Row],[Level 1]:[Level 6]]),rng_LevelsConcat,0)))</f>
        <v/>
      </c>
      <c r="AB176" s="220" t="str">
        <f t="shared" si="7"/>
        <v/>
      </c>
      <c r="AC176" s="174">
        <f>Buildings_Heat_Frontend[[#This Row],[Units]]</f>
        <v>0</v>
      </c>
      <c r="AD17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6" s="174" t="str">
        <f>IF(Buildings_Heat_Frontend[[#This Row],[Data]]="","", _xlfn.XLOOKUP(_xlfn.CONCAT(Buildings_Heat_Backend[[#This Row],[Level 1]:[Level 6]]),rng_LevelsConcat,rng_UnitsLong))</f>
        <v/>
      </c>
      <c r="AF176" s="210" t="str">
        <f>IF(Buildings_Heat_Frontend[[#This Row],[Data]]="","", _xlfn.XLOOKUP(_xlfn.CONCAT(Buildings_Heat_Backend[[#This Row],[Level 1]:[Level 6]]),rng_EFConcat,rng_EF1)*Buildings_Heat_Backend[[#This Row],[Converted data]]/1000)</f>
        <v/>
      </c>
      <c r="AG176" s="210" t="str">
        <f>IF(Buildings_Heat_Frontend[[#This Row],[Data]]="","", _xlfn.XLOOKUP(_xlfn.CONCAT(Buildings_Heat_Backend[[#This Row],[Level 1]:[Level 6]]),rng_EFConcat,rng_EF2)*Buildings_Heat_Backend[[#This Row],[Converted data]]/1000)</f>
        <v/>
      </c>
      <c r="AH176" s="210" t="str">
        <f>IF(Buildings_Heat_Frontend[[#This Row],[Data]]="","", _xlfn.XLOOKUP(_xlfn.CONCAT(Buildings_Heat_Backend[[#This Row],[Level 1]:[Level 6]]),rng_EFConcat,rng_EF3)*Buildings_Heat_Backend[[#This Row],[Converted data]]/1000)</f>
        <v/>
      </c>
      <c r="AI176" s="210" t="str">
        <f>IF(Buildings_Heat_Frontend[[#This Row],[Data]]="","", _xlfn.XLOOKUP(_xlfn.CONCAT(Buildings_Heat_Backend[[#This Row],[Level 1]:[Level 6]]),rng_EFConcat,rng_EF3WTT)*Buildings_Heat_Backend[[#This Row],[Converted data]]/1000)</f>
        <v/>
      </c>
      <c r="AJ176" s="210" t="str">
        <f>IF(Buildings_Heat_Frontend[[#This Row],[Data]]="","", _xlfn.XLOOKUP(_xlfn.CONCAT(Buildings_Heat_Backend[[#This Row],[Level 1]:[Level 6]]),rng_EFConcat,rng_EF3TD)*Buildings_Heat_Backend[[#This Row],[Converted data]]/1000)</f>
        <v/>
      </c>
      <c r="AK176" s="210" t="str">
        <f>IF(Buildings_Heat_Frontend[[#This Row],[Data]]="","", _xlfn.XLOOKUP(_xlfn.CONCAT(Buildings_Heat_Backend[[#This Row],[Level 1]:[Level 6]]),rng_EFConcat,rng_EF3WTTTD)*Buildings_Heat_Backend[[#This Row],[Converted data]]/1000)</f>
        <v/>
      </c>
      <c r="AL176" s="220">
        <f>SUM(Buildings_Heat_Backend[[#This Row],[Scope 1 (tCO2e)]:[Scope 3 WTT T&amp;D (tCO2e)]])</f>
        <v>0</v>
      </c>
      <c r="AM176" s="220" t="str">
        <f>IF(Buildings_Heat_Frontend[[#This Row],[Data]]="","", Buildings_Heat_Backend[[#This Row],[Total (tCO2e)]]*(1-Buildings_Heat_Backend[[#This Row],[RSD]]))</f>
        <v/>
      </c>
      <c r="AN176" s="220" t="str">
        <f>IF(Buildings_Heat_Frontend[[#This Row],[Data]]="","", Buildings_Heat_Backend[[#This Row],[Total (tCO2e)]]*(1+Buildings_Heat_Backend[[#This Row],[RSD]]))</f>
        <v/>
      </c>
      <c r="AO176" s="210" t="str">
        <f>IF(Buildings_Heat_Frontend[[#This Row],[Data]]="","", _xlfn.XLOOKUP(_xlfn.CONCAT(Buildings_Heat_Backend[[#This Row],[Level 1]:[Level 6]]),rng_EFConcat,rng_EFOOS)*Buildings_Heat_Backend[[#This Row],[Converted data]]/1000)</f>
        <v/>
      </c>
      <c r="AP176" s="174">
        <f>Buildings_Heat_Frontend[[#This Row],[Ease of collection]]</f>
        <v>0</v>
      </c>
      <c r="AQ176" s="174">
        <f>Buildings_Heat_Frontend[[#This Row],[Completeness]]</f>
        <v>0</v>
      </c>
      <c r="AR176" s="174">
        <f>Buildings_Heat_Frontend[[#This Row],[Notes]]</f>
        <v>0</v>
      </c>
    </row>
    <row r="177" spans="5:44" x14ac:dyDescent="0.3">
      <c r="E177" s="346"/>
      <c r="F177" s="364"/>
      <c r="G177" s="336"/>
      <c r="H177" s="336"/>
      <c r="I177" s="336"/>
      <c r="J177" s="334"/>
      <c r="K177" s="336"/>
      <c r="L177" s="336"/>
      <c r="M177" s="336"/>
      <c r="N177" s="352"/>
      <c r="O177" s="230">
        <f t="shared" si="8"/>
        <v>6</v>
      </c>
      <c r="Q177" s="212" t="str">
        <f t="shared" si="6"/>
        <v/>
      </c>
      <c r="R177" s="174" t="s">
        <v>265</v>
      </c>
      <c r="S177" s="174" t="s">
        <v>273</v>
      </c>
      <c r="T177" s="174" t="str">
        <f>IF(Buildings_Heat_Frontend[[#This Row],[Data]]="","", _xlfn.XLOOKUP(Buildings_Heat_Backend[[#This Row],[Info 1]],Buildings_SiteInfo[Site name],Buildings_SiteInfo[Site type]))</f>
        <v/>
      </c>
      <c r="U177" s="174" t="str">
        <f>IF(Buildings_Heat_Frontend[[#This Row],[Data]]="","", Buildings_Heat_Frontend[[#This Row],[Heating Type]])</f>
        <v/>
      </c>
      <c r="V177" s="174" t="str">
        <f>IF(Buildings_Heat_Frontend[[#This Row],[Data]]="","", Buildings_Heat_Frontend[[#This Row],[Fuel]])</f>
        <v/>
      </c>
      <c r="W177" s="174" t="str" cm="1">
        <f t="array" ref="W177">IF(Buildings_Heat_Frontend[[#This Row],[Data]]="","", _xlfn.XLOOKUP(Buildings_Heat_Backend[[#This Row],[Level 5]],rng_Level5Long,rng_Level6Long))</f>
        <v/>
      </c>
      <c r="X177" s="174" t="str">
        <f>IF(Buildings_Heat_Frontend[[#This Row],[Data]]="","", Buildings_Heat_Frontend[[#This Row],[Site Name]])</f>
        <v/>
      </c>
      <c r="Y177" s="174" t="str">
        <f>IF(Buildings_Heat_Frontend[[#This Row],[Data]]="","", Buildings_Heat_Frontend[[#This Row],[MPRN]])</f>
        <v/>
      </c>
      <c r="Z177" s="174" t="str">
        <f>IF(Buildings_Heat_Frontend[[#This Row],[Data]]="","", IF($I177="","",$I177))</f>
        <v/>
      </c>
      <c r="AA177" s="229" t="str" cm="1">
        <f t="array" ref="AA177">IF(Buildings_Heat_Frontend[[#This Row],[Data]]="","", INDEX(_xlfn.SWITCH(Buildings_Heat_Backend[[#This Row],[Methodology]],"Tier 1",rng_RSD1,"Tier 2",rng_RSD2,"Tier 3",rng_RSD3),MATCH(_xlfn.CONCAT(Buildings_Heat_Backend[[#This Row],[Level 1]:[Level 6]]),rng_LevelsConcat,0)))</f>
        <v/>
      </c>
      <c r="AB177" s="220" t="str">
        <f t="shared" si="7"/>
        <v/>
      </c>
      <c r="AC177" s="174">
        <f>Buildings_Heat_Frontend[[#This Row],[Units]]</f>
        <v>0</v>
      </c>
      <c r="AD17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7" s="174" t="str">
        <f>IF(Buildings_Heat_Frontend[[#This Row],[Data]]="","", _xlfn.XLOOKUP(_xlfn.CONCAT(Buildings_Heat_Backend[[#This Row],[Level 1]:[Level 6]]),rng_LevelsConcat,rng_UnitsLong))</f>
        <v/>
      </c>
      <c r="AF177" s="210" t="str">
        <f>IF(Buildings_Heat_Frontend[[#This Row],[Data]]="","", _xlfn.XLOOKUP(_xlfn.CONCAT(Buildings_Heat_Backend[[#This Row],[Level 1]:[Level 6]]),rng_EFConcat,rng_EF1)*Buildings_Heat_Backend[[#This Row],[Converted data]]/1000)</f>
        <v/>
      </c>
      <c r="AG177" s="210" t="str">
        <f>IF(Buildings_Heat_Frontend[[#This Row],[Data]]="","", _xlfn.XLOOKUP(_xlfn.CONCAT(Buildings_Heat_Backend[[#This Row],[Level 1]:[Level 6]]),rng_EFConcat,rng_EF2)*Buildings_Heat_Backend[[#This Row],[Converted data]]/1000)</f>
        <v/>
      </c>
      <c r="AH177" s="210" t="str">
        <f>IF(Buildings_Heat_Frontend[[#This Row],[Data]]="","", _xlfn.XLOOKUP(_xlfn.CONCAT(Buildings_Heat_Backend[[#This Row],[Level 1]:[Level 6]]),rng_EFConcat,rng_EF3)*Buildings_Heat_Backend[[#This Row],[Converted data]]/1000)</f>
        <v/>
      </c>
      <c r="AI177" s="210" t="str">
        <f>IF(Buildings_Heat_Frontend[[#This Row],[Data]]="","", _xlfn.XLOOKUP(_xlfn.CONCAT(Buildings_Heat_Backend[[#This Row],[Level 1]:[Level 6]]),rng_EFConcat,rng_EF3WTT)*Buildings_Heat_Backend[[#This Row],[Converted data]]/1000)</f>
        <v/>
      </c>
      <c r="AJ177" s="210" t="str">
        <f>IF(Buildings_Heat_Frontend[[#This Row],[Data]]="","", _xlfn.XLOOKUP(_xlfn.CONCAT(Buildings_Heat_Backend[[#This Row],[Level 1]:[Level 6]]),rng_EFConcat,rng_EF3TD)*Buildings_Heat_Backend[[#This Row],[Converted data]]/1000)</f>
        <v/>
      </c>
      <c r="AK177" s="210" t="str">
        <f>IF(Buildings_Heat_Frontend[[#This Row],[Data]]="","", _xlfn.XLOOKUP(_xlfn.CONCAT(Buildings_Heat_Backend[[#This Row],[Level 1]:[Level 6]]),rng_EFConcat,rng_EF3WTTTD)*Buildings_Heat_Backend[[#This Row],[Converted data]]/1000)</f>
        <v/>
      </c>
      <c r="AL177" s="220">
        <f>SUM(Buildings_Heat_Backend[[#This Row],[Scope 1 (tCO2e)]:[Scope 3 WTT T&amp;D (tCO2e)]])</f>
        <v>0</v>
      </c>
      <c r="AM177" s="220" t="str">
        <f>IF(Buildings_Heat_Frontend[[#This Row],[Data]]="","", Buildings_Heat_Backend[[#This Row],[Total (tCO2e)]]*(1-Buildings_Heat_Backend[[#This Row],[RSD]]))</f>
        <v/>
      </c>
      <c r="AN177" s="220" t="str">
        <f>IF(Buildings_Heat_Frontend[[#This Row],[Data]]="","", Buildings_Heat_Backend[[#This Row],[Total (tCO2e)]]*(1+Buildings_Heat_Backend[[#This Row],[RSD]]))</f>
        <v/>
      </c>
      <c r="AO177" s="210" t="str">
        <f>IF(Buildings_Heat_Frontend[[#This Row],[Data]]="","", _xlfn.XLOOKUP(_xlfn.CONCAT(Buildings_Heat_Backend[[#This Row],[Level 1]:[Level 6]]),rng_EFConcat,rng_EFOOS)*Buildings_Heat_Backend[[#This Row],[Converted data]]/1000)</f>
        <v/>
      </c>
      <c r="AP177" s="174">
        <f>Buildings_Heat_Frontend[[#This Row],[Ease of collection]]</f>
        <v>0</v>
      </c>
      <c r="AQ177" s="174">
        <f>Buildings_Heat_Frontend[[#This Row],[Completeness]]</f>
        <v>0</v>
      </c>
      <c r="AR177" s="174">
        <f>Buildings_Heat_Frontend[[#This Row],[Notes]]</f>
        <v>0</v>
      </c>
    </row>
    <row r="178" spans="5:44" x14ac:dyDescent="0.3">
      <c r="E178" s="346"/>
      <c r="F178" s="364"/>
      <c r="G178" s="336"/>
      <c r="H178" s="336"/>
      <c r="I178" s="336"/>
      <c r="J178" s="334"/>
      <c r="K178" s="336"/>
      <c r="L178" s="336"/>
      <c r="M178" s="336"/>
      <c r="N178" s="352"/>
      <c r="O178" s="230">
        <f t="shared" si="8"/>
        <v>6</v>
      </c>
      <c r="Q178" s="212" t="str">
        <f t="shared" si="6"/>
        <v/>
      </c>
      <c r="R178" s="174" t="s">
        <v>265</v>
      </c>
      <c r="S178" s="174" t="s">
        <v>273</v>
      </c>
      <c r="T178" s="174" t="str">
        <f>IF(Buildings_Heat_Frontend[[#This Row],[Data]]="","", _xlfn.XLOOKUP(Buildings_Heat_Backend[[#This Row],[Info 1]],Buildings_SiteInfo[Site name],Buildings_SiteInfo[Site type]))</f>
        <v/>
      </c>
      <c r="U178" s="174" t="str">
        <f>IF(Buildings_Heat_Frontend[[#This Row],[Data]]="","", Buildings_Heat_Frontend[[#This Row],[Heating Type]])</f>
        <v/>
      </c>
      <c r="V178" s="174" t="str">
        <f>IF(Buildings_Heat_Frontend[[#This Row],[Data]]="","", Buildings_Heat_Frontend[[#This Row],[Fuel]])</f>
        <v/>
      </c>
      <c r="W178" s="174" t="str" cm="1">
        <f t="array" ref="W178">IF(Buildings_Heat_Frontend[[#This Row],[Data]]="","", _xlfn.XLOOKUP(Buildings_Heat_Backend[[#This Row],[Level 5]],rng_Level5Long,rng_Level6Long))</f>
        <v/>
      </c>
      <c r="X178" s="174" t="str">
        <f>IF(Buildings_Heat_Frontend[[#This Row],[Data]]="","", Buildings_Heat_Frontend[[#This Row],[Site Name]])</f>
        <v/>
      </c>
      <c r="Y178" s="174" t="str">
        <f>IF(Buildings_Heat_Frontend[[#This Row],[Data]]="","", Buildings_Heat_Frontend[[#This Row],[MPRN]])</f>
        <v/>
      </c>
      <c r="Z178" s="174" t="str">
        <f>IF(Buildings_Heat_Frontend[[#This Row],[Data]]="","", IF($I178="","",$I178))</f>
        <v/>
      </c>
      <c r="AA178" s="229" t="str" cm="1">
        <f t="array" ref="AA178">IF(Buildings_Heat_Frontend[[#This Row],[Data]]="","", INDEX(_xlfn.SWITCH(Buildings_Heat_Backend[[#This Row],[Methodology]],"Tier 1",rng_RSD1,"Tier 2",rng_RSD2,"Tier 3",rng_RSD3),MATCH(_xlfn.CONCAT(Buildings_Heat_Backend[[#This Row],[Level 1]:[Level 6]]),rng_LevelsConcat,0)))</f>
        <v/>
      </c>
      <c r="AB178" s="220" t="str">
        <f t="shared" si="7"/>
        <v/>
      </c>
      <c r="AC178" s="174">
        <f>Buildings_Heat_Frontend[[#This Row],[Units]]</f>
        <v>0</v>
      </c>
      <c r="AD17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8" s="174" t="str">
        <f>IF(Buildings_Heat_Frontend[[#This Row],[Data]]="","", _xlfn.XLOOKUP(_xlfn.CONCAT(Buildings_Heat_Backend[[#This Row],[Level 1]:[Level 6]]),rng_LevelsConcat,rng_UnitsLong))</f>
        <v/>
      </c>
      <c r="AF178" s="210" t="str">
        <f>IF(Buildings_Heat_Frontend[[#This Row],[Data]]="","", _xlfn.XLOOKUP(_xlfn.CONCAT(Buildings_Heat_Backend[[#This Row],[Level 1]:[Level 6]]),rng_EFConcat,rng_EF1)*Buildings_Heat_Backend[[#This Row],[Converted data]]/1000)</f>
        <v/>
      </c>
      <c r="AG178" s="210" t="str">
        <f>IF(Buildings_Heat_Frontend[[#This Row],[Data]]="","", _xlfn.XLOOKUP(_xlfn.CONCAT(Buildings_Heat_Backend[[#This Row],[Level 1]:[Level 6]]),rng_EFConcat,rng_EF2)*Buildings_Heat_Backend[[#This Row],[Converted data]]/1000)</f>
        <v/>
      </c>
      <c r="AH178" s="210" t="str">
        <f>IF(Buildings_Heat_Frontend[[#This Row],[Data]]="","", _xlfn.XLOOKUP(_xlfn.CONCAT(Buildings_Heat_Backend[[#This Row],[Level 1]:[Level 6]]),rng_EFConcat,rng_EF3)*Buildings_Heat_Backend[[#This Row],[Converted data]]/1000)</f>
        <v/>
      </c>
      <c r="AI178" s="210" t="str">
        <f>IF(Buildings_Heat_Frontend[[#This Row],[Data]]="","", _xlfn.XLOOKUP(_xlfn.CONCAT(Buildings_Heat_Backend[[#This Row],[Level 1]:[Level 6]]),rng_EFConcat,rng_EF3WTT)*Buildings_Heat_Backend[[#This Row],[Converted data]]/1000)</f>
        <v/>
      </c>
      <c r="AJ178" s="210" t="str">
        <f>IF(Buildings_Heat_Frontend[[#This Row],[Data]]="","", _xlfn.XLOOKUP(_xlfn.CONCAT(Buildings_Heat_Backend[[#This Row],[Level 1]:[Level 6]]),rng_EFConcat,rng_EF3TD)*Buildings_Heat_Backend[[#This Row],[Converted data]]/1000)</f>
        <v/>
      </c>
      <c r="AK178" s="210" t="str">
        <f>IF(Buildings_Heat_Frontend[[#This Row],[Data]]="","", _xlfn.XLOOKUP(_xlfn.CONCAT(Buildings_Heat_Backend[[#This Row],[Level 1]:[Level 6]]),rng_EFConcat,rng_EF3WTTTD)*Buildings_Heat_Backend[[#This Row],[Converted data]]/1000)</f>
        <v/>
      </c>
      <c r="AL178" s="220">
        <f>SUM(Buildings_Heat_Backend[[#This Row],[Scope 1 (tCO2e)]:[Scope 3 WTT T&amp;D (tCO2e)]])</f>
        <v>0</v>
      </c>
      <c r="AM178" s="220" t="str">
        <f>IF(Buildings_Heat_Frontend[[#This Row],[Data]]="","", Buildings_Heat_Backend[[#This Row],[Total (tCO2e)]]*(1-Buildings_Heat_Backend[[#This Row],[RSD]]))</f>
        <v/>
      </c>
      <c r="AN178" s="220" t="str">
        <f>IF(Buildings_Heat_Frontend[[#This Row],[Data]]="","", Buildings_Heat_Backend[[#This Row],[Total (tCO2e)]]*(1+Buildings_Heat_Backend[[#This Row],[RSD]]))</f>
        <v/>
      </c>
      <c r="AO178" s="210" t="str">
        <f>IF(Buildings_Heat_Frontend[[#This Row],[Data]]="","", _xlfn.XLOOKUP(_xlfn.CONCAT(Buildings_Heat_Backend[[#This Row],[Level 1]:[Level 6]]),rng_EFConcat,rng_EFOOS)*Buildings_Heat_Backend[[#This Row],[Converted data]]/1000)</f>
        <v/>
      </c>
      <c r="AP178" s="174">
        <f>Buildings_Heat_Frontend[[#This Row],[Ease of collection]]</f>
        <v>0</v>
      </c>
      <c r="AQ178" s="174">
        <f>Buildings_Heat_Frontend[[#This Row],[Completeness]]</f>
        <v>0</v>
      </c>
      <c r="AR178" s="174">
        <f>Buildings_Heat_Frontend[[#This Row],[Notes]]</f>
        <v>0</v>
      </c>
    </row>
    <row r="179" spans="5:44" x14ac:dyDescent="0.3">
      <c r="E179" s="346"/>
      <c r="F179" s="364"/>
      <c r="G179" s="336"/>
      <c r="H179" s="336"/>
      <c r="I179" s="336"/>
      <c r="J179" s="334"/>
      <c r="K179" s="336"/>
      <c r="L179" s="336"/>
      <c r="M179" s="336"/>
      <c r="N179" s="352"/>
      <c r="O179" s="230">
        <f t="shared" si="8"/>
        <v>6</v>
      </c>
      <c r="Q179" s="212" t="str">
        <f t="shared" si="6"/>
        <v/>
      </c>
      <c r="R179" s="174" t="s">
        <v>265</v>
      </c>
      <c r="S179" s="174" t="s">
        <v>273</v>
      </c>
      <c r="T179" s="174" t="str">
        <f>IF(Buildings_Heat_Frontend[[#This Row],[Data]]="","", _xlfn.XLOOKUP(Buildings_Heat_Backend[[#This Row],[Info 1]],Buildings_SiteInfo[Site name],Buildings_SiteInfo[Site type]))</f>
        <v/>
      </c>
      <c r="U179" s="174" t="str">
        <f>IF(Buildings_Heat_Frontend[[#This Row],[Data]]="","", Buildings_Heat_Frontend[[#This Row],[Heating Type]])</f>
        <v/>
      </c>
      <c r="V179" s="174" t="str">
        <f>IF(Buildings_Heat_Frontend[[#This Row],[Data]]="","", Buildings_Heat_Frontend[[#This Row],[Fuel]])</f>
        <v/>
      </c>
      <c r="W179" s="174" t="str" cm="1">
        <f t="array" ref="W179">IF(Buildings_Heat_Frontend[[#This Row],[Data]]="","", _xlfn.XLOOKUP(Buildings_Heat_Backend[[#This Row],[Level 5]],rng_Level5Long,rng_Level6Long))</f>
        <v/>
      </c>
      <c r="X179" s="174" t="str">
        <f>IF(Buildings_Heat_Frontend[[#This Row],[Data]]="","", Buildings_Heat_Frontend[[#This Row],[Site Name]])</f>
        <v/>
      </c>
      <c r="Y179" s="174" t="str">
        <f>IF(Buildings_Heat_Frontend[[#This Row],[Data]]="","", Buildings_Heat_Frontend[[#This Row],[MPRN]])</f>
        <v/>
      </c>
      <c r="Z179" s="174" t="str">
        <f>IF(Buildings_Heat_Frontend[[#This Row],[Data]]="","", IF($I179="","",$I179))</f>
        <v/>
      </c>
      <c r="AA179" s="229" t="str" cm="1">
        <f t="array" ref="AA179">IF(Buildings_Heat_Frontend[[#This Row],[Data]]="","", INDEX(_xlfn.SWITCH(Buildings_Heat_Backend[[#This Row],[Methodology]],"Tier 1",rng_RSD1,"Tier 2",rng_RSD2,"Tier 3",rng_RSD3),MATCH(_xlfn.CONCAT(Buildings_Heat_Backend[[#This Row],[Level 1]:[Level 6]]),rng_LevelsConcat,0)))</f>
        <v/>
      </c>
      <c r="AB179" s="220" t="str">
        <f t="shared" si="7"/>
        <v/>
      </c>
      <c r="AC179" s="174">
        <f>Buildings_Heat_Frontend[[#This Row],[Units]]</f>
        <v>0</v>
      </c>
      <c r="AD17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79" s="174" t="str">
        <f>IF(Buildings_Heat_Frontend[[#This Row],[Data]]="","", _xlfn.XLOOKUP(_xlfn.CONCAT(Buildings_Heat_Backend[[#This Row],[Level 1]:[Level 6]]),rng_LevelsConcat,rng_UnitsLong))</f>
        <v/>
      </c>
      <c r="AF179" s="210" t="str">
        <f>IF(Buildings_Heat_Frontend[[#This Row],[Data]]="","", _xlfn.XLOOKUP(_xlfn.CONCAT(Buildings_Heat_Backend[[#This Row],[Level 1]:[Level 6]]),rng_EFConcat,rng_EF1)*Buildings_Heat_Backend[[#This Row],[Converted data]]/1000)</f>
        <v/>
      </c>
      <c r="AG179" s="210" t="str">
        <f>IF(Buildings_Heat_Frontend[[#This Row],[Data]]="","", _xlfn.XLOOKUP(_xlfn.CONCAT(Buildings_Heat_Backend[[#This Row],[Level 1]:[Level 6]]),rng_EFConcat,rng_EF2)*Buildings_Heat_Backend[[#This Row],[Converted data]]/1000)</f>
        <v/>
      </c>
      <c r="AH179" s="210" t="str">
        <f>IF(Buildings_Heat_Frontend[[#This Row],[Data]]="","", _xlfn.XLOOKUP(_xlfn.CONCAT(Buildings_Heat_Backend[[#This Row],[Level 1]:[Level 6]]),rng_EFConcat,rng_EF3)*Buildings_Heat_Backend[[#This Row],[Converted data]]/1000)</f>
        <v/>
      </c>
      <c r="AI179" s="210" t="str">
        <f>IF(Buildings_Heat_Frontend[[#This Row],[Data]]="","", _xlfn.XLOOKUP(_xlfn.CONCAT(Buildings_Heat_Backend[[#This Row],[Level 1]:[Level 6]]),rng_EFConcat,rng_EF3WTT)*Buildings_Heat_Backend[[#This Row],[Converted data]]/1000)</f>
        <v/>
      </c>
      <c r="AJ179" s="210" t="str">
        <f>IF(Buildings_Heat_Frontend[[#This Row],[Data]]="","", _xlfn.XLOOKUP(_xlfn.CONCAT(Buildings_Heat_Backend[[#This Row],[Level 1]:[Level 6]]),rng_EFConcat,rng_EF3TD)*Buildings_Heat_Backend[[#This Row],[Converted data]]/1000)</f>
        <v/>
      </c>
      <c r="AK179" s="210" t="str">
        <f>IF(Buildings_Heat_Frontend[[#This Row],[Data]]="","", _xlfn.XLOOKUP(_xlfn.CONCAT(Buildings_Heat_Backend[[#This Row],[Level 1]:[Level 6]]),rng_EFConcat,rng_EF3WTTTD)*Buildings_Heat_Backend[[#This Row],[Converted data]]/1000)</f>
        <v/>
      </c>
      <c r="AL179" s="220">
        <f>SUM(Buildings_Heat_Backend[[#This Row],[Scope 1 (tCO2e)]:[Scope 3 WTT T&amp;D (tCO2e)]])</f>
        <v>0</v>
      </c>
      <c r="AM179" s="220" t="str">
        <f>IF(Buildings_Heat_Frontend[[#This Row],[Data]]="","", Buildings_Heat_Backend[[#This Row],[Total (tCO2e)]]*(1-Buildings_Heat_Backend[[#This Row],[RSD]]))</f>
        <v/>
      </c>
      <c r="AN179" s="220" t="str">
        <f>IF(Buildings_Heat_Frontend[[#This Row],[Data]]="","", Buildings_Heat_Backend[[#This Row],[Total (tCO2e)]]*(1+Buildings_Heat_Backend[[#This Row],[RSD]]))</f>
        <v/>
      </c>
      <c r="AO179" s="210" t="str">
        <f>IF(Buildings_Heat_Frontend[[#This Row],[Data]]="","", _xlfn.XLOOKUP(_xlfn.CONCAT(Buildings_Heat_Backend[[#This Row],[Level 1]:[Level 6]]),rng_EFConcat,rng_EFOOS)*Buildings_Heat_Backend[[#This Row],[Converted data]]/1000)</f>
        <v/>
      </c>
      <c r="AP179" s="174">
        <f>Buildings_Heat_Frontend[[#This Row],[Ease of collection]]</f>
        <v>0</v>
      </c>
      <c r="AQ179" s="174">
        <f>Buildings_Heat_Frontend[[#This Row],[Completeness]]</f>
        <v>0</v>
      </c>
      <c r="AR179" s="174">
        <f>Buildings_Heat_Frontend[[#This Row],[Notes]]</f>
        <v>0</v>
      </c>
    </row>
    <row r="180" spans="5:44" x14ac:dyDescent="0.3">
      <c r="E180" s="346"/>
      <c r="F180" s="364"/>
      <c r="G180" s="336"/>
      <c r="H180" s="336"/>
      <c r="I180" s="336"/>
      <c r="J180" s="334"/>
      <c r="K180" s="336"/>
      <c r="L180" s="336"/>
      <c r="M180" s="336"/>
      <c r="N180" s="352"/>
      <c r="O180" s="230">
        <f t="shared" si="8"/>
        <v>6</v>
      </c>
      <c r="Q180" s="212" t="str">
        <f t="shared" si="6"/>
        <v/>
      </c>
      <c r="R180" s="174" t="s">
        <v>265</v>
      </c>
      <c r="S180" s="174" t="s">
        <v>273</v>
      </c>
      <c r="T180" s="174" t="str">
        <f>IF(Buildings_Heat_Frontend[[#This Row],[Data]]="","", _xlfn.XLOOKUP(Buildings_Heat_Backend[[#This Row],[Info 1]],Buildings_SiteInfo[Site name],Buildings_SiteInfo[Site type]))</f>
        <v/>
      </c>
      <c r="U180" s="174" t="str">
        <f>IF(Buildings_Heat_Frontend[[#This Row],[Data]]="","", Buildings_Heat_Frontend[[#This Row],[Heating Type]])</f>
        <v/>
      </c>
      <c r="V180" s="174" t="str">
        <f>IF(Buildings_Heat_Frontend[[#This Row],[Data]]="","", Buildings_Heat_Frontend[[#This Row],[Fuel]])</f>
        <v/>
      </c>
      <c r="W180" s="174" t="str" cm="1">
        <f t="array" ref="W180">IF(Buildings_Heat_Frontend[[#This Row],[Data]]="","", _xlfn.XLOOKUP(Buildings_Heat_Backend[[#This Row],[Level 5]],rng_Level5Long,rng_Level6Long))</f>
        <v/>
      </c>
      <c r="X180" s="174" t="str">
        <f>IF(Buildings_Heat_Frontend[[#This Row],[Data]]="","", Buildings_Heat_Frontend[[#This Row],[Site Name]])</f>
        <v/>
      </c>
      <c r="Y180" s="174" t="str">
        <f>IF(Buildings_Heat_Frontend[[#This Row],[Data]]="","", Buildings_Heat_Frontend[[#This Row],[MPRN]])</f>
        <v/>
      </c>
      <c r="Z180" s="174" t="str">
        <f>IF(Buildings_Heat_Frontend[[#This Row],[Data]]="","", IF($I180="","",$I180))</f>
        <v/>
      </c>
      <c r="AA180" s="229" t="str" cm="1">
        <f t="array" ref="AA180">IF(Buildings_Heat_Frontend[[#This Row],[Data]]="","", INDEX(_xlfn.SWITCH(Buildings_Heat_Backend[[#This Row],[Methodology]],"Tier 1",rng_RSD1,"Tier 2",rng_RSD2,"Tier 3",rng_RSD3),MATCH(_xlfn.CONCAT(Buildings_Heat_Backend[[#This Row],[Level 1]:[Level 6]]),rng_LevelsConcat,0)))</f>
        <v/>
      </c>
      <c r="AB180" s="220" t="str">
        <f t="shared" si="7"/>
        <v/>
      </c>
      <c r="AC180" s="174">
        <f>Buildings_Heat_Frontend[[#This Row],[Units]]</f>
        <v>0</v>
      </c>
      <c r="AD18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0" s="174" t="str">
        <f>IF(Buildings_Heat_Frontend[[#This Row],[Data]]="","", _xlfn.XLOOKUP(_xlfn.CONCAT(Buildings_Heat_Backend[[#This Row],[Level 1]:[Level 6]]),rng_LevelsConcat,rng_UnitsLong))</f>
        <v/>
      </c>
      <c r="AF180" s="210" t="str">
        <f>IF(Buildings_Heat_Frontend[[#This Row],[Data]]="","", _xlfn.XLOOKUP(_xlfn.CONCAT(Buildings_Heat_Backend[[#This Row],[Level 1]:[Level 6]]),rng_EFConcat,rng_EF1)*Buildings_Heat_Backend[[#This Row],[Converted data]]/1000)</f>
        <v/>
      </c>
      <c r="AG180" s="210" t="str">
        <f>IF(Buildings_Heat_Frontend[[#This Row],[Data]]="","", _xlfn.XLOOKUP(_xlfn.CONCAT(Buildings_Heat_Backend[[#This Row],[Level 1]:[Level 6]]),rng_EFConcat,rng_EF2)*Buildings_Heat_Backend[[#This Row],[Converted data]]/1000)</f>
        <v/>
      </c>
      <c r="AH180" s="210" t="str">
        <f>IF(Buildings_Heat_Frontend[[#This Row],[Data]]="","", _xlfn.XLOOKUP(_xlfn.CONCAT(Buildings_Heat_Backend[[#This Row],[Level 1]:[Level 6]]),rng_EFConcat,rng_EF3)*Buildings_Heat_Backend[[#This Row],[Converted data]]/1000)</f>
        <v/>
      </c>
      <c r="AI180" s="210" t="str">
        <f>IF(Buildings_Heat_Frontend[[#This Row],[Data]]="","", _xlfn.XLOOKUP(_xlfn.CONCAT(Buildings_Heat_Backend[[#This Row],[Level 1]:[Level 6]]),rng_EFConcat,rng_EF3WTT)*Buildings_Heat_Backend[[#This Row],[Converted data]]/1000)</f>
        <v/>
      </c>
      <c r="AJ180" s="210" t="str">
        <f>IF(Buildings_Heat_Frontend[[#This Row],[Data]]="","", _xlfn.XLOOKUP(_xlfn.CONCAT(Buildings_Heat_Backend[[#This Row],[Level 1]:[Level 6]]),rng_EFConcat,rng_EF3TD)*Buildings_Heat_Backend[[#This Row],[Converted data]]/1000)</f>
        <v/>
      </c>
      <c r="AK180" s="210" t="str">
        <f>IF(Buildings_Heat_Frontend[[#This Row],[Data]]="","", _xlfn.XLOOKUP(_xlfn.CONCAT(Buildings_Heat_Backend[[#This Row],[Level 1]:[Level 6]]),rng_EFConcat,rng_EF3WTTTD)*Buildings_Heat_Backend[[#This Row],[Converted data]]/1000)</f>
        <v/>
      </c>
      <c r="AL180" s="220">
        <f>SUM(Buildings_Heat_Backend[[#This Row],[Scope 1 (tCO2e)]:[Scope 3 WTT T&amp;D (tCO2e)]])</f>
        <v>0</v>
      </c>
      <c r="AM180" s="220" t="str">
        <f>IF(Buildings_Heat_Frontend[[#This Row],[Data]]="","", Buildings_Heat_Backend[[#This Row],[Total (tCO2e)]]*(1-Buildings_Heat_Backend[[#This Row],[RSD]]))</f>
        <v/>
      </c>
      <c r="AN180" s="220" t="str">
        <f>IF(Buildings_Heat_Frontend[[#This Row],[Data]]="","", Buildings_Heat_Backend[[#This Row],[Total (tCO2e)]]*(1+Buildings_Heat_Backend[[#This Row],[RSD]]))</f>
        <v/>
      </c>
      <c r="AO180" s="210" t="str">
        <f>IF(Buildings_Heat_Frontend[[#This Row],[Data]]="","", _xlfn.XLOOKUP(_xlfn.CONCAT(Buildings_Heat_Backend[[#This Row],[Level 1]:[Level 6]]),rng_EFConcat,rng_EFOOS)*Buildings_Heat_Backend[[#This Row],[Converted data]]/1000)</f>
        <v/>
      </c>
      <c r="AP180" s="174">
        <f>Buildings_Heat_Frontend[[#This Row],[Ease of collection]]</f>
        <v>0</v>
      </c>
      <c r="AQ180" s="174">
        <f>Buildings_Heat_Frontend[[#This Row],[Completeness]]</f>
        <v>0</v>
      </c>
      <c r="AR180" s="174">
        <f>Buildings_Heat_Frontend[[#This Row],[Notes]]</f>
        <v>0</v>
      </c>
    </row>
    <row r="181" spans="5:44" x14ac:dyDescent="0.3">
      <c r="E181" s="346"/>
      <c r="F181" s="364"/>
      <c r="G181" s="336"/>
      <c r="H181" s="336"/>
      <c r="I181" s="336"/>
      <c r="J181" s="334"/>
      <c r="K181" s="336"/>
      <c r="L181" s="336"/>
      <c r="M181" s="336"/>
      <c r="N181" s="352"/>
      <c r="O181" s="230">
        <f t="shared" si="8"/>
        <v>6</v>
      </c>
      <c r="Q181" s="212" t="str">
        <f t="shared" si="6"/>
        <v/>
      </c>
      <c r="R181" s="174" t="s">
        <v>265</v>
      </c>
      <c r="S181" s="174" t="s">
        <v>273</v>
      </c>
      <c r="T181" s="174" t="str">
        <f>IF(Buildings_Heat_Frontend[[#This Row],[Data]]="","", _xlfn.XLOOKUP(Buildings_Heat_Backend[[#This Row],[Info 1]],Buildings_SiteInfo[Site name],Buildings_SiteInfo[Site type]))</f>
        <v/>
      </c>
      <c r="U181" s="174" t="str">
        <f>IF(Buildings_Heat_Frontend[[#This Row],[Data]]="","", Buildings_Heat_Frontend[[#This Row],[Heating Type]])</f>
        <v/>
      </c>
      <c r="V181" s="174" t="str">
        <f>IF(Buildings_Heat_Frontend[[#This Row],[Data]]="","", Buildings_Heat_Frontend[[#This Row],[Fuel]])</f>
        <v/>
      </c>
      <c r="W181" s="174" t="str" cm="1">
        <f t="array" ref="W181">IF(Buildings_Heat_Frontend[[#This Row],[Data]]="","", _xlfn.XLOOKUP(Buildings_Heat_Backend[[#This Row],[Level 5]],rng_Level5Long,rng_Level6Long))</f>
        <v/>
      </c>
      <c r="X181" s="174" t="str">
        <f>IF(Buildings_Heat_Frontend[[#This Row],[Data]]="","", Buildings_Heat_Frontend[[#This Row],[Site Name]])</f>
        <v/>
      </c>
      <c r="Y181" s="174" t="str">
        <f>IF(Buildings_Heat_Frontend[[#This Row],[Data]]="","", Buildings_Heat_Frontend[[#This Row],[MPRN]])</f>
        <v/>
      </c>
      <c r="Z181" s="174" t="str">
        <f>IF(Buildings_Heat_Frontend[[#This Row],[Data]]="","", IF($I181="","",$I181))</f>
        <v/>
      </c>
      <c r="AA181" s="229" t="str" cm="1">
        <f t="array" ref="AA181">IF(Buildings_Heat_Frontend[[#This Row],[Data]]="","", INDEX(_xlfn.SWITCH(Buildings_Heat_Backend[[#This Row],[Methodology]],"Tier 1",rng_RSD1,"Tier 2",rng_RSD2,"Tier 3",rng_RSD3),MATCH(_xlfn.CONCAT(Buildings_Heat_Backend[[#This Row],[Level 1]:[Level 6]]),rng_LevelsConcat,0)))</f>
        <v/>
      </c>
      <c r="AB181" s="220" t="str">
        <f t="shared" si="7"/>
        <v/>
      </c>
      <c r="AC181" s="174">
        <f>Buildings_Heat_Frontend[[#This Row],[Units]]</f>
        <v>0</v>
      </c>
      <c r="AD18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1" s="174" t="str">
        <f>IF(Buildings_Heat_Frontend[[#This Row],[Data]]="","", _xlfn.XLOOKUP(_xlfn.CONCAT(Buildings_Heat_Backend[[#This Row],[Level 1]:[Level 6]]),rng_LevelsConcat,rng_UnitsLong))</f>
        <v/>
      </c>
      <c r="AF181" s="210" t="str">
        <f>IF(Buildings_Heat_Frontend[[#This Row],[Data]]="","", _xlfn.XLOOKUP(_xlfn.CONCAT(Buildings_Heat_Backend[[#This Row],[Level 1]:[Level 6]]),rng_EFConcat,rng_EF1)*Buildings_Heat_Backend[[#This Row],[Converted data]]/1000)</f>
        <v/>
      </c>
      <c r="AG181" s="210" t="str">
        <f>IF(Buildings_Heat_Frontend[[#This Row],[Data]]="","", _xlfn.XLOOKUP(_xlfn.CONCAT(Buildings_Heat_Backend[[#This Row],[Level 1]:[Level 6]]),rng_EFConcat,rng_EF2)*Buildings_Heat_Backend[[#This Row],[Converted data]]/1000)</f>
        <v/>
      </c>
      <c r="AH181" s="210" t="str">
        <f>IF(Buildings_Heat_Frontend[[#This Row],[Data]]="","", _xlfn.XLOOKUP(_xlfn.CONCAT(Buildings_Heat_Backend[[#This Row],[Level 1]:[Level 6]]),rng_EFConcat,rng_EF3)*Buildings_Heat_Backend[[#This Row],[Converted data]]/1000)</f>
        <v/>
      </c>
      <c r="AI181" s="210" t="str">
        <f>IF(Buildings_Heat_Frontend[[#This Row],[Data]]="","", _xlfn.XLOOKUP(_xlfn.CONCAT(Buildings_Heat_Backend[[#This Row],[Level 1]:[Level 6]]),rng_EFConcat,rng_EF3WTT)*Buildings_Heat_Backend[[#This Row],[Converted data]]/1000)</f>
        <v/>
      </c>
      <c r="AJ181" s="210" t="str">
        <f>IF(Buildings_Heat_Frontend[[#This Row],[Data]]="","", _xlfn.XLOOKUP(_xlfn.CONCAT(Buildings_Heat_Backend[[#This Row],[Level 1]:[Level 6]]),rng_EFConcat,rng_EF3TD)*Buildings_Heat_Backend[[#This Row],[Converted data]]/1000)</f>
        <v/>
      </c>
      <c r="AK181" s="210" t="str">
        <f>IF(Buildings_Heat_Frontend[[#This Row],[Data]]="","", _xlfn.XLOOKUP(_xlfn.CONCAT(Buildings_Heat_Backend[[#This Row],[Level 1]:[Level 6]]),rng_EFConcat,rng_EF3WTTTD)*Buildings_Heat_Backend[[#This Row],[Converted data]]/1000)</f>
        <v/>
      </c>
      <c r="AL181" s="220">
        <f>SUM(Buildings_Heat_Backend[[#This Row],[Scope 1 (tCO2e)]:[Scope 3 WTT T&amp;D (tCO2e)]])</f>
        <v>0</v>
      </c>
      <c r="AM181" s="220" t="str">
        <f>IF(Buildings_Heat_Frontend[[#This Row],[Data]]="","", Buildings_Heat_Backend[[#This Row],[Total (tCO2e)]]*(1-Buildings_Heat_Backend[[#This Row],[RSD]]))</f>
        <v/>
      </c>
      <c r="AN181" s="220" t="str">
        <f>IF(Buildings_Heat_Frontend[[#This Row],[Data]]="","", Buildings_Heat_Backend[[#This Row],[Total (tCO2e)]]*(1+Buildings_Heat_Backend[[#This Row],[RSD]]))</f>
        <v/>
      </c>
      <c r="AO181" s="210" t="str">
        <f>IF(Buildings_Heat_Frontend[[#This Row],[Data]]="","", _xlfn.XLOOKUP(_xlfn.CONCAT(Buildings_Heat_Backend[[#This Row],[Level 1]:[Level 6]]),rng_EFConcat,rng_EFOOS)*Buildings_Heat_Backend[[#This Row],[Converted data]]/1000)</f>
        <v/>
      </c>
      <c r="AP181" s="174">
        <f>Buildings_Heat_Frontend[[#This Row],[Ease of collection]]</f>
        <v>0</v>
      </c>
      <c r="AQ181" s="174">
        <f>Buildings_Heat_Frontend[[#This Row],[Completeness]]</f>
        <v>0</v>
      </c>
      <c r="AR181" s="174">
        <f>Buildings_Heat_Frontend[[#This Row],[Notes]]</f>
        <v>0</v>
      </c>
    </row>
    <row r="182" spans="5:44" x14ac:dyDescent="0.3">
      <c r="E182" s="346"/>
      <c r="F182" s="364"/>
      <c r="G182" s="336"/>
      <c r="H182" s="336"/>
      <c r="I182" s="336"/>
      <c r="J182" s="334"/>
      <c r="K182" s="336"/>
      <c r="L182" s="336"/>
      <c r="M182" s="336"/>
      <c r="N182" s="352"/>
      <c r="O182" s="230">
        <f t="shared" si="8"/>
        <v>6</v>
      </c>
      <c r="Q182" s="212" t="str">
        <f t="shared" si="6"/>
        <v/>
      </c>
      <c r="R182" s="174" t="s">
        <v>265</v>
      </c>
      <c r="S182" s="174" t="s">
        <v>273</v>
      </c>
      <c r="T182" s="174" t="str">
        <f>IF(Buildings_Heat_Frontend[[#This Row],[Data]]="","", _xlfn.XLOOKUP(Buildings_Heat_Backend[[#This Row],[Info 1]],Buildings_SiteInfo[Site name],Buildings_SiteInfo[Site type]))</f>
        <v/>
      </c>
      <c r="U182" s="174" t="str">
        <f>IF(Buildings_Heat_Frontend[[#This Row],[Data]]="","", Buildings_Heat_Frontend[[#This Row],[Heating Type]])</f>
        <v/>
      </c>
      <c r="V182" s="174" t="str">
        <f>IF(Buildings_Heat_Frontend[[#This Row],[Data]]="","", Buildings_Heat_Frontend[[#This Row],[Fuel]])</f>
        <v/>
      </c>
      <c r="W182" s="174" t="str" cm="1">
        <f t="array" ref="W182">IF(Buildings_Heat_Frontend[[#This Row],[Data]]="","", _xlfn.XLOOKUP(Buildings_Heat_Backend[[#This Row],[Level 5]],rng_Level5Long,rng_Level6Long))</f>
        <v/>
      </c>
      <c r="X182" s="174" t="str">
        <f>IF(Buildings_Heat_Frontend[[#This Row],[Data]]="","", Buildings_Heat_Frontend[[#This Row],[Site Name]])</f>
        <v/>
      </c>
      <c r="Y182" s="174" t="str">
        <f>IF(Buildings_Heat_Frontend[[#This Row],[Data]]="","", Buildings_Heat_Frontend[[#This Row],[MPRN]])</f>
        <v/>
      </c>
      <c r="Z182" s="174" t="str">
        <f>IF(Buildings_Heat_Frontend[[#This Row],[Data]]="","", IF($I182="","",$I182))</f>
        <v/>
      </c>
      <c r="AA182" s="229" t="str" cm="1">
        <f t="array" ref="AA182">IF(Buildings_Heat_Frontend[[#This Row],[Data]]="","", INDEX(_xlfn.SWITCH(Buildings_Heat_Backend[[#This Row],[Methodology]],"Tier 1",rng_RSD1,"Tier 2",rng_RSD2,"Tier 3",rng_RSD3),MATCH(_xlfn.CONCAT(Buildings_Heat_Backend[[#This Row],[Level 1]:[Level 6]]),rng_LevelsConcat,0)))</f>
        <v/>
      </c>
      <c r="AB182" s="220" t="str">
        <f t="shared" si="7"/>
        <v/>
      </c>
      <c r="AC182" s="174">
        <f>Buildings_Heat_Frontend[[#This Row],[Units]]</f>
        <v>0</v>
      </c>
      <c r="AD18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2" s="174" t="str">
        <f>IF(Buildings_Heat_Frontend[[#This Row],[Data]]="","", _xlfn.XLOOKUP(_xlfn.CONCAT(Buildings_Heat_Backend[[#This Row],[Level 1]:[Level 6]]),rng_LevelsConcat,rng_UnitsLong))</f>
        <v/>
      </c>
      <c r="AF182" s="210" t="str">
        <f>IF(Buildings_Heat_Frontend[[#This Row],[Data]]="","", _xlfn.XLOOKUP(_xlfn.CONCAT(Buildings_Heat_Backend[[#This Row],[Level 1]:[Level 6]]),rng_EFConcat,rng_EF1)*Buildings_Heat_Backend[[#This Row],[Converted data]]/1000)</f>
        <v/>
      </c>
      <c r="AG182" s="210" t="str">
        <f>IF(Buildings_Heat_Frontend[[#This Row],[Data]]="","", _xlfn.XLOOKUP(_xlfn.CONCAT(Buildings_Heat_Backend[[#This Row],[Level 1]:[Level 6]]),rng_EFConcat,rng_EF2)*Buildings_Heat_Backend[[#This Row],[Converted data]]/1000)</f>
        <v/>
      </c>
      <c r="AH182" s="210" t="str">
        <f>IF(Buildings_Heat_Frontend[[#This Row],[Data]]="","", _xlfn.XLOOKUP(_xlfn.CONCAT(Buildings_Heat_Backend[[#This Row],[Level 1]:[Level 6]]),rng_EFConcat,rng_EF3)*Buildings_Heat_Backend[[#This Row],[Converted data]]/1000)</f>
        <v/>
      </c>
      <c r="AI182" s="210" t="str">
        <f>IF(Buildings_Heat_Frontend[[#This Row],[Data]]="","", _xlfn.XLOOKUP(_xlfn.CONCAT(Buildings_Heat_Backend[[#This Row],[Level 1]:[Level 6]]),rng_EFConcat,rng_EF3WTT)*Buildings_Heat_Backend[[#This Row],[Converted data]]/1000)</f>
        <v/>
      </c>
      <c r="AJ182" s="210" t="str">
        <f>IF(Buildings_Heat_Frontend[[#This Row],[Data]]="","", _xlfn.XLOOKUP(_xlfn.CONCAT(Buildings_Heat_Backend[[#This Row],[Level 1]:[Level 6]]),rng_EFConcat,rng_EF3TD)*Buildings_Heat_Backend[[#This Row],[Converted data]]/1000)</f>
        <v/>
      </c>
      <c r="AK182" s="210" t="str">
        <f>IF(Buildings_Heat_Frontend[[#This Row],[Data]]="","", _xlfn.XLOOKUP(_xlfn.CONCAT(Buildings_Heat_Backend[[#This Row],[Level 1]:[Level 6]]),rng_EFConcat,rng_EF3WTTTD)*Buildings_Heat_Backend[[#This Row],[Converted data]]/1000)</f>
        <v/>
      </c>
      <c r="AL182" s="220">
        <f>SUM(Buildings_Heat_Backend[[#This Row],[Scope 1 (tCO2e)]:[Scope 3 WTT T&amp;D (tCO2e)]])</f>
        <v>0</v>
      </c>
      <c r="AM182" s="220" t="str">
        <f>IF(Buildings_Heat_Frontend[[#This Row],[Data]]="","", Buildings_Heat_Backend[[#This Row],[Total (tCO2e)]]*(1-Buildings_Heat_Backend[[#This Row],[RSD]]))</f>
        <v/>
      </c>
      <c r="AN182" s="220" t="str">
        <f>IF(Buildings_Heat_Frontend[[#This Row],[Data]]="","", Buildings_Heat_Backend[[#This Row],[Total (tCO2e)]]*(1+Buildings_Heat_Backend[[#This Row],[RSD]]))</f>
        <v/>
      </c>
      <c r="AO182" s="210" t="str">
        <f>IF(Buildings_Heat_Frontend[[#This Row],[Data]]="","", _xlfn.XLOOKUP(_xlfn.CONCAT(Buildings_Heat_Backend[[#This Row],[Level 1]:[Level 6]]),rng_EFConcat,rng_EFOOS)*Buildings_Heat_Backend[[#This Row],[Converted data]]/1000)</f>
        <v/>
      </c>
      <c r="AP182" s="174">
        <f>Buildings_Heat_Frontend[[#This Row],[Ease of collection]]</f>
        <v>0</v>
      </c>
      <c r="AQ182" s="174">
        <f>Buildings_Heat_Frontend[[#This Row],[Completeness]]</f>
        <v>0</v>
      </c>
      <c r="AR182" s="174">
        <f>Buildings_Heat_Frontend[[#This Row],[Notes]]</f>
        <v>0</v>
      </c>
    </row>
    <row r="183" spans="5:44" x14ac:dyDescent="0.3">
      <c r="E183" s="346"/>
      <c r="F183" s="364"/>
      <c r="G183" s="336"/>
      <c r="H183" s="336"/>
      <c r="I183" s="336"/>
      <c r="J183" s="334"/>
      <c r="K183" s="336"/>
      <c r="L183" s="336"/>
      <c r="M183" s="336"/>
      <c r="N183" s="352"/>
      <c r="O183" s="230">
        <f t="shared" si="8"/>
        <v>6</v>
      </c>
      <c r="Q183" s="212" t="str">
        <f t="shared" si="6"/>
        <v/>
      </c>
      <c r="R183" s="174" t="s">
        <v>265</v>
      </c>
      <c r="S183" s="174" t="s">
        <v>273</v>
      </c>
      <c r="T183" s="174" t="str">
        <f>IF(Buildings_Heat_Frontend[[#This Row],[Data]]="","", _xlfn.XLOOKUP(Buildings_Heat_Backend[[#This Row],[Info 1]],Buildings_SiteInfo[Site name],Buildings_SiteInfo[Site type]))</f>
        <v/>
      </c>
      <c r="U183" s="174" t="str">
        <f>IF(Buildings_Heat_Frontend[[#This Row],[Data]]="","", Buildings_Heat_Frontend[[#This Row],[Heating Type]])</f>
        <v/>
      </c>
      <c r="V183" s="174" t="str">
        <f>IF(Buildings_Heat_Frontend[[#This Row],[Data]]="","", Buildings_Heat_Frontend[[#This Row],[Fuel]])</f>
        <v/>
      </c>
      <c r="W183" s="174" t="str" cm="1">
        <f t="array" ref="W183">IF(Buildings_Heat_Frontend[[#This Row],[Data]]="","", _xlfn.XLOOKUP(Buildings_Heat_Backend[[#This Row],[Level 5]],rng_Level5Long,rng_Level6Long))</f>
        <v/>
      </c>
      <c r="X183" s="174" t="str">
        <f>IF(Buildings_Heat_Frontend[[#This Row],[Data]]="","", Buildings_Heat_Frontend[[#This Row],[Site Name]])</f>
        <v/>
      </c>
      <c r="Y183" s="174" t="str">
        <f>IF(Buildings_Heat_Frontend[[#This Row],[Data]]="","", Buildings_Heat_Frontend[[#This Row],[MPRN]])</f>
        <v/>
      </c>
      <c r="Z183" s="174" t="str">
        <f>IF(Buildings_Heat_Frontend[[#This Row],[Data]]="","", IF($I183="","",$I183))</f>
        <v/>
      </c>
      <c r="AA183" s="229" t="str" cm="1">
        <f t="array" ref="AA183">IF(Buildings_Heat_Frontend[[#This Row],[Data]]="","", INDEX(_xlfn.SWITCH(Buildings_Heat_Backend[[#This Row],[Methodology]],"Tier 1",rng_RSD1,"Tier 2",rng_RSD2,"Tier 3",rng_RSD3),MATCH(_xlfn.CONCAT(Buildings_Heat_Backend[[#This Row],[Level 1]:[Level 6]]),rng_LevelsConcat,0)))</f>
        <v/>
      </c>
      <c r="AB183" s="220" t="str">
        <f t="shared" si="7"/>
        <v/>
      </c>
      <c r="AC183" s="174">
        <f>Buildings_Heat_Frontend[[#This Row],[Units]]</f>
        <v>0</v>
      </c>
      <c r="AD18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3" s="174" t="str">
        <f>IF(Buildings_Heat_Frontend[[#This Row],[Data]]="","", _xlfn.XLOOKUP(_xlfn.CONCAT(Buildings_Heat_Backend[[#This Row],[Level 1]:[Level 6]]),rng_LevelsConcat,rng_UnitsLong))</f>
        <v/>
      </c>
      <c r="AF183" s="210" t="str">
        <f>IF(Buildings_Heat_Frontend[[#This Row],[Data]]="","", _xlfn.XLOOKUP(_xlfn.CONCAT(Buildings_Heat_Backend[[#This Row],[Level 1]:[Level 6]]),rng_EFConcat,rng_EF1)*Buildings_Heat_Backend[[#This Row],[Converted data]]/1000)</f>
        <v/>
      </c>
      <c r="AG183" s="210" t="str">
        <f>IF(Buildings_Heat_Frontend[[#This Row],[Data]]="","", _xlfn.XLOOKUP(_xlfn.CONCAT(Buildings_Heat_Backend[[#This Row],[Level 1]:[Level 6]]),rng_EFConcat,rng_EF2)*Buildings_Heat_Backend[[#This Row],[Converted data]]/1000)</f>
        <v/>
      </c>
      <c r="AH183" s="210" t="str">
        <f>IF(Buildings_Heat_Frontend[[#This Row],[Data]]="","", _xlfn.XLOOKUP(_xlfn.CONCAT(Buildings_Heat_Backend[[#This Row],[Level 1]:[Level 6]]),rng_EFConcat,rng_EF3)*Buildings_Heat_Backend[[#This Row],[Converted data]]/1000)</f>
        <v/>
      </c>
      <c r="AI183" s="210" t="str">
        <f>IF(Buildings_Heat_Frontend[[#This Row],[Data]]="","", _xlfn.XLOOKUP(_xlfn.CONCAT(Buildings_Heat_Backend[[#This Row],[Level 1]:[Level 6]]),rng_EFConcat,rng_EF3WTT)*Buildings_Heat_Backend[[#This Row],[Converted data]]/1000)</f>
        <v/>
      </c>
      <c r="AJ183" s="210" t="str">
        <f>IF(Buildings_Heat_Frontend[[#This Row],[Data]]="","", _xlfn.XLOOKUP(_xlfn.CONCAT(Buildings_Heat_Backend[[#This Row],[Level 1]:[Level 6]]),rng_EFConcat,rng_EF3TD)*Buildings_Heat_Backend[[#This Row],[Converted data]]/1000)</f>
        <v/>
      </c>
      <c r="AK183" s="210" t="str">
        <f>IF(Buildings_Heat_Frontend[[#This Row],[Data]]="","", _xlfn.XLOOKUP(_xlfn.CONCAT(Buildings_Heat_Backend[[#This Row],[Level 1]:[Level 6]]),rng_EFConcat,rng_EF3WTTTD)*Buildings_Heat_Backend[[#This Row],[Converted data]]/1000)</f>
        <v/>
      </c>
      <c r="AL183" s="220">
        <f>SUM(Buildings_Heat_Backend[[#This Row],[Scope 1 (tCO2e)]:[Scope 3 WTT T&amp;D (tCO2e)]])</f>
        <v>0</v>
      </c>
      <c r="AM183" s="220" t="str">
        <f>IF(Buildings_Heat_Frontend[[#This Row],[Data]]="","", Buildings_Heat_Backend[[#This Row],[Total (tCO2e)]]*(1-Buildings_Heat_Backend[[#This Row],[RSD]]))</f>
        <v/>
      </c>
      <c r="AN183" s="220" t="str">
        <f>IF(Buildings_Heat_Frontend[[#This Row],[Data]]="","", Buildings_Heat_Backend[[#This Row],[Total (tCO2e)]]*(1+Buildings_Heat_Backend[[#This Row],[RSD]]))</f>
        <v/>
      </c>
      <c r="AO183" s="210" t="str">
        <f>IF(Buildings_Heat_Frontend[[#This Row],[Data]]="","", _xlfn.XLOOKUP(_xlfn.CONCAT(Buildings_Heat_Backend[[#This Row],[Level 1]:[Level 6]]),rng_EFConcat,rng_EFOOS)*Buildings_Heat_Backend[[#This Row],[Converted data]]/1000)</f>
        <v/>
      </c>
      <c r="AP183" s="174">
        <f>Buildings_Heat_Frontend[[#This Row],[Ease of collection]]</f>
        <v>0</v>
      </c>
      <c r="AQ183" s="174">
        <f>Buildings_Heat_Frontend[[#This Row],[Completeness]]</f>
        <v>0</v>
      </c>
      <c r="AR183" s="174">
        <f>Buildings_Heat_Frontend[[#This Row],[Notes]]</f>
        <v>0</v>
      </c>
    </row>
    <row r="184" spans="5:44" x14ac:dyDescent="0.3">
      <c r="E184" s="346"/>
      <c r="F184" s="364"/>
      <c r="G184" s="336"/>
      <c r="H184" s="336"/>
      <c r="I184" s="336"/>
      <c r="J184" s="334"/>
      <c r="K184" s="336"/>
      <c r="L184" s="336"/>
      <c r="M184" s="336"/>
      <c r="N184" s="352"/>
      <c r="O184" s="230">
        <f t="shared" si="8"/>
        <v>6</v>
      </c>
      <c r="Q184" s="212" t="str">
        <f t="shared" si="6"/>
        <v/>
      </c>
      <c r="R184" s="174" t="s">
        <v>265</v>
      </c>
      <c r="S184" s="174" t="s">
        <v>273</v>
      </c>
      <c r="T184" s="174" t="str">
        <f>IF(Buildings_Heat_Frontend[[#This Row],[Data]]="","", _xlfn.XLOOKUP(Buildings_Heat_Backend[[#This Row],[Info 1]],Buildings_SiteInfo[Site name],Buildings_SiteInfo[Site type]))</f>
        <v/>
      </c>
      <c r="U184" s="174" t="str">
        <f>IF(Buildings_Heat_Frontend[[#This Row],[Data]]="","", Buildings_Heat_Frontend[[#This Row],[Heating Type]])</f>
        <v/>
      </c>
      <c r="V184" s="174" t="str">
        <f>IF(Buildings_Heat_Frontend[[#This Row],[Data]]="","", Buildings_Heat_Frontend[[#This Row],[Fuel]])</f>
        <v/>
      </c>
      <c r="W184" s="174" t="str" cm="1">
        <f t="array" ref="W184">IF(Buildings_Heat_Frontend[[#This Row],[Data]]="","", _xlfn.XLOOKUP(Buildings_Heat_Backend[[#This Row],[Level 5]],rng_Level5Long,rng_Level6Long))</f>
        <v/>
      </c>
      <c r="X184" s="174" t="str">
        <f>IF(Buildings_Heat_Frontend[[#This Row],[Data]]="","", Buildings_Heat_Frontend[[#This Row],[Site Name]])</f>
        <v/>
      </c>
      <c r="Y184" s="174" t="str">
        <f>IF(Buildings_Heat_Frontend[[#This Row],[Data]]="","", Buildings_Heat_Frontend[[#This Row],[MPRN]])</f>
        <v/>
      </c>
      <c r="Z184" s="174" t="str">
        <f>IF(Buildings_Heat_Frontend[[#This Row],[Data]]="","", IF($I184="","",$I184))</f>
        <v/>
      </c>
      <c r="AA184" s="229" t="str" cm="1">
        <f t="array" ref="AA184">IF(Buildings_Heat_Frontend[[#This Row],[Data]]="","", INDEX(_xlfn.SWITCH(Buildings_Heat_Backend[[#This Row],[Methodology]],"Tier 1",rng_RSD1,"Tier 2",rng_RSD2,"Tier 3",rng_RSD3),MATCH(_xlfn.CONCAT(Buildings_Heat_Backend[[#This Row],[Level 1]:[Level 6]]),rng_LevelsConcat,0)))</f>
        <v/>
      </c>
      <c r="AB184" s="220" t="str">
        <f t="shared" si="7"/>
        <v/>
      </c>
      <c r="AC184" s="174">
        <f>Buildings_Heat_Frontend[[#This Row],[Units]]</f>
        <v>0</v>
      </c>
      <c r="AD18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4" s="174" t="str">
        <f>IF(Buildings_Heat_Frontend[[#This Row],[Data]]="","", _xlfn.XLOOKUP(_xlfn.CONCAT(Buildings_Heat_Backend[[#This Row],[Level 1]:[Level 6]]),rng_LevelsConcat,rng_UnitsLong))</f>
        <v/>
      </c>
      <c r="AF184" s="210" t="str">
        <f>IF(Buildings_Heat_Frontend[[#This Row],[Data]]="","", _xlfn.XLOOKUP(_xlfn.CONCAT(Buildings_Heat_Backend[[#This Row],[Level 1]:[Level 6]]),rng_EFConcat,rng_EF1)*Buildings_Heat_Backend[[#This Row],[Converted data]]/1000)</f>
        <v/>
      </c>
      <c r="AG184" s="210" t="str">
        <f>IF(Buildings_Heat_Frontend[[#This Row],[Data]]="","", _xlfn.XLOOKUP(_xlfn.CONCAT(Buildings_Heat_Backend[[#This Row],[Level 1]:[Level 6]]),rng_EFConcat,rng_EF2)*Buildings_Heat_Backend[[#This Row],[Converted data]]/1000)</f>
        <v/>
      </c>
      <c r="AH184" s="210" t="str">
        <f>IF(Buildings_Heat_Frontend[[#This Row],[Data]]="","", _xlfn.XLOOKUP(_xlfn.CONCAT(Buildings_Heat_Backend[[#This Row],[Level 1]:[Level 6]]),rng_EFConcat,rng_EF3)*Buildings_Heat_Backend[[#This Row],[Converted data]]/1000)</f>
        <v/>
      </c>
      <c r="AI184" s="210" t="str">
        <f>IF(Buildings_Heat_Frontend[[#This Row],[Data]]="","", _xlfn.XLOOKUP(_xlfn.CONCAT(Buildings_Heat_Backend[[#This Row],[Level 1]:[Level 6]]),rng_EFConcat,rng_EF3WTT)*Buildings_Heat_Backend[[#This Row],[Converted data]]/1000)</f>
        <v/>
      </c>
      <c r="AJ184" s="210" t="str">
        <f>IF(Buildings_Heat_Frontend[[#This Row],[Data]]="","", _xlfn.XLOOKUP(_xlfn.CONCAT(Buildings_Heat_Backend[[#This Row],[Level 1]:[Level 6]]),rng_EFConcat,rng_EF3TD)*Buildings_Heat_Backend[[#This Row],[Converted data]]/1000)</f>
        <v/>
      </c>
      <c r="AK184" s="210" t="str">
        <f>IF(Buildings_Heat_Frontend[[#This Row],[Data]]="","", _xlfn.XLOOKUP(_xlfn.CONCAT(Buildings_Heat_Backend[[#This Row],[Level 1]:[Level 6]]),rng_EFConcat,rng_EF3WTTTD)*Buildings_Heat_Backend[[#This Row],[Converted data]]/1000)</f>
        <v/>
      </c>
      <c r="AL184" s="220">
        <f>SUM(Buildings_Heat_Backend[[#This Row],[Scope 1 (tCO2e)]:[Scope 3 WTT T&amp;D (tCO2e)]])</f>
        <v>0</v>
      </c>
      <c r="AM184" s="220" t="str">
        <f>IF(Buildings_Heat_Frontend[[#This Row],[Data]]="","", Buildings_Heat_Backend[[#This Row],[Total (tCO2e)]]*(1-Buildings_Heat_Backend[[#This Row],[RSD]]))</f>
        <v/>
      </c>
      <c r="AN184" s="220" t="str">
        <f>IF(Buildings_Heat_Frontend[[#This Row],[Data]]="","", Buildings_Heat_Backend[[#This Row],[Total (tCO2e)]]*(1+Buildings_Heat_Backend[[#This Row],[RSD]]))</f>
        <v/>
      </c>
      <c r="AO184" s="210" t="str">
        <f>IF(Buildings_Heat_Frontend[[#This Row],[Data]]="","", _xlfn.XLOOKUP(_xlfn.CONCAT(Buildings_Heat_Backend[[#This Row],[Level 1]:[Level 6]]),rng_EFConcat,rng_EFOOS)*Buildings_Heat_Backend[[#This Row],[Converted data]]/1000)</f>
        <v/>
      </c>
      <c r="AP184" s="174">
        <f>Buildings_Heat_Frontend[[#This Row],[Ease of collection]]</f>
        <v>0</v>
      </c>
      <c r="AQ184" s="174">
        <f>Buildings_Heat_Frontend[[#This Row],[Completeness]]</f>
        <v>0</v>
      </c>
      <c r="AR184" s="174">
        <f>Buildings_Heat_Frontend[[#This Row],[Notes]]</f>
        <v>0</v>
      </c>
    </row>
    <row r="185" spans="5:44" x14ac:dyDescent="0.3">
      <c r="E185" s="346"/>
      <c r="F185" s="364"/>
      <c r="G185" s="336"/>
      <c r="H185" s="336"/>
      <c r="I185" s="336"/>
      <c r="J185" s="334"/>
      <c r="K185" s="336"/>
      <c r="L185" s="336"/>
      <c r="M185" s="336"/>
      <c r="N185" s="352"/>
      <c r="O185" s="230">
        <f t="shared" si="8"/>
        <v>6</v>
      </c>
      <c r="Q185" s="212" t="str">
        <f t="shared" si="6"/>
        <v/>
      </c>
      <c r="R185" s="174" t="s">
        <v>265</v>
      </c>
      <c r="S185" s="174" t="s">
        <v>273</v>
      </c>
      <c r="T185" s="174" t="str">
        <f>IF(Buildings_Heat_Frontend[[#This Row],[Data]]="","", _xlfn.XLOOKUP(Buildings_Heat_Backend[[#This Row],[Info 1]],Buildings_SiteInfo[Site name],Buildings_SiteInfo[Site type]))</f>
        <v/>
      </c>
      <c r="U185" s="174" t="str">
        <f>IF(Buildings_Heat_Frontend[[#This Row],[Data]]="","", Buildings_Heat_Frontend[[#This Row],[Heating Type]])</f>
        <v/>
      </c>
      <c r="V185" s="174" t="str">
        <f>IF(Buildings_Heat_Frontend[[#This Row],[Data]]="","", Buildings_Heat_Frontend[[#This Row],[Fuel]])</f>
        <v/>
      </c>
      <c r="W185" s="174" t="str" cm="1">
        <f t="array" ref="W185">IF(Buildings_Heat_Frontend[[#This Row],[Data]]="","", _xlfn.XLOOKUP(Buildings_Heat_Backend[[#This Row],[Level 5]],rng_Level5Long,rng_Level6Long))</f>
        <v/>
      </c>
      <c r="X185" s="174" t="str">
        <f>IF(Buildings_Heat_Frontend[[#This Row],[Data]]="","", Buildings_Heat_Frontend[[#This Row],[Site Name]])</f>
        <v/>
      </c>
      <c r="Y185" s="174" t="str">
        <f>IF(Buildings_Heat_Frontend[[#This Row],[Data]]="","", Buildings_Heat_Frontend[[#This Row],[MPRN]])</f>
        <v/>
      </c>
      <c r="Z185" s="174" t="str">
        <f>IF(Buildings_Heat_Frontend[[#This Row],[Data]]="","", IF($I185="","",$I185))</f>
        <v/>
      </c>
      <c r="AA185" s="229" t="str" cm="1">
        <f t="array" ref="AA185">IF(Buildings_Heat_Frontend[[#This Row],[Data]]="","", INDEX(_xlfn.SWITCH(Buildings_Heat_Backend[[#This Row],[Methodology]],"Tier 1",rng_RSD1,"Tier 2",rng_RSD2,"Tier 3",rng_RSD3),MATCH(_xlfn.CONCAT(Buildings_Heat_Backend[[#This Row],[Level 1]:[Level 6]]),rng_LevelsConcat,0)))</f>
        <v/>
      </c>
      <c r="AB185" s="220" t="str">
        <f t="shared" si="7"/>
        <v/>
      </c>
      <c r="AC185" s="174">
        <f>Buildings_Heat_Frontend[[#This Row],[Units]]</f>
        <v>0</v>
      </c>
      <c r="AD18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5" s="174" t="str">
        <f>IF(Buildings_Heat_Frontend[[#This Row],[Data]]="","", _xlfn.XLOOKUP(_xlfn.CONCAT(Buildings_Heat_Backend[[#This Row],[Level 1]:[Level 6]]),rng_LevelsConcat,rng_UnitsLong))</f>
        <v/>
      </c>
      <c r="AF185" s="210" t="str">
        <f>IF(Buildings_Heat_Frontend[[#This Row],[Data]]="","", _xlfn.XLOOKUP(_xlfn.CONCAT(Buildings_Heat_Backend[[#This Row],[Level 1]:[Level 6]]),rng_EFConcat,rng_EF1)*Buildings_Heat_Backend[[#This Row],[Converted data]]/1000)</f>
        <v/>
      </c>
      <c r="AG185" s="210" t="str">
        <f>IF(Buildings_Heat_Frontend[[#This Row],[Data]]="","", _xlfn.XLOOKUP(_xlfn.CONCAT(Buildings_Heat_Backend[[#This Row],[Level 1]:[Level 6]]),rng_EFConcat,rng_EF2)*Buildings_Heat_Backend[[#This Row],[Converted data]]/1000)</f>
        <v/>
      </c>
      <c r="AH185" s="210" t="str">
        <f>IF(Buildings_Heat_Frontend[[#This Row],[Data]]="","", _xlfn.XLOOKUP(_xlfn.CONCAT(Buildings_Heat_Backend[[#This Row],[Level 1]:[Level 6]]),rng_EFConcat,rng_EF3)*Buildings_Heat_Backend[[#This Row],[Converted data]]/1000)</f>
        <v/>
      </c>
      <c r="AI185" s="210" t="str">
        <f>IF(Buildings_Heat_Frontend[[#This Row],[Data]]="","", _xlfn.XLOOKUP(_xlfn.CONCAT(Buildings_Heat_Backend[[#This Row],[Level 1]:[Level 6]]),rng_EFConcat,rng_EF3WTT)*Buildings_Heat_Backend[[#This Row],[Converted data]]/1000)</f>
        <v/>
      </c>
      <c r="AJ185" s="210" t="str">
        <f>IF(Buildings_Heat_Frontend[[#This Row],[Data]]="","", _xlfn.XLOOKUP(_xlfn.CONCAT(Buildings_Heat_Backend[[#This Row],[Level 1]:[Level 6]]),rng_EFConcat,rng_EF3TD)*Buildings_Heat_Backend[[#This Row],[Converted data]]/1000)</f>
        <v/>
      </c>
      <c r="AK185" s="210" t="str">
        <f>IF(Buildings_Heat_Frontend[[#This Row],[Data]]="","", _xlfn.XLOOKUP(_xlfn.CONCAT(Buildings_Heat_Backend[[#This Row],[Level 1]:[Level 6]]),rng_EFConcat,rng_EF3WTTTD)*Buildings_Heat_Backend[[#This Row],[Converted data]]/1000)</f>
        <v/>
      </c>
      <c r="AL185" s="220">
        <f>SUM(Buildings_Heat_Backend[[#This Row],[Scope 1 (tCO2e)]:[Scope 3 WTT T&amp;D (tCO2e)]])</f>
        <v>0</v>
      </c>
      <c r="AM185" s="220" t="str">
        <f>IF(Buildings_Heat_Frontend[[#This Row],[Data]]="","", Buildings_Heat_Backend[[#This Row],[Total (tCO2e)]]*(1-Buildings_Heat_Backend[[#This Row],[RSD]]))</f>
        <v/>
      </c>
      <c r="AN185" s="220" t="str">
        <f>IF(Buildings_Heat_Frontend[[#This Row],[Data]]="","", Buildings_Heat_Backend[[#This Row],[Total (tCO2e)]]*(1+Buildings_Heat_Backend[[#This Row],[RSD]]))</f>
        <v/>
      </c>
      <c r="AO185" s="210" t="str">
        <f>IF(Buildings_Heat_Frontend[[#This Row],[Data]]="","", _xlfn.XLOOKUP(_xlfn.CONCAT(Buildings_Heat_Backend[[#This Row],[Level 1]:[Level 6]]),rng_EFConcat,rng_EFOOS)*Buildings_Heat_Backend[[#This Row],[Converted data]]/1000)</f>
        <v/>
      </c>
      <c r="AP185" s="174">
        <f>Buildings_Heat_Frontend[[#This Row],[Ease of collection]]</f>
        <v>0</v>
      </c>
      <c r="AQ185" s="174">
        <f>Buildings_Heat_Frontend[[#This Row],[Completeness]]</f>
        <v>0</v>
      </c>
      <c r="AR185" s="174">
        <f>Buildings_Heat_Frontend[[#This Row],[Notes]]</f>
        <v>0</v>
      </c>
    </row>
    <row r="186" spans="5:44" x14ac:dyDescent="0.3">
      <c r="E186" s="346"/>
      <c r="F186" s="364"/>
      <c r="G186" s="336"/>
      <c r="H186" s="336"/>
      <c r="I186" s="336"/>
      <c r="J186" s="334"/>
      <c r="K186" s="336"/>
      <c r="L186" s="336"/>
      <c r="M186" s="336"/>
      <c r="N186" s="352"/>
      <c r="O186" s="230">
        <f t="shared" si="8"/>
        <v>6</v>
      </c>
      <c r="Q186" s="212" t="str">
        <f t="shared" si="6"/>
        <v/>
      </c>
      <c r="R186" s="174" t="s">
        <v>265</v>
      </c>
      <c r="S186" s="174" t="s">
        <v>273</v>
      </c>
      <c r="T186" s="174" t="str">
        <f>IF(Buildings_Heat_Frontend[[#This Row],[Data]]="","", _xlfn.XLOOKUP(Buildings_Heat_Backend[[#This Row],[Info 1]],Buildings_SiteInfo[Site name],Buildings_SiteInfo[Site type]))</f>
        <v/>
      </c>
      <c r="U186" s="174" t="str">
        <f>IF(Buildings_Heat_Frontend[[#This Row],[Data]]="","", Buildings_Heat_Frontend[[#This Row],[Heating Type]])</f>
        <v/>
      </c>
      <c r="V186" s="174" t="str">
        <f>IF(Buildings_Heat_Frontend[[#This Row],[Data]]="","", Buildings_Heat_Frontend[[#This Row],[Fuel]])</f>
        <v/>
      </c>
      <c r="W186" s="174" t="str" cm="1">
        <f t="array" ref="W186">IF(Buildings_Heat_Frontend[[#This Row],[Data]]="","", _xlfn.XLOOKUP(Buildings_Heat_Backend[[#This Row],[Level 5]],rng_Level5Long,rng_Level6Long))</f>
        <v/>
      </c>
      <c r="X186" s="174" t="str">
        <f>IF(Buildings_Heat_Frontend[[#This Row],[Data]]="","", Buildings_Heat_Frontend[[#This Row],[Site Name]])</f>
        <v/>
      </c>
      <c r="Y186" s="174" t="str">
        <f>IF(Buildings_Heat_Frontend[[#This Row],[Data]]="","", Buildings_Heat_Frontend[[#This Row],[MPRN]])</f>
        <v/>
      </c>
      <c r="Z186" s="174" t="str">
        <f>IF(Buildings_Heat_Frontend[[#This Row],[Data]]="","", IF($I186="","",$I186))</f>
        <v/>
      </c>
      <c r="AA186" s="229" t="str" cm="1">
        <f t="array" ref="AA186">IF(Buildings_Heat_Frontend[[#This Row],[Data]]="","", INDEX(_xlfn.SWITCH(Buildings_Heat_Backend[[#This Row],[Methodology]],"Tier 1",rng_RSD1,"Tier 2",rng_RSD2,"Tier 3",rng_RSD3),MATCH(_xlfn.CONCAT(Buildings_Heat_Backend[[#This Row],[Level 1]:[Level 6]]),rng_LevelsConcat,0)))</f>
        <v/>
      </c>
      <c r="AB186" s="220" t="str">
        <f t="shared" si="7"/>
        <v/>
      </c>
      <c r="AC186" s="174">
        <f>Buildings_Heat_Frontend[[#This Row],[Units]]</f>
        <v>0</v>
      </c>
      <c r="AD18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6" s="174" t="str">
        <f>IF(Buildings_Heat_Frontend[[#This Row],[Data]]="","", _xlfn.XLOOKUP(_xlfn.CONCAT(Buildings_Heat_Backend[[#This Row],[Level 1]:[Level 6]]),rng_LevelsConcat,rng_UnitsLong))</f>
        <v/>
      </c>
      <c r="AF186" s="210" t="str">
        <f>IF(Buildings_Heat_Frontend[[#This Row],[Data]]="","", _xlfn.XLOOKUP(_xlfn.CONCAT(Buildings_Heat_Backend[[#This Row],[Level 1]:[Level 6]]),rng_EFConcat,rng_EF1)*Buildings_Heat_Backend[[#This Row],[Converted data]]/1000)</f>
        <v/>
      </c>
      <c r="AG186" s="210" t="str">
        <f>IF(Buildings_Heat_Frontend[[#This Row],[Data]]="","", _xlfn.XLOOKUP(_xlfn.CONCAT(Buildings_Heat_Backend[[#This Row],[Level 1]:[Level 6]]),rng_EFConcat,rng_EF2)*Buildings_Heat_Backend[[#This Row],[Converted data]]/1000)</f>
        <v/>
      </c>
      <c r="AH186" s="210" t="str">
        <f>IF(Buildings_Heat_Frontend[[#This Row],[Data]]="","", _xlfn.XLOOKUP(_xlfn.CONCAT(Buildings_Heat_Backend[[#This Row],[Level 1]:[Level 6]]),rng_EFConcat,rng_EF3)*Buildings_Heat_Backend[[#This Row],[Converted data]]/1000)</f>
        <v/>
      </c>
      <c r="AI186" s="210" t="str">
        <f>IF(Buildings_Heat_Frontend[[#This Row],[Data]]="","", _xlfn.XLOOKUP(_xlfn.CONCAT(Buildings_Heat_Backend[[#This Row],[Level 1]:[Level 6]]),rng_EFConcat,rng_EF3WTT)*Buildings_Heat_Backend[[#This Row],[Converted data]]/1000)</f>
        <v/>
      </c>
      <c r="AJ186" s="210" t="str">
        <f>IF(Buildings_Heat_Frontend[[#This Row],[Data]]="","", _xlfn.XLOOKUP(_xlfn.CONCAT(Buildings_Heat_Backend[[#This Row],[Level 1]:[Level 6]]),rng_EFConcat,rng_EF3TD)*Buildings_Heat_Backend[[#This Row],[Converted data]]/1000)</f>
        <v/>
      </c>
      <c r="AK186" s="210" t="str">
        <f>IF(Buildings_Heat_Frontend[[#This Row],[Data]]="","", _xlfn.XLOOKUP(_xlfn.CONCAT(Buildings_Heat_Backend[[#This Row],[Level 1]:[Level 6]]),rng_EFConcat,rng_EF3WTTTD)*Buildings_Heat_Backend[[#This Row],[Converted data]]/1000)</f>
        <v/>
      </c>
      <c r="AL186" s="220">
        <f>SUM(Buildings_Heat_Backend[[#This Row],[Scope 1 (tCO2e)]:[Scope 3 WTT T&amp;D (tCO2e)]])</f>
        <v>0</v>
      </c>
      <c r="AM186" s="220" t="str">
        <f>IF(Buildings_Heat_Frontend[[#This Row],[Data]]="","", Buildings_Heat_Backend[[#This Row],[Total (tCO2e)]]*(1-Buildings_Heat_Backend[[#This Row],[RSD]]))</f>
        <v/>
      </c>
      <c r="AN186" s="220" t="str">
        <f>IF(Buildings_Heat_Frontend[[#This Row],[Data]]="","", Buildings_Heat_Backend[[#This Row],[Total (tCO2e)]]*(1+Buildings_Heat_Backend[[#This Row],[RSD]]))</f>
        <v/>
      </c>
      <c r="AO186" s="210" t="str">
        <f>IF(Buildings_Heat_Frontend[[#This Row],[Data]]="","", _xlfn.XLOOKUP(_xlfn.CONCAT(Buildings_Heat_Backend[[#This Row],[Level 1]:[Level 6]]),rng_EFConcat,rng_EFOOS)*Buildings_Heat_Backend[[#This Row],[Converted data]]/1000)</f>
        <v/>
      </c>
      <c r="AP186" s="174">
        <f>Buildings_Heat_Frontend[[#This Row],[Ease of collection]]</f>
        <v>0</v>
      </c>
      <c r="AQ186" s="174">
        <f>Buildings_Heat_Frontend[[#This Row],[Completeness]]</f>
        <v>0</v>
      </c>
      <c r="AR186" s="174">
        <f>Buildings_Heat_Frontend[[#This Row],[Notes]]</f>
        <v>0</v>
      </c>
    </row>
    <row r="187" spans="5:44" x14ac:dyDescent="0.3">
      <c r="E187" s="346"/>
      <c r="F187" s="364"/>
      <c r="G187" s="336"/>
      <c r="H187" s="336"/>
      <c r="I187" s="336"/>
      <c r="J187" s="334"/>
      <c r="K187" s="336"/>
      <c r="L187" s="336"/>
      <c r="M187" s="336"/>
      <c r="N187" s="352"/>
      <c r="O187" s="230">
        <f t="shared" si="8"/>
        <v>6</v>
      </c>
      <c r="Q187" s="212" t="str">
        <f t="shared" si="6"/>
        <v/>
      </c>
      <c r="R187" s="174" t="s">
        <v>265</v>
      </c>
      <c r="S187" s="174" t="s">
        <v>273</v>
      </c>
      <c r="T187" s="174" t="str">
        <f>IF(Buildings_Heat_Frontend[[#This Row],[Data]]="","", _xlfn.XLOOKUP(Buildings_Heat_Backend[[#This Row],[Info 1]],Buildings_SiteInfo[Site name],Buildings_SiteInfo[Site type]))</f>
        <v/>
      </c>
      <c r="U187" s="174" t="str">
        <f>IF(Buildings_Heat_Frontend[[#This Row],[Data]]="","", Buildings_Heat_Frontend[[#This Row],[Heating Type]])</f>
        <v/>
      </c>
      <c r="V187" s="174" t="str">
        <f>IF(Buildings_Heat_Frontend[[#This Row],[Data]]="","", Buildings_Heat_Frontend[[#This Row],[Fuel]])</f>
        <v/>
      </c>
      <c r="W187" s="174" t="str" cm="1">
        <f t="array" ref="W187">IF(Buildings_Heat_Frontend[[#This Row],[Data]]="","", _xlfn.XLOOKUP(Buildings_Heat_Backend[[#This Row],[Level 5]],rng_Level5Long,rng_Level6Long))</f>
        <v/>
      </c>
      <c r="X187" s="174" t="str">
        <f>IF(Buildings_Heat_Frontend[[#This Row],[Data]]="","", Buildings_Heat_Frontend[[#This Row],[Site Name]])</f>
        <v/>
      </c>
      <c r="Y187" s="174" t="str">
        <f>IF(Buildings_Heat_Frontend[[#This Row],[Data]]="","", Buildings_Heat_Frontend[[#This Row],[MPRN]])</f>
        <v/>
      </c>
      <c r="Z187" s="174" t="str">
        <f>IF(Buildings_Heat_Frontend[[#This Row],[Data]]="","", IF($I187="","",$I187))</f>
        <v/>
      </c>
      <c r="AA187" s="229" t="str" cm="1">
        <f t="array" ref="AA187">IF(Buildings_Heat_Frontend[[#This Row],[Data]]="","", INDEX(_xlfn.SWITCH(Buildings_Heat_Backend[[#This Row],[Methodology]],"Tier 1",rng_RSD1,"Tier 2",rng_RSD2,"Tier 3",rng_RSD3),MATCH(_xlfn.CONCAT(Buildings_Heat_Backend[[#This Row],[Level 1]:[Level 6]]),rng_LevelsConcat,0)))</f>
        <v/>
      </c>
      <c r="AB187" s="220" t="str">
        <f t="shared" si="7"/>
        <v/>
      </c>
      <c r="AC187" s="174">
        <f>Buildings_Heat_Frontend[[#This Row],[Units]]</f>
        <v>0</v>
      </c>
      <c r="AD18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7" s="174" t="str">
        <f>IF(Buildings_Heat_Frontend[[#This Row],[Data]]="","", _xlfn.XLOOKUP(_xlfn.CONCAT(Buildings_Heat_Backend[[#This Row],[Level 1]:[Level 6]]),rng_LevelsConcat,rng_UnitsLong))</f>
        <v/>
      </c>
      <c r="AF187" s="210" t="str">
        <f>IF(Buildings_Heat_Frontend[[#This Row],[Data]]="","", _xlfn.XLOOKUP(_xlfn.CONCAT(Buildings_Heat_Backend[[#This Row],[Level 1]:[Level 6]]),rng_EFConcat,rng_EF1)*Buildings_Heat_Backend[[#This Row],[Converted data]]/1000)</f>
        <v/>
      </c>
      <c r="AG187" s="210" t="str">
        <f>IF(Buildings_Heat_Frontend[[#This Row],[Data]]="","", _xlfn.XLOOKUP(_xlfn.CONCAT(Buildings_Heat_Backend[[#This Row],[Level 1]:[Level 6]]),rng_EFConcat,rng_EF2)*Buildings_Heat_Backend[[#This Row],[Converted data]]/1000)</f>
        <v/>
      </c>
      <c r="AH187" s="210" t="str">
        <f>IF(Buildings_Heat_Frontend[[#This Row],[Data]]="","", _xlfn.XLOOKUP(_xlfn.CONCAT(Buildings_Heat_Backend[[#This Row],[Level 1]:[Level 6]]),rng_EFConcat,rng_EF3)*Buildings_Heat_Backend[[#This Row],[Converted data]]/1000)</f>
        <v/>
      </c>
      <c r="AI187" s="210" t="str">
        <f>IF(Buildings_Heat_Frontend[[#This Row],[Data]]="","", _xlfn.XLOOKUP(_xlfn.CONCAT(Buildings_Heat_Backend[[#This Row],[Level 1]:[Level 6]]),rng_EFConcat,rng_EF3WTT)*Buildings_Heat_Backend[[#This Row],[Converted data]]/1000)</f>
        <v/>
      </c>
      <c r="AJ187" s="210" t="str">
        <f>IF(Buildings_Heat_Frontend[[#This Row],[Data]]="","", _xlfn.XLOOKUP(_xlfn.CONCAT(Buildings_Heat_Backend[[#This Row],[Level 1]:[Level 6]]),rng_EFConcat,rng_EF3TD)*Buildings_Heat_Backend[[#This Row],[Converted data]]/1000)</f>
        <v/>
      </c>
      <c r="AK187" s="210" t="str">
        <f>IF(Buildings_Heat_Frontend[[#This Row],[Data]]="","", _xlfn.XLOOKUP(_xlfn.CONCAT(Buildings_Heat_Backend[[#This Row],[Level 1]:[Level 6]]),rng_EFConcat,rng_EF3WTTTD)*Buildings_Heat_Backend[[#This Row],[Converted data]]/1000)</f>
        <v/>
      </c>
      <c r="AL187" s="220">
        <f>SUM(Buildings_Heat_Backend[[#This Row],[Scope 1 (tCO2e)]:[Scope 3 WTT T&amp;D (tCO2e)]])</f>
        <v>0</v>
      </c>
      <c r="AM187" s="220" t="str">
        <f>IF(Buildings_Heat_Frontend[[#This Row],[Data]]="","", Buildings_Heat_Backend[[#This Row],[Total (tCO2e)]]*(1-Buildings_Heat_Backend[[#This Row],[RSD]]))</f>
        <v/>
      </c>
      <c r="AN187" s="220" t="str">
        <f>IF(Buildings_Heat_Frontend[[#This Row],[Data]]="","", Buildings_Heat_Backend[[#This Row],[Total (tCO2e)]]*(1+Buildings_Heat_Backend[[#This Row],[RSD]]))</f>
        <v/>
      </c>
      <c r="AO187" s="210" t="str">
        <f>IF(Buildings_Heat_Frontend[[#This Row],[Data]]="","", _xlfn.XLOOKUP(_xlfn.CONCAT(Buildings_Heat_Backend[[#This Row],[Level 1]:[Level 6]]),rng_EFConcat,rng_EFOOS)*Buildings_Heat_Backend[[#This Row],[Converted data]]/1000)</f>
        <v/>
      </c>
      <c r="AP187" s="174">
        <f>Buildings_Heat_Frontend[[#This Row],[Ease of collection]]</f>
        <v>0</v>
      </c>
      <c r="AQ187" s="174">
        <f>Buildings_Heat_Frontend[[#This Row],[Completeness]]</f>
        <v>0</v>
      </c>
      <c r="AR187" s="174">
        <f>Buildings_Heat_Frontend[[#This Row],[Notes]]</f>
        <v>0</v>
      </c>
    </row>
    <row r="188" spans="5:44" x14ac:dyDescent="0.3">
      <c r="E188" s="346"/>
      <c r="F188" s="364"/>
      <c r="G188" s="336"/>
      <c r="H188" s="336"/>
      <c r="I188" s="336"/>
      <c r="J188" s="334"/>
      <c r="K188" s="336"/>
      <c r="L188" s="336"/>
      <c r="M188" s="336"/>
      <c r="N188" s="352"/>
      <c r="O188" s="230">
        <f t="shared" si="8"/>
        <v>6</v>
      </c>
      <c r="Q188" s="212" t="str">
        <f t="shared" si="6"/>
        <v/>
      </c>
      <c r="R188" s="174" t="s">
        <v>265</v>
      </c>
      <c r="S188" s="174" t="s">
        <v>273</v>
      </c>
      <c r="T188" s="174" t="str">
        <f>IF(Buildings_Heat_Frontend[[#This Row],[Data]]="","", _xlfn.XLOOKUP(Buildings_Heat_Backend[[#This Row],[Info 1]],Buildings_SiteInfo[Site name],Buildings_SiteInfo[Site type]))</f>
        <v/>
      </c>
      <c r="U188" s="174" t="str">
        <f>IF(Buildings_Heat_Frontend[[#This Row],[Data]]="","", Buildings_Heat_Frontend[[#This Row],[Heating Type]])</f>
        <v/>
      </c>
      <c r="V188" s="174" t="str">
        <f>IF(Buildings_Heat_Frontend[[#This Row],[Data]]="","", Buildings_Heat_Frontend[[#This Row],[Fuel]])</f>
        <v/>
      </c>
      <c r="W188" s="174" t="str" cm="1">
        <f t="array" ref="W188">IF(Buildings_Heat_Frontend[[#This Row],[Data]]="","", _xlfn.XLOOKUP(Buildings_Heat_Backend[[#This Row],[Level 5]],rng_Level5Long,rng_Level6Long))</f>
        <v/>
      </c>
      <c r="X188" s="174" t="str">
        <f>IF(Buildings_Heat_Frontend[[#This Row],[Data]]="","", Buildings_Heat_Frontend[[#This Row],[Site Name]])</f>
        <v/>
      </c>
      <c r="Y188" s="174" t="str">
        <f>IF(Buildings_Heat_Frontend[[#This Row],[Data]]="","", Buildings_Heat_Frontend[[#This Row],[MPRN]])</f>
        <v/>
      </c>
      <c r="Z188" s="174" t="str">
        <f>IF(Buildings_Heat_Frontend[[#This Row],[Data]]="","", IF($I188="","",$I188))</f>
        <v/>
      </c>
      <c r="AA188" s="229" t="str" cm="1">
        <f t="array" ref="AA188">IF(Buildings_Heat_Frontend[[#This Row],[Data]]="","", INDEX(_xlfn.SWITCH(Buildings_Heat_Backend[[#This Row],[Methodology]],"Tier 1",rng_RSD1,"Tier 2",rng_RSD2,"Tier 3",rng_RSD3),MATCH(_xlfn.CONCAT(Buildings_Heat_Backend[[#This Row],[Level 1]:[Level 6]]),rng_LevelsConcat,0)))</f>
        <v/>
      </c>
      <c r="AB188" s="220" t="str">
        <f t="shared" si="7"/>
        <v/>
      </c>
      <c r="AC188" s="174">
        <f>Buildings_Heat_Frontend[[#This Row],[Units]]</f>
        <v>0</v>
      </c>
      <c r="AD18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8" s="174" t="str">
        <f>IF(Buildings_Heat_Frontend[[#This Row],[Data]]="","", _xlfn.XLOOKUP(_xlfn.CONCAT(Buildings_Heat_Backend[[#This Row],[Level 1]:[Level 6]]),rng_LevelsConcat,rng_UnitsLong))</f>
        <v/>
      </c>
      <c r="AF188" s="210" t="str">
        <f>IF(Buildings_Heat_Frontend[[#This Row],[Data]]="","", _xlfn.XLOOKUP(_xlfn.CONCAT(Buildings_Heat_Backend[[#This Row],[Level 1]:[Level 6]]),rng_EFConcat,rng_EF1)*Buildings_Heat_Backend[[#This Row],[Converted data]]/1000)</f>
        <v/>
      </c>
      <c r="AG188" s="210" t="str">
        <f>IF(Buildings_Heat_Frontend[[#This Row],[Data]]="","", _xlfn.XLOOKUP(_xlfn.CONCAT(Buildings_Heat_Backend[[#This Row],[Level 1]:[Level 6]]),rng_EFConcat,rng_EF2)*Buildings_Heat_Backend[[#This Row],[Converted data]]/1000)</f>
        <v/>
      </c>
      <c r="AH188" s="210" t="str">
        <f>IF(Buildings_Heat_Frontend[[#This Row],[Data]]="","", _xlfn.XLOOKUP(_xlfn.CONCAT(Buildings_Heat_Backend[[#This Row],[Level 1]:[Level 6]]),rng_EFConcat,rng_EF3)*Buildings_Heat_Backend[[#This Row],[Converted data]]/1000)</f>
        <v/>
      </c>
      <c r="AI188" s="210" t="str">
        <f>IF(Buildings_Heat_Frontend[[#This Row],[Data]]="","", _xlfn.XLOOKUP(_xlfn.CONCAT(Buildings_Heat_Backend[[#This Row],[Level 1]:[Level 6]]),rng_EFConcat,rng_EF3WTT)*Buildings_Heat_Backend[[#This Row],[Converted data]]/1000)</f>
        <v/>
      </c>
      <c r="AJ188" s="210" t="str">
        <f>IF(Buildings_Heat_Frontend[[#This Row],[Data]]="","", _xlfn.XLOOKUP(_xlfn.CONCAT(Buildings_Heat_Backend[[#This Row],[Level 1]:[Level 6]]),rng_EFConcat,rng_EF3TD)*Buildings_Heat_Backend[[#This Row],[Converted data]]/1000)</f>
        <v/>
      </c>
      <c r="AK188" s="210" t="str">
        <f>IF(Buildings_Heat_Frontend[[#This Row],[Data]]="","", _xlfn.XLOOKUP(_xlfn.CONCAT(Buildings_Heat_Backend[[#This Row],[Level 1]:[Level 6]]),rng_EFConcat,rng_EF3WTTTD)*Buildings_Heat_Backend[[#This Row],[Converted data]]/1000)</f>
        <v/>
      </c>
      <c r="AL188" s="220">
        <f>SUM(Buildings_Heat_Backend[[#This Row],[Scope 1 (tCO2e)]:[Scope 3 WTT T&amp;D (tCO2e)]])</f>
        <v>0</v>
      </c>
      <c r="AM188" s="220" t="str">
        <f>IF(Buildings_Heat_Frontend[[#This Row],[Data]]="","", Buildings_Heat_Backend[[#This Row],[Total (tCO2e)]]*(1-Buildings_Heat_Backend[[#This Row],[RSD]]))</f>
        <v/>
      </c>
      <c r="AN188" s="220" t="str">
        <f>IF(Buildings_Heat_Frontend[[#This Row],[Data]]="","", Buildings_Heat_Backend[[#This Row],[Total (tCO2e)]]*(1+Buildings_Heat_Backend[[#This Row],[RSD]]))</f>
        <v/>
      </c>
      <c r="AO188" s="210" t="str">
        <f>IF(Buildings_Heat_Frontend[[#This Row],[Data]]="","", _xlfn.XLOOKUP(_xlfn.CONCAT(Buildings_Heat_Backend[[#This Row],[Level 1]:[Level 6]]),rng_EFConcat,rng_EFOOS)*Buildings_Heat_Backend[[#This Row],[Converted data]]/1000)</f>
        <v/>
      </c>
      <c r="AP188" s="174">
        <f>Buildings_Heat_Frontend[[#This Row],[Ease of collection]]</f>
        <v>0</v>
      </c>
      <c r="AQ188" s="174">
        <f>Buildings_Heat_Frontend[[#This Row],[Completeness]]</f>
        <v>0</v>
      </c>
      <c r="AR188" s="174">
        <f>Buildings_Heat_Frontend[[#This Row],[Notes]]</f>
        <v>0</v>
      </c>
    </row>
    <row r="189" spans="5:44" x14ac:dyDescent="0.3">
      <c r="E189" s="346"/>
      <c r="F189" s="364"/>
      <c r="G189" s="336"/>
      <c r="H189" s="336"/>
      <c r="I189" s="336"/>
      <c r="J189" s="334"/>
      <c r="K189" s="336"/>
      <c r="L189" s="336"/>
      <c r="M189" s="336"/>
      <c r="N189" s="352"/>
      <c r="O189" s="230">
        <f t="shared" si="8"/>
        <v>6</v>
      </c>
      <c r="Q189" s="212" t="str">
        <f t="shared" si="6"/>
        <v/>
      </c>
      <c r="R189" s="174" t="s">
        <v>265</v>
      </c>
      <c r="S189" s="174" t="s">
        <v>273</v>
      </c>
      <c r="T189" s="174" t="str">
        <f>IF(Buildings_Heat_Frontend[[#This Row],[Data]]="","", _xlfn.XLOOKUP(Buildings_Heat_Backend[[#This Row],[Info 1]],Buildings_SiteInfo[Site name],Buildings_SiteInfo[Site type]))</f>
        <v/>
      </c>
      <c r="U189" s="174" t="str">
        <f>IF(Buildings_Heat_Frontend[[#This Row],[Data]]="","", Buildings_Heat_Frontend[[#This Row],[Heating Type]])</f>
        <v/>
      </c>
      <c r="V189" s="174" t="str">
        <f>IF(Buildings_Heat_Frontend[[#This Row],[Data]]="","", Buildings_Heat_Frontend[[#This Row],[Fuel]])</f>
        <v/>
      </c>
      <c r="W189" s="174" t="str" cm="1">
        <f t="array" ref="W189">IF(Buildings_Heat_Frontend[[#This Row],[Data]]="","", _xlfn.XLOOKUP(Buildings_Heat_Backend[[#This Row],[Level 5]],rng_Level5Long,rng_Level6Long))</f>
        <v/>
      </c>
      <c r="X189" s="174" t="str">
        <f>IF(Buildings_Heat_Frontend[[#This Row],[Data]]="","", Buildings_Heat_Frontend[[#This Row],[Site Name]])</f>
        <v/>
      </c>
      <c r="Y189" s="174" t="str">
        <f>IF(Buildings_Heat_Frontend[[#This Row],[Data]]="","", Buildings_Heat_Frontend[[#This Row],[MPRN]])</f>
        <v/>
      </c>
      <c r="Z189" s="174" t="str">
        <f>IF(Buildings_Heat_Frontend[[#This Row],[Data]]="","", IF($I189="","",$I189))</f>
        <v/>
      </c>
      <c r="AA189" s="229" t="str" cm="1">
        <f t="array" ref="AA189">IF(Buildings_Heat_Frontend[[#This Row],[Data]]="","", INDEX(_xlfn.SWITCH(Buildings_Heat_Backend[[#This Row],[Methodology]],"Tier 1",rng_RSD1,"Tier 2",rng_RSD2,"Tier 3",rng_RSD3),MATCH(_xlfn.CONCAT(Buildings_Heat_Backend[[#This Row],[Level 1]:[Level 6]]),rng_LevelsConcat,0)))</f>
        <v/>
      </c>
      <c r="AB189" s="220" t="str">
        <f t="shared" si="7"/>
        <v/>
      </c>
      <c r="AC189" s="174">
        <f>Buildings_Heat_Frontend[[#This Row],[Units]]</f>
        <v>0</v>
      </c>
      <c r="AD18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89" s="174" t="str">
        <f>IF(Buildings_Heat_Frontend[[#This Row],[Data]]="","", _xlfn.XLOOKUP(_xlfn.CONCAT(Buildings_Heat_Backend[[#This Row],[Level 1]:[Level 6]]),rng_LevelsConcat,rng_UnitsLong))</f>
        <v/>
      </c>
      <c r="AF189" s="210" t="str">
        <f>IF(Buildings_Heat_Frontend[[#This Row],[Data]]="","", _xlfn.XLOOKUP(_xlfn.CONCAT(Buildings_Heat_Backend[[#This Row],[Level 1]:[Level 6]]),rng_EFConcat,rng_EF1)*Buildings_Heat_Backend[[#This Row],[Converted data]]/1000)</f>
        <v/>
      </c>
      <c r="AG189" s="210" t="str">
        <f>IF(Buildings_Heat_Frontend[[#This Row],[Data]]="","", _xlfn.XLOOKUP(_xlfn.CONCAT(Buildings_Heat_Backend[[#This Row],[Level 1]:[Level 6]]),rng_EFConcat,rng_EF2)*Buildings_Heat_Backend[[#This Row],[Converted data]]/1000)</f>
        <v/>
      </c>
      <c r="AH189" s="210" t="str">
        <f>IF(Buildings_Heat_Frontend[[#This Row],[Data]]="","", _xlfn.XLOOKUP(_xlfn.CONCAT(Buildings_Heat_Backend[[#This Row],[Level 1]:[Level 6]]),rng_EFConcat,rng_EF3)*Buildings_Heat_Backend[[#This Row],[Converted data]]/1000)</f>
        <v/>
      </c>
      <c r="AI189" s="210" t="str">
        <f>IF(Buildings_Heat_Frontend[[#This Row],[Data]]="","", _xlfn.XLOOKUP(_xlfn.CONCAT(Buildings_Heat_Backend[[#This Row],[Level 1]:[Level 6]]),rng_EFConcat,rng_EF3WTT)*Buildings_Heat_Backend[[#This Row],[Converted data]]/1000)</f>
        <v/>
      </c>
      <c r="AJ189" s="210" t="str">
        <f>IF(Buildings_Heat_Frontend[[#This Row],[Data]]="","", _xlfn.XLOOKUP(_xlfn.CONCAT(Buildings_Heat_Backend[[#This Row],[Level 1]:[Level 6]]),rng_EFConcat,rng_EF3TD)*Buildings_Heat_Backend[[#This Row],[Converted data]]/1000)</f>
        <v/>
      </c>
      <c r="AK189" s="210" t="str">
        <f>IF(Buildings_Heat_Frontend[[#This Row],[Data]]="","", _xlfn.XLOOKUP(_xlfn.CONCAT(Buildings_Heat_Backend[[#This Row],[Level 1]:[Level 6]]),rng_EFConcat,rng_EF3WTTTD)*Buildings_Heat_Backend[[#This Row],[Converted data]]/1000)</f>
        <v/>
      </c>
      <c r="AL189" s="220">
        <f>SUM(Buildings_Heat_Backend[[#This Row],[Scope 1 (tCO2e)]:[Scope 3 WTT T&amp;D (tCO2e)]])</f>
        <v>0</v>
      </c>
      <c r="AM189" s="220" t="str">
        <f>IF(Buildings_Heat_Frontend[[#This Row],[Data]]="","", Buildings_Heat_Backend[[#This Row],[Total (tCO2e)]]*(1-Buildings_Heat_Backend[[#This Row],[RSD]]))</f>
        <v/>
      </c>
      <c r="AN189" s="220" t="str">
        <f>IF(Buildings_Heat_Frontend[[#This Row],[Data]]="","", Buildings_Heat_Backend[[#This Row],[Total (tCO2e)]]*(1+Buildings_Heat_Backend[[#This Row],[RSD]]))</f>
        <v/>
      </c>
      <c r="AO189" s="210" t="str">
        <f>IF(Buildings_Heat_Frontend[[#This Row],[Data]]="","", _xlfn.XLOOKUP(_xlfn.CONCAT(Buildings_Heat_Backend[[#This Row],[Level 1]:[Level 6]]),rng_EFConcat,rng_EFOOS)*Buildings_Heat_Backend[[#This Row],[Converted data]]/1000)</f>
        <v/>
      </c>
      <c r="AP189" s="174">
        <f>Buildings_Heat_Frontend[[#This Row],[Ease of collection]]</f>
        <v>0</v>
      </c>
      <c r="AQ189" s="174">
        <f>Buildings_Heat_Frontend[[#This Row],[Completeness]]</f>
        <v>0</v>
      </c>
      <c r="AR189" s="174">
        <f>Buildings_Heat_Frontend[[#This Row],[Notes]]</f>
        <v>0</v>
      </c>
    </row>
    <row r="190" spans="5:44" x14ac:dyDescent="0.3">
      <c r="E190" s="346"/>
      <c r="F190" s="364"/>
      <c r="G190" s="336"/>
      <c r="H190" s="336"/>
      <c r="I190" s="336"/>
      <c r="J190" s="334"/>
      <c r="K190" s="336"/>
      <c r="L190" s="336"/>
      <c r="M190" s="336"/>
      <c r="N190" s="352"/>
      <c r="O190" s="230">
        <f t="shared" si="8"/>
        <v>6</v>
      </c>
      <c r="Q190" s="212" t="str">
        <f t="shared" si="6"/>
        <v/>
      </c>
      <c r="R190" s="174" t="s">
        <v>265</v>
      </c>
      <c r="S190" s="174" t="s">
        <v>273</v>
      </c>
      <c r="T190" s="174" t="str">
        <f>IF(Buildings_Heat_Frontend[[#This Row],[Data]]="","", _xlfn.XLOOKUP(Buildings_Heat_Backend[[#This Row],[Info 1]],Buildings_SiteInfo[Site name],Buildings_SiteInfo[Site type]))</f>
        <v/>
      </c>
      <c r="U190" s="174" t="str">
        <f>IF(Buildings_Heat_Frontend[[#This Row],[Data]]="","", Buildings_Heat_Frontend[[#This Row],[Heating Type]])</f>
        <v/>
      </c>
      <c r="V190" s="174" t="str">
        <f>IF(Buildings_Heat_Frontend[[#This Row],[Data]]="","", Buildings_Heat_Frontend[[#This Row],[Fuel]])</f>
        <v/>
      </c>
      <c r="W190" s="174" t="str" cm="1">
        <f t="array" ref="W190">IF(Buildings_Heat_Frontend[[#This Row],[Data]]="","", _xlfn.XLOOKUP(Buildings_Heat_Backend[[#This Row],[Level 5]],rng_Level5Long,rng_Level6Long))</f>
        <v/>
      </c>
      <c r="X190" s="174" t="str">
        <f>IF(Buildings_Heat_Frontend[[#This Row],[Data]]="","", Buildings_Heat_Frontend[[#This Row],[Site Name]])</f>
        <v/>
      </c>
      <c r="Y190" s="174" t="str">
        <f>IF(Buildings_Heat_Frontend[[#This Row],[Data]]="","", Buildings_Heat_Frontend[[#This Row],[MPRN]])</f>
        <v/>
      </c>
      <c r="Z190" s="174" t="str">
        <f>IF(Buildings_Heat_Frontend[[#This Row],[Data]]="","", IF($I190="","",$I190))</f>
        <v/>
      </c>
      <c r="AA190" s="229" t="str" cm="1">
        <f t="array" ref="AA190">IF(Buildings_Heat_Frontend[[#This Row],[Data]]="","", INDEX(_xlfn.SWITCH(Buildings_Heat_Backend[[#This Row],[Methodology]],"Tier 1",rng_RSD1,"Tier 2",rng_RSD2,"Tier 3",rng_RSD3),MATCH(_xlfn.CONCAT(Buildings_Heat_Backend[[#This Row],[Level 1]:[Level 6]]),rng_LevelsConcat,0)))</f>
        <v/>
      </c>
      <c r="AB190" s="220" t="str">
        <f t="shared" si="7"/>
        <v/>
      </c>
      <c r="AC190" s="174">
        <f>Buildings_Heat_Frontend[[#This Row],[Units]]</f>
        <v>0</v>
      </c>
      <c r="AD19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0" s="174" t="str">
        <f>IF(Buildings_Heat_Frontend[[#This Row],[Data]]="","", _xlfn.XLOOKUP(_xlfn.CONCAT(Buildings_Heat_Backend[[#This Row],[Level 1]:[Level 6]]),rng_LevelsConcat,rng_UnitsLong))</f>
        <v/>
      </c>
      <c r="AF190" s="210" t="str">
        <f>IF(Buildings_Heat_Frontend[[#This Row],[Data]]="","", _xlfn.XLOOKUP(_xlfn.CONCAT(Buildings_Heat_Backend[[#This Row],[Level 1]:[Level 6]]),rng_EFConcat,rng_EF1)*Buildings_Heat_Backend[[#This Row],[Converted data]]/1000)</f>
        <v/>
      </c>
      <c r="AG190" s="210" t="str">
        <f>IF(Buildings_Heat_Frontend[[#This Row],[Data]]="","", _xlfn.XLOOKUP(_xlfn.CONCAT(Buildings_Heat_Backend[[#This Row],[Level 1]:[Level 6]]),rng_EFConcat,rng_EF2)*Buildings_Heat_Backend[[#This Row],[Converted data]]/1000)</f>
        <v/>
      </c>
      <c r="AH190" s="210" t="str">
        <f>IF(Buildings_Heat_Frontend[[#This Row],[Data]]="","", _xlfn.XLOOKUP(_xlfn.CONCAT(Buildings_Heat_Backend[[#This Row],[Level 1]:[Level 6]]),rng_EFConcat,rng_EF3)*Buildings_Heat_Backend[[#This Row],[Converted data]]/1000)</f>
        <v/>
      </c>
      <c r="AI190" s="210" t="str">
        <f>IF(Buildings_Heat_Frontend[[#This Row],[Data]]="","", _xlfn.XLOOKUP(_xlfn.CONCAT(Buildings_Heat_Backend[[#This Row],[Level 1]:[Level 6]]),rng_EFConcat,rng_EF3WTT)*Buildings_Heat_Backend[[#This Row],[Converted data]]/1000)</f>
        <v/>
      </c>
      <c r="AJ190" s="210" t="str">
        <f>IF(Buildings_Heat_Frontend[[#This Row],[Data]]="","", _xlfn.XLOOKUP(_xlfn.CONCAT(Buildings_Heat_Backend[[#This Row],[Level 1]:[Level 6]]),rng_EFConcat,rng_EF3TD)*Buildings_Heat_Backend[[#This Row],[Converted data]]/1000)</f>
        <v/>
      </c>
      <c r="AK190" s="210" t="str">
        <f>IF(Buildings_Heat_Frontend[[#This Row],[Data]]="","", _xlfn.XLOOKUP(_xlfn.CONCAT(Buildings_Heat_Backend[[#This Row],[Level 1]:[Level 6]]),rng_EFConcat,rng_EF3WTTTD)*Buildings_Heat_Backend[[#This Row],[Converted data]]/1000)</f>
        <v/>
      </c>
      <c r="AL190" s="220">
        <f>SUM(Buildings_Heat_Backend[[#This Row],[Scope 1 (tCO2e)]:[Scope 3 WTT T&amp;D (tCO2e)]])</f>
        <v>0</v>
      </c>
      <c r="AM190" s="220" t="str">
        <f>IF(Buildings_Heat_Frontend[[#This Row],[Data]]="","", Buildings_Heat_Backend[[#This Row],[Total (tCO2e)]]*(1-Buildings_Heat_Backend[[#This Row],[RSD]]))</f>
        <v/>
      </c>
      <c r="AN190" s="220" t="str">
        <f>IF(Buildings_Heat_Frontend[[#This Row],[Data]]="","", Buildings_Heat_Backend[[#This Row],[Total (tCO2e)]]*(1+Buildings_Heat_Backend[[#This Row],[RSD]]))</f>
        <v/>
      </c>
      <c r="AO190" s="210" t="str">
        <f>IF(Buildings_Heat_Frontend[[#This Row],[Data]]="","", _xlfn.XLOOKUP(_xlfn.CONCAT(Buildings_Heat_Backend[[#This Row],[Level 1]:[Level 6]]),rng_EFConcat,rng_EFOOS)*Buildings_Heat_Backend[[#This Row],[Converted data]]/1000)</f>
        <v/>
      </c>
      <c r="AP190" s="174">
        <f>Buildings_Heat_Frontend[[#This Row],[Ease of collection]]</f>
        <v>0</v>
      </c>
      <c r="AQ190" s="174">
        <f>Buildings_Heat_Frontend[[#This Row],[Completeness]]</f>
        <v>0</v>
      </c>
      <c r="AR190" s="174">
        <f>Buildings_Heat_Frontend[[#This Row],[Notes]]</f>
        <v>0</v>
      </c>
    </row>
    <row r="191" spans="5:44" x14ac:dyDescent="0.3">
      <c r="E191" s="346"/>
      <c r="F191" s="364"/>
      <c r="G191" s="336"/>
      <c r="H191" s="336"/>
      <c r="I191" s="336"/>
      <c r="J191" s="334"/>
      <c r="K191" s="336"/>
      <c r="L191" s="336"/>
      <c r="M191" s="336"/>
      <c r="N191" s="352"/>
      <c r="O191" s="230">
        <f t="shared" si="8"/>
        <v>6</v>
      </c>
      <c r="Q191" s="212" t="str">
        <f t="shared" si="6"/>
        <v/>
      </c>
      <c r="R191" s="174" t="s">
        <v>265</v>
      </c>
      <c r="S191" s="174" t="s">
        <v>273</v>
      </c>
      <c r="T191" s="174" t="str">
        <f>IF(Buildings_Heat_Frontend[[#This Row],[Data]]="","", _xlfn.XLOOKUP(Buildings_Heat_Backend[[#This Row],[Info 1]],Buildings_SiteInfo[Site name],Buildings_SiteInfo[Site type]))</f>
        <v/>
      </c>
      <c r="U191" s="174" t="str">
        <f>IF(Buildings_Heat_Frontend[[#This Row],[Data]]="","", Buildings_Heat_Frontend[[#This Row],[Heating Type]])</f>
        <v/>
      </c>
      <c r="V191" s="174" t="str">
        <f>IF(Buildings_Heat_Frontend[[#This Row],[Data]]="","", Buildings_Heat_Frontend[[#This Row],[Fuel]])</f>
        <v/>
      </c>
      <c r="W191" s="174" t="str" cm="1">
        <f t="array" ref="W191">IF(Buildings_Heat_Frontend[[#This Row],[Data]]="","", _xlfn.XLOOKUP(Buildings_Heat_Backend[[#This Row],[Level 5]],rng_Level5Long,rng_Level6Long))</f>
        <v/>
      </c>
      <c r="X191" s="174" t="str">
        <f>IF(Buildings_Heat_Frontend[[#This Row],[Data]]="","", Buildings_Heat_Frontend[[#This Row],[Site Name]])</f>
        <v/>
      </c>
      <c r="Y191" s="174" t="str">
        <f>IF(Buildings_Heat_Frontend[[#This Row],[Data]]="","", Buildings_Heat_Frontend[[#This Row],[MPRN]])</f>
        <v/>
      </c>
      <c r="Z191" s="174" t="str">
        <f>IF(Buildings_Heat_Frontend[[#This Row],[Data]]="","", IF($I191="","",$I191))</f>
        <v/>
      </c>
      <c r="AA191" s="229" t="str" cm="1">
        <f t="array" ref="AA191">IF(Buildings_Heat_Frontend[[#This Row],[Data]]="","", INDEX(_xlfn.SWITCH(Buildings_Heat_Backend[[#This Row],[Methodology]],"Tier 1",rng_RSD1,"Tier 2",rng_RSD2,"Tier 3",rng_RSD3),MATCH(_xlfn.CONCAT(Buildings_Heat_Backend[[#This Row],[Level 1]:[Level 6]]),rng_LevelsConcat,0)))</f>
        <v/>
      </c>
      <c r="AB191" s="220" t="str">
        <f t="shared" si="7"/>
        <v/>
      </c>
      <c r="AC191" s="174">
        <f>Buildings_Heat_Frontend[[#This Row],[Units]]</f>
        <v>0</v>
      </c>
      <c r="AD19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1" s="174" t="str">
        <f>IF(Buildings_Heat_Frontend[[#This Row],[Data]]="","", _xlfn.XLOOKUP(_xlfn.CONCAT(Buildings_Heat_Backend[[#This Row],[Level 1]:[Level 6]]),rng_LevelsConcat,rng_UnitsLong))</f>
        <v/>
      </c>
      <c r="AF191" s="210" t="str">
        <f>IF(Buildings_Heat_Frontend[[#This Row],[Data]]="","", _xlfn.XLOOKUP(_xlfn.CONCAT(Buildings_Heat_Backend[[#This Row],[Level 1]:[Level 6]]),rng_EFConcat,rng_EF1)*Buildings_Heat_Backend[[#This Row],[Converted data]]/1000)</f>
        <v/>
      </c>
      <c r="AG191" s="210" t="str">
        <f>IF(Buildings_Heat_Frontend[[#This Row],[Data]]="","", _xlfn.XLOOKUP(_xlfn.CONCAT(Buildings_Heat_Backend[[#This Row],[Level 1]:[Level 6]]),rng_EFConcat,rng_EF2)*Buildings_Heat_Backend[[#This Row],[Converted data]]/1000)</f>
        <v/>
      </c>
      <c r="AH191" s="210" t="str">
        <f>IF(Buildings_Heat_Frontend[[#This Row],[Data]]="","", _xlfn.XLOOKUP(_xlfn.CONCAT(Buildings_Heat_Backend[[#This Row],[Level 1]:[Level 6]]),rng_EFConcat,rng_EF3)*Buildings_Heat_Backend[[#This Row],[Converted data]]/1000)</f>
        <v/>
      </c>
      <c r="AI191" s="210" t="str">
        <f>IF(Buildings_Heat_Frontend[[#This Row],[Data]]="","", _xlfn.XLOOKUP(_xlfn.CONCAT(Buildings_Heat_Backend[[#This Row],[Level 1]:[Level 6]]),rng_EFConcat,rng_EF3WTT)*Buildings_Heat_Backend[[#This Row],[Converted data]]/1000)</f>
        <v/>
      </c>
      <c r="AJ191" s="210" t="str">
        <f>IF(Buildings_Heat_Frontend[[#This Row],[Data]]="","", _xlfn.XLOOKUP(_xlfn.CONCAT(Buildings_Heat_Backend[[#This Row],[Level 1]:[Level 6]]),rng_EFConcat,rng_EF3TD)*Buildings_Heat_Backend[[#This Row],[Converted data]]/1000)</f>
        <v/>
      </c>
      <c r="AK191" s="210" t="str">
        <f>IF(Buildings_Heat_Frontend[[#This Row],[Data]]="","", _xlfn.XLOOKUP(_xlfn.CONCAT(Buildings_Heat_Backend[[#This Row],[Level 1]:[Level 6]]),rng_EFConcat,rng_EF3WTTTD)*Buildings_Heat_Backend[[#This Row],[Converted data]]/1000)</f>
        <v/>
      </c>
      <c r="AL191" s="220">
        <f>SUM(Buildings_Heat_Backend[[#This Row],[Scope 1 (tCO2e)]:[Scope 3 WTT T&amp;D (tCO2e)]])</f>
        <v>0</v>
      </c>
      <c r="AM191" s="220" t="str">
        <f>IF(Buildings_Heat_Frontend[[#This Row],[Data]]="","", Buildings_Heat_Backend[[#This Row],[Total (tCO2e)]]*(1-Buildings_Heat_Backend[[#This Row],[RSD]]))</f>
        <v/>
      </c>
      <c r="AN191" s="220" t="str">
        <f>IF(Buildings_Heat_Frontend[[#This Row],[Data]]="","", Buildings_Heat_Backend[[#This Row],[Total (tCO2e)]]*(1+Buildings_Heat_Backend[[#This Row],[RSD]]))</f>
        <v/>
      </c>
      <c r="AO191" s="210" t="str">
        <f>IF(Buildings_Heat_Frontend[[#This Row],[Data]]="","", _xlfn.XLOOKUP(_xlfn.CONCAT(Buildings_Heat_Backend[[#This Row],[Level 1]:[Level 6]]),rng_EFConcat,rng_EFOOS)*Buildings_Heat_Backend[[#This Row],[Converted data]]/1000)</f>
        <v/>
      </c>
      <c r="AP191" s="174">
        <f>Buildings_Heat_Frontend[[#This Row],[Ease of collection]]</f>
        <v>0</v>
      </c>
      <c r="AQ191" s="174">
        <f>Buildings_Heat_Frontend[[#This Row],[Completeness]]</f>
        <v>0</v>
      </c>
      <c r="AR191" s="174">
        <f>Buildings_Heat_Frontend[[#This Row],[Notes]]</f>
        <v>0</v>
      </c>
    </row>
    <row r="192" spans="5:44" x14ac:dyDescent="0.3">
      <c r="E192" s="346"/>
      <c r="F192" s="364"/>
      <c r="G192" s="336"/>
      <c r="H192" s="336"/>
      <c r="I192" s="336"/>
      <c r="J192" s="334"/>
      <c r="K192" s="336"/>
      <c r="L192" s="336"/>
      <c r="M192" s="336"/>
      <c r="N192" s="352"/>
      <c r="O192" s="230">
        <f t="shared" si="8"/>
        <v>6</v>
      </c>
      <c r="Q192" s="212" t="str">
        <f t="shared" si="6"/>
        <v/>
      </c>
      <c r="R192" s="174" t="s">
        <v>265</v>
      </c>
      <c r="S192" s="174" t="s">
        <v>273</v>
      </c>
      <c r="T192" s="174" t="str">
        <f>IF(Buildings_Heat_Frontend[[#This Row],[Data]]="","", _xlfn.XLOOKUP(Buildings_Heat_Backend[[#This Row],[Info 1]],Buildings_SiteInfo[Site name],Buildings_SiteInfo[Site type]))</f>
        <v/>
      </c>
      <c r="U192" s="174" t="str">
        <f>IF(Buildings_Heat_Frontend[[#This Row],[Data]]="","", Buildings_Heat_Frontend[[#This Row],[Heating Type]])</f>
        <v/>
      </c>
      <c r="V192" s="174" t="str">
        <f>IF(Buildings_Heat_Frontend[[#This Row],[Data]]="","", Buildings_Heat_Frontend[[#This Row],[Fuel]])</f>
        <v/>
      </c>
      <c r="W192" s="174" t="str" cm="1">
        <f t="array" ref="W192">IF(Buildings_Heat_Frontend[[#This Row],[Data]]="","", _xlfn.XLOOKUP(Buildings_Heat_Backend[[#This Row],[Level 5]],rng_Level5Long,rng_Level6Long))</f>
        <v/>
      </c>
      <c r="X192" s="174" t="str">
        <f>IF(Buildings_Heat_Frontend[[#This Row],[Data]]="","", Buildings_Heat_Frontend[[#This Row],[Site Name]])</f>
        <v/>
      </c>
      <c r="Y192" s="174" t="str">
        <f>IF(Buildings_Heat_Frontend[[#This Row],[Data]]="","", Buildings_Heat_Frontend[[#This Row],[MPRN]])</f>
        <v/>
      </c>
      <c r="Z192" s="174" t="str">
        <f>IF(Buildings_Heat_Frontend[[#This Row],[Data]]="","", IF($I192="","",$I192))</f>
        <v/>
      </c>
      <c r="AA192" s="229" t="str" cm="1">
        <f t="array" ref="AA192">IF(Buildings_Heat_Frontend[[#This Row],[Data]]="","", INDEX(_xlfn.SWITCH(Buildings_Heat_Backend[[#This Row],[Methodology]],"Tier 1",rng_RSD1,"Tier 2",rng_RSD2,"Tier 3",rng_RSD3),MATCH(_xlfn.CONCAT(Buildings_Heat_Backend[[#This Row],[Level 1]:[Level 6]]),rng_LevelsConcat,0)))</f>
        <v/>
      </c>
      <c r="AB192" s="220" t="str">
        <f t="shared" si="7"/>
        <v/>
      </c>
      <c r="AC192" s="174">
        <f>Buildings_Heat_Frontend[[#This Row],[Units]]</f>
        <v>0</v>
      </c>
      <c r="AD19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2" s="174" t="str">
        <f>IF(Buildings_Heat_Frontend[[#This Row],[Data]]="","", _xlfn.XLOOKUP(_xlfn.CONCAT(Buildings_Heat_Backend[[#This Row],[Level 1]:[Level 6]]),rng_LevelsConcat,rng_UnitsLong))</f>
        <v/>
      </c>
      <c r="AF192" s="210" t="str">
        <f>IF(Buildings_Heat_Frontend[[#This Row],[Data]]="","", _xlfn.XLOOKUP(_xlfn.CONCAT(Buildings_Heat_Backend[[#This Row],[Level 1]:[Level 6]]),rng_EFConcat,rng_EF1)*Buildings_Heat_Backend[[#This Row],[Converted data]]/1000)</f>
        <v/>
      </c>
      <c r="AG192" s="210" t="str">
        <f>IF(Buildings_Heat_Frontend[[#This Row],[Data]]="","", _xlfn.XLOOKUP(_xlfn.CONCAT(Buildings_Heat_Backend[[#This Row],[Level 1]:[Level 6]]),rng_EFConcat,rng_EF2)*Buildings_Heat_Backend[[#This Row],[Converted data]]/1000)</f>
        <v/>
      </c>
      <c r="AH192" s="210" t="str">
        <f>IF(Buildings_Heat_Frontend[[#This Row],[Data]]="","", _xlfn.XLOOKUP(_xlfn.CONCAT(Buildings_Heat_Backend[[#This Row],[Level 1]:[Level 6]]),rng_EFConcat,rng_EF3)*Buildings_Heat_Backend[[#This Row],[Converted data]]/1000)</f>
        <v/>
      </c>
      <c r="AI192" s="210" t="str">
        <f>IF(Buildings_Heat_Frontend[[#This Row],[Data]]="","", _xlfn.XLOOKUP(_xlfn.CONCAT(Buildings_Heat_Backend[[#This Row],[Level 1]:[Level 6]]),rng_EFConcat,rng_EF3WTT)*Buildings_Heat_Backend[[#This Row],[Converted data]]/1000)</f>
        <v/>
      </c>
      <c r="AJ192" s="210" t="str">
        <f>IF(Buildings_Heat_Frontend[[#This Row],[Data]]="","", _xlfn.XLOOKUP(_xlfn.CONCAT(Buildings_Heat_Backend[[#This Row],[Level 1]:[Level 6]]),rng_EFConcat,rng_EF3TD)*Buildings_Heat_Backend[[#This Row],[Converted data]]/1000)</f>
        <v/>
      </c>
      <c r="AK192" s="210" t="str">
        <f>IF(Buildings_Heat_Frontend[[#This Row],[Data]]="","", _xlfn.XLOOKUP(_xlfn.CONCAT(Buildings_Heat_Backend[[#This Row],[Level 1]:[Level 6]]),rng_EFConcat,rng_EF3WTTTD)*Buildings_Heat_Backend[[#This Row],[Converted data]]/1000)</f>
        <v/>
      </c>
      <c r="AL192" s="220">
        <f>SUM(Buildings_Heat_Backend[[#This Row],[Scope 1 (tCO2e)]:[Scope 3 WTT T&amp;D (tCO2e)]])</f>
        <v>0</v>
      </c>
      <c r="AM192" s="220" t="str">
        <f>IF(Buildings_Heat_Frontend[[#This Row],[Data]]="","", Buildings_Heat_Backend[[#This Row],[Total (tCO2e)]]*(1-Buildings_Heat_Backend[[#This Row],[RSD]]))</f>
        <v/>
      </c>
      <c r="AN192" s="220" t="str">
        <f>IF(Buildings_Heat_Frontend[[#This Row],[Data]]="","", Buildings_Heat_Backend[[#This Row],[Total (tCO2e)]]*(1+Buildings_Heat_Backend[[#This Row],[RSD]]))</f>
        <v/>
      </c>
      <c r="AO192" s="210" t="str">
        <f>IF(Buildings_Heat_Frontend[[#This Row],[Data]]="","", _xlfn.XLOOKUP(_xlfn.CONCAT(Buildings_Heat_Backend[[#This Row],[Level 1]:[Level 6]]),rng_EFConcat,rng_EFOOS)*Buildings_Heat_Backend[[#This Row],[Converted data]]/1000)</f>
        <v/>
      </c>
      <c r="AP192" s="174">
        <f>Buildings_Heat_Frontend[[#This Row],[Ease of collection]]</f>
        <v>0</v>
      </c>
      <c r="AQ192" s="174">
        <f>Buildings_Heat_Frontend[[#This Row],[Completeness]]</f>
        <v>0</v>
      </c>
      <c r="AR192" s="174">
        <f>Buildings_Heat_Frontend[[#This Row],[Notes]]</f>
        <v>0</v>
      </c>
    </row>
    <row r="193" spans="5:44" x14ac:dyDescent="0.3">
      <c r="E193" s="346"/>
      <c r="F193" s="364"/>
      <c r="G193" s="336"/>
      <c r="H193" s="336"/>
      <c r="I193" s="336"/>
      <c r="J193" s="334"/>
      <c r="K193" s="336"/>
      <c r="L193" s="336"/>
      <c r="M193" s="336"/>
      <c r="N193" s="352"/>
      <c r="O193" s="230">
        <f t="shared" si="8"/>
        <v>6</v>
      </c>
      <c r="Q193" s="212" t="str">
        <f t="shared" si="6"/>
        <v/>
      </c>
      <c r="R193" s="174" t="s">
        <v>265</v>
      </c>
      <c r="S193" s="174" t="s">
        <v>273</v>
      </c>
      <c r="T193" s="174" t="str">
        <f>IF(Buildings_Heat_Frontend[[#This Row],[Data]]="","", _xlfn.XLOOKUP(Buildings_Heat_Backend[[#This Row],[Info 1]],Buildings_SiteInfo[Site name],Buildings_SiteInfo[Site type]))</f>
        <v/>
      </c>
      <c r="U193" s="174" t="str">
        <f>IF(Buildings_Heat_Frontend[[#This Row],[Data]]="","", Buildings_Heat_Frontend[[#This Row],[Heating Type]])</f>
        <v/>
      </c>
      <c r="V193" s="174" t="str">
        <f>IF(Buildings_Heat_Frontend[[#This Row],[Data]]="","", Buildings_Heat_Frontend[[#This Row],[Fuel]])</f>
        <v/>
      </c>
      <c r="W193" s="174" t="str" cm="1">
        <f t="array" ref="W193">IF(Buildings_Heat_Frontend[[#This Row],[Data]]="","", _xlfn.XLOOKUP(Buildings_Heat_Backend[[#This Row],[Level 5]],rng_Level5Long,rng_Level6Long))</f>
        <v/>
      </c>
      <c r="X193" s="174" t="str">
        <f>IF(Buildings_Heat_Frontend[[#This Row],[Data]]="","", Buildings_Heat_Frontend[[#This Row],[Site Name]])</f>
        <v/>
      </c>
      <c r="Y193" s="174" t="str">
        <f>IF(Buildings_Heat_Frontend[[#This Row],[Data]]="","", Buildings_Heat_Frontend[[#This Row],[MPRN]])</f>
        <v/>
      </c>
      <c r="Z193" s="174" t="str">
        <f>IF(Buildings_Heat_Frontend[[#This Row],[Data]]="","", IF($I193="","",$I193))</f>
        <v/>
      </c>
      <c r="AA193" s="229" t="str" cm="1">
        <f t="array" ref="AA193">IF(Buildings_Heat_Frontend[[#This Row],[Data]]="","", INDEX(_xlfn.SWITCH(Buildings_Heat_Backend[[#This Row],[Methodology]],"Tier 1",rng_RSD1,"Tier 2",rng_RSD2,"Tier 3",rng_RSD3),MATCH(_xlfn.CONCAT(Buildings_Heat_Backend[[#This Row],[Level 1]:[Level 6]]),rng_LevelsConcat,0)))</f>
        <v/>
      </c>
      <c r="AB193" s="220" t="str">
        <f t="shared" si="7"/>
        <v/>
      </c>
      <c r="AC193" s="174">
        <f>Buildings_Heat_Frontend[[#This Row],[Units]]</f>
        <v>0</v>
      </c>
      <c r="AD19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3" s="174" t="str">
        <f>IF(Buildings_Heat_Frontend[[#This Row],[Data]]="","", _xlfn.XLOOKUP(_xlfn.CONCAT(Buildings_Heat_Backend[[#This Row],[Level 1]:[Level 6]]),rng_LevelsConcat,rng_UnitsLong))</f>
        <v/>
      </c>
      <c r="AF193" s="210" t="str">
        <f>IF(Buildings_Heat_Frontend[[#This Row],[Data]]="","", _xlfn.XLOOKUP(_xlfn.CONCAT(Buildings_Heat_Backend[[#This Row],[Level 1]:[Level 6]]),rng_EFConcat,rng_EF1)*Buildings_Heat_Backend[[#This Row],[Converted data]]/1000)</f>
        <v/>
      </c>
      <c r="AG193" s="210" t="str">
        <f>IF(Buildings_Heat_Frontend[[#This Row],[Data]]="","", _xlfn.XLOOKUP(_xlfn.CONCAT(Buildings_Heat_Backend[[#This Row],[Level 1]:[Level 6]]),rng_EFConcat,rng_EF2)*Buildings_Heat_Backend[[#This Row],[Converted data]]/1000)</f>
        <v/>
      </c>
      <c r="AH193" s="210" t="str">
        <f>IF(Buildings_Heat_Frontend[[#This Row],[Data]]="","", _xlfn.XLOOKUP(_xlfn.CONCAT(Buildings_Heat_Backend[[#This Row],[Level 1]:[Level 6]]),rng_EFConcat,rng_EF3)*Buildings_Heat_Backend[[#This Row],[Converted data]]/1000)</f>
        <v/>
      </c>
      <c r="AI193" s="210" t="str">
        <f>IF(Buildings_Heat_Frontend[[#This Row],[Data]]="","", _xlfn.XLOOKUP(_xlfn.CONCAT(Buildings_Heat_Backend[[#This Row],[Level 1]:[Level 6]]),rng_EFConcat,rng_EF3WTT)*Buildings_Heat_Backend[[#This Row],[Converted data]]/1000)</f>
        <v/>
      </c>
      <c r="AJ193" s="210" t="str">
        <f>IF(Buildings_Heat_Frontend[[#This Row],[Data]]="","", _xlfn.XLOOKUP(_xlfn.CONCAT(Buildings_Heat_Backend[[#This Row],[Level 1]:[Level 6]]),rng_EFConcat,rng_EF3TD)*Buildings_Heat_Backend[[#This Row],[Converted data]]/1000)</f>
        <v/>
      </c>
      <c r="AK193" s="210" t="str">
        <f>IF(Buildings_Heat_Frontend[[#This Row],[Data]]="","", _xlfn.XLOOKUP(_xlfn.CONCAT(Buildings_Heat_Backend[[#This Row],[Level 1]:[Level 6]]),rng_EFConcat,rng_EF3WTTTD)*Buildings_Heat_Backend[[#This Row],[Converted data]]/1000)</f>
        <v/>
      </c>
      <c r="AL193" s="220">
        <f>SUM(Buildings_Heat_Backend[[#This Row],[Scope 1 (tCO2e)]:[Scope 3 WTT T&amp;D (tCO2e)]])</f>
        <v>0</v>
      </c>
      <c r="AM193" s="220" t="str">
        <f>IF(Buildings_Heat_Frontend[[#This Row],[Data]]="","", Buildings_Heat_Backend[[#This Row],[Total (tCO2e)]]*(1-Buildings_Heat_Backend[[#This Row],[RSD]]))</f>
        <v/>
      </c>
      <c r="AN193" s="220" t="str">
        <f>IF(Buildings_Heat_Frontend[[#This Row],[Data]]="","", Buildings_Heat_Backend[[#This Row],[Total (tCO2e)]]*(1+Buildings_Heat_Backend[[#This Row],[RSD]]))</f>
        <v/>
      </c>
      <c r="AO193" s="210" t="str">
        <f>IF(Buildings_Heat_Frontend[[#This Row],[Data]]="","", _xlfn.XLOOKUP(_xlfn.CONCAT(Buildings_Heat_Backend[[#This Row],[Level 1]:[Level 6]]),rng_EFConcat,rng_EFOOS)*Buildings_Heat_Backend[[#This Row],[Converted data]]/1000)</f>
        <v/>
      </c>
      <c r="AP193" s="174">
        <f>Buildings_Heat_Frontend[[#This Row],[Ease of collection]]</f>
        <v>0</v>
      </c>
      <c r="AQ193" s="174">
        <f>Buildings_Heat_Frontend[[#This Row],[Completeness]]</f>
        <v>0</v>
      </c>
      <c r="AR193" s="174">
        <f>Buildings_Heat_Frontend[[#This Row],[Notes]]</f>
        <v>0</v>
      </c>
    </row>
    <row r="194" spans="5:44" x14ac:dyDescent="0.3">
      <c r="E194" s="346"/>
      <c r="F194" s="364"/>
      <c r="G194" s="336"/>
      <c r="H194" s="336"/>
      <c r="I194" s="336"/>
      <c r="J194" s="334"/>
      <c r="K194" s="336"/>
      <c r="L194" s="336"/>
      <c r="M194" s="336"/>
      <c r="N194" s="352"/>
      <c r="O194" s="230">
        <f t="shared" si="8"/>
        <v>6</v>
      </c>
      <c r="Q194" s="212" t="str">
        <f t="shared" si="6"/>
        <v/>
      </c>
      <c r="R194" s="174" t="s">
        <v>265</v>
      </c>
      <c r="S194" s="174" t="s">
        <v>273</v>
      </c>
      <c r="T194" s="174" t="str">
        <f>IF(Buildings_Heat_Frontend[[#This Row],[Data]]="","", _xlfn.XLOOKUP(Buildings_Heat_Backend[[#This Row],[Info 1]],Buildings_SiteInfo[Site name],Buildings_SiteInfo[Site type]))</f>
        <v/>
      </c>
      <c r="U194" s="174" t="str">
        <f>IF(Buildings_Heat_Frontend[[#This Row],[Data]]="","", Buildings_Heat_Frontend[[#This Row],[Heating Type]])</f>
        <v/>
      </c>
      <c r="V194" s="174" t="str">
        <f>IF(Buildings_Heat_Frontend[[#This Row],[Data]]="","", Buildings_Heat_Frontend[[#This Row],[Fuel]])</f>
        <v/>
      </c>
      <c r="W194" s="174" t="str" cm="1">
        <f t="array" ref="W194">IF(Buildings_Heat_Frontend[[#This Row],[Data]]="","", _xlfn.XLOOKUP(Buildings_Heat_Backend[[#This Row],[Level 5]],rng_Level5Long,rng_Level6Long))</f>
        <v/>
      </c>
      <c r="X194" s="174" t="str">
        <f>IF(Buildings_Heat_Frontend[[#This Row],[Data]]="","", Buildings_Heat_Frontend[[#This Row],[Site Name]])</f>
        <v/>
      </c>
      <c r="Y194" s="174" t="str">
        <f>IF(Buildings_Heat_Frontend[[#This Row],[Data]]="","", Buildings_Heat_Frontend[[#This Row],[MPRN]])</f>
        <v/>
      </c>
      <c r="Z194" s="174" t="str">
        <f>IF(Buildings_Heat_Frontend[[#This Row],[Data]]="","", IF($I194="","",$I194))</f>
        <v/>
      </c>
      <c r="AA194" s="229" t="str" cm="1">
        <f t="array" ref="AA194">IF(Buildings_Heat_Frontend[[#This Row],[Data]]="","", INDEX(_xlfn.SWITCH(Buildings_Heat_Backend[[#This Row],[Methodology]],"Tier 1",rng_RSD1,"Tier 2",rng_RSD2,"Tier 3",rng_RSD3),MATCH(_xlfn.CONCAT(Buildings_Heat_Backend[[#This Row],[Level 1]:[Level 6]]),rng_LevelsConcat,0)))</f>
        <v/>
      </c>
      <c r="AB194" s="220" t="str">
        <f t="shared" si="7"/>
        <v/>
      </c>
      <c r="AC194" s="174">
        <f>Buildings_Heat_Frontend[[#This Row],[Units]]</f>
        <v>0</v>
      </c>
      <c r="AD19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4" s="174" t="str">
        <f>IF(Buildings_Heat_Frontend[[#This Row],[Data]]="","", _xlfn.XLOOKUP(_xlfn.CONCAT(Buildings_Heat_Backend[[#This Row],[Level 1]:[Level 6]]),rng_LevelsConcat,rng_UnitsLong))</f>
        <v/>
      </c>
      <c r="AF194" s="210" t="str">
        <f>IF(Buildings_Heat_Frontend[[#This Row],[Data]]="","", _xlfn.XLOOKUP(_xlfn.CONCAT(Buildings_Heat_Backend[[#This Row],[Level 1]:[Level 6]]),rng_EFConcat,rng_EF1)*Buildings_Heat_Backend[[#This Row],[Converted data]]/1000)</f>
        <v/>
      </c>
      <c r="AG194" s="210" t="str">
        <f>IF(Buildings_Heat_Frontend[[#This Row],[Data]]="","", _xlfn.XLOOKUP(_xlfn.CONCAT(Buildings_Heat_Backend[[#This Row],[Level 1]:[Level 6]]),rng_EFConcat,rng_EF2)*Buildings_Heat_Backend[[#This Row],[Converted data]]/1000)</f>
        <v/>
      </c>
      <c r="AH194" s="210" t="str">
        <f>IF(Buildings_Heat_Frontend[[#This Row],[Data]]="","", _xlfn.XLOOKUP(_xlfn.CONCAT(Buildings_Heat_Backend[[#This Row],[Level 1]:[Level 6]]),rng_EFConcat,rng_EF3)*Buildings_Heat_Backend[[#This Row],[Converted data]]/1000)</f>
        <v/>
      </c>
      <c r="AI194" s="210" t="str">
        <f>IF(Buildings_Heat_Frontend[[#This Row],[Data]]="","", _xlfn.XLOOKUP(_xlfn.CONCAT(Buildings_Heat_Backend[[#This Row],[Level 1]:[Level 6]]),rng_EFConcat,rng_EF3WTT)*Buildings_Heat_Backend[[#This Row],[Converted data]]/1000)</f>
        <v/>
      </c>
      <c r="AJ194" s="210" t="str">
        <f>IF(Buildings_Heat_Frontend[[#This Row],[Data]]="","", _xlfn.XLOOKUP(_xlfn.CONCAT(Buildings_Heat_Backend[[#This Row],[Level 1]:[Level 6]]),rng_EFConcat,rng_EF3TD)*Buildings_Heat_Backend[[#This Row],[Converted data]]/1000)</f>
        <v/>
      </c>
      <c r="AK194" s="210" t="str">
        <f>IF(Buildings_Heat_Frontend[[#This Row],[Data]]="","", _xlfn.XLOOKUP(_xlfn.CONCAT(Buildings_Heat_Backend[[#This Row],[Level 1]:[Level 6]]),rng_EFConcat,rng_EF3WTTTD)*Buildings_Heat_Backend[[#This Row],[Converted data]]/1000)</f>
        <v/>
      </c>
      <c r="AL194" s="220">
        <f>SUM(Buildings_Heat_Backend[[#This Row],[Scope 1 (tCO2e)]:[Scope 3 WTT T&amp;D (tCO2e)]])</f>
        <v>0</v>
      </c>
      <c r="AM194" s="220" t="str">
        <f>IF(Buildings_Heat_Frontend[[#This Row],[Data]]="","", Buildings_Heat_Backend[[#This Row],[Total (tCO2e)]]*(1-Buildings_Heat_Backend[[#This Row],[RSD]]))</f>
        <v/>
      </c>
      <c r="AN194" s="220" t="str">
        <f>IF(Buildings_Heat_Frontend[[#This Row],[Data]]="","", Buildings_Heat_Backend[[#This Row],[Total (tCO2e)]]*(1+Buildings_Heat_Backend[[#This Row],[RSD]]))</f>
        <v/>
      </c>
      <c r="AO194" s="210" t="str">
        <f>IF(Buildings_Heat_Frontend[[#This Row],[Data]]="","", _xlfn.XLOOKUP(_xlfn.CONCAT(Buildings_Heat_Backend[[#This Row],[Level 1]:[Level 6]]),rng_EFConcat,rng_EFOOS)*Buildings_Heat_Backend[[#This Row],[Converted data]]/1000)</f>
        <v/>
      </c>
      <c r="AP194" s="174">
        <f>Buildings_Heat_Frontend[[#This Row],[Ease of collection]]</f>
        <v>0</v>
      </c>
      <c r="AQ194" s="174">
        <f>Buildings_Heat_Frontend[[#This Row],[Completeness]]</f>
        <v>0</v>
      </c>
      <c r="AR194" s="174">
        <f>Buildings_Heat_Frontend[[#This Row],[Notes]]</f>
        <v>0</v>
      </c>
    </row>
    <row r="195" spans="5:44" x14ac:dyDescent="0.3">
      <c r="E195" s="346"/>
      <c r="F195" s="364"/>
      <c r="G195" s="336"/>
      <c r="H195" s="336"/>
      <c r="I195" s="336"/>
      <c r="J195" s="334"/>
      <c r="K195" s="336"/>
      <c r="L195" s="336"/>
      <c r="M195" s="336"/>
      <c r="N195" s="352"/>
      <c r="O195" s="230">
        <f t="shared" si="8"/>
        <v>6</v>
      </c>
      <c r="Q195" s="212" t="str">
        <f t="shared" si="6"/>
        <v/>
      </c>
      <c r="R195" s="174" t="s">
        <v>265</v>
      </c>
      <c r="S195" s="174" t="s">
        <v>273</v>
      </c>
      <c r="T195" s="174" t="str">
        <f>IF(Buildings_Heat_Frontend[[#This Row],[Data]]="","", _xlfn.XLOOKUP(Buildings_Heat_Backend[[#This Row],[Info 1]],Buildings_SiteInfo[Site name],Buildings_SiteInfo[Site type]))</f>
        <v/>
      </c>
      <c r="U195" s="174" t="str">
        <f>IF(Buildings_Heat_Frontend[[#This Row],[Data]]="","", Buildings_Heat_Frontend[[#This Row],[Heating Type]])</f>
        <v/>
      </c>
      <c r="V195" s="174" t="str">
        <f>IF(Buildings_Heat_Frontend[[#This Row],[Data]]="","", Buildings_Heat_Frontend[[#This Row],[Fuel]])</f>
        <v/>
      </c>
      <c r="W195" s="174" t="str" cm="1">
        <f t="array" ref="W195">IF(Buildings_Heat_Frontend[[#This Row],[Data]]="","", _xlfn.XLOOKUP(Buildings_Heat_Backend[[#This Row],[Level 5]],rng_Level5Long,rng_Level6Long))</f>
        <v/>
      </c>
      <c r="X195" s="174" t="str">
        <f>IF(Buildings_Heat_Frontend[[#This Row],[Data]]="","", Buildings_Heat_Frontend[[#This Row],[Site Name]])</f>
        <v/>
      </c>
      <c r="Y195" s="174" t="str">
        <f>IF(Buildings_Heat_Frontend[[#This Row],[Data]]="","", Buildings_Heat_Frontend[[#This Row],[MPRN]])</f>
        <v/>
      </c>
      <c r="Z195" s="174" t="str">
        <f>IF(Buildings_Heat_Frontend[[#This Row],[Data]]="","", IF($I195="","",$I195))</f>
        <v/>
      </c>
      <c r="AA195" s="229" t="str" cm="1">
        <f t="array" ref="AA195">IF(Buildings_Heat_Frontend[[#This Row],[Data]]="","", INDEX(_xlfn.SWITCH(Buildings_Heat_Backend[[#This Row],[Methodology]],"Tier 1",rng_RSD1,"Tier 2",rng_RSD2,"Tier 3",rng_RSD3),MATCH(_xlfn.CONCAT(Buildings_Heat_Backend[[#This Row],[Level 1]:[Level 6]]),rng_LevelsConcat,0)))</f>
        <v/>
      </c>
      <c r="AB195" s="220" t="str">
        <f t="shared" si="7"/>
        <v/>
      </c>
      <c r="AC195" s="174">
        <f>Buildings_Heat_Frontend[[#This Row],[Units]]</f>
        <v>0</v>
      </c>
      <c r="AD19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5" s="174" t="str">
        <f>IF(Buildings_Heat_Frontend[[#This Row],[Data]]="","", _xlfn.XLOOKUP(_xlfn.CONCAT(Buildings_Heat_Backend[[#This Row],[Level 1]:[Level 6]]),rng_LevelsConcat,rng_UnitsLong))</f>
        <v/>
      </c>
      <c r="AF195" s="210" t="str">
        <f>IF(Buildings_Heat_Frontend[[#This Row],[Data]]="","", _xlfn.XLOOKUP(_xlfn.CONCAT(Buildings_Heat_Backend[[#This Row],[Level 1]:[Level 6]]),rng_EFConcat,rng_EF1)*Buildings_Heat_Backend[[#This Row],[Converted data]]/1000)</f>
        <v/>
      </c>
      <c r="AG195" s="210" t="str">
        <f>IF(Buildings_Heat_Frontend[[#This Row],[Data]]="","", _xlfn.XLOOKUP(_xlfn.CONCAT(Buildings_Heat_Backend[[#This Row],[Level 1]:[Level 6]]),rng_EFConcat,rng_EF2)*Buildings_Heat_Backend[[#This Row],[Converted data]]/1000)</f>
        <v/>
      </c>
      <c r="AH195" s="210" t="str">
        <f>IF(Buildings_Heat_Frontend[[#This Row],[Data]]="","", _xlfn.XLOOKUP(_xlfn.CONCAT(Buildings_Heat_Backend[[#This Row],[Level 1]:[Level 6]]),rng_EFConcat,rng_EF3)*Buildings_Heat_Backend[[#This Row],[Converted data]]/1000)</f>
        <v/>
      </c>
      <c r="AI195" s="210" t="str">
        <f>IF(Buildings_Heat_Frontend[[#This Row],[Data]]="","", _xlfn.XLOOKUP(_xlfn.CONCAT(Buildings_Heat_Backend[[#This Row],[Level 1]:[Level 6]]),rng_EFConcat,rng_EF3WTT)*Buildings_Heat_Backend[[#This Row],[Converted data]]/1000)</f>
        <v/>
      </c>
      <c r="AJ195" s="210" t="str">
        <f>IF(Buildings_Heat_Frontend[[#This Row],[Data]]="","", _xlfn.XLOOKUP(_xlfn.CONCAT(Buildings_Heat_Backend[[#This Row],[Level 1]:[Level 6]]),rng_EFConcat,rng_EF3TD)*Buildings_Heat_Backend[[#This Row],[Converted data]]/1000)</f>
        <v/>
      </c>
      <c r="AK195" s="210" t="str">
        <f>IF(Buildings_Heat_Frontend[[#This Row],[Data]]="","", _xlfn.XLOOKUP(_xlfn.CONCAT(Buildings_Heat_Backend[[#This Row],[Level 1]:[Level 6]]),rng_EFConcat,rng_EF3WTTTD)*Buildings_Heat_Backend[[#This Row],[Converted data]]/1000)</f>
        <v/>
      </c>
      <c r="AL195" s="220">
        <f>SUM(Buildings_Heat_Backend[[#This Row],[Scope 1 (tCO2e)]:[Scope 3 WTT T&amp;D (tCO2e)]])</f>
        <v>0</v>
      </c>
      <c r="AM195" s="220" t="str">
        <f>IF(Buildings_Heat_Frontend[[#This Row],[Data]]="","", Buildings_Heat_Backend[[#This Row],[Total (tCO2e)]]*(1-Buildings_Heat_Backend[[#This Row],[RSD]]))</f>
        <v/>
      </c>
      <c r="AN195" s="220" t="str">
        <f>IF(Buildings_Heat_Frontend[[#This Row],[Data]]="","", Buildings_Heat_Backend[[#This Row],[Total (tCO2e)]]*(1+Buildings_Heat_Backend[[#This Row],[RSD]]))</f>
        <v/>
      </c>
      <c r="AO195" s="210" t="str">
        <f>IF(Buildings_Heat_Frontend[[#This Row],[Data]]="","", _xlfn.XLOOKUP(_xlfn.CONCAT(Buildings_Heat_Backend[[#This Row],[Level 1]:[Level 6]]),rng_EFConcat,rng_EFOOS)*Buildings_Heat_Backend[[#This Row],[Converted data]]/1000)</f>
        <v/>
      </c>
      <c r="AP195" s="174">
        <f>Buildings_Heat_Frontend[[#This Row],[Ease of collection]]</f>
        <v>0</v>
      </c>
      <c r="AQ195" s="174">
        <f>Buildings_Heat_Frontend[[#This Row],[Completeness]]</f>
        <v>0</v>
      </c>
      <c r="AR195" s="174">
        <f>Buildings_Heat_Frontend[[#This Row],[Notes]]</f>
        <v>0</v>
      </c>
    </row>
    <row r="196" spans="5:44" x14ac:dyDescent="0.3">
      <c r="E196" s="346"/>
      <c r="F196" s="364"/>
      <c r="G196" s="336"/>
      <c r="H196" s="336"/>
      <c r="I196" s="336"/>
      <c r="J196" s="334"/>
      <c r="K196" s="336"/>
      <c r="L196" s="336"/>
      <c r="M196" s="336"/>
      <c r="N196" s="352"/>
      <c r="O196" s="230">
        <f t="shared" si="8"/>
        <v>6</v>
      </c>
      <c r="Q196" s="212" t="str">
        <f t="shared" si="6"/>
        <v/>
      </c>
      <c r="R196" s="174" t="s">
        <v>265</v>
      </c>
      <c r="S196" s="174" t="s">
        <v>273</v>
      </c>
      <c r="T196" s="174" t="str">
        <f>IF(Buildings_Heat_Frontend[[#This Row],[Data]]="","", _xlfn.XLOOKUP(Buildings_Heat_Backend[[#This Row],[Info 1]],Buildings_SiteInfo[Site name],Buildings_SiteInfo[Site type]))</f>
        <v/>
      </c>
      <c r="U196" s="174" t="str">
        <f>IF(Buildings_Heat_Frontend[[#This Row],[Data]]="","", Buildings_Heat_Frontend[[#This Row],[Heating Type]])</f>
        <v/>
      </c>
      <c r="V196" s="174" t="str">
        <f>IF(Buildings_Heat_Frontend[[#This Row],[Data]]="","", Buildings_Heat_Frontend[[#This Row],[Fuel]])</f>
        <v/>
      </c>
      <c r="W196" s="174" t="str" cm="1">
        <f t="array" ref="W196">IF(Buildings_Heat_Frontend[[#This Row],[Data]]="","", _xlfn.XLOOKUP(Buildings_Heat_Backend[[#This Row],[Level 5]],rng_Level5Long,rng_Level6Long))</f>
        <v/>
      </c>
      <c r="X196" s="174" t="str">
        <f>IF(Buildings_Heat_Frontend[[#This Row],[Data]]="","", Buildings_Heat_Frontend[[#This Row],[Site Name]])</f>
        <v/>
      </c>
      <c r="Y196" s="174" t="str">
        <f>IF(Buildings_Heat_Frontend[[#This Row],[Data]]="","", Buildings_Heat_Frontend[[#This Row],[MPRN]])</f>
        <v/>
      </c>
      <c r="Z196" s="174" t="str">
        <f>IF(Buildings_Heat_Frontend[[#This Row],[Data]]="","", IF($I196="","",$I196))</f>
        <v/>
      </c>
      <c r="AA196" s="229" t="str" cm="1">
        <f t="array" ref="AA196">IF(Buildings_Heat_Frontend[[#This Row],[Data]]="","", INDEX(_xlfn.SWITCH(Buildings_Heat_Backend[[#This Row],[Methodology]],"Tier 1",rng_RSD1,"Tier 2",rng_RSD2,"Tier 3",rng_RSD3),MATCH(_xlfn.CONCAT(Buildings_Heat_Backend[[#This Row],[Level 1]:[Level 6]]),rng_LevelsConcat,0)))</f>
        <v/>
      </c>
      <c r="AB196" s="220" t="str">
        <f t="shared" si="7"/>
        <v/>
      </c>
      <c r="AC196" s="174">
        <f>Buildings_Heat_Frontend[[#This Row],[Units]]</f>
        <v>0</v>
      </c>
      <c r="AD19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6" s="174" t="str">
        <f>IF(Buildings_Heat_Frontend[[#This Row],[Data]]="","", _xlfn.XLOOKUP(_xlfn.CONCAT(Buildings_Heat_Backend[[#This Row],[Level 1]:[Level 6]]),rng_LevelsConcat,rng_UnitsLong))</f>
        <v/>
      </c>
      <c r="AF196" s="210" t="str">
        <f>IF(Buildings_Heat_Frontend[[#This Row],[Data]]="","", _xlfn.XLOOKUP(_xlfn.CONCAT(Buildings_Heat_Backend[[#This Row],[Level 1]:[Level 6]]),rng_EFConcat,rng_EF1)*Buildings_Heat_Backend[[#This Row],[Converted data]]/1000)</f>
        <v/>
      </c>
      <c r="AG196" s="210" t="str">
        <f>IF(Buildings_Heat_Frontend[[#This Row],[Data]]="","", _xlfn.XLOOKUP(_xlfn.CONCAT(Buildings_Heat_Backend[[#This Row],[Level 1]:[Level 6]]),rng_EFConcat,rng_EF2)*Buildings_Heat_Backend[[#This Row],[Converted data]]/1000)</f>
        <v/>
      </c>
      <c r="AH196" s="210" t="str">
        <f>IF(Buildings_Heat_Frontend[[#This Row],[Data]]="","", _xlfn.XLOOKUP(_xlfn.CONCAT(Buildings_Heat_Backend[[#This Row],[Level 1]:[Level 6]]),rng_EFConcat,rng_EF3)*Buildings_Heat_Backend[[#This Row],[Converted data]]/1000)</f>
        <v/>
      </c>
      <c r="AI196" s="210" t="str">
        <f>IF(Buildings_Heat_Frontend[[#This Row],[Data]]="","", _xlfn.XLOOKUP(_xlfn.CONCAT(Buildings_Heat_Backend[[#This Row],[Level 1]:[Level 6]]),rng_EFConcat,rng_EF3WTT)*Buildings_Heat_Backend[[#This Row],[Converted data]]/1000)</f>
        <v/>
      </c>
      <c r="AJ196" s="210" t="str">
        <f>IF(Buildings_Heat_Frontend[[#This Row],[Data]]="","", _xlfn.XLOOKUP(_xlfn.CONCAT(Buildings_Heat_Backend[[#This Row],[Level 1]:[Level 6]]),rng_EFConcat,rng_EF3TD)*Buildings_Heat_Backend[[#This Row],[Converted data]]/1000)</f>
        <v/>
      </c>
      <c r="AK196" s="210" t="str">
        <f>IF(Buildings_Heat_Frontend[[#This Row],[Data]]="","", _xlfn.XLOOKUP(_xlfn.CONCAT(Buildings_Heat_Backend[[#This Row],[Level 1]:[Level 6]]),rng_EFConcat,rng_EF3WTTTD)*Buildings_Heat_Backend[[#This Row],[Converted data]]/1000)</f>
        <v/>
      </c>
      <c r="AL196" s="220">
        <f>SUM(Buildings_Heat_Backend[[#This Row],[Scope 1 (tCO2e)]:[Scope 3 WTT T&amp;D (tCO2e)]])</f>
        <v>0</v>
      </c>
      <c r="AM196" s="220" t="str">
        <f>IF(Buildings_Heat_Frontend[[#This Row],[Data]]="","", Buildings_Heat_Backend[[#This Row],[Total (tCO2e)]]*(1-Buildings_Heat_Backend[[#This Row],[RSD]]))</f>
        <v/>
      </c>
      <c r="AN196" s="220" t="str">
        <f>IF(Buildings_Heat_Frontend[[#This Row],[Data]]="","", Buildings_Heat_Backend[[#This Row],[Total (tCO2e)]]*(1+Buildings_Heat_Backend[[#This Row],[RSD]]))</f>
        <v/>
      </c>
      <c r="AO196" s="210" t="str">
        <f>IF(Buildings_Heat_Frontend[[#This Row],[Data]]="","", _xlfn.XLOOKUP(_xlfn.CONCAT(Buildings_Heat_Backend[[#This Row],[Level 1]:[Level 6]]),rng_EFConcat,rng_EFOOS)*Buildings_Heat_Backend[[#This Row],[Converted data]]/1000)</f>
        <v/>
      </c>
      <c r="AP196" s="174">
        <f>Buildings_Heat_Frontend[[#This Row],[Ease of collection]]</f>
        <v>0</v>
      </c>
      <c r="AQ196" s="174">
        <f>Buildings_Heat_Frontend[[#This Row],[Completeness]]</f>
        <v>0</v>
      </c>
      <c r="AR196" s="174">
        <f>Buildings_Heat_Frontend[[#This Row],[Notes]]</f>
        <v>0</v>
      </c>
    </row>
    <row r="197" spans="5:44" x14ac:dyDescent="0.3">
      <c r="E197" s="346"/>
      <c r="F197" s="364"/>
      <c r="G197" s="336"/>
      <c r="H197" s="336"/>
      <c r="I197" s="336"/>
      <c r="J197" s="334"/>
      <c r="K197" s="336"/>
      <c r="L197" s="336"/>
      <c r="M197" s="336"/>
      <c r="N197" s="352"/>
      <c r="O197" s="230">
        <f t="shared" si="8"/>
        <v>6</v>
      </c>
      <c r="Q197" s="212" t="str">
        <f t="shared" si="6"/>
        <v/>
      </c>
      <c r="R197" s="174" t="s">
        <v>265</v>
      </c>
      <c r="S197" s="174" t="s">
        <v>273</v>
      </c>
      <c r="T197" s="174" t="str">
        <f>IF(Buildings_Heat_Frontend[[#This Row],[Data]]="","", _xlfn.XLOOKUP(Buildings_Heat_Backend[[#This Row],[Info 1]],Buildings_SiteInfo[Site name],Buildings_SiteInfo[Site type]))</f>
        <v/>
      </c>
      <c r="U197" s="174" t="str">
        <f>IF(Buildings_Heat_Frontend[[#This Row],[Data]]="","", Buildings_Heat_Frontend[[#This Row],[Heating Type]])</f>
        <v/>
      </c>
      <c r="V197" s="174" t="str">
        <f>IF(Buildings_Heat_Frontend[[#This Row],[Data]]="","", Buildings_Heat_Frontend[[#This Row],[Fuel]])</f>
        <v/>
      </c>
      <c r="W197" s="174" t="str" cm="1">
        <f t="array" ref="W197">IF(Buildings_Heat_Frontend[[#This Row],[Data]]="","", _xlfn.XLOOKUP(Buildings_Heat_Backend[[#This Row],[Level 5]],rng_Level5Long,rng_Level6Long))</f>
        <v/>
      </c>
      <c r="X197" s="174" t="str">
        <f>IF(Buildings_Heat_Frontend[[#This Row],[Data]]="","", Buildings_Heat_Frontend[[#This Row],[Site Name]])</f>
        <v/>
      </c>
      <c r="Y197" s="174" t="str">
        <f>IF(Buildings_Heat_Frontend[[#This Row],[Data]]="","", Buildings_Heat_Frontend[[#This Row],[MPRN]])</f>
        <v/>
      </c>
      <c r="Z197" s="174" t="str">
        <f>IF(Buildings_Heat_Frontend[[#This Row],[Data]]="","", IF($I197="","",$I197))</f>
        <v/>
      </c>
      <c r="AA197" s="229" t="str" cm="1">
        <f t="array" ref="AA197">IF(Buildings_Heat_Frontend[[#This Row],[Data]]="","", INDEX(_xlfn.SWITCH(Buildings_Heat_Backend[[#This Row],[Methodology]],"Tier 1",rng_RSD1,"Tier 2",rng_RSD2,"Tier 3",rng_RSD3),MATCH(_xlfn.CONCAT(Buildings_Heat_Backend[[#This Row],[Level 1]:[Level 6]]),rng_LevelsConcat,0)))</f>
        <v/>
      </c>
      <c r="AB197" s="220" t="str">
        <f t="shared" si="7"/>
        <v/>
      </c>
      <c r="AC197" s="174">
        <f>Buildings_Heat_Frontend[[#This Row],[Units]]</f>
        <v>0</v>
      </c>
      <c r="AD19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7" s="174" t="str">
        <f>IF(Buildings_Heat_Frontend[[#This Row],[Data]]="","", _xlfn.XLOOKUP(_xlfn.CONCAT(Buildings_Heat_Backend[[#This Row],[Level 1]:[Level 6]]),rng_LevelsConcat,rng_UnitsLong))</f>
        <v/>
      </c>
      <c r="AF197" s="210" t="str">
        <f>IF(Buildings_Heat_Frontend[[#This Row],[Data]]="","", _xlfn.XLOOKUP(_xlfn.CONCAT(Buildings_Heat_Backend[[#This Row],[Level 1]:[Level 6]]),rng_EFConcat,rng_EF1)*Buildings_Heat_Backend[[#This Row],[Converted data]]/1000)</f>
        <v/>
      </c>
      <c r="AG197" s="210" t="str">
        <f>IF(Buildings_Heat_Frontend[[#This Row],[Data]]="","", _xlfn.XLOOKUP(_xlfn.CONCAT(Buildings_Heat_Backend[[#This Row],[Level 1]:[Level 6]]),rng_EFConcat,rng_EF2)*Buildings_Heat_Backend[[#This Row],[Converted data]]/1000)</f>
        <v/>
      </c>
      <c r="AH197" s="210" t="str">
        <f>IF(Buildings_Heat_Frontend[[#This Row],[Data]]="","", _xlfn.XLOOKUP(_xlfn.CONCAT(Buildings_Heat_Backend[[#This Row],[Level 1]:[Level 6]]),rng_EFConcat,rng_EF3)*Buildings_Heat_Backend[[#This Row],[Converted data]]/1000)</f>
        <v/>
      </c>
      <c r="AI197" s="210" t="str">
        <f>IF(Buildings_Heat_Frontend[[#This Row],[Data]]="","", _xlfn.XLOOKUP(_xlfn.CONCAT(Buildings_Heat_Backend[[#This Row],[Level 1]:[Level 6]]),rng_EFConcat,rng_EF3WTT)*Buildings_Heat_Backend[[#This Row],[Converted data]]/1000)</f>
        <v/>
      </c>
      <c r="AJ197" s="210" t="str">
        <f>IF(Buildings_Heat_Frontend[[#This Row],[Data]]="","", _xlfn.XLOOKUP(_xlfn.CONCAT(Buildings_Heat_Backend[[#This Row],[Level 1]:[Level 6]]),rng_EFConcat,rng_EF3TD)*Buildings_Heat_Backend[[#This Row],[Converted data]]/1000)</f>
        <v/>
      </c>
      <c r="AK197" s="210" t="str">
        <f>IF(Buildings_Heat_Frontend[[#This Row],[Data]]="","", _xlfn.XLOOKUP(_xlfn.CONCAT(Buildings_Heat_Backend[[#This Row],[Level 1]:[Level 6]]),rng_EFConcat,rng_EF3WTTTD)*Buildings_Heat_Backend[[#This Row],[Converted data]]/1000)</f>
        <v/>
      </c>
      <c r="AL197" s="220">
        <f>SUM(Buildings_Heat_Backend[[#This Row],[Scope 1 (tCO2e)]:[Scope 3 WTT T&amp;D (tCO2e)]])</f>
        <v>0</v>
      </c>
      <c r="AM197" s="220" t="str">
        <f>IF(Buildings_Heat_Frontend[[#This Row],[Data]]="","", Buildings_Heat_Backend[[#This Row],[Total (tCO2e)]]*(1-Buildings_Heat_Backend[[#This Row],[RSD]]))</f>
        <v/>
      </c>
      <c r="AN197" s="220" t="str">
        <f>IF(Buildings_Heat_Frontend[[#This Row],[Data]]="","", Buildings_Heat_Backend[[#This Row],[Total (tCO2e)]]*(1+Buildings_Heat_Backend[[#This Row],[RSD]]))</f>
        <v/>
      </c>
      <c r="AO197" s="210" t="str">
        <f>IF(Buildings_Heat_Frontend[[#This Row],[Data]]="","", _xlfn.XLOOKUP(_xlfn.CONCAT(Buildings_Heat_Backend[[#This Row],[Level 1]:[Level 6]]),rng_EFConcat,rng_EFOOS)*Buildings_Heat_Backend[[#This Row],[Converted data]]/1000)</f>
        <v/>
      </c>
      <c r="AP197" s="174">
        <f>Buildings_Heat_Frontend[[#This Row],[Ease of collection]]</f>
        <v>0</v>
      </c>
      <c r="AQ197" s="174">
        <f>Buildings_Heat_Frontend[[#This Row],[Completeness]]</f>
        <v>0</v>
      </c>
      <c r="AR197" s="174">
        <f>Buildings_Heat_Frontend[[#This Row],[Notes]]</f>
        <v>0</v>
      </c>
    </row>
    <row r="198" spans="5:44" x14ac:dyDescent="0.3">
      <c r="E198" s="346"/>
      <c r="F198" s="364"/>
      <c r="G198" s="336"/>
      <c r="H198" s="336"/>
      <c r="I198" s="336"/>
      <c r="J198" s="334"/>
      <c r="K198" s="336"/>
      <c r="L198" s="336"/>
      <c r="M198" s="336"/>
      <c r="N198" s="352"/>
      <c r="O198" s="230">
        <f t="shared" si="8"/>
        <v>6</v>
      </c>
      <c r="Q198" s="212" t="str">
        <f t="shared" si="6"/>
        <v/>
      </c>
      <c r="R198" s="174" t="s">
        <v>265</v>
      </c>
      <c r="S198" s="174" t="s">
        <v>273</v>
      </c>
      <c r="T198" s="174" t="str">
        <f>IF(Buildings_Heat_Frontend[[#This Row],[Data]]="","", _xlfn.XLOOKUP(Buildings_Heat_Backend[[#This Row],[Info 1]],Buildings_SiteInfo[Site name],Buildings_SiteInfo[Site type]))</f>
        <v/>
      </c>
      <c r="U198" s="174" t="str">
        <f>IF(Buildings_Heat_Frontend[[#This Row],[Data]]="","", Buildings_Heat_Frontend[[#This Row],[Heating Type]])</f>
        <v/>
      </c>
      <c r="V198" s="174" t="str">
        <f>IF(Buildings_Heat_Frontend[[#This Row],[Data]]="","", Buildings_Heat_Frontend[[#This Row],[Fuel]])</f>
        <v/>
      </c>
      <c r="W198" s="174" t="str" cm="1">
        <f t="array" ref="W198">IF(Buildings_Heat_Frontend[[#This Row],[Data]]="","", _xlfn.XLOOKUP(Buildings_Heat_Backend[[#This Row],[Level 5]],rng_Level5Long,rng_Level6Long))</f>
        <v/>
      </c>
      <c r="X198" s="174" t="str">
        <f>IF(Buildings_Heat_Frontend[[#This Row],[Data]]="","", Buildings_Heat_Frontend[[#This Row],[Site Name]])</f>
        <v/>
      </c>
      <c r="Y198" s="174" t="str">
        <f>IF(Buildings_Heat_Frontend[[#This Row],[Data]]="","", Buildings_Heat_Frontend[[#This Row],[MPRN]])</f>
        <v/>
      </c>
      <c r="Z198" s="174" t="str">
        <f>IF(Buildings_Heat_Frontend[[#This Row],[Data]]="","", IF($I198="","",$I198))</f>
        <v/>
      </c>
      <c r="AA198" s="229" t="str" cm="1">
        <f t="array" ref="AA198">IF(Buildings_Heat_Frontend[[#This Row],[Data]]="","", INDEX(_xlfn.SWITCH(Buildings_Heat_Backend[[#This Row],[Methodology]],"Tier 1",rng_RSD1,"Tier 2",rng_RSD2,"Tier 3",rng_RSD3),MATCH(_xlfn.CONCAT(Buildings_Heat_Backend[[#This Row],[Level 1]:[Level 6]]),rng_LevelsConcat,0)))</f>
        <v/>
      </c>
      <c r="AB198" s="220" t="str">
        <f t="shared" si="7"/>
        <v/>
      </c>
      <c r="AC198" s="174">
        <f>Buildings_Heat_Frontend[[#This Row],[Units]]</f>
        <v>0</v>
      </c>
      <c r="AD19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8" s="174" t="str">
        <f>IF(Buildings_Heat_Frontend[[#This Row],[Data]]="","", _xlfn.XLOOKUP(_xlfn.CONCAT(Buildings_Heat_Backend[[#This Row],[Level 1]:[Level 6]]),rng_LevelsConcat,rng_UnitsLong))</f>
        <v/>
      </c>
      <c r="AF198" s="210" t="str">
        <f>IF(Buildings_Heat_Frontend[[#This Row],[Data]]="","", _xlfn.XLOOKUP(_xlfn.CONCAT(Buildings_Heat_Backend[[#This Row],[Level 1]:[Level 6]]),rng_EFConcat,rng_EF1)*Buildings_Heat_Backend[[#This Row],[Converted data]]/1000)</f>
        <v/>
      </c>
      <c r="AG198" s="210" t="str">
        <f>IF(Buildings_Heat_Frontend[[#This Row],[Data]]="","", _xlfn.XLOOKUP(_xlfn.CONCAT(Buildings_Heat_Backend[[#This Row],[Level 1]:[Level 6]]),rng_EFConcat,rng_EF2)*Buildings_Heat_Backend[[#This Row],[Converted data]]/1000)</f>
        <v/>
      </c>
      <c r="AH198" s="210" t="str">
        <f>IF(Buildings_Heat_Frontend[[#This Row],[Data]]="","", _xlfn.XLOOKUP(_xlfn.CONCAT(Buildings_Heat_Backend[[#This Row],[Level 1]:[Level 6]]),rng_EFConcat,rng_EF3)*Buildings_Heat_Backend[[#This Row],[Converted data]]/1000)</f>
        <v/>
      </c>
      <c r="AI198" s="210" t="str">
        <f>IF(Buildings_Heat_Frontend[[#This Row],[Data]]="","", _xlfn.XLOOKUP(_xlfn.CONCAT(Buildings_Heat_Backend[[#This Row],[Level 1]:[Level 6]]),rng_EFConcat,rng_EF3WTT)*Buildings_Heat_Backend[[#This Row],[Converted data]]/1000)</f>
        <v/>
      </c>
      <c r="AJ198" s="210" t="str">
        <f>IF(Buildings_Heat_Frontend[[#This Row],[Data]]="","", _xlfn.XLOOKUP(_xlfn.CONCAT(Buildings_Heat_Backend[[#This Row],[Level 1]:[Level 6]]),rng_EFConcat,rng_EF3TD)*Buildings_Heat_Backend[[#This Row],[Converted data]]/1000)</f>
        <v/>
      </c>
      <c r="AK198" s="210" t="str">
        <f>IF(Buildings_Heat_Frontend[[#This Row],[Data]]="","", _xlfn.XLOOKUP(_xlfn.CONCAT(Buildings_Heat_Backend[[#This Row],[Level 1]:[Level 6]]),rng_EFConcat,rng_EF3WTTTD)*Buildings_Heat_Backend[[#This Row],[Converted data]]/1000)</f>
        <v/>
      </c>
      <c r="AL198" s="220">
        <f>SUM(Buildings_Heat_Backend[[#This Row],[Scope 1 (tCO2e)]:[Scope 3 WTT T&amp;D (tCO2e)]])</f>
        <v>0</v>
      </c>
      <c r="AM198" s="220" t="str">
        <f>IF(Buildings_Heat_Frontend[[#This Row],[Data]]="","", Buildings_Heat_Backend[[#This Row],[Total (tCO2e)]]*(1-Buildings_Heat_Backend[[#This Row],[RSD]]))</f>
        <v/>
      </c>
      <c r="AN198" s="220" t="str">
        <f>IF(Buildings_Heat_Frontend[[#This Row],[Data]]="","", Buildings_Heat_Backend[[#This Row],[Total (tCO2e)]]*(1+Buildings_Heat_Backend[[#This Row],[RSD]]))</f>
        <v/>
      </c>
      <c r="AO198" s="210" t="str">
        <f>IF(Buildings_Heat_Frontend[[#This Row],[Data]]="","", _xlfn.XLOOKUP(_xlfn.CONCAT(Buildings_Heat_Backend[[#This Row],[Level 1]:[Level 6]]),rng_EFConcat,rng_EFOOS)*Buildings_Heat_Backend[[#This Row],[Converted data]]/1000)</f>
        <v/>
      </c>
      <c r="AP198" s="174">
        <f>Buildings_Heat_Frontend[[#This Row],[Ease of collection]]</f>
        <v>0</v>
      </c>
      <c r="AQ198" s="174">
        <f>Buildings_Heat_Frontend[[#This Row],[Completeness]]</f>
        <v>0</v>
      </c>
      <c r="AR198" s="174">
        <f>Buildings_Heat_Frontend[[#This Row],[Notes]]</f>
        <v>0</v>
      </c>
    </row>
    <row r="199" spans="5:44" x14ac:dyDescent="0.3">
      <c r="E199" s="346"/>
      <c r="F199" s="364"/>
      <c r="G199" s="336"/>
      <c r="H199" s="336"/>
      <c r="I199" s="336"/>
      <c r="J199" s="334"/>
      <c r="K199" s="336"/>
      <c r="L199" s="336"/>
      <c r="M199" s="336"/>
      <c r="N199" s="352"/>
      <c r="O199" s="230">
        <f t="shared" si="8"/>
        <v>6</v>
      </c>
      <c r="Q199" s="212" t="str">
        <f t="shared" si="6"/>
        <v/>
      </c>
      <c r="R199" s="174" t="s">
        <v>265</v>
      </c>
      <c r="S199" s="174" t="s">
        <v>273</v>
      </c>
      <c r="T199" s="174" t="str">
        <f>IF(Buildings_Heat_Frontend[[#This Row],[Data]]="","", _xlfn.XLOOKUP(Buildings_Heat_Backend[[#This Row],[Info 1]],Buildings_SiteInfo[Site name],Buildings_SiteInfo[Site type]))</f>
        <v/>
      </c>
      <c r="U199" s="174" t="str">
        <f>IF(Buildings_Heat_Frontend[[#This Row],[Data]]="","", Buildings_Heat_Frontend[[#This Row],[Heating Type]])</f>
        <v/>
      </c>
      <c r="V199" s="174" t="str">
        <f>IF(Buildings_Heat_Frontend[[#This Row],[Data]]="","", Buildings_Heat_Frontend[[#This Row],[Fuel]])</f>
        <v/>
      </c>
      <c r="W199" s="174" t="str" cm="1">
        <f t="array" ref="W199">IF(Buildings_Heat_Frontend[[#This Row],[Data]]="","", _xlfn.XLOOKUP(Buildings_Heat_Backend[[#This Row],[Level 5]],rng_Level5Long,rng_Level6Long))</f>
        <v/>
      </c>
      <c r="X199" s="174" t="str">
        <f>IF(Buildings_Heat_Frontend[[#This Row],[Data]]="","", Buildings_Heat_Frontend[[#This Row],[Site Name]])</f>
        <v/>
      </c>
      <c r="Y199" s="174" t="str">
        <f>IF(Buildings_Heat_Frontend[[#This Row],[Data]]="","", Buildings_Heat_Frontend[[#This Row],[MPRN]])</f>
        <v/>
      </c>
      <c r="Z199" s="174" t="str">
        <f>IF(Buildings_Heat_Frontend[[#This Row],[Data]]="","", IF($I199="","",$I199))</f>
        <v/>
      </c>
      <c r="AA199" s="229" t="str" cm="1">
        <f t="array" ref="AA199">IF(Buildings_Heat_Frontend[[#This Row],[Data]]="","", INDEX(_xlfn.SWITCH(Buildings_Heat_Backend[[#This Row],[Methodology]],"Tier 1",rng_RSD1,"Tier 2",rng_RSD2,"Tier 3",rng_RSD3),MATCH(_xlfn.CONCAT(Buildings_Heat_Backend[[#This Row],[Level 1]:[Level 6]]),rng_LevelsConcat,0)))</f>
        <v/>
      </c>
      <c r="AB199" s="220" t="str">
        <f t="shared" si="7"/>
        <v/>
      </c>
      <c r="AC199" s="174">
        <f>Buildings_Heat_Frontend[[#This Row],[Units]]</f>
        <v>0</v>
      </c>
      <c r="AD19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199" s="174" t="str">
        <f>IF(Buildings_Heat_Frontend[[#This Row],[Data]]="","", _xlfn.XLOOKUP(_xlfn.CONCAT(Buildings_Heat_Backend[[#This Row],[Level 1]:[Level 6]]),rng_LevelsConcat,rng_UnitsLong))</f>
        <v/>
      </c>
      <c r="AF199" s="210" t="str">
        <f>IF(Buildings_Heat_Frontend[[#This Row],[Data]]="","", _xlfn.XLOOKUP(_xlfn.CONCAT(Buildings_Heat_Backend[[#This Row],[Level 1]:[Level 6]]),rng_EFConcat,rng_EF1)*Buildings_Heat_Backend[[#This Row],[Converted data]]/1000)</f>
        <v/>
      </c>
      <c r="AG199" s="210" t="str">
        <f>IF(Buildings_Heat_Frontend[[#This Row],[Data]]="","", _xlfn.XLOOKUP(_xlfn.CONCAT(Buildings_Heat_Backend[[#This Row],[Level 1]:[Level 6]]),rng_EFConcat,rng_EF2)*Buildings_Heat_Backend[[#This Row],[Converted data]]/1000)</f>
        <v/>
      </c>
      <c r="AH199" s="210" t="str">
        <f>IF(Buildings_Heat_Frontend[[#This Row],[Data]]="","", _xlfn.XLOOKUP(_xlfn.CONCAT(Buildings_Heat_Backend[[#This Row],[Level 1]:[Level 6]]),rng_EFConcat,rng_EF3)*Buildings_Heat_Backend[[#This Row],[Converted data]]/1000)</f>
        <v/>
      </c>
      <c r="AI199" s="210" t="str">
        <f>IF(Buildings_Heat_Frontend[[#This Row],[Data]]="","", _xlfn.XLOOKUP(_xlfn.CONCAT(Buildings_Heat_Backend[[#This Row],[Level 1]:[Level 6]]),rng_EFConcat,rng_EF3WTT)*Buildings_Heat_Backend[[#This Row],[Converted data]]/1000)</f>
        <v/>
      </c>
      <c r="AJ199" s="210" t="str">
        <f>IF(Buildings_Heat_Frontend[[#This Row],[Data]]="","", _xlfn.XLOOKUP(_xlfn.CONCAT(Buildings_Heat_Backend[[#This Row],[Level 1]:[Level 6]]),rng_EFConcat,rng_EF3TD)*Buildings_Heat_Backend[[#This Row],[Converted data]]/1000)</f>
        <v/>
      </c>
      <c r="AK199" s="210" t="str">
        <f>IF(Buildings_Heat_Frontend[[#This Row],[Data]]="","", _xlfn.XLOOKUP(_xlfn.CONCAT(Buildings_Heat_Backend[[#This Row],[Level 1]:[Level 6]]),rng_EFConcat,rng_EF3WTTTD)*Buildings_Heat_Backend[[#This Row],[Converted data]]/1000)</f>
        <v/>
      </c>
      <c r="AL199" s="220">
        <f>SUM(Buildings_Heat_Backend[[#This Row],[Scope 1 (tCO2e)]:[Scope 3 WTT T&amp;D (tCO2e)]])</f>
        <v>0</v>
      </c>
      <c r="AM199" s="220" t="str">
        <f>IF(Buildings_Heat_Frontend[[#This Row],[Data]]="","", Buildings_Heat_Backend[[#This Row],[Total (tCO2e)]]*(1-Buildings_Heat_Backend[[#This Row],[RSD]]))</f>
        <v/>
      </c>
      <c r="AN199" s="220" t="str">
        <f>IF(Buildings_Heat_Frontend[[#This Row],[Data]]="","", Buildings_Heat_Backend[[#This Row],[Total (tCO2e)]]*(1+Buildings_Heat_Backend[[#This Row],[RSD]]))</f>
        <v/>
      </c>
      <c r="AO199" s="210" t="str">
        <f>IF(Buildings_Heat_Frontend[[#This Row],[Data]]="","", _xlfn.XLOOKUP(_xlfn.CONCAT(Buildings_Heat_Backend[[#This Row],[Level 1]:[Level 6]]),rng_EFConcat,rng_EFOOS)*Buildings_Heat_Backend[[#This Row],[Converted data]]/1000)</f>
        <v/>
      </c>
      <c r="AP199" s="174">
        <f>Buildings_Heat_Frontend[[#This Row],[Ease of collection]]</f>
        <v>0</v>
      </c>
      <c r="AQ199" s="174">
        <f>Buildings_Heat_Frontend[[#This Row],[Completeness]]</f>
        <v>0</v>
      </c>
      <c r="AR199" s="174">
        <f>Buildings_Heat_Frontend[[#This Row],[Notes]]</f>
        <v>0</v>
      </c>
    </row>
    <row r="200" spans="5:44" x14ac:dyDescent="0.3">
      <c r="E200" s="346"/>
      <c r="F200" s="364"/>
      <c r="G200" s="336"/>
      <c r="H200" s="336"/>
      <c r="I200" s="336"/>
      <c r="J200" s="334"/>
      <c r="K200" s="336"/>
      <c r="L200" s="336"/>
      <c r="M200" s="336"/>
      <c r="N200" s="352"/>
      <c r="O200" s="230">
        <f t="shared" si="8"/>
        <v>6</v>
      </c>
      <c r="Q200" s="212" t="str">
        <f t="shared" si="6"/>
        <v/>
      </c>
      <c r="R200" s="174" t="s">
        <v>265</v>
      </c>
      <c r="S200" s="174" t="s">
        <v>273</v>
      </c>
      <c r="T200" s="174" t="str">
        <f>IF(Buildings_Heat_Frontend[[#This Row],[Data]]="","", _xlfn.XLOOKUP(Buildings_Heat_Backend[[#This Row],[Info 1]],Buildings_SiteInfo[Site name],Buildings_SiteInfo[Site type]))</f>
        <v/>
      </c>
      <c r="U200" s="174" t="str">
        <f>IF(Buildings_Heat_Frontend[[#This Row],[Data]]="","", Buildings_Heat_Frontend[[#This Row],[Heating Type]])</f>
        <v/>
      </c>
      <c r="V200" s="174" t="str">
        <f>IF(Buildings_Heat_Frontend[[#This Row],[Data]]="","", Buildings_Heat_Frontend[[#This Row],[Fuel]])</f>
        <v/>
      </c>
      <c r="W200" s="174" t="str" cm="1">
        <f t="array" ref="W200">IF(Buildings_Heat_Frontend[[#This Row],[Data]]="","", _xlfn.XLOOKUP(Buildings_Heat_Backend[[#This Row],[Level 5]],rng_Level5Long,rng_Level6Long))</f>
        <v/>
      </c>
      <c r="X200" s="174" t="str">
        <f>IF(Buildings_Heat_Frontend[[#This Row],[Data]]="","", Buildings_Heat_Frontend[[#This Row],[Site Name]])</f>
        <v/>
      </c>
      <c r="Y200" s="174" t="str">
        <f>IF(Buildings_Heat_Frontend[[#This Row],[Data]]="","", Buildings_Heat_Frontend[[#This Row],[MPRN]])</f>
        <v/>
      </c>
      <c r="Z200" s="174" t="str">
        <f>IF(Buildings_Heat_Frontend[[#This Row],[Data]]="","", IF($I200="","",$I200))</f>
        <v/>
      </c>
      <c r="AA200" s="229" t="str" cm="1">
        <f t="array" ref="AA200">IF(Buildings_Heat_Frontend[[#This Row],[Data]]="","", INDEX(_xlfn.SWITCH(Buildings_Heat_Backend[[#This Row],[Methodology]],"Tier 1",rng_RSD1,"Tier 2",rng_RSD2,"Tier 3",rng_RSD3),MATCH(_xlfn.CONCAT(Buildings_Heat_Backend[[#This Row],[Level 1]:[Level 6]]),rng_LevelsConcat,0)))</f>
        <v/>
      </c>
      <c r="AB200" s="220" t="str">
        <f t="shared" si="7"/>
        <v/>
      </c>
      <c r="AC200" s="174">
        <f>Buildings_Heat_Frontend[[#This Row],[Units]]</f>
        <v>0</v>
      </c>
      <c r="AD20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0" s="174" t="str">
        <f>IF(Buildings_Heat_Frontend[[#This Row],[Data]]="","", _xlfn.XLOOKUP(_xlfn.CONCAT(Buildings_Heat_Backend[[#This Row],[Level 1]:[Level 6]]),rng_LevelsConcat,rng_UnitsLong))</f>
        <v/>
      </c>
      <c r="AF200" s="210" t="str">
        <f>IF(Buildings_Heat_Frontend[[#This Row],[Data]]="","", _xlfn.XLOOKUP(_xlfn.CONCAT(Buildings_Heat_Backend[[#This Row],[Level 1]:[Level 6]]),rng_EFConcat,rng_EF1)*Buildings_Heat_Backend[[#This Row],[Converted data]]/1000)</f>
        <v/>
      </c>
      <c r="AG200" s="210" t="str">
        <f>IF(Buildings_Heat_Frontend[[#This Row],[Data]]="","", _xlfn.XLOOKUP(_xlfn.CONCAT(Buildings_Heat_Backend[[#This Row],[Level 1]:[Level 6]]),rng_EFConcat,rng_EF2)*Buildings_Heat_Backend[[#This Row],[Converted data]]/1000)</f>
        <v/>
      </c>
      <c r="AH200" s="210" t="str">
        <f>IF(Buildings_Heat_Frontend[[#This Row],[Data]]="","", _xlfn.XLOOKUP(_xlfn.CONCAT(Buildings_Heat_Backend[[#This Row],[Level 1]:[Level 6]]),rng_EFConcat,rng_EF3)*Buildings_Heat_Backend[[#This Row],[Converted data]]/1000)</f>
        <v/>
      </c>
      <c r="AI200" s="210" t="str">
        <f>IF(Buildings_Heat_Frontend[[#This Row],[Data]]="","", _xlfn.XLOOKUP(_xlfn.CONCAT(Buildings_Heat_Backend[[#This Row],[Level 1]:[Level 6]]),rng_EFConcat,rng_EF3WTT)*Buildings_Heat_Backend[[#This Row],[Converted data]]/1000)</f>
        <v/>
      </c>
      <c r="AJ200" s="210" t="str">
        <f>IF(Buildings_Heat_Frontend[[#This Row],[Data]]="","", _xlfn.XLOOKUP(_xlfn.CONCAT(Buildings_Heat_Backend[[#This Row],[Level 1]:[Level 6]]),rng_EFConcat,rng_EF3TD)*Buildings_Heat_Backend[[#This Row],[Converted data]]/1000)</f>
        <v/>
      </c>
      <c r="AK200" s="210" t="str">
        <f>IF(Buildings_Heat_Frontend[[#This Row],[Data]]="","", _xlfn.XLOOKUP(_xlfn.CONCAT(Buildings_Heat_Backend[[#This Row],[Level 1]:[Level 6]]),rng_EFConcat,rng_EF3WTTTD)*Buildings_Heat_Backend[[#This Row],[Converted data]]/1000)</f>
        <v/>
      </c>
      <c r="AL200" s="220">
        <f>SUM(Buildings_Heat_Backend[[#This Row],[Scope 1 (tCO2e)]:[Scope 3 WTT T&amp;D (tCO2e)]])</f>
        <v>0</v>
      </c>
      <c r="AM200" s="220" t="str">
        <f>IF(Buildings_Heat_Frontend[[#This Row],[Data]]="","", Buildings_Heat_Backend[[#This Row],[Total (tCO2e)]]*(1-Buildings_Heat_Backend[[#This Row],[RSD]]))</f>
        <v/>
      </c>
      <c r="AN200" s="220" t="str">
        <f>IF(Buildings_Heat_Frontend[[#This Row],[Data]]="","", Buildings_Heat_Backend[[#This Row],[Total (tCO2e)]]*(1+Buildings_Heat_Backend[[#This Row],[RSD]]))</f>
        <v/>
      </c>
      <c r="AO200" s="210" t="str">
        <f>IF(Buildings_Heat_Frontend[[#This Row],[Data]]="","", _xlfn.XLOOKUP(_xlfn.CONCAT(Buildings_Heat_Backend[[#This Row],[Level 1]:[Level 6]]),rng_EFConcat,rng_EFOOS)*Buildings_Heat_Backend[[#This Row],[Converted data]]/1000)</f>
        <v/>
      </c>
      <c r="AP200" s="174">
        <f>Buildings_Heat_Frontend[[#This Row],[Ease of collection]]</f>
        <v>0</v>
      </c>
      <c r="AQ200" s="174">
        <f>Buildings_Heat_Frontend[[#This Row],[Completeness]]</f>
        <v>0</v>
      </c>
      <c r="AR200" s="174">
        <f>Buildings_Heat_Frontend[[#This Row],[Notes]]</f>
        <v>0</v>
      </c>
    </row>
    <row r="201" spans="5:44" x14ac:dyDescent="0.3">
      <c r="E201" s="346"/>
      <c r="F201" s="364"/>
      <c r="G201" s="336"/>
      <c r="H201" s="336"/>
      <c r="I201" s="336"/>
      <c r="J201" s="334"/>
      <c r="K201" s="336"/>
      <c r="L201" s="336"/>
      <c r="M201" s="336"/>
      <c r="N201" s="352"/>
      <c r="O201" s="230">
        <f t="shared" si="8"/>
        <v>6</v>
      </c>
      <c r="Q201" s="212" t="str">
        <f t="shared" si="6"/>
        <v/>
      </c>
      <c r="R201" s="174" t="s">
        <v>265</v>
      </c>
      <c r="S201" s="174" t="s">
        <v>273</v>
      </c>
      <c r="T201" s="174" t="str">
        <f>IF(Buildings_Heat_Frontend[[#This Row],[Data]]="","", _xlfn.XLOOKUP(Buildings_Heat_Backend[[#This Row],[Info 1]],Buildings_SiteInfo[Site name],Buildings_SiteInfo[Site type]))</f>
        <v/>
      </c>
      <c r="U201" s="174" t="str">
        <f>IF(Buildings_Heat_Frontend[[#This Row],[Data]]="","", Buildings_Heat_Frontend[[#This Row],[Heating Type]])</f>
        <v/>
      </c>
      <c r="V201" s="174" t="str">
        <f>IF(Buildings_Heat_Frontend[[#This Row],[Data]]="","", Buildings_Heat_Frontend[[#This Row],[Fuel]])</f>
        <v/>
      </c>
      <c r="W201" s="174" t="str" cm="1">
        <f t="array" ref="W201">IF(Buildings_Heat_Frontend[[#This Row],[Data]]="","", _xlfn.XLOOKUP(Buildings_Heat_Backend[[#This Row],[Level 5]],rng_Level5Long,rng_Level6Long))</f>
        <v/>
      </c>
      <c r="X201" s="174" t="str">
        <f>IF(Buildings_Heat_Frontend[[#This Row],[Data]]="","", Buildings_Heat_Frontend[[#This Row],[Site Name]])</f>
        <v/>
      </c>
      <c r="Y201" s="174" t="str">
        <f>IF(Buildings_Heat_Frontend[[#This Row],[Data]]="","", Buildings_Heat_Frontend[[#This Row],[MPRN]])</f>
        <v/>
      </c>
      <c r="Z201" s="174" t="str">
        <f>IF(Buildings_Heat_Frontend[[#This Row],[Data]]="","", IF($I201="","",$I201))</f>
        <v/>
      </c>
      <c r="AA201" s="229" t="str" cm="1">
        <f t="array" ref="AA201">IF(Buildings_Heat_Frontend[[#This Row],[Data]]="","", INDEX(_xlfn.SWITCH(Buildings_Heat_Backend[[#This Row],[Methodology]],"Tier 1",rng_RSD1,"Tier 2",rng_RSD2,"Tier 3",rng_RSD3),MATCH(_xlfn.CONCAT(Buildings_Heat_Backend[[#This Row],[Level 1]:[Level 6]]),rng_LevelsConcat,0)))</f>
        <v/>
      </c>
      <c r="AB201" s="220" t="str">
        <f t="shared" si="7"/>
        <v/>
      </c>
      <c r="AC201" s="174">
        <f>Buildings_Heat_Frontend[[#This Row],[Units]]</f>
        <v>0</v>
      </c>
      <c r="AD20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1" s="174" t="str">
        <f>IF(Buildings_Heat_Frontend[[#This Row],[Data]]="","", _xlfn.XLOOKUP(_xlfn.CONCAT(Buildings_Heat_Backend[[#This Row],[Level 1]:[Level 6]]),rng_LevelsConcat,rng_UnitsLong))</f>
        <v/>
      </c>
      <c r="AF201" s="210" t="str">
        <f>IF(Buildings_Heat_Frontend[[#This Row],[Data]]="","", _xlfn.XLOOKUP(_xlfn.CONCAT(Buildings_Heat_Backend[[#This Row],[Level 1]:[Level 6]]),rng_EFConcat,rng_EF1)*Buildings_Heat_Backend[[#This Row],[Converted data]]/1000)</f>
        <v/>
      </c>
      <c r="AG201" s="210" t="str">
        <f>IF(Buildings_Heat_Frontend[[#This Row],[Data]]="","", _xlfn.XLOOKUP(_xlfn.CONCAT(Buildings_Heat_Backend[[#This Row],[Level 1]:[Level 6]]),rng_EFConcat,rng_EF2)*Buildings_Heat_Backend[[#This Row],[Converted data]]/1000)</f>
        <v/>
      </c>
      <c r="AH201" s="210" t="str">
        <f>IF(Buildings_Heat_Frontend[[#This Row],[Data]]="","", _xlfn.XLOOKUP(_xlfn.CONCAT(Buildings_Heat_Backend[[#This Row],[Level 1]:[Level 6]]),rng_EFConcat,rng_EF3)*Buildings_Heat_Backend[[#This Row],[Converted data]]/1000)</f>
        <v/>
      </c>
      <c r="AI201" s="210" t="str">
        <f>IF(Buildings_Heat_Frontend[[#This Row],[Data]]="","", _xlfn.XLOOKUP(_xlfn.CONCAT(Buildings_Heat_Backend[[#This Row],[Level 1]:[Level 6]]),rng_EFConcat,rng_EF3WTT)*Buildings_Heat_Backend[[#This Row],[Converted data]]/1000)</f>
        <v/>
      </c>
      <c r="AJ201" s="210" t="str">
        <f>IF(Buildings_Heat_Frontend[[#This Row],[Data]]="","", _xlfn.XLOOKUP(_xlfn.CONCAT(Buildings_Heat_Backend[[#This Row],[Level 1]:[Level 6]]),rng_EFConcat,rng_EF3TD)*Buildings_Heat_Backend[[#This Row],[Converted data]]/1000)</f>
        <v/>
      </c>
      <c r="AK201" s="210" t="str">
        <f>IF(Buildings_Heat_Frontend[[#This Row],[Data]]="","", _xlfn.XLOOKUP(_xlfn.CONCAT(Buildings_Heat_Backend[[#This Row],[Level 1]:[Level 6]]),rng_EFConcat,rng_EF3WTTTD)*Buildings_Heat_Backend[[#This Row],[Converted data]]/1000)</f>
        <v/>
      </c>
      <c r="AL201" s="220">
        <f>SUM(Buildings_Heat_Backend[[#This Row],[Scope 1 (tCO2e)]:[Scope 3 WTT T&amp;D (tCO2e)]])</f>
        <v>0</v>
      </c>
      <c r="AM201" s="220" t="str">
        <f>IF(Buildings_Heat_Frontend[[#This Row],[Data]]="","", Buildings_Heat_Backend[[#This Row],[Total (tCO2e)]]*(1-Buildings_Heat_Backend[[#This Row],[RSD]]))</f>
        <v/>
      </c>
      <c r="AN201" s="220" t="str">
        <f>IF(Buildings_Heat_Frontend[[#This Row],[Data]]="","", Buildings_Heat_Backend[[#This Row],[Total (tCO2e)]]*(1+Buildings_Heat_Backend[[#This Row],[RSD]]))</f>
        <v/>
      </c>
      <c r="AO201" s="210" t="str">
        <f>IF(Buildings_Heat_Frontend[[#This Row],[Data]]="","", _xlfn.XLOOKUP(_xlfn.CONCAT(Buildings_Heat_Backend[[#This Row],[Level 1]:[Level 6]]),rng_EFConcat,rng_EFOOS)*Buildings_Heat_Backend[[#This Row],[Converted data]]/1000)</f>
        <v/>
      </c>
      <c r="AP201" s="174">
        <f>Buildings_Heat_Frontend[[#This Row],[Ease of collection]]</f>
        <v>0</v>
      </c>
      <c r="AQ201" s="174">
        <f>Buildings_Heat_Frontend[[#This Row],[Completeness]]</f>
        <v>0</v>
      </c>
      <c r="AR201" s="174">
        <f>Buildings_Heat_Frontend[[#This Row],[Notes]]</f>
        <v>0</v>
      </c>
    </row>
    <row r="202" spans="5:44" x14ac:dyDescent="0.3">
      <c r="E202" s="346"/>
      <c r="F202" s="364"/>
      <c r="G202" s="336"/>
      <c r="H202" s="336"/>
      <c r="I202" s="336"/>
      <c r="J202" s="334"/>
      <c r="K202" s="336"/>
      <c r="L202" s="336"/>
      <c r="M202" s="336"/>
      <c r="N202" s="352"/>
      <c r="O202" s="230">
        <f t="shared" si="8"/>
        <v>6</v>
      </c>
      <c r="Q202" s="212" t="str">
        <f t="shared" si="6"/>
        <v/>
      </c>
      <c r="R202" s="174" t="s">
        <v>265</v>
      </c>
      <c r="S202" s="174" t="s">
        <v>273</v>
      </c>
      <c r="T202" s="174" t="str">
        <f>IF(Buildings_Heat_Frontend[[#This Row],[Data]]="","", _xlfn.XLOOKUP(Buildings_Heat_Backend[[#This Row],[Info 1]],Buildings_SiteInfo[Site name],Buildings_SiteInfo[Site type]))</f>
        <v/>
      </c>
      <c r="U202" s="174" t="str">
        <f>IF(Buildings_Heat_Frontend[[#This Row],[Data]]="","", Buildings_Heat_Frontend[[#This Row],[Heating Type]])</f>
        <v/>
      </c>
      <c r="V202" s="174" t="str">
        <f>IF(Buildings_Heat_Frontend[[#This Row],[Data]]="","", Buildings_Heat_Frontend[[#This Row],[Fuel]])</f>
        <v/>
      </c>
      <c r="W202" s="174" t="str" cm="1">
        <f t="array" ref="W202">IF(Buildings_Heat_Frontend[[#This Row],[Data]]="","", _xlfn.XLOOKUP(Buildings_Heat_Backend[[#This Row],[Level 5]],rng_Level5Long,rng_Level6Long))</f>
        <v/>
      </c>
      <c r="X202" s="174" t="str">
        <f>IF(Buildings_Heat_Frontend[[#This Row],[Data]]="","", Buildings_Heat_Frontend[[#This Row],[Site Name]])</f>
        <v/>
      </c>
      <c r="Y202" s="174" t="str">
        <f>IF(Buildings_Heat_Frontend[[#This Row],[Data]]="","", Buildings_Heat_Frontend[[#This Row],[MPRN]])</f>
        <v/>
      </c>
      <c r="Z202" s="174" t="str">
        <f>IF(Buildings_Heat_Frontend[[#This Row],[Data]]="","", IF($I202="","",$I202))</f>
        <v/>
      </c>
      <c r="AA202" s="229" t="str" cm="1">
        <f t="array" ref="AA202">IF(Buildings_Heat_Frontend[[#This Row],[Data]]="","", INDEX(_xlfn.SWITCH(Buildings_Heat_Backend[[#This Row],[Methodology]],"Tier 1",rng_RSD1,"Tier 2",rng_RSD2,"Tier 3",rng_RSD3),MATCH(_xlfn.CONCAT(Buildings_Heat_Backend[[#This Row],[Level 1]:[Level 6]]),rng_LevelsConcat,0)))</f>
        <v/>
      </c>
      <c r="AB202" s="220" t="str">
        <f t="shared" si="7"/>
        <v/>
      </c>
      <c r="AC202" s="174">
        <f>Buildings_Heat_Frontend[[#This Row],[Units]]</f>
        <v>0</v>
      </c>
      <c r="AD20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2" s="174" t="str">
        <f>IF(Buildings_Heat_Frontend[[#This Row],[Data]]="","", _xlfn.XLOOKUP(_xlfn.CONCAT(Buildings_Heat_Backend[[#This Row],[Level 1]:[Level 6]]),rng_LevelsConcat,rng_UnitsLong))</f>
        <v/>
      </c>
      <c r="AF202" s="210" t="str">
        <f>IF(Buildings_Heat_Frontend[[#This Row],[Data]]="","", _xlfn.XLOOKUP(_xlfn.CONCAT(Buildings_Heat_Backend[[#This Row],[Level 1]:[Level 6]]),rng_EFConcat,rng_EF1)*Buildings_Heat_Backend[[#This Row],[Converted data]]/1000)</f>
        <v/>
      </c>
      <c r="AG202" s="210" t="str">
        <f>IF(Buildings_Heat_Frontend[[#This Row],[Data]]="","", _xlfn.XLOOKUP(_xlfn.CONCAT(Buildings_Heat_Backend[[#This Row],[Level 1]:[Level 6]]),rng_EFConcat,rng_EF2)*Buildings_Heat_Backend[[#This Row],[Converted data]]/1000)</f>
        <v/>
      </c>
      <c r="AH202" s="210" t="str">
        <f>IF(Buildings_Heat_Frontend[[#This Row],[Data]]="","", _xlfn.XLOOKUP(_xlfn.CONCAT(Buildings_Heat_Backend[[#This Row],[Level 1]:[Level 6]]),rng_EFConcat,rng_EF3)*Buildings_Heat_Backend[[#This Row],[Converted data]]/1000)</f>
        <v/>
      </c>
      <c r="AI202" s="210" t="str">
        <f>IF(Buildings_Heat_Frontend[[#This Row],[Data]]="","", _xlfn.XLOOKUP(_xlfn.CONCAT(Buildings_Heat_Backend[[#This Row],[Level 1]:[Level 6]]),rng_EFConcat,rng_EF3WTT)*Buildings_Heat_Backend[[#This Row],[Converted data]]/1000)</f>
        <v/>
      </c>
      <c r="AJ202" s="210" t="str">
        <f>IF(Buildings_Heat_Frontend[[#This Row],[Data]]="","", _xlfn.XLOOKUP(_xlfn.CONCAT(Buildings_Heat_Backend[[#This Row],[Level 1]:[Level 6]]),rng_EFConcat,rng_EF3TD)*Buildings_Heat_Backend[[#This Row],[Converted data]]/1000)</f>
        <v/>
      </c>
      <c r="AK202" s="210" t="str">
        <f>IF(Buildings_Heat_Frontend[[#This Row],[Data]]="","", _xlfn.XLOOKUP(_xlfn.CONCAT(Buildings_Heat_Backend[[#This Row],[Level 1]:[Level 6]]),rng_EFConcat,rng_EF3WTTTD)*Buildings_Heat_Backend[[#This Row],[Converted data]]/1000)</f>
        <v/>
      </c>
      <c r="AL202" s="220">
        <f>SUM(Buildings_Heat_Backend[[#This Row],[Scope 1 (tCO2e)]:[Scope 3 WTT T&amp;D (tCO2e)]])</f>
        <v>0</v>
      </c>
      <c r="AM202" s="220" t="str">
        <f>IF(Buildings_Heat_Frontend[[#This Row],[Data]]="","", Buildings_Heat_Backend[[#This Row],[Total (tCO2e)]]*(1-Buildings_Heat_Backend[[#This Row],[RSD]]))</f>
        <v/>
      </c>
      <c r="AN202" s="220" t="str">
        <f>IF(Buildings_Heat_Frontend[[#This Row],[Data]]="","", Buildings_Heat_Backend[[#This Row],[Total (tCO2e)]]*(1+Buildings_Heat_Backend[[#This Row],[RSD]]))</f>
        <v/>
      </c>
      <c r="AO202" s="210" t="str">
        <f>IF(Buildings_Heat_Frontend[[#This Row],[Data]]="","", _xlfn.XLOOKUP(_xlfn.CONCAT(Buildings_Heat_Backend[[#This Row],[Level 1]:[Level 6]]),rng_EFConcat,rng_EFOOS)*Buildings_Heat_Backend[[#This Row],[Converted data]]/1000)</f>
        <v/>
      </c>
      <c r="AP202" s="174">
        <f>Buildings_Heat_Frontend[[#This Row],[Ease of collection]]</f>
        <v>0</v>
      </c>
      <c r="AQ202" s="174">
        <f>Buildings_Heat_Frontend[[#This Row],[Completeness]]</f>
        <v>0</v>
      </c>
      <c r="AR202" s="174">
        <f>Buildings_Heat_Frontend[[#This Row],[Notes]]</f>
        <v>0</v>
      </c>
    </row>
    <row r="203" spans="5:44" x14ac:dyDescent="0.3">
      <c r="E203" s="346"/>
      <c r="F203" s="364"/>
      <c r="G203" s="336"/>
      <c r="H203" s="336"/>
      <c r="I203" s="336"/>
      <c r="J203" s="334"/>
      <c r="K203" s="336"/>
      <c r="L203" s="336"/>
      <c r="M203" s="336"/>
      <c r="N203" s="352"/>
      <c r="O203" s="230">
        <f t="shared" si="8"/>
        <v>6</v>
      </c>
      <c r="Q203" s="212" t="str">
        <f t="shared" si="6"/>
        <v/>
      </c>
      <c r="R203" s="174" t="s">
        <v>265</v>
      </c>
      <c r="S203" s="174" t="s">
        <v>273</v>
      </c>
      <c r="T203" s="174" t="str">
        <f>IF(Buildings_Heat_Frontend[[#This Row],[Data]]="","", _xlfn.XLOOKUP(Buildings_Heat_Backend[[#This Row],[Info 1]],Buildings_SiteInfo[Site name],Buildings_SiteInfo[Site type]))</f>
        <v/>
      </c>
      <c r="U203" s="174" t="str">
        <f>IF(Buildings_Heat_Frontend[[#This Row],[Data]]="","", Buildings_Heat_Frontend[[#This Row],[Heating Type]])</f>
        <v/>
      </c>
      <c r="V203" s="174" t="str">
        <f>IF(Buildings_Heat_Frontend[[#This Row],[Data]]="","", Buildings_Heat_Frontend[[#This Row],[Fuel]])</f>
        <v/>
      </c>
      <c r="W203" s="174" t="str" cm="1">
        <f t="array" ref="W203">IF(Buildings_Heat_Frontend[[#This Row],[Data]]="","", _xlfn.XLOOKUP(Buildings_Heat_Backend[[#This Row],[Level 5]],rng_Level5Long,rng_Level6Long))</f>
        <v/>
      </c>
      <c r="X203" s="174" t="str">
        <f>IF(Buildings_Heat_Frontend[[#This Row],[Data]]="","", Buildings_Heat_Frontend[[#This Row],[Site Name]])</f>
        <v/>
      </c>
      <c r="Y203" s="174" t="str">
        <f>IF(Buildings_Heat_Frontend[[#This Row],[Data]]="","", Buildings_Heat_Frontend[[#This Row],[MPRN]])</f>
        <v/>
      </c>
      <c r="Z203" s="174" t="str">
        <f>IF(Buildings_Heat_Frontend[[#This Row],[Data]]="","", IF($I203="","",$I203))</f>
        <v/>
      </c>
      <c r="AA203" s="229" t="str" cm="1">
        <f t="array" ref="AA203">IF(Buildings_Heat_Frontend[[#This Row],[Data]]="","", INDEX(_xlfn.SWITCH(Buildings_Heat_Backend[[#This Row],[Methodology]],"Tier 1",rng_RSD1,"Tier 2",rng_RSD2,"Tier 3",rng_RSD3),MATCH(_xlfn.CONCAT(Buildings_Heat_Backend[[#This Row],[Level 1]:[Level 6]]),rng_LevelsConcat,0)))</f>
        <v/>
      </c>
      <c r="AB203" s="220" t="str">
        <f t="shared" si="7"/>
        <v/>
      </c>
      <c r="AC203" s="174">
        <f>Buildings_Heat_Frontend[[#This Row],[Units]]</f>
        <v>0</v>
      </c>
      <c r="AD20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3" s="174" t="str">
        <f>IF(Buildings_Heat_Frontend[[#This Row],[Data]]="","", _xlfn.XLOOKUP(_xlfn.CONCAT(Buildings_Heat_Backend[[#This Row],[Level 1]:[Level 6]]),rng_LevelsConcat,rng_UnitsLong))</f>
        <v/>
      </c>
      <c r="AF203" s="210" t="str">
        <f>IF(Buildings_Heat_Frontend[[#This Row],[Data]]="","", _xlfn.XLOOKUP(_xlfn.CONCAT(Buildings_Heat_Backend[[#This Row],[Level 1]:[Level 6]]),rng_EFConcat,rng_EF1)*Buildings_Heat_Backend[[#This Row],[Converted data]]/1000)</f>
        <v/>
      </c>
      <c r="AG203" s="210" t="str">
        <f>IF(Buildings_Heat_Frontend[[#This Row],[Data]]="","", _xlfn.XLOOKUP(_xlfn.CONCAT(Buildings_Heat_Backend[[#This Row],[Level 1]:[Level 6]]),rng_EFConcat,rng_EF2)*Buildings_Heat_Backend[[#This Row],[Converted data]]/1000)</f>
        <v/>
      </c>
      <c r="AH203" s="210" t="str">
        <f>IF(Buildings_Heat_Frontend[[#This Row],[Data]]="","", _xlfn.XLOOKUP(_xlfn.CONCAT(Buildings_Heat_Backend[[#This Row],[Level 1]:[Level 6]]),rng_EFConcat,rng_EF3)*Buildings_Heat_Backend[[#This Row],[Converted data]]/1000)</f>
        <v/>
      </c>
      <c r="AI203" s="210" t="str">
        <f>IF(Buildings_Heat_Frontend[[#This Row],[Data]]="","", _xlfn.XLOOKUP(_xlfn.CONCAT(Buildings_Heat_Backend[[#This Row],[Level 1]:[Level 6]]),rng_EFConcat,rng_EF3WTT)*Buildings_Heat_Backend[[#This Row],[Converted data]]/1000)</f>
        <v/>
      </c>
      <c r="AJ203" s="210" t="str">
        <f>IF(Buildings_Heat_Frontend[[#This Row],[Data]]="","", _xlfn.XLOOKUP(_xlfn.CONCAT(Buildings_Heat_Backend[[#This Row],[Level 1]:[Level 6]]),rng_EFConcat,rng_EF3TD)*Buildings_Heat_Backend[[#This Row],[Converted data]]/1000)</f>
        <v/>
      </c>
      <c r="AK203" s="210" t="str">
        <f>IF(Buildings_Heat_Frontend[[#This Row],[Data]]="","", _xlfn.XLOOKUP(_xlfn.CONCAT(Buildings_Heat_Backend[[#This Row],[Level 1]:[Level 6]]),rng_EFConcat,rng_EF3WTTTD)*Buildings_Heat_Backend[[#This Row],[Converted data]]/1000)</f>
        <v/>
      </c>
      <c r="AL203" s="220">
        <f>SUM(Buildings_Heat_Backend[[#This Row],[Scope 1 (tCO2e)]:[Scope 3 WTT T&amp;D (tCO2e)]])</f>
        <v>0</v>
      </c>
      <c r="AM203" s="220" t="str">
        <f>IF(Buildings_Heat_Frontend[[#This Row],[Data]]="","", Buildings_Heat_Backend[[#This Row],[Total (tCO2e)]]*(1-Buildings_Heat_Backend[[#This Row],[RSD]]))</f>
        <v/>
      </c>
      <c r="AN203" s="220" t="str">
        <f>IF(Buildings_Heat_Frontend[[#This Row],[Data]]="","", Buildings_Heat_Backend[[#This Row],[Total (tCO2e)]]*(1+Buildings_Heat_Backend[[#This Row],[RSD]]))</f>
        <v/>
      </c>
      <c r="AO203" s="210" t="str">
        <f>IF(Buildings_Heat_Frontend[[#This Row],[Data]]="","", _xlfn.XLOOKUP(_xlfn.CONCAT(Buildings_Heat_Backend[[#This Row],[Level 1]:[Level 6]]),rng_EFConcat,rng_EFOOS)*Buildings_Heat_Backend[[#This Row],[Converted data]]/1000)</f>
        <v/>
      </c>
      <c r="AP203" s="174">
        <f>Buildings_Heat_Frontend[[#This Row],[Ease of collection]]</f>
        <v>0</v>
      </c>
      <c r="AQ203" s="174">
        <f>Buildings_Heat_Frontend[[#This Row],[Completeness]]</f>
        <v>0</v>
      </c>
      <c r="AR203" s="174">
        <f>Buildings_Heat_Frontend[[#This Row],[Notes]]</f>
        <v>0</v>
      </c>
    </row>
    <row r="204" spans="5:44" x14ac:dyDescent="0.3">
      <c r="E204" s="346"/>
      <c r="F204" s="364"/>
      <c r="G204" s="336"/>
      <c r="H204" s="336"/>
      <c r="I204" s="336"/>
      <c r="J204" s="334"/>
      <c r="K204" s="336"/>
      <c r="L204" s="336"/>
      <c r="M204" s="336"/>
      <c r="N204" s="352"/>
      <c r="O204" s="230">
        <f t="shared" si="8"/>
        <v>6</v>
      </c>
      <c r="Q204" s="212" t="str">
        <f t="shared" si="6"/>
        <v/>
      </c>
      <c r="R204" s="174" t="s">
        <v>265</v>
      </c>
      <c r="S204" s="174" t="s">
        <v>273</v>
      </c>
      <c r="T204" s="174" t="str">
        <f>IF(Buildings_Heat_Frontend[[#This Row],[Data]]="","", _xlfn.XLOOKUP(Buildings_Heat_Backend[[#This Row],[Info 1]],Buildings_SiteInfo[Site name],Buildings_SiteInfo[Site type]))</f>
        <v/>
      </c>
      <c r="U204" s="174" t="str">
        <f>IF(Buildings_Heat_Frontend[[#This Row],[Data]]="","", Buildings_Heat_Frontend[[#This Row],[Heating Type]])</f>
        <v/>
      </c>
      <c r="V204" s="174" t="str">
        <f>IF(Buildings_Heat_Frontend[[#This Row],[Data]]="","", Buildings_Heat_Frontend[[#This Row],[Fuel]])</f>
        <v/>
      </c>
      <c r="W204" s="174" t="str" cm="1">
        <f t="array" ref="W204">IF(Buildings_Heat_Frontend[[#This Row],[Data]]="","", _xlfn.XLOOKUP(Buildings_Heat_Backend[[#This Row],[Level 5]],rng_Level5Long,rng_Level6Long))</f>
        <v/>
      </c>
      <c r="X204" s="174" t="str">
        <f>IF(Buildings_Heat_Frontend[[#This Row],[Data]]="","", Buildings_Heat_Frontend[[#This Row],[Site Name]])</f>
        <v/>
      </c>
      <c r="Y204" s="174" t="str">
        <f>IF(Buildings_Heat_Frontend[[#This Row],[Data]]="","", Buildings_Heat_Frontend[[#This Row],[MPRN]])</f>
        <v/>
      </c>
      <c r="Z204" s="174" t="str">
        <f>IF(Buildings_Heat_Frontend[[#This Row],[Data]]="","", IF($I204="","",$I204))</f>
        <v/>
      </c>
      <c r="AA204" s="229" t="str" cm="1">
        <f t="array" ref="AA204">IF(Buildings_Heat_Frontend[[#This Row],[Data]]="","", INDEX(_xlfn.SWITCH(Buildings_Heat_Backend[[#This Row],[Methodology]],"Tier 1",rng_RSD1,"Tier 2",rng_RSD2,"Tier 3",rng_RSD3),MATCH(_xlfn.CONCAT(Buildings_Heat_Backend[[#This Row],[Level 1]:[Level 6]]),rng_LevelsConcat,0)))</f>
        <v/>
      </c>
      <c r="AB204" s="220" t="str">
        <f t="shared" si="7"/>
        <v/>
      </c>
      <c r="AC204" s="174">
        <f>Buildings_Heat_Frontend[[#This Row],[Units]]</f>
        <v>0</v>
      </c>
      <c r="AD20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4" s="174" t="str">
        <f>IF(Buildings_Heat_Frontend[[#This Row],[Data]]="","", _xlfn.XLOOKUP(_xlfn.CONCAT(Buildings_Heat_Backend[[#This Row],[Level 1]:[Level 6]]),rng_LevelsConcat,rng_UnitsLong))</f>
        <v/>
      </c>
      <c r="AF204" s="210" t="str">
        <f>IF(Buildings_Heat_Frontend[[#This Row],[Data]]="","", _xlfn.XLOOKUP(_xlfn.CONCAT(Buildings_Heat_Backend[[#This Row],[Level 1]:[Level 6]]),rng_EFConcat,rng_EF1)*Buildings_Heat_Backend[[#This Row],[Converted data]]/1000)</f>
        <v/>
      </c>
      <c r="AG204" s="210" t="str">
        <f>IF(Buildings_Heat_Frontend[[#This Row],[Data]]="","", _xlfn.XLOOKUP(_xlfn.CONCAT(Buildings_Heat_Backend[[#This Row],[Level 1]:[Level 6]]),rng_EFConcat,rng_EF2)*Buildings_Heat_Backend[[#This Row],[Converted data]]/1000)</f>
        <v/>
      </c>
      <c r="AH204" s="210" t="str">
        <f>IF(Buildings_Heat_Frontend[[#This Row],[Data]]="","", _xlfn.XLOOKUP(_xlfn.CONCAT(Buildings_Heat_Backend[[#This Row],[Level 1]:[Level 6]]),rng_EFConcat,rng_EF3)*Buildings_Heat_Backend[[#This Row],[Converted data]]/1000)</f>
        <v/>
      </c>
      <c r="AI204" s="210" t="str">
        <f>IF(Buildings_Heat_Frontend[[#This Row],[Data]]="","", _xlfn.XLOOKUP(_xlfn.CONCAT(Buildings_Heat_Backend[[#This Row],[Level 1]:[Level 6]]),rng_EFConcat,rng_EF3WTT)*Buildings_Heat_Backend[[#This Row],[Converted data]]/1000)</f>
        <v/>
      </c>
      <c r="AJ204" s="210" t="str">
        <f>IF(Buildings_Heat_Frontend[[#This Row],[Data]]="","", _xlfn.XLOOKUP(_xlfn.CONCAT(Buildings_Heat_Backend[[#This Row],[Level 1]:[Level 6]]),rng_EFConcat,rng_EF3TD)*Buildings_Heat_Backend[[#This Row],[Converted data]]/1000)</f>
        <v/>
      </c>
      <c r="AK204" s="210" t="str">
        <f>IF(Buildings_Heat_Frontend[[#This Row],[Data]]="","", _xlfn.XLOOKUP(_xlfn.CONCAT(Buildings_Heat_Backend[[#This Row],[Level 1]:[Level 6]]),rng_EFConcat,rng_EF3WTTTD)*Buildings_Heat_Backend[[#This Row],[Converted data]]/1000)</f>
        <v/>
      </c>
      <c r="AL204" s="220">
        <f>SUM(Buildings_Heat_Backend[[#This Row],[Scope 1 (tCO2e)]:[Scope 3 WTT T&amp;D (tCO2e)]])</f>
        <v>0</v>
      </c>
      <c r="AM204" s="220" t="str">
        <f>IF(Buildings_Heat_Frontend[[#This Row],[Data]]="","", Buildings_Heat_Backend[[#This Row],[Total (tCO2e)]]*(1-Buildings_Heat_Backend[[#This Row],[RSD]]))</f>
        <v/>
      </c>
      <c r="AN204" s="220" t="str">
        <f>IF(Buildings_Heat_Frontend[[#This Row],[Data]]="","", Buildings_Heat_Backend[[#This Row],[Total (tCO2e)]]*(1+Buildings_Heat_Backend[[#This Row],[RSD]]))</f>
        <v/>
      </c>
      <c r="AO204" s="210" t="str">
        <f>IF(Buildings_Heat_Frontend[[#This Row],[Data]]="","", _xlfn.XLOOKUP(_xlfn.CONCAT(Buildings_Heat_Backend[[#This Row],[Level 1]:[Level 6]]),rng_EFConcat,rng_EFOOS)*Buildings_Heat_Backend[[#This Row],[Converted data]]/1000)</f>
        <v/>
      </c>
      <c r="AP204" s="174">
        <f>Buildings_Heat_Frontend[[#This Row],[Ease of collection]]</f>
        <v>0</v>
      </c>
      <c r="AQ204" s="174">
        <f>Buildings_Heat_Frontend[[#This Row],[Completeness]]</f>
        <v>0</v>
      </c>
      <c r="AR204" s="174">
        <f>Buildings_Heat_Frontend[[#This Row],[Notes]]</f>
        <v>0</v>
      </c>
    </row>
    <row r="205" spans="5:44" x14ac:dyDescent="0.3">
      <c r="E205" s="346"/>
      <c r="F205" s="364"/>
      <c r="G205" s="336"/>
      <c r="H205" s="336"/>
      <c r="I205" s="336"/>
      <c r="J205" s="334"/>
      <c r="K205" s="336"/>
      <c r="L205" s="336"/>
      <c r="M205" s="336"/>
      <c r="N205" s="352"/>
      <c r="O205" s="230">
        <f t="shared" si="8"/>
        <v>6</v>
      </c>
      <c r="Q205" s="212" t="str">
        <f t="shared" si="6"/>
        <v/>
      </c>
      <c r="R205" s="174" t="s">
        <v>265</v>
      </c>
      <c r="S205" s="174" t="s">
        <v>273</v>
      </c>
      <c r="T205" s="174" t="str">
        <f>IF(Buildings_Heat_Frontend[[#This Row],[Data]]="","", _xlfn.XLOOKUP(Buildings_Heat_Backend[[#This Row],[Info 1]],Buildings_SiteInfo[Site name],Buildings_SiteInfo[Site type]))</f>
        <v/>
      </c>
      <c r="U205" s="174" t="str">
        <f>IF(Buildings_Heat_Frontend[[#This Row],[Data]]="","", Buildings_Heat_Frontend[[#This Row],[Heating Type]])</f>
        <v/>
      </c>
      <c r="V205" s="174" t="str">
        <f>IF(Buildings_Heat_Frontend[[#This Row],[Data]]="","", Buildings_Heat_Frontend[[#This Row],[Fuel]])</f>
        <v/>
      </c>
      <c r="W205" s="174" t="str" cm="1">
        <f t="array" ref="W205">IF(Buildings_Heat_Frontend[[#This Row],[Data]]="","", _xlfn.XLOOKUP(Buildings_Heat_Backend[[#This Row],[Level 5]],rng_Level5Long,rng_Level6Long))</f>
        <v/>
      </c>
      <c r="X205" s="174" t="str">
        <f>IF(Buildings_Heat_Frontend[[#This Row],[Data]]="","", Buildings_Heat_Frontend[[#This Row],[Site Name]])</f>
        <v/>
      </c>
      <c r="Y205" s="174" t="str">
        <f>IF(Buildings_Heat_Frontend[[#This Row],[Data]]="","", Buildings_Heat_Frontend[[#This Row],[MPRN]])</f>
        <v/>
      </c>
      <c r="Z205" s="174" t="str">
        <f>IF(Buildings_Heat_Frontend[[#This Row],[Data]]="","", IF($I205="","",$I205))</f>
        <v/>
      </c>
      <c r="AA205" s="229" t="str" cm="1">
        <f t="array" ref="AA205">IF(Buildings_Heat_Frontend[[#This Row],[Data]]="","", INDEX(_xlfn.SWITCH(Buildings_Heat_Backend[[#This Row],[Methodology]],"Tier 1",rng_RSD1,"Tier 2",rng_RSD2,"Tier 3",rng_RSD3),MATCH(_xlfn.CONCAT(Buildings_Heat_Backend[[#This Row],[Level 1]:[Level 6]]),rng_LevelsConcat,0)))</f>
        <v/>
      </c>
      <c r="AB205" s="220" t="str">
        <f t="shared" si="7"/>
        <v/>
      </c>
      <c r="AC205" s="174">
        <f>Buildings_Heat_Frontend[[#This Row],[Units]]</f>
        <v>0</v>
      </c>
      <c r="AD20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5" s="174" t="str">
        <f>IF(Buildings_Heat_Frontend[[#This Row],[Data]]="","", _xlfn.XLOOKUP(_xlfn.CONCAT(Buildings_Heat_Backend[[#This Row],[Level 1]:[Level 6]]),rng_LevelsConcat,rng_UnitsLong))</f>
        <v/>
      </c>
      <c r="AF205" s="210" t="str">
        <f>IF(Buildings_Heat_Frontend[[#This Row],[Data]]="","", _xlfn.XLOOKUP(_xlfn.CONCAT(Buildings_Heat_Backend[[#This Row],[Level 1]:[Level 6]]),rng_EFConcat,rng_EF1)*Buildings_Heat_Backend[[#This Row],[Converted data]]/1000)</f>
        <v/>
      </c>
      <c r="AG205" s="210" t="str">
        <f>IF(Buildings_Heat_Frontend[[#This Row],[Data]]="","", _xlfn.XLOOKUP(_xlfn.CONCAT(Buildings_Heat_Backend[[#This Row],[Level 1]:[Level 6]]),rng_EFConcat,rng_EF2)*Buildings_Heat_Backend[[#This Row],[Converted data]]/1000)</f>
        <v/>
      </c>
      <c r="AH205" s="210" t="str">
        <f>IF(Buildings_Heat_Frontend[[#This Row],[Data]]="","", _xlfn.XLOOKUP(_xlfn.CONCAT(Buildings_Heat_Backend[[#This Row],[Level 1]:[Level 6]]),rng_EFConcat,rng_EF3)*Buildings_Heat_Backend[[#This Row],[Converted data]]/1000)</f>
        <v/>
      </c>
      <c r="AI205" s="210" t="str">
        <f>IF(Buildings_Heat_Frontend[[#This Row],[Data]]="","", _xlfn.XLOOKUP(_xlfn.CONCAT(Buildings_Heat_Backend[[#This Row],[Level 1]:[Level 6]]),rng_EFConcat,rng_EF3WTT)*Buildings_Heat_Backend[[#This Row],[Converted data]]/1000)</f>
        <v/>
      </c>
      <c r="AJ205" s="210" t="str">
        <f>IF(Buildings_Heat_Frontend[[#This Row],[Data]]="","", _xlfn.XLOOKUP(_xlfn.CONCAT(Buildings_Heat_Backend[[#This Row],[Level 1]:[Level 6]]),rng_EFConcat,rng_EF3TD)*Buildings_Heat_Backend[[#This Row],[Converted data]]/1000)</f>
        <v/>
      </c>
      <c r="AK205" s="210" t="str">
        <f>IF(Buildings_Heat_Frontend[[#This Row],[Data]]="","", _xlfn.XLOOKUP(_xlfn.CONCAT(Buildings_Heat_Backend[[#This Row],[Level 1]:[Level 6]]),rng_EFConcat,rng_EF3WTTTD)*Buildings_Heat_Backend[[#This Row],[Converted data]]/1000)</f>
        <v/>
      </c>
      <c r="AL205" s="220">
        <f>SUM(Buildings_Heat_Backend[[#This Row],[Scope 1 (tCO2e)]:[Scope 3 WTT T&amp;D (tCO2e)]])</f>
        <v>0</v>
      </c>
      <c r="AM205" s="220" t="str">
        <f>IF(Buildings_Heat_Frontend[[#This Row],[Data]]="","", Buildings_Heat_Backend[[#This Row],[Total (tCO2e)]]*(1-Buildings_Heat_Backend[[#This Row],[RSD]]))</f>
        <v/>
      </c>
      <c r="AN205" s="220" t="str">
        <f>IF(Buildings_Heat_Frontend[[#This Row],[Data]]="","", Buildings_Heat_Backend[[#This Row],[Total (tCO2e)]]*(1+Buildings_Heat_Backend[[#This Row],[RSD]]))</f>
        <v/>
      </c>
      <c r="AO205" s="210" t="str">
        <f>IF(Buildings_Heat_Frontend[[#This Row],[Data]]="","", _xlfn.XLOOKUP(_xlfn.CONCAT(Buildings_Heat_Backend[[#This Row],[Level 1]:[Level 6]]),rng_EFConcat,rng_EFOOS)*Buildings_Heat_Backend[[#This Row],[Converted data]]/1000)</f>
        <v/>
      </c>
      <c r="AP205" s="174">
        <f>Buildings_Heat_Frontend[[#This Row],[Ease of collection]]</f>
        <v>0</v>
      </c>
      <c r="AQ205" s="174">
        <f>Buildings_Heat_Frontend[[#This Row],[Completeness]]</f>
        <v>0</v>
      </c>
      <c r="AR205" s="174">
        <f>Buildings_Heat_Frontend[[#This Row],[Notes]]</f>
        <v>0</v>
      </c>
    </row>
    <row r="206" spans="5:44" x14ac:dyDescent="0.3">
      <c r="E206" s="346"/>
      <c r="F206" s="364"/>
      <c r="G206" s="336"/>
      <c r="H206" s="336"/>
      <c r="I206" s="336"/>
      <c r="J206" s="334"/>
      <c r="K206" s="336"/>
      <c r="L206" s="336"/>
      <c r="M206" s="336"/>
      <c r="N206" s="352"/>
      <c r="O206" s="230">
        <f t="shared" si="8"/>
        <v>6</v>
      </c>
      <c r="Q206" s="212" t="str">
        <f t="shared" si="6"/>
        <v/>
      </c>
      <c r="R206" s="174" t="s">
        <v>265</v>
      </c>
      <c r="S206" s="174" t="s">
        <v>273</v>
      </c>
      <c r="T206" s="174" t="str">
        <f>IF(Buildings_Heat_Frontend[[#This Row],[Data]]="","", _xlfn.XLOOKUP(Buildings_Heat_Backend[[#This Row],[Info 1]],Buildings_SiteInfo[Site name],Buildings_SiteInfo[Site type]))</f>
        <v/>
      </c>
      <c r="U206" s="174" t="str">
        <f>IF(Buildings_Heat_Frontend[[#This Row],[Data]]="","", Buildings_Heat_Frontend[[#This Row],[Heating Type]])</f>
        <v/>
      </c>
      <c r="V206" s="174" t="str">
        <f>IF(Buildings_Heat_Frontend[[#This Row],[Data]]="","", Buildings_Heat_Frontend[[#This Row],[Fuel]])</f>
        <v/>
      </c>
      <c r="W206" s="174" t="str" cm="1">
        <f t="array" ref="W206">IF(Buildings_Heat_Frontend[[#This Row],[Data]]="","", _xlfn.XLOOKUP(Buildings_Heat_Backend[[#This Row],[Level 5]],rng_Level5Long,rng_Level6Long))</f>
        <v/>
      </c>
      <c r="X206" s="174" t="str">
        <f>IF(Buildings_Heat_Frontend[[#This Row],[Data]]="","", Buildings_Heat_Frontend[[#This Row],[Site Name]])</f>
        <v/>
      </c>
      <c r="Y206" s="174" t="str">
        <f>IF(Buildings_Heat_Frontend[[#This Row],[Data]]="","", Buildings_Heat_Frontend[[#This Row],[MPRN]])</f>
        <v/>
      </c>
      <c r="Z206" s="174" t="str">
        <f>IF(Buildings_Heat_Frontend[[#This Row],[Data]]="","", IF($I206="","",$I206))</f>
        <v/>
      </c>
      <c r="AA206" s="229" t="str" cm="1">
        <f t="array" ref="AA206">IF(Buildings_Heat_Frontend[[#This Row],[Data]]="","", INDEX(_xlfn.SWITCH(Buildings_Heat_Backend[[#This Row],[Methodology]],"Tier 1",rng_RSD1,"Tier 2",rng_RSD2,"Tier 3",rng_RSD3),MATCH(_xlfn.CONCAT(Buildings_Heat_Backend[[#This Row],[Level 1]:[Level 6]]),rng_LevelsConcat,0)))</f>
        <v/>
      </c>
      <c r="AB206" s="220" t="str">
        <f t="shared" si="7"/>
        <v/>
      </c>
      <c r="AC206" s="174">
        <f>Buildings_Heat_Frontend[[#This Row],[Units]]</f>
        <v>0</v>
      </c>
      <c r="AD20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6" s="174" t="str">
        <f>IF(Buildings_Heat_Frontend[[#This Row],[Data]]="","", _xlfn.XLOOKUP(_xlfn.CONCAT(Buildings_Heat_Backend[[#This Row],[Level 1]:[Level 6]]),rng_LevelsConcat,rng_UnitsLong))</f>
        <v/>
      </c>
      <c r="AF206" s="210" t="str">
        <f>IF(Buildings_Heat_Frontend[[#This Row],[Data]]="","", _xlfn.XLOOKUP(_xlfn.CONCAT(Buildings_Heat_Backend[[#This Row],[Level 1]:[Level 6]]),rng_EFConcat,rng_EF1)*Buildings_Heat_Backend[[#This Row],[Converted data]]/1000)</f>
        <v/>
      </c>
      <c r="AG206" s="210" t="str">
        <f>IF(Buildings_Heat_Frontend[[#This Row],[Data]]="","", _xlfn.XLOOKUP(_xlfn.CONCAT(Buildings_Heat_Backend[[#This Row],[Level 1]:[Level 6]]),rng_EFConcat,rng_EF2)*Buildings_Heat_Backend[[#This Row],[Converted data]]/1000)</f>
        <v/>
      </c>
      <c r="AH206" s="210" t="str">
        <f>IF(Buildings_Heat_Frontend[[#This Row],[Data]]="","", _xlfn.XLOOKUP(_xlfn.CONCAT(Buildings_Heat_Backend[[#This Row],[Level 1]:[Level 6]]),rng_EFConcat,rng_EF3)*Buildings_Heat_Backend[[#This Row],[Converted data]]/1000)</f>
        <v/>
      </c>
      <c r="AI206" s="210" t="str">
        <f>IF(Buildings_Heat_Frontend[[#This Row],[Data]]="","", _xlfn.XLOOKUP(_xlfn.CONCAT(Buildings_Heat_Backend[[#This Row],[Level 1]:[Level 6]]),rng_EFConcat,rng_EF3WTT)*Buildings_Heat_Backend[[#This Row],[Converted data]]/1000)</f>
        <v/>
      </c>
      <c r="AJ206" s="210" t="str">
        <f>IF(Buildings_Heat_Frontend[[#This Row],[Data]]="","", _xlfn.XLOOKUP(_xlfn.CONCAT(Buildings_Heat_Backend[[#This Row],[Level 1]:[Level 6]]),rng_EFConcat,rng_EF3TD)*Buildings_Heat_Backend[[#This Row],[Converted data]]/1000)</f>
        <v/>
      </c>
      <c r="AK206" s="210" t="str">
        <f>IF(Buildings_Heat_Frontend[[#This Row],[Data]]="","", _xlfn.XLOOKUP(_xlfn.CONCAT(Buildings_Heat_Backend[[#This Row],[Level 1]:[Level 6]]),rng_EFConcat,rng_EF3WTTTD)*Buildings_Heat_Backend[[#This Row],[Converted data]]/1000)</f>
        <v/>
      </c>
      <c r="AL206" s="220">
        <f>SUM(Buildings_Heat_Backend[[#This Row],[Scope 1 (tCO2e)]:[Scope 3 WTT T&amp;D (tCO2e)]])</f>
        <v>0</v>
      </c>
      <c r="AM206" s="220" t="str">
        <f>IF(Buildings_Heat_Frontend[[#This Row],[Data]]="","", Buildings_Heat_Backend[[#This Row],[Total (tCO2e)]]*(1-Buildings_Heat_Backend[[#This Row],[RSD]]))</f>
        <v/>
      </c>
      <c r="AN206" s="220" t="str">
        <f>IF(Buildings_Heat_Frontend[[#This Row],[Data]]="","", Buildings_Heat_Backend[[#This Row],[Total (tCO2e)]]*(1+Buildings_Heat_Backend[[#This Row],[RSD]]))</f>
        <v/>
      </c>
      <c r="AO206" s="210" t="str">
        <f>IF(Buildings_Heat_Frontend[[#This Row],[Data]]="","", _xlfn.XLOOKUP(_xlfn.CONCAT(Buildings_Heat_Backend[[#This Row],[Level 1]:[Level 6]]),rng_EFConcat,rng_EFOOS)*Buildings_Heat_Backend[[#This Row],[Converted data]]/1000)</f>
        <v/>
      </c>
      <c r="AP206" s="174">
        <f>Buildings_Heat_Frontend[[#This Row],[Ease of collection]]</f>
        <v>0</v>
      </c>
      <c r="AQ206" s="174">
        <f>Buildings_Heat_Frontend[[#This Row],[Completeness]]</f>
        <v>0</v>
      </c>
      <c r="AR206" s="174">
        <f>Buildings_Heat_Frontend[[#This Row],[Notes]]</f>
        <v>0</v>
      </c>
    </row>
    <row r="207" spans="5:44" x14ac:dyDescent="0.3">
      <c r="E207" s="346"/>
      <c r="F207" s="364"/>
      <c r="G207" s="336"/>
      <c r="H207" s="336"/>
      <c r="I207" s="336"/>
      <c r="J207" s="334"/>
      <c r="K207" s="336"/>
      <c r="L207" s="336"/>
      <c r="M207" s="336"/>
      <c r="N207" s="352"/>
      <c r="O207" s="230">
        <f t="shared" si="8"/>
        <v>6</v>
      </c>
      <c r="Q207" s="212" t="str">
        <f t="shared" ref="Q207:Q270" si="9">IF(O207=0,SUBSTITUTE(2025&amp;TRIM(cl_org_name_select)&amp;TRIM($E$12)&amp;(ROW(O207)-ROW($O$15))," ",""),"")</f>
        <v/>
      </c>
      <c r="R207" s="174" t="s">
        <v>265</v>
      </c>
      <c r="S207" s="174" t="s">
        <v>273</v>
      </c>
      <c r="T207" s="174" t="str">
        <f>IF(Buildings_Heat_Frontend[[#This Row],[Data]]="","", _xlfn.XLOOKUP(Buildings_Heat_Backend[[#This Row],[Info 1]],Buildings_SiteInfo[Site name],Buildings_SiteInfo[Site type]))</f>
        <v/>
      </c>
      <c r="U207" s="174" t="str">
        <f>IF(Buildings_Heat_Frontend[[#This Row],[Data]]="","", Buildings_Heat_Frontend[[#This Row],[Heating Type]])</f>
        <v/>
      </c>
      <c r="V207" s="174" t="str">
        <f>IF(Buildings_Heat_Frontend[[#This Row],[Data]]="","", Buildings_Heat_Frontend[[#This Row],[Fuel]])</f>
        <v/>
      </c>
      <c r="W207" s="174" t="str" cm="1">
        <f t="array" ref="W207">IF(Buildings_Heat_Frontend[[#This Row],[Data]]="","", _xlfn.XLOOKUP(Buildings_Heat_Backend[[#This Row],[Level 5]],rng_Level5Long,rng_Level6Long))</f>
        <v/>
      </c>
      <c r="X207" s="174" t="str">
        <f>IF(Buildings_Heat_Frontend[[#This Row],[Data]]="","", Buildings_Heat_Frontend[[#This Row],[Site Name]])</f>
        <v/>
      </c>
      <c r="Y207" s="174" t="str">
        <f>IF(Buildings_Heat_Frontend[[#This Row],[Data]]="","", Buildings_Heat_Frontend[[#This Row],[MPRN]])</f>
        <v/>
      </c>
      <c r="Z207" s="174" t="str">
        <f>IF(Buildings_Heat_Frontend[[#This Row],[Data]]="","", IF($I207="","",$I207))</f>
        <v/>
      </c>
      <c r="AA207" s="229" t="str" cm="1">
        <f t="array" ref="AA207">IF(Buildings_Heat_Frontend[[#This Row],[Data]]="","", INDEX(_xlfn.SWITCH(Buildings_Heat_Backend[[#This Row],[Methodology]],"Tier 1",rng_RSD1,"Tier 2",rng_RSD2,"Tier 3",rng_RSD3),MATCH(_xlfn.CONCAT(Buildings_Heat_Backend[[#This Row],[Level 1]:[Level 6]]),rng_LevelsConcat,0)))</f>
        <v/>
      </c>
      <c r="AB207" s="220" t="str">
        <f t="shared" ref="AB207:AB270" si="10">IF($J207="","",$J207)</f>
        <v/>
      </c>
      <c r="AC207" s="174">
        <f>Buildings_Heat_Frontend[[#This Row],[Units]]</f>
        <v>0</v>
      </c>
      <c r="AD20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7" s="174" t="str">
        <f>IF(Buildings_Heat_Frontend[[#This Row],[Data]]="","", _xlfn.XLOOKUP(_xlfn.CONCAT(Buildings_Heat_Backend[[#This Row],[Level 1]:[Level 6]]),rng_LevelsConcat,rng_UnitsLong))</f>
        <v/>
      </c>
      <c r="AF207" s="210" t="str">
        <f>IF(Buildings_Heat_Frontend[[#This Row],[Data]]="","", _xlfn.XLOOKUP(_xlfn.CONCAT(Buildings_Heat_Backend[[#This Row],[Level 1]:[Level 6]]),rng_EFConcat,rng_EF1)*Buildings_Heat_Backend[[#This Row],[Converted data]]/1000)</f>
        <v/>
      </c>
      <c r="AG207" s="210" t="str">
        <f>IF(Buildings_Heat_Frontend[[#This Row],[Data]]="","", _xlfn.XLOOKUP(_xlfn.CONCAT(Buildings_Heat_Backend[[#This Row],[Level 1]:[Level 6]]),rng_EFConcat,rng_EF2)*Buildings_Heat_Backend[[#This Row],[Converted data]]/1000)</f>
        <v/>
      </c>
      <c r="AH207" s="210" t="str">
        <f>IF(Buildings_Heat_Frontend[[#This Row],[Data]]="","", _xlfn.XLOOKUP(_xlfn.CONCAT(Buildings_Heat_Backend[[#This Row],[Level 1]:[Level 6]]),rng_EFConcat,rng_EF3)*Buildings_Heat_Backend[[#This Row],[Converted data]]/1000)</f>
        <v/>
      </c>
      <c r="AI207" s="210" t="str">
        <f>IF(Buildings_Heat_Frontend[[#This Row],[Data]]="","", _xlfn.XLOOKUP(_xlfn.CONCAT(Buildings_Heat_Backend[[#This Row],[Level 1]:[Level 6]]),rng_EFConcat,rng_EF3WTT)*Buildings_Heat_Backend[[#This Row],[Converted data]]/1000)</f>
        <v/>
      </c>
      <c r="AJ207" s="210" t="str">
        <f>IF(Buildings_Heat_Frontend[[#This Row],[Data]]="","", _xlfn.XLOOKUP(_xlfn.CONCAT(Buildings_Heat_Backend[[#This Row],[Level 1]:[Level 6]]),rng_EFConcat,rng_EF3TD)*Buildings_Heat_Backend[[#This Row],[Converted data]]/1000)</f>
        <v/>
      </c>
      <c r="AK207" s="210" t="str">
        <f>IF(Buildings_Heat_Frontend[[#This Row],[Data]]="","", _xlfn.XLOOKUP(_xlfn.CONCAT(Buildings_Heat_Backend[[#This Row],[Level 1]:[Level 6]]),rng_EFConcat,rng_EF3WTTTD)*Buildings_Heat_Backend[[#This Row],[Converted data]]/1000)</f>
        <v/>
      </c>
      <c r="AL207" s="220">
        <f>SUM(Buildings_Heat_Backend[[#This Row],[Scope 1 (tCO2e)]:[Scope 3 WTT T&amp;D (tCO2e)]])</f>
        <v>0</v>
      </c>
      <c r="AM207" s="220" t="str">
        <f>IF(Buildings_Heat_Frontend[[#This Row],[Data]]="","", Buildings_Heat_Backend[[#This Row],[Total (tCO2e)]]*(1-Buildings_Heat_Backend[[#This Row],[RSD]]))</f>
        <v/>
      </c>
      <c r="AN207" s="220" t="str">
        <f>IF(Buildings_Heat_Frontend[[#This Row],[Data]]="","", Buildings_Heat_Backend[[#This Row],[Total (tCO2e)]]*(1+Buildings_Heat_Backend[[#This Row],[RSD]]))</f>
        <v/>
      </c>
      <c r="AO207" s="210" t="str">
        <f>IF(Buildings_Heat_Frontend[[#This Row],[Data]]="","", _xlfn.XLOOKUP(_xlfn.CONCAT(Buildings_Heat_Backend[[#This Row],[Level 1]:[Level 6]]),rng_EFConcat,rng_EFOOS)*Buildings_Heat_Backend[[#This Row],[Converted data]]/1000)</f>
        <v/>
      </c>
      <c r="AP207" s="174">
        <f>Buildings_Heat_Frontend[[#This Row],[Ease of collection]]</f>
        <v>0</v>
      </c>
      <c r="AQ207" s="174">
        <f>Buildings_Heat_Frontend[[#This Row],[Completeness]]</f>
        <v>0</v>
      </c>
      <c r="AR207" s="174">
        <f>Buildings_Heat_Frontend[[#This Row],[Notes]]</f>
        <v>0</v>
      </c>
    </row>
    <row r="208" spans="5:44" x14ac:dyDescent="0.3">
      <c r="E208" s="346"/>
      <c r="F208" s="364"/>
      <c r="G208" s="336"/>
      <c r="H208" s="336"/>
      <c r="I208" s="336"/>
      <c r="J208" s="334"/>
      <c r="K208" s="336"/>
      <c r="L208" s="336"/>
      <c r="M208" s="336"/>
      <c r="N208" s="352"/>
      <c r="O208" s="230">
        <f t="shared" ref="O208:O271" si="11">ISBLANK(E208)+ISBLANK(G208)+ISBLANK(H208)+ISBLANK(I208)+ISBLANK(J208)+ISBLANK(K208)</f>
        <v>6</v>
      </c>
      <c r="Q208" s="212" t="str">
        <f t="shared" si="9"/>
        <v/>
      </c>
      <c r="R208" s="174" t="s">
        <v>265</v>
      </c>
      <c r="S208" s="174" t="s">
        <v>273</v>
      </c>
      <c r="T208" s="174" t="str">
        <f>IF(Buildings_Heat_Frontend[[#This Row],[Data]]="","", _xlfn.XLOOKUP(Buildings_Heat_Backend[[#This Row],[Info 1]],Buildings_SiteInfo[Site name],Buildings_SiteInfo[Site type]))</f>
        <v/>
      </c>
      <c r="U208" s="174" t="str">
        <f>IF(Buildings_Heat_Frontend[[#This Row],[Data]]="","", Buildings_Heat_Frontend[[#This Row],[Heating Type]])</f>
        <v/>
      </c>
      <c r="V208" s="174" t="str">
        <f>IF(Buildings_Heat_Frontend[[#This Row],[Data]]="","", Buildings_Heat_Frontend[[#This Row],[Fuel]])</f>
        <v/>
      </c>
      <c r="W208" s="174" t="str" cm="1">
        <f t="array" ref="W208">IF(Buildings_Heat_Frontend[[#This Row],[Data]]="","", _xlfn.XLOOKUP(Buildings_Heat_Backend[[#This Row],[Level 5]],rng_Level5Long,rng_Level6Long))</f>
        <v/>
      </c>
      <c r="X208" s="174" t="str">
        <f>IF(Buildings_Heat_Frontend[[#This Row],[Data]]="","", Buildings_Heat_Frontend[[#This Row],[Site Name]])</f>
        <v/>
      </c>
      <c r="Y208" s="174" t="str">
        <f>IF(Buildings_Heat_Frontend[[#This Row],[Data]]="","", Buildings_Heat_Frontend[[#This Row],[MPRN]])</f>
        <v/>
      </c>
      <c r="Z208" s="174" t="str">
        <f>IF(Buildings_Heat_Frontend[[#This Row],[Data]]="","", IF($I208="","",$I208))</f>
        <v/>
      </c>
      <c r="AA208" s="229" t="str" cm="1">
        <f t="array" ref="AA208">IF(Buildings_Heat_Frontend[[#This Row],[Data]]="","", INDEX(_xlfn.SWITCH(Buildings_Heat_Backend[[#This Row],[Methodology]],"Tier 1",rng_RSD1,"Tier 2",rng_RSD2,"Tier 3",rng_RSD3),MATCH(_xlfn.CONCAT(Buildings_Heat_Backend[[#This Row],[Level 1]:[Level 6]]),rng_LevelsConcat,0)))</f>
        <v/>
      </c>
      <c r="AB208" s="220" t="str">
        <f t="shared" si="10"/>
        <v/>
      </c>
      <c r="AC208" s="174">
        <f>Buildings_Heat_Frontend[[#This Row],[Units]]</f>
        <v>0</v>
      </c>
      <c r="AD20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8" s="174" t="str">
        <f>IF(Buildings_Heat_Frontend[[#This Row],[Data]]="","", _xlfn.XLOOKUP(_xlfn.CONCAT(Buildings_Heat_Backend[[#This Row],[Level 1]:[Level 6]]),rng_LevelsConcat,rng_UnitsLong))</f>
        <v/>
      </c>
      <c r="AF208" s="210" t="str">
        <f>IF(Buildings_Heat_Frontend[[#This Row],[Data]]="","", _xlfn.XLOOKUP(_xlfn.CONCAT(Buildings_Heat_Backend[[#This Row],[Level 1]:[Level 6]]),rng_EFConcat,rng_EF1)*Buildings_Heat_Backend[[#This Row],[Converted data]]/1000)</f>
        <v/>
      </c>
      <c r="AG208" s="210" t="str">
        <f>IF(Buildings_Heat_Frontend[[#This Row],[Data]]="","", _xlfn.XLOOKUP(_xlfn.CONCAT(Buildings_Heat_Backend[[#This Row],[Level 1]:[Level 6]]),rng_EFConcat,rng_EF2)*Buildings_Heat_Backend[[#This Row],[Converted data]]/1000)</f>
        <v/>
      </c>
      <c r="AH208" s="210" t="str">
        <f>IF(Buildings_Heat_Frontend[[#This Row],[Data]]="","", _xlfn.XLOOKUP(_xlfn.CONCAT(Buildings_Heat_Backend[[#This Row],[Level 1]:[Level 6]]),rng_EFConcat,rng_EF3)*Buildings_Heat_Backend[[#This Row],[Converted data]]/1000)</f>
        <v/>
      </c>
      <c r="AI208" s="210" t="str">
        <f>IF(Buildings_Heat_Frontend[[#This Row],[Data]]="","", _xlfn.XLOOKUP(_xlfn.CONCAT(Buildings_Heat_Backend[[#This Row],[Level 1]:[Level 6]]),rng_EFConcat,rng_EF3WTT)*Buildings_Heat_Backend[[#This Row],[Converted data]]/1000)</f>
        <v/>
      </c>
      <c r="AJ208" s="210" t="str">
        <f>IF(Buildings_Heat_Frontend[[#This Row],[Data]]="","", _xlfn.XLOOKUP(_xlfn.CONCAT(Buildings_Heat_Backend[[#This Row],[Level 1]:[Level 6]]),rng_EFConcat,rng_EF3TD)*Buildings_Heat_Backend[[#This Row],[Converted data]]/1000)</f>
        <v/>
      </c>
      <c r="AK208" s="210" t="str">
        <f>IF(Buildings_Heat_Frontend[[#This Row],[Data]]="","", _xlfn.XLOOKUP(_xlfn.CONCAT(Buildings_Heat_Backend[[#This Row],[Level 1]:[Level 6]]),rng_EFConcat,rng_EF3WTTTD)*Buildings_Heat_Backend[[#This Row],[Converted data]]/1000)</f>
        <v/>
      </c>
      <c r="AL208" s="220">
        <f>SUM(Buildings_Heat_Backend[[#This Row],[Scope 1 (tCO2e)]:[Scope 3 WTT T&amp;D (tCO2e)]])</f>
        <v>0</v>
      </c>
      <c r="AM208" s="220" t="str">
        <f>IF(Buildings_Heat_Frontend[[#This Row],[Data]]="","", Buildings_Heat_Backend[[#This Row],[Total (tCO2e)]]*(1-Buildings_Heat_Backend[[#This Row],[RSD]]))</f>
        <v/>
      </c>
      <c r="AN208" s="220" t="str">
        <f>IF(Buildings_Heat_Frontend[[#This Row],[Data]]="","", Buildings_Heat_Backend[[#This Row],[Total (tCO2e)]]*(1+Buildings_Heat_Backend[[#This Row],[RSD]]))</f>
        <v/>
      </c>
      <c r="AO208" s="210" t="str">
        <f>IF(Buildings_Heat_Frontend[[#This Row],[Data]]="","", _xlfn.XLOOKUP(_xlfn.CONCAT(Buildings_Heat_Backend[[#This Row],[Level 1]:[Level 6]]),rng_EFConcat,rng_EFOOS)*Buildings_Heat_Backend[[#This Row],[Converted data]]/1000)</f>
        <v/>
      </c>
      <c r="AP208" s="174">
        <f>Buildings_Heat_Frontend[[#This Row],[Ease of collection]]</f>
        <v>0</v>
      </c>
      <c r="AQ208" s="174">
        <f>Buildings_Heat_Frontend[[#This Row],[Completeness]]</f>
        <v>0</v>
      </c>
      <c r="AR208" s="174">
        <f>Buildings_Heat_Frontend[[#This Row],[Notes]]</f>
        <v>0</v>
      </c>
    </row>
    <row r="209" spans="5:44" x14ac:dyDescent="0.3">
      <c r="E209" s="346"/>
      <c r="F209" s="364"/>
      <c r="G209" s="336"/>
      <c r="H209" s="336"/>
      <c r="I209" s="336"/>
      <c r="J209" s="334"/>
      <c r="K209" s="336"/>
      <c r="L209" s="336"/>
      <c r="M209" s="336"/>
      <c r="N209" s="352"/>
      <c r="O209" s="230">
        <f t="shared" si="11"/>
        <v>6</v>
      </c>
      <c r="Q209" s="212" t="str">
        <f t="shared" si="9"/>
        <v/>
      </c>
      <c r="R209" s="174" t="s">
        <v>265</v>
      </c>
      <c r="S209" s="174" t="s">
        <v>273</v>
      </c>
      <c r="T209" s="174" t="str">
        <f>IF(Buildings_Heat_Frontend[[#This Row],[Data]]="","", _xlfn.XLOOKUP(Buildings_Heat_Backend[[#This Row],[Info 1]],Buildings_SiteInfo[Site name],Buildings_SiteInfo[Site type]))</f>
        <v/>
      </c>
      <c r="U209" s="174" t="str">
        <f>IF(Buildings_Heat_Frontend[[#This Row],[Data]]="","", Buildings_Heat_Frontend[[#This Row],[Heating Type]])</f>
        <v/>
      </c>
      <c r="V209" s="174" t="str">
        <f>IF(Buildings_Heat_Frontend[[#This Row],[Data]]="","", Buildings_Heat_Frontend[[#This Row],[Fuel]])</f>
        <v/>
      </c>
      <c r="W209" s="174" t="str" cm="1">
        <f t="array" ref="W209">IF(Buildings_Heat_Frontend[[#This Row],[Data]]="","", _xlfn.XLOOKUP(Buildings_Heat_Backend[[#This Row],[Level 5]],rng_Level5Long,rng_Level6Long))</f>
        <v/>
      </c>
      <c r="X209" s="174" t="str">
        <f>IF(Buildings_Heat_Frontend[[#This Row],[Data]]="","", Buildings_Heat_Frontend[[#This Row],[Site Name]])</f>
        <v/>
      </c>
      <c r="Y209" s="174" t="str">
        <f>IF(Buildings_Heat_Frontend[[#This Row],[Data]]="","", Buildings_Heat_Frontend[[#This Row],[MPRN]])</f>
        <v/>
      </c>
      <c r="Z209" s="174" t="str">
        <f>IF(Buildings_Heat_Frontend[[#This Row],[Data]]="","", IF($I209="","",$I209))</f>
        <v/>
      </c>
      <c r="AA209" s="229" t="str" cm="1">
        <f t="array" ref="AA209">IF(Buildings_Heat_Frontend[[#This Row],[Data]]="","", INDEX(_xlfn.SWITCH(Buildings_Heat_Backend[[#This Row],[Methodology]],"Tier 1",rng_RSD1,"Tier 2",rng_RSD2,"Tier 3",rng_RSD3),MATCH(_xlfn.CONCAT(Buildings_Heat_Backend[[#This Row],[Level 1]:[Level 6]]),rng_LevelsConcat,0)))</f>
        <v/>
      </c>
      <c r="AB209" s="220" t="str">
        <f t="shared" si="10"/>
        <v/>
      </c>
      <c r="AC209" s="174">
        <f>Buildings_Heat_Frontend[[#This Row],[Units]]</f>
        <v>0</v>
      </c>
      <c r="AD20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09" s="174" t="str">
        <f>IF(Buildings_Heat_Frontend[[#This Row],[Data]]="","", _xlfn.XLOOKUP(_xlfn.CONCAT(Buildings_Heat_Backend[[#This Row],[Level 1]:[Level 6]]),rng_LevelsConcat,rng_UnitsLong))</f>
        <v/>
      </c>
      <c r="AF209" s="210" t="str">
        <f>IF(Buildings_Heat_Frontend[[#This Row],[Data]]="","", _xlfn.XLOOKUP(_xlfn.CONCAT(Buildings_Heat_Backend[[#This Row],[Level 1]:[Level 6]]),rng_EFConcat,rng_EF1)*Buildings_Heat_Backend[[#This Row],[Converted data]]/1000)</f>
        <v/>
      </c>
      <c r="AG209" s="210" t="str">
        <f>IF(Buildings_Heat_Frontend[[#This Row],[Data]]="","", _xlfn.XLOOKUP(_xlfn.CONCAT(Buildings_Heat_Backend[[#This Row],[Level 1]:[Level 6]]),rng_EFConcat,rng_EF2)*Buildings_Heat_Backend[[#This Row],[Converted data]]/1000)</f>
        <v/>
      </c>
      <c r="AH209" s="210" t="str">
        <f>IF(Buildings_Heat_Frontend[[#This Row],[Data]]="","", _xlfn.XLOOKUP(_xlfn.CONCAT(Buildings_Heat_Backend[[#This Row],[Level 1]:[Level 6]]),rng_EFConcat,rng_EF3)*Buildings_Heat_Backend[[#This Row],[Converted data]]/1000)</f>
        <v/>
      </c>
      <c r="AI209" s="210" t="str">
        <f>IF(Buildings_Heat_Frontend[[#This Row],[Data]]="","", _xlfn.XLOOKUP(_xlfn.CONCAT(Buildings_Heat_Backend[[#This Row],[Level 1]:[Level 6]]),rng_EFConcat,rng_EF3WTT)*Buildings_Heat_Backend[[#This Row],[Converted data]]/1000)</f>
        <v/>
      </c>
      <c r="AJ209" s="210" t="str">
        <f>IF(Buildings_Heat_Frontend[[#This Row],[Data]]="","", _xlfn.XLOOKUP(_xlfn.CONCAT(Buildings_Heat_Backend[[#This Row],[Level 1]:[Level 6]]),rng_EFConcat,rng_EF3TD)*Buildings_Heat_Backend[[#This Row],[Converted data]]/1000)</f>
        <v/>
      </c>
      <c r="AK209" s="210" t="str">
        <f>IF(Buildings_Heat_Frontend[[#This Row],[Data]]="","", _xlfn.XLOOKUP(_xlfn.CONCAT(Buildings_Heat_Backend[[#This Row],[Level 1]:[Level 6]]),rng_EFConcat,rng_EF3WTTTD)*Buildings_Heat_Backend[[#This Row],[Converted data]]/1000)</f>
        <v/>
      </c>
      <c r="AL209" s="220">
        <f>SUM(Buildings_Heat_Backend[[#This Row],[Scope 1 (tCO2e)]:[Scope 3 WTT T&amp;D (tCO2e)]])</f>
        <v>0</v>
      </c>
      <c r="AM209" s="220" t="str">
        <f>IF(Buildings_Heat_Frontend[[#This Row],[Data]]="","", Buildings_Heat_Backend[[#This Row],[Total (tCO2e)]]*(1-Buildings_Heat_Backend[[#This Row],[RSD]]))</f>
        <v/>
      </c>
      <c r="AN209" s="220" t="str">
        <f>IF(Buildings_Heat_Frontend[[#This Row],[Data]]="","", Buildings_Heat_Backend[[#This Row],[Total (tCO2e)]]*(1+Buildings_Heat_Backend[[#This Row],[RSD]]))</f>
        <v/>
      </c>
      <c r="AO209" s="210" t="str">
        <f>IF(Buildings_Heat_Frontend[[#This Row],[Data]]="","", _xlfn.XLOOKUP(_xlfn.CONCAT(Buildings_Heat_Backend[[#This Row],[Level 1]:[Level 6]]),rng_EFConcat,rng_EFOOS)*Buildings_Heat_Backend[[#This Row],[Converted data]]/1000)</f>
        <v/>
      </c>
      <c r="AP209" s="174">
        <f>Buildings_Heat_Frontend[[#This Row],[Ease of collection]]</f>
        <v>0</v>
      </c>
      <c r="AQ209" s="174">
        <f>Buildings_Heat_Frontend[[#This Row],[Completeness]]</f>
        <v>0</v>
      </c>
      <c r="AR209" s="174">
        <f>Buildings_Heat_Frontend[[#This Row],[Notes]]</f>
        <v>0</v>
      </c>
    </row>
    <row r="210" spans="5:44" x14ac:dyDescent="0.3">
      <c r="E210" s="346"/>
      <c r="F210" s="364"/>
      <c r="G210" s="336"/>
      <c r="H210" s="336"/>
      <c r="I210" s="336"/>
      <c r="J210" s="334"/>
      <c r="K210" s="336"/>
      <c r="L210" s="336"/>
      <c r="M210" s="336"/>
      <c r="N210" s="352"/>
      <c r="O210" s="230">
        <f t="shared" si="11"/>
        <v>6</v>
      </c>
      <c r="Q210" s="212" t="str">
        <f t="shared" si="9"/>
        <v/>
      </c>
      <c r="R210" s="174" t="s">
        <v>265</v>
      </c>
      <c r="S210" s="174" t="s">
        <v>273</v>
      </c>
      <c r="T210" s="174" t="str">
        <f>IF(Buildings_Heat_Frontend[[#This Row],[Data]]="","", _xlfn.XLOOKUP(Buildings_Heat_Backend[[#This Row],[Info 1]],Buildings_SiteInfo[Site name],Buildings_SiteInfo[Site type]))</f>
        <v/>
      </c>
      <c r="U210" s="174" t="str">
        <f>IF(Buildings_Heat_Frontend[[#This Row],[Data]]="","", Buildings_Heat_Frontend[[#This Row],[Heating Type]])</f>
        <v/>
      </c>
      <c r="V210" s="174" t="str">
        <f>IF(Buildings_Heat_Frontend[[#This Row],[Data]]="","", Buildings_Heat_Frontend[[#This Row],[Fuel]])</f>
        <v/>
      </c>
      <c r="W210" s="174" t="str" cm="1">
        <f t="array" ref="W210">IF(Buildings_Heat_Frontend[[#This Row],[Data]]="","", _xlfn.XLOOKUP(Buildings_Heat_Backend[[#This Row],[Level 5]],rng_Level5Long,rng_Level6Long))</f>
        <v/>
      </c>
      <c r="X210" s="174" t="str">
        <f>IF(Buildings_Heat_Frontend[[#This Row],[Data]]="","", Buildings_Heat_Frontend[[#This Row],[Site Name]])</f>
        <v/>
      </c>
      <c r="Y210" s="174" t="str">
        <f>IF(Buildings_Heat_Frontend[[#This Row],[Data]]="","", Buildings_Heat_Frontend[[#This Row],[MPRN]])</f>
        <v/>
      </c>
      <c r="Z210" s="174" t="str">
        <f>IF(Buildings_Heat_Frontend[[#This Row],[Data]]="","", IF($I210="","",$I210))</f>
        <v/>
      </c>
      <c r="AA210" s="229" t="str" cm="1">
        <f t="array" ref="AA210">IF(Buildings_Heat_Frontend[[#This Row],[Data]]="","", INDEX(_xlfn.SWITCH(Buildings_Heat_Backend[[#This Row],[Methodology]],"Tier 1",rng_RSD1,"Tier 2",rng_RSD2,"Tier 3",rng_RSD3),MATCH(_xlfn.CONCAT(Buildings_Heat_Backend[[#This Row],[Level 1]:[Level 6]]),rng_LevelsConcat,0)))</f>
        <v/>
      </c>
      <c r="AB210" s="220" t="str">
        <f t="shared" si="10"/>
        <v/>
      </c>
      <c r="AC210" s="174">
        <f>Buildings_Heat_Frontend[[#This Row],[Units]]</f>
        <v>0</v>
      </c>
      <c r="AD21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0" s="174" t="str">
        <f>IF(Buildings_Heat_Frontend[[#This Row],[Data]]="","", _xlfn.XLOOKUP(_xlfn.CONCAT(Buildings_Heat_Backend[[#This Row],[Level 1]:[Level 6]]),rng_LevelsConcat,rng_UnitsLong))</f>
        <v/>
      </c>
      <c r="AF210" s="210" t="str">
        <f>IF(Buildings_Heat_Frontend[[#This Row],[Data]]="","", _xlfn.XLOOKUP(_xlfn.CONCAT(Buildings_Heat_Backend[[#This Row],[Level 1]:[Level 6]]),rng_EFConcat,rng_EF1)*Buildings_Heat_Backend[[#This Row],[Converted data]]/1000)</f>
        <v/>
      </c>
      <c r="AG210" s="210" t="str">
        <f>IF(Buildings_Heat_Frontend[[#This Row],[Data]]="","", _xlfn.XLOOKUP(_xlfn.CONCAT(Buildings_Heat_Backend[[#This Row],[Level 1]:[Level 6]]),rng_EFConcat,rng_EF2)*Buildings_Heat_Backend[[#This Row],[Converted data]]/1000)</f>
        <v/>
      </c>
      <c r="AH210" s="210" t="str">
        <f>IF(Buildings_Heat_Frontend[[#This Row],[Data]]="","", _xlfn.XLOOKUP(_xlfn.CONCAT(Buildings_Heat_Backend[[#This Row],[Level 1]:[Level 6]]),rng_EFConcat,rng_EF3)*Buildings_Heat_Backend[[#This Row],[Converted data]]/1000)</f>
        <v/>
      </c>
      <c r="AI210" s="210" t="str">
        <f>IF(Buildings_Heat_Frontend[[#This Row],[Data]]="","", _xlfn.XLOOKUP(_xlfn.CONCAT(Buildings_Heat_Backend[[#This Row],[Level 1]:[Level 6]]),rng_EFConcat,rng_EF3WTT)*Buildings_Heat_Backend[[#This Row],[Converted data]]/1000)</f>
        <v/>
      </c>
      <c r="AJ210" s="210" t="str">
        <f>IF(Buildings_Heat_Frontend[[#This Row],[Data]]="","", _xlfn.XLOOKUP(_xlfn.CONCAT(Buildings_Heat_Backend[[#This Row],[Level 1]:[Level 6]]),rng_EFConcat,rng_EF3TD)*Buildings_Heat_Backend[[#This Row],[Converted data]]/1000)</f>
        <v/>
      </c>
      <c r="AK210" s="210" t="str">
        <f>IF(Buildings_Heat_Frontend[[#This Row],[Data]]="","", _xlfn.XLOOKUP(_xlfn.CONCAT(Buildings_Heat_Backend[[#This Row],[Level 1]:[Level 6]]),rng_EFConcat,rng_EF3WTTTD)*Buildings_Heat_Backend[[#This Row],[Converted data]]/1000)</f>
        <v/>
      </c>
      <c r="AL210" s="220">
        <f>SUM(Buildings_Heat_Backend[[#This Row],[Scope 1 (tCO2e)]:[Scope 3 WTT T&amp;D (tCO2e)]])</f>
        <v>0</v>
      </c>
      <c r="AM210" s="220" t="str">
        <f>IF(Buildings_Heat_Frontend[[#This Row],[Data]]="","", Buildings_Heat_Backend[[#This Row],[Total (tCO2e)]]*(1-Buildings_Heat_Backend[[#This Row],[RSD]]))</f>
        <v/>
      </c>
      <c r="AN210" s="220" t="str">
        <f>IF(Buildings_Heat_Frontend[[#This Row],[Data]]="","", Buildings_Heat_Backend[[#This Row],[Total (tCO2e)]]*(1+Buildings_Heat_Backend[[#This Row],[RSD]]))</f>
        <v/>
      </c>
      <c r="AO210" s="210" t="str">
        <f>IF(Buildings_Heat_Frontend[[#This Row],[Data]]="","", _xlfn.XLOOKUP(_xlfn.CONCAT(Buildings_Heat_Backend[[#This Row],[Level 1]:[Level 6]]),rng_EFConcat,rng_EFOOS)*Buildings_Heat_Backend[[#This Row],[Converted data]]/1000)</f>
        <v/>
      </c>
      <c r="AP210" s="174">
        <f>Buildings_Heat_Frontend[[#This Row],[Ease of collection]]</f>
        <v>0</v>
      </c>
      <c r="AQ210" s="174">
        <f>Buildings_Heat_Frontend[[#This Row],[Completeness]]</f>
        <v>0</v>
      </c>
      <c r="AR210" s="174">
        <f>Buildings_Heat_Frontend[[#This Row],[Notes]]</f>
        <v>0</v>
      </c>
    </row>
    <row r="211" spans="5:44" x14ac:dyDescent="0.3">
      <c r="E211" s="346"/>
      <c r="F211" s="364"/>
      <c r="G211" s="336"/>
      <c r="H211" s="336"/>
      <c r="I211" s="336"/>
      <c r="J211" s="334"/>
      <c r="K211" s="336"/>
      <c r="L211" s="336"/>
      <c r="M211" s="336"/>
      <c r="N211" s="352"/>
      <c r="O211" s="230">
        <f t="shared" si="11"/>
        <v>6</v>
      </c>
      <c r="Q211" s="212" t="str">
        <f t="shared" si="9"/>
        <v/>
      </c>
      <c r="R211" s="174" t="s">
        <v>265</v>
      </c>
      <c r="S211" s="174" t="s">
        <v>273</v>
      </c>
      <c r="T211" s="174" t="str">
        <f>IF(Buildings_Heat_Frontend[[#This Row],[Data]]="","", _xlfn.XLOOKUP(Buildings_Heat_Backend[[#This Row],[Info 1]],Buildings_SiteInfo[Site name],Buildings_SiteInfo[Site type]))</f>
        <v/>
      </c>
      <c r="U211" s="174" t="str">
        <f>IF(Buildings_Heat_Frontend[[#This Row],[Data]]="","", Buildings_Heat_Frontend[[#This Row],[Heating Type]])</f>
        <v/>
      </c>
      <c r="V211" s="174" t="str">
        <f>IF(Buildings_Heat_Frontend[[#This Row],[Data]]="","", Buildings_Heat_Frontend[[#This Row],[Fuel]])</f>
        <v/>
      </c>
      <c r="W211" s="174" t="str" cm="1">
        <f t="array" ref="W211">IF(Buildings_Heat_Frontend[[#This Row],[Data]]="","", _xlfn.XLOOKUP(Buildings_Heat_Backend[[#This Row],[Level 5]],rng_Level5Long,rng_Level6Long))</f>
        <v/>
      </c>
      <c r="X211" s="174" t="str">
        <f>IF(Buildings_Heat_Frontend[[#This Row],[Data]]="","", Buildings_Heat_Frontend[[#This Row],[Site Name]])</f>
        <v/>
      </c>
      <c r="Y211" s="174" t="str">
        <f>IF(Buildings_Heat_Frontend[[#This Row],[Data]]="","", Buildings_Heat_Frontend[[#This Row],[MPRN]])</f>
        <v/>
      </c>
      <c r="Z211" s="174" t="str">
        <f>IF(Buildings_Heat_Frontend[[#This Row],[Data]]="","", IF($I211="","",$I211))</f>
        <v/>
      </c>
      <c r="AA211" s="229" t="str" cm="1">
        <f t="array" ref="AA211">IF(Buildings_Heat_Frontend[[#This Row],[Data]]="","", INDEX(_xlfn.SWITCH(Buildings_Heat_Backend[[#This Row],[Methodology]],"Tier 1",rng_RSD1,"Tier 2",rng_RSD2,"Tier 3",rng_RSD3),MATCH(_xlfn.CONCAT(Buildings_Heat_Backend[[#This Row],[Level 1]:[Level 6]]),rng_LevelsConcat,0)))</f>
        <v/>
      </c>
      <c r="AB211" s="220" t="str">
        <f t="shared" si="10"/>
        <v/>
      </c>
      <c r="AC211" s="174">
        <f>Buildings_Heat_Frontend[[#This Row],[Units]]</f>
        <v>0</v>
      </c>
      <c r="AD21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1" s="174" t="str">
        <f>IF(Buildings_Heat_Frontend[[#This Row],[Data]]="","", _xlfn.XLOOKUP(_xlfn.CONCAT(Buildings_Heat_Backend[[#This Row],[Level 1]:[Level 6]]),rng_LevelsConcat,rng_UnitsLong))</f>
        <v/>
      </c>
      <c r="AF211" s="210" t="str">
        <f>IF(Buildings_Heat_Frontend[[#This Row],[Data]]="","", _xlfn.XLOOKUP(_xlfn.CONCAT(Buildings_Heat_Backend[[#This Row],[Level 1]:[Level 6]]),rng_EFConcat,rng_EF1)*Buildings_Heat_Backend[[#This Row],[Converted data]]/1000)</f>
        <v/>
      </c>
      <c r="AG211" s="210" t="str">
        <f>IF(Buildings_Heat_Frontend[[#This Row],[Data]]="","", _xlfn.XLOOKUP(_xlfn.CONCAT(Buildings_Heat_Backend[[#This Row],[Level 1]:[Level 6]]),rng_EFConcat,rng_EF2)*Buildings_Heat_Backend[[#This Row],[Converted data]]/1000)</f>
        <v/>
      </c>
      <c r="AH211" s="210" t="str">
        <f>IF(Buildings_Heat_Frontend[[#This Row],[Data]]="","", _xlfn.XLOOKUP(_xlfn.CONCAT(Buildings_Heat_Backend[[#This Row],[Level 1]:[Level 6]]),rng_EFConcat,rng_EF3)*Buildings_Heat_Backend[[#This Row],[Converted data]]/1000)</f>
        <v/>
      </c>
      <c r="AI211" s="210" t="str">
        <f>IF(Buildings_Heat_Frontend[[#This Row],[Data]]="","", _xlfn.XLOOKUP(_xlfn.CONCAT(Buildings_Heat_Backend[[#This Row],[Level 1]:[Level 6]]),rng_EFConcat,rng_EF3WTT)*Buildings_Heat_Backend[[#This Row],[Converted data]]/1000)</f>
        <v/>
      </c>
      <c r="AJ211" s="210" t="str">
        <f>IF(Buildings_Heat_Frontend[[#This Row],[Data]]="","", _xlfn.XLOOKUP(_xlfn.CONCAT(Buildings_Heat_Backend[[#This Row],[Level 1]:[Level 6]]),rng_EFConcat,rng_EF3TD)*Buildings_Heat_Backend[[#This Row],[Converted data]]/1000)</f>
        <v/>
      </c>
      <c r="AK211" s="210" t="str">
        <f>IF(Buildings_Heat_Frontend[[#This Row],[Data]]="","", _xlfn.XLOOKUP(_xlfn.CONCAT(Buildings_Heat_Backend[[#This Row],[Level 1]:[Level 6]]),rng_EFConcat,rng_EF3WTTTD)*Buildings_Heat_Backend[[#This Row],[Converted data]]/1000)</f>
        <v/>
      </c>
      <c r="AL211" s="220">
        <f>SUM(Buildings_Heat_Backend[[#This Row],[Scope 1 (tCO2e)]:[Scope 3 WTT T&amp;D (tCO2e)]])</f>
        <v>0</v>
      </c>
      <c r="AM211" s="220" t="str">
        <f>IF(Buildings_Heat_Frontend[[#This Row],[Data]]="","", Buildings_Heat_Backend[[#This Row],[Total (tCO2e)]]*(1-Buildings_Heat_Backend[[#This Row],[RSD]]))</f>
        <v/>
      </c>
      <c r="AN211" s="220" t="str">
        <f>IF(Buildings_Heat_Frontend[[#This Row],[Data]]="","", Buildings_Heat_Backend[[#This Row],[Total (tCO2e)]]*(1+Buildings_Heat_Backend[[#This Row],[RSD]]))</f>
        <v/>
      </c>
      <c r="AO211" s="210" t="str">
        <f>IF(Buildings_Heat_Frontend[[#This Row],[Data]]="","", _xlfn.XLOOKUP(_xlfn.CONCAT(Buildings_Heat_Backend[[#This Row],[Level 1]:[Level 6]]),rng_EFConcat,rng_EFOOS)*Buildings_Heat_Backend[[#This Row],[Converted data]]/1000)</f>
        <v/>
      </c>
      <c r="AP211" s="174">
        <f>Buildings_Heat_Frontend[[#This Row],[Ease of collection]]</f>
        <v>0</v>
      </c>
      <c r="AQ211" s="174">
        <f>Buildings_Heat_Frontend[[#This Row],[Completeness]]</f>
        <v>0</v>
      </c>
      <c r="AR211" s="174">
        <f>Buildings_Heat_Frontend[[#This Row],[Notes]]</f>
        <v>0</v>
      </c>
    </row>
    <row r="212" spans="5:44" x14ac:dyDescent="0.3">
      <c r="E212" s="346"/>
      <c r="F212" s="364"/>
      <c r="G212" s="336"/>
      <c r="H212" s="336"/>
      <c r="I212" s="336"/>
      <c r="J212" s="334"/>
      <c r="K212" s="336"/>
      <c r="L212" s="336"/>
      <c r="M212" s="336"/>
      <c r="N212" s="352"/>
      <c r="O212" s="230">
        <f t="shared" si="11"/>
        <v>6</v>
      </c>
      <c r="Q212" s="212" t="str">
        <f t="shared" si="9"/>
        <v/>
      </c>
      <c r="R212" s="174" t="s">
        <v>265</v>
      </c>
      <c r="S212" s="174" t="s">
        <v>273</v>
      </c>
      <c r="T212" s="174" t="str">
        <f>IF(Buildings_Heat_Frontend[[#This Row],[Data]]="","", _xlfn.XLOOKUP(Buildings_Heat_Backend[[#This Row],[Info 1]],Buildings_SiteInfo[Site name],Buildings_SiteInfo[Site type]))</f>
        <v/>
      </c>
      <c r="U212" s="174" t="str">
        <f>IF(Buildings_Heat_Frontend[[#This Row],[Data]]="","", Buildings_Heat_Frontend[[#This Row],[Heating Type]])</f>
        <v/>
      </c>
      <c r="V212" s="174" t="str">
        <f>IF(Buildings_Heat_Frontend[[#This Row],[Data]]="","", Buildings_Heat_Frontend[[#This Row],[Fuel]])</f>
        <v/>
      </c>
      <c r="W212" s="174" t="str" cm="1">
        <f t="array" ref="W212">IF(Buildings_Heat_Frontend[[#This Row],[Data]]="","", _xlfn.XLOOKUP(Buildings_Heat_Backend[[#This Row],[Level 5]],rng_Level5Long,rng_Level6Long))</f>
        <v/>
      </c>
      <c r="X212" s="174" t="str">
        <f>IF(Buildings_Heat_Frontend[[#This Row],[Data]]="","", Buildings_Heat_Frontend[[#This Row],[Site Name]])</f>
        <v/>
      </c>
      <c r="Y212" s="174" t="str">
        <f>IF(Buildings_Heat_Frontend[[#This Row],[Data]]="","", Buildings_Heat_Frontend[[#This Row],[MPRN]])</f>
        <v/>
      </c>
      <c r="Z212" s="174" t="str">
        <f>IF(Buildings_Heat_Frontend[[#This Row],[Data]]="","", IF($I212="","",$I212))</f>
        <v/>
      </c>
      <c r="AA212" s="229" t="str" cm="1">
        <f t="array" ref="AA212">IF(Buildings_Heat_Frontend[[#This Row],[Data]]="","", INDEX(_xlfn.SWITCH(Buildings_Heat_Backend[[#This Row],[Methodology]],"Tier 1",rng_RSD1,"Tier 2",rng_RSD2,"Tier 3",rng_RSD3),MATCH(_xlfn.CONCAT(Buildings_Heat_Backend[[#This Row],[Level 1]:[Level 6]]),rng_LevelsConcat,0)))</f>
        <v/>
      </c>
      <c r="AB212" s="220" t="str">
        <f t="shared" si="10"/>
        <v/>
      </c>
      <c r="AC212" s="174">
        <f>Buildings_Heat_Frontend[[#This Row],[Units]]</f>
        <v>0</v>
      </c>
      <c r="AD21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2" s="174" t="str">
        <f>IF(Buildings_Heat_Frontend[[#This Row],[Data]]="","", _xlfn.XLOOKUP(_xlfn.CONCAT(Buildings_Heat_Backend[[#This Row],[Level 1]:[Level 6]]),rng_LevelsConcat,rng_UnitsLong))</f>
        <v/>
      </c>
      <c r="AF212" s="210" t="str">
        <f>IF(Buildings_Heat_Frontend[[#This Row],[Data]]="","", _xlfn.XLOOKUP(_xlfn.CONCAT(Buildings_Heat_Backend[[#This Row],[Level 1]:[Level 6]]),rng_EFConcat,rng_EF1)*Buildings_Heat_Backend[[#This Row],[Converted data]]/1000)</f>
        <v/>
      </c>
      <c r="AG212" s="210" t="str">
        <f>IF(Buildings_Heat_Frontend[[#This Row],[Data]]="","", _xlfn.XLOOKUP(_xlfn.CONCAT(Buildings_Heat_Backend[[#This Row],[Level 1]:[Level 6]]),rng_EFConcat,rng_EF2)*Buildings_Heat_Backend[[#This Row],[Converted data]]/1000)</f>
        <v/>
      </c>
      <c r="AH212" s="210" t="str">
        <f>IF(Buildings_Heat_Frontend[[#This Row],[Data]]="","", _xlfn.XLOOKUP(_xlfn.CONCAT(Buildings_Heat_Backend[[#This Row],[Level 1]:[Level 6]]),rng_EFConcat,rng_EF3)*Buildings_Heat_Backend[[#This Row],[Converted data]]/1000)</f>
        <v/>
      </c>
      <c r="AI212" s="210" t="str">
        <f>IF(Buildings_Heat_Frontend[[#This Row],[Data]]="","", _xlfn.XLOOKUP(_xlfn.CONCAT(Buildings_Heat_Backend[[#This Row],[Level 1]:[Level 6]]),rng_EFConcat,rng_EF3WTT)*Buildings_Heat_Backend[[#This Row],[Converted data]]/1000)</f>
        <v/>
      </c>
      <c r="AJ212" s="210" t="str">
        <f>IF(Buildings_Heat_Frontend[[#This Row],[Data]]="","", _xlfn.XLOOKUP(_xlfn.CONCAT(Buildings_Heat_Backend[[#This Row],[Level 1]:[Level 6]]),rng_EFConcat,rng_EF3TD)*Buildings_Heat_Backend[[#This Row],[Converted data]]/1000)</f>
        <v/>
      </c>
      <c r="AK212" s="210" t="str">
        <f>IF(Buildings_Heat_Frontend[[#This Row],[Data]]="","", _xlfn.XLOOKUP(_xlfn.CONCAT(Buildings_Heat_Backend[[#This Row],[Level 1]:[Level 6]]),rng_EFConcat,rng_EF3WTTTD)*Buildings_Heat_Backend[[#This Row],[Converted data]]/1000)</f>
        <v/>
      </c>
      <c r="AL212" s="220">
        <f>SUM(Buildings_Heat_Backend[[#This Row],[Scope 1 (tCO2e)]:[Scope 3 WTT T&amp;D (tCO2e)]])</f>
        <v>0</v>
      </c>
      <c r="AM212" s="220" t="str">
        <f>IF(Buildings_Heat_Frontend[[#This Row],[Data]]="","", Buildings_Heat_Backend[[#This Row],[Total (tCO2e)]]*(1-Buildings_Heat_Backend[[#This Row],[RSD]]))</f>
        <v/>
      </c>
      <c r="AN212" s="220" t="str">
        <f>IF(Buildings_Heat_Frontend[[#This Row],[Data]]="","", Buildings_Heat_Backend[[#This Row],[Total (tCO2e)]]*(1+Buildings_Heat_Backend[[#This Row],[RSD]]))</f>
        <v/>
      </c>
      <c r="AO212" s="210" t="str">
        <f>IF(Buildings_Heat_Frontend[[#This Row],[Data]]="","", _xlfn.XLOOKUP(_xlfn.CONCAT(Buildings_Heat_Backend[[#This Row],[Level 1]:[Level 6]]),rng_EFConcat,rng_EFOOS)*Buildings_Heat_Backend[[#This Row],[Converted data]]/1000)</f>
        <v/>
      </c>
      <c r="AP212" s="174">
        <f>Buildings_Heat_Frontend[[#This Row],[Ease of collection]]</f>
        <v>0</v>
      </c>
      <c r="AQ212" s="174">
        <f>Buildings_Heat_Frontend[[#This Row],[Completeness]]</f>
        <v>0</v>
      </c>
      <c r="AR212" s="174">
        <f>Buildings_Heat_Frontend[[#This Row],[Notes]]</f>
        <v>0</v>
      </c>
    </row>
    <row r="213" spans="5:44" x14ac:dyDescent="0.3">
      <c r="E213" s="346"/>
      <c r="F213" s="364"/>
      <c r="G213" s="336"/>
      <c r="H213" s="336"/>
      <c r="I213" s="336"/>
      <c r="J213" s="334"/>
      <c r="K213" s="336"/>
      <c r="L213" s="336"/>
      <c r="M213" s="336"/>
      <c r="N213" s="352"/>
      <c r="O213" s="230">
        <f t="shared" si="11"/>
        <v>6</v>
      </c>
      <c r="Q213" s="212" t="str">
        <f t="shared" si="9"/>
        <v/>
      </c>
      <c r="R213" s="174" t="s">
        <v>265</v>
      </c>
      <c r="S213" s="174" t="s">
        <v>273</v>
      </c>
      <c r="T213" s="174" t="str">
        <f>IF(Buildings_Heat_Frontend[[#This Row],[Data]]="","", _xlfn.XLOOKUP(Buildings_Heat_Backend[[#This Row],[Info 1]],Buildings_SiteInfo[Site name],Buildings_SiteInfo[Site type]))</f>
        <v/>
      </c>
      <c r="U213" s="174" t="str">
        <f>IF(Buildings_Heat_Frontend[[#This Row],[Data]]="","", Buildings_Heat_Frontend[[#This Row],[Heating Type]])</f>
        <v/>
      </c>
      <c r="V213" s="174" t="str">
        <f>IF(Buildings_Heat_Frontend[[#This Row],[Data]]="","", Buildings_Heat_Frontend[[#This Row],[Fuel]])</f>
        <v/>
      </c>
      <c r="W213" s="174" t="str" cm="1">
        <f t="array" ref="W213">IF(Buildings_Heat_Frontend[[#This Row],[Data]]="","", _xlfn.XLOOKUP(Buildings_Heat_Backend[[#This Row],[Level 5]],rng_Level5Long,rng_Level6Long))</f>
        <v/>
      </c>
      <c r="X213" s="174" t="str">
        <f>IF(Buildings_Heat_Frontend[[#This Row],[Data]]="","", Buildings_Heat_Frontend[[#This Row],[Site Name]])</f>
        <v/>
      </c>
      <c r="Y213" s="174" t="str">
        <f>IF(Buildings_Heat_Frontend[[#This Row],[Data]]="","", Buildings_Heat_Frontend[[#This Row],[MPRN]])</f>
        <v/>
      </c>
      <c r="Z213" s="174" t="str">
        <f>IF(Buildings_Heat_Frontend[[#This Row],[Data]]="","", IF($I213="","",$I213))</f>
        <v/>
      </c>
      <c r="AA213" s="229" t="str" cm="1">
        <f t="array" ref="AA213">IF(Buildings_Heat_Frontend[[#This Row],[Data]]="","", INDEX(_xlfn.SWITCH(Buildings_Heat_Backend[[#This Row],[Methodology]],"Tier 1",rng_RSD1,"Tier 2",rng_RSD2,"Tier 3",rng_RSD3),MATCH(_xlfn.CONCAT(Buildings_Heat_Backend[[#This Row],[Level 1]:[Level 6]]),rng_LevelsConcat,0)))</f>
        <v/>
      </c>
      <c r="AB213" s="220" t="str">
        <f t="shared" si="10"/>
        <v/>
      </c>
      <c r="AC213" s="174">
        <f>Buildings_Heat_Frontend[[#This Row],[Units]]</f>
        <v>0</v>
      </c>
      <c r="AD21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3" s="174" t="str">
        <f>IF(Buildings_Heat_Frontend[[#This Row],[Data]]="","", _xlfn.XLOOKUP(_xlfn.CONCAT(Buildings_Heat_Backend[[#This Row],[Level 1]:[Level 6]]),rng_LevelsConcat,rng_UnitsLong))</f>
        <v/>
      </c>
      <c r="AF213" s="210" t="str">
        <f>IF(Buildings_Heat_Frontend[[#This Row],[Data]]="","", _xlfn.XLOOKUP(_xlfn.CONCAT(Buildings_Heat_Backend[[#This Row],[Level 1]:[Level 6]]),rng_EFConcat,rng_EF1)*Buildings_Heat_Backend[[#This Row],[Converted data]]/1000)</f>
        <v/>
      </c>
      <c r="AG213" s="210" t="str">
        <f>IF(Buildings_Heat_Frontend[[#This Row],[Data]]="","", _xlfn.XLOOKUP(_xlfn.CONCAT(Buildings_Heat_Backend[[#This Row],[Level 1]:[Level 6]]),rng_EFConcat,rng_EF2)*Buildings_Heat_Backend[[#This Row],[Converted data]]/1000)</f>
        <v/>
      </c>
      <c r="AH213" s="210" t="str">
        <f>IF(Buildings_Heat_Frontend[[#This Row],[Data]]="","", _xlfn.XLOOKUP(_xlfn.CONCAT(Buildings_Heat_Backend[[#This Row],[Level 1]:[Level 6]]),rng_EFConcat,rng_EF3)*Buildings_Heat_Backend[[#This Row],[Converted data]]/1000)</f>
        <v/>
      </c>
      <c r="AI213" s="210" t="str">
        <f>IF(Buildings_Heat_Frontend[[#This Row],[Data]]="","", _xlfn.XLOOKUP(_xlfn.CONCAT(Buildings_Heat_Backend[[#This Row],[Level 1]:[Level 6]]),rng_EFConcat,rng_EF3WTT)*Buildings_Heat_Backend[[#This Row],[Converted data]]/1000)</f>
        <v/>
      </c>
      <c r="AJ213" s="210" t="str">
        <f>IF(Buildings_Heat_Frontend[[#This Row],[Data]]="","", _xlfn.XLOOKUP(_xlfn.CONCAT(Buildings_Heat_Backend[[#This Row],[Level 1]:[Level 6]]),rng_EFConcat,rng_EF3TD)*Buildings_Heat_Backend[[#This Row],[Converted data]]/1000)</f>
        <v/>
      </c>
      <c r="AK213" s="210" t="str">
        <f>IF(Buildings_Heat_Frontend[[#This Row],[Data]]="","", _xlfn.XLOOKUP(_xlfn.CONCAT(Buildings_Heat_Backend[[#This Row],[Level 1]:[Level 6]]),rng_EFConcat,rng_EF3WTTTD)*Buildings_Heat_Backend[[#This Row],[Converted data]]/1000)</f>
        <v/>
      </c>
      <c r="AL213" s="220">
        <f>SUM(Buildings_Heat_Backend[[#This Row],[Scope 1 (tCO2e)]:[Scope 3 WTT T&amp;D (tCO2e)]])</f>
        <v>0</v>
      </c>
      <c r="AM213" s="220" t="str">
        <f>IF(Buildings_Heat_Frontend[[#This Row],[Data]]="","", Buildings_Heat_Backend[[#This Row],[Total (tCO2e)]]*(1-Buildings_Heat_Backend[[#This Row],[RSD]]))</f>
        <v/>
      </c>
      <c r="AN213" s="220" t="str">
        <f>IF(Buildings_Heat_Frontend[[#This Row],[Data]]="","", Buildings_Heat_Backend[[#This Row],[Total (tCO2e)]]*(1+Buildings_Heat_Backend[[#This Row],[RSD]]))</f>
        <v/>
      </c>
      <c r="AO213" s="210" t="str">
        <f>IF(Buildings_Heat_Frontend[[#This Row],[Data]]="","", _xlfn.XLOOKUP(_xlfn.CONCAT(Buildings_Heat_Backend[[#This Row],[Level 1]:[Level 6]]),rng_EFConcat,rng_EFOOS)*Buildings_Heat_Backend[[#This Row],[Converted data]]/1000)</f>
        <v/>
      </c>
      <c r="AP213" s="174">
        <f>Buildings_Heat_Frontend[[#This Row],[Ease of collection]]</f>
        <v>0</v>
      </c>
      <c r="AQ213" s="174">
        <f>Buildings_Heat_Frontend[[#This Row],[Completeness]]</f>
        <v>0</v>
      </c>
      <c r="AR213" s="174">
        <f>Buildings_Heat_Frontend[[#This Row],[Notes]]</f>
        <v>0</v>
      </c>
    </row>
    <row r="214" spans="5:44" x14ac:dyDescent="0.3">
      <c r="E214" s="346"/>
      <c r="F214" s="364"/>
      <c r="G214" s="336"/>
      <c r="H214" s="336"/>
      <c r="I214" s="336"/>
      <c r="J214" s="334"/>
      <c r="K214" s="336"/>
      <c r="L214" s="336"/>
      <c r="M214" s="336"/>
      <c r="N214" s="352"/>
      <c r="O214" s="230">
        <f t="shared" si="11"/>
        <v>6</v>
      </c>
      <c r="Q214" s="212" t="str">
        <f t="shared" si="9"/>
        <v/>
      </c>
      <c r="R214" s="174" t="s">
        <v>265</v>
      </c>
      <c r="S214" s="174" t="s">
        <v>273</v>
      </c>
      <c r="T214" s="174" t="str">
        <f>IF(Buildings_Heat_Frontend[[#This Row],[Data]]="","", _xlfn.XLOOKUP(Buildings_Heat_Backend[[#This Row],[Info 1]],Buildings_SiteInfo[Site name],Buildings_SiteInfo[Site type]))</f>
        <v/>
      </c>
      <c r="U214" s="174" t="str">
        <f>IF(Buildings_Heat_Frontend[[#This Row],[Data]]="","", Buildings_Heat_Frontend[[#This Row],[Heating Type]])</f>
        <v/>
      </c>
      <c r="V214" s="174" t="str">
        <f>IF(Buildings_Heat_Frontend[[#This Row],[Data]]="","", Buildings_Heat_Frontend[[#This Row],[Fuel]])</f>
        <v/>
      </c>
      <c r="W214" s="174" t="str" cm="1">
        <f t="array" ref="W214">IF(Buildings_Heat_Frontend[[#This Row],[Data]]="","", _xlfn.XLOOKUP(Buildings_Heat_Backend[[#This Row],[Level 5]],rng_Level5Long,rng_Level6Long))</f>
        <v/>
      </c>
      <c r="X214" s="174" t="str">
        <f>IF(Buildings_Heat_Frontend[[#This Row],[Data]]="","", Buildings_Heat_Frontend[[#This Row],[Site Name]])</f>
        <v/>
      </c>
      <c r="Y214" s="174" t="str">
        <f>IF(Buildings_Heat_Frontend[[#This Row],[Data]]="","", Buildings_Heat_Frontend[[#This Row],[MPRN]])</f>
        <v/>
      </c>
      <c r="Z214" s="174" t="str">
        <f>IF(Buildings_Heat_Frontend[[#This Row],[Data]]="","", IF($I214="","",$I214))</f>
        <v/>
      </c>
      <c r="AA214" s="229" t="str" cm="1">
        <f t="array" ref="AA214">IF(Buildings_Heat_Frontend[[#This Row],[Data]]="","", INDEX(_xlfn.SWITCH(Buildings_Heat_Backend[[#This Row],[Methodology]],"Tier 1",rng_RSD1,"Tier 2",rng_RSD2,"Tier 3",rng_RSD3),MATCH(_xlfn.CONCAT(Buildings_Heat_Backend[[#This Row],[Level 1]:[Level 6]]),rng_LevelsConcat,0)))</f>
        <v/>
      </c>
      <c r="AB214" s="220" t="str">
        <f t="shared" si="10"/>
        <v/>
      </c>
      <c r="AC214" s="174">
        <f>Buildings_Heat_Frontend[[#This Row],[Units]]</f>
        <v>0</v>
      </c>
      <c r="AD21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4" s="174" t="str">
        <f>IF(Buildings_Heat_Frontend[[#This Row],[Data]]="","", _xlfn.XLOOKUP(_xlfn.CONCAT(Buildings_Heat_Backend[[#This Row],[Level 1]:[Level 6]]),rng_LevelsConcat,rng_UnitsLong))</f>
        <v/>
      </c>
      <c r="AF214" s="210" t="str">
        <f>IF(Buildings_Heat_Frontend[[#This Row],[Data]]="","", _xlfn.XLOOKUP(_xlfn.CONCAT(Buildings_Heat_Backend[[#This Row],[Level 1]:[Level 6]]),rng_EFConcat,rng_EF1)*Buildings_Heat_Backend[[#This Row],[Converted data]]/1000)</f>
        <v/>
      </c>
      <c r="AG214" s="210" t="str">
        <f>IF(Buildings_Heat_Frontend[[#This Row],[Data]]="","", _xlfn.XLOOKUP(_xlfn.CONCAT(Buildings_Heat_Backend[[#This Row],[Level 1]:[Level 6]]),rng_EFConcat,rng_EF2)*Buildings_Heat_Backend[[#This Row],[Converted data]]/1000)</f>
        <v/>
      </c>
      <c r="AH214" s="210" t="str">
        <f>IF(Buildings_Heat_Frontend[[#This Row],[Data]]="","", _xlfn.XLOOKUP(_xlfn.CONCAT(Buildings_Heat_Backend[[#This Row],[Level 1]:[Level 6]]),rng_EFConcat,rng_EF3)*Buildings_Heat_Backend[[#This Row],[Converted data]]/1000)</f>
        <v/>
      </c>
      <c r="AI214" s="210" t="str">
        <f>IF(Buildings_Heat_Frontend[[#This Row],[Data]]="","", _xlfn.XLOOKUP(_xlfn.CONCAT(Buildings_Heat_Backend[[#This Row],[Level 1]:[Level 6]]),rng_EFConcat,rng_EF3WTT)*Buildings_Heat_Backend[[#This Row],[Converted data]]/1000)</f>
        <v/>
      </c>
      <c r="AJ214" s="210" t="str">
        <f>IF(Buildings_Heat_Frontend[[#This Row],[Data]]="","", _xlfn.XLOOKUP(_xlfn.CONCAT(Buildings_Heat_Backend[[#This Row],[Level 1]:[Level 6]]),rng_EFConcat,rng_EF3TD)*Buildings_Heat_Backend[[#This Row],[Converted data]]/1000)</f>
        <v/>
      </c>
      <c r="AK214" s="210" t="str">
        <f>IF(Buildings_Heat_Frontend[[#This Row],[Data]]="","", _xlfn.XLOOKUP(_xlfn.CONCAT(Buildings_Heat_Backend[[#This Row],[Level 1]:[Level 6]]),rng_EFConcat,rng_EF3WTTTD)*Buildings_Heat_Backend[[#This Row],[Converted data]]/1000)</f>
        <v/>
      </c>
      <c r="AL214" s="220">
        <f>SUM(Buildings_Heat_Backend[[#This Row],[Scope 1 (tCO2e)]:[Scope 3 WTT T&amp;D (tCO2e)]])</f>
        <v>0</v>
      </c>
      <c r="AM214" s="220" t="str">
        <f>IF(Buildings_Heat_Frontend[[#This Row],[Data]]="","", Buildings_Heat_Backend[[#This Row],[Total (tCO2e)]]*(1-Buildings_Heat_Backend[[#This Row],[RSD]]))</f>
        <v/>
      </c>
      <c r="AN214" s="220" t="str">
        <f>IF(Buildings_Heat_Frontend[[#This Row],[Data]]="","", Buildings_Heat_Backend[[#This Row],[Total (tCO2e)]]*(1+Buildings_Heat_Backend[[#This Row],[RSD]]))</f>
        <v/>
      </c>
      <c r="AO214" s="210" t="str">
        <f>IF(Buildings_Heat_Frontend[[#This Row],[Data]]="","", _xlfn.XLOOKUP(_xlfn.CONCAT(Buildings_Heat_Backend[[#This Row],[Level 1]:[Level 6]]),rng_EFConcat,rng_EFOOS)*Buildings_Heat_Backend[[#This Row],[Converted data]]/1000)</f>
        <v/>
      </c>
      <c r="AP214" s="174">
        <f>Buildings_Heat_Frontend[[#This Row],[Ease of collection]]</f>
        <v>0</v>
      </c>
      <c r="AQ214" s="174">
        <f>Buildings_Heat_Frontend[[#This Row],[Completeness]]</f>
        <v>0</v>
      </c>
      <c r="AR214" s="174">
        <f>Buildings_Heat_Frontend[[#This Row],[Notes]]</f>
        <v>0</v>
      </c>
    </row>
    <row r="215" spans="5:44" x14ac:dyDescent="0.3">
      <c r="E215" s="346"/>
      <c r="F215" s="364"/>
      <c r="G215" s="336"/>
      <c r="H215" s="336"/>
      <c r="I215" s="336"/>
      <c r="J215" s="334"/>
      <c r="K215" s="336"/>
      <c r="L215" s="336"/>
      <c r="M215" s="336"/>
      <c r="N215" s="352"/>
      <c r="O215" s="230">
        <f t="shared" si="11"/>
        <v>6</v>
      </c>
      <c r="Q215" s="212" t="str">
        <f t="shared" si="9"/>
        <v/>
      </c>
      <c r="R215" s="174" t="s">
        <v>265</v>
      </c>
      <c r="S215" s="174" t="s">
        <v>273</v>
      </c>
      <c r="T215" s="174" t="str">
        <f>IF(Buildings_Heat_Frontend[[#This Row],[Data]]="","", _xlfn.XLOOKUP(Buildings_Heat_Backend[[#This Row],[Info 1]],Buildings_SiteInfo[Site name],Buildings_SiteInfo[Site type]))</f>
        <v/>
      </c>
      <c r="U215" s="174" t="str">
        <f>IF(Buildings_Heat_Frontend[[#This Row],[Data]]="","", Buildings_Heat_Frontend[[#This Row],[Heating Type]])</f>
        <v/>
      </c>
      <c r="V215" s="174" t="str">
        <f>IF(Buildings_Heat_Frontend[[#This Row],[Data]]="","", Buildings_Heat_Frontend[[#This Row],[Fuel]])</f>
        <v/>
      </c>
      <c r="W215" s="174" t="str" cm="1">
        <f t="array" ref="W215">IF(Buildings_Heat_Frontend[[#This Row],[Data]]="","", _xlfn.XLOOKUP(Buildings_Heat_Backend[[#This Row],[Level 5]],rng_Level5Long,rng_Level6Long))</f>
        <v/>
      </c>
      <c r="X215" s="174" t="str">
        <f>IF(Buildings_Heat_Frontend[[#This Row],[Data]]="","", Buildings_Heat_Frontend[[#This Row],[Site Name]])</f>
        <v/>
      </c>
      <c r="Y215" s="174" t="str">
        <f>IF(Buildings_Heat_Frontend[[#This Row],[Data]]="","", Buildings_Heat_Frontend[[#This Row],[MPRN]])</f>
        <v/>
      </c>
      <c r="Z215" s="174" t="str">
        <f>IF(Buildings_Heat_Frontend[[#This Row],[Data]]="","", IF($I215="","",$I215))</f>
        <v/>
      </c>
      <c r="AA215" s="229" t="str" cm="1">
        <f t="array" ref="AA215">IF(Buildings_Heat_Frontend[[#This Row],[Data]]="","", INDEX(_xlfn.SWITCH(Buildings_Heat_Backend[[#This Row],[Methodology]],"Tier 1",rng_RSD1,"Tier 2",rng_RSD2,"Tier 3",rng_RSD3),MATCH(_xlfn.CONCAT(Buildings_Heat_Backend[[#This Row],[Level 1]:[Level 6]]),rng_LevelsConcat,0)))</f>
        <v/>
      </c>
      <c r="AB215" s="220" t="str">
        <f t="shared" si="10"/>
        <v/>
      </c>
      <c r="AC215" s="174">
        <f>Buildings_Heat_Frontend[[#This Row],[Units]]</f>
        <v>0</v>
      </c>
      <c r="AD21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5" s="174" t="str">
        <f>IF(Buildings_Heat_Frontend[[#This Row],[Data]]="","", _xlfn.XLOOKUP(_xlfn.CONCAT(Buildings_Heat_Backend[[#This Row],[Level 1]:[Level 6]]),rng_LevelsConcat,rng_UnitsLong))</f>
        <v/>
      </c>
      <c r="AF215" s="210" t="str">
        <f>IF(Buildings_Heat_Frontend[[#This Row],[Data]]="","", _xlfn.XLOOKUP(_xlfn.CONCAT(Buildings_Heat_Backend[[#This Row],[Level 1]:[Level 6]]),rng_EFConcat,rng_EF1)*Buildings_Heat_Backend[[#This Row],[Converted data]]/1000)</f>
        <v/>
      </c>
      <c r="AG215" s="210" t="str">
        <f>IF(Buildings_Heat_Frontend[[#This Row],[Data]]="","", _xlfn.XLOOKUP(_xlfn.CONCAT(Buildings_Heat_Backend[[#This Row],[Level 1]:[Level 6]]),rng_EFConcat,rng_EF2)*Buildings_Heat_Backend[[#This Row],[Converted data]]/1000)</f>
        <v/>
      </c>
      <c r="AH215" s="210" t="str">
        <f>IF(Buildings_Heat_Frontend[[#This Row],[Data]]="","", _xlfn.XLOOKUP(_xlfn.CONCAT(Buildings_Heat_Backend[[#This Row],[Level 1]:[Level 6]]),rng_EFConcat,rng_EF3)*Buildings_Heat_Backend[[#This Row],[Converted data]]/1000)</f>
        <v/>
      </c>
      <c r="AI215" s="210" t="str">
        <f>IF(Buildings_Heat_Frontend[[#This Row],[Data]]="","", _xlfn.XLOOKUP(_xlfn.CONCAT(Buildings_Heat_Backend[[#This Row],[Level 1]:[Level 6]]),rng_EFConcat,rng_EF3WTT)*Buildings_Heat_Backend[[#This Row],[Converted data]]/1000)</f>
        <v/>
      </c>
      <c r="AJ215" s="210" t="str">
        <f>IF(Buildings_Heat_Frontend[[#This Row],[Data]]="","", _xlfn.XLOOKUP(_xlfn.CONCAT(Buildings_Heat_Backend[[#This Row],[Level 1]:[Level 6]]),rng_EFConcat,rng_EF3TD)*Buildings_Heat_Backend[[#This Row],[Converted data]]/1000)</f>
        <v/>
      </c>
      <c r="AK215" s="210" t="str">
        <f>IF(Buildings_Heat_Frontend[[#This Row],[Data]]="","", _xlfn.XLOOKUP(_xlfn.CONCAT(Buildings_Heat_Backend[[#This Row],[Level 1]:[Level 6]]),rng_EFConcat,rng_EF3WTTTD)*Buildings_Heat_Backend[[#This Row],[Converted data]]/1000)</f>
        <v/>
      </c>
      <c r="AL215" s="220">
        <f>SUM(Buildings_Heat_Backend[[#This Row],[Scope 1 (tCO2e)]:[Scope 3 WTT T&amp;D (tCO2e)]])</f>
        <v>0</v>
      </c>
      <c r="AM215" s="220" t="str">
        <f>IF(Buildings_Heat_Frontend[[#This Row],[Data]]="","", Buildings_Heat_Backend[[#This Row],[Total (tCO2e)]]*(1-Buildings_Heat_Backend[[#This Row],[RSD]]))</f>
        <v/>
      </c>
      <c r="AN215" s="220" t="str">
        <f>IF(Buildings_Heat_Frontend[[#This Row],[Data]]="","", Buildings_Heat_Backend[[#This Row],[Total (tCO2e)]]*(1+Buildings_Heat_Backend[[#This Row],[RSD]]))</f>
        <v/>
      </c>
      <c r="AO215" s="210" t="str">
        <f>IF(Buildings_Heat_Frontend[[#This Row],[Data]]="","", _xlfn.XLOOKUP(_xlfn.CONCAT(Buildings_Heat_Backend[[#This Row],[Level 1]:[Level 6]]),rng_EFConcat,rng_EFOOS)*Buildings_Heat_Backend[[#This Row],[Converted data]]/1000)</f>
        <v/>
      </c>
      <c r="AP215" s="174">
        <f>Buildings_Heat_Frontend[[#This Row],[Ease of collection]]</f>
        <v>0</v>
      </c>
      <c r="AQ215" s="174">
        <f>Buildings_Heat_Frontend[[#This Row],[Completeness]]</f>
        <v>0</v>
      </c>
      <c r="AR215" s="174">
        <f>Buildings_Heat_Frontend[[#This Row],[Notes]]</f>
        <v>0</v>
      </c>
    </row>
    <row r="216" spans="5:44" x14ac:dyDescent="0.3">
      <c r="E216" s="346"/>
      <c r="F216" s="364"/>
      <c r="G216" s="336"/>
      <c r="H216" s="336"/>
      <c r="I216" s="336"/>
      <c r="J216" s="334"/>
      <c r="K216" s="336"/>
      <c r="L216" s="336"/>
      <c r="M216" s="336"/>
      <c r="N216" s="352"/>
      <c r="O216" s="230">
        <f t="shared" si="11"/>
        <v>6</v>
      </c>
      <c r="Q216" s="212" t="str">
        <f t="shared" si="9"/>
        <v/>
      </c>
      <c r="R216" s="174" t="s">
        <v>265</v>
      </c>
      <c r="S216" s="174" t="s">
        <v>273</v>
      </c>
      <c r="T216" s="174" t="str">
        <f>IF(Buildings_Heat_Frontend[[#This Row],[Data]]="","", _xlfn.XLOOKUP(Buildings_Heat_Backend[[#This Row],[Info 1]],Buildings_SiteInfo[Site name],Buildings_SiteInfo[Site type]))</f>
        <v/>
      </c>
      <c r="U216" s="174" t="str">
        <f>IF(Buildings_Heat_Frontend[[#This Row],[Data]]="","", Buildings_Heat_Frontend[[#This Row],[Heating Type]])</f>
        <v/>
      </c>
      <c r="V216" s="174" t="str">
        <f>IF(Buildings_Heat_Frontend[[#This Row],[Data]]="","", Buildings_Heat_Frontend[[#This Row],[Fuel]])</f>
        <v/>
      </c>
      <c r="W216" s="174" t="str" cm="1">
        <f t="array" ref="W216">IF(Buildings_Heat_Frontend[[#This Row],[Data]]="","", _xlfn.XLOOKUP(Buildings_Heat_Backend[[#This Row],[Level 5]],rng_Level5Long,rng_Level6Long))</f>
        <v/>
      </c>
      <c r="X216" s="174" t="str">
        <f>IF(Buildings_Heat_Frontend[[#This Row],[Data]]="","", Buildings_Heat_Frontend[[#This Row],[Site Name]])</f>
        <v/>
      </c>
      <c r="Y216" s="174" t="str">
        <f>IF(Buildings_Heat_Frontend[[#This Row],[Data]]="","", Buildings_Heat_Frontend[[#This Row],[MPRN]])</f>
        <v/>
      </c>
      <c r="Z216" s="174" t="str">
        <f>IF(Buildings_Heat_Frontend[[#This Row],[Data]]="","", IF($I216="","",$I216))</f>
        <v/>
      </c>
      <c r="AA216" s="229" t="str" cm="1">
        <f t="array" ref="AA216">IF(Buildings_Heat_Frontend[[#This Row],[Data]]="","", INDEX(_xlfn.SWITCH(Buildings_Heat_Backend[[#This Row],[Methodology]],"Tier 1",rng_RSD1,"Tier 2",rng_RSD2,"Tier 3",rng_RSD3),MATCH(_xlfn.CONCAT(Buildings_Heat_Backend[[#This Row],[Level 1]:[Level 6]]),rng_LevelsConcat,0)))</f>
        <v/>
      </c>
      <c r="AB216" s="220" t="str">
        <f t="shared" si="10"/>
        <v/>
      </c>
      <c r="AC216" s="174">
        <f>Buildings_Heat_Frontend[[#This Row],[Units]]</f>
        <v>0</v>
      </c>
      <c r="AD21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6" s="174" t="str">
        <f>IF(Buildings_Heat_Frontend[[#This Row],[Data]]="","", _xlfn.XLOOKUP(_xlfn.CONCAT(Buildings_Heat_Backend[[#This Row],[Level 1]:[Level 6]]),rng_LevelsConcat,rng_UnitsLong))</f>
        <v/>
      </c>
      <c r="AF216" s="210" t="str">
        <f>IF(Buildings_Heat_Frontend[[#This Row],[Data]]="","", _xlfn.XLOOKUP(_xlfn.CONCAT(Buildings_Heat_Backend[[#This Row],[Level 1]:[Level 6]]),rng_EFConcat,rng_EF1)*Buildings_Heat_Backend[[#This Row],[Converted data]]/1000)</f>
        <v/>
      </c>
      <c r="AG216" s="210" t="str">
        <f>IF(Buildings_Heat_Frontend[[#This Row],[Data]]="","", _xlfn.XLOOKUP(_xlfn.CONCAT(Buildings_Heat_Backend[[#This Row],[Level 1]:[Level 6]]),rng_EFConcat,rng_EF2)*Buildings_Heat_Backend[[#This Row],[Converted data]]/1000)</f>
        <v/>
      </c>
      <c r="AH216" s="210" t="str">
        <f>IF(Buildings_Heat_Frontend[[#This Row],[Data]]="","", _xlfn.XLOOKUP(_xlfn.CONCAT(Buildings_Heat_Backend[[#This Row],[Level 1]:[Level 6]]),rng_EFConcat,rng_EF3)*Buildings_Heat_Backend[[#This Row],[Converted data]]/1000)</f>
        <v/>
      </c>
      <c r="AI216" s="210" t="str">
        <f>IF(Buildings_Heat_Frontend[[#This Row],[Data]]="","", _xlfn.XLOOKUP(_xlfn.CONCAT(Buildings_Heat_Backend[[#This Row],[Level 1]:[Level 6]]),rng_EFConcat,rng_EF3WTT)*Buildings_Heat_Backend[[#This Row],[Converted data]]/1000)</f>
        <v/>
      </c>
      <c r="AJ216" s="210" t="str">
        <f>IF(Buildings_Heat_Frontend[[#This Row],[Data]]="","", _xlfn.XLOOKUP(_xlfn.CONCAT(Buildings_Heat_Backend[[#This Row],[Level 1]:[Level 6]]),rng_EFConcat,rng_EF3TD)*Buildings_Heat_Backend[[#This Row],[Converted data]]/1000)</f>
        <v/>
      </c>
      <c r="AK216" s="210" t="str">
        <f>IF(Buildings_Heat_Frontend[[#This Row],[Data]]="","", _xlfn.XLOOKUP(_xlfn.CONCAT(Buildings_Heat_Backend[[#This Row],[Level 1]:[Level 6]]),rng_EFConcat,rng_EF3WTTTD)*Buildings_Heat_Backend[[#This Row],[Converted data]]/1000)</f>
        <v/>
      </c>
      <c r="AL216" s="220">
        <f>SUM(Buildings_Heat_Backend[[#This Row],[Scope 1 (tCO2e)]:[Scope 3 WTT T&amp;D (tCO2e)]])</f>
        <v>0</v>
      </c>
      <c r="AM216" s="220" t="str">
        <f>IF(Buildings_Heat_Frontend[[#This Row],[Data]]="","", Buildings_Heat_Backend[[#This Row],[Total (tCO2e)]]*(1-Buildings_Heat_Backend[[#This Row],[RSD]]))</f>
        <v/>
      </c>
      <c r="AN216" s="220" t="str">
        <f>IF(Buildings_Heat_Frontend[[#This Row],[Data]]="","", Buildings_Heat_Backend[[#This Row],[Total (tCO2e)]]*(1+Buildings_Heat_Backend[[#This Row],[RSD]]))</f>
        <v/>
      </c>
      <c r="AO216" s="210" t="str">
        <f>IF(Buildings_Heat_Frontend[[#This Row],[Data]]="","", _xlfn.XLOOKUP(_xlfn.CONCAT(Buildings_Heat_Backend[[#This Row],[Level 1]:[Level 6]]),rng_EFConcat,rng_EFOOS)*Buildings_Heat_Backend[[#This Row],[Converted data]]/1000)</f>
        <v/>
      </c>
      <c r="AP216" s="174">
        <f>Buildings_Heat_Frontend[[#This Row],[Ease of collection]]</f>
        <v>0</v>
      </c>
      <c r="AQ216" s="174">
        <f>Buildings_Heat_Frontend[[#This Row],[Completeness]]</f>
        <v>0</v>
      </c>
      <c r="AR216" s="174">
        <f>Buildings_Heat_Frontend[[#This Row],[Notes]]</f>
        <v>0</v>
      </c>
    </row>
    <row r="217" spans="5:44" x14ac:dyDescent="0.3">
      <c r="E217" s="346"/>
      <c r="F217" s="364"/>
      <c r="G217" s="336"/>
      <c r="H217" s="336"/>
      <c r="I217" s="336"/>
      <c r="J217" s="334"/>
      <c r="K217" s="336"/>
      <c r="L217" s="336"/>
      <c r="M217" s="336"/>
      <c r="N217" s="352"/>
      <c r="O217" s="230">
        <f t="shared" si="11"/>
        <v>6</v>
      </c>
      <c r="Q217" s="212" t="str">
        <f t="shared" si="9"/>
        <v/>
      </c>
      <c r="R217" s="174" t="s">
        <v>265</v>
      </c>
      <c r="S217" s="174" t="s">
        <v>273</v>
      </c>
      <c r="T217" s="174" t="str">
        <f>IF(Buildings_Heat_Frontend[[#This Row],[Data]]="","", _xlfn.XLOOKUP(Buildings_Heat_Backend[[#This Row],[Info 1]],Buildings_SiteInfo[Site name],Buildings_SiteInfo[Site type]))</f>
        <v/>
      </c>
      <c r="U217" s="174" t="str">
        <f>IF(Buildings_Heat_Frontend[[#This Row],[Data]]="","", Buildings_Heat_Frontend[[#This Row],[Heating Type]])</f>
        <v/>
      </c>
      <c r="V217" s="174" t="str">
        <f>IF(Buildings_Heat_Frontend[[#This Row],[Data]]="","", Buildings_Heat_Frontend[[#This Row],[Fuel]])</f>
        <v/>
      </c>
      <c r="W217" s="174" t="str" cm="1">
        <f t="array" ref="W217">IF(Buildings_Heat_Frontend[[#This Row],[Data]]="","", _xlfn.XLOOKUP(Buildings_Heat_Backend[[#This Row],[Level 5]],rng_Level5Long,rng_Level6Long))</f>
        <v/>
      </c>
      <c r="X217" s="174" t="str">
        <f>IF(Buildings_Heat_Frontend[[#This Row],[Data]]="","", Buildings_Heat_Frontend[[#This Row],[Site Name]])</f>
        <v/>
      </c>
      <c r="Y217" s="174" t="str">
        <f>IF(Buildings_Heat_Frontend[[#This Row],[Data]]="","", Buildings_Heat_Frontend[[#This Row],[MPRN]])</f>
        <v/>
      </c>
      <c r="Z217" s="174" t="str">
        <f>IF(Buildings_Heat_Frontend[[#This Row],[Data]]="","", IF($I217="","",$I217))</f>
        <v/>
      </c>
      <c r="AA217" s="229" t="str" cm="1">
        <f t="array" ref="AA217">IF(Buildings_Heat_Frontend[[#This Row],[Data]]="","", INDEX(_xlfn.SWITCH(Buildings_Heat_Backend[[#This Row],[Methodology]],"Tier 1",rng_RSD1,"Tier 2",rng_RSD2,"Tier 3",rng_RSD3),MATCH(_xlfn.CONCAT(Buildings_Heat_Backend[[#This Row],[Level 1]:[Level 6]]),rng_LevelsConcat,0)))</f>
        <v/>
      </c>
      <c r="AB217" s="220" t="str">
        <f t="shared" si="10"/>
        <v/>
      </c>
      <c r="AC217" s="174">
        <f>Buildings_Heat_Frontend[[#This Row],[Units]]</f>
        <v>0</v>
      </c>
      <c r="AD21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7" s="174" t="str">
        <f>IF(Buildings_Heat_Frontend[[#This Row],[Data]]="","", _xlfn.XLOOKUP(_xlfn.CONCAT(Buildings_Heat_Backend[[#This Row],[Level 1]:[Level 6]]),rng_LevelsConcat,rng_UnitsLong))</f>
        <v/>
      </c>
      <c r="AF217" s="210" t="str">
        <f>IF(Buildings_Heat_Frontend[[#This Row],[Data]]="","", _xlfn.XLOOKUP(_xlfn.CONCAT(Buildings_Heat_Backend[[#This Row],[Level 1]:[Level 6]]),rng_EFConcat,rng_EF1)*Buildings_Heat_Backend[[#This Row],[Converted data]]/1000)</f>
        <v/>
      </c>
      <c r="AG217" s="210" t="str">
        <f>IF(Buildings_Heat_Frontend[[#This Row],[Data]]="","", _xlfn.XLOOKUP(_xlfn.CONCAT(Buildings_Heat_Backend[[#This Row],[Level 1]:[Level 6]]),rng_EFConcat,rng_EF2)*Buildings_Heat_Backend[[#This Row],[Converted data]]/1000)</f>
        <v/>
      </c>
      <c r="AH217" s="210" t="str">
        <f>IF(Buildings_Heat_Frontend[[#This Row],[Data]]="","", _xlfn.XLOOKUP(_xlfn.CONCAT(Buildings_Heat_Backend[[#This Row],[Level 1]:[Level 6]]),rng_EFConcat,rng_EF3)*Buildings_Heat_Backend[[#This Row],[Converted data]]/1000)</f>
        <v/>
      </c>
      <c r="AI217" s="210" t="str">
        <f>IF(Buildings_Heat_Frontend[[#This Row],[Data]]="","", _xlfn.XLOOKUP(_xlfn.CONCAT(Buildings_Heat_Backend[[#This Row],[Level 1]:[Level 6]]),rng_EFConcat,rng_EF3WTT)*Buildings_Heat_Backend[[#This Row],[Converted data]]/1000)</f>
        <v/>
      </c>
      <c r="AJ217" s="210" t="str">
        <f>IF(Buildings_Heat_Frontend[[#This Row],[Data]]="","", _xlfn.XLOOKUP(_xlfn.CONCAT(Buildings_Heat_Backend[[#This Row],[Level 1]:[Level 6]]),rng_EFConcat,rng_EF3TD)*Buildings_Heat_Backend[[#This Row],[Converted data]]/1000)</f>
        <v/>
      </c>
      <c r="AK217" s="210" t="str">
        <f>IF(Buildings_Heat_Frontend[[#This Row],[Data]]="","", _xlfn.XLOOKUP(_xlfn.CONCAT(Buildings_Heat_Backend[[#This Row],[Level 1]:[Level 6]]),rng_EFConcat,rng_EF3WTTTD)*Buildings_Heat_Backend[[#This Row],[Converted data]]/1000)</f>
        <v/>
      </c>
      <c r="AL217" s="220">
        <f>SUM(Buildings_Heat_Backend[[#This Row],[Scope 1 (tCO2e)]:[Scope 3 WTT T&amp;D (tCO2e)]])</f>
        <v>0</v>
      </c>
      <c r="AM217" s="220" t="str">
        <f>IF(Buildings_Heat_Frontend[[#This Row],[Data]]="","", Buildings_Heat_Backend[[#This Row],[Total (tCO2e)]]*(1-Buildings_Heat_Backend[[#This Row],[RSD]]))</f>
        <v/>
      </c>
      <c r="AN217" s="220" t="str">
        <f>IF(Buildings_Heat_Frontend[[#This Row],[Data]]="","", Buildings_Heat_Backend[[#This Row],[Total (tCO2e)]]*(1+Buildings_Heat_Backend[[#This Row],[RSD]]))</f>
        <v/>
      </c>
      <c r="AO217" s="210" t="str">
        <f>IF(Buildings_Heat_Frontend[[#This Row],[Data]]="","", _xlfn.XLOOKUP(_xlfn.CONCAT(Buildings_Heat_Backend[[#This Row],[Level 1]:[Level 6]]),rng_EFConcat,rng_EFOOS)*Buildings_Heat_Backend[[#This Row],[Converted data]]/1000)</f>
        <v/>
      </c>
      <c r="AP217" s="174">
        <f>Buildings_Heat_Frontend[[#This Row],[Ease of collection]]</f>
        <v>0</v>
      </c>
      <c r="AQ217" s="174">
        <f>Buildings_Heat_Frontend[[#This Row],[Completeness]]</f>
        <v>0</v>
      </c>
      <c r="AR217" s="174">
        <f>Buildings_Heat_Frontend[[#This Row],[Notes]]</f>
        <v>0</v>
      </c>
    </row>
    <row r="218" spans="5:44" x14ac:dyDescent="0.3">
      <c r="E218" s="346"/>
      <c r="F218" s="364"/>
      <c r="G218" s="336"/>
      <c r="H218" s="336"/>
      <c r="I218" s="336"/>
      <c r="J218" s="334"/>
      <c r="K218" s="336"/>
      <c r="L218" s="336"/>
      <c r="M218" s="336"/>
      <c r="N218" s="352"/>
      <c r="O218" s="230">
        <f t="shared" si="11"/>
        <v>6</v>
      </c>
      <c r="Q218" s="212" t="str">
        <f t="shared" si="9"/>
        <v/>
      </c>
      <c r="R218" s="174" t="s">
        <v>265</v>
      </c>
      <c r="S218" s="174" t="s">
        <v>273</v>
      </c>
      <c r="T218" s="174" t="str">
        <f>IF(Buildings_Heat_Frontend[[#This Row],[Data]]="","", _xlfn.XLOOKUP(Buildings_Heat_Backend[[#This Row],[Info 1]],Buildings_SiteInfo[Site name],Buildings_SiteInfo[Site type]))</f>
        <v/>
      </c>
      <c r="U218" s="174" t="str">
        <f>IF(Buildings_Heat_Frontend[[#This Row],[Data]]="","", Buildings_Heat_Frontend[[#This Row],[Heating Type]])</f>
        <v/>
      </c>
      <c r="V218" s="174" t="str">
        <f>IF(Buildings_Heat_Frontend[[#This Row],[Data]]="","", Buildings_Heat_Frontend[[#This Row],[Fuel]])</f>
        <v/>
      </c>
      <c r="W218" s="174" t="str" cm="1">
        <f t="array" ref="W218">IF(Buildings_Heat_Frontend[[#This Row],[Data]]="","", _xlfn.XLOOKUP(Buildings_Heat_Backend[[#This Row],[Level 5]],rng_Level5Long,rng_Level6Long))</f>
        <v/>
      </c>
      <c r="X218" s="174" t="str">
        <f>IF(Buildings_Heat_Frontend[[#This Row],[Data]]="","", Buildings_Heat_Frontend[[#This Row],[Site Name]])</f>
        <v/>
      </c>
      <c r="Y218" s="174" t="str">
        <f>IF(Buildings_Heat_Frontend[[#This Row],[Data]]="","", Buildings_Heat_Frontend[[#This Row],[MPRN]])</f>
        <v/>
      </c>
      <c r="Z218" s="174" t="str">
        <f>IF(Buildings_Heat_Frontend[[#This Row],[Data]]="","", IF($I218="","",$I218))</f>
        <v/>
      </c>
      <c r="AA218" s="229" t="str" cm="1">
        <f t="array" ref="AA218">IF(Buildings_Heat_Frontend[[#This Row],[Data]]="","", INDEX(_xlfn.SWITCH(Buildings_Heat_Backend[[#This Row],[Methodology]],"Tier 1",rng_RSD1,"Tier 2",rng_RSD2,"Tier 3",rng_RSD3),MATCH(_xlfn.CONCAT(Buildings_Heat_Backend[[#This Row],[Level 1]:[Level 6]]),rng_LevelsConcat,0)))</f>
        <v/>
      </c>
      <c r="AB218" s="220" t="str">
        <f t="shared" si="10"/>
        <v/>
      </c>
      <c r="AC218" s="174">
        <f>Buildings_Heat_Frontend[[#This Row],[Units]]</f>
        <v>0</v>
      </c>
      <c r="AD21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8" s="174" t="str">
        <f>IF(Buildings_Heat_Frontend[[#This Row],[Data]]="","", _xlfn.XLOOKUP(_xlfn.CONCAT(Buildings_Heat_Backend[[#This Row],[Level 1]:[Level 6]]),rng_LevelsConcat,rng_UnitsLong))</f>
        <v/>
      </c>
      <c r="AF218" s="210" t="str">
        <f>IF(Buildings_Heat_Frontend[[#This Row],[Data]]="","", _xlfn.XLOOKUP(_xlfn.CONCAT(Buildings_Heat_Backend[[#This Row],[Level 1]:[Level 6]]),rng_EFConcat,rng_EF1)*Buildings_Heat_Backend[[#This Row],[Converted data]]/1000)</f>
        <v/>
      </c>
      <c r="AG218" s="210" t="str">
        <f>IF(Buildings_Heat_Frontend[[#This Row],[Data]]="","", _xlfn.XLOOKUP(_xlfn.CONCAT(Buildings_Heat_Backend[[#This Row],[Level 1]:[Level 6]]),rng_EFConcat,rng_EF2)*Buildings_Heat_Backend[[#This Row],[Converted data]]/1000)</f>
        <v/>
      </c>
      <c r="AH218" s="210" t="str">
        <f>IF(Buildings_Heat_Frontend[[#This Row],[Data]]="","", _xlfn.XLOOKUP(_xlfn.CONCAT(Buildings_Heat_Backend[[#This Row],[Level 1]:[Level 6]]),rng_EFConcat,rng_EF3)*Buildings_Heat_Backend[[#This Row],[Converted data]]/1000)</f>
        <v/>
      </c>
      <c r="AI218" s="210" t="str">
        <f>IF(Buildings_Heat_Frontend[[#This Row],[Data]]="","", _xlfn.XLOOKUP(_xlfn.CONCAT(Buildings_Heat_Backend[[#This Row],[Level 1]:[Level 6]]),rng_EFConcat,rng_EF3WTT)*Buildings_Heat_Backend[[#This Row],[Converted data]]/1000)</f>
        <v/>
      </c>
      <c r="AJ218" s="210" t="str">
        <f>IF(Buildings_Heat_Frontend[[#This Row],[Data]]="","", _xlfn.XLOOKUP(_xlfn.CONCAT(Buildings_Heat_Backend[[#This Row],[Level 1]:[Level 6]]),rng_EFConcat,rng_EF3TD)*Buildings_Heat_Backend[[#This Row],[Converted data]]/1000)</f>
        <v/>
      </c>
      <c r="AK218" s="210" t="str">
        <f>IF(Buildings_Heat_Frontend[[#This Row],[Data]]="","", _xlfn.XLOOKUP(_xlfn.CONCAT(Buildings_Heat_Backend[[#This Row],[Level 1]:[Level 6]]),rng_EFConcat,rng_EF3WTTTD)*Buildings_Heat_Backend[[#This Row],[Converted data]]/1000)</f>
        <v/>
      </c>
      <c r="AL218" s="220">
        <f>SUM(Buildings_Heat_Backend[[#This Row],[Scope 1 (tCO2e)]:[Scope 3 WTT T&amp;D (tCO2e)]])</f>
        <v>0</v>
      </c>
      <c r="AM218" s="220" t="str">
        <f>IF(Buildings_Heat_Frontend[[#This Row],[Data]]="","", Buildings_Heat_Backend[[#This Row],[Total (tCO2e)]]*(1-Buildings_Heat_Backend[[#This Row],[RSD]]))</f>
        <v/>
      </c>
      <c r="AN218" s="220" t="str">
        <f>IF(Buildings_Heat_Frontend[[#This Row],[Data]]="","", Buildings_Heat_Backend[[#This Row],[Total (tCO2e)]]*(1+Buildings_Heat_Backend[[#This Row],[RSD]]))</f>
        <v/>
      </c>
      <c r="AO218" s="210" t="str">
        <f>IF(Buildings_Heat_Frontend[[#This Row],[Data]]="","", _xlfn.XLOOKUP(_xlfn.CONCAT(Buildings_Heat_Backend[[#This Row],[Level 1]:[Level 6]]),rng_EFConcat,rng_EFOOS)*Buildings_Heat_Backend[[#This Row],[Converted data]]/1000)</f>
        <v/>
      </c>
      <c r="AP218" s="174">
        <f>Buildings_Heat_Frontend[[#This Row],[Ease of collection]]</f>
        <v>0</v>
      </c>
      <c r="AQ218" s="174">
        <f>Buildings_Heat_Frontend[[#This Row],[Completeness]]</f>
        <v>0</v>
      </c>
      <c r="AR218" s="174">
        <f>Buildings_Heat_Frontend[[#This Row],[Notes]]</f>
        <v>0</v>
      </c>
    </row>
    <row r="219" spans="5:44" x14ac:dyDescent="0.3">
      <c r="E219" s="346"/>
      <c r="F219" s="364"/>
      <c r="G219" s="336"/>
      <c r="H219" s="336"/>
      <c r="I219" s="336"/>
      <c r="J219" s="334"/>
      <c r="K219" s="336"/>
      <c r="L219" s="336"/>
      <c r="M219" s="336"/>
      <c r="N219" s="352"/>
      <c r="O219" s="230">
        <f t="shared" si="11"/>
        <v>6</v>
      </c>
      <c r="Q219" s="212" t="str">
        <f t="shared" si="9"/>
        <v/>
      </c>
      <c r="R219" s="174" t="s">
        <v>265</v>
      </c>
      <c r="S219" s="174" t="s">
        <v>273</v>
      </c>
      <c r="T219" s="174" t="str">
        <f>IF(Buildings_Heat_Frontend[[#This Row],[Data]]="","", _xlfn.XLOOKUP(Buildings_Heat_Backend[[#This Row],[Info 1]],Buildings_SiteInfo[Site name],Buildings_SiteInfo[Site type]))</f>
        <v/>
      </c>
      <c r="U219" s="174" t="str">
        <f>IF(Buildings_Heat_Frontend[[#This Row],[Data]]="","", Buildings_Heat_Frontend[[#This Row],[Heating Type]])</f>
        <v/>
      </c>
      <c r="V219" s="174" t="str">
        <f>IF(Buildings_Heat_Frontend[[#This Row],[Data]]="","", Buildings_Heat_Frontend[[#This Row],[Fuel]])</f>
        <v/>
      </c>
      <c r="W219" s="174" t="str" cm="1">
        <f t="array" ref="W219">IF(Buildings_Heat_Frontend[[#This Row],[Data]]="","", _xlfn.XLOOKUP(Buildings_Heat_Backend[[#This Row],[Level 5]],rng_Level5Long,rng_Level6Long))</f>
        <v/>
      </c>
      <c r="X219" s="174" t="str">
        <f>IF(Buildings_Heat_Frontend[[#This Row],[Data]]="","", Buildings_Heat_Frontend[[#This Row],[Site Name]])</f>
        <v/>
      </c>
      <c r="Y219" s="174" t="str">
        <f>IF(Buildings_Heat_Frontend[[#This Row],[Data]]="","", Buildings_Heat_Frontend[[#This Row],[MPRN]])</f>
        <v/>
      </c>
      <c r="Z219" s="174" t="str">
        <f>IF(Buildings_Heat_Frontend[[#This Row],[Data]]="","", IF($I219="","",$I219))</f>
        <v/>
      </c>
      <c r="AA219" s="229" t="str" cm="1">
        <f t="array" ref="AA219">IF(Buildings_Heat_Frontend[[#This Row],[Data]]="","", INDEX(_xlfn.SWITCH(Buildings_Heat_Backend[[#This Row],[Methodology]],"Tier 1",rng_RSD1,"Tier 2",rng_RSD2,"Tier 3",rng_RSD3),MATCH(_xlfn.CONCAT(Buildings_Heat_Backend[[#This Row],[Level 1]:[Level 6]]),rng_LevelsConcat,0)))</f>
        <v/>
      </c>
      <c r="AB219" s="220" t="str">
        <f t="shared" si="10"/>
        <v/>
      </c>
      <c r="AC219" s="174">
        <f>Buildings_Heat_Frontend[[#This Row],[Units]]</f>
        <v>0</v>
      </c>
      <c r="AD21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19" s="174" t="str">
        <f>IF(Buildings_Heat_Frontend[[#This Row],[Data]]="","", _xlfn.XLOOKUP(_xlfn.CONCAT(Buildings_Heat_Backend[[#This Row],[Level 1]:[Level 6]]),rng_LevelsConcat,rng_UnitsLong))</f>
        <v/>
      </c>
      <c r="AF219" s="210" t="str">
        <f>IF(Buildings_Heat_Frontend[[#This Row],[Data]]="","", _xlfn.XLOOKUP(_xlfn.CONCAT(Buildings_Heat_Backend[[#This Row],[Level 1]:[Level 6]]),rng_EFConcat,rng_EF1)*Buildings_Heat_Backend[[#This Row],[Converted data]]/1000)</f>
        <v/>
      </c>
      <c r="AG219" s="210" t="str">
        <f>IF(Buildings_Heat_Frontend[[#This Row],[Data]]="","", _xlfn.XLOOKUP(_xlfn.CONCAT(Buildings_Heat_Backend[[#This Row],[Level 1]:[Level 6]]),rng_EFConcat,rng_EF2)*Buildings_Heat_Backend[[#This Row],[Converted data]]/1000)</f>
        <v/>
      </c>
      <c r="AH219" s="210" t="str">
        <f>IF(Buildings_Heat_Frontend[[#This Row],[Data]]="","", _xlfn.XLOOKUP(_xlfn.CONCAT(Buildings_Heat_Backend[[#This Row],[Level 1]:[Level 6]]),rng_EFConcat,rng_EF3)*Buildings_Heat_Backend[[#This Row],[Converted data]]/1000)</f>
        <v/>
      </c>
      <c r="AI219" s="210" t="str">
        <f>IF(Buildings_Heat_Frontend[[#This Row],[Data]]="","", _xlfn.XLOOKUP(_xlfn.CONCAT(Buildings_Heat_Backend[[#This Row],[Level 1]:[Level 6]]),rng_EFConcat,rng_EF3WTT)*Buildings_Heat_Backend[[#This Row],[Converted data]]/1000)</f>
        <v/>
      </c>
      <c r="AJ219" s="210" t="str">
        <f>IF(Buildings_Heat_Frontend[[#This Row],[Data]]="","", _xlfn.XLOOKUP(_xlfn.CONCAT(Buildings_Heat_Backend[[#This Row],[Level 1]:[Level 6]]),rng_EFConcat,rng_EF3TD)*Buildings_Heat_Backend[[#This Row],[Converted data]]/1000)</f>
        <v/>
      </c>
      <c r="AK219" s="210" t="str">
        <f>IF(Buildings_Heat_Frontend[[#This Row],[Data]]="","", _xlfn.XLOOKUP(_xlfn.CONCAT(Buildings_Heat_Backend[[#This Row],[Level 1]:[Level 6]]),rng_EFConcat,rng_EF3WTTTD)*Buildings_Heat_Backend[[#This Row],[Converted data]]/1000)</f>
        <v/>
      </c>
      <c r="AL219" s="220">
        <f>SUM(Buildings_Heat_Backend[[#This Row],[Scope 1 (tCO2e)]:[Scope 3 WTT T&amp;D (tCO2e)]])</f>
        <v>0</v>
      </c>
      <c r="AM219" s="220" t="str">
        <f>IF(Buildings_Heat_Frontend[[#This Row],[Data]]="","", Buildings_Heat_Backend[[#This Row],[Total (tCO2e)]]*(1-Buildings_Heat_Backend[[#This Row],[RSD]]))</f>
        <v/>
      </c>
      <c r="AN219" s="220" t="str">
        <f>IF(Buildings_Heat_Frontend[[#This Row],[Data]]="","", Buildings_Heat_Backend[[#This Row],[Total (tCO2e)]]*(1+Buildings_Heat_Backend[[#This Row],[RSD]]))</f>
        <v/>
      </c>
      <c r="AO219" s="210" t="str">
        <f>IF(Buildings_Heat_Frontend[[#This Row],[Data]]="","", _xlfn.XLOOKUP(_xlfn.CONCAT(Buildings_Heat_Backend[[#This Row],[Level 1]:[Level 6]]),rng_EFConcat,rng_EFOOS)*Buildings_Heat_Backend[[#This Row],[Converted data]]/1000)</f>
        <v/>
      </c>
      <c r="AP219" s="174">
        <f>Buildings_Heat_Frontend[[#This Row],[Ease of collection]]</f>
        <v>0</v>
      </c>
      <c r="AQ219" s="174">
        <f>Buildings_Heat_Frontend[[#This Row],[Completeness]]</f>
        <v>0</v>
      </c>
      <c r="AR219" s="174">
        <f>Buildings_Heat_Frontend[[#This Row],[Notes]]</f>
        <v>0</v>
      </c>
    </row>
    <row r="220" spans="5:44" x14ac:dyDescent="0.3">
      <c r="E220" s="346"/>
      <c r="F220" s="364"/>
      <c r="G220" s="336"/>
      <c r="H220" s="336"/>
      <c r="I220" s="336"/>
      <c r="J220" s="334"/>
      <c r="K220" s="336"/>
      <c r="L220" s="336"/>
      <c r="M220" s="336"/>
      <c r="N220" s="352"/>
      <c r="O220" s="230">
        <f t="shared" si="11"/>
        <v>6</v>
      </c>
      <c r="Q220" s="212" t="str">
        <f t="shared" si="9"/>
        <v/>
      </c>
      <c r="R220" s="174" t="s">
        <v>265</v>
      </c>
      <c r="S220" s="174" t="s">
        <v>273</v>
      </c>
      <c r="T220" s="174" t="str">
        <f>IF(Buildings_Heat_Frontend[[#This Row],[Data]]="","", _xlfn.XLOOKUP(Buildings_Heat_Backend[[#This Row],[Info 1]],Buildings_SiteInfo[Site name],Buildings_SiteInfo[Site type]))</f>
        <v/>
      </c>
      <c r="U220" s="174" t="str">
        <f>IF(Buildings_Heat_Frontend[[#This Row],[Data]]="","", Buildings_Heat_Frontend[[#This Row],[Heating Type]])</f>
        <v/>
      </c>
      <c r="V220" s="174" t="str">
        <f>IF(Buildings_Heat_Frontend[[#This Row],[Data]]="","", Buildings_Heat_Frontend[[#This Row],[Fuel]])</f>
        <v/>
      </c>
      <c r="W220" s="174" t="str" cm="1">
        <f t="array" ref="W220">IF(Buildings_Heat_Frontend[[#This Row],[Data]]="","", _xlfn.XLOOKUP(Buildings_Heat_Backend[[#This Row],[Level 5]],rng_Level5Long,rng_Level6Long))</f>
        <v/>
      </c>
      <c r="X220" s="174" t="str">
        <f>IF(Buildings_Heat_Frontend[[#This Row],[Data]]="","", Buildings_Heat_Frontend[[#This Row],[Site Name]])</f>
        <v/>
      </c>
      <c r="Y220" s="174" t="str">
        <f>IF(Buildings_Heat_Frontend[[#This Row],[Data]]="","", Buildings_Heat_Frontend[[#This Row],[MPRN]])</f>
        <v/>
      </c>
      <c r="Z220" s="174" t="str">
        <f>IF(Buildings_Heat_Frontend[[#This Row],[Data]]="","", IF($I220="","",$I220))</f>
        <v/>
      </c>
      <c r="AA220" s="229" t="str" cm="1">
        <f t="array" ref="AA220">IF(Buildings_Heat_Frontend[[#This Row],[Data]]="","", INDEX(_xlfn.SWITCH(Buildings_Heat_Backend[[#This Row],[Methodology]],"Tier 1",rng_RSD1,"Tier 2",rng_RSD2,"Tier 3",rng_RSD3),MATCH(_xlfn.CONCAT(Buildings_Heat_Backend[[#This Row],[Level 1]:[Level 6]]),rng_LevelsConcat,0)))</f>
        <v/>
      </c>
      <c r="AB220" s="220" t="str">
        <f t="shared" si="10"/>
        <v/>
      </c>
      <c r="AC220" s="174">
        <f>Buildings_Heat_Frontend[[#This Row],[Units]]</f>
        <v>0</v>
      </c>
      <c r="AD22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0" s="174" t="str">
        <f>IF(Buildings_Heat_Frontend[[#This Row],[Data]]="","", _xlfn.XLOOKUP(_xlfn.CONCAT(Buildings_Heat_Backend[[#This Row],[Level 1]:[Level 6]]),rng_LevelsConcat,rng_UnitsLong))</f>
        <v/>
      </c>
      <c r="AF220" s="210" t="str">
        <f>IF(Buildings_Heat_Frontend[[#This Row],[Data]]="","", _xlfn.XLOOKUP(_xlfn.CONCAT(Buildings_Heat_Backend[[#This Row],[Level 1]:[Level 6]]),rng_EFConcat,rng_EF1)*Buildings_Heat_Backend[[#This Row],[Converted data]]/1000)</f>
        <v/>
      </c>
      <c r="AG220" s="210" t="str">
        <f>IF(Buildings_Heat_Frontend[[#This Row],[Data]]="","", _xlfn.XLOOKUP(_xlfn.CONCAT(Buildings_Heat_Backend[[#This Row],[Level 1]:[Level 6]]),rng_EFConcat,rng_EF2)*Buildings_Heat_Backend[[#This Row],[Converted data]]/1000)</f>
        <v/>
      </c>
      <c r="AH220" s="210" t="str">
        <f>IF(Buildings_Heat_Frontend[[#This Row],[Data]]="","", _xlfn.XLOOKUP(_xlfn.CONCAT(Buildings_Heat_Backend[[#This Row],[Level 1]:[Level 6]]),rng_EFConcat,rng_EF3)*Buildings_Heat_Backend[[#This Row],[Converted data]]/1000)</f>
        <v/>
      </c>
      <c r="AI220" s="210" t="str">
        <f>IF(Buildings_Heat_Frontend[[#This Row],[Data]]="","", _xlfn.XLOOKUP(_xlfn.CONCAT(Buildings_Heat_Backend[[#This Row],[Level 1]:[Level 6]]),rng_EFConcat,rng_EF3WTT)*Buildings_Heat_Backend[[#This Row],[Converted data]]/1000)</f>
        <v/>
      </c>
      <c r="AJ220" s="210" t="str">
        <f>IF(Buildings_Heat_Frontend[[#This Row],[Data]]="","", _xlfn.XLOOKUP(_xlfn.CONCAT(Buildings_Heat_Backend[[#This Row],[Level 1]:[Level 6]]),rng_EFConcat,rng_EF3TD)*Buildings_Heat_Backend[[#This Row],[Converted data]]/1000)</f>
        <v/>
      </c>
      <c r="AK220" s="210" t="str">
        <f>IF(Buildings_Heat_Frontend[[#This Row],[Data]]="","", _xlfn.XLOOKUP(_xlfn.CONCAT(Buildings_Heat_Backend[[#This Row],[Level 1]:[Level 6]]),rng_EFConcat,rng_EF3WTTTD)*Buildings_Heat_Backend[[#This Row],[Converted data]]/1000)</f>
        <v/>
      </c>
      <c r="AL220" s="220">
        <f>SUM(Buildings_Heat_Backend[[#This Row],[Scope 1 (tCO2e)]:[Scope 3 WTT T&amp;D (tCO2e)]])</f>
        <v>0</v>
      </c>
      <c r="AM220" s="220" t="str">
        <f>IF(Buildings_Heat_Frontend[[#This Row],[Data]]="","", Buildings_Heat_Backend[[#This Row],[Total (tCO2e)]]*(1-Buildings_Heat_Backend[[#This Row],[RSD]]))</f>
        <v/>
      </c>
      <c r="AN220" s="220" t="str">
        <f>IF(Buildings_Heat_Frontend[[#This Row],[Data]]="","", Buildings_Heat_Backend[[#This Row],[Total (tCO2e)]]*(1+Buildings_Heat_Backend[[#This Row],[RSD]]))</f>
        <v/>
      </c>
      <c r="AO220" s="210" t="str">
        <f>IF(Buildings_Heat_Frontend[[#This Row],[Data]]="","", _xlfn.XLOOKUP(_xlfn.CONCAT(Buildings_Heat_Backend[[#This Row],[Level 1]:[Level 6]]),rng_EFConcat,rng_EFOOS)*Buildings_Heat_Backend[[#This Row],[Converted data]]/1000)</f>
        <v/>
      </c>
      <c r="AP220" s="174">
        <f>Buildings_Heat_Frontend[[#This Row],[Ease of collection]]</f>
        <v>0</v>
      </c>
      <c r="AQ220" s="174">
        <f>Buildings_Heat_Frontend[[#This Row],[Completeness]]</f>
        <v>0</v>
      </c>
      <c r="AR220" s="174">
        <f>Buildings_Heat_Frontend[[#This Row],[Notes]]</f>
        <v>0</v>
      </c>
    </row>
    <row r="221" spans="5:44" x14ac:dyDescent="0.3">
      <c r="E221" s="346"/>
      <c r="F221" s="364"/>
      <c r="G221" s="336"/>
      <c r="H221" s="336"/>
      <c r="I221" s="336"/>
      <c r="J221" s="334"/>
      <c r="K221" s="336"/>
      <c r="L221" s="336"/>
      <c r="M221" s="336"/>
      <c r="N221" s="352"/>
      <c r="O221" s="230">
        <f t="shared" si="11"/>
        <v>6</v>
      </c>
      <c r="Q221" s="212" t="str">
        <f t="shared" si="9"/>
        <v/>
      </c>
      <c r="R221" s="174" t="s">
        <v>265</v>
      </c>
      <c r="S221" s="174" t="s">
        <v>273</v>
      </c>
      <c r="T221" s="174" t="str">
        <f>IF(Buildings_Heat_Frontend[[#This Row],[Data]]="","", _xlfn.XLOOKUP(Buildings_Heat_Backend[[#This Row],[Info 1]],Buildings_SiteInfo[Site name],Buildings_SiteInfo[Site type]))</f>
        <v/>
      </c>
      <c r="U221" s="174" t="str">
        <f>IF(Buildings_Heat_Frontend[[#This Row],[Data]]="","", Buildings_Heat_Frontend[[#This Row],[Heating Type]])</f>
        <v/>
      </c>
      <c r="V221" s="174" t="str">
        <f>IF(Buildings_Heat_Frontend[[#This Row],[Data]]="","", Buildings_Heat_Frontend[[#This Row],[Fuel]])</f>
        <v/>
      </c>
      <c r="W221" s="174" t="str" cm="1">
        <f t="array" ref="W221">IF(Buildings_Heat_Frontend[[#This Row],[Data]]="","", _xlfn.XLOOKUP(Buildings_Heat_Backend[[#This Row],[Level 5]],rng_Level5Long,rng_Level6Long))</f>
        <v/>
      </c>
      <c r="X221" s="174" t="str">
        <f>IF(Buildings_Heat_Frontend[[#This Row],[Data]]="","", Buildings_Heat_Frontend[[#This Row],[Site Name]])</f>
        <v/>
      </c>
      <c r="Y221" s="174" t="str">
        <f>IF(Buildings_Heat_Frontend[[#This Row],[Data]]="","", Buildings_Heat_Frontend[[#This Row],[MPRN]])</f>
        <v/>
      </c>
      <c r="Z221" s="174" t="str">
        <f>IF(Buildings_Heat_Frontend[[#This Row],[Data]]="","", IF($I221="","",$I221))</f>
        <v/>
      </c>
      <c r="AA221" s="229" t="str" cm="1">
        <f t="array" ref="AA221">IF(Buildings_Heat_Frontend[[#This Row],[Data]]="","", INDEX(_xlfn.SWITCH(Buildings_Heat_Backend[[#This Row],[Methodology]],"Tier 1",rng_RSD1,"Tier 2",rng_RSD2,"Tier 3",rng_RSD3),MATCH(_xlfn.CONCAT(Buildings_Heat_Backend[[#This Row],[Level 1]:[Level 6]]),rng_LevelsConcat,0)))</f>
        <v/>
      </c>
      <c r="AB221" s="220" t="str">
        <f t="shared" si="10"/>
        <v/>
      </c>
      <c r="AC221" s="174">
        <f>Buildings_Heat_Frontend[[#This Row],[Units]]</f>
        <v>0</v>
      </c>
      <c r="AD22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1" s="174" t="str">
        <f>IF(Buildings_Heat_Frontend[[#This Row],[Data]]="","", _xlfn.XLOOKUP(_xlfn.CONCAT(Buildings_Heat_Backend[[#This Row],[Level 1]:[Level 6]]),rng_LevelsConcat,rng_UnitsLong))</f>
        <v/>
      </c>
      <c r="AF221" s="210" t="str">
        <f>IF(Buildings_Heat_Frontend[[#This Row],[Data]]="","", _xlfn.XLOOKUP(_xlfn.CONCAT(Buildings_Heat_Backend[[#This Row],[Level 1]:[Level 6]]),rng_EFConcat,rng_EF1)*Buildings_Heat_Backend[[#This Row],[Converted data]]/1000)</f>
        <v/>
      </c>
      <c r="AG221" s="210" t="str">
        <f>IF(Buildings_Heat_Frontend[[#This Row],[Data]]="","", _xlfn.XLOOKUP(_xlfn.CONCAT(Buildings_Heat_Backend[[#This Row],[Level 1]:[Level 6]]),rng_EFConcat,rng_EF2)*Buildings_Heat_Backend[[#This Row],[Converted data]]/1000)</f>
        <v/>
      </c>
      <c r="AH221" s="210" t="str">
        <f>IF(Buildings_Heat_Frontend[[#This Row],[Data]]="","", _xlfn.XLOOKUP(_xlfn.CONCAT(Buildings_Heat_Backend[[#This Row],[Level 1]:[Level 6]]),rng_EFConcat,rng_EF3)*Buildings_Heat_Backend[[#This Row],[Converted data]]/1000)</f>
        <v/>
      </c>
      <c r="AI221" s="210" t="str">
        <f>IF(Buildings_Heat_Frontend[[#This Row],[Data]]="","", _xlfn.XLOOKUP(_xlfn.CONCAT(Buildings_Heat_Backend[[#This Row],[Level 1]:[Level 6]]),rng_EFConcat,rng_EF3WTT)*Buildings_Heat_Backend[[#This Row],[Converted data]]/1000)</f>
        <v/>
      </c>
      <c r="AJ221" s="210" t="str">
        <f>IF(Buildings_Heat_Frontend[[#This Row],[Data]]="","", _xlfn.XLOOKUP(_xlfn.CONCAT(Buildings_Heat_Backend[[#This Row],[Level 1]:[Level 6]]),rng_EFConcat,rng_EF3TD)*Buildings_Heat_Backend[[#This Row],[Converted data]]/1000)</f>
        <v/>
      </c>
      <c r="AK221" s="210" t="str">
        <f>IF(Buildings_Heat_Frontend[[#This Row],[Data]]="","", _xlfn.XLOOKUP(_xlfn.CONCAT(Buildings_Heat_Backend[[#This Row],[Level 1]:[Level 6]]),rng_EFConcat,rng_EF3WTTTD)*Buildings_Heat_Backend[[#This Row],[Converted data]]/1000)</f>
        <v/>
      </c>
      <c r="AL221" s="220">
        <f>SUM(Buildings_Heat_Backend[[#This Row],[Scope 1 (tCO2e)]:[Scope 3 WTT T&amp;D (tCO2e)]])</f>
        <v>0</v>
      </c>
      <c r="AM221" s="220" t="str">
        <f>IF(Buildings_Heat_Frontend[[#This Row],[Data]]="","", Buildings_Heat_Backend[[#This Row],[Total (tCO2e)]]*(1-Buildings_Heat_Backend[[#This Row],[RSD]]))</f>
        <v/>
      </c>
      <c r="AN221" s="220" t="str">
        <f>IF(Buildings_Heat_Frontend[[#This Row],[Data]]="","", Buildings_Heat_Backend[[#This Row],[Total (tCO2e)]]*(1+Buildings_Heat_Backend[[#This Row],[RSD]]))</f>
        <v/>
      </c>
      <c r="AO221" s="210" t="str">
        <f>IF(Buildings_Heat_Frontend[[#This Row],[Data]]="","", _xlfn.XLOOKUP(_xlfn.CONCAT(Buildings_Heat_Backend[[#This Row],[Level 1]:[Level 6]]),rng_EFConcat,rng_EFOOS)*Buildings_Heat_Backend[[#This Row],[Converted data]]/1000)</f>
        <v/>
      </c>
      <c r="AP221" s="174">
        <f>Buildings_Heat_Frontend[[#This Row],[Ease of collection]]</f>
        <v>0</v>
      </c>
      <c r="AQ221" s="174">
        <f>Buildings_Heat_Frontend[[#This Row],[Completeness]]</f>
        <v>0</v>
      </c>
      <c r="AR221" s="174">
        <f>Buildings_Heat_Frontend[[#This Row],[Notes]]</f>
        <v>0</v>
      </c>
    </row>
    <row r="222" spans="5:44" x14ac:dyDescent="0.3">
      <c r="E222" s="346"/>
      <c r="F222" s="364"/>
      <c r="G222" s="336"/>
      <c r="H222" s="336"/>
      <c r="I222" s="336"/>
      <c r="J222" s="334"/>
      <c r="K222" s="336"/>
      <c r="L222" s="336"/>
      <c r="M222" s="336"/>
      <c r="N222" s="352"/>
      <c r="O222" s="230">
        <f t="shared" si="11"/>
        <v>6</v>
      </c>
      <c r="Q222" s="212" t="str">
        <f t="shared" si="9"/>
        <v/>
      </c>
      <c r="R222" s="174" t="s">
        <v>265</v>
      </c>
      <c r="S222" s="174" t="s">
        <v>273</v>
      </c>
      <c r="T222" s="174" t="str">
        <f>IF(Buildings_Heat_Frontend[[#This Row],[Data]]="","", _xlfn.XLOOKUP(Buildings_Heat_Backend[[#This Row],[Info 1]],Buildings_SiteInfo[Site name],Buildings_SiteInfo[Site type]))</f>
        <v/>
      </c>
      <c r="U222" s="174" t="str">
        <f>IF(Buildings_Heat_Frontend[[#This Row],[Data]]="","", Buildings_Heat_Frontend[[#This Row],[Heating Type]])</f>
        <v/>
      </c>
      <c r="V222" s="174" t="str">
        <f>IF(Buildings_Heat_Frontend[[#This Row],[Data]]="","", Buildings_Heat_Frontend[[#This Row],[Fuel]])</f>
        <v/>
      </c>
      <c r="W222" s="174" t="str" cm="1">
        <f t="array" ref="W222">IF(Buildings_Heat_Frontend[[#This Row],[Data]]="","", _xlfn.XLOOKUP(Buildings_Heat_Backend[[#This Row],[Level 5]],rng_Level5Long,rng_Level6Long))</f>
        <v/>
      </c>
      <c r="X222" s="174" t="str">
        <f>IF(Buildings_Heat_Frontend[[#This Row],[Data]]="","", Buildings_Heat_Frontend[[#This Row],[Site Name]])</f>
        <v/>
      </c>
      <c r="Y222" s="174" t="str">
        <f>IF(Buildings_Heat_Frontend[[#This Row],[Data]]="","", Buildings_Heat_Frontend[[#This Row],[MPRN]])</f>
        <v/>
      </c>
      <c r="Z222" s="174" t="str">
        <f>IF(Buildings_Heat_Frontend[[#This Row],[Data]]="","", IF($I222="","",$I222))</f>
        <v/>
      </c>
      <c r="AA222" s="229" t="str" cm="1">
        <f t="array" ref="AA222">IF(Buildings_Heat_Frontend[[#This Row],[Data]]="","", INDEX(_xlfn.SWITCH(Buildings_Heat_Backend[[#This Row],[Methodology]],"Tier 1",rng_RSD1,"Tier 2",rng_RSD2,"Tier 3",rng_RSD3),MATCH(_xlfn.CONCAT(Buildings_Heat_Backend[[#This Row],[Level 1]:[Level 6]]),rng_LevelsConcat,0)))</f>
        <v/>
      </c>
      <c r="AB222" s="220" t="str">
        <f t="shared" si="10"/>
        <v/>
      </c>
      <c r="AC222" s="174">
        <f>Buildings_Heat_Frontend[[#This Row],[Units]]</f>
        <v>0</v>
      </c>
      <c r="AD22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2" s="174" t="str">
        <f>IF(Buildings_Heat_Frontend[[#This Row],[Data]]="","", _xlfn.XLOOKUP(_xlfn.CONCAT(Buildings_Heat_Backend[[#This Row],[Level 1]:[Level 6]]),rng_LevelsConcat,rng_UnitsLong))</f>
        <v/>
      </c>
      <c r="AF222" s="210" t="str">
        <f>IF(Buildings_Heat_Frontend[[#This Row],[Data]]="","", _xlfn.XLOOKUP(_xlfn.CONCAT(Buildings_Heat_Backend[[#This Row],[Level 1]:[Level 6]]),rng_EFConcat,rng_EF1)*Buildings_Heat_Backend[[#This Row],[Converted data]]/1000)</f>
        <v/>
      </c>
      <c r="AG222" s="210" t="str">
        <f>IF(Buildings_Heat_Frontend[[#This Row],[Data]]="","", _xlfn.XLOOKUP(_xlfn.CONCAT(Buildings_Heat_Backend[[#This Row],[Level 1]:[Level 6]]),rng_EFConcat,rng_EF2)*Buildings_Heat_Backend[[#This Row],[Converted data]]/1000)</f>
        <v/>
      </c>
      <c r="AH222" s="210" t="str">
        <f>IF(Buildings_Heat_Frontend[[#This Row],[Data]]="","", _xlfn.XLOOKUP(_xlfn.CONCAT(Buildings_Heat_Backend[[#This Row],[Level 1]:[Level 6]]),rng_EFConcat,rng_EF3)*Buildings_Heat_Backend[[#This Row],[Converted data]]/1000)</f>
        <v/>
      </c>
      <c r="AI222" s="210" t="str">
        <f>IF(Buildings_Heat_Frontend[[#This Row],[Data]]="","", _xlfn.XLOOKUP(_xlfn.CONCAT(Buildings_Heat_Backend[[#This Row],[Level 1]:[Level 6]]),rng_EFConcat,rng_EF3WTT)*Buildings_Heat_Backend[[#This Row],[Converted data]]/1000)</f>
        <v/>
      </c>
      <c r="AJ222" s="210" t="str">
        <f>IF(Buildings_Heat_Frontend[[#This Row],[Data]]="","", _xlfn.XLOOKUP(_xlfn.CONCAT(Buildings_Heat_Backend[[#This Row],[Level 1]:[Level 6]]),rng_EFConcat,rng_EF3TD)*Buildings_Heat_Backend[[#This Row],[Converted data]]/1000)</f>
        <v/>
      </c>
      <c r="AK222" s="210" t="str">
        <f>IF(Buildings_Heat_Frontend[[#This Row],[Data]]="","", _xlfn.XLOOKUP(_xlfn.CONCAT(Buildings_Heat_Backend[[#This Row],[Level 1]:[Level 6]]),rng_EFConcat,rng_EF3WTTTD)*Buildings_Heat_Backend[[#This Row],[Converted data]]/1000)</f>
        <v/>
      </c>
      <c r="AL222" s="220">
        <f>SUM(Buildings_Heat_Backend[[#This Row],[Scope 1 (tCO2e)]:[Scope 3 WTT T&amp;D (tCO2e)]])</f>
        <v>0</v>
      </c>
      <c r="AM222" s="220" t="str">
        <f>IF(Buildings_Heat_Frontend[[#This Row],[Data]]="","", Buildings_Heat_Backend[[#This Row],[Total (tCO2e)]]*(1-Buildings_Heat_Backend[[#This Row],[RSD]]))</f>
        <v/>
      </c>
      <c r="AN222" s="220" t="str">
        <f>IF(Buildings_Heat_Frontend[[#This Row],[Data]]="","", Buildings_Heat_Backend[[#This Row],[Total (tCO2e)]]*(1+Buildings_Heat_Backend[[#This Row],[RSD]]))</f>
        <v/>
      </c>
      <c r="AO222" s="210" t="str">
        <f>IF(Buildings_Heat_Frontend[[#This Row],[Data]]="","", _xlfn.XLOOKUP(_xlfn.CONCAT(Buildings_Heat_Backend[[#This Row],[Level 1]:[Level 6]]),rng_EFConcat,rng_EFOOS)*Buildings_Heat_Backend[[#This Row],[Converted data]]/1000)</f>
        <v/>
      </c>
      <c r="AP222" s="174">
        <f>Buildings_Heat_Frontend[[#This Row],[Ease of collection]]</f>
        <v>0</v>
      </c>
      <c r="AQ222" s="174">
        <f>Buildings_Heat_Frontend[[#This Row],[Completeness]]</f>
        <v>0</v>
      </c>
      <c r="AR222" s="174">
        <f>Buildings_Heat_Frontend[[#This Row],[Notes]]</f>
        <v>0</v>
      </c>
    </row>
    <row r="223" spans="5:44" x14ac:dyDescent="0.3">
      <c r="E223" s="346"/>
      <c r="F223" s="364"/>
      <c r="G223" s="336"/>
      <c r="H223" s="336"/>
      <c r="I223" s="336"/>
      <c r="J223" s="334"/>
      <c r="K223" s="336"/>
      <c r="L223" s="336"/>
      <c r="M223" s="336"/>
      <c r="N223" s="352"/>
      <c r="O223" s="230">
        <f t="shared" si="11"/>
        <v>6</v>
      </c>
      <c r="Q223" s="212" t="str">
        <f t="shared" si="9"/>
        <v/>
      </c>
      <c r="R223" s="174" t="s">
        <v>265</v>
      </c>
      <c r="S223" s="174" t="s">
        <v>273</v>
      </c>
      <c r="T223" s="174" t="str">
        <f>IF(Buildings_Heat_Frontend[[#This Row],[Data]]="","", _xlfn.XLOOKUP(Buildings_Heat_Backend[[#This Row],[Info 1]],Buildings_SiteInfo[Site name],Buildings_SiteInfo[Site type]))</f>
        <v/>
      </c>
      <c r="U223" s="174" t="str">
        <f>IF(Buildings_Heat_Frontend[[#This Row],[Data]]="","", Buildings_Heat_Frontend[[#This Row],[Heating Type]])</f>
        <v/>
      </c>
      <c r="V223" s="174" t="str">
        <f>IF(Buildings_Heat_Frontend[[#This Row],[Data]]="","", Buildings_Heat_Frontend[[#This Row],[Fuel]])</f>
        <v/>
      </c>
      <c r="W223" s="174" t="str" cm="1">
        <f t="array" ref="W223">IF(Buildings_Heat_Frontend[[#This Row],[Data]]="","", _xlfn.XLOOKUP(Buildings_Heat_Backend[[#This Row],[Level 5]],rng_Level5Long,rng_Level6Long))</f>
        <v/>
      </c>
      <c r="X223" s="174" t="str">
        <f>IF(Buildings_Heat_Frontend[[#This Row],[Data]]="","", Buildings_Heat_Frontend[[#This Row],[Site Name]])</f>
        <v/>
      </c>
      <c r="Y223" s="174" t="str">
        <f>IF(Buildings_Heat_Frontend[[#This Row],[Data]]="","", Buildings_Heat_Frontend[[#This Row],[MPRN]])</f>
        <v/>
      </c>
      <c r="Z223" s="174" t="str">
        <f>IF(Buildings_Heat_Frontend[[#This Row],[Data]]="","", IF($I223="","",$I223))</f>
        <v/>
      </c>
      <c r="AA223" s="229" t="str" cm="1">
        <f t="array" ref="AA223">IF(Buildings_Heat_Frontend[[#This Row],[Data]]="","", INDEX(_xlfn.SWITCH(Buildings_Heat_Backend[[#This Row],[Methodology]],"Tier 1",rng_RSD1,"Tier 2",rng_RSD2,"Tier 3",rng_RSD3),MATCH(_xlfn.CONCAT(Buildings_Heat_Backend[[#This Row],[Level 1]:[Level 6]]),rng_LevelsConcat,0)))</f>
        <v/>
      </c>
      <c r="AB223" s="220" t="str">
        <f t="shared" si="10"/>
        <v/>
      </c>
      <c r="AC223" s="174">
        <f>Buildings_Heat_Frontend[[#This Row],[Units]]</f>
        <v>0</v>
      </c>
      <c r="AD22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3" s="174" t="str">
        <f>IF(Buildings_Heat_Frontend[[#This Row],[Data]]="","", _xlfn.XLOOKUP(_xlfn.CONCAT(Buildings_Heat_Backend[[#This Row],[Level 1]:[Level 6]]),rng_LevelsConcat,rng_UnitsLong))</f>
        <v/>
      </c>
      <c r="AF223" s="210" t="str">
        <f>IF(Buildings_Heat_Frontend[[#This Row],[Data]]="","", _xlfn.XLOOKUP(_xlfn.CONCAT(Buildings_Heat_Backend[[#This Row],[Level 1]:[Level 6]]),rng_EFConcat,rng_EF1)*Buildings_Heat_Backend[[#This Row],[Converted data]]/1000)</f>
        <v/>
      </c>
      <c r="AG223" s="210" t="str">
        <f>IF(Buildings_Heat_Frontend[[#This Row],[Data]]="","", _xlfn.XLOOKUP(_xlfn.CONCAT(Buildings_Heat_Backend[[#This Row],[Level 1]:[Level 6]]),rng_EFConcat,rng_EF2)*Buildings_Heat_Backend[[#This Row],[Converted data]]/1000)</f>
        <v/>
      </c>
      <c r="AH223" s="210" t="str">
        <f>IF(Buildings_Heat_Frontend[[#This Row],[Data]]="","", _xlfn.XLOOKUP(_xlfn.CONCAT(Buildings_Heat_Backend[[#This Row],[Level 1]:[Level 6]]),rng_EFConcat,rng_EF3)*Buildings_Heat_Backend[[#This Row],[Converted data]]/1000)</f>
        <v/>
      </c>
      <c r="AI223" s="210" t="str">
        <f>IF(Buildings_Heat_Frontend[[#This Row],[Data]]="","", _xlfn.XLOOKUP(_xlfn.CONCAT(Buildings_Heat_Backend[[#This Row],[Level 1]:[Level 6]]),rng_EFConcat,rng_EF3WTT)*Buildings_Heat_Backend[[#This Row],[Converted data]]/1000)</f>
        <v/>
      </c>
      <c r="AJ223" s="210" t="str">
        <f>IF(Buildings_Heat_Frontend[[#This Row],[Data]]="","", _xlfn.XLOOKUP(_xlfn.CONCAT(Buildings_Heat_Backend[[#This Row],[Level 1]:[Level 6]]),rng_EFConcat,rng_EF3TD)*Buildings_Heat_Backend[[#This Row],[Converted data]]/1000)</f>
        <v/>
      </c>
      <c r="AK223" s="210" t="str">
        <f>IF(Buildings_Heat_Frontend[[#This Row],[Data]]="","", _xlfn.XLOOKUP(_xlfn.CONCAT(Buildings_Heat_Backend[[#This Row],[Level 1]:[Level 6]]),rng_EFConcat,rng_EF3WTTTD)*Buildings_Heat_Backend[[#This Row],[Converted data]]/1000)</f>
        <v/>
      </c>
      <c r="AL223" s="220">
        <f>SUM(Buildings_Heat_Backend[[#This Row],[Scope 1 (tCO2e)]:[Scope 3 WTT T&amp;D (tCO2e)]])</f>
        <v>0</v>
      </c>
      <c r="AM223" s="220" t="str">
        <f>IF(Buildings_Heat_Frontend[[#This Row],[Data]]="","", Buildings_Heat_Backend[[#This Row],[Total (tCO2e)]]*(1-Buildings_Heat_Backend[[#This Row],[RSD]]))</f>
        <v/>
      </c>
      <c r="AN223" s="220" t="str">
        <f>IF(Buildings_Heat_Frontend[[#This Row],[Data]]="","", Buildings_Heat_Backend[[#This Row],[Total (tCO2e)]]*(1+Buildings_Heat_Backend[[#This Row],[RSD]]))</f>
        <v/>
      </c>
      <c r="AO223" s="210" t="str">
        <f>IF(Buildings_Heat_Frontend[[#This Row],[Data]]="","", _xlfn.XLOOKUP(_xlfn.CONCAT(Buildings_Heat_Backend[[#This Row],[Level 1]:[Level 6]]),rng_EFConcat,rng_EFOOS)*Buildings_Heat_Backend[[#This Row],[Converted data]]/1000)</f>
        <v/>
      </c>
      <c r="AP223" s="174">
        <f>Buildings_Heat_Frontend[[#This Row],[Ease of collection]]</f>
        <v>0</v>
      </c>
      <c r="AQ223" s="174">
        <f>Buildings_Heat_Frontend[[#This Row],[Completeness]]</f>
        <v>0</v>
      </c>
      <c r="AR223" s="174">
        <f>Buildings_Heat_Frontend[[#This Row],[Notes]]</f>
        <v>0</v>
      </c>
    </row>
    <row r="224" spans="5:44" x14ac:dyDescent="0.3">
      <c r="E224" s="346"/>
      <c r="F224" s="364"/>
      <c r="G224" s="336"/>
      <c r="H224" s="336"/>
      <c r="I224" s="336"/>
      <c r="J224" s="334"/>
      <c r="K224" s="336"/>
      <c r="L224" s="336"/>
      <c r="M224" s="336"/>
      <c r="N224" s="352"/>
      <c r="O224" s="230">
        <f t="shared" si="11"/>
        <v>6</v>
      </c>
      <c r="Q224" s="212" t="str">
        <f t="shared" si="9"/>
        <v/>
      </c>
      <c r="R224" s="174" t="s">
        <v>265</v>
      </c>
      <c r="S224" s="174" t="s">
        <v>273</v>
      </c>
      <c r="T224" s="174" t="str">
        <f>IF(Buildings_Heat_Frontend[[#This Row],[Data]]="","", _xlfn.XLOOKUP(Buildings_Heat_Backend[[#This Row],[Info 1]],Buildings_SiteInfo[Site name],Buildings_SiteInfo[Site type]))</f>
        <v/>
      </c>
      <c r="U224" s="174" t="str">
        <f>IF(Buildings_Heat_Frontend[[#This Row],[Data]]="","", Buildings_Heat_Frontend[[#This Row],[Heating Type]])</f>
        <v/>
      </c>
      <c r="V224" s="174" t="str">
        <f>IF(Buildings_Heat_Frontend[[#This Row],[Data]]="","", Buildings_Heat_Frontend[[#This Row],[Fuel]])</f>
        <v/>
      </c>
      <c r="W224" s="174" t="str" cm="1">
        <f t="array" ref="W224">IF(Buildings_Heat_Frontend[[#This Row],[Data]]="","", _xlfn.XLOOKUP(Buildings_Heat_Backend[[#This Row],[Level 5]],rng_Level5Long,rng_Level6Long))</f>
        <v/>
      </c>
      <c r="X224" s="174" t="str">
        <f>IF(Buildings_Heat_Frontend[[#This Row],[Data]]="","", Buildings_Heat_Frontend[[#This Row],[Site Name]])</f>
        <v/>
      </c>
      <c r="Y224" s="174" t="str">
        <f>IF(Buildings_Heat_Frontend[[#This Row],[Data]]="","", Buildings_Heat_Frontend[[#This Row],[MPRN]])</f>
        <v/>
      </c>
      <c r="Z224" s="174" t="str">
        <f>IF(Buildings_Heat_Frontend[[#This Row],[Data]]="","", IF($I224="","",$I224))</f>
        <v/>
      </c>
      <c r="AA224" s="229" t="str" cm="1">
        <f t="array" ref="AA224">IF(Buildings_Heat_Frontend[[#This Row],[Data]]="","", INDEX(_xlfn.SWITCH(Buildings_Heat_Backend[[#This Row],[Methodology]],"Tier 1",rng_RSD1,"Tier 2",rng_RSD2,"Tier 3",rng_RSD3),MATCH(_xlfn.CONCAT(Buildings_Heat_Backend[[#This Row],[Level 1]:[Level 6]]),rng_LevelsConcat,0)))</f>
        <v/>
      </c>
      <c r="AB224" s="220" t="str">
        <f t="shared" si="10"/>
        <v/>
      </c>
      <c r="AC224" s="174">
        <f>Buildings_Heat_Frontend[[#This Row],[Units]]</f>
        <v>0</v>
      </c>
      <c r="AD22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4" s="174" t="str">
        <f>IF(Buildings_Heat_Frontend[[#This Row],[Data]]="","", _xlfn.XLOOKUP(_xlfn.CONCAT(Buildings_Heat_Backend[[#This Row],[Level 1]:[Level 6]]),rng_LevelsConcat,rng_UnitsLong))</f>
        <v/>
      </c>
      <c r="AF224" s="210" t="str">
        <f>IF(Buildings_Heat_Frontend[[#This Row],[Data]]="","", _xlfn.XLOOKUP(_xlfn.CONCAT(Buildings_Heat_Backend[[#This Row],[Level 1]:[Level 6]]),rng_EFConcat,rng_EF1)*Buildings_Heat_Backend[[#This Row],[Converted data]]/1000)</f>
        <v/>
      </c>
      <c r="AG224" s="210" t="str">
        <f>IF(Buildings_Heat_Frontend[[#This Row],[Data]]="","", _xlfn.XLOOKUP(_xlfn.CONCAT(Buildings_Heat_Backend[[#This Row],[Level 1]:[Level 6]]),rng_EFConcat,rng_EF2)*Buildings_Heat_Backend[[#This Row],[Converted data]]/1000)</f>
        <v/>
      </c>
      <c r="AH224" s="210" t="str">
        <f>IF(Buildings_Heat_Frontend[[#This Row],[Data]]="","", _xlfn.XLOOKUP(_xlfn.CONCAT(Buildings_Heat_Backend[[#This Row],[Level 1]:[Level 6]]),rng_EFConcat,rng_EF3)*Buildings_Heat_Backend[[#This Row],[Converted data]]/1000)</f>
        <v/>
      </c>
      <c r="AI224" s="210" t="str">
        <f>IF(Buildings_Heat_Frontend[[#This Row],[Data]]="","", _xlfn.XLOOKUP(_xlfn.CONCAT(Buildings_Heat_Backend[[#This Row],[Level 1]:[Level 6]]),rng_EFConcat,rng_EF3WTT)*Buildings_Heat_Backend[[#This Row],[Converted data]]/1000)</f>
        <v/>
      </c>
      <c r="AJ224" s="210" t="str">
        <f>IF(Buildings_Heat_Frontend[[#This Row],[Data]]="","", _xlfn.XLOOKUP(_xlfn.CONCAT(Buildings_Heat_Backend[[#This Row],[Level 1]:[Level 6]]),rng_EFConcat,rng_EF3TD)*Buildings_Heat_Backend[[#This Row],[Converted data]]/1000)</f>
        <v/>
      </c>
      <c r="AK224" s="210" t="str">
        <f>IF(Buildings_Heat_Frontend[[#This Row],[Data]]="","", _xlfn.XLOOKUP(_xlfn.CONCAT(Buildings_Heat_Backend[[#This Row],[Level 1]:[Level 6]]),rng_EFConcat,rng_EF3WTTTD)*Buildings_Heat_Backend[[#This Row],[Converted data]]/1000)</f>
        <v/>
      </c>
      <c r="AL224" s="220">
        <f>SUM(Buildings_Heat_Backend[[#This Row],[Scope 1 (tCO2e)]:[Scope 3 WTT T&amp;D (tCO2e)]])</f>
        <v>0</v>
      </c>
      <c r="AM224" s="220" t="str">
        <f>IF(Buildings_Heat_Frontend[[#This Row],[Data]]="","", Buildings_Heat_Backend[[#This Row],[Total (tCO2e)]]*(1-Buildings_Heat_Backend[[#This Row],[RSD]]))</f>
        <v/>
      </c>
      <c r="AN224" s="220" t="str">
        <f>IF(Buildings_Heat_Frontend[[#This Row],[Data]]="","", Buildings_Heat_Backend[[#This Row],[Total (tCO2e)]]*(1+Buildings_Heat_Backend[[#This Row],[RSD]]))</f>
        <v/>
      </c>
      <c r="AO224" s="210" t="str">
        <f>IF(Buildings_Heat_Frontend[[#This Row],[Data]]="","", _xlfn.XLOOKUP(_xlfn.CONCAT(Buildings_Heat_Backend[[#This Row],[Level 1]:[Level 6]]),rng_EFConcat,rng_EFOOS)*Buildings_Heat_Backend[[#This Row],[Converted data]]/1000)</f>
        <v/>
      </c>
      <c r="AP224" s="174">
        <f>Buildings_Heat_Frontend[[#This Row],[Ease of collection]]</f>
        <v>0</v>
      </c>
      <c r="AQ224" s="174">
        <f>Buildings_Heat_Frontend[[#This Row],[Completeness]]</f>
        <v>0</v>
      </c>
      <c r="AR224" s="174">
        <f>Buildings_Heat_Frontend[[#This Row],[Notes]]</f>
        <v>0</v>
      </c>
    </row>
    <row r="225" spans="5:44" x14ac:dyDescent="0.3">
      <c r="E225" s="346"/>
      <c r="F225" s="364"/>
      <c r="G225" s="336"/>
      <c r="H225" s="336"/>
      <c r="I225" s="336"/>
      <c r="J225" s="334"/>
      <c r="K225" s="336"/>
      <c r="L225" s="336"/>
      <c r="M225" s="336"/>
      <c r="N225" s="352"/>
      <c r="O225" s="230">
        <f t="shared" si="11"/>
        <v>6</v>
      </c>
      <c r="Q225" s="212" t="str">
        <f t="shared" si="9"/>
        <v/>
      </c>
      <c r="R225" s="174" t="s">
        <v>265</v>
      </c>
      <c r="S225" s="174" t="s">
        <v>273</v>
      </c>
      <c r="T225" s="174" t="str">
        <f>IF(Buildings_Heat_Frontend[[#This Row],[Data]]="","", _xlfn.XLOOKUP(Buildings_Heat_Backend[[#This Row],[Info 1]],Buildings_SiteInfo[Site name],Buildings_SiteInfo[Site type]))</f>
        <v/>
      </c>
      <c r="U225" s="174" t="str">
        <f>IF(Buildings_Heat_Frontend[[#This Row],[Data]]="","", Buildings_Heat_Frontend[[#This Row],[Heating Type]])</f>
        <v/>
      </c>
      <c r="V225" s="174" t="str">
        <f>IF(Buildings_Heat_Frontend[[#This Row],[Data]]="","", Buildings_Heat_Frontend[[#This Row],[Fuel]])</f>
        <v/>
      </c>
      <c r="W225" s="174" t="str" cm="1">
        <f t="array" ref="W225">IF(Buildings_Heat_Frontend[[#This Row],[Data]]="","", _xlfn.XLOOKUP(Buildings_Heat_Backend[[#This Row],[Level 5]],rng_Level5Long,rng_Level6Long))</f>
        <v/>
      </c>
      <c r="X225" s="174" t="str">
        <f>IF(Buildings_Heat_Frontend[[#This Row],[Data]]="","", Buildings_Heat_Frontend[[#This Row],[Site Name]])</f>
        <v/>
      </c>
      <c r="Y225" s="174" t="str">
        <f>IF(Buildings_Heat_Frontend[[#This Row],[Data]]="","", Buildings_Heat_Frontend[[#This Row],[MPRN]])</f>
        <v/>
      </c>
      <c r="Z225" s="174" t="str">
        <f>IF(Buildings_Heat_Frontend[[#This Row],[Data]]="","", IF($I225="","",$I225))</f>
        <v/>
      </c>
      <c r="AA225" s="229" t="str" cm="1">
        <f t="array" ref="AA225">IF(Buildings_Heat_Frontend[[#This Row],[Data]]="","", INDEX(_xlfn.SWITCH(Buildings_Heat_Backend[[#This Row],[Methodology]],"Tier 1",rng_RSD1,"Tier 2",rng_RSD2,"Tier 3",rng_RSD3),MATCH(_xlfn.CONCAT(Buildings_Heat_Backend[[#This Row],[Level 1]:[Level 6]]),rng_LevelsConcat,0)))</f>
        <v/>
      </c>
      <c r="AB225" s="220" t="str">
        <f t="shared" si="10"/>
        <v/>
      </c>
      <c r="AC225" s="174">
        <f>Buildings_Heat_Frontend[[#This Row],[Units]]</f>
        <v>0</v>
      </c>
      <c r="AD22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5" s="174" t="str">
        <f>IF(Buildings_Heat_Frontend[[#This Row],[Data]]="","", _xlfn.XLOOKUP(_xlfn.CONCAT(Buildings_Heat_Backend[[#This Row],[Level 1]:[Level 6]]),rng_LevelsConcat,rng_UnitsLong))</f>
        <v/>
      </c>
      <c r="AF225" s="210" t="str">
        <f>IF(Buildings_Heat_Frontend[[#This Row],[Data]]="","", _xlfn.XLOOKUP(_xlfn.CONCAT(Buildings_Heat_Backend[[#This Row],[Level 1]:[Level 6]]),rng_EFConcat,rng_EF1)*Buildings_Heat_Backend[[#This Row],[Converted data]]/1000)</f>
        <v/>
      </c>
      <c r="AG225" s="210" t="str">
        <f>IF(Buildings_Heat_Frontend[[#This Row],[Data]]="","", _xlfn.XLOOKUP(_xlfn.CONCAT(Buildings_Heat_Backend[[#This Row],[Level 1]:[Level 6]]),rng_EFConcat,rng_EF2)*Buildings_Heat_Backend[[#This Row],[Converted data]]/1000)</f>
        <v/>
      </c>
      <c r="AH225" s="210" t="str">
        <f>IF(Buildings_Heat_Frontend[[#This Row],[Data]]="","", _xlfn.XLOOKUP(_xlfn.CONCAT(Buildings_Heat_Backend[[#This Row],[Level 1]:[Level 6]]),rng_EFConcat,rng_EF3)*Buildings_Heat_Backend[[#This Row],[Converted data]]/1000)</f>
        <v/>
      </c>
      <c r="AI225" s="210" t="str">
        <f>IF(Buildings_Heat_Frontend[[#This Row],[Data]]="","", _xlfn.XLOOKUP(_xlfn.CONCAT(Buildings_Heat_Backend[[#This Row],[Level 1]:[Level 6]]),rng_EFConcat,rng_EF3WTT)*Buildings_Heat_Backend[[#This Row],[Converted data]]/1000)</f>
        <v/>
      </c>
      <c r="AJ225" s="210" t="str">
        <f>IF(Buildings_Heat_Frontend[[#This Row],[Data]]="","", _xlfn.XLOOKUP(_xlfn.CONCAT(Buildings_Heat_Backend[[#This Row],[Level 1]:[Level 6]]),rng_EFConcat,rng_EF3TD)*Buildings_Heat_Backend[[#This Row],[Converted data]]/1000)</f>
        <v/>
      </c>
      <c r="AK225" s="210" t="str">
        <f>IF(Buildings_Heat_Frontend[[#This Row],[Data]]="","", _xlfn.XLOOKUP(_xlfn.CONCAT(Buildings_Heat_Backend[[#This Row],[Level 1]:[Level 6]]),rng_EFConcat,rng_EF3WTTTD)*Buildings_Heat_Backend[[#This Row],[Converted data]]/1000)</f>
        <v/>
      </c>
      <c r="AL225" s="220">
        <f>SUM(Buildings_Heat_Backend[[#This Row],[Scope 1 (tCO2e)]:[Scope 3 WTT T&amp;D (tCO2e)]])</f>
        <v>0</v>
      </c>
      <c r="AM225" s="220" t="str">
        <f>IF(Buildings_Heat_Frontend[[#This Row],[Data]]="","", Buildings_Heat_Backend[[#This Row],[Total (tCO2e)]]*(1-Buildings_Heat_Backend[[#This Row],[RSD]]))</f>
        <v/>
      </c>
      <c r="AN225" s="220" t="str">
        <f>IF(Buildings_Heat_Frontend[[#This Row],[Data]]="","", Buildings_Heat_Backend[[#This Row],[Total (tCO2e)]]*(1+Buildings_Heat_Backend[[#This Row],[RSD]]))</f>
        <v/>
      </c>
      <c r="AO225" s="210" t="str">
        <f>IF(Buildings_Heat_Frontend[[#This Row],[Data]]="","", _xlfn.XLOOKUP(_xlfn.CONCAT(Buildings_Heat_Backend[[#This Row],[Level 1]:[Level 6]]),rng_EFConcat,rng_EFOOS)*Buildings_Heat_Backend[[#This Row],[Converted data]]/1000)</f>
        <v/>
      </c>
      <c r="AP225" s="174">
        <f>Buildings_Heat_Frontend[[#This Row],[Ease of collection]]</f>
        <v>0</v>
      </c>
      <c r="AQ225" s="174">
        <f>Buildings_Heat_Frontend[[#This Row],[Completeness]]</f>
        <v>0</v>
      </c>
      <c r="AR225" s="174">
        <f>Buildings_Heat_Frontend[[#This Row],[Notes]]</f>
        <v>0</v>
      </c>
    </row>
    <row r="226" spans="5:44" x14ac:dyDescent="0.3">
      <c r="E226" s="346"/>
      <c r="F226" s="364"/>
      <c r="G226" s="336"/>
      <c r="H226" s="336"/>
      <c r="I226" s="336"/>
      <c r="J226" s="334"/>
      <c r="K226" s="336"/>
      <c r="L226" s="336"/>
      <c r="M226" s="336"/>
      <c r="N226" s="352"/>
      <c r="O226" s="230">
        <f t="shared" si="11"/>
        <v>6</v>
      </c>
      <c r="Q226" s="212" t="str">
        <f t="shared" si="9"/>
        <v/>
      </c>
      <c r="R226" s="174" t="s">
        <v>265</v>
      </c>
      <c r="S226" s="174" t="s">
        <v>273</v>
      </c>
      <c r="T226" s="174" t="str">
        <f>IF(Buildings_Heat_Frontend[[#This Row],[Data]]="","", _xlfn.XLOOKUP(Buildings_Heat_Backend[[#This Row],[Info 1]],Buildings_SiteInfo[Site name],Buildings_SiteInfo[Site type]))</f>
        <v/>
      </c>
      <c r="U226" s="174" t="str">
        <f>IF(Buildings_Heat_Frontend[[#This Row],[Data]]="","", Buildings_Heat_Frontend[[#This Row],[Heating Type]])</f>
        <v/>
      </c>
      <c r="V226" s="174" t="str">
        <f>IF(Buildings_Heat_Frontend[[#This Row],[Data]]="","", Buildings_Heat_Frontend[[#This Row],[Fuel]])</f>
        <v/>
      </c>
      <c r="W226" s="174" t="str" cm="1">
        <f t="array" ref="W226">IF(Buildings_Heat_Frontend[[#This Row],[Data]]="","", _xlfn.XLOOKUP(Buildings_Heat_Backend[[#This Row],[Level 5]],rng_Level5Long,rng_Level6Long))</f>
        <v/>
      </c>
      <c r="X226" s="174" t="str">
        <f>IF(Buildings_Heat_Frontend[[#This Row],[Data]]="","", Buildings_Heat_Frontend[[#This Row],[Site Name]])</f>
        <v/>
      </c>
      <c r="Y226" s="174" t="str">
        <f>IF(Buildings_Heat_Frontend[[#This Row],[Data]]="","", Buildings_Heat_Frontend[[#This Row],[MPRN]])</f>
        <v/>
      </c>
      <c r="Z226" s="174" t="str">
        <f>IF(Buildings_Heat_Frontend[[#This Row],[Data]]="","", IF($I226="","",$I226))</f>
        <v/>
      </c>
      <c r="AA226" s="229" t="str" cm="1">
        <f t="array" ref="AA226">IF(Buildings_Heat_Frontend[[#This Row],[Data]]="","", INDEX(_xlfn.SWITCH(Buildings_Heat_Backend[[#This Row],[Methodology]],"Tier 1",rng_RSD1,"Tier 2",rng_RSD2,"Tier 3",rng_RSD3),MATCH(_xlfn.CONCAT(Buildings_Heat_Backend[[#This Row],[Level 1]:[Level 6]]),rng_LevelsConcat,0)))</f>
        <v/>
      </c>
      <c r="AB226" s="220" t="str">
        <f t="shared" si="10"/>
        <v/>
      </c>
      <c r="AC226" s="174">
        <f>Buildings_Heat_Frontend[[#This Row],[Units]]</f>
        <v>0</v>
      </c>
      <c r="AD22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6" s="174" t="str">
        <f>IF(Buildings_Heat_Frontend[[#This Row],[Data]]="","", _xlfn.XLOOKUP(_xlfn.CONCAT(Buildings_Heat_Backend[[#This Row],[Level 1]:[Level 6]]),rng_LevelsConcat,rng_UnitsLong))</f>
        <v/>
      </c>
      <c r="AF226" s="210" t="str">
        <f>IF(Buildings_Heat_Frontend[[#This Row],[Data]]="","", _xlfn.XLOOKUP(_xlfn.CONCAT(Buildings_Heat_Backend[[#This Row],[Level 1]:[Level 6]]),rng_EFConcat,rng_EF1)*Buildings_Heat_Backend[[#This Row],[Converted data]]/1000)</f>
        <v/>
      </c>
      <c r="AG226" s="210" t="str">
        <f>IF(Buildings_Heat_Frontend[[#This Row],[Data]]="","", _xlfn.XLOOKUP(_xlfn.CONCAT(Buildings_Heat_Backend[[#This Row],[Level 1]:[Level 6]]),rng_EFConcat,rng_EF2)*Buildings_Heat_Backend[[#This Row],[Converted data]]/1000)</f>
        <v/>
      </c>
      <c r="AH226" s="210" t="str">
        <f>IF(Buildings_Heat_Frontend[[#This Row],[Data]]="","", _xlfn.XLOOKUP(_xlfn.CONCAT(Buildings_Heat_Backend[[#This Row],[Level 1]:[Level 6]]),rng_EFConcat,rng_EF3)*Buildings_Heat_Backend[[#This Row],[Converted data]]/1000)</f>
        <v/>
      </c>
      <c r="AI226" s="210" t="str">
        <f>IF(Buildings_Heat_Frontend[[#This Row],[Data]]="","", _xlfn.XLOOKUP(_xlfn.CONCAT(Buildings_Heat_Backend[[#This Row],[Level 1]:[Level 6]]),rng_EFConcat,rng_EF3WTT)*Buildings_Heat_Backend[[#This Row],[Converted data]]/1000)</f>
        <v/>
      </c>
      <c r="AJ226" s="210" t="str">
        <f>IF(Buildings_Heat_Frontend[[#This Row],[Data]]="","", _xlfn.XLOOKUP(_xlfn.CONCAT(Buildings_Heat_Backend[[#This Row],[Level 1]:[Level 6]]),rng_EFConcat,rng_EF3TD)*Buildings_Heat_Backend[[#This Row],[Converted data]]/1000)</f>
        <v/>
      </c>
      <c r="AK226" s="210" t="str">
        <f>IF(Buildings_Heat_Frontend[[#This Row],[Data]]="","", _xlfn.XLOOKUP(_xlfn.CONCAT(Buildings_Heat_Backend[[#This Row],[Level 1]:[Level 6]]),rng_EFConcat,rng_EF3WTTTD)*Buildings_Heat_Backend[[#This Row],[Converted data]]/1000)</f>
        <v/>
      </c>
      <c r="AL226" s="220">
        <f>SUM(Buildings_Heat_Backend[[#This Row],[Scope 1 (tCO2e)]:[Scope 3 WTT T&amp;D (tCO2e)]])</f>
        <v>0</v>
      </c>
      <c r="AM226" s="220" t="str">
        <f>IF(Buildings_Heat_Frontend[[#This Row],[Data]]="","", Buildings_Heat_Backend[[#This Row],[Total (tCO2e)]]*(1-Buildings_Heat_Backend[[#This Row],[RSD]]))</f>
        <v/>
      </c>
      <c r="AN226" s="220" t="str">
        <f>IF(Buildings_Heat_Frontend[[#This Row],[Data]]="","", Buildings_Heat_Backend[[#This Row],[Total (tCO2e)]]*(1+Buildings_Heat_Backend[[#This Row],[RSD]]))</f>
        <v/>
      </c>
      <c r="AO226" s="210" t="str">
        <f>IF(Buildings_Heat_Frontend[[#This Row],[Data]]="","", _xlfn.XLOOKUP(_xlfn.CONCAT(Buildings_Heat_Backend[[#This Row],[Level 1]:[Level 6]]),rng_EFConcat,rng_EFOOS)*Buildings_Heat_Backend[[#This Row],[Converted data]]/1000)</f>
        <v/>
      </c>
      <c r="AP226" s="174">
        <f>Buildings_Heat_Frontend[[#This Row],[Ease of collection]]</f>
        <v>0</v>
      </c>
      <c r="AQ226" s="174">
        <f>Buildings_Heat_Frontend[[#This Row],[Completeness]]</f>
        <v>0</v>
      </c>
      <c r="AR226" s="174">
        <f>Buildings_Heat_Frontend[[#This Row],[Notes]]</f>
        <v>0</v>
      </c>
    </row>
    <row r="227" spans="5:44" x14ac:dyDescent="0.3">
      <c r="E227" s="346"/>
      <c r="F227" s="364"/>
      <c r="G227" s="336"/>
      <c r="H227" s="336"/>
      <c r="I227" s="336"/>
      <c r="J227" s="334"/>
      <c r="K227" s="336"/>
      <c r="L227" s="336"/>
      <c r="M227" s="336"/>
      <c r="N227" s="352"/>
      <c r="O227" s="230">
        <f t="shared" si="11"/>
        <v>6</v>
      </c>
      <c r="Q227" s="212" t="str">
        <f t="shared" si="9"/>
        <v/>
      </c>
      <c r="R227" s="174" t="s">
        <v>265</v>
      </c>
      <c r="S227" s="174" t="s">
        <v>273</v>
      </c>
      <c r="T227" s="174" t="str">
        <f>IF(Buildings_Heat_Frontend[[#This Row],[Data]]="","", _xlfn.XLOOKUP(Buildings_Heat_Backend[[#This Row],[Info 1]],Buildings_SiteInfo[Site name],Buildings_SiteInfo[Site type]))</f>
        <v/>
      </c>
      <c r="U227" s="174" t="str">
        <f>IF(Buildings_Heat_Frontend[[#This Row],[Data]]="","", Buildings_Heat_Frontend[[#This Row],[Heating Type]])</f>
        <v/>
      </c>
      <c r="V227" s="174" t="str">
        <f>IF(Buildings_Heat_Frontend[[#This Row],[Data]]="","", Buildings_Heat_Frontend[[#This Row],[Fuel]])</f>
        <v/>
      </c>
      <c r="W227" s="174" t="str" cm="1">
        <f t="array" ref="W227">IF(Buildings_Heat_Frontend[[#This Row],[Data]]="","", _xlfn.XLOOKUP(Buildings_Heat_Backend[[#This Row],[Level 5]],rng_Level5Long,rng_Level6Long))</f>
        <v/>
      </c>
      <c r="X227" s="174" t="str">
        <f>IF(Buildings_Heat_Frontend[[#This Row],[Data]]="","", Buildings_Heat_Frontend[[#This Row],[Site Name]])</f>
        <v/>
      </c>
      <c r="Y227" s="174" t="str">
        <f>IF(Buildings_Heat_Frontend[[#This Row],[Data]]="","", Buildings_Heat_Frontend[[#This Row],[MPRN]])</f>
        <v/>
      </c>
      <c r="Z227" s="174" t="str">
        <f>IF(Buildings_Heat_Frontend[[#This Row],[Data]]="","", IF($I227="","",$I227))</f>
        <v/>
      </c>
      <c r="AA227" s="229" t="str" cm="1">
        <f t="array" ref="AA227">IF(Buildings_Heat_Frontend[[#This Row],[Data]]="","", INDEX(_xlfn.SWITCH(Buildings_Heat_Backend[[#This Row],[Methodology]],"Tier 1",rng_RSD1,"Tier 2",rng_RSD2,"Tier 3",rng_RSD3),MATCH(_xlfn.CONCAT(Buildings_Heat_Backend[[#This Row],[Level 1]:[Level 6]]),rng_LevelsConcat,0)))</f>
        <v/>
      </c>
      <c r="AB227" s="220" t="str">
        <f t="shared" si="10"/>
        <v/>
      </c>
      <c r="AC227" s="174">
        <f>Buildings_Heat_Frontend[[#This Row],[Units]]</f>
        <v>0</v>
      </c>
      <c r="AD22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7" s="174" t="str">
        <f>IF(Buildings_Heat_Frontend[[#This Row],[Data]]="","", _xlfn.XLOOKUP(_xlfn.CONCAT(Buildings_Heat_Backend[[#This Row],[Level 1]:[Level 6]]),rng_LevelsConcat,rng_UnitsLong))</f>
        <v/>
      </c>
      <c r="AF227" s="210" t="str">
        <f>IF(Buildings_Heat_Frontend[[#This Row],[Data]]="","", _xlfn.XLOOKUP(_xlfn.CONCAT(Buildings_Heat_Backend[[#This Row],[Level 1]:[Level 6]]),rng_EFConcat,rng_EF1)*Buildings_Heat_Backend[[#This Row],[Converted data]]/1000)</f>
        <v/>
      </c>
      <c r="AG227" s="210" t="str">
        <f>IF(Buildings_Heat_Frontend[[#This Row],[Data]]="","", _xlfn.XLOOKUP(_xlfn.CONCAT(Buildings_Heat_Backend[[#This Row],[Level 1]:[Level 6]]),rng_EFConcat,rng_EF2)*Buildings_Heat_Backend[[#This Row],[Converted data]]/1000)</f>
        <v/>
      </c>
      <c r="AH227" s="210" t="str">
        <f>IF(Buildings_Heat_Frontend[[#This Row],[Data]]="","", _xlfn.XLOOKUP(_xlfn.CONCAT(Buildings_Heat_Backend[[#This Row],[Level 1]:[Level 6]]),rng_EFConcat,rng_EF3)*Buildings_Heat_Backend[[#This Row],[Converted data]]/1000)</f>
        <v/>
      </c>
      <c r="AI227" s="210" t="str">
        <f>IF(Buildings_Heat_Frontend[[#This Row],[Data]]="","", _xlfn.XLOOKUP(_xlfn.CONCAT(Buildings_Heat_Backend[[#This Row],[Level 1]:[Level 6]]),rng_EFConcat,rng_EF3WTT)*Buildings_Heat_Backend[[#This Row],[Converted data]]/1000)</f>
        <v/>
      </c>
      <c r="AJ227" s="210" t="str">
        <f>IF(Buildings_Heat_Frontend[[#This Row],[Data]]="","", _xlfn.XLOOKUP(_xlfn.CONCAT(Buildings_Heat_Backend[[#This Row],[Level 1]:[Level 6]]),rng_EFConcat,rng_EF3TD)*Buildings_Heat_Backend[[#This Row],[Converted data]]/1000)</f>
        <v/>
      </c>
      <c r="AK227" s="210" t="str">
        <f>IF(Buildings_Heat_Frontend[[#This Row],[Data]]="","", _xlfn.XLOOKUP(_xlfn.CONCAT(Buildings_Heat_Backend[[#This Row],[Level 1]:[Level 6]]),rng_EFConcat,rng_EF3WTTTD)*Buildings_Heat_Backend[[#This Row],[Converted data]]/1000)</f>
        <v/>
      </c>
      <c r="AL227" s="220">
        <f>SUM(Buildings_Heat_Backend[[#This Row],[Scope 1 (tCO2e)]:[Scope 3 WTT T&amp;D (tCO2e)]])</f>
        <v>0</v>
      </c>
      <c r="AM227" s="220" t="str">
        <f>IF(Buildings_Heat_Frontend[[#This Row],[Data]]="","", Buildings_Heat_Backend[[#This Row],[Total (tCO2e)]]*(1-Buildings_Heat_Backend[[#This Row],[RSD]]))</f>
        <v/>
      </c>
      <c r="AN227" s="220" t="str">
        <f>IF(Buildings_Heat_Frontend[[#This Row],[Data]]="","", Buildings_Heat_Backend[[#This Row],[Total (tCO2e)]]*(1+Buildings_Heat_Backend[[#This Row],[RSD]]))</f>
        <v/>
      </c>
      <c r="AO227" s="210" t="str">
        <f>IF(Buildings_Heat_Frontend[[#This Row],[Data]]="","", _xlfn.XLOOKUP(_xlfn.CONCAT(Buildings_Heat_Backend[[#This Row],[Level 1]:[Level 6]]),rng_EFConcat,rng_EFOOS)*Buildings_Heat_Backend[[#This Row],[Converted data]]/1000)</f>
        <v/>
      </c>
      <c r="AP227" s="174">
        <f>Buildings_Heat_Frontend[[#This Row],[Ease of collection]]</f>
        <v>0</v>
      </c>
      <c r="AQ227" s="174">
        <f>Buildings_Heat_Frontend[[#This Row],[Completeness]]</f>
        <v>0</v>
      </c>
      <c r="AR227" s="174">
        <f>Buildings_Heat_Frontend[[#This Row],[Notes]]</f>
        <v>0</v>
      </c>
    </row>
    <row r="228" spans="5:44" x14ac:dyDescent="0.3">
      <c r="E228" s="346"/>
      <c r="F228" s="364"/>
      <c r="G228" s="336"/>
      <c r="H228" s="336"/>
      <c r="I228" s="336"/>
      <c r="J228" s="334"/>
      <c r="K228" s="336"/>
      <c r="L228" s="336"/>
      <c r="M228" s="336"/>
      <c r="N228" s="352"/>
      <c r="O228" s="230">
        <f t="shared" si="11"/>
        <v>6</v>
      </c>
      <c r="Q228" s="212" t="str">
        <f t="shared" si="9"/>
        <v/>
      </c>
      <c r="R228" s="174" t="s">
        <v>265</v>
      </c>
      <c r="S228" s="174" t="s">
        <v>273</v>
      </c>
      <c r="T228" s="174" t="str">
        <f>IF(Buildings_Heat_Frontend[[#This Row],[Data]]="","", _xlfn.XLOOKUP(Buildings_Heat_Backend[[#This Row],[Info 1]],Buildings_SiteInfo[Site name],Buildings_SiteInfo[Site type]))</f>
        <v/>
      </c>
      <c r="U228" s="174" t="str">
        <f>IF(Buildings_Heat_Frontend[[#This Row],[Data]]="","", Buildings_Heat_Frontend[[#This Row],[Heating Type]])</f>
        <v/>
      </c>
      <c r="V228" s="174" t="str">
        <f>IF(Buildings_Heat_Frontend[[#This Row],[Data]]="","", Buildings_Heat_Frontend[[#This Row],[Fuel]])</f>
        <v/>
      </c>
      <c r="W228" s="174" t="str" cm="1">
        <f t="array" ref="W228">IF(Buildings_Heat_Frontend[[#This Row],[Data]]="","", _xlfn.XLOOKUP(Buildings_Heat_Backend[[#This Row],[Level 5]],rng_Level5Long,rng_Level6Long))</f>
        <v/>
      </c>
      <c r="X228" s="174" t="str">
        <f>IF(Buildings_Heat_Frontend[[#This Row],[Data]]="","", Buildings_Heat_Frontend[[#This Row],[Site Name]])</f>
        <v/>
      </c>
      <c r="Y228" s="174" t="str">
        <f>IF(Buildings_Heat_Frontend[[#This Row],[Data]]="","", Buildings_Heat_Frontend[[#This Row],[MPRN]])</f>
        <v/>
      </c>
      <c r="Z228" s="174" t="str">
        <f>IF(Buildings_Heat_Frontend[[#This Row],[Data]]="","", IF($I228="","",$I228))</f>
        <v/>
      </c>
      <c r="AA228" s="229" t="str" cm="1">
        <f t="array" ref="AA228">IF(Buildings_Heat_Frontend[[#This Row],[Data]]="","", INDEX(_xlfn.SWITCH(Buildings_Heat_Backend[[#This Row],[Methodology]],"Tier 1",rng_RSD1,"Tier 2",rng_RSD2,"Tier 3",rng_RSD3),MATCH(_xlfn.CONCAT(Buildings_Heat_Backend[[#This Row],[Level 1]:[Level 6]]),rng_LevelsConcat,0)))</f>
        <v/>
      </c>
      <c r="AB228" s="220" t="str">
        <f t="shared" si="10"/>
        <v/>
      </c>
      <c r="AC228" s="174">
        <f>Buildings_Heat_Frontend[[#This Row],[Units]]</f>
        <v>0</v>
      </c>
      <c r="AD22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8" s="174" t="str">
        <f>IF(Buildings_Heat_Frontend[[#This Row],[Data]]="","", _xlfn.XLOOKUP(_xlfn.CONCAT(Buildings_Heat_Backend[[#This Row],[Level 1]:[Level 6]]),rng_LevelsConcat,rng_UnitsLong))</f>
        <v/>
      </c>
      <c r="AF228" s="210" t="str">
        <f>IF(Buildings_Heat_Frontend[[#This Row],[Data]]="","", _xlfn.XLOOKUP(_xlfn.CONCAT(Buildings_Heat_Backend[[#This Row],[Level 1]:[Level 6]]),rng_EFConcat,rng_EF1)*Buildings_Heat_Backend[[#This Row],[Converted data]]/1000)</f>
        <v/>
      </c>
      <c r="AG228" s="210" t="str">
        <f>IF(Buildings_Heat_Frontend[[#This Row],[Data]]="","", _xlfn.XLOOKUP(_xlfn.CONCAT(Buildings_Heat_Backend[[#This Row],[Level 1]:[Level 6]]),rng_EFConcat,rng_EF2)*Buildings_Heat_Backend[[#This Row],[Converted data]]/1000)</f>
        <v/>
      </c>
      <c r="AH228" s="210" t="str">
        <f>IF(Buildings_Heat_Frontend[[#This Row],[Data]]="","", _xlfn.XLOOKUP(_xlfn.CONCAT(Buildings_Heat_Backend[[#This Row],[Level 1]:[Level 6]]),rng_EFConcat,rng_EF3)*Buildings_Heat_Backend[[#This Row],[Converted data]]/1000)</f>
        <v/>
      </c>
      <c r="AI228" s="210" t="str">
        <f>IF(Buildings_Heat_Frontend[[#This Row],[Data]]="","", _xlfn.XLOOKUP(_xlfn.CONCAT(Buildings_Heat_Backend[[#This Row],[Level 1]:[Level 6]]),rng_EFConcat,rng_EF3WTT)*Buildings_Heat_Backend[[#This Row],[Converted data]]/1000)</f>
        <v/>
      </c>
      <c r="AJ228" s="210" t="str">
        <f>IF(Buildings_Heat_Frontend[[#This Row],[Data]]="","", _xlfn.XLOOKUP(_xlfn.CONCAT(Buildings_Heat_Backend[[#This Row],[Level 1]:[Level 6]]),rng_EFConcat,rng_EF3TD)*Buildings_Heat_Backend[[#This Row],[Converted data]]/1000)</f>
        <v/>
      </c>
      <c r="AK228" s="210" t="str">
        <f>IF(Buildings_Heat_Frontend[[#This Row],[Data]]="","", _xlfn.XLOOKUP(_xlfn.CONCAT(Buildings_Heat_Backend[[#This Row],[Level 1]:[Level 6]]),rng_EFConcat,rng_EF3WTTTD)*Buildings_Heat_Backend[[#This Row],[Converted data]]/1000)</f>
        <v/>
      </c>
      <c r="AL228" s="220">
        <f>SUM(Buildings_Heat_Backend[[#This Row],[Scope 1 (tCO2e)]:[Scope 3 WTT T&amp;D (tCO2e)]])</f>
        <v>0</v>
      </c>
      <c r="AM228" s="220" t="str">
        <f>IF(Buildings_Heat_Frontend[[#This Row],[Data]]="","", Buildings_Heat_Backend[[#This Row],[Total (tCO2e)]]*(1-Buildings_Heat_Backend[[#This Row],[RSD]]))</f>
        <v/>
      </c>
      <c r="AN228" s="220" t="str">
        <f>IF(Buildings_Heat_Frontend[[#This Row],[Data]]="","", Buildings_Heat_Backend[[#This Row],[Total (tCO2e)]]*(1+Buildings_Heat_Backend[[#This Row],[RSD]]))</f>
        <v/>
      </c>
      <c r="AO228" s="210" t="str">
        <f>IF(Buildings_Heat_Frontend[[#This Row],[Data]]="","", _xlfn.XLOOKUP(_xlfn.CONCAT(Buildings_Heat_Backend[[#This Row],[Level 1]:[Level 6]]),rng_EFConcat,rng_EFOOS)*Buildings_Heat_Backend[[#This Row],[Converted data]]/1000)</f>
        <v/>
      </c>
      <c r="AP228" s="174">
        <f>Buildings_Heat_Frontend[[#This Row],[Ease of collection]]</f>
        <v>0</v>
      </c>
      <c r="AQ228" s="174">
        <f>Buildings_Heat_Frontend[[#This Row],[Completeness]]</f>
        <v>0</v>
      </c>
      <c r="AR228" s="174">
        <f>Buildings_Heat_Frontend[[#This Row],[Notes]]</f>
        <v>0</v>
      </c>
    </row>
    <row r="229" spans="5:44" x14ac:dyDescent="0.3">
      <c r="E229" s="346"/>
      <c r="F229" s="364"/>
      <c r="G229" s="336"/>
      <c r="H229" s="336"/>
      <c r="I229" s="336"/>
      <c r="J229" s="334"/>
      <c r="K229" s="336"/>
      <c r="L229" s="336"/>
      <c r="M229" s="336"/>
      <c r="N229" s="352"/>
      <c r="O229" s="230">
        <f t="shared" si="11"/>
        <v>6</v>
      </c>
      <c r="Q229" s="212" t="str">
        <f t="shared" si="9"/>
        <v/>
      </c>
      <c r="R229" s="174" t="s">
        <v>265</v>
      </c>
      <c r="S229" s="174" t="s">
        <v>273</v>
      </c>
      <c r="T229" s="174" t="str">
        <f>IF(Buildings_Heat_Frontend[[#This Row],[Data]]="","", _xlfn.XLOOKUP(Buildings_Heat_Backend[[#This Row],[Info 1]],Buildings_SiteInfo[Site name],Buildings_SiteInfo[Site type]))</f>
        <v/>
      </c>
      <c r="U229" s="174" t="str">
        <f>IF(Buildings_Heat_Frontend[[#This Row],[Data]]="","", Buildings_Heat_Frontend[[#This Row],[Heating Type]])</f>
        <v/>
      </c>
      <c r="V229" s="174" t="str">
        <f>IF(Buildings_Heat_Frontend[[#This Row],[Data]]="","", Buildings_Heat_Frontend[[#This Row],[Fuel]])</f>
        <v/>
      </c>
      <c r="W229" s="174" t="str" cm="1">
        <f t="array" ref="W229">IF(Buildings_Heat_Frontend[[#This Row],[Data]]="","", _xlfn.XLOOKUP(Buildings_Heat_Backend[[#This Row],[Level 5]],rng_Level5Long,rng_Level6Long))</f>
        <v/>
      </c>
      <c r="X229" s="174" t="str">
        <f>IF(Buildings_Heat_Frontend[[#This Row],[Data]]="","", Buildings_Heat_Frontend[[#This Row],[Site Name]])</f>
        <v/>
      </c>
      <c r="Y229" s="174" t="str">
        <f>IF(Buildings_Heat_Frontend[[#This Row],[Data]]="","", Buildings_Heat_Frontend[[#This Row],[MPRN]])</f>
        <v/>
      </c>
      <c r="Z229" s="174" t="str">
        <f>IF(Buildings_Heat_Frontend[[#This Row],[Data]]="","", IF($I229="","",$I229))</f>
        <v/>
      </c>
      <c r="AA229" s="229" t="str" cm="1">
        <f t="array" ref="AA229">IF(Buildings_Heat_Frontend[[#This Row],[Data]]="","", INDEX(_xlfn.SWITCH(Buildings_Heat_Backend[[#This Row],[Methodology]],"Tier 1",rng_RSD1,"Tier 2",rng_RSD2,"Tier 3",rng_RSD3),MATCH(_xlfn.CONCAT(Buildings_Heat_Backend[[#This Row],[Level 1]:[Level 6]]),rng_LevelsConcat,0)))</f>
        <v/>
      </c>
      <c r="AB229" s="220" t="str">
        <f t="shared" si="10"/>
        <v/>
      </c>
      <c r="AC229" s="174">
        <f>Buildings_Heat_Frontend[[#This Row],[Units]]</f>
        <v>0</v>
      </c>
      <c r="AD22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29" s="174" t="str">
        <f>IF(Buildings_Heat_Frontend[[#This Row],[Data]]="","", _xlfn.XLOOKUP(_xlfn.CONCAT(Buildings_Heat_Backend[[#This Row],[Level 1]:[Level 6]]),rng_LevelsConcat,rng_UnitsLong))</f>
        <v/>
      </c>
      <c r="AF229" s="210" t="str">
        <f>IF(Buildings_Heat_Frontend[[#This Row],[Data]]="","", _xlfn.XLOOKUP(_xlfn.CONCAT(Buildings_Heat_Backend[[#This Row],[Level 1]:[Level 6]]),rng_EFConcat,rng_EF1)*Buildings_Heat_Backend[[#This Row],[Converted data]]/1000)</f>
        <v/>
      </c>
      <c r="AG229" s="210" t="str">
        <f>IF(Buildings_Heat_Frontend[[#This Row],[Data]]="","", _xlfn.XLOOKUP(_xlfn.CONCAT(Buildings_Heat_Backend[[#This Row],[Level 1]:[Level 6]]),rng_EFConcat,rng_EF2)*Buildings_Heat_Backend[[#This Row],[Converted data]]/1000)</f>
        <v/>
      </c>
      <c r="AH229" s="210" t="str">
        <f>IF(Buildings_Heat_Frontend[[#This Row],[Data]]="","", _xlfn.XLOOKUP(_xlfn.CONCAT(Buildings_Heat_Backend[[#This Row],[Level 1]:[Level 6]]),rng_EFConcat,rng_EF3)*Buildings_Heat_Backend[[#This Row],[Converted data]]/1000)</f>
        <v/>
      </c>
      <c r="AI229" s="210" t="str">
        <f>IF(Buildings_Heat_Frontend[[#This Row],[Data]]="","", _xlfn.XLOOKUP(_xlfn.CONCAT(Buildings_Heat_Backend[[#This Row],[Level 1]:[Level 6]]),rng_EFConcat,rng_EF3WTT)*Buildings_Heat_Backend[[#This Row],[Converted data]]/1000)</f>
        <v/>
      </c>
      <c r="AJ229" s="210" t="str">
        <f>IF(Buildings_Heat_Frontend[[#This Row],[Data]]="","", _xlfn.XLOOKUP(_xlfn.CONCAT(Buildings_Heat_Backend[[#This Row],[Level 1]:[Level 6]]),rng_EFConcat,rng_EF3TD)*Buildings_Heat_Backend[[#This Row],[Converted data]]/1000)</f>
        <v/>
      </c>
      <c r="AK229" s="210" t="str">
        <f>IF(Buildings_Heat_Frontend[[#This Row],[Data]]="","", _xlfn.XLOOKUP(_xlfn.CONCAT(Buildings_Heat_Backend[[#This Row],[Level 1]:[Level 6]]),rng_EFConcat,rng_EF3WTTTD)*Buildings_Heat_Backend[[#This Row],[Converted data]]/1000)</f>
        <v/>
      </c>
      <c r="AL229" s="220">
        <f>SUM(Buildings_Heat_Backend[[#This Row],[Scope 1 (tCO2e)]:[Scope 3 WTT T&amp;D (tCO2e)]])</f>
        <v>0</v>
      </c>
      <c r="AM229" s="220" t="str">
        <f>IF(Buildings_Heat_Frontend[[#This Row],[Data]]="","", Buildings_Heat_Backend[[#This Row],[Total (tCO2e)]]*(1-Buildings_Heat_Backend[[#This Row],[RSD]]))</f>
        <v/>
      </c>
      <c r="AN229" s="220" t="str">
        <f>IF(Buildings_Heat_Frontend[[#This Row],[Data]]="","", Buildings_Heat_Backend[[#This Row],[Total (tCO2e)]]*(1+Buildings_Heat_Backend[[#This Row],[RSD]]))</f>
        <v/>
      </c>
      <c r="AO229" s="210" t="str">
        <f>IF(Buildings_Heat_Frontend[[#This Row],[Data]]="","", _xlfn.XLOOKUP(_xlfn.CONCAT(Buildings_Heat_Backend[[#This Row],[Level 1]:[Level 6]]),rng_EFConcat,rng_EFOOS)*Buildings_Heat_Backend[[#This Row],[Converted data]]/1000)</f>
        <v/>
      </c>
      <c r="AP229" s="174">
        <f>Buildings_Heat_Frontend[[#This Row],[Ease of collection]]</f>
        <v>0</v>
      </c>
      <c r="AQ229" s="174">
        <f>Buildings_Heat_Frontend[[#This Row],[Completeness]]</f>
        <v>0</v>
      </c>
      <c r="AR229" s="174">
        <f>Buildings_Heat_Frontend[[#This Row],[Notes]]</f>
        <v>0</v>
      </c>
    </row>
    <row r="230" spans="5:44" x14ac:dyDescent="0.3">
      <c r="E230" s="346"/>
      <c r="F230" s="364"/>
      <c r="G230" s="336"/>
      <c r="H230" s="336"/>
      <c r="I230" s="336"/>
      <c r="J230" s="334"/>
      <c r="K230" s="336"/>
      <c r="L230" s="336"/>
      <c r="M230" s="336"/>
      <c r="N230" s="352"/>
      <c r="O230" s="230">
        <f t="shared" si="11"/>
        <v>6</v>
      </c>
      <c r="Q230" s="212" t="str">
        <f t="shared" si="9"/>
        <v/>
      </c>
      <c r="R230" s="174" t="s">
        <v>265</v>
      </c>
      <c r="S230" s="174" t="s">
        <v>273</v>
      </c>
      <c r="T230" s="174" t="str">
        <f>IF(Buildings_Heat_Frontend[[#This Row],[Data]]="","", _xlfn.XLOOKUP(Buildings_Heat_Backend[[#This Row],[Info 1]],Buildings_SiteInfo[Site name],Buildings_SiteInfo[Site type]))</f>
        <v/>
      </c>
      <c r="U230" s="174" t="str">
        <f>IF(Buildings_Heat_Frontend[[#This Row],[Data]]="","", Buildings_Heat_Frontend[[#This Row],[Heating Type]])</f>
        <v/>
      </c>
      <c r="V230" s="174" t="str">
        <f>IF(Buildings_Heat_Frontend[[#This Row],[Data]]="","", Buildings_Heat_Frontend[[#This Row],[Fuel]])</f>
        <v/>
      </c>
      <c r="W230" s="174" t="str" cm="1">
        <f t="array" ref="W230">IF(Buildings_Heat_Frontend[[#This Row],[Data]]="","", _xlfn.XLOOKUP(Buildings_Heat_Backend[[#This Row],[Level 5]],rng_Level5Long,rng_Level6Long))</f>
        <v/>
      </c>
      <c r="X230" s="174" t="str">
        <f>IF(Buildings_Heat_Frontend[[#This Row],[Data]]="","", Buildings_Heat_Frontend[[#This Row],[Site Name]])</f>
        <v/>
      </c>
      <c r="Y230" s="174" t="str">
        <f>IF(Buildings_Heat_Frontend[[#This Row],[Data]]="","", Buildings_Heat_Frontend[[#This Row],[MPRN]])</f>
        <v/>
      </c>
      <c r="Z230" s="174" t="str">
        <f>IF(Buildings_Heat_Frontend[[#This Row],[Data]]="","", IF($I230="","",$I230))</f>
        <v/>
      </c>
      <c r="AA230" s="229" t="str" cm="1">
        <f t="array" ref="AA230">IF(Buildings_Heat_Frontend[[#This Row],[Data]]="","", INDEX(_xlfn.SWITCH(Buildings_Heat_Backend[[#This Row],[Methodology]],"Tier 1",rng_RSD1,"Tier 2",rng_RSD2,"Tier 3",rng_RSD3),MATCH(_xlfn.CONCAT(Buildings_Heat_Backend[[#This Row],[Level 1]:[Level 6]]),rng_LevelsConcat,0)))</f>
        <v/>
      </c>
      <c r="AB230" s="220" t="str">
        <f t="shared" si="10"/>
        <v/>
      </c>
      <c r="AC230" s="174">
        <f>Buildings_Heat_Frontend[[#This Row],[Units]]</f>
        <v>0</v>
      </c>
      <c r="AD23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0" s="174" t="str">
        <f>IF(Buildings_Heat_Frontend[[#This Row],[Data]]="","", _xlfn.XLOOKUP(_xlfn.CONCAT(Buildings_Heat_Backend[[#This Row],[Level 1]:[Level 6]]),rng_LevelsConcat,rng_UnitsLong))</f>
        <v/>
      </c>
      <c r="AF230" s="210" t="str">
        <f>IF(Buildings_Heat_Frontend[[#This Row],[Data]]="","", _xlfn.XLOOKUP(_xlfn.CONCAT(Buildings_Heat_Backend[[#This Row],[Level 1]:[Level 6]]),rng_EFConcat,rng_EF1)*Buildings_Heat_Backend[[#This Row],[Converted data]]/1000)</f>
        <v/>
      </c>
      <c r="AG230" s="210" t="str">
        <f>IF(Buildings_Heat_Frontend[[#This Row],[Data]]="","", _xlfn.XLOOKUP(_xlfn.CONCAT(Buildings_Heat_Backend[[#This Row],[Level 1]:[Level 6]]),rng_EFConcat,rng_EF2)*Buildings_Heat_Backend[[#This Row],[Converted data]]/1000)</f>
        <v/>
      </c>
      <c r="AH230" s="210" t="str">
        <f>IF(Buildings_Heat_Frontend[[#This Row],[Data]]="","", _xlfn.XLOOKUP(_xlfn.CONCAT(Buildings_Heat_Backend[[#This Row],[Level 1]:[Level 6]]),rng_EFConcat,rng_EF3)*Buildings_Heat_Backend[[#This Row],[Converted data]]/1000)</f>
        <v/>
      </c>
      <c r="AI230" s="210" t="str">
        <f>IF(Buildings_Heat_Frontend[[#This Row],[Data]]="","", _xlfn.XLOOKUP(_xlfn.CONCAT(Buildings_Heat_Backend[[#This Row],[Level 1]:[Level 6]]),rng_EFConcat,rng_EF3WTT)*Buildings_Heat_Backend[[#This Row],[Converted data]]/1000)</f>
        <v/>
      </c>
      <c r="AJ230" s="210" t="str">
        <f>IF(Buildings_Heat_Frontend[[#This Row],[Data]]="","", _xlfn.XLOOKUP(_xlfn.CONCAT(Buildings_Heat_Backend[[#This Row],[Level 1]:[Level 6]]),rng_EFConcat,rng_EF3TD)*Buildings_Heat_Backend[[#This Row],[Converted data]]/1000)</f>
        <v/>
      </c>
      <c r="AK230" s="210" t="str">
        <f>IF(Buildings_Heat_Frontend[[#This Row],[Data]]="","", _xlfn.XLOOKUP(_xlfn.CONCAT(Buildings_Heat_Backend[[#This Row],[Level 1]:[Level 6]]),rng_EFConcat,rng_EF3WTTTD)*Buildings_Heat_Backend[[#This Row],[Converted data]]/1000)</f>
        <v/>
      </c>
      <c r="AL230" s="220">
        <f>SUM(Buildings_Heat_Backend[[#This Row],[Scope 1 (tCO2e)]:[Scope 3 WTT T&amp;D (tCO2e)]])</f>
        <v>0</v>
      </c>
      <c r="AM230" s="220" t="str">
        <f>IF(Buildings_Heat_Frontend[[#This Row],[Data]]="","", Buildings_Heat_Backend[[#This Row],[Total (tCO2e)]]*(1-Buildings_Heat_Backend[[#This Row],[RSD]]))</f>
        <v/>
      </c>
      <c r="AN230" s="220" t="str">
        <f>IF(Buildings_Heat_Frontend[[#This Row],[Data]]="","", Buildings_Heat_Backend[[#This Row],[Total (tCO2e)]]*(1+Buildings_Heat_Backend[[#This Row],[RSD]]))</f>
        <v/>
      </c>
      <c r="AO230" s="210" t="str">
        <f>IF(Buildings_Heat_Frontend[[#This Row],[Data]]="","", _xlfn.XLOOKUP(_xlfn.CONCAT(Buildings_Heat_Backend[[#This Row],[Level 1]:[Level 6]]),rng_EFConcat,rng_EFOOS)*Buildings_Heat_Backend[[#This Row],[Converted data]]/1000)</f>
        <v/>
      </c>
      <c r="AP230" s="174">
        <f>Buildings_Heat_Frontend[[#This Row],[Ease of collection]]</f>
        <v>0</v>
      </c>
      <c r="AQ230" s="174">
        <f>Buildings_Heat_Frontend[[#This Row],[Completeness]]</f>
        <v>0</v>
      </c>
      <c r="AR230" s="174">
        <f>Buildings_Heat_Frontend[[#This Row],[Notes]]</f>
        <v>0</v>
      </c>
    </row>
    <row r="231" spans="5:44" x14ac:dyDescent="0.3">
      <c r="E231" s="346"/>
      <c r="F231" s="364"/>
      <c r="G231" s="336"/>
      <c r="H231" s="336"/>
      <c r="I231" s="336"/>
      <c r="J231" s="334"/>
      <c r="K231" s="336"/>
      <c r="L231" s="336"/>
      <c r="M231" s="336"/>
      <c r="N231" s="352"/>
      <c r="O231" s="230">
        <f t="shared" si="11"/>
        <v>6</v>
      </c>
      <c r="Q231" s="212" t="str">
        <f t="shared" si="9"/>
        <v/>
      </c>
      <c r="R231" s="174" t="s">
        <v>265</v>
      </c>
      <c r="S231" s="174" t="s">
        <v>273</v>
      </c>
      <c r="T231" s="174" t="str">
        <f>IF(Buildings_Heat_Frontend[[#This Row],[Data]]="","", _xlfn.XLOOKUP(Buildings_Heat_Backend[[#This Row],[Info 1]],Buildings_SiteInfo[Site name],Buildings_SiteInfo[Site type]))</f>
        <v/>
      </c>
      <c r="U231" s="174" t="str">
        <f>IF(Buildings_Heat_Frontend[[#This Row],[Data]]="","", Buildings_Heat_Frontend[[#This Row],[Heating Type]])</f>
        <v/>
      </c>
      <c r="V231" s="174" t="str">
        <f>IF(Buildings_Heat_Frontend[[#This Row],[Data]]="","", Buildings_Heat_Frontend[[#This Row],[Fuel]])</f>
        <v/>
      </c>
      <c r="W231" s="174" t="str" cm="1">
        <f t="array" ref="W231">IF(Buildings_Heat_Frontend[[#This Row],[Data]]="","", _xlfn.XLOOKUP(Buildings_Heat_Backend[[#This Row],[Level 5]],rng_Level5Long,rng_Level6Long))</f>
        <v/>
      </c>
      <c r="X231" s="174" t="str">
        <f>IF(Buildings_Heat_Frontend[[#This Row],[Data]]="","", Buildings_Heat_Frontend[[#This Row],[Site Name]])</f>
        <v/>
      </c>
      <c r="Y231" s="174" t="str">
        <f>IF(Buildings_Heat_Frontend[[#This Row],[Data]]="","", Buildings_Heat_Frontend[[#This Row],[MPRN]])</f>
        <v/>
      </c>
      <c r="Z231" s="174" t="str">
        <f>IF(Buildings_Heat_Frontend[[#This Row],[Data]]="","", IF($I231="","",$I231))</f>
        <v/>
      </c>
      <c r="AA231" s="229" t="str" cm="1">
        <f t="array" ref="AA231">IF(Buildings_Heat_Frontend[[#This Row],[Data]]="","", INDEX(_xlfn.SWITCH(Buildings_Heat_Backend[[#This Row],[Methodology]],"Tier 1",rng_RSD1,"Tier 2",rng_RSD2,"Tier 3",rng_RSD3),MATCH(_xlfn.CONCAT(Buildings_Heat_Backend[[#This Row],[Level 1]:[Level 6]]),rng_LevelsConcat,0)))</f>
        <v/>
      </c>
      <c r="AB231" s="220" t="str">
        <f t="shared" si="10"/>
        <v/>
      </c>
      <c r="AC231" s="174">
        <f>Buildings_Heat_Frontend[[#This Row],[Units]]</f>
        <v>0</v>
      </c>
      <c r="AD23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1" s="174" t="str">
        <f>IF(Buildings_Heat_Frontend[[#This Row],[Data]]="","", _xlfn.XLOOKUP(_xlfn.CONCAT(Buildings_Heat_Backend[[#This Row],[Level 1]:[Level 6]]),rng_LevelsConcat,rng_UnitsLong))</f>
        <v/>
      </c>
      <c r="AF231" s="210" t="str">
        <f>IF(Buildings_Heat_Frontend[[#This Row],[Data]]="","", _xlfn.XLOOKUP(_xlfn.CONCAT(Buildings_Heat_Backend[[#This Row],[Level 1]:[Level 6]]),rng_EFConcat,rng_EF1)*Buildings_Heat_Backend[[#This Row],[Converted data]]/1000)</f>
        <v/>
      </c>
      <c r="AG231" s="210" t="str">
        <f>IF(Buildings_Heat_Frontend[[#This Row],[Data]]="","", _xlfn.XLOOKUP(_xlfn.CONCAT(Buildings_Heat_Backend[[#This Row],[Level 1]:[Level 6]]),rng_EFConcat,rng_EF2)*Buildings_Heat_Backend[[#This Row],[Converted data]]/1000)</f>
        <v/>
      </c>
      <c r="AH231" s="210" t="str">
        <f>IF(Buildings_Heat_Frontend[[#This Row],[Data]]="","", _xlfn.XLOOKUP(_xlfn.CONCAT(Buildings_Heat_Backend[[#This Row],[Level 1]:[Level 6]]),rng_EFConcat,rng_EF3)*Buildings_Heat_Backend[[#This Row],[Converted data]]/1000)</f>
        <v/>
      </c>
      <c r="AI231" s="210" t="str">
        <f>IF(Buildings_Heat_Frontend[[#This Row],[Data]]="","", _xlfn.XLOOKUP(_xlfn.CONCAT(Buildings_Heat_Backend[[#This Row],[Level 1]:[Level 6]]),rng_EFConcat,rng_EF3WTT)*Buildings_Heat_Backend[[#This Row],[Converted data]]/1000)</f>
        <v/>
      </c>
      <c r="AJ231" s="210" t="str">
        <f>IF(Buildings_Heat_Frontend[[#This Row],[Data]]="","", _xlfn.XLOOKUP(_xlfn.CONCAT(Buildings_Heat_Backend[[#This Row],[Level 1]:[Level 6]]),rng_EFConcat,rng_EF3TD)*Buildings_Heat_Backend[[#This Row],[Converted data]]/1000)</f>
        <v/>
      </c>
      <c r="AK231" s="210" t="str">
        <f>IF(Buildings_Heat_Frontend[[#This Row],[Data]]="","", _xlfn.XLOOKUP(_xlfn.CONCAT(Buildings_Heat_Backend[[#This Row],[Level 1]:[Level 6]]),rng_EFConcat,rng_EF3WTTTD)*Buildings_Heat_Backend[[#This Row],[Converted data]]/1000)</f>
        <v/>
      </c>
      <c r="AL231" s="220">
        <f>SUM(Buildings_Heat_Backend[[#This Row],[Scope 1 (tCO2e)]:[Scope 3 WTT T&amp;D (tCO2e)]])</f>
        <v>0</v>
      </c>
      <c r="AM231" s="220" t="str">
        <f>IF(Buildings_Heat_Frontend[[#This Row],[Data]]="","", Buildings_Heat_Backend[[#This Row],[Total (tCO2e)]]*(1-Buildings_Heat_Backend[[#This Row],[RSD]]))</f>
        <v/>
      </c>
      <c r="AN231" s="220" t="str">
        <f>IF(Buildings_Heat_Frontend[[#This Row],[Data]]="","", Buildings_Heat_Backend[[#This Row],[Total (tCO2e)]]*(1+Buildings_Heat_Backend[[#This Row],[RSD]]))</f>
        <v/>
      </c>
      <c r="AO231" s="210" t="str">
        <f>IF(Buildings_Heat_Frontend[[#This Row],[Data]]="","", _xlfn.XLOOKUP(_xlfn.CONCAT(Buildings_Heat_Backend[[#This Row],[Level 1]:[Level 6]]),rng_EFConcat,rng_EFOOS)*Buildings_Heat_Backend[[#This Row],[Converted data]]/1000)</f>
        <v/>
      </c>
      <c r="AP231" s="174">
        <f>Buildings_Heat_Frontend[[#This Row],[Ease of collection]]</f>
        <v>0</v>
      </c>
      <c r="AQ231" s="174">
        <f>Buildings_Heat_Frontend[[#This Row],[Completeness]]</f>
        <v>0</v>
      </c>
      <c r="AR231" s="174">
        <f>Buildings_Heat_Frontend[[#This Row],[Notes]]</f>
        <v>0</v>
      </c>
    </row>
    <row r="232" spans="5:44" x14ac:dyDescent="0.3">
      <c r="E232" s="346"/>
      <c r="F232" s="364"/>
      <c r="G232" s="336"/>
      <c r="H232" s="336"/>
      <c r="I232" s="336"/>
      <c r="J232" s="334"/>
      <c r="K232" s="336"/>
      <c r="L232" s="336"/>
      <c r="M232" s="336"/>
      <c r="N232" s="352"/>
      <c r="O232" s="230">
        <f t="shared" si="11"/>
        <v>6</v>
      </c>
      <c r="Q232" s="212" t="str">
        <f t="shared" si="9"/>
        <v/>
      </c>
      <c r="R232" s="174" t="s">
        <v>265</v>
      </c>
      <c r="S232" s="174" t="s">
        <v>273</v>
      </c>
      <c r="T232" s="174" t="str">
        <f>IF(Buildings_Heat_Frontend[[#This Row],[Data]]="","", _xlfn.XLOOKUP(Buildings_Heat_Backend[[#This Row],[Info 1]],Buildings_SiteInfo[Site name],Buildings_SiteInfo[Site type]))</f>
        <v/>
      </c>
      <c r="U232" s="174" t="str">
        <f>IF(Buildings_Heat_Frontend[[#This Row],[Data]]="","", Buildings_Heat_Frontend[[#This Row],[Heating Type]])</f>
        <v/>
      </c>
      <c r="V232" s="174" t="str">
        <f>IF(Buildings_Heat_Frontend[[#This Row],[Data]]="","", Buildings_Heat_Frontend[[#This Row],[Fuel]])</f>
        <v/>
      </c>
      <c r="W232" s="174" t="str" cm="1">
        <f t="array" ref="W232">IF(Buildings_Heat_Frontend[[#This Row],[Data]]="","", _xlfn.XLOOKUP(Buildings_Heat_Backend[[#This Row],[Level 5]],rng_Level5Long,rng_Level6Long))</f>
        <v/>
      </c>
      <c r="X232" s="174" t="str">
        <f>IF(Buildings_Heat_Frontend[[#This Row],[Data]]="","", Buildings_Heat_Frontend[[#This Row],[Site Name]])</f>
        <v/>
      </c>
      <c r="Y232" s="174" t="str">
        <f>IF(Buildings_Heat_Frontend[[#This Row],[Data]]="","", Buildings_Heat_Frontend[[#This Row],[MPRN]])</f>
        <v/>
      </c>
      <c r="Z232" s="174" t="str">
        <f>IF(Buildings_Heat_Frontend[[#This Row],[Data]]="","", IF($I232="","",$I232))</f>
        <v/>
      </c>
      <c r="AA232" s="229" t="str" cm="1">
        <f t="array" ref="AA232">IF(Buildings_Heat_Frontend[[#This Row],[Data]]="","", INDEX(_xlfn.SWITCH(Buildings_Heat_Backend[[#This Row],[Methodology]],"Tier 1",rng_RSD1,"Tier 2",rng_RSD2,"Tier 3",rng_RSD3),MATCH(_xlfn.CONCAT(Buildings_Heat_Backend[[#This Row],[Level 1]:[Level 6]]),rng_LevelsConcat,0)))</f>
        <v/>
      </c>
      <c r="AB232" s="220" t="str">
        <f t="shared" si="10"/>
        <v/>
      </c>
      <c r="AC232" s="174">
        <f>Buildings_Heat_Frontend[[#This Row],[Units]]</f>
        <v>0</v>
      </c>
      <c r="AD23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2" s="174" t="str">
        <f>IF(Buildings_Heat_Frontend[[#This Row],[Data]]="","", _xlfn.XLOOKUP(_xlfn.CONCAT(Buildings_Heat_Backend[[#This Row],[Level 1]:[Level 6]]),rng_LevelsConcat,rng_UnitsLong))</f>
        <v/>
      </c>
      <c r="AF232" s="210" t="str">
        <f>IF(Buildings_Heat_Frontend[[#This Row],[Data]]="","", _xlfn.XLOOKUP(_xlfn.CONCAT(Buildings_Heat_Backend[[#This Row],[Level 1]:[Level 6]]),rng_EFConcat,rng_EF1)*Buildings_Heat_Backend[[#This Row],[Converted data]]/1000)</f>
        <v/>
      </c>
      <c r="AG232" s="210" t="str">
        <f>IF(Buildings_Heat_Frontend[[#This Row],[Data]]="","", _xlfn.XLOOKUP(_xlfn.CONCAT(Buildings_Heat_Backend[[#This Row],[Level 1]:[Level 6]]),rng_EFConcat,rng_EF2)*Buildings_Heat_Backend[[#This Row],[Converted data]]/1000)</f>
        <v/>
      </c>
      <c r="AH232" s="210" t="str">
        <f>IF(Buildings_Heat_Frontend[[#This Row],[Data]]="","", _xlfn.XLOOKUP(_xlfn.CONCAT(Buildings_Heat_Backend[[#This Row],[Level 1]:[Level 6]]),rng_EFConcat,rng_EF3)*Buildings_Heat_Backend[[#This Row],[Converted data]]/1000)</f>
        <v/>
      </c>
      <c r="AI232" s="210" t="str">
        <f>IF(Buildings_Heat_Frontend[[#This Row],[Data]]="","", _xlfn.XLOOKUP(_xlfn.CONCAT(Buildings_Heat_Backend[[#This Row],[Level 1]:[Level 6]]),rng_EFConcat,rng_EF3WTT)*Buildings_Heat_Backend[[#This Row],[Converted data]]/1000)</f>
        <v/>
      </c>
      <c r="AJ232" s="210" t="str">
        <f>IF(Buildings_Heat_Frontend[[#This Row],[Data]]="","", _xlfn.XLOOKUP(_xlfn.CONCAT(Buildings_Heat_Backend[[#This Row],[Level 1]:[Level 6]]),rng_EFConcat,rng_EF3TD)*Buildings_Heat_Backend[[#This Row],[Converted data]]/1000)</f>
        <v/>
      </c>
      <c r="AK232" s="210" t="str">
        <f>IF(Buildings_Heat_Frontend[[#This Row],[Data]]="","", _xlfn.XLOOKUP(_xlfn.CONCAT(Buildings_Heat_Backend[[#This Row],[Level 1]:[Level 6]]),rng_EFConcat,rng_EF3WTTTD)*Buildings_Heat_Backend[[#This Row],[Converted data]]/1000)</f>
        <v/>
      </c>
      <c r="AL232" s="220">
        <f>SUM(Buildings_Heat_Backend[[#This Row],[Scope 1 (tCO2e)]:[Scope 3 WTT T&amp;D (tCO2e)]])</f>
        <v>0</v>
      </c>
      <c r="AM232" s="220" t="str">
        <f>IF(Buildings_Heat_Frontend[[#This Row],[Data]]="","", Buildings_Heat_Backend[[#This Row],[Total (tCO2e)]]*(1-Buildings_Heat_Backend[[#This Row],[RSD]]))</f>
        <v/>
      </c>
      <c r="AN232" s="220" t="str">
        <f>IF(Buildings_Heat_Frontend[[#This Row],[Data]]="","", Buildings_Heat_Backend[[#This Row],[Total (tCO2e)]]*(1+Buildings_Heat_Backend[[#This Row],[RSD]]))</f>
        <v/>
      </c>
      <c r="AO232" s="210" t="str">
        <f>IF(Buildings_Heat_Frontend[[#This Row],[Data]]="","", _xlfn.XLOOKUP(_xlfn.CONCAT(Buildings_Heat_Backend[[#This Row],[Level 1]:[Level 6]]),rng_EFConcat,rng_EFOOS)*Buildings_Heat_Backend[[#This Row],[Converted data]]/1000)</f>
        <v/>
      </c>
      <c r="AP232" s="174">
        <f>Buildings_Heat_Frontend[[#This Row],[Ease of collection]]</f>
        <v>0</v>
      </c>
      <c r="AQ232" s="174">
        <f>Buildings_Heat_Frontend[[#This Row],[Completeness]]</f>
        <v>0</v>
      </c>
      <c r="AR232" s="174">
        <f>Buildings_Heat_Frontend[[#This Row],[Notes]]</f>
        <v>0</v>
      </c>
    </row>
    <row r="233" spans="5:44" x14ac:dyDescent="0.3">
      <c r="E233" s="346"/>
      <c r="F233" s="364"/>
      <c r="G233" s="336"/>
      <c r="H233" s="336"/>
      <c r="I233" s="336"/>
      <c r="J233" s="334"/>
      <c r="K233" s="336"/>
      <c r="L233" s="336"/>
      <c r="M233" s="336"/>
      <c r="N233" s="352"/>
      <c r="O233" s="230">
        <f t="shared" si="11"/>
        <v>6</v>
      </c>
      <c r="Q233" s="212" t="str">
        <f t="shared" si="9"/>
        <v/>
      </c>
      <c r="R233" s="174" t="s">
        <v>265</v>
      </c>
      <c r="S233" s="174" t="s">
        <v>273</v>
      </c>
      <c r="T233" s="174" t="str">
        <f>IF(Buildings_Heat_Frontend[[#This Row],[Data]]="","", _xlfn.XLOOKUP(Buildings_Heat_Backend[[#This Row],[Info 1]],Buildings_SiteInfo[Site name],Buildings_SiteInfo[Site type]))</f>
        <v/>
      </c>
      <c r="U233" s="174" t="str">
        <f>IF(Buildings_Heat_Frontend[[#This Row],[Data]]="","", Buildings_Heat_Frontend[[#This Row],[Heating Type]])</f>
        <v/>
      </c>
      <c r="V233" s="174" t="str">
        <f>IF(Buildings_Heat_Frontend[[#This Row],[Data]]="","", Buildings_Heat_Frontend[[#This Row],[Fuel]])</f>
        <v/>
      </c>
      <c r="W233" s="174" t="str" cm="1">
        <f t="array" ref="W233">IF(Buildings_Heat_Frontend[[#This Row],[Data]]="","", _xlfn.XLOOKUP(Buildings_Heat_Backend[[#This Row],[Level 5]],rng_Level5Long,rng_Level6Long))</f>
        <v/>
      </c>
      <c r="X233" s="174" t="str">
        <f>IF(Buildings_Heat_Frontend[[#This Row],[Data]]="","", Buildings_Heat_Frontend[[#This Row],[Site Name]])</f>
        <v/>
      </c>
      <c r="Y233" s="174" t="str">
        <f>IF(Buildings_Heat_Frontend[[#This Row],[Data]]="","", Buildings_Heat_Frontend[[#This Row],[MPRN]])</f>
        <v/>
      </c>
      <c r="Z233" s="174" t="str">
        <f>IF(Buildings_Heat_Frontend[[#This Row],[Data]]="","", IF($I233="","",$I233))</f>
        <v/>
      </c>
      <c r="AA233" s="229" t="str" cm="1">
        <f t="array" ref="AA233">IF(Buildings_Heat_Frontend[[#This Row],[Data]]="","", INDEX(_xlfn.SWITCH(Buildings_Heat_Backend[[#This Row],[Methodology]],"Tier 1",rng_RSD1,"Tier 2",rng_RSD2,"Tier 3",rng_RSD3),MATCH(_xlfn.CONCAT(Buildings_Heat_Backend[[#This Row],[Level 1]:[Level 6]]),rng_LevelsConcat,0)))</f>
        <v/>
      </c>
      <c r="AB233" s="220" t="str">
        <f t="shared" si="10"/>
        <v/>
      </c>
      <c r="AC233" s="174">
        <f>Buildings_Heat_Frontend[[#This Row],[Units]]</f>
        <v>0</v>
      </c>
      <c r="AD23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3" s="174" t="str">
        <f>IF(Buildings_Heat_Frontend[[#This Row],[Data]]="","", _xlfn.XLOOKUP(_xlfn.CONCAT(Buildings_Heat_Backend[[#This Row],[Level 1]:[Level 6]]),rng_LevelsConcat,rng_UnitsLong))</f>
        <v/>
      </c>
      <c r="AF233" s="210" t="str">
        <f>IF(Buildings_Heat_Frontend[[#This Row],[Data]]="","", _xlfn.XLOOKUP(_xlfn.CONCAT(Buildings_Heat_Backend[[#This Row],[Level 1]:[Level 6]]),rng_EFConcat,rng_EF1)*Buildings_Heat_Backend[[#This Row],[Converted data]]/1000)</f>
        <v/>
      </c>
      <c r="AG233" s="210" t="str">
        <f>IF(Buildings_Heat_Frontend[[#This Row],[Data]]="","", _xlfn.XLOOKUP(_xlfn.CONCAT(Buildings_Heat_Backend[[#This Row],[Level 1]:[Level 6]]),rng_EFConcat,rng_EF2)*Buildings_Heat_Backend[[#This Row],[Converted data]]/1000)</f>
        <v/>
      </c>
      <c r="AH233" s="210" t="str">
        <f>IF(Buildings_Heat_Frontend[[#This Row],[Data]]="","", _xlfn.XLOOKUP(_xlfn.CONCAT(Buildings_Heat_Backend[[#This Row],[Level 1]:[Level 6]]),rng_EFConcat,rng_EF3)*Buildings_Heat_Backend[[#This Row],[Converted data]]/1000)</f>
        <v/>
      </c>
      <c r="AI233" s="210" t="str">
        <f>IF(Buildings_Heat_Frontend[[#This Row],[Data]]="","", _xlfn.XLOOKUP(_xlfn.CONCAT(Buildings_Heat_Backend[[#This Row],[Level 1]:[Level 6]]),rng_EFConcat,rng_EF3WTT)*Buildings_Heat_Backend[[#This Row],[Converted data]]/1000)</f>
        <v/>
      </c>
      <c r="AJ233" s="210" t="str">
        <f>IF(Buildings_Heat_Frontend[[#This Row],[Data]]="","", _xlfn.XLOOKUP(_xlfn.CONCAT(Buildings_Heat_Backend[[#This Row],[Level 1]:[Level 6]]),rng_EFConcat,rng_EF3TD)*Buildings_Heat_Backend[[#This Row],[Converted data]]/1000)</f>
        <v/>
      </c>
      <c r="AK233" s="210" t="str">
        <f>IF(Buildings_Heat_Frontend[[#This Row],[Data]]="","", _xlfn.XLOOKUP(_xlfn.CONCAT(Buildings_Heat_Backend[[#This Row],[Level 1]:[Level 6]]),rng_EFConcat,rng_EF3WTTTD)*Buildings_Heat_Backend[[#This Row],[Converted data]]/1000)</f>
        <v/>
      </c>
      <c r="AL233" s="220">
        <f>SUM(Buildings_Heat_Backend[[#This Row],[Scope 1 (tCO2e)]:[Scope 3 WTT T&amp;D (tCO2e)]])</f>
        <v>0</v>
      </c>
      <c r="AM233" s="220" t="str">
        <f>IF(Buildings_Heat_Frontend[[#This Row],[Data]]="","", Buildings_Heat_Backend[[#This Row],[Total (tCO2e)]]*(1-Buildings_Heat_Backend[[#This Row],[RSD]]))</f>
        <v/>
      </c>
      <c r="AN233" s="220" t="str">
        <f>IF(Buildings_Heat_Frontend[[#This Row],[Data]]="","", Buildings_Heat_Backend[[#This Row],[Total (tCO2e)]]*(1+Buildings_Heat_Backend[[#This Row],[RSD]]))</f>
        <v/>
      </c>
      <c r="AO233" s="210" t="str">
        <f>IF(Buildings_Heat_Frontend[[#This Row],[Data]]="","", _xlfn.XLOOKUP(_xlfn.CONCAT(Buildings_Heat_Backend[[#This Row],[Level 1]:[Level 6]]),rng_EFConcat,rng_EFOOS)*Buildings_Heat_Backend[[#This Row],[Converted data]]/1000)</f>
        <v/>
      </c>
      <c r="AP233" s="174">
        <f>Buildings_Heat_Frontend[[#This Row],[Ease of collection]]</f>
        <v>0</v>
      </c>
      <c r="AQ233" s="174">
        <f>Buildings_Heat_Frontend[[#This Row],[Completeness]]</f>
        <v>0</v>
      </c>
      <c r="AR233" s="174">
        <f>Buildings_Heat_Frontend[[#This Row],[Notes]]</f>
        <v>0</v>
      </c>
    </row>
    <row r="234" spans="5:44" x14ac:dyDescent="0.3">
      <c r="E234" s="346"/>
      <c r="F234" s="364"/>
      <c r="G234" s="336"/>
      <c r="H234" s="336"/>
      <c r="I234" s="336"/>
      <c r="J234" s="334"/>
      <c r="K234" s="336"/>
      <c r="L234" s="336"/>
      <c r="M234" s="336"/>
      <c r="N234" s="352"/>
      <c r="O234" s="230">
        <f t="shared" si="11"/>
        <v>6</v>
      </c>
      <c r="Q234" s="212" t="str">
        <f t="shared" si="9"/>
        <v/>
      </c>
      <c r="R234" s="174" t="s">
        <v>265</v>
      </c>
      <c r="S234" s="174" t="s">
        <v>273</v>
      </c>
      <c r="T234" s="174" t="str">
        <f>IF(Buildings_Heat_Frontend[[#This Row],[Data]]="","", _xlfn.XLOOKUP(Buildings_Heat_Backend[[#This Row],[Info 1]],Buildings_SiteInfo[Site name],Buildings_SiteInfo[Site type]))</f>
        <v/>
      </c>
      <c r="U234" s="174" t="str">
        <f>IF(Buildings_Heat_Frontend[[#This Row],[Data]]="","", Buildings_Heat_Frontend[[#This Row],[Heating Type]])</f>
        <v/>
      </c>
      <c r="V234" s="174" t="str">
        <f>IF(Buildings_Heat_Frontend[[#This Row],[Data]]="","", Buildings_Heat_Frontend[[#This Row],[Fuel]])</f>
        <v/>
      </c>
      <c r="W234" s="174" t="str" cm="1">
        <f t="array" ref="W234">IF(Buildings_Heat_Frontend[[#This Row],[Data]]="","", _xlfn.XLOOKUP(Buildings_Heat_Backend[[#This Row],[Level 5]],rng_Level5Long,rng_Level6Long))</f>
        <v/>
      </c>
      <c r="X234" s="174" t="str">
        <f>IF(Buildings_Heat_Frontend[[#This Row],[Data]]="","", Buildings_Heat_Frontend[[#This Row],[Site Name]])</f>
        <v/>
      </c>
      <c r="Y234" s="174" t="str">
        <f>IF(Buildings_Heat_Frontend[[#This Row],[Data]]="","", Buildings_Heat_Frontend[[#This Row],[MPRN]])</f>
        <v/>
      </c>
      <c r="Z234" s="174" t="str">
        <f>IF(Buildings_Heat_Frontend[[#This Row],[Data]]="","", IF($I234="","",$I234))</f>
        <v/>
      </c>
      <c r="AA234" s="229" t="str" cm="1">
        <f t="array" ref="AA234">IF(Buildings_Heat_Frontend[[#This Row],[Data]]="","", INDEX(_xlfn.SWITCH(Buildings_Heat_Backend[[#This Row],[Methodology]],"Tier 1",rng_RSD1,"Tier 2",rng_RSD2,"Tier 3",rng_RSD3),MATCH(_xlfn.CONCAT(Buildings_Heat_Backend[[#This Row],[Level 1]:[Level 6]]),rng_LevelsConcat,0)))</f>
        <v/>
      </c>
      <c r="AB234" s="220" t="str">
        <f t="shared" si="10"/>
        <v/>
      </c>
      <c r="AC234" s="174">
        <f>Buildings_Heat_Frontend[[#This Row],[Units]]</f>
        <v>0</v>
      </c>
      <c r="AD23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4" s="174" t="str">
        <f>IF(Buildings_Heat_Frontend[[#This Row],[Data]]="","", _xlfn.XLOOKUP(_xlfn.CONCAT(Buildings_Heat_Backend[[#This Row],[Level 1]:[Level 6]]),rng_LevelsConcat,rng_UnitsLong))</f>
        <v/>
      </c>
      <c r="AF234" s="210" t="str">
        <f>IF(Buildings_Heat_Frontend[[#This Row],[Data]]="","", _xlfn.XLOOKUP(_xlfn.CONCAT(Buildings_Heat_Backend[[#This Row],[Level 1]:[Level 6]]),rng_EFConcat,rng_EF1)*Buildings_Heat_Backend[[#This Row],[Converted data]]/1000)</f>
        <v/>
      </c>
      <c r="AG234" s="210" t="str">
        <f>IF(Buildings_Heat_Frontend[[#This Row],[Data]]="","", _xlfn.XLOOKUP(_xlfn.CONCAT(Buildings_Heat_Backend[[#This Row],[Level 1]:[Level 6]]),rng_EFConcat,rng_EF2)*Buildings_Heat_Backend[[#This Row],[Converted data]]/1000)</f>
        <v/>
      </c>
      <c r="AH234" s="210" t="str">
        <f>IF(Buildings_Heat_Frontend[[#This Row],[Data]]="","", _xlfn.XLOOKUP(_xlfn.CONCAT(Buildings_Heat_Backend[[#This Row],[Level 1]:[Level 6]]),rng_EFConcat,rng_EF3)*Buildings_Heat_Backend[[#This Row],[Converted data]]/1000)</f>
        <v/>
      </c>
      <c r="AI234" s="210" t="str">
        <f>IF(Buildings_Heat_Frontend[[#This Row],[Data]]="","", _xlfn.XLOOKUP(_xlfn.CONCAT(Buildings_Heat_Backend[[#This Row],[Level 1]:[Level 6]]),rng_EFConcat,rng_EF3WTT)*Buildings_Heat_Backend[[#This Row],[Converted data]]/1000)</f>
        <v/>
      </c>
      <c r="AJ234" s="210" t="str">
        <f>IF(Buildings_Heat_Frontend[[#This Row],[Data]]="","", _xlfn.XLOOKUP(_xlfn.CONCAT(Buildings_Heat_Backend[[#This Row],[Level 1]:[Level 6]]),rng_EFConcat,rng_EF3TD)*Buildings_Heat_Backend[[#This Row],[Converted data]]/1000)</f>
        <v/>
      </c>
      <c r="AK234" s="210" t="str">
        <f>IF(Buildings_Heat_Frontend[[#This Row],[Data]]="","", _xlfn.XLOOKUP(_xlfn.CONCAT(Buildings_Heat_Backend[[#This Row],[Level 1]:[Level 6]]),rng_EFConcat,rng_EF3WTTTD)*Buildings_Heat_Backend[[#This Row],[Converted data]]/1000)</f>
        <v/>
      </c>
      <c r="AL234" s="220">
        <f>SUM(Buildings_Heat_Backend[[#This Row],[Scope 1 (tCO2e)]:[Scope 3 WTT T&amp;D (tCO2e)]])</f>
        <v>0</v>
      </c>
      <c r="AM234" s="220" t="str">
        <f>IF(Buildings_Heat_Frontend[[#This Row],[Data]]="","", Buildings_Heat_Backend[[#This Row],[Total (tCO2e)]]*(1-Buildings_Heat_Backend[[#This Row],[RSD]]))</f>
        <v/>
      </c>
      <c r="AN234" s="220" t="str">
        <f>IF(Buildings_Heat_Frontend[[#This Row],[Data]]="","", Buildings_Heat_Backend[[#This Row],[Total (tCO2e)]]*(1+Buildings_Heat_Backend[[#This Row],[RSD]]))</f>
        <v/>
      </c>
      <c r="AO234" s="210" t="str">
        <f>IF(Buildings_Heat_Frontend[[#This Row],[Data]]="","", _xlfn.XLOOKUP(_xlfn.CONCAT(Buildings_Heat_Backend[[#This Row],[Level 1]:[Level 6]]),rng_EFConcat,rng_EFOOS)*Buildings_Heat_Backend[[#This Row],[Converted data]]/1000)</f>
        <v/>
      </c>
      <c r="AP234" s="174">
        <f>Buildings_Heat_Frontend[[#This Row],[Ease of collection]]</f>
        <v>0</v>
      </c>
      <c r="AQ234" s="174">
        <f>Buildings_Heat_Frontend[[#This Row],[Completeness]]</f>
        <v>0</v>
      </c>
      <c r="AR234" s="174">
        <f>Buildings_Heat_Frontend[[#This Row],[Notes]]</f>
        <v>0</v>
      </c>
    </row>
    <row r="235" spans="5:44" x14ac:dyDescent="0.3">
      <c r="E235" s="346"/>
      <c r="F235" s="364"/>
      <c r="G235" s="336"/>
      <c r="H235" s="336"/>
      <c r="I235" s="336"/>
      <c r="J235" s="334"/>
      <c r="K235" s="336"/>
      <c r="L235" s="336"/>
      <c r="M235" s="336"/>
      <c r="N235" s="352"/>
      <c r="O235" s="230">
        <f t="shared" si="11"/>
        <v>6</v>
      </c>
      <c r="Q235" s="212" t="str">
        <f t="shared" si="9"/>
        <v/>
      </c>
      <c r="R235" s="174" t="s">
        <v>265</v>
      </c>
      <c r="S235" s="174" t="s">
        <v>273</v>
      </c>
      <c r="T235" s="174" t="str">
        <f>IF(Buildings_Heat_Frontend[[#This Row],[Data]]="","", _xlfn.XLOOKUP(Buildings_Heat_Backend[[#This Row],[Info 1]],Buildings_SiteInfo[Site name],Buildings_SiteInfo[Site type]))</f>
        <v/>
      </c>
      <c r="U235" s="174" t="str">
        <f>IF(Buildings_Heat_Frontend[[#This Row],[Data]]="","", Buildings_Heat_Frontend[[#This Row],[Heating Type]])</f>
        <v/>
      </c>
      <c r="V235" s="174" t="str">
        <f>IF(Buildings_Heat_Frontend[[#This Row],[Data]]="","", Buildings_Heat_Frontend[[#This Row],[Fuel]])</f>
        <v/>
      </c>
      <c r="W235" s="174" t="str" cm="1">
        <f t="array" ref="W235">IF(Buildings_Heat_Frontend[[#This Row],[Data]]="","", _xlfn.XLOOKUP(Buildings_Heat_Backend[[#This Row],[Level 5]],rng_Level5Long,rng_Level6Long))</f>
        <v/>
      </c>
      <c r="X235" s="174" t="str">
        <f>IF(Buildings_Heat_Frontend[[#This Row],[Data]]="","", Buildings_Heat_Frontend[[#This Row],[Site Name]])</f>
        <v/>
      </c>
      <c r="Y235" s="174" t="str">
        <f>IF(Buildings_Heat_Frontend[[#This Row],[Data]]="","", Buildings_Heat_Frontend[[#This Row],[MPRN]])</f>
        <v/>
      </c>
      <c r="Z235" s="174" t="str">
        <f>IF(Buildings_Heat_Frontend[[#This Row],[Data]]="","", IF($I235="","",$I235))</f>
        <v/>
      </c>
      <c r="AA235" s="229" t="str" cm="1">
        <f t="array" ref="AA235">IF(Buildings_Heat_Frontend[[#This Row],[Data]]="","", INDEX(_xlfn.SWITCH(Buildings_Heat_Backend[[#This Row],[Methodology]],"Tier 1",rng_RSD1,"Tier 2",rng_RSD2,"Tier 3",rng_RSD3),MATCH(_xlfn.CONCAT(Buildings_Heat_Backend[[#This Row],[Level 1]:[Level 6]]),rng_LevelsConcat,0)))</f>
        <v/>
      </c>
      <c r="AB235" s="220" t="str">
        <f t="shared" si="10"/>
        <v/>
      </c>
      <c r="AC235" s="174">
        <f>Buildings_Heat_Frontend[[#This Row],[Units]]</f>
        <v>0</v>
      </c>
      <c r="AD23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5" s="174" t="str">
        <f>IF(Buildings_Heat_Frontend[[#This Row],[Data]]="","", _xlfn.XLOOKUP(_xlfn.CONCAT(Buildings_Heat_Backend[[#This Row],[Level 1]:[Level 6]]),rng_LevelsConcat,rng_UnitsLong))</f>
        <v/>
      </c>
      <c r="AF235" s="210" t="str">
        <f>IF(Buildings_Heat_Frontend[[#This Row],[Data]]="","", _xlfn.XLOOKUP(_xlfn.CONCAT(Buildings_Heat_Backend[[#This Row],[Level 1]:[Level 6]]),rng_EFConcat,rng_EF1)*Buildings_Heat_Backend[[#This Row],[Converted data]]/1000)</f>
        <v/>
      </c>
      <c r="AG235" s="210" t="str">
        <f>IF(Buildings_Heat_Frontend[[#This Row],[Data]]="","", _xlfn.XLOOKUP(_xlfn.CONCAT(Buildings_Heat_Backend[[#This Row],[Level 1]:[Level 6]]),rng_EFConcat,rng_EF2)*Buildings_Heat_Backend[[#This Row],[Converted data]]/1000)</f>
        <v/>
      </c>
      <c r="AH235" s="210" t="str">
        <f>IF(Buildings_Heat_Frontend[[#This Row],[Data]]="","", _xlfn.XLOOKUP(_xlfn.CONCAT(Buildings_Heat_Backend[[#This Row],[Level 1]:[Level 6]]),rng_EFConcat,rng_EF3)*Buildings_Heat_Backend[[#This Row],[Converted data]]/1000)</f>
        <v/>
      </c>
      <c r="AI235" s="210" t="str">
        <f>IF(Buildings_Heat_Frontend[[#This Row],[Data]]="","", _xlfn.XLOOKUP(_xlfn.CONCAT(Buildings_Heat_Backend[[#This Row],[Level 1]:[Level 6]]),rng_EFConcat,rng_EF3WTT)*Buildings_Heat_Backend[[#This Row],[Converted data]]/1000)</f>
        <v/>
      </c>
      <c r="AJ235" s="210" t="str">
        <f>IF(Buildings_Heat_Frontend[[#This Row],[Data]]="","", _xlfn.XLOOKUP(_xlfn.CONCAT(Buildings_Heat_Backend[[#This Row],[Level 1]:[Level 6]]),rng_EFConcat,rng_EF3TD)*Buildings_Heat_Backend[[#This Row],[Converted data]]/1000)</f>
        <v/>
      </c>
      <c r="AK235" s="210" t="str">
        <f>IF(Buildings_Heat_Frontend[[#This Row],[Data]]="","", _xlfn.XLOOKUP(_xlfn.CONCAT(Buildings_Heat_Backend[[#This Row],[Level 1]:[Level 6]]),rng_EFConcat,rng_EF3WTTTD)*Buildings_Heat_Backend[[#This Row],[Converted data]]/1000)</f>
        <v/>
      </c>
      <c r="AL235" s="220">
        <f>SUM(Buildings_Heat_Backend[[#This Row],[Scope 1 (tCO2e)]:[Scope 3 WTT T&amp;D (tCO2e)]])</f>
        <v>0</v>
      </c>
      <c r="AM235" s="220" t="str">
        <f>IF(Buildings_Heat_Frontend[[#This Row],[Data]]="","", Buildings_Heat_Backend[[#This Row],[Total (tCO2e)]]*(1-Buildings_Heat_Backend[[#This Row],[RSD]]))</f>
        <v/>
      </c>
      <c r="AN235" s="220" t="str">
        <f>IF(Buildings_Heat_Frontend[[#This Row],[Data]]="","", Buildings_Heat_Backend[[#This Row],[Total (tCO2e)]]*(1+Buildings_Heat_Backend[[#This Row],[RSD]]))</f>
        <v/>
      </c>
      <c r="AO235" s="210" t="str">
        <f>IF(Buildings_Heat_Frontend[[#This Row],[Data]]="","", _xlfn.XLOOKUP(_xlfn.CONCAT(Buildings_Heat_Backend[[#This Row],[Level 1]:[Level 6]]),rng_EFConcat,rng_EFOOS)*Buildings_Heat_Backend[[#This Row],[Converted data]]/1000)</f>
        <v/>
      </c>
      <c r="AP235" s="174">
        <f>Buildings_Heat_Frontend[[#This Row],[Ease of collection]]</f>
        <v>0</v>
      </c>
      <c r="AQ235" s="174">
        <f>Buildings_Heat_Frontend[[#This Row],[Completeness]]</f>
        <v>0</v>
      </c>
      <c r="AR235" s="174">
        <f>Buildings_Heat_Frontend[[#This Row],[Notes]]</f>
        <v>0</v>
      </c>
    </row>
    <row r="236" spans="5:44" x14ac:dyDescent="0.3">
      <c r="E236" s="346"/>
      <c r="F236" s="364"/>
      <c r="G236" s="336"/>
      <c r="H236" s="336"/>
      <c r="I236" s="336"/>
      <c r="J236" s="334"/>
      <c r="K236" s="336"/>
      <c r="L236" s="336"/>
      <c r="M236" s="336"/>
      <c r="N236" s="352"/>
      <c r="O236" s="230">
        <f t="shared" si="11"/>
        <v>6</v>
      </c>
      <c r="Q236" s="212" t="str">
        <f t="shared" si="9"/>
        <v/>
      </c>
      <c r="R236" s="174" t="s">
        <v>265</v>
      </c>
      <c r="S236" s="174" t="s">
        <v>273</v>
      </c>
      <c r="T236" s="174" t="str">
        <f>IF(Buildings_Heat_Frontend[[#This Row],[Data]]="","", _xlfn.XLOOKUP(Buildings_Heat_Backend[[#This Row],[Info 1]],Buildings_SiteInfo[Site name],Buildings_SiteInfo[Site type]))</f>
        <v/>
      </c>
      <c r="U236" s="174" t="str">
        <f>IF(Buildings_Heat_Frontend[[#This Row],[Data]]="","", Buildings_Heat_Frontend[[#This Row],[Heating Type]])</f>
        <v/>
      </c>
      <c r="V236" s="174" t="str">
        <f>IF(Buildings_Heat_Frontend[[#This Row],[Data]]="","", Buildings_Heat_Frontend[[#This Row],[Fuel]])</f>
        <v/>
      </c>
      <c r="W236" s="174" t="str" cm="1">
        <f t="array" ref="W236">IF(Buildings_Heat_Frontend[[#This Row],[Data]]="","", _xlfn.XLOOKUP(Buildings_Heat_Backend[[#This Row],[Level 5]],rng_Level5Long,rng_Level6Long))</f>
        <v/>
      </c>
      <c r="X236" s="174" t="str">
        <f>IF(Buildings_Heat_Frontend[[#This Row],[Data]]="","", Buildings_Heat_Frontend[[#This Row],[Site Name]])</f>
        <v/>
      </c>
      <c r="Y236" s="174" t="str">
        <f>IF(Buildings_Heat_Frontend[[#This Row],[Data]]="","", Buildings_Heat_Frontend[[#This Row],[MPRN]])</f>
        <v/>
      </c>
      <c r="Z236" s="174" t="str">
        <f>IF(Buildings_Heat_Frontend[[#This Row],[Data]]="","", IF($I236="","",$I236))</f>
        <v/>
      </c>
      <c r="AA236" s="229" t="str" cm="1">
        <f t="array" ref="AA236">IF(Buildings_Heat_Frontend[[#This Row],[Data]]="","", INDEX(_xlfn.SWITCH(Buildings_Heat_Backend[[#This Row],[Methodology]],"Tier 1",rng_RSD1,"Tier 2",rng_RSD2,"Tier 3",rng_RSD3),MATCH(_xlfn.CONCAT(Buildings_Heat_Backend[[#This Row],[Level 1]:[Level 6]]),rng_LevelsConcat,0)))</f>
        <v/>
      </c>
      <c r="AB236" s="220" t="str">
        <f t="shared" si="10"/>
        <v/>
      </c>
      <c r="AC236" s="174">
        <f>Buildings_Heat_Frontend[[#This Row],[Units]]</f>
        <v>0</v>
      </c>
      <c r="AD23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6" s="174" t="str">
        <f>IF(Buildings_Heat_Frontend[[#This Row],[Data]]="","", _xlfn.XLOOKUP(_xlfn.CONCAT(Buildings_Heat_Backend[[#This Row],[Level 1]:[Level 6]]),rng_LevelsConcat,rng_UnitsLong))</f>
        <v/>
      </c>
      <c r="AF236" s="210" t="str">
        <f>IF(Buildings_Heat_Frontend[[#This Row],[Data]]="","", _xlfn.XLOOKUP(_xlfn.CONCAT(Buildings_Heat_Backend[[#This Row],[Level 1]:[Level 6]]),rng_EFConcat,rng_EF1)*Buildings_Heat_Backend[[#This Row],[Converted data]]/1000)</f>
        <v/>
      </c>
      <c r="AG236" s="210" t="str">
        <f>IF(Buildings_Heat_Frontend[[#This Row],[Data]]="","", _xlfn.XLOOKUP(_xlfn.CONCAT(Buildings_Heat_Backend[[#This Row],[Level 1]:[Level 6]]),rng_EFConcat,rng_EF2)*Buildings_Heat_Backend[[#This Row],[Converted data]]/1000)</f>
        <v/>
      </c>
      <c r="AH236" s="210" t="str">
        <f>IF(Buildings_Heat_Frontend[[#This Row],[Data]]="","", _xlfn.XLOOKUP(_xlfn.CONCAT(Buildings_Heat_Backend[[#This Row],[Level 1]:[Level 6]]),rng_EFConcat,rng_EF3)*Buildings_Heat_Backend[[#This Row],[Converted data]]/1000)</f>
        <v/>
      </c>
      <c r="AI236" s="210" t="str">
        <f>IF(Buildings_Heat_Frontend[[#This Row],[Data]]="","", _xlfn.XLOOKUP(_xlfn.CONCAT(Buildings_Heat_Backend[[#This Row],[Level 1]:[Level 6]]),rng_EFConcat,rng_EF3WTT)*Buildings_Heat_Backend[[#This Row],[Converted data]]/1000)</f>
        <v/>
      </c>
      <c r="AJ236" s="210" t="str">
        <f>IF(Buildings_Heat_Frontend[[#This Row],[Data]]="","", _xlfn.XLOOKUP(_xlfn.CONCAT(Buildings_Heat_Backend[[#This Row],[Level 1]:[Level 6]]),rng_EFConcat,rng_EF3TD)*Buildings_Heat_Backend[[#This Row],[Converted data]]/1000)</f>
        <v/>
      </c>
      <c r="AK236" s="210" t="str">
        <f>IF(Buildings_Heat_Frontend[[#This Row],[Data]]="","", _xlfn.XLOOKUP(_xlfn.CONCAT(Buildings_Heat_Backend[[#This Row],[Level 1]:[Level 6]]),rng_EFConcat,rng_EF3WTTTD)*Buildings_Heat_Backend[[#This Row],[Converted data]]/1000)</f>
        <v/>
      </c>
      <c r="AL236" s="220">
        <f>SUM(Buildings_Heat_Backend[[#This Row],[Scope 1 (tCO2e)]:[Scope 3 WTT T&amp;D (tCO2e)]])</f>
        <v>0</v>
      </c>
      <c r="AM236" s="220" t="str">
        <f>IF(Buildings_Heat_Frontend[[#This Row],[Data]]="","", Buildings_Heat_Backend[[#This Row],[Total (tCO2e)]]*(1-Buildings_Heat_Backend[[#This Row],[RSD]]))</f>
        <v/>
      </c>
      <c r="AN236" s="220" t="str">
        <f>IF(Buildings_Heat_Frontend[[#This Row],[Data]]="","", Buildings_Heat_Backend[[#This Row],[Total (tCO2e)]]*(1+Buildings_Heat_Backend[[#This Row],[RSD]]))</f>
        <v/>
      </c>
      <c r="AO236" s="210" t="str">
        <f>IF(Buildings_Heat_Frontend[[#This Row],[Data]]="","", _xlfn.XLOOKUP(_xlfn.CONCAT(Buildings_Heat_Backend[[#This Row],[Level 1]:[Level 6]]),rng_EFConcat,rng_EFOOS)*Buildings_Heat_Backend[[#This Row],[Converted data]]/1000)</f>
        <v/>
      </c>
      <c r="AP236" s="174">
        <f>Buildings_Heat_Frontend[[#This Row],[Ease of collection]]</f>
        <v>0</v>
      </c>
      <c r="AQ236" s="174">
        <f>Buildings_Heat_Frontend[[#This Row],[Completeness]]</f>
        <v>0</v>
      </c>
      <c r="AR236" s="174">
        <f>Buildings_Heat_Frontend[[#This Row],[Notes]]</f>
        <v>0</v>
      </c>
    </row>
    <row r="237" spans="5:44" x14ac:dyDescent="0.3">
      <c r="E237" s="346"/>
      <c r="F237" s="364"/>
      <c r="G237" s="336"/>
      <c r="H237" s="336"/>
      <c r="I237" s="336"/>
      <c r="J237" s="334"/>
      <c r="K237" s="336"/>
      <c r="L237" s="336"/>
      <c r="M237" s="336"/>
      <c r="N237" s="352"/>
      <c r="O237" s="230">
        <f t="shared" si="11"/>
        <v>6</v>
      </c>
      <c r="Q237" s="212" t="str">
        <f t="shared" si="9"/>
        <v/>
      </c>
      <c r="R237" s="174" t="s">
        <v>265</v>
      </c>
      <c r="S237" s="174" t="s">
        <v>273</v>
      </c>
      <c r="T237" s="174" t="str">
        <f>IF(Buildings_Heat_Frontend[[#This Row],[Data]]="","", _xlfn.XLOOKUP(Buildings_Heat_Backend[[#This Row],[Info 1]],Buildings_SiteInfo[Site name],Buildings_SiteInfo[Site type]))</f>
        <v/>
      </c>
      <c r="U237" s="174" t="str">
        <f>IF(Buildings_Heat_Frontend[[#This Row],[Data]]="","", Buildings_Heat_Frontend[[#This Row],[Heating Type]])</f>
        <v/>
      </c>
      <c r="V237" s="174" t="str">
        <f>IF(Buildings_Heat_Frontend[[#This Row],[Data]]="","", Buildings_Heat_Frontend[[#This Row],[Fuel]])</f>
        <v/>
      </c>
      <c r="W237" s="174" t="str" cm="1">
        <f t="array" ref="W237">IF(Buildings_Heat_Frontend[[#This Row],[Data]]="","", _xlfn.XLOOKUP(Buildings_Heat_Backend[[#This Row],[Level 5]],rng_Level5Long,rng_Level6Long))</f>
        <v/>
      </c>
      <c r="X237" s="174" t="str">
        <f>IF(Buildings_Heat_Frontend[[#This Row],[Data]]="","", Buildings_Heat_Frontend[[#This Row],[Site Name]])</f>
        <v/>
      </c>
      <c r="Y237" s="174" t="str">
        <f>IF(Buildings_Heat_Frontend[[#This Row],[Data]]="","", Buildings_Heat_Frontend[[#This Row],[MPRN]])</f>
        <v/>
      </c>
      <c r="Z237" s="174" t="str">
        <f>IF(Buildings_Heat_Frontend[[#This Row],[Data]]="","", IF($I237="","",$I237))</f>
        <v/>
      </c>
      <c r="AA237" s="229" t="str" cm="1">
        <f t="array" ref="AA237">IF(Buildings_Heat_Frontend[[#This Row],[Data]]="","", INDEX(_xlfn.SWITCH(Buildings_Heat_Backend[[#This Row],[Methodology]],"Tier 1",rng_RSD1,"Tier 2",rng_RSD2,"Tier 3",rng_RSD3),MATCH(_xlfn.CONCAT(Buildings_Heat_Backend[[#This Row],[Level 1]:[Level 6]]),rng_LevelsConcat,0)))</f>
        <v/>
      </c>
      <c r="AB237" s="220" t="str">
        <f t="shared" si="10"/>
        <v/>
      </c>
      <c r="AC237" s="174">
        <f>Buildings_Heat_Frontend[[#This Row],[Units]]</f>
        <v>0</v>
      </c>
      <c r="AD23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7" s="174" t="str">
        <f>IF(Buildings_Heat_Frontend[[#This Row],[Data]]="","", _xlfn.XLOOKUP(_xlfn.CONCAT(Buildings_Heat_Backend[[#This Row],[Level 1]:[Level 6]]),rng_LevelsConcat,rng_UnitsLong))</f>
        <v/>
      </c>
      <c r="AF237" s="210" t="str">
        <f>IF(Buildings_Heat_Frontend[[#This Row],[Data]]="","", _xlfn.XLOOKUP(_xlfn.CONCAT(Buildings_Heat_Backend[[#This Row],[Level 1]:[Level 6]]),rng_EFConcat,rng_EF1)*Buildings_Heat_Backend[[#This Row],[Converted data]]/1000)</f>
        <v/>
      </c>
      <c r="AG237" s="210" t="str">
        <f>IF(Buildings_Heat_Frontend[[#This Row],[Data]]="","", _xlfn.XLOOKUP(_xlfn.CONCAT(Buildings_Heat_Backend[[#This Row],[Level 1]:[Level 6]]),rng_EFConcat,rng_EF2)*Buildings_Heat_Backend[[#This Row],[Converted data]]/1000)</f>
        <v/>
      </c>
      <c r="AH237" s="210" t="str">
        <f>IF(Buildings_Heat_Frontend[[#This Row],[Data]]="","", _xlfn.XLOOKUP(_xlfn.CONCAT(Buildings_Heat_Backend[[#This Row],[Level 1]:[Level 6]]),rng_EFConcat,rng_EF3)*Buildings_Heat_Backend[[#This Row],[Converted data]]/1000)</f>
        <v/>
      </c>
      <c r="AI237" s="210" t="str">
        <f>IF(Buildings_Heat_Frontend[[#This Row],[Data]]="","", _xlfn.XLOOKUP(_xlfn.CONCAT(Buildings_Heat_Backend[[#This Row],[Level 1]:[Level 6]]),rng_EFConcat,rng_EF3WTT)*Buildings_Heat_Backend[[#This Row],[Converted data]]/1000)</f>
        <v/>
      </c>
      <c r="AJ237" s="210" t="str">
        <f>IF(Buildings_Heat_Frontend[[#This Row],[Data]]="","", _xlfn.XLOOKUP(_xlfn.CONCAT(Buildings_Heat_Backend[[#This Row],[Level 1]:[Level 6]]),rng_EFConcat,rng_EF3TD)*Buildings_Heat_Backend[[#This Row],[Converted data]]/1000)</f>
        <v/>
      </c>
      <c r="AK237" s="210" t="str">
        <f>IF(Buildings_Heat_Frontend[[#This Row],[Data]]="","", _xlfn.XLOOKUP(_xlfn.CONCAT(Buildings_Heat_Backend[[#This Row],[Level 1]:[Level 6]]),rng_EFConcat,rng_EF3WTTTD)*Buildings_Heat_Backend[[#This Row],[Converted data]]/1000)</f>
        <v/>
      </c>
      <c r="AL237" s="220">
        <f>SUM(Buildings_Heat_Backend[[#This Row],[Scope 1 (tCO2e)]:[Scope 3 WTT T&amp;D (tCO2e)]])</f>
        <v>0</v>
      </c>
      <c r="AM237" s="220" t="str">
        <f>IF(Buildings_Heat_Frontend[[#This Row],[Data]]="","", Buildings_Heat_Backend[[#This Row],[Total (tCO2e)]]*(1-Buildings_Heat_Backend[[#This Row],[RSD]]))</f>
        <v/>
      </c>
      <c r="AN237" s="220" t="str">
        <f>IF(Buildings_Heat_Frontend[[#This Row],[Data]]="","", Buildings_Heat_Backend[[#This Row],[Total (tCO2e)]]*(1+Buildings_Heat_Backend[[#This Row],[RSD]]))</f>
        <v/>
      </c>
      <c r="AO237" s="210" t="str">
        <f>IF(Buildings_Heat_Frontend[[#This Row],[Data]]="","", _xlfn.XLOOKUP(_xlfn.CONCAT(Buildings_Heat_Backend[[#This Row],[Level 1]:[Level 6]]),rng_EFConcat,rng_EFOOS)*Buildings_Heat_Backend[[#This Row],[Converted data]]/1000)</f>
        <v/>
      </c>
      <c r="AP237" s="174">
        <f>Buildings_Heat_Frontend[[#This Row],[Ease of collection]]</f>
        <v>0</v>
      </c>
      <c r="AQ237" s="174">
        <f>Buildings_Heat_Frontend[[#This Row],[Completeness]]</f>
        <v>0</v>
      </c>
      <c r="AR237" s="174">
        <f>Buildings_Heat_Frontend[[#This Row],[Notes]]</f>
        <v>0</v>
      </c>
    </row>
    <row r="238" spans="5:44" x14ac:dyDescent="0.3">
      <c r="E238" s="346"/>
      <c r="F238" s="364"/>
      <c r="G238" s="336"/>
      <c r="H238" s="336"/>
      <c r="I238" s="336"/>
      <c r="J238" s="334"/>
      <c r="K238" s="336"/>
      <c r="L238" s="336"/>
      <c r="M238" s="336"/>
      <c r="N238" s="352"/>
      <c r="O238" s="230">
        <f t="shared" si="11"/>
        <v>6</v>
      </c>
      <c r="Q238" s="212" t="str">
        <f t="shared" si="9"/>
        <v/>
      </c>
      <c r="R238" s="174" t="s">
        <v>265</v>
      </c>
      <c r="S238" s="174" t="s">
        <v>273</v>
      </c>
      <c r="T238" s="174" t="str">
        <f>IF(Buildings_Heat_Frontend[[#This Row],[Data]]="","", _xlfn.XLOOKUP(Buildings_Heat_Backend[[#This Row],[Info 1]],Buildings_SiteInfo[Site name],Buildings_SiteInfo[Site type]))</f>
        <v/>
      </c>
      <c r="U238" s="174" t="str">
        <f>IF(Buildings_Heat_Frontend[[#This Row],[Data]]="","", Buildings_Heat_Frontend[[#This Row],[Heating Type]])</f>
        <v/>
      </c>
      <c r="V238" s="174" t="str">
        <f>IF(Buildings_Heat_Frontend[[#This Row],[Data]]="","", Buildings_Heat_Frontend[[#This Row],[Fuel]])</f>
        <v/>
      </c>
      <c r="W238" s="174" t="str" cm="1">
        <f t="array" ref="W238">IF(Buildings_Heat_Frontend[[#This Row],[Data]]="","", _xlfn.XLOOKUP(Buildings_Heat_Backend[[#This Row],[Level 5]],rng_Level5Long,rng_Level6Long))</f>
        <v/>
      </c>
      <c r="X238" s="174" t="str">
        <f>IF(Buildings_Heat_Frontend[[#This Row],[Data]]="","", Buildings_Heat_Frontend[[#This Row],[Site Name]])</f>
        <v/>
      </c>
      <c r="Y238" s="174" t="str">
        <f>IF(Buildings_Heat_Frontend[[#This Row],[Data]]="","", Buildings_Heat_Frontend[[#This Row],[MPRN]])</f>
        <v/>
      </c>
      <c r="Z238" s="174" t="str">
        <f>IF(Buildings_Heat_Frontend[[#This Row],[Data]]="","", IF($I238="","",$I238))</f>
        <v/>
      </c>
      <c r="AA238" s="229" t="str" cm="1">
        <f t="array" ref="AA238">IF(Buildings_Heat_Frontend[[#This Row],[Data]]="","", INDEX(_xlfn.SWITCH(Buildings_Heat_Backend[[#This Row],[Methodology]],"Tier 1",rng_RSD1,"Tier 2",rng_RSD2,"Tier 3",rng_RSD3),MATCH(_xlfn.CONCAT(Buildings_Heat_Backend[[#This Row],[Level 1]:[Level 6]]),rng_LevelsConcat,0)))</f>
        <v/>
      </c>
      <c r="AB238" s="220" t="str">
        <f t="shared" si="10"/>
        <v/>
      </c>
      <c r="AC238" s="174">
        <f>Buildings_Heat_Frontend[[#This Row],[Units]]</f>
        <v>0</v>
      </c>
      <c r="AD23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8" s="174" t="str">
        <f>IF(Buildings_Heat_Frontend[[#This Row],[Data]]="","", _xlfn.XLOOKUP(_xlfn.CONCAT(Buildings_Heat_Backend[[#This Row],[Level 1]:[Level 6]]),rng_LevelsConcat,rng_UnitsLong))</f>
        <v/>
      </c>
      <c r="AF238" s="210" t="str">
        <f>IF(Buildings_Heat_Frontend[[#This Row],[Data]]="","", _xlfn.XLOOKUP(_xlfn.CONCAT(Buildings_Heat_Backend[[#This Row],[Level 1]:[Level 6]]),rng_EFConcat,rng_EF1)*Buildings_Heat_Backend[[#This Row],[Converted data]]/1000)</f>
        <v/>
      </c>
      <c r="AG238" s="210" t="str">
        <f>IF(Buildings_Heat_Frontend[[#This Row],[Data]]="","", _xlfn.XLOOKUP(_xlfn.CONCAT(Buildings_Heat_Backend[[#This Row],[Level 1]:[Level 6]]),rng_EFConcat,rng_EF2)*Buildings_Heat_Backend[[#This Row],[Converted data]]/1000)</f>
        <v/>
      </c>
      <c r="AH238" s="210" t="str">
        <f>IF(Buildings_Heat_Frontend[[#This Row],[Data]]="","", _xlfn.XLOOKUP(_xlfn.CONCAT(Buildings_Heat_Backend[[#This Row],[Level 1]:[Level 6]]),rng_EFConcat,rng_EF3)*Buildings_Heat_Backend[[#This Row],[Converted data]]/1000)</f>
        <v/>
      </c>
      <c r="AI238" s="210" t="str">
        <f>IF(Buildings_Heat_Frontend[[#This Row],[Data]]="","", _xlfn.XLOOKUP(_xlfn.CONCAT(Buildings_Heat_Backend[[#This Row],[Level 1]:[Level 6]]),rng_EFConcat,rng_EF3WTT)*Buildings_Heat_Backend[[#This Row],[Converted data]]/1000)</f>
        <v/>
      </c>
      <c r="AJ238" s="210" t="str">
        <f>IF(Buildings_Heat_Frontend[[#This Row],[Data]]="","", _xlfn.XLOOKUP(_xlfn.CONCAT(Buildings_Heat_Backend[[#This Row],[Level 1]:[Level 6]]),rng_EFConcat,rng_EF3TD)*Buildings_Heat_Backend[[#This Row],[Converted data]]/1000)</f>
        <v/>
      </c>
      <c r="AK238" s="210" t="str">
        <f>IF(Buildings_Heat_Frontend[[#This Row],[Data]]="","", _xlfn.XLOOKUP(_xlfn.CONCAT(Buildings_Heat_Backend[[#This Row],[Level 1]:[Level 6]]),rng_EFConcat,rng_EF3WTTTD)*Buildings_Heat_Backend[[#This Row],[Converted data]]/1000)</f>
        <v/>
      </c>
      <c r="AL238" s="220">
        <f>SUM(Buildings_Heat_Backend[[#This Row],[Scope 1 (tCO2e)]:[Scope 3 WTT T&amp;D (tCO2e)]])</f>
        <v>0</v>
      </c>
      <c r="AM238" s="220" t="str">
        <f>IF(Buildings_Heat_Frontend[[#This Row],[Data]]="","", Buildings_Heat_Backend[[#This Row],[Total (tCO2e)]]*(1-Buildings_Heat_Backend[[#This Row],[RSD]]))</f>
        <v/>
      </c>
      <c r="AN238" s="220" t="str">
        <f>IF(Buildings_Heat_Frontend[[#This Row],[Data]]="","", Buildings_Heat_Backend[[#This Row],[Total (tCO2e)]]*(1+Buildings_Heat_Backend[[#This Row],[RSD]]))</f>
        <v/>
      </c>
      <c r="AO238" s="210" t="str">
        <f>IF(Buildings_Heat_Frontend[[#This Row],[Data]]="","", _xlfn.XLOOKUP(_xlfn.CONCAT(Buildings_Heat_Backend[[#This Row],[Level 1]:[Level 6]]),rng_EFConcat,rng_EFOOS)*Buildings_Heat_Backend[[#This Row],[Converted data]]/1000)</f>
        <v/>
      </c>
      <c r="AP238" s="174">
        <f>Buildings_Heat_Frontend[[#This Row],[Ease of collection]]</f>
        <v>0</v>
      </c>
      <c r="AQ238" s="174">
        <f>Buildings_Heat_Frontend[[#This Row],[Completeness]]</f>
        <v>0</v>
      </c>
      <c r="AR238" s="174">
        <f>Buildings_Heat_Frontend[[#This Row],[Notes]]</f>
        <v>0</v>
      </c>
    </row>
    <row r="239" spans="5:44" x14ac:dyDescent="0.3">
      <c r="E239" s="346"/>
      <c r="F239" s="364"/>
      <c r="G239" s="336"/>
      <c r="H239" s="336"/>
      <c r="I239" s="336"/>
      <c r="J239" s="334"/>
      <c r="K239" s="336"/>
      <c r="L239" s="336"/>
      <c r="M239" s="336"/>
      <c r="N239" s="352"/>
      <c r="O239" s="230">
        <f t="shared" si="11"/>
        <v>6</v>
      </c>
      <c r="Q239" s="212" t="str">
        <f t="shared" si="9"/>
        <v/>
      </c>
      <c r="R239" s="174" t="s">
        <v>265</v>
      </c>
      <c r="S239" s="174" t="s">
        <v>273</v>
      </c>
      <c r="T239" s="174" t="str">
        <f>IF(Buildings_Heat_Frontend[[#This Row],[Data]]="","", _xlfn.XLOOKUP(Buildings_Heat_Backend[[#This Row],[Info 1]],Buildings_SiteInfo[Site name],Buildings_SiteInfo[Site type]))</f>
        <v/>
      </c>
      <c r="U239" s="174" t="str">
        <f>IF(Buildings_Heat_Frontend[[#This Row],[Data]]="","", Buildings_Heat_Frontend[[#This Row],[Heating Type]])</f>
        <v/>
      </c>
      <c r="V239" s="174" t="str">
        <f>IF(Buildings_Heat_Frontend[[#This Row],[Data]]="","", Buildings_Heat_Frontend[[#This Row],[Fuel]])</f>
        <v/>
      </c>
      <c r="W239" s="174" t="str" cm="1">
        <f t="array" ref="W239">IF(Buildings_Heat_Frontend[[#This Row],[Data]]="","", _xlfn.XLOOKUP(Buildings_Heat_Backend[[#This Row],[Level 5]],rng_Level5Long,rng_Level6Long))</f>
        <v/>
      </c>
      <c r="X239" s="174" t="str">
        <f>IF(Buildings_Heat_Frontend[[#This Row],[Data]]="","", Buildings_Heat_Frontend[[#This Row],[Site Name]])</f>
        <v/>
      </c>
      <c r="Y239" s="174" t="str">
        <f>IF(Buildings_Heat_Frontend[[#This Row],[Data]]="","", Buildings_Heat_Frontend[[#This Row],[MPRN]])</f>
        <v/>
      </c>
      <c r="Z239" s="174" t="str">
        <f>IF(Buildings_Heat_Frontend[[#This Row],[Data]]="","", IF($I239="","",$I239))</f>
        <v/>
      </c>
      <c r="AA239" s="229" t="str" cm="1">
        <f t="array" ref="AA239">IF(Buildings_Heat_Frontend[[#This Row],[Data]]="","", INDEX(_xlfn.SWITCH(Buildings_Heat_Backend[[#This Row],[Methodology]],"Tier 1",rng_RSD1,"Tier 2",rng_RSD2,"Tier 3",rng_RSD3),MATCH(_xlfn.CONCAT(Buildings_Heat_Backend[[#This Row],[Level 1]:[Level 6]]),rng_LevelsConcat,0)))</f>
        <v/>
      </c>
      <c r="AB239" s="220" t="str">
        <f t="shared" si="10"/>
        <v/>
      </c>
      <c r="AC239" s="174">
        <f>Buildings_Heat_Frontend[[#This Row],[Units]]</f>
        <v>0</v>
      </c>
      <c r="AD23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39" s="174" t="str">
        <f>IF(Buildings_Heat_Frontend[[#This Row],[Data]]="","", _xlfn.XLOOKUP(_xlfn.CONCAT(Buildings_Heat_Backend[[#This Row],[Level 1]:[Level 6]]),rng_LevelsConcat,rng_UnitsLong))</f>
        <v/>
      </c>
      <c r="AF239" s="210" t="str">
        <f>IF(Buildings_Heat_Frontend[[#This Row],[Data]]="","", _xlfn.XLOOKUP(_xlfn.CONCAT(Buildings_Heat_Backend[[#This Row],[Level 1]:[Level 6]]),rng_EFConcat,rng_EF1)*Buildings_Heat_Backend[[#This Row],[Converted data]]/1000)</f>
        <v/>
      </c>
      <c r="AG239" s="210" t="str">
        <f>IF(Buildings_Heat_Frontend[[#This Row],[Data]]="","", _xlfn.XLOOKUP(_xlfn.CONCAT(Buildings_Heat_Backend[[#This Row],[Level 1]:[Level 6]]),rng_EFConcat,rng_EF2)*Buildings_Heat_Backend[[#This Row],[Converted data]]/1000)</f>
        <v/>
      </c>
      <c r="AH239" s="210" t="str">
        <f>IF(Buildings_Heat_Frontend[[#This Row],[Data]]="","", _xlfn.XLOOKUP(_xlfn.CONCAT(Buildings_Heat_Backend[[#This Row],[Level 1]:[Level 6]]),rng_EFConcat,rng_EF3)*Buildings_Heat_Backend[[#This Row],[Converted data]]/1000)</f>
        <v/>
      </c>
      <c r="AI239" s="210" t="str">
        <f>IF(Buildings_Heat_Frontend[[#This Row],[Data]]="","", _xlfn.XLOOKUP(_xlfn.CONCAT(Buildings_Heat_Backend[[#This Row],[Level 1]:[Level 6]]),rng_EFConcat,rng_EF3WTT)*Buildings_Heat_Backend[[#This Row],[Converted data]]/1000)</f>
        <v/>
      </c>
      <c r="AJ239" s="210" t="str">
        <f>IF(Buildings_Heat_Frontend[[#This Row],[Data]]="","", _xlfn.XLOOKUP(_xlfn.CONCAT(Buildings_Heat_Backend[[#This Row],[Level 1]:[Level 6]]),rng_EFConcat,rng_EF3TD)*Buildings_Heat_Backend[[#This Row],[Converted data]]/1000)</f>
        <v/>
      </c>
      <c r="AK239" s="210" t="str">
        <f>IF(Buildings_Heat_Frontend[[#This Row],[Data]]="","", _xlfn.XLOOKUP(_xlfn.CONCAT(Buildings_Heat_Backend[[#This Row],[Level 1]:[Level 6]]),rng_EFConcat,rng_EF3WTTTD)*Buildings_Heat_Backend[[#This Row],[Converted data]]/1000)</f>
        <v/>
      </c>
      <c r="AL239" s="220">
        <f>SUM(Buildings_Heat_Backend[[#This Row],[Scope 1 (tCO2e)]:[Scope 3 WTT T&amp;D (tCO2e)]])</f>
        <v>0</v>
      </c>
      <c r="AM239" s="220" t="str">
        <f>IF(Buildings_Heat_Frontend[[#This Row],[Data]]="","", Buildings_Heat_Backend[[#This Row],[Total (tCO2e)]]*(1-Buildings_Heat_Backend[[#This Row],[RSD]]))</f>
        <v/>
      </c>
      <c r="AN239" s="220" t="str">
        <f>IF(Buildings_Heat_Frontend[[#This Row],[Data]]="","", Buildings_Heat_Backend[[#This Row],[Total (tCO2e)]]*(1+Buildings_Heat_Backend[[#This Row],[RSD]]))</f>
        <v/>
      </c>
      <c r="AO239" s="210" t="str">
        <f>IF(Buildings_Heat_Frontend[[#This Row],[Data]]="","", _xlfn.XLOOKUP(_xlfn.CONCAT(Buildings_Heat_Backend[[#This Row],[Level 1]:[Level 6]]),rng_EFConcat,rng_EFOOS)*Buildings_Heat_Backend[[#This Row],[Converted data]]/1000)</f>
        <v/>
      </c>
      <c r="AP239" s="174">
        <f>Buildings_Heat_Frontend[[#This Row],[Ease of collection]]</f>
        <v>0</v>
      </c>
      <c r="AQ239" s="174">
        <f>Buildings_Heat_Frontend[[#This Row],[Completeness]]</f>
        <v>0</v>
      </c>
      <c r="AR239" s="174">
        <f>Buildings_Heat_Frontend[[#This Row],[Notes]]</f>
        <v>0</v>
      </c>
    </row>
    <row r="240" spans="5:44" x14ac:dyDescent="0.3">
      <c r="E240" s="346"/>
      <c r="F240" s="364"/>
      <c r="G240" s="336"/>
      <c r="H240" s="336"/>
      <c r="I240" s="336"/>
      <c r="J240" s="334"/>
      <c r="K240" s="336"/>
      <c r="L240" s="336"/>
      <c r="M240" s="336"/>
      <c r="N240" s="352"/>
      <c r="O240" s="230">
        <f t="shared" si="11"/>
        <v>6</v>
      </c>
      <c r="Q240" s="212" t="str">
        <f t="shared" si="9"/>
        <v/>
      </c>
      <c r="R240" s="174" t="s">
        <v>265</v>
      </c>
      <c r="S240" s="174" t="s">
        <v>273</v>
      </c>
      <c r="T240" s="174" t="str">
        <f>IF(Buildings_Heat_Frontend[[#This Row],[Data]]="","", _xlfn.XLOOKUP(Buildings_Heat_Backend[[#This Row],[Info 1]],Buildings_SiteInfo[Site name],Buildings_SiteInfo[Site type]))</f>
        <v/>
      </c>
      <c r="U240" s="174" t="str">
        <f>IF(Buildings_Heat_Frontend[[#This Row],[Data]]="","", Buildings_Heat_Frontend[[#This Row],[Heating Type]])</f>
        <v/>
      </c>
      <c r="V240" s="174" t="str">
        <f>IF(Buildings_Heat_Frontend[[#This Row],[Data]]="","", Buildings_Heat_Frontend[[#This Row],[Fuel]])</f>
        <v/>
      </c>
      <c r="W240" s="174" t="str" cm="1">
        <f t="array" ref="W240">IF(Buildings_Heat_Frontend[[#This Row],[Data]]="","", _xlfn.XLOOKUP(Buildings_Heat_Backend[[#This Row],[Level 5]],rng_Level5Long,rng_Level6Long))</f>
        <v/>
      </c>
      <c r="X240" s="174" t="str">
        <f>IF(Buildings_Heat_Frontend[[#This Row],[Data]]="","", Buildings_Heat_Frontend[[#This Row],[Site Name]])</f>
        <v/>
      </c>
      <c r="Y240" s="174" t="str">
        <f>IF(Buildings_Heat_Frontend[[#This Row],[Data]]="","", Buildings_Heat_Frontend[[#This Row],[MPRN]])</f>
        <v/>
      </c>
      <c r="Z240" s="174" t="str">
        <f>IF(Buildings_Heat_Frontend[[#This Row],[Data]]="","", IF($I240="","",$I240))</f>
        <v/>
      </c>
      <c r="AA240" s="229" t="str" cm="1">
        <f t="array" ref="AA240">IF(Buildings_Heat_Frontend[[#This Row],[Data]]="","", INDEX(_xlfn.SWITCH(Buildings_Heat_Backend[[#This Row],[Methodology]],"Tier 1",rng_RSD1,"Tier 2",rng_RSD2,"Tier 3",rng_RSD3),MATCH(_xlfn.CONCAT(Buildings_Heat_Backend[[#This Row],[Level 1]:[Level 6]]),rng_LevelsConcat,0)))</f>
        <v/>
      </c>
      <c r="AB240" s="220" t="str">
        <f t="shared" si="10"/>
        <v/>
      </c>
      <c r="AC240" s="174">
        <f>Buildings_Heat_Frontend[[#This Row],[Units]]</f>
        <v>0</v>
      </c>
      <c r="AD24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0" s="174" t="str">
        <f>IF(Buildings_Heat_Frontend[[#This Row],[Data]]="","", _xlfn.XLOOKUP(_xlfn.CONCAT(Buildings_Heat_Backend[[#This Row],[Level 1]:[Level 6]]),rng_LevelsConcat,rng_UnitsLong))</f>
        <v/>
      </c>
      <c r="AF240" s="210" t="str">
        <f>IF(Buildings_Heat_Frontend[[#This Row],[Data]]="","", _xlfn.XLOOKUP(_xlfn.CONCAT(Buildings_Heat_Backend[[#This Row],[Level 1]:[Level 6]]),rng_EFConcat,rng_EF1)*Buildings_Heat_Backend[[#This Row],[Converted data]]/1000)</f>
        <v/>
      </c>
      <c r="AG240" s="210" t="str">
        <f>IF(Buildings_Heat_Frontend[[#This Row],[Data]]="","", _xlfn.XLOOKUP(_xlfn.CONCAT(Buildings_Heat_Backend[[#This Row],[Level 1]:[Level 6]]),rng_EFConcat,rng_EF2)*Buildings_Heat_Backend[[#This Row],[Converted data]]/1000)</f>
        <v/>
      </c>
      <c r="AH240" s="210" t="str">
        <f>IF(Buildings_Heat_Frontend[[#This Row],[Data]]="","", _xlfn.XLOOKUP(_xlfn.CONCAT(Buildings_Heat_Backend[[#This Row],[Level 1]:[Level 6]]),rng_EFConcat,rng_EF3)*Buildings_Heat_Backend[[#This Row],[Converted data]]/1000)</f>
        <v/>
      </c>
      <c r="AI240" s="210" t="str">
        <f>IF(Buildings_Heat_Frontend[[#This Row],[Data]]="","", _xlfn.XLOOKUP(_xlfn.CONCAT(Buildings_Heat_Backend[[#This Row],[Level 1]:[Level 6]]),rng_EFConcat,rng_EF3WTT)*Buildings_Heat_Backend[[#This Row],[Converted data]]/1000)</f>
        <v/>
      </c>
      <c r="AJ240" s="210" t="str">
        <f>IF(Buildings_Heat_Frontend[[#This Row],[Data]]="","", _xlfn.XLOOKUP(_xlfn.CONCAT(Buildings_Heat_Backend[[#This Row],[Level 1]:[Level 6]]),rng_EFConcat,rng_EF3TD)*Buildings_Heat_Backend[[#This Row],[Converted data]]/1000)</f>
        <v/>
      </c>
      <c r="AK240" s="210" t="str">
        <f>IF(Buildings_Heat_Frontend[[#This Row],[Data]]="","", _xlfn.XLOOKUP(_xlfn.CONCAT(Buildings_Heat_Backend[[#This Row],[Level 1]:[Level 6]]),rng_EFConcat,rng_EF3WTTTD)*Buildings_Heat_Backend[[#This Row],[Converted data]]/1000)</f>
        <v/>
      </c>
      <c r="AL240" s="220">
        <f>SUM(Buildings_Heat_Backend[[#This Row],[Scope 1 (tCO2e)]:[Scope 3 WTT T&amp;D (tCO2e)]])</f>
        <v>0</v>
      </c>
      <c r="AM240" s="220" t="str">
        <f>IF(Buildings_Heat_Frontend[[#This Row],[Data]]="","", Buildings_Heat_Backend[[#This Row],[Total (tCO2e)]]*(1-Buildings_Heat_Backend[[#This Row],[RSD]]))</f>
        <v/>
      </c>
      <c r="AN240" s="220" t="str">
        <f>IF(Buildings_Heat_Frontend[[#This Row],[Data]]="","", Buildings_Heat_Backend[[#This Row],[Total (tCO2e)]]*(1+Buildings_Heat_Backend[[#This Row],[RSD]]))</f>
        <v/>
      </c>
      <c r="AO240" s="210" t="str">
        <f>IF(Buildings_Heat_Frontend[[#This Row],[Data]]="","", _xlfn.XLOOKUP(_xlfn.CONCAT(Buildings_Heat_Backend[[#This Row],[Level 1]:[Level 6]]),rng_EFConcat,rng_EFOOS)*Buildings_Heat_Backend[[#This Row],[Converted data]]/1000)</f>
        <v/>
      </c>
      <c r="AP240" s="174">
        <f>Buildings_Heat_Frontend[[#This Row],[Ease of collection]]</f>
        <v>0</v>
      </c>
      <c r="AQ240" s="174">
        <f>Buildings_Heat_Frontend[[#This Row],[Completeness]]</f>
        <v>0</v>
      </c>
      <c r="AR240" s="174">
        <f>Buildings_Heat_Frontend[[#This Row],[Notes]]</f>
        <v>0</v>
      </c>
    </row>
    <row r="241" spans="5:44" x14ac:dyDescent="0.3">
      <c r="E241" s="346"/>
      <c r="F241" s="364"/>
      <c r="G241" s="336"/>
      <c r="H241" s="336"/>
      <c r="I241" s="336"/>
      <c r="J241" s="334"/>
      <c r="K241" s="336"/>
      <c r="L241" s="336"/>
      <c r="M241" s="336"/>
      <c r="N241" s="352"/>
      <c r="O241" s="230">
        <f t="shared" si="11"/>
        <v>6</v>
      </c>
      <c r="Q241" s="212" t="str">
        <f t="shared" si="9"/>
        <v/>
      </c>
      <c r="R241" s="174" t="s">
        <v>265</v>
      </c>
      <c r="S241" s="174" t="s">
        <v>273</v>
      </c>
      <c r="T241" s="174" t="str">
        <f>IF(Buildings_Heat_Frontend[[#This Row],[Data]]="","", _xlfn.XLOOKUP(Buildings_Heat_Backend[[#This Row],[Info 1]],Buildings_SiteInfo[Site name],Buildings_SiteInfo[Site type]))</f>
        <v/>
      </c>
      <c r="U241" s="174" t="str">
        <f>IF(Buildings_Heat_Frontend[[#This Row],[Data]]="","", Buildings_Heat_Frontend[[#This Row],[Heating Type]])</f>
        <v/>
      </c>
      <c r="V241" s="174" t="str">
        <f>IF(Buildings_Heat_Frontend[[#This Row],[Data]]="","", Buildings_Heat_Frontend[[#This Row],[Fuel]])</f>
        <v/>
      </c>
      <c r="W241" s="174" t="str" cm="1">
        <f t="array" ref="W241">IF(Buildings_Heat_Frontend[[#This Row],[Data]]="","", _xlfn.XLOOKUP(Buildings_Heat_Backend[[#This Row],[Level 5]],rng_Level5Long,rng_Level6Long))</f>
        <v/>
      </c>
      <c r="X241" s="174" t="str">
        <f>IF(Buildings_Heat_Frontend[[#This Row],[Data]]="","", Buildings_Heat_Frontend[[#This Row],[Site Name]])</f>
        <v/>
      </c>
      <c r="Y241" s="174" t="str">
        <f>IF(Buildings_Heat_Frontend[[#This Row],[Data]]="","", Buildings_Heat_Frontend[[#This Row],[MPRN]])</f>
        <v/>
      </c>
      <c r="Z241" s="174" t="str">
        <f>IF(Buildings_Heat_Frontend[[#This Row],[Data]]="","", IF($I241="","",$I241))</f>
        <v/>
      </c>
      <c r="AA241" s="229" t="str" cm="1">
        <f t="array" ref="AA241">IF(Buildings_Heat_Frontend[[#This Row],[Data]]="","", INDEX(_xlfn.SWITCH(Buildings_Heat_Backend[[#This Row],[Methodology]],"Tier 1",rng_RSD1,"Tier 2",rng_RSD2,"Tier 3",rng_RSD3),MATCH(_xlfn.CONCAT(Buildings_Heat_Backend[[#This Row],[Level 1]:[Level 6]]),rng_LevelsConcat,0)))</f>
        <v/>
      </c>
      <c r="AB241" s="220" t="str">
        <f t="shared" si="10"/>
        <v/>
      </c>
      <c r="AC241" s="174">
        <f>Buildings_Heat_Frontend[[#This Row],[Units]]</f>
        <v>0</v>
      </c>
      <c r="AD24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1" s="174" t="str">
        <f>IF(Buildings_Heat_Frontend[[#This Row],[Data]]="","", _xlfn.XLOOKUP(_xlfn.CONCAT(Buildings_Heat_Backend[[#This Row],[Level 1]:[Level 6]]),rng_LevelsConcat,rng_UnitsLong))</f>
        <v/>
      </c>
      <c r="AF241" s="210" t="str">
        <f>IF(Buildings_Heat_Frontend[[#This Row],[Data]]="","", _xlfn.XLOOKUP(_xlfn.CONCAT(Buildings_Heat_Backend[[#This Row],[Level 1]:[Level 6]]),rng_EFConcat,rng_EF1)*Buildings_Heat_Backend[[#This Row],[Converted data]]/1000)</f>
        <v/>
      </c>
      <c r="AG241" s="210" t="str">
        <f>IF(Buildings_Heat_Frontend[[#This Row],[Data]]="","", _xlfn.XLOOKUP(_xlfn.CONCAT(Buildings_Heat_Backend[[#This Row],[Level 1]:[Level 6]]),rng_EFConcat,rng_EF2)*Buildings_Heat_Backend[[#This Row],[Converted data]]/1000)</f>
        <v/>
      </c>
      <c r="AH241" s="210" t="str">
        <f>IF(Buildings_Heat_Frontend[[#This Row],[Data]]="","", _xlfn.XLOOKUP(_xlfn.CONCAT(Buildings_Heat_Backend[[#This Row],[Level 1]:[Level 6]]),rng_EFConcat,rng_EF3)*Buildings_Heat_Backend[[#This Row],[Converted data]]/1000)</f>
        <v/>
      </c>
      <c r="AI241" s="210" t="str">
        <f>IF(Buildings_Heat_Frontend[[#This Row],[Data]]="","", _xlfn.XLOOKUP(_xlfn.CONCAT(Buildings_Heat_Backend[[#This Row],[Level 1]:[Level 6]]),rng_EFConcat,rng_EF3WTT)*Buildings_Heat_Backend[[#This Row],[Converted data]]/1000)</f>
        <v/>
      </c>
      <c r="AJ241" s="210" t="str">
        <f>IF(Buildings_Heat_Frontend[[#This Row],[Data]]="","", _xlfn.XLOOKUP(_xlfn.CONCAT(Buildings_Heat_Backend[[#This Row],[Level 1]:[Level 6]]),rng_EFConcat,rng_EF3TD)*Buildings_Heat_Backend[[#This Row],[Converted data]]/1000)</f>
        <v/>
      </c>
      <c r="AK241" s="210" t="str">
        <f>IF(Buildings_Heat_Frontend[[#This Row],[Data]]="","", _xlfn.XLOOKUP(_xlfn.CONCAT(Buildings_Heat_Backend[[#This Row],[Level 1]:[Level 6]]),rng_EFConcat,rng_EF3WTTTD)*Buildings_Heat_Backend[[#This Row],[Converted data]]/1000)</f>
        <v/>
      </c>
      <c r="AL241" s="220">
        <f>SUM(Buildings_Heat_Backend[[#This Row],[Scope 1 (tCO2e)]:[Scope 3 WTT T&amp;D (tCO2e)]])</f>
        <v>0</v>
      </c>
      <c r="AM241" s="220" t="str">
        <f>IF(Buildings_Heat_Frontend[[#This Row],[Data]]="","", Buildings_Heat_Backend[[#This Row],[Total (tCO2e)]]*(1-Buildings_Heat_Backend[[#This Row],[RSD]]))</f>
        <v/>
      </c>
      <c r="AN241" s="220" t="str">
        <f>IF(Buildings_Heat_Frontend[[#This Row],[Data]]="","", Buildings_Heat_Backend[[#This Row],[Total (tCO2e)]]*(1+Buildings_Heat_Backend[[#This Row],[RSD]]))</f>
        <v/>
      </c>
      <c r="AO241" s="210" t="str">
        <f>IF(Buildings_Heat_Frontend[[#This Row],[Data]]="","", _xlfn.XLOOKUP(_xlfn.CONCAT(Buildings_Heat_Backend[[#This Row],[Level 1]:[Level 6]]),rng_EFConcat,rng_EFOOS)*Buildings_Heat_Backend[[#This Row],[Converted data]]/1000)</f>
        <v/>
      </c>
      <c r="AP241" s="174">
        <f>Buildings_Heat_Frontend[[#This Row],[Ease of collection]]</f>
        <v>0</v>
      </c>
      <c r="AQ241" s="174">
        <f>Buildings_Heat_Frontend[[#This Row],[Completeness]]</f>
        <v>0</v>
      </c>
      <c r="AR241" s="174">
        <f>Buildings_Heat_Frontend[[#This Row],[Notes]]</f>
        <v>0</v>
      </c>
    </row>
    <row r="242" spans="5:44" x14ac:dyDescent="0.3">
      <c r="E242" s="346"/>
      <c r="F242" s="364"/>
      <c r="G242" s="336"/>
      <c r="H242" s="336"/>
      <c r="I242" s="336"/>
      <c r="J242" s="334"/>
      <c r="K242" s="336"/>
      <c r="L242" s="336"/>
      <c r="M242" s="336"/>
      <c r="N242" s="352"/>
      <c r="O242" s="230">
        <f t="shared" si="11"/>
        <v>6</v>
      </c>
      <c r="Q242" s="212" t="str">
        <f t="shared" si="9"/>
        <v/>
      </c>
      <c r="R242" s="174" t="s">
        <v>265</v>
      </c>
      <c r="S242" s="174" t="s">
        <v>273</v>
      </c>
      <c r="T242" s="174" t="str">
        <f>IF(Buildings_Heat_Frontend[[#This Row],[Data]]="","", _xlfn.XLOOKUP(Buildings_Heat_Backend[[#This Row],[Info 1]],Buildings_SiteInfo[Site name],Buildings_SiteInfo[Site type]))</f>
        <v/>
      </c>
      <c r="U242" s="174" t="str">
        <f>IF(Buildings_Heat_Frontend[[#This Row],[Data]]="","", Buildings_Heat_Frontend[[#This Row],[Heating Type]])</f>
        <v/>
      </c>
      <c r="V242" s="174" t="str">
        <f>IF(Buildings_Heat_Frontend[[#This Row],[Data]]="","", Buildings_Heat_Frontend[[#This Row],[Fuel]])</f>
        <v/>
      </c>
      <c r="W242" s="174" t="str" cm="1">
        <f t="array" ref="W242">IF(Buildings_Heat_Frontend[[#This Row],[Data]]="","", _xlfn.XLOOKUP(Buildings_Heat_Backend[[#This Row],[Level 5]],rng_Level5Long,rng_Level6Long))</f>
        <v/>
      </c>
      <c r="X242" s="174" t="str">
        <f>IF(Buildings_Heat_Frontend[[#This Row],[Data]]="","", Buildings_Heat_Frontend[[#This Row],[Site Name]])</f>
        <v/>
      </c>
      <c r="Y242" s="174" t="str">
        <f>IF(Buildings_Heat_Frontend[[#This Row],[Data]]="","", Buildings_Heat_Frontend[[#This Row],[MPRN]])</f>
        <v/>
      </c>
      <c r="Z242" s="174" t="str">
        <f>IF(Buildings_Heat_Frontend[[#This Row],[Data]]="","", IF($I242="","",$I242))</f>
        <v/>
      </c>
      <c r="AA242" s="229" t="str" cm="1">
        <f t="array" ref="AA242">IF(Buildings_Heat_Frontend[[#This Row],[Data]]="","", INDEX(_xlfn.SWITCH(Buildings_Heat_Backend[[#This Row],[Methodology]],"Tier 1",rng_RSD1,"Tier 2",rng_RSD2,"Tier 3",rng_RSD3),MATCH(_xlfn.CONCAT(Buildings_Heat_Backend[[#This Row],[Level 1]:[Level 6]]),rng_LevelsConcat,0)))</f>
        <v/>
      </c>
      <c r="AB242" s="220" t="str">
        <f t="shared" si="10"/>
        <v/>
      </c>
      <c r="AC242" s="174">
        <f>Buildings_Heat_Frontend[[#This Row],[Units]]</f>
        <v>0</v>
      </c>
      <c r="AD24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2" s="174" t="str">
        <f>IF(Buildings_Heat_Frontend[[#This Row],[Data]]="","", _xlfn.XLOOKUP(_xlfn.CONCAT(Buildings_Heat_Backend[[#This Row],[Level 1]:[Level 6]]),rng_LevelsConcat,rng_UnitsLong))</f>
        <v/>
      </c>
      <c r="AF242" s="210" t="str">
        <f>IF(Buildings_Heat_Frontend[[#This Row],[Data]]="","", _xlfn.XLOOKUP(_xlfn.CONCAT(Buildings_Heat_Backend[[#This Row],[Level 1]:[Level 6]]),rng_EFConcat,rng_EF1)*Buildings_Heat_Backend[[#This Row],[Converted data]]/1000)</f>
        <v/>
      </c>
      <c r="AG242" s="210" t="str">
        <f>IF(Buildings_Heat_Frontend[[#This Row],[Data]]="","", _xlfn.XLOOKUP(_xlfn.CONCAT(Buildings_Heat_Backend[[#This Row],[Level 1]:[Level 6]]),rng_EFConcat,rng_EF2)*Buildings_Heat_Backend[[#This Row],[Converted data]]/1000)</f>
        <v/>
      </c>
      <c r="AH242" s="210" t="str">
        <f>IF(Buildings_Heat_Frontend[[#This Row],[Data]]="","", _xlfn.XLOOKUP(_xlfn.CONCAT(Buildings_Heat_Backend[[#This Row],[Level 1]:[Level 6]]),rng_EFConcat,rng_EF3)*Buildings_Heat_Backend[[#This Row],[Converted data]]/1000)</f>
        <v/>
      </c>
      <c r="AI242" s="210" t="str">
        <f>IF(Buildings_Heat_Frontend[[#This Row],[Data]]="","", _xlfn.XLOOKUP(_xlfn.CONCAT(Buildings_Heat_Backend[[#This Row],[Level 1]:[Level 6]]),rng_EFConcat,rng_EF3WTT)*Buildings_Heat_Backend[[#This Row],[Converted data]]/1000)</f>
        <v/>
      </c>
      <c r="AJ242" s="210" t="str">
        <f>IF(Buildings_Heat_Frontend[[#This Row],[Data]]="","", _xlfn.XLOOKUP(_xlfn.CONCAT(Buildings_Heat_Backend[[#This Row],[Level 1]:[Level 6]]),rng_EFConcat,rng_EF3TD)*Buildings_Heat_Backend[[#This Row],[Converted data]]/1000)</f>
        <v/>
      </c>
      <c r="AK242" s="210" t="str">
        <f>IF(Buildings_Heat_Frontend[[#This Row],[Data]]="","", _xlfn.XLOOKUP(_xlfn.CONCAT(Buildings_Heat_Backend[[#This Row],[Level 1]:[Level 6]]),rng_EFConcat,rng_EF3WTTTD)*Buildings_Heat_Backend[[#This Row],[Converted data]]/1000)</f>
        <v/>
      </c>
      <c r="AL242" s="220">
        <f>SUM(Buildings_Heat_Backend[[#This Row],[Scope 1 (tCO2e)]:[Scope 3 WTT T&amp;D (tCO2e)]])</f>
        <v>0</v>
      </c>
      <c r="AM242" s="220" t="str">
        <f>IF(Buildings_Heat_Frontend[[#This Row],[Data]]="","", Buildings_Heat_Backend[[#This Row],[Total (tCO2e)]]*(1-Buildings_Heat_Backend[[#This Row],[RSD]]))</f>
        <v/>
      </c>
      <c r="AN242" s="220" t="str">
        <f>IF(Buildings_Heat_Frontend[[#This Row],[Data]]="","", Buildings_Heat_Backend[[#This Row],[Total (tCO2e)]]*(1+Buildings_Heat_Backend[[#This Row],[RSD]]))</f>
        <v/>
      </c>
      <c r="AO242" s="210" t="str">
        <f>IF(Buildings_Heat_Frontend[[#This Row],[Data]]="","", _xlfn.XLOOKUP(_xlfn.CONCAT(Buildings_Heat_Backend[[#This Row],[Level 1]:[Level 6]]),rng_EFConcat,rng_EFOOS)*Buildings_Heat_Backend[[#This Row],[Converted data]]/1000)</f>
        <v/>
      </c>
      <c r="AP242" s="174">
        <f>Buildings_Heat_Frontend[[#This Row],[Ease of collection]]</f>
        <v>0</v>
      </c>
      <c r="AQ242" s="174">
        <f>Buildings_Heat_Frontend[[#This Row],[Completeness]]</f>
        <v>0</v>
      </c>
      <c r="AR242" s="174">
        <f>Buildings_Heat_Frontend[[#This Row],[Notes]]</f>
        <v>0</v>
      </c>
    </row>
    <row r="243" spans="5:44" x14ac:dyDescent="0.3">
      <c r="E243" s="346"/>
      <c r="F243" s="364"/>
      <c r="G243" s="336"/>
      <c r="H243" s="336"/>
      <c r="I243" s="336"/>
      <c r="J243" s="334"/>
      <c r="K243" s="336"/>
      <c r="L243" s="336"/>
      <c r="M243" s="336"/>
      <c r="N243" s="352"/>
      <c r="O243" s="230">
        <f t="shared" si="11"/>
        <v>6</v>
      </c>
      <c r="Q243" s="212" t="str">
        <f t="shared" si="9"/>
        <v/>
      </c>
      <c r="R243" s="174" t="s">
        <v>265</v>
      </c>
      <c r="S243" s="174" t="s">
        <v>273</v>
      </c>
      <c r="T243" s="174" t="str">
        <f>IF(Buildings_Heat_Frontend[[#This Row],[Data]]="","", _xlfn.XLOOKUP(Buildings_Heat_Backend[[#This Row],[Info 1]],Buildings_SiteInfo[Site name],Buildings_SiteInfo[Site type]))</f>
        <v/>
      </c>
      <c r="U243" s="174" t="str">
        <f>IF(Buildings_Heat_Frontend[[#This Row],[Data]]="","", Buildings_Heat_Frontend[[#This Row],[Heating Type]])</f>
        <v/>
      </c>
      <c r="V243" s="174" t="str">
        <f>IF(Buildings_Heat_Frontend[[#This Row],[Data]]="","", Buildings_Heat_Frontend[[#This Row],[Fuel]])</f>
        <v/>
      </c>
      <c r="W243" s="174" t="str" cm="1">
        <f t="array" ref="W243">IF(Buildings_Heat_Frontend[[#This Row],[Data]]="","", _xlfn.XLOOKUP(Buildings_Heat_Backend[[#This Row],[Level 5]],rng_Level5Long,rng_Level6Long))</f>
        <v/>
      </c>
      <c r="X243" s="174" t="str">
        <f>IF(Buildings_Heat_Frontend[[#This Row],[Data]]="","", Buildings_Heat_Frontend[[#This Row],[Site Name]])</f>
        <v/>
      </c>
      <c r="Y243" s="174" t="str">
        <f>IF(Buildings_Heat_Frontend[[#This Row],[Data]]="","", Buildings_Heat_Frontend[[#This Row],[MPRN]])</f>
        <v/>
      </c>
      <c r="Z243" s="174" t="str">
        <f>IF(Buildings_Heat_Frontend[[#This Row],[Data]]="","", IF($I243="","",$I243))</f>
        <v/>
      </c>
      <c r="AA243" s="229" t="str" cm="1">
        <f t="array" ref="AA243">IF(Buildings_Heat_Frontend[[#This Row],[Data]]="","", INDEX(_xlfn.SWITCH(Buildings_Heat_Backend[[#This Row],[Methodology]],"Tier 1",rng_RSD1,"Tier 2",rng_RSD2,"Tier 3",rng_RSD3),MATCH(_xlfn.CONCAT(Buildings_Heat_Backend[[#This Row],[Level 1]:[Level 6]]),rng_LevelsConcat,0)))</f>
        <v/>
      </c>
      <c r="AB243" s="220" t="str">
        <f t="shared" si="10"/>
        <v/>
      </c>
      <c r="AC243" s="174">
        <f>Buildings_Heat_Frontend[[#This Row],[Units]]</f>
        <v>0</v>
      </c>
      <c r="AD24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3" s="174" t="str">
        <f>IF(Buildings_Heat_Frontend[[#This Row],[Data]]="","", _xlfn.XLOOKUP(_xlfn.CONCAT(Buildings_Heat_Backend[[#This Row],[Level 1]:[Level 6]]),rng_LevelsConcat,rng_UnitsLong))</f>
        <v/>
      </c>
      <c r="AF243" s="210" t="str">
        <f>IF(Buildings_Heat_Frontend[[#This Row],[Data]]="","", _xlfn.XLOOKUP(_xlfn.CONCAT(Buildings_Heat_Backend[[#This Row],[Level 1]:[Level 6]]),rng_EFConcat,rng_EF1)*Buildings_Heat_Backend[[#This Row],[Converted data]]/1000)</f>
        <v/>
      </c>
      <c r="AG243" s="210" t="str">
        <f>IF(Buildings_Heat_Frontend[[#This Row],[Data]]="","", _xlfn.XLOOKUP(_xlfn.CONCAT(Buildings_Heat_Backend[[#This Row],[Level 1]:[Level 6]]),rng_EFConcat,rng_EF2)*Buildings_Heat_Backend[[#This Row],[Converted data]]/1000)</f>
        <v/>
      </c>
      <c r="AH243" s="210" t="str">
        <f>IF(Buildings_Heat_Frontend[[#This Row],[Data]]="","", _xlfn.XLOOKUP(_xlfn.CONCAT(Buildings_Heat_Backend[[#This Row],[Level 1]:[Level 6]]),rng_EFConcat,rng_EF3)*Buildings_Heat_Backend[[#This Row],[Converted data]]/1000)</f>
        <v/>
      </c>
      <c r="AI243" s="210" t="str">
        <f>IF(Buildings_Heat_Frontend[[#This Row],[Data]]="","", _xlfn.XLOOKUP(_xlfn.CONCAT(Buildings_Heat_Backend[[#This Row],[Level 1]:[Level 6]]),rng_EFConcat,rng_EF3WTT)*Buildings_Heat_Backend[[#This Row],[Converted data]]/1000)</f>
        <v/>
      </c>
      <c r="AJ243" s="210" t="str">
        <f>IF(Buildings_Heat_Frontend[[#This Row],[Data]]="","", _xlfn.XLOOKUP(_xlfn.CONCAT(Buildings_Heat_Backend[[#This Row],[Level 1]:[Level 6]]),rng_EFConcat,rng_EF3TD)*Buildings_Heat_Backend[[#This Row],[Converted data]]/1000)</f>
        <v/>
      </c>
      <c r="AK243" s="210" t="str">
        <f>IF(Buildings_Heat_Frontend[[#This Row],[Data]]="","", _xlfn.XLOOKUP(_xlfn.CONCAT(Buildings_Heat_Backend[[#This Row],[Level 1]:[Level 6]]),rng_EFConcat,rng_EF3WTTTD)*Buildings_Heat_Backend[[#This Row],[Converted data]]/1000)</f>
        <v/>
      </c>
      <c r="AL243" s="220">
        <f>SUM(Buildings_Heat_Backend[[#This Row],[Scope 1 (tCO2e)]:[Scope 3 WTT T&amp;D (tCO2e)]])</f>
        <v>0</v>
      </c>
      <c r="AM243" s="220" t="str">
        <f>IF(Buildings_Heat_Frontend[[#This Row],[Data]]="","", Buildings_Heat_Backend[[#This Row],[Total (tCO2e)]]*(1-Buildings_Heat_Backend[[#This Row],[RSD]]))</f>
        <v/>
      </c>
      <c r="AN243" s="220" t="str">
        <f>IF(Buildings_Heat_Frontend[[#This Row],[Data]]="","", Buildings_Heat_Backend[[#This Row],[Total (tCO2e)]]*(1+Buildings_Heat_Backend[[#This Row],[RSD]]))</f>
        <v/>
      </c>
      <c r="AO243" s="210" t="str">
        <f>IF(Buildings_Heat_Frontend[[#This Row],[Data]]="","", _xlfn.XLOOKUP(_xlfn.CONCAT(Buildings_Heat_Backend[[#This Row],[Level 1]:[Level 6]]),rng_EFConcat,rng_EFOOS)*Buildings_Heat_Backend[[#This Row],[Converted data]]/1000)</f>
        <v/>
      </c>
      <c r="AP243" s="174">
        <f>Buildings_Heat_Frontend[[#This Row],[Ease of collection]]</f>
        <v>0</v>
      </c>
      <c r="AQ243" s="174">
        <f>Buildings_Heat_Frontend[[#This Row],[Completeness]]</f>
        <v>0</v>
      </c>
      <c r="AR243" s="174">
        <f>Buildings_Heat_Frontend[[#This Row],[Notes]]</f>
        <v>0</v>
      </c>
    </row>
    <row r="244" spans="5:44" x14ac:dyDescent="0.3">
      <c r="E244" s="346"/>
      <c r="F244" s="364"/>
      <c r="G244" s="336"/>
      <c r="H244" s="336"/>
      <c r="I244" s="336"/>
      <c r="J244" s="334"/>
      <c r="K244" s="336"/>
      <c r="L244" s="336"/>
      <c r="M244" s="336"/>
      <c r="N244" s="352"/>
      <c r="O244" s="230">
        <f t="shared" si="11"/>
        <v>6</v>
      </c>
      <c r="Q244" s="212" t="str">
        <f t="shared" si="9"/>
        <v/>
      </c>
      <c r="R244" s="174" t="s">
        <v>265</v>
      </c>
      <c r="S244" s="174" t="s">
        <v>273</v>
      </c>
      <c r="T244" s="174" t="str">
        <f>IF(Buildings_Heat_Frontend[[#This Row],[Data]]="","", _xlfn.XLOOKUP(Buildings_Heat_Backend[[#This Row],[Info 1]],Buildings_SiteInfo[Site name],Buildings_SiteInfo[Site type]))</f>
        <v/>
      </c>
      <c r="U244" s="174" t="str">
        <f>IF(Buildings_Heat_Frontend[[#This Row],[Data]]="","", Buildings_Heat_Frontend[[#This Row],[Heating Type]])</f>
        <v/>
      </c>
      <c r="V244" s="174" t="str">
        <f>IF(Buildings_Heat_Frontend[[#This Row],[Data]]="","", Buildings_Heat_Frontend[[#This Row],[Fuel]])</f>
        <v/>
      </c>
      <c r="W244" s="174" t="str" cm="1">
        <f t="array" ref="W244">IF(Buildings_Heat_Frontend[[#This Row],[Data]]="","", _xlfn.XLOOKUP(Buildings_Heat_Backend[[#This Row],[Level 5]],rng_Level5Long,rng_Level6Long))</f>
        <v/>
      </c>
      <c r="X244" s="174" t="str">
        <f>IF(Buildings_Heat_Frontend[[#This Row],[Data]]="","", Buildings_Heat_Frontend[[#This Row],[Site Name]])</f>
        <v/>
      </c>
      <c r="Y244" s="174" t="str">
        <f>IF(Buildings_Heat_Frontend[[#This Row],[Data]]="","", Buildings_Heat_Frontend[[#This Row],[MPRN]])</f>
        <v/>
      </c>
      <c r="Z244" s="174" t="str">
        <f>IF(Buildings_Heat_Frontend[[#This Row],[Data]]="","", IF($I244="","",$I244))</f>
        <v/>
      </c>
      <c r="AA244" s="229" t="str" cm="1">
        <f t="array" ref="AA244">IF(Buildings_Heat_Frontend[[#This Row],[Data]]="","", INDEX(_xlfn.SWITCH(Buildings_Heat_Backend[[#This Row],[Methodology]],"Tier 1",rng_RSD1,"Tier 2",rng_RSD2,"Tier 3",rng_RSD3),MATCH(_xlfn.CONCAT(Buildings_Heat_Backend[[#This Row],[Level 1]:[Level 6]]),rng_LevelsConcat,0)))</f>
        <v/>
      </c>
      <c r="AB244" s="220" t="str">
        <f t="shared" si="10"/>
        <v/>
      </c>
      <c r="AC244" s="174">
        <f>Buildings_Heat_Frontend[[#This Row],[Units]]</f>
        <v>0</v>
      </c>
      <c r="AD24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4" s="174" t="str">
        <f>IF(Buildings_Heat_Frontend[[#This Row],[Data]]="","", _xlfn.XLOOKUP(_xlfn.CONCAT(Buildings_Heat_Backend[[#This Row],[Level 1]:[Level 6]]),rng_LevelsConcat,rng_UnitsLong))</f>
        <v/>
      </c>
      <c r="AF244" s="210" t="str">
        <f>IF(Buildings_Heat_Frontend[[#This Row],[Data]]="","", _xlfn.XLOOKUP(_xlfn.CONCAT(Buildings_Heat_Backend[[#This Row],[Level 1]:[Level 6]]),rng_EFConcat,rng_EF1)*Buildings_Heat_Backend[[#This Row],[Converted data]]/1000)</f>
        <v/>
      </c>
      <c r="AG244" s="210" t="str">
        <f>IF(Buildings_Heat_Frontend[[#This Row],[Data]]="","", _xlfn.XLOOKUP(_xlfn.CONCAT(Buildings_Heat_Backend[[#This Row],[Level 1]:[Level 6]]),rng_EFConcat,rng_EF2)*Buildings_Heat_Backend[[#This Row],[Converted data]]/1000)</f>
        <v/>
      </c>
      <c r="AH244" s="210" t="str">
        <f>IF(Buildings_Heat_Frontend[[#This Row],[Data]]="","", _xlfn.XLOOKUP(_xlfn.CONCAT(Buildings_Heat_Backend[[#This Row],[Level 1]:[Level 6]]),rng_EFConcat,rng_EF3)*Buildings_Heat_Backend[[#This Row],[Converted data]]/1000)</f>
        <v/>
      </c>
      <c r="AI244" s="210" t="str">
        <f>IF(Buildings_Heat_Frontend[[#This Row],[Data]]="","", _xlfn.XLOOKUP(_xlfn.CONCAT(Buildings_Heat_Backend[[#This Row],[Level 1]:[Level 6]]),rng_EFConcat,rng_EF3WTT)*Buildings_Heat_Backend[[#This Row],[Converted data]]/1000)</f>
        <v/>
      </c>
      <c r="AJ244" s="210" t="str">
        <f>IF(Buildings_Heat_Frontend[[#This Row],[Data]]="","", _xlfn.XLOOKUP(_xlfn.CONCAT(Buildings_Heat_Backend[[#This Row],[Level 1]:[Level 6]]),rng_EFConcat,rng_EF3TD)*Buildings_Heat_Backend[[#This Row],[Converted data]]/1000)</f>
        <v/>
      </c>
      <c r="AK244" s="210" t="str">
        <f>IF(Buildings_Heat_Frontend[[#This Row],[Data]]="","", _xlfn.XLOOKUP(_xlfn.CONCAT(Buildings_Heat_Backend[[#This Row],[Level 1]:[Level 6]]),rng_EFConcat,rng_EF3WTTTD)*Buildings_Heat_Backend[[#This Row],[Converted data]]/1000)</f>
        <v/>
      </c>
      <c r="AL244" s="220">
        <f>SUM(Buildings_Heat_Backend[[#This Row],[Scope 1 (tCO2e)]:[Scope 3 WTT T&amp;D (tCO2e)]])</f>
        <v>0</v>
      </c>
      <c r="AM244" s="220" t="str">
        <f>IF(Buildings_Heat_Frontend[[#This Row],[Data]]="","", Buildings_Heat_Backend[[#This Row],[Total (tCO2e)]]*(1-Buildings_Heat_Backend[[#This Row],[RSD]]))</f>
        <v/>
      </c>
      <c r="AN244" s="220" t="str">
        <f>IF(Buildings_Heat_Frontend[[#This Row],[Data]]="","", Buildings_Heat_Backend[[#This Row],[Total (tCO2e)]]*(1+Buildings_Heat_Backend[[#This Row],[RSD]]))</f>
        <v/>
      </c>
      <c r="AO244" s="210" t="str">
        <f>IF(Buildings_Heat_Frontend[[#This Row],[Data]]="","", _xlfn.XLOOKUP(_xlfn.CONCAT(Buildings_Heat_Backend[[#This Row],[Level 1]:[Level 6]]),rng_EFConcat,rng_EFOOS)*Buildings_Heat_Backend[[#This Row],[Converted data]]/1000)</f>
        <v/>
      </c>
      <c r="AP244" s="174">
        <f>Buildings_Heat_Frontend[[#This Row],[Ease of collection]]</f>
        <v>0</v>
      </c>
      <c r="AQ244" s="174">
        <f>Buildings_Heat_Frontend[[#This Row],[Completeness]]</f>
        <v>0</v>
      </c>
      <c r="AR244" s="174">
        <f>Buildings_Heat_Frontend[[#This Row],[Notes]]</f>
        <v>0</v>
      </c>
    </row>
    <row r="245" spans="5:44" x14ac:dyDescent="0.3">
      <c r="E245" s="346"/>
      <c r="F245" s="364"/>
      <c r="G245" s="336"/>
      <c r="H245" s="336"/>
      <c r="I245" s="336"/>
      <c r="J245" s="334"/>
      <c r="K245" s="336"/>
      <c r="L245" s="336"/>
      <c r="M245" s="336"/>
      <c r="N245" s="352"/>
      <c r="O245" s="230">
        <f t="shared" si="11"/>
        <v>6</v>
      </c>
      <c r="Q245" s="212" t="str">
        <f t="shared" si="9"/>
        <v/>
      </c>
      <c r="R245" s="174" t="s">
        <v>265</v>
      </c>
      <c r="S245" s="174" t="s">
        <v>273</v>
      </c>
      <c r="T245" s="174" t="str">
        <f>IF(Buildings_Heat_Frontend[[#This Row],[Data]]="","", _xlfn.XLOOKUP(Buildings_Heat_Backend[[#This Row],[Info 1]],Buildings_SiteInfo[Site name],Buildings_SiteInfo[Site type]))</f>
        <v/>
      </c>
      <c r="U245" s="174" t="str">
        <f>IF(Buildings_Heat_Frontend[[#This Row],[Data]]="","", Buildings_Heat_Frontend[[#This Row],[Heating Type]])</f>
        <v/>
      </c>
      <c r="V245" s="174" t="str">
        <f>IF(Buildings_Heat_Frontend[[#This Row],[Data]]="","", Buildings_Heat_Frontend[[#This Row],[Fuel]])</f>
        <v/>
      </c>
      <c r="W245" s="174" t="str" cm="1">
        <f t="array" ref="W245">IF(Buildings_Heat_Frontend[[#This Row],[Data]]="","", _xlfn.XLOOKUP(Buildings_Heat_Backend[[#This Row],[Level 5]],rng_Level5Long,rng_Level6Long))</f>
        <v/>
      </c>
      <c r="X245" s="174" t="str">
        <f>IF(Buildings_Heat_Frontend[[#This Row],[Data]]="","", Buildings_Heat_Frontend[[#This Row],[Site Name]])</f>
        <v/>
      </c>
      <c r="Y245" s="174" t="str">
        <f>IF(Buildings_Heat_Frontend[[#This Row],[Data]]="","", Buildings_Heat_Frontend[[#This Row],[MPRN]])</f>
        <v/>
      </c>
      <c r="Z245" s="174" t="str">
        <f>IF(Buildings_Heat_Frontend[[#This Row],[Data]]="","", IF($I245="","",$I245))</f>
        <v/>
      </c>
      <c r="AA245" s="229" t="str" cm="1">
        <f t="array" ref="AA245">IF(Buildings_Heat_Frontend[[#This Row],[Data]]="","", INDEX(_xlfn.SWITCH(Buildings_Heat_Backend[[#This Row],[Methodology]],"Tier 1",rng_RSD1,"Tier 2",rng_RSD2,"Tier 3",rng_RSD3),MATCH(_xlfn.CONCAT(Buildings_Heat_Backend[[#This Row],[Level 1]:[Level 6]]),rng_LevelsConcat,0)))</f>
        <v/>
      </c>
      <c r="AB245" s="220" t="str">
        <f t="shared" si="10"/>
        <v/>
      </c>
      <c r="AC245" s="174">
        <f>Buildings_Heat_Frontend[[#This Row],[Units]]</f>
        <v>0</v>
      </c>
      <c r="AD24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5" s="174" t="str">
        <f>IF(Buildings_Heat_Frontend[[#This Row],[Data]]="","", _xlfn.XLOOKUP(_xlfn.CONCAT(Buildings_Heat_Backend[[#This Row],[Level 1]:[Level 6]]),rng_LevelsConcat,rng_UnitsLong))</f>
        <v/>
      </c>
      <c r="AF245" s="210" t="str">
        <f>IF(Buildings_Heat_Frontend[[#This Row],[Data]]="","", _xlfn.XLOOKUP(_xlfn.CONCAT(Buildings_Heat_Backend[[#This Row],[Level 1]:[Level 6]]),rng_EFConcat,rng_EF1)*Buildings_Heat_Backend[[#This Row],[Converted data]]/1000)</f>
        <v/>
      </c>
      <c r="AG245" s="210" t="str">
        <f>IF(Buildings_Heat_Frontend[[#This Row],[Data]]="","", _xlfn.XLOOKUP(_xlfn.CONCAT(Buildings_Heat_Backend[[#This Row],[Level 1]:[Level 6]]),rng_EFConcat,rng_EF2)*Buildings_Heat_Backend[[#This Row],[Converted data]]/1000)</f>
        <v/>
      </c>
      <c r="AH245" s="210" t="str">
        <f>IF(Buildings_Heat_Frontend[[#This Row],[Data]]="","", _xlfn.XLOOKUP(_xlfn.CONCAT(Buildings_Heat_Backend[[#This Row],[Level 1]:[Level 6]]),rng_EFConcat,rng_EF3)*Buildings_Heat_Backend[[#This Row],[Converted data]]/1000)</f>
        <v/>
      </c>
      <c r="AI245" s="210" t="str">
        <f>IF(Buildings_Heat_Frontend[[#This Row],[Data]]="","", _xlfn.XLOOKUP(_xlfn.CONCAT(Buildings_Heat_Backend[[#This Row],[Level 1]:[Level 6]]),rng_EFConcat,rng_EF3WTT)*Buildings_Heat_Backend[[#This Row],[Converted data]]/1000)</f>
        <v/>
      </c>
      <c r="AJ245" s="210" t="str">
        <f>IF(Buildings_Heat_Frontend[[#This Row],[Data]]="","", _xlfn.XLOOKUP(_xlfn.CONCAT(Buildings_Heat_Backend[[#This Row],[Level 1]:[Level 6]]),rng_EFConcat,rng_EF3TD)*Buildings_Heat_Backend[[#This Row],[Converted data]]/1000)</f>
        <v/>
      </c>
      <c r="AK245" s="210" t="str">
        <f>IF(Buildings_Heat_Frontend[[#This Row],[Data]]="","", _xlfn.XLOOKUP(_xlfn.CONCAT(Buildings_Heat_Backend[[#This Row],[Level 1]:[Level 6]]),rng_EFConcat,rng_EF3WTTTD)*Buildings_Heat_Backend[[#This Row],[Converted data]]/1000)</f>
        <v/>
      </c>
      <c r="AL245" s="220">
        <f>SUM(Buildings_Heat_Backend[[#This Row],[Scope 1 (tCO2e)]:[Scope 3 WTT T&amp;D (tCO2e)]])</f>
        <v>0</v>
      </c>
      <c r="AM245" s="220" t="str">
        <f>IF(Buildings_Heat_Frontend[[#This Row],[Data]]="","", Buildings_Heat_Backend[[#This Row],[Total (tCO2e)]]*(1-Buildings_Heat_Backend[[#This Row],[RSD]]))</f>
        <v/>
      </c>
      <c r="AN245" s="220" t="str">
        <f>IF(Buildings_Heat_Frontend[[#This Row],[Data]]="","", Buildings_Heat_Backend[[#This Row],[Total (tCO2e)]]*(1+Buildings_Heat_Backend[[#This Row],[RSD]]))</f>
        <v/>
      </c>
      <c r="AO245" s="210" t="str">
        <f>IF(Buildings_Heat_Frontend[[#This Row],[Data]]="","", _xlfn.XLOOKUP(_xlfn.CONCAT(Buildings_Heat_Backend[[#This Row],[Level 1]:[Level 6]]),rng_EFConcat,rng_EFOOS)*Buildings_Heat_Backend[[#This Row],[Converted data]]/1000)</f>
        <v/>
      </c>
      <c r="AP245" s="174">
        <f>Buildings_Heat_Frontend[[#This Row],[Ease of collection]]</f>
        <v>0</v>
      </c>
      <c r="AQ245" s="174">
        <f>Buildings_Heat_Frontend[[#This Row],[Completeness]]</f>
        <v>0</v>
      </c>
      <c r="AR245" s="174">
        <f>Buildings_Heat_Frontend[[#This Row],[Notes]]</f>
        <v>0</v>
      </c>
    </row>
    <row r="246" spans="5:44" x14ac:dyDescent="0.3">
      <c r="E246" s="346"/>
      <c r="F246" s="364"/>
      <c r="G246" s="336"/>
      <c r="H246" s="336"/>
      <c r="I246" s="336"/>
      <c r="J246" s="334"/>
      <c r="K246" s="336"/>
      <c r="L246" s="336"/>
      <c r="M246" s="336"/>
      <c r="N246" s="352"/>
      <c r="O246" s="230">
        <f t="shared" si="11"/>
        <v>6</v>
      </c>
      <c r="Q246" s="212" t="str">
        <f t="shared" si="9"/>
        <v/>
      </c>
      <c r="R246" s="174" t="s">
        <v>265</v>
      </c>
      <c r="S246" s="174" t="s">
        <v>273</v>
      </c>
      <c r="T246" s="174" t="str">
        <f>IF(Buildings_Heat_Frontend[[#This Row],[Data]]="","", _xlfn.XLOOKUP(Buildings_Heat_Backend[[#This Row],[Info 1]],Buildings_SiteInfo[Site name],Buildings_SiteInfo[Site type]))</f>
        <v/>
      </c>
      <c r="U246" s="174" t="str">
        <f>IF(Buildings_Heat_Frontend[[#This Row],[Data]]="","", Buildings_Heat_Frontend[[#This Row],[Heating Type]])</f>
        <v/>
      </c>
      <c r="V246" s="174" t="str">
        <f>IF(Buildings_Heat_Frontend[[#This Row],[Data]]="","", Buildings_Heat_Frontend[[#This Row],[Fuel]])</f>
        <v/>
      </c>
      <c r="W246" s="174" t="str" cm="1">
        <f t="array" ref="W246">IF(Buildings_Heat_Frontend[[#This Row],[Data]]="","", _xlfn.XLOOKUP(Buildings_Heat_Backend[[#This Row],[Level 5]],rng_Level5Long,rng_Level6Long))</f>
        <v/>
      </c>
      <c r="X246" s="174" t="str">
        <f>IF(Buildings_Heat_Frontend[[#This Row],[Data]]="","", Buildings_Heat_Frontend[[#This Row],[Site Name]])</f>
        <v/>
      </c>
      <c r="Y246" s="174" t="str">
        <f>IF(Buildings_Heat_Frontend[[#This Row],[Data]]="","", Buildings_Heat_Frontend[[#This Row],[MPRN]])</f>
        <v/>
      </c>
      <c r="Z246" s="174" t="str">
        <f>IF(Buildings_Heat_Frontend[[#This Row],[Data]]="","", IF($I246="","",$I246))</f>
        <v/>
      </c>
      <c r="AA246" s="229" t="str" cm="1">
        <f t="array" ref="AA246">IF(Buildings_Heat_Frontend[[#This Row],[Data]]="","", INDEX(_xlfn.SWITCH(Buildings_Heat_Backend[[#This Row],[Methodology]],"Tier 1",rng_RSD1,"Tier 2",rng_RSD2,"Tier 3",rng_RSD3),MATCH(_xlfn.CONCAT(Buildings_Heat_Backend[[#This Row],[Level 1]:[Level 6]]),rng_LevelsConcat,0)))</f>
        <v/>
      </c>
      <c r="AB246" s="220" t="str">
        <f t="shared" si="10"/>
        <v/>
      </c>
      <c r="AC246" s="174">
        <f>Buildings_Heat_Frontend[[#This Row],[Units]]</f>
        <v>0</v>
      </c>
      <c r="AD24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6" s="174" t="str">
        <f>IF(Buildings_Heat_Frontend[[#This Row],[Data]]="","", _xlfn.XLOOKUP(_xlfn.CONCAT(Buildings_Heat_Backend[[#This Row],[Level 1]:[Level 6]]),rng_LevelsConcat,rng_UnitsLong))</f>
        <v/>
      </c>
      <c r="AF246" s="210" t="str">
        <f>IF(Buildings_Heat_Frontend[[#This Row],[Data]]="","", _xlfn.XLOOKUP(_xlfn.CONCAT(Buildings_Heat_Backend[[#This Row],[Level 1]:[Level 6]]),rng_EFConcat,rng_EF1)*Buildings_Heat_Backend[[#This Row],[Converted data]]/1000)</f>
        <v/>
      </c>
      <c r="AG246" s="210" t="str">
        <f>IF(Buildings_Heat_Frontend[[#This Row],[Data]]="","", _xlfn.XLOOKUP(_xlfn.CONCAT(Buildings_Heat_Backend[[#This Row],[Level 1]:[Level 6]]),rng_EFConcat,rng_EF2)*Buildings_Heat_Backend[[#This Row],[Converted data]]/1000)</f>
        <v/>
      </c>
      <c r="AH246" s="210" t="str">
        <f>IF(Buildings_Heat_Frontend[[#This Row],[Data]]="","", _xlfn.XLOOKUP(_xlfn.CONCAT(Buildings_Heat_Backend[[#This Row],[Level 1]:[Level 6]]),rng_EFConcat,rng_EF3)*Buildings_Heat_Backend[[#This Row],[Converted data]]/1000)</f>
        <v/>
      </c>
      <c r="AI246" s="210" t="str">
        <f>IF(Buildings_Heat_Frontend[[#This Row],[Data]]="","", _xlfn.XLOOKUP(_xlfn.CONCAT(Buildings_Heat_Backend[[#This Row],[Level 1]:[Level 6]]),rng_EFConcat,rng_EF3WTT)*Buildings_Heat_Backend[[#This Row],[Converted data]]/1000)</f>
        <v/>
      </c>
      <c r="AJ246" s="210" t="str">
        <f>IF(Buildings_Heat_Frontend[[#This Row],[Data]]="","", _xlfn.XLOOKUP(_xlfn.CONCAT(Buildings_Heat_Backend[[#This Row],[Level 1]:[Level 6]]),rng_EFConcat,rng_EF3TD)*Buildings_Heat_Backend[[#This Row],[Converted data]]/1000)</f>
        <v/>
      </c>
      <c r="AK246" s="210" t="str">
        <f>IF(Buildings_Heat_Frontend[[#This Row],[Data]]="","", _xlfn.XLOOKUP(_xlfn.CONCAT(Buildings_Heat_Backend[[#This Row],[Level 1]:[Level 6]]),rng_EFConcat,rng_EF3WTTTD)*Buildings_Heat_Backend[[#This Row],[Converted data]]/1000)</f>
        <v/>
      </c>
      <c r="AL246" s="220">
        <f>SUM(Buildings_Heat_Backend[[#This Row],[Scope 1 (tCO2e)]:[Scope 3 WTT T&amp;D (tCO2e)]])</f>
        <v>0</v>
      </c>
      <c r="AM246" s="220" t="str">
        <f>IF(Buildings_Heat_Frontend[[#This Row],[Data]]="","", Buildings_Heat_Backend[[#This Row],[Total (tCO2e)]]*(1-Buildings_Heat_Backend[[#This Row],[RSD]]))</f>
        <v/>
      </c>
      <c r="AN246" s="220" t="str">
        <f>IF(Buildings_Heat_Frontend[[#This Row],[Data]]="","", Buildings_Heat_Backend[[#This Row],[Total (tCO2e)]]*(1+Buildings_Heat_Backend[[#This Row],[RSD]]))</f>
        <v/>
      </c>
      <c r="AO246" s="210" t="str">
        <f>IF(Buildings_Heat_Frontend[[#This Row],[Data]]="","", _xlfn.XLOOKUP(_xlfn.CONCAT(Buildings_Heat_Backend[[#This Row],[Level 1]:[Level 6]]),rng_EFConcat,rng_EFOOS)*Buildings_Heat_Backend[[#This Row],[Converted data]]/1000)</f>
        <v/>
      </c>
      <c r="AP246" s="174">
        <f>Buildings_Heat_Frontend[[#This Row],[Ease of collection]]</f>
        <v>0</v>
      </c>
      <c r="AQ246" s="174">
        <f>Buildings_Heat_Frontend[[#This Row],[Completeness]]</f>
        <v>0</v>
      </c>
      <c r="AR246" s="174">
        <f>Buildings_Heat_Frontend[[#This Row],[Notes]]</f>
        <v>0</v>
      </c>
    </row>
    <row r="247" spans="5:44" x14ac:dyDescent="0.3">
      <c r="E247" s="346"/>
      <c r="F247" s="364"/>
      <c r="G247" s="336"/>
      <c r="H247" s="336"/>
      <c r="I247" s="336"/>
      <c r="J247" s="334"/>
      <c r="K247" s="336"/>
      <c r="L247" s="336"/>
      <c r="M247" s="336"/>
      <c r="N247" s="352"/>
      <c r="O247" s="230">
        <f t="shared" si="11"/>
        <v>6</v>
      </c>
      <c r="Q247" s="212" t="str">
        <f t="shared" si="9"/>
        <v/>
      </c>
      <c r="R247" s="174" t="s">
        <v>265</v>
      </c>
      <c r="S247" s="174" t="s">
        <v>273</v>
      </c>
      <c r="T247" s="174" t="str">
        <f>IF(Buildings_Heat_Frontend[[#This Row],[Data]]="","", _xlfn.XLOOKUP(Buildings_Heat_Backend[[#This Row],[Info 1]],Buildings_SiteInfo[Site name],Buildings_SiteInfo[Site type]))</f>
        <v/>
      </c>
      <c r="U247" s="174" t="str">
        <f>IF(Buildings_Heat_Frontend[[#This Row],[Data]]="","", Buildings_Heat_Frontend[[#This Row],[Heating Type]])</f>
        <v/>
      </c>
      <c r="V247" s="174" t="str">
        <f>IF(Buildings_Heat_Frontend[[#This Row],[Data]]="","", Buildings_Heat_Frontend[[#This Row],[Fuel]])</f>
        <v/>
      </c>
      <c r="W247" s="174" t="str" cm="1">
        <f t="array" ref="W247">IF(Buildings_Heat_Frontend[[#This Row],[Data]]="","", _xlfn.XLOOKUP(Buildings_Heat_Backend[[#This Row],[Level 5]],rng_Level5Long,rng_Level6Long))</f>
        <v/>
      </c>
      <c r="X247" s="174" t="str">
        <f>IF(Buildings_Heat_Frontend[[#This Row],[Data]]="","", Buildings_Heat_Frontend[[#This Row],[Site Name]])</f>
        <v/>
      </c>
      <c r="Y247" s="174" t="str">
        <f>IF(Buildings_Heat_Frontend[[#This Row],[Data]]="","", Buildings_Heat_Frontend[[#This Row],[MPRN]])</f>
        <v/>
      </c>
      <c r="Z247" s="174" t="str">
        <f>IF(Buildings_Heat_Frontend[[#This Row],[Data]]="","", IF($I247="","",$I247))</f>
        <v/>
      </c>
      <c r="AA247" s="229" t="str" cm="1">
        <f t="array" ref="AA247">IF(Buildings_Heat_Frontend[[#This Row],[Data]]="","", INDEX(_xlfn.SWITCH(Buildings_Heat_Backend[[#This Row],[Methodology]],"Tier 1",rng_RSD1,"Tier 2",rng_RSD2,"Tier 3",rng_RSD3),MATCH(_xlfn.CONCAT(Buildings_Heat_Backend[[#This Row],[Level 1]:[Level 6]]),rng_LevelsConcat,0)))</f>
        <v/>
      </c>
      <c r="AB247" s="220" t="str">
        <f t="shared" si="10"/>
        <v/>
      </c>
      <c r="AC247" s="174">
        <f>Buildings_Heat_Frontend[[#This Row],[Units]]</f>
        <v>0</v>
      </c>
      <c r="AD24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7" s="174" t="str">
        <f>IF(Buildings_Heat_Frontend[[#This Row],[Data]]="","", _xlfn.XLOOKUP(_xlfn.CONCAT(Buildings_Heat_Backend[[#This Row],[Level 1]:[Level 6]]),rng_LevelsConcat,rng_UnitsLong))</f>
        <v/>
      </c>
      <c r="AF247" s="210" t="str">
        <f>IF(Buildings_Heat_Frontend[[#This Row],[Data]]="","", _xlfn.XLOOKUP(_xlfn.CONCAT(Buildings_Heat_Backend[[#This Row],[Level 1]:[Level 6]]),rng_EFConcat,rng_EF1)*Buildings_Heat_Backend[[#This Row],[Converted data]]/1000)</f>
        <v/>
      </c>
      <c r="AG247" s="210" t="str">
        <f>IF(Buildings_Heat_Frontend[[#This Row],[Data]]="","", _xlfn.XLOOKUP(_xlfn.CONCAT(Buildings_Heat_Backend[[#This Row],[Level 1]:[Level 6]]),rng_EFConcat,rng_EF2)*Buildings_Heat_Backend[[#This Row],[Converted data]]/1000)</f>
        <v/>
      </c>
      <c r="AH247" s="210" t="str">
        <f>IF(Buildings_Heat_Frontend[[#This Row],[Data]]="","", _xlfn.XLOOKUP(_xlfn.CONCAT(Buildings_Heat_Backend[[#This Row],[Level 1]:[Level 6]]),rng_EFConcat,rng_EF3)*Buildings_Heat_Backend[[#This Row],[Converted data]]/1000)</f>
        <v/>
      </c>
      <c r="AI247" s="210" t="str">
        <f>IF(Buildings_Heat_Frontend[[#This Row],[Data]]="","", _xlfn.XLOOKUP(_xlfn.CONCAT(Buildings_Heat_Backend[[#This Row],[Level 1]:[Level 6]]),rng_EFConcat,rng_EF3WTT)*Buildings_Heat_Backend[[#This Row],[Converted data]]/1000)</f>
        <v/>
      </c>
      <c r="AJ247" s="210" t="str">
        <f>IF(Buildings_Heat_Frontend[[#This Row],[Data]]="","", _xlfn.XLOOKUP(_xlfn.CONCAT(Buildings_Heat_Backend[[#This Row],[Level 1]:[Level 6]]),rng_EFConcat,rng_EF3TD)*Buildings_Heat_Backend[[#This Row],[Converted data]]/1000)</f>
        <v/>
      </c>
      <c r="AK247" s="210" t="str">
        <f>IF(Buildings_Heat_Frontend[[#This Row],[Data]]="","", _xlfn.XLOOKUP(_xlfn.CONCAT(Buildings_Heat_Backend[[#This Row],[Level 1]:[Level 6]]),rng_EFConcat,rng_EF3WTTTD)*Buildings_Heat_Backend[[#This Row],[Converted data]]/1000)</f>
        <v/>
      </c>
      <c r="AL247" s="220">
        <f>SUM(Buildings_Heat_Backend[[#This Row],[Scope 1 (tCO2e)]:[Scope 3 WTT T&amp;D (tCO2e)]])</f>
        <v>0</v>
      </c>
      <c r="AM247" s="220" t="str">
        <f>IF(Buildings_Heat_Frontend[[#This Row],[Data]]="","", Buildings_Heat_Backend[[#This Row],[Total (tCO2e)]]*(1-Buildings_Heat_Backend[[#This Row],[RSD]]))</f>
        <v/>
      </c>
      <c r="AN247" s="220" t="str">
        <f>IF(Buildings_Heat_Frontend[[#This Row],[Data]]="","", Buildings_Heat_Backend[[#This Row],[Total (tCO2e)]]*(1+Buildings_Heat_Backend[[#This Row],[RSD]]))</f>
        <v/>
      </c>
      <c r="AO247" s="210" t="str">
        <f>IF(Buildings_Heat_Frontend[[#This Row],[Data]]="","", _xlfn.XLOOKUP(_xlfn.CONCAT(Buildings_Heat_Backend[[#This Row],[Level 1]:[Level 6]]),rng_EFConcat,rng_EFOOS)*Buildings_Heat_Backend[[#This Row],[Converted data]]/1000)</f>
        <v/>
      </c>
      <c r="AP247" s="174">
        <f>Buildings_Heat_Frontend[[#This Row],[Ease of collection]]</f>
        <v>0</v>
      </c>
      <c r="AQ247" s="174">
        <f>Buildings_Heat_Frontend[[#This Row],[Completeness]]</f>
        <v>0</v>
      </c>
      <c r="AR247" s="174">
        <f>Buildings_Heat_Frontend[[#This Row],[Notes]]</f>
        <v>0</v>
      </c>
    </row>
    <row r="248" spans="5:44" x14ac:dyDescent="0.3">
      <c r="E248" s="346"/>
      <c r="F248" s="364"/>
      <c r="G248" s="336"/>
      <c r="H248" s="336"/>
      <c r="I248" s="336"/>
      <c r="J248" s="334"/>
      <c r="K248" s="336"/>
      <c r="L248" s="336"/>
      <c r="M248" s="336"/>
      <c r="N248" s="352"/>
      <c r="O248" s="230">
        <f t="shared" si="11"/>
        <v>6</v>
      </c>
      <c r="Q248" s="212" t="str">
        <f t="shared" si="9"/>
        <v/>
      </c>
      <c r="R248" s="174" t="s">
        <v>265</v>
      </c>
      <c r="S248" s="174" t="s">
        <v>273</v>
      </c>
      <c r="T248" s="174" t="str">
        <f>IF(Buildings_Heat_Frontend[[#This Row],[Data]]="","", _xlfn.XLOOKUP(Buildings_Heat_Backend[[#This Row],[Info 1]],Buildings_SiteInfo[Site name],Buildings_SiteInfo[Site type]))</f>
        <v/>
      </c>
      <c r="U248" s="174" t="str">
        <f>IF(Buildings_Heat_Frontend[[#This Row],[Data]]="","", Buildings_Heat_Frontend[[#This Row],[Heating Type]])</f>
        <v/>
      </c>
      <c r="V248" s="174" t="str">
        <f>IF(Buildings_Heat_Frontend[[#This Row],[Data]]="","", Buildings_Heat_Frontend[[#This Row],[Fuel]])</f>
        <v/>
      </c>
      <c r="W248" s="174" t="str" cm="1">
        <f t="array" ref="W248">IF(Buildings_Heat_Frontend[[#This Row],[Data]]="","", _xlfn.XLOOKUP(Buildings_Heat_Backend[[#This Row],[Level 5]],rng_Level5Long,rng_Level6Long))</f>
        <v/>
      </c>
      <c r="X248" s="174" t="str">
        <f>IF(Buildings_Heat_Frontend[[#This Row],[Data]]="","", Buildings_Heat_Frontend[[#This Row],[Site Name]])</f>
        <v/>
      </c>
      <c r="Y248" s="174" t="str">
        <f>IF(Buildings_Heat_Frontend[[#This Row],[Data]]="","", Buildings_Heat_Frontend[[#This Row],[MPRN]])</f>
        <v/>
      </c>
      <c r="Z248" s="174" t="str">
        <f>IF(Buildings_Heat_Frontend[[#This Row],[Data]]="","", IF($I248="","",$I248))</f>
        <v/>
      </c>
      <c r="AA248" s="229" t="str" cm="1">
        <f t="array" ref="AA248">IF(Buildings_Heat_Frontend[[#This Row],[Data]]="","", INDEX(_xlfn.SWITCH(Buildings_Heat_Backend[[#This Row],[Methodology]],"Tier 1",rng_RSD1,"Tier 2",rng_RSD2,"Tier 3",rng_RSD3),MATCH(_xlfn.CONCAT(Buildings_Heat_Backend[[#This Row],[Level 1]:[Level 6]]),rng_LevelsConcat,0)))</f>
        <v/>
      </c>
      <c r="AB248" s="220" t="str">
        <f t="shared" si="10"/>
        <v/>
      </c>
      <c r="AC248" s="174">
        <f>Buildings_Heat_Frontend[[#This Row],[Units]]</f>
        <v>0</v>
      </c>
      <c r="AD24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8" s="174" t="str">
        <f>IF(Buildings_Heat_Frontend[[#This Row],[Data]]="","", _xlfn.XLOOKUP(_xlfn.CONCAT(Buildings_Heat_Backend[[#This Row],[Level 1]:[Level 6]]),rng_LevelsConcat,rng_UnitsLong))</f>
        <v/>
      </c>
      <c r="AF248" s="210" t="str">
        <f>IF(Buildings_Heat_Frontend[[#This Row],[Data]]="","", _xlfn.XLOOKUP(_xlfn.CONCAT(Buildings_Heat_Backend[[#This Row],[Level 1]:[Level 6]]),rng_EFConcat,rng_EF1)*Buildings_Heat_Backend[[#This Row],[Converted data]]/1000)</f>
        <v/>
      </c>
      <c r="AG248" s="210" t="str">
        <f>IF(Buildings_Heat_Frontend[[#This Row],[Data]]="","", _xlfn.XLOOKUP(_xlfn.CONCAT(Buildings_Heat_Backend[[#This Row],[Level 1]:[Level 6]]),rng_EFConcat,rng_EF2)*Buildings_Heat_Backend[[#This Row],[Converted data]]/1000)</f>
        <v/>
      </c>
      <c r="AH248" s="210" t="str">
        <f>IF(Buildings_Heat_Frontend[[#This Row],[Data]]="","", _xlfn.XLOOKUP(_xlfn.CONCAT(Buildings_Heat_Backend[[#This Row],[Level 1]:[Level 6]]),rng_EFConcat,rng_EF3)*Buildings_Heat_Backend[[#This Row],[Converted data]]/1000)</f>
        <v/>
      </c>
      <c r="AI248" s="210" t="str">
        <f>IF(Buildings_Heat_Frontend[[#This Row],[Data]]="","", _xlfn.XLOOKUP(_xlfn.CONCAT(Buildings_Heat_Backend[[#This Row],[Level 1]:[Level 6]]),rng_EFConcat,rng_EF3WTT)*Buildings_Heat_Backend[[#This Row],[Converted data]]/1000)</f>
        <v/>
      </c>
      <c r="AJ248" s="210" t="str">
        <f>IF(Buildings_Heat_Frontend[[#This Row],[Data]]="","", _xlfn.XLOOKUP(_xlfn.CONCAT(Buildings_Heat_Backend[[#This Row],[Level 1]:[Level 6]]),rng_EFConcat,rng_EF3TD)*Buildings_Heat_Backend[[#This Row],[Converted data]]/1000)</f>
        <v/>
      </c>
      <c r="AK248" s="210" t="str">
        <f>IF(Buildings_Heat_Frontend[[#This Row],[Data]]="","", _xlfn.XLOOKUP(_xlfn.CONCAT(Buildings_Heat_Backend[[#This Row],[Level 1]:[Level 6]]),rng_EFConcat,rng_EF3WTTTD)*Buildings_Heat_Backend[[#This Row],[Converted data]]/1000)</f>
        <v/>
      </c>
      <c r="AL248" s="220">
        <f>SUM(Buildings_Heat_Backend[[#This Row],[Scope 1 (tCO2e)]:[Scope 3 WTT T&amp;D (tCO2e)]])</f>
        <v>0</v>
      </c>
      <c r="AM248" s="220" t="str">
        <f>IF(Buildings_Heat_Frontend[[#This Row],[Data]]="","", Buildings_Heat_Backend[[#This Row],[Total (tCO2e)]]*(1-Buildings_Heat_Backend[[#This Row],[RSD]]))</f>
        <v/>
      </c>
      <c r="AN248" s="220" t="str">
        <f>IF(Buildings_Heat_Frontend[[#This Row],[Data]]="","", Buildings_Heat_Backend[[#This Row],[Total (tCO2e)]]*(1+Buildings_Heat_Backend[[#This Row],[RSD]]))</f>
        <v/>
      </c>
      <c r="AO248" s="210" t="str">
        <f>IF(Buildings_Heat_Frontend[[#This Row],[Data]]="","", _xlfn.XLOOKUP(_xlfn.CONCAT(Buildings_Heat_Backend[[#This Row],[Level 1]:[Level 6]]),rng_EFConcat,rng_EFOOS)*Buildings_Heat_Backend[[#This Row],[Converted data]]/1000)</f>
        <v/>
      </c>
      <c r="AP248" s="174">
        <f>Buildings_Heat_Frontend[[#This Row],[Ease of collection]]</f>
        <v>0</v>
      </c>
      <c r="AQ248" s="174">
        <f>Buildings_Heat_Frontend[[#This Row],[Completeness]]</f>
        <v>0</v>
      </c>
      <c r="AR248" s="174">
        <f>Buildings_Heat_Frontend[[#This Row],[Notes]]</f>
        <v>0</v>
      </c>
    </row>
    <row r="249" spans="5:44" x14ac:dyDescent="0.3">
      <c r="E249" s="346"/>
      <c r="F249" s="364"/>
      <c r="G249" s="336"/>
      <c r="H249" s="336"/>
      <c r="I249" s="336"/>
      <c r="J249" s="334"/>
      <c r="K249" s="336"/>
      <c r="L249" s="336"/>
      <c r="M249" s="336"/>
      <c r="N249" s="352"/>
      <c r="O249" s="230">
        <f t="shared" si="11"/>
        <v>6</v>
      </c>
      <c r="Q249" s="212" t="str">
        <f t="shared" si="9"/>
        <v/>
      </c>
      <c r="R249" s="174" t="s">
        <v>265</v>
      </c>
      <c r="S249" s="174" t="s">
        <v>273</v>
      </c>
      <c r="T249" s="174" t="str">
        <f>IF(Buildings_Heat_Frontend[[#This Row],[Data]]="","", _xlfn.XLOOKUP(Buildings_Heat_Backend[[#This Row],[Info 1]],Buildings_SiteInfo[Site name],Buildings_SiteInfo[Site type]))</f>
        <v/>
      </c>
      <c r="U249" s="174" t="str">
        <f>IF(Buildings_Heat_Frontend[[#This Row],[Data]]="","", Buildings_Heat_Frontend[[#This Row],[Heating Type]])</f>
        <v/>
      </c>
      <c r="V249" s="174" t="str">
        <f>IF(Buildings_Heat_Frontend[[#This Row],[Data]]="","", Buildings_Heat_Frontend[[#This Row],[Fuel]])</f>
        <v/>
      </c>
      <c r="W249" s="174" t="str" cm="1">
        <f t="array" ref="W249">IF(Buildings_Heat_Frontend[[#This Row],[Data]]="","", _xlfn.XLOOKUP(Buildings_Heat_Backend[[#This Row],[Level 5]],rng_Level5Long,rng_Level6Long))</f>
        <v/>
      </c>
      <c r="X249" s="174" t="str">
        <f>IF(Buildings_Heat_Frontend[[#This Row],[Data]]="","", Buildings_Heat_Frontend[[#This Row],[Site Name]])</f>
        <v/>
      </c>
      <c r="Y249" s="174" t="str">
        <f>IF(Buildings_Heat_Frontend[[#This Row],[Data]]="","", Buildings_Heat_Frontend[[#This Row],[MPRN]])</f>
        <v/>
      </c>
      <c r="Z249" s="174" t="str">
        <f>IF(Buildings_Heat_Frontend[[#This Row],[Data]]="","", IF($I249="","",$I249))</f>
        <v/>
      </c>
      <c r="AA249" s="229" t="str" cm="1">
        <f t="array" ref="AA249">IF(Buildings_Heat_Frontend[[#This Row],[Data]]="","", INDEX(_xlfn.SWITCH(Buildings_Heat_Backend[[#This Row],[Methodology]],"Tier 1",rng_RSD1,"Tier 2",rng_RSD2,"Tier 3",rng_RSD3),MATCH(_xlfn.CONCAT(Buildings_Heat_Backend[[#This Row],[Level 1]:[Level 6]]),rng_LevelsConcat,0)))</f>
        <v/>
      </c>
      <c r="AB249" s="220" t="str">
        <f t="shared" si="10"/>
        <v/>
      </c>
      <c r="AC249" s="174">
        <f>Buildings_Heat_Frontend[[#This Row],[Units]]</f>
        <v>0</v>
      </c>
      <c r="AD24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49" s="174" t="str">
        <f>IF(Buildings_Heat_Frontend[[#This Row],[Data]]="","", _xlfn.XLOOKUP(_xlfn.CONCAT(Buildings_Heat_Backend[[#This Row],[Level 1]:[Level 6]]),rng_LevelsConcat,rng_UnitsLong))</f>
        <v/>
      </c>
      <c r="AF249" s="210" t="str">
        <f>IF(Buildings_Heat_Frontend[[#This Row],[Data]]="","", _xlfn.XLOOKUP(_xlfn.CONCAT(Buildings_Heat_Backend[[#This Row],[Level 1]:[Level 6]]),rng_EFConcat,rng_EF1)*Buildings_Heat_Backend[[#This Row],[Converted data]]/1000)</f>
        <v/>
      </c>
      <c r="AG249" s="210" t="str">
        <f>IF(Buildings_Heat_Frontend[[#This Row],[Data]]="","", _xlfn.XLOOKUP(_xlfn.CONCAT(Buildings_Heat_Backend[[#This Row],[Level 1]:[Level 6]]),rng_EFConcat,rng_EF2)*Buildings_Heat_Backend[[#This Row],[Converted data]]/1000)</f>
        <v/>
      </c>
      <c r="AH249" s="210" t="str">
        <f>IF(Buildings_Heat_Frontend[[#This Row],[Data]]="","", _xlfn.XLOOKUP(_xlfn.CONCAT(Buildings_Heat_Backend[[#This Row],[Level 1]:[Level 6]]),rng_EFConcat,rng_EF3)*Buildings_Heat_Backend[[#This Row],[Converted data]]/1000)</f>
        <v/>
      </c>
      <c r="AI249" s="210" t="str">
        <f>IF(Buildings_Heat_Frontend[[#This Row],[Data]]="","", _xlfn.XLOOKUP(_xlfn.CONCAT(Buildings_Heat_Backend[[#This Row],[Level 1]:[Level 6]]),rng_EFConcat,rng_EF3WTT)*Buildings_Heat_Backend[[#This Row],[Converted data]]/1000)</f>
        <v/>
      </c>
      <c r="AJ249" s="210" t="str">
        <f>IF(Buildings_Heat_Frontend[[#This Row],[Data]]="","", _xlfn.XLOOKUP(_xlfn.CONCAT(Buildings_Heat_Backend[[#This Row],[Level 1]:[Level 6]]),rng_EFConcat,rng_EF3TD)*Buildings_Heat_Backend[[#This Row],[Converted data]]/1000)</f>
        <v/>
      </c>
      <c r="AK249" s="210" t="str">
        <f>IF(Buildings_Heat_Frontend[[#This Row],[Data]]="","", _xlfn.XLOOKUP(_xlfn.CONCAT(Buildings_Heat_Backend[[#This Row],[Level 1]:[Level 6]]),rng_EFConcat,rng_EF3WTTTD)*Buildings_Heat_Backend[[#This Row],[Converted data]]/1000)</f>
        <v/>
      </c>
      <c r="AL249" s="220">
        <f>SUM(Buildings_Heat_Backend[[#This Row],[Scope 1 (tCO2e)]:[Scope 3 WTT T&amp;D (tCO2e)]])</f>
        <v>0</v>
      </c>
      <c r="AM249" s="220" t="str">
        <f>IF(Buildings_Heat_Frontend[[#This Row],[Data]]="","", Buildings_Heat_Backend[[#This Row],[Total (tCO2e)]]*(1-Buildings_Heat_Backend[[#This Row],[RSD]]))</f>
        <v/>
      </c>
      <c r="AN249" s="220" t="str">
        <f>IF(Buildings_Heat_Frontend[[#This Row],[Data]]="","", Buildings_Heat_Backend[[#This Row],[Total (tCO2e)]]*(1+Buildings_Heat_Backend[[#This Row],[RSD]]))</f>
        <v/>
      </c>
      <c r="AO249" s="210" t="str">
        <f>IF(Buildings_Heat_Frontend[[#This Row],[Data]]="","", _xlfn.XLOOKUP(_xlfn.CONCAT(Buildings_Heat_Backend[[#This Row],[Level 1]:[Level 6]]),rng_EFConcat,rng_EFOOS)*Buildings_Heat_Backend[[#This Row],[Converted data]]/1000)</f>
        <v/>
      </c>
      <c r="AP249" s="174">
        <f>Buildings_Heat_Frontend[[#This Row],[Ease of collection]]</f>
        <v>0</v>
      </c>
      <c r="AQ249" s="174">
        <f>Buildings_Heat_Frontend[[#This Row],[Completeness]]</f>
        <v>0</v>
      </c>
      <c r="AR249" s="174">
        <f>Buildings_Heat_Frontend[[#This Row],[Notes]]</f>
        <v>0</v>
      </c>
    </row>
    <row r="250" spans="5:44" x14ac:dyDescent="0.3">
      <c r="E250" s="346"/>
      <c r="F250" s="364"/>
      <c r="G250" s="336"/>
      <c r="H250" s="336"/>
      <c r="I250" s="336"/>
      <c r="J250" s="334"/>
      <c r="K250" s="336"/>
      <c r="L250" s="336"/>
      <c r="M250" s="336"/>
      <c r="N250" s="352"/>
      <c r="O250" s="230">
        <f t="shared" si="11"/>
        <v>6</v>
      </c>
      <c r="Q250" s="212" t="str">
        <f t="shared" si="9"/>
        <v/>
      </c>
      <c r="R250" s="174" t="s">
        <v>265</v>
      </c>
      <c r="S250" s="174" t="s">
        <v>273</v>
      </c>
      <c r="T250" s="174" t="str">
        <f>IF(Buildings_Heat_Frontend[[#This Row],[Data]]="","", _xlfn.XLOOKUP(Buildings_Heat_Backend[[#This Row],[Info 1]],Buildings_SiteInfo[Site name],Buildings_SiteInfo[Site type]))</f>
        <v/>
      </c>
      <c r="U250" s="174" t="str">
        <f>IF(Buildings_Heat_Frontend[[#This Row],[Data]]="","", Buildings_Heat_Frontend[[#This Row],[Heating Type]])</f>
        <v/>
      </c>
      <c r="V250" s="174" t="str">
        <f>IF(Buildings_Heat_Frontend[[#This Row],[Data]]="","", Buildings_Heat_Frontend[[#This Row],[Fuel]])</f>
        <v/>
      </c>
      <c r="W250" s="174" t="str" cm="1">
        <f t="array" ref="W250">IF(Buildings_Heat_Frontend[[#This Row],[Data]]="","", _xlfn.XLOOKUP(Buildings_Heat_Backend[[#This Row],[Level 5]],rng_Level5Long,rng_Level6Long))</f>
        <v/>
      </c>
      <c r="X250" s="174" t="str">
        <f>IF(Buildings_Heat_Frontend[[#This Row],[Data]]="","", Buildings_Heat_Frontend[[#This Row],[Site Name]])</f>
        <v/>
      </c>
      <c r="Y250" s="174" t="str">
        <f>IF(Buildings_Heat_Frontend[[#This Row],[Data]]="","", Buildings_Heat_Frontend[[#This Row],[MPRN]])</f>
        <v/>
      </c>
      <c r="Z250" s="174" t="str">
        <f>IF(Buildings_Heat_Frontend[[#This Row],[Data]]="","", IF($I250="","",$I250))</f>
        <v/>
      </c>
      <c r="AA250" s="229" t="str" cm="1">
        <f t="array" ref="AA250">IF(Buildings_Heat_Frontend[[#This Row],[Data]]="","", INDEX(_xlfn.SWITCH(Buildings_Heat_Backend[[#This Row],[Methodology]],"Tier 1",rng_RSD1,"Tier 2",rng_RSD2,"Tier 3",rng_RSD3),MATCH(_xlfn.CONCAT(Buildings_Heat_Backend[[#This Row],[Level 1]:[Level 6]]),rng_LevelsConcat,0)))</f>
        <v/>
      </c>
      <c r="AB250" s="220" t="str">
        <f t="shared" si="10"/>
        <v/>
      </c>
      <c r="AC250" s="174">
        <f>Buildings_Heat_Frontend[[#This Row],[Units]]</f>
        <v>0</v>
      </c>
      <c r="AD25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0" s="174" t="str">
        <f>IF(Buildings_Heat_Frontend[[#This Row],[Data]]="","", _xlfn.XLOOKUP(_xlfn.CONCAT(Buildings_Heat_Backend[[#This Row],[Level 1]:[Level 6]]),rng_LevelsConcat,rng_UnitsLong))</f>
        <v/>
      </c>
      <c r="AF250" s="210" t="str">
        <f>IF(Buildings_Heat_Frontend[[#This Row],[Data]]="","", _xlfn.XLOOKUP(_xlfn.CONCAT(Buildings_Heat_Backend[[#This Row],[Level 1]:[Level 6]]),rng_EFConcat,rng_EF1)*Buildings_Heat_Backend[[#This Row],[Converted data]]/1000)</f>
        <v/>
      </c>
      <c r="AG250" s="210" t="str">
        <f>IF(Buildings_Heat_Frontend[[#This Row],[Data]]="","", _xlfn.XLOOKUP(_xlfn.CONCAT(Buildings_Heat_Backend[[#This Row],[Level 1]:[Level 6]]),rng_EFConcat,rng_EF2)*Buildings_Heat_Backend[[#This Row],[Converted data]]/1000)</f>
        <v/>
      </c>
      <c r="AH250" s="210" t="str">
        <f>IF(Buildings_Heat_Frontend[[#This Row],[Data]]="","", _xlfn.XLOOKUP(_xlfn.CONCAT(Buildings_Heat_Backend[[#This Row],[Level 1]:[Level 6]]),rng_EFConcat,rng_EF3)*Buildings_Heat_Backend[[#This Row],[Converted data]]/1000)</f>
        <v/>
      </c>
      <c r="AI250" s="210" t="str">
        <f>IF(Buildings_Heat_Frontend[[#This Row],[Data]]="","", _xlfn.XLOOKUP(_xlfn.CONCAT(Buildings_Heat_Backend[[#This Row],[Level 1]:[Level 6]]),rng_EFConcat,rng_EF3WTT)*Buildings_Heat_Backend[[#This Row],[Converted data]]/1000)</f>
        <v/>
      </c>
      <c r="AJ250" s="210" t="str">
        <f>IF(Buildings_Heat_Frontend[[#This Row],[Data]]="","", _xlfn.XLOOKUP(_xlfn.CONCAT(Buildings_Heat_Backend[[#This Row],[Level 1]:[Level 6]]),rng_EFConcat,rng_EF3TD)*Buildings_Heat_Backend[[#This Row],[Converted data]]/1000)</f>
        <v/>
      </c>
      <c r="AK250" s="210" t="str">
        <f>IF(Buildings_Heat_Frontend[[#This Row],[Data]]="","", _xlfn.XLOOKUP(_xlfn.CONCAT(Buildings_Heat_Backend[[#This Row],[Level 1]:[Level 6]]),rng_EFConcat,rng_EF3WTTTD)*Buildings_Heat_Backend[[#This Row],[Converted data]]/1000)</f>
        <v/>
      </c>
      <c r="AL250" s="220">
        <f>SUM(Buildings_Heat_Backend[[#This Row],[Scope 1 (tCO2e)]:[Scope 3 WTT T&amp;D (tCO2e)]])</f>
        <v>0</v>
      </c>
      <c r="AM250" s="220" t="str">
        <f>IF(Buildings_Heat_Frontend[[#This Row],[Data]]="","", Buildings_Heat_Backend[[#This Row],[Total (tCO2e)]]*(1-Buildings_Heat_Backend[[#This Row],[RSD]]))</f>
        <v/>
      </c>
      <c r="AN250" s="220" t="str">
        <f>IF(Buildings_Heat_Frontend[[#This Row],[Data]]="","", Buildings_Heat_Backend[[#This Row],[Total (tCO2e)]]*(1+Buildings_Heat_Backend[[#This Row],[RSD]]))</f>
        <v/>
      </c>
      <c r="AO250" s="210" t="str">
        <f>IF(Buildings_Heat_Frontend[[#This Row],[Data]]="","", _xlfn.XLOOKUP(_xlfn.CONCAT(Buildings_Heat_Backend[[#This Row],[Level 1]:[Level 6]]),rng_EFConcat,rng_EFOOS)*Buildings_Heat_Backend[[#This Row],[Converted data]]/1000)</f>
        <v/>
      </c>
      <c r="AP250" s="174">
        <f>Buildings_Heat_Frontend[[#This Row],[Ease of collection]]</f>
        <v>0</v>
      </c>
      <c r="AQ250" s="174">
        <f>Buildings_Heat_Frontend[[#This Row],[Completeness]]</f>
        <v>0</v>
      </c>
      <c r="AR250" s="174">
        <f>Buildings_Heat_Frontend[[#This Row],[Notes]]</f>
        <v>0</v>
      </c>
    </row>
    <row r="251" spans="5:44" x14ac:dyDescent="0.3">
      <c r="E251" s="346"/>
      <c r="F251" s="364"/>
      <c r="G251" s="336"/>
      <c r="H251" s="336"/>
      <c r="I251" s="336"/>
      <c r="J251" s="334"/>
      <c r="K251" s="336"/>
      <c r="L251" s="336"/>
      <c r="M251" s="336"/>
      <c r="N251" s="352"/>
      <c r="O251" s="230">
        <f t="shared" si="11"/>
        <v>6</v>
      </c>
      <c r="Q251" s="212" t="str">
        <f t="shared" si="9"/>
        <v/>
      </c>
      <c r="R251" s="174" t="s">
        <v>265</v>
      </c>
      <c r="S251" s="174" t="s">
        <v>273</v>
      </c>
      <c r="T251" s="174" t="str">
        <f>IF(Buildings_Heat_Frontend[[#This Row],[Data]]="","", _xlfn.XLOOKUP(Buildings_Heat_Backend[[#This Row],[Info 1]],Buildings_SiteInfo[Site name],Buildings_SiteInfo[Site type]))</f>
        <v/>
      </c>
      <c r="U251" s="174" t="str">
        <f>IF(Buildings_Heat_Frontend[[#This Row],[Data]]="","", Buildings_Heat_Frontend[[#This Row],[Heating Type]])</f>
        <v/>
      </c>
      <c r="V251" s="174" t="str">
        <f>IF(Buildings_Heat_Frontend[[#This Row],[Data]]="","", Buildings_Heat_Frontend[[#This Row],[Fuel]])</f>
        <v/>
      </c>
      <c r="W251" s="174" t="str" cm="1">
        <f t="array" ref="W251">IF(Buildings_Heat_Frontend[[#This Row],[Data]]="","", _xlfn.XLOOKUP(Buildings_Heat_Backend[[#This Row],[Level 5]],rng_Level5Long,rng_Level6Long))</f>
        <v/>
      </c>
      <c r="X251" s="174" t="str">
        <f>IF(Buildings_Heat_Frontend[[#This Row],[Data]]="","", Buildings_Heat_Frontend[[#This Row],[Site Name]])</f>
        <v/>
      </c>
      <c r="Y251" s="174" t="str">
        <f>IF(Buildings_Heat_Frontend[[#This Row],[Data]]="","", Buildings_Heat_Frontend[[#This Row],[MPRN]])</f>
        <v/>
      </c>
      <c r="Z251" s="174" t="str">
        <f>IF(Buildings_Heat_Frontend[[#This Row],[Data]]="","", IF($I251="","",$I251))</f>
        <v/>
      </c>
      <c r="AA251" s="229" t="str" cm="1">
        <f t="array" ref="AA251">IF(Buildings_Heat_Frontend[[#This Row],[Data]]="","", INDEX(_xlfn.SWITCH(Buildings_Heat_Backend[[#This Row],[Methodology]],"Tier 1",rng_RSD1,"Tier 2",rng_RSD2,"Tier 3",rng_RSD3),MATCH(_xlfn.CONCAT(Buildings_Heat_Backend[[#This Row],[Level 1]:[Level 6]]),rng_LevelsConcat,0)))</f>
        <v/>
      </c>
      <c r="AB251" s="220" t="str">
        <f t="shared" si="10"/>
        <v/>
      </c>
      <c r="AC251" s="174">
        <f>Buildings_Heat_Frontend[[#This Row],[Units]]</f>
        <v>0</v>
      </c>
      <c r="AD25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1" s="174" t="str">
        <f>IF(Buildings_Heat_Frontend[[#This Row],[Data]]="","", _xlfn.XLOOKUP(_xlfn.CONCAT(Buildings_Heat_Backend[[#This Row],[Level 1]:[Level 6]]),rng_LevelsConcat,rng_UnitsLong))</f>
        <v/>
      </c>
      <c r="AF251" s="210" t="str">
        <f>IF(Buildings_Heat_Frontend[[#This Row],[Data]]="","", _xlfn.XLOOKUP(_xlfn.CONCAT(Buildings_Heat_Backend[[#This Row],[Level 1]:[Level 6]]),rng_EFConcat,rng_EF1)*Buildings_Heat_Backend[[#This Row],[Converted data]]/1000)</f>
        <v/>
      </c>
      <c r="AG251" s="210" t="str">
        <f>IF(Buildings_Heat_Frontend[[#This Row],[Data]]="","", _xlfn.XLOOKUP(_xlfn.CONCAT(Buildings_Heat_Backend[[#This Row],[Level 1]:[Level 6]]),rng_EFConcat,rng_EF2)*Buildings_Heat_Backend[[#This Row],[Converted data]]/1000)</f>
        <v/>
      </c>
      <c r="AH251" s="210" t="str">
        <f>IF(Buildings_Heat_Frontend[[#This Row],[Data]]="","", _xlfn.XLOOKUP(_xlfn.CONCAT(Buildings_Heat_Backend[[#This Row],[Level 1]:[Level 6]]),rng_EFConcat,rng_EF3)*Buildings_Heat_Backend[[#This Row],[Converted data]]/1000)</f>
        <v/>
      </c>
      <c r="AI251" s="210" t="str">
        <f>IF(Buildings_Heat_Frontend[[#This Row],[Data]]="","", _xlfn.XLOOKUP(_xlfn.CONCAT(Buildings_Heat_Backend[[#This Row],[Level 1]:[Level 6]]),rng_EFConcat,rng_EF3WTT)*Buildings_Heat_Backend[[#This Row],[Converted data]]/1000)</f>
        <v/>
      </c>
      <c r="AJ251" s="210" t="str">
        <f>IF(Buildings_Heat_Frontend[[#This Row],[Data]]="","", _xlfn.XLOOKUP(_xlfn.CONCAT(Buildings_Heat_Backend[[#This Row],[Level 1]:[Level 6]]),rng_EFConcat,rng_EF3TD)*Buildings_Heat_Backend[[#This Row],[Converted data]]/1000)</f>
        <v/>
      </c>
      <c r="AK251" s="210" t="str">
        <f>IF(Buildings_Heat_Frontend[[#This Row],[Data]]="","", _xlfn.XLOOKUP(_xlfn.CONCAT(Buildings_Heat_Backend[[#This Row],[Level 1]:[Level 6]]),rng_EFConcat,rng_EF3WTTTD)*Buildings_Heat_Backend[[#This Row],[Converted data]]/1000)</f>
        <v/>
      </c>
      <c r="AL251" s="220">
        <f>SUM(Buildings_Heat_Backend[[#This Row],[Scope 1 (tCO2e)]:[Scope 3 WTT T&amp;D (tCO2e)]])</f>
        <v>0</v>
      </c>
      <c r="AM251" s="220" t="str">
        <f>IF(Buildings_Heat_Frontend[[#This Row],[Data]]="","", Buildings_Heat_Backend[[#This Row],[Total (tCO2e)]]*(1-Buildings_Heat_Backend[[#This Row],[RSD]]))</f>
        <v/>
      </c>
      <c r="AN251" s="220" t="str">
        <f>IF(Buildings_Heat_Frontend[[#This Row],[Data]]="","", Buildings_Heat_Backend[[#This Row],[Total (tCO2e)]]*(1+Buildings_Heat_Backend[[#This Row],[RSD]]))</f>
        <v/>
      </c>
      <c r="AO251" s="210" t="str">
        <f>IF(Buildings_Heat_Frontend[[#This Row],[Data]]="","", _xlfn.XLOOKUP(_xlfn.CONCAT(Buildings_Heat_Backend[[#This Row],[Level 1]:[Level 6]]),rng_EFConcat,rng_EFOOS)*Buildings_Heat_Backend[[#This Row],[Converted data]]/1000)</f>
        <v/>
      </c>
      <c r="AP251" s="174">
        <f>Buildings_Heat_Frontend[[#This Row],[Ease of collection]]</f>
        <v>0</v>
      </c>
      <c r="AQ251" s="174">
        <f>Buildings_Heat_Frontend[[#This Row],[Completeness]]</f>
        <v>0</v>
      </c>
      <c r="AR251" s="174">
        <f>Buildings_Heat_Frontend[[#This Row],[Notes]]</f>
        <v>0</v>
      </c>
    </row>
    <row r="252" spans="5:44" x14ac:dyDescent="0.3">
      <c r="E252" s="346"/>
      <c r="F252" s="364"/>
      <c r="G252" s="336"/>
      <c r="H252" s="336"/>
      <c r="I252" s="336"/>
      <c r="J252" s="334"/>
      <c r="K252" s="336"/>
      <c r="L252" s="336"/>
      <c r="M252" s="336"/>
      <c r="N252" s="352"/>
      <c r="O252" s="230">
        <f t="shared" si="11"/>
        <v>6</v>
      </c>
      <c r="Q252" s="212" t="str">
        <f t="shared" si="9"/>
        <v/>
      </c>
      <c r="R252" s="174" t="s">
        <v>265</v>
      </c>
      <c r="S252" s="174" t="s">
        <v>273</v>
      </c>
      <c r="T252" s="174" t="str">
        <f>IF(Buildings_Heat_Frontend[[#This Row],[Data]]="","", _xlfn.XLOOKUP(Buildings_Heat_Backend[[#This Row],[Info 1]],Buildings_SiteInfo[Site name],Buildings_SiteInfo[Site type]))</f>
        <v/>
      </c>
      <c r="U252" s="174" t="str">
        <f>IF(Buildings_Heat_Frontend[[#This Row],[Data]]="","", Buildings_Heat_Frontend[[#This Row],[Heating Type]])</f>
        <v/>
      </c>
      <c r="V252" s="174" t="str">
        <f>IF(Buildings_Heat_Frontend[[#This Row],[Data]]="","", Buildings_Heat_Frontend[[#This Row],[Fuel]])</f>
        <v/>
      </c>
      <c r="W252" s="174" t="str" cm="1">
        <f t="array" ref="W252">IF(Buildings_Heat_Frontend[[#This Row],[Data]]="","", _xlfn.XLOOKUP(Buildings_Heat_Backend[[#This Row],[Level 5]],rng_Level5Long,rng_Level6Long))</f>
        <v/>
      </c>
      <c r="X252" s="174" t="str">
        <f>IF(Buildings_Heat_Frontend[[#This Row],[Data]]="","", Buildings_Heat_Frontend[[#This Row],[Site Name]])</f>
        <v/>
      </c>
      <c r="Y252" s="174" t="str">
        <f>IF(Buildings_Heat_Frontend[[#This Row],[Data]]="","", Buildings_Heat_Frontend[[#This Row],[MPRN]])</f>
        <v/>
      </c>
      <c r="Z252" s="174" t="str">
        <f>IF(Buildings_Heat_Frontend[[#This Row],[Data]]="","", IF($I252="","",$I252))</f>
        <v/>
      </c>
      <c r="AA252" s="229" t="str" cm="1">
        <f t="array" ref="AA252">IF(Buildings_Heat_Frontend[[#This Row],[Data]]="","", INDEX(_xlfn.SWITCH(Buildings_Heat_Backend[[#This Row],[Methodology]],"Tier 1",rng_RSD1,"Tier 2",rng_RSD2,"Tier 3",rng_RSD3),MATCH(_xlfn.CONCAT(Buildings_Heat_Backend[[#This Row],[Level 1]:[Level 6]]),rng_LevelsConcat,0)))</f>
        <v/>
      </c>
      <c r="AB252" s="220" t="str">
        <f t="shared" si="10"/>
        <v/>
      </c>
      <c r="AC252" s="174">
        <f>Buildings_Heat_Frontend[[#This Row],[Units]]</f>
        <v>0</v>
      </c>
      <c r="AD25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2" s="174" t="str">
        <f>IF(Buildings_Heat_Frontend[[#This Row],[Data]]="","", _xlfn.XLOOKUP(_xlfn.CONCAT(Buildings_Heat_Backend[[#This Row],[Level 1]:[Level 6]]),rng_LevelsConcat,rng_UnitsLong))</f>
        <v/>
      </c>
      <c r="AF252" s="210" t="str">
        <f>IF(Buildings_Heat_Frontend[[#This Row],[Data]]="","", _xlfn.XLOOKUP(_xlfn.CONCAT(Buildings_Heat_Backend[[#This Row],[Level 1]:[Level 6]]),rng_EFConcat,rng_EF1)*Buildings_Heat_Backend[[#This Row],[Converted data]]/1000)</f>
        <v/>
      </c>
      <c r="AG252" s="210" t="str">
        <f>IF(Buildings_Heat_Frontend[[#This Row],[Data]]="","", _xlfn.XLOOKUP(_xlfn.CONCAT(Buildings_Heat_Backend[[#This Row],[Level 1]:[Level 6]]),rng_EFConcat,rng_EF2)*Buildings_Heat_Backend[[#This Row],[Converted data]]/1000)</f>
        <v/>
      </c>
      <c r="AH252" s="210" t="str">
        <f>IF(Buildings_Heat_Frontend[[#This Row],[Data]]="","", _xlfn.XLOOKUP(_xlfn.CONCAT(Buildings_Heat_Backend[[#This Row],[Level 1]:[Level 6]]),rng_EFConcat,rng_EF3)*Buildings_Heat_Backend[[#This Row],[Converted data]]/1000)</f>
        <v/>
      </c>
      <c r="AI252" s="210" t="str">
        <f>IF(Buildings_Heat_Frontend[[#This Row],[Data]]="","", _xlfn.XLOOKUP(_xlfn.CONCAT(Buildings_Heat_Backend[[#This Row],[Level 1]:[Level 6]]),rng_EFConcat,rng_EF3WTT)*Buildings_Heat_Backend[[#This Row],[Converted data]]/1000)</f>
        <v/>
      </c>
      <c r="AJ252" s="210" t="str">
        <f>IF(Buildings_Heat_Frontend[[#This Row],[Data]]="","", _xlfn.XLOOKUP(_xlfn.CONCAT(Buildings_Heat_Backend[[#This Row],[Level 1]:[Level 6]]),rng_EFConcat,rng_EF3TD)*Buildings_Heat_Backend[[#This Row],[Converted data]]/1000)</f>
        <v/>
      </c>
      <c r="AK252" s="210" t="str">
        <f>IF(Buildings_Heat_Frontend[[#This Row],[Data]]="","", _xlfn.XLOOKUP(_xlfn.CONCAT(Buildings_Heat_Backend[[#This Row],[Level 1]:[Level 6]]),rng_EFConcat,rng_EF3WTTTD)*Buildings_Heat_Backend[[#This Row],[Converted data]]/1000)</f>
        <v/>
      </c>
      <c r="AL252" s="220">
        <f>SUM(Buildings_Heat_Backend[[#This Row],[Scope 1 (tCO2e)]:[Scope 3 WTT T&amp;D (tCO2e)]])</f>
        <v>0</v>
      </c>
      <c r="AM252" s="220" t="str">
        <f>IF(Buildings_Heat_Frontend[[#This Row],[Data]]="","", Buildings_Heat_Backend[[#This Row],[Total (tCO2e)]]*(1-Buildings_Heat_Backend[[#This Row],[RSD]]))</f>
        <v/>
      </c>
      <c r="AN252" s="220" t="str">
        <f>IF(Buildings_Heat_Frontend[[#This Row],[Data]]="","", Buildings_Heat_Backend[[#This Row],[Total (tCO2e)]]*(1+Buildings_Heat_Backend[[#This Row],[RSD]]))</f>
        <v/>
      </c>
      <c r="AO252" s="210" t="str">
        <f>IF(Buildings_Heat_Frontend[[#This Row],[Data]]="","", _xlfn.XLOOKUP(_xlfn.CONCAT(Buildings_Heat_Backend[[#This Row],[Level 1]:[Level 6]]),rng_EFConcat,rng_EFOOS)*Buildings_Heat_Backend[[#This Row],[Converted data]]/1000)</f>
        <v/>
      </c>
      <c r="AP252" s="174">
        <f>Buildings_Heat_Frontend[[#This Row],[Ease of collection]]</f>
        <v>0</v>
      </c>
      <c r="AQ252" s="174">
        <f>Buildings_Heat_Frontend[[#This Row],[Completeness]]</f>
        <v>0</v>
      </c>
      <c r="AR252" s="174">
        <f>Buildings_Heat_Frontend[[#This Row],[Notes]]</f>
        <v>0</v>
      </c>
    </row>
    <row r="253" spans="5:44" x14ac:dyDescent="0.3">
      <c r="E253" s="346"/>
      <c r="F253" s="364"/>
      <c r="G253" s="336"/>
      <c r="H253" s="336"/>
      <c r="I253" s="336"/>
      <c r="J253" s="334"/>
      <c r="K253" s="336"/>
      <c r="L253" s="336"/>
      <c r="M253" s="336"/>
      <c r="N253" s="352"/>
      <c r="O253" s="230">
        <f t="shared" si="11"/>
        <v>6</v>
      </c>
      <c r="Q253" s="212" t="str">
        <f t="shared" si="9"/>
        <v/>
      </c>
      <c r="R253" s="174" t="s">
        <v>265</v>
      </c>
      <c r="S253" s="174" t="s">
        <v>273</v>
      </c>
      <c r="T253" s="174" t="str">
        <f>IF(Buildings_Heat_Frontend[[#This Row],[Data]]="","", _xlfn.XLOOKUP(Buildings_Heat_Backend[[#This Row],[Info 1]],Buildings_SiteInfo[Site name],Buildings_SiteInfo[Site type]))</f>
        <v/>
      </c>
      <c r="U253" s="174" t="str">
        <f>IF(Buildings_Heat_Frontend[[#This Row],[Data]]="","", Buildings_Heat_Frontend[[#This Row],[Heating Type]])</f>
        <v/>
      </c>
      <c r="V253" s="174" t="str">
        <f>IF(Buildings_Heat_Frontend[[#This Row],[Data]]="","", Buildings_Heat_Frontend[[#This Row],[Fuel]])</f>
        <v/>
      </c>
      <c r="W253" s="174" t="str" cm="1">
        <f t="array" ref="W253">IF(Buildings_Heat_Frontend[[#This Row],[Data]]="","", _xlfn.XLOOKUP(Buildings_Heat_Backend[[#This Row],[Level 5]],rng_Level5Long,rng_Level6Long))</f>
        <v/>
      </c>
      <c r="X253" s="174" t="str">
        <f>IF(Buildings_Heat_Frontend[[#This Row],[Data]]="","", Buildings_Heat_Frontend[[#This Row],[Site Name]])</f>
        <v/>
      </c>
      <c r="Y253" s="174" t="str">
        <f>IF(Buildings_Heat_Frontend[[#This Row],[Data]]="","", Buildings_Heat_Frontend[[#This Row],[MPRN]])</f>
        <v/>
      </c>
      <c r="Z253" s="174" t="str">
        <f>IF(Buildings_Heat_Frontend[[#This Row],[Data]]="","", IF($I253="","",$I253))</f>
        <v/>
      </c>
      <c r="AA253" s="229" t="str" cm="1">
        <f t="array" ref="AA253">IF(Buildings_Heat_Frontend[[#This Row],[Data]]="","", INDEX(_xlfn.SWITCH(Buildings_Heat_Backend[[#This Row],[Methodology]],"Tier 1",rng_RSD1,"Tier 2",rng_RSD2,"Tier 3",rng_RSD3),MATCH(_xlfn.CONCAT(Buildings_Heat_Backend[[#This Row],[Level 1]:[Level 6]]),rng_LevelsConcat,0)))</f>
        <v/>
      </c>
      <c r="AB253" s="220" t="str">
        <f t="shared" si="10"/>
        <v/>
      </c>
      <c r="AC253" s="174">
        <f>Buildings_Heat_Frontend[[#This Row],[Units]]</f>
        <v>0</v>
      </c>
      <c r="AD25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3" s="174" t="str">
        <f>IF(Buildings_Heat_Frontend[[#This Row],[Data]]="","", _xlfn.XLOOKUP(_xlfn.CONCAT(Buildings_Heat_Backend[[#This Row],[Level 1]:[Level 6]]),rng_LevelsConcat,rng_UnitsLong))</f>
        <v/>
      </c>
      <c r="AF253" s="210" t="str">
        <f>IF(Buildings_Heat_Frontend[[#This Row],[Data]]="","", _xlfn.XLOOKUP(_xlfn.CONCAT(Buildings_Heat_Backend[[#This Row],[Level 1]:[Level 6]]),rng_EFConcat,rng_EF1)*Buildings_Heat_Backend[[#This Row],[Converted data]]/1000)</f>
        <v/>
      </c>
      <c r="AG253" s="210" t="str">
        <f>IF(Buildings_Heat_Frontend[[#This Row],[Data]]="","", _xlfn.XLOOKUP(_xlfn.CONCAT(Buildings_Heat_Backend[[#This Row],[Level 1]:[Level 6]]),rng_EFConcat,rng_EF2)*Buildings_Heat_Backend[[#This Row],[Converted data]]/1000)</f>
        <v/>
      </c>
      <c r="AH253" s="210" t="str">
        <f>IF(Buildings_Heat_Frontend[[#This Row],[Data]]="","", _xlfn.XLOOKUP(_xlfn.CONCAT(Buildings_Heat_Backend[[#This Row],[Level 1]:[Level 6]]),rng_EFConcat,rng_EF3)*Buildings_Heat_Backend[[#This Row],[Converted data]]/1000)</f>
        <v/>
      </c>
      <c r="AI253" s="210" t="str">
        <f>IF(Buildings_Heat_Frontend[[#This Row],[Data]]="","", _xlfn.XLOOKUP(_xlfn.CONCAT(Buildings_Heat_Backend[[#This Row],[Level 1]:[Level 6]]),rng_EFConcat,rng_EF3WTT)*Buildings_Heat_Backend[[#This Row],[Converted data]]/1000)</f>
        <v/>
      </c>
      <c r="AJ253" s="210" t="str">
        <f>IF(Buildings_Heat_Frontend[[#This Row],[Data]]="","", _xlfn.XLOOKUP(_xlfn.CONCAT(Buildings_Heat_Backend[[#This Row],[Level 1]:[Level 6]]),rng_EFConcat,rng_EF3TD)*Buildings_Heat_Backend[[#This Row],[Converted data]]/1000)</f>
        <v/>
      </c>
      <c r="AK253" s="210" t="str">
        <f>IF(Buildings_Heat_Frontend[[#This Row],[Data]]="","", _xlfn.XLOOKUP(_xlfn.CONCAT(Buildings_Heat_Backend[[#This Row],[Level 1]:[Level 6]]),rng_EFConcat,rng_EF3WTTTD)*Buildings_Heat_Backend[[#This Row],[Converted data]]/1000)</f>
        <v/>
      </c>
      <c r="AL253" s="220">
        <f>SUM(Buildings_Heat_Backend[[#This Row],[Scope 1 (tCO2e)]:[Scope 3 WTT T&amp;D (tCO2e)]])</f>
        <v>0</v>
      </c>
      <c r="AM253" s="220" t="str">
        <f>IF(Buildings_Heat_Frontend[[#This Row],[Data]]="","", Buildings_Heat_Backend[[#This Row],[Total (tCO2e)]]*(1-Buildings_Heat_Backend[[#This Row],[RSD]]))</f>
        <v/>
      </c>
      <c r="AN253" s="220" t="str">
        <f>IF(Buildings_Heat_Frontend[[#This Row],[Data]]="","", Buildings_Heat_Backend[[#This Row],[Total (tCO2e)]]*(1+Buildings_Heat_Backend[[#This Row],[RSD]]))</f>
        <v/>
      </c>
      <c r="AO253" s="210" t="str">
        <f>IF(Buildings_Heat_Frontend[[#This Row],[Data]]="","", _xlfn.XLOOKUP(_xlfn.CONCAT(Buildings_Heat_Backend[[#This Row],[Level 1]:[Level 6]]),rng_EFConcat,rng_EFOOS)*Buildings_Heat_Backend[[#This Row],[Converted data]]/1000)</f>
        <v/>
      </c>
      <c r="AP253" s="174">
        <f>Buildings_Heat_Frontend[[#This Row],[Ease of collection]]</f>
        <v>0</v>
      </c>
      <c r="AQ253" s="174">
        <f>Buildings_Heat_Frontend[[#This Row],[Completeness]]</f>
        <v>0</v>
      </c>
      <c r="AR253" s="174">
        <f>Buildings_Heat_Frontend[[#This Row],[Notes]]</f>
        <v>0</v>
      </c>
    </row>
    <row r="254" spans="5:44" x14ac:dyDescent="0.3">
      <c r="E254" s="346"/>
      <c r="F254" s="364"/>
      <c r="G254" s="336"/>
      <c r="H254" s="336"/>
      <c r="I254" s="336"/>
      <c r="J254" s="334"/>
      <c r="K254" s="336"/>
      <c r="L254" s="336"/>
      <c r="M254" s="336"/>
      <c r="N254" s="352"/>
      <c r="O254" s="230">
        <f t="shared" si="11"/>
        <v>6</v>
      </c>
      <c r="Q254" s="212" t="str">
        <f t="shared" si="9"/>
        <v/>
      </c>
      <c r="R254" s="174" t="s">
        <v>265</v>
      </c>
      <c r="S254" s="174" t="s">
        <v>273</v>
      </c>
      <c r="T254" s="174" t="str">
        <f>IF(Buildings_Heat_Frontend[[#This Row],[Data]]="","", _xlfn.XLOOKUP(Buildings_Heat_Backend[[#This Row],[Info 1]],Buildings_SiteInfo[Site name],Buildings_SiteInfo[Site type]))</f>
        <v/>
      </c>
      <c r="U254" s="174" t="str">
        <f>IF(Buildings_Heat_Frontend[[#This Row],[Data]]="","", Buildings_Heat_Frontend[[#This Row],[Heating Type]])</f>
        <v/>
      </c>
      <c r="V254" s="174" t="str">
        <f>IF(Buildings_Heat_Frontend[[#This Row],[Data]]="","", Buildings_Heat_Frontend[[#This Row],[Fuel]])</f>
        <v/>
      </c>
      <c r="W254" s="174" t="str" cm="1">
        <f t="array" ref="W254">IF(Buildings_Heat_Frontend[[#This Row],[Data]]="","", _xlfn.XLOOKUP(Buildings_Heat_Backend[[#This Row],[Level 5]],rng_Level5Long,rng_Level6Long))</f>
        <v/>
      </c>
      <c r="X254" s="174" t="str">
        <f>IF(Buildings_Heat_Frontend[[#This Row],[Data]]="","", Buildings_Heat_Frontend[[#This Row],[Site Name]])</f>
        <v/>
      </c>
      <c r="Y254" s="174" t="str">
        <f>IF(Buildings_Heat_Frontend[[#This Row],[Data]]="","", Buildings_Heat_Frontend[[#This Row],[MPRN]])</f>
        <v/>
      </c>
      <c r="Z254" s="174" t="str">
        <f>IF(Buildings_Heat_Frontend[[#This Row],[Data]]="","", IF($I254="","",$I254))</f>
        <v/>
      </c>
      <c r="AA254" s="229" t="str" cm="1">
        <f t="array" ref="AA254">IF(Buildings_Heat_Frontend[[#This Row],[Data]]="","", INDEX(_xlfn.SWITCH(Buildings_Heat_Backend[[#This Row],[Methodology]],"Tier 1",rng_RSD1,"Tier 2",rng_RSD2,"Tier 3",rng_RSD3),MATCH(_xlfn.CONCAT(Buildings_Heat_Backend[[#This Row],[Level 1]:[Level 6]]),rng_LevelsConcat,0)))</f>
        <v/>
      </c>
      <c r="AB254" s="220" t="str">
        <f t="shared" si="10"/>
        <v/>
      </c>
      <c r="AC254" s="174">
        <f>Buildings_Heat_Frontend[[#This Row],[Units]]</f>
        <v>0</v>
      </c>
      <c r="AD25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4" s="174" t="str">
        <f>IF(Buildings_Heat_Frontend[[#This Row],[Data]]="","", _xlfn.XLOOKUP(_xlfn.CONCAT(Buildings_Heat_Backend[[#This Row],[Level 1]:[Level 6]]),rng_LevelsConcat,rng_UnitsLong))</f>
        <v/>
      </c>
      <c r="AF254" s="210" t="str">
        <f>IF(Buildings_Heat_Frontend[[#This Row],[Data]]="","", _xlfn.XLOOKUP(_xlfn.CONCAT(Buildings_Heat_Backend[[#This Row],[Level 1]:[Level 6]]),rng_EFConcat,rng_EF1)*Buildings_Heat_Backend[[#This Row],[Converted data]]/1000)</f>
        <v/>
      </c>
      <c r="AG254" s="210" t="str">
        <f>IF(Buildings_Heat_Frontend[[#This Row],[Data]]="","", _xlfn.XLOOKUP(_xlfn.CONCAT(Buildings_Heat_Backend[[#This Row],[Level 1]:[Level 6]]),rng_EFConcat,rng_EF2)*Buildings_Heat_Backend[[#This Row],[Converted data]]/1000)</f>
        <v/>
      </c>
      <c r="AH254" s="210" t="str">
        <f>IF(Buildings_Heat_Frontend[[#This Row],[Data]]="","", _xlfn.XLOOKUP(_xlfn.CONCAT(Buildings_Heat_Backend[[#This Row],[Level 1]:[Level 6]]),rng_EFConcat,rng_EF3)*Buildings_Heat_Backend[[#This Row],[Converted data]]/1000)</f>
        <v/>
      </c>
      <c r="AI254" s="210" t="str">
        <f>IF(Buildings_Heat_Frontend[[#This Row],[Data]]="","", _xlfn.XLOOKUP(_xlfn.CONCAT(Buildings_Heat_Backend[[#This Row],[Level 1]:[Level 6]]),rng_EFConcat,rng_EF3WTT)*Buildings_Heat_Backend[[#This Row],[Converted data]]/1000)</f>
        <v/>
      </c>
      <c r="AJ254" s="210" t="str">
        <f>IF(Buildings_Heat_Frontend[[#This Row],[Data]]="","", _xlfn.XLOOKUP(_xlfn.CONCAT(Buildings_Heat_Backend[[#This Row],[Level 1]:[Level 6]]),rng_EFConcat,rng_EF3TD)*Buildings_Heat_Backend[[#This Row],[Converted data]]/1000)</f>
        <v/>
      </c>
      <c r="AK254" s="210" t="str">
        <f>IF(Buildings_Heat_Frontend[[#This Row],[Data]]="","", _xlfn.XLOOKUP(_xlfn.CONCAT(Buildings_Heat_Backend[[#This Row],[Level 1]:[Level 6]]),rng_EFConcat,rng_EF3WTTTD)*Buildings_Heat_Backend[[#This Row],[Converted data]]/1000)</f>
        <v/>
      </c>
      <c r="AL254" s="220">
        <f>SUM(Buildings_Heat_Backend[[#This Row],[Scope 1 (tCO2e)]:[Scope 3 WTT T&amp;D (tCO2e)]])</f>
        <v>0</v>
      </c>
      <c r="AM254" s="220" t="str">
        <f>IF(Buildings_Heat_Frontend[[#This Row],[Data]]="","", Buildings_Heat_Backend[[#This Row],[Total (tCO2e)]]*(1-Buildings_Heat_Backend[[#This Row],[RSD]]))</f>
        <v/>
      </c>
      <c r="AN254" s="220" t="str">
        <f>IF(Buildings_Heat_Frontend[[#This Row],[Data]]="","", Buildings_Heat_Backend[[#This Row],[Total (tCO2e)]]*(1+Buildings_Heat_Backend[[#This Row],[RSD]]))</f>
        <v/>
      </c>
      <c r="AO254" s="210" t="str">
        <f>IF(Buildings_Heat_Frontend[[#This Row],[Data]]="","", _xlfn.XLOOKUP(_xlfn.CONCAT(Buildings_Heat_Backend[[#This Row],[Level 1]:[Level 6]]),rng_EFConcat,rng_EFOOS)*Buildings_Heat_Backend[[#This Row],[Converted data]]/1000)</f>
        <v/>
      </c>
      <c r="AP254" s="174">
        <f>Buildings_Heat_Frontend[[#This Row],[Ease of collection]]</f>
        <v>0</v>
      </c>
      <c r="AQ254" s="174">
        <f>Buildings_Heat_Frontend[[#This Row],[Completeness]]</f>
        <v>0</v>
      </c>
      <c r="AR254" s="174">
        <f>Buildings_Heat_Frontend[[#This Row],[Notes]]</f>
        <v>0</v>
      </c>
    </row>
    <row r="255" spans="5:44" x14ac:dyDescent="0.3">
      <c r="E255" s="346"/>
      <c r="F255" s="364"/>
      <c r="G255" s="336"/>
      <c r="H255" s="336"/>
      <c r="I255" s="336"/>
      <c r="J255" s="334"/>
      <c r="K255" s="336"/>
      <c r="L255" s="336"/>
      <c r="M255" s="336"/>
      <c r="N255" s="352"/>
      <c r="O255" s="230">
        <f t="shared" si="11"/>
        <v>6</v>
      </c>
      <c r="Q255" s="212" t="str">
        <f t="shared" si="9"/>
        <v/>
      </c>
      <c r="R255" s="174" t="s">
        <v>265</v>
      </c>
      <c r="S255" s="174" t="s">
        <v>273</v>
      </c>
      <c r="T255" s="174" t="str">
        <f>IF(Buildings_Heat_Frontend[[#This Row],[Data]]="","", _xlfn.XLOOKUP(Buildings_Heat_Backend[[#This Row],[Info 1]],Buildings_SiteInfo[Site name],Buildings_SiteInfo[Site type]))</f>
        <v/>
      </c>
      <c r="U255" s="174" t="str">
        <f>IF(Buildings_Heat_Frontend[[#This Row],[Data]]="","", Buildings_Heat_Frontend[[#This Row],[Heating Type]])</f>
        <v/>
      </c>
      <c r="V255" s="174" t="str">
        <f>IF(Buildings_Heat_Frontend[[#This Row],[Data]]="","", Buildings_Heat_Frontend[[#This Row],[Fuel]])</f>
        <v/>
      </c>
      <c r="W255" s="174" t="str" cm="1">
        <f t="array" ref="W255">IF(Buildings_Heat_Frontend[[#This Row],[Data]]="","", _xlfn.XLOOKUP(Buildings_Heat_Backend[[#This Row],[Level 5]],rng_Level5Long,rng_Level6Long))</f>
        <v/>
      </c>
      <c r="X255" s="174" t="str">
        <f>IF(Buildings_Heat_Frontend[[#This Row],[Data]]="","", Buildings_Heat_Frontend[[#This Row],[Site Name]])</f>
        <v/>
      </c>
      <c r="Y255" s="174" t="str">
        <f>IF(Buildings_Heat_Frontend[[#This Row],[Data]]="","", Buildings_Heat_Frontend[[#This Row],[MPRN]])</f>
        <v/>
      </c>
      <c r="Z255" s="174" t="str">
        <f>IF(Buildings_Heat_Frontend[[#This Row],[Data]]="","", IF($I255="","",$I255))</f>
        <v/>
      </c>
      <c r="AA255" s="229" t="str" cm="1">
        <f t="array" ref="AA255">IF(Buildings_Heat_Frontend[[#This Row],[Data]]="","", INDEX(_xlfn.SWITCH(Buildings_Heat_Backend[[#This Row],[Methodology]],"Tier 1",rng_RSD1,"Tier 2",rng_RSD2,"Tier 3",rng_RSD3),MATCH(_xlfn.CONCAT(Buildings_Heat_Backend[[#This Row],[Level 1]:[Level 6]]),rng_LevelsConcat,0)))</f>
        <v/>
      </c>
      <c r="AB255" s="220" t="str">
        <f t="shared" si="10"/>
        <v/>
      </c>
      <c r="AC255" s="174">
        <f>Buildings_Heat_Frontend[[#This Row],[Units]]</f>
        <v>0</v>
      </c>
      <c r="AD25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5" s="174" t="str">
        <f>IF(Buildings_Heat_Frontend[[#This Row],[Data]]="","", _xlfn.XLOOKUP(_xlfn.CONCAT(Buildings_Heat_Backend[[#This Row],[Level 1]:[Level 6]]),rng_LevelsConcat,rng_UnitsLong))</f>
        <v/>
      </c>
      <c r="AF255" s="210" t="str">
        <f>IF(Buildings_Heat_Frontend[[#This Row],[Data]]="","", _xlfn.XLOOKUP(_xlfn.CONCAT(Buildings_Heat_Backend[[#This Row],[Level 1]:[Level 6]]),rng_EFConcat,rng_EF1)*Buildings_Heat_Backend[[#This Row],[Converted data]]/1000)</f>
        <v/>
      </c>
      <c r="AG255" s="210" t="str">
        <f>IF(Buildings_Heat_Frontend[[#This Row],[Data]]="","", _xlfn.XLOOKUP(_xlfn.CONCAT(Buildings_Heat_Backend[[#This Row],[Level 1]:[Level 6]]),rng_EFConcat,rng_EF2)*Buildings_Heat_Backend[[#This Row],[Converted data]]/1000)</f>
        <v/>
      </c>
      <c r="AH255" s="210" t="str">
        <f>IF(Buildings_Heat_Frontend[[#This Row],[Data]]="","", _xlfn.XLOOKUP(_xlfn.CONCAT(Buildings_Heat_Backend[[#This Row],[Level 1]:[Level 6]]),rng_EFConcat,rng_EF3)*Buildings_Heat_Backend[[#This Row],[Converted data]]/1000)</f>
        <v/>
      </c>
      <c r="AI255" s="210" t="str">
        <f>IF(Buildings_Heat_Frontend[[#This Row],[Data]]="","", _xlfn.XLOOKUP(_xlfn.CONCAT(Buildings_Heat_Backend[[#This Row],[Level 1]:[Level 6]]),rng_EFConcat,rng_EF3WTT)*Buildings_Heat_Backend[[#This Row],[Converted data]]/1000)</f>
        <v/>
      </c>
      <c r="AJ255" s="210" t="str">
        <f>IF(Buildings_Heat_Frontend[[#This Row],[Data]]="","", _xlfn.XLOOKUP(_xlfn.CONCAT(Buildings_Heat_Backend[[#This Row],[Level 1]:[Level 6]]),rng_EFConcat,rng_EF3TD)*Buildings_Heat_Backend[[#This Row],[Converted data]]/1000)</f>
        <v/>
      </c>
      <c r="AK255" s="210" t="str">
        <f>IF(Buildings_Heat_Frontend[[#This Row],[Data]]="","", _xlfn.XLOOKUP(_xlfn.CONCAT(Buildings_Heat_Backend[[#This Row],[Level 1]:[Level 6]]),rng_EFConcat,rng_EF3WTTTD)*Buildings_Heat_Backend[[#This Row],[Converted data]]/1000)</f>
        <v/>
      </c>
      <c r="AL255" s="220">
        <f>SUM(Buildings_Heat_Backend[[#This Row],[Scope 1 (tCO2e)]:[Scope 3 WTT T&amp;D (tCO2e)]])</f>
        <v>0</v>
      </c>
      <c r="AM255" s="220" t="str">
        <f>IF(Buildings_Heat_Frontend[[#This Row],[Data]]="","", Buildings_Heat_Backend[[#This Row],[Total (tCO2e)]]*(1-Buildings_Heat_Backend[[#This Row],[RSD]]))</f>
        <v/>
      </c>
      <c r="AN255" s="220" t="str">
        <f>IF(Buildings_Heat_Frontend[[#This Row],[Data]]="","", Buildings_Heat_Backend[[#This Row],[Total (tCO2e)]]*(1+Buildings_Heat_Backend[[#This Row],[RSD]]))</f>
        <v/>
      </c>
      <c r="AO255" s="210" t="str">
        <f>IF(Buildings_Heat_Frontend[[#This Row],[Data]]="","", _xlfn.XLOOKUP(_xlfn.CONCAT(Buildings_Heat_Backend[[#This Row],[Level 1]:[Level 6]]),rng_EFConcat,rng_EFOOS)*Buildings_Heat_Backend[[#This Row],[Converted data]]/1000)</f>
        <v/>
      </c>
      <c r="AP255" s="174">
        <f>Buildings_Heat_Frontend[[#This Row],[Ease of collection]]</f>
        <v>0</v>
      </c>
      <c r="AQ255" s="174">
        <f>Buildings_Heat_Frontend[[#This Row],[Completeness]]</f>
        <v>0</v>
      </c>
      <c r="AR255" s="174">
        <f>Buildings_Heat_Frontend[[#This Row],[Notes]]</f>
        <v>0</v>
      </c>
    </row>
    <row r="256" spans="5:44" x14ac:dyDescent="0.3">
      <c r="E256" s="346"/>
      <c r="F256" s="364"/>
      <c r="G256" s="336"/>
      <c r="H256" s="336"/>
      <c r="I256" s="336"/>
      <c r="J256" s="334"/>
      <c r="K256" s="336"/>
      <c r="L256" s="336"/>
      <c r="M256" s="336"/>
      <c r="N256" s="352"/>
      <c r="O256" s="230">
        <f t="shared" si="11"/>
        <v>6</v>
      </c>
      <c r="Q256" s="212" t="str">
        <f t="shared" si="9"/>
        <v/>
      </c>
      <c r="R256" s="174" t="s">
        <v>265</v>
      </c>
      <c r="S256" s="174" t="s">
        <v>273</v>
      </c>
      <c r="T256" s="174" t="str">
        <f>IF(Buildings_Heat_Frontend[[#This Row],[Data]]="","", _xlfn.XLOOKUP(Buildings_Heat_Backend[[#This Row],[Info 1]],Buildings_SiteInfo[Site name],Buildings_SiteInfo[Site type]))</f>
        <v/>
      </c>
      <c r="U256" s="174" t="str">
        <f>IF(Buildings_Heat_Frontend[[#This Row],[Data]]="","", Buildings_Heat_Frontend[[#This Row],[Heating Type]])</f>
        <v/>
      </c>
      <c r="V256" s="174" t="str">
        <f>IF(Buildings_Heat_Frontend[[#This Row],[Data]]="","", Buildings_Heat_Frontend[[#This Row],[Fuel]])</f>
        <v/>
      </c>
      <c r="W256" s="174" t="str" cm="1">
        <f t="array" ref="W256">IF(Buildings_Heat_Frontend[[#This Row],[Data]]="","", _xlfn.XLOOKUP(Buildings_Heat_Backend[[#This Row],[Level 5]],rng_Level5Long,rng_Level6Long))</f>
        <v/>
      </c>
      <c r="X256" s="174" t="str">
        <f>IF(Buildings_Heat_Frontend[[#This Row],[Data]]="","", Buildings_Heat_Frontend[[#This Row],[Site Name]])</f>
        <v/>
      </c>
      <c r="Y256" s="174" t="str">
        <f>IF(Buildings_Heat_Frontend[[#This Row],[Data]]="","", Buildings_Heat_Frontend[[#This Row],[MPRN]])</f>
        <v/>
      </c>
      <c r="Z256" s="174" t="str">
        <f>IF(Buildings_Heat_Frontend[[#This Row],[Data]]="","", IF($I256="","",$I256))</f>
        <v/>
      </c>
      <c r="AA256" s="229" t="str" cm="1">
        <f t="array" ref="AA256">IF(Buildings_Heat_Frontend[[#This Row],[Data]]="","", INDEX(_xlfn.SWITCH(Buildings_Heat_Backend[[#This Row],[Methodology]],"Tier 1",rng_RSD1,"Tier 2",rng_RSD2,"Tier 3",rng_RSD3),MATCH(_xlfn.CONCAT(Buildings_Heat_Backend[[#This Row],[Level 1]:[Level 6]]),rng_LevelsConcat,0)))</f>
        <v/>
      </c>
      <c r="AB256" s="220" t="str">
        <f t="shared" si="10"/>
        <v/>
      </c>
      <c r="AC256" s="174">
        <f>Buildings_Heat_Frontend[[#This Row],[Units]]</f>
        <v>0</v>
      </c>
      <c r="AD25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6" s="174" t="str">
        <f>IF(Buildings_Heat_Frontend[[#This Row],[Data]]="","", _xlfn.XLOOKUP(_xlfn.CONCAT(Buildings_Heat_Backend[[#This Row],[Level 1]:[Level 6]]),rng_LevelsConcat,rng_UnitsLong))</f>
        <v/>
      </c>
      <c r="AF256" s="210" t="str">
        <f>IF(Buildings_Heat_Frontend[[#This Row],[Data]]="","", _xlfn.XLOOKUP(_xlfn.CONCAT(Buildings_Heat_Backend[[#This Row],[Level 1]:[Level 6]]),rng_EFConcat,rng_EF1)*Buildings_Heat_Backend[[#This Row],[Converted data]]/1000)</f>
        <v/>
      </c>
      <c r="AG256" s="210" t="str">
        <f>IF(Buildings_Heat_Frontend[[#This Row],[Data]]="","", _xlfn.XLOOKUP(_xlfn.CONCAT(Buildings_Heat_Backend[[#This Row],[Level 1]:[Level 6]]),rng_EFConcat,rng_EF2)*Buildings_Heat_Backend[[#This Row],[Converted data]]/1000)</f>
        <v/>
      </c>
      <c r="AH256" s="210" t="str">
        <f>IF(Buildings_Heat_Frontend[[#This Row],[Data]]="","", _xlfn.XLOOKUP(_xlfn.CONCAT(Buildings_Heat_Backend[[#This Row],[Level 1]:[Level 6]]),rng_EFConcat,rng_EF3)*Buildings_Heat_Backend[[#This Row],[Converted data]]/1000)</f>
        <v/>
      </c>
      <c r="AI256" s="210" t="str">
        <f>IF(Buildings_Heat_Frontend[[#This Row],[Data]]="","", _xlfn.XLOOKUP(_xlfn.CONCAT(Buildings_Heat_Backend[[#This Row],[Level 1]:[Level 6]]),rng_EFConcat,rng_EF3WTT)*Buildings_Heat_Backend[[#This Row],[Converted data]]/1000)</f>
        <v/>
      </c>
      <c r="AJ256" s="210" t="str">
        <f>IF(Buildings_Heat_Frontend[[#This Row],[Data]]="","", _xlfn.XLOOKUP(_xlfn.CONCAT(Buildings_Heat_Backend[[#This Row],[Level 1]:[Level 6]]),rng_EFConcat,rng_EF3TD)*Buildings_Heat_Backend[[#This Row],[Converted data]]/1000)</f>
        <v/>
      </c>
      <c r="AK256" s="210" t="str">
        <f>IF(Buildings_Heat_Frontend[[#This Row],[Data]]="","", _xlfn.XLOOKUP(_xlfn.CONCAT(Buildings_Heat_Backend[[#This Row],[Level 1]:[Level 6]]),rng_EFConcat,rng_EF3WTTTD)*Buildings_Heat_Backend[[#This Row],[Converted data]]/1000)</f>
        <v/>
      </c>
      <c r="AL256" s="220">
        <f>SUM(Buildings_Heat_Backend[[#This Row],[Scope 1 (tCO2e)]:[Scope 3 WTT T&amp;D (tCO2e)]])</f>
        <v>0</v>
      </c>
      <c r="AM256" s="220" t="str">
        <f>IF(Buildings_Heat_Frontend[[#This Row],[Data]]="","", Buildings_Heat_Backend[[#This Row],[Total (tCO2e)]]*(1-Buildings_Heat_Backend[[#This Row],[RSD]]))</f>
        <v/>
      </c>
      <c r="AN256" s="220" t="str">
        <f>IF(Buildings_Heat_Frontend[[#This Row],[Data]]="","", Buildings_Heat_Backend[[#This Row],[Total (tCO2e)]]*(1+Buildings_Heat_Backend[[#This Row],[RSD]]))</f>
        <v/>
      </c>
      <c r="AO256" s="210" t="str">
        <f>IF(Buildings_Heat_Frontend[[#This Row],[Data]]="","", _xlfn.XLOOKUP(_xlfn.CONCAT(Buildings_Heat_Backend[[#This Row],[Level 1]:[Level 6]]),rng_EFConcat,rng_EFOOS)*Buildings_Heat_Backend[[#This Row],[Converted data]]/1000)</f>
        <v/>
      </c>
      <c r="AP256" s="174">
        <f>Buildings_Heat_Frontend[[#This Row],[Ease of collection]]</f>
        <v>0</v>
      </c>
      <c r="AQ256" s="174">
        <f>Buildings_Heat_Frontend[[#This Row],[Completeness]]</f>
        <v>0</v>
      </c>
      <c r="AR256" s="174">
        <f>Buildings_Heat_Frontend[[#This Row],[Notes]]</f>
        <v>0</v>
      </c>
    </row>
    <row r="257" spans="5:44" x14ac:dyDescent="0.3">
      <c r="E257" s="346"/>
      <c r="F257" s="364"/>
      <c r="G257" s="336"/>
      <c r="H257" s="336"/>
      <c r="I257" s="336"/>
      <c r="J257" s="334"/>
      <c r="K257" s="336"/>
      <c r="L257" s="336"/>
      <c r="M257" s="336"/>
      <c r="N257" s="352"/>
      <c r="O257" s="230">
        <f t="shared" si="11"/>
        <v>6</v>
      </c>
      <c r="Q257" s="212" t="str">
        <f t="shared" si="9"/>
        <v/>
      </c>
      <c r="R257" s="174" t="s">
        <v>265</v>
      </c>
      <c r="S257" s="174" t="s">
        <v>273</v>
      </c>
      <c r="T257" s="174" t="str">
        <f>IF(Buildings_Heat_Frontend[[#This Row],[Data]]="","", _xlfn.XLOOKUP(Buildings_Heat_Backend[[#This Row],[Info 1]],Buildings_SiteInfo[Site name],Buildings_SiteInfo[Site type]))</f>
        <v/>
      </c>
      <c r="U257" s="174" t="str">
        <f>IF(Buildings_Heat_Frontend[[#This Row],[Data]]="","", Buildings_Heat_Frontend[[#This Row],[Heating Type]])</f>
        <v/>
      </c>
      <c r="V257" s="174" t="str">
        <f>IF(Buildings_Heat_Frontend[[#This Row],[Data]]="","", Buildings_Heat_Frontend[[#This Row],[Fuel]])</f>
        <v/>
      </c>
      <c r="W257" s="174" t="str" cm="1">
        <f t="array" ref="W257">IF(Buildings_Heat_Frontend[[#This Row],[Data]]="","", _xlfn.XLOOKUP(Buildings_Heat_Backend[[#This Row],[Level 5]],rng_Level5Long,rng_Level6Long))</f>
        <v/>
      </c>
      <c r="X257" s="174" t="str">
        <f>IF(Buildings_Heat_Frontend[[#This Row],[Data]]="","", Buildings_Heat_Frontend[[#This Row],[Site Name]])</f>
        <v/>
      </c>
      <c r="Y257" s="174" t="str">
        <f>IF(Buildings_Heat_Frontend[[#This Row],[Data]]="","", Buildings_Heat_Frontend[[#This Row],[MPRN]])</f>
        <v/>
      </c>
      <c r="Z257" s="174" t="str">
        <f>IF(Buildings_Heat_Frontend[[#This Row],[Data]]="","", IF($I257="","",$I257))</f>
        <v/>
      </c>
      <c r="AA257" s="229" t="str" cm="1">
        <f t="array" ref="AA257">IF(Buildings_Heat_Frontend[[#This Row],[Data]]="","", INDEX(_xlfn.SWITCH(Buildings_Heat_Backend[[#This Row],[Methodology]],"Tier 1",rng_RSD1,"Tier 2",rng_RSD2,"Tier 3",rng_RSD3),MATCH(_xlfn.CONCAT(Buildings_Heat_Backend[[#This Row],[Level 1]:[Level 6]]),rng_LevelsConcat,0)))</f>
        <v/>
      </c>
      <c r="AB257" s="220" t="str">
        <f t="shared" si="10"/>
        <v/>
      </c>
      <c r="AC257" s="174">
        <f>Buildings_Heat_Frontend[[#This Row],[Units]]</f>
        <v>0</v>
      </c>
      <c r="AD25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7" s="174" t="str">
        <f>IF(Buildings_Heat_Frontend[[#This Row],[Data]]="","", _xlfn.XLOOKUP(_xlfn.CONCAT(Buildings_Heat_Backend[[#This Row],[Level 1]:[Level 6]]),rng_LevelsConcat,rng_UnitsLong))</f>
        <v/>
      </c>
      <c r="AF257" s="210" t="str">
        <f>IF(Buildings_Heat_Frontend[[#This Row],[Data]]="","", _xlfn.XLOOKUP(_xlfn.CONCAT(Buildings_Heat_Backend[[#This Row],[Level 1]:[Level 6]]),rng_EFConcat,rng_EF1)*Buildings_Heat_Backend[[#This Row],[Converted data]]/1000)</f>
        <v/>
      </c>
      <c r="AG257" s="210" t="str">
        <f>IF(Buildings_Heat_Frontend[[#This Row],[Data]]="","", _xlfn.XLOOKUP(_xlfn.CONCAT(Buildings_Heat_Backend[[#This Row],[Level 1]:[Level 6]]),rng_EFConcat,rng_EF2)*Buildings_Heat_Backend[[#This Row],[Converted data]]/1000)</f>
        <v/>
      </c>
      <c r="AH257" s="210" t="str">
        <f>IF(Buildings_Heat_Frontend[[#This Row],[Data]]="","", _xlfn.XLOOKUP(_xlfn.CONCAT(Buildings_Heat_Backend[[#This Row],[Level 1]:[Level 6]]),rng_EFConcat,rng_EF3)*Buildings_Heat_Backend[[#This Row],[Converted data]]/1000)</f>
        <v/>
      </c>
      <c r="AI257" s="210" t="str">
        <f>IF(Buildings_Heat_Frontend[[#This Row],[Data]]="","", _xlfn.XLOOKUP(_xlfn.CONCAT(Buildings_Heat_Backend[[#This Row],[Level 1]:[Level 6]]),rng_EFConcat,rng_EF3WTT)*Buildings_Heat_Backend[[#This Row],[Converted data]]/1000)</f>
        <v/>
      </c>
      <c r="AJ257" s="210" t="str">
        <f>IF(Buildings_Heat_Frontend[[#This Row],[Data]]="","", _xlfn.XLOOKUP(_xlfn.CONCAT(Buildings_Heat_Backend[[#This Row],[Level 1]:[Level 6]]),rng_EFConcat,rng_EF3TD)*Buildings_Heat_Backend[[#This Row],[Converted data]]/1000)</f>
        <v/>
      </c>
      <c r="AK257" s="210" t="str">
        <f>IF(Buildings_Heat_Frontend[[#This Row],[Data]]="","", _xlfn.XLOOKUP(_xlfn.CONCAT(Buildings_Heat_Backend[[#This Row],[Level 1]:[Level 6]]),rng_EFConcat,rng_EF3WTTTD)*Buildings_Heat_Backend[[#This Row],[Converted data]]/1000)</f>
        <v/>
      </c>
      <c r="AL257" s="220">
        <f>SUM(Buildings_Heat_Backend[[#This Row],[Scope 1 (tCO2e)]:[Scope 3 WTT T&amp;D (tCO2e)]])</f>
        <v>0</v>
      </c>
      <c r="AM257" s="220" t="str">
        <f>IF(Buildings_Heat_Frontend[[#This Row],[Data]]="","", Buildings_Heat_Backend[[#This Row],[Total (tCO2e)]]*(1-Buildings_Heat_Backend[[#This Row],[RSD]]))</f>
        <v/>
      </c>
      <c r="AN257" s="220" t="str">
        <f>IF(Buildings_Heat_Frontend[[#This Row],[Data]]="","", Buildings_Heat_Backend[[#This Row],[Total (tCO2e)]]*(1+Buildings_Heat_Backend[[#This Row],[RSD]]))</f>
        <v/>
      </c>
      <c r="AO257" s="210" t="str">
        <f>IF(Buildings_Heat_Frontend[[#This Row],[Data]]="","", _xlfn.XLOOKUP(_xlfn.CONCAT(Buildings_Heat_Backend[[#This Row],[Level 1]:[Level 6]]),rng_EFConcat,rng_EFOOS)*Buildings_Heat_Backend[[#This Row],[Converted data]]/1000)</f>
        <v/>
      </c>
      <c r="AP257" s="174">
        <f>Buildings_Heat_Frontend[[#This Row],[Ease of collection]]</f>
        <v>0</v>
      </c>
      <c r="AQ257" s="174">
        <f>Buildings_Heat_Frontend[[#This Row],[Completeness]]</f>
        <v>0</v>
      </c>
      <c r="AR257" s="174">
        <f>Buildings_Heat_Frontend[[#This Row],[Notes]]</f>
        <v>0</v>
      </c>
    </row>
    <row r="258" spans="5:44" x14ac:dyDescent="0.3">
      <c r="E258" s="346"/>
      <c r="F258" s="364"/>
      <c r="G258" s="336"/>
      <c r="H258" s="336"/>
      <c r="I258" s="336"/>
      <c r="J258" s="334"/>
      <c r="K258" s="336"/>
      <c r="L258" s="336"/>
      <c r="M258" s="336"/>
      <c r="N258" s="352"/>
      <c r="O258" s="230">
        <f t="shared" si="11"/>
        <v>6</v>
      </c>
      <c r="Q258" s="212" t="str">
        <f t="shared" si="9"/>
        <v/>
      </c>
      <c r="R258" s="174" t="s">
        <v>265</v>
      </c>
      <c r="S258" s="174" t="s">
        <v>273</v>
      </c>
      <c r="T258" s="174" t="str">
        <f>IF(Buildings_Heat_Frontend[[#This Row],[Data]]="","", _xlfn.XLOOKUP(Buildings_Heat_Backend[[#This Row],[Info 1]],Buildings_SiteInfo[Site name],Buildings_SiteInfo[Site type]))</f>
        <v/>
      </c>
      <c r="U258" s="174" t="str">
        <f>IF(Buildings_Heat_Frontend[[#This Row],[Data]]="","", Buildings_Heat_Frontend[[#This Row],[Heating Type]])</f>
        <v/>
      </c>
      <c r="V258" s="174" t="str">
        <f>IF(Buildings_Heat_Frontend[[#This Row],[Data]]="","", Buildings_Heat_Frontend[[#This Row],[Fuel]])</f>
        <v/>
      </c>
      <c r="W258" s="174" t="str" cm="1">
        <f t="array" ref="W258">IF(Buildings_Heat_Frontend[[#This Row],[Data]]="","", _xlfn.XLOOKUP(Buildings_Heat_Backend[[#This Row],[Level 5]],rng_Level5Long,rng_Level6Long))</f>
        <v/>
      </c>
      <c r="X258" s="174" t="str">
        <f>IF(Buildings_Heat_Frontend[[#This Row],[Data]]="","", Buildings_Heat_Frontend[[#This Row],[Site Name]])</f>
        <v/>
      </c>
      <c r="Y258" s="174" t="str">
        <f>IF(Buildings_Heat_Frontend[[#This Row],[Data]]="","", Buildings_Heat_Frontend[[#This Row],[MPRN]])</f>
        <v/>
      </c>
      <c r="Z258" s="174" t="str">
        <f>IF(Buildings_Heat_Frontend[[#This Row],[Data]]="","", IF($I258="","",$I258))</f>
        <v/>
      </c>
      <c r="AA258" s="229" t="str" cm="1">
        <f t="array" ref="AA258">IF(Buildings_Heat_Frontend[[#This Row],[Data]]="","", INDEX(_xlfn.SWITCH(Buildings_Heat_Backend[[#This Row],[Methodology]],"Tier 1",rng_RSD1,"Tier 2",rng_RSD2,"Tier 3",rng_RSD3),MATCH(_xlfn.CONCAT(Buildings_Heat_Backend[[#This Row],[Level 1]:[Level 6]]),rng_LevelsConcat,0)))</f>
        <v/>
      </c>
      <c r="AB258" s="220" t="str">
        <f t="shared" si="10"/>
        <v/>
      </c>
      <c r="AC258" s="174">
        <f>Buildings_Heat_Frontend[[#This Row],[Units]]</f>
        <v>0</v>
      </c>
      <c r="AD25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8" s="174" t="str">
        <f>IF(Buildings_Heat_Frontend[[#This Row],[Data]]="","", _xlfn.XLOOKUP(_xlfn.CONCAT(Buildings_Heat_Backend[[#This Row],[Level 1]:[Level 6]]),rng_LevelsConcat,rng_UnitsLong))</f>
        <v/>
      </c>
      <c r="AF258" s="210" t="str">
        <f>IF(Buildings_Heat_Frontend[[#This Row],[Data]]="","", _xlfn.XLOOKUP(_xlfn.CONCAT(Buildings_Heat_Backend[[#This Row],[Level 1]:[Level 6]]),rng_EFConcat,rng_EF1)*Buildings_Heat_Backend[[#This Row],[Converted data]]/1000)</f>
        <v/>
      </c>
      <c r="AG258" s="210" t="str">
        <f>IF(Buildings_Heat_Frontend[[#This Row],[Data]]="","", _xlfn.XLOOKUP(_xlfn.CONCAT(Buildings_Heat_Backend[[#This Row],[Level 1]:[Level 6]]),rng_EFConcat,rng_EF2)*Buildings_Heat_Backend[[#This Row],[Converted data]]/1000)</f>
        <v/>
      </c>
      <c r="AH258" s="210" t="str">
        <f>IF(Buildings_Heat_Frontend[[#This Row],[Data]]="","", _xlfn.XLOOKUP(_xlfn.CONCAT(Buildings_Heat_Backend[[#This Row],[Level 1]:[Level 6]]),rng_EFConcat,rng_EF3)*Buildings_Heat_Backend[[#This Row],[Converted data]]/1000)</f>
        <v/>
      </c>
      <c r="AI258" s="210" t="str">
        <f>IF(Buildings_Heat_Frontend[[#This Row],[Data]]="","", _xlfn.XLOOKUP(_xlfn.CONCAT(Buildings_Heat_Backend[[#This Row],[Level 1]:[Level 6]]),rng_EFConcat,rng_EF3WTT)*Buildings_Heat_Backend[[#This Row],[Converted data]]/1000)</f>
        <v/>
      </c>
      <c r="AJ258" s="210" t="str">
        <f>IF(Buildings_Heat_Frontend[[#This Row],[Data]]="","", _xlfn.XLOOKUP(_xlfn.CONCAT(Buildings_Heat_Backend[[#This Row],[Level 1]:[Level 6]]),rng_EFConcat,rng_EF3TD)*Buildings_Heat_Backend[[#This Row],[Converted data]]/1000)</f>
        <v/>
      </c>
      <c r="AK258" s="210" t="str">
        <f>IF(Buildings_Heat_Frontend[[#This Row],[Data]]="","", _xlfn.XLOOKUP(_xlfn.CONCAT(Buildings_Heat_Backend[[#This Row],[Level 1]:[Level 6]]),rng_EFConcat,rng_EF3WTTTD)*Buildings_Heat_Backend[[#This Row],[Converted data]]/1000)</f>
        <v/>
      </c>
      <c r="AL258" s="220">
        <f>SUM(Buildings_Heat_Backend[[#This Row],[Scope 1 (tCO2e)]:[Scope 3 WTT T&amp;D (tCO2e)]])</f>
        <v>0</v>
      </c>
      <c r="AM258" s="220" t="str">
        <f>IF(Buildings_Heat_Frontend[[#This Row],[Data]]="","", Buildings_Heat_Backend[[#This Row],[Total (tCO2e)]]*(1-Buildings_Heat_Backend[[#This Row],[RSD]]))</f>
        <v/>
      </c>
      <c r="AN258" s="220" t="str">
        <f>IF(Buildings_Heat_Frontend[[#This Row],[Data]]="","", Buildings_Heat_Backend[[#This Row],[Total (tCO2e)]]*(1+Buildings_Heat_Backend[[#This Row],[RSD]]))</f>
        <v/>
      </c>
      <c r="AO258" s="210" t="str">
        <f>IF(Buildings_Heat_Frontend[[#This Row],[Data]]="","", _xlfn.XLOOKUP(_xlfn.CONCAT(Buildings_Heat_Backend[[#This Row],[Level 1]:[Level 6]]),rng_EFConcat,rng_EFOOS)*Buildings_Heat_Backend[[#This Row],[Converted data]]/1000)</f>
        <v/>
      </c>
      <c r="AP258" s="174">
        <f>Buildings_Heat_Frontend[[#This Row],[Ease of collection]]</f>
        <v>0</v>
      </c>
      <c r="AQ258" s="174">
        <f>Buildings_Heat_Frontend[[#This Row],[Completeness]]</f>
        <v>0</v>
      </c>
      <c r="AR258" s="174">
        <f>Buildings_Heat_Frontend[[#This Row],[Notes]]</f>
        <v>0</v>
      </c>
    </row>
    <row r="259" spans="5:44" x14ac:dyDescent="0.3">
      <c r="E259" s="346"/>
      <c r="F259" s="364"/>
      <c r="G259" s="336"/>
      <c r="H259" s="336"/>
      <c r="I259" s="336"/>
      <c r="J259" s="334"/>
      <c r="K259" s="336"/>
      <c r="L259" s="336"/>
      <c r="M259" s="336"/>
      <c r="N259" s="352"/>
      <c r="O259" s="230">
        <f t="shared" si="11"/>
        <v>6</v>
      </c>
      <c r="Q259" s="212" t="str">
        <f t="shared" si="9"/>
        <v/>
      </c>
      <c r="R259" s="174" t="s">
        <v>265</v>
      </c>
      <c r="S259" s="174" t="s">
        <v>273</v>
      </c>
      <c r="T259" s="174" t="str">
        <f>IF(Buildings_Heat_Frontend[[#This Row],[Data]]="","", _xlfn.XLOOKUP(Buildings_Heat_Backend[[#This Row],[Info 1]],Buildings_SiteInfo[Site name],Buildings_SiteInfo[Site type]))</f>
        <v/>
      </c>
      <c r="U259" s="174" t="str">
        <f>IF(Buildings_Heat_Frontend[[#This Row],[Data]]="","", Buildings_Heat_Frontend[[#This Row],[Heating Type]])</f>
        <v/>
      </c>
      <c r="V259" s="174" t="str">
        <f>IF(Buildings_Heat_Frontend[[#This Row],[Data]]="","", Buildings_Heat_Frontend[[#This Row],[Fuel]])</f>
        <v/>
      </c>
      <c r="W259" s="174" t="str" cm="1">
        <f t="array" ref="W259">IF(Buildings_Heat_Frontend[[#This Row],[Data]]="","", _xlfn.XLOOKUP(Buildings_Heat_Backend[[#This Row],[Level 5]],rng_Level5Long,rng_Level6Long))</f>
        <v/>
      </c>
      <c r="X259" s="174" t="str">
        <f>IF(Buildings_Heat_Frontend[[#This Row],[Data]]="","", Buildings_Heat_Frontend[[#This Row],[Site Name]])</f>
        <v/>
      </c>
      <c r="Y259" s="174" t="str">
        <f>IF(Buildings_Heat_Frontend[[#This Row],[Data]]="","", Buildings_Heat_Frontend[[#This Row],[MPRN]])</f>
        <v/>
      </c>
      <c r="Z259" s="174" t="str">
        <f>IF(Buildings_Heat_Frontend[[#This Row],[Data]]="","", IF($I259="","",$I259))</f>
        <v/>
      </c>
      <c r="AA259" s="229" t="str" cm="1">
        <f t="array" ref="AA259">IF(Buildings_Heat_Frontend[[#This Row],[Data]]="","", INDEX(_xlfn.SWITCH(Buildings_Heat_Backend[[#This Row],[Methodology]],"Tier 1",rng_RSD1,"Tier 2",rng_RSD2,"Tier 3",rng_RSD3),MATCH(_xlfn.CONCAT(Buildings_Heat_Backend[[#This Row],[Level 1]:[Level 6]]),rng_LevelsConcat,0)))</f>
        <v/>
      </c>
      <c r="AB259" s="220" t="str">
        <f t="shared" si="10"/>
        <v/>
      </c>
      <c r="AC259" s="174">
        <f>Buildings_Heat_Frontend[[#This Row],[Units]]</f>
        <v>0</v>
      </c>
      <c r="AD25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59" s="174" t="str">
        <f>IF(Buildings_Heat_Frontend[[#This Row],[Data]]="","", _xlfn.XLOOKUP(_xlfn.CONCAT(Buildings_Heat_Backend[[#This Row],[Level 1]:[Level 6]]),rng_LevelsConcat,rng_UnitsLong))</f>
        <v/>
      </c>
      <c r="AF259" s="210" t="str">
        <f>IF(Buildings_Heat_Frontend[[#This Row],[Data]]="","", _xlfn.XLOOKUP(_xlfn.CONCAT(Buildings_Heat_Backend[[#This Row],[Level 1]:[Level 6]]),rng_EFConcat,rng_EF1)*Buildings_Heat_Backend[[#This Row],[Converted data]]/1000)</f>
        <v/>
      </c>
      <c r="AG259" s="210" t="str">
        <f>IF(Buildings_Heat_Frontend[[#This Row],[Data]]="","", _xlfn.XLOOKUP(_xlfn.CONCAT(Buildings_Heat_Backend[[#This Row],[Level 1]:[Level 6]]),rng_EFConcat,rng_EF2)*Buildings_Heat_Backend[[#This Row],[Converted data]]/1000)</f>
        <v/>
      </c>
      <c r="AH259" s="210" t="str">
        <f>IF(Buildings_Heat_Frontend[[#This Row],[Data]]="","", _xlfn.XLOOKUP(_xlfn.CONCAT(Buildings_Heat_Backend[[#This Row],[Level 1]:[Level 6]]),rng_EFConcat,rng_EF3)*Buildings_Heat_Backend[[#This Row],[Converted data]]/1000)</f>
        <v/>
      </c>
      <c r="AI259" s="210" t="str">
        <f>IF(Buildings_Heat_Frontend[[#This Row],[Data]]="","", _xlfn.XLOOKUP(_xlfn.CONCAT(Buildings_Heat_Backend[[#This Row],[Level 1]:[Level 6]]),rng_EFConcat,rng_EF3WTT)*Buildings_Heat_Backend[[#This Row],[Converted data]]/1000)</f>
        <v/>
      </c>
      <c r="AJ259" s="210" t="str">
        <f>IF(Buildings_Heat_Frontend[[#This Row],[Data]]="","", _xlfn.XLOOKUP(_xlfn.CONCAT(Buildings_Heat_Backend[[#This Row],[Level 1]:[Level 6]]),rng_EFConcat,rng_EF3TD)*Buildings_Heat_Backend[[#This Row],[Converted data]]/1000)</f>
        <v/>
      </c>
      <c r="AK259" s="210" t="str">
        <f>IF(Buildings_Heat_Frontend[[#This Row],[Data]]="","", _xlfn.XLOOKUP(_xlfn.CONCAT(Buildings_Heat_Backend[[#This Row],[Level 1]:[Level 6]]),rng_EFConcat,rng_EF3WTTTD)*Buildings_Heat_Backend[[#This Row],[Converted data]]/1000)</f>
        <v/>
      </c>
      <c r="AL259" s="220">
        <f>SUM(Buildings_Heat_Backend[[#This Row],[Scope 1 (tCO2e)]:[Scope 3 WTT T&amp;D (tCO2e)]])</f>
        <v>0</v>
      </c>
      <c r="AM259" s="220" t="str">
        <f>IF(Buildings_Heat_Frontend[[#This Row],[Data]]="","", Buildings_Heat_Backend[[#This Row],[Total (tCO2e)]]*(1-Buildings_Heat_Backend[[#This Row],[RSD]]))</f>
        <v/>
      </c>
      <c r="AN259" s="220" t="str">
        <f>IF(Buildings_Heat_Frontend[[#This Row],[Data]]="","", Buildings_Heat_Backend[[#This Row],[Total (tCO2e)]]*(1+Buildings_Heat_Backend[[#This Row],[RSD]]))</f>
        <v/>
      </c>
      <c r="AO259" s="210" t="str">
        <f>IF(Buildings_Heat_Frontend[[#This Row],[Data]]="","", _xlfn.XLOOKUP(_xlfn.CONCAT(Buildings_Heat_Backend[[#This Row],[Level 1]:[Level 6]]),rng_EFConcat,rng_EFOOS)*Buildings_Heat_Backend[[#This Row],[Converted data]]/1000)</f>
        <v/>
      </c>
      <c r="AP259" s="174">
        <f>Buildings_Heat_Frontend[[#This Row],[Ease of collection]]</f>
        <v>0</v>
      </c>
      <c r="AQ259" s="174">
        <f>Buildings_Heat_Frontend[[#This Row],[Completeness]]</f>
        <v>0</v>
      </c>
      <c r="AR259" s="174">
        <f>Buildings_Heat_Frontend[[#This Row],[Notes]]</f>
        <v>0</v>
      </c>
    </row>
    <row r="260" spans="5:44" x14ac:dyDescent="0.3">
      <c r="E260" s="346"/>
      <c r="F260" s="364"/>
      <c r="G260" s="336"/>
      <c r="H260" s="336"/>
      <c r="I260" s="336"/>
      <c r="J260" s="334"/>
      <c r="K260" s="336"/>
      <c r="L260" s="336"/>
      <c r="M260" s="336"/>
      <c r="N260" s="352"/>
      <c r="O260" s="230">
        <f t="shared" si="11"/>
        <v>6</v>
      </c>
      <c r="Q260" s="212" t="str">
        <f t="shared" si="9"/>
        <v/>
      </c>
      <c r="R260" s="174" t="s">
        <v>265</v>
      </c>
      <c r="S260" s="174" t="s">
        <v>273</v>
      </c>
      <c r="T260" s="174" t="str">
        <f>IF(Buildings_Heat_Frontend[[#This Row],[Data]]="","", _xlfn.XLOOKUP(Buildings_Heat_Backend[[#This Row],[Info 1]],Buildings_SiteInfo[Site name],Buildings_SiteInfo[Site type]))</f>
        <v/>
      </c>
      <c r="U260" s="174" t="str">
        <f>IF(Buildings_Heat_Frontend[[#This Row],[Data]]="","", Buildings_Heat_Frontend[[#This Row],[Heating Type]])</f>
        <v/>
      </c>
      <c r="V260" s="174" t="str">
        <f>IF(Buildings_Heat_Frontend[[#This Row],[Data]]="","", Buildings_Heat_Frontend[[#This Row],[Fuel]])</f>
        <v/>
      </c>
      <c r="W260" s="174" t="str" cm="1">
        <f t="array" ref="W260">IF(Buildings_Heat_Frontend[[#This Row],[Data]]="","", _xlfn.XLOOKUP(Buildings_Heat_Backend[[#This Row],[Level 5]],rng_Level5Long,rng_Level6Long))</f>
        <v/>
      </c>
      <c r="X260" s="174" t="str">
        <f>IF(Buildings_Heat_Frontend[[#This Row],[Data]]="","", Buildings_Heat_Frontend[[#This Row],[Site Name]])</f>
        <v/>
      </c>
      <c r="Y260" s="174" t="str">
        <f>IF(Buildings_Heat_Frontend[[#This Row],[Data]]="","", Buildings_Heat_Frontend[[#This Row],[MPRN]])</f>
        <v/>
      </c>
      <c r="Z260" s="174" t="str">
        <f>IF(Buildings_Heat_Frontend[[#This Row],[Data]]="","", IF($I260="","",$I260))</f>
        <v/>
      </c>
      <c r="AA260" s="229" t="str" cm="1">
        <f t="array" ref="AA260">IF(Buildings_Heat_Frontend[[#This Row],[Data]]="","", INDEX(_xlfn.SWITCH(Buildings_Heat_Backend[[#This Row],[Methodology]],"Tier 1",rng_RSD1,"Tier 2",rng_RSD2,"Tier 3",rng_RSD3),MATCH(_xlfn.CONCAT(Buildings_Heat_Backend[[#This Row],[Level 1]:[Level 6]]),rng_LevelsConcat,0)))</f>
        <v/>
      </c>
      <c r="AB260" s="220" t="str">
        <f t="shared" si="10"/>
        <v/>
      </c>
      <c r="AC260" s="174">
        <f>Buildings_Heat_Frontend[[#This Row],[Units]]</f>
        <v>0</v>
      </c>
      <c r="AD26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0" s="174" t="str">
        <f>IF(Buildings_Heat_Frontend[[#This Row],[Data]]="","", _xlfn.XLOOKUP(_xlfn.CONCAT(Buildings_Heat_Backend[[#This Row],[Level 1]:[Level 6]]),rng_LevelsConcat,rng_UnitsLong))</f>
        <v/>
      </c>
      <c r="AF260" s="210" t="str">
        <f>IF(Buildings_Heat_Frontend[[#This Row],[Data]]="","", _xlfn.XLOOKUP(_xlfn.CONCAT(Buildings_Heat_Backend[[#This Row],[Level 1]:[Level 6]]),rng_EFConcat,rng_EF1)*Buildings_Heat_Backend[[#This Row],[Converted data]]/1000)</f>
        <v/>
      </c>
      <c r="AG260" s="210" t="str">
        <f>IF(Buildings_Heat_Frontend[[#This Row],[Data]]="","", _xlfn.XLOOKUP(_xlfn.CONCAT(Buildings_Heat_Backend[[#This Row],[Level 1]:[Level 6]]),rng_EFConcat,rng_EF2)*Buildings_Heat_Backend[[#This Row],[Converted data]]/1000)</f>
        <v/>
      </c>
      <c r="AH260" s="210" t="str">
        <f>IF(Buildings_Heat_Frontend[[#This Row],[Data]]="","", _xlfn.XLOOKUP(_xlfn.CONCAT(Buildings_Heat_Backend[[#This Row],[Level 1]:[Level 6]]),rng_EFConcat,rng_EF3)*Buildings_Heat_Backend[[#This Row],[Converted data]]/1000)</f>
        <v/>
      </c>
      <c r="AI260" s="210" t="str">
        <f>IF(Buildings_Heat_Frontend[[#This Row],[Data]]="","", _xlfn.XLOOKUP(_xlfn.CONCAT(Buildings_Heat_Backend[[#This Row],[Level 1]:[Level 6]]),rng_EFConcat,rng_EF3WTT)*Buildings_Heat_Backend[[#This Row],[Converted data]]/1000)</f>
        <v/>
      </c>
      <c r="AJ260" s="210" t="str">
        <f>IF(Buildings_Heat_Frontend[[#This Row],[Data]]="","", _xlfn.XLOOKUP(_xlfn.CONCAT(Buildings_Heat_Backend[[#This Row],[Level 1]:[Level 6]]),rng_EFConcat,rng_EF3TD)*Buildings_Heat_Backend[[#This Row],[Converted data]]/1000)</f>
        <v/>
      </c>
      <c r="AK260" s="210" t="str">
        <f>IF(Buildings_Heat_Frontend[[#This Row],[Data]]="","", _xlfn.XLOOKUP(_xlfn.CONCAT(Buildings_Heat_Backend[[#This Row],[Level 1]:[Level 6]]),rng_EFConcat,rng_EF3WTTTD)*Buildings_Heat_Backend[[#This Row],[Converted data]]/1000)</f>
        <v/>
      </c>
      <c r="AL260" s="220">
        <f>SUM(Buildings_Heat_Backend[[#This Row],[Scope 1 (tCO2e)]:[Scope 3 WTT T&amp;D (tCO2e)]])</f>
        <v>0</v>
      </c>
      <c r="AM260" s="220" t="str">
        <f>IF(Buildings_Heat_Frontend[[#This Row],[Data]]="","", Buildings_Heat_Backend[[#This Row],[Total (tCO2e)]]*(1-Buildings_Heat_Backend[[#This Row],[RSD]]))</f>
        <v/>
      </c>
      <c r="AN260" s="220" t="str">
        <f>IF(Buildings_Heat_Frontend[[#This Row],[Data]]="","", Buildings_Heat_Backend[[#This Row],[Total (tCO2e)]]*(1+Buildings_Heat_Backend[[#This Row],[RSD]]))</f>
        <v/>
      </c>
      <c r="AO260" s="210" t="str">
        <f>IF(Buildings_Heat_Frontend[[#This Row],[Data]]="","", _xlfn.XLOOKUP(_xlfn.CONCAT(Buildings_Heat_Backend[[#This Row],[Level 1]:[Level 6]]),rng_EFConcat,rng_EFOOS)*Buildings_Heat_Backend[[#This Row],[Converted data]]/1000)</f>
        <v/>
      </c>
      <c r="AP260" s="174">
        <f>Buildings_Heat_Frontend[[#This Row],[Ease of collection]]</f>
        <v>0</v>
      </c>
      <c r="AQ260" s="174">
        <f>Buildings_Heat_Frontend[[#This Row],[Completeness]]</f>
        <v>0</v>
      </c>
      <c r="AR260" s="174">
        <f>Buildings_Heat_Frontend[[#This Row],[Notes]]</f>
        <v>0</v>
      </c>
    </row>
    <row r="261" spans="5:44" x14ac:dyDescent="0.3">
      <c r="E261" s="346"/>
      <c r="F261" s="364"/>
      <c r="G261" s="336"/>
      <c r="H261" s="336"/>
      <c r="I261" s="336"/>
      <c r="J261" s="334"/>
      <c r="K261" s="336"/>
      <c r="L261" s="336"/>
      <c r="M261" s="336"/>
      <c r="N261" s="352"/>
      <c r="O261" s="230">
        <f t="shared" si="11"/>
        <v>6</v>
      </c>
      <c r="Q261" s="212" t="str">
        <f t="shared" si="9"/>
        <v/>
      </c>
      <c r="R261" s="174" t="s">
        <v>265</v>
      </c>
      <c r="S261" s="174" t="s">
        <v>273</v>
      </c>
      <c r="T261" s="174" t="str">
        <f>IF(Buildings_Heat_Frontend[[#This Row],[Data]]="","", _xlfn.XLOOKUP(Buildings_Heat_Backend[[#This Row],[Info 1]],Buildings_SiteInfo[Site name],Buildings_SiteInfo[Site type]))</f>
        <v/>
      </c>
      <c r="U261" s="174" t="str">
        <f>IF(Buildings_Heat_Frontend[[#This Row],[Data]]="","", Buildings_Heat_Frontend[[#This Row],[Heating Type]])</f>
        <v/>
      </c>
      <c r="V261" s="174" t="str">
        <f>IF(Buildings_Heat_Frontend[[#This Row],[Data]]="","", Buildings_Heat_Frontend[[#This Row],[Fuel]])</f>
        <v/>
      </c>
      <c r="W261" s="174" t="str" cm="1">
        <f t="array" ref="W261">IF(Buildings_Heat_Frontend[[#This Row],[Data]]="","", _xlfn.XLOOKUP(Buildings_Heat_Backend[[#This Row],[Level 5]],rng_Level5Long,rng_Level6Long))</f>
        <v/>
      </c>
      <c r="X261" s="174" t="str">
        <f>IF(Buildings_Heat_Frontend[[#This Row],[Data]]="","", Buildings_Heat_Frontend[[#This Row],[Site Name]])</f>
        <v/>
      </c>
      <c r="Y261" s="174" t="str">
        <f>IF(Buildings_Heat_Frontend[[#This Row],[Data]]="","", Buildings_Heat_Frontend[[#This Row],[MPRN]])</f>
        <v/>
      </c>
      <c r="Z261" s="174" t="str">
        <f>IF(Buildings_Heat_Frontend[[#This Row],[Data]]="","", IF($I261="","",$I261))</f>
        <v/>
      </c>
      <c r="AA261" s="229" t="str" cm="1">
        <f t="array" ref="AA261">IF(Buildings_Heat_Frontend[[#This Row],[Data]]="","", INDEX(_xlfn.SWITCH(Buildings_Heat_Backend[[#This Row],[Methodology]],"Tier 1",rng_RSD1,"Tier 2",rng_RSD2,"Tier 3",rng_RSD3),MATCH(_xlfn.CONCAT(Buildings_Heat_Backend[[#This Row],[Level 1]:[Level 6]]),rng_LevelsConcat,0)))</f>
        <v/>
      </c>
      <c r="AB261" s="220" t="str">
        <f t="shared" si="10"/>
        <v/>
      </c>
      <c r="AC261" s="174">
        <f>Buildings_Heat_Frontend[[#This Row],[Units]]</f>
        <v>0</v>
      </c>
      <c r="AD26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1" s="174" t="str">
        <f>IF(Buildings_Heat_Frontend[[#This Row],[Data]]="","", _xlfn.XLOOKUP(_xlfn.CONCAT(Buildings_Heat_Backend[[#This Row],[Level 1]:[Level 6]]),rng_LevelsConcat,rng_UnitsLong))</f>
        <v/>
      </c>
      <c r="AF261" s="210" t="str">
        <f>IF(Buildings_Heat_Frontend[[#This Row],[Data]]="","", _xlfn.XLOOKUP(_xlfn.CONCAT(Buildings_Heat_Backend[[#This Row],[Level 1]:[Level 6]]),rng_EFConcat,rng_EF1)*Buildings_Heat_Backend[[#This Row],[Converted data]]/1000)</f>
        <v/>
      </c>
      <c r="AG261" s="210" t="str">
        <f>IF(Buildings_Heat_Frontend[[#This Row],[Data]]="","", _xlfn.XLOOKUP(_xlfn.CONCAT(Buildings_Heat_Backend[[#This Row],[Level 1]:[Level 6]]),rng_EFConcat,rng_EF2)*Buildings_Heat_Backend[[#This Row],[Converted data]]/1000)</f>
        <v/>
      </c>
      <c r="AH261" s="210" t="str">
        <f>IF(Buildings_Heat_Frontend[[#This Row],[Data]]="","", _xlfn.XLOOKUP(_xlfn.CONCAT(Buildings_Heat_Backend[[#This Row],[Level 1]:[Level 6]]),rng_EFConcat,rng_EF3)*Buildings_Heat_Backend[[#This Row],[Converted data]]/1000)</f>
        <v/>
      </c>
      <c r="AI261" s="210" t="str">
        <f>IF(Buildings_Heat_Frontend[[#This Row],[Data]]="","", _xlfn.XLOOKUP(_xlfn.CONCAT(Buildings_Heat_Backend[[#This Row],[Level 1]:[Level 6]]),rng_EFConcat,rng_EF3WTT)*Buildings_Heat_Backend[[#This Row],[Converted data]]/1000)</f>
        <v/>
      </c>
      <c r="AJ261" s="210" t="str">
        <f>IF(Buildings_Heat_Frontend[[#This Row],[Data]]="","", _xlfn.XLOOKUP(_xlfn.CONCAT(Buildings_Heat_Backend[[#This Row],[Level 1]:[Level 6]]),rng_EFConcat,rng_EF3TD)*Buildings_Heat_Backend[[#This Row],[Converted data]]/1000)</f>
        <v/>
      </c>
      <c r="AK261" s="210" t="str">
        <f>IF(Buildings_Heat_Frontend[[#This Row],[Data]]="","", _xlfn.XLOOKUP(_xlfn.CONCAT(Buildings_Heat_Backend[[#This Row],[Level 1]:[Level 6]]),rng_EFConcat,rng_EF3WTTTD)*Buildings_Heat_Backend[[#This Row],[Converted data]]/1000)</f>
        <v/>
      </c>
      <c r="AL261" s="220">
        <f>SUM(Buildings_Heat_Backend[[#This Row],[Scope 1 (tCO2e)]:[Scope 3 WTT T&amp;D (tCO2e)]])</f>
        <v>0</v>
      </c>
      <c r="AM261" s="220" t="str">
        <f>IF(Buildings_Heat_Frontend[[#This Row],[Data]]="","", Buildings_Heat_Backend[[#This Row],[Total (tCO2e)]]*(1-Buildings_Heat_Backend[[#This Row],[RSD]]))</f>
        <v/>
      </c>
      <c r="AN261" s="220" t="str">
        <f>IF(Buildings_Heat_Frontend[[#This Row],[Data]]="","", Buildings_Heat_Backend[[#This Row],[Total (tCO2e)]]*(1+Buildings_Heat_Backend[[#This Row],[RSD]]))</f>
        <v/>
      </c>
      <c r="AO261" s="210" t="str">
        <f>IF(Buildings_Heat_Frontend[[#This Row],[Data]]="","", _xlfn.XLOOKUP(_xlfn.CONCAT(Buildings_Heat_Backend[[#This Row],[Level 1]:[Level 6]]),rng_EFConcat,rng_EFOOS)*Buildings_Heat_Backend[[#This Row],[Converted data]]/1000)</f>
        <v/>
      </c>
      <c r="AP261" s="174">
        <f>Buildings_Heat_Frontend[[#This Row],[Ease of collection]]</f>
        <v>0</v>
      </c>
      <c r="AQ261" s="174">
        <f>Buildings_Heat_Frontend[[#This Row],[Completeness]]</f>
        <v>0</v>
      </c>
      <c r="AR261" s="174">
        <f>Buildings_Heat_Frontend[[#This Row],[Notes]]</f>
        <v>0</v>
      </c>
    </row>
    <row r="262" spans="5:44" x14ac:dyDescent="0.3">
      <c r="E262" s="346"/>
      <c r="F262" s="364"/>
      <c r="G262" s="336"/>
      <c r="H262" s="336"/>
      <c r="I262" s="336"/>
      <c r="J262" s="334"/>
      <c r="K262" s="336"/>
      <c r="L262" s="336"/>
      <c r="M262" s="336"/>
      <c r="N262" s="352"/>
      <c r="O262" s="230">
        <f t="shared" si="11"/>
        <v>6</v>
      </c>
      <c r="Q262" s="212" t="str">
        <f t="shared" si="9"/>
        <v/>
      </c>
      <c r="R262" s="174" t="s">
        <v>265</v>
      </c>
      <c r="S262" s="174" t="s">
        <v>273</v>
      </c>
      <c r="T262" s="174" t="str">
        <f>IF(Buildings_Heat_Frontend[[#This Row],[Data]]="","", _xlfn.XLOOKUP(Buildings_Heat_Backend[[#This Row],[Info 1]],Buildings_SiteInfo[Site name],Buildings_SiteInfo[Site type]))</f>
        <v/>
      </c>
      <c r="U262" s="174" t="str">
        <f>IF(Buildings_Heat_Frontend[[#This Row],[Data]]="","", Buildings_Heat_Frontend[[#This Row],[Heating Type]])</f>
        <v/>
      </c>
      <c r="V262" s="174" t="str">
        <f>IF(Buildings_Heat_Frontend[[#This Row],[Data]]="","", Buildings_Heat_Frontend[[#This Row],[Fuel]])</f>
        <v/>
      </c>
      <c r="W262" s="174" t="str" cm="1">
        <f t="array" ref="W262">IF(Buildings_Heat_Frontend[[#This Row],[Data]]="","", _xlfn.XLOOKUP(Buildings_Heat_Backend[[#This Row],[Level 5]],rng_Level5Long,rng_Level6Long))</f>
        <v/>
      </c>
      <c r="X262" s="174" t="str">
        <f>IF(Buildings_Heat_Frontend[[#This Row],[Data]]="","", Buildings_Heat_Frontend[[#This Row],[Site Name]])</f>
        <v/>
      </c>
      <c r="Y262" s="174" t="str">
        <f>IF(Buildings_Heat_Frontend[[#This Row],[Data]]="","", Buildings_Heat_Frontend[[#This Row],[MPRN]])</f>
        <v/>
      </c>
      <c r="Z262" s="174" t="str">
        <f>IF(Buildings_Heat_Frontend[[#This Row],[Data]]="","", IF($I262="","",$I262))</f>
        <v/>
      </c>
      <c r="AA262" s="229" t="str" cm="1">
        <f t="array" ref="AA262">IF(Buildings_Heat_Frontend[[#This Row],[Data]]="","", INDEX(_xlfn.SWITCH(Buildings_Heat_Backend[[#This Row],[Methodology]],"Tier 1",rng_RSD1,"Tier 2",rng_RSD2,"Tier 3",rng_RSD3),MATCH(_xlfn.CONCAT(Buildings_Heat_Backend[[#This Row],[Level 1]:[Level 6]]),rng_LevelsConcat,0)))</f>
        <v/>
      </c>
      <c r="AB262" s="220" t="str">
        <f t="shared" si="10"/>
        <v/>
      </c>
      <c r="AC262" s="174">
        <f>Buildings_Heat_Frontend[[#This Row],[Units]]</f>
        <v>0</v>
      </c>
      <c r="AD26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2" s="174" t="str">
        <f>IF(Buildings_Heat_Frontend[[#This Row],[Data]]="","", _xlfn.XLOOKUP(_xlfn.CONCAT(Buildings_Heat_Backend[[#This Row],[Level 1]:[Level 6]]),rng_LevelsConcat,rng_UnitsLong))</f>
        <v/>
      </c>
      <c r="AF262" s="210" t="str">
        <f>IF(Buildings_Heat_Frontend[[#This Row],[Data]]="","", _xlfn.XLOOKUP(_xlfn.CONCAT(Buildings_Heat_Backend[[#This Row],[Level 1]:[Level 6]]),rng_EFConcat,rng_EF1)*Buildings_Heat_Backend[[#This Row],[Converted data]]/1000)</f>
        <v/>
      </c>
      <c r="AG262" s="210" t="str">
        <f>IF(Buildings_Heat_Frontend[[#This Row],[Data]]="","", _xlfn.XLOOKUP(_xlfn.CONCAT(Buildings_Heat_Backend[[#This Row],[Level 1]:[Level 6]]),rng_EFConcat,rng_EF2)*Buildings_Heat_Backend[[#This Row],[Converted data]]/1000)</f>
        <v/>
      </c>
      <c r="AH262" s="210" t="str">
        <f>IF(Buildings_Heat_Frontend[[#This Row],[Data]]="","", _xlfn.XLOOKUP(_xlfn.CONCAT(Buildings_Heat_Backend[[#This Row],[Level 1]:[Level 6]]),rng_EFConcat,rng_EF3)*Buildings_Heat_Backend[[#This Row],[Converted data]]/1000)</f>
        <v/>
      </c>
      <c r="AI262" s="210" t="str">
        <f>IF(Buildings_Heat_Frontend[[#This Row],[Data]]="","", _xlfn.XLOOKUP(_xlfn.CONCAT(Buildings_Heat_Backend[[#This Row],[Level 1]:[Level 6]]),rng_EFConcat,rng_EF3WTT)*Buildings_Heat_Backend[[#This Row],[Converted data]]/1000)</f>
        <v/>
      </c>
      <c r="AJ262" s="210" t="str">
        <f>IF(Buildings_Heat_Frontend[[#This Row],[Data]]="","", _xlfn.XLOOKUP(_xlfn.CONCAT(Buildings_Heat_Backend[[#This Row],[Level 1]:[Level 6]]),rng_EFConcat,rng_EF3TD)*Buildings_Heat_Backend[[#This Row],[Converted data]]/1000)</f>
        <v/>
      </c>
      <c r="AK262" s="210" t="str">
        <f>IF(Buildings_Heat_Frontend[[#This Row],[Data]]="","", _xlfn.XLOOKUP(_xlfn.CONCAT(Buildings_Heat_Backend[[#This Row],[Level 1]:[Level 6]]),rng_EFConcat,rng_EF3WTTTD)*Buildings_Heat_Backend[[#This Row],[Converted data]]/1000)</f>
        <v/>
      </c>
      <c r="AL262" s="220">
        <f>SUM(Buildings_Heat_Backend[[#This Row],[Scope 1 (tCO2e)]:[Scope 3 WTT T&amp;D (tCO2e)]])</f>
        <v>0</v>
      </c>
      <c r="AM262" s="220" t="str">
        <f>IF(Buildings_Heat_Frontend[[#This Row],[Data]]="","", Buildings_Heat_Backend[[#This Row],[Total (tCO2e)]]*(1-Buildings_Heat_Backend[[#This Row],[RSD]]))</f>
        <v/>
      </c>
      <c r="AN262" s="220" t="str">
        <f>IF(Buildings_Heat_Frontend[[#This Row],[Data]]="","", Buildings_Heat_Backend[[#This Row],[Total (tCO2e)]]*(1+Buildings_Heat_Backend[[#This Row],[RSD]]))</f>
        <v/>
      </c>
      <c r="AO262" s="210" t="str">
        <f>IF(Buildings_Heat_Frontend[[#This Row],[Data]]="","", _xlfn.XLOOKUP(_xlfn.CONCAT(Buildings_Heat_Backend[[#This Row],[Level 1]:[Level 6]]),rng_EFConcat,rng_EFOOS)*Buildings_Heat_Backend[[#This Row],[Converted data]]/1000)</f>
        <v/>
      </c>
      <c r="AP262" s="174">
        <f>Buildings_Heat_Frontend[[#This Row],[Ease of collection]]</f>
        <v>0</v>
      </c>
      <c r="AQ262" s="174">
        <f>Buildings_Heat_Frontend[[#This Row],[Completeness]]</f>
        <v>0</v>
      </c>
      <c r="AR262" s="174">
        <f>Buildings_Heat_Frontend[[#This Row],[Notes]]</f>
        <v>0</v>
      </c>
    </row>
    <row r="263" spans="5:44" x14ac:dyDescent="0.3">
      <c r="E263" s="346"/>
      <c r="F263" s="364"/>
      <c r="G263" s="336"/>
      <c r="H263" s="336"/>
      <c r="I263" s="336"/>
      <c r="J263" s="334"/>
      <c r="K263" s="336"/>
      <c r="L263" s="336"/>
      <c r="M263" s="336"/>
      <c r="N263" s="352"/>
      <c r="O263" s="230">
        <f t="shared" si="11"/>
        <v>6</v>
      </c>
      <c r="Q263" s="212" t="str">
        <f t="shared" si="9"/>
        <v/>
      </c>
      <c r="R263" s="174" t="s">
        <v>265</v>
      </c>
      <c r="S263" s="174" t="s">
        <v>273</v>
      </c>
      <c r="T263" s="174" t="str">
        <f>IF(Buildings_Heat_Frontend[[#This Row],[Data]]="","", _xlfn.XLOOKUP(Buildings_Heat_Backend[[#This Row],[Info 1]],Buildings_SiteInfo[Site name],Buildings_SiteInfo[Site type]))</f>
        <v/>
      </c>
      <c r="U263" s="174" t="str">
        <f>IF(Buildings_Heat_Frontend[[#This Row],[Data]]="","", Buildings_Heat_Frontend[[#This Row],[Heating Type]])</f>
        <v/>
      </c>
      <c r="V263" s="174" t="str">
        <f>IF(Buildings_Heat_Frontend[[#This Row],[Data]]="","", Buildings_Heat_Frontend[[#This Row],[Fuel]])</f>
        <v/>
      </c>
      <c r="W263" s="174" t="str" cm="1">
        <f t="array" ref="W263">IF(Buildings_Heat_Frontend[[#This Row],[Data]]="","", _xlfn.XLOOKUP(Buildings_Heat_Backend[[#This Row],[Level 5]],rng_Level5Long,rng_Level6Long))</f>
        <v/>
      </c>
      <c r="X263" s="174" t="str">
        <f>IF(Buildings_Heat_Frontend[[#This Row],[Data]]="","", Buildings_Heat_Frontend[[#This Row],[Site Name]])</f>
        <v/>
      </c>
      <c r="Y263" s="174" t="str">
        <f>IF(Buildings_Heat_Frontend[[#This Row],[Data]]="","", Buildings_Heat_Frontend[[#This Row],[MPRN]])</f>
        <v/>
      </c>
      <c r="Z263" s="174" t="str">
        <f>IF(Buildings_Heat_Frontend[[#This Row],[Data]]="","", IF($I263="","",$I263))</f>
        <v/>
      </c>
      <c r="AA263" s="229" t="str" cm="1">
        <f t="array" ref="AA263">IF(Buildings_Heat_Frontend[[#This Row],[Data]]="","", INDEX(_xlfn.SWITCH(Buildings_Heat_Backend[[#This Row],[Methodology]],"Tier 1",rng_RSD1,"Tier 2",rng_RSD2,"Tier 3",rng_RSD3),MATCH(_xlfn.CONCAT(Buildings_Heat_Backend[[#This Row],[Level 1]:[Level 6]]),rng_LevelsConcat,0)))</f>
        <v/>
      </c>
      <c r="AB263" s="220" t="str">
        <f t="shared" si="10"/>
        <v/>
      </c>
      <c r="AC263" s="174">
        <f>Buildings_Heat_Frontend[[#This Row],[Units]]</f>
        <v>0</v>
      </c>
      <c r="AD26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3" s="174" t="str">
        <f>IF(Buildings_Heat_Frontend[[#This Row],[Data]]="","", _xlfn.XLOOKUP(_xlfn.CONCAT(Buildings_Heat_Backend[[#This Row],[Level 1]:[Level 6]]),rng_LevelsConcat,rng_UnitsLong))</f>
        <v/>
      </c>
      <c r="AF263" s="210" t="str">
        <f>IF(Buildings_Heat_Frontend[[#This Row],[Data]]="","", _xlfn.XLOOKUP(_xlfn.CONCAT(Buildings_Heat_Backend[[#This Row],[Level 1]:[Level 6]]),rng_EFConcat,rng_EF1)*Buildings_Heat_Backend[[#This Row],[Converted data]]/1000)</f>
        <v/>
      </c>
      <c r="AG263" s="210" t="str">
        <f>IF(Buildings_Heat_Frontend[[#This Row],[Data]]="","", _xlfn.XLOOKUP(_xlfn.CONCAT(Buildings_Heat_Backend[[#This Row],[Level 1]:[Level 6]]),rng_EFConcat,rng_EF2)*Buildings_Heat_Backend[[#This Row],[Converted data]]/1000)</f>
        <v/>
      </c>
      <c r="AH263" s="210" t="str">
        <f>IF(Buildings_Heat_Frontend[[#This Row],[Data]]="","", _xlfn.XLOOKUP(_xlfn.CONCAT(Buildings_Heat_Backend[[#This Row],[Level 1]:[Level 6]]),rng_EFConcat,rng_EF3)*Buildings_Heat_Backend[[#This Row],[Converted data]]/1000)</f>
        <v/>
      </c>
      <c r="AI263" s="210" t="str">
        <f>IF(Buildings_Heat_Frontend[[#This Row],[Data]]="","", _xlfn.XLOOKUP(_xlfn.CONCAT(Buildings_Heat_Backend[[#This Row],[Level 1]:[Level 6]]),rng_EFConcat,rng_EF3WTT)*Buildings_Heat_Backend[[#This Row],[Converted data]]/1000)</f>
        <v/>
      </c>
      <c r="AJ263" s="210" t="str">
        <f>IF(Buildings_Heat_Frontend[[#This Row],[Data]]="","", _xlfn.XLOOKUP(_xlfn.CONCAT(Buildings_Heat_Backend[[#This Row],[Level 1]:[Level 6]]),rng_EFConcat,rng_EF3TD)*Buildings_Heat_Backend[[#This Row],[Converted data]]/1000)</f>
        <v/>
      </c>
      <c r="AK263" s="210" t="str">
        <f>IF(Buildings_Heat_Frontend[[#This Row],[Data]]="","", _xlfn.XLOOKUP(_xlfn.CONCAT(Buildings_Heat_Backend[[#This Row],[Level 1]:[Level 6]]),rng_EFConcat,rng_EF3WTTTD)*Buildings_Heat_Backend[[#This Row],[Converted data]]/1000)</f>
        <v/>
      </c>
      <c r="AL263" s="220">
        <f>SUM(Buildings_Heat_Backend[[#This Row],[Scope 1 (tCO2e)]:[Scope 3 WTT T&amp;D (tCO2e)]])</f>
        <v>0</v>
      </c>
      <c r="AM263" s="220" t="str">
        <f>IF(Buildings_Heat_Frontend[[#This Row],[Data]]="","", Buildings_Heat_Backend[[#This Row],[Total (tCO2e)]]*(1-Buildings_Heat_Backend[[#This Row],[RSD]]))</f>
        <v/>
      </c>
      <c r="AN263" s="220" t="str">
        <f>IF(Buildings_Heat_Frontend[[#This Row],[Data]]="","", Buildings_Heat_Backend[[#This Row],[Total (tCO2e)]]*(1+Buildings_Heat_Backend[[#This Row],[RSD]]))</f>
        <v/>
      </c>
      <c r="AO263" s="210" t="str">
        <f>IF(Buildings_Heat_Frontend[[#This Row],[Data]]="","", _xlfn.XLOOKUP(_xlfn.CONCAT(Buildings_Heat_Backend[[#This Row],[Level 1]:[Level 6]]),rng_EFConcat,rng_EFOOS)*Buildings_Heat_Backend[[#This Row],[Converted data]]/1000)</f>
        <v/>
      </c>
      <c r="AP263" s="174">
        <f>Buildings_Heat_Frontend[[#This Row],[Ease of collection]]</f>
        <v>0</v>
      </c>
      <c r="AQ263" s="174">
        <f>Buildings_Heat_Frontend[[#This Row],[Completeness]]</f>
        <v>0</v>
      </c>
      <c r="AR263" s="174">
        <f>Buildings_Heat_Frontend[[#This Row],[Notes]]</f>
        <v>0</v>
      </c>
    </row>
    <row r="264" spans="5:44" x14ac:dyDescent="0.3">
      <c r="E264" s="346"/>
      <c r="F264" s="364"/>
      <c r="G264" s="336"/>
      <c r="H264" s="336"/>
      <c r="I264" s="336"/>
      <c r="J264" s="334"/>
      <c r="K264" s="336"/>
      <c r="L264" s="336"/>
      <c r="M264" s="336"/>
      <c r="N264" s="352"/>
      <c r="O264" s="230">
        <f t="shared" si="11"/>
        <v>6</v>
      </c>
      <c r="Q264" s="212" t="str">
        <f t="shared" si="9"/>
        <v/>
      </c>
      <c r="R264" s="174" t="s">
        <v>265</v>
      </c>
      <c r="S264" s="174" t="s">
        <v>273</v>
      </c>
      <c r="T264" s="174" t="str">
        <f>IF(Buildings_Heat_Frontend[[#This Row],[Data]]="","", _xlfn.XLOOKUP(Buildings_Heat_Backend[[#This Row],[Info 1]],Buildings_SiteInfo[Site name],Buildings_SiteInfo[Site type]))</f>
        <v/>
      </c>
      <c r="U264" s="174" t="str">
        <f>IF(Buildings_Heat_Frontend[[#This Row],[Data]]="","", Buildings_Heat_Frontend[[#This Row],[Heating Type]])</f>
        <v/>
      </c>
      <c r="V264" s="174" t="str">
        <f>IF(Buildings_Heat_Frontend[[#This Row],[Data]]="","", Buildings_Heat_Frontend[[#This Row],[Fuel]])</f>
        <v/>
      </c>
      <c r="W264" s="174" t="str" cm="1">
        <f t="array" ref="W264">IF(Buildings_Heat_Frontend[[#This Row],[Data]]="","", _xlfn.XLOOKUP(Buildings_Heat_Backend[[#This Row],[Level 5]],rng_Level5Long,rng_Level6Long))</f>
        <v/>
      </c>
      <c r="X264" s="174" t="str">
        <f>IF(Buildings_Heat_Frontend[[#This Row],[Data]]="","", Buildings_Heat_Frontend[[#This Row],[Site Name]])</f>
        <v/>
      </c>
      <c r="Y264" s="174" t="str">
        <f>IF(Buildings_Heat_Frontend[[#This Row],[Data]]="","", Buildings_Heat_Frontend[[#This Row],[MPRN]])</f>
        <v/>
      </c>
      <c r="Z264" s="174" t="str">
        <f>IF(Buildings_Heat_Frontend[[#This Row],[Data]]="","", IF($I264="","",$I264))</f>
        <v/>
      </c>
      <c r="AA264" s="229" t="str" cm="1">
        <f t="array" ref="AA264">IF(Buildings_Heat_Frontend[[#This Row],[Data]]="","", INDEX(_xlfn.SWITCH(Buildings_Heat_Backend[[#This Row],[Methodology]],"Tier 1",rng_RSD1,"Tier 2",rng_RSD2,"Tier 3",rng_RSD3),MATCH(_xlfn.CONCAT(Buildings_Heat_Backend[[#This Row],[Level 1]:[Level 6]]),rng_LevelsConcat,0)))</f>
        <v/>
      </c>
      <c r="AB264" s="220" t="str">
        <f t="shared" si="10"/>
        <v/>
      </c>
      <c r="AC264" s="174">
        <f>Buildings_Heat_Frontend[[#This Row],[Units]]</f>
        <v>0</v>
      </c>
      <c r="AD26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4" s="174" t="str">
        <f>IF(Buildings_Heat_Frontend[[#This Row],[Data]]="","", _xlfn.XLOOKUP(_xlfn.CONCAT(Buildings_Heat_Backend[[#This Row],[Level 1]:[Level 6]]),rng_LevelsConcat,rng_UnitsLong))</f>
        <v/>
      </c>
      <c r="AF264" s="210" t="str">
        <f>IF(Buildings_Heat_Frontend[[#This Row],[Data]]="","", _xlfn.XLOOKUP(_xlfn.CONCAT(Buildings_Heat_Backend[[#This Row],[Level 1]:[Level 6]]),rng_EFConcat,rng_EF1)*Buildings_Heat_Backend[[#This Row],[Converted data]]/1000)</f>
        <v/>
      </c>
      <c r="AG264" s="210" t="str">
        <f>IF(Buildings_Heat_Frontend[[#This Row],[Data]]="","", _xlfn.XLOOKUP(_xlfn.CONCAT(Buildings_Heat_Backend[[#This Row],[Level 1]:[Level 6]]),rng_EFConcat,rng_EF2)*Buildings_Heat_Backend[[#This Row],[Converted data]]/1000)</f>
        <v/>
      </c>
      <c r="AH264" s="210" t="str">
        <f>IF(Buildings_Heat_Frontend[[#This Row],[Data]]="","", _xlfn.XLOOKUP(_xlfn.CONCAT(Buildings_Heat_Backend[[#This Row],[Level 1]:[Level 6]]),rng_EFConcat,rng_EF3)*Buildings_Heat_Backend[[#This Row],[Converted data]]/1000)</f>
        <v/>
      </c>
      <c r="AI264" s="210" t="str">
        <f>IF(Buildings_Heat_Frontend[[#This Row],[Data]]="","", _xlfn.XLOOKUP(_xlfn.CONCAT(Buildings_Heat_Backend[[#This Row],[Level 1]:[Level 6]]),rng_EFConcat,rng_EF3WTT)*Buildings_Heat_Backend[[#This Row],[Converted data]]/1000)</f>
        <v/>
      </c>
      <c r="AJ264" s="210" t="str">
        <f>IF(Buildings_Heat_Frontend[[#This Row],[Data]]="","", _xlfn.XLOOKUP(_xlfn.CONCAT(Buildings_Heat_Backend[[#This Row],[Level 1]:[Level 6]]),rng_EFConcat,rng_EF3TD)*Buildings_Heat_Backend[[#This Row],[Converted data]]/1000)</f>
        <v/>
      </c>
      <c r="AK264" s="210" t="str">
        <f>IF(Buildings_Heat_Frontend[[#This Row],[Data]]="","", _xlfn.XLOOKUP(_xlfn.CONCAT(Buildings_Heat_Backend[[#This Row],[Level 1]:[Level 6]]),rng_EFConcat,rng_EF3WTTTD)*Buildings_Heat_Backend[[#This Row],[Converted data]]/1000)</f>
        <v/>
      </c>
      <c r="AL264" s="220">
        <f>SUM(Buildings_Heat_Backend[[#This Row],[Scope 1 (tCO2e)]:[Scope 3 WTT T&amp;D (tCO2e)]])</f>
        <v>0</v>
      </c>
      <c r="AM264" s="220" t="str">
        <f>IF(Buildings_Heat_Frontend[[#This Row],[Data]]="","", Buildings_Heat_Backend[[#This Row],[Total (tCO2e)]]*(1-Buildings_Heat_Backend[[#This Row],[RSD]]))</f>
        <v/>
      </c>
      <c r="AN264" s="220" t="str">
        <f>IF(Buildings_Heat_Frontend[[#This Row],[Data]]="","", Buildings_Heat_Backend[[#This Row],[Total (tCO2e)]]*(1+Buildings_Heat_Backend[[#This Row],[RSD]]))</f>
        <v/>
      </c>
      <c r="AO264" s="210" t="str">
        <f>IF(Buildings_Heat_Frontend[[#This Row],[Data]]="","", _xlfn.XLOOKUP(_xlfn.CONCAT(Buildings_Heat_Backend[[#This Row],[Level 1]:[Level 6]]),rng_EFConcat,rng_EFOOS)*Buildings_Heat_Backend[[#This Row],[Converted data]]/1000)</f>
        <v/>
      </c>
      <c r="AP264" s="174">
        <f>Buildings_Heat_Frontend[[#This Row],[Ease of collection]]</f>
        <v>0</v>
      </c>
      <c r="AQ264" s="174">
        <f>Buildings_Heat_Frontend[[#This Row],[Completeness]]</f>
        <v>0</v>
      </c>
      <c r="AR264" s="174">
        <f>Buildings_Heat_Frontend[[#This Row],[Notes]]</f>
        <v>0</v>
      </c>
    </row>
    <row r="265" spans="5:44" x14ac:dyDescent="0.3">
      <c r="E265" s="346"/>
      <c r="F265" s="364"/>
      <c r="G265" s="336"/>
      <c r="H265" s="336"/>
      <c r="I265" s="336"/>
      <c r="J265" s="334"/>
      <c r="K265" s="336"/>
      <c r="L265" s="336"/>
      <c r="M265" s="336"/>
      <c r="N265" s="352"/>
      <c r="O265" s="230">
        <f t="shared" si="11"/>
        <v>6</v>
      </c>
      <c r="Q265" s="212" t="str">
        <f t="shared" si="9"/>
        <v/>
      </c>
      <c r="R265" s="174" t="s">
        <v>265</v>
      </c>
      <c r="S265" s="174" t="s">
        <v>273</v>
      </c>
      <c r="T265" s="174" t="str">
        <f>IF(Buildings_Heat_Frontend[[#This Row],[Data]]="","", _xlfn.XLOOKUP(Buildings_Heat_Backend[[#This Row],[Info 1]],Buildings_SiteInfo[Site name],Buildings_SiteInfo[Site type]))</f>
        <v/>
      </c>
      <c r="U265" s="174" t="str">
        <f>IF(Buildings_Heat_Frontend[[#This Row],[Data]]="","", Buildings_Heat_Frontend[[#This Row],[Heating Type]])</f>
        <v/>
      </c>
      <c r="V265" s="174" t="str">
        <f>IF(Buildings_Heat_Frontend[[#This Row],[Data]]="","", Buildings_Heat_Frontend[[#This Row],[Fuel]])</f>
        <v/>
      </c>
      <c r="W265" s="174" t="str" cm="1">
        <f t="array" ref="W265">IF(Buildings_Heat_Frontend[[#This Row],[Data]]="","", _xlfn.XLOOKUP(Buildings_Heat_Backend[[#This Row],[Level 5]],rng_Level5Long,rng_Level6Long))</f>
        <v/>
      </c>
      <c r="X265" s="174" t="str">
        <f>IF(Buildings_Heat_Frontend[[#This Row],[Data]]="","", Buildings_Heat_Frontend[[#This Row],[Site Name]])</f>
        <v/>
      </c>
      <c r="Y265" s="174" t="str">
        <f>IF(Buildings_Heat_Frontend[[#This Row],[Data]]="","", Buildings_Heat_Frontend[[#This Row],[MPRN]])</f>
        <v/>
      </c>
      <c r="Z265" s="174" t="str">
        <f>IF(Buildings_Heat_Frontend[[#This Row],[Data]]="","", IF($I265="","",$I265))</f>
        <v/>
      </c>
      <c r="AA265" s="229" t="str" cm="1">
        <f t="array" ref="AA265">IF(Buildings_Heat_Frontend[[#This Row],[Data]]="","", INDEX(_xlfn.SWITCH(Buildings_Heat_Backend[[#This Row],[Methodology]],"Tier 1",rng_RSD1,"Tier 2",rng_RSD2,"Tier 3",rng_RSD3),MATCH(_xlfn.CONCAT(Buildings_Heat_Backend[[#This Row],[Level 1]:[Level 6]]),rng_LevelsConcat,0)))</f>
        <v/>
      </c>
      <c r="AB265" s="220" t="str">
        <f t="shared" si="10"/>
        <v/>
      </c>
      <c r="AC265" s="174">
        <f>Buildings_Heat_Frontend[[#This Row],[Units]]</f>
        <v>0</v>
      </c>
      <c r="AD26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5" s="174" t="str">
        <f>IF(Buildings_Heat_Frontend[[#This Row],[Data]]="","", _xlfn.XLOOKUP(_xlfn.CONCAT(Buildings_Heat_Backend[[#This Row],[Level 1]:[Level 6]]),rng_LevelsConcat,rng_UnitsLong))</f>
        <v/>
      </c>
      <c r="AF265" s="210" t="str">
        <f>IF(Buildings_Heat_Frontend[[#This Row],[Data]]="","", _xlfn.XLOOKUP(_xlfn.CONCAT(Buildings_Heat_Backend[[#This Row],[Level 1]:[Level 6]]),rng_EFConcat,rng_EF1)*Buildings_Heat_Backend[[#This Row],[Converted data]]/1000)</f>
        <v/>
      </c>
      <c r="AG265" s="210" t="str">
        <f>IF(Buildings_Heat_Frontend[[#This Row],[Data]]="","", _xlfn.XLOOKUP(_xlfn.CONCAT(Buildings_Heat_Backend[[#This Row],[Level 1]:[Level 6]]),rng_EFConcat,rng_EF2)*Buildings_Heat_Backend[[#This Row],[Converted data]]/1000)</f>
        <v/>
      </c>
      <c r="AH265" s="210" t="str">
        <f>IF(Buildings_Heat_Frontend[[#This Row],[Data]]="","", _xlfn.XLOOKUP(_xlfn.CONCAT(Buildings_Heat_Backend[[#This Row],[Level 1]:[Level 6]]),rng_EFConcat,rng_EF3)*Buildings_Heat_Backend[[#This Row],[Converted data]]/1000)</f>
        <v/>
      </c>
      <c r="AI265" s="210" t="str">
        <f>IF(Buildings_Heat_Frontend[[#This Row],[Data]]="","", _xlfn.XLOOKUP(_xlfn.CONCAT(Buildings_Heat_Backend[[#This Row],[Level 1]:[Level 6]]),rng_EFConcat,rng_EF3WTT)*Buildings_Heat_Backend[[#This Row],[Converted data]]/1000)</f>
        <v/>
      </c>
      <c r="AJ265" s="210" t="str">
        <f>IF(Buildings_Heat_Frontend[[#This Row],[Data]]="","", _xlfn.XLOOKUP(_xlfn.CONCAT(Buildings_Heat_Backend[[#This Row],[Level 1]:[Level 6]]),rng_EFConcat,rng_EF3TD)*Buildings_Heat_Backend[[#This Row],[Converted data]]/1000)</f>
        <v/>
      </c>
      <c r="AK265" s="210" t="str">
        <f>IF(Buildings_Heat_Frontend[[#This Row],[Data]]="","", _xlfn.XLOOKUP(_xlfn.CONCAT(Buildings_Heat_Backend[[#This Row],[Level 1]:[Level 6]]),rng_EFConcat,rng_EF3WTTTD)*Buildings_Heat_Backend[[#This Row],[Converted data]]/1000)</f>
        <v/>
      </c>
      <c r="AL265" s="220">
        <f>SUM(Buildings_Heat_Backend[[#This Row],[Scope 1 (tCO2e)]:[Scope 3 WTT T&amp;D (tCO2e)]])</f>
        <v>0</v>
      </c>
      <c r="AM265" s="220" t="str">
        <f>IF(Buildings_Heat_Frontend[[#This Row],[Data]]="","", Buildings_Heat_Backend[[#This Row],[Total (tCO2e)]]*(1-Buildings_Heat_Backend[[#This Row],[RSD]]))</f>
        <v/>
      </c>
      <c r="AN265" s="220" t="str">
        <f>IF(Buildings_Heat_Frontend[[#This Row],[Data]]="","", Buildings_Heat_Backend[[#This Row],[Total (tCO2e)]]*(1+Buildings_Heat_Backend[[#This Row],[RSD]]))</f>
        <v/>
      </c>
      <c r="AO265" s="210" t="str">
        <f>IF(Buildings_Heat_Frontend[[#This Row],[Data]]="","", _xlfn.XLOOKUP(_xlfn.CONCAT(Buildings_Heat_Backend[[#This Row],[Level 1]:[Level 6]]),rng_EFConcat,rng_EFOOS)*Buildings_Heat_Backend[[#This Row],[Converted data]]/1000)</f>
        <v/>
      </c>
      <c r="AP265" s="174">
        <f>Buildings_Heat_Frontend[[#This Row],[Ease of collection]]</f>
        <v>0</v>
      </c>
      <c r="AQ265" s="174">
        <f>Buildings_Heat_Frontend[[#This Row],[Completeness]]</f>
        <v>0</v>
      </c>
      <c r="AR265" s="174">
        <f>Buildings_Heat_Frontend[[#This Row],[Notes]]</f>
        <v>0</v>
      </c>
    </row>
    <row r="266" spans="5:44" x14ac:dyDescent="0.3">
      <c r="E266" s="346"/>
      <c r="F266" s="364"/>
      <c r="G266" s="336"/>
      <c r="H266" s="336"/>
      <c r="I266" s="336"/>
      <c r="J266" s="334"/>
      <c r="K266" s="336"/>
      <c r="L266" s="336"/>
      <c r="M266" s="336"/>
      <c r="N266" s="352"/>
      <c r="O266" s="230">
        <f t="shared" si="11"/>
        <v>6</v>
      </c>
      <c r="Q266" s="212" t="str">
        <f t="shared" si="9"/>
        <v/>
      </c>
      <c r="R266" s="174" t="s">
        <v>265</v>
      </c>
      <c r="S266" s="174" t="s">
        <v>273</v>
      </c>
      <c r="T266" s="174" t="str">
        <f>IF(Buildings_Heat_Frontend[[#This Row],[Data]]="","", _xlfn.XLOOKUP(Buildings_Heat_Backend[[#This Row],[Info 1]],Buildings_SiteInfo[Site name],Buildings_SiteInfo[Site type]))</f>
        <v/>
      </c>
      <c r="U266" s="174" t="str">
        <f>IF(Buildings_Heat_Frontend[[#This Row],[Data]]="","", Buildings_Heat_Frontend[[#This Row],[Heating Type]])</f>
        <v/>
      </c>
      <c r="V266" s="174" t="str">
        <f>IF(Buildings_Heat_Frontend[[#This Row],[Data]]="","", Buildings_Heat_Frontend[[#This Row],[Fuel]])</f>
        <v/>
      </c>
      <c r="W266" s="174" t="str" cm="1">
        <f t="array" ref="W266">IF(Buildings_Heat_Frontend[[#This Row],[Data]]="","", _xlfn.XLOOKUP(Buildings_Heat_Backend[[#This Row],[Level 5]],rng_Level5Long,rng_Level6Long))</f>
        <v/>
      </c>
      <c r="X266" s="174" t="str">
        <f>IF(Buildings_Heat_Frontend[[#This Row],[Data]]="","", Buildings_Heat_Frontend[[#This Row],[Site Name]])</f>
        <v/>
      </c>
      <c r="Y266" s="174" t="str">
        <f>IF(Buildings_Heat_Frontend[[#This Row],[Data]]="","", Buildings_Heat_Frontend[[#This Row],[MPRN]])</f>
        <v/>
      </c>
      <c r="Z266" s="174" t="str">
        <f>IF(Buildings_Heat_Frontend[[#This Row],[Data]]="","", IF($I266="","",$I266))</f>
        <v/>
      </c>
      <c r="AA266" s="229" t="str" cm="1">
        <f t="array" ref="AA266">IF(Buildings_Heat_Frontend[[#This Row],[Data]]="","", INDEX(_xlfn.SWITCH(Buildings_Heat_Backend[[#This Row],[Methodology]],"Tier 1",rng_RSD1,"Tier 2",rng_RSD2,"Tier 3",rng_RSD3),MATCH(_xlfn.CONCAT(Buildings_Heat_Backend[[#This Row],[Level 1]:[Level 6]]),rng_LevelsConcat,0)))</f>
        <v/>
      </c>
      <c r="AB266" s="220" t="str">
        <f t="shared" si="10"/>
        <v/>
      </c>
      <c r="AC266" s="174">
        <f>Buildings_Heat_Frontend[[#This Row],[Units]]</f>
        <v>0</v>
      </c>
      <c r="AD26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6" s="174" t="str">
        <f>IF(Buildings_Heat_Frontend[[#This Row],[Data]]="","", _xlfn.XLOOKUP(_xlfn.CONCAT(Buildings_Heat_Backend[[#This Row],[Level 1]:[Level 6]]),rng_LevelsConcat,rng_UnitsLong))</f>
        <v/>
      </c>
      <c r="AF266" s="210" t="str">
        <f>IF(Buildings_Heat_Frontend[[#This Row],[Data]]="","", _xlfn.XLOOKUP(_xlfn.CONCAT(Buildings_Heat_Backend[[#This Row],[Level 1]:[Level 6]]),rng_EFConcat,rng_EF1)*Buildings_Heat_Backend[[#This Row],[Converted data]]/1000)</f>
        <v/>
      </c>
      <c r="AG266" s="210" t="str">
        <f>IF(Buildings_Heat_Frontend[[#This Row],[Data]]="","", _xlfn.XLOOKUP(_xlfn.CONCAT(Buildings_Heat_Backend[[#This Row],[Level 1]:[Level 6]]),rng_EFConcat,rng_EF2)*Buildings_Heat_Backend[[#This Row],[Converted data]]/1000)</f>
        <v/>
      </c>
      <c r="AH266" s="210" t="str">
        <f>IF(Buildings_Heat_Frontend[[#This Row],[Data]]="","", _xlfn.XLOOKUP(_xlfn.CONCAT(Buildings_Heat_Backend[[#This Row],[Level 1]:[Level 6]]),rng_EFConcat,rng_EF3)*Buildings_Heat_Backend[[#This Row],[Converted data]]/1000)</f>
        <v/>
      </c>
      <c r="AI266" s="210" t="str">
        <f>IF(Buildings_Heat_Frontend[[#This Row],[Data]]="","", _xlfn.XLOOKUP(_xlfn.CONCAT(Buildings_Heat_Backend[[#This Row],[Level 1]:[Level 6]]),rng_EFConcat,rng_EF3WTT)*Buildings_Heat_Backend[[#This Row],[Converted data]]/1000)</f>
        <v/>
      </c>
      <c r="AJ266" s="210" t="str">
        <f>IF(Buildings_Heat_Frontend[[#This Row],[Data]]="","", _xlfn.XLOOKUP(_xlfn.CONCAT(Buildings_Heat_Backend[[#This Row],[Level 1]:[Level 6]]),rng_EFConcat,rng_EF3TD)*Buildings_Heat_Backend[[#This Row],[Converted data]]/1000)</f>
        <v/>
      </c>
      <c r="AK266" s="210" t="str">
        <f>IF(Buildings_Heat_Frontend[[#This Row],[Data]]="","", _xlfn.XLOOKUP(_xlfn.CONCAT(Buildings_Heat_Backend[[#This Row],[Level 1]:[Level 6]]),rng_EFConcat,rng_EF3WTTTD)*Buildings_Heat_Backend[[#This Row],[Converted data]]/1000)</f>
        <v/>
      </c>
      <c r="AL266" s="220">
        <f>SUM(Buildings_Heat_Backend[[#This Row],[Scope 1 (tCO2e)]:[Scope 3 WTT T&amp;D (tCO2e)]])</f>
        <v>0</v>
      </c>
      <c r="AM266" s="220" t="str">
        <f>IF(Buildings_Heat_Frontend[[#This Row],[Data]]="","", Buildings_Heat_Backend[[#This Row],[Total (tCO2e)]]*(1-Buildings_Heat_Backend[[#This Row],[RSD]]))</f>
        <v/>
      </c>
      <c r="AN266" s="220" t="str">
        <f>IF(Buildings_Heat_Frontend[[#This Row],[Data]]="","", Buildings_Heat_Backend[[#This Row],[Total (tCO2e)]]*(1+Buildings_Heat_Backend[[#This Row],[RSD]]))</f>
        <v/>
      </c>
      <c r="AO266" s="210" t="str">
        <f>IF(Buildings_Heat_Frontend[[#This Row],[Data]]="","", _xlfn.XLOOKUP(_xlfn.CONCAT(Buildings_Heat_Backend[[#This Row],[Level 1]:[Level 6]]),rng_EFConcat,rng_EFOOS)*Buildings_Heat_Backend[[#This Row],[Converted data]]/1000)</f>
        <v/>
      </c>
      <c r="AP266" s="174">
        <f>Buildings_Heat_Frontend[[#This Row],[Ease of collection]]</f>
        <v>0</v>
      </c>
      <c r="AQ266" s="174">
        <f>Buildings_Heat_Frontend[[#This Row],[Completeness]]</f>
        <v>0</v>
      </c>
      <c r="AR266" s="174">
        <f>Buildings_Heat_Frontend[[#This Row],[Notes]]</f>
        <v>0</v>
      </c>
    </row>
    <row r="267" spans="5:44" x14ac:dyDescent="0.3">
      <c r="E267" s="346"/>
      <c r="F267" s="364"/>
      <c r="G267" s="336"/>
      <c r="H267" s="336"/>
      <c r="I267" s="336"/>
      <c r="J267" s="334"/>
      <c r="K267" s="336"/>
      <c r="L267" s="336"/>
      <c r="M267" s="336"/>
      <c r="N267" s="352"/>
      <c r="O267" s="230">
        <f t="shared" si="11"/>
        <v>6</v>
      </c>
      <c r="Q267" s="212" t="str">
        <f t="shared" si="9"/>
        <v/>
      </c>
      <c r="R267" s="174" t="s">
        <v>265</v>
      </c>
      <c r="S267" s="174" t="s">
        <v>273</v>
      </c>
      <c r="T267" s="174" t="str">
        <f>IF(Buildings_Heat_Frontend[[#This Row],[Data]]="","", _xlfn.XLOOKUP(Buildings_Heat_Backend[[#This Row],[Info 1]],Buildings_SiteInfo[Site name],Buildings_SiteInfo[Site type]))</f>
        <v/>
      </c>
      <c r="U267" s="174" t="str">
        <f>IF(Buildings_Heat_Frontend[[#This Row],[Data]]="","", Buildings_Heat_Frontend[[#This Row],[Heating Type]])</f>
        <v/>
      </c>
      <c r="V267" s="174" t="str">
        <f>IF(Buildings_Heat_Frontend[[#This Row],[Data]]="","", Buildings_Heat_Frontend[[#This Row],[Fuel]])</f>
        <v/>
      </c>
      <c r="W267" s="174" t="str" cm="1">
        <f t="array" ref="W267">IF(Buildings_Heat_Frontend[[#This Row],[Data]]="","", _xlfn.XLOOKUP(Buildings_Heat_Backend[[#This Row],[Level 5]],rng_Level5Long,rng_Level6Long))</f>
        <v/>
      </c>
      <c r="X267" s="174" t="str">
        <f>IF(Buildings_Heat_Frontend[[#This Row],[Data]]="","", Buildings_Heat_Frontend[[#This Row],[Site Name]])</f>
        <v/>
      </c>
      <c r="Y267" s="174" t="str">
        <f>IF(Buildings_Heat_Frontend[[#This Row],[Data]]="","", Buildings_Heat_Frontend[[#This Row],[MPRN]])</f>
        <v/>
      </c>
      <c r="Z267" s="174" t="str">
        <f>IF(Buildings_Heat_Frontend[[#This Row],[Data]]="","", IF($I267="","",$I267))</f>
        <v/>
      </c>
      <c r="AA267" s="229" t="str" cm="1">
        <f t="array" ref="AA267">IF(Buildings_Heat_Frontend[[#This Row],[Data]]="","", INDEX(_xlfn.SWITCH(Buildings_Heat_Backend[[#This Row],[Methodology]],"Tier 1",rng_RSD1,"Tier 2",rng_RSD2,"Tier 3",rng_RSD3),MATCH(_xlfn.CONCAT(Buildings_Heat_Backend[[#This Row],[Level 1]:[Level 6]]),rng_LevelsConcat,0)))</f>
        <v/>
      </c>
      <c r="AB267" s="220" t="str">
        <f t="shared" si="10"/>
        <v/>
      </c>
      <c r="AC267" s="174">
        <f>Buildings_Heat_Frontend[[#This Row],[Units]]</f>
        <v>0</v>
      </c>
      <c r="AD26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7" s="174" t="str">
        <f>IF(Buildings_Heat_Frontend[[#This Row],[Data]]="","", _xlfn.XLOOKUP(_xlfn.CONCAT(Buildings_Heat_Backend[[#This Row],[Level 1]:[Level 6]]),rng_LevelsConcat,rng_UnitsLong))</f>
        <v/>
      </c>
      <c r="AF267" s="210" t="str">
        <f>IF(Buildings_Heat_Frontend[[#This Row],[Data]]="","", _xlfn.XLOOKUP(_xlfn.CONCAT(Buildings_Heat_Backend[[#This Row],[Level 1]:[Level 6]]),rng_EFConcat,rng_EF1)*Buildings_Heat_Backend[[#This Row],[Converted data]]/1000)</f>
        <v/>
      </c>
      <c r="AG267" s="210" t="str">
        <f>IF(Buildings_Heat_Frontend[[#This Row],[Data]]="","", _xlfn.XLOOKUP(_xlfn.CONCAT(Buildings_Heat_Backend[[#This Row],[Level 1]:[Level 6]]),rng_EFConcat,rng_EF2)*Buildings_Heat_Backend[[#This Row],[Converted data]]/1000)</f>
        <v/>
      </c>
      <c r="AH267" s="210" t="str">
        <f>IF(Buildings_Heat_Frontend[[#This Row],[Data]]="","", _xlfn.XLOOKUP(_xlfn.CONCAT(Buildings_Heat_Backend[[#This Row],[Level 1]:[Level 6]]),rng_EFConcat,rng_EF3)*Buildings_Heat_Backend[[#This Row],[Converted data]]/1000)</f>
        <v/>
      </c>
      <c r="AI267" s="210" t="str">
        <f>IF(Buildings_Heat_Frontend[[#This Row],[Data]]="","", _xlfn.XLOOKUP(_xlfn.CONCAT(Buildings_Heat_Backend[[#This Row],[Level 1]:[Level 6]]),rng_EFConcat,rng_EF3WTT)*Buildings_Heat_Backend[[#This Row],[Converted data]]/1000)</f>
        <v/>
      </c>
      <c r="AJ267" s="210" t="str">
        <f>IF(Buildings_Heat_Frontend[[#This Row],[Data]]="","", _xlfn.XLOOKUP(_xlfn.CONCAT(Buildings_Heat_Backend[[#This Row],[Level 1]:[Level 6]]),rng_EFConcat,rng_EF3TD)*Buildings_Heat_Backend[[#This Row],[Converted data]]/1000)</f>
        <v/>
      </c>
      <c r="AK267" s="210" t="str">
        <f>IF(Buildings_Heat_Frontend[[#This Row],[Data]]="","", _xlfn.XLOOKUP(_xlfn.CONCAT(Buildings_Heat_Backend[[#This Row],[Level 1]:[Level 6]]),rng_EFConcat,rng_EF3WTTTD)*Buildings_Heat_Backend[[#This Row],[Converted data]]/1000)</f>
        <v/>
      </c>
      <c r="AL267" s="220">
        <f>SUM(Buildings_Heat_Backend[[#This Row],[Scope 1 (tCO2e)]:[Scope 3 WTT T&amp;D (tCO2e)]])</f>
        <v>0</v>
      </c>
      <c r="AM267" s="220" t="str">
        <f>IF(Buildings_Heat_Frontend[[#This Row],[Data]]="","", Buildings_Heat_Backend[[#This Row],[Total (tCO2e)]]*(1-Buildings_Heat_Backend[[#This Row],[RSD]]))</f>
        <v/>
      </c>
      <c r="AN267" s="220" t="str">
        <f>IF(Buildings_Heat_Frontend[[#This Row],[Data]]="","", Buildings_Heat_Backend[[#This Row],[Total (tCO2e)]]*(1+Buildings_Heat_Backend[[#This Row],[RSD]]))</f>
        <v/>
      </c>
      <c r="AO267" s="210" t="str">
        <f>IF(Buildings_Heat_Frontend[[#This Row],[Data]]="","", _xlfn.XLOOKUP(_xlfn.CONCAT(Buildings_Heat_Backend[[#This Row],[Level 1]:[Level 6]]),rng_EFConcat,rng_EFOOS)*Buildings_Heat_Backend[[#This Row],[Converted data]]/1000)</f>
        <v/>
      </c>
      <c r="AP267" s="174">
        <f>Buildings_Heat_Frontend[[#This Row],[Ease of collection]]</f>
        <v>0</v>
      </c>
      <c r="AQ267" s="174">
        <f>Buildings_Heat_Frontend[[#This Row],[Completeness]]</f>
        <v>0</v>
      </c>
      <c r="AR267" s="174">
        <f>Buildings_Heat_Frontend[[#This Row],[Notes]]</f>
        <v>0</v>
      </c>
    </row>
    <row r="268" spans="5:44" x14ac:dyDescent="0.3">
      <c r="E268" s="346"/>
      <c r="F268" s="364"/>
      <c r="G268" s="336"/>
      <c r="H268" s="336"/>
      <c r="I268" s="336"/>
      <c r="J268" s="334"/>
      <c r="K268" s="336"/>
      <c r="L268" s="336"/>
      <c r="M268" s="336"/>
      <c r="N268" s="352"/>
      <c r="O268" s="230">
        <f t="shared" si="11"/>
        <v>6</v>
      </c>
      <c r="Q268" s="212" t="str">
        <f t="shared" si="9"/>
        <v/>
      </c>
      <c r="R268" s="174" t="s">
        <v>265</v>
      </c>
      <c r="S268" s="174" t="s">
        <v>273</v>
      </c>
      <c r="T268" s="174" t="str">
        <f>IF(Buildings_Heat_Frontend[[#This Row],[Data]]="","", _xlfn.XLOOKUP(Buildings_Heat_Backend[[#This Row],[Info 1]],Buildings_SiteInfo[Site name],Buildings_SiteInfo[Site type]))</f>
        <v/>
      </c>
      <c r="U268" s="174" t="str">
        <f>IF(Buildings_Heat_Frontend[[#This Row],[Data]]="","", Buildings_Heat_Frontend[[#This Row],[Heating Type]])</f>
        <v/>
      </c>
      <c r="V268" s="174" t="str">
        <f>IF(Buildings_Heat_Frontend[[#This Row],[Data]]="","", Buildings_Heat_Frontend[[#This Row],[Fuel]])</f>
        <v/>
      </c>
      <c r="W268" s="174" t="str" cm="1">
        <f t="array" ref="W268">IF(Buildings_Heat_Frontend[[#This Row],[Data]]="","", _xlfn.XLOOKUP(Buildings_Heat_Backend[[#This Row],[Level 5]],rng_Level5Long,rng_Level6Long))</f>
        <v/>
      </c>
      <c r="X268" s="174" t="str">
        <f>IF(Buildings_Heat_Frontend[[#This Row],[Data]]="","", Buildings_Heat_Frontend[[#This Row],[Site Name]])</f>
        <v/>
      </c>
      <c r="Y268" s="174" t="str">
        <f>IF(Buildings_Heat_Frontend[[#This Row],[Data]]="","", Buildings_Heat_Frontend[[#This Row],[MPRN]])</f>
        <v/>
      </c>
      <c r="Z268" s="174" t="str">
        <f>IF(Buildings_Heat_Frontend[[#This Row],[Data]]="","", IF($I268="","",$I268))</f>
        <v/>
      </c>
      <c r="AA268" s="229" t="str" cm="1">
        <f t="array" ref="AA268">IF(Buildings_Heat_Frontend[[#This Row],[Data]]="","", INDEX(_xlfn.SWITCH(Buildings_Heat_Backend[[#This Row],[Methodology]],"Tier 1",rng_RSD1,"Tier 2",rng_RSD2,"Tier 3",rng_RSD3),MATCH(_xlfn.CONCAT(Buildings_Heat_Backend[[#This Row],[Level 1]:[Level 6]]),rng_LevelsConcat,0)))</f>
        <v/>
      </c>
      <c r="AB268" s="220" t="str">
        <f t="shared" si="10"/>
        <v/>
      </c>
      <c r="AC268" s="174">
        <f>Buildings_Heat_Frontend[[#This Row],[Units]]</f>
        <v>0</v>
      </c>
      <c r="AD26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8" s="174" t="str">
        <f>IF(Buildings_Heat_Frontend[[#This Row],[Data]]="","", _xlfn.XLOOKUP(_xlfn.CONCAT(Buildings_Heat_Backend[[#This Row],[Level 1]:[Level 6]]),rng_LevelsConcat,rng_UnitsLong))</f>
        <v/>
      </c>
      <c r="AF268" s="210" t="str">
        <f>IF(Buildings_Heat_Frontend[[#This Row],[Data]]="","", _xlfn.XLOOKUP(_xlfn.CONCAT(Buildings_Heat_Backend[[#This Row],[Level 1]:[Level 6]]),rng_EFConcat,rng_EF1)*Buildings_Heat_Backend[[#This Row],[Converted data]]/1000)</f>
        <v/>
      </c>
      <c r="AG268" s="210" t="str">
        <f>IF(Buildings_Heat_Frontend[[#This Row],[Data]]="","", _xlfn.XLOOKUP(_xlfn.CONCAT(Buildings_Heat_Backend[[#This Row],[Level 1]:[Level 6]]),rng_EFConcat,rng_EF2)*Buildings_Heat_Backend[[#This Row],[Converted data]]/1000)</f>
        <v/>
      </c>
      <c r="AH268" s="210" t="str">
        <f>IF(Buildings_Heat_Frontend[[#This Row],[Data]]="","", _xlfn.XLOOKUP(_xlfn.CONCAT(Buildings_Heat_Backend[[#This Row],[Level 1]:[Level 6]]),rng_EFConcat,rng_EF3)*Buildings_Heat_Backend[[#This Row],[Converted data]]/1000)</f>
        <v/>
      </c>
      <c r="AI268" s="210" t="str">
        <f>IF(Buildings_Heat_Frontend[[#This Row],[Data]]="","", _xlfn.XLOOKUP(_xlfn.CONCAT(Buildings_Heat_Backend[[#This Row],[Level 1]:[Level 6]]),rng_EFConcat,rng_EF3WTT)*Buildings_Heat_Backend[[#This Row],[Converted data]]/1000)</f>
        <v/>
      </c>
      <c r="AJ268" s="210" t="str">
        <f>IF(Buildings_Heat_Frontend[[#This Row],[Data]]="","", _xlfn.XLOOKUP(_xlfn.CONCAT(Buildings_Heat_Backend[[#This Row],[Level 1]:[Level 6]]),rng_EFConcat,rng_EF3TD)*Buildings_Heat_Backend[[#This Row],[Converted data]]/1000)</f>
        <v/>
      </c>
      <c r="AK268" s="210" t="str">
        <f>IF(Buildings_Heat_Frontend[[#This Row],[Data]]="","", _xlfn.XLOOKUP(_xlfn.CONCAT(Buildings_Heat_Backend[[#This Row],[Level 1]:[Level 6]]),rng_EFConcat,rng_EF3WTTTD)*Buildings_Heat_Backend[[#This Row],[Converted data]]/1000)</f>
        <v/>
      </c>
      <c r="AL268" s="220">
        <f>SUM(Buildings_Heat_Backend[[#This Row],[Scope 1 (tCO2e)]:[Scope 3 WTT T&amp;D (tCO2e)]])</f>
        <v>0</v>
      </c>
      <c r="AM268" s="220" t="str">
        <f>IF(Buildings_Heat_Frontend[[#This Row],[Data]]="","", Buildings_Heat_Backend[[#This Row],[Total (tCO2e)]]*(1-Buildings_Heat_Backend[[#This Row],[RSD]]))</f>
        <v/>
      </c>
      <c r="AN268" s="220" t="str">
        <f>IF(Buildings_Heat_Frontend[[#This Row],[Data]]="","", Buildings_Heat_Backend[[#This Row],[Total (tCO2e)]]*(1+Buildings_Heat_Backend[[#This Row],[RSD]]))</f>
        <v/>
      </c>
      <c r="AO268" s="210" t="str">
        <f>IF(Buildings_Heat_Frontend[[#This Row],[Data]]="","", _xlfn.XLOOKUP(_xlfn.CONCAT(Buildings_Heat_Backend[[#This Row],[Level 1]:[Level 6]]),rng_EFConcat,rng_EFOOS)*Buildings_Heat_Backend[[#This Row],[Converted data]]/1000)</f>
        <v/>
      </c>
      <c r="AP268" s="174">
        <f>Buildings_Heat_Frontend[[#This Row],[Ease of collection]]</f>
        <v>0</v>
      </c>
      <c r="AQ268" s="174">
        <f>Buildings_Heat_Frontend[[#This Row],[Completeness]]</f>
        <v>0</v>
      </c>
      <c r="AR268" s="174">
        <f>Buildings_Heat_Frontend[[#This Row],[Notes]]</f>
        <v>0</v>
      </c>
    </row>
    <row r="269" spans="5:44" x14ac:dyDescent="0.3">
      <c r="E269" s="346"/>
      <c r="F269" s="364"/>
      <c r="G269" s="336"/>
      <c r="H269" s="336"/>
      <c r="I269" s="336"/>
      <c r="J269" s="334"/>
      <c r="K269" s="336"/>
      <c r="L269" s="336"/>
      <c r="M269" s="336"/>
      <c r="N269" s="352"/>
      <c r="O269" s="230">
        <f t="shared" si="11"/>
        <v>6</v>
      </c>
      <c r="Q269" s="212" t="str">
        <f t="shared" si="9"/>
        <v/>
      </c>
      <c r="R269" s="174" t="s">
        <v>265</v>
      </c>
      <c r="S269" s="174" t="s">
        <v>273</v>
      </c>
      <c r="T269" s="174" t="str">
        <f>IF(Buildings_Heat_Frontend[[#This Row],[Data]]="","", _xlfn.XLOOKUP(Buildings_Heat_Backend[[#This Row],[Info 1]],Buildings_SiteInfo[Site name],Buildings_SiteInfo[Site type]))</f>
        <v/>
      </c>
      <c r="U269" s="174" t="str">
        <f>IF(Buildings_Heat_Frontend[[#This Row],[Data]]="","", Buildings_Heat_Frontend[[#This Row],[Heating Type]])</f>
        <v/>
      </c>
      <c r="V269" s="174" t="str">
        <f>IF(Buildings_Heat_Frontend[[#This Row],[Data]]="","", Buildings_Heat_Frontend[[#This Row],[Fuel]])</f>
        <v/>
      </c>
      <c r="W269" s="174" t="str" cm="1">
        <f t="array" ref="W269">IF(Buildings_Heat_Frontend[[#This Row],[Data]]="","", _xlfn.XLOOKUP(Buildings_Heat_Backend[[#This Row],[Level 5]],rng_Level5Long,rng_Level6Long))</f>
        <v/>
      </c>
      <c r="X269" s="174" t="str">
        <f>IF(Buildings_Heat_Frontend[[#This Row],[Data]]="","", Buildings_Heat_Frontend[[#This Row],[Site Name]])</f>
        <v/>
      </c>
      <c r="Y269" s="174" t="str">
        <f>IF(Buildings_Heat_Frontend[[#This Row],[Data]]="","", Buildings_Heat_Frontend[[#This Row],[MPRN]])</f>
        <v/>
      </c>
      <c r="Z269" s="174" t="str">
        <f>IF(Buildings_Heat_Frontend[[#This Row],[Data]]="","", IF($I269="","",$I269))</f>
        <v/>
      </c>
      <c r="AA269" s="229" t="str" cm="1">
        <f t="array" ref="AA269">IF(Buildings_Heat_Frontend[[#This Row],[Data]]="","", INDEX(_xlfn.SWITCH(Buildings_Heat_Backend[[#This Row],[Methodology]],"Tier 1",rng_RSD1,"Tier 2",rng_RSD2,"Tier 3",rng_RSD3),MATCH(_xlfn.CONCAT(Buildings_Heat_Backend[[#This Row],[Level 1]:[Level 6]]),rng_LevelsConcat,0)))</f>
        <v/>
      </c>
      <c r="AB269" s="220" t="str">
        <f t="shared" si="10"/>
        <v/>
      </c>
      <c r="AC269" s="174">
        <f>Buildings_Heat_Frontend[[#This Row],[Units]]</f>
        <v>0</v>
      </c>
      <c r="AD26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69" s="174" t="str">
        <f>IF(Buildings_Heat_Frontend[[#This Row],[Data]]="","", _xlfn.XLOOKUP(_xlfn.CONCAT(Buildings_Heat_Backend[[#This Row],[Level 1]:[Level 6]]),rng_LevelsConcat,rng_UnitsLong))</f>
        <v/>
      </c>
      <c r="AF269" s="210" t="str">
        <f>IF(Buildings_Heat_Frontend[[#This Row],[Data]]="","", _xlfn.XLOOKUP(_xlfn.CONCAT(Buildings_Heat_Backend[[#This Row],[Level 1]:[Level 6]]),rng_EFConcat,rng_EF1)*Buildings_Heat_Backend[[#This Row],[Converted data]]/1000)</f>
        <v/>
      </c>
      <c r="AG269" s="210" t="str">
        <f>IF(Buildings_Heat_Frontend[[#This Row],[Data]]="","", _xlfn.XLOOKUP(_xlfn.CONCAT(Buildings_Heat_Backend[[#This Row],[Level 1]:[Level 6]]),rng_EFConcat,rng_EF2)*Buildings_Heat_Backend[[#This Row],[Converted data]]/1000)</f>
        <v/>
      </c>
      <c r="AH269" s="210" t="str">
        <f>IF(Buildings_Heat_Frontend[[#This Row],[Data]]="","", _xlfn.XLOOKUP(_xlfn.CONCAT(Buildings_Heat_Backend[[#This Row],[Level 1]:[Level 6]]),rng_EFConcat,rng_EF3)*Buildings_Heat_Backend[[#This Row],[Converted data]]/1000)</f>
        <v/>
      </c>
      <c r="AI269" s="210" t="str">
        <f>IF(Buildings_Heat_Frontend[[#This Row],[Data]]="","", _xlfn.XLOOKUP(_xlfn.CONCAT(Buildings_Heat_Backend[[#This Row],[Level 1]:[Level 6]]),rng_EFConcat,rng_EF3WTT)*Buildings_Heat_Backend[[#This Row],[Converted data]]/1000)</f>
        <v/>
      </c>
      <c r="AJ269" s="210" t="str">
        <f>IF(Buildings_Heat_Frontend[[#This Row],[Data]]="","", _xlfn.XLOOKUP(_xlfn.CONCAT(Buildings_Heat_Backend[[#This Row],[Level 1]:[Level 6]]),rng_EFConcat,rng_EF3TD)*Buildings_Heat_Backend[[#This Row],[Converted data]]/1000)</f>
        <v/>
      </c>
      <c r="AK269" s="210" t="str">
        <f>IF(Buildings_Heat_Frontend[[#This Row],[Data]]="","", _xlfn.XLOOKUP(_xlfn.CONCAT(Buildings_Heat_Backend[[#This Row],[Level 1]:[Level 6]]),rng_EFConcat,rng_EF3WTTTD)*Buildings_Heat_Backend[[#This Row],[Converted data]]/1000)</f>
        <v/>
      </c>
      <c r="AL269" s="220">
        <f>SUM(Buildings_Heat_Backend[[#This Row],[Scope 1 (tCO2e)]:[Scope 3 WTT T&amp;D (tCO2e)]])</f>
        <v>0</v>
      </c>
      <c r="AM269" s="220" t="str">
        <f>IF(Buildings_Heat_Frontend[[#This Row],[Data]]="","", Buildings_Heat_Backend[[#This Row],[Total (tCO2e)]]*(1-Buildings_Heat_Backend[[#This Row],[RSD]]))</f>
        <v/>
      </c>
      <c r="AN269" s="220" t="str">
        <f>IF(Buildings_Heat_Frontend[[#This Row],[Data]]="","", Buildings_Heat_Backend[[#This Row],[Total (tCO2e)]]*(1+Buildings_Heat_Backend[[#This Row],[RSD]]))</f>
        <v/>
      </c>
      <c r="AO269" s="210" t="str">
        <f>IF(Buildings_Heat_Frontend[[#This Row],[Data]]="","", _xlfn.XLOOKUP(_xlfn.CONCAT(Buildings_Heat_Backend[[#This Row],[Level 1]:[Level 6]]),rng_EFConcat,rng_EFOOS)*Buildings_Heat_Backend[[#This Row],[Converted data]]/1000)</f>
        <v/>
      </c>
      <c r="AP269" s="174">
        <f>Buildings_Heat_Frontend[[#This Row],[Ease of collection]]</f>
        <v>0</v>
      </c>
      <c r="AQ269" s="174">
        <f>Buildings_Heat_Frontend[[#This Row],[Completeness]]</f>
        <v>0</v>
      </c>
      <c r="AR269" s="174">
        <f>Buildings_Heat_Frontend[[#This Row],[Notes]]</f>
        <v>0</v>
      </c>
    </row>
    <row r="270" spans="5:44" x14ac:dyDescent="0.3">
      <c r="E270" s="346"/>
      <c r="F270" s="364"/>
      <c r="G270" s="336"/>
      <c r="H270" s="336"/>
      <c r="I270" s="336"/>
      <c r="J270" s="334"/>
      <c r="K270" s="336"/>
      <c r="L270" s="336"/>
      <c r="M270" s="336"/>
      <c r="N270" s="352"/>
      <c r="O270" s="230">
        <f t="shared" si="11"/>
        <v>6</v>
      </c>
      <c r="Q270" s="212" t="str">
        <f t="shared" si="9"/>
        <v/>
      </c>
      <c r="R270" s="174" t="s">
        <v>265</v>
      </c>
      <c r="S270" s="174" t="s">
        <v>273</v>
      </c>
      <c r="T270" s="174" t="str">
        <f>IF(Buildings_Heat_Frontend[[#This Row],[Data]]="","", _xlfn.XLOOKUP(Buildings_Heat_Backend[[#This Row],[Info 1]],Buildings_SiteInfo[Site name],Buildings_SiteInfo[Site type]))</f>
        <v/>
      </c>
      <c r="U270" s="174" t="str">
        <f>IF(Buildings_Heat_Frontend[[#This Row],[Data]]="","", Buildings_Heat_Frontend[[#This Row],[Heating Type]])</f>
        <v/>
      </c>
      <c r="V270" s="174" t="str">
        <f>IF(Buildings_Heat_Frontend[[#This Row],[Data]]="","", Buildings_Heat_Frontend[[#This Row],[Fuel]])</f>
        <v/>
      </c>
      <c r="W270" s="174" t="str" cm="1">
        <f t="array" ref="W270">IF(Buildings_Heat_Frontend[[#This Row],[Data]]="","", _xlfn.XLOOKUP(Buildings_Heat_Backend[[#This Row],[Level 5]],rng_Level5Long,rng_Level6Long))</f>
        <v/>
      </c>
      <c r="X270" s="174" t="str">
        <f>IF(Buildings_Heat_Frontend[[#This Row],[Data]]="","", Buildings_Heat_Frontend[[#This Row],[Site Name]])</f>
        <v/>
      </c>
      <c r="Y270" s="174" t="str">
        <f>IF(Buildings_Heat_Frontend[[#This Row],[Data]]="","", Buildings_Heat_Frontend[[#This Row],[MPRN]])</f>
        <v/>
      </c>
      <c r="Z270" s="174" t="str">
        <f>IF(Buildings_Heat_Frontend[[#This Row],[Data]]="","", IF($I270="","",$I270))</f>
        <v/>
      </c>
      <c r="AA270" s="229" t="str" cm="1">
        <f t="array" ref="AA270">IF(Buildings_Heat_Frontend[[#This Row],[Data]]="","", INDEX(_xlfn.SWITCH(Buildings_Heat_Backend[[#This Row],[Methodology]],"Tier 1",rng_RSD1,"Tier 2",rng_RSD2,"Tier 3",rng_RSD3),MATCH(_xlfn.CONCAT(Buildings_Heat_Backend[[#This Row],[Level 1]:[Level 6]]),rng_LevelsConcat,0)))</f>
        <v/>
      </c>
      <c r="AB270" s="220" t="str">
        <f t="shared" si="10"/>
        <v/>
      </c>
      <c r="AC270" s="174">
        <f>Buildings_Heat_Frontend[[#This Row],[Units]]</f>
        <v>0</v>
      </c>
      <c r="AD27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0" s="174" t="str">
        <f>IF(Buildings_Heat_Frontend[[#This Row],[Data]]="","", _xlfn.XLOOKUP(_xlfn.CONCAT(Buildings_Heat_Backend[[#This Row],[Level 1]:[Level 6]]),rng_LevelsConcat,rng_UnitsLong))</f>
        <v/>
      </c>
      <c r="AF270" s="210" t="str">
        <f>IF(Buildings_Heat_Frontend[[#This Row],[Data]]="","", _xlfn.XLOOKUP(_xlfn.CONCAT(Buildings_Heat_Backend[[#This Row],[Level 1]:[Level 6]]),rng_EFConcat,rng_EF1)*Buildings_Heat_Backend[[#This Row],[Converted data]]/1000)</f>
        <v/>
      </c>
      <c r="AG270" s="210" t="str">
        <f>IF(Buildings_Heat_Frontend[[#This Row],[Data]]="","", _xlfn.XLOOKUP(_xlfn.CONCAT(Buildings_Heat_Backend[[#This Row],[Level 1]:[Level 6]]),rng_EFConcat,rng_EF2)*Buildings_Heat_Backend[[#This Row],[Converted data]]/1000)</f>
        <v/>
      </c>
      <c r="AH270" s="210" t="str">
        <f>IF(Buildings_Heat_Frontend[[#This Row],[Data]]="","", _xlfn.XLOOKUP(_xlfn.CONCAT(Buildings_Heat_Backend[[#This Row],[Level 1]:[Level 6]]),rng_EFConcat,rng_EF3)*Buildings_Heat_Backend[[#This Row],[Converted data]]/1000)</f>
        <v/>
      </c>
      <c r="AI270" s="210" t="str">
        <f>IF(Buildings_Heat_Frontend[[#This Row],[Data]]="","", _xlfn.XLOOKUP(_xlfn.CONCAT(Buildings_Heat_Backend[[#This Row],[Level 1]:[Level 6]]),rng_EFConcat,rng_EF3WTT)*Buildings_Heat_Backend[[#This Row],[Converted data]]/1000)</f>
        <v/>
      </c>
      <c r="AJ270" s="210" t="str">
        <f>IF(Buildings_Heat_Frontend[[#This Row],[Data]]="","", _xlfn.XLOOKUP(_xlfn.CONCAT(Buildings_Heat_Backend[[#This Row],[Level 1]:[Level 6]]),rng_EFConcat,rng_EF3TD)*Buildings_Heat_Backend[[#This Row],[Converted data]]/1000)</f>
        <v/>
      </c>
      <c r="AK270" s="210" t="str">
        <f>IF(Buildings_Heat_Frontend[[#This Row],[Data]]="","", _xlfn.XLOOKUP(_xlfn.CONCAT(Buildings_Heat_Backend[[#This Row],[Level 1]:[Level 6]]),rng_EFConcat,rng_EF3WTTTD)*Buildings_Heat_Backend[[#This Row],[Converted data]]/1000)</f>
        <v/>
      </c>
      <c r="AL270" s="220">
        <f>SUM(Buildings_Heat_Backend[[#This Row],[Scope 1 (tCO2e)]:[Scope 3 WTT T&amp;D (tCO2e)]])</f>
        <v>0</v>
      </c>
      <c r="AM270" s="220" t="str">
        <f>IF(Buildings_Heat_Frontend[[#This Row],[Data]]="","", Buildings_Heat_Backend[[#This Row],[Total (tCO2e)]]*(1-Buildings_Heat_Backend[[#This Row],[RSD]]))</f>
        <v/>
      </c>
      <c r="AN270" s="220" t="str">
        <f>IF(Buildings_Heat_Frontend[[#This Row],[Data]]="","", Buildings_Heat_Backend[[#This Row],[Total (tCO2e)]]*(1+Buildings_Heat_Backend[[#This Row],[RSD]]))</f>
        <v/>
      </c>
      <c r="AO270" s="210" t="str">
        <f>IF(Buildings_Heat_Frontend[[#This Row],[Data]]="","", _xlfn.XLOOKUP(_xlfn.CONCAT(Buildings_Heat_Backend[[#This Row],[Level 1]:[Level 6]]),rng_EFConcat,rng_EFOOS)*Buildings_Heat_Backend[[#This Row],[Converted data]]/1000)</f>
        <v/>
      </c>
      <c r="AP270" s="174">
        <f>Buildings_Heat_Frontend[[#This Row],[Ease of collection]]</f>
        <v>0</v>
      </c>
      <c r="AQ270" s="174">
        <f>Buildings_Heat_Frontend[[#This Row],[Completeness]]</f>
        <v>0</v>
      </c>
      <c r="AR270" s="174">
        <f>Buildings_Heat_Frontend[[#This Row],[Notes]]</f>
        <v>0</v>
      </c>
    </row>
    <row r="271" spans="5:44" x14ac:dyDescent="0.3">
      <c r="E271" s="346"/>
      <c r="F271" s="364"/>
      <c r="G271" s="336"/>
      <c r="H271" s="336"/>
      <c r="I271" s="336"/>
      <c r="J271" s="334"/>
      <c r="K271" s="336"/>
      <c r="L271" s="336"/>
      <c r="M271" s="336"/>
      <c r="N271" s="352"/>
      <c r="O271" s="230">
        <f t="shared" si="11"/>
        <v>6</v>
      </c>
      <c r="Q271" s="212" t="str">
        <f t="shared" ref="Q271:Q334" si="12">IF(O271=0,SUBSTITUTE(2025&amp;TRIM(cl_org_name_select)&amp;TRIM($E$12)&amp;(ROW(O271)-ROW($O$15))," ",""),"")</f>
        <v/>
      </c>
      <c r="R271" s="174" t="s">
        <v>265</v>
      </c>
      <c r="S271" s="174" t="s">
        <v>273</v>
      </c>
      <c r="T271" s="174" t="str">
        <f>IF(Buildings_Heat_Frontend[[#This Row],[Data]]="","", _xlfn.XLOOKUP(Buildings_Heat_Backend[[#This Row],[Info 1]],Buildings_SiteInfo[Site name],Buildings_SiteInfo[Site type]))</f>
        <v/>
      </c>
      <c r="U271" s="174" t="str">
        <f>IF(Buildings_Heat_Frontend[[#This Row],[Data]]="","", Buildings_Heat_Frontend[[#This Row],[Heating Type]])</f>
        <v/>
      </c>
      <c r="V271" s="174" t="str">
        <f>IF(Buildings_Heat_Frontend[[#This Row],[Data]]="","", Buildings_Heat_Frontend[[#This Row],[Fuel]])</f>
        <v/>
      </c>
      <c r="W271" s="174" t="str" cm="1">
        <f t="array" ref="W271">IF(Buildings_Heat_Frontend[[#This Row],[Data]]="","", _xlfn.XLOOKUP(Buildings_Heat_Backend[[#This Row],[Level 5]],rng_Level5Long,rng_Level6Long))</f>
        <v/>
      </c>
      <c r="X271" s="174" t="str">
        <f>IF(Buildings_Heat_Frontend[[#This Row],[Data]]="","", Buildings_Heat_Frontend[[#This Row],[Site Name]])</f>
        <v/>
      </c>
      <c r="Y271" s="174" t="str">
        <f>IF(Buildings_Heat_Frontend[[#This Row],[Data]]="","", Buildings_Heat_Frontend[[#This Row],[MPRN]])</f>
        <v/>
      </c>
      <c r="Z271" s="174" t="str">
        <f>IF(Buildings_Heat_Frontend[[#This Row],[Data]]="","", IF($I271="","",$I271))</f>
        <v/>
      </c>
      <c r="AA271" s="229" t="str" cm="1">
        <f t="array" ref="AA271">IF(Buildings_Heat_Frontend[[#This Row],[Data]]="","", INDEX(_xlfn.SWITCH(Buildings_Heat_Backend[[#This Row],[Methodology]],"Tier 1",rng_RSD1,"Tier 2",rng_RSD2,"Tier 3",rng_RSD3),MATCH(_xlfn.CONCAT(Buildings_Heat_Backend[[#This Row],[Level 1]:[Level 6]]),rng_LevelsConcat,0)))</f>
        <v/>
      </c>
      <c r="AB271" s="220" t="str">
        <f t="shared" ref="AB271:AB334" si="13">IF($J271="","",$J271)</f>
        <v/>
      </c>
      <c r="AC271" s="174">
        <f>Buildings_Heat_Frontend[[#This Row],[Units]]</f>
        <v>0</v>
      </c>
      <c r="AD27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1" s="174" t="str">
        <f>IF(Buildings_Heat_Frontend[[#This Row],[Data]]="","", _xlfn.XLOOKUP(_xlfn.CONCAT(Buildings_Heat_Backend[[#This Row],[Level 1]:[Level 6]]),rng_LevelsConcat,rng_UnitsLong))</f>
        <v/>
      </c>
      <c r="AF271" s="210" t="str">
        <f>IF(Buildings_Heat_Frontend[[#This Row],[Data]]="","", _xlfn.XLOOKUP(_xlfn.CONCAT(Buildings_Heat_Backend[[#This Row],[Level 1]:[Level 6]]),rng_EFConcat,rng_EF1)*Buildings_Heat_Backend[[#This Row],[Converted data]]/1000)</f>
        <v/>
      </c>
      <c r="AG271" s="210" t="str">
        <f>IF(Buildings_Heat_Frontend[[#This Row],[Data]]="","", _xlfn.XLOOKUP(_xlfn.CONCAT(Buildings_Heat_Backend[[#This Row],[Level 1]:[Level 6]]),rng_EFConcat,rng_EF2)*Buildings_Heat_Backend[[#This Row],[Converted data]]/1000)</f>
        <v/>
      </c>
      <c r="AH271" s="210" t="str">
        <f>IF(Buildings_Heat_Frontend[[#This Row],[Data]]="","", _xlfn.XLOOKUP(_xlfn.CONCAT(Buildings_Heat_Backend[[#This Row],[Level 1]:[Level 6]]),rng_EFConcat,rng_EF3)*Buildings_Heat_Backend[[#This Row],[Converted data]]/1000)</f>
        <v/>
      </c>
      <c r="AI271" s="210" t="str">
        <f>IF(Buildings_Heat_Frontend[[#This Row],[Data]]="","", _xlfn.XLOOKUP(_xlfn.CONCAT(Buildings_Heat_Backend[[#This Row],[Level 1]:[Level 6]]),rng_EFConcat,rng_EF3WTT)*Buildings_Heat_Backend[[#This Row],[Converted data]]/1000)</f>
        <v/>
      </c>
      <c r="AJ271" s="210" t="str">
        <f>IF(Buildings_Heat_Frontend[[#This Row],[Data]]="","", _xlfn.XLOOKUP(_xlfn.CONCAT(Buildings_Heat_Backend[[#This Row],[Level 1]:[Level 6]]),rng_EFConcat,rng_EF3TD)*Buildings_Heat_Backend[[#This Row],[Converted data]]/1000)</f>
        <v/>
      </c>
      <c r="AK271" s="210" t="str">
        <f>IF(Buildings_Heat_Frontend[[#This Row],[Data]]="","", _xlfn.XLOOKUP(_xlfn.CONCAT(Buildings_Heat_Backend[[#This Row],[Level 1]:[Level 6]]),rng_EFConcat,rng_EF3WTTTD)*Buildings_Heat_Backend[[#This Row],[Converted data]]/1000)</f>
        <v/>
      </c>
      <c r="AL271" s="220">
        <f>SUM(Buildings_Heat_Backend[[#This Row],[Scope 1 (tCO2e)]:[Scope 3 WTT T&amp;D (tCO2e)]])</f>
        <v>0</v>
      </c>
      <c r="AM271" s="220" t="str">
        <f>IF(Buildings_Heat_Frontend[[#This Row],[Data]]="","", Buildings_Heat_Backend[[#This Row],[Total (tCO2e)]]*(1-Buildings_Heat_Backend[[#This Row],[RSD]]))</f>
        <v/>
      </c>
      <c r="AN271" s="220" t="str">
        <f>IF(Buildings_Heat_Frontend[[#This Row],[Data]]="","", Buildings_Heat_Backend[[#This Row],[Total (tCO2e)]]*(1+Buildings_Heat_Backend[[#This Row],[RSD]]))</f>
        <v/>
      </c>
      <c r="AO271" s="210" t="str">
        <f>IF(Buildings_Heat_Frontend[[#This Row],[Data]]="","", _xlfn.XLOOKUP(_xlfn.CONCAT(Buildings_Heat_Backend[[#This Row],[Level 1]:[Level 6]]),rng_EFConcat,rng_EFOOS)*Buildings_Heat_Backend[[#This Row],[Converted data]]/1000)</f>
        <v/>
      </c>
      <c r="AP271" s="174">
        <f>Buildings_Heat_Frontend[[#This Row],[Ease of collection]]</f>
        <v>0</v>
      </c>
      <c r="AQ271" s="174">
        <f>Buildings_Heat_Frontend[[#This Row],[Completeness]]</f>
        <v>0</v>
      </c>
      <c r="AR271" s="174">
        <f>Buildings_Heat_Frontend[[#This Row],[Notes]]</f>
        <v>0</v>
      </c>
    </row>
    <row r="272" spans="5:44" x14ac:dyDescent="0.3">
      <c r="E272" s="346"/>
      <c r="F272" s="364"/>
      <c r="G272" s="336"/>
      <c r="H272" s="336"/>
      <c r="I272" s="336"/>
      <c r="J272" s="334"/>
      <c r="K272" s="336"/>
      <c r="L272" s="336"/>
      <c r="M272" s="336"/>
      <c r="N272" s="352"/>
      <c r="O272" s="230">
        <f t="shared" ref="O272:O335" si="14">ISBLANK(E272)+ISBLANK(G272)+ISBLANK(H272)+ISBLANK(I272)+ISBLANK(J272)+ISBLANK(K272)</f>
        <v>6</v>
      </c>
      <c r="Q272" s="212" t="str">
        <f t="shared" si="12"/>
        <v/>
      </c>
      <c r="R272" s="174" t="s">
        <v>265</v>
      </c>
      <c r="S272" s="174" t="s">
        <v>273</v>
      </c>
      <c r="T272" s="174" t="str">
        <f>IF(Buildings_Heat_Frontend[[#This Row],[Data]]="","", _xlfn.XLOOKUP(Buildings_Heat_Backend[[#This Row],[Info 1]],Buildings_SiteInfo[Site name],Buildings_SiteInfo[Site type]))</f>
        <v/>
      </c>
      <c r="U272" s="174" t="str">
        <f>IF(Buildings_Heat_Frontend[[#This Row],[Data]]="","", Buildings_Heat_Frontend[[#This Row],[Heating Type]])</f>
        <v/>
      </c>
      <c r="V272" s="174" t="str">
        <f>IF(Buildings_Heat_Frontend[[#This Row],[Data]]="","", Buildings_Heat_Frontend[[#This Row],[Fuel]])</f>
        <v/>
      </c>
      <c r="W272" s="174" t="str" cm="1">
        <f t="array" ref="W272">IF(Buildings_Heat_Frontend[[#This Row],[Data]]="","", _xlfn.XLOOKUP(Buildings_Heat_Backend[[#This Row],[Level 5]],rng_Level5Long,rng_Level6Long))</f>
        <v/>
      </c>
      <c r="X272" s="174" t="str">
        <f>IF(Buildings_Heat_Frontend[[#This Row],[Data]]="","", Buildings_Heat_Frontend[[#This Row],[Site Name]])</f>
        <v/>
      </c>
      <c r="Y272" s="174" t="str">
        <f>IF(Buildings_Heat_Frontend[[#This Row],[Data]]="","", Buildings_Heat_Frontend[[#This Row],[MPRN]])</f>
        <v/>
      </c>
      <c r="Z272" s="174" t="str">
        <f>IF(Buildings_Heat_Frontend[[#This Row],[Data]]="","", IF($I272="","",$I272))</f>
        <v/>
      </c>
      <c r="AA272" s="229" t="str" cm="1">
        <f t="array" ref="AA272">IF(Buildings_Heat_Frontend[[#This Row],[Data]]="","", INDEX(_xlfn.SWITCH(Buildings_Heat_Backend[[#This Row],[Methodology]],"Tier 1",rng_RSD1,"Tier 2",rng_RSD2,"Tier 3",rng_RSD3),MATCH(_xlfn.CONCAT(Buildings_Heat_Backend[[#This Row],[Level 1]:[Level 6]]),rng_LevelsConcat,0)))</f>
        <v/>
      </c>
      <c r="AB272" s="220" t="str">
        <f t="shared" si="13"/>
        <v/>
      </c>
      <c r="AC272" s="174">
        <f>Buildings_Heat_Frontend[[#This Row],[Units]]</f>
        <v>0</v>
      </c>
      <c r="AD27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2" s="174" t="str">
        <f>IF(Buildings_Heat_Frontend[[#This Row],[Data]]="","", _xlfn.XLOOKUP(_xlfn.CONCAT(Buildings_Heat_Backend[[#This Row],[Level 1]:[Level 6]]),rng_LevelsConcat,rng_UnitsLong))</f>
        <v/>
      </c>
      <c r="AF272" s="210" t="str">
        <f>IF(Buildings_Heat_Frontend[[#This Row],[Data]]="","", _xlfn.XLOOKUP(_xlfn.CONCAT(Buildings_Heat_Backend[[#This Row],[Level 1]:[Level 6]]),rng_EFConcat,rng_EF1)*Buildings_Heat_Backend[[#This Row],[Converted data]]/1000)</f>
        <v/>
      </c>
      <c r="AG272" s="210" t="str">
        <f>IF(Buildings_Heat_Frontend[[#This Row],[Data]]="","", _xlfn.XLOOKUP(_xlfn.CONCAT(Buildings_Heat_Backend[[#This Row],[Level 1]:[Level 6]]),rng_EFConcat,rng_EF2)*Buildings_Heat_Backend[[#This Row],[Converted data]]/1000)</f>
        <v/>
      </c>
      <c r="AH272" s="210" t="str">
        <f>IF(Buildings_Heat_Frontend[[#This Row],[Data]]="","", _xlfn.XLOOKUP(_xlfn.CONCAT(Buildings_Heat_Backend[[#This Row],[Level 1]:[Level 6]]),rng_EFConcat,rng_EF3)*Buildings_Heat_Backend[[#This Row],[Converted data]]/1000)</f>
        <v/>
      </c>
      <c r="AI272" s="210" t="str">
        <f>IF(Buildings_Heat_Frontend[[#This Row],[Data]]="","", _xlfn.XLOOKUP(_xlfn.CONCAT(Buildings_Heat_Backend[[#This Row],[Level 1]:[Level 6]]),rng_EFConcat,rng_EF3WTT)*Buildings_Heat_Backend[[#This Row],[Converted data]]/1000)</f>
        <v/>
      </c>
      <c r="AJ272" s="210" t="str">
        <f>IF(Buildings_Heat_Frontend[[#This Row],[Data]]="","", _xlfn.XLOOKUP(_xlfn.CONCAT(Buildings_Heat_Backend[[#This Row],[Level 1]:[Level 6]]),rng_EFConcat,rng_EF3TD)*Buildings_Heat_Backend[[#This Row],[Converted data]]/1000)</f>
        <v/>
      </c>
      <c r="AK272" s="210" t="str">
        <f>IF(Buildings_Heat_Frontend[[#This Row],[Data]]="","", _xlfn.XLOOKUP(_xlfn.CONCAT(Buildings_Heat_Backend[[#This Row],[Level 1]:[Level 6]]),rng_EFConcat,rng_EF3WTTTD)*Buildings_Heat_Backend[[#This Row],[Converted data]]/1000)</f>
        <v/>
      </c>
      <c r="AL272" s="220">
        <f>SUM(Buildings_Heat_Backend[[#This Row],[Scope 1 (tCO2e)]:[Scope 3 WTT T&amp;D (tCO2e)]])</f>
        <v>0</v>
      </c>
      <c r="AM272" s="220" t="str">
        <f>IF(Buildings_Heat_Frontend[[#This Row],[Data]]="","", Buildings_Heat_Backend[[#This Row],[Total (tCO2e)]]*(1-Buildings_Heat_Backend[[#This Row],[RSD]]))</f>
        <v/>
      </c>
      <c r="AN272" s="220" t="str">
        <f>IF(Buildings_Heat_Frontend[[#This Row],[Data]]="","", Buildings_Heat_Backend[[#This Row],[Total (tCO2e)]]*(1+Buildings_Heat_Backend[[#This Row],[RSD]]))</f>
        <v/>
      </c>
      <c r="AO272" s="210" t="str">
        <f>IF(Buildings_Heat_Frontend[[#This Row],[Data]]="","", _xlfn.XLOOKUP(_xlfn.CONCAT(Buildings_Heat_Backend[[#This Row],[Level 1]:[Level 6]]),rng_EFConcat,rng_EFOOS)*Buildings_Heat_Backend[[#This Row],[Converted data]]/1000)</f>
        <v/>
      </c>
      <c r="AP272" s="174">
        <f>Buildings_Heat_Frontend[[#This Row],[Ease of collection]]</f>
        <v>0</v>
      </c>
      <c r="AQ272" s="174">
        <f>Buildings_Heat_Frontend[[#This Row],[Completeness]]</f>
        <v>0</v>
      </c>
      <c r="AR272" s="174">
        <f>Buildings_Heat_Frontend[[#This Row],[Notes]]</f>
        <v>0</v>
      </c>
    </row>
    <row r="273" spans="5:44" x14ac:dyDescent="0.3">
      <c r="E273" s="346"/>
      <c r="F273" s="364"/>
      <c r="G273" s="336"/>
      <c r="H273" s="336"/>
      <c r="I273" s="336"/>
      <c r="J273" s="334"/>
      <c r="K273" s="336"/>
      <c r="L273" s="336"/>
      <c r="M273" s="336"/>
      <c r="N273" s="352"/>
      <c r="O273" s="230">
        <f t="shared" si="14"/>
        <v>6</v>
      </c>
      <c r="Q273" s="212" t="str">
        <f t="shared" si="12"/>
        <v/>
      </c>
      <c r="R273" s="174" t="s">
        <v>265</v>
      </c>
      <c r="S273" s="174" t="s">
        <v>273</v>
      </c>
      <c r="T273" s="174" t="str">
        <f>IF(Buildings_Heat_Frontend[[#This Row],[Data]]="","", _xlfn.XLOOKUP(Buildings_Heat_Backend[[#This Row],[Info 1]],Buildings_SiteInfo[Site name],Buildings_SiteInfo[Site type]))</f>
        <v/>
      </c>
      <c r="U273" s="174" t="str">
        <f>IF(Buildings_Heat_Frontend[[#This Row],[Data]]="","", Buildings_Heat_Frontend[[#This Row],[Heating Type]])</f>
        <v/>
      </c>
      <c r="V273" s="174" t="str">
        <f>IF(Buildings_Heat_Frontend[[#This Row],[Data]]="","", Buildings_Heat_Frontend[[#This Row],[Fuel]])</f>
        <v/>
      </c>
      <c r="W273" s="174" t="str" cm="1">
        <f t="array" ref="W273">IF(Buildings_Heat_Frontend[[#This Row],[Data]]="","", _xlfn.XLOOKUP(Buildings_Heat_Backend[[#This Row],[Level 5]],rng_Level5Long,rng_Level6Long))</f>
        <v/>
      </c>
      <c r="X273" s="174" t="str">
        <f>IF(Buildings_Heat_Frontend[[#This Row],[Data]]="","", Buildings_Heat_Frontend[[#This Row],[Site Name]])</f>
        <v/>
      </c>
      <c r="Y273" s="174" t="str">
        <f>IF(Buildings_Heat_Frontend[[#This Row],[Data]]="","", Buildings_Heat_Frontend[[#This Row],[MPRN]])</f>
        <v/>
      </c>
      <c r="Z273" s="174" t="str">
        <f>IF(Buildings_Heat_Frontend[[#This Row],[Data]]="","", IF($I273="","",$I273))</f>
        <v/>
      </c>
      <c r="AA273" s="229" t="str" cm="1">
        <f t="array" ref="AA273">IF(Buildings_Heat_Frontend[[#This Row],[Data]]="","", INDEX(_xlfn.SWITCH(Buildings_Heat_Backend[[#This Row],[Methodology]],"Tier 1",rng_RSD1,"Tier 2",rng_RSD2,"Tier 3",rng_RSD3),MATCH(_xlfn.CONCAT(Buildings_Heat_Backend[[#This Row],[Level 1]:[Level 6]]),rng_LevelsConcat,0)))</f>
        <v/>
      </c>
      <c r="AB273" s="220" t="str">
        <f t="shared" si="13"/>
        <v/>
      </c>
      <c r="AC273" s="174">
        <f>Buildings_Heat_Frontend[[#This Row],[Units]]</f>
        <v>0</v>
      </c>
      <c r="AD27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3" s="174" t="str">
        <f>IF(Buildings_Heat_Frontend[[#This Row],[Data]]="","", _xlfn.XLOOKUP(_xlfn.CONCAT(Buildings_Heat_Backend[[#This Row],[Level 1]:[Level 6]]),rng_LevelsConcat,rng_UnitsLong))</f>
        <v/>
      </c>
      <c r="AF273" s="210" t="str">
        <f>IF(Buildings_Heat_Frontend[[#This Row],[Data]]="","", _xlfn.XLOOKUP(_xlfn.CONCAT(Buildings_Heat_Backend[[#This Row],[Level 1]:[Level 6]]),rng_EFConcat,rng_EF1)*Buildings_Heat_Backend[[#This Row],[Converted data]]/1000)</f>
        <v/>
      </c>
      <c r="AG273" s="210" t="str">
        <f>IF(Buildings_Heat_Frontend[[#This Row],[Data]]="","", _xlfn.XLOOKUP(_xlfn.CONCAT(Buildings_Heat_Backend[[#This Row],[Level 1]:[Level 6]]),rng_EFConcat,rng_EF2)*Buildings_Heat_Backend[[#This Row],[Converted data]]/1000)</f>
        <v/>
      </c>
      <c r="AH273" s="210" t="str">
        <f>IF(Buildings_Heat_Frontend[[#This Row],[Data]]="","", _xlfn.XLOOKUP(_xlfn.CONCAT(Buildings_Heat_Backend[[#This Row],[Level 1]:[Level 6]]),rng_EFConcat,rng_EF3)*Buildings_Heat_Backend[[#This Row],[Converted data]]/1000)</f>
        <v/>
      </c>
      <c r="AI273" s="210" t="str">
        <f>IF(Buildings_Heat_Frontend[[#This Row],[Data]]="","", _xlfn.XLOOKUP(_xlfn.CONCAT(Buildings_Heat_Backend[[#This Row],[Level 1]:[Level 6]]),rng_EFConcat,rng_EF3WTT)*Buildings_Heat_Backend[[#This Row],[Converted data]]/1000)</f>
        <v/>
      </c>
      <c r="AJ273" s="210" t="str">
        <f>IF(Buildings_Heat_Frontend[[#This Row],[Data]]="","", _xlfn.XLOOKUP(_xlfn.CONCAT(Buildings_Heat_Backend[[#This Row],[Level 1]:[Level 6]]),rng_EFConcat,rng_EF3TD)*Buildings_Heat_Backend[[#This Row],[Converted data]]/1000)</f>
        <v/>
      </c>
      <c r="AK273" s="210" t="str">
        <f>IF(Buildings_Heat_Frontend[[#This Row],[Data]]="","", _xlfn.XLOOKUP(_xlfn.CONCAT(Buildings_Heat_Backend[[#This Row],[Level 1]:[Level 6]]),rng_EFConcat,rng_EF3WTTTD)*Buildings_Heat_Backend[[#This Row],[Converted data]]/1000)</f>
        <v/>
      </c>
      <c r="AL273" s="220">
        <f>SUM(Buildings_Heat_Backend[[#This Row],[Scope 1 (tCO2e)]:[Scope 3 WTT T&amp;D (tCO2e)]])</f>
        <v>0</v>
      </c>
      <c r="AM273" s="220" t="str">
        <f>IF(Buildings_Heat_Frontend[[#This Row],[Data]]="","", Buildings_Heat_Backend[[#This Row],[Total (tCO2e)]]*(1-Buildings_Heat_Backend[[#This Row],[RSD]]))</f>
        <v/>
      </c>
      <c r="AN273" s="220" t="str">
        <f>IF(Buildings_Heat_Frontend[[#This Row],[Data]]="","", Buildings_Heat_Backend[[#This Row],[Total (tCO2e)]]*(1+Buildings_Heat_Backend[[#This Row],[RSD]]))</f>
        <v/>
      </c>
      <c r="AO273" s="210" t="str">
        <f>IF(Buildings_Heat_Frontend[[#This Row],[Data]]="","", _xlfn.XLOOKUP(_xlfn.CONCAT(Buildings_Heat_Backend[[#This Row],[Level 1]:[Level 6]]),rng_EFConcat,rng_EFOOS)*Buildings_Heat_Backend[[#This Row],[Converted data]]/1000)</f>
        <v/>
      </c>
      <c r="AP273" s="174">
        <f>Buildings_Heat_Frontend[[#This Row],[Ease of collection]]</f>
        <v>0</v>
      </c>
      <c r="AQ273" s="174">
        <f>Buildings_Heat_Frontend[[#This Row],[Completeness]]</f>
        <v>0</v>
      </c>
      <c r="AR273" s="174">
        <f>Buildings_Heat_Frontend[[#This Row],[Notes]]</f>
        <v>0</v>
      </c>
    </row>
    <row r="274" spans="5:44" x14ac:dyDescent="0.3">
      <c r="E274" s="346"/>
      <c r="F274" s="364"/>
      <c r="G274" s="336"/>
      <c r="H274" s="336"/>
      <c r="I274" s="336"/>
      <c r="J274" s="334"/>
      <c r="K274" s="336"/>
      <c r="L274" s="336"/>
      <c r="M274" s="336"/>
      <c r="N274" s="352"/>
      <c r="O274" s="230">
        <f t="shared" si="14"/>
        <v>6</v>
      </c>
      <c r="Q274" s="212" t="str">
        <f t="shared" si="12"/>
        <v/>
      </c>
      <c r="R274" s="174" t="s">
        <v>265</v>
      </c>
      <c r="S274" s="174" t="s">
        <v>273</v>
      </c>
      <c r="T274" s="174" t="str">
        <f>IF(Buildings_Heat_Frontend[[#This Row],[Data]]="","", _xlfn.XLOOKUP(Buildings_Heat_Backend[[#This Row],[Info 1]],Buildings_SiteInfo[Site name],Buildings_SiteInfo[Site type]))</f>
        <v/>
      </c>
      <c r="U274" s="174" t="str">
        <f>IF(Buildings_Heat_Frontend[[#This Row],[Data]]="","", Buildings_Heat_Frontend[[#This Row],[Heating Type]])</f>
        <v/>
      </c>
      <c r="V274" s="174" t="str">
        <f>IF(Buildings_Heat_Frontend[[#This Row],[Data]]="","", Buildings_Heat_Frontend[[#This Row],[Fuel]])</f>
        <v/>
      </c>
      <c r="W274" s="174" t="str" cm="1">
        <f t="array" ref="W274">IF(Buildings_Heat_Frontend[[#This Row],[Data]]="","", _xlfn.XLOOKUP(Buildings_Heat_Backend[[#This Row],[Level 5]],rng_Level5Long,rng_Level6Long))</f>
        <v/>
      </c>
      <c r="X274" s="174" t="str">
        <f>IF(Buildings_Heat_Frontend[[#This Row],[Data]]="","", Buildings_Heat_Frontend[[#This Row],[Site Name]])</f>
        <v/>
      </c>
      <c r="Y274" s="174" t="str">
        <f>IF(Buildings_Heat_Frontend[[#This Row],[Data]]="","", Buildings_Heat_Frontend[[#This Row],[MPRN]])</f>
        <v/>
      </c>
      <c r="Z274" s="174" t="str">
        <f>IF(Buildings_Heat_Frontend[[#This Row],[Data]]="","", IF($I274="","",$I274))</f>
        <v/>
      </c>
      <c r="AA274" s="229" t="str" cm="1">
        <f t="array" ref="AA274">IF(Buildings_Heat_Frontend[[#This Row],[Data]]="","", INDEX(_xlfn.SWITCH(Buildings_Heat_Backend[[#This Row],[Methodology]],"Tier 1",rng_RSD1,"Tier 2",rng_RSD2,"Tier 3",rng_RSD3),MATCH(_xlfn.CONCAT(Buildings_Heat_Backend[[#This Row],[Level 1]:[Level 6]]),rng_LevelsConcat,0)))</f>
        <v/>
      </c>
      <c r="AB274" s="220" t="str">
        <f t="shared" si="13"/>
        <v/>
      </c>
      <c r="AC274" s="174">
        <f>Buildings_Heat_Frontend[[#This Row],[Units]]</f>
        <v>0</v>
      </c>
      <c r="AD27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4" s="174" t="str">
        <f>IF(Buildings_Heat_Frontend[[#This Row],[Data]]="","", _xlfn.XLOOKUP(_xlfn.CONCAT(Buildings_Heat_Backend[[#This Row],[Level 1]:[Level 6]]),rng_LevelsConcat,rng_UnitsLong))</f>
        <v/>
      </c>
      <c r="AF274" s="210" t="str">
        <f>IF(Buildings_Heat_Frontend[[#This Row],[Data]]="","", _xlfn.XLOOKUP(_xlfn.CONCAT(Buildings_Heat_Backend[[#This Row],[Level 1]:[Level 6]]),rng_EFConcat,rng_EF1)*Buildings_Heat_Backend[[#This Row],[Converted data]]/1000)</f>
        <v/>
      </c>
      <c r="AG274" s="210" t="str">
        <f>IF(Buildings_Heat_Frontend[[#This Row],[Data]]="","", _xlfn.XLOOKUP(_xlfn.CONCAT(Buildings_Heat_Backend[[#This Row],[Level 1]:[Level 6]]),rng_EFConcat,rng_EF2)*Buildings_Heat_Backend[[#This Row],[Converted data]]/1000)</f>
        <v/>
      </c>
      <c r="AH274" s="210" t="str">
        <f>IF(Buildings_Heat_Frontend[[#This Row],[Data]]="","", _xlfn.XLOOKUP(_xlfn.CONCAT(Buildings_Heat_Backend[[#This Row],[Level 1]:[Level 6]]),rng_EFConcat,rng_EF3)*Buildings_Heat_Backend[[#This Row],[Converted data]]/1000)</f>
        <v/>
      </c>
      <c r="AI274" s="210" t="str">
        <f>IF(Buildings_Heat_Frontend[[#This Row],[Data]]="","", _xlfn.XLOOKUP(_xlfn.CONCAT(Buildings_Heat_Backend[[#This Row],[Level 1]:[Level 6]]),rng_EFConcat,rng_EF3WTT)*Buildings_Heat_Backend[[#This Row],[Converted data]]/1000)</f>
        <v/>
      </c>
      <c r="AJ274" s="210" t="str">
        <f>IF(Buildings_Heat_Frontend[[#This Row],[Data]]="","", _xlfn.XLOOKUP(_xlfn.CONCAT(Buildings_Heat_Backend[[#This Row],[Level 1]:[Level 6]]),rng_EFConcat,rng_EF3TD)*Buildings_Heat_Backend[[#This Row],[Converted data]]/1000)</f>
        <v/>
      </c>
      <c r="AK274" s="210" t="str">
        <f>IF(Buildings_Heat_Frontend[[#This Row],[Data]]="","", _xlfn.XLOOKUP(_xlfn.CONCAT(Buildings_Heat_Backend[[#This Row],[Level 1]:[Level 6]]),rng_EFConcat,rng_EF3WTTTD)*Buildings_Heat_Backend[[#This Row],[Converted data]]/1000)</f>
        <v/>
      </c>
      <c r="AL274" s="220">
        <f>SUM(Buildings_Heat_Backend[[#This Row],[Scope 1 (tCO2e)]:[Scope 3 WTT T&amp;D (tCO2e)]])</f>
        <v>0</v>
      </c>
      <c r="AM274" s="220" t="str">
        <f>IF(Buildings_Heat_Frontend[[#This Row],[Data]]="","", Buildings_Heat_Backend[[#This Row],[Total (tCO2e)]]*(1-Buildings_Heat_Backend[[#This Row],[RSD]]))</f>
        <v/>
      </c>
      <c r="AN274" s="220" t="str">
        <f>IF(Buildings_Heat_Frontend[[#This Row],[Data]]="","", Buildings_Heat_Backend[[#This Row],[Total (tCO2e)]]*(1+Buildings_Heat_Backend[[#This Row],[RSD]]))</f>
        <v/>
      </c>
      <c r="AO274" s="210" t="str">
        <f>IF(Buildings_Heat_Frontend[[#This Row],[Data]]="","", _xlfn.XLOOKUP(_xlfn.CONCAT(Buildings_Heat_Backend[[#This Row],[Level 1]:[Level 6]]),rng_EFConcat,rng_EFOOS)*Buildings_Heat_Backend[[#This Row],[Converted data]]/1000)</f>
        <v/>
      </c>
      <c r="AP274" s="174">
        <f>Buildings_Heat_Frontend[[#This Row],[Ease of collection]]</f>
        <v>0</v>
      </c>
      <c r="AQ274" s="174">
        <f>Buildings_Heat_Frontend[[#This Row],[Completeness]]</f>
        <v>0</v>
      </c>
      <c r="AR274" s="174">
        <f>Buildings_Heat_Frontend[[#This Row],[Notes]]</f>
        <v>0</v>
      </c>
    </row>
    <row r="275" spans="5:44" x14ac:dyDescent="0.3">
      <c r="E275" s="346"/>
      <c r="F275" s="364"/>
      <c r="G275" s="336"/>
      <c r="H275" s="336"/>
      <c r="I275" s="336"/>
      <c r="J275" s="334"/>
      <c r="K275" s="336"/>
      <c r="L275" s="336"/>
      <c r="M275" s="336"/>
      <c r="N275" s="352"/>
      <c r="O275" s="230">
        <f t="shared" si="14"/>
        <v>6</v>
      </c>
      <c r="Q275" s="212" t="str">
        <f t="shared" si="12"/>
        <v/>
      </c>
      <c r="R275" s="174" t="s">
        <v>265</v>
      </c>
      <c r="S275" s="174" t="s">
        <v>273</v>
      </c>
      <c r="T275" s="174" t="str">
        <f>IF(Buildings_Heat_Frontend[[#This Row],[Data]]="","", _xlfn.XLOOKUP(Buildings_Heat_Backend[[#This Row],[Info 1]],Buildings_SiteInfo[Site name],Buildings_SiteInfo[Site type]))</f>
        <v/>
      </c>
      <c r="U275" s="174" t="str">
        <f>IF(Buildings_Heat_Frontend[[#This Row],[Data]]="","", Buildings_Heat_Frontend[[#This Row],[Heating Type]])</f>
        <v/>
      </c>
      <c r="V275" s="174" t="str">
        <f>IF(Buildings_Heat_Frontend[[#This Row],[Data]]="","", Buildings_Heat_Frontend[[#This Row],[Fuel]])</f>
        <v/>
      </c>
      <c r="W275" s="174" t="str" cm="1">
        <f t="array" ref="W275">IF(Buildings_Heat_Frontend[[#This Row],[Data]]="","", _xlfn.XLOOKUP(Buildings_Heat_Backend[[#This Row],[Level 5]],rng_Level5Long,rng_Level6Long))</f>
        <v/>
      </c>
      <c r="X275" s="174" t="str">
        <f>IF(Buildings_Heat_Frontend[[#This Row],[Data]]="","", Buildings_Heat_Frontend[[#This Row],[Site Name]])</f>
        <v/>
      </c>
      <c r="Y275" s="174" t="str">
        <f>IF(Buildings_Heat_Frontend[[#This Row],[Data]]="","", Buildings_Heat_Frontend[[#This Row],[MPRN]])</f>
        <v/>
      </c>
      <c r="Z275" s="174" t="str">
        <f>IF(Buildings_Heat_Frontend[[#This Row],[Data]]="","", IF($I275="","",$I275))</f>
        <v/>
      </c>
      <c r="AA275" s="229" t="str" cm="1">
        <f t="array" ref="AA275">IF(Buildings_Heat_Frontend[[#This Row],[Data]]="","", INDEX(_xlfn.SWITCH(Buildings_Heat_Backend[[#This Row],[Methodology]],"Tier 1",rng_RSD1,"Tier 2",rng_RSD2,"Tier 3",rng_RSD3),MATCH(_xlfn.CONCAT(Buildings_Heat_Backend[[#This Row],[Level 1]:[Level 6]]),rng_LevelsConcat,0)))</f>
        <v/>
      </c>
      <c r="AB275" s="220" t="str">
        <f t="shared" si="13"/>
        <v/>
      </c>
      <c r="AC275" s="174">
        <f>Buildings_Heat_Frontend[[#This Row],[Units]]</f>
        <v>0</v>
      </c>
      <c r="AD27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5" s="174" t="str">
        <f>IF(Buildings_Heat_Frontend[[#This Row],[Data]]="","", _xlfn.XLOOKUP(_xlfn.CONCAT(Buildings_Heat_Backend[[#This Row],[Level 1]:[Level 6]]),rng_LevelsConcat,rng_UnitsLong))</f>
        <v/>
      </c>
      <c r="AF275" s="210" t="str">
        <f>IF(Buildings_Heat_Frontend[[#This Row],[Data]]="","", _xlfn.XLOOKUP(_xlfn.CONCAT(Buildings_Heat_Backend[[#This Row],[Level 1]:[Level 6]]),rng_EFConcat,rng_EF1)*Buildings_Heat_Backend[[#This Row],[Converted data]]/1000)</f>
        <v/>
      </c>
      <c r="AG275" s="210" t="str">
        <f>IF(Buildings_Heat_Frontend[[#This Row],[Data]]="","", _xlfn.XLOOKUP(_xlfn.CONCAT(Buildings_Heat_Backend[[#This Row],[Level 1]:[Level 6]]),rng_EFConcat,rng_EF2)*Buildings_Heat_Backend[[#This Row],[Converted data]]/1000)</f>
        <v/>
      </c>
      <c r="AH275" s="210" t="str">
        <f>IF(Buildings_Heat_Frontend[[#This Row],[Data]]="","", _xlfn.XLOOKUP(_xlfn.CONCAT(Buildings_Heat_Backend[[#This Row],[Level 1]:[Level 6]]),rng_EFConcat,rng_EF3)*Buildings_Heat_Backend[[#This Row],[Converted data]]/1000)</f>
        <v/>
      </c>
      <c r="AI275" s="210" t="str">
        <f>IF(Buildings_Heat_Frontend[[#This Row],[Data]]="","", _xlfn.XLOOKUP(_xlfn.CONCAT(Buildings_Heat_Backend[[#This Row],[Level 1]:[Level 6]]),rng_EFConcat,rng_EF3WTT)*Buildings_Heat_Backend[[#This Row],[Converted data]]/1000)</f>
        <v/>
      </c>
      <c r="AJ275" s="210" t="str">
        <f>IF(Buildings_Heat_Frontend[[#This Row],[Data]]="","", _xlfn.XLOOKUP(_xlfn.CONCAT(Buildings_Heat_Backend[[#This Row],[Level 1]:[Level 6]]),rng_EFConcat,rng_EF3TD)*Buildings_Heat_Backend[[#This Row],[Converted data]]/1000)</f>
        <v/>
      </c>
      <c r="AK275" s="210" t="str">
        <f>IF(Buildings_Heat_Frontend[[#This Row],[Data]]="","", _xlfn.XLOOKUP(_xlfn.CONCAT(Buildings_Heat_Backend[[#This Row],[Level 1]:[Level 6]]),rng_EFConcat,rng_EF3WTTTD)*Buildings_Heat_Backend[[#This Row],[Converted data]]/1000)</f>
        <v/>
      </c>
      <c r="AL275" s="220">
        <f>SUM(Buildings_Heat_Backend[[#This Row],[Scope 1 (tCO2e)]:[Scope 3 WTT T&amp;D (tCO2e)]])</f>
        <v>0</v>
      </c>
      <c r="AM275" s="220" t="str">
        <f>IF(Buildings_Heat_Frontend[[#This Row],[Data]]="","", Buildings_Heat_Backend[[#This Row],[Total (tCO2e)]]*(1-Buildings_Heat_Backend[[#This Row],[RSD]]))</f>
        <v/>
      </c>
      <c r="AN275" s="220" t="str">
        <f>IF(Buildings_Heat_Frontend[[#This Row],[Data]]="","", Buildings_Heat_Backend[[#This Row],[Total (tCO2e)]]*(1+Buildings_Heat_Backend[[#This Row],[RSD]]))</f>
        <v/>
      </c>
      <c r="AO275" s="210" t="str">
        <f>IF(Buildings_Heat_Frontend[[#This Row],[Data]]="","", _xlfn.XLOOKUP(_xlfn.CONCAT(Buildings_Heat_Backend[[#This Row],[Level 1]:[Level 6]]),rng_EFConcat,rng_EFOOS)*Buildings_Heat_Backend[[#This Row],[Converted data]]/1000)</f>
        <v/>
      </c>
      <c r="AP275" s="174">
        <f>Buildings_Heat_Frontend[[#This Row],[Ease of collection]]</f>
        <v>0</v>
      </c>
      <c r="AQ275" s="174">
        <f>Buildings_Heat_Frontend[[#This Row],[Completeness]]</f>
        <v>0</v>
      </c>
      <c r="AR275" s="174">
        <f>Buildings_Heat_Frontend[[#This Row],[Notes]]</f>
        <v>0</v>
      </c>
    </row>
    <row r="276" spans="5:44" x14ac:dyDescent="0.3">
      <c r="E276" s="346"/>
      <c r="F276" s="364"/>
      <c r="G276" s="336"/>
      <c r="H276" s="336"/>
      <c r="I276" s="336"/>
      <c r="J276" s="334"/>
      <c r="K276" s="336"/>
      <c r="L276" s="336"/>
      <c r="M276" s="336"/>
      <c r="N276" s="352"/>
      <c r="O276" s="230">
        <f t="shared" si="14"/>
        <v>6</v>
      </c>
      <c r="Q276" s="212" t="str">
        <f t="shared" si="12"/>
        <v/>
      </c>
      <c r="R276" s="174" t="s">
        <v>265</v>
      </c>
      <c r="S276" s="174" t="s">
        <v>273</v>
      </c>
      <c r="T276" s="174" t="str">
        <f>IF(Buildings_Heat_Frontend[[#This Row],[Data]]="","", _xlfn.XLOOKUP(Buildings_Heat_Backend[[#This Row],[Info 1]],Buildings_SiteInfo[Site name],Buildings_SiteInfo[Site type]))</f>
        <v/>
      </c>
      <c r="U276" s="174" t="str">
        <f>IF(Buildings_Heat_Frontend[[#This Row],[Data]]="","", Buildings_Heat_Frontend[[#This Row],[Heating Type]])</f>
        <v/>
      </c>
      <c r="V276" s="174" t="str">
        <f>IF(Buildings_Heat_Frontend[[#This Row],[Data]]="","", Buildings_Heat_Frontend[[#This Row],[Fuel]])</f>
        <v/>
      </c>
      <c r="W276" s="174" t="str" cm="1">
        <f t="array" ref="W276">IF(Buildings_Heat_Frontend[[#This Row],[Data]]="","", _xlfn.XLOOKUP(Buildings_Heat_Backend[[#This Row],[Level 5]],rng_Level5Long,rng_Level6Long))</f>
        <v/>
      </c>
      <c r="X276" s="174" t="str">
        <f>IF(Buildings_Heat_Frontend[[#This Row],[Data]]="","", Buildings_Heat_Frontend[[#This Row],[Site Name]])</f>
        <v/>
      </c>
      <c r="Y276" s="174" t="str">
        <f>IF(Buildings_Heat_Frontend[[#This Row],[Data]]="","", Buildings_Heat_Frontend[[#This Row],[MPRN]])</f>
        <v/>
      </c>
      <c r="Z276" s="174" t="str">
        <f>IF(Buildings_Heat_Frontend[[#This Row],[Data]]="","", IF($I276="","",$I276))</f>
        <v/>
      </c>
      <c r="AA276" s="229" t="str" cm="1">
        <f t="array" ref="AA276">IF(Buildings_Heat_Frontend[[#This Row],[Data]]="","", INDEX(_xlfn.SWITCH(Buildings_Heat_Backend[[#This Row],[Methodology]],"Tier 1",rng_RSD1,"Tier 2",rng_RSD2,"Tier 3",rng_RSD3),MATCH(_xlfn.CONCAT(Buildings_Heat_Backend[[#This Row],[Level 1]:[Level 6]]),rng_LevelsConcat,0)))</f>
        <v/>
      </c>
      <c r="AB276" s="220" t="str">
        <f t="shared" si="13"/>
        <v/>
      </c>
      <c r="AC276" s="174">
        <f>Buildings_Heat_Frontend[[#This Row],[Units]]</f>
        <v>0</v>
      </c>
      <c r="AD27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6" s="174" t="str">
        <f>IF(Buildings_Heat_Frontend[[#This Row],[Data]]="","", _xlfn.XLOOKUP(_xlfn.CONCAT(Buildings_Heat_Backend[[#This Row],[Level 1]:[Level 6]]),rng_LevelsConcat,rng_UnitsLong))</f>
        <v/>
      </c>
      <c r="AF276" s="210" t="str">
        <f>IF(Buildings_Heat_Frontend[[#This Row],[Data]]="","", _xlfn.XLOOKUP(_xlfn.CONCAT(Buildings_Heat_Backend[[#This Row],[Level 1]:[Level 6]]),rng_EFConcat,rng_EF1)*Buildings_Heat_Backend[[#This Row],[Converted data]]/1000)</f>
        <v/>
      </c>
      <c r="AG276" s="210" t="str">
        <f>IF(Buildings_Heat_Frontend[[#This Row],[Data]]="","", _xlfn.XLOOKUP(_xlfn.CONCAT(Buildings_Heat_Backend[[#This Row],[Level 1]:[Level 6]]),rng_EFConcat,rng_EF2)*Buildings_Heat_Backend[[#This Row],[Converted data]]/1000)</f>
        <v/>
      </c>
      <c r="AH276" s="210" t="str">
        <f>IF(Buildings_Heat_Frontend[[#This Row],[Data]]="","", _xlfn.XLOOKUP(_xlfn.CONCAT(Buildings_Heat_Backend[[#This Row],[Level 1]:[Level 6]]),rng_EFConcat,rng_EF3)*Buildings_Heat_Backend[[#This Row],[Converted data]]/1000)</f>
        <v/>
      </c>
      <c r="AI276" s="210" t="str">
        <f>IF(Buildings_Heat_Frontend[[#This Row],[Data]]="","", _xlfn.XLOOKUP(_xlfn.CONCAT(Buildings_Heat_Backend[[#This Row],[Level 1]:[Level 6]]),rng_EFConcat,rng_EF3WTT)*Buildings_Heat_Backend[[#This Row],[Converted data]]/1000)</f>
        <v/>
      </c>
      <c r="AJ276" s="210" t="str">
        <f>IF(Buildings_Heat_Frontend[[#This Row],[Data]]="","", _xlfn.XLOOKUP(_xlfn.CONCAT(Buildings_Heat_Backend[[#This Row],[Level 1]:[Level 6]]),rng_EFConcat,rng_EF3TD)*Buildings_Heat_Backend[[#This Row],[Converted data]]/1000)</f>
        <v/>
      </c>
      <c r="AK276" s="210" t="str">
        <f>IF(Buildings_Heat_Frontend[[#This Row],[Data]]="","", _xlfn.XLOOKUP(_xlfn.CONCAT(Buildings_Heat_Backend[[#This Row],[Level 1]:[Level 6]]),rng_EFConcat,rng_EF3WTTTD)*Buildings_Heat_Backend[[#This Row],[Converted data]]/1000)</f>
        <v/>
      </c>
      <c r="AL276" s="220">
        <f>SUM(Buildings_Heat_Backend[[#This Row],[Scope 1 (tCO2e)]:[Scope 3 WTT T&amp;D (tCO2e)]])</f>
        <v>0</v>
      </c>
      <c r="AM276" s="220" t="str">
        <f>IF(Buildings_Heat_Frontend[[#This Row],[Data]]="","", Buildings_Heat_Backend[[#This Row],[Total (tCO2e)]]*(1-Buildings_Heat_Backend[[#This Row],[RSD]]))</f>
        <v/>
      </c>
      <c r="AN276" s="220" t="str">
        <f>IF(Buildings_Heat_Frontend[[#This Row],[Data]]="","", Buildings_Heat_Backend[[#This Row],[Total (tCO2e)]]*(1+Buildings_Heat_Backend[[#This Row],[RSD]]))</f>
        <v/>
      </c>
      <c r="AO276" s="210" t="str">
        <f>IF(Buildings_Heat_Frontend[[#This Row],[Data]]="","", _xlfn.XLOOKUP(_xlfn.CONCAT(Buildings_Heat_Backend[[#This Row],[Level 1]:[Level 6]]),rng_EFConcat,rng_EFOOS)*Buildings_Heat_Backend[[#This Row],[Converted data]]/1000)</f>
        <v/>
      </c>
      <c r="AP276" s="174">
        <f>Buildings_Heat_Frontend[[#This Row],[Ease of collection]]</f>
        <v>0</v>
      </c>
      <c r="AQ276" s="174">
        <f>Buildings_Heat_Frontend[[#This Row],[Completeness]]</f>
        <v>0</v>
      </c>
      <c r="AR276" s="174">
        <f>Buildings_Heat_Frontend[[#This Row],[Notes]]</f>
        <v>0</v>
      </c>
    </row>
    <row r="277" spans="5:44" x14ac:dyDescent="0.3">
      <c r="E277" s="346"/>
      <c r="F277" s="364"/>
      <c r="G277" s="336"/>
      <c r="H277" s="336"/>
      <c r="I277" s="336"/>
      <c r="J277" s="334"/>
      <c r="K277" s="336"/>
      <c r="L277" s="336"/>
      <c r="M277" s="336"/>
      <c r="N277" s="352"/>
      <c r="O277" s="230">
        <f t="shared" si="14"/>
        <v>6</v>
      </c>
      <c r="Q277" s="212" t="str">
        <f t="shared" si="12"/>
        <v/>
      </c>
      <c r="R277" s="174" t="s">
        <v>265</v>
      </c>
      <c r="S277" s="174" t="s">
        <v>273</v>
      </c>
      <c r="T277" s="174" t="str">
        <f>IF(Buildings_Heat_Frontend[[#This Row],[Data]]="","", _xlfn.XLOOKUP(Buildings_Heat_Backend[[#This Row],[Info 1]],Buildings_SiteInfo[Site name],Buildings_SiteInfo[Site type]))</f>
        <v/>
      </c>
      <c r="U277" s="174" t="str">
        <f>IF(Buildings_Heat_Frontend[[#This Row],[Data]]="","", Buildings_Heat_Frontend[[#This Row],[Heating Type]])</f>
        <v/>
      </c>
      <c r="V277" s="174" t="str">
        <f>IF(Buildings_Heat_Frontend[[#This Row],[Data]]="","", Buildings_Heat_Frontend[[#This Row],[Fuel]])</f>
        <v/>
      </c>
      <c r="W277" s="174" t="str" cm="1">
        <f t="array" ref="W277">IF(Buildings_Heat_Frontend[[#This Row],[Data]]="","", _xlfn.XLOOKUP(Buildings_Heat_Backend[[#This Row],[Level 5]],rng_Level5Long,rng_Level6Long))</f>
        <v/>
      </c>
      <c r="X277" s="174" t="str">
        <f>IF(Buildings_Heat_Frontend[[#This Row],[Data]]="","", Buildings_Heat_Frontend[[#This Row],[Site Name]])</f>
        <v/>
      </c>
      <c r="Y277" s="174" t="str">
        <f>IF(Buildings_Heat_Frontend[[#This Row],[Data]]="","", Buildings_Heat_Frontend[[#This Row],[MPRN]])</f>
        <v/>
      </c>
      <c r="Z277" s="174" t="str">
        <f>IF(Buildings_Heat_Frontend[[#This Row],[Data]]="","", IF($I277="","",$I277))</f>
        <v/>
      </c>
      <c r="AA277" s="229" t="str" cm="1">
        <f t="array" ref="AA277">IF(Buildings_Heat_Frontend[[#This Row],[Data]]="","", INDEX(_xlfn.SWITCH(Buildings_Heat_Backend[[#This Row],[Methodology]],"Tier 1",rng_RSD1,"Tier 2",rng_RSD2,"Tier 3",rng_RSD3),MATCH(_xlfn.CONCAT(Buildings_Heat_Backend[[#This Row],[Level 1]:[Level 6]]),rng_LevelsConcat,0)))</f>
        <v/>
      </c>
      <c r="AB277" s="220" t="str">
        <f t="shared" si="13"/>
        <v/>
      </c>
      <c r="AC277" s="174">
        <f>Buildings_Heat_Frontend[[#This Row],[Units]]</f>
        <v>0</v>
      </c>
      <c r="AD27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7" s="174" t="str">
        <f>IF(Buildings_Heat_Frontend[[#This Row],[Data]]="","", _xlfn.XLOOKUP(_xlfn.CONCAT(Buildings_Heat_Backend[[#This Row],[Level 1]:[Level 6]]),rng_LevelsConcat,rng_UnitsLong))</f>
        <v/>
      </c>
      <c r="AF277" s="210" t="str">
        <f>IF(Buildings_Heat_Frontend[[#This Row],[Data]]="","", _xlfn.XLOOKUP(_xlfn.CONCAT(Buildings_Heat_Backend[[#This Row],[Level 1]:[Level 6]]),rng_EFConcat,rng_EF1)*Buildings_Heat_Backend[[#This Row],[Converted data]]/1000)</f>
        <v/>
      </c>
      <c r="AG277" s="210" t="str">
        <f>IF(Buildings_Heat_Frontend[[#This Row],[Data]]="","", _xlfn.XLOOKUP(_xlfn.CONCAT(Buildings_Heat_Backend[[#This Row],[Level 1]:[Level 6]]),rng_EFConcat,rng_EF2)*Buildings_Heat_Backend[[#This Row],[Converted data]]/1000)</f>
        <v/>
      </c>
      <c r="AH277" s="210" t="str">
        <f>IF(Buildings_Heat_Frontend[[#This Row],[Data]]="","", _xlfn.XLOOKUP(_xlfn.CONCAT(Buildings_Heat_Backend[[#This Row],[Level 1]:[Level 6]]),rng_EFConcat,rng_EF3)*Buildings_Heat_Backend[[#This Row],[Converted data]]/1000)</f>
        <v/>
      </c>
      <c r="AI277" s="210" t="str">
        <f>IF(Buildings_Heat_Frontend[[#This Row],[Data]]="","", _xlfn.XLOOKUP(_xlfn.CONCAT(Buildings_Heat_Backend[[#This Row],[Level 1]:[Level 6]]),rng_EFConcat,rng_EF3WTT)*Buildings_Heat_Backend[[#This Row],[Converted data]]/1000)</f>
        <v/>
      </c>
      <c r="AJ277" s="210" t="str">
        <f>IF(Buildings_Heat_Frontend[[#This Row],[Data]]="","", _xlfn.XLOOKUP(_xlfn.CONCAT(Buildings_Heat_Backend[[#This Row],[Level 1]:[Level 6]]),rng_EFConcat,rng_EF3TD)*Buildings_Heat_Backend[[#This Row],[Converted data]]/1000)</f>
        <v/>
      </c>
      <c r="AK277" s="210" t="str">
        <f>IF(Buildings_Heat_Frontend[[#This Row],[Data]]="","", _xlfn.XLOOKUP(_xlfn.CONCAT(Buildings_Heat_Backend[[#This Row],[Level 1]:[Level 6]]),rng_EFConcat,rng_EF3WTTTD)*Buildings_Heat_Backend[[#This Row],[Converted data]]/1000)</f>
        <v/>
      </c>
      <c r="AL277" s="220">
        <f>SUM(Buildings_Heat_Backend[[#This Row],[Scope 1 (tCO2e)]:[Scope 3 WTT T&amp;D (tCO2e)]])</f>
        <v>0</v>
      </c>
      <c r="AM277" s="220" t="str">
        <f>IF(Buildings_Heat_Frontend[[#This Row],[Data]]="","", Buildings_Heat_Backend[[#This Row],[Total (tCO2e)]]*(1-Buildings_Heat_Backend[[#This Row],[RSD]]))</f>
        <v/>
      </c>
      <c r="AN277" s="220" t="str">
        <f>IF(Buildings_Heat_Frontend[[#This Row],[Data]]="","", Buildings_Heat_Backend[[#This Row],[Total (tCO2e)]]*(1+Buildings_Heat_Backend[[#This Row],[RSD]]))</f>
        <v/>
      </c>
      <c r="AO277" s="210" t="str">
        <f>IF(Buildings_Heat_Frontend[[#This Row],[Data]]="","", _xlfn.XLOOKUP(_xlfn.CONCAT(Buildings_Heat_Backend[[#This Row],[Level 1]:[Level 6]]),rng_EFConcat,rng_EFOOS)*Buildings_Heat_Backend[[#This Row],[Converted data]]/1000)</f>
        <v/>
      </c>
      <c r="AP277" s="174">
        <f>Buildings_Heat_Frontend[[#This Row],[Ease of collection]]</f>
        <v>0</v>
      </c>
      <c r="AQ277" s="174">
        <f>Buildings_Heat_Frontend[[#This Row],[Completeness]]</f>
        <v>0</v>
      </c>
      <c r="AR277" s="174">
        <f>Buildings_Heat_Frontend[[#This Row],[Notes]]</f>
        <v>0</v>
      </c>
    </row>
    <row r="278" spans="5:44" x14ac:dyDescent="0.3">
      <c r="E278" s="346"/>
      <c r="F278" s="364"/>
      <c r="G278" s="336"/>
      <c r="H278" s="336"/>
      <c r="I278" s="336"/>
      <c r="J278" s="334"/>
      <c r="K278" s="336"/>
      <c r="L278" s="336"/>
      <c r="M278" s="336"/>
      <c r="N278" s="352"/>
      <c r="O278" s="230">
        <f t="shared" si="14"/>
        <v>6</v>
      </c>
      <c r="Q278" s="212" t="str">
        <f t="shared" si="12"/>
        <v/>
      </c>
      <c r="R278" s="174" t="s">
        <v>265</v>
      </c>
      <c r="S278" s="174" t="s">
        <v>273</v>
      </c>
      <c r="T278" s="174" t="str">
        <f>IF(Buildings_Heat_Frontend[[#This Row],[Data]]="","", _xlfn.XLOOKUP(Buildings_Heat_Backend[[#This Row],[Info 1]],Buildings_SiteInfo[Site name],Buildings_SiteInfo[Site type]))</f>
        <v/>
      </c>
      <c r="U278" s="174" t="str">
        <f>IF(Buildings_Heat_Frontend[[#This Row],[Data]]="","", Buildings_Heat_Frontend[[#This Row],[Heating Type]])</f>
        <v/>
      </c>
      <c r="V278" s="174" t="str">
        <f>IF(Buildings_Heat_Frontend[[#This Row],[Data]]="","", Buildings_Heat_Frontend[[#This Row],[Fuel]])</f>
        <v/>
      </c>
      <c r="W278" s="174" t="str" cm="1">
        <f t="array" ref="W278">IF(Buildings_Heat_Frontend[[#This Row],[Data]]="","", _xlfn.XLOOKUP(Buildings_Heat_Backend[[#This Row],[Level 5]],rng_Level5Long,rng_Level6Long))</f>
        <v/>
      </c>
      <c r="X278" s="174" t="str">
        <f>IF(Buildings_Heat_Frontend[[#This Row],[Data]]="","", Buildings_Heat_Frontend[[#This Row],[Site Name]])</f>
        <v/>
      </c>
      <c r="Y278" s="174" t="str">
        <f>IF(Buildings_Heat_Frontend[[#This Row],[Data]]="","", Buildings_Heat_Frontend[[#This Row],[MPRN]])</f>
        <v/>
      </c>
      <c r="Z278" s="174" t="str">
        <f>IF(Buildings_Heat_Frontend[[#This Row],[Data]]="","", IF($I278="","",$I278))</f>
        <v/>
      </c>
      <c r="AA278" s="229" t="str" cm="1">
        <f t="array" ref="AA278">IF(Buildings_Heat_Frontend[[#This Row],[Data]]="","", INDEX(_xlfn.SWITCH(Buildings_Heat_Backend[[#This Row],[Methodology]],"Tier 1",rng_RSD1,"Tier 2",rng_RSD2,"Tier 3",rng_RSD3),MATCH(_xlfn.CONCAT(Buildings_Heat_Backend[[#This Row],[Level 1]:[Level 6]]),rng_LevelsConcat,0)))</f>
        <v/>
      </c>
      <c r="AB278" s="220" t="str">
        <f t="shared" si="13"/>
        <v/>
      </c>
      <c r="AC278" s="174">
        <f>Buildings_Heat_Frontend[[#This Row],[Units]]</f>
        <v>0</v>
      </c>
      <c r="AD27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8" s="174" t="str">
        <f>IF(Buildings_Heat_Frontend[[#This Row],[Data]]="","", _xlfn.XLOOKUP(_xlfn.CONCAT(Buildings_Heat_Backend[[#This Row],[Level 1]:[Level 6]]),rng_LevelsConcat,rng_UnitsLong))</f>
        <v/>
      </c>
      <c r="AF278" s="210" t="str">
        <f>IF(Buildings_Heat_Frontend[[#This Row],[Data]]="","", _xlfn.XLOOKUP(_xlfn.CONCAT(Buildings_Heat_Backend[[#This Row],[Level 1]:[Level 6]]),rng_EFConcat,rng_EF1)*Buildings_Heat_Backend[[#This Row],[Converted data]]/1000)</f>
        <v/>
      </c>
      <c r="AG278" s="210" t="str">
        <f>IF(Buildings_Heat_Frontend[[#This Row],[Data]]="","", _xlfn.XLOOKUP(_xlfn.CONCAT(Buildings_Heat_Backend[[#This Row],[Level 1]:[Level 6]]),rng_EFConcat,rng_EF2)*Buildings_Heat_Backend[[#This Row],[Converted data]]/1000)</f>
        <v/>
      </c>
      <c r="AH278" s="210" t="str">
        <f>IF(Buildings_Heat_Frontend[[#This Row],[Data]]="","", _xlfn.XLOOKUP(_xlfn.CONCAT(Buildings_Heat_Backend[[#This Row],[Level 1]:[Level 6]]),rng_EFConcat,rng_EF3)*Buildings_Heat_Backend[[#This Row],[Converted data]]/1000)</f>
        <v/>
      </c>
      <c r="AI278" s="210" t="str">
        <f>IF(Buildings_Heat_Frontend[[#This Row],[Data]]="","", _xlfn.XLOOKUP(_xlfn.CONCAT(Buildings_Heat_Backend[[#This Row],[Level 1]:[Level 6]]),rng_EFConcat,rng_EF3WTT)*Buildings_Heat_Backend[[#This Row],[Converted data]]/1000)</f>
        <v/>
      </c>
      <c r="AJ278" s="210" t="str">
        <f>IF(Buildings_Heat_Frontend[[#This Row],[Data]]="","", _xlfn.XLOOKUP(_xlfn.CONCAT(Buildings_Heat_Backend[[#This Row],[Level 1]:[Level 6]]),rng_EFConcat,rng_EF3TD)*Buildings_Heat_Backend[[#This Row],[Converted data]]/1000)</f>
        <v/>
      </c>
      <c r="AK278" s="210" t="str">
        <f>IF(Buildings_Heat_Frontend[[#This Row],[Data]]="","", _xlfn.XLOOKUP(_xlfn.CONCAT(Buildings_Heat_Backend[[#This Row],[Level 1]:[Level 6]]),rng_EFConcat,rng_EF3WTTTD)*Buildings_Heat_Backend[[#This Row],[Converted data]]/1000)</f>
        <v/>
      </c>
      <c r="AL278" s="220">
        <f>SUM(Buildings_Heat_Backend[[#This Row],[Scope 1 (tCO2e)]:[Scope 3 WTT T&amp;D (tCO2e)]])</f>
        <v>0</v>
      </c>
      <c r="AM278" s="220" t="str">
        <f>IF(Buildings_Heat_Frontend[[#This Row],[Data]]="","", Buildings_Heat_Backend[[#This Row],[Total (tCO2e)]]*(1-Buildings_Heat_Backend[[#This Row],[RSD]]))</f>
        <v/>
      </c>
      <c r="AN278" s="220" t="str">
        <f>IF(Buildings_Heat_Frontend[[#This Row],[Data]]="","", Buildings_Heat_Backend[[#This Row],[Total (tCO2e)]]*(1+Buildings_Heat_Backend[[#This Row],[RSD]]))</f>
        <v/>
      </c>
      <c r="AO278" s="210" t="str">
        <f>IF(Buildings_Heat_Frontend[[#This Row],[Data]]="","", _xlfn.XLOOKUP(_xlfn.CONCAT(Buildings_Heat_Backend[[#This Row],[Level 1]:[Level 6]]),rng_EFConcat,rng_EFOOS)*Buildings_Heat_Backend[[#This Row],[Converted data]]/1000)</f>
        <v/>
      </c>
      <c r="AP278" s="174">
        <f>Buildings_Heat_Frontend[[#This Row],[Ease of collection]]</f>
        <v>0</v>
      </c>
      <c r="AQ278" s="174">
        <f>Buildings_Heat_Frontend[[#This Row],[Completeness]]</f>
        <v>0</v>
      </c>
      <c r="AR278" s="174">
        <f>Buildings_Heat_Frontend[[#This Row],[Notes]]</f>
        <v>0</v>
      </c>
    </row>
    <row r="279" spans="5:44" x14ac:dyDescent="0.3">
      <c r="E279" s="346"/>
      <c r="F279" s="364"/>
      <c r="G279" s="336"/>
      <c r="H279" s="336"/>
      <c r="I279" s="336"/>
      <c r="J279" s="334"/>
      <c r="K279" s="336"/>
      <c r="L279" s="336"/>
      <c r="M279" s="336"/>
      <c r="N279" s="352"/>
      <c r="O279" s="230">
        <f t="shared" si="14"/>
        <v>6</v>
      </c>
      <c r="Q279" s="212" t="str">
        <f t="shared" si="12"/>
        <v/>
      </c>
      <c r="R279" s="174" t="s">
        <v>265</v>
      </c>
      <c r="S279" s="174" t="s">
        <v>273</v>
      </c>
      <c r="T279" s="174" t="str">
        <f>IF(Buildings_Heat_Frontend[[#This Row],[Data]]="","", _xlfn.XLOOKUP(Buildings_Heat_Backend[[#This Row],[Info 1]],Buildings_SiteInfo[Site name],Buildings_SiteInfo[Site type]))</f>
        <v/>
      </c>
      <c r="U279" s="174" t="str">
        <f>IF(Buildings_Heat_Frontend[[#This Row],[Data]]="","", Buildings_Heat_Frontend[[#This Row],[Heating Type]])</f>
        <v/>
      </c>
      <c r="V279" s="174" t="str">
        <f>IF(Buildings_Heat_Frontend[[#This Row],[Data]]="","", Buildings_Heat_Frontend[[#This Row],[Fuel]])</f>
        <v/>
      </c>
      <c r="W279" s="174" t="str" cm="1">
        <f t="array" ref="W279">IF(Buildings_Heat_Frontend[[#This Row],[Data]]="","", _xlfn.XLOOKUP(Buildings_Heat_Backend[[#This Row],[Level 5]],rng_Level5Long,rng_Level6Long))</f>
        <v/>
      </c>
      <c r="X279" s="174" t="str">
        <f>IF(Buildings_Heat_Frontend[[#This Row],[Data]]="","", Buildings_Heat_Frontend[[#This Row],[Site Name]])</f>
        <v/>
      </c>
      <c r="Y279" s="174" t="str">
        <f>IF(Buildings_Heat_Frontend[[#This Row],[Data]]="","", Buildings_Heat_Frontend[[#This Row],[MPRN]])</f>
        <v/>
      </c>
      <c r="Z279" s="174" t="str">
        <f>IF(Buildings_Heat_Frontend[[#This Row],[Data]]="","", IF($I279="","",$I279))</f>
        <v/>
      </c>
      <c r="AA279" s="229" t="str" cm="1">
        <f t="array" ref="AA279">IF(Buildings_Heat_Frontend[[#This Row],[Data]]="","", INDEX(_xlfn.SWITCH(Buildings_Heat_Backend[[#This Row],[Methodology]],"Tier 1",rng_RSD1,"Tier 2",rng_RSD2,"Tier 3",rng_RSD3),MATCH(_xlfn.CONCAT(Buildings_Heat_Backend[[#This Row],[Level 1]:[Level 6]]),rng_LevelsConcat,0)))</f>
        <v/>
      </c>
      <c r="AB279" s="220" t="str">
        <f t="shared" si="13"/>
        <v/>
      </c>
      <c r="AC279" s="174">
        <f>Buildings_Heat_Frontend[[#This Row],[Units]]</f>
        <v>0</v>
      </c>
      <c r="AD27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79" s="174" t="str">
        <f>IF(Buildings_Heat_Frontend[[#This Row],[Data]]="","", _xlfn.XLOOKUP(_xlfn.CONCAT(Buildings_Heat_Backend[[#This Row],[Level 1]:[Level 6]]),rng_LevelsConcat,rng_UnitsLong))</f>
        <v/>
      </c>
      <c r="AF279" s="210" t="str">
        <f>IF(Buildings_Heat_Frontend[[#This Row],[Data]]="","", _xlfn.XLOOKUP(_xlfn.CONCAT(Buildings_Heat_Backend[[#This Row],[Level 1]:[Level 6]]),rng_EFConcat,rng_EF1)*Buildings_Heat_Backend[[#This Row],[Converted data]]/1000)</f>
        <v/>
      </c>
      <c r="AG279" s="210" t="str">
        <f>IF(Buildings_Heat_Frontend[[#This Row],[Data]]="","", _xlfn.XLOOKUP(_xlfn.CONCAT(Buildings_Heat_Backend[[#This Row],[Level 1]:[Level 6]]),rng_EFConcat,rng_EF2)*Buildings_Heat_Backend[[#This Row],[Converted data]]/1000)</f>
        <v/>
      </c>
      <c r="AH279" s="210" t="str">
        <f>IF(Buildings_Heat_Frontend[[#This Row],[Data]]="","", _xlfn.XLOOKUP(_xlfn.CONCAT(Buildings_Heat_Backend[[#This Row],[Level 1]:[Level 6]]),rng_EFConcat,rng_EF3)*Buildings_Heat_Backend[[#This Row],[Converted data]]/1000)</f>
        <v/>
      </c>
      <c r="AI279" s="210" t="str">
        <f>IF(Buildings_Heat_Frontend[[#This Row],[Data]]="","", _xlfn.XLOOKUP(_xlfn.CONCAT(Buildings_Heat_Backend[[#This Row],[Level 1]:[Level 6]]),rng_EFConcat,rng_EF3WTT)*Buildings_Heat_Backend[[#This Row],[Converted data]]/1000)</f>
        <v/>
      </c>
      <c r="AJ279" s="210" t="str">
        <f>IF(Buildings_Heat_Frontend[[#This Row],[Data]]="","", _xlfn.XLOOKUP(_xlfn.CONCAT(Buildings_Heat_Backend[[#This Row],[Level 1]:[Level 6]]),rng_EFConcat,rng_EF3TD)*Buildings_Heat_Backend[[#This Row],[Converted data]]/1000)</f>
        <v/>
      </c>
      <c r="AK279" s="210" t="str">
        <f>IF(Buildings_Heat_Frontend[[#This Row],[Data]]="","", _xlfn.XLOOKUP(_xlfn.CONCAT(Buildings_Heat_Backend[[#This Row],[Level 1]:[Level 6]]),rng_EFConcat,rng_EF3WTTTD)*Buildings_Heat_Backend[[#This Row],[Converted data]]/1000)</f>
        <v/>
      </c>
      <c r="AL279" s="220">
        <f>SUM(Buildings_Heat_Backend[[#This Row],[Scope 1 (tCO2e)]:[Scope 3 WTT T&amp;D (tCO2e)]])</f>
        <v>0</v>
      </c>
      <c r="AM279" s="220" t="str">
        <f>IF(Buildings_Heat_Frontend[[#This Row],[Data]]="","", Buildings_Heat_Backend[[#This Row],[Total (tCO2e)]]*(1-Buildings_Heat_Backend[[#This Row],[RSD]]))</f>
        <v/>
      </c>
      <c r="AN279" s="220" t="str">
        <f>IF(Buildings_Heat_Frontend[[#This Row],[Data]]="","", Buildings_Heat_Backend[[#This Row],[Total (tCO2e)]]*(1+Buildings_Heat_Backend[[#This Row],[RSD]]))</f>
        <v/>
      </c>
      <c r="AO279" s="210" t="str">
        <f>IF(Buildings_Heat_Frontend[[#This Row],[Data]]="","", _xlfn.XLOOKUP(_xlfn.CONCAT(Buildings_Heat_Backend[[#This Row],[Level 1]:[Level 6]]),rng_EFConcat,rng_EFOOS)*Buildings_Heat_Backend[[#This Row],[Converted data]]/1000)</f>
        <v/>
      </c>
      <c r="AP279" s="174">
        <f>Buildings_Heat_Frontend[[#This Row],[Ease of collection]]</f>
        <v>0</v>
      </c>
      <c r="AQ279" s="174">
        <f>Buildings_Heat_Frontend[[#This Row],[Completeness]]</f>
        <v>0</v>
      </c>
      <c r="AR279" s="174">
        <f>Buildings_Heat_Frontend[[#This Row],[Notes]]</f>
        <v>0</v>
      </c>
    </row>
    <row r="280" spans="5:44" x14ac:dyDescent="0.3">
      <c r="E280" s="346"/>
      <c r="F280" s="364"/>
      <c r="G280" s="336"/>
      <c r="H280" s="336"/>
      <c r="I280" s="336"/>
      <c r="J280" s="334"/>
      <c r="K280" s="336"/>
      <c r="L280" s="336"/>
      <c r="M280" s="336"/>
      <c r="N280" s="352"/>
      <c r="O280" s="230">
        <f t="shared" si="14"/>
        <v>6</v>
      </c>
      <c r="Q280" s="212" t="str">
        <f t="shared" si="12"/>
        <v/>
      </c>
      <c r="R280" s="174" t="s">
        <v>265</v>
      </c>
      <c r="S280" s="174" t="s">
        <v>273</v>
      </c>
      <c r="T280" s="174" t="str">
        <f>IF(Buildings_Heat_Frontend[[#This Row],[Data]]="","", _xlfn.XLOOKUP(Buildings_Heat_Backend[[#This Row],[Info 1]],Buildings_SiteInfo[Site name],Buildings_SiteInfo[Site type]))</f>
        <v/>
      </c>
      <c r="U280" s="174" t="str">
        <f>IF(Buildings_Heat_Frontend[[#This Row],[Data]]="","", Buildings_Heat_Frontend[[#This Row],[Heating Type]])</f>
        <v/>
      </c>
      <c r="V280" s="174" t="str">
        <f>IF(Buildings_Heat_Frontend[[#This Row],[Data]]="","", Buildings_Heat_Frontend[[#This Row],[Fuel]])</f>
        <v/>
      </c>
      <c r="W280" s="174" t="str" cm="1">
        <f t="array" ref="W280">IF(Buildings_Heat_Frontend[[#This Row],[Data]]="","", _xlfn.XLOOKUP(Buildings_Heat_Backend[[#This Row],[Level 5]],rng_Level5Long,rng_Level6Long))</f>
        <v/>
      </c>
      <c r="X280" s="174" t="str">
        <f>IF(Buildings_Heat_Frontend[[#This Row],[Data]]="","", Buildings_Heat_Frontend[[#This Row],[Site Name]])</f>
        <v/>
      </c>
      <c r="Y280" s="174" t="str">
        <f>IF(Buildings_Heat_Frontend[[#This Row],[Data]]="","", Buildings_Heat_Frontend[[#This Row],[MPRN]])</f>
        <v/>
      </c>
      <c r="Z280" s="174" t="str">
        <f>IF(Buildings_Heat_Frontend[[#This Row],[Data]]="","", IF($I280="","",$I280))</f>
        <v/>
      </c>
      <c r="AA280" s="229" t="str" cm="1">
        <f t="array" ref="AA280">IF(Buildings_Heat_Frontend[[#This Row],[Data]]="","", INDEX(_xlfn.SWITCH(Buildings_Heat_Backend[[#This Row],[Methodology]],"Tier 1",rng_RSD1,"Tier 2",rng_RSD2,"Tier 3",rng_RSD3),MATCH(_xlfn.CONCAT(Buildings_Heat_Backend[[#This Row],[Level 1]:[Level 6]]),rng_LevelsConcat,0)))</f>
        <v/>
      </c>
      <c r="AB280" s="220" t="str">
        <f t="shared" si="13"/>
        <v/>
      </c>
      <c r="AC280" s="174">
        <f>Buildings_Heat_Frontend[[#This Row],[Units]]</f>
        <v>0</v>
      </c>
      <c r="AD28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0" s="174" t="str">
        <f>IF(Buildings_Heat_Frontend[[#This Row],[Data]]="","", _xlfn.XLOOKUP(_xlfn.CONCAT(Buildings_Heat_Backend[[#This Row],[Level 1]:[Level 6]]),rng_LevelsConcat,rng_UnitsLong))</f>
        <v/>
      </c>
      <c r="AF280" s="210" t="str">
        <f>IF(Buildings_Heat_Frontend[[#This Row],[Data]]="","", _xlfn.XLOOKUP(_xlfn.CONCAT(Buildings_Heat_Backend[[#This Row],[Level 1]:[Level 6]]),rng_EFConcat,rng_EF1)*Buildings_Heat_Backend[[#This Row],[Converted data]]/1000)</f>
        <v/>
      </c>
      <c r="AG280" s="210" t="str">
        <f>IF(Buildings_Heat_Frontend[[#This Row],[Data]]="","", _xlfn.XLOOKUP(_xlfn.CONCAT(Buildings_Heat_Backend[[#This Row],[Level 1]:[Level 6]]),rng_EFConcat,rng_EF2)*Buildings_Heat_Backend[[#This Row],[Converted data]]/1000)</f>
        <v/>
      </c>
      <c r="AH280" s="210" t="str">
        <f>IF(Buildings_Heat_Frontend[[#This Row],[Data]]="","", _xlfn.XLOOKUP(_xlfn.CONCAT(Buildings_Heat_Backend[[#This Row],[Level 1]:[Level 6]]),rng_EFConcat,rng_EF3)*Buildings_Heat_Backend[[#This Row],[Converted data]]/1000)</f>
        <v/>
      </c>
      <c r="AI280" s="210" t="str">
        <f>IF(Buildings_Heat_Frontend[[#This Row],[Data]]="","", _xlfn.XLOOKUP(_xlfn.CONCAT(Buildings_Heat_Backend[[#This Row],[Level 1]:[Level 6]]),rng_EFConcat,rng_EF3WTT)*Buildings_Heat_Backend[[#This Row],[Converted data]]/1000)</f>
        <v/>
      </c>
      <c r="AJ280" s="210" t="str">
        <f>IF(Buildings_Heat_Frontend[[#This Row],[Data]]="","", _xlfn.XLOOKUP(_xlfn.CONCAT(Buildings_Heat_Backend[[#This Row],[Level 1]:[Level 6]]),rng_EFConcat,rng_EF3TD)*Buildings_Heat_Backend[[#This Row],[Converted data]]/1000)</f>
        <v/>
      </c>
      <c r="AK280" s="210" t="str">
        <f>IF(Buildings_Heat_Frontend[[#This Row],[Data]]="","", _xlfn.XLOOKUP(_xlfn.CONCAT(Buildings_Heat_Backend[[#This Row],[Level 1]:[Level 6]]),rng_EFConcat,rng_EF3WTTTD)*Buildings_Heat_Backend[[#This Row],[Converted data]]/1000)</f>
        <v/>
      </c>
      <c r="AL280" s="220">
        <f>SUM(Buildings_Heat_Backend[[#This Row],[Scope 1 (tCO2e)]:[Scope 3 WTT T&amp;D (tCO2e)]])</f>
        <v>0</v>
      </c>
      <c r="AM280" s="220" t="str">
        <f>IF(Buildings_Heat_Frontend[[#This Row],[Data]]="","", Buildings_Heat_Backend[[#This Row],[Total (tCO2e)]]*(1-Buildings_Heat_Backend[[#This Row],[RSD]]))</f>
        <v/>
      </c>
      <c r="AN280" s="220" t="str">
        <f>IF(Buildings_Heat_Frontend[[#This Row],[Data]]="","", Buildings_Heat_Backend[[#This Row],[Total (tCO2e)]]*(1+Buildings_Heat_Backend[[#This Row],[RSD]]))</f>
        <v/>
      </c>
      <c r="AO280" s="210" t="str">
        <f>IF(Buildings_Heat_Frontend[[#This Row],[Data]]="","", _xlfn.XLOOKUP(_xlfn.CONCAT(Buildings_Heat_Backend[[#This Row],[Level 1]:[Level 6]]),rng_EFConcat,rng_EFOOS)*Buildings_Heat_Backend[[#This Row],[Converted data]]/1000)</f>
        <v/>
      </c>
      <c r="AP280" s="174">
        <f>Buildings_Heat_Frontend[[#This Row],[Ease of collection]]</f>
        <v>0</v>
      </c>
      <c r="AQ280" s="174">
        <f>Buildings_Heat_Frontend[[#This Row],[Completeness]]</f>
        <v>0</v>
      </c>
      <c r="AR280" s="174">
        <f>Buildings_Heat_Frontend[[#This Row],[Notes]]</f>
        <v>0</v>
      </c>
    </row>
    <row r="281" spans="5:44" x14ac:dyDescent="0.3">
      <c r="E281" s="346"/>
      <c r="F281" s="364"/>
      <c r="G281" s="336"/>
      <c r="H281" s="336"/>
      <c r="I281" s="336"/>
      <c r="J281" s="334"/>
      <c r="K281" s="336"/>
      <c r="L281" s="336"/>
      <c r="M281" s="336"/>
      <c r="N281" s="352"/>
      <c r="O281" s="230">
        <f t="shared" si="14"/>
        <v>6</v>
      </c>
      <c r="Q281" s="212" t="str">
        <f t="shared" si="12"/>
        <v/>
      </c>
      <c r="R281" s="174" t="s">
        <v>265</v>
      </c>
      <c r="S281" s="174" t="s">
        <v>273</v>
      </c>
      <c r="T281" s="174" t="str">
        <f>IF(Buildings_Heat_Frontend[[#This Row],[Data]]="","", _xlfn.XLOOKUP(Buildings_Heat_Backend[[#This Row],[Info 1]],Buildings_SiteInfo[Site name],Buildings_SiteInfo[Site type]))</f>
        <v/>
      </c>
      <c r="U281" s="174" t="str">
        <f>IF(Buildings_Heat_Frontend[[#This Row],[Data]]="","", Buildings_Heat_Frontend[[#This Row],[Heating Type]])</f>
        <v/>
      </c>
      <c r="V281" s="174" t="str">
        <f>IF(Buildings_Heat_Frontend[[#This Row],[Data]]="","", Buildings_Heat_Frontend[[#This Row],[Fuel]])</f>
        <v/>
      </c>
      <c r="W281" s="174" t="str" cm="1">
        <f t="array" ref="W281">IF(Buildings_Heat_Frontend[[#This Row],[Data]]="","", _xlfn.XLOOKUP(Buildings_Heat_Backend[[#This Row],[Level 5]],rng_Level5Long,rng_Level6Long))</f>
        <v/>
      </c>
      <c r="X281" s="174" t="str">
        <f>IF(Buildings_Heat_Frontend[[#This Row],[Data]]="","", Buildings_Heat_Frontend[[#This Row],[Site Name]])</f>
        <v/>
      </c>
      <c r="Y281" s="174" t="str">
        <f>IF(Buildings_Heat_Frontend[[#This Row],[Data]]="","", Buildings_Heat_Frontend[[#This Row],[MPRN]])</f>
        <v/>
      </c>
      <c r="Z281" s="174" t="str">
        <f>IF(Buildings_Heat_Frontend[[#This Row],[Data]]="","", IF($I281="","",$I281))</f>
        <v/>
      </c>
      <c r="AA281" s="229" t="str" cm="1">
        <f t="array" ref="AA281">IF(Buildings_Heat_Frontend[[#This Row],[Data]]="","", INDEX(_xlfn.SWITCH(Buildings_Heat_Backend[[#This Row],[Methodology]],"Tier 1",rng_RSD1,"Tier 2",rng_RSD2,"Tier 3",rng_RSD3),MATCH(_xlfn.CONCAT(Buildings_Heat_Backend[[#This Row],[Level 1]:[Level 6]]),rng_LevelsConcat,0)))</f>
        <v/>
      </c>
      <c r="AB281" s="220" t="str">
        <f t="shared" si="13"/>
        <v/>
      </c>
      <c r="AC281" s="174">
        <f>Buildings_Heat_Frontend[[#This Row],[Units]]</f>
        <v>0</v>
      </c>
      <c r="AD28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1" s="174" t="str">
        <f>IF(Buildings_Heat_Frontend[[#This Row],[Data]]="","", _xlfn.XLOOKUP(_xlfn.CONCAT(Buildings_Heat_Backend[[#This Row],[Level 1]:[Level 6]]),rng_LevelsConcat,rng_UnitsLong))</f>
        <v/>
      </c>
      <c r="AF281" s="210" t="str">
        <f>IF(Buildings_Heat_Frontend[[#This Row],[Data]]="","", _xlfn.XLOOKUP(_xlfn.CONCAT(Buildings_Heat_Backend[[#This Row],[Level 1]:[Level 6]]),rng_EFConcat,rng_EF1)*Buildings_Heat_Backend[[#This Row],[Converted data]]/1000)</f>
        <v/>
      </c>
      <c r="AG281" s="210" t="str">
        <f>IF(Buildings_Heat_Frontend[[#This Row],[Data]]="","", _xlfn.XLOOKUP(_xlfn.CONCAT(Buildings_Heat_Backend[[#This Row],[Level 1]:[Level 6]]),rng_EFConcat,rng_EF2)*Buildings_Heat_Backend[[#This Row],[Converted data]]/1000)</f>
        <v/>
      </c>
      <c r="AH281" s="210" t="str">
        <f>IF(Buildings_Heat_Frontend[[#This Row],[Data]]="","", _xlfn.XLOOKUP(_xlfn.CONCAT(Buildings_Heat_Backend[[#This Row],[Level 1]:[Level 6]]),rng_EFConcat,rng_EF3)*Buildings_Heat_Backend[[#This Row],[Converted data]]/1000)</f>
        <v/>
      </c>
      <c r="AI281" s="210" t="str">
        <f>IF(Buildings_Heat_Frontend[[#This Row],[Data]]="","", _xlfn.XLOOKUP(_xlfn.CONCAT(Buildings_Heat_Backend[[#This Row],[Level 1]:[Level 6]]),rng_EFConcat,rng_EF3WTT)*Buildings_Heat_Backend[[#This Row],[Converted data]]/1000)</f>
        <v/>
      </c>
      <c r="AJ281" s="210" t="str">
        <f>IF(Buildings_Heat_Frontend[[#This Row],[Data]]="","", _xlfn.XLOOKUP(_xlfn.CONCAT(Buildings_Heat_Backend[[#This Row],[Level 1]:[Level 6]]),rng_EFConcat,rng_EF3TD)*Buildings_Heat_Backend[[#This Row],[Converted data]]/1000)</f>
        <v/>
      </c>
      <c r="AK281" s="210" t="str">
        <f>IF(Buildings_Heat_Frontend[[#This Row],[Data]]="","", _xlfn.XLOOKUP(_xlfn.CONCAT(Buildings_Heat_Backend[[#This Row],[Level 1]:[Level 6]]),rng_EFConcat,rng_EF3WTTTD)*Buildings_Heat_Backend[[#This Row],[Converted data]]/1000)</f>
        <v/>
      </c>
      <c r="AL281" s="220">
        <f>SUM(Buildings_Heat_Backend[[#This Row],[Scope 1 (tCO2e)]:[Scope 3 WTT T&amp;D (tCO2e)]])</f>
        <v>0</v>
      </c>
      <c r="AM281" s="220" t="str">
        <f>IF(Buildings_Heat_Frontend[[#This Row],[Data]]="","", Buildings_Heat_Backend[[#This Row],[Total (tCO2e)]]*(1-Buildings_Heat_Backend[[#This Row],[RSD]]))</f>
        <v/>
      </c>
      <c r="AN281" s="220" t="str">
        <f>IF(Buildings_Heat_Frontend[[#This Row],[Data]]="","", Buildings_Heat_Backend[[#This Row],[Total (tCO2e)]]*(1+Buildings_Heat_Backend[[#This Row],[RSD]]))</f>
        <v/>
      </c>
      <c r="AO281" s="210" t="str">
        <f>IF(Buildings_Heat_Frontend[[#This Row],[Data]]="","", _xlfn.XLOOKUP(_xlfn.CONCAT(Buildings_Heat_Backend[[#This Row],[Level 1]:[Level 6]]),rng_EFConcat,rng_EFOOS)*Buildings_Heat_Backend[[#This Row],[Converted data]]/1000)</f>
        <v/>
      </c>
      <c r="AP281" s="174">
        <f>Buildings_Heat_Frontend[[#This Row],[Ease of collection]]</f>
        <v>0</v>
      </c>
      <c r="AQ281" s="174">
        <f>Buildings_Heat_Frontend[[#This Row],[Completeness]]</f>
        <v>0</v>
      </c>
      <c r="AR281" s="174">
        <f>Buildings_Heat_Frontend[[#This Row],[Notes]]</f>
        <v>0</v>
      </c>
    </row>
    <row r="282" spans="5:44" x14ac:dyDescent="0.3">
      <c r="E282" s="346"/>
      <c r="F282" s="364"/>
      <c r="G282" s="336"/>
      <c r="H282" s="336"/>
      <c r="I282" s="336"/>
      <c r="J282" s="334"/>
      <c r="K282" s="336"/>
      <c r="L282" s="336"/>
      <c r="M282" s="336"/>
      <c r="N282" s="352"/>
      <c r="O282" s="230">
        <f t="shared" si="14"/>
        <v>6</v>
      </c>
      <c r="Q282" s="212" t="str">
        <f t="shared" si="12"/>
        <v/>
      </c>
      <c r="R282" s="174" t="s">
        <v>265</v>
      </c>
      <c r="S282" s="174" t="s">
        <v>273</v>
      </c>
      <c r="T282" s="174" t="str">
        <f>IF(Buildings_Heat_Frontend[[#This Row],[Data]]="","", _xlfn.XLOOKUP(Buildings_Heat_Backend[[#This Row],[Info 1]],Buildings_SiteInfo[Site name],Buildings_SiteInfo[Site type]))</f>
        <v/>
      </c>
      <c r="U282" s="174" t="str">
        <f>IF(Buildings_Heat_Frontend[[#This Row],[Data]]="","", Buildings_Heat_Frontend[[#This Row],[Heating Type]])</f>
        <v/>
      </c>
      <c r="V282" s="174" t="str">
        <f>IF(Buildings_Heat_Frontend[[#This Row],[Data]]="","", Buildings_Heat_Frontend[[#This Row],[Fuel]])</f>
        <v/>
      </c>
      <c r="W282" s="174" t="str" cm="1">
        <f t="array" ref="W282">IF(Buildings_Heat_Frontend[[#This Row],[Data]]="","", _xlfn.XLOOKUP(Buildings_Heat_Backend[[#This Row],[Level 5]],rng_Level5Long,rng_Level6Long))</f>
        <v/>
      </c>
      <c r="X282" s="174" t="str">
        <f>IF(Buildings_Heat_Frontend[[#This Row],[Data]]="","", Buildings_Heat_Frontend[[#This Row],[Site Name]])</f>
        <v/>
      </c>
      <c r="Y282" s="174" t="str">
        <f>IF(Buildings_Heat_Frontend[[#This Row],[Data]]="","", Buildings_Heat_Frontend[[#This Row],[MPRN]])</f>
        <v/>
      </c>
      <c r="Z282" s="174" t="str">
        <f>IF(Buildings_Heat_Frontend[[#This Row],[Data]]="","", IF($I282="","",$I282))</f>
        <v/>
      </c>
      <c r="AA282" s="229" t="str" cm="1">
        <f t="array" ref="AA282">IF(Buildings_Heat_Frontend[[#This Row],[Data]]="","", INDEX(_xlfn.SWITCH(Buildings_Heat_Backend[[#This Row],[Methodology]],"Tier 1",rng_RSD1,"Tier 2",rng_RSD2,"Tier 3",rng_RSD3),MATCH(_xlfn.CONCAT(Buildings_Heat_Backend[[#This Row],[Level 1]:[Level 6]]),rng_LevelsConcat,0)))</f>
        <v/>
      </c>
      <c r="AB282" s="220" t="str">
        <f t="shared" si="13"/>
        <v/>
      </c>
      <c r="AC282" s="174">
        <f>Buildings_Heat_Frontend[[#This Row],[Units]]</f>
        <v>0</v>
      </c>
      <c r="AD28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2" s="174" t="str">
        <f>IF(Buildings_Heat_Frontend[[#This Row],[Data]]="","", _xlfn.XLOOKUP(_xlfn.CONCAT(Buildings_Heat_Backend[[#This Row],[Level 1]:[Level 6]]),rng_LevelsConcat,rng_UnitsLong))</f>
        <v/>
      </c>
      <c r="AF282" s="210" t="str">
        <f>IF(Buildings_Heat_Frontend[[#This Row],[Data]]="","", _xlfn.XLOOKUP(_xlfn.CONCAT(Buildings_Heat_Backend[[#This Row],[Level 1]:[Level 6]]),rng_EFConcat,rng_EF1)*Buildings_Heat_Backend[[#This Row],[Converted data]]/1000)</f>
        <v/>
      </c>
      <c r="AG282" s="210" t="str">
        <f>IF(Buildings_Heat_Frontend[[#This Row],[Data]]="","", _xlfn.XLOOKUP(_xlfn.CONCAT(Buildings_Heat_Backend[[#This Row],[Level 1]:[Level 6]]),rng_EFConcat,rng_EF2)*Buildings_Heat_Backend[[#This Row],[Converted data]]/1000)</f>
        <v/>
      </c>
      <c r="AH282" s="210" t="str">
        <f>IF(Buildings_Heat_Frontend[[#This Row],[Data]]="","", _xlfn.XLOOKUP(_xlfn.CONCAT(Buildings_Heat_Backend[[#This Row],[Level 1]:[Level 6]]),rng_EFConcat,rng_EF3)*Buildings_Heat_Backend[[#This Row],[Converted data]]/1000)</f>
        <v/>
      </c>
      <c r="AI282" s="210" t="str">
        <f>IF(Buildings_Heat_Frontend[[#This Row],[Data]]="","", _xlfn.XLOOKUP(_xlfn.CONCAT(Buildings_Heat_Backend[[#This Row],[Level 1]:[Level 6]]),rng_EFConcat,rng_EF3WTT)*Buildings_Heat_Backend[[#This Row],[Converted data]]/1000)</f>
        <v/>
      </c>
      <c r="AJ282" s="210" t="str">
        <f>IF(Buildings_Heat_Frontend[[#This Row],[Data]]="","", _xlfn.XLOOKUP(_xlfn.CONCAT(Buildings_Heat_Backend[[#This Row],[Level 1]:[Level 6]]),rng_EFConcat,rng_EF3TD)*Buildings_Heat_Backend[[#This Row],[Converted data]]/1000)</f>
        <v/>
      </c>
      <c r="AK282" s="210" t="str">
        <f>IF(Buildings_Heat_Frontend[[#This Row],[Data]]="","", _xlfn.XLOOKUP(_xlfn.CONCAT(Buildings_Heat_Backend[[#This Row],[Level 1]:[Level 6]]),rng_EFConcat,rng_EF3WTTTD)*Buildings_Heat_Backend[[#This Row],[Converted data]]/1000)</f>
        <v/>
      </c>
      <c r="AL282" s="220">
        <f>SUM(Buildings_Heat_Backend[[#This Row],[Scope 1 (tCO2e)]:[Scope 3 WTT T&amp;D (tCO2e)]])</f>
        <v>0</v>
      </c>
      <c r="AM282" s="220" t="str">
        <f>IF(Buildings_Heat_Frontend[[#This Row],[Data]]="","", Buildings_Heat_Backend[[#This Row],[Total (tCO2e)]]*(1-Buildings_Heat_Backend[[#This Row],[RSD]]))</f>
        <v/>
      </c>
      <c r="AN282" s="220" t="str">
        <f>IF(Buildings_Heat_Frontend[[#This Row],[Data]]="","", Buildings_Heat_Backend[[#This Row],[Total (tCO2e)]]*(1+Buildings_Heat_Backend[[#This Row],[RSD]]))</f>
        <v/>
      </c>
      <c r="AO282" s="210" t="str">
        <f>IF(Buildings_Heat_Frontend[[#This Row],[Data]]="","", _xlfn.XLOOKUP(_xlfn.CONCAT(Buildings_Heat_Backend[[#This Row],[Level 1]:[Level 6]]),rng_EFConcat,rng_EFOOS)*Buildings_Heat_Backend[[#This Row],[Converted data]]/1000)</f>
        <v/>
      </c>
      <c r="AP282" s="174">
        <f>Buildings_Heat_Frontend[[#This Row],[Ease of collection]]</f>
        <v>0</v>
      </c>
      <c r="AQ282" s="174">
        <f>Buildings_Heat_Frontend[[#This Row],[Completeness]]</f>
        <v>0</v>
      </c>
      <c r="AR282" s="174">
        <f>Buildings_Heat_Frontend[[#This Row],[Notes]]</f>
        <v>0</v>
      </c>
    </row>
    <row r="283" spans="5:44" x14ac:dyDescent="0.3">
      <c r="E283" s="346"/>
      <c r="F283" s="364"/>
      <c r="G283" s="336"/>
      <c r="H283" s="336"/>
      <c r="I283" s="336"/>
      <c r="J283" s="334"/>
      <c r="K283" s="336"/>
      <c r="L283" s="336"/>
      <c r="M283" s="336"/>
      <c r="N283" s="352"/>
      <c r="O283" s="230">
        <f t="shared" si="14"/>
        <v>6</v>
      </c>
      <c r="Q283" s="212" t="str">
        <f t="shared" si="12"/>
        <v/>
      </c>
      <c r="R283" s="174" t="s">
        <v>265</v>
      </c>
      <c r="S283" s="174" t="s">
        <v>273</v>
      </c>
      <c r="T283" s="174" t="str">
        <f>IF(Buildings_Heat_Frontend[[#This Row],[Data]]="","", _xlfn.XLOOKUP(Buildings_Heat_Backend[[#This Row],[Info 1]],Buildings_SiteInfo[Site name],Buildings_SiteInfo[Site type]))</f>
        <v/>
      </c>
      <c r="U283" s="174" t="str">
        <f>IF(Buildings_Heat_Frontend[[#This Row],[Data]]="","", Buildings_Heat_Frontend[[#This Row],[Heating Type]])</f>
        <v/>
      </c>
      <c r="V283" s="174" t="str">
        <f>IF(Buildings_Heat_Frontend[[#This Row],[Data]]="","", Buildings_Heat_Frontend[[#This Row],[Fuel]])</f>
        <v/>
      </c>
      <c r="W283" s="174" t="str" cm="1">
        <f t="array" ref="W283">IF(Buildings_Heat_Frontend[[#This Row],[Data]]="","", _xlfn.XLOOKUP(Buildings_Heat_Backend[[#This Row],[Level 5]],rng_Level5Long,rng_Level6Long))</f>
        <v/>
      </c>
      <c r="X283" s="174" t="str">
        <f>IF(Buildings_Heat_Frontend[[#This Row],[Data]]="","", Buildings_Heat_Frontend[[#This Row],[Site Name]])</f>
        <v/>
      </c>
      <c r="Y283" s="174" t="str">
        <f>IF(Buildings_Heat_Frontend[[#This Row],[Data]]="","", Buildings_Heat_Frontend[[#This Row],[MPRN]])</f>
        <v/>
      </c>
      <c r="Z283" s="174" t="str">
        <f>IF(Buildings_Heat_Frontend[[#This Row],[Data]]="","", IF($I283="","",$I283))</f>
        <v/>
      </c>
      <c r="AA283" s="229" t="str" cm="1">
        <f t="array" ref="AA283">IF(Buildings_Heat_Frontend[[#This Row],[Data]]="","", INDEX(_xlfn.SWITCH(Buildings_Heat_Backend[[#This Row],[Methodology]],"Tier 1",rng_RSD1,"Tier 2",rng_RSD2,"Tier 3",rng_RSD3),MATCH(_xlfn.CONCAT(Buildings_Heat_Backend[[#This Row],[Level 1]:[Level 6]]),rng_LevelsConcat,0)))</f>
        <v/>
      </c>
      <c r="AB283" s="220" t="str">
        <f t="shared" si="13"/>
        <v/>
      </c>
      <c r="AC283" s="174">
        <f>Buildings_Heat_Frontend[[#This Row],[Units]]</f>
        <v>0</v>
      </c>
      <c r="AD28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3" s="174" t="str">
        <f>IF(Buildings_Heat_Frontend[[#This Row],[Data]]="","", _xlfn.XLOOKUP(_xlfn.CONCAT(Buildings_Heat_Backend[[#This Row],[Level 1]:[Level 6]]),rng_LevelsConcat,rng_UnitsLong))</f>
        <v/>
      </c>
      <c r="AF283" s="210" t="str">
        <f>IF(Buildings_Heat_Frontend[[#This Row],[Data]]="","", _xlfn.XLOOKUP(_xlfn.CONCAT(Buildings_Heat_Backend[[#This Row],[Level 1]:[Level 6]]),rng_EFConcat,rng_EF1)*Buildings_Heat_Backend[[#This Row],[Converted data]]/1000)</f>
        <v/>
      </c>
      <c r="AG283" s="210" t="str">
        <f>IF(Buildings_Heat_Frontend[[#This Row],[Data]]="","", _xlfn.XLOOKUP(_xlfn.CONCAT(Buildings_Heat_Backend[[#This Row],[Level 1]:[Level 6]]),rng_EFConcat,rng_EF2)*Buildings_Heat_Backend[[#This Row],[Converted data]]/1000)</f>
        <v/>
      </c>
      <c r="AH283" s="210" t="str">
        <f>IF(Buildings_Heat_Frontend[[#This Row],[Data]]="","", _xlfn.XLOOKUP(_xlfn.CONCAT(Buildings_Heat_Backend[[#This Row],[Level 1]:[Level 6]]),rng_EFConcat,rng_EF3)*Buildings_Heat_Backend[[#This Row],[Converted data]]/1000)</f>
        <v/>
      </c>
      <c r="AI283" s="210" t="str">
        <f>IF(Buildings_Heat_Frontend[[#This Row],[Data]]="","", _xlfn.XLOOKUP(_xlfn.CONCAT(Buildings_Heat_Backend[[#This Row],[Level 1]:[Level 6]]),rng_EFConcat,rng_EF3WTT)*Buildings_Heat_Backend[[#This Row],[Converted data]]/1000)</f>
        <v/>
      </c>
      <c r="AJ283" s="210" t="str">
        <f>IF(Buildings_Heat_Frontend[[#This Row],[Data]]="","", _xlfn.XLOOKUP(_xlfn.CONCAT(Buildings_Heat_Backend[[#This Row],[Level 1]:[Level 6]]),rng_EFConcat,rng_EF3TD)*Buildings_Heat_Backend[[#This Row],[Converted data]]/1000)</f>
        <v/>
      </c>
      <c r="AK283" s="210" t="str">
        <f>IF(Buildings_Heat_Frontend[[#This Row],[Data]]="","", _xlfn.XLOOKUP(_xlfn.CONCAT(Buildings_Heat_Backend[[#This Row],[Level 1]:[Level 6]]),rng_EFConcat,rng_EF3WTTTD)*Buildings_Heat_Backend[[#This Row],[Converted data]]/1000)</f>
        <v/>
      </c>
      <c r="AL283" s="220">
        <f>SUM(Buildings_Heat_Backend[[#This Row],[Scope 1 (tCO2e)]:[Scope 3 WTT T&amp;D (tCO2e)]])</f>
        <v>0</v>
      </c>
      <c r="AM283" s="220" t="str">
        <f>IF(Buildings_Heat_Frontend[[#This Row],[Data]]="","", Buildings_Heat_Backend[[#This Row],[Total (tCO2e)]]*(1-Buildings_Heat_Backend[[#This Row],[RSD]]))</f>
        <v/>
      </c>
      <c r="AN283" s="220" t="str">
        <f>IF(Buildings_Heat_Frontend[[#This Row],[Data]]="","", Buildings_Heat_Backend[[#This Row],[Total (tCO2e)]]*(1+Buildings_Heat_Backend[[#This Row],[RSD]]))</f>
        <v/>
      </c>
      <c r="AO283" s="210" t="str">
        <f>IF(Buildings_Heat_Frontend[[#This Row],[Data]]="","", _xlfn.XLOOKUP(_xlfn.CONCAT(Buildings_Heat_Backend[[#This Row],[Level 1]:[Level 6]]),rng_EFConcat,rng_EFOOS)*Buildings_Heat_Backend[[#This Row],[Converted data]]/1000)</f>
        <v/>
      </c>
      <c r="AP283" s="174">
        <f>Buildings_Heat_Frontend[[#This Row],[Ease of collection]]</f>
        <v>0</v>
      </c>
      <c r="AQ283" s="174">
        <f>Buildings_Heat_Frontend[[#This Row],[Completeness]]</f>
        <v>0</v>
      </c>
      <c r="AR283" s="174">
        <f>Buildings_Heat_Frontend[[#This Row],[Notes]]</f>
        <v>0</v>
      </c>
    </row>
    <row r="284" spans="5:44" x14ac:dyDescent="0.3">
      <c r="E284" s="346"/>
      <c r="F284" s="364"/>
      <c r="G284" s="336"/>
      <c r="H284" s="336"/>
      <c r="I284" s="336"/>
      <c r="J284" s="334"/>
      <c r="K284" s="336"/>
      <c r="L284" s="336"/>
      <c r="M284" s="336"/>
      <c r="N284" s="352"/>
      <c r="O284" s="230">
        <f t="shared" si="14"/>
        <v>6</v>
      </c>
      <c r="Q284" s="212" t="str">
        <f t="shared" si="12"/>
        <v/>
      </c>
      <c r="R284" s="174" t="s">
        <v>265</v>
      </c>
      <c r="S284" s="174" t="s">
        <v>273</v>
      </c>
      <c r="T284" s="174" t="str">
        <f>IF(Buildings_Heat_Frontend[[#This Row],[Data]]="","", _xlfn.XLOOKUP(Buildings_Heat_Backend[[#This Row],[Info 1]],Buildings_SiteInfo[Site name],Buildings_SiteInfo[Site type]))</f>
        <v/>
      </c>
      <c r="U284" s="174" t="str">
        <f>IF(Buildings_Heat_Frontend[[#This Row],[Data]]="","", Buildings_Heat_Frontend[[#This Row],[Heating Type]])</f>
        <v/>
      </c>
      <c r="V284" s="174" t="str">
        <f>IF(Buildings_Heat_Frontend[[#This Row],[Data]]="","", Buildings_Heat_Frontend[[#This Row],[Fuel]])</f>
        <v/>
      </c>
      <c r="W284" s="174" t="str" cm="1">
        <f t="array" ref="W284">IF(Buildings_Heat_Frontend[[#This Row],[Data]]="","", _xlfn.XLOOKUP(Buildings_Heat_Backend[[#This Row],[Level 5]],rng_Level5Long,rng_Level6Long))</f>
        <v/>
      </c>
      <c r="X284" s="174" t="str">
        <f>IF(Buildings_Heat_Frontend[[#This Row],[Data]]="","", Buildings_Heat_Frontend[[#This Row],[Site Name]])</f>
        <v/>
      </c>
      <c r="Y284" s="174" t="str">
        <f>IF(Buildings_Heat_Frontend[[#This Row],[Data]]="","", Buildings_Heat_Frontend[[#This Row],[MPRN]])</f>
        <v/>
      </c>
      <c r="Z284" s="174" t="str">
        <f>IF(Buildings_Heat_Frontend[[#This Row],[Data]]="","", IF($I284="","",$I284))</f>
        <v/>
      </c>
      <c r="AA284" s="229" t="str" cm="1">
        <f t="array" ref="AA284">IF(Buildings_Heat_Frontend[[#This Row],[Data]]="","", INDEX(_xlfn.SWITCH(Buildings_Heat_Backend[[#This Row],[Methodology]],"Tier 1",rng_RSD1,"Tier 2",rng_RSD2,"Tier 3",rng_RSD3),MATCH(_xlfn.CONCAT(Buildings_Heat_Backend[[#This Row],[Level 1]:[Level 6]]),rng_LevelsConcat,0)))</f>
        <v/>
      </c>
      <c r="AB284" s="220" t="str">
        <f t="shared" si="13"/>
        <v/>
      </c>
      <c r="AC284" s="174">
        <f>Buildings_Heat_Frontend[[#This Row],[Units]]</f>
        <v>0</v>
      </c>
      <c r="AD28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4" s="174" t="str">
        <f>IF(Buildings_Heat_Frontend[[#This Row],[Data]]="","", _xlfn.XLOOKUP(_xlfn.CONCAT(Buildings_Heat_Backend[[#This Row],[Level 1]:[Level 6]]),rng_LevelsConcat,rng_UnitsLong))</f>
        <v/>
      </c>
      <c r="AF284" s="210" t="str">
        <f>IF(Buildings_Heat_Frontend[[#This Row],[Data]]="","", _xlfn.XLOOKUP(_xlfn.CONCAT(Buildings_Heat_Backend[[#This Row],[Level 1]:[Level 6]]),rng_EFConcat,rng_EF1)*Buildings_Heat_Backend[[#This Row],[Converted data]]/1000)</f>
        <v/>
      </c>
      <c r="AG284" s="210" t="str">
        <f>IF(Buildings_Heat_Frontend[[#This Row],[Data]]="","", _xlfn.XLOOKUP(_xlfn.CONCAT(Buildings_Heat_Backend[[#This Row],[Level 1]:[Level 6]]),rng_EFConcat,rng_EF2)*Buildings_Heat_Backend[[#This Row],[Converted data]]/1000)</f>
        <v/>
      </c>
      <c r="AH284" s="210" t="str">
        <f>IF(Buildings_Heat_Frontend[[#This Row],[Data]]="","", _xlfn.XLOOKUP(_xlfn.CONCAT(Buildings_Heat_Backend[[#This Row],[Level 1]:[Level 6]]),rng_EFConcat,rng_EF3)*Buildings_Heat_Backend[[#This Row],[Converted data]]/1000)</f>
        <v/>
      </c>
      <c r="AI284" s="210" t="str">
        <f>IF(Buildings_Heat_Frontend[[#This Row],[Data]]="","", _xlfn.XLOOKUP(_xlfn.CONCAT(Buildings_Heat_Backend[[#This Row],[Level 1]:[Level 6]]),rng_EFConcat,rng_EF3WTT)*Buildings_Heat_Backend[[#This Row],[Converted data]]/1000)</f>
        <v/>
      </c>
      <c r="AJ284" s="210" t="str">
        <f>IF(Buildings_Heat_Frontend[[#This Row],[Data]]="","", _xlfn.XLOOKUP(_xlfn.CONCAT(Buildings_Heat_Backend[[#This Row],[Level 1]:[Level 6]]),rng_EFConcat,rng_EF3TD)*Buildings_Heat_Backend[[#This Row],[Converted data]]/1000)</f>
        <v/>
      </c>
      <c r="AK284" s="210" t="str">
        <f>IF(Buildings_Heat_Frontend[[#This Row],[Data]]="","", _xlfn.XLOOKUP(_xlfn.CONCAT(Buildings_Heat_Backend[[#This Row],[Level 1]:[Level 6]]),rng_EFConcat,rng_EF3WTTTD)*Buildings_Heat_Backend[[#This Row],[Converted data]]/1000)</f>
        <v/>
      </c>
      <c r="AL284" s="220">
        <f>SUM(Buildings_Heat_Backend[[#This Row],[Scope 1 (tCO2e)]:[Scope 3 WTT T&amp;D (tCO2e)]])</f>
        <v>0</v>
      </c>
      <c r="AM284" s="220" t="str">
        <f>IF(Buildings_Heat_Frontend[[#This Row],[Data]]="","", Buildings_Heat_Backend[[#This Row],[Total (tCO2e)]]*(1-Buildings_Heat_Backend[[#This Row],[RSD]]))</f>
        <v/>
      </c>
      <c r="AN284" s="220" t="str">
        <f>IF(Buildings_Heat_Frontend[[#This Row],[Data]]="","", Buildings_Heat_Backend[[#This Row],[Total (tCO2e)]]*(1+Buildings_Heat_Backend[[#This Row],[RSD]]))</f>
        <v/>
      </c>
      <c r="AO284" s="210" t="str">
        <f>IF(Buildings_Heat_Frontend[[#This Row],[Data]]="","", _xlfn.XLOOKUP(_xlfn.CONCAT(Buildings_Heat_Backend[[#This Row],[Level 1]:[Level 6]]),rng_EFConcat,rng_EFOOS)*Buildings_Heat_Backend[[#This Row],[Converted data]]/1000)</f>
        <v/>
      </c>
      <c r="AP284" s="174">
        <f>Buildings_Heat_Frontend[[#This Row],[Ease of collection]]</f>
        <v>0</v>
      </c>
      <c r="AQ284" s="174">
        <f>Buildings_Heat_Frontend[[#This Row],[Completeness]]</f>
        <v>0</v>
      </c>
      <c r="AR284" s="174">
        <f>Buildings_Heat_Frontend[[#This Row],[Notes]]</f>
        <v>0</v>
      </c>
    </row>
    <row r="285" spans="5:44" x14ac:dyDescent="0.3">
      <c r="E285" s="346"/>
      <c r="F285" s="364"/>
      <c r="G285" s="336"/>
      <c r="H285" s="336"/>
      <c r="I285" s="336"/>
      <c r="J285" s="334"/>
      <c r="K285" s="336"/>
      <c r="L285" s="336"/>
      <c r="M285" s="336"/>
      <c r="N285" s="352"/>
      <c r="O285" s="230">
        <f t="shared" si="14"/>
        <v>6</v>
      </c>
      <c r="Q285" s="212" t="str">
        <f t="shared" si="12"/>
        <v/>
      </c>
      <c r="R285" s="174" t="s">
        <v>265</v>
      </c>
      <c r="S285" s="174" t="s">
        <v>273</v>
      </c>
      <c r="T285" s="174" t="str">
        <f>IF(Buildings_Heat_Frontend[[#This Row],[Data]]="","", _xlfn.XLOOKUP(Buildings_Heat_Backend[[#This Row],[Info 1]],Buildings_SiteInfo[Site name],Buildings_SiteInfo[Site type]))</f>
        <v/>
      </c>
      <c r="U285" s="174" t="str">
        <f>IF(Buildings_Heat_Frontend[[#This Row],[Data]]="","", Buildings_Heat_Frontend[[#This Row],[Heating Type]])</f>
        <v/>
      </c>
      <c r="V285" s="174" t="str">
        <f>IF(Buildings_Heat_Frontend[[#This Row],[Data]]="","", Buildings_Heat_Frontend[[#This Row],[Fuel]])</f>
        <v/>
      </c>
      <c r="W285" s="174" t="str" cm="1">
        <f t="array" ref="W285">IF(Buildings_Heat_Frontend[[#This Row],[Data]]="","", _xlfn.XLOOKUP(Buildings_Heat_Backend[[#This Row],[Level 5]],rng_Level5Long,rng_Level6Long))</f>
        <v/>
      </c>
      <c r="X285" s="174" t="str">
        <f>IF(Buildings_Heat_Frontend[[#This Row],[Data]]="","", Buildings_Heat_Frontend[[#This Row],[Site Name]])</f>
        <v/>
      </c>
      <c r="Y285" s="174" t="str">
        <f>IF(Buildings_Heat_Frontend[[#This Row],[Data]]="","", Buildings_Heat_Frontend[[#This Row],[MPRN]])</f>
        <v/>
      </c>
      <c r="Z285" s="174" t="str">
        <f>IF(Buildings_Heat_Frontend[[#This Row],[Data]]="","", IF($I285="","",$I285))</f>
        <v/>
      </c>
      <c r="AA285" s="229" t="str" cm="1">
        <f t="array" ref="AA285">IF(Buildings_Heat_Frontend[[#This Row],[Data]]="","", INDEX(_xlfn.SWITCH(Buildings_Heat_Backend[[#This Row],[Methodology]],"Tier 1",rng_RSD1,"Tier 2",rng_RSD2,"Tier 3",rng_RSD3),MATCH(_xlfn.CONCAT(Buildings_Heat_Backend[[#This Row],[Level 1]:[Level 6]]),rng_LevelsConcat,0)))</f>
        <v/>
      </c>
      <c r="AB285" s="220" t="str">
        <f t="shared" si="13"/>
        <v/>
      </c>
      <c r="AC285" s="174">
        <f>Buildings_Heat_Frontend[[#This Row],[Units]]</f>
        <v>0</v>
      </c>
      <c r="AD28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5" s="174" t="str">
        <f>IF(Buildings_Heat_Frontend[[#This Row],[Data]]="","", _xlfn.XLOOKUP(_xlfn.CONCAT(Buildings_Heat_Backend[[#This Row],[Level 1]:[Level 6]]),rng_LevelsConcat,rng_UnitsLong))</f>
        <v/>
      </c>
      <c r="AF285" s="210" t="str">
        <f>IF(Buildings_Heat_Frontend[[#This Row],[Data]]="","", _xlfn.XLOOKUP(_xlfn.CONCAT(Buildings_Heat_Backend[[#This Row],[Level 1]:[Level 6]]),rng_EFConcat,rng_EF1)*Buildings_Heat_Backend[[#This Row],[Converted data]]/1000)</f>
        <v/>
      </c>
      <c r="AG285" s="210" t="str">
        <f>IF(Buildings_Heat_Frontend[[#This Row],[Data]]="","", _xlfn.XLOOKUP(_xlfn.CONCAT(Buildings_Heat_Backend[[#This Row],[Level 1]:[Level 6]]),rng_EFConcat,rng_EF2)*Buildings_Heat_Backend[[#This Row],[Converted data]]/1000)</f>
        <v/>
      </c>
      <c r="AH285" s="210" t="str">
        <f>IF(Buildings_Heat_Frontend[[#This Row],[Data]]="","", _xlfn.XLOOKUP(_xlfn.CONCAT(Buildings_Heat_Backend[[#This Row],[Level 1]:[Level 6]]),rng_EFConcat,rng_EF3)*Buildings_Heat_Backend[[#This Row],[Converted data]]/1000)</f>
        <v/>
      </c>
      <c r="AI285" s="210" t="str">
        <f>IF(Buildings_Heat_Frontend[[#This Row],[Data]]="","", _xlfn.XLOOKUP(_xlfn.CONCAT(Buildings_Heat_Backend[[#This Row],[Level 1]:[Level 6]]),rng_EFConcat,rng_EF3WTT)*Buildings_Heat_Backend[[#This Row],[Converted data]]/1000)</f>
        <v/>
      </c>
      <c r="AJ285" s="210" t="str">
        <f>IF(Buildings_Heat_Frontend[[#This Row],[Data]]="","", _xlfn.XLOOKUP(_xlfn.CONCAT(Buildings_Heat_Backend[[#This Row],[Level 1]:[Level 6]]),rng_EFConcat,rng_EF3TD)*Buildings_Heat_Backend[[#This Row],[Converted data]]/1000)</f>
        <v/>
      </c>
      <c r="AK285" s="210" t="str">
        <f>IF(Buildings_Heat_Frontend[[#This Row],[Data]]="","", _xlfn.XLOOKUP(_xlfn.CONCAT(Buildings_Heat_Backend[[#This Row],[Level 1]:[Level 6]]),rng_EFConcat,rng_EF3WTTTD)*Buildings_Heat_Backend[[#This Row],[Converted data]]/1000)</f>
        <v/>
      </c>
      <c r="AL285" s="220">
        <f>SUM(Buildings_Heat_Backend[[#This Row],[Scope 1 (tCO2e)]:[Scope 3 WTT T&amp;D (tCO2e)]])</f>
        <v>0</v>
      </c>
      <c r="AM285" s="220" t="str">
        <f>IF(Buildings_Heat_Frontend[[#This Row],[Data]]="","", Buildings_Heat_Backend[[#This Row],[Total (tCO2e)]]*(1-Buildings_Heat_Backend[[#This Row],[RSD]]))</f>
        <v/>
      </c>
      <c r="AN285" s="220" t="str">
        <f>IF(Buildings_Heat_Frontend[[#This Row],[Data]]="","", Buildings_Heat_Backend[[#This Row],[Total (tCO2e)]]*(1+Buildings_Heat_Backend[[#This Row],[RSD]]))</f>
        <v/>
      </c>
      <c r="AO285" s="210" t="str">
        <f>IF(Buildings_Heat_Frontend[[#This Row],[Data]]="","", _xlfn.XLOOKUP(_xlfn.CONCAT(Buildings_Heat_Backend[[#This Row],[Level 1]:[Level 6]]),rng_EFConcat,rng_EFOOS)*Buildings_Heat_Backend[[#This Row],[Converted data]]/1000)</f>
        <v/>
      </c>
      <c r="AP285" s="174">
        <f>Buildings_Heat_Frontend[[#This Row],[Ease of collection]]</f>
        <v>0</v>
      </c>
      <c r="AQ285" s="174">
        <f>Buildings_Heat_Frontend[[#This Row],[Completeness]]</f>
        <v>0</v>
      </c>
      <c r="AR285" s="174">
        <f>Buildings_Heat_Frontend[[#This Row],[Notes]]</f>
        <v>0</v>
      </c>
    </row>
    <row r="286" spans="5:44" x14ac:dyDescent="0.3">
      <c r="E286" s="346"/>
      <c r="F286" s="364"/>
      <c r="G286" s="336"/>
      <c r="H286" s="336"/>
      <c r="I286" s="336"/>
      <c r="J286" s="334"/>
      <c r="K286" s="336"/>
      <c r="L286" s="336"/>
      <c r="M286" s="336"/>
      <c r="N286" s="352"/>
      <c r="O286" s="230">
        <f t="shared" si="14"/>
        <v>6</v>
      </c>
      <c r="Q286" s="212" t="str">
        <f t="shared" si="12"/>
        <v/>
      </c>
      <c r="R286" s="174" t="s">
        <v>265</v>
      </c>
      <c r="S286" s="174" t="s">
        <v>273</v>
      </c>
      <c r="T286" s="174" t="str">
        <f>IF(Buildings_Heat_Frontend[[#This Row],[Data]]="","", _xlfn.XLOOKUP(Buildings_Heat_Backend[[#This Row],[Info 1]],Buildings_SiteInfo[Site name],Buildings_SiteInfo[Site type]))</f>
        <v/>
      </c>
      <c r="U286" s="174" t="str">
        <f>IF(Buildings_Heat_Frontend[[#This Row],[Data]]="","", Buildings_Heat_Frontend[[#This Row],[Heating Type]])</f>
        <v/>
      </c>
      <c r="V286" s="174" t="str">
        <f>IF(Buildings_Heat_Frontend[[#This Row],[Data]]="","", Buildings_Heat_Frontend[[#This Row],[Fuel]])</f>
        <v/>
      </c>
      <c r="W286" s="174" t="str" cm="1">
        <f t="array" ref="W286">IF(Buildings_Heat_Frontend[[#This Row],[Data]]="","", _xlfn.XLOOKUP(Buildings_Heat_Backend[[#This Row],[Level 5]],rng_Level5Long,rng_Level6Long))</f>
        <v/>
      </c>
      <c r="X286" s="174" t="str">
        <f>IF(Buildings_Heat_Frontend[[#This Row],[Data]]="","", Buildings_Heat_Frontend[[#This Row],[Site Name]])</f>
        <v/>
      </c>
      <c r="Y286" s="174" t="str">
        <f>IF(Buildings_Heat_Frontend[[#This Row],[Data]]="","", Buildings_Heat_Frontend[[#This Row],[MPRN]])</f>
        <v/>
      </c>
      <c r="Z286" s="174" t="str">
        <f>IF(Buildings_Heat_Frontend[[#This Row],[Data]]="","", IF($I286="","",$I286))</f>
        <v/>
      </c>
      <c r="AA286" s="229" t="str" cm="1">
        <f t="array" ref="AA286">IF(Buildings_Heat_Frontend[[#This Row],[Data]]="","", INDEX(_xlfn.SWITCH(Buildings_Heat_Backend[[#This Row],[Methodology]],"Tier 1",rng_RSD1,"Tier 2",rng_RSD2,"Tier 3",rng_RSD3),MATCH(_xlfn.CONCAT(Buildings_Heat_Backend[[#This Row],[Level 1]:[Level 6]]),rng_LevelsConcat,0)))</f>
        <v/>
      </c>
      <c r="AB286" s="220" t="str">
        <f t="shared" si="13"/>
        <v/>
      </c>
      <c r="AC286" s="174">
        <f>Buildings_Heat_Frontend[[#This Row],[Units]]</f>
        <v>0</v>
      </c>
      <c r="AD28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6" s="174" t="str">
        <f>IF(Buildings_Heat_Frontend[[#This Row],[Data]]="","", _xlfn.XLOOKUP(_xlfn.CONCAT(Buildings_Heat_Backend[[#This Row],[Level 1]:[Level 6]]),rng_LevelsConcat,rng_UnitsLong))</f>
        <v/>
      </c>
      <c r="AF286" s="210" t="str">
        <f>IF(Buildings_Heat_Frontend[[#This Row],[Data]]="","", _xlfn.XLOOKUP(_xlfn.CONCAT(Buildings_Heat_Backend[[#This Row],[Level 1]:[Level 6]]),rng_EFConcat,rng_EF1)*Buildings_Heat_Backend[[#This Row],[Converted data]]/1000)</f>
        <v/>
      </c>
      <c r="AG286" s="210" t="str">
        <f>IF(Buildings_Heat_Frontend[[#This Row],[Data]]="","", _xlfn.XLOOKUP(_xlfn.CONCAT(Buildings_Heat_Backend[[#This Row],[Level 1]:[Level 6]]),rng_EFConcat,rng_EF2)*Buildings_Heat_Backend[[#This Row],[Converted data]]/1000)</f>
        <v/>
      </c>
      <c r="AH286" s="210" t="str">
        <f>IF(Buildings_Heat_Frontend[[#This Row],[Data]]="","", _xlfn.XLOOKUP(_xlfn.CONCAT(Buildings_Heat_Backend[[#This Row],[Level 1]:[Level 6]]),rng_EFConcat,rng_EF3)*Buildings_Heat_Backend[[#This Row],[Converted data]]/1000)</f>
        <v/>
      </c>
      <c r="AI286" s="210" t="str">
        <f>IF(Buildings_Heat_Frontend[[#This Row],[Data]]="","", _xlfn.XLOOKUP(_xlfn.CONCAT(Buildings_Heat_Backend[[#This Row],[Level 1]:[Level 6]]),rng_EFConcat,rng_EF3WTT)*Buildings_Heat_Backend[[#This Row],[Converted data]]/1000)</f>
        <v/>
      </c>
      <c r="AJ286" s="210" t="str">
        <f>IF(Buildings_Heat_Frontend[[#This Row],[Data]]="","", _xlfn.XLOOKUP(_xlfn.CONCAT(Buildings_Heat_Backend[[#This Row],[Level 1]:[Level 6]]),rng_EFConcat,rng_EF3TD)*Buildings_Heat_Backend[[#This Row],[Converted data]]/1000)</f>
        <v/>
      </c>
      <c r="AK286" s="210" t="str">
        <f>IF(Buildings_Heat_Frontend[[#This Row],[Data]]="","", _xlfn.XLOOKUP(_xlfn.CONCAT(Buildings_Heat_Backend[[#This Row],[Level 1]:[Level 6]]),rng_EFConcat,rng_EF3WTTTD)*Buildings_Heat_Backend[[#This Row],[Converted data]]/1000)</f>
        <v/>
      </c>
      <c r="AL286" s="220">
        <f>SUM(Buildings_Heat_Backend[[#This Row],[Scope 1 (tCO2e)]:[Scope 3 WTT T&amp;D (tCO2e)]])</f>
        <v>0</v>
      </c>
      <c r="AM286" s="220" t="str">
        <f>IF(Buildings_Heat_Frontend[[#This Row],[Data]]="","", Buildings_Heat_Backend[[#This Row],[Total (tCO2e)]]*(1-Buildings_Heat_Backend[[#This Row],[RSD]]))</f>
        <v/>
      </c>
      <c r="AN286" s="220" t="str">
        <f>IF(Buildings_Heat_Frontend[[#This Row],[Data]]="","", Buildings_Heat_Backend[[#This Row],[Total (tCO2e)]]*(1+Buildings_Heat_Backend[[#This Row],[RSD]]))</f>
        <v/>
      </c>
      <c r="AO286" s="210" t="str">
        <f>IF(Buildings_Heat_Frontend[[#This Row],[Data]]="","", _xlfn.XLOOKUP(_xlfn.CONCAT(Buildings_Heat_Backend[[#This Row],[Level 1]:[Level 6]]),rng_EFConcat,rng_EFOOS)*Buildings_Heat_Backend[[#This Row],[Converted data]]/1000)</f>
        <v/>
      </c>
      <c r="AP286" s="174">
        <f>Buildings_Heat_Frontend[[#This Row],[Ease of collection]]</f>
        <v>0</v>
      </c>
      <c r="AQ286" s="174">
        <f>Buildings_Heat_Frontend[[#This Row],[Completeness]]</f>
        <v>0</v>
      </c>
      <c r="AR286" s="174">
        <f>Buildings_Heat_Frontend[[#This Row],[Notes]]</f>
        <v>0</v>
      </c>
    </row>
    <row r="287" spans="5:44" x14ac:dyDescent="0.3">
      <c r="E287" s="346"/>
      <c r="F287" s="364"/>
      <c r="G287" s="336"/>
      <c r="H287" s="336"/>
      <c r="I287" s="336"/>
      <c r="J287" s="334"/>
      <c r="K287" s="336"/>
      <c r="L287" s="336"/>
      <c r="M287" s="336"/>
      <c r="N287" s="352"/>
      <c r="O287" s="230">
        <f t="shared" si="14"/>
        <v>6</v>
      </c>
      <c r="Q287" s="212" t="str">
        <f t="shared" si="12"/>
        <v/>
      </c>
      <c r="R287" s="174" t="s">
        <v>265</v>
      </c>
      <c r="S287" s="174" t="s">
        <v>273</v>
      </c>
      <c r="T287" s="174" t="str">
        <f>IF(Buildings_Heat_Frontend[[#This Row],[Data]]="","", _xlfn.XLOOKUP(Buildings_Heat_Backend[[#This Row],[Info 1]],Buildings_SiteInfo[Site name],Buildings_SiteInfo[Site type]))</f>
        <v/>
      </c>
      <c r="U287" s="174" t="str">
        <f>IF(Buildings_Heat_Frontend[[#This Row],[Data]]="","", Buildings_Heat_Frontend[[#This Row],[Heating Type]])</f>
        <v/>
      </c>
      <c r="V287" s="174" t="str">
        <f>IF(Buildings_Heat_Frontend[[#This Row],[Data]]="","", Buildings_Heat_Frontend[[#This Row],[Fuel]])</f>
        <v/>
      </c>
      <c r="W287" s="174" t="str" cm="1">
        <f t="array" ref="W287">IF(Buildings_Heat_Frontend[[#This Row],[Data]]="","", _xlfn.XLOOKUP(Buildings_Heat_Backend[[#This Row],[Level 5]],rng_Level5Long,rng_Level6Long))</f>
        <v/>
      </c>
      <c r="X287" s="174" t="str">
        <f>IF(Buildings_Heat_Frontend[[#This Row],[Data]]="","", Buildings_Heat_Frontend[[#This Row],[Site Name]])</f>
        <v/>
      </c>
      <c r="Y287" s="174" t="str">
        <f>IF(Buildings_Heat_Frontend[[#This Row],[Data]]="","", Buildings_Heat_Frontend[[#This Row],[MPRN]])</f>
        <v/>
      </c>
      <c r="Z287" s="174" t="str">
        <f>IF(Buildings_Heat_Frontend[[#This Row],[Data]]="","", IF($I287="","",$I287))</f>
        <v/>
      </c>
      <c r="AA287" s="229" t="str" cm="1">
        <f t="array" ref="AA287">IF(Buildings_Heat_Frontend[[#This Row],[Data]]="","", INDEX(_xlfn.SWITCH(Buildings_Heat_Backend[[#This Row],[Methodology]],"Tier 1",rng_RSD1,"Tier 2",rng_RSD2,"Tier 3",rng_RSD3),MATCH(_xlfn.CONCAT(Buildings_Heat_Backend[[#This Row],[Level 1]:[Level 6]]),rng_LevelsConcat,0)))</f>
        <v/>
      </c>
      <c r="AB287" s="220" t="str">
        <f t="shared" si="13"/>
        <v/>
      </c>
      <c r="AC287" s="174">
        <f>Buildings_Heat_Frontend[[#This Row],[Units]]</f>
        <v>0</v>
      </c>
      <c r="AD28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7" s="174" t="str">
        <f>IF(Buildings_Heat_Frontend[[#This Row],[Data]]="","", _xlfn.XLOOKUP(_xlfn.CONCAT(Buildings_Heat_Backend[[#This Row],[Level 1]:[Level 6]]),rng_LevelsConcat,rng_UnitsLong))</f>
        <v/>
      </c>
      <c r="AF287" s="210" t="str">
        <f>IF(Buildings_Heat_Frontend[[#This Row],[Data]]="","", _xlfn.XLOOKUP(_xlfn.CONCAT(Buildings_Heat_Backend[[#This Row],[Level 1]:[Level 6]]),rng_EFConcat,rng_EF1)*Buildings_Heat_Backend[[#This Row],[Converted data]]/1000)</f>
        <v/>
      </c>
      <c r="AG287" s="210" t="str">
        <f>IF(Buildings_Heat_Frontend[[#This Row],[Data]]="","", _xlfn.XLOOKUP(_xlfn.CONCAT(Buildings_Heat_Backend[[#This Row],[Level 1]:[Level 6]]),rng_EFConcat,rng_EF2)*Buildings_Heat_Backend[[#This Row],[Converted data]]/1000)</f>
        <v/>
      </c>
      <c r="AH287" s="210" t="str">
        <f>IF(Buildings_Heat_Frontend[[#This Row],[Data]]="","", _xlfn.XLOOKUP(_xlfn.CONCAT(Buildings_Heat_Backend[[#This Row],[Level 1]:[Level 6]]),rng_EFConcat,rng_EF3)*Buildings_Heat_Backend[[#This Row],[Converted data]]/1000)</f>
        <v/>
      </c>
      <c r="AI287" s="210" t="str">
        <f>IF(Buildings_Heat_Frontend[[#This Row],[Data]]="","", _xlfn.XLOOKUP(_xlfn.CONCAT(Buildings_Heat_Backend[[#This Row],[Level 1]:[Level 6]]),rng_EFConcat,rng_EF3WTT)*Buildings_Heat_Backend[[#This Row],[Converted data]]/1000)</f>
        <v/>
      </c>
      <c r="AJ287" s="210" t="str">
        <f>IF(Buildings_Heat_Frontend[[#This Row],[Data]]="","", _xlfn.XLOOKUP(_xlfn.CONCAT(Buildings_Heat_Backend[[#This Row],[Level 1]:[Level 6]]),rng_EFConcat,rng_EF3TD)*Buildings_Heat_Backend[[#This Row],[Converted data]]/1000)</f>
        <v/>
      </c>
      <c r="AK287" s="210" t="str">
        <f>IF(Buildings_Heat_Frontend[[#This Row],[Data]]="","", _xlfn.XLOOKUP(_xlfn.CONCAT(Buildings_Heat_Backend[[#This Row],[Level 1]:[Level 6]]),rng_EFConcat,rng_EF3WTTTD)*Buildings_Heat_Backend[[#This Row],[Converted data]]/1000)</f>
        <v/>
      </c>
      <c r="AL287" s="220">
        <f>SUM(Buildings_Heat_Backend[[#This Row],[Scope 1 (tCO2e)]:[Scope 3 WTT T&amp;D (tCO2e)]])</f>
        <v>0</v>
      </c>
      <c r="AM287" s="220" t="str">
        <f>IF(Buildings_Heat_Frontend[[#This Row],[Data]]="","", Buildings_Heat_Backend[[#This Row],[Total (tCO2e)]]*(1-Buildings_Heat_Backend[[#This Row],[RSD]]))</f>
        <v/>
      </c>
      <c r="AN287" s="220" t="str">
        <f>IF(Buildings_Heat_Frontend[[#This Row],[Data]]="","", Buildings_Heat_Backend[[#This Row],[Total (tCO2e)]]*(1+Buildings_Heat_Backend[[#This Row],[RSD]]))</f>
        <v/>
      </c>
      <c r="AO287" s="210" t="str">
        <f>IF(Buildings_Heat_Frontend[[#This Row],[Data]]="","", _xlfn.XLOOKUP(_xlfn.CONCAT(Buildings_Heat_Backend[[#This Row],[Level 1]:[Level 6]]),rng_EFConcat,rng_EFOOS)*Buildings_Heat_Backend[[#This Row],[Converted data]]/1000)</f>
        <v/>
      </c>
      <c r="AP287" s="174">
        <f>Buildings_Heat_Frontend[[#This Row],[Ease of collection]]</f>
        <v>0</v>
      </c>
      <c r="AQ287" s="174">
        <f>Buildings_Heat_Frontend[[#This Row],[Completeness]]</f>
        <v>0</v>
      </c>
      <c r="AR287" s="174">
        <f>Buildings_Heat_Frontend[[#This Row],[Notes]]</f>
        <v>0</v>
      </c>
    </row>
    <row r="288" spans="5:44" x14ac:dyDescent="0.3">
      <c r="E288" s="346"/>
      <c r="F288" s="364"/>
      <c r="G288" s="336"/>
      <c r="H288" s="336"/>
      <c r="I288" s="336"/>
      <c r="J288" s="334"/>
      <c r="K288" s="336"/>
      <c r="L288" s="336"/>
      <c r="M288" s="336"/>
      <c r="N288" s="352"/>
      <c r="O288" s="230">
        <f t="shared" si="14"/>
        <v>6</v>
      </c>
      <c r="Q288" s="212" t="str">
        <f t="shared" si="12"/>
        <v/>
      </c>
      <c r="R288" s="174" t="s">
        <v>265</v>
      </c>
      <c r="S288" s="174" t="s">
        <v>273</v>
      </c>
      <c r="T288" s="174" t="str">
        <f>IF(Buildings_Heat_Frontend[[#This Row],[Data]]="","", _xlfn.XLOOKUP(Buildings_Heat_Backend[[#This Row],[Info 1]],Buildings_SiteInfo[Site name],Buildings_SiteInfo[Site type]))</f>
        <v/>
      </c>
      <c r="U288" s="174" t="str">
        <f>IF(Buildings_Heat_Frontend[[#This Row],[Data]]="","", Buildings_Heat_Frontend[[#This Row],[Heating Type]])</f>
        <v/>
      </c>
      <c r="V288" s="174" t="str">
        <f>IF(Buildings_Heat_Frontend[[#This Row],[Data]]="","", Buildings_Heat_Frontend[[#This Row],[Fuel]])</f>
        <v/>
      </c>
      <c r="W288" s="174" t="str" cm="1">
        <f t="array" ref="W288">IF(Buildings_Heat_Frontend[[#This Row],[Data]]="","", _xlfn.XLOOKUP(Buildings_Heat_Backend[[#This Row],[Level 5]],rng_Level5Long,rng_Level6Long))</f>
        <v/>
      </c>
      <c r="X288" s="174" t="str">
        <f>IF(Buildings_Heat_Frontend[[#This Row],[Data]]="","", Buildings_Heat_Frontend[[#This Row],[Site Name]])</f>
        <v/>
      </c>
      <c r="Y288" s="174" t="str">
        <f>IF(Buildings_Heat_Frontend[[#This Row],[Data]]="","", Buildings_Heat_Frontend[[#This Row],[MPRN]])</f>
        <v/>
      </c>
      <c r="Z288" s="174" t="str">
        <f>IF(Buildings_Heat_Frontend[[#This Row],[Data]]="","", IF($I288="","",$I288))</f>
        <v/>
      </c>
      <c r="AA288" s="229" t="str" cm="1">
        <f t="array" ref="AA288">IF(Buildings_Heat_Frontend[[#This Row],[Data]]="","", INDEX(_xlfn.SWITCH(Buildings_Heat_Backend[[#This Row],[Methodology]],"Tier 1",rng_RSD1,"Tier 2",rng_RSD2,"Tier 3",rng_RSD3),MATCH(_xlfn.CONCAT(Buildings_Heat_Backend[[#This Row],[Level 1]:[Level 6]]),rng_LevelsConcat,0)))</f>
        <v/>
      </c>
      <c r="AB288" s="220" t="str">
        <f t="shared" si="13"/>
        <v/>
      </c>
      <c r="AC288" s="174">
        <f>Buildings_Heat_Frontend[[#This Row],[Units]]</f>
        <v>0</v>
      </c>
      <c r="AD28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8" s="174" t="str">
        <f>IF(Buildings_Heat_Frontend[[#This Row],[Data]]="","", _xlfn.XLOOKUP(_xlfn.CONCAT(Buildings_Heat_Backend[[#This Row],[Level 1]:[Level 6]]),rng_LevelsConcat,rng_UnitsLong))</f>
        <v/>
      </c>
      <c r="AF288" s="210" t="str">
        <f>IF(Buildings_Heat_Frontend[[#This Row],[Data]]="","", _xlfn.XLOOKUP(_xlfn.CONCAT(Buildings_Heat_Backend[[#This Row],[Level 1]:[Level 6]]),rng_EFConcat,rng_EF1)*Buildings_Heat_Backend[[#This Row],[Converted data]]/1000)</f>
        <v/>
      </c>
      <c r="AG288" s="210" t="str">
        <f>IF(Buildings_Heat_Frontend[[#This Row],[Data]]="","", _xlfn.XLOOKUP(_xlfn.CONCAT(Buildings_Heat_Backend[[#This Row],[Level 1]:[Level 6]]),rng_EFConcat,rng_EF2)*Buildings_Heat_Backend[[#This Row],[Converted data]]/1000)</f>
        <v/>
      </c>
      <c r="AH288" s="210" t="str">
        <f>IF(Buildings_Heat_Frontend[[#This Row],[Data]]="","", _xlfn.XLOOKUP(_xlfn.CONCAT(Buildings_Heat_Backend[[#This Row],[Level 1]:[Level 6]]),rng_EFConcat,rng_EF3)*Buildings_Heat_Backend[[#This Row],[Converted data]]/1000)</f>
        <v/>
      </c>
      <c r="AI288" s="210" t="str">
        <f>IF(Buildings_Heat_Frontend[[#This Row],[Data]]="","", _xlfn.XLOOKUP(_xlfn.CONCAT(Buildings_Heat_Backend[[#This Row],[Level 1]:[Level 6]]),rng_EFConcat,rng_EF3WTT)*Buildings_Heat_Backend[[#This Row],[Converted data]]/1000)</f>
        <v/>
      </c>
      <c r="AJ288" s="210" t="str">
        <f>IF(Buildings_Heat_Frontend[[#This Row],[Data]]="","", _xlfn.XLOOKUP(_xlfn.CONCAT(Buildings_Heat_Backend[[#This Row],[Level 1]:[Level 6]]),rng_EFConcat,rng_EF3TD)*Buildings_Heat_Backend[[#This Row],[Converted data]]/1000)</f>
        <v/>
      </c>
      <c r="AK288" s="210" t="str">
        <f>IF(Buildings_Heat_Frontend[[#This Row],[Data]]="","", _xlfn.XLOOKUP(_xlfn.CONCAT(Buildings_Heat_Backend[[#This Row],[Level 1]:[Level 6]]),rng_EFConcat,rng_EF3WTTTD)*Buildings_Heat_Backend[[#This Row],[Converted data]]/1000)</f>
        <v/>
      </c>
      <c r="AL288" s="220">
        <f>SUM(Buildings_Heat_Backend[[#This Row],[Scope 1 (tCO2e)]:[Scope 3 WTT T&amp;D (tCO2e)]])</f>
        <v>0</v>
      </c>
      <c r="AM288" s="220" t="str">
        <f>IF(Buildings_Heat_Frontend[[#This Row],[Data]]="","", Buildings_Heat_Backend[[#This Row],[Total (tCO2e)]]*(1-Buildings_Heat_Backend[[#This Row],[RSD]]))</f>
        <v/>
      </c>
      <c r="AN288" s="220" t="str">
        <f>IF(Buildings_Heat_Frontend[[#This Row],[Data]]="","", Buildings_Heat_Backend[[#This Row],[Total (tCO2e)]]*(1+Buildings_Heat_Backend[[#This Row],[RSD]]))</f>
        <v/>
      </c>
      <c r="AO288" s="210" t="str">
        <f>IF(Buildings_Heat_Frontend[[#This Row],[Data]]="","", _xlfn.XLOOKUP(_xlfn.CONCAT(Buildings_Heat_Backend[[#This Row],[Level 1]:[Level 6]]),rng_EFConcat,rng_EFOOS)*Buildings_Heat_Backend[[#This Row],[Converted data]]/1000)</f>
        <v/>
      </c>
      <c r="AP288" s="174">
        <f>Buildings_Heat_Frontend[[#This Row],[Ease of collection]]</f>
        <v>0</v>
      </c>
      <c r="AQ288" s="174">
        <f>Buildings_Heat_Frontend[[#This Row],[Completeness]]</f>
        <v>0</v>
      </c>
      <c r="AR288" s="174">
        <f>Buildings_Heat_Frontend[[#This Row],[Notes]]</f>
        <v>0</v>
      </c>
    </row>
    <row r="289" spans="5:44" x14ac:dyDescent="0.3">
      <c r="E289" s="346"/>
      <c r="F289" s="364"/>
      <c r="G289" s="336"/>
      <c r="H289" s="336"/>
      <c r="I289" s="336"/>
      <c r="J289" s="334"/>
      <c r="K289" s="336"/>
      <c r="L289" s="336"/>
      <c r="M289" s="336"/>
      <c r="N289" s="352"/>
      <c r="O289" s="230">
        <f t="shared" si="14"/>
        <v>6</v>
      </c>
      <c r="Q289" s="212" t="str">
        <f t="shared" si="12"/>
        <v/>
      </c>
      <c r="R289" s="174" t="s">
        <v>265</v>
      </c>
      <c r="S289" s="174" t="s">
        <v>273</v>
      </c>
      <c r="T289" s="174" t="str">
        <f>IF(Buildings_Heat_Frontend[[#This Row],[Data]]="","", _xlfn.XLOOKUP(Buildings_Heat_Backend[[#This Row],[Info 1]],Buildings_SiteInfo[Site name],Buildings_SiteInfo[Site type]))</f>
        <v/>
      </c>
      <c r="U289" s="174" t="str">
        <f>IF(Buildings_Heat_Frontend[[#This Row],[Data]]="","", Buildings_Heat_Frontend[[#This Row],[Heating Type]])</f>
        <v/>
      </c>
      <c r="V289" s="174" t="str">
        <f>IF(Buildings_Heat_Frontend[[#This Row],[Data]]="","", Buildings_Heat_Frontend[[#This Row],[Fuel]])</f>
        <v/>
      </c>
      <c r="W289" s="174" t="str" cm="1">
        <f t="array" ref="W289">IF(Buildings_Heat_Frontend[[#This Row],[Data]]="","", _xlfn.XLOOKUP(Buildings_Heat_Backend[[#This Row],[Level 5]],rng_Level5Long,rng_Level6Long))</f>
        <v/>
      </c>
      <c r="X289" s="174" t="str">
        <f>IF(Buildings_Heat_Frontend[[#This Row],[Data]]="","", Buildings_Heat_Frontend[[#This Row],[Site Name]])</f>
        <v/>
      </c>
      <c r="Y289" s="174" t="str">
        <f>IF(Buildings_Heat_Frontend[[#This Row],[Data]]="","", Buildings_Heat_Frontend[[#This Row],[MPRN]])</f>
        <v/>
      </c>
      <c r="Z289" s="174" t="str">
        <f>IF(Buildings_Heat_Frontend[[#This Row],[Data]]="","", IF($I289="","",$I289))</f>
        <v/>
      </c>
      <c r="AA289" s="229" t="str" cm="1">
        <f t="array" ref="AA289">IF(Buildings_Heat_Frontend[[#This Row],[Data]]="","", INDEX(_xlfn.SWITCH(Buildings_Heat_Backend[[#This Row],[Methodology]],"Tier 1",rng_RSD1,"Tier 2",rng_RSD2,"Tier 3",rng_RSD3),MATCH(_xlfn.CONCAT(Buildings_Heat_Backend[[#This Row],[Level 1]:[Level 6]]),rng_LevelsConcat,0)))</f>
        <v/>
      </c>
      <c r="AB289" s="220" t="str">
        <f t="shared" si="13"/>
        <v/>
      </c>
      <c r="AC289" s="174">
        <f>Buildings_Heat_Frontend[[#This Row],[Units]]</f>
        <v>0</v>
      </c>
      <c r="AD28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89" s="174" t="str">
        <f>IF(Buildings_Heat_Frontend[[#This Row],[Data]]="","", _xlfn.XLOOKUP(_xlfn.CONCAT(Buildings_Heat_Backend[[#This Row],[Level 1]:[Level 6]]),rng_LevelsConcat,rng_UnitsLong))</f>
        <v/>
      </c>
      <c r="AF289" s="210" t="str">
        <f>IF(Buildings_Heat_Frontend[[#This Row],[Data]]="","", _xlfn.XLOOKUP(_xlfn.CONCAT(Buildings_Heat_Backend[[#This Row],[Level 1]:[Level 6]]),rng_EFConcat,rng_EF1)*Buildings_Heat_Backend[[#This Row],[Converted data]]/1000)</f>
        <v/>
      </c>
      <c r="AG289" s="210" t="str">
        <f>IF(Buildings_Heat_Frontend[[#This Row],[Data]]="","", _xlfn.XLOOKUP(_xlfn.CONCAT(Buildings_Heat_Backend[[#This Row],[Level 1]:[Level 6]]),rng_EFConcat,rng_EF2)*Buildings_Heat_Backend[[#This Row],[Converted data]]/1000)</f>
        <v/>
      </c>
      <c r="AH289" s="210" t="str">
        <f>IF(Buildings_Heat_Frontend[[#This Row],[Data]]="","", _xlfn.XLOOKUP(_xlfn.CONCAT(Buildings_Heat_Backend[[#This Row],[Level 1]:[Level 6]]),rng_EFConcat,rng_EF3)*Buildings_Heat_Backend[[#This Row],[Converted data]]/1000)</f>
        <v/>
      </c>
      <c r="AI289" s="210" t="str">
        <f>IF(Buildings_Heat_Frontend[[#This Row],[Data]]="","", _xlfn.XLOOKUP(_xlfn.CONCAT(Buildings_Heat_Backend[[#This Row],[Level 1]:[Level 6]]),rng_EFConcat,rng_EF3WTT)*Buildings_Heat_Backend[[#This Row],[Converted data]]/1000)</f>
        <v/>
      </c>
      <c r="AJ289" s="210" t="str">
        <f>IF(Buildings_Heat_Frontend[[#This Row],[Data]]="","", _xlfn.XLOOKUP(_xlfn.CONCAT(Buildings_Heat_Backend[[#This Row],[Level 1]:[Level 6]]),rng_EFConcat,rng_EF3TD)*Buildings_Heat_Backend[[#This Row],[Converted data]]/1000)</f>
        <v/>
      </c>
      <c r="AK289" s="210" t="str">
        <f>IF(Buildings_Heat_Frontend[[#This Row],[Data]]="","", _xlfn.XLOOKUP(_xlfn.CONCAT(Buildings_Heat_Backend[[#This Row],[Level 1]:[Level 6]]),rng_EFConcat,rng_EF3WTTTD)*Buildings_Heat_Backend[[#This Row],[Converted data]]/1000)</f>
        <v/>
      </c>
      <c r="AL289" s="220">
        <f>SUM(Buildings_Heat_Backend[[#This Row],[Scope 1 (tCO2e)]:[Scope 3 WTT T&amp;D (tCO2e)]])</f>
        <v>0</v>
      </c>
      <c r="AM289" s="220" t="str">
        <f>IF(Buildings_Heat_Frontend[[#This Row],[Data]]="","", Buildings_Heat_Backend[[#This Row],[Total (tCO2e)]]*(1-Buildings_Heat_Backend[[#This Row],[RSD]]))</f>
        <v/>
      </c>
      <c r="AN289" s="220" t="str">
        <f>IF(Buildings_Heat_Frontend[[#This Row],[Data]]="","", Buildings_Heat_Backend[[#This Row],[Total (tCO2e)]]*(1+Buildings_Heat_Backend[[#This Row],[RSD]]))</f>
        <v/>
      </c>
      <c r="AO289" s="210" t="str">
        <f>IF(Buildings_Heat_Frontend[[#This Row],[Data]]="","", _xlfn.XLOOKUP(_xlfn.CONCAT(Buildings_Heat_Backend[[#This Row],[Level 1]:[Level 6]]),rng_EFConcat,rng_EFOOS)*Buildings_Heat_Backend[[#This Row],[Converted data]]/1000)</f>
        <v/>
      </c>
      <c r="AP289" s="174">
        <f>Buildings_Heat_Frontend[[#This Row],[Ease of collection]]</f>
        <v>0</v>
      </c>
      <c r="AQ289" s="174">
        <f>Buildings_Heat_Frontend[[#This Row],[Completeness]]</f>
        <v>0</v>
      </c>
      <c r="AR289" s="174">
        <f>Buildings_Heat_Frontend[[#This Row],[Notes]]</f>
        <v>0</v>
      </c>
    </row>
    <row r="290" spans="5:44" x14ac:dyDescent="0.3">
      <c r="E290" s="346"/>
      <c r="F290" s="364"/>
      <c r="G290" s="336"/>
      <c r="H290" s="336"/>
      <c r="I290" s="336"/>
      <c r="J290" s="334"/>
      <c r="K290" s="336"/>
      <c r="L290" s="336"/>
      <c r="M290" s="336"/>
      <c r="N290" s="352"/>
      <c r="O290" s="230">
        <f t="shared" si="14"/>
        <v>6</v>
      </c>
      <c r="Q290" s="212" t="str">
        <f t="shared" si="12"/>
        <v/>
      </c>
      <c r="R290" s="174" t="s">
        <v>265</v>
      </c>
      <c r="S290" s="174" t="s">
        <v>273</v>
      </c>
      <c r="T290" s="174" t="str">
        <f>IF(Buildings_Heat_Frontend[[#This Row],[Data]]="","", _xlfn.XLOOKUP(Buildings_Heat_Backend[[#This Row],[Info 1]],Buildings_SiteInfo[Site name],Buildings_SiteInfo[Site type]))</f>
        <v/>
      </c>
      <c r="U290" s="174" t="str">
        <f>IF(Buildings_Heat_Frontend[[#This Row],[Data]]="","", Buildings_Heat_Frontend[[#This Row],[Heating Type]])</f>
        <v/>
      </c>
      <c r="V290" s="174" t="str">
        <f>IF(Buildings_Heat_Frontend[[#This Row],[Data]]="","", Buildings_Heat_Frontend[[#This Row],[Fuel]])</f>
        <v/>
      </c>
      <c r="W290" s="174" t="str" cm="1">
        <f t="array" ref="W290">IF(Buildings_Heat_Frontend[[#This Row],[Data]]="","", _xlfn.XLOOKUP(Buildings_Heat_Backend[[#This Row],[Level 5]],rng_Level5Long,rng_Level6Long))</f>
        <v/>
      </c>
      <c r="X290" s="174" t="str">
        <f>IF(Buildings_Heat_Frontend[[#This Row],[Data]]="","", Buildings_Heat_Frontend[[#This Row],[Site Name]])</f>
        <v/>
      </c>
      <c r="Y290" s="174" t="str">
        <f>IF(Buildings_Heat_Frontend[[#This Row],[Data]]="","", Buildings_Heat_Frontend[[#This Row],[MPRN]])</f>
        <v/>
      </c>
      <c r="Z290" s="174" t="str">
        <f>IF(Buildings_Heat_Frontend[[#This Row],[Data]]="","", IF($I290="","",$I290))</f>
        <v/>
      </c>
      <c r="AA290" s="229" t="str" cm="1">
        <f t="array" ref="AA290">IF(Buildings_Heat_Frontend[[#This Row],[Data]]="","", INDEX(_xlfn.SWITCH(Buildings_Heat_Backend[[#This Row],[Methodology]],"Tier 1",rng_RSD1,"Tier 2",rng_RSD2,"Tier 3",rng_RSD3),MATCH(_xlfn.CONCAT(Buildings_Heat_Backend[[#This Row],[Level 1]:[Level 6]]),rng_LevelsConcat,0)))</f>
        <v/>
      </c>
      <c r="AB290" s="220" t="str">
        <f t="shared" si="13"/>
        <v/>
      </c>
      <c r="AC290" s="174">
        <f>Buildings_Heat_Frontend[[#This Row],[Units]]</f>
        <v>0</v>
      </c>
      <c r="AD29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0" s="174" t="str">
        <f>IF(Buildings_Heat_Frontend[[#This Row],[Data]]="","", _xlfn.XLOOKUP(_xlfn.CONCAT(Buildings_Heat_Backend[[#This Row],[Level 1]:[Level 6]]),rng_LevelsConcat,rng_UnitsLong))</f>
        <v/>
      </c>
      <c r="AF290" s="210" t="str">
        <f>IF(Buildings_Heat_Frontend[[#This Row],[Data]]="","", _xlfn.XLOOKUP(_xlfn.CONCAT(Buildings_Heat_Backend[[#This Row],[Level 1]:[Level 6]]),rng_EFConcat,rng_EF1)*Buildings_Heat_Backend[[#This Row],[Converted data]]/1000)</f>
        <v/>
      </c>
      <c r="AG290" s="210" t="str">
        <f>IF(Buildings_Heat_Frontend[[#This Row],[Data]]="","", _xlfn.XLOOKUP(_xlfn.CONCAT(Buildings_Heat_Backend[[#This Row],[Level 1]:[Level 6]]),rng_EFConcat,rng_EF2)*Buildings_Heat_Backend[[#This Row],[Converted data]]/1000)</f>
        <v/>
      </c>
      <c r="AH290" s="210" t="str">
        <f>IF(Buildings_Heat_Frontend[[#This Row],[Data]]="","", _xlfn.XLOOKUP(_xlfn.CONCAT(Buildings_Heat_Backend[[#This Row],[Level 1]:[Level 6]]),rng_EFConcat,rng_EF3)*Buildings_Heat_Backend[[#This Row],[Converted data]]/1000)</f>
        <v/>
      </c>
      <c r="AI290" s="210" t="str">
        <f>IF(Buildings_Heat_Frontend[[#This Row],[Data]]="","", _xlfn.XLOOKUP(_xlfn.CONCAT(Buildings_Heat_Backend[[#This Row],[Level 1]:[Level 6]]),rng_EFConcat,rng_EF3WTT)*Buildings_Heat_Backend[[#This Row],[Converted data]]/1000)</f>
        <v/>
      </c>
      <c r="AJ290" s="210" t="str">
        <f>IF(Buildings_Heat_Frontend[[#This Row],[Data]]="","", _xlfn.XLOOKUP(_xlfn.CONCAT(Buildings_Heat_Backend[[#This Row],[Level 1]:[Level 6]]),rng_EFConcat,rng_EF3TD)*Buildings_Heat_Backend[[#This Row],[Converted data]]/1000)</f>
        <v/>
      </c>
      <c r="AK290" s="210" t="str">
        <f>IF(Buildings_Heat_Frontend[[#This Row],[Data]]="","", _xlfn.XLOOKUP(_xlfn.CONCAT(Buildings_Heat_Backend[[#This Row],[Level 1]:[Level 6]]),rng_EFConcat,rng_EF3WTTTD)*Buildings_Heat_Backend[[#This Row],[Converted data]]/1000)</f>
        <v/>
      </c>
      <c r="AL290" s="220">
        <f>SUM(Buildings_Heat_Backend[[#This Row],[Scope 1 (tCO2e)]:[Scope 3 WTT T&amp;D (tCO2e)]])</f>
        <v>0</v>
      </c>
      <c r="AM290" s="220" t="str">
        <f>IF(Buildings_Heat_Frontend[[#This Row],[Data]]="","", Buildings_Heat_Backend[[#This Row],[Total (tCO2e)]]*(1-Buildings_Heat_Backend[[#This Row],[RSD]]))</f>
        <v/>
      </c>
      <c r="AN290" s="220" t="str">
        <f>IF(Buildings_Heat_Frontend[[#This Row],[Data]]="","", Buildings_Heat_Backend[[#This Row],[Total (tCO2e)]]*(1+Buildings_Heat_Backend[[#This Row],[RSD]]))</f>
        <v/>
      </c>
      <c r="AO290" s="210" t="str">
        <f>IF(Buildings_Heat_Frontend[[#This Row],[Data]]="","", _xlfn.XLOOKUP(_xlfn.CONCAT(Buildings_Heat_Backend[[#This Row],[Level 1]:[Level 6]]),rng_EFConcat,rng_EFOOS)*Buildings_Heat_Backend[[#This Row],[Converted data]]/1000)</f>
        <v/>
      </c>
      <c r="AP290" s="174">
        <f>Buildings_Heat_Frontend[[#This Row],[Ease of collection]]</f>
        <v>0</v>
      </c>
      <c r="AQ290" s="174">
        <f>Buildings_Heat_Frontend[[#This Row],[Completeness]]</f>
        <v>0</v>
      </c>
      <c r="AR290" s="174">
        <f>Buildings_Heat_Frontend[[#This Row],[Notes]]</f>
        <v>0</v>
      </c>
    </row>
    <row r="291" spans="5:44" x14ac:dyDescent="0.3">
      <c r="E291" s="346"/>
      <c r="F291" s="364"/>
      <c r="G291" s="336"/>
      <c r="H291" s="336"/>
      <c r="I291" s="336"/>
      <c r="J291" s="334"/>
      <c r="K291" s="336"/>
      <c r="L291" s="336"/>
      <c r="M291" s="336"/>
      <c r="N291" s="352"/>
      <c r="O291" s="230">
        <f t="shared" si="14"/>
        <v>6</v>
      </c>
      <c r="Q291" s="212" t="str">
        <f t="shared" si="12"/>
        <v/>
      </c>
      <c r="R291" s="174" t="s">
        <v>265</v>
      </c>
      <c r="S291" s="174" t="s">
        <v>273</v>
      </c>
      <c r="T291" s="174" t="str">
        <f>IF(Buildings_Heat_Frontend[[#This Row],[Data]]="","", _xlfn.XLOOKUP(Buildings_Heat_Backend[[#This Row],[Info 1]],Buildings_SiteInfo[Site name],Buildings_SiteInfo[Site type]))</f>
        <v/>
      </c>
      <c r="U291" s="174" t="str">
        <f>IF(Buildings_Heat_Frontend[[#This Row],[Data]]="","", Buildings_Heat_Frontend[[#This Row],[Heating Type]])</f>
        <v/>
      </c>
      <c r="V291" s="174" t="str">
        <f>IF(Buildings_Heat_Frontend[[#This Row],[Data]]="","", Buildings_Heat_Frontend[[#This Row],[Fuel]])</f>
        <v/>
      </c>
      <c r="W291" s="174" t="str" cm="1">
        <f t="array" ref="W291">IF(Buildings_Heat_Frontend[[#This Row],[Data]]="","", _xlfn.XLOOKUP(Buildings_Heat_Backend[[#This Row],[Level 5]],rng_Level5Long,rng_Level6Long))</f>
        <v/>
      </c>
      <c r="X291" s="174" t="str">
        <f>IF(Buildings_Heat_Frontend[[#This Row],[Data]]="","", Buildings_Heat_Frontend[[#This Row],[Site Name]])</f>
        <v/>
      </c>
      <c r="Y291" s="174" t="str">
        <f>IF(Buildings_Heat_Frontend[[#This Row],[Data]]="","", Buildings_Heat_Frontend[[#This Row],[MPRN]])</f>
        <v/>
      </c>
      <c r="Z291" s="174" t="str">
        <f>IF(Buildings_Heat_Frontend[[#This Row],[Data]]="","", IF($I291="","",$I291))</f>
        <v/>
      </c>
      <c r="AA291" s="229" t="str" cm="1">
        <f t="array" ref="AA291">IF(Buildings_Heat_Frontend[[#This Row],[Data]]="","", INDEX(_xlfn.SWITCH(Buildings_Heat_Backend[[#This Row],[Methodology]],"Tier 1",rng_RSD1,"Tier 2",rng_RSD2,"Tier 3",rng_RSD3),MATCH(_xlfn.CONCAT(Buildings_Heat_Backend[[#This Row],[Level 1]:[Level 6]]),rng_LevelsConcat,0)))</f>
        <v/>
      </c>
      <c r="AB291" s="220" t="str">
        <f t="shared" si="13"/>
        <v/>
      </c>
      <c r="AC291" s="174">
        <f>Buildings_Heat_Frontend[[#This Row],[Units]]</f>
        <v>0</v>
      </c>
      <c r="AD29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1" s="174" t="str">
        <f>IF(Buildings_Heat_Frontend[[#This Row],[Data]]="","", _xlfn.XLOOKUP(_xlfn.CONCAT(Buildings_Heat_Backend[[#This Row],[Level 1]:[Level 6]]),rng_LevelsConcat,rng_UnitsLong))</f>
        <v/>
      </c>
      <c r="AF291" s="210" t="str">
        <f>IF(Buildings_Heat_Frontend[[#This Row],[Data]]="","", _xlfn.XLOOKUP(_xlfn.CONCAT(Buildings_Heat_Backend[[#This Row],[Level 1]:[Level 6]]),rng_EFConcat,rng_EF1)*Buildings_Heat_Backend[[#This Row],[Converted data]]/1000)</f>
        <v/>
      </c>
      <c r="AG291" s="210" t="str">
        <f>IF(Buildings_Heat_Frontend[[#This Row],[Data]]="","", _xlfn.XLOOKUP(_xlfn.CONCAT(Buildings_Heat_Backend[[#This Row],[Level 1]:[Level 6]]),rng_EFConcat,rng_EF2)*Buildings_Heat_Backend[[#This Row],[Converted data]]/1000)</f>
        <v/>
      </c>
      <c r="AH291" s="210" t="str">
        <f>IF(Buildings_Heat_Frontend[[#This Row],[Data]]="","", _xlfn.XLOOKUP(_xlfn.CONCAT(Buildings_Heat_Backend[[#This Row],[Level 1]:[Level 6]]),rng_EFConcat,rng_EF3)*Buildings_Heat_Backend[[#This Row],[Converted data]]/1000)</f>
        <v/>
      </c>
      <c r="AI291" s="210" t="str">
        <f>IF(Buildings_Heat_Frontend[[#This Row],[Data]]="","", _xlfn.XLOOKUP(_xlfn.CONCAT(Buildings_Heat_Backend[[#This Row],[Level 1]:[Level 6]]),rng_EFConcat,rng_EF3WTT)*Buildings_Heat_Backend[[#This Row],[Converted data]]/1000)</f>
        <v/>
      </c>
      <c r="AJ291" s="210" t="str">
        <f>IF(Buildings_Heat_Frontend[[#This Row],[Data]]="","", _xlfn.XLOOKUP(_xlfn.CONCAT(Buildings_Heat_Backend[[#This Row],[Level 1]:[Level 6]]),rng_EFConcat,rng_EF3TD)*Buildings_Heat_Backend[[#This Row],[Converted data]]/1000)</f>
        <v/>
      </c>
      <c r="AK291" s="210" t="str">
        <f>IF(Buildings_Heat_Frontend[[#This Row],[Data]]="","", _xlfn.XLOOKUP(_xlfn.CONCAT(Buildings_Heat_Backend[[#This Row],[Level 1]:[Level 6]]),rng_EFConcat,rng_EF3WTTTD)*Buildings_Heat_Backend[[#This Row],[Converted data]]/1000)</f>
        <v/>
      </c>
      <c r="AL291" s="220">
        <f>SUM(Buildings_Heat_Backend[[#This Row],[Scope 1 (tCO2e)]:[Scope 3 WTT T&amp;D (tCO2e)]])</f>
        <v>0</v>
      </c>
      <c r="AM291" s="220" t="str">
        <f>IF(Buildings_Heat_Frontend[[#This Row],[Data]]="","", Buildings_Heat_Backend[[#This Row],[Total (tCO2e)]]*(1-Buildings_Heat_Backend[[#This Row],[RSD]]))</f>
        <v/>
      </c>
      <c r="AN291" s="220" t="str">
        <f>IF(Buildings_Heat_Frontend[[#This Row],[Data]]="","", Buildings_Heat_Backend[[#This Row],[Total (tCO2e)]]*(1+Buildings_Heat_Backend[[#This Row],[RSD]]))</f>
        <v/>
      </c>
      <c r="AO291" s="210" t="str">
        <f>IF(Buildings_Heat_Frontend[[#This Row],[Data]]="","", _xlfn.XLOOKUP(_xlfn.CONCAT(Buildings_Heat_Backend[[#This Row],[Level 1]:[Level 6]]),rng_EFConcat,rng_EFOOS)*Buildings_Heat_Backend[[#This Row],[Converted data]]/1000)</f>
        <v/>
      </c>
      <c r="AP291" s="174">
        <f>Buildings_Heat_Frontend[[#This Row],[Ease of collection]]</f>
        <v>0</v>
      </c>
      <c r="AQ291" s="174">
        <f>Buildings_Heat_Frontend[[#This Row],[Completeness]]</f>
        <v>0</v>
      </c>
      <c r="AR291" s="174">
        <f>Buildings_Heat_Frontend[[#This Row],[Notes]]</f>
        <v>0</v>
      </c>
    </row>
    <row r="292" spans="5:44" x14ac:dyDescent="0.3">
      <c r="E292" s="346"/>
      <c r="F292" s="364"/>
      <c r="G292" s="336"/>
      <c r="H292" s="336"/>
      <c r="I292" s="336"/>
      <c r="J292" s="334"/>
      <c r="K292" s="336"/>
      <c r="L292" s="336"/>
      <c r="M292" s="336"/>
      <c r="N292" s="352"/>
      <c r="O292" s="230">
        <f t="shared" si="14"/>
        <v>6</v>
      </c>
      <c r="Q292" s="212" t="str">
        <f t="shared" si="12"/>
        <v/>
      </c>
      <c r="R292" s="174" t="s">
        <v>265</v>
      </c>
      <c r="S292" s="174" t="s">
        <v>273</v>
      </c>
      <c r="T292" s="174" t="str">
        <f>IF(Buildings_Heat_Frontend[[#This Row],[Data]]="","", _xlfn.XLOOKUP(Buildings_Heat_Backend[[#This Row],[Info 1]],Buildings_SiteInfo[Site name],Buildings_SiteInfo[Site type]))</f>
        <v/>
      </c>
      <c r="U292" s="174" t="str">
        <f>IF(Buildings_Heat_Frontend[[#This Row],[Data]]="","", Buildings_Heat_Frontend[[#This Row],[Heating Type]])</f>
        <v/>
      </c>
      <c r="V292" s="174" t="str">
        <f>IF(Buildings_Heat_Frontend[[#This Row],[Data]]="","", Buildings_Heat_Frontend[[#This Row],[Fuel]])</f>
        <v/>
      </c>
      <c r="W292" s="174" t="str" cm="1">
        <f t="array" ref="W292">IF(Buildings_Heat_Frontend[[#This Row],[Data]]="","", _xlfn.XLOOKUP(Buildings_Heat_Backend[[#This Row],[Level 5]],rng_Level5Long,rng_Level6Long))</f>
        <v/>
      </c>
      <c r="X292" s="174" t="str">
        <f>IF(Buildings_Heat_Frontend[[#This Row],[Data]]="","", Buildings_Heat_Frontend[[#This Row],[Site Name]])</f>
        <v/>
      </c>
      <c r="Y292" s="174" t="str">
        <f>IF(Buildings_Heat_Frontend[[#This Row],[Data]]="","", Buildings_Heat_Frontend[[#This Row],[MPRN]])</f>
        <v/>
      </c>
      <c r="Z292" s="174" t="str">
        <f>IF(Buildings_Heat_Frontend[[#This Row],[Data]]="","", IF($I292="","",$I292))</f>
        <v/>
      </c>
      <c r="AA292" s="229" t="str" cm="1">
        <f t="array" ref="AA292">IF(Buildings_Heat_Frontend[[#This Row],[Data]]="","", INDEX(_xlfn.SWITCH(Buildings_Heat_Backend[[#This Row],[Methodology]],"Tier 1",rng_RSD1,"Tier 2",rng_RSD2,"Tier 3",rng_RSD3),MATCH(_xlfn.CONCAT(Buildings_Heat_Backend[[#This Row],[Level 1]:[Level 6]]),rng_LevelsConcat,0)))</f>
        <v/>
      </c>
      <c r="AB292" s="220" t="str">
        <f t="shared" si="13"/>
        <v/>
      </c>
      <c r="AC292" s="174">
        <f>Buildings_Heat_Frontend[[#This Row],[Units]]</f>
        <v>0</v>
      </c>
      <c r="AD29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2" s="174" t="str">
        <f>IF(Buildings_Heat_Frontend[[#This Row],[Data]]="","", _xlfn.XLOOKUP(_xlfn.CONCAT(Buildings_Heat_Backend[[#This Row],[Level 1]:[Level 6]]),rng_LevelsConcat,rng_UnitsLong))</f>
        <v/>
      </c>
      <c r="AF292" s="210" t="str">
        <f>IF(Buildings_Heat_Frontend[[#This Row],[Data]]="","", _xlfn.XLOOKUP(_xlfn.CONCAT(Buildings_Heat_Backend[[#This Row],[Level 1]:[Level 6]]),rng_EFConcat,rng_EF1)*Buildings_Heat_Backend[[#This Row],[Converted data]]/1000)</f>
        <v/>
      </c>
      <c r="AG292" s="210" t="str">
        <f>IF(Buildings_Heat_Frontend[[#This Row],[Data]]="","", _xlfn.XLOOKUP(_xlfn.CONCAT(Buildings_Heat_Backend[[#This Row],[Level 1]:[Level 6]]),rng_EFConcat,rng_EF2)*Buildings_Heat_Backend[[#This Row],[Converted data]]/1000)</f>
        <v/>
      </c>
      <c r="AH292" s="210" t="str">
        <f>IF(Buildings_Heat_Frontend[[#This Row],[Data]]="","", _xlfn.XLOOKUP(_xlfn.CONCAT(Buildings_Heat_Backend[[#This Row],[Level 1]:[Level 6]]),rng_EFConcat,rng_EF3)*Buildings_Heat_Backend[[#This Row],[Converted data]]/1000)</f>
        <v/>
      </c>
      <c r="AI292" s="210" t="str">
        <f>IF(Buildings_Heat_Frontend[[#This Row],[Data]]="","", _xlfn.XLOOKUP(_xlfn.CONCAT(Buildings_Heat_Backend[[#This Row],[Level 1]:[Level 6]]),rng_EFConcat,rng_EF3WTT)*Buildings_Heat_Backend[[#This Row],[Converted data]]/1000)</f>
        <v/>
      </c>
      <c r="AJ292" s="210" t="str">
        <f>IF(Buildings_Heat_Frontend[[#This Row],[Data]]="","", _xlfn.XLOOKUP(_xlfn.CONCAT(Buildings_Heat_Backend[[#This Row],[Level 1]:[Level 6]]),rng_EFConcat,rng_EF3TD)*Buildings_Heat_Backend[[#This Row],[Converted data]]/1000)</f>
        <v/>
      </c>
      <c r="AK292" s="210" t="str">
        <f>IF(Buildings_Heat_Frontend[[#This Row],[Data]]="","", _xlfn.XLOOKUP(_xlfn.CONCAT(Buildings_Heat_Backend[[#This Row],[Level 1]:[Level 6]]),rng_EFConcat,rng_EF3WTTTD)*Buildings_Heat_Backend[[#This Row],[Converted data]]/1000)</f>
        <v/>
      </c>
      <c r="AL292" s="220">
        <f>SUM(Buildings_Heat_Backend[[#This Row],[Scope 1 (tCO2e)]:[Scope 3 WTT T&amp;D (tCO2e)]])</f>
        <v>0</v>
      </c>
      <c r="AM292" s="220" t="str">
        <f>IF(Buildings_Heat_Frontend[[#This Row],[Data]]="","", Buildings_Heat_Backend[[#This Row],[Total (tCO2e)]]*(1-Buildings_Heat_Backend[[#This Row],[RSD]]))</f>
        <v/>
      </c>
      <c r="AN292" s="220" t="str">
        <f>IF(Buildings_Heat_Frontend[[#This Row],[Data]]="","", Buildings_Heat_Backend[[#This Row],[Total (tCO2e)]]*(1+Buildings_Heat_Backend[[#This Row],[RSD]]))</f>
        <v/>
      </c>
      <c r="AO292" s="210" t="str">
        <f>IF(Buildings_Heat_Frontend[[#This Row],[Data]]="","", _xlfn.XLOOKUP(_xlfn.CONCAT(Buildings_Heat_Backend[[#This Row],[Level 1]:[Level 6]]),rng_EFConcat,rng_EFOOS)*Buildings_Heat_Backend[[#This Row],[Converted data]]/1000)</f>
        <v/>
      </c>
      <c r="AP292" s="174">
        <f>Buildings_Heat_Frontend[[#This Row],[Ease of collection]]</f>
        <v>0</v>
      </c>
      <c r="AQ292" s="174">
        <f>Buildings_Heat_Frontend[[#This Row],[Completeness]]</f>
        <v>0</v>
      </c>
      <c r="AR292" s="174">
        <f>Buildings_Heat_Frontend[[#This Row],[Notes]]</f>
        <v>0</v>
      </c>
    </row>
    <row r="293" spans="5:44" x14ac:dyDescent="0.3">
      <c r="E293" s="346"/>
      <c r="F293" s="364"/>
      <c r="G293" s="336"/>
      <c r="H293" s="336"/>
      <c r="I293" s="336"/>
      <c r="J293" s="334"/>
      <c r="K293" s="336"/>
      <c r="L293" s="336"/>
      <c r="M293" s="336"/>
      <c r="N293" s="352"/>
      <c r="O293" s="230">
        <f t="shared" si="14"/>
        <v>6</v>
      </c>
      <c r="Q293" s="212" t="str">
        <f t="shared" si="12"/>
        <v/>
      </c>
      <c r="R293" s="174" t="s">
        <v>265</v>
      </c>
      <c r="S293" s="174" t="s">
        <v>273</v>
      </c>
      <c r="T293" s="174" t="str">
        <f>IF(Buildings_Heat_Frontend[[#This Row],[Data]]="","", _xlfn.XLOOKUP(Buildings_Heat_Backend[[#This Row],[Info 1]],Buildings_SiteInfo[Site name],Buildings_SiteInfo[Site type]))</f>
        <v/>
      </c>
      <c r="U293" s="174" t="str">
        <f>IF(Buildings_Heat_Frontend[[#This Row],[Data]]="","", Buildings_Heat_Frontend[[#This Row],[Heating Type]])</f>
        <v/>
      </c>
      <c r="V293" s="174" t="str">
        <f>IF(Buildings_Heat_Frontend[[#This Row],[Data]]="","", Buildings_Heat_Frontend[[#This Row],[Fuel]])</f>
        <v/>
      </c>
      <c r="W293" s="174" t="str" cm="1">
        <f t="array" ref="W293">IF(Buildings_Heat_Frontend[[#This Row],[Data]]="","", _xlfn.XLOOKUP(Buildings_Heat_Backend[[#This Row],[Level 5]],rng_Level5Long,rng_Level6Long))</f>
        <v/>
      </c>
      <c r="X293" s="174" t="str">
        <f>IF(Buildings_Heat_Frontend[[#This Row],[Data]]="","", Buildings_Heat_Frontend[[#This Row],[Site Name]])</f>
        <v/>
      </c>
      <c r="Y293" s="174" t="str">
        <f>IF(Buildings_Heat_Frontend[[#This Row],[Data]]="","", Buildings_Heat_Frontend[[#This Row],[MPRN]])</f>
        <v/>
      </c>
      <c r="Z293" s="174" t="str">
        <f>IF(Buildings_Heat_Frontend[[#This Row],[Data]]="","", IF($I293="","",$I293))</f>
        <v/>
      </c>
      <c r="AA293" s="229" t="str" cm="1">
        <f t="array" ref="AA293">IF(Buildings_Heat_Frontend[[#This Row],[Data]]="","", INDEX(_xlfn.SWITCH(Buildings_Heat_Backend[[#This Row],[Methodology]],"Tier 1",rng_RSD1,"Tier 2",rng_RSD2,"Tier 3",rng_RSD3),MATCH(_xlfn.CONCAT(Buildings_Heat_Backend[[#This Row],[Level 1]:[Level 6]]),rng_LevelsConcat,0)))</f>
        <v/>
      </c>
      <c r="AB293" s="220" t="str">
        <f t="shared" si="13"/>
        <v/>
      </c>
      <c r="AC293" s="174">
        <f>Buildings_Heat_Frontend[[#This Row],[Units]]</f>
        <v>0</v>
      </c>
      <c r="AD29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3" s="174" t="str">
        <f>IF(Buildings_Heat_Frontend[[#This Row],[Data]]="","", _xlfn.XLOOKUP(_xlfn.CONCAT(Buildings_Heat_Backend[[#This Row],[Level 1]:[Level 6]]),rng_LevelsConcat,rng_UnitsLong))</f>
        <v/>
      </c>
      <c r="AF293" s="210" t="str">
        <f>IF(Buildings_Heat_Frontend[[#This Row],[Data]]="","", _xlfn.XLOOKUP(_xlfn.CONCAT(Buildings_Heat_Backend[[#This Row],[Level 1]:[Level 6]]),rng_EFConcat,rng_EF1)*Buildings_Heat_Backend[[#This Row],[Converted data]]/1000)</f>
        <v/>
      </c>
      <c r="AG293" s="210" t="str">
        <f>IF(Buildings_Heat_Frontend[[#This Row],[Data]]="","", _xlfn.XLOOKUP(_xlfn.CONCAT(Buildings_Heat_Backend[[#This Row],[Level 1]:[Level 6]]),rng_EFConcat,rng_EF2)*Buildings_Heat_Backend[[#This Row],[Converted data]]/1000)</f>
        <v/>
      </c>
      <c r="AH293" s="210" t="str">
        <f>IF(Buildings_Heat_Frontend[[#This Row],[Data]]="","", _xlfn.XLOOKUP(_xlfn.CONCAT(Buildings_Heat_Backend[[#This Row],[Level 1]:[Level 6]]),rng_EFConcat,rng_EF3)*Buildings_Heat_Backend[[#This Row],[Converted data]]/1000)</f>
        <v/>
      </c>
      <c r="AI293" s="210" t="str">
        <f>IF(Buildings_Heat_Frontend[[#This Row],[Data]]="","", _xlfn.XLOOKUP(_xlfn.CONCAT(Buildings_Heat_Backend[[#This Row],[Level 1]:[Level 6]]),rng_EFConcat,rng_EF3WTT)*Buildings_Heat_Backend[[#This Row],[Converted data]]/1000)</f>
        <v/>
      </c>
      <c r="AJ293" s="210" t="str">
        <f>IF(Buildings_Heat_Frontend[[#This Row],[Data]]="","", _xlfn.XLOOKUP(_xlfn.CONCAT(Buildings_Heat_Backend[[#This Row],[Level 1]:[Level 6]]),rng_EFConcat,rng_EF3TD)*Buildings_Heat_Backend[[#This Row],[Converted data]]/1000)</f>
        <v/>
      </c>
      <c r="AK293" s="210" t="str">
        <f>IF(Buildings_Heat_Frontend[[#This Row],[Data]]="","", _xlfn.XLOOKUP(_xlfn.CONCAT(Buildings_Heat_Backend[[#This Row],[Level 1]:[Level 6]]),rng_EFConcat,rng_EF3WTTTD)*Buildings_Heat_Backend[[#This Row],[Converted data]]/1000)</f>
        <v/>
      </c>
      <c r="AL293" s="220">
        <f>SUM(Buildings_Heat_Backend[[#This Row],[Scope 1 (tCO2e)]:[Scope 3 WTT T&amp;D (tCO2e)]])</f>
        <v>0</v>
      </c>
      <c r="AM293" s="220" t="str">
        <f>IF(Buildings_Heat_Frontend[[#This Row],[Data]]="","", Buildings_Heat_Backend[[#This Row],[Total (tCO2e)]]*(1-Buildings_Heat_Backend[[#This Row],[RSD]]))</f>
        <v/>
      </c>
      <c r="AN293" s="220" t="str">
        <f>IF(Buildings_Heat_Frontend[[#This Row],[Data]]="","", Buildings_Heat_Backend[[#This Row],[Total (tCO2e)]]*(1+Buildings_Heat_Backend[[#This Row],[RSD]]))</f>
        <v/>
      </c>
      <c r="AO293" s="210" t="str">
        <f>IF(Buildings_Heat_Frontend[[#This Row],[Data]]="","", _xlfn.XLOOKUP(_xlfn.CONCAT(Buildings_Heat_Backend[[#This Row],[Level 1]:[Level 6]]),rng_EFConcat,rng_EFOOS)*Buildings_Heat_Backend[[#This Row],[Converted data]]/1000)</f>
        <v/>
      </c>
      <c r="AP293" s="174">
        <f>Buildings_Heat_Frontend[[#This Row],[Ease of collection]]</f>
        <v>0</v>
      </c>
      <c r="AQ293" s="174">
        <f>Buildings_Heat_Frontend[[#This Row],[Completeness]]</f>
        <v>0</v>
      </c>
      <c r="AR293" s="174">
        <f>Buildings_Heat_Frontend[[#This Row],[Notes]]</f>
        <v>0</v>
      </c>
    </row>
    <row r="294" spans="5:44" x14ac:dyDescent="0.3">
      <c r="E294" s="346"/>
      <c r="F294" s="364"/>
      <c r="G294" s="336"/>
      <c r="H294" s="336"/>
      <c r="I294" s="336"/>
      <c r="J294" s="334"/>
      <c r="K294" s="336"/>
      <c r="L294" s="336"/>
      <c r="M294" s="336"/>
      <c r="N294" s="352"/>
      <c r="O294" s="230">
        <f t="shared" si="14"/>
        <v>6</v>
      </c>
      <c r="Q294" s="212" t="str">
        <f t="shared" si="12"/>
        <v/>
      </c>
      <c r="R294" s="174" t="s">
        <v>265</v>
      </c>
      <c r="S294" s="174" t="s">
        <v>273</v>
      </c>
      <c r="T294" s="174" t="str">
        <f>IF(Buildings_Heat_Frontend[[#This Row],[Data]]="","", _xlfn.XLOOKUP(Buildings_Heat_Backend[[#This Row],[Info 1]],Buildings_SiteInfo[Site name],Buildings_SiteInfo[Site type]))</f>
        <v/>
      </c>
      <c r="U294" s="174" t="str">
        <f>IF(Buildings_Heat_Frontend[[#This Row],[Data]]="","", Buildings_Heat_Frontend[[#This Row],[Heating Type]])</f>
        <v/>
      </c>
      <c r="V294" s="174" t="str">
        <f>IF(Buildings_Heat_Frontend[[#This Row],[Data]]="","", Buildings_Heat_Frontend[[#This Row],[Fuel]])</f>
        <v/>
      </c>
      <c r="W294" s="174" t="str" cm="1">
        <f t="array" ref="W294">IF(Buildings_Heat_Frontend[[#This Row],[Data]]="","", _xlfn.XLOOKUP(Buildings_Heat_Backend[[#This Row],[Level 5]],rng_Level5Long,rng_Level6Long))</f>
        <v/>
      </c>
      <c r="X294" s="174" t="str">
        <f>IF(Buildings_Heat_Frontend[[#This Row],[Data]]="","", Buildings_Heat_Frontend[[#This Row],[Site Name]])</f>
        <v/>
      </c>
      <c r="Y294" s="174" t="str">
        <f>IF(Buildings_Heat_Frontend[[#This Row],[Data]]="","", Buildings_Heat_Frontend[[#This Row],[MPRN]])</f>
        <v/>
      </c>
      <c r="Z294" s="174" t="str">
        <f>IF(Buildings_Heat_Frontend[[#This Row],[Data]]="","", IF($I294="","",$I294))</f>
        <v/>
      </c>
      <c r="AA294" s="229" t="str" cm="1">
        <f t="array" ref="AA294">IF(Buildings_Heat_Frontend[[#This Row],[Data]]="","", INDEX(_xlfn.SWITCH(Buildings_Heat_Backend[[#This Row],[Methodology]],"Tier 1",rng_RSD1,"Tier 2",rng_RSD2,"Tier 3",rng_RSD3),MATCH(_xlfn.CONCAT(Buildings_Heat_Backend[[#This Row],[Level 1]:[Level 6]]),rng_LevelsConcat,0)))</f>
        <v/>
      </c>
      <c r="AB294" s="220" t="str">
        <f t="shared" si="13"/>
        <v/>
      </c>
      <c r="AC294" s="174">
        <f>Buildings_Heat_Frontend[[#This Row],[Units]]</f>
        <v>0</v>
      </c>
      <c r="AD29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4" s="174" t="str">
        <f>IF(Buildings_Heat_Frontend[[#This Row],[Data]]="","", _xlfn.XLOOKUP(_xlfn.CONCAT(Buildings_Heat_Backend[[#This Row],[Level 1]:[Level 6]]),rng_LevelsConcat,rng_UnitsLong))</f>
        <v/>
      </c>
      <c r="AF294" s="210" t="str">
        <f>IF(Buildings_Heat_Frontend[[#This Row],[Data]]="","", _xlfn.XLOOKUP(_xlfn.CONCAT(Buildings_Heat_Backend[[#This Row],[Level 1]:[Level 6]]),rng_EFConcat,rng_EF1)*Buildings_Heat_Backend[[#This Row],[Converted data]]/1000)</f>
        <v/>
      </c>
      <c r="AG294" s="210" t="str">
        <f>IF(Buildings_Heat_Frontend[[#This Row],[Data]]="","", _xlfn.XLOOKUP(_xlfn.CONCAT(Buildings_Heat_Backend[[#This Row],[Level 1]:[Level 6]]),rng_EFConcat,rng_EF2)*Buildings_Heat_Backend[[#This Row],[Converted data]]/1000)</f>
        <v/>
      </c>
      <c r="AH294" s="210" t="str">
        <f>IF(Buildings_Heat_Frontend[[#This Row],[Data]]="","", _xlfn.XLOOKUP(_xlfn.CONCAT(Buildings_Heat_Backend[[#This Row],[Level 1]:[Level 6]]),rng_EFConcat,rng_EF3)*Buildings_Heat_Backend[[#This Row],[Converted data]]/1000)</f>
        <v/>
      </c>
      <c r="AI294" s="210" t="str">
        <f>IF(Buildings_Heat_Frontend[[#This Row],[Data]]="","", _xlfn.XLOOKUP(_xlfn.CONCAT(Buildings_Heat_Backend[[#This Row],[Level 1]:[Level 6]]),rng_EFConcat,rng_EF3WTT)*Buildings_Heat_Backend[[#This Row],[Converted data]]/1000)</f>
        <v/>
      </c>
      <c r="AJ294" s="210" t="str">
        <f>IF(Buildings_Heat_Frontend[[#This Row],[Data]]="","", _xlfn.XLOOKUP(_xlfn.CONCAT(Buildings_Heat_Backend[[#This Row],[Level 1]:[Level 6]]),rng_EFConcat,rng_EF3TD)*Buildings_Heat_Backend[[#This Row],[Converted data]]/1000)</f>
        <v/>
      </c>
      <c r="AK294" s="210" t="str">
        <f>IF(Buildings_Heat_Frontend[[#This Row],[Data]]="","", _xlfn.XLOOKUP(_xlfn.CONCAT(Buildings_Heat_Backend[[#This Row],[Level 1]:[Level 6]]),rng_EFConcat,rng_EF3WTTTD)*Buildings_Heat_Backend[[#This Row],[Converted data]]/1000)</f>
        <v/>
      </c>
      <c r="AL294" s="220">
        <f>SUM(Buildings_Heat_Backend[[#This Row],[Scope 1 (tCO2e)]:[Scope 3 WTT T&amp;D (tCO2e)]])</f>
        <v>0</v>
      </c>
      <c r="AM294" s="220" t="str">
        <f>IF(Buildings_Heat_Frontend[[#This Row],[Data]]="","", Buildings_Heat_Backend[[#This Row],[Total (tCO2e)]]*(1-Buildings_Heat_Backend[[#This Row],[RSD]]))</f>
        <v/>
      </c>
      <c r="AN294" s="220" t="str">
        <f>IF(Buildings_Heat_Frontend[[#This Row],[Data]]="","", Buildings_Heat_Backend[[#This Row],[Total (tCO2e)]]*(1+Buildings_Heat_Backend[[#This Row],[RSD]]))</f>
        <v/>
      </c>
      <c r="AO294" s="210" t="str">
        <f>IF(Buildings_Heat_Frontend[[#This Row],[Data]]="","", _xlfn.XLOOKUP(_xlfn.CONCAT(Buildings_Heat_Backend[[#This Row],[Level 1]:[Level 6]]),rng_EFConcat,rng_EFOOS)*Buildings_Heat_Backend[[#This Row],[Converted data]]/1000)</f>
        <v/>
      </c>
      <c r="AP294" s="174">
        <f>Buildings_Heat_Frontend[[#This Row],[Ease of collection]]</f>
        <v>0</v>
      </c>
      <c r="AQ294" s="174">
        <f>Buildings_Heat_Frontend[[#This Row],[Completeness]]</f>
        <v>0</v>
      </c>
      <c r="AR294" s="174">
        <f>Buildings_Heat_Frontend[[#This Row],[Notes]]</f>
        <v>0</v>
      </c>
    </row>
    <row r="295" spans="5:44" x14ac:dyDescent="0.3">
      <c r="E295" s="346"/>
      <c r="F295" s="364"/>
      <c r="G295" s="336"/>
      <c r="H295" s="336"/>
      <c r="I295" s="336"/>
      <c r="J295" s="334"/>
      <c r="K295" s="336"/>
      <c r="L295" s="336"/>
      <c r="M295" s="336"/>
      <c r="N295" s="352"/>
      <c r="O295" s="230">
        <f t="shared" si="14"/>
        <v>6</v>
      </c>
      <c r="Q295" s="212" t="str">
        <f t="shared" si="12"/>
        <v/>
      </c>
      <c r="R295" s="174" t="s">
        <v>265</v>
      </c>
      <c r="S295" s="174" t="s">
        <v>273</v>
      </c>
      <c r="T295" s="174" t="str">
        <f>IF(Buildings_Heat_Frontend[[#This Row],[Data]]="","", _xlfn.XLOOKUP(Buildings_Heat_Backend[[#This Row],[Info 1]],Buildings_SiteInfo[Site name],Buildings_SiteInfo[Site type]))</f>
        <v/>
      </c>
      <c r="U295" s="174" t="str">
        <f>IF(Buildings_Heat_Frontend[[#This Row],[Data]]="","", Buildings_Heat_Frontend[[#This Row],[Heating Type]])</f>
        <v/>
      </c>
      <c r="V295" s="174" t="str">
        <f>IF(Buildings_Heat_Frontend[[#This Row],[Data]]="","", Buildings_Heat_Frontend[[#This Row],[Fuel]])</f>
        <v/>
      </c>
      <c r="W295" s="174" t="str" cm="1">
        <f t="array" ref="W295">IF(Buildings_Heat_Frontend[[#This Row],[Data]]="","", _xlfn.XLOOKUP(Buildings_Heat_Backend[[#This Row],[Level 5]],rng_Level5Long,rng_Level6Long))</f>
        <v/>
      </c>
      <c r="X295" s="174" t="str">
        <f>IF(Buildings_Heat_Frontend[[#This Row],[Data]]="","", Buildings_Heat_Frontend[[#This Row],[Site Name]])</f>
        <v/>
      </c>
      <c r="Y295" s="174" t="str">
        <f>IF(Buildings_Heat_Frontend[[#This Row],[Data]]="","", Buildings_Heat_Frontend[[#This Row],[MPRN]])</f>
        <v/>
      </c>
      <c r="Z295" s="174" t="str">
        <f>IF(Buildings_Heat_Frontend[[#This Row],[Data]]="","", IF($I295="","",$I295))</f>
        <v/>
      </c>
      <c r="AA295" s="229" t="str" cm="1">
        <f t="array" ref="AA295">IF(Buildings_Heat_Frontend[[#This Row],[Data]]="","", INDEX(_xlfn.SWITCH(Buildings_Heat_Backend[[#This Row],[Methodology]],"Tier 1",rng_RSD1,"Tier 2",rng_RSD2,"Tier 3",rng_RSD3),MATCH(_xlfn.CONCAT(Buildings_Heat_Backend[[#This Row],[Level 1]:[Level 6]]),rng_LevelsConcat,0)))</f>
        <v/>
      </c>
      <c r="AB295" s="220" t="str">
        <f t="shared" si="13"/>
        <v/>
      </c>
      <c r="AC295" s="174">
        <f>Buildings_Heat_Frontend[[#This Row],[Units]]</f>
        <v>0</v>
      </c>
      <c r="AD29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5" s="174" t="str">
        <f>IF(Buildings_Heat_Frontend[[#This Row],[Data]]="","", _xlfn.XLOOKUP(_xlfn.CONCAT(Buildings_Heat_Backend[[#This Row],[Level 1]:[Level 6]]),rng_LevelsConcat,rng_UnitsLong))</f>
        <v/>
      </c>
      <c r="AF295" s="210" t="str">
        <f>IF(Buildings_Heat_Frontend[[#This Row],[Data]]="","", _xlfn.XLOOKUP(_xlfn.CONCAT(Buildings_Heat_Backend[[#This Row],[Level 1]:[Level 6]]),rng_EFConcat,rng_EF1)*Buildings_Heat_Backend[[#This Row],[Converted data]]/1000)</f>
        <v/>
      </c>
      <c r="AG295" s="210" t="str">
        <f>IF(Buildings_Heat_Frontend[[#This Row],[Data]]="","", _xlfn.XLOOKUP(_xlfn.CONCAT(Buildings_Heat_Backend[[#This Row],[Level 1]:[Level 6]]),rng_EFConcat,rng_EF2)*Buildings_Heat_Backend[[#This Row],[Converted data]]/1000)</f>
        <v/>
      </c>
      <c r="AH295" s="210" t="str">
        <f>IF(Buildings_Heat_Frontend[[#This Row],[Data]]="","", _xlfn.XLOOKUP(_xlfn.CONCAT(Buildings_Heat_Backend[[#This Row],[Level 1]:[Level 6]]),rng_EFConcat,rng_EF3)*Buildings_Heat_Backend[[#This Row],[Converted data]]/1000)</f>
        <v/>
      </c>
      <c r="AI295" s="210" t="str">
        <f>IF(Buildings_Heat_Frontend[[#This Row],[Data]]="","", _xlfn.XLOOKUP(_xlfn.CONCAT(Buildings_Heat_Backend[[#This Row],[Level 1]:[Level 6]]),rng_EFConcat,rng_EF3WTT)*Buildings_Heat_Backend[[#This Row],[Converted data]]/1000)</f>
        <v/>
      </c>
      <c r="AJ295" s="210" t="str">
        <f>IF(Buildings_Heat_Frontend[[#This Row],[Data]]="","", _xlfn.XLOOKUP(_xlfn.CONCAT(Buildings_Heat_Backend[[#This Row],[Level 1]:[Level 6]]),rng_EFConcat,rng_EF3TD)*Buildings_Heat_Backend[[#This Row],[Converted data]]/1000)</f>
        <v/>
      </c>
      <c r="AK295" s="210" t="str">
        <f>IF(Buildings_Heat_Frontend[[#This Row],[Data]]="","", _xlfn.XLOOKUP(_xlfn.CONCAT(Buildings_Heat_Backend[[#This Row],[Level 1]:[Level 6]]),rng_EFConcat,rng_EF3WTTTD)*Buildings_Heat_Backend[[#This Row],[Converted data]]/1000)</f>
        <v/>
      </c>
      <c r="AL295" s="220">
        <f>SUM(Buildings_Heat_Backend[[#This Row],[Scope 1 (tCO2e)]:[Scope 3 WTT T&amp;D (tCO2e)]])</f>
        <v>0</v>
      </c>
      <c r="AM295" s="220" t="str">
        <f>IF(Buildings_Heat_Frontend[[#This Row],[Data]]="","", Buildings_Heat_Backend[[#This Row],[Total (tCO2e)]]*(1-Buildings_Heat_Backend[[#This Row],[RSD]]))</f>
        <v/>
      </c>
      <c r="AN295" s="220" t="str">
        <f>IF(Buildings_Heat_Frontend[[#This Row],[Data]]="","", Buildings_Heat_Backend[[#This Row],[Total (tCO2e)]]*(1+Buildings_Heat_Backend[[#This Row],[RSD]]))</f>
        <v/>
      </c>
      <c r="AO295" s="210" t="str">
        <f>IF(Buildings_Heat_Frontend[[#This Row],[Data]]="","", _xlfn.XLOOKUP(_xlfn.CONCAT(Buildings_Heat_Backend[[#This Row],[Level 1]:[Level 6]]),rng_EFConcat,rng_EFOOS)*Buildings_Heat_Backend[[#This Row],[Converted data]]/1000)</f>
        <v/>
      </c>
      <c r="AP295" s="174">
        <f>Buildings_Heat_Frontend[[#This Row],[Ease of collection]]</f>
        <v>0</v>
      </c>
      <c r="AQ295" s="174">
        <f>Buildings_Heat_Frontend[[#This Row],[Completeness]]</f>
        <v>0</v>
      </c>
      <c r="AR295" s="174">
        <f>Buildings_Heat_Frontend[[#This Row],[Notes]]</f>
        <v>0</v>
      </c>
    </row>
    <row r="296" spans="5:44" x14ac:dyDescent="0.3">
      <c r="E296" s="346"/>
      <c r="F296" s="364"/>
      <c r="G296" s="336"/>
      <c r="H296" s="336"/>
      <c r="I296" s="336"/>
      <c r="J296" s="334"/>
      <c r="K296" s="336"/>
      <c r="L296" s="336"/>
      <c r="M296" s="336"/>
      <c r="N296" s="352"/>
      <c r="O296" s="230">
        <f t="shared" si="14"/>
        <v>6</v>
      </c>
      <c r="Q296" s="212" t="str">
        <f t="shared" si="12"/>
        <v/>
      </c>
      <c r="R296" s="174" t="s">
        <v>265</v>
      </c>
      <c r="S296" s="174" t="s">
        <v>273</v>
      </c>
      <c r="T296" s="174" t="str">
        <f>IF(Buildings_Heat_Frontend[[#This Row],[Data]]="","", _xlfn.XLOOKUP(Buildings_Heat_Backend[[#This Row],[Info 1]],Buildings_SiteInfo[Site name],Buildings_SiteInfo[Site type]))</f>
        <v/>
      </c>
      <c r="U296" s="174" t="str">
        <f>IF(Buildings_Heat_Frontend[[#This Row],[Data]]="","", Buildings_Heat_Frontend[[#This Row],[Heating Type]])</f>
        <v/>
      </c>
      <c r="V296" s="174" t="str">
        <f>IF(Buildings_Heat_Frontend[[#This Row],[Data]]="","", Buildings_Heat_Frontend[[#This Row],[Fuel]])</f>
        <v/>
      </c>
      <c r="W296" s="174" t="str" cm="1">
        <f t="array" ref="W296">IF(Buildings_Heat_Frontend[[#This Row],[Data]]="","", _xlfn.XLOOKUP(Buildings_Heat_Backend[[#This Row],[Level 5]],rng_Level5Long,rng_Level6Long))</f>
        <v/>
      </c>
      <c r="X296" s="174" t="str">
        <f>IF(Buildings_Heat_Frontend[[#This Row],[Data]]="","", Buildings_Heat_Frontend[[#This Row],[Site Name]])</f>
        <v/>
      </c>
      <c r="Y296" s="174" t="str">
        <f>IF(Buildings_Heat_Frontend[[#This Row],[Data]]="","", Buildings_Heat_Frontend[[#This Row],[MPRN]])</f>
        <v/>
      </c>
      <c r="Z296" s="174" t="str">
        <f>IF(Buildings_Heat_Frontend[[#This Row],[Data]]="","", IF($I296="","",$I296))</f>
        <v/>
      </c>
      <c r="AA296" s="229" t="str" cm="1">
        <f t="array" ref="AA296">IF(Buildings_Heat_Frontend[[#This Row],[Data]]="","", INDEX(_xlfn.SWITCH(Buildings_Heat_Backend[[#This Row],[Methodology]],"Tier 1",rng_RSD1,"Tier 2",rng_RSD2,"Tier 3",rng_RSD3),MATCH(_xlfn.CONCAT(Buildings_Heat_Backend[[#This Row],[Level 1]:[Level 6]]),rng_LevelsConcat,0)))</f>
        <v/>
      </c>
      <c r="AB296" s="220" t="str">
        <f t="shared" si="13"/>
        <v/>
      </c>
      <c r="AC296" s="174">
        <f>Buildings_Heat_Frontend[[#This Row],[Units]]</f>
        <v>0</v>
      </c>
      <c r="AD29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6" s="174" t="str">
        <f>IF(Buildings_Heat_Frontend[[#This Row],[Data]]="","", _xlfn.XLOOKUP(_xlfn.CONCAT(Buildings_Heat_Backend[[#This Row],[Level 1]:[Level 6]]),rng_LevelsConcat,rng_UnitsLong))</f>
        <v/>
      </c>
      <c r="AF296" s="210" t="str">
        <f>IF(Buildings_Heat_Frontend[[#This Row],[Data]]="","", _xlfn.XLOOKUP(_xlfn.CONCAT(Buildings_Heat_Backend[[#This Row],[Level 1]:[Level 6]]),rng_EFConcat,rng_EF1)*Buildings_Heat_Backend[[#This Row],[Converted data]]/1000)</f>
        <v/>
      </c>
      <c r="AG296" s="210" t="str">
        <f>IF(Buildings_Heat_Frontend[[#This Row],[Data]]="","", _xlfn.XLOOKUP(_xlfn.CONCAT(Buildings_Heat_Backend[[#This Row],[Level 1]:[Level 6]]),rng_EFConcat,rng_EF2)*Buildings_Heat_Backend[[#This Row],[Converted data]]/1000)</f>
        <v/>
      </c>
      <c r="AH296" s="210" t="str">
        <f>IF(Buildings_Heat_Frontend[[#This Row],[Data]]="","", _xlfn.XLOOKUP(_xlfn.CONCAT(Buildings_Heat_Backend[[#This Row],[Level 1]:[Level 6]]),rng_EFConcat,rng_EF3)*Buildings_Heat_Backend[[#This Row],[Converted data]]/1000)</f>
        <v/>
      </c>
      <c r="AI296" s="210" t="str">
        <f>IF(Buildings_Heat_Frontend[[#This Row],[Data]]="","", _xlfn.XLOOKUP(_xlfn.CONCAT(Buildings_Heat_Backend[[#This Row],[Level 1]:[Level 6]]),rng_EFConcat,rng_EF3WTT)*Buildings_Heat_Backend[[#This Row],[Converted data]]/1000)</f>
        <v/>
      </c>
      <c r="AJ296" s="210" t="str">
        <f>IF(Buildings_Heat_Frontend[[#This Row],[Data]]="","", _xlfn.XLOOKUP(_xlfn.CONCAT(Buildings_Heat_Backend[[#This Row],[Level 1]:[Level 6]]),rng_EFConcat,rng_EF3TD)*Buildings_Heat_Backend[[#This Row],[Converted data]]/1000)</f>
        <v/>
      </c>
      <c r="AK296" s="210" t="str">
        <f>IF(Buildings_Heat_Frontend[[#This Row],[Data]]="","", _xlfn.XLOOKUP(_xlfn.CONCAT(Buildings_Heat_Backend[[#This Row],[Level 1]:[Level 6]]),rng_EFConcat,rng_EF3WTTTD)*Buildings_Heat_Backend[[#This Row],[Converted data]]/1000)</f>
        <v/>
      </c>
      <c r="AL296" s="220">
        <f>SUM(Buildings_Heat_Backend[[#This Row],[Scope 1 (tCO2e)]:[Scope 3 WTT T&amp;D (tCO2e)]])</f>
        <v>0</v>
      </c>
      <c r="AM296" s="220" t="str">
        <f>IF(Buildings_Heat_Frontend[[#This Row],[Data]]="","", Buildings_Heat_Backend[[#This Row],[Total (tCO2e)]]*(1-Buildings_Heat_Backend[[#This Row],[RSD]]))</f>
        <v/>
      </c>
      <c r="AN296" s="220" t="str">
        <f>IF(Buildings_Heat_Frontend[[#This Row],[Data]]="","", Buildings_Heat_Backend[[#This Row],[Total (tCO2e)]]*(1+Buildings_Heat_Backend[[#This Row],[RSD]]))</f>
        <v/>
      </c>
      <c r="AO296" s="210" t="str">
        <f>IF(Buildings_Heat_Frontend[[#This Row],[Data]]="","", _xlfn.XLOOKUP(_xlfn.CONCAT(Buildings_Heat_Backend[[#This Row],[Level 1]:[Level 6]]),rng_EFConcat,rng_EFOOS)*Buildings_Heat_Backend[[#This Row],[Converted data]]/1000)</f>
        <v/>
      </c>
      <c r="AP296" s="174">
        <f>Buildings_Heat_Frontend[[#This Row],[Ease of collection]]</f>
        <v>0</v>
      </c>
      <c r="AQ296" s="174">
        <f>Buildings_Heat_Frontend[[#This Row],[Completeness]]</f>
        <v>0</v>
      </c>
      <c r="AR296" s="174">
        <f>Buildings_Heat_Frontend[[#This Row],[Notes]]</f>
        <v>0</v>
      </c>
    </row>
    <row r="297" spans="5:44" x14ac:dyDescent="0.3">
      <c r="E297" s="346"/>
      <c r="F297" s="364"/>
      <c r="G297" s="336"/>
      <c r="H297" s="336"/>
      <c r="I297" s="336"/>
      <c r="J297" s="334"/>
      <c r="K297" s="336"/>
      <c r="L297" s="336"/>
      <c r="M297" s="336"/>
      <c r="N297" s="352"/>
      <c r="O297" s="230">
        <f t="shared" si="14"/>
        <v>6</v>
      </c>
      <c r="Q297" s="212" t="str">
        <f t="shared" si="12"/>
        <v/>
      </c>
      <c r="R297" s="174" t="s">
        <v>265</v>
      </c>
      <c r="S297" s="174" t="s">
        <v>273</v>
      </c>
      <c r="T297" s="174" t="str">
        <f>IF(Buildings_Heat_Frontend[[#This Row],[Data]]="","", _xlfn.XLOOKUP(Buildings_Heat_Backend[[#This Row],[Info 1]],Buildings_SiteInfo[Site name],Buildings_SiteInfo[Site type]))</f>
        <v/>
      </c>
      <c r="U297" s="174" t="str">
        <f>IF(Buildings_Heat_Frontend[[#This Row],[Data]]="","", Buildings_Heat_Frontend[[#This Row],[Heating Type]])</f>
        <v/>
      </c>
      <c r="V297" s="174" t="str">
        <f>IF(Buildings_Heat_Frontend[[#This Row],[Data]]="","", Buildings_Heat_Frontend[[#This Row],[Fuel]])</f>
        <v/>
      </c>
      <c r="W297" s="174" t="str" cm="1">
        <f t="array" ref="W297">IF(Buildings_Heat_Frontend[[#This Row],[Data]]="","", _xlfn.XLOOKUP(Buildings_Heat_Backend[[#This Row],[Level 5]],rng_Level5Long,rng_Level6Long))</f>
        <v/>
      </c>
      <c r="X297" s="174" t="str">
        <f>IF(Buildings_Heat_Frontend[[#This Row],[Data]]="","", Buildings_Heat_Frontend[[#This Row],[Site Name]])</f>
        <v/>
      </c>
      <c r="Y297" s="174" t="str">
        <f>IF(Buildings_Heat_Frontend[[#This Row],[Data]]="","", Buildings_Heat_Frontend[[#This Row],[MPRN]])</f>
        <v/>
      </c>
      <c r="Z297" s="174" t="str">
        <f>IF(Buildings_Heat_Frontend[[#This Row],[Data]]="","", IF($I297="","",$I297))</f>
        <v/>
      </c>
      <c r="AA297" s="229" t="str" cm="1">
        <f t="array" ref="AA297">IF(Buildings_Heat_Frontend[[#This Row],[Data]]="","", INDEX(_xlfn.SWITCH(Buildings_Heat_Backend[[#This Row],[Methodology]],"Tier 1",rng_RSD1,"Tier 2",rng_RSD2,"Tier 3",rng_RSD3),MATCH(_xlfn.CONCAT(Buildings_Heat_Backend[[#This Row],[Level 1]:[Level 6]]),rng_LevelsConcat,0)))</f>
        <v/>
      </c>
      <c r="AB297" s="220" t="str">
        <f t="shared" si="13"/>
        <v/>
      </c>
      <c r="AC297" s="174">
        <f>Buildings_Heat_Frontend[[#This Row],[Units]]</f>
        <v>0</v>
      </c>
      <c r="AD29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7" s="174" t="str">
        <f>IF(Buildings_Heat_Frontend[[#This Row],[Data]]="","", _xlfn.XLOOKUP(_xlfn.CONCAT(Buildings_Heat_Backend[[#This Row],[Level 1]:[Level 6]]),rng_LevelsConcat,rng_UnitsLong))</f>
        <v/>
      </c>
      <c r="AF297" s="210" t="str">
        <f>IF(Buildings_Heat_Frontend[[#This Row],[Data]]="","", _xlfn.XLOOKUP(_xlfn.CONCAT(Buildings_Heat_Backend[[#This Row],[Level 1]:[Level 6]]),rng_EFConcat,rng_EF1)*Buildings_Heat_Backend[[#This Row],[Converted data]]/1000)</f>
        <v/>
      </c>
      <c r="AG297" s="210" t="str">
        <f>IF(Buildings_Heat_Frontend[[#This Row],[Data]]="","", _xlfn.XLOOKUP(_xlfn.CONCAT(Buildings_Heat_Backend[[#This Row],[Level 1]:[Level 6]]),rng_EFConcat,rng_EF2)*Buildings_Heat_Backend[[#This Row],[Converted data]]/1000)</f>
        <v/>
      </c>
      <c r="AH297" s="210" t="str">
        <f>IF(Buildings_Heat_Frontend[[#This Row],[Data]]="","", _xlfn.XLOOKUP(_xlfn.CONCAT(Buildings_Heat_Backend[[#This Row],[Level 1]:[Level 6]]),rng_EFConcat,rng_EF3)*Buildings_Heat_Backend[[#This Row],[Converted data]]/1000)</f>
        <v/>
      </c>
      <c r="AI297" s="210" t="str">
        <f>IF(Buildings_Heat_Frontend[[#This Row],[Data]]="","", _xlfn.XLOOKUP(_xlfn.CONCAT(Buildings_Heat_Backend[[#This Row],[Level 1]:[Level 6]]),rng_EFConcat,rng_EF3WTT)*Buildings_Heat_Backend[[#This Row],[Converted data]]/1000)</f>
        <v/>
      </c>
      <c r="AJ297" s="210" t="str">
        <f>IF(Buildings_Heat_Frontend[[#This Row],[Data]]="","", _xlfn.XLOOKUP(_xlfn.CONCAT(Buildings_Heat_Backend[[#This Row],[Level 1]:[Level 6]]),rng_EFConcat,rng_EF3TD)*Buildings_Heat_Backend[[#This Row],[Converted data]]/1000)</f>
        <v/>
      </c>
      <c r="AK297" s="210" t="str">
        <f>IF(Buildings_Heat_Frontend[[#This Row],[Data]]="","", _xlfn.XLOOKUP(_xlfn.CONCAT(Buildings_Heat_Backend[[#This Row],[Level 1]:[Level 6]]),rng_EFConcat,rng_EF3WTTTD)*Buildings_Heat_Backend[[#This Row],[Converted data]]/1000)</f>
        <v/>
      </c>
      <c r="AL297" s="220">
        <f>SUM(Buildings_Heat_Backend[[#This Row],[Scope 1 (tCO2e)]:[Scope 3 WTT T&amp;D (tCO2e)]])</f>
        <v>0</v>
      </c>
      <c r="AM297" s="220" t="str">
        <f>IF(Buildings_Heat_Frontend[[#This Row],[Data]]="","", Buildings_Heat_Backend[[#This Row],[Total (tCO2e)]]*(1-Buildings_Heat_Backend[[#This Row],[RSD]]))</f>
        <v/>
      </c>
      <c r="AN297" s="220" t="str">
        <f>IF(Buildings_Heat_Frontend[[#This Row],[Data]]="","", Buildings_Heat_Backend[[#This Row],[Total (tCO2e)]]*(1+Buildings_Heat_Backend[[#This Row],[RSD]]))</f>
        <v/>
      </c>
      <c r="AO297" s="210" t="str">
        <f>IF(Buildings_Heat_Frontend[[#This Row],[Data]]="","", _xlfn.XLOOKUP(_xlfn.CONCAT(Buildings_Heat_Backend[[#This Row],[Level 1]:[Level 6]]),rng_EFConcat,rng_EFOOS)*Buildings_Heat_Backend[[#This Row],[Converted data]]/1000)</f>
        <v/>
      </c>
      <c r="AP297" s="174">
        <f>Buildings_Heat_Frontend[[#This Row],[Ease of collection]]</f>
        <v>0</v>
      </c>
      <c r="AQ297" s="174">
        <f>Buildings_Heat_Frontend[[#This Row],[Completeness]]</f>
        <v>0</v>
      </c>
      <c r="AR297" s="174">
        <f>Buildings_Heat_Frontend[[#This Row],[Notes]]</f>
        <v>0</v>
      </c>
    </row>
    <row r="298" spans="5:44" x14ac:dyDescent="0.3">
      <c r="E298" s="346"/>
      <c r="F298" s="364"/>
      <c r="G298" s="336"/>
      <c r="H298" s="336"/>
      <c r="I298" s="336"/>
      <c r="J298" s="334"/>
      <c r="K298" s="336"/>
      <c r="L298" s="336"/>
      <c r="M298" s="336"/>
      <c r="N298" s="352"/>
      <c r="O298" s="230">
        <f t="shared" si="14"/>
        <v>6</v>
      </c>
      <c r="Q298" s="212" t="str">
        <f t="shared" si="12"/>
        <v/>
      </c>
      <c r="R298" s="174" t="s">
        <v>265</v>
      </c>
      <c r="S298" s="174" t="s">
        <v>273</v>
      </c>
      <c r="T298" s="174" t="str">
        <f>IF(Buildings_Heat_Frontend[[#This Row],[Data]]="","", _xlfn.XLOOKUP(Buildings_Heat_Backend[[#This Row],[Info 1]],Buildings_SiteInfo[Site name],Buildings_SiteInfo[Site type]))</f>
        <v/>
      </c>
      <c r="U298" s="174" t="str">
        <f>IF(Buildings_Heat_Frontend[[#This Row],[Data]]="","", Buildings_Heat_Frontend[[#This Row],[Heating Type]])</f>
        <v/>
      </c>
      <c r="V298" s="174" t="str">
        <f>IF(Buildings_Heat_Frontend[[#This Row],[Data]]="","", Buildings_Heat_Frontend[[#This Row],[Fuel]])</f>
        <v/>
      </c>
      <c r="W298" s="174" t="str" cm="1">
        <f t="array" ref="W298">IF(Buildings_Heat_Frontend[[#This Row],[Data]]="","", _xlfn.XLOOKUP(Buildings_Heat_Backend[[#This Row],[Level 5]],rng_Level5Long,rng_Level6Long))</f>
        <v/>
      </c>
      <c r="X298" s="174" t="str">
        <f>IF(Buildings_Heat_Frontend[[#This Row],[Data]]="","", Buildings_Heat_Frontend[[#This Row],[Site Name]])</f>
        <v/>
      </c>
      <c r="Y298" s="174" t="str">
        <f>IF(Buildings_Heat_Frontend[[#This Row],[Data]]="","", Buildings_Heat_Frontend[[#This Row],[MPRN]])</f>
        <v/>
      </c>
      <c r="Z298" s="174" t="str">
        <f>IF(Buildings_Heat_Frontend[[#This Row],[Data]]="","", IF($I298="","",$I298))</f>
        <v/>
      </c>
      <c r="AA298" s="229" t="str" cm="1">
        <f t="array" ref="AA298">IF(Buildings_Heat_Frontend[[#This Row],[Data]]="","", INDEX(_xlfn.SWITCH(Buildings_Heat_Backend[[#This Row],[Methodology]],"Tier 1",rng_RSD1,"Tier 2",rng_RSD2,"Tier 3",rng_RSD3),MATCH(_xlfn.CONCAT(Buildings_Heat_Backend[[#This Row],[Level 1]:[Level 6]]),rng_LevelsConcat,0)))</f>
        <v/>
      </c>
      <c r="AB298" s="220" t="str">
        <f t="shared" si="13"/>
        <v/>
      </c>
      <c r="AC298" s="174">
        <f>Buildings_Heat_Frontend[[#This Row],[Units]]</f>
        <v>0</v>
      </c>
      <c r="AD29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8" s="174" t="str">
        <f>IF(Buildings_Heat_Frontend[[#This Row],[Data]]="","", _xlfn.XLOOKUP(_xlfn.CONCAT(Buildings_Heat_Backend[[#This Row],[Level 1]:[Level 6]]),rng_LevelsConcat,rng_UnitsLong))</f>
        <v/>
      </c>
      <c r="AF298" s="210" t="str">
        <f>IF(Buildings_Heat_Frontend[[#This Row],[Data]]="","", _xlfn.XLOOKUP(_xlfn.CONCAT(Buildings_Heat_Backend[[#This Row],[Level 1]:[Level 6]]),rng_EFConcat,rng_EF1)*Buildings_Heat_Backend[[#This Row],[Converted data]]/1000)</f>
        <v/>
      </c>
      <c r="AG298" s="210" t="str">
        <f>IF(Buildings_Heat_Frontend[[#This Row],[Data]]="","", _xlfn.XLOOKUP(_xlfn.CONCAT(Buildings_Heat_Backend[[#This Row],[Level 1]:[Level 6]]),rng_EFConcat,rng_EF2)*Buildings_Heat_Backend[[#This Row],[Converted data]]/1000)</f>
        <v/>
      </c>
      <c r="AH298" s="210" t="str">
        <f>IF(Buildings_Heat_Frontend[[#This Row],[Data]]="","", _xlfn.XLOOKUP(_xlfn.CONCAT(Buildings_Heat_Backend[[#This Row],[Level 1]:[Level 6]]),rng_EFConcat,rng_EF3)*Buildings_Heat_Backend[[#This Row],[Converted data]]/1000)</f>
        <v/>
      </c>
      <c r="AI298" s="210" t="str">
        <f>IF(Buildings_Heat_Frontend[[#This Row],[Data]]="","", _xlfn.XLOOKUP(_xlfn.CONCAT(Buildings_Heat_Backend[[#This Row],[Level 1]:[Level 6]]),rng_EFConcat,rng_EF3WTT)*Buildings_Heat_Backend[[#This Row],[Converted data]]/1000)</f>
        <v/>
      </c>
      <c r="AJ298" s="210" t="str">
        <f>IF(Buildings_Heat_Frontend[[#This Row],[Data]]="","", _xlfn.XLOOKUP(_xlfn.CONCAT(Buildings_Heat_Backend[[#This Row],[Level 1]:[Level 6]]),rng_EFConcat,rng_EF3TD)*Buildings_Heat_Backend[[#This Row],[Converted data]]/1000)</f>
        <v/>
      </c>
      <c r="AK298" s="210" t="str">
        <f>IF(Buildings_Heat_Frontend[[#This Row],[Data]]="","", _xlfn.XLOOKUP(_xlfn.CONCAT(Buildings_Heat_Backend[[#This Row],[Level 1]:[Level 6]]),rng_EFConcat,rng_EF3WTTTD)*Buildings_Heat_Backend[[#This Row],[Converted data]]/1000)</f>
        <v/>
      </c>
      <c r="AL298" s="220">
        <f>SUM(Buildings_Heat_Backend[[#This Row],[Scope 1 (tCO2e)]:[Scope 3 WTT T&amp;D (tCO2e)]])</f>
        <v>0</v>
      </c>
      <c r="AM298" s="220" t="str">
        <f>IF(Buildings_Heat_Frontend[[#This Row],[Data]]="","", Buildings_Heat_Backend[[#This Row],[Total (tCO2e)]]*(1-Buildings_Heat_Backend[[#This Row],[RSD]]))</f>
        <v/>
      </c>
      <c r="AN298" s="220" t="str">
        <f>IF(Buildings_Heat_Frontend[[#This Row],[Data]]="","", Buildings_Heat_Backend[[#This Row],[Total (tCO2e)]]*(1+Buildings_Heat_Backend[[#This Row],[RSD]]))</f>
        <v/>
      </c>
      <c r="AO298" s="210" t="str">
        <f>IF(Buildings_Heat_Frontend[[#This Row],[Data]]="","", _xlfn.XLOOKUP(_xlfn.CONCAT(Buildings_Heat_Backend[[#This Row],[Level 1]:[Level 6]]),rng_EFConcat,rng_EFOOS)*Buildings_Heat_Backend[[#This Row],[Converted data]]/1000)</f>
        <v/>
      </c>
      <c r="AP298" s="174">
        <f>Buildings_Heat_Frontend[[#This Row],[Ease of collection]]</f>
        <v>0</v>
      </c>
      <c r="AQ298" s="174">
        <f>Buildings_Heat_Frontend[[#This Row],[Completeness]]</f>
        <v>0</v>
      </c>
      <c r="AR298" s="174">
        <f>Buildings_Heat_Frontend[[#This Row],[Notes]]</f>
        <v>0</v>
      </c>
    </row>
    <row r="299" spans="5:44" x14ac:dyDescent="0.3">
      <c r="E299" s="346"/>
      <c r="F299" s="364"/>
      <c r="G299" s="336"/>
      <c r="H299" s="336"/>
      <c r="I299" s="336"/>
      <c r="J299" s="334"/>
      <c r="K299" s="336"/>
      <c r="L299" s="336"/>
      <c r="M299" s="336"/>
      <c r="N299" s="352"/>
      <c r="O299" s="230">
        <f t="shared" si="14"/>
        <v>6</v>
      </c>
      <c r="Q299" s="212" t="str">
        <f t="shared" si="12"/>
        <v/>
      </c>
      <c r="R299" s="174" t="s">
        <v>265</v>
      </c>
      <c r="S299" s="174" t="s">
        <v>273</v>
      </c>
      <c r="T299" s="174" t="str">
        <f>IF(Buildings_Heat_Frontend[[#This Row],[Data]]="","", _xlfn.XLOOKUP(Buildings_Heat_Backend[[#This Row],[Info 1]],Buildings_SiteInfo[Site name],Buildings_SiteInfo[Site type]))</f>
        <v/>
      </c>
      <c r="U299" s="174" t="str">
        <f>IF(Buildings_Heat_Frontend[[#This Row],[Data]]="","", Buildings_Heat_Frontend[[#This Row],[Heating Type]])</f>
        <v/>
      </c>
      <c r="V299" s="174" t="str">
        <f>IF(Buildings_Heat_Frontend[[#This Row],[Data]]="","", Buildings_Heat_Frontend[[#This Row],[Fuel]])</f>
        <v/>
      </c>
      <c r="W299" s="174" t="str" cm="1">
        <f t="array" ref="W299">IF(Buildings_Heat_Frontend[[#This Row],[Data]]="","", _xlfn.XLOOKUP(Buildings_Heat_Backend[[#This Row],[Level 5]],rng_Level5Long,rng_Level6Long))</f>
        <v/>
      </c>
      <c r="X299" s="174" t="str">
        <f>IF(Buildings_Heat_Frontend[[#This Row],[Data]]="","", Buildings_Heat_Frontend[[#This Row],[Site Name]])</f>
        <v/>
      </c>
      <c r="Y299" s="174" t="str">
        <f>IF(Buildings_Heat_Frontend[[#This Row],[Data]]="","", Buildings_Heat_Frontend[[#This Row],[MPRN]])</f>
        <v/>
      </c>
      <c r="Z299" s="174" t="str">
        <f>IF(Buildings_Heat_Frontend[[#This Row],[Data]]="","", IF($I299="","",$I299))</f>
        <v/>
      </c>
      <c r="AA299" s="229" t="str" cm="1">
        <f t="array" ref="AA299">IF(Buildings_Heat_Frontend[[#This Row],[Data]]="","", INDEX(_xlfn.SWITCH(Buildings_Heat_Backend[[#This Row],[Methodology]],"Tier 1",rng_RSD1,"Tier 2",rng_RSD2,"Tier 3",rng_RSD3),MATCH(_xlfn.CONCAT(Buildings_Heat_Backend[[#This Row],[Level 1]:[Level 6]]),rng_LevelsConcat,0)))</f>
        <v/>
      </c>
      <c r="AB299" s="220" t="str">
        <f t="shared" si="13"/>
        <v/>
      </c>
      <c r="AC299" s="174">
        <f>Buildings_Heat_Frontend[[#This Row],[Units]]</f>
        <v>0</v>
      </c>
      <c r="AD29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299" s="174" t="str">
        <f>IF(Buildings_Heat_Frontend[[#This Row],[Data]]="","", _xlfn.XLOOKUP(_xlfn.CONCAT(Buildings_Heat_Backend[[#This Row],[Level 1]:[Level 6]]),rng_LevelsConcat,rng_UnitsLong))</f>
        <v/>
      </c>
      <c r="AF299" s="210" t="str">
        <f>IF(Buildings_Heat_Frontend[[#This Row],[Data]]="","", _xlfn.XLOOKUP(_xlfn.CONCAT(Buildings_Heat_Backend[[#This Row],[Level 1]:[Level 6]]),rng_EFConcat,rng_EF1)*Buildings_Heat_Backend[[#This Row],[Converted data]]/1000)</f>
        <v/>
      </c>
      <c r="AG299" s="210" t="str">
        <f>IF(Buildings_Heat_Frontend[[#This Row],[Data]]="","", _xlfn.XLOOKUP(_xlfn.CONCAT(Buildings_Heat_Backend[[#This Row],[Level 1]:[Level 6]]),rng_EFConcat,rng_EF2)*Buildings_Heat_Backend[[#This Row],[Converted data]]/1000)</f>
        <v/>
      </c>
      <c r="AH299" s="210" t="str">
        <f>IF(Buildings_Heat_Frontend[[#This Row],[Data]]="","", _xlfn.XLOOKUP(_xlfn.CONCAT(Buildings_Heat_Backend[[#This Row],[Level 1]:[Level 6]]),rng_EFConcat,rng_EF3)*Buildings_Heat_Backend[[#This Row],[Converted data]]/1000)</f>
        <v/>
      </c>
      <c r="AI299" s="210" t="str">
        <f>IF(Buildings_Heat_Frontend[[#This Row],[Data]]="","", _xlfn.XLOOKUP(_xlfn.CONCAT(Buildings_Heat_Backend[[#This Row],[Level 1]:[Level 6]]),rng_EFConcat,rng_EF3WTT)*Buildings_Heat_Backend[[#This Row],[Converted data]]/1000)</f>
        <v/>
      </c>
      <c r="AJ299" s="210" t="str">
        <f>IF(Buildings_Heat_Frontend[[#This Row],[Data]]="","", _xlfn.XLOOKUP(_xlfn.CONCAT(Buildings_Heat_Backend[[#This Row],[Level 1]:[Level 6]]),rng_EFConcat,rng_EF3TD)*Buildings_Heat_Backend[[#This Row],[Converted data]]/1000)</f>
        <v/>
      </c>
      <c r="AK299" s="210" t="str">
        <f>IF(Buildings_Heat_Frontend[[#This Row],[Data]]="","", _xlfn.XLOOKUP(_xlfn.CONCAT(Buildings_Heat_Backend[[#This Row],[Level 1]:[Level 6]]),rng_EFConcat,rng_EF3WTTTD)*Buildings_Heat_Backend[[#This Row],[Converted data]]/1000)</f>
        <v/>
      </c>
      <c r="AL299" s="220">
        <f>SUM(Buildings_Heat_Backend[[#This Row],[Scope 1 (tCO2e)]:[Scope 3 WTT T&amp;D (tCO2e)]])</f>
        <v>0</v>
      </c>
      <c r="AM299" s="220" t="str">
        <f>IF(Buildings_Heat_Frontend[[#This Row],[Data]]="","", Buildings_Heat_Backend[[#This Row],[Total (tCO2e)]]*(1-Buildings_Heat_Backend[[#This Row],[RSD]]))</f>
        <v/>
      </c>
      <c r="AN299" s="220" t="str">
        <f>IF(Buildings_Heat_Frontend[[#This Row],[Data]]="","", Buildings_Heat_Backend[[#This Row],[Total (tCO2e)]]*(1+Buildings_Heat_Backend[[#This Row],[RSD]]))</f>
        <v/>
      </c>
      <c r="AO299" s="210" t="str">
        <f>IF(Buildings_Heat_Frontend[[#This Row],[Data]]="","", _xlfn.XLOOKUP(_xlfn.CONCAT(Buildings_Heat_Backend[[#This Row],[Level 1]:[Level 6]]),rng_EFConcat,rng_EFOOS)*Buildings_Heat_Backend[[#This Row],[Converted data]]/1000)</f>
        <v/>
      </c>
      <c r="AP299" s="174">
        <f>Buildings_Heat_Frontend[[#This Row],[Ease of collection]]</f>
        <v>0</v>
      </c>
      <c r="AQ299" s="174">
        <f>Buildings_Heat_Frontend[[#This Row],[Completeness]]</f>
        <v>0</v>
      </c>
      <c r="AR299" s="174">
        <f>Buildings_Heat_Frontend[[#This Row],[Notes]]</f>
        <v>0</v>
      </c>
    </row>
    <row r="300" spans="5:44" x14ac:dyDescent="0.3">
      <c r="E300" s="346"/>
      <c r="F300" s="364"/>
      <c r="G300" s="336"/>
      <c r="H300" s="336"/>
      <c r="I300" s="336"/>
      <c r="J300" s="334"/>
      <c r="K300" s="336"/>
      <c r="L300" s="336"/>
      <c r="M300" s="336"/>
      <c r="N300" s="352"/>
      <c r="O300" s="230">
        <f t="shared" si="14"/>
        <v>6</v>
      </c>
      <c r="Q300" s="212" t="str">
        <f t="shared" si="12"/>
        <v/>
      </c>
      <c r="R300" s="174" t="s">
        <v>265</v>
      </c>
      <c r="S300" s="174" t="s">
        <v>273</v>
      </c>
      <c r="T300" s="174" t="str">
        <f>IF(Buildings_Heat_Frontend[[#This Row],[Data]]="","", _xlfn.XLOOKUP(Buildings_Heat_Backend[[#This Row],[Info 1]],Buildings_SiteInfo[Site name],Buildings_SiteInfo[Site type]))</f>
        <v/>
      </c>
      <c r="U300" s="174" t="str">
        <f>IF(Buildings_Heat_Frontend[[#This Row],[Data]]="","", Buildings_Heat_Frontend[[#This Row],[Heating Type]])</f>
        <v/>
      </c>
      <c r="V300" s="174" t="str">
        <f>IF(Buildings_Heat_Frontend[[#This Row],[Data]]="","", Buildings_Heat_Frontend[[#This Row],[Fuel]])</f>
        <v/>
      </c>
      <c r="W300" s="174" t="str" cm="1">
        <f t="array" ref="W300">IF(Buildings_Heat_Frontend[[#This Row],[Data]]="","", _xlfn.XLOOKUP(Buildings_Heat_Backend[[#This Row],[Level 5]],rng_Level5Long,rng_Level6Long))</f>
        <v/>
      </c>
      <c r="X300" s="174" t="str">
        <f>IF(Buildings_Heat_Frontend[[#This Row],[Data]]="","", Buildings_Heat_Frontend[[#This Row],[Site Name]])</f>
        <v/>
      </c>
      <c r="Y300" s="174" t="str">
        <f>IF(Buildings_Heat_Frontend[[#This Row],[Data]]="","", Buildings_Heat_Frontend[[#This Row],[MPRN]])</f>
        <v/>
      </c>
      <c r="Z300" s="174" t="str">
        <f>IF(Buildings_Heat_Frontend[[#This Row],[Data]]="","", IF($I300="","",$I300))</f>
        <v/>
      </c>
      <c r="AA300" s="229" t="str" cm="1">
        <f t="array" ref="AA300">IF(Buildings_Heat_Frontend[[#This Row],[Data]]="","", INDEX(_xlfn.SWITCH(Buildings_Heat_Backend[[#This Row],[Methodology]],"Tier 1",rng_RSD1,"Tier 2",rng_RSD2,"Tier 3",rng_RSD3),MATCH(_xlfn.CONCAT(Buildings_Heat_Backend[[#This Row],[Level 1]:[Level 6]]),rng_LevelsConcat,0)))</f>
        <v/>
      </c>
      <c r="AB300" s="220" t="str">
        <f t="shared" si="13"/>
        <v/>
      </c>
      <c r="AC300" s="174">
        <f>Buildings_Heat_Frontend[[#This Row],[Units]]</f>
        <v>0</v>
      </c>
      <c r="AD30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0" s="174" t="str">
        <f>IF(Buildings_Heat_Frontend[[#This Row],[Data]]="","", _xlfn.XLOOKUP(_xlfn.CONCAT(Buildings_Heat_Backend[[#This Row],[Level 1]:[Level 6]]),rng_LevelsConcat,rng_UnitsLong))</f>
        <v/>
      </c>
      <c r="AF300" s="210" t="str">
        <f>IF(Buildings_Heat_Frontend[[#This Row],[Data]]="","", _xlfn.XLOOKUP(_xlfn.CONCAT(Buildings_Heat_Backend[[#This Row],[Level 1]:[Level 6]]),rng_EFConcat,rng_EF1)*Buildings_Heat_Backend[[#This Row],[Converted data]]/1000)</f>
        <v/>
      </c>
      <c r="AG300" s="210" t="str">
        <f>IF(Buildings_Heat_Frontend[[#This Row],[Data]]="","", _xlfn.XLOOKUP(_xlfn.CONCAT(Buildings_Heat_Backend[[#This Row],[Level 1]:[Level 6]]),rng_EFConcat,rng_EF2)*Buildings_Heat_Backend[[#This Row],[Converted data]]/1000)</f>
        <v/>
      </c>
      <c r="AH300" s="210" t="str">
        <f>IF(Buildings_Heat_Frontend[[#This Row],[Data]]="","", _xlfn.XLOOKUP(_xlfn.CONCAT(Buildings_Heat_Backend[[#This Row],[Level 1]:[Level 6]]),rng_EFConcat,rng_EF3)*Buildings_Heat_Backend[[#This Row],[Converted data]]/1000)</f>
        <v/>
      </c>
      <c r="AI300" s="210" t="str">
        <f>IF(Buildings_Heat_Frontend[[#This Row],[Data]]="","", _xlfn.XLOOKUP(_xlfn.CONCAT(Buildings_Heat_Backend[[#This Row],[Level 1]:[Level 6]]),rng_EFConcat,rng_EF3WTT)*Buildings_Heat_Backend[[#This Row],[Converted data]]/1000)</f>
        <v/>
      </c>
      <c r="AJ300" s="210" t="str">
        <f>IF(Buildings_Heat_Frontend[[#This Row],[Data]]="","", _xlfn.XLOOKUP(_xlfn.CONCAT(Buildings_Heat_Backend[[#This Row],[Level 1]:[Level 6]]),rng_EFConcat,rng_EF3TD)*Buildings_Heat_Backend[[#This Row],[Converted data]]/1000)</f>
        <v/>
      </c>
      <c r="AK300" s="210" t="str">
        <f>IF(Buildings_Heat_Frontend[[#This Row],[Data]]="","", _xlfn.XLOOKUP(_xlfn.CONCAT(Buildings_Heat_Backend[[#This Row],[Level 1]:[Level 6]]),rng_EFConcat,rng_EF3WTTTD)*Buildings_Heat_Backend[[#This Row],[Converted data]]/1000)</f>
        <v/>
      </c>
      <c r="AL300" s="220">
        <f>SUM(Buildings_Heat_Backend[[#This Row],[Scope 1 (tCO2e)]:[Scope 3 WTT T&amp;D (tCO2e)]])</f>
        <v>0</v>
      </c>
      <c r="AM300" s="220" t="str">
        <f>IF(Buildings_Heat_Frontend[[#This Row],[Data]]="","", Buildings_Heat_Backend[[#This Row],[Total (tCO2e)]]*(1-Buildings_Heat_Backend[[#This Row],[RSD]]))</f>
        <v/>
      </c>
      <c r="AN300" s="220" t="str">
        <f>IF(Buildings_Heat_Frontend[[#This Row],[Data]]="","", Buildings_Heat_Backend[[#This Row],[Total (tCO2e)]]*(1+Buildings_Heat_Backend[[#This Row],[RSD]]))</f>
        <v/>
      </c>
      <c r="AO300" s="210" t="str">
        <f>IF(Buildings_Heat_Frontend[[#This Row],[Data]]="","", _xlfn.XLOOKUP(_xlfn.CONCAT(Buildings_Heat_Backend[[#This Row],[Level 1]:[Level 6]]),rng_EFConcat,rng_EFOOS)*Buildings_Heat_Backend[[#This Row],[Converted data]]/1000)</f>
        <v/>
      </c>
      <c r="AP300" s="174">
        <f>Buildings_Heat_Frontend[[#This Row],[Ease of collection]]</f>
        <v>0</v>
      </c>
      <c r="AQ300" s="174">
        <f>Buildings_Heat_Frontend[[#This Row],[Completeness]]</f>
        <v>0</v>
      </c>
      <c r="AR300" s="174">
        <f>Buildings_Heat_Frontend[[#This Row],[Notes]]</f>
        <v>0</v>
      </c>
    </row>
    <row r="301" spans="5:44" x14ac:dyDescent="0.3">
      <c r="E301" s="346"/>
      <c r="F301" s="364"/>
      <c r="G301" s="336"/>
      <c r="H301" s="336"/>
      <c r="I301" s="336"/>
      <c r="J301" s="334"/>
      <c r="K301" s="336"/>
      <c r="L301" s="336"/>
      <c r="M301" s="336"/>
      <c r="N301" s="352"/>
      <c r="O301" s="230">
        <f t="shared" si="14"/>
        <v>6</v>
      </c>
      <c r="Q301" s="212" t="str">
        <f t="shared" si="12"/>
        <v/>
      </c>
      <c r="R301" s="174" t="s">
        <v>265</v>
      </c>
      <c r="S301" s="174" t="s">
        <v>273</v>
      </c>
      <c r="T301" s="174" t="str">
        <f>IF(Buildings_Heat_Frontend[[#This Row],[Data]]="","", _xlfn.XLOOKUP(Buildings_Heat_Backend[[#This Row],[Info 1]],Buildings_SiteInfo[Site name],Buildings_SiteInfo[Site type]))</f>
        <v/>
      </c>
      <c r="U301" s="174" t="str">
        <f>IF(Buildings_Heat_Frontend[[#This Row],[Data]]="","", Buildings_Heat_Frontend[[#This Row],[Heating Type]])</f>
        <v/>
      </c>
      <c r="V301" s="174" t="str">
        <f>IF(Buildings_Heat_Frontend[[#This Row],[Data]]="","", Buildings_Heat_Frontend[[#This Row],[Fuel]])</f>
        <v/>
      </c>
      <c r="W301" s="174" t="str" cm="1">
        <f t="array" ref="W301">IF(Buildings_Heat_Frontend[[#This Row],[Data]]="","", _xlfn.XLOOKUP(Buildings_Heat_Backend[[#This Row],[Level 5]],rng_Level5Long,rng_Level6Long))</f>
        <v/>
      </c>
      <c r="X301" s="174" t="str">
        <f>IF(Buildings_Heat_Frontend[[#This Row],[Data]]="","", Buildings_Heat_Frontend[[#This Row],[Site Name]])</f>
        <v/>
      </c>
      <c r="Y301" s="174" t="str">
        <f>IF(Buildings_Heat_Frontend[[#This Row],[Data]]="","", Buildings_Heat_Frontend[[#This Row],[MPRN]])</f>
        <v/>
      </c>
      <c r="Z301" s="174" t="str">
        <f>IF(Buildings_Heat_Frontend[[#This Row],[Data]]="","", IF($I301="","",$I301))</f>
        <v/>
      </c>
      <c r="AA301" s="229" t="str" cm="1">
        <f t="array" ref="AA301">IF(Buildings_Heat_Frontend[[#This Row],[Data]]="","", INDEX(_xlfn.SWITCH(Buildings_Heat_Backend[[#This Row],[Methodology]],"Tier 1",rng_RSD1,"Tier 2",rng_RSD2,"Tier 3",rng_RSD3),MATCH(_xlfn.CONCAT(Buildings_Heat_Backend[[#This Row],[Level 1]:[Level 6]]),rng_LevelsConcat,0)))</f>
        <v/>
      </c>
      <c r="AB301" s="220" t="str">
        <f t="shared" si="13"/>
        <v/>
      </c>
      <c r="AC301" s="174">
        <f>Buildings_Heat_Frontend[[#This Row],[Units]]</f>
        <v>0</v>
      </c>
      <c r="AD30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1" s="174" t="str">
        <f>IF(Buildings_Heat_Frontend[[#This Row],[Data]]="","", _xlfn.XLOOKUP(_xlfn.CONCAT(Buildings_Heat_Backend[[#This Row],[Level 1]:[Level 6]]),rng_LevelsConcat,rng_UnitsLong))</f>
        <v/>
      </c>
      <c r="AF301" s="210" t="str">
        <f>IF(Buildings_Heat_Frontend[[#This Row],[Data]]="","", _xlfn.XLOOKUP(_xlfn.CONCAT(Buildings_Heat_Backend[[#This Row],[Level 1]:[Level 6]]),rng_EFConcat,rng_EF1)*Buildings_Heat_Backend[[#This Row],[Converted data]]/1000)</f>
        <v/>
      </c>
      <c r="AG301" s="210" t="str">
        <f>IF(Buildings_Heat_Frontend[[#This Row],[Data]]="","", _xlfn.XLOOKUP(_xlfn.CONCAT(Buildings_Heat_Backend[[#This Row],[Level 1]:[Level 6]]),rng_EFConcat,rng_EF2)*Buildings_Heat_Backend[[#This Row],[Converted data]]/1000)</f>
        <v/>
      </c>
      <c r="AH301" s="210" t="str">
        <f>IF(Buildings_Heat_Frontend[[#This Row],[Data]]="","", _xlfn.XLOOKUP(_xlfn.CONCAT(Buildings_Heat_Backend[[#This Row],[Level 1]:[Level 6]]),rng_EFConcat,rng_EF3)*Buildings_Heat_Backend[[#This Row],[Converted data]]/1000)</f>
        <v/>
      </c>
      <c r="AI301" s="210" t="str">
        <f>IF(Buildings_Heat_Frontend[[#This Row],[Data]]="","", _xlfn.XLOOKUP(_xlfn.CONCAT(Buildings_Heat_Backend[[#This Row],[Level 1]:[Level 6]]),rng_EFConcat,rng_EF3WTT)*Buildings_Heat_Backend[[#This Row],[Converted data]]/1000)</f>
        <v/>
      </c>
      <c r="AJ301" s="210" t="str">
        <f>IF(Buildings_Heat_Frontend[[#This Row],[Data]]="","", _xlfn.XLOOKUP(_xlfn.CONCAT(Buildings_Heat_Backend[[#This Row],[Level 1]:[Level 6]]),rng_EFConcat,rng_EF3TD)*Buildings_Heat_Backend[[#This Row],[Converted data]]/1000)</f>
        <v/>
      </c>
      <c r="AK301" s="210" t="str">
        <f>IF(Buildings_Heat_Frontend[[#This Row],[Data]]="","", _xlfn.XLOOKUP(_xlfn.CONCAT(Buildings_Heat_Backend[[#This Row],[Level 1]:[Level 6]]),rng_EFConcat,rng_EF3WTTTD)*Buildings_Heat_Backend[[#This Row],[Converted data]]/1000)</f>
        <v/>
      </c>
      <c r="AL301" s="220">
        <f>SUM(Buildings_Heat_Backend[[#This Row],[Scope 1 (tCO2e)]:[Scope 3 WTT T&amp;D (tCO2e)]])</f>
        <v>0</v>
      </c>
      <c r="AM301" s="220" t="str">
        <f>IF(Buildings_Heat_Frontend[[#This Row],[Data]]="","", Buildings_Heat_Backend[[#This Row],[Total (tCO2e)]]*(1-Buildings_Heat_Backend[[#This Row],[RSD]]))</f>
        <v/>
      </c>
      <c r="AN301" s="220" t="str">
        <f>IF(Buildings_Heat_Frontend[[#This Row],[Data]]="","", Buildings_Heat_Backend[[#This Row],[Total (tCO2e)]]*(1+Buildings_Heat_Backend[[#This Row],[RSD]]))</f>
        <v/>
      </c>
      <c r="AO301" s="210" t="str">
        <f>IF(Buildings_Heat_Frontend[[#This Row],[Data]]="","", _xlfn.XLOOKUP(_xlfn.CONCAT(Buildings_Heat_Backend[[#This Row],[Level 1]:[Level 6]]),rng_EFConcat,rng_EFOOS)*Buildings_Heat_Backend[[#This Row],[Converted data]]/1000)</f>
        <v/>
      </c>
      <c r="AP301" s="174">
        <f>Buildings_Heat_Frontend[[#This Row],[Ease of collection]]</f>
        <v>0</v>
      </c>
      <c r="AQ301" s="174">
        <f>Buildings_Heat_Frontend[[#This Row],[Completeness]]</f>
        <v>0</v>
      </c>
      <c r="AR301" s="174">
        <f>Buildings_Heat_Frontend[[#This Row],[Notes]]</f>
        <v>0</v>
      </c>
    </row>
    <row r="302" spans="5:44" x14ac:dyDescent="0.3">
      <c r="E302" s="346"/>
      <c r="F302" s="364"/>
      <c r="G302" s="336"/>
      <c r="H302" s="336"/>
      <c r="I302" s="336"/>
      <c r="J302" s="334"/>
      <c r="K302" s="336"/>
      <c r="L302" s="336"/>
      <c r="M302" s="336"/>
      <c r="N302" s="352"/>
      <c r="O302" s="230">
        <f t="shared" si="14"/>
        <v>6</v>
      </c>
      <c r="Q302" s="212" t="str">
        <f t="shared" si="12"/>
        <v/>
      </c>
      <c r="R302" s="174" t="s">
        <v>265</v>
      </c>
      <c r="S302" s="174" t="s">
        <v>273</v>
      </c>
      <c r="T302" s="174" t="str">
        <f>IF(Buildings_Heat_Frontend[[#This Row],[Data]]="","", _xlfn.XLOOKUP(Buildings_Heat_Backend[[#This Row],[Info 1]],Buildings_SiteInfo[Site name],Buildings_SiteInfo[Site type]))</f>
        <v/>
      </c>
      <c r="U302" s="174" t="str">
        <f>IF(Buildings_Heat_Frontend[[#This Row],[Data]]="","", Buildings_Heat_Frontend[[#This Row],[Heating Type]])</f>
        <v/>
      </c>
      <c r="V302" s="174" t="str">
        <f>IF(Buildings_Heat_Frontend[[#This Row],[Data]]="","", Buildings_Heat_Frontend[[#This Row],[Fuel]])</f>
        <v/>
      </c>
      <c r="W302" s="174" t="str" cm="1">
        <f t="array" ref="W302">IF(Buildings_Heat_Frontend[[#This Row],[Data]]="","", _xlfn.XLOOKUP(Buildings_Heat_Backend[[#This Row],[Level 5]],rng_Level5Long,rng_Level6Long))</f>
        <v/>
      </c>
      <c r="X302" s="174" t="str">
        <f>IF(Buildings_Heat_Frontend[[#This Row],[Data]]="","", Buildings_Heat_Frontend[[#This Row],[Site Name]])</f>
        <v/>
      </c>
      <c r="Y302" s="174" t="str">
        <f>IF(Buildings_Heat_Frontend[[#This Row],[Data]]="","", Buildings_Heat_Frontend[[#This Row],[MPRN]])</f>
        <v/>
      </c>
      <c r="Z302" s="174" t="str">
        <f>IF(Buildings_Heat_Frontend[[#This Row],[Data]]="","", IF($I302="","",$I302))</f>
        <v/>
      </c>
      <c r="AA302" s="229" t="str" cm="1">
        <f t="array" ref="AA302">IF(Buildings_Heat_Frontend[[#This Row],[Data]]="","", INDEX(_xlfn.SWITCH(Buildings_Heat_Backend[[#This Row],[Methodology]],"Tier 1",rng_RSD1,"Tier 2",rng_RSD2,"Tier 3",rng_RSD3),MATCH(_xlfn.CONCAT(Buildings_Heat_Backend[[#This Row],[Level 1]:[Level 6]]),rng_LevelsConcat,0)))</f>
        <v/>
      </c>
      <c r="AB302" s="220" t="str">
        <f t="shared" si="13"/>
        <v/>
      </c>
      <c r="AC302" s="174">
        <f>Buildings_Heat_Frontend[[#This Row],[Units]]</f>
        <v>0</v>
      </c>
      <c r="AD30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2" s="174" t="str">
        <f>IF(Buildings_Heat_Frontend[[#This Row],[Data]]="","", _xlfn.XLOOKUP(_xlfn.CONCAT(Buildings_Heat_Backend[[#This Row],[Level 1]:[Level 6]]),rng_LevelsConcat,rng_UnitsLong))</f>
        <v/>
      </c>
      <c r="AF302" s="210" t="str">
        <f>IF(Buildings_Heat_Frontend[[#This Row],[Data]]="","", _xlfn.XLOOKUP(_xlfn.CONCAT(Buildings_Heat_Backend[[#This Row],[Level 1]:[Level 6]]),rng_EFConcat,rng_EF1)*Buildings_Heat_Backend[[#This Row],[Converted data]]/1000)</f>
        <v/>
      </c>
      <c r="AG302" s="210" t="str">
        <f>IF(Buildings_Heat_Frontend[[#This Row],[Data]]="","", _xlfn.XLOOKUP(_xlfn.CONCAT(Buildings_Heat_Backend[[#This Row],[Level 1]:[Level 6]]),rng_EFConcat,rng_EF2)*Buildings_Heat_Backend[[#This Row],[Converted data]]/1000)</f>
        <v/>
      </c>
      <c r="AH302" s="210" t="str">
        <f>IF(Buildings_Heat_Frontend[[#This Row],[Data]]="","", _xlfn.XLOOKUP(_xlfn.CONCAT(Buildings_Heat_Backend[[#This Row],[Level 1]:[Level 6]]),rng_EFConcat,rng_EF3)*Buildings_Heat_Backend[[#This Row],[Converted data]]/1000)</f>
        <v/>
      </c>
      <c r="AI302" s="210" t="str">
        <f>IF(Buildings_Heat_Frontend[[#This Row],[Data]]="","", _xlfn.XLOOKUP(_xlfn.CONCAT(Buildings_Heat_Backend[[#This Row],[Level 1]:[Level 6]]),rng_EFConcat,rng_EF3WTT)*Buildings_Heat_Backend[[#This Row],[Converted data]]/1000)</f>
        <v/>
      </c>
      <c r="AJ302" s="210" t="str">
        <f>IF(Buildings_Heat_Frontend[[#This Row],[Data]]="","", _xlfn.XLOOKUP(_xlfn.CONCAT(Buildings_Heat_Backend[[#This Row],[Level 1]:[Level 6]]),rng_EFConcat,rng_EF3TD)*Buildings_Heat_Backend[[#This Row],[Converted data]]/1000)</f>
        <v/>
      </c>
      <c r="AK302" s="210" t="str">
        <f>IF(Buildings_Heat_Frontend[[#This Row],[Data]]="","", _xlfn.XLOOKUP(_xlfn.CONCAT(Buildings_Heat_Backend[[#This Row],[Level 1]:[Level 6]]),rng_EFConcat,rng_EF3WTTTD)*Buildings_Heat_Backend[[#This Row],[Converted data]]/1000)</f>
        <v/>
      </c>
      <c r="AL302" s="220">
        <f>SUM(Buildings_Heat_Backend[[#This Row],[Scope 1 (tCO2e)]:[Scope 3 WTT T&amp;D (tCO2e)]])</f>
        <v>0</v>
      </c>
      <c r="AM302" s="220" t="str">
        <f>IF(Buildings_Heat_Frontend[[#This Row],[Data]]="","", Buildings_Heat_Backend[[#This Row],[Total (tCO2e)]]*(1-Buildings_Heat_Backend[[#This Row],[RSD]]))</f>
        <v/>
      </c>
      <c r="AN302" s="220" t="str">
        <f>IF(Buildings_Heat_Frontend[[#This Row],[Data]]="","", Buildings_Heat_Backend[[#This Row],[Total (tCO2e)]]*(1+Buildings_Heat_Backend[[#This Row],[RSD]]))</f>
        <v/>
      </c>
      <c r="AO302" s="210" t="str">
        <f>IF(Buildings_Heat_Frontend[[#This Row],[Data]]="","", _xlfn.XLOOKUP(_xlfn.CONCAT(Buildings_Heat_Backend[[#This Row],[Level 1]:[Level 6]]),rng_EFConcat,rng_EFOOS)*Buildings_Heat_Backend[[#This Row],[Converted data]]/1000)</f>
        <v/>
      </c>
      <c r="AP302" s="174">
        <f>Buildings_Heat_Frontend[[#This Row],[Ease of collection]]</f>
        <v>0</v>
      </c>
      <c r="AQ302" s="174">
        <f>Buildings_Heat_Frontend[[#This Row],[Completeness]]</f>
        <v>0</v>
      </c>
      <c r="AR302" s="174">
        <f>Buildings_Heat_Frontend[[#This Row],[Notes]]</f>
        <v>0</v>
      </c>
    </row>
    <row r="303" spans="5:44" x14ac:dyDescent="0.3">
      <c r="E303" s="346"/>
      <c r="F303" s="364"/>
      <c r="G303" s="336"/>
      <c r="H303" s="336"/>
      <c r="I303" s="336"/>
      <c r="J303" s="334"/>
      <c r="K303" s="336"/>
      <c r="L303" s="336"/>
      <c r="M303" s="336"/>
      <c r="N303" s="352"/>
      <c r="O303" s="230">
        <f t="shared" si="14"/>
        <v>6</v>
      </c>
      <c r="Q303" s="212" t="str">
        <f t="shared" si="12"/>
        <v/>
      </c>
      <c r="R303" s="174" t="s">
        <v>265</v>
      </c>
      <c r="S303" s="174" t="s">
        <v>273</v>
      </c>
      <c r="T303" s="174" t="str">
        <f>IF(Buildings_Heat_Frontend[[#This Row],[Data]]="","", _xlfn.XLOOKUP(Buildings_Heat_Backend[[#This Row],[Info 1]],Buildings_SiteInfo[Site name],Buildings_SiteInfo[Site type]))</f>
        <v/>
      </c>
      <c r="U303" s="174" t="str">
        <f>IF(Buildings_Heat_Frontend[[#This Row],[Data]]="","", Buildings_Heat_Frontend[[#This Row],[Heating Type]])</f>
        <v/>
      </c>
      <c r="V303" s="174" t="str">
        <f>IF(Buildings_Heat_Frontend[[#This Row],[Data]]="","", Buildings_Heat_Frontend[[#This Row],[Fuel]])</f>
        <v/>
      </c>
      <c r="W303" s="174" t="str" cm="1">
        <f t="array" ref="W303">IF(Buildings_Heat_Frontend[[#This Row],[Data]]="","", _xlfn.XLOOKUP(Buildings_Heat_Backend[[#This Row],[Level 5]],rng_Level5Long,rng_Level6Long))</f>
        <v/>
      </c>
      <c r="X303" s="174" t="str">
        <f>IF(Buildings_Heat_Frontend[[#This Row],[Data]]="","", Buildings_Heat_Frontend[[#This Row],[Site Name]])</f>
        <v/>
      </c>
      <c r="Y303" s="174" t="str">
        <f>IF(Buildings_Heat_Frontend[[#This Row],[Data]]="","", Buildings_Heat_Frontend[[#This Row],[MPRN]])</f>
        <v/>
      </c>
      <c r="Z303" s="174" t="str">
        <f>IF(Buildings_Heat_Frontend[[#This Row],[Data]]="","", IF($I303="","",$I303))</f>
        <v/>
      </c>
      <c r="AA303" s="229" t="str" cm="1">
        <f t="array" ref="AA303">IF(Buildings_Heat_Frontend[[#This Row],[Data]]="","", INDEX(_xlfn.SWITCH(Buildings_Heat_Backend[[#This Row],[Methodology]],"Tier 1",rng_RSD1,"Tier 2",rng_RSD2,"Tier 3",rng_RSD3),MATCH(_xlfn.CONCAT(Buildings_Heat_Backend[[#This Row],[Level 1]:[Level 6]]),rng_LevelsConcat,0)))</f>
        <v/>
      </c>
      <c r="AB303" s="220" t="str">
        <f t="shared" si="13"/>
        <v/>
      </c>
      <c r="AC303" s="174">
        <f>Buildings_Heat_Frontend[[#This Row],[Units]]</f>
        <v>0</v>
      </c>
      <c r="AD30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3" s="174" t="str">
        <f>IF(Buildings_Heat_Frontend[[#This Row],[Data]]="","", _xlfn.XLOOKUP(_xlfn.CONCAT(Buildings_Heat_Backend[[#This Row],[Level 1]:[Level 6]]),rng_LevelsConcat,rng_UnitsLong))</f>
        <v/>
      </c>
      <c r="AF303" s="210" t="str">
        <f>IF(Buildings_Heat_Frontend[[#This Row],[Data]]="","", _xlfn.XLOOKUP(_xlfn.CONCAT(Buildings_Heat_Backend[[#This Row],[Level 1]:[Level 6]]),rng_EFConcat,rng_EF1)*Buildings_Heat_Backend[[#This Row],[Converted data]]/1000)</f>
        <v/>
      </c>
      <c r="AG303" s="210" t="str">
        <f>IF(Buildings_Heat_Frontend[[#This Row],[Data]]="","", _xlfn.XLOOKUP(_xlfn.CONCAT(Buildings_Heat_Backend[[#This Row],[Level 1]:[Level 6]]),rng_EFConcat,rng_EF2)*Buildings_Heat_Backend[[#This Row],[Converted data]]/1000)</f>
        <v/>
      </c>
      <c r="AH303" s="210" t="str">
        <f>IF(Buildings_Heat_Frontend[[#This Row],[Data]]="","", _xlfn.XLOOKUP(_xlfn.CONCAT(Buildings_Heat_Backend[[#This Row],[Level 1]:[Level 6]]),rng_EFConcat,rng_EF3)*Buildings_Heat_Backend[[#This Row],[Converted data]]/1000)</f>
        <v/>
      </c>
      <c r="AI303" s="210" t="str">
        <f>IF(Buildings_Heat_Frontend[[#This Row],[Data]]="","", _xlfn.XLOOKUP(_xlfn.CONCAT(Buildings_Heat_Backend[[#This Row],[Level 1]:[Level 6]]),rng_EFConcat,rng_EF3WTT)*Buildings_Heat_Backend[[#This Row],[Converted data]]/1000)</f>
        <v/>
      </c>
      <c r="AJ303" s="210" t="str">
        <f>IF(Buildings_Heat_Frontend[[#This Row],[Data]]="","", _xlfn.XLOOKUP(_xlfn.CONCAT(Buildings_Heat_Backend[[#This Row],[Level 1]:[Level 6]]),rng_EFConcat,rng_EF3TD)*Buildings_Heat_Backend[[#This Row],[Converted data]]/1000)</f>
        <v/>
      </c>
      <c r="AK303" s="210" t="str">
        <f>IF(Buildings_Heat_Frontend[[#This Row],[Data]]="","", _xlfn.XLOOKUP(_xlfn.CONCAT(Buildings_Heat_Backend[[#This Row],[Level 1]:[Level 6]]),rng_EFConcat,rng_EF3WTTTD)*Buildings_Heat_Backend[[#This Row],[Converted data]]/1000)</f>
        <v/>
      </c>
      <c r="AL303" s="220">
        <f>SUM(Buildings_Heat_Backend[[#This Row],[Scope 1 (tCO2e)]:[Scope 3 WTT T&amp;D (tCO2e)]])</f>
        <v>0</v>
      </c>
      <c r="AM303" s="220" t="str">
        <f>IF(Buildings_Heat_Frontend[[#This Row],[Data]]="","", Buildings_Heat_Backend[[#This Row],[Total (tCO2e)]]*(1-Buildings_Heat_Backend[[#This Row],[RSD]]))</f>
        <v/>
      </c>
      <c r="AN303" s="220" t="str">
        <f>IF(Buildings_Heat_Frontend[[#This Row],[Data]]="","", Buildings_Heat_Backend[[#This Row],[Total (tCO2e)]]*(1+Buildings_Heat_Backend[[#This Row],[RSD]]))</f>
        <v/>
      </c>
      <c r="AO303" s="210" t="str">
        <f>IF(Buildings_Heat_Frontend[[#This Row],[Data]]="","", _xlfn.XLOOKUP(_xlfn.CONCAT(Buildings_Heat_Backend[[#This Row],[Level 1]:[Level 6]]),rng_EFConcat,rng_EFOOS)*Buildings_Heat_Backend[[#This Row],[Converted data]]/1000)</f>
        <v/>
      </c>
      <c r="AP303" s="174">
        <f>Buildings_Heat_Frontend[[#This Row],[Ease of collection]]</f>
        <v>0</v>
      </c>
      <c r="AQ303" s="174">
        <f>Buildings_Heat_Frontend[[#This Row],[Completeness]]</f>
        <v>0</v>
      </c>
      <c r="AR303" s="174">
        <f>Buildings_Heat_Frontend[[#This Row],[Notes]]</f>
        <v>0</v>
      </c>
    </row>
    <row r="304" spans="5:44" x14ac:dyDescent="0.3">
      <c r="E304" s="346"/>
      <c r="F304" s="364"/>
      <c r="G304" s="336"/>
      <c r="H304" s="336"/>
      <c r="I304" s="336"/>
      <c r="J304" s="334"/>
      <c r="K304" s="336"/>
      <c r="L304" s="336"/>
      <c r="M304" s="336"/>
      <c r="N304" s="352"/>
      <c r="O304" s="230">
        <f t="shared" si="14"/>
        <v>6</v>
      </c>
      <c r="Q304" s="212" t="str">
        <f t="shared" si="12"/>
        <v/>
      </c>
      <c r="R304" s="174" t="s">
        <v>265</v>
      </c>
      <c r="S304" s="174" t="s">
        <v>273</v>
      </c>
      <c r="T304" s="174" t="str">
        <f>IF(Buildings_Heat_Frontend[[#This Row],[Data]]="","", _xlfn.XLOOKUP(Buildings_Heat_Backend[[#This Row],[Info 1]],Buildings_SiteInfo[Site name],Buildings_SiteInfo[Site type]))</f>
        <v/>
      </c>
      <c r="U304" s="174" t="str">
        <f>IF(Buildings_Heat_Frontend[[#This Row],[Data]]="","", Buildings_Heat_Frontend[[#This Row],[Heating Type]])</f>
        <v/>
      </c>
      <c r="V304" s="174" t="str">
        <f>IF(Buildings_Heat_Frontend[[#This Row],[Data]]="","", Buildings_Heat_Frontend[[#This Row],[Fuel]])</f>
        <v/>
      </c>
      <c r="W304" s="174" t="str" cm="1">
        <f t="array" ref="W304">IF(Buildings_Heat_Frontend[[#This Row],[Data]]="","", _xlfn.XLOOKUP(Buildings_Heat_Backend[[#This Row],[Level 5]],rng_Level5Long,rng_Level6Long))</f>
        <v/>
      </c>
      <c r="X304" s="174" t="str">
        <f>IF(Buildings_Heat_Frontend[[#This Row],[Data]]="","", Buildings_Heat_Frontend[[#This Row],[Site Name]])</f>
        <v/>
      </c>
      <c r="Y304" s="174" t="str">
        <f>IF(Buildings_Heat_Frontend[[#This Row],[Data]]="","", Buildings_Heat_Frontend[[#This Row],[MPRN]])</f>
        <v/>
      </c>
      <c r="Z304" s="174" t="str">
        <f>IF(Buildings_Heat_Frontend[[#This Row],[Data]]="","", IF($I304="","",$I304))</f>
        <v/>
      </c>
      <c r="AA304" s="229" t="str" cm="1">
        <f t="array" ref="AA304">IF(Buildings_Heat_Frontend[[#This Row],[Data]]="","", INDEX(_xlfn.SWITCH(Buildings_Heat_Backend[[#This Row],[Methodology]],"Tier 1",rng_RSD1,"Tier 2",rng_RSD2,"Tier 3",rng_RSD3),MATCH(_xlfn.CONCAT(Buildings_Heat_Backend[[#This Row],[Level 1]:[Level 6]]),rng_LevelsConcat,0)))</f>
        <v/>
      </c>
      <c r="AB304" s="220" t="str">
        <f t="shared" si="13"/>
        <v/>
      </c>
      <c r="AC304" s="174">
        <f>Buildings_Heat_Frontend[[#This Row],[Units]]</f>
        <v>0</v>
      </c>
      <c r="AD30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4" s="174" t="str">
        <f>IF(Buildings_Heat_Frontend[[#This Row],[Data]]="","", _xlfn.XLOOKUP(_xlfn.CONCAT(Buildings_Heat_Backend[[#This Row],[Level 1]:[Level 6]]),rng_LevelsConcat,rng_UnitsLong))</f>
        <v/>
      </c>
      <c r="AF304" s="210" t="str">
        <f>IF(Buildings_Heat_Frontend[[#This Row],[Data]]="","", _xlfn.XLOOKUP(_xlfn.CONCAT(Buildings_Heat_Backend[[#This Row],[Level 1]:[Level 6]]),rng_EFConcat,rng_EF1)*Buildings_Heat_Backend[[#This Row],[Converted data]]/1000)</f>
        <v/>
      </c>
      <c r="AG304" s="210" t="str">
        <f>IF(Buildings_Heat_Frontend[[#This Row],[Data]]="","", _xlfn.XLOOKUP(_xlfn.CONCAT(Buildings_Heat_Backend[[#This Row],[Level 1]:[Level 6]]),rng_EFConcat,rng_EF2)*Buildings_Heat_Backend[[#This Row],[Converted data]]/1000)</f>
        <v/>
      </c>
      <c r="AH304" s="210" t="str">
        <f>IF(Buildings_Heat_Frontend[[#This Row],[Data]]="","", _xlfn.XLOOKUP(_xlfn.CONCAT(Buildings_Heat_Backend[[#This Row],[Level 1]:[Level 6]]),rng_EFConcat,rng_EF3)*Buildings_Heat_Backend[[#This Row],[Converted data]]/1000)</f>
        <v/>
      </c>
      <c r="AI304" s="210" t="str">
        <f>IF(Buildings_Heat_Frontend[[#This Row],[Data]]="","", _xlfn.XLOOKUP(_xlfn.CONCAT(Buildings_Heat_Backend[[#This Row],[Level 1]:[Level 6]]),rng_EFConcat,rng_EF3WTT)*Buildings_Heat_Backend[[#This Row],[Converted data]]/1000)</f>
        <v/>
      </c>
      <c r="AJ304" s="210" t="str">
        <f>IF(Buildings_Heat_Frontend[[#This Row],[Data]]="","", _xlfn.XLOOKUP(_xlfn.CONCAT(Buildings_Heat_Backend[[#This Row],[Level 1]:[Level 6]]),rng_EFConcat,rng_EF3TD)*Buildings_Heat_Backend[[#This Row],[Converted data]]/1000)</f>
        <v/>
      </c>
      <c r="AK304" s="210" t="str">
        <f>IF(Buildings_Heat_Frontend[[#This Row],[Data]]="","", _xlfn.XLOOKUP(_xlfn.CONCAT(Buildings_Heat_Backend[[#This Row],[Level 1]:[Level 6]]),rng_EFConcat,rng_EF3WTTTD)*Buildings_Heat_Backend[[#This Row],[Converted data]]/1000)</f>
        <v/>
      </c>
      <c r="AL304" s="220">
        <f>SUM(Buildings_Heat_Backend[[#This Row],[Scope 1 (tCO2e)]:[Scope 3 WTT T&amp;D (tCO2e)]])</f>
        <v>0</v>
      </c>
      <c r="AM304" s="220" t="str">
        <f>IF(Buildings_Heat_Frontend[[#This Row],[Data]]="","", Buildings_Heat_Backend[[#This Row],[Total (tCO2e)]]*(1-Buildings_Heat_Backend[[#This Row],[RSD]]))</f>
        <v/>
      </c>
      <c r="AN304" s="220" t="str">
        <f>IF(Buildings_Heat_Frontend[[#This Row],[Data]]="","", Buildings_Heat_Backend[[#This Row],[Total (tCO2e)]]*(1+Buildings_Heat_Backend[[#This Row],[RSD]]))</f>
        <v/>
      </c>
      <c r="AO304" s="210" t="str">
        <f>IF(Buildings_Heat_Frontend[[#This Row],[Data]]="","", _xlfn.XLOOKUP(_xlfn.CONCAT(Buildings_Heat_Backend[[#This Row],[Level 1]:[Level 6]]),rng_EFConcat,rng_EFOOS)*Buildings_Heat_Backend[[#This Row],[Converted data]]/1000)</f>
        <v/>
      </c>
      <c r="AP304" s="174">
        <f>Buildings_Heat_Frontend[[#This Row],[Ease of collection]]</f>
        <v>0</v>
      </c>
      <c r="AQ304" s="174">
        <f>Buildings_Heat_Frontend[[#This Row],[Completeness]]</f>
        <v>0</v>
      </c>
      <c r="AR304" s="174">
        <f>Buildings_Heat_Frontend[[#This Row],[Notes]]</f>
        <v>0</v>
      </c>
    </row>
    <row r="305" spans="5:44" x14ac:dyDescent="0.3">
      <c r="E305" s="346"/>
      <c r="F305" s="364"/>
      <c r="G305" s="336"/>
      <c r="H305" s="336"/>
      <c r="I305" s="336"/>
      <c r="J305" s="334"/>
      <c r="K305" s="336"/>
      <c r="L305" s="336"/>
      <c r="M305" s="336"/>
      <c r="N305" s="352"/>
      <c r="O305" s="230">
        <f t="shared" si="14"/>
        <v>6</v>
      </c>
      <c r="Q305" s="212" t="str">
        <f t="shared" si="12"/>
        <v/>
      </c>
      <c r="R305" s="174" t="s">
        <v>265</v>
      </c>
      <c r="S305" s="174" t="s">
        <v>273</v>
      </c>
      <c r="T305" s="174" t="str">
        <f>IF(Buildings_Heat_Frontend[[#This Row],[Data]]="","", _xlfn.XLOOKUP(Buildings_Heat_Backend[[#This Row],[Info 1]],Buildings_SiteInfo[Site name],Buildings_SiteInfo[Site type]))</f>
        <v/>
      </c>
      <c r="U305" s="174" t="str">
        <f>IF(Buildings_Heat_Frontend[[#This Row],[Data]]="","", Buildings_Heat_Frontend[[#This Row],[Heating Type]])</f>
        <v/>
      </c>
      <c r="V305" s="174" t="str">
        <f>IF(Buildings_Heat_Frontend[[#This Row],[Data]]="","", Buildings_Heat_Frontend[[#This Row],[Fuel]])</f>
        <v/>
      </c>
      <c r="W305" s="174" t="str" cm="1">
        <f t="array" ref="W305">IF(Buildings_Heat_Frontend[[#This Row],[Data]]="","", _xlfn.XLOOKUP(Buildings_Heat_Backend[[#This Row],[Level 5]],rng_Level5Long,rng_Level6Long))</f>
        <v/>
      </c>
      <c r="X305" s="174" t="str">
        <f>IF(Buildings_Heat_Frontend[[#This Row],[Data]]="","", Buildings_Heat_Frontend[[#This Row],[Site Name]])</f>
        <v/>
      </c>
      <c r="Y305" s="174" t="str">
        <f>IF(Buildings_Heat_Frontend[[#This Row],[Data]]="","", Buildings_Heat_Frontend[[#This Row],[MPRN]])</f>
        <v/>
      </c>
      <c r="Z305" s="174" t="str">
        <f>IF(Buildings_Heat_Frontend[[#This Row],[Data]]="","", IF($I305="","",$I305))</f>
        <v/>
      </c>
      <c r="AA305" s="229" t="str" cm="1">
        <f t="array" ref="AA305">IF(Buildings_Heat_Frontend[[#This Row],[Data]]="","", INDEX(_xlfn.SWITCH(Buildings_Heat_Backend[[#This Row],[Methodology]],"Tier 1",rng_RSD1,"Tier 2",rng_RSD2,"Tier 3",rng_RSD3),MATCH(_xlfn.CONCAT(Buildings_Heat_Backend[[#This Row],[Level 1]:[Level 6]]),rng_LevelsConcat,0)))</f>
        <v/>
      </c>
      <c r="AB305" s="220" t="str">
        <f t="shared" si="13"/>
        <v/>
      </c>
      <c r="AC305" s="174">
        <f>Buildings_Heat_Frontend[[#This Row],[Units]]</f>
        <v>0</v>
      </c>
      <c r="AD30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5" s="174" t="str">
        <f>IF(Buildings_Heat_Frontend[[#This Row],[Data]]="","", _xlfn.XLOOKUP(_xlfn.CONCAT(Buildings_Heat_Backend[[#This Row],[Level 1]:[Level 6]]),rng_LevelsConcat,rng_UnitsLong))</f>
        <v/>
      </c>
      <c r="AF305" s="210" t="str">
        <f>IF(Buildings_Heat_Frontend[[#This Row],[Data]]="","", _xlfn.XLOOKUP(_xlfn.CONCAT(Buildings_Heat_Backend[[#This Row],[Level 1]:[Level 6]]),rng_EFConcat,rng_EF1)*Buildings_Heat_Backend[[#This Row],[Converted data]]/1000)</f>
        <v/>
      </c>
      <c r="AG305" s="210" t="str">
        <f>IF(Buildings_Heat_Frontend[[#This Row],[Data]]="","", _xlfn.XLOOKUP(_xlfn.CONCAT(Buildings_Heat_Backend[[#This Row],[Level 1]:[Level 6]]),rng_EFConcat,rng_EF2)*Buildings_Heat_Backend[[#This Row],[Converted data]]/1000)</f>
        <v/>
      </c>
      <c r="AH305" s="210" t="str">
        <f>IF(Buildings_Heat_Frontend[[#This Row],[Data]]="","", _xlfn.XLOOKUP(_xlfn.CONCAT(Buildings_Heat_Backend[[#This Row],[Level 1]:[Level 6]]),rng_EFConcat,rng_EF3)*Buildings_Heat_Backend[[#This Row],[Converted data]]/1000)</f>
        <v/>
      </c>
      <c r="AI305" s="210" t="str">
        <f>IF(Buildings_Heat_Frontend[[#This Row],[Data]]="","", _xlfn.XLOOKUP(_xlfn.CONCAT(Buildings_Heat_Backend[[#This Row],[Level 1]:[Level 6]]),rng_EFConcat,rng_EF3WTT)*Buildings_Heat_Backend[[#This Row],[Converted data]]/1000)</f>
        <v/>
      </c>
      <c r="AJ305" s="210" t="str">
        <f>IF(Buildings_Heat_Frontend[[#This Row],[Data]]="","", _xlfn.XLOOKUP(_xlfn.CONCAT(Buildings_Heat_Backend[[#This Row],[Level 1]:[Level 6]]),rng_EFConcat,rng_EF3TD)*Buildings_Heat_Backend[[#This Row],[Converted data]]/1000)</f>
        <v/>
      </c>
      <c r="AK305" s="210" t="str">
        <f>IF(Buildings_Heat_Frontend[[#This Row],[Data]]="","", _xlfn.XLOOKUP(_xlfn.CONCAT(Buildings_Heat_Backend[[#This Row],[Level 1]:[Level 6]]),rng_EFConcat,rng_EF3WTTTD)*Buildings_Heat_Backend[[#This Row],[Converted data]]/1000)</f>
        <v/>
      </c>
      <c r="AL305" s="220">
        <f>SUM(Buildings_Heat_Backend[[#This Row],[Scope 1 (tCO2e)]:[Scope 3 WTT T&amp;D (tCO2e)]])</f>
        <v>0</v>
      </c>
      <c r="AM305" s="220" t="str">
        <f>IF(Buildings_Heat_Frontend[[#This Row],[Data]]="","", Buildings_Heat_Backend[[#This Row],[Total (tCO2e)]]*(1-Buildings_Heat_Backend[[#This Row],[RSD]]))</f>
        <v/>
      </c>
      <c r="AN305" s="220" t="str">
        <f>IF(Buildings_Heat_Frontend[[#This Row],[Data]]="","", Buildings_Heat_Backend[[#This Row],[Total (tCO2e)]]*(1+Buildings_Heat_Backend[[#This Row],[RSD]]))</f>
        <v/>
      </c>
      <c r="AO305" s="210" t="str">
        <f>IF(Buildings_Heat_Frontend[[#This Row],[Data]]="","", _xlfn.XLOOKUP(_xlfn.CONCAT(Buildings_Heat_Backend[[#This Row],[Level 1]:[Level 6]]),rng_EFConcat,rng_EFOOS)*Buildings_Heat_Backend[[#This Row],[Converted data]]/1000)</f>
        <v/>
      </c>
      <c r="AP305" s="174">
        <f>Buildings_Heat_Frontend[[#This Row],[Ease of collection]]</f>
        <v>0</v>
      </c>
      <c r="AQ305" s="174">
        <f>Buildings_Heat_Frontend[[#This Row],[Completeness]]</f>
        <v>0</v>
      </c>
      <c r="AR305" s="174">
        <f>Buildings_Heat_Frontend[[#This Row],[Notes]]</f>
        <v>0</v>
      </c>
    </row>
    <row r="306" spans="5:44" x14ac:dyDescent="0.3">
      <c r="E306" s="346"/>
      <c r="F306" s="364"/>
      <c r="G306" s="336"/>
      <c r="H306" s="336"/>
      <c r="I306" s="336"/>
      <c r="J306" s="334"/>
      <c r="K306" s="336"/>
      <c r="L306" s="336"/>
      <c r="M306" s="336"/>
      <c r="N306" s="352"/>
      <c r="O306" s="230">
        <f t="shared" si="14"/>
        <v>6</v>
      </c>
      <c r="Q306" s="212" t="str">
        <f t="shared" si="12"/>
        <v/>
      </c>
      <c r="R306" s="174" t="s">
        <v>265</v>
      </c>
      <c r="S306" s="174" t="s">
        <v>273</v>
      </c>
      <c r="T306" s="174" t="str">
        <f>IF(Buildings_Heat_Frontend[[#This Row],[Data]]="","", _xlfn.XLOOKUP(Buildings_Heat_Backend[[#This Row],[Info 1]],Buildings_SiteInfo[Site name],Buildings_SiteInfo[Site type]))</f>
        <v/>
      </c>
      <c r="U306" s="174" t="str">
        <f>IF(Buildings_Heat_Frontend[[#This Row],[Data]]="","", Buildings_Heat_Frontend[[#This Row],[Heating Type]])</f>
        <v/>
      </c>
      <c r="V306" s="174" t="str">
        <f>IF(Buildings_Heat_Frontend[[#This Row],[Data]]="","", Buildings_Heat_Frontend[[#This Row],[Fuel]])</f>
        <v/>
      </c>
      <c r="W306" s="174" t="str" cm="1">
        <f t="array" ref="W306">IF(Buildings_Heat_Frontend[[#This Row],[Data]]="","", _xlfn.XLOOKUP(Buildings_Heat_Backend[[#This Row],[Level 5]],rng_Level5Long,rng_Level6Long))</f>
        <v/>
      </c>
      <c r="X306" s="174" t="str">
        <f>IF(Buildings_Heat_Frontend[[#This Row],[Data]]="","", Buildings_Heat_Frontend[[#This Row],[Site Name]])</f>
        <v/>
      </c>
      <c r="Y306" s="174" t="str">
        <f>IF(Buildings_Heat_Frontend[[#This Row],[Data]]="","", Buildings_Heat_Frontend[[#This Row],[MPRN]])</f>
        <v/>
      </c>
      <c r="Z306" s="174" t="str">
        <f>IF(Buildings_Heat_Frontend[[#This Row],[Data]]="","", IF($I306="","",$I306))</f>
        <v/>
      </c>
      <c r="AA306" s="229" t="str" cm="1">
        <f t="array" ref="AA306">IF(Buildings_Heat_Frontend[[#This Row],[Data]]="","", INDEX(_xlfn.SWITCH(Buildings_Heat_Backend[[#This Row],[Methodology]],"Tier 1",rng_RSD1,"Tier 2",rng_RSD2,"Tier 3",rng_RSD3),MATCH(_xlfn.CONCAT(Buildings_Heat_Backend[[#This Row],[Level 1]:[Level 6]]),rng_LevelsConcat,0)))</f>
        <v/>
      </c>
      <c r="AB306" s="220" t="str">
        <f t="shared" si="13"/>
        <v/>
      </c>
      <c r="AC306" s="174">
        <f>Buildings_Heat_Frontend[[#This Row],[Units]]</f>
        <v>0</v>
      </c>
      <c r="AD30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6" s="174" t="str">
        <f>IF(Buildings_Heat_Frontend[[#This Row],[Data]]="","", _xlfn.XLOOKUP(_xlfn.CONCAT(Buildings_Heat_Backend[[#This Row],[Level 1]:[Level 6]]),rng_LevelsConcat,rng_UnitsLong))</f>
        <v/>
      </c>
      <c r="AF306" s="210" t="str">
        <f>IF(Buildings_Heat_Frontend[[#This Row],[Data]]="","", _xlfn.XLOOKUP(_xlfn.CONCAT(Buildings_Heat_Backend[[#This Row],[Level 1]:[Level 6]]),rng_EFConcat,rng_EF1)*Buildings_Heat_Backend[[#This Row],[Converted data]]/1000)</f>
        <v/>
      </c>
      <c r="AG306" s="210" t="str">
        <f>IF(Buildings_Heat_Frontend[[#This Row],[Data]]="","", _xlfn.XLOOKUP(_xlfn.CONCAT(Buildings_Heat_Backend[[#This Row],[Level 1]:[Level 6]]),rng_EFConcat,rng_EF2)*Buildings_Heat_Backend[[#This Row],[Converted data]]/1000)</f>
        <v/>
      </c>
      <c r="AH306" s="210" t="str">
        <f>IF(Buildings_Heat_Frontend[[#This Row],[Data]]="","", _xlfn.XLOOKUP(_xlfn.CONCAT(Buildings_Heat_Backend[[#This Row],[Level 1]:[Level 6]]),rng_EFConcat,rng_EF3)*Buildings_Heat_Backend[[#This Row],[Converted data]]/1000)</f>
        <v/>
      </c>
      <c r="AI306" s="210" t="str">
        <f>IF(Buildings_Heat_Frontend[[#This Row],[Data]]="","", _xlfn.XLOOKUP(_xlfn.CONCAT(Buildings_Heat_Backend[[#This Row],[Level 1]:[Level 6]]),rng_EFConcat,rng_EF3WTT)*Buildings_Heat_Backend[[#This Row],[Converted data]]/1000)</f>
        <v/>
      </c>
      <c r="AJ306" s="210" t="str">
        <f>IF(Buildings_Heat_Frontend[[#This Row],[Data]]="","", _xlfn.XLOOKUP(_xlfn.CONCAT(Buildings_Heat_Backend[[#This Row],[Level 1]:[Level 6]]),rng_EFConcat,rng_EF3TD)*Buildings_Heat_Backend[[#This Row],[Converted data]]/1000)</f>
        <v/>
      </c>
      <c r="AK306" s="210" t="str">
        <f>IF(Buildings_Heat_Frontend[[#This Row],[Data]]="","", _xlfn.XLOOKUP(_xlfn.CONCAT(Buildings_Heat_Backend[[#This Row],[Level 1]:[Level 6]]),rng_EFConcat,rng_EF3WTTTD)*Buildings_Heat_Backend[[#This Row],[Converted data]]/1000)</f>
        <v/>
      </c>
      <c r="AL306" s="220">
        <f>SUM(Buildings_Heat_Backend[[#This Row],[Scope 1 (tCO2e)]:[Scope 3 WTT T&amp;D (tCO2e)]])</f>
        <v>0</v>
      </c>
      <c r="AM306" s="220" t="str">
        <f>IF(Buildings_Heat_Frontend[[#This Row],[Data]]="","", Buildings_Heat_Backend[[#This Row],[Total (tCO2e)]]*(1-Buildings_Heat_Backend[[#This Row],[RSD]]))</f>
        <v/>
      </c>
      <c r="AN306" s="220" t="str">
        <f>IF(Buildings_Heat_Frontend[[#This Row],[Data]]="","", Buildings_Heat_Backend[[#This Row],[Total (tCO2e)]]*(1+Buildings_Heat_Backend[[#This Row],[RSD]]))</f>
        <v/>
      </c>
      <c r="AO306" s="210" t="str">
        <f>IF(Buildings_Heat_Frontend[[#This Row],[Data]]="","", _xlfn.XLOOKUP(_xlfn.CONCAT(Buildings_Heat_Backend[[#This Row],[Level 1]:[Level 6]]),rng_EFConcat,rng_EFOOS)*Buildings_Heat_Backend[[#This Row],[Converted data]]/1000)</f>
        <v/>
      </c>
      <c r="AP306" s="174">
        <f>Buildings_Heat_Frontend[[#This Row],[Ease of collection]]</f>
        <v>0</v>
      </c>
      <c r="AQ306" s="174">
        <f>Buildings_Heat_Frontend[[#This Row],[Completeness]]</f>
        <v>0</v>
      </c>
      <c r="AR306" s="174">
        <f>Buildings_Heat_Frontend[[#This Row],[Notes]]</f>
        <v>0</v>
      </c>
    </row>
    <row r="307" spans="5:44" x14ac:dyDescent="0.3">
      <c r="E307" s="346"/>
      <c r="F307" s="364"/>
      <c r="G307" s="336"/>
      <c r="H307" s="336"/>
      <c r="I307" s="336"/>
      <c r="J307" s="334"/>
      <c r="K307" s="336"/>
      <c r="L307" s="336"/>
      <c r="M307" s="336"/>
      <c r="N307" s="352"/>
      <c r="O307" s="230">
        <f t="shared" si="14"/>
        <v>6</v>
      </c>
      <c r="Q307" s="212" t="str">
        <f t="shared" si="12"/>
        <v/>
      </c>
      <c r="R307" s="174" t="s">
        <v>265</v>
      </c>
      <c r="S307" s="174" t="s">
        <v>273</v>
      </c>
      <c r="T307" s="174" t="str">
        <f>IF(Buildings_Heat_Frontend[[#This Row],[Data]]="","", _xlfn.XLOOKUP(Buildings_Heat_Backend[[#This Row],[Info 1]],Buildings_SiteInfo[Site name],Buildings_SiteInfo[Site type]))</f>
        <v/>
      </c>
      <c r="U307" s="174" t="str">
        <f>IF(Buildings_Heat_Frontend[[#This Row],[Data]]="","", Buildings_Heat_Frontend[[#This Row],[Heating Type]])</f>
        <v/>
      </c>
      <c r="V307" s="174" t="str">
        <f>IF(Buildings_Heat_Frontend[[#This Row],[Data]]="","", Buildings_Heat_Frontend[[#This Row],[Fuel]])</f>
        <v/>
      </c>
      <c r="W307" s="174" t="str" cm="1">
        <f t="array" ref="W307">IF(Buildings_Heat_Frontend[[#This Row],[Data]]="","", _xlfn.XLOOKUP(Buildings_Heat_Backend[[#This Row],[Level 5]],rng_Level5Long,rng_Level6Long))</f>
        <v/>
      </c>
      <c r="X307" s="174" t="str">
        <f>IF(Buildings_Heat_Frontend[[#This Row],[Data]]="","", Buildings_Heat_Frontend[[#This Row],[Site Name]])</f>
        <v/>
      </c>
      <c r="Y307" s="174" t="str">
        <f>IF(Buildings_Heat_Frontend[[#This Row],[Data]]="","", Buildings_Heat_Frontend[[#This Row],[MPRN]])</f>
        <v/>
      </c>
      <c r="Z307" s="174" t="str">
        <f>IF(Buildings_Heat_Frontend[[#This Row],[Data]]="","", IF($I307="","",$I307))</f>
        <v/>
      </c>
      <c r="AA307" s="229" t="str" cm="1">
        <f t="array" ref="AA307">IF(Buildings_Heat_Frontend[[#This Row],[Data]]="","", INDEX(_xlfn.SWITCH(Buildings_Heat_Backend[[#This Row],[Methodology]],"Tier 1",rng_RSD1,"Tier 2",rng_RSD2,"Tier 3",rng_RSD3),MATCH(_xlfn.CONCAT(Buildings_Heat_Backend[[#This Row],[Level 1]:[Level 6]]),rng_LevelsConcat,0)))</f>
        <v/>
      </c>
      <c r="AB307" s="220" t="str">
        <f t="shared" si="13"/>
        <v/>
      </c>
      <c r="AC307" s="174">
        <f>Buildings_Heat_Frontend[[#This Row],[Units]]</f>
        <v>0</v>
      </c>
      <c r="AD30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7" s="174" t="str">
        <f>IF(Buildings_Heat_Frontend[[#This Row],[Data]]="","", _xlfn.XLOOKUP(_xlfn.CONCAT(Buildings_Heat_Backend[[#This Row],[Level 1]:[Level 6]]),rng_LevelsConcat,rng_UnitsLong))</f>
        <v/>
      </c>
      <c r="AF307" s="210" t="str">
        <f>IF(Buildings_Heat_Frontend[[#This Row],[Data]]="","", _xlfn.XLOOKUP(_xlfn.CONCAT(Buildings_Heat_Backend[[#This Row],[Level 1]:[Level 6]]),rng_EFConcat,rng_EF1)*Buildings_Heat_Backend[[#This Row],[Converted data]]/1000)</f>
        <v/>
      </c>
      <c r="AG307" s="210" t="str">
        <f>IF(Buildings_Heat_Frontend[[#This Row],[Data]]="","", _xlfn.XLOOKUP(_xlfn.CONCAT(Buildings_Heat_Backend[[#This Row],[Level 1]:[Level 6]]),rng_EFConcat,rng_EF2)*Buildings_Heat_Backend[[#This Row],[Converted data]]/1000)</f>
        <v/>
      </c>
      <c r="AH307" s="210" t="str">
        <f>IF(Buildings_Heat_Frontend[[#This Row],[Data]]="","", _xlfn.XLOOKUP(_xlfn.CONCAT(Buildings_Heat_Backend[[#This Row],[Level 1]:[Level 6]]),rng_EFConcat,rng_EF3)*Buildings_Heat_Backend[[#This Row],[Converted data]]/1000)</f>
        <v/>
      </c>
      <c r="AI307" s="210" t="str">
        <f>IF(Buildings_Heat_Frontend[[#This Row],[Data]]="","", _xlfn.XLOOKUP(_xlfn.CONCAT(Buildings_Heat_Backend[[#This Row],[Level 1]:[Level 6]]),rng_EFConcat,rng_EF3WTT)*Buildings_Heat_Backend[[#This Row],[Converted data]]/1000)</f>
        <v/>
      </c>
      <c r="AJ307" s="210" t="str">
        <f>IF(Buildings_Heat_Frontend[[#This Row],[Data]]="","", _xlfn.XLOOKUP(_xlfn.CONCAT(Buildings_Heat_Backend[[#This Row],[Level 1]:[Level 6]]),rng_EFConcat,rng_EF3TD)*Buildings_Heat_Backend[[#This Row],[Converted data]]/1000)</f>
        <v/>
      </c>
      <c r="AK307" s="210" t="str">
        <f>IF(Buildings_Heat_Frontend[[#This Row],[Data]]="","", _xlfn.XLOOKUP(_xlfn.CONCAT(Buildings_Heat_Backend[[#This Row],[Level 1]:[Level 6]]),rng_EFConcat,rng_EF3WTTTD)*Buildings_Heat_Backend[[#This Row],[Converted data]]/1000)</f>
        <v/>
      </c>
      <c r="AL307" s="220">
        <f>SUM(Buildings_Heat_Backend[[#This Row],[Scope 1 (tCO2e)]:[Scope 3 WTT T&amp;D (tCO2e)]])</f>
        <v>0</v>
      </c>
      <c r="AM307" s="220" t="str">
        <f>IF(Buildings_Heat_Frontend[[#This Row],[Data]]="","", Buildings_Heat_Backend[[#This Row],[Total (tCO2e)]]*(1-Buildings_Heat_Backend[[#This Row],[RSD]]))</f>
        <v/>
      </c>
      <c r="AN307" s="220" t="str">
        <f>IF(Buildings_Heat_Frontend[[#This Row],[Data]]="","", Buildings_Heat_Backend[[#This Row],[Total (tCO2e)]]*(1+Buildings_Heat_Backend[[#This Row],[RSD]]))</f>
        <v/>
      </c>
      <c r="AO307" s="210" t="str">
        <f>IF(Buildings_Heat_Frontend[[#This Row],[Data]]="","", _xlfn.XLOOKUP(_xlfn.CONCAT(Buildings_Heat_Backend[[#This Row],[Level 1]:[Level 6]]),rng_EFConcat,rng_EFOOS)*Buildings_Heat_Backend[[#This Row],[Converted data]]/1000)</f>
        <v/>
      </c>
      <c r="AP307" s="174">
        <f>Buildings_Heat_Frontend[[#This Row],[Ease of collection]]</f>
        <v>0</v>
      </c>
      <c r="AQ307" s="174">
        <f>Buildings_Heat_Frontend[[#This Row],[Completeness]]</f>
        <v>0</v>
      </c>
      <c r="AR307" s="174">
        <f>Buildings_Heat_Frontend[[#This Row],[Notes]]</f>
        <v>0</v>
      </c>
    </row>
    <row r="308" spans="5:44" x14ac:dyDescent="0.3">
      <c r="E308" s="346"/>
      <c r="F308" s="364"/>
      <c r="G308" s="336"/>
      <c r="H308" s="336"/>
      <c r="I308" s="336"/>
      <c r="J308" s="334"/>
      <c r="K308" s="336"/>
      <c r="L308" s="336"/>
      <c r="M308" s="336"/>
      <c r="N308" s="352"/>
      <c r="O308" s="230">
        <f t="shared" si="14"/>
        <v>6</v>
      </c>
      <c r="Q308" s="212" t="str">
        <f t="shared" si="12"/>
        <v/>
      </c>
      <c r="R308" s="174" t="s">
        <v>265</v>
      </c>
      <c r="S308" s="174" t="s">
        <v>273</v>
      </c>
      <c r="T308" s="174" t="str">
        <f>IF(Buildings_Heat_Frontend[[#This Row],[Data]]="","", _xlfn.XLOOKUP(Buildings_Heat_Backend[[#This Row],[Info 1]],Buildings_SiteInfo[Site name],Buildings_SiteInfo[Site type]))</f>
        <v/>
      </c>
      <c r="U308" s="174" t="str">
        <f>IF(Buildings_Heat_Frontend[[#This Row],[Data]]="","", Buildings_Heat_Frontend[[#This Row],[Heating Type]])</f>
        <v/>
      </c>
      <c r="V308" s="174" t="str">
        <f>IF(Buildings_Heat_Frontend[[#This Row],[Data]]="","", Buildings_Heat_Frontend[[#This Row],[Fuel]])</f>
        <v/>
      </c>
      <c r="W308" s="174" t="str" cm="1">
        <f t="array" ref="W308">IF(Buildings_Heat_Frontend[[#This Row],[Data]]="","", _xlfn.XLOOKUP(Buildings_Heat_Backend[[#This Row],[Level 5]],rng_Level5Long,rng_Level6Long))</f>
        <v/>
      </c>
      <c r="X308" s="174" t="str">
        <f>IF(Buildings_Heat_Frontend[[#This Row],[Data]]="","", Buildings_Heat_Frontend[[#This Row],[Site Name]])</f>
        <v/>
      </c>
      <c r="Y308" s="174" t="str">
        <f>IF(Buildings_Heat_Frontend[[#This Row],[Data]]="","", Buildings_Heat_Frontend[[#This Row],[MPRN]])</f>
        <v/>
      </c>
      <c r="Z308" s="174" t="str">
        <f>IF(Buildings_Heat_Frontend[[#This Row],[Data]]="","", IF($I308="","",$I308))</f>
        <v/>
      </c>
      <c r="AA308" s="229" t="str" cm="1">
        <f t="array" ref="AA308">IF(Buildings_Heat_Frontend[[#This Row],[Data]]="","", INDEX(_xlfn.SWITCH(Buildings_Heat_Backend[[#This Row],[Methodology]],"Tier 1",rng_RSD1,"Tier 2",rng_RSD2,"Tier 3",rng_RSD3),MATCH(_xlfn.CONCAT(Buildings_Heat_Backend[[#This Row],[Level 1]:[Level 6]]),rng_LevelsConcat,0)))</f>
        <v/>
      </c>
      <c r="AB308" s="220" t="str">
        <f t="shared" si="13"/>
        <v/>
      </c>
      <c r="AC308" s="174">
        <f>Buildings_Heat_Frontend[[#This Row],[Units]]</f>
        <v>0</v>
      </c>
      <c r="AD30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8" s="174" t="str">
        <f>IF(Buildings_Heat_Frontend[[#This Row],[Data]]="","", _xlfn.XLOOKUP(_xlfn.CONCAT(Buildings_Heat_Backend[[#This Row],[Level 1]:[Level 6]]),rng_LevelsConcat,rng_UnitsLong))</f>
        <v/>
      </c>
      <c r="AF308" s="210" t="str">
        <f>IF(Buildings_Heat_Frontend[[#This Row],[Data]]="","", _xlfn.XLOOKUP(_xlfn.CONCAT(Buildings_Heat_Backend[[#This Row],[Level 1]:[Level 6]]),rng_EFConcat,rng_EF1)*Buildings_Heat_Backend[[#This Row],[Converted data]]/1000)</f>
        <v/>
      </c>
      <c r="AG308" s="210" t="str">
        <f>IF(Buildings_Heat_Frontend[[#This Row],[Data]]="","", _xlfn.XLOOKUP(_xlfn.CONCAT(Buildings_Heat_Backend[[#This Row],[Level 1]:[Level 6]]),rng_EFConcat,rng_EF2)*Buildings_Heat_Backend[[#This Row],[Converted data]]/1000)</f>
        <v/>
      </c>
      <c r="AH308" s="210" t="str">
        <f>IF(Buildings_Heat_Frontend[[#This Row],[Data]]="","", _xlfn.XLOOKUP(_xlfn.CONCAT(Buildings_Heat_Backend[[#This Row],[Level 1]:[Level 6]]),rng_EFConcat,rng_EF3)*Buildings_Heat_Backend[[#This Row],[Converted data]]/1000)</f>
        <v/>
      </c>
      <c r="AI308" s="210" t="str">
        <f>IF(Buildings_Heat_Frontend[[#This Row],[Data]]="","", _xlfn.XLOOKUP(_xlfn.CONCAT(Buildings_Heat_Backend[[#This Row],[Level 1]:[Level 6]]),rng_EFConcat,rng_EF3WTT)*Buildings_Heat_Backend[[#This Row],[Converted data]]/1000)</f>
        <v/>
      </c>
      <c r="AJ308" s="210" t="str">
        <f>IF(Buildings_Heat_Frontend[[#This Row],[Data]]="","", _xlfn.XLOOKUP(_xlfn.CONCAT(Buildings_Heat_Backend[[#This Row],[Level 1]:[Level 6]]),rng_EFConcat,rng_EF3TD)*Buildings_Heat_Backend[[#This Row],[Converted data]]/1000)</f>
        <v/>
      </c>
      <c r="AK308" s="210" t="str">
        <f>IF(Buildings_Heat_Frontend[[#This Row],[Data]]="","", _xlfn.XLOOKUP(_xlfn.CONCAT(Buildings_Heat_Backend[[#This Row],[Level 1]:[Level 6]]),rng_EFConcat,rng_EF3WTTTD)*Buildings_Heat_Backend[[#This Row],[Converted data]]/1000)</f>
        <v/>
      </c>
      <c r="AL308" s="220">
        <f>SUM(Buildings_Heat_Backend[[#This Row],[Scope 1 (tCO2e)]:[Scope 3 WTT T&amp;D (tCO2e)]])</f>
        <v>0</v>
      </c>
      <c r="AM308" s="220" t="str">
        <f>IF(Buildings_Heat_Frontend[[#This Row],[Data]]="","", Buildings_Heat_Backend[[#This Row],[Total (tCO2e)]]*(1-Buildings_Heat_Backend[[#This Row],[RSD]]))</f>
        <v/>
      </c>
      <c r="AN308" s="220" t="str">
        <f>IF(Buildings_Heat_Frontend[[#This Row],[Data]]="","", Buildings_Heat_Backend[[#This Row],[Total (tCO2e)]]*(1+Buildings_Heat_Backend[[#This Row],[RSD]]))</f>
        <v/>
      </c>
      <c r="AO308" s="210" t="str">
        <f>IF(Buildings_Heat_Frontend[[#This Row],[Data]]="","", _xlfn.XLOOKUP(_xlfn.CONCAT(Buildings_Heat_Backend[[#This Row],[Level 1]:[Level 6]]),rng_EFConcat,rng_EFOOS)*Buildings_Heat_Backend[[#This Row],[Converted data]]/1000)</f>
        <v/>
      </c>
      <c r="AP308" s="174">
        <f>Buildings_Heat_Frontend[[#This Row],[Ease of collection]]</f>
        <v>0</v>
      </c>
      <c r="AQ308" s="174">
        <f>Buildings_Heat_Frontend[[#This Row],[Completeness]]</f>
        <v>0</v>
      </c>
      <c r="AR308" s="174">
        <f>Buildings_Heat_Frontend[[#This Row],[Notes]]</f>
        <v>0</v>
      </c>
    </row>
    <row r="309" spans="5:44" x14ac:dyDescent="0.3">
      <c r="E309" s="346"/>
      <c r="F309" s="364"/>
      <c r="G309" s="336"/>
      <c r="H309" s="336"/>
      <c r="I309" s="336"/>
      <c r="J309" s="334"/>
      <c r="K309" s="336"/>
      <c r="L309" s="336"/>
      <c r="M309" s="336"/>
      <c r="N309" s="352"/>
      <c r="O309" s="230">
        <f t="shared" si="14"/>
        <v>6</v>
      </c>
      <c r="Q309" s="212" t="str">
        <f t="shared" si="12"/>
        <v/>
      </c>
      <c r="R309" s="174" t="s">
        <v>265</v>
      </c>
      <c r="S309" s="174" t="s">
        <v>273</v>
      </c>
      <c r="T309" s="174" t="str">
        <f>IF(Buildings_Heat_Frontend[[#This Row],[Data]]="","", _xlfn.XLOOKUP(Buildings_Heat_Backend[[#This Row],[Info 1]],Buildings_SiteInfo[Site name],Buildings_SiteInfo[Site type]))</f>
        <v/>
      </c>
      <c r="U309" s="174" t="str">
        <f>IF(Buildings_Heat_Frontend[[#This Row],[Data]]="","", Buildings_Heat_Frontend[[#This Row],[Heating Type]])</f>
        <v/>
      </c>
      <c r="V309" s="174" t="str">
        <f>IF(Buildings_Heat_Frontend[[#This Row],[Data]]="","", Buildings_Heat_Frontend[[#This Row],[Fuel]])</f>
        <v/>
      </c>
      <c r="W309" s="174" t="str" cm="1">
        <f t="array" ref="W309">IF(Buildings_Heat_Frontend[[#This Row],[Data]]="","", _xlfn.XLOOKUP(Buildings_Heat_Backend[[#This Row],[Level 5]],rng_Level5Long,rng_Level6Long))</f>
        <v/>
      </c>
      <c r="X309" s="174" t="str">
        <f>IF(Buildings_Heat_Frontend[[#This Row],[Data]]="","", Buildings_Heat_Frontend[[#This Row],[Site Name]])</f>
        <v/>
      </c>
      <c r="Y309" s="174" t="str">
        <f>IF(Buildings_Heat_Frontend[[#This Row],[Data]]="","", Buildings_Heat_Frontend[[#This Row],[MPRN]])</f>
        <v/>
      </c>
      <c r="Z309" s="174" t="str">
        <f>IF(Buildings_Heat_Frontend[[#This Row],[Data]]="","", IF($I309="","",$I309))</f>
        <v/>
      </c>
      <c r="AA309" s="229" t="str" cm="1">
        <f t="array" ref="AA309">IF(Buildings_Heat_Frontend[[#This Row],[Data]]="","", INDEX(_xlfn.SWITCH(Buildings_Heat_Backend[[#This Row],[Methodology]],"Tier 1",rng_RSD1,"Tier 2",rng_RSD2,"Tier 3",rng_RSD3),MATCH(_xlfn.CONCAT(Buildings_Heat_Backend[[#This Row],[Level 1]:[Level 6]]),rng_LevelsConcat,0)))</f>
        <v/>
      </c>
      <c r="AB309" s="220" t="str">
        <f t="shared" si="13"/>
        <v/>
      </c>
      <c r="AC309" s="174">
        <f>Buildings_Heat_Frontend[[#This Row],[Units]]</f>
        <v>0</v>
      </c>
      <c r="AD30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09" s="174" t="str">
        <f>IF(Buildings_Heat_Frontend[[#This Row],[Data]]="","", _xlfn.XLOOKUP(_xlfn.CONCAT(Buildings_Heat_Backend[[#This Row],[Level 1]:[Level 6]]),rng_LevelsConcat,rng_UnitsLong))</f>
        <v/>
      </c>
      <c r="AF309" s="210" t="str">
        <f>IF(Buildings_Heat_Frontend[[#This Row],[Data]]="","", _xlfn.XLOOKUP(_xlfn.CONCAT(Buildings_Heat_Backend[[#This Row],[Level 1]:[Level 6]]),rng_EFConcat,rng_EF1)*Buildings_Heat_Backend[[#This Row],[Converted data]]/1000)</f>
        <v/>
      </c>
      <c r="AG309" s="210" t="str">
        <f>IF(Buildings_Heat_Frontend[[#This Row],[Data]]="","", _xlfn.XLOOKUP(_xlfn.CONCAT(Buildings_Heat_Backend[[#This Row],[Level 1]:[Level 6]]),rng_EFConcat,rng_EF2)*Buildings_Heat_Backend[[#This Row],[Converted data]]/1000)</f>
        <v/>
      </c>
      <c r="AH309" s="210" t="str">
        <f>IF(Buildings_Heat_Frontend[[#This Row],[Data]]="","", _xlfn.XLOOKUP(_xlfn.CONCAT(Buildings_Heat_Backend[[#This Row],[Level 1]:[Level 6]]),rng_EFConcat,rng_EF3)*Buildings_Heat_Backend[[#This Row],[Converted data]]/1000)</f>
        <v/>
      </c>
      <c r="AI309" s="210" t="str">
        <f>IF(Buildings_Heat_Frontend[[#This Row],[Data]]="","", _xlfn.XLOOKUP(_xlfn.CONCAT(Buildings_Heat_Backend[[#This Row],[Level 1]:[Level 6]]),rng_EFConcat,rng_EF3WTT)*Buildings_Heat_Backend[[#This Row],[Converted data]]/1000)</f>
        <v/>
      </c>
      <c r="AJ309" s="210" t="str">
        <f>IF(Buildings_Heat_Frontend[[#This Row],[Data]]="","", _xlfn.XLOOKUP(_xlfn.CONCAT(Buildings_Heat_Backend[[#This Row],[Level 1]:[Level 6]]),rng_EFConcat,rng_EF3TD)*Buildings_Heat_Backend[[#This Row],[Converted data]]/1000)</f>
        <v/>
      </c>
      <c r="AK309" s="210" t="str">
        <f>IF(Buildings_Heat_Frontend[[#This Row],[Data]]="","", _xlfn.XLOOKUP(_xlfn.CONCAT(Buildings_Heat_Backend[[#This Row],[Level 1]:[Level 6]]),rng_EFConcat,rng_EF3WTTTD)*Buildings_Heat_Backend[[#This Row],[Converted data]]/1000)</f>
        <v/>
      </c>
      <c r="AL309" s="220">
        <f>SUM(Buildings_Heat_Backend[[#This Row],[Scope 1 (tCO2e)]:[Scope 3 WTT T&amp;D (tCO2e)]])</f>
        <v>0</v>
      </c>
      <c r="AM309" s="220" t="str">
        <f>IF(Buildings_Heat_Frontend[[#This Row],[Data]]="","", Buildings_Heat_Backend[[#This Row],[Total (tCO2e)]]*(1-Buildings_Heat_Backend[[#This Row],[RSD]]))</f>
        <v/>
      </c>
      <c r="AN309" s="220" t="str">
        <f>IF(Buildings_Heat_Frontend[[#This Row],[Data]]="","", Buildings_Heat_Backend[[#This Row],[Total (tCO2e)]]*(1+Buildings_Heat_Backend[[#This Row],[RSD]]))</f>
        <v/>
      </c>
      <c r="AO309" s="210" t="str">
        <f>IF(Buildings_Heat_Frontend[[#This Row],[Data]]="","", _xlfn.XLOOKUP(_xlfn.CONCAT(Buildings_Heat_Backend[[#This Row],[Level 1]:[Level 6]]),rng_EFConcat,rng_EFOOS)*Buildings_Heat_Backend[[#This Row],[Converted data]]/1000)</f>
        <v/>
      </c>
      <c r="AP309" s="174">
        <f>Buildings_Heat_Frontend[[#This Row],[Ease of collection]]</f>
        <v>0</v>
      </c>
      <c r="AQ309" s="174">
        <f>Buildings_Heat_Frontend[[#This Row],[Completeness]]</f>
        <v>0</v>
      </c>
      <c r="AR309" s="174">
        <f>Buildings_Heat_Frontend[[#This Row],[Notes]]</f>
        <v>0</v>
      </c>
    </row>
    <row r="310" spans="5:44" x14ac:dyDescent="0.3">
      <c r="E310" s="346"/>
      <c r="F310" s="364"/>
      <c r="G310" s="336"/>
      <c r="H310" s="336"/>
      <c r="I310" s="336"/>
      <c r="J310" s="334"/>
      <c r="K310" s="336"/>
      <c r="L310" s="336"/>
      <c r="M310" s="336"/>
      <c r="N310" s="352"/>
      <c r="O310" s="230">
        <f t="shared" si="14"/>
        <v>6</v>
      </c>
      <c r="Q310" s="212" t="str">
        <f t="shared" si="12"/>
        <v/>
      </c>
      <c r="R310" s="174" t="s">
        <v>265</v>
      </c>
      <c r="S310" s="174" t="s">
        <v>273</v>
      </c>
      <c r="T310" s="174" t="str">
        <f>IF(Buildings_Heat_Frontend[[#This Row],[Data]]="","", _xlfn.XLOOKUP(Buildings_Heat_Backend[[#This Row],[Info 1]],Buildings_SiteInfo[Site name],Buildings_SiteInfo[Site type]))</f>
        <v/>
      </c>
      <c r="U310" s="174" t="str">
        <f>IF(Buildings_Heat_Frontend[[#This Row],[Data]]="","", Buildings_Heat_Frontend[[#This Row],[Heating Type]])</f>
        <v/>
      </c>
      <c r="V310" s="174" t="str">
        <f>IF(Buildings_Heat_Frontend[[#This Row],[Data]]="","", Buildings_Heat_Frontend[[#This Row],[Fuel]])</f>
        <v/>
      </c>
      <c r="W310" s="174" t="str" cm="1">
        <f t="array" ref="W310">IF(Buildings_Heat_Frontend[[#This Row],[Data]]="","", _xlfn.XLOOKUP(Buildings_Heat_Backend[[#This Row],[Level 5]],rng_Level5Long,rng_Level6Long))</f>
        <v/>
      </c>
      <c r="X310" s="174" t="str">
        <f>IF(Buildings_Heat_Frontend[[#This Row],[Data]]="","", Buildings_Heat_Frontend[[#This Row],[Site Name]])</f>
        <v/>
      </c>
      <c r="Y310" s="174" t="str">
        <f>IF(Buildings_Heat_Frontend[[#This Row],[Data]]="","", Buildings_Heat_Frontend[[#This Row],[MPRN]])</f>
        <v/>
      </c>
      <c r="Z310" s="174" t="str">
        <f>IF(Buildings_Heat_Frontend[[#This Row],[Data]]="","", IF($I310="","",$I310))</f>
        <v/>
      </c>
      <c r="AA310" s="229" t="str" cm="1">
        <f t="array" ref="AA310">IF(Buildings_Heat_Frontend[[#This Row],[Data]]="","", INDEX(_xlfn.SWITCH(Buildings_Heat_Backend[[#This Row],[Methodology]],"Tier 1",rng_RSD1,"Tier 2",rng_RSD2,"Tier 3",rng_RSD3),MATCH(_xlfn.CONCAT(Buildings_Heat_Backend[[#This Row],[Level 1]:[Level 6]]),rng_LevelsConcat,0)))</f>
        <v/>
      </c>
      <c r="AB310" s="220" t="str">
        <f t="shared" si="13"/>
        <v/>
      </c>
      <c r="AC310" s="174">
        <f>Buildings_Heat_Frontend[[#This Row],[Units]]</f>
        <v>0</v>
      </c>
      <c r="AD31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0" s="174" t="str">
        <f>IF(Buildings_Heat_Frontend[[#This Row],[Data]]="","", _xlfn.XLOOKUP(_xlfn.CONCAT(Buildings_Heat_Backend[[#This Row],[Level 1]:[Level 6]]),rng_LevelsConcat,rng_UnitsLong))</f>
        <v/>
      </c>
      <c r="AF310" s="210" t="str">
        <f>IF(Buildings_Heat_Frontend[[#This Row],[Data]]="","", _xlfn.XLOOKUP(_xlfn.CONCAT(Buildings_Heat_Backend[[#This Row],[Level 1]:[Level 6]]),rng_EFConcat,rng_EF1)*Buildings_Heat_Backend[[#This Row],[Converted data]]/1000)</f>
        <v/>
      </c>
      <c r="AG310" s="210" t="str">
        <f>IF(Buildings_Heat_Frontend[[#This Row],[Data]]="","", _xlfn.XLOOKUP(_xlfn.CONCAT(Buildings_Heat_Backend[[#This Row],[Level 1]:[Level 6]]),rng_EFConcat,rng_EF2)*Buildings_Heat_Backend[[#This Row],[Converted data]]/1000)</f>
        <v/>
      </c>
      <c r="AH310" s="210" t="str">
        <f>IF(Buildings_Heat_Frontend[[#This Row],[Data]]="","", _xlfn.XLOOKUP(_xlfn.CONCAT(Buildings_Heat_Backend[[#This Row],[Level 1]:[Level 6]]),rng_EFConcat,rng_EF3)*Buildings_Heat_Backend[[#This Row],[Converted data]]/1000)</f>
        <v/>
      </c>
      <c r="AI310" s="210" t="str">
        <f>IF(Buildings_Heat_Frontend[[#This Row],[Data]]="","", _xlfn.XLOOKUP(_xlfn.CONCAT(Buildings_Heat_Backend[[#This Row],[Level 1]:[Level 6]]),rng_EFConcat,rng_EF3WTT)*Buildings_Heat_Backend[[#This Row],[Converted data]]/1000)</f>
        <v/>
      </c>
      <c r="AJ310" s="210" t="str">
        <f>IF(Buildings_Heat_Frontend[[#This Row],[Data]]="","", _xlfn.XLOOKUP(_xlfn.CONCAT(Buildings_Heat_Backend[[#This Row],[Level 1]:[Level 6]]),rng_EFConcat,rng_EF3TD)*Buildings_Heat_Backend[[#This Row],[Converted data]]/1000)</f>
        <v/>
      </c>
      <c r="AK310" s="210" t="str">
        <f>IF(Buildings_Heat_Frontend[[#This Row],[Data]]="","", _xlfn.XLOOKUP(_xlfn.CONCAT(Buildings_Heat_Backend[[#This Row],[Level 1]:[Level 6]]),rng_EFConcat,rng_EF3WTTTD)*Buildings_Heat_Backend[[#This Row],[Converted data]]/1000)</f>
        <v/>
      </c>
      <c r="AL310" s="220">
        <f>SUM(Buildings_Heat_Backend[[#This Row],[Scope 1 (tCO2e)]:[Scope 3 WTT T&amp;D (tCO2e)]])</f>
        <v>0</v>
      </c>
      <c r="AM310" s="220" t="str">
        <f>IF(Buildings_Heat_Frontend[[#This Row],[Data]]="","", Buildings_Heat_Backend[[#This Row],[Total (tCO2e)]]*(1-Buildings_Heat_Backend[[#This Row],[RSD]]))</f>
        <v/>
      </c>
      <c r="AN310" s="220" t="str">
        <f>IF(Buildings_Heat_Frontend[[#This Row],[Data]]="","", Buildings_Heat_Backend[[#This Row],[Total (tCO2e)]]*(1+Buildings_Heat_Backend[[#This Row],[RSD]]))</f>
        <v/>
      </c>
      <c r="AO310" s="210" t="str">
        <f>IF(Buildings_Heat_Frontend[[#This Row],[Data]]="","", _xlfn.XLOOKUP(_xlfn.CONCAT(Buildings_Heat_Backend[[#This Row],[Level 1]:[Level 6]]),rng_EFConcat,rng_EFOOS)*Buildings_Heat_Backend[[#This Row],[Converted data]]/1000)</f>
        <v/>
      </c>
      <c r="AP310" s="174">
        <f>Buildings_Heat_Frontend[[#This Row],[Ease of collection]]</f>
        <v>0</v>
      </c>
      <c r="AQ310" s="174">
        <f>Buildings_Heat_Frontend[[#This Row],[Completeness]]</f>
        <v>0</v>
      </c>
      <c r="AR310" s="174">
        <f>Buildings_Heat_Frontend[[#This Row],[Notes]]</f>
        <v>0</v>
      </c>
    </row>
    <row r="311" spans="5:44" x14ac:dyDescent="0.3">
      <c r="E311" s="346"/>
      <c r="F311" s="364"/>
      <c r="G311" s="336"/>
      <c r="H311" s="336"/>
      <c r="I311" s="336"/>
      <c r="J311" s="334"/>
      <c r="K311" s="336"/>
      <c r="L311" s="336"/>
      <c r="M311" s="336"/>
      <c r="N311" s="352"/>
      <c r="O311" s="230">
        <f t="shared" si="14"/>
        <v>6</v>
      </c>
      <c r="Q311" s="212" t="str">
        <f t="shared" si="12"/>
        <v/>
      </c>
      <c r="R311" s="174" t="s">
        <v>265</v>
      </c>
      <c r="S311" s="174" t="s">
        <v>273</v>
      </c>
      <c r="T311" s="174" t="str">
        <f>IF(Buildings_Heat_Frontend[[#This Row],[Data]]="","", _xlfn.XLOOKUP(Buildings_Heat_Backend[[#This Row],[Info 1]],Buildings_SiteInfo[Site name],Buildings_SiteInfo[Site type]))</f>
        <v/>
      </c>
      <c r="U311" s="174" t="str">
        <f>IF(Buildings_Heat_Frontend[[#This Row],[Data]]="","", Buildings_Heat_Frontend[[#This Row],[Heating Type]])</f>
        <v/>
      </c>
      <c r="V311" s="174" t="str">
        <f>IF(Buildings_Heat_Frontend[[#This Row],[Data]]="","", Buildings_Heat_Frontend[[#This Row],[Fuel]])</f>
        <v/>
      </c>
      <c r="W311" s="174" t="str" cm="1">
        <f t="array" ref="W311">IF(Buildings_Heat_Frontend[[#This Row],[Data]]="","", _xlfn.XLOOKUP(Buildings_Heat_Backend[[#This Row],[Level 5]],rng_Level5Long,rng_Level6Long))</f>
        <v/>
      </c>
      <c r="X311" s="174" t="str">
        <f>IF(Buildings_Heat_Frontend[[#This Row],[Data]]="","", Buildings_Heat_Frontend[[#This Row],[Site Name]])</f>
        <v/>
      </c>
      <c r="Y311" s="174" t="str">
        <f>IF(Buildings_Heat_Frontend[[#This Row],[Data]]="","", Buildings_Heat_Frontend[[#This Row],[MPRN]])</f>
        <v/>
      </c>
      <c r="Z311" s="174" t="str">
        <f>IF(Buildings_Heat_Frontend[[#This Row],[Data]]="","", IF($I311="","",$I311))</f>
        <v/>
      </c>
      <c r="AA311" s="229" t="str" cm="1">
        <f t="array" ref="AA311">IF(Buildings_Heat_Frontend[[#This Row],[Data]]="","", INDEX(_xlfn.SWITCH(Buildings_Heat_Backend[[#This Row],[Methodology]],"Tier 1",rng_RSD1,"Tier 2",rng_RSD2,"Tier 3",rng_RSD3),MATCH(_xlfn.CONCAT(Buildings_Heat_Backend[[#This Row],[Level 1]:[Level 6]]),rng_LevelsConcat,0)))</f>
        <v/>
      </c>
      <c r="AB311" s="220" t="str">
        <f t="shared" si="13"/>
        <v/>
      </c>
      <c r="AC311" s="174">
        <f>Buildings_Heat_Frontend[[#This Row],[Units]]</f>
        <v>0</v>
      </c>
      <c r="AD31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1" s="174" t="str">
        <f>IF(Buildings_Heat_Frontend[[#This Row],[Data]]="","", _xlfn.XLOOKUP(_xlfn.CONCAT(Buildings_Heat_Backend[[#This Row],[Level 1]:[Level 6]]),rng_LevelsConcat,rng_UnitsLong))</f>
        <v/>
      </c>
      <c r="AF311" s="210" t="str">
        <f>IF(Buildings_Heat_Frontend[[#This Row],[Data]]="","", _xlfn.XLOOKUP(_xlfn.CONCAT(Buildings_Heat_Backend[[#This Row],[Level 1]:[Level 6]]),rng_EFConcat,rng_EF1)*Buildings_Heat_Backend[[#This Row],[Converted data]]/1000)</f>
        <v/>
      </c>
      <c r="AG311" s="210" t="str">
        <f>IF(Buildings_Heat_Frontend[[#This Row],[Data]]="","", _xlfn.XLOOKUP(_xlfn.CONCAT(Buildings_Heat_Backend[[#This Row],[Level 1]:[Level 6]]),rng_EFConcat,rng_EF2)*Buildings_Heat_Backend[[#This Row],[Converted data]]/1000)</f>
        <v/>
      </c>
      <c r="AH311" s="210" t="str">
        <f>IF(Buildings_Heat_Frontend[[#This Row],[Data]]="","", _xlfn.XLOOKUP(_xlfn.CONCAT(Buildings_Heat_Backend[[#This Row],[Level 1]:[Level 6]]),rng_EFConcat,rng_EF3)*Buildings_Heat_Backend[[#This Row],[Converted data]]/1000)</f>
        <v/>
      </c>
      <c r="AI311" s="210" t="str">
        <f>IF(Buildings_Heat_Frontend[[#This Row],[Data]]="","", _xlfn.XLOOKUP(_xlfn.CONCAT(Buildings_Heat_Backend[[#This Row],[Level 1]:[Level 6]]),rng_EFConcat,rng_EF3WTT)*Buildings_Heat_Backend[[#This Row],[Converted data]]/1000)</f>
        <v/>
      </c>
      <c r="AJ311" s="210" t="str">
        <f>IF(Buildings_Heat_Frontend[[#This Row],[Data]]="","", _xlfn.XLOOKUP(_xlfn.CONCAT(Buildings_Heat_Backend[[#This Row],[Level 1]:[Level 6]]),rng_EFConcat,rng_EF3TD)*Buildings_Heat_Backend[[#This Row],[Converted data]]/1000)</f>
        <v/>
      </c>
      <c r="AK311" s="210" t="str">
        <f>IF(Buildings_Heat_Frontend[[#This Row],[Data]]="","", _xlfn.XLOOKUP(_xlfn.CONCAT(Buildings_Heat_Backend[[#This Row],[Level 1]:[Level 6]]),rng_EFConcat,rng_EF3WTTTD)*Buildings_Heat_Backend[[#This Row],[Converted data]]/1000)</f>
        <v/>
      </c>
      <c r="AL311" s="220">
        <f>SUM(Buildings_Heat_Backend[[#This Row],[Scope 1 (tCO2e)]:[Scope 3 WTT T&amp;D (tCO2e)]])</f>
        <v>0</v>
      </c>
      <c r="AM311" s="220" t="str">
        <f>IF(Buildings_Heat_Frontend[[#This Row],[Data]]="","", Buildings_Heat_Backend[[#This Row],[Total (tCO2e)]]*(1-Buildings_Heat_Backend[[#This Row],[RSD]]))</f>
        <v/>
      </c>
      <c r="AN311" s="220" t="str">
        <f>IF(Buildings_Heat_Frontend[[#This Row],[Data]]="","", Buildings_Heat_Backend[[#This Row],[Total (tCO2e)]]*(1+Buildings_Heat_Backend[[#This Row],[RSD]]))</f>
        <v/>
      </c>
      <c r="AO311" s="210" t="str">
        <f>IF(Buildings_Heat_Frontend[[#This Row],[Data]]="","", _xlfn.XLOOKUP(_xlfn.CONCAT(Buildings_Heat_Backend[[#This Row],[Level 1]:[Level 6]]),rng_EFConcat,rng_EFOOS)*Buildings_Heat_Backend[[#This Row],[Converted data]]/1000)</f>
        <v/>
      </c>
      <c r="AP311" s="174">
        <f>Buildings_Heat_Frontend[[#This Row],[Ease of collection]]</f>
        <v>0</v>
      </c>
      <c r="AQ311" s="174">
        <f>Buildings_Heat_Frontend[[#This Row],[Completeness]]</f>
        <v>0</v>
      </c>
      <c r="AR311" s="174">
        <f>Buildings_Heat_Frontend[[#This Row],[Notes]]</f>
        <v>0</v>
      </c>
    </row>
    <row r="312" spans="5:44" x14ac:dyDescent="0.3">
      <c r="E312" s="346"/>
      <c r="F312" s="364"/>
      <c r="G312" s="336"/>
      <c r="H312" s="336"/>
      <c r="I312" s="336"/>
      <c r="J312" s="334"/>
      <c r="K312" s="336"/>
      <c r="L312" s="336"/>
      <c r="M312" s="336"/>
      <c r="N312" s="352"/>
      <c r="O312" s="230">
        <f t="shared" si="14"/>
        <v>6</v>
      </c>
      <c r="Q312" s="212" t="str">
        <f t="shared" si="12"/>
        <v/>
      </c>
      <c r="R312" s="174" t="s">
        <v>265</v>
      </c>
      <c r="S312" s="174" t="s">
        <v>273</v>
      </c>
      <c r="T312" s="174" t="str">
        <f>IF(Buildings_Heat_Frontend[[#This Row],[Data]]="","", _xlfn.XLOOKUP(Buildings_Heat_Backend[[#This Row],[Info 1]],Buildings_SiteInfo[Site name],Buildings_SiteInfo[Site type]))</f>
        <v/>
      </c>
      <c r="U312" s="174" t="str">
        <f>IF(Buildings_Heat_Frontend[[#This Row],[Data]]="","", Buildings_Heat_Frontend[[#This Row],[Heating Type]])</f>
        <v/>
      </c>
      <c r="V312" s="174" t="str">
        <f>IF(Buildings_Heat_Frontend[[#This Row],[Data]]="","", Buildings_Heat_Frontend[[#This Row],[Fuel]])</f>
        <v/>
      </c>
      <c r="W312" s="174" t="str" cm="1">
        <f t="array" ref="W312">IF(Buildings_Heat_Frontend[[#This Row],[Data]]="","", _xlfn.XLOOKUP(Buildings_Heat_Backend[[#This Row],[Level 5]],rng_Level5Long,rng_Level6Long))</f>
        <v/>
      </c>
      <c r="X312" s="174" t="str">
        <f>IF(Buildings_Heat_Frontend[[#This Row],[Data]]="","", Buildings_Heat_Frontend[[#This Row],[Site Name]])</f>
        <v/>
      </c>
      <c r="Y312" s="174" t="str">
        <f>IF(Buildings_Heat_Frontend[[#This Row],[Data]]="","", Buildings_Heat_Frontend[[#This Row],[MPRN]])</f>
        <v/>
      </c>
      <c r="Z312" s="174" t="str">
        <f>IF(Buildings_Heat_Frontend[[#This Row],[Data]]="","", IF($I312="","",$I312))</f>
        <v/>
      </c>
      <c r="AA312" s="229" t="str" cm="1">
        <f t="array" ref="AA312">IF(Buildings_Heat_Frontend[[#This Row],[Data]]="","", INDEX(_xlfn.SWITCH(Buildings_Heat_Backend[[#This Row],[Methodology]],"Tier 1",rng_RSD1,"Tier 2",rng_RSD2,"Tier 3",rng_RSD3),MATCH(_xlfn.CONCAT(Buildings_Heat_Backend[[#This Row],[Level 1]:[Level 6]]),rng_LevelsConcat,0)))</f>
        <v/>
      </c>
      <c r="AB312" s="220" t="str">
        <f t="shared" si="13"/>
        <v/>
      </c>
      <c r="AC312" s="174">
        <f>Buildings_Heat_Frontend[[#This Row],[Units]]</f>
        <v>0</v>
      </c>
      <c r="AD31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2" s="174" t="str">
        <f>IF(Buildings_Heat_Frontend[[#This Row],[Data]]="","", _xlfn.XLOOKUP(_xlfn.CONCAT(Buildings_Heat_Backend[[#This Row],[Level 1]:[Level 6]]),rng_LevelsConcat,rng_UnitsLong))</f>
        <v/>
      </c>
      <c r="AF312" s="210" t="str">
        <f>IF(Buildings_Heat_Frontend[[#This Row],[Data]]="","", _xlfn.XLOOKUP(_xlfn.CONCAT(Buildings_Heat_Backend[[#This Row],[Level 1]:[Level 6]]),rng_EFConcat,rng_EF1)*Buildings_Heat_Backend[[#This Row],[Converted data]]/1000)</f>
        <v/>
      </c>
      <c r="AG312" s="210" t="str">
        <f>IF(Buildings_Heat_Frontend[[#This Row],[Data]]="","", _xlfn.XLOOKUP(_xlfn.CONCAT(Buildings_Heat_Backend[[#This Row],[Level 1]:[Level 6]]),rng_EFConcat,rng_EF2)*Buildings_Heat_Backend[[#This Row],[Converted data]]/1000)</f>
        <v/>
      </c>
      <c r="AH312" s="210" t="str">
        <f>IF(Buildings_Heat_Frontend[[#This Row],[Data]]="","", _xlfn.XLOOKUP(_xlfn.CONCAT(Buildings_Heat_Backend[[#This Row],[Level 1]:[Level 6]]),rng_EFConcat,rng_EF3)*Buildings_Heat_Backend[[#This Row],[Converted data]]/1000)</f>
        <v/>
      </c>
      <c r="AI312" s="210" t="str">
        <f>IF(Buildings_Heat_Frontend[[#This Row],[Data]]="","", _xlfn.XLOOKUP(_xlfn.CONCAT(Buildings_Heat_Backend[[#This Row],[Level 1]:[Level 6]]),rng_EFConcat,rng_EF3WTT)*Buildings_Heat_Backend[[#This Row],[Converted data]]/1000)</f>
        <v/>
      </c>
      <c r="AJ312" s="210" t="str">
        <f>IF(Buildings_Heat_Frontend[[#This Row],[Data]]="","", _xlfn.XLOOKUP(_xlfn.CONCAT(Buildings_Heat_Backend[[#This Row],[Level 1]:[Level 6]]),rng_EFConcat,rng_EF3TD)*Buildings_Heat_Backend[[#This Row],[Converted data]]/1000)</f>
        <v/>
      </c>
      <c r="AK312" s="210" t="str">
        <f>IF(Buildings_Heat_Frontend[[#This Row],[Data]]="","", _xlfn.XLOOKUP(_xlfn.CONCAT(Buildings_Heat_Backend[[#This Row],[Level 1]:[Level 6]]),rng_EFConcat,rng_EF3WTTTD)*Buildings_Heat_Backend[[#This Row],[Converted data]]/1000)</f>
        <v/>
      </c>
      <c r="AL312" s="220">
        <f>SUM(Buildings_Heat_Backend[[#This Row],[Scope 1 (tCO2e)]:[Scope 3 WTT T&amp;D (tCO2e)]])</f>
        <v>0</v>
      </c>
      <c r="AM312" s="220" t="str">
        <f>IF(Buildings_Heat_Frontend[[#This Row],[Data]]="","", Buildings_Heat_Backend[[#This Row],[Total (tCO2e)]]*(1-Buildings_Heat_Backend[[#This Row],[RSD]]))</f>
        <v/>
      </c>
      <c r="AN312" s="220" t="str">
        <f>IF(Buildings_Heat_Frontend[[#This Row],[Data]]="","", Buildings_Heat_Backend[[#This Row],[Total (tCO2e)]]*(1+Buildings_Heat_Backend[[#This Row],[RSD]]))</f>
        <v/>
      </c>
      <c r="AO312" s="210" t="str">
        <f>IF(Buildings_Heat_Frontend[[#This Row],[Data]]="","", _xlfn.XLOOKUP(_xlfn.CONCAT(Buildings_Heat_Backend[[#This Row],[Level 1]:[Level 6]]),rng_EFConcat,rng_EFOOS)*Buildings_Heat_Backend[[#This Row],[Converted data]]/1000)</f>
        <v/>
      </c>
      <c r="AP312" s="174">
        <f>Buildings_Heat_Frontend[[#This Row],[Ease of collection]]</f>
        <v>0</v>
      </c>
      <c r="AQ312" s="174">
        <f>Buildings_Heat_Frontend[[#This Row],[Completeness]]</f>
        <v>0</v>
      </c>
      <c r="AR312" s="174">
        <f>Buildings_Heat_Frontend[[#This Row],[Notes]]</f>
        <v>0</v>
      </c>
    </row>
    <row r="313" spans="5:44" x14ac:dyDescent="0.3">
      <c r="E313" s="346"/>
      <c r="F313" s="364"/>
      <c r="G313" s="336"/>
      <c r="H313" s="336"/>
      <c r="I313" s="336"/>
      <c r="J313" s="334"/>
      <c r="K313" s="336"/>
      <c r="L313" s="336"/>
      <c r="M313" s="336"/>
      <c r="N313" s="352"/>
      <c r="O313" s="230">
        <f t="shared" si="14"/>
        <v>6</v>
      </c>
      <c r="Q313" s="212" t="str">
        <f t="shared" si="12"/>
        <v/>
      </c>
      <c r="R313" s="174" t="s">
        <v>265</v>
      </c>
      <c r="S313" s="174" t="s">
        <v>273</v>
      </c>
      <c r="T313" s="174" t="str">
        <f>IF(Buildings_Heat_Frontend[[#This Row],[Data]]="","", _xlfn.XLOOKUP(Buildings_Heat_Backend[[#This Row],[Info 1]],Buildings_SiteInfo[Site name],Buildings_SiteInfo[Site type]))</f>
        <v/>
      </c>
      <c r="U313" s="174" t="str">
        <f>IF(Buildings_Heat_Frontend[[#This Row],[Data]]="","", Buildings_Heat_Frontend[[#This Row],[Heating Type]])</f>
        <v/>
      </c>
      <c r="V313" s="174" t="str">
        <f>IF(Buildings_Heat_Frontend[[#This Row],[Data]]="","", Buildings_Heat_Frontend[[#This Row],[Fuel]])</f>
        <v/>
      </c>
      <c r="W313" s="174" t="str" cm="1">
        <f t="array" ref="W313">IF(Buildings_Heat_Frontend[[#This Row],[Data]]="","", _xlfn.XLOOKUP(Buildings_Heat_Backend[[#This Row],[Level 5]],rng_Level5Long,rng_Level6Long))</f>
        <v/>
      </c>
      <c r="X313" s="174" t="str">
        <f>IF(Buildings_Heat_Frontend[[#This Row],[Data]]="","", Buildings_Heat_Frontend[[#This Row],[Site Name]])</f>
        <v/>
      </c>
      <c r="Y313" s="174" t="str">
        <f>IF(Buildings_Heat_Frontend[[#This Row],[Data]]="","", Buildings_Heat_Frontend[[#This Row],[MPRN]])</f>
        <v/>
      </c>
      <c r="Z313" s="174" t="str">
        <f>IF(Buildings_Heat_Frontend[[#This Row],[Data]]="","", IF($I313="","",$I313))</f>
        <v/>
      </c>
      <c r="AA313" s="229" t="str" cm="1">
        <f t="array" ref="AA313">IF(Buildings_Heat_Frontend[[#This Row],[Data]]="","", INDEX(_xlfn.SWITCH(Buildings_Heat_Backend[[#This Row],[Methodology]],"Tier 1",rng_RSD1,"Tier 2",rng_RSD2,"Tier 3",rng_RSD3),MATCH(_xlfn.CONCAT(Buildings_Heat_Backend[[#This Row],[Level 1]:[Level 6]]),rng_LevelsConcat,0)))</f>
        <v/>
      </c>
      <c r="AB313" s="220" t="str">
        <f t="shared" si="13"/>
        <v/>
      </c>
      <c r="AC313" s="174">
        <f>Buildings_Heat_Frontend[[#This Row],[Units]]</f>
        <v>0</v>
      </c>
      <c r="AD31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3" s="174" t="str">
        <f>IF(Buildings_Heat_Frontend[[#This Row],[Data]]="","", _xlfn.XLOOKUP(_xlfn.CONCAT(Buildings_Heat_Backend[[#This Row],[Level 1]:[Level 6]]),rng_LevelsConcat,rng_UnitsLong))</f>
        <v/>
      </c>
      <c r="AF313" s="210" t="str">
        <f>IF(Buildings_Heat_Frontend[[#This Row],[Data]]="","", _xlfn.XLOOKUP(_xlfn.CONCAT(Buildings_Heat_Backend[[#This Row],[Level 1]:[Level 6]]),rng_EFConcat,rng_EF1)*Buildings_Heat_Backend[[#This Row],[Converted data]]/1000)</f>
        <v/>
      </c>
      <c r="AG313" s="210" t="str">
        <f>IF(Buildings_Heat_Frontend[[#This Row],[Data]]="","", _xlfn.XLOOKUP(_xlfn.CONCAT(Buildings_Heat_Backend[[#This Row],[Level 1]:[Level 6]]),rng_EFConcat,rng_EF2)*Buildings_Heat_Backend[[#This Row],[Converted data]]/1000)</f>
        <v/>
      </c>
      <c r="AH313" s="210" t="str">
        <f>IF(Buildings_Heat_Frontend[[#This Row],[Data]]="","", _xlfn.XLOOKUP(_xlfn.CONCAT(Buildings_Heat_Backend[[#This Row],[Level 1]:[Level 6]]),rng_EFConcat,rng_EF3)*Buildings_Heat_Backend[[#This Row],[Converted data]]/1000)</f>
        <v/>
      </c>
      <c r="AI313" s="210" t="str">
        <f>IF(Buildings_Heat_Frontend[[#This Row],[Data]]="","", _xlfn.XLOOKUP(_xlfn.CONCAT(Buildings_Heat_Backend[[#This Row],[Level 1]:[Level 6]]),rng_EFConcat,rng_EF3WTT)*Buildings_Heat_Backend[[#This Row],[Converted data]]/1000)</f>
        <v/>
      </c>
      <c r="AJ313" s="210" t="str">
        <f>IF(Buildings_Heat_Frontend[[#This Row],[Data]]="","", _xlfn.XLOOKUP(_xlfn.CONCAT(Buildings_Heat_Backend[[#This Row],[Level 1]:[Level 6]]),rng_EFConcat,rng_EF3TD)*Buildings_Heat_Backend[[#This Row],[Converted data]]/1000)</f>
        <v/>
      </c>
      <c r="AK313" s="210" t="str">
        <f>IF(Buildings_Heat_Frontend[[#This Row],[Data]]="","", _xlfn.XLOOKUP(_xlfn.CONCAT(Buildings_Heat_Backend[[#This Row],[Level 1]:[Level 6]]),rng_EFConcat,rng_EF3WTTTD)*Buildings_Heat_Backend[[#This Row],[Converted data]]/1000)</f>
        <v/>
      </c>
      <c r="AL313" s="220">
        <f>SUM(Buildings_Heat_Backend[[#This Row],[Scope 1 (tCO2e)]:[Scope 3 WTT T&amp;D (tCO2e)]])</f>
        <v>0</v>
      </c>
      <c r="AM313" s="220" t="str">
        <f>IF(Buildings_Heat_Frontend[[#This Row],[Data]]="","", Buildings_Heat_Backend[[#This Row],[Total (tCO2e)]]*(1-Buildings_Heat_Backend[[#This Row],[RSD]]))</f>
        <v/>
      </c>
      <c r="AN313" s="220" t="str">
        <f>IF(Buildings_Heat_Frontend[[#This Row],[Data]]="","", Buildings_Heat_Backend[[#This Row],[Total (tCO2e)]]*(1+Buildings_Heat_Backend[[#This Row],[RSD]]))</f>
        <v/>
      </c>
      <c r="AO313" s="210" t="str">
        <f>IF(Buildings_Heat_Frontend[[#This Row],[Data]]="","", _xlfn.XLOOKUP(_xlfn.CONCAT(Buildings_Heat_Backend[[#This Row],[Level 1]:[Level 6]]),rng_EFConcat,rng_EFOOS)*Buildings_Heat_Backend[[#This Row],[Converted data]]/1000)</f>
        <v/>
      </c>
      <c r="AP313" s="174">
        <f>Buildings_Heat_Frontend[[#This Row],[Ease of collection]]</f>
        <v>0</v>
      </c>
      <c r="AQ313" s="174">
        <f>Buildings_Heat_Frontend[[#This Row],[Completeness]]</f>
        <v>0</v>
      </c>
      <c r="AR313" s="174">
        <f>Buildings_Heat_Frontend[[#This Row],[Notes]]</f>
        <v>0</v>
      </c>
    </row>
    <row r="314" spans="5:44" x14ac:dyDescent="0.3">
      <c r="E314" s="346"/>
      <c r="F314" s="364"/>
      <c r="G314" s="336"/>
      <c r="H314" s="336"/>
      <c r="I314" s="336"/>
      <c r="J314" s="334"/>
      <c r="K314" s="336"/>
      <c r="L314" s="336"/>
      <c r="M314" s="336"/>
      <c r="N314" s="352"/>
      <c r="O314" s="230">
        <f t="shared" si="14"/>
        <v>6</v>
      </c>
      <c r="Q314" s="212" t="str">
        <f t="shared" si="12"/>
        <v/>
      </c>
      <c r="R314" s="174" t="s">
        <v>265</v>
      </c>
      <c r="S314" s="174" t="s">
        <v>273</v>
      </c>
      <c r="T314" s="174" t="str">
        <f>IF(Buildings_Heat_Frontend[[#This Row],[Data]]="","", _xlfn.XLOOKUP(Buildings_Heat_Backend[[#This Row],[Info 1]],Buildings_SiteInfo[Site name],Buildings_SiteInfo[Site type]))</f>
        <v/>
      </c>
      <c r="U314" s="174" t="str">
        <f>IF(Buildings_Heat_Frontend[[#This Row],[Data]]="","", Buildings_Heat_Frontend[[#This Row],[Heating Type]])</f>
        <v/>
      </c>
      <c r="V314" s="174" t="str">
        <f>IF(Buildings_Heat_Frontend[[#This Row],[Data]]="","", Buildings_Heat_Frontend[[#This Row],[Fuel]])</f>
        <v/>
      </c>
      <c r="W314" s="174" t="str" cm="1">
        <f t="array" ref="W314">IF(Buildings_Heat_Frontend[[#This Row],[Data]]="","", _xlfn.XLOOKUP(Buildings_Heat_Backend[[#This Row],[Level 5]],rng_Level5Long,rng_Level6Long))</f>
        <v/>
      </c>
      <c r="X314" s="174" t="str">
        <f>IF(Buildings_Heat_Frontend[[#This Row],[Data]]="","", Buildings_Heat_Frontend[[#This Row],[Site Name]])</f>
        <v/>
      </c>
      <c r="Y314" s="174" t="str">
        <f>IF(Buildings_Heat_Frontend[[#This Row],[Data]]="","", Buildings_Heat_Frontend[[#This Row],[MPRN]])</f>
        <v/>
      </c>
      <c r="Z314" s="174" t="str">
        <f>IF(Buildings_Heat_Frontend[[#This Row],[Data]]="","", IF($I314="","",$I314))</f>
        <v/>
      </c>
      <c r="AA314" s="229" t="str" cm="1">
        <f t="array" ref="AA314">IF(Buildings_Heat_Frontend[[#This Row],[Data]]="","", INDEX(_xlfn.SWITCH(Buildings_Heat_Backend[[#This Row],[Methodology]],"Tier 1",rng_RSD1,"Tier 2",rng_RSD2,"Tier 3",rng_RSD3),MATCH(_xlfn.CONCAT(Buildings_Heat_Backend[[#This Row],[Level 1]:[Level 6]]),rng_LevelsConcat,0)))</f>
        <v/>
      </c>
      <c r="AB314" s="220" t="str">
        <f t="shared" si="13"/>
        <v/>
      </c>
      <c r="AC314" s="174">
        <f>Buildings_Heat_Frontend[[#This Row],[Units]]</f>
        <v>0</v>
      </c>
      <c r="AD31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4" s="174" t="str">
        <f>IF(Buildings_Heat_Frontend[[#This Row],[Data]]="","", _xlfn.XLOOKUP(_xlfn.CONCAT(Buildings_Heat_Backend[[#This Row],[Level 1]:[Level 6]]),rng_LevelsConcat,rng_UnitsLong))</f>
        <v/>
      </c>
      <c r="AF314" s="210" t="str">
        <f>IF(Buildings_Heat_Frontend[[#This Row],[Data]]="","", _xlfn.XLOOKUP(_xlfn.CONCAT(Buildings_Heat_Backend[[#This Row],[Level 1]:[Level 6]]),rng_EFConcat,rng_EF1)*Buildings_Heat_Backend[[#This Row],[Converted data]]/1000)</f>
        <v/>
      </c>
      <c r="AG314" s="210" t="str">
        <f>IF(Buildings_Heat_Frontend[[#This Row],[Data]]="","", _xlfn.XLOOKUP(_xlfn.CONCAT(Buildings_Heat_Backend[[#This Row],[Level 1]:[Level 6]]),rng_EFConcat,rng_EF2)*Buildings_Heat_Backend[[#This Row],[Converted data]]/1000)</f>
        <v/>
      </c>
      <c r="AH314" s="210" t="str">
        <f>IF(Buildings_Heat_Frontend[[#This Row],[Data]]="","", _xlfn.XLOOKUP(_xlfn.CONCAT(Buildings_Heat_Backend[[#This Row],[Level 1]:[Level 6]]),rng_EFConcat,rng_EF3)*Buildings_Heat_Backend[[#This Row],[Converted data]]/1000)</f>
        <v/>
      </c>
      <c r="AI314" s="210" t="str">
        <f>IF(Buildings_Heat_Frontend[[#This Row],[Data]]="","", _xlfn.XLOOKUP(_xlfn.CONCAT(Buildings_Heat_Backend[[#This Row],[Level 1]:[Level 6]]),rng_EFConcat,rng_EF3WTT)*Buildings_Heat_Backend[[#This Row],[Converted data]]/1000)</f>
        <v/>
      </c>
      <c r="AJ314" s="210" t="str">
        <f>IF(Buildings_Heat_Frontend[[#This Row],[Data]]="","", _xlfn.XLOOKUP(_xlfn.CONCAT(Buildings_Heat_Backend[[#This Row],[Level 1]:[Level 6]]),rng_EFConcat,rng_EF3TD)*Buildings_Heat_Backend[[#This Row],[Converted data]]/1000)</f>
        <v/>
      </c>
      <c r="AK314" s="210" t="str">
        <f>IF(Buildings_Heat_Frontend[[#This Row],[Data]]="","", _xlfn.XLOOKUP(_xlfn.CONCAT(Buildings_Heat_Backend[[#This Row],[Level 1]:[Level 6]]),rng_EFConcat,rng_EF3WTTTD)*Buildings_Heat_Backend[[#This Row],[Converted data]]/1000)</f>
        <v/>
      </c>
      <c r="AL314" s="220">
        <f>SUM(Buildings_Heat_Backend[[#This Row],[Scope 1 (tCO2e)]:[Scope 3 WTT T&amp;D (tCO2e)]])</f>
        <v>0</v>
      </c>
      <c r="AM314" s="220" t="str">
        <f>IF(Buildings_Heat_Frontend[[#This Row],[Data]]="","", Buildings_Heat_Backend[[#This Row],[Total (tCO2e)]]*(1-Buildings_Heat_Backend[[#This Row],[RSD]]))</f>
        <v/>
      </c>
      <c r="AN314" s="220" t="str">
        <f>IF(Buildings_Heat_Frontend[[#This Row],[Data]]="","", Buildings_Heat_Backend[[#This Row],[Total (tCO2e)]]*(1+Buildings_Heat_Backend[[#This Row],[RSD]]))</f>
        <v/>
      </c>
      <c r="AO314" s="210" t="str">
        <f>IF(Buildings_Heat_Frontend[[#This Row],[Data]]="","", _xlfn.XLOOKUP(_xlfn.CONCAT(Buildings_Heat_Backend[[#This Row],[Level 1]:[Level 6]]),rng_EFConcat,rng_EFOOS)*Buildings_Heat_Backend[[#This Row],[Converted data]]/1000)</f>
        <v/>
      </c>
      <c r="AP314" s="174">
        <f>Buildings_Heat_Frontend[[#This Row],[Ease of collection]]</f>
        <v>0</v>
      </c>
      <c r="AQ314" s="174">
        <f>Buildings_Heat_Frontend[[#This Row],[Completeness]]</f>
        <v>0</v>
      </c>
      <c r="AR314" s="174">
        <f>Buildings_Heat_Frontend[[#This Row],[Notes]]</f>
        <v>0</v>
      </c>
    </row>
    <row r="315" spans="5:44" x14ac:dyDescent="0.3">
      <c r="E315" s="346"/>
      <c r="F315" s="364"/>
      <c r="G315" s="336"/>
      <c r="H315" s="336"/>
      <c r="I315" s="336"/>
      <c r="J315" s="334"/>
      <c r="K315" s="336"/>
      <c r="L315" s="336"/>
      <c r="M315" s="336"/>
      <c r="N315" s="352"/>
      <c r="O315" s="230">
        <f t="shared" si="14"/>
        <v>6</v>
      </c>
      <c r="Q315" s="212" t="str">
        <f t="shared" si="12"/>
        <v/>
      </c>
      <c r="R315" s="174" t="s">
        <v>265</v>
      </c>
      <c r="S315" s="174" t="s">
        <v>273</v>
      </c>
      <c r="T315" s="174" t="str">
        <f>IF(Buildings_Heat_Frontend[[#This Row],[Data]]="","", _xlfn.XLOOKUP(Buildings_Heat_Backend[[#This Row],[Info 1]],Buildings_SiteInfo[Site name],Buildings_SiteInfo[Site type]))</f>
        <v/>
      </c>
      <c r="U315" s="174" t="str">
        <f>IF(Buildings_Heat_Frontend[[#This Row],[Data]]="","", Buildings_Heat_Frontend[[#This Row],[Heating Type]])</f>
        <v/>
      </c>
      <c r="V315" s="174" t="str">
        <f>IF(Buildings_Heat_Frontend[[#This Row],[Data]]="","", Buildings_Heat_Frontend[[#This Row],[Fuel]])</f>
        <v/>
      </c>
      <c r="W315" s="174" t="str" cm="1">
        <f t="array" ref="W315">IF(Buildings_Heat_Frontend[[#This Row],[Data]]="","", _xlfn.XLOOKUP(Buildings_Heat_Backend[[#This Row],[Level 5]],rng_Level5Long,rng_Level6Long))</f>
        <v/>
      </c>
      <c r="X315" s="174" t="str">
        <f>IF(Buildings_Heat_Frontend[[#This Row],[Data]]="","", Buildings_Heat_Frontend[[#This Row],[Site Name]])</f>
        <v/>
      </c>
      <c r="Y315" s="174" t="str">
        <f>IF(Buildings_Heat_Frontend[[#This Row],[Data]]="","", Buildings_Heat_Frontend[[#This Row],[MPRN]])</f>
        <v/>
      </c>
      <c r="Z315" s="174" t="str">
        <f>IF(Buildings_Heat_Frontend[[#This Row],[Data]]="","", IF($I315="","",$I315))</f>
        <v/>
      </c>
      <c r="AA315" s="229" t="str" cm="1">
        <f t="array" ref="AA315">IF(Buildings_Heat_Frontend[[#This Row],[Data]]="","", INDEX(_xlfn.SWITCH(Buildings_Heat_Backend[[#This Row],[Methodology]],"Tier 1",rng_RSD1,"Tier 2",rng_RSD2,"Tier 3",rng_RSD3),MATCH(_xlfn.CONCAT(Buildings_Heat_Backend[[#This Row],[Level 1]:[Level 6]]),rng_LevelsConcat,0)))</f>
        <v/>
      </c>
      <c r="AB315" s="220" t="str">
        <f t="shared" si="13"/>
        <v/>
      </c>
      <c r="AC315" s="174">
        <f>Buildings_Heat_Frontend[[#This Row],[Units]]</f>
        <v>0</v>
      </c>
      <c r="AD31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5" s="174" t="str">
        <f>IF(Buildings_Heat_Frontend[[#This Row],[Data]]="","", _xlfn.XLOOKUP(_xlfn.CONCAT(Buildings_Heat_Backend[[#This Row],[Level 1]:[Level 6]]),rng_LevelsConcat,rng_UnitsLong))</f>
        <v/>
      </c>
      <c r="AF315" s="210" t="str">
        <f>IF(Buildings_Heat_Frontend[[#This Row],[Data]]="","", _xlfn.XLOOKUP(_xlfn.CONCAT(Buildings_Heat_Backend[[#This Row],[Level 1]:[Level 6]]),rng_EFConcat,rng_EF1)*Buildings_Heat_Backend[[#This Row],[Converted data]]/1000)</f>
        <v/>
      </c>
      <c r="AG315" s="210" t="str">
        <f>IF(Buildings_Heat_Frontend[[#This Row],[Data]]="","", _xlfn.XLOOKUP(_xlfn.CONCAT(Buildings_Heat_Backend[[#This Row],[Level 1]:[Level 6]]),rng_EFConcat,rng_EF2)*Buildings_Heat_Backend[[#This Row],[Converted data]]/1000)</f>
        <v/>
      </c>
      <c r="AH315" s="210" t="str">
        <f>IF(Buildings_Heat_Frontend[[#This Row],[Data]]="","", _xlfn.XLOOKUP(_xlfn.CONCAT(Buildings_Heat_Backend[[#This Row],[Level 1]:[Level 6]]),rng_EFConcat,rng_EF3)*Buildings_Heat_Backend[[#This Row],[Converted data]]/1000)</f>
        <v/>
      </c>
      <c r="AI315" s="210" t="str">
        <f>IF(Buildings_Heat_Frontend[[#This Row],[Data]]="","", _xlfn.XLOOKUP(_xlfn.CONCAT(Buildings_Heat_Backend[[#This Row],[Level 1]:[Level 6]]),rng_EFConcat,rng_EF3WTT)*Buildings_Heat_Backend[[#This Row],[Converted data]]/1000)</f>
        <v/>
      </c>
      <c r="AJ315" s="210" t="str">
        <f>IF(Buildings_Heat_Frontend[[#This Row],[Data]]="","", _xlfn.XLOOKUP(_xlfn.CONCAT(Buildings_Heat_Backend[[#This Row],[Level 1]:[Level 6]]),rng_EFConcat,rng_EF3TD)*Buildings_Heat_Backend[[#This Row],[Converted data]]/1000)</f>
        <v/>
      </c>
      <c r="AK315" s="210" t="str">
        <f>IF(Buildings_Heat_Frontend[[#This Row],[Data]]="","", _xlfn.XLOOKUP(_xlfn.CONCAT(Buildings_Heat_Backend[[#This Row],[Level 1]:[Level 6]]),rng_EFConcat,rng_EF3WTTTD)*Buildings_Heat_Backend[[#This Row],[Converted data]]/1000)</f>
        <v/>
      </c>
      <c r="AL315" s="220">
        <f>SUM(Buildings_Heat_Backend[[#This Row],[Scope 1 (tCO2e)]:[Scope 3 WTT T&amp;D (tCO2e)]])</f>
        <v>0</v>
      </c>
      <c r="AM315" s="220" t="str">
        <f>IF(Buildings_Heat_Frontend[[#This Row],[Data]]="","", Buildings_Heat_Backend[[#This Row],[Total (tCO2e)]]*(1-Buildings_Heat_Backend[[#This Row],[RSD]]))</f>
        <v/>
      </c>
      <c r="AN315" s="220" t="str">
        <f>IF(Buildings_Heat_Frontend[[#This Row],[Data]]="","", Buildings_Heat_Backend[[#This Row],[Total (tCO2e)]]*(1+Buildings_Heat_Backend[[#This Row],[RSD]]))</f>
        <v/>
      </c>
      <c r="AO315" s="210" t="str">
        <f>IF(Buildings_Heat_Frontend[[#This Row],[Data]]="","", _xlfn.XLOOKUP(_xlfn.CONCAT(Buildings_Heat_Backend[[#This Row],[Level 1]:[Level 6]]),rng_EFConcat,rng_EFOOS)*Buildings_Heat_Backend[[#This Row],[Converted data]]/1000)</f>
        <v/>
      </c>
      <c r="AP315" s="174">
        <f>Buildings_Heat_Frontend[[#This Row],[Ease of collection]]</f>
        <v>0</v>
      </c>
      <c r="AQ315" s="174">
        <f>Buildings_Heat_Frontend[[#This Row],[Completeness]]</f>
        <v>0</v>
      </c>
      <c r="AR315" s="174">
        <f>Buildings_Heat_Frontend[[#This Row],[Notes]]</f>
        <v>0</v>
      </c>
    </row>
    <row r="316" spans="5:44" x14ac:dyDescent="0.3">
      <c r="E316" s="346"/>
      <c r="F316" s="364"/>
      <c r="G316" s="336"/>
      <c r="H316" s="336"/>
      <c r="I316" s="336"/>
      <c r="J316" s="334"/>
      <c r="K316" s="336"/>
      <c r="L316" s="336"/>
      <c r="M316" s="336"/>
      <c r="N316" s="352"/>
      <c r="O316" s="230">
        <f t="shared" si="14"/>
        <v>6</v>
      </c>
      <c r="Q316" s="212" t="str">
        <f t="shared" si="12"/>
        <v/>
      </c>
      <c r="R316" s="174" t="s">
        <v>265</v>
      </c>
      <c r="S316" s="174" t="s">
        <v>273</v>
      </c>
      <c r="T316" s="174" t="str">
        <f>IF(Buildings_Heat_Frontend[[#This Row],[Data]]="","", _xlfn.XLOOKUP(Buildings_Heat_Backend[[#This Row],[Info 1]],Buildings_SiteInfo[Site name],Buildings_SiteInfo[Site type]))</f>
        <v/>
      </c>
      <c r="U316" s="174" t="str">
        <f>IF(Buildings_Heat_Frontend[[#This Row],[Data]]="","", Buildings_Heat_Frontend[[#This Row],[Heating Type]])</f>
        <v/>
      </c>
      <c r="V316" s="174" t="str">
        <f>IF(Buildings_Heat_Frontend[[#This Row],[Data]]="","", Buildings_Heat_Frontend[[#This Row],[Fuel]])</f>
        <v/>
      </c>
      <c r="W316" s="174" t="str" cm="1">
        <f t="array" ref="W316">IF(Buildings_Heat_Frontend[[#This Row],[Data]]="","", _xlfn.XLOOKUP(Buildings_Heat_Backend[[#This Row],[Level 5]],rng_Level5Long,rng_Level6Long))</f>
        <v/>
      </c>
      <c r="X316" s="174" t="str">
        <f>IF(Buildings_Heat_Frontend[[#This Row],[Data]]="","", Buildings_Heat_Frontend[[#This Row],[Site Name]])</f>
        <v/>
      </c>
      <c r="Y316" s="174" t="str">
        <f>IF(Buildings_Heat_Frontend[[#This Row],[Data]]="","", Buildings_Heat_Frontend[[#This Row],[MPRN]])</f>
        <v/>
      </c>
      <c r="Z316" s="174" t="str">
        <f>IF(Buildings_Heat_Frontend[[#This Row],[Data]]="","", IF($I316="","",$I316))</f>
        <v/>
      </c>
      <c r="AA316" s="229" t="str" cm="1">
        <f t="array" ref="AA316">IF(Buildings_Heat_Frontend[[#This Row],[Data]]="","", INDEX(_xlfn.SWITCH(Buildings_Heat_Backend[[#This Row],[Methodology]],"Tier 1",rng_RSD1,"Tier 2",rng_RSD2,"Tier 3",rng_RSD3),MATCH(_xlfn.CONCAT(Buildings_Heat_Backend[[#This Row],[Level 1]:[Level 6]]),rng_LevelsConcat,0)))</f>
        <v/>
      </c>
      <c r="AB316" s="220" t="str">
        <f t="shared" si="13"/>
        <v/>
      </c>
      <c r="AC316" s="174">
        <f>Buildings_Heat_Frontend[[#This Row],[Units]]</f>
        <v>0</v>
      </c>
      <c r="AD31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6" s="174" t="str">
        <f>IF(Buildings_Heat_Frontend[[#This Row],[Data]]="","", _xlfn.XLOOKUP(_xlfn.CONCAT(Buildings_Heat_Backend[[#This Row],[Level 1]:[Level 6]]),rng_LevelsConcat,rng_UnitsLong))</f>
        <v/>
      </c>
      <c r="AF316" s="210" t="str">
        <f>IF(Buildings_Heat_Frontend[[#This Row],[Data]]="","", _xlfn.XLOOKUP(_xlfn.CONCAT(Buildings_Heat_Backend[[#This Row],[Level 1]:[Level 6]]),rng_EFConcat,rng_EF1)*Buildings_Heat_Backend[[#This Row],[Converted data]]/1000)</f>
        <v/>
      </c>
      <c r="AG316" s="210" t="str">
        <f>IF(Buildings_Heat_Frontend[[#This Row],[Data]]="","", _xlfn.XLOOKUP(_xlfn.CONCAT(Buildings_Heat_Backend[[#This Row],[Level 1]:[Level 6]]),rng_EFConcat,rng_EF2)*Buildings_Heat_Backend[[#This Row],[Converted data]]/1000)</f>
        <v/>
      </c>
      <c r="AH316" s="210" t="str">
        <f>IF(Buildings_Heat_Frontend[[#This Row],[Data]]="","", _xlfn.XLOOKUP(_xlfn.CONCAT(Buildings_Heat_Backend[[#This Row],[Level 1]:[Level 6]]),rng_EFConcat,rng_EF3)*Buildings_Heat_Backend[[#This Row],[Converted data]]/1000)</f>
        <v/>
      </c>
      <c r="AI316" s="210" t="str">
        <f>IF(Buildings_Heat_Frontend[[#This Row],[Data]]="","", _xlfn.XLOOKUP(_xlfn.CONCAT(Buildings_Heat_Backend[[#This Row],[Level 1]:[Level 6]]),rng_EFConcat,rng_EF3WTT)*Buildings_Heat_Backend[[#This Row],[Converted data]]/1000)</f>
        <v/>
      </c>
      <c r="AJ316" s="210" t="str">
        <f>IF(Buildings_Heat_Frontend[[#This Row],[Data]]="","", _xlfn.XLOOKUP(_xlfn.CONCAT(Buildings_Heat_Backend[[#This Row],[Level 1]:[Level 6]]),rng_EFConcat,rng_EF3TD)*Buildings_Heat_Backend[[#This Row],[Converted data]]/1000)</f>
        <v/>
      </c>
      <c r="AK316" s="210" t="str">
        <f>IF(Buildings_Heat_Frontend[[#This Row],[Data]]="","", _xlfn.XLOOKUP(_xlfn.CONCAT(Buildings_Heat_Backend[[#This Row],[Level 1]:[Level 6]]),rng_EFConcat,rng_EF3WTTTD)*Buildings_Heat_Backend[[#This Row],[Converted data]]/1000)</f>
        <v/>
      </c>
      <c r="AL316" s="220">
        <f>SUM(Buildings_Heat_Backend[[#This Row],[Scope 1 (tCO2e)]:[Scope 3 WTT T&amp;D (tCO2e)]])</f>
        <v>0</v>
      </c>
      <c r="AM316" s="220" t="str">
        <f>IF(Buildings_Heat_Frontend[[#This Row],[Data]]="","", Buildings_Heat_Backend[[#This Row],[Total (tCO2e)]]*(1-Buildings_Heat_Backend[[#This Row],[RSD]]))</f>
        <v/>
      </c>
      <c r="AN316" s="220" t="str">
        <f>IF(Buildings_Heat_Frontend[[#This Row],[Data]]="","", Buildings_Heat_Backend[[#This Row],[Total (tCO2e)]]*(1+Buildings_Heat_Backend[[#This Row],[RSD]]))</f>
        <v/>
      </c>
      <c r="AO316" s="210" t="str">
        <f>IF(Buildings_Heat_Frontend[[#This Row],[Data]]="","", _xlfn.XLOOKUP(_xlfn.CONCAT(Buildings_Heat_Backend[[#This Row],[Level 1]:[Level 6]]),rng_EFConcat,rng_EFOOS)*Buildings_Heat_Backend[[#This Row],[Converted data]]/1000)</f>
        <v/>
      </c>
      <c r="AP316" s="174">
        <f>Buildings_Heat_Frontend[[#This Row],[Ease of collection]]</f>
        <v>0</v>
      </c>
      <c r="AQ316" s="174">
        <f>Buildings_Heat_Frontend[[#This Row],[Completeness]]</f>
        <v>0</v>
      </c>
      <c r="AR316" s="174">
        <f>Buildings_Heat_Frontend[[#This Row],[Notes]]</f>
        <v>0</v>
      </c>
    </row>
    <row r="317" spans="5:44" x14ac:dyDescent="0.3">
      <c r="E317" s="346"/>
      <c r="F317" s="364"/>
      <c r="G317" s="336"/>
      <c r="H317" s="336"/>
      <c r="I317" s="336"/>
      <c r="J317" s="334"/>
      <c r="K317" s="336"/>
      <c r="L317" s="336"/>
      <c r="M317" s="336"/>
      <c r="N317" s="352"/>
      <c r="O317" s="230">
        <f t="shared" si="14"/>
        <v>6</v>
      </c>
      <c r="Q317" s="212" t="str">
        <f t="shared" si="12"/>
        <v/>
      </c>
      <c r="R317" s="174" t="s">
        <v>265</v>
      </c>
      <c r="S317" s="174" t="s">
        <v>273</v>
      </c>
      <c r="T317" s="174" t="str">
        <f>IF(Buildings_Heat_Frontend[[#This Row],[Data]]="","", _xlfn.XLOOKUP(Buildings_Heat_Backend[[#This Row],[Info 1]],Buildings_SiteInfo[Site name],Buildings_SiteInfo[Site type]))</f>
        <v/>
      </c>
      <c r="U317" s="174" t="str">
        <f>IF(Buildings_Heat_Frontend[[#This Row],[Data]]="","", Buildings_Heat_Frontend[[#This Row],[Heating Type]])</f>
        <v/>
      </c>
      <c r="V317" s="174" t="str">
        <f>IF(Buildings_Heat_Frontend[[#This Row],[Data]]="","", Buildings_Heat_Frontend[[#This Row],[Fuel]])</f>
        <v/>
      </c>
      <c r="W317" s="174" t="str" cm="1">
        <f t="array" ref="W317">IF(Buildings_Heat_Frontend[[#This Row],[Data]]="","", _xlfn.XLOOKUP(Buildings_Heat_Backend[[#This Row],[Level 5]],rng_Level5Long,rng_Level6Long))</f>
        <v/>
      </c>
      <c r="X317" s="174" t="str">
        <f>IF(Buildings_Heat_Frontend[[#This Row],[Data]]="","", Buildings_Heat_Frontend[[#This Row],[Site Name]])</f>
        <v/>
      </c>
      <c r="Y317" s="174" t="str">
        <f>IF(Buildings_Heat_Frontend[[#This Row],[Data]]="","", Buildings_Heat_Frontend[[#This Row],[MPRN]])</f>
        <v/>
      </c>
      <c r="Z317" s="174" t="str">
        <f>IF(Buildings_Heat_Frontend[[#This Row],[Data]]="","", IF($I317="","",$I317))</f>
        <v/>
      </c>
      <c r="AA317" s="229" t="str" cm="1">
        <f t="array" ref="AA317">IF(Buildings_Heat_Frontend[[#This Row],[Data]]="","", INDEX(_xlfn.SWITCH(Buildings_Heat_Backend[[#This Row],[Methodology]],"Tier 1",rng_RSD1,"Tier 2",rng_RSD2,"Tier 3",rng_RSD3),MATCH(_xlfn.CONCAT(Buildings_Heat_Backend[[#This Row],[Level 1]:[Level 6]]),rng_LevelsConcat,0)))</f>
        <v/>
      </c>
      <c r="AB317" s="220" t="str">
        <f t="shared" si="13"/>
        <v/>
      </c>
      <c r="AC317" s="174">
        <f>Buildings_Heat_Frontend[[#This Row],[Units]]</f>
        <v>0</v>
      </c>
      <c r="AD31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7" s="174" t="str">
        <f>IF(Buildings_Heat_Frontend[[#This Row],[Data]]="","", _xlfn.XLOOKUP(_xlfn.CONCAT(Buildings_Heat_Backend[[#This Row],[Level 1]:[Level 6]]),rng_LevelsConcat,rng_UnitsLong))</f>
        <v/>
      </c>
      <c r="AF317" s="210" t="str">
        <f>IF(Buildings_Heat_Frontend[[#This Row],[Data]]="","", _xlfn.XLOOKUP(_xlfn.CONCAT(Buildings_Heat_Backend[[#This Row],[Level 1]:[Level 6]]),rng_EFConcat,rng_EF1)*Buildings_Heat_Backend[[#This Row],[Converted data]]/1000)</f>
        <v/>
      </c>
      <c r="AG317" s="210" t="str">
        <f>IF(Buildings_Heat_Frontend[[#This Row],[Data]]="","", _xlfn.XLOOKUP(_xlfn.CONCAT(Buildings_Heat_Backend[[#This Row],[Level 1]:[Level 6]]),rng_EFConcat,rng_EF2)*Buildings_Heat_Backend[[#This Row],[Converted data]]/1000)</f>
        <v/>
      </c>
      <c r="AH317" s="210" t="str">
        <f>IF(Buildings_Heat_Frontend[[#This Row],[Data]]="","", _xlfn.XLOOKUP(_xlfn.CONCAT(Buildings_Heat_Backend[[#This Row],[Level 1]:[Level 6]]),rng_EFConcat,rng_EF3)*Buildings_Heat_Backend[[#This Row],[Converted data]]/1000)</f>
        <v/>
      </c>
      <c r="AI317" s="210" t="str">
        <f>IF(Buildings_Heat_Frontend[[#This Row],[Data]]="","", _xlfn.XLOOKUP(_xlfn.CONCAT(Buildings_Heat_Backend[[#This Row],[Level 1]:[Level 6]]),rng_EFConcat,rng_EF3WTT)*Buildings_Heat_Backend[[#This Row],[Converted data]]/1000)</f>
        <v/>
      </c>
      <c r="AJ317" s="210" t="str">
        <f>IF(Buildings_Heat_Frontend[[#This Row],[Data]]="","", _xlfn.XLOOKUP(_xlfn.CONCAT(Buildings_Heat_Backend[[#This Row],[Level 1]:[Level 6]]),rng_EFConcat,rng_EF3TD)*Buildings_Heat_Backend[[#This Row],[Converted data]]/1000)</f>
        <v/>
      </c>
      <c r="AK317" s="210" t="str">
        <f>IF(Buildings_Heat_Frontend[[#This Row],[Data]]="","", _xlfn.XLOOKUP(_xlfn.CONCAT(Buildings_Heat_Backend[[#This Row],[Level 1]:[Level 6]]),rng_EFConcat,rng_EF3WTTTD)*Buildings_Heat_Backend[[#This Row],[Converted data]]/1000)</f>
        <v/>
      </c>
      <c r="AL317" s="220">
        <f>SUM(Buildings_Heat_Backend[[#This Row],[Scope 1 (tCO2e)]:[Scope 3 WTT T&amp;D (tCO2e)]])</f>
        <v>0</v>
      </c>
      <c r="AM317" s="220" t="str">
        <f>IF(Buildings_Heat_Frontend[[#This Row],[Data]]="","", Buildings_Heat_Backend[[#This Row],[Total (tCO2e)]]*(1-Buildings_Heat_Backend[[#This Row],[RSD]]))</f>
        <v/>
      </c>
      <c r="AN317" s="220" t="str">
        <f>IF(Buildings_Heat_Frontend[[#This Row],[Data]]="","", Buildings_Heat_Backend[[#This Row],[Total (tCO2e)]]*(1+Buildings_Heat_Backend[[#This Row],[RSD]]))</f>
        <v/>
      </c>
      <c r="AO317" s="210" t="str">
        <f>IF(Buildings_Heat_Frontend[[#This Row],[Data]]="","", _xlfn.XLOOKUP(_xlfn.CONCAT(Buildings_Heat_Backend[[#This Row],[Level 1]:[Level 6]]),rng_EFConcat,rng_EFOOS)*Buildings_Heat_Backend[[#This Row],[Converted data]]/1000)</f>
        <v/>
      </c>
      <c r="AP317" s="174">
        <f>Buildings_Heat_Frontend[[#This Row],[Ease of collection]]</f>
        <v>0</v>
      </c>
      <c r="AQ317" s="174">
        <f>Buildings_Heat_Frontend[[#This Row],[Completeness]]</f>
        <v>0</v>
      </c>
      <c r="AR317" s="174">
        <f>Buildings_Heat_Frontend[[#This Row],[Notes]]</f>
        <v>0</v>
      </c>
    </row>
    <row r="318" spans="5:44" x14ac:dyDescent="0.3">
      <c r="E318" s="346"/>
      <c r="F318" s="364"/>
      <c r="G318" s="336"/>
      <c r="H318" s="336"/>
      <c r="I318" s="336"/>
      <c r="J318" s="334"/>
      <c r="K318" s="336"/>
      <c r="L318" s="336"/>
      <c r="M318" s="336"/>
      <c r="N318" s="352"/>
      <c r="O318" s="230">
        <f t="shared" si="14"/>
        <v>6</v>
      </c>
      <c r="Q318" s="212" t="str">
        <f t="shared" si="12"/>
        <v/>
      </c>
      <c r="R318" s="174" t="s">
        <v>265</v>
      </c>
      <c r="S318" s="174" t="s">
        <v>273</v>
      </c>
      <c r="T318" s="174" t="str">
        <f>IF(Buildings_Heat_Frontend[[#This Row],[Data]]="","", _xlfn.XLOOKUP(Buildings_Heat_Backend[[#This Row],[Info 1]],Buildings_SiteInfo[Site name],Buildings_SiteInfo[Site type]))</f>
        <v/>
      </c>
      <c r="U318" s="174" t="str">
        <f>IF(Buildings_Heat_Frontend[[#This Row],[Data]]="","", Buildings_Heat_Frontend[[#This Row],[Heating Type]])</f>
        <v/>
      </c>
      <c r="V318" s="174" t="str">
        <f>IF(Buildings_Heat_Frontend[[#This Row],[Data]]="","", Buildings_Heat_Frontend[[#This Row],[Fuel]])</f>
        <v/>
      </c>
      <c r="W318" s="174" t="str" cm="1">
        <f t="array" ref="W318">IF(Buildings_Heat_Frontend[[#This Row],[Data]]="","", _xlfn.XLOOKUP(Buildings_Heat_Backend[[#This Row],[Level 5]],rng_Level5Long,rng_Level6Long))</f>
        <v/>
      </c>
      <c r="X318" s="174" t="str">
        <f>IF(Buildings_Heat_Frontend[[#This Row],[Data]]="","", Buildings_Heat_Frontend[[#This Row],[Site Name]])</f>
        <v/>
      </c>
      <c r="Y318" s="174" t="str">
        <f>IF(Buildings_Heat_Frontend[[#This Row],[Data]]="","", Buildings_Heat_Frontend[[#This Row],[MPRN]])</f>
        <v/>
      </c>
      <c r="Z318" s="174" t="str">
        <f>IF(Buildings_Heat_Frontend[[#This Row],[Data]]="","", IF($I318="","",$I318))</f>
        <v/>
      </c>
      <c r="AA318" s="229" t="str" cm="1">
        <f t="array" ref="AA318">IF(Buildings_Heat_Frontend[[#This Row],[Data]]="","", INDEX(_xlfn.SWITCH(Buildings_Heat_Backend[[#This Row],[Methodology]],"Tier 1",rng_RSD1,"Tier 2",rng_RSD2,"Tier 3",rng_RSD3),MATCH(_xlfn.CONCAT(Buildings_Heat_Backend[[#This Row],[Level 1]:[Level 6]]),rng_LevelsConcat,0)))</f>
        <v/>
      </c>
      <c r="AB318" s="220" t="str">
        <f t="shared" si="13"/>
        <v/>
      </c>
      <c r="AC318" s="174">
        <f>Buildings_Heat_Frontend[[#This Row],[Units]]</f>
        <v>0</v>
      </c>
      <c r="AD31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8" s="174" t="str">
        <f>IF(Buildings_Heat_Frontend[[#This Row],[Data]]="","", _xlfn.XLOOKUP(_xlfn.CONCAT(Buildings_Heat_Backend[[#This Row],[Level 1]:[Level 6]]),rng_LevelsConcat,rng_UnitsLong))</f>
        <v/>
      </c>
      <c r="AF318" s="210" t="str">
        <f>IF(Buildings_Heat_Frontend[[#This Row],[Data]]="","", _xlfn.XLOOKUP(_xlfn.CONCAT(Buildings_Heat_Backend[[#This Row],[Level 1]:[Level 6]]),rng_EFConcat,rng_EF1)*Buildings_Heat_Backend[[#This Row],[Converted data]]/1000)</f>
        <v/>
      </c>
      <c r="AG318" s="210" t="str">
        <f>IF(Buildings_Heat_Frontend[[#This Row],[Data]]="","", _xlfn.XLOOKUP(_xlfn.CONCAT(Buildings_Heat_Backend[[#This Row],[Level 1]:[Level 6]]),rng_EFConcat,rng_EF2)*Buildings_Heat_Backend[[#This Row],[Converted data]]/1000)</f>
        <v/>
      </c>
      <c r="AH318" s="210" t="str">
        <f>IF(Buildings_Heat_Frontend[[#This Row],[Data]]="","", _xlfn.XLOOKUP(_xlfn.CONCAT(Buildings_Heat_Backend[[#This Row],[Level 1]:[Level 6]]),rng_EFConcat,rng_EF3)*Buildings_Heat_Backend[[#This Row],[Converted data]]/1000)</f>
        <v/>
      </c>
      <c r="AI318" s="210" t="str">
        <f>IF(Buildings_Heat_Frontend[[#This Row],[Data]]="","", _xlfn.XLOOKUP(_xlfn.CONCAT(Buildings_Heat_Backend[[#This Row],[Level 1]:[Level 6]]),rng_EFConcat,rng_EF3WTT)*Buildings_Heat_Backend[[#This Row],[Converted data]]/1000)</f>
        <v/>
      </c>
      <c r="AJ318" s="210" t="str">
        <f>IF(Buildings_Heat_Frontend[[#This Row],[Data]]="","", _xlfn.XLOOKUP(_xlfn.CONCAT(Buildings_Heat_Backend[[#This Row],[Level 1]:[Level 6]]),rng_EFConcat,rng_EF3TD)*Buildings_Heat_Backend[[#This Row],[Converted data]]/1000)</f>
        <v/>
      </c>
      <c r="AK318" s="210" t="str">
        <f>IF(Buildings_Heat_Frontend[[#This Row],[Data]]="","", _xlfn.XLOOKUP(_xlfn.CONCAT(Buildings_Heat_Backend[[#This Row],[Level 1]:[Level 6]]),rng_EFConcat,rng_EF3WTTTD)*Buildings_Heat_Backend[[#This Row],[Converted data]]/1000)</f>
        <v/>
      </c>
      <c r="AL318" s="220">
        <f>SUM(Buildings_Heat_Backend[[#This Row],[Scope 1 (tCO2e)]:[Scope 3 WTT T&amp;D (tCO2e)]])</f>
        <v>0</v>
      </c>
      <c r="AM318" s="220" t="str">
        <f>IF(Buildings_Heat_Frontend[[#This Row],[Data]]="","", Buildings_Heat_Backend[[#This Row],[Total (tCO2e)]]*(1-Buildings_Heat_Backend[[#This Row],[RSD]]))</f>
        <v/>
      </c>
      <c r="AN318" s="220" t="str">
        <f>IF(Buildings_Heat_Frontend[[#This Row],[Data]]="","", Buildings_Heat_Backend[[#This Row],[Total (tCO2e)]]*(1+Buildings_Heat_Backend[[#This Row],[RSD]]))</f>
        <v/>
      </c>
      <c r="AO318" s="210" t="str">
        <f>IF(Buildings_Heat_Frontend[[#This Row],[Data]]="","", _xlfn.XLOOKUP(_xlfn.CONCAT(Buildings_Heat_Backend[[#This Row],[Level 1]:[Level 6]]),rng_EFConcat,rng_EFOOS)*Buildings_Heat_Backend[[#This Row],[Converted data]]/1000)</f>
        <v/>
      </c>
      <c r="AP318" s="174">
        <f>Buildings_Heat_Frontend[[#This Row],[Ease of collection]]</f>
        <v>0</v>
      </c>
      <c r="AQ318" s="174">
        <f>Buildings_Heat_Frontend[[#This Row],[Completeness]]</f>
        <v>0</v>
      </c>
      <c r="AR318" s="174">
        <f>Buildings_Heat_Frontend[[#This Row],[Notes]]</f>
        <v>0</v>
      </c>
    </row>
    <row r="319" spans="5:44" x14ac:dyDescent="0.3">
      <c r="E319" s="346"/>
      <c r="F319" s="364"/>
      <c r="G319" s="336"/>
      <c r="H319" s="336"/>
      <c r="I319" s="336"/>
      <c r="J319" s="334"/>
      <c r="K319" s="336"/>
      <c r="L319" s="336"/>
      <c r="M319" s="336"/>
      <c r="N319" s="352"/>
      <c r="O319" s="230">
        <f t="shared" si="14"/>
        <v>6</v>
      </c>
      <c r="Q319" s="212" t="str">
        <f t="shared" si="12"/>
        <v/>
      </c>
      <c r="R319" s="174" t="s">
        <v>265</v>
      </c>
      <c r="S319" s="174" t="s">
        <v>273</v>
      </c>
      <c r="T319" s="174" t="str">
        <f>IF(Buildings_Heat_Frontend[[#This Row],[Data]]="","", _xlfn.XLOOKUP(Buildings_Heat_Backend[[#This Row],[Info 1]],Buildings_SiteInfo[Site name],Buildings_SiteInfo[Site type]))</f>
        <v/>
      </c>
      <c r="U319" s="174" t="str">
        <f>IF(Buildings_Heat_Frontend[[#This Row],[Data]]="","", Buildings_Heat_Frontend[[#This Row],[Heating Type]])</f>
        <v/>
      </c>
      <c r="V319" s="174" t="str">
        <f>IF(Buildings_Heat_Frontend[[#This Row],[Data]]="","", Buildings_Heat_Frontend[[#This Row],[Fuel]])</f>
        <v/>
      </c>
      <c r="W319" s="174" t="str" cm="1">
        <f t="array" ref="W319">IF(Buildings_Heat_Frontend[[#This Row],[Data]]="","", _xlfn.XLOOKUP(Buildings_Heat_Backend[[#This Row],[Level 5]],rng_Level5Long,rng_Level6Long))</f>
        <v/>
      </c>
      <c r="X319" s="174" t="str">
        <f>IF(Buildings_Heat_Frontend[[#This Row],[Data]]="","", Buildings_Heat_Frontend[[#This Row],[Site Name]])</f>
        <v/>
      </c>
      <c r="Y319" s="174" t="str">
        <f>IF(Buildings_Heat_Frontend[[#This Row],[Data]]="","", Buildings_Heat_Frontend[[#This Row],[MPRN]])</f>
        <v/>
      </c>
      <c r="Z319" s="174" t="str">
        <f>IF(Buildings_Heat_Frontend[[#This Row],[Data]]="","", IF($I319="","",$I319))</f>
        <v/>
      </c>
      <c r="AA319" s="229" t="str" cm="1">
        <f t="array" ref="AA319">IF(Buildings_Heat_Frontend[[#This Row],[Data]]="","", INDEX(_xlfn.SWITCH(Buildings_Heat_Backend[[#This Row],[Methodology]],"Tier 1",rng_RSD1,"Tier 2",rng_RSD2,"Tier 3",rng_RSD3),MATCH(_xlfn.CONCAT(Buildings_Heat_Backend[[#This Row],[Level 1]:[Level 6]]),rng_LevelsConcat,0)))</f>
        <v/>
      </c>
      <c r="AB319" s="220" t="str">
        <f t="shared" si="13"/>
        <v/>
      </c>
      <c r="AC319" s="174">
        <f>Buildings_Heat_Frontend[[#This Row],[Units]]</f>
        <v>0</v>
      </c>
      <c r="AD31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19" s="174" t="str">
        <f>IF(Buildings_Heat_Frontend[[#This Row],[Data]]="","", _xlfn.XLOOKUP(_xlfn.CONCAT(Buildings_Heat_Backend[[#This Row],[Level 1]:[Level 6]]),rng_LevelsConcat,rng_UnitsLong))</f>
        <v/>
      </c>
      <c r="AF319" s="210" t="str">
        <f>IF(Buildings_Heat_Frontend[[#This Row],[Data]]="","", _xlfn.XLOOKUP(_xlfn.CONCAT(Buildings_Heat_Backend[[#This Row],[Level 1]:[Level 6]]),rng_EFConcat,rng_EF1)*Buildings_Heat_Backend[[#This Row],[Converted data]]/1000)</f>
        <v/>
      </c>
      <c r="AG319" s="210" t="str">
        <f>IF(Buildings_Heat_Frontend[[#This Row],[Data]]="","", _xlfn.XLOOKUP(_xlfn.CONCAT(Buildings_Heat_Backend[[#This Row],[Level 1]:[Level 6]]),rng_EFConcat,rng_EF2)*Buildings_Heat_Backend[[#This Row],[Converted data]]/1000)</f>
        <v/>
      </c>
      <c r="AH319" s="210" t="str">
        <f>IF(Buildings_Heat_Frontend[[#This Row],[Data]]="","", _xlfn.XLOOKUP(_xlfn.CONCAT(Buildings_Heat_Backend[[#This Row],[Level 1]:[Level 6]]),rng_EFConcat,rng_EF3)*Buildings_Heat_Backend[[#This Row],[Converted data]]/1000)</f>
        <v/>
      </c>
      <c r="AI319" s="210" t="str">
        <f>IF(Buildings_Heat_Frontend[[#This Row],[Data]]="","", _xlfn.XLOOKUP(_xlfn.CONCAT(Buildings_Heat_Backend[[#This Row],[Level 1]:[Level 6]]),rng_EFConcat,rng_EF3WTT)*Buildings_Heat_Backend[[#This Row],[Converted data]]/1000)</f>
        <v/>
      </c>
      <c r="AJ319" s="210" t="str">
        <f>IF(Buildings_Heat_Frontend[[#This Row],[Data]]="","", _xlfn.XLOOKUP(_xlfn.CONCAT(Buildings_Heat_Backend[[#This Row],[Level 1]:[Level 6]]),rng_EFConcat,rng_EF3TD)*Buildings_Heat_Backend[[#This Row],[Converted data]]/1000)</f>
        <v/>
      </c>
      <c r="AK319" s="210" t="str">
        <f>IF(Buildings_Heat_Frontend[[#This Row],[Data]]="","", _xlfn.XLOOKUP(_xlfn.CONCAT(Buildings_Heat_Backend[[#This Row],[Level 1]:[Level 6]]),rng_EFConcat,rng_EF3WTTTD)*Buildings_Heat_Backend[[#This Row],[Converted data]]/1000)</f>
        <v/>
      </c>
      <c r="AL319" s="220">
        <f>SUM(Buildings_Heat_Backend[[#This Row],[Scope 1 (tCO2e)]:[Scope 3 WTT T&amp;D (tCO2e)]])</f>
        <v>0</v>
      </c>
      <c r="AM319" s="220" t="str">
        <f>IF(Buildings_Heat_Frontend[[#This Row],[Data]]="","", Buildings_Heat_Backend[[#This Row],[Total (tCO2e)]]*(1-Buildings_Heat_Backend[[#This Row],[RSD]]))</f>
        <v/>
      </c>
      <c r="AN319" s="220" t="str">
        <f>IF(Buildings_Heat_Frontend[[#This Row],[Data]]="","", Buildings_Heat_Backend[[#This Row],[Total (tCO2e)]]*(1+Buildings_Heat_Backend[[#This Row],[RSD]]))</f>
        <v/>
      </c>
      <c r="AO319" s="210" t="str">
        <f>IF(Buildings_Heat_Frontend[[#This Row],[Data]]="","", _xlfn.XLOOKUP(_xlfn.CONCAT(Buildings_Heat_Backend[[#This Row],[Level 1]:[Level 6]]),rng_EFConcat,rng_EFOOS)*Buildings_Heat_Backend[[#This Row],[Converted data]]/1000)</f>
        <v/>
      </c>
      <c r="AP319" s="174">
        <f>Buildings_Heat_Frontend[[#This Row],[Ease of collection]]</f>
        <v>0</v>
      </c>
      <c r="AQ319" s="174">
        <f>Buildings_Heat_Frontend[[#This Row],[Completeness]]</f>
        <v>0</v>
      </c>
      <c r="AR319" s="174">
        <f>Buildings_Heat_Frontend[[#This Row],[Notes]]</f>
        <v>0</v>
      </c>
    </row>
    <row r="320" spans="5:44" x14ac:dyDescent="0.3">
      <c r="E320" s="346"/>
      <c r="F320" s="364"/>
      <c r="G320" s="336"/>
      <c r="H320" s="336"/>
      <c r="I320" s="336"/>
      <c r="J320" s="334"/>
      <c r="K320" s="336"/>
      <c r="L320" s="336"/>
      <c r="M320" s="336"/>
      <c r="N320" s="352"/>
      <c r="O320" s="230">
        <f t="shared" si="14"/>
        <v>6</v>
      </c>
      <c r="Q320" s="212" t="str">
        <f t="shared" si="12"/>
        <v/>
      </c>
      <c r="R320" s="174" t="s">
        <v>265</v>
      </c>
      <c r="S320" s="174" t="s">
        <v>273</v>
      </c>
      <c r="T320" s="174" t="str">
        <f>IF(Buildings_Heat_Frontend[[#This Row],[Data]]="","", _xlfn.XLOOKUP(Buildings_Heat_Backend[[#This Row],[Info 1]],Buildings_SiteInfo[Site name],Buildings_SiteInfo[Site type]))</f>
        <v/>
      </c>
      <c r="U320" s="174" t="str">
        <f>IF(Buildings_Heat_Frontend[[#This Row],[Data]]="","", Buildings_Heat_Frontend[[#This Row],[Heating Type]])</f>
        <v/>
      </c>
      <c r="V320" s="174" t="str">
        <f>IF(Buildings_Heat_Frontend[[#This Row],[Data]]="","", Buildings_Heat_Frontend[[#This Row],[Fuel]])</f>
        <v/>
      </c>
      <c r="W320" s="174" t="str" cm="1">
        <f t="array" ref="W320">IF(Buildings_Heat_Frontend[[#This Row],[Data]]="","", _xlfn.XLOOKUP(Buildings_Heat_Backend[[#This Row],[Level 5]],rng_Level5Long,rng_Level6Long))</f>
        <v/>
      </c>
      <c r="X320" s="174" t="str">
        <f>IF(Buildings_Heat_Frontend[[#This Row],[Data]]="","", Buildings_Heat_Frontend[[#This Row],[Site Name]])</f>
        <v/>
      </c>
      <c r="Y320" s="174" t="str">
        <f>IF(Buildings_Heat_Frontend[[#This Row],[Data]]="","", Buildings_Heat_Frontend[[#This Row],[MPRN]])</f>
        <v/>
      </c>
      <c r="Z320" s="174" t="str">
        <f>IF(Buildings_Heat_Frontend[[#This Row],[Data]]="","", IF($I320="","",$I320))</f>
        <v/>
      </c>
      <c r="AA320" s="229" t="str" cm="1">
        <f t="array" ref="AA320">IF(Buildings_Heat_Frontend[[#This Row],[Data]]="","", INDEX(_xlfn.SWITCH(Buildings_Heat_Backend[[#This Row],[Methodology]],"Tier 1",rng_RSD1,"Tier 2",rng_RSD2,"Tier 3",rng_RSD3),MATCH(_xlfn.CONCAT(Buildings_Heat_Backend[[#This Row],[Level 1]:[Level 6]]),rng_LevelsConcat,0)))</f>
        <v/>
      </c>
      <c r="AB320" s="220" t="str">
        <f t="shared" si="13"/>
        <v/>
      </c>
      <c r="AC320" s="174">
        <f>Buildings_Heat_Frontend[[#This Row],[Units]]</f>
        <v>0</v>
      </c>
      <c r="AD32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0" s="174" t="str">
        <f>IF(Buildings_Heat_Frontend[[#This Row],[Data]]="","", _xlfn.XLOOKUP(_xlfn.CONCAT(Buildings_Heat_Backend[[#This Row],[Level 1]:[Level 6]]),rng_LevelsConcat,rng_UnitsLong))</f>
        <v/>
      </c>
      <c r="AF320" s="210" t="str">
        <f>IF(Buildings_Heat_Frontend[[#This Row],[Data]]="","", _xlfn.XLOOKUP(_xlfn.CONCAT(Buildings_Heat_Backend[[#This Row],[Level 1]:[Level 6]]),rng_EFConcat,rng_EF1)*Buildings_Heat_Backend[[#This Row],[Converted data]]/1000)</f>
        <v/>
      </c>
      <c r="AG320" s="210" t="str">
        <f>IF(Buildings_Heat_Frontend[[#This Row],[Data]]="","", _xlfn.XLOOKUP(_xlfn.CONCAT(Buildings_Heat_Backend[[#This Row],[Level 1]:[Level 6]]),rng_EFConcat,rng_EF2)*Buildings_Heat_Backend[[#This Row],[Converted data]]/1000)</f>
        <v/>
      </c>
      <c r="AH320" s="210" t="str">
        <f>IF(Buildings_Heat_Frontend[[#This Row],[Data]]="","", _xlfn.XLOOKUP(_xlfn.CONCAT(Buildings_Heat_Backend[[#This Row],[Level 1]:[Level 6]]),rng_EFConcat,rng_EF3)*Buildings_Heat_Backend[[#This Row],[Converted data]]/1000)</f>
        <v/>
      </c>
      <c r="AI320" s="210" t="str">
        <f>IF(Buildings_Heat_Frontend[[#This Row],[Data]]="","", _xlfn.XLOOKUP(_xlfn.CONCAT(Buildings_Heat_Backend[[#This Row],[Level 1]:[Level 6]]),rng_EFConcat,rng_EF3WTT)*Buildings_Heat_Backend[[#This Row],[Converted data]]/1000)</f>
        <v/>
      </c>
      <c r="AJ320" s="210" t="str">
        <f>IF(Buildings_Heat_Frontend[[#This Row],[Data]]="","", _xlfn.XLOOKUP(_xlfn.CONCAT(Buildings_Heat_Backend[[#This Row],[Level 1]:[Level 6]]),rng_EFConcat,rng_EF3TD)*Buildings_Heat_Backend[[#This Row],[Converted data]]/1000)</f>
        <v/>
      </c>
      <c r="AK320" s="210" t="str">
        <f>IF(Buildings_Heat_Frontend[[#This Row],[Data]]="","", _xlfn.XLOOKUP(_xlfn.CONCAT(Buildings_Heat_Backend[[#This Row],[Level 1]:[Level 6]]),rng_EFConcat,rng_EF3WTTTD)*Buildings_Heat_Backend[[#This Row],[Converted data]]/1000)</f>
        <v/>
      </c>
      <c r="AL320" s="220">
        <f>SUM(Buildings_Heat_Backend[[#This Row],[Scope 1 (tCO2e)]:[Scope 3 WTT T&amp;D (tCO2e)]])</f>
        <v>0</v>
      </c>
      <c r="AM320" s="220" t="str">
        <f>IF(Buildings_Heat_Frontend[[#This Row],[Data]]="","", Buildings_Heat_Backend[[#This Row],[Total (tCO2e)]]*(1-Buildings_Heat_Backend[[#This Row],[RSD]]))</f>
        <v/>
      </c>
      <c r="AN320" s="220" t="str">
        <f>IF(Buildings_Heat_Frontend[[#This Row],[Data]]="","", Buildings_Heat_Backend[[#This Row],[Total (tCO2e)]]*(1+Buildings_Heat_Backend[[#This Row],[RSD]]))</f>
        <v/>
      </c>
      <c r="AO320" s="210" t="str">
        <f>IF(Buildings_Heat_Frontend[[#This Row],[Data]]="","", _xlfn.XLOOKUP(_xlfn.CONCAT(Buildings_Heat_Backend[[#This Row],[Level 1]:[Level 6]]),rng_EFConcat,rng_EFOOS)*Buildings_Heat_Backend[[#This Row],[Converted data]]/1000)</f>
        <v/>
      </c>
      <c r="AP320" s="174">
        <f>Buildings_Heat_Frontend[[#This Row],[Ease of collection]]</f>
        <v>0</v>
      </c>
      <c r="AQ320" s="174">
        <f>Buildings_Heat_Frontend[[#This Row],[Completeness]]</f>
        <v>0</v>
      </c>
      <c r="AR320" s="174">
        <f>Buildings_Heat_Frontend[[#This Row],[Notes]]</f>
        <v>0</v>
      </c>
    </row>
    <row r="321" spans="5:44" x14ac:dyDescent="0.3">
      <c r="E321" s="346"/>
      <c r="F321" s="364"/>
      <c r="G321" s="336"/>
      <c r="H321" s="336"/>
      <c r="I321" s="336"/>
      <c r="J321" s="334"/>
      <c r="K321" s="336"/>
      <c r="L321" s="336"/>
      <c r="M321" s="336"/>
      <c r="N321" s="352"/>
      <c r="O321" s="230">
        <f t="shared" si="14"/>
        <v>6</v>
      </c>
      <c r="Q321" s="212" t="str">
        <f t="shared" si="12"/>
        <v/>
      </c>
      <c r="R321" s="174" t="s">
        <v>265</v>
      </c>
      <c r="S321" s="174" t="s">
        <v>273</v>
      </c>
      <c r="T321" s="174" t="str">
        <f>IF(Buildings_Heat_Frontend[[#This Row],[Data]]="","", _xlfn.XLOOKUP(Buildings_Heat_Backend[[#This Row],[Info 1]],Buildings_SiteInfo[Site name],Buildings_SiteInfo[Site type]))</f>
        <v/>
      </c>
      <c r="U321" s="174" t="str">
        <f>IF(Buildings_Heat_Frontend[[#This Row],[Data]]="","", Buildings_Heat_Frontend[[#This Row],[Heating Type]])</f>
        <v/>
      </c>
      <c r="V321" s="174" t="str">
        <f>IF(Buildings_Heat_Frontend[[#This Row],[Data]]="","", Buildings_Heat_Frontend[[#This Row],[Fuel]])</f>
        <v/>
      </c>
      <c r="W321" s="174" t="str" cm="1">
        <f t="array" ref="W321">IF(Buildings_Heat_Frontend[[#This Row],[Data]]="","", _xlfn.XLOOKUP(Buildings_Heat_Backend[[#This Row],[Level 5]],rng_Level5Long,rng_Level6Long))</f>
        <v/>
      </c>
      <c r="X321" s="174" t="str">
        <f>IF(Buildings_Heat_Frontend[[#This Row],[Data]]="","", Buildings_Heat_Frontend[[#This Row],[Site Name]])</f>
        <v/>
      </c>
      <c r="Y321" s="174" t="str">
        <f>IF(Buildings_Heat_Frontend[[#This Row],[Data]]="","", Buildings_Heat_Frontend[[#This Row],[MPRN]])</f>
        <v/>
      </c>
      <c r="Z321" s="174" t="str">
        <f>IF(Buildings_Heat_Frontend[[#This Row],[Data]]="","", IF($I321="","",$I321))</f>
        <v/>
      </c>
      <c r="AA321" s="229" t="str" cm="1">
        <f t="array" ref="AA321">IF(Buildings_Heat_Frontend[[#This Row],[Data]]="","", INDEX(_xlfn.SWITCH(Buildings_Heat_Backend[[#This Row],[Methodology]],"Tier 1",rng_RSD1,"Tier 2",rng_RSD2,"Tier 3",rng_RSD3),MATCH(_xlfn.CONCAT(Buildings_Heat_Backend[[#This Row],[Level 1]:[Level 6]]),rng_LevelsConcat,0)))</f>
        <v/>
      </c>
      <c r="AB321" s="220" t="str">
        <f t="shared" si="13"/>
        <v/>
      </c>
      <c r="AC321" s="174">
        <f>Buildings_Heat_Frontend[[#This Row],[Units]]</f>
        <v>0</v>
      </c>
      <c r="AD32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1" s="174" t="str">
        <f>IF(Buildings_Heat_Frontend[[#This Row],[Data]]="","", _xlfn.XLOOKUP(_xlfn.CONCAT(Buildings_Heat_Backend[[#This Row],[Level 1]:[Level 6]]),rng_LevelsConcat,rng_UnitsLong))</f>
        <v/>
      </c>
      <c r="AF321" s="210" t="str">
        <f>IF(Buildings_Heat_Frontend[[#This Row],[Data]]="","", _xlfn.XLOOKUP(_xlfn.CONCAT(Buildings_Heat_Backend[[#This Row],[Level 1]:[Level 6]]),rng_EFConcat,rng_EF1)*Buildings_Heat_Backend[[#This Row],[Converted data]]/1000)</f>
        <v/>
      </c>
      <c r="AG321" s="210" t="str">
        <f>IF(Buildings_Heat_Frontend[[#This Row],[Data]]="","", _xlfn.XLOOKUP(_xlfn.CONCAT(Buildings_Heat_Backend[[#This Row],[Level 1]:[Level 6]]),rng_EFConcat,rng_EF2)*Buildings_Heat_Backend[[#This Row],[Converted data]]/1000)</f>
        <v/>
      </c>
      <c r="AH321" s="210" t="str">
        <f>IF(Buildings_Heat_Frontend[[#This Row],[Data]]="","", _xlfn.XLOOKUP(_xlfn.CONCAT(Buildings_Heat_Backend[[#This Row],[Level 1]:[Level 6]]),rng_EFConcat,rng_EF3)*Buildings_Heat_Backend[[#This Row],[Converted data]]/1000)</f>
        <v/>
      </c>
      <c r="AI321" s="210" t="str">
        <f>IF(Buildings_Heat_Frontend[[#This Row],[Data]]="","", _xlfn.XLOOKUP(_xlfn.CONCAT(Buildings_Heat_Backend[[#This Row],[Level 1]:[Level 6]]),rng_EFConcat,rng_EF3WTT)*Buildings_Heat_Backend[[#This Row],[Converted data]]/1000)</f>
        <v/>
      </c>
      <c r="AJ321" s="210" t="str">
        <f>IF(Buildings_Heat_Frontend[[#This Row],[Data]]="","", _xlfn.XLOOKUP(_xlfn.CONCAT(Buildings_Heat_Backend[[#This Row],[Level 1]:[Level 6]]),rng_EFConcat,rng_EF3TD)*Buildings_Heat_Backend[[#This Row],[Converted data]]/1000)</f>
        <v/>
      </c>
      <c r="AK321" s="210" t="str">
        <f>IF(Buildings_Heat_Frontend[[#This Row],[Data]]="","", _xlfn.XLOOKUP(_xlfn.CONCAT(Buildings_Heat_Backend[[#This Row],[Level 1]:[Level 6]]),rng_EFConcat,rng_EF3WTTTD)*Buildings_Heat_Backend[[#This Row],[Converted data]]/1000)</f>
        <v/>
      </c>
      <c r="AL321" s="220">
        <f>SUM(Buildings_Heat_Backend[[#This Row],[Scope 1 (tCO2e)]:[Scope 3 WTT T&amp;D (tCO2e)]])</f>
        <v>0</v>
      </c>
      <c r="AM321" s="220" t="str">
        <f>IF(Buildings_Heat_Frontend[[#This Row],[Data]]="","", Buildings_Heat_Backend[[#This Row],[Total (tCO2e)]]*(1-Buildings_Heat_Backend[[#This Row],[RSD]]))</f>
        <v/>
      </c>
      <c r="AN321" s="220" t="str">
        <f>IF(Buildings_Heat_Frontend[[#This Row],[Data]]="","", Buildings_Heat_Backend[[#This Row],[Total (tCO2e)]]*(1+Buildings_Heat_Backend[[#This Row],[RSD]]))</f>
        <v/>
      </c>
      <c r="AO321" s="210" t="str">
        <f>IF(Buildings_Heat_Frontend[[#This Row],[Data]]="","", _xlfn.XLOOKUP(_xlfn.CONCAT(Buildings_Heat_Backend[[#This Row],[Level 1]:[Level 6]]),rng_EFConcat,rng_EFOOS)*Buildings_Heat_Backend[[#This Row],[Converted data]]/1000)</f>
        <v/>
      </c>
      <c r="AP321" s="174">
        <f>Buildings_Heat_Frontend[[#This Row],[Ease of collection]]</f>
        <v>0</v>
      </c>
      <c r="AQ321" s="174">
        <f>Buildings_Heat_Frontend[[#This Row],[Completeness]]</f>
        <v>0</v>
      </c>
      <c r="AR321" s="174">
        <f>Buildings_Heat_Frontend[[#This Row],[Notes]]</f>
        <v>0</v>
      </c>
    </row>
    <row r="322" spans="5:44" x14ac:dyDescent="0.3">
      <c r="E322" s="346"/>
      <c r="F322" s="364"/>
      <c r="G322" s="336"/>
      <c r="H322" s="336"/>
      <c r="I322" s="336"/>
      <c r="J322" s="334"/>
      <c r="K322" s="336"/>
      <c r="L322" s="336"/>
      <c r="M322" s="336"/>
      <c r="N322" s="352"/>
      <c r="O322" s="230">
        <f t="shared" si="14"/>
        <v>6</v>
      </c>
      <c r="Q322" s="212" t="str">
        <f t="shared" si="12"/>
        <v/>
      </c>
      <c r="R322" s="174" t="s">
        <v>265</v>
      </c>
      <c r="S322" s="174" t="s">
        <v>273</v>
      </c>
      <c r="T322" s="174" t="str">
        <f>IF(Buildings_Heat_Frontend[[#This Row],[Data]]="","", _xlfn.XLOOKUP(Buildings_Heat_Backend[[#This Row],[Info 1]],Buildings_SiteInfo[Site name],Buildings_SiteInfo[Site type]))</f>
        <v/>
      </c>
      <c r="U322" s="174" t="str">
        <f>IF(Buildings_Heat_Frontend[[#This Row],[Data]]="","", Buildings_Heat_Frontend[[#This Row],[Heating Type]])</f>
        <v/>
      </c>
      <c r="V322" s="174" t="str">
        <f>IF(Buildings_Heat_Frontend[[#This Row],[Data]]="","", Buildings_Heat_Frontend[[#This Row],[Fuel]])</f>
        <v/>
      </c>
      <c r="W322" s="174" t="str" cm="1">
        <f t="array" ref="W322">IF(Buildings_Heat_Frontend[[#This Row],[Data]]="","", _xlfn.XLOOKUP(Buildings_Heat_Backend[[#This Row],[Level 5]],rng_Level5Long,rng_Level6Long))</f>
        <v/>
      </c>
      <c r="X322" s="174" t="str">
        <f>IF(Buildings_Heat_Frontend[[#This Row],[Data]]="","", Buildings_Heat_Frontend[[#This Row],[Site Name]])</f>
        <v/>
      </c>
      <c r="Y322" s="174" t="str">
        <f>IF(Buildings_Heat_Frontend[[#This Row],[Data]]="","", Buildings_Heat_Frontend[[#This Row],[MPRN]])</f>
        <v/>
      </c>
      <c r="Z322" s="174" t="str">
        <f>IF(Buildings_Heat_Frontend[[#This Row],[Data]]="","", IF($I322="","",$I322))</f>
        <v/>
      </c>
      <c r="AA322" s="229" t="str" cm="1">
        <f t="array" ref="AA322">IF(Buildings_Heat_Frontend[[#This Row],[Data]]="","", INDEX(_xlfn.SWITCH(Buildings_Heat_Backend[[#This Row],[Methodology]],"Tier 1",rng_RSD1,"Tier 2",rng_RSD2,"Tier 3",rng_RSD3),MATCH(_xlfn.CONCAT(Buildings_Heat_Backend[[#This Row],[Level 1]:[Level 6]]),rng_LevelsConcat,0)))</f>
        <v/>
      </c>
      <c r="AB322" s="220" t="str">
        <f t="shared" si="13"/>
        <v/>
      </c>
      <c r="AC322" s="174">
        <f>Buildings_Heat_Frontend[[#This Row],[Units]]</f>
        <v>0</v>
      </c>
      <c r="AD32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2" s="174" t="str">
        <f>IF(Buildings_Heat_Frontend[[#This Row],[Data]]="","", _xlfn.XLOOKUP(_xlfn.CONCAT(Buildings_Heat_Backend[[#This Row],[Level 1]:[Level 6]]),rng_LevelsConcat,rng_UnitsLong))</f>
        <v/>
      </c>
      <c r="AF322" s="210" t="str">
        <f>IF(Buildings_Heat_Frontend[[#This Row],[Data]]="","", _xlfn.XLOOKUP(_xlfn.CONCAT(Buildings_Heat_Backend[[#This Row],[Level 1]:[Level 6]]),rng_EFConcat,rng_EF1)*Buildings_Heat_Backend[[#This Row],[Converted data]]/1000)</f>
        <v/>
      </c>
      <c r="AG322" s="210" t="str">
        <f>IF(Buildings_Heat_Frontend[[#This Row],[Data]]="","", _xlfn.XLOOKUP(_xlfn.CONCAT(Buildings_Heat_Backend[[#This Row],[Level 1]:[Level 6]]),rng_EFConcat,rng_EF2)*Buildings_Heat_Backend[[#This Row],[Converted data]]/1000)</f>
        <v/>
      </c>
      <c r="AH322" s="210" t="str">
        <f>IF(Buildings_Heat_Frontend[[#This Row],[Data]]="","", _xlfn.XLOOKUP(_xlfn.CONCAT(Buildings_Heat_Backend[[#This Row],[Level 1]:[Level 6]]),rng_EFConcat,rng_EF3)*Buildings_Heat_Backend[[#This Row],[Converted data]]/1000)</f>
        <v/>
      </c>
      <c r="AI322" s="210" t="str">
        <f>IF(Buildings_Heat_Frontend[[#This Row],[Data]]="","", _xlfn.XLOOKUP(_xlfn.CONCAT(Buildings_Heat_Backend[[#This Row],[Level 1]:[Level 6]]),rng_EFConcat,rng_EF3WTT)*Buildings_Heat_Backend[[#This Row],[Converted data]]/1000)</f>
        <v/>
      </c>
      <c r="AJ322" s="210" t="str">
        <f>IF(Buildings_Heat_Frontend[[#This Row],[Data]]="","", _xlfn.XLOOKUP(_xlfn.CONCAT(Buildings_Heat_Backend[[#This Row],[Level 1]:[Level 6]]),rng_EFConcat,rng_EF3TD)*Buildings_Heat_Backend[[#This Row],[Converted data]]/1000)</f>
        <v/>
      </c>
      <c r="AK322" s="210" t="str">
        <f>IF(Buildings_Heat_Frontend[[#This Row],[Data]]="","", _xlfn.XLOOKUP(_xlfn.CONCAT(Buildings_Heat_Backend[[#This Row],[Level 1]:[Level 6]]),rng_EFConcat,rng_EF3WTTTD)*Buildings_Heat_Backend[[#This Row],[Converted data]]/1000)</f>
        <v/>
      </c>
      <c r="AL322" s="220">
        <f>SUM(Buildings_Heat_Backend[[#This Row],[Scope 1 (tCO2e)]:[Scope 3 WTT T&amp;D (tCO2e)]])</f>
        <v>0</v>
      </c>
      <c r="AM322" s="220" t="str">
        <f>IF(Buildings_Heat_Frontend[[#This Row],[Data]]="","", Buildings_Heat_Backend[[#This Row],[Total (tCO2e)]]*(1-Buildings_Heat_Backend[[#This Row],[RSD]]))</f>
        <v/>
      </c>
      <c r="AN322" s="220" t="str">
        <f>IF(Buildings_Heat_Frontend[[#This Row],[Data]]="","", Buildings_Heat_Backend[[#This Row],[Total (tCO2e)]]*(1+Buildings_Heat_Backend[[#This Row],[RSD]]))</f>
        <v/>
      </c>
      <c r="AO322" s="210" t="str">
        <f>IF(Buildings_Heat_Frontend[[#This Row],[Data]]="","", _xlfn.XLOOKUP(_xlfn.CONCAT(Buildings_Heat_Backend[[#This Row],[Level 1]:[Level 6]]),rng_EFConcat,rng_EFOOS)*Buildings_Heat_Backend[[#This Row],[Converted data]]/1000)</f>
        <v/>
      </c>
      <c r="AP322" s="174">
        <f>Buildings_Heat_Frontend[[#This Row],[Ease of collection]]</f>
        <v>0</v>
      </c>
      <c r="AQ322" s="174">
        <f>Buildings_Heat_Frontend[[#This Row],[Completeness]]</f>
        <v>0</v>
      </c>
      <c r="AR322" s="174">
        <f>Buildings_Heat_Frontend[[#This Row],[Notes]]</f>
        <v>0</v>
      </c>
    </row>
    <row r="323" spans="5:44" x14ac:dyDescent="0.3">
      <c r="E323" s="346"/>
      <c r="F323" s="364"/>
      <c r="G323" s="336"/>
      <c r="H323" s="336"/>
      <c r="I323" s="336"/>
      <c r="J323" s="334"/>
      <c r="K323" s="336"/>
      <c r="L323" s="336"/>
      <c r="M323" s="336"/>
      <c r="N323" s="352"/>
      <c r="O323" s="230">
        <f t="shared" si="14"/>
        <v>6</v>
      </c>
      <c r="Q323" s="212" t="str">
        <f t="shared" si="12"/>
        <v/>
      </c>
      <c r="R323" s="174" t="s">
        <v>265</v>
      </c>
      <c r="S323" s="174" t="s">
        <v>273</v>
      </c>
      <c r="T323" s="174" t="str">
        <f>IF(Buildings_Heat_Frontend[[#This Row],[Data]]="","", _xlfn.XLOOKUP(Buildings_Heat_Backend[[#This Row],[Info 1]],Buildings_SiteInfo[Site name],Buildings_SiteInfo[Site type]))</f>
        <v/>
      </c>
      <c r="U323" s="174" t="str">
        <f>IF(Buildings_Heat_Frontend[[#This Row],[Data]]="","", Buildings_Heat_Frontend[[#This Row],[Heating Type]])</f>
        <v/>
      </c>
      <c r="V323" s="174" t="str">
        <f>IF(Buildings_Heat_Frontend[[#This Row],[Data]]="","", Buildings_Heat_Frontend[[#This Row],[Fuel]])</f>
        <v/>
      </c>
      <c r="W323" s="174" t="str" cm="1">
        <f t="array" ref="W323">IF(Buildings_Heat_Frontend[[#This Row],[Data]]="","", _xlfn.XLOOKUP(Buildings_Heat_Backend[[#This Row],[Level 5]],rng_Level5Long,rng_Level6Long))</f>
        <v/>
      </c>
      <c r="X323" s="174" t="str">
        <f>IF(Buildings_Heat_Frontend[[#This Row],[Data]]="","", Buildings_Heat_Frontend[[#This Row],[Site Name]])</f>
        <v/>
      </c>
      <c r="Y323" s="174" t="str">
        <f>IF(Buildings_Heat_Frontend[[#This Row],[Data]]="","", Buildings_Heat_Frontend[[#This Row],[MPRN]])</f>
        <v/>
      </c>
      <c r="Z323" s="174" t="str">
        <f>IF(Buildings_Heat_Frontend[[#This Row],[Data]]="","", IF($I323="","",$I323))</f>
        <v/>
      </c>
      <c r="AA323" s="229" t="str" cm="1">
        <f t="array" ref="AA323">IF(Buildings_Heat_Frontend[[#This Row],[Data]]="","", INDEX(_xlfn.SWITCH(Buildings_Heat_Backend[[#This Row],[Methodology]],"Tier 1",rng_RSD1,"Tier 2",rng_RSD2,"Tier 3",rng_RSD3),MATCH(_xlfn.CONCAT(Buildings_Heat_Backend[[#This Row],[Level 1]:[Level 6]]),rng_LevelsConcat,0)))</f>
        <v/>
      </c>
      <c r="AB323" s="220" t="str">
        <f t="shared" si="13"/>
        <v/>
      </c>
      <c r="AC323" s="174">
        <f>Buildings_Heat_Frontend[[#This Row],[Units]]</f>
        <v>0</v>
      </c>
      <c r="AD32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3" s="174" t="str">
        <f>IF(Buildings_Heat_Frontend[[#This Row],[Data]]="","", _xlfn.XLOOKUP(_xlfn.CONCAT(Buildings_Heat_Backend[[#This Row],[Level 1]:[Level 6]]),rng_LevelsConcat,rng_UnitsLong))</f>
        <v/>
      </c>
      <c r="AF323" s="210" t="str">
        <f>IF(Buildings_Heat_Frontend[[#This Row],[Data]]="","", _xlfn.XLOOKUP(_xlfn.CONCAT(Buildings_Heat_Backend[[#This Row],[Level 1]:[Level 6]]),rng_EFConcat,rng_EF1)*Buildings_Heat_Backend[[#This Row],[Converted data]]/1000)</f>
        <v/>
      </c>
      <c r="AG323" s="210" t="str">
        <f>IF(Buildings_Heat_Frontend[[#This Row],[Data]]="","", _xlfn.XLOOKUP(_xlfn.CONCAT(Buildings_Heat_Backend[[#This Row],[Level 1]:[Level 6]]),rng_EFConcat,rng_EF2)*Buildings_Heat_Backend[[#This Row],[Converted data]]/1000)</f>
        <v/>
      </c>
      <c r="AH323" s="210" t="str">
        <f>IF(Buildings_Heat_Frontend[[#This Row],[Data]]="","", _xlfn.XLOOKUP(_xlfn.CONCAT(Buildings_Heat_Backend[[#This Row],[Level 1]:[Level 6]]),rng_EFConcat,rng_EF3)*Buildings_Heat_Backend[[#This Row],[Converted data]]/1000)</f>
        <v/>
      </c>
      <c r="AI323" s="210" t="str">
        <f>IF(Buildings_Heat_Frontend[[#This Row],[Data]]="","", _xlfn.XLOOKUP(_xlfn.CONCAT(Buildings_Heat_Backend[[#This Row],[Level 1]:[Level 6]]),rng_EFConcat,rng_EF3WTT)*Buildings_Heat_Backend[[#This Row],[Converted data]]/1000)</f>
        <v/>
      </c>
      <c r="AJ323" s="210" t="str">
        <f>IF(Buildings_Heat_Frontend[[#This Row],[Data]]="","", _xlfn.XLOOKUP(_xlfn.CONCAT(Buildings_Heat_Backend[[#This Row],[Level 1]:[Level 6]]),rng_EFConcat,rng_EF3TD)*Buildings_Heat_Backend[[#This Row],[Converted data]]/1000)</f>
        <v/>
      </c>
      <c r="AK323" s="210" t="str">
        <f>IF(Buildings_Heat_Frontend[[#This Row],[Data]]="","", _xlfn.XLOOKUP(_xlfn.CONCAT(Buildings_Heat_Backend[[#This Row],[Level 1]:[Level 6]]),rng_EFConcat,rng_EF3WTTTD)*Buildings_Heat_Backend[[#This Row],[Converted data]]/1000)</f>
        <v/>
      </c>
      <c r="AL323" s="220">
        <f>SUM(Buildings_Heat_Backend[[#This Row],[Scope 1 (tCO2e)]:[Scope 3 WTT T&amp;D (tCO2e)]])</f>
        <v>0</v>
      </c>
      <c r="AM323" s="220" t="str">
        <f>IF(Buildings_Heat_Frontend[[#This Row],[Data]]="","", Buildings_Heat_Backend[[#This Row],[Total (tCO2e)]]*(1-Buildings_Heat_Backend[[#This Row],[RSD]]))</f>
        <v/>
      </c>
      <c r="AN323" s="220" t="str">
        <f>IF(Buildings_Heat_Frontend[[#This Row],[Data]]="","", Buildings_Heat_Backend[[#This Row],[Total (tCO2e)]]*(1+Buildings_Heat_Backend[[#This Row],[RSD]]))</f>
        <v/>
      </c>
      <c r="AO323" s="210" t="str">
        <f>IF(Buildings_Heat_Frontend[[#This Row],[Data]]="","", _xlfn.XLOOKUP(_xlfn.CONCAT(Buildings_Heat_Backend[[#This Row],[Level 1]:[Level 6]]),rng_EFConcat,rng_EFOOS)*Buildings_Heat_Backend[[#This Row],[Converted data]]/1000)</f>
        <v/>
      </c>
      <c r="AP323" s="174">
        <f>Buildings_Heat_Frontend[[#This Row],[Ease of collection]]</f>
        <v>0</v>
      </c>
      <c r="AQ323" s="174">
        <f>Buildings_Heat_Frontend[[#This Row],[Completeness]]</f>
        <v>0</v>
      </c>
      <c r="AR323" s="174">
        <f>Buildings_Heat_Frontend[[#This Row],[Notes]]</f>
        <v>0</v>
      </c>
    </row>
    <row r="324" spans="5:44" x14ac:dyDescent="0.3">
      <c r="E324" s="346"/>
      <c r="F324" s="364"/>
      <c r="G324" s="336"/>
      <c r="H324" s="336"/>
      <c r="I324" s="336"/>
      <c r="J324" s="334"/>
      <c r="K324" s="336"/>
      <c r="L324" s="336"/>
      <c r="M324" s="336"/>
      <c r="N324" s="352"/>
      <c r="O324" s="230">
        <f t="shared" si="14"/>
        <v>6</v>
      </c>
      <c r="Q324" s="212" t="str">
        <f t="shared" si="12"/>
        <v/>
      </c>
      <c r="R324" s="174" t="s">
        <v>265</v>
      </c>
      <c r="S324" s="174" t="s">
        <v>273</v>
      </c>
      <c r="T324" s="174" t="str">
        <f>IF(Buildings_Heat_Frontend[[#This Row],[Data]]="","", _xlfn.XLOOKUP(Buildings_Heat_Backend[[#This Row],[Info 1]],Buildings_SiteInfo[Site name],Buildings_SiteInfo[Site type]))</f>
        <v/>
      </c>
      <c r="U324" s="174" t="str">
        <f>IF(Buildings_Heat_Frontend[[#This Row],[Data]]="","", Buildings_Heat_Frontend[[#This Row],[Heating Type]])</f>
        <v/>
      </c>
      <c r="V324" s="174" t="str">
        <f>IF(Buildings_Heat_Frontend[[#This Row],[Data]]="","", Buildings_Heat_Frontend[[#This Row],[Fuel]])</f>
        <v/>
      </c>
      <c r="W324" s="174" t="str" cm="1">
        <f t="array" ref="W324">IF(Buildings_Heat_Frontend[[#This Row],[Data]]="","", _xlfn.XLOOKUP(Buildings_Heat_Backend[[#This Row],[Level 5]],rng_Level5Long,rng_Level6Long))</f>
        <v/>
      </c>
      <c r="X324" s="174" t="str">
        <f>IF(Buildings_Heat_Frontend[[#This Row],[Data]]="","", Buildings_Heat_Frontend[[#This Row],[Site Name]])</f>
        <v/>
      </c>
      <c r="Y324" s="174" t="str">
        <f>IF(Buildings_Heat_Frontend[[#This Row],[Data]]="","", Buildings_Heat_Frontend[[#This Row],[MPRN]])</f>
        <v/>
      </c>
      <c r="Z324" s="174" t="str">
        <f>IF(Buildings_Heat_Frontend[[#This Row],[Data]]="","", IF($I324="","",$I324))</f>
        <v/>
      </c>
      <c r="AA324" s="229" t="str" cm="1">
        <f t="array" ref="AA324">IF(Buildings_Heat_Frontend[[#This Row],[Data]]="","", INDEX(_xlfn.SWITCH(Buildings_Heat_Backend[[#This Row],[Methodology]],"Tier 1",rng_RSD1,"Tier 2",rng_RSD2,"Tier 3",rng_RSD3),MATCH(_xlfn.CONCAT(Buildings_Heat_Backend[[#This Row],[Level 1]:[Level 6]]),rng_LevelsConcat,0)))</f>
        <v/>
      </c>
      <c r="AB324" s="220" t="str">
        <f t="shared" si="13"/>
        <v/>
      </c>
      <c r="AC324" s="174">
        <f>Buildings_Heat_Frontend[[#This Row],[Units]]</f>
        <v>0</v>
      </c>
      <c r="AD32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4" s="174" t="str">
        <f>IF(Buildings_Heat_Frontend[[#This Row],[Data]]="","", _xlfn.XLOOKUP(_xlfn.CONCAT(Buildings_Heat_Backend[[#This Row],[Level 1]:[Level 6]]),rng_LevelsConcat,rng_UnitsLong))</f>
        <v/>
      </c>
      <c r="AF324" s="210" t="str">
        <f>IF(Buildings_Heat_Frontend[[#This Row],[Data]]="","", _xlfn.XLOOKUP(_xlfn.CONCAT(Buildings_Heat_Backend[[#This Row],[Level 1]:[Level 6]]),rng_EFConcat,rng_EF1)*Buildings_Heat_Backend[[#This Row],[Converted data]]/1000)</f>
        <v/>
      </c>
      <c r="AG324" s="210" t="str">
        <f>IF(Buildings_Heat_Frontend[[#This Row],[Data]]="","", _xlfn.XLOOKUP(_xlfn.CONCAT(Buildings_Heat_Backend[[#This Row],[Level 1]:[Level 6]]),rng_EFConcat,rng_EF2)*Buildings_Heat_Backend[[#This Row],[Converted data]]/1000)</f>
        <v/>
      </c>
      <c r="AH324" s="210" t="str">
        <f>IF(Buildings_Heat_Frontend[[#This Row],[Data]]="","", _xlfn.XLOOKUP(_xlfn.CONCAT(Buildings_Heat_Backend[[#This Row],[Level 1]:[Level 6]]),rng_EFConcat,rng_EF3)*Buildings_Heat_Backend[[#This Row],[Converted data]]/1000)</f>
        <v/>
      </c>
      <c r="AI324" s="210" t="str">
        <f>IF(Buildings_Heat_Frontend[[#This Row],[Data]]="","", _xlfn.XLOOKUP(_xlfn.CONCAT(Buildings_Heat_Backend[[#This Row],[Level 1]:[Level 6]]),rng_EFConcat,rng_EF3WTT)*Buildings_Heat_Backend[[#This Row],[Converted data]]/1000)</f>
        <v/>
      </c>
      <c r="AJ324" s="210" t="str">
        <f>IF(Buildings_Heat_Frontend[[#This Row],[Data]]="","", _xlfn.XLOOKUP(_xlfn.CONCAT(Buildings_Heat_Backend[[#This Row],[Level 1]:[Level 6]]),rng_EFConcat,rng_EF3TD)*Buildings_Heat_Backend[[#This Row],[Converted data]]/1000)</f>
        <v/>
      </c>
      <c r="AK324" s="210" t="str">
        <f>IF(Buildings_Heat_Frontend[[#This Row],[Data]]="","", _xlfn.XLOOKUP(_xlfn.CONCAT(Buildings_Heat_Backend[[#This Row],[Level 1]:[Level 6]]),rng_EFConcat,rng_EF3WTTTD)*Buildings_Heat_Backend[[#This Row],[Converted data]]/1000)</f>
        <v/>
      </c>
      <c r="AL324" s="220">
        <f>SUM(Buildings_Heat_Backend[[#This Row],[Scope 1 (tCO2e)]:[Scope 3 WTT T&amp;D (tCO2e)]])</f>
        <v>0</v>
      </c>
      <c r="AM324" s="220" t="str">
        <f>IF(Buildings_Heat_Frontend[[#This Row],[Data]]="","", Buildings_Heat_Backend[[#This Row],[Total (tCO2e)]]*(1-Buildings_Heat_Backend[[#This Row],[RSD]]))</f>
        <v/>
      </c>
      <c r="AN324" s="220" t="str">
        <f>IF(Buildings_Heat_Frontend[[#This Row],[Data]]="","", Buildings_Heat_Backend[[#This Row],[Total (tCO2e)]]*(1+Buildings_Heat_Backend[[#This Row],[RSD]]))</f>
        <v/>
      </c>
      <c r="AO324" s="210" t="str">
        <f>IF(Buildings_Heat_Frontend[[#This Row],[Data]]="","", _xlfn.XLOOKUP(_xlfn.CONCAT(Buildings_Heat_Backend[[#This Row],[Level 1]:[Level 6]]),rng_EFConcat,rng_EFOOS)*Buildings_Heat_Backend[[#This Row],[Converted data]]/1000)</f>
        <v/>
      </c>
      <c r="AP324" s="174">
        <f>Buildings_Heat_Frontend[[#This Row],[Ease of collection]]</f>
        <v>0</v>
      </c>
      <c r="AQ324" s="174">
        <f>Buildings_Heat_Frontend[[#This Row],[Completeness]]</f>
        <v>0</v>
      </c>
      <c r="AR324" s="174">
        <f>Buildings_Heat_Frontend[[#This Row],[Notes]]</f>
        <v>0</v>
      </c>
    </row>
    <row r="325" spans="5:44" x14ac:dyDescent="0.3">
      <c r="E325" s="346"/>
      <c r="F325" s="364"/>
      <c r="G325" s="336"/>
      <c r="H325" s="336"/>
      <c r="I325" s="336"/>
      <c r="J325" s="334"/>
      <c r="K325" s="336"/>
      <c r="L325" s="336"/>
      <c r="M325" s="336"/>
      <c r="N325" s="352"/>
      <c r="O325" s="230">
        <f t="shared" si="14"/>
        <v>6</v>
      </c>
      <c r="Q325" s="212" t="str">
        <f t="shared" si="12"/>
        <v/>
      </c>
      <c r="R325" s="174" t="s">
        <v>265</v>
      </c>
      <c r="S325" s="174" t="s">
        <v>273</v>
      </c>
      <c r="T325" s="174" t="str">
        <f>IF(Buildings_Heat_Frontend[[#This Row],[Data]]="","", _xlfn.XLOOKUP(Buildings_Heat_Backend[[#This Row],[Info 1]],Buildings_SiteInfo[Site name],Buildings_SiteInfo[Site type]))</f>
        <v/>
      </c>
      <c r="U325" s="174" t="str">
        <f>IF(Buildings_Heat_Frontend[[#This Row],[Data]]="","", Buildings_Heat_Frontend[[#This Row],[Heating Type]])</f>
        <v/>
      </c>
      <c r="V325" s="174" t="str">
        <f>IF(Buildings_Heat_Frontend[[#This Row],[Data]]="","", Buildings_Heat_Frontend[[#This Row],[Fuel]])</f>
        <v/>
      </c>
      <c r="W325" s="174" t="str" cm="1">
        <f t="array" ref="W325">IF(Buildings_Heat_Frontend[[#This Row],[Data]]="","", _xlfn.XLOOKUP(Buildings_Heat_Backend[[#This Row],[Level 5]],rng_Level5Long,rng_Level6Long))</f>
        <v/>
      </c>
      <c r="X325" s="174" t="str">
        <f>IF(Buildings_Heat_Frontend[[#This Row],[Data]]="","", Buildings_Heat_Frontend[[#This Row],[Site Name]])</f>
        <v/>
      </c>
      <c r="Y325" s="174" t="str">
        <f>IF(Buildings_Heat_Frontend[[#This Row],[Data]]="","", Buildings_Heat_Frontend[[#This Row],[MPRN]])</f>
        <v/>
      </c>
      <c r="Z325" s="174" t="str">
        <f>IF(Buildings_Heat_Frontend[[#This Row],[Data]]="","", IF($I325="","",$I325))</f>
        <v/>
      </c>
      <c r="AA325" s="229" t="str" cm="1">
        <f t="array" ref="AA325">IF(Buildings_Heat_Frontend[[#This Row],[Data]]="","", INDEX(_xlfn.SWITCH(Buildings_Heat_Backend[[#This Row],[Methodology]],"Tier 1",rng_RSD1,"Tier 2",rng_RSD2,"Tier 3",rng_RSD3),MATCH(_xlfn.CONCAT(Buildings_Heat_Backend[[#This Row],[Level 1]:[Level 6]]),rng_LevelsConcat,0)))</f>
        <v/>
      </c>
      <c r="AB325" s="220" t="str">
        <f t="shared" si="13"/>
        <v/>
      </c>
      <c r="AC325" s="174">
        <f>Buildings_Heat_Frontend[[#This Row],[Units]]</f>
        <v>0</v>
      </c>
      <c r="AD32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5" s="174" t="str">
        <f>IF(Buildings_Heat_Frontend[[#This Row],[Data]]="","", _xlfn.XLOOKUP(_xlfn.CONCAT(Buildings_Heat_Backend[[#This Row],[Level 1]:[Level 6]]),rng_LevelsConcat,rng_UnitsLong))</f>
        <v/>
      </c>
      <c r="AF325" s="210" t="str">
        <f>IF(Buildings_Heat_Frontend[[#This Row],[Data]]="","", _xlfn.XLOOKUP(_xlfn.CONCAT(Buildings_Heat_Backend[[#This Row],[Level 1]:[Level 6]]),rng_EFConcat,rng_EF1)*Buildings_Heat_Backend[[#This Row],[Converted data]]/1000)</f>
        <v/>
      </c>
      <c r="AG325" s="210" t="str">
        <f>IF(Buildings_Heat_Frontend[[#This Row],[Data]]="","", _xlfn.XLOOKUP(_xlfn.CONCAT(Buildings_Heat_Backend[[#This Row],[Level 1]:[Level 6]]),rng_EFConcat,rng_EF2)*Buildings_Heat_Backend[[#This Row],[Converted data]]/1000)</f>
        <v/>
      </c>
      <c r="AH325" s="210" t="str">
        <f>IF(Buildings_Heat_Frontend[[#This Row],[Data]]="","", _xlfn.XLOOKUP(_xlfn.CONCAT(Buildings_Heat_Backend[[#This Row],[Level 1]:[Level 6]]),rng_EFConcat,rng_EF3)*Buildings_Heat_Backend[[#This Row],[Converted data]]/1000)</f>
        <v/>
      </c>
      <c r="AI325" s="210" t="str">
        <f>IF(Buildings_Heat_Frontend[[#This Row],[Data]]="","", _xlfn.XLOOKUP(_xlfn.CONCAT(Buildings_Heat_Backend[[#This Row],[Level 1]:[Level 6]]),rng_EFConcat,rng_EF3WTT)*Buildings_Heat_Backend[[#This Row],[Converted data]]/1000)</f>
        <v/>
      </c>
      <c r="AJ325" s="210" t="str">
        <f>IF(Buildings_Heat_Frontend[[#This Row],[Data]]="","", _xlfn.XLOOKUP(_xlfn.CONCAT(Buildings_Heat_Backend[[#This Row],[Level 1]:[Level 6]]),rng_EFConcat,rng_EF3TD)*Buildings_Heat_Backend[[#This Row],[Converted data]]/1000)</f>
        <v/>
      </c>
      <c r="AK325" s="210" t="str">
        <f>IF(Buildings_Heat_Frontend[[#This Row],[Data]]="","", _xlfn.XLOOKUP(_xlfn.CONCAT(Buildings_Heat_Backend[[#This Row],[Level 1]:[Level 6]]),rng_EFConcat,rng_EF3WTTTD)*Buildings_Heat_Backend[[#This Row],[Converted data]]/1000)</f>
        <v/>
      </c>
      <c r="AL325" s="220">
        <f>SUM(Buildings_Heat_Backend[[#This Row],[Scope 1 (tCO2e)]:[Scope 3 WTT T&amp;D (tCO2e)]])</f>
        <v>0</v>
      </c>
      <c r="AM325" s="220" t="str">
        <f>IF(Buildings_Heat_Frontend[[#This Row],[Data]]="","", Buildings_Heat_Backend[[#This Row],[Total (tCO2e)]]*(1-Buildings_Heat_Backend[[#This Row],[RSD]]))</f>
        <v/>
      </c>
      <c r="AN325" s="220" t="str">
        <f>IF(Buildings_Heat_Frontend[[#This Row],[Data]]="","", Buildings_Heat_Backend[[#This Row],[Total (tCO2e)]]*(1+Buildings_Heat_Backend[[#This Row],[RSD]]))</f>
        <v/>
      </c>
      <c r="AO325" s="210" t="str">
        <f>IF(Buildings_Heat_Frontend[[#This Row],[Data]]="","", _xlfn.XLOOKUP(_xlfn.CONCAT(Buildings_Heat_Backend[[#This Row],[Level 1]:[Level 6]]),rng_EFConcat,rng_EFOOS)*Buildings_Heat_Backend[[#This Row],[Converted data]]/1000)</f>
        <v/>
      </c>
      <c r="AP325" s="174">
        <f>Buildings_Heat_Frontend[[#This Row],[Ease of collection]]</f>
        <v>0</v>
      </c>
      <c r="AQ325" s="174">
        <f>Buildings_Heat_Frontend[[#This Row],[Completeness]]</f>
        <v>0</v>
      </c>
      <c r="AR325" s="174">
        <f>Buildings_Heat_Frontend[[#This Row],[Notes]]</f>
        <v>0</v>
      </c>
    </row>
    <row r="326" spans="5:44" x14ac:dyDescent="0.3">
      <c r="E326" s="346"/>
      <c r="F326" s="364"/>
      <c r="G326" s="336"/>
      <c r="H326" s="336"/>
      <c r="I326" s="336"/>
      <c r="J326" s="334"/>
      <c r="K326" s="336"/>
      <c r="L326" s="336"/>
      <c r="M326" s="336"/>
      <c r="N326" s="352"/>
      <c r="O326" s="230">
        <f t="shared" si="14"/>
        <v>6</v>
      </c>
      <c r="Q326" s="212" t="str">
        <f t="shared" si="12"/>
        <v/>
      </c>
      <c r="R326" s="174" t="s">
        <v>265</v>
      </c>
      <c r="S326" s="174" t="s">
        <v>273</v>
      </c>
      <c r="T326" s="174" t="str">
        <f>IF(Buildings_Heat_Frontend[[#This Row],[Data]]="","", _xlfn.XLOOKUP(Buildings_Heat_Backend[[#This Row],[Info 1]],Buildings_SiteInfo[Site name],Buildings_SiteInfo[Site type]))</f>
        <v/>
      </c>
      <c r="U326" s="174" t="str">
        <f>IF(Buildings_Heat_Frontend[[#This Row],[Data]]="","", Buildings_Heat_Frontend[[#This Row],[Heating Type]])</f>
        <v/>
      </c>
      <c r="V326" s="174" t="str">
        <f>IF(Buildings_Heat_Frontend[[#This Row],[Data]]="","", Buildings_Heat_Frontend[[#This Row],[Fuel]])</f>
        <v/>
      </c>
      <c r="W326" s="174" t="str" cm="1">
        <f t="array" ref="W326">IF(Buildings_Heat_Frontend[[#This Row],[Data]]="","", _xlfn.XLOOKUP(Buildings_Heat_Backend[[#This Row],[Level 5]],rng_Level5Long,rng_Level6Long))</f>
        <v/>
      </c>
      <c r="X326" s="174" t="str">
        <f>IF(Buildings_Heat_Frontend[[#This Row],[Data]]="","", Buildings_Heat_Frontend[[#This Row],[Site Name]])</f>
        <v/>
      </c>
      <c r="Y326" s="174" t="str">
        <f>IF(Buildings_Heat_Frontend[[#This Row],[Data]]="","", Buildings_Heat_Frontend[[#This Row],[MPRN]])</f>
        <v/>
      </c>
      <c r="Z326" s="174" t="str">
        <f>IF(Buildings_Heat_Frontend[[#This Row],[Data]]="","", IF($I326="","",$I326))</f>
        <v/>
      </c>
      <c r="AA326" s="229" t="str" cm="1">
        <f t="array" ref="AA326">IF(Buildings_Heat_Frontend[[#This Row],[Data]]="","", INDEX(_xlfn.SWITCH(Buildings_Heat_Backend[[#This Row],[Methodology]],"Tier 1",rng_RSD1,"Tier 2",rng_RSD2,"Tier 3",rng_RSD3),MATCH(_xlfn.CONCAT(Buildings_Heat_Backend[[#This Row],[Level 1]:[Level 6]]),rng_LevelsConcat,0)))</f>
        <v/>
      </c>
      <c r="AB326" s="220" t="str">
        <f t="shared" si="13"/>
        <v/>
      </c>
      <c r="AC326" s="174">
        <f>Buildings_Heat_Frontend[[#This Row],[Units]]</f>
        <v>0</v>
      </c>
      <c r="AD32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6" s="174" t="str">
        <f>IF(Buildings_Heat_Frontend[[#This Row],[Data]]="","", _xlfn.XLOOKUP(_xlfn.CONCAT(Buildings_Heat_Backend[[#This Row],[Level 1]:[Level 6]]),rng_LevelsConcat,rng_UnitsLong))</f>
        <v/>
      </c>
      <c r="AF326" s="210" t="str">
        <f>IF(Buildings_Heat_Frontend[[#This Row],[Data]]="","", _xlfn.XLOOKUP(_xlfn.CONCAT(Buildings_Heat_Backend[[#This Row],[Level 1]:[Level 6]]),rng_EFConcat,rng_EF1)*Buildings_Heat_Backend[[#This Row],[Converted data]]/1000)</f>
        <v/>
      </c>
      <c r="AG326" s="210" t="str">
        <f>IF(Buildings_Heat_Frontend[[#This Row],[Data]]="","", _xlfn.XLOOKUP(_xlfn.CONCAT(Buildings_Heat_Backend[[#This Row],[Level 1]:[Level 6]]),rng_EFConcat,rng_EF2)*Buildings_Heat_Backend[[#This Row],[Converted data]]/1000)</f>
        <v/>
      </c>
      <c r="AH326" s="210" t="str">
        <f>IF(Buildings_Heat_Frontend[[#This Row],[Data]]="","", _xlfn.XLOOKUP(_xlfn.CONCAT(Buildings_Heat_Backend[[#This Row],[Level 1]:[Level 6]]),rng_EFConcat,rng_EF3)*Buildings_Heat_Backend[[#This Row],[Converted data]]/1000)</f>
        <v/>
      </c>
      <c r="AI326" s="210" t="str">
        <f>IF(Buildings_Heat_Frontend[[#This Row],[Data]]="","", _xlfn.XLOOKUP(_xlfn.CONCAT(Buildings_Heat_Backend[[#This Row],[Level 1]:[Level 6]]),rng_EFConcat,rng_EF3WTT)*Buildings_Heat_Backend[[#This Row],[Converted data]]/1000)</f>
        <v/>
      </c>
      <c r="AJ326" s="210" t="str">
        <f>IF(Buildings_Heat_Frontend[[#This Row],[Data]]="","", _xlfn.XLOOKUP(_xlfn.CONCAT(Buildings_Heat_Backend[[#This Row],[Level 1]:[Level 6]]),rng_EFConcat,rng_EF3TD)*Buildings_Heat_Backend[[#This Row],[Converted data]]/1000)</f>
        <v/>
      </c>
      <c r="AK326" s="210" t="str">
        <f>IF(Buildings_Heat_Frontend[[#This Row],[Data]]="","", _xlfn.XLOOKUP(_xlfn.CONCAT(Buildings_Heat_Backend[[#This Row],[Level 1]:[Level 6]]),rng_EFConcat,rng_EF3WTTTD)*Buildings_Heat_Backend[[#This Row],[Converted data]]/1000)</f>
        <v/>
      </c>
      <c r="AL326" s="220">
        <f>SUM(Buildings_Heat_Backend[[#This Row],[Scope 1 (tCO2e)]:[Scope 3 WTT T&amp;D (tCO2e)]])</f>
        <v>0</v>
      </c>
      <c r="AM326" s="220" t="str">
        <f>IF(Buildings_Heat_Frontend[[#This Row],[Data]]="","", Buildings_Heat_Backend[[#This Row],[Total (tCO2e)]]*(1-Buildings_Heat_Backend[[#This Row],[RSD]]))</f>
        <v/>
      </c>
      <c r="AN326" s="220" t="str">
        <f>IF(Buildings_Heat_Frontend[[#This Row],[Data]]="","", Buildings_Heat_Backend[[#This Row],[Total (tCO2e)]]*(1+Buildings_Heat_Backend[[#This Row],[RSD]]))</f>
        <v/>
      </c>
      <c r="AO326" s="210" t="str">
        <f>IF(Buildings_Heat_Frontend[[#This Row],[Data]]="","", _xlfn.XLOOKUP(_xlfn.CONCAT(Buildings_Heat_Backend[[#This Row],[Level 1]:[Level 6]]),rng_EFConcat,rng_EFOOS)*Buildings_Heat_Backend[[#This Row],[Converted data]]/1000)</f>
        <v/>
      </c>
      <c r="AP326" s="174">
        <f>Buildings_Heat_Frontend[[#This Row],[Ease of collection]]</f>
        <v>0</v>
      </c>
      <c r="AQ326" s="174">
        <f>Buildings_Heat_Frontend[[#This Row],[Completeness]]</f>
        <v>0</v>
      </c>
      <c r="AR326" s="174">
        <f>Buildings_Heat_Frontend[[#This Row],[Notes]]</f>
        <v>0</v>
      </c>
    </row>
    <row r="327" spans="5:44" x14ac:dyDescent="0.3">
      <c r="E327" s="346"/>
      <c r="F327" s="364"/>
      <c r="G327" s="336"/>
      <c r="H327" s="336"/>
      <c r="I327" s="336"/>
      <c r="J327" s="334"/>
      <c r="K327" s="336"/>
      <c r="L327" s="336"/>
      <c r="M327" s="336"/>
      <c r="N327" s="352"/>
      <c r="O327" s="230">
        <f t="shared" si="14"/>
        <v>6</v>
      </c>
      <c r="Q327" s="212" t="str">
        <f t="shared" si="12"/>
        <v/>
      </c>
      <c r="R327" s="174" t="s">
        <v>265</v>
      </c>
      <c r="S327" s="174" t="s">
        <v>273</v>
      </c>
      <c r="T327" s="174" t="str">
        <f>IF(Buildings_Heat_Frontend[[#This Row],[Data]]="","", _xlfn.XLOOKUP(Buildings_Heat_Backend[[#This Row],[Info 1]],Buildings_SiteInfo[Site name],Buildings_SiteInfo[Site type]))</f>
        <v/>
      </c>
      <c r="U327" s="174" t="str">
        <f>IF(Buildings_Heat_Frontend[[#This Row],[Data]]="","", Buildings_Heat_Frontend[[#This Row],[Heating Type]])</f>
        <v/>
      </c>
      <c r="V327" s="174" t="str">
        <f>IF(Buildings_Heat_Frontend[[#This Row],[Data]]="","", Buildings_Heat_Frontend[[#This Row],[Fuel]])</f>
        <v/>
      </c>
      <c r="W327" s="174" t="str" cm="1">
        <f t="array" ref="W327">IF(Buildings_Heat_Frontend[[#This Row],[Data]]="","", _xlfn.XLOOKUP(Buildings_Heat_Backend[[#This Row],[Level 5]],rng_Level5Long,rng_Level6Long))</f>
        <v/>
      </c>
      <c r="X327" s="174" t="str">
        <f>IF(Buildings_Heat_Frontend[[#This Row],[Data]]="","", Buildings_Heat_Frontend[[#This Row],[Site Name]])</f>
        <v/>
      </c>
      <c r="Y327" s="174" t="str">
        <f>IF(Buildings_Heat_Frontend[[#This Row],[Data]]="","", Buildings_Heat_Frontend[[#This Row],[MPRN]])</f>
        <v/>
      </c>
      <c r="Z327" s="174" t="str">
        <f>IF(Buildings_Heat_Frontend[[#This Row],[Data]]="","", IF($I327="","",$I327))</f>
        <v/>
      </c>
      <c r="AA327" s="229" t="str" cm="1">
        <f t="array" ref="AA327">IF(Buildings_Heat_Frontend[[#This Row],[Data]]="","", INDEX(_xlfn.SWITCH(Buildings_Heat_Backend[[#This Row],[Methodology]],"Tier 1",rng_RSD1,"Tier 2",rng_RSD2,"Tier 3",rng_RSD3),MATCH(_xlfn.CONCAT(Buildings_Heat_Backend[[#This Row],[Level 1]:[Level 6]]),rng_LevelsConcat,0)))</f>
        <v/>
      </c>
      <c r="AB327" s="220" t="str">
        <f t="shared" si="13"/>
        <v/>
      </c>
      <c r="AC327" s="174">
        <f>Buildings_Heat_Frontend[[#This Row],[Units]]</f>
        <v>0</v>
      </c>
      <c r="AD32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7" s="174" t="str">
        <f>IF(Buildings_Heat_Frontend[[#This Row],[Data]]="","", _xlfn.XLOOKUP(_xlfn.CONCAT(Buildings_Heat_Backend[[#This Row],[Level 1]:[Level 6]]),rng_LevelsConcat,rng_UnitsLong))</f>
        <v/>
      </c>
      <c r="AF327" s="210" t="str">
        <f>IF(Buildings_Heat_Frontend[[#This Row],[Data]]="","", _xlfn.XLOOKUP(_xlfn.CONCAT(Buildings_Heat_Backend[[#This Row],[Level 1]:[Level 6]]),rng_EFConcat,rng_EF1)*Buildings_Heat_Backend[[#This Row],[Converted data]]/1000)</f>
        <v/>
      </c>
      <c r="AG327" s="210" t="str">
        <f>IF(Buildings_Heat_Frontend[[#This Row],[Data]]="","", _xlfn.XLOOKUP(_xlfn.CONCAT(Buildings_Heat_Backend[[#This Row],[Level 1]:[Level 6]]),rng_EFConcat,rng_EF2)*Buildings_Heat_Backend[[#This Row],[Converted data]]/1000)</f>
        <v/>
      </c>
      <c r="AH327" s="210" t="str">
        <f>IF(Buildings_Heat_Frontend[[#This Row],[Data]]="","", _xlfn.XLOOKUP(_xlfn.CONCAT(Buildings_Heat_Backend[[#This Row],[Level 1]:[Level 6]]),rng_EFConcat,rng_EF3)*Buildings_Heat_Backend[[#This Row],[Converted data]]/1000)</f>
        <v/>
      </c>
      <c r="AI327" s="210" t="str">
        <f>IF(Buildings_Heat_Frontend[[#This Row],[Data]]="","", _xlfn.XLOOKUP(_xlfn.CONCAT(Buildings_Heat_Backend[[#This Row],[Level 1]:[Level 6]]),rng_EFConcat,rng_EF3WTT)*Buildings_Heat_Backend[[#This Row],[Converted data]]/1000)</f>
        <v/>
      </c>
      <c r="AJ327" s="210" t="str">
        <f>IF(Buildings_Heat_Frontend[[#This Row],[Data]]="","", _xlfn.XLOOKUP(_xlfn.CONCAT(Buildings_Heat_Backend[[#This Row],[Level 1]:[Level 6]]),rng_EFConcat,rng_EF3TD)*Buildings_Heat_Backend[[#This Row],[Converted data]]/1000)</f>
        <v/>
      </c>
      <c r="AK327" s="210" t="str">
        <f>IF(Buildings_Heat_Frontend[[#This Row],[Data]]="","", _xlfn.XLOOKUP(_xlfn.CONCAT(Buildings_Heat_Backend[[#This Row],[Level 1]:[Level 6]]),rng_EFConcat,rng_EF3WTTTD)*Buildings_Heat_Backend[[#This Row],[Converted data]]/1000)</f>
        <v/>
      </c>
      <c r="AL327" s="220">
        <f>SUM(Buildings_Heat_Backend[[#This Row],[Scope 1 (tCO2e)]:[Scope 3 WTT T&amp;D (tCO2e)]])</f>
        <v>0</v>
      </c>
      <c r="AM327" s="220" t="str">
        <f>IF(Buildings_Heat_Frontend[[#This Row],[Data]]="","", Buildings_Heat_Backend[[#This Row],[Total (tCO2e)]]*(1-Buildings_Heat_Backend[[#This Row],[RSD]]))</f>
        <v/>
      </c>
      <c r="AN327" s="220" t="str">
        <f>IF(Buildings_Heat_Frontend[[#This Row],[Data]]="","", Buildings_Heat_Backend[[#This Row],[Total (tCO2e)]]*(1+Buildings_Heat_Backend[[#This Row],[RSD]]))</f>
        <v/>
      </c>
      <c r="AO327" s="210" t="str">
        <f>IF(Buildings_Heat_Frontend[[#This Row],[Data]]="","", _xlfn.XLOOKUP(_xlfn.CONCAT(Buildings_Heat_Backend[[#This Row],[Level 1]:[Level 6]]),rng_EFConcat,rng_EFOOS)*Buildings_Heat_Backend[[#This Row],[Converted data]]/1000)</f>
        <v/>
      </c>
      <c r="AP327" s="174">
        <f>Buildings_Heat_Frontend[[#This Row],[Ease of collection]]</f>
        <v>0</v>
      </c>
      <c r="AQ327" s="174">
        <f>Buildings_Heat_Frontend[[#This Row],[Completeness]]</f>
        <v>0</v>
      </c>
      <c r="AR327" s="174">
        <f>Buildings_Heat_Frontend[[#This Row],[Notes]]</f>
        <v>0</v>
      </c>
    </row>
    <row r="328" spans="5:44" x14ac:dyDescent="0.3">
      <c r="E328" s="346"/>
      <c r="F328" s="364"/>
      <c r="G328" s="336"/>
      <c r="H328" s="336"/>
      <c r="I328" s="336"/>
      <c r="J328" s="334"/>
      <c r="K328" s="336"/>
      <c r="L328" s="336"/>
      <c r="M328" s="336"/>
      <c r="N328" s="352"/>
      <c r="O328" s="230">
        <f t="shared" si="14"/>
        <v>6</v>
      </c>
      <c r="Q328" s="212" t="str">
        <f t="shared" si="12"/>
        <v/>
      </c>
      <c r="R328" s="174" t="s">
        <v>265</v>
      </c>
      <c r="S328" s="174" t="s">
        <v>273</v>
      </c>
      <c r="T328" s="174" t="str">
        <f>IF(Buildings_Heat_Frontend[[#This Row],[Data]]="","", _xlfn.XLOOKUP(Buildings_Heat_Backend[[#This Row],[Info 1]],Buildings_SiteInfo[Site name],Buildings_SiteInfo[Site type]))</f>
        <v/>
      </c>
      <c r="U328" s="174" t="str">
        <f>IF(Buildings_Heat_Frontend[[#This Row],[Data]]="","", Buildings_Heat_Frontend[[#This Row],[Heating Type]])</f>
        <v/>
      </c>
      <c r="V328" s="174" t="str">
        <f>IF(Buildings_Heat_Frontend[[#This Row],[Data]]="","", Buildings_Heat_Frontend[[#This Row],[Fuel]])</f>
        <v/>
      </c>
      <c r="W328" s="174" t="str" cm="1">
        <f t="array" ref="W328">IF(Buildings_Heat_Frontend[[#This Row],[Data]]="","", _xlfn.XLOOKUP(Buildings_Heat_Backend[[#This Row],[Level 5]],rng_Level5Long,rng_Level6Long))</f>
        <v/>
      </c>
      <c r="X328" s="174" t="str">
        <f>IF(Buildings_Heat_Frontend[[#This Row],[Data]]="","", Buildings_Heat_Frontend[[#This Row],[Site Name]])</f>
        <v/>
      </c>
      <c r="Y328" s="174" t="str">
        <f>IF(Buildings_Heat_Frontend[[#This Row],[Data]]="","", Buildings_Heat_Frontend[[#This Row],[MPRN]])</f>
        <v/>
      </c>
      <c r="Z328" s="174" t="str">
        <f>IF(Buildings_Heat_Frontend[[#This Row],[Data]]="","", IF($I328="","",$I328))</f>
        <v/>
      </c>
      <c r="AA328" s="229" t="str" cm="1">
        <f t="array" ref="AA328">IF(Buildings_Heat_Frontend[[#This Row],[Data]]="","", INDEX(_xlfn.SWITCH(Buildings_Heat_Backend[[#This Row],[Methodology]],"Tier 1",rng_RSD1,"Tier 2",rng_RSD2,"Tier 3",rng_RSD3),MATCH(_xlfn.CONCAT(Buildings_Heat_Backend[[#This Row],[Level 1]:[Level 6]]),rng_LevelsConcat,0)))</f>
        <v/>
      </c>
      <c r="AB328" s="220" t="str">
        <f t="shared" si="13"/>
        <v/>
      </c>
      <c r="AC328" s="174">
        <f>Buildings_Heat_Frontend[[#This Row],[Units]]</f>
        <v>0</v>
      </c>
      <c r="AD32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8" s="174" t="str">
        <f>IF(Buildings_Heat_Frontend[[#This Row],[Data]]="","", _xlfn.XLOOKUP(_xlfn.CONCAT(Buildings_Heat_Backend[[#This Row],[Level 1]:[Level 6]]),rng_LevelsConcat,rng_UnitsLong))</f>
        <v/>
      </c>
      <c r="AF328" s="210" t="str">
        <f>IF(Buildings_Heat_Frontend[[#This Row],[Data]]="","", _xlfn.XLOOKUP(_xlfn.CONCAT(Buildings_Heat_Backend[[#This Row],[Level 1]:[Level 6]]),rng_EFConcat,rng_EF1)*Buildings_Heat_Backend[[#This Row],[Converted data]]/1000)</f>
        <v/>
      </c>
      <c r="AG328" s="210" t="str">
        <f>IF(Buildings_Heat_Frontend[[#This Row],[Data]]="","", _xlfn.XLOOKUP(_xlfn.CONCAT(Buildings_Heat_Backend[[#This Row],[Level 1]:[Level 6]]),rng_EFConcat,rng_EF2)*Buildings_Heat_Backend[[#This Row],[Converted data]]/1000)</f>
        <v/>
      </c>
      <c r="AH328" s="210" t="str">
        <f>IF(Buildings_Heat_Frontend[[#This Row],[Data]]="","", _xlfn.XLOOKUP(_xlfn.CONCAT(Buildings_Heat_Backend[[#This Row],[Level 1]:[Level 6]]),rng_EFConcat,rng_EF3)*Buildings_Heat_Backend[[#This Row],[Converted data]]/1000)</f>
        <v/>
      </c>
      <c r="AI328" s="210" t="str">
        <f>IF(Buildings_Heat_Frontend[[#This Row],[Data]]="","", _xlfn.XLOOKUP(_xlfn.CONCAT(Buildings_Heat_Backend[[#This Row],[Level 1]:[Level 6]]),rng_EFConcat,rng_EF3WTT)*Buildings_Heat_Backend[[#This Row],[Converted data]]/1000)</f>
        <v/>
      </c>
      <c r="AJ328" s="210" t="str">
        <f>IF(Buildings_Heat_Frontend[[#This Row],[Data]]="","", _xlfn.XLOOKUP(_xlfn.CONCAT(Buildings_Heat_Backend[[#This Row],[Level 1]:[Level 6]]),rng_EFConcat,rng_EF3TD)*Buildings_Heat_Backend[[#This Row],[Converted data]]/1000)</f>
        <v/>
      </c>
      <c r="AK328" s="210" t="str">
        <f>IF(Buildings_Heat_Frontend[[#This Row],[Data]]="","", _xlfn.XLOOKUP(_xlfn.CONCAT(Buildings_Heat_Backend[[#This Row],[Level 1]:[Level 6]]),rng_EFConcat,rng_EF3WTTTD)*Buildings_Heat_Backend[[#This Row],[Converted data]]/1000)</f>
        <v/>
      </c>
      <c r="AL328" s="220">
        <f>SUM(Buildings_Heat_Backend[[#This Row],[Scope 1 (tCO2e)]:[Scope 3 WTT T&amp;D (tCO2e)]])</f>
        <v>0</v>
      </c>
      <c r="AM328" s="220" t="str">
        <f>IF(Buildings_Heat_Frontend[[#This Row],[Data]]="","", Buildings_Heat_Backend[[#This Row],[Total (tCO2e)]]*(1-Buildings_Heat_Backend[[#This Row],[RSD]]))</f>
        <v/>
      </c>
      <c r="AN328" s="220" t="str">
        <f>IF(Buildings_Heat_Frontend[[#This Row],[Data]]="","", Buildings_Heat_Backend[[#This Row],[Total (tCO2e)]]*(1+Buildings_Heat_Backend[[#This Row],[RSD]]))</f>
        <v/>
      </c>
      <c r="AO328" s="210" t="str">
        <f>IF(Buildings_Heat_Frontend[[#This Row],[Data]]="","", _xlfn.XLOOKUP(_xlfn.CONCAT(Buildings_Heat_Backend[[#This Row],[Level 1]:[Level 6]]),rng_EFConcat,rng_EFOOS)*Buildings_Heat_Backend[[#This Row],[Converted data]]/1000)</f>
        <v/>
      </c>
      <c r="AP328" s="174">
        <f>Buildings_Heat_Frontend[[#This Row],[Ease of collection]]</f>
        <v>0</v>
      </c>
      <c r="AQ328" s="174">
        <f>Buildings_Heat_Frontend[[#This Row],[Completeness]]</f>
        <v>0</v>
      </c>
      <c r="AR328" s="174">
        <f>Buildings_Heat_Frontend[[#This Row],[Notes]]</f>
        <v>0</v>
      </c>
    </row>
    <row r="329" spans="5:44" x14ac:dyDescent="0.3">
      <c r="E329" s="346"/>
      <c r="F329" s="364"/>
      <c r="G329" s="336"/>
      <c r="H329" s="336"/>
      <c r="I329" s="336"/>
      <c r="J329" s="334"/>
      <c r="K329" s="336"/>
      <c r="L329" s="336"/>
      <c r="M329" s="336"/>
      <c r="N329" s="352"/>
      <c r="O329" s="230">
        <f t="shared" si="14"/>
        <v>6</v>
      </c>
      <c r="Q329" s="212" t="str">
        <f t="shared" si="12"/>
        <v/>
      </c>
      <c r="R329" s="174" t="s">
        <v>265</v>
      </c>
      <c r="S329" s="174" t="s">
        <v>273</v>
      </c>
      <c r="T329" s="174" t="str">
        <f>IF(Buildings_Heat_Frontend[[#This Row],[Data]]="","", _xlfn.XLOOKUP(Buildings_Heat_Backend[[#This Row],[Info 1]],Buildings_SiteInfo[Site name],Buildings_SiteInfo[Site type]))</f>
        <v/>
      </c>
      <c r="U329" s="174" t="str">
        <f>IF(Buildings_Heat_Frontend[[#This Row],[Data]]="","", Buildings_Heat_Frontend[[#This Row],[Heating Type]])</f>
        <v/>
      </c>
      <c r="V329" s="174" t="str">
        <f>IF(Buildings_Heat_Frontend[[#This Row],[Data]]="","", Buildings_Heat_Frontend[[#This Row],[Fuel]])</f>
        <v/>
      </c>
      <c r="W329" s="174" t="str" cm="1">
        <f t="array" ref="W329">IF(Buildings_Heat_Frontend[[#This Row],[Data]]="","", _xlfn.XLOOKUP(Buildings_Heat_Backend[[#This Row],[Level 5]],rng_Level5Long,rng_Level6Long))</f>
        <v/>
      </c>
      <c r="X329" s="174" t="str">
        <f>IF(Buildings_Heat_Frontend[[#This Row],[Data]]="","", Buildings_Heat_Frontend[[#This Row],[Site Name]])</f>
        <v/>
      </c>
      <c r="Y329" s="174" t="str">
        <f>IF(Buildings_Heat_Frontend[[#This Row],[Data]]="","", Buildings_Heat_Frontend[[#This Row],[MPRN]])</f>
        <v/>
      </c>
      <c r="Z329" s="174" t="str">
        <f>IF(Buildings_Heat_Frontend[[#This Row],[Data]]="","", IF($I329="","",$I329))</f>
        <v/>
      </c>
      <c r="AA329" s="229" t="str" cm="1">
        <f t="array" ref="AA329">IF(Buildings_Heat_Frontend[[#This Row],[Data]]="","", INDEX(_xlfn.SWITCH(Buildings_Heat_Backend[[#This Row],[Methodology]],"Tier 1",rng_RSD1,"Tier 2",rng_RSD2,"Tier 3",rng_RSD3),MATCH(_xlfn.CONCAT(Buildings_Heat_Backend[[#This Row],[Level 1]:[Level 6]]),rng_LevelsConcat,0)))</f>
        <v/>
      </c>
      <c r="AB329" s="220" t="str">
        <f t="shared" si="13"/>
        <v/>
      </c>
      <c r="AC329" s="174">
        <f>Buildings_Heat_Frontend[[#This Row],[Units]]</f>
        <v>0</v>
      </c>
      <c r="AD32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29" s="174" t="str">
        <f>IF(Buildings_Heat_Frontend[[#This Row],[Data]]="","", _xlfn.XLOOKUP(_xlfn.CONCAT(Buildings_Heat_Backend[[#This Row],[Level 1]:[Level 6]]),rng_LevelsConcat,rng_UnitsLong))</f>
        <v/>
      </c>
      <c r="AF329" s="210" t="str">
        <f>IF(Buildings_Heat_Frontend[[#This Row],[Data]]="","", _xlfn.XLOOKUP(_xlfn.CONCAT(Buildings_Heat_Backend[[#This Row],[Level 1]:[Level 6]]),rng_EFConcat,rng_EF1)*Buildings_Heat_Backend[[#This Row],[Converted data]]/1000)</f>
        <v/>
      </c>
      <c r="AG329" s="210" t="str">
        <f>IF(Buildings_Heat_Frontend[[#This Row],[Data]]="","", _xlfn.XLOOKUP(_xlfn.CONCAT(Buildings_Heat_Backend[[#This Row],[Level 1]:[Level 6]]),rng_EFConcat,rng_EF2)*Buildings_Heat_Backend[[#This Row],[Converted data]]/1000)</f>
        <v/>
      </c>
      <c r="AH329" s="210" t="str">
        <f>IF(Buildings_Heat_Frontend[[#This Row],[Data]]="","", _xlfn.XLOOKUP(_xlfn.CONCAT(Buildings_Heat_Backend[[#This Row],[Level 1]:[Level 6]]),rng_EFConcat,rng_EF3)*Buildings_Heat_Backend[[#This Row],[Converted data]]/1000)</f>
        <v/>
      </c>
      <c r="AI329" s="210" t="str">
        <f>IF(Buildings_Heat_Frontend[[#This Row],[Data]]="","", _xlfn.XLOOKUP(_xlfn.CONCAT(Buildings_Heat_Backend[[#This Row],[Level 1]:[Level 6]]),rng_EFConcat,rng_EF3WTT)*Buildings_Heat_Backend[[#This Row],[Converted data]]/1000)</f>
        <v/>
      </c>
      <c r="AJ329" s="210" t="str">
        <f>IF(Buildings_Heat_Frontend[[#This Row],[Data]]="","", _xlfn.XLOOKUP(_xlfn.CONCAT(Buildings_Heat_Backend[[#This Row],[Level 1]:[Level 6]]),rng_EFConcat,rng_EF3TD)*Buildings_Heat_Backend[[#This Row],[Converted data]]/1000)</f>
        <v/>
      </c>
      <c r="AK329" s="210" t="str">
        <f>IF(Buildings_Heat_Frontend[[#This Row],[Data]]="","", _xlfn.XLOOKUP(_xlfn.CONCAT(Buildings_Heat_Backend[[#This Row],[Level 1]:[Level 6]]),rng_EFConcat,rng_EF3WTTTD)*Buildings_Heat_Backend[[#This Row],[Converted data]]/1000)</f>
        <v/>
      </c>
      <c r="AL329" s="220">
        <f>SUM(Buildings_Heat_Backend[[#This Row],[Scope 1 (tCO2e)]:[Scope 3 WTT T&amp;D (tCO2e)]])</f>
        <v>0</v>
      </c>
      <c r="AM329" s="220" t="str">
        <f>IF(Buildings_Heat_Frontend[[#This Row],[Data]]="","", Buildings_Heat_Backend[[#This Row],[Total (tCO2e)]]*(1-Buildings_Heat_Backend[[#This Row],[RSD]]))</f>
        <v/>
      </c>
      <c r="AN329" s="220" t="str">
        <f>IF(Buildings_Heat_Frontend[[#This Row],[Data]]="","", Buildings_Heat_Backend[[#This Row],[Total (tCO2e)]]*(1+Buildings_Heat_Backend[[#This Row],[RSD]]))</f>
        <v/>
      </c>
      <c r="AO329" s="210" t="str">
        <f>IF(Buildings_Heat_Frontend[[#This Row],[Data]]="","", _xlfn.XLOOKUP(_xlfn.CONCAT(Buildings_Heat_Backend[[#This Row],[Level 1]:[Level 6]]),rng_EFConcat,rng_EFOOS)*Buildings_Heat_Backend[[#This Row],[Converted data]]/1000)</f>
        <v/>
      </c>
      <c r="AP329" s="174">
        <f>Buildings_Heat_Frontend[[#This Row],[Ease of collection]]</f>
        <v>0</v>
      </c>
      <c r="AQ329" s="174">
        <f>Buildings_Heat_Frontend[[#This Row],[Completeness]]</f>
        <v>0</v>
      </c>
      <c r="AR329" s="174">
        <f>Buildings_Heat_Frontend[[#This Row],[Notes]]</f>
        <v>0</v>
      </c>
    </row>
    <row r="330" spans="5:44" x14ac:dyDescent="0.3">
      <c r="E330" s="346"/>
      <c r="F330" s="364"/>
      <c r="G330" s="336"/>
      <c r="H330" s="336"/>
      <c r="I330" s="336"/>
      <c r="J330" s="334"/>
      <c r="K330" s="336"/>
      <c r="L330" s="336"/>
      <c r="M330" s="336"/>
      <c r="N330" s="352"/>
      <c r="O330" s="230">
        <f t="shared" si="14"/>
        <v>6</v>
      </c>
      <c r="Q330" s="212" t="str">
        <f t="shared" si="12"/>
        <v/>
      </c>
      <c r="R330" s="174" t="s">
        <v>265</v>
      </c>
      <c r="S330" s="174" t="s">
        <v>273</v>
      </c>
      <c r="T330" s="174" t="str">
        <f>IF(Buildings_Heat_Frontend[[#This Row],[Data]]="","", _xlfn.XLOOKUP(Buildings_Heat_Backend[[#This Row],[Info 1]],Buildings_SiteInfo[Site name],Buildings_SiteInfo[Site type]))</f>
        <v/>
      </c>
      <c r="U330" s="174" t="str">
        <f>IF(Buildings_Heat_Frontend[[#This Row],[Data]]="","", Buildings_Heat_Frontend[[#This Row],[Heating Type]])</f>
        <v/>
      </c>
      <c r="V330" s="174" t="str">
        <f>IF(Buildings_Heat_Frontend[[#This Row],[Data]]="","", Buildings_Heat_Frontend[[#This Row],[Fuel]])</f>
        <v/>
      </c>
      <c r="W330" s="174" t="str" cm="1">
        <f t="array" ref="W330">IF(Buildings_Heat_Frontend[[#This Row],[Data]]="","", _xlfn.XLOOKUP(Buildings_Heat_Backend[[#This Row],[Level 5]],rng_Level5Long,rng_Level6Long))</f>
        <v/>
      </c>
      <c r="X330" s="174" t="str">
        <f>IF(Buildings_Heat_Frontend[[#This Row],[Data]]="","", Buildings_Heat_Frontend[[#This Row],[Site Name]])</f>
        <v/>
      </c>
      <c r="Y330" s="174" t="str">
        <f>IF(Buildings_Heat_Frontend[[#This Row],[Data]]="","", Buildings_Heat_Frontend[[#This Row],[MPRN]])</f>
        <v/>
      </c>
      <c r="Z330" s="174" t="str">
        <f>IF(Buildings_Heat_Frontend[[#This Row],[Data]]="","", IF($I330="","",$I330))</f>
        <v/>
      </c>
      <c r="AA330" s="229" t="str" cm="1">
        <f t="array" ref="AA330">IF(Buildings_Heat_Frontend[[#This Row],[Data]]="","", INDEX(_xlfn.SWITCH(Buildings_Heat_Backend[[#This Row],[Methodology]],"Tier 1",rng_RSD1,"Tier 2",rng_RSD2,"Tier 3",rng_RSD3),MATCH(_xlfn.CONCAT(Buildings_Heat_Backend[[#This Row],[Level 1]:[Level 6]]),rng_LevelsConcat,0)))</f>
        <v/>
      </c>
      <c r="AB330" s="220" t="str">
        <f t="shared" si="13"/>
        <v/>
      </c>
      <c r="AC330" s="174">
        <f>Buildings_Heat_Frontend[[#This Row],[Units]]</f>
        <v>0</v>
      </c>
      <c r="AD33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0" s="174" t="str">
        <f>IF(Buildings_Heat_Frontend[[#This Row],[Data]]="","", _xlfn.XLOOKUP(_xlfn.CONCAT(Buildings_Heat_Backend[[#This Row],[Level 1]:[Level 6]]),rng_LevelsConcat,rng_UnitsLong))</f>
        <v/>
      </c>
      <c r="AF330" s="210" t="str">
        <f>IF(Buildings_Heat_Frontend[[#This Row],[Data]]="","", _xlfn.XLOOKUP(_xlfn.CONCAT(Buildings_Heat_Backend[[#This Row],[Level 1]:[Level 6]]),rng_EFConcat,rng_EF1)*Buildings_Heat_Backend[[#This Row],[Converted data]]/1000)</f>
        <v/>
      </c>
      <c r="AG330" s="210" t="str">
        <f>IF(Buildings_Heat_Frontend[[#This Row],[Data]]="","", _xlfn.XLOOKUP(_xlfn.CONCAT(Buildings_Heat_Backend[[#This Row],[Level 1]:[Level 6]]),rng_EFConcat,rng_EF2)*Buildings_Heat_Backend[[#This Row],[Converted data]]/1000)</f>
        <v/>
      </c>
      <c r="AH330" s="210" t="str">
        <f>IF(Buildings_Heat_Frontend[[#This Row],[Data]]="","", _xlfn.XLOOKUP(_xlfn.CONCAT(Buildings_Heat_Backend[[#This Row],[Level 1]:[Level 6]]),rng_EFConcat,rng_EF3)*Buildings_Heat_Backend[[#This Row],[Converted data]]/1000)</f>
        <v/>
      </c>
      <c r="AI330" s="210" t="str">
        <f>IF(Buildings_Heat_Frontend[[#This Row],[Data]]="","", _xlfn.XLOOKUP(_xlfn.CONCAT(Buildings_Heat_Backend[[#This Row],[Level 1]:[Level 6]]),rng_EFConcat,rng_EF3WTT)*Buildings_Heat_Backend[[#This Row],[Converted data]]/1000)</f>
        <v/>
      </c>
      <c r="AJ330" s="210" t="str">
        <f>IF(Buildings_Heat_Frontend[[#This Row],[Data]]="","", _xlfn.XLOOKUP(_xlfn.CONCAT(Buildings_Heat_Backend[[#This Row],[Level 1]:[Level 6]]),rng_EFConcat,rng_EF3TD)*Buildings_Heat_Backend[[#This Row],[Converted data]]/1000)</f>
        <v/>
      </c>
      <c r="AK330" s="210" t="str">
        <f>IF(Buildings_Heat_Frontend[[#This Row],[Data]]="","", _xlfn.XLOOKUP(_xlfn.CONCAT(Buildings_Heat_Backend[[#This Row],[Level 1]:[Level 6]]),rng_EFConcat,rng_EF3WTTTD)*Buildings_Heat_Backend[[#This Row],[Converted data]]/1000)</f>
        <v/>
      </c>
      <c r="AL330" s="220">
        <f>SUM(Buildings_Heat_Backend[[#This Row],[Scope 1 (tCO2e)]:[Scope 3 WTT T&amp;D (tCO2e)]])</f>
        <v>0</v>
      </c>
      <c r="AM330" s="220" t="str">
        <f>IF(Buildings_Heat_Frontend[[#This Row],[Data]]="","", Buildings_Heat_Backend[[#This Row],[Total (tCO2e)]]*(1-Buildings_Heat_Backend[[#This Row],[RSD]]))</f>
        <v/>
      </c>
      <c r="AN330" s="220" t="str">
        <f>IF(Buildings_Heat_Frontend[[#This Row],[Data]]="","", Buildings_Heat_Backend[[#This Row],[Total (tCO2e)]]*(1+Buildings_Heat_Backend[[#This Row],[RSD]]))</f>
        <v/>
      </c>
      <c r="AO330" s="210" t="str">
        <f>IF(Buildings_Heat_Frontend[[#This Row],[Data]]="","", _xlfn.XLOOKUP(_xlfn.CONCAT(Buildings_Heat_Backend[[#This Row],[Level 1]:[Level 6]]),rng_EFConcat,rng_EFOOS)*Buildings_Heat_Backend[[#This Row],[Converted data]]/1000)</f>
        <v/>
      </c>
      <c r="AP330" s="174">
        <f>Buildings_Heat_Frontend[[#This Row],[Ease of collection]]</f>
        <v>0</v>
      </c>
      <c r="AQ330" s="174">
        <f>Buildings_Heat_Frontend[[#This Row],[Completeness]]</f>
        <v>0</v>
      </c>
      <c r="AR330" s="174">
        <f>Buildings_Heat_Frontend[[#This Row],[Notes]]</f>
        <v>0</v>
      </c>
    </row>
    <row r="331" spans="5:44" x14ac:dyDescent="0.3">
      <c r="E331" s="346"/>
      <c r="F331" s="364"/>
      <c r="G331" s="336"/>
      <c r="H331" s="336"/>
      <c r="I331" s="336"/>
      <c r="J331" s="334"/>
      <c r="K331" s="336"/>
      <c r="L331" s="336"/>
      <c r="M331" s="336"/>
      <c r="N331" s="352"/>
      <c r="O331" s="230">
        <f t="shared" si="14"/>
        <v>6</v>
      </c>
      <c r="Q331" s="212" t="str">
        <f t="shared" si="12"/>
        <v/>
      </c>
      <c r="R331" s="174" t="s">
        <v>265</v>
      </c>
      <c r="S331" s="174" t="s">
        <v>273</v>
      </c>
      <c r="T331" s="174" t="str">
        <f>IF(Buildings_Heat_Frontend[[#This Row],[Data]]="","", _xlfn.XLOOKUP(Buildings_Heat_Backend[[#This Row],[Info 1]],Buildings_SiteInfo[Site name],Buildings_SiteInfo[Site type]))</f>
        <v/>
      </c>
      <c r="U331" s="174" t="str">
        <f>IF(Buildings_Heat_Frontend[[#This Row],[Data]]="","", Buildings_Heat_Frontend[[#This Row],[Heating Type]])</f>
        <v/>
      </c>
      <c r="V331" s="174" t="str">
        <f>IF(Buildings_Heat_Frontend[[#This Row],[Data]]="","", Buildings_Heat_Frontend[[#This Row],[Fuel]])</f>
        <v/>
      </c>
      <c r="W331" s="174" t="str" cm="1">
        <f t="array" ref="W331">IF(Buildings_Heat_Frontend[[#This Row],[Data]]="","", _xlfn.XLOOKUP(Buildings_Heat_Backend[[#This Row],[Level 5]],rng_Level5Long,rng_Level6Long))</f>
        <v/>
      </c>
      <c r="X331" s="174" t="str">
        <f>IF(Buildings_Heat_Frontend[[#This Row],[Data]]="","", Buildings_Heat_Frontend[[#This Row],[Site Name]])</f>
        <v/>
      </c>
      <c r="Y331" s="174" t="str">
        <f>IF(Buildings_Heat_Frontend[[#This Row],[Data]]="","", Buildings_Heat_Frontend[[#This Row],[MPRN]])</f>
        <v/>
      </c>
      <c r="Z331" s="174" t="str">
        <f>IF(Buildings_Heat_Frontend[[#This Row],[Data]]="","", IF($I331="","",$I331))</f>
        <v/>
      </c>
      <c r="AA331" s="229" t="str" cm="1">
        <f t="array" ref="AA331">IF(Buildings_Heat_Frontend[[#This Row],[Data]]="","", INDEX(_xlfn.SWITCH(Buildings_Heat_Backend[[#This Row],[Methodology]],"Tier 1",rng_RSD1,"Tier 2",rng_RSD2,"Tier 3",rng_RSD3),MATCH(_xlfn.CONCAT(Buildings_Heat_Backend[[#This Row],[Level 1]:[Level 6]]),rng_LevelsConcat,0)))</f>
        <v/>
      </c>
      <c r="AB331" s="220" t="str">
        <f t="shared" si="13"/>
        <v/>
      </c>
      <c r="AC331" s="174">
        <f>Buildings_Heat_Frontend[[#This Row],[Units]]</f>
        <v>0</v>
      </c>
      <c r="AD33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1" s="174" t="str">
        <f>IF(Buildings_Heat_Frontend[[#This Row],[Data]]="","", _xlfn.XLOOKUP(_xlfn.CONCAT(Buildings_Heat_Backend[[#This Row],[Level 1]:[Level 6]]),rng_LevelsConcat,rng_UnitsLong))</f>
        <v/>
      </c>
      <c r="AF331" s="210" t="str">
        <f>IF(Buildings_Heat_Frontend[[#This Row],[Data]]="","", _xlfn.XLOOKUP(_xlfn.CONCAT(Buildings_Heat_Backend[[#This Row],[Level 1]:[Level 6]]),rng_EFConcat,rng_EF1)*Buildings_Heat_Backend[[#This Row],[Converted data]]/1000)</f>
        <v/>
      </c>
      <c r="AG331" s="210" t="str">
        <f>IF(Buildings_Heat_Frontend[[#This Row],[Data]]="","", _xlfn.XLOOKUP(_xlfn.CONCAT(Buildings_Heat_Backend[[#This Row],[Level 1]:[Level 6]]),rng_EFConcat,rng_EF2)*Buildings_Heat_Backend[[#This Row],[Converted data]]/1000)</f>
        <v/>
      </c>
      <c r="AH331" s="210" t="str">
        <f>IF(Buildings_Heat_Frontend[[#This Row],[Data]]="","", _xlfn.XLOOKUP(_xlfn.CONCAT(Buildings_Heat_Backend[[#This Row],[Level 1]:[Level 6]]),rng_EFConcat,rng_EF3)*Buildings_Heat_Backend[[#This Row],[Converted data]]/1000)</f>
        <v/>
      </c>
      <c r="AI331" s="210" t="str">
        <f>IF(Buildings_Heat_Frontend[[#This Row],[Data]]="","", _xlfn.XLOOKUP(_xlfn.CONCAT(Buildings_Heat_Backend[[#This Row],[Level 1]:[Level 6]]),rng_EFConcat,rng_EF3WTT)*Buildings_Heat_Backend[[#This Row],[Converted data]]/1000)</f>
        <v/>
      </c>
      <c r="AJ331" s="210" t="str">
        <f>IF(Buildings_Heat_Frontend[[#This Row],[Data]]="","", _xlfn.XLOOKUP(_xlfn.CONCAT(Buildings_Heat_Backend[[#This Row],[Level 1]:[Level 6]]),rng_EFConcat,rng_EF3TD)*Buildings_Heat_Backend[[#This Row],[Converted data]]/1000)</f>
        <v/>
      </c>
      <c r="AK331" s="210" t="str">
        <f>IF(Buildings_Heat_Frontend[[#This Row],[Data]]="","", _xlfn.XLOOKUP(_xlfn.CONCAT(Buildings_Heat_Backend[[#This Row],[Level 1]:[Level 6]]),rng_EFConcat,rng_EF3WTTTD)*Buildings_Heat_Backend[[#This Row],[Converted data]]/1000)</f>
        <v/>
      </c>
      <c r="AL331" s="220">
        <f>SUM(Buildings_Heat_Backend[[#This Row],[Scope 1 (tCO2e)]:[Scope 3 WTT T&amp;D (tCO2e)]])</f>
        <v>0</v>
      </c>
      <c r="AM331" s="220" t="str">
        <f>IF(Buildings_Heat_Frontend[[#This Row],[Data]]="","", Buildings_Heat_Backend[[#This Row],[Total (tCO2e)]]*(1-Buildings_Heat_Backend[[#This Row],[RSD]]))</f>
        <v/>
      </c>
      <c r="AN331" s="220" t="str">
        <f>IF(Buildings_Heat_Frontend[[#This Row],[Data]]="","", Buildings_Heat_Backend[[#This Row],[Total (tCO2e)]]*(1+Buildings_Heat_Backend[[#This Row],[RSD]]))</f>
        <v/>
      </c>
      <c r="AO331" s="210" t="str">
        <f>IF(Buildings_Heat_Frontend[[#This Row],[Data]]="","", _xlfn.XLOOKUP(_xlfn.CONCAT(Buildings_Heat_Backend[[#This Row],[Level 1]:[Level 6]]),rng_EFConcat,rng_EFOOS)*Buildings_Heat_Backend[[#This Row],[Converted data]]/1000)</f>
        <v/>
      </c>
      <c r="AP331" s="174">
        <f>Buildings_Heat_Frontend[[#This Row],[Ease of collection]]</f>
        <v>0</v>
      </c>
      <c r="AQ331" s="174">
        <f>Buildings_Heat_Frontend[[#This Row],[Completeness]]</f>
        <v>0</v>
      </c>
      <c r="AR331" s="174">
        <f>Buildings_Heat_Frontend[[#This Row],[Notes]]</f>
        <v>0</v>
      </c>
    </row>
    <row r="332" spans="5:44" x14ac:dyDescent="0.3">
      <c r="E332" s="346"/>
      <c r="F332" s="364"/>
      <c r="G332" s="336"/>
      <c r="H332" s="336"/>
      <c r="I332" s="336"/>
      <c r="J332" s="334"/>
      <c r="K332" s="336"/>
      <c r="L332" s="336"/>
      <c r="M332" s="336"/>
      <c r="N332" s="352"/>
      <c r="O332" s="230">
        <f t="shared" si="14"/>
        <v>6</v>
      </c>
      <c r="Q332" s="212" t="str">
        <f t="shared" si="12"/>
        <v/>
      </c>
      <c r="R332" s="174" t="s">
        <v>265</v>
      </c>
      <c r="S332" s="174" t="s">
        <v>273</v>
      </c>
      <c r="T332" s="174" t="str">
        <f>IF(Buildings_Heat_Frontend[[#This Row],[Data]]="","", _xlfn.XLOOKUP(Buildings_Heat_Backend[[#This Row],[Info 1]],Buildings_SiteInfo[Site name],Buildings_SiteInfo[Site type]))</f>
        <v/>
      </c>
      <c r="U332" s="174" t="str">
        <f>IF(Buildings_Heat_Frontend[[#This Row],[Data]]="","", Buildings_Heat_Frontend[[#This Row],[Heating Type]])</f>
        <v/>
      </c>
      <c r="V332" s="174" t="str">
        <f>IF(Buildings_Heat_Frontend[[#This Row],[Data]]="","", Buildings_Heat_Frontend[[#This Row],[Fuel]])</f>
        <v/>
      </c>
      <c r="W332" s="174" t="str" cm="1">
        <f t="array" ref="W332">IF(Buildings_Heat_Frontend[[#This Row],[Data]]="","", _xlfn.XLOOKUP(Buildings_Heat_Backend[[#This Row],[Level 5]],rng_Level5Long,rng_Level6Long))</f>
        <v/>
      </c>
      <c r="X332" s="174" t="str">
        <f>IF(Buildings_Heat_Frontend[[#This Row],[Data]]="","", Buildings_Heat_Frontend[[#This Row],[Site Name]])</f>
        <v/>
      </c>
      <c r="Y332" s="174" t="str">
        <f>IF(Buildings_Heat_Frontend[[#This Row],[Data]]="","", Buildings_Heat_Frontend[[#This Row],[MPRN]])</f>
        <v/>
      </c>
      <c r="Z332" s="174" t="str">
        <f>IF(Buildings_Heat_Frontend[[#This Row],[Data]]="","", IF($I332="","",$I332))</f>
        <v/>
      </c>
      <c r="AA332" s="229" t="str" cm="1">
        <f t="array" ref="AA332">IF(Buildings_Heat_Frontend[[#This Row],[Data]]="","", INDEX(_xlfn.SWITCH(Buildings_Heat_Backend[[#This Row],[Methodology]],"Tier 1",rng_RSD1,"Tier 2",rng_RSD2,"Tier 3",rng_RSD3),MATCH(_xlfn.CONCAT(Buildings_Heat_Backend[[#This Row],[Level 1]:[Level 6]]),rng_LevelsConcat,0)))</f>
        <v/>
      </c>
      <c r="AB332" s="220" t="str">
        <f t="shared" si="13"/>
        <v/>
      </c>
      <c r="AC332" s="174">
        <f>Buildings_Heat_Frontend[[#This Row],[Units]]</f>
        <v>0</v>
      </c>
      <c r="AD33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2" s="174" t="str">
        <f>IF(Buildings_Heat_Frontend[[#This Row],[Data]]="","", _xlfn.XLOOKUP(_xlfn.CONCAT(Buildings_Heat_Backend[[#This Row],[Level 1]:[Level 6]]),rng_LevelsConcat,rng_UnitsLong))</f>
        <v/>
      </c>
      <c r="AF332" s="210" t="str">
        <f>IF(Buildings_Heat_Frontend[[#This Row],[Data]]="","", _xlfn.XLOOKUP(_xlfn.CONCAT(Buildings_Heat_Backend[[#This Row],[Level 1]:[Level 6]]),rng_EFConcat,rng_EF1)*Buildings_Heat_Backend[[#This Row],[Converted data]]/1000)</f>
        <v/>
      </c>
      <c r="AG332" s="210" t="str">
        <f>IF(Buildings_Heat_Frontend[[#This Row],[Data]]="","", _xlfn.XLOOKUP(_xlfn.CONCAT(Buildings_Heat_Backend[[#This Row],[Level 1]:[Level 6]]),rng_EFConcat,rng_EF2)*Buildings_Heat_Backend[[#This Row],[Converted data]]/1000)</f>
        <v/>
      </c>
      <c r="AH332" s="210" t="str">
        <f>IF(Buildings_Heat_Frontend[[#This Row],[Data]]="","", _xlfn.XLOOKUP(_xlfn.CONCAT(Buildings_Heat_Backend[[#This Row],[Level 1]:[Level 6]]),rng_EFConcat,rng_EF3)*Buildings_Heat_Backend[[#This Row],[Converted data]]/1000)</f>
        <v/>
      </c>
      <c r="AI332" s="210" t="str">
        <f>IF(Buildings_Heat_Frontend[[#This Row],[Data]]="","", _xlfn.XLOOKUP(_xlfn.CONCAT(Buildings_Heat_Backend[[#This Row],[Level 1]:[Level 6]]),rng_EFConcat,rng_EF3WTT)*Buildings_Heat_Backend[[#This Row],[Converted data]]/1000)</f>
        <v/>
      </c>
      <c r="AJ332" s="210" t="str">
        <f>IF(Buildings_Heat_Frontend[[#This Row],[Data]]="","", _xlfn.XLOOKUP(_xlfn.CONCAT(Buildings_Heat_Backend[[#This Row],[Level 1]:[Level 6]]),rng_EFConcat,rng_EF3TD)*Buildings_Heat_Backend[[#This Row],[Converted data]]/1000)</f>
        <v/>
      </c>
      <c r="AK332" s="210" t="str">
        <f>IF(Buildings_Heat_Frontend[[#This Row],[Data]]="","", _xlfn.XLOOKUP(_xlfn.CONCAT(Buildings_Heat_Backend[[#This Row],[Level 1]:[Level 6]]),rng_EFConcat,rng_EF3WTTTD)*Buildings_Heat_Backend[[#This Row],[Converted data]]/1000)</f>
        <v/>
      </c>
      <c r="AL332" s="220">
        <f>SUM(Buildings_Heat_Backend[[#This Row],[Scope 1 (tCO2e)]:[Scope 3 WTT T&amp;D (tCO2e)]])</f>
        <v>0</v>
      </c>
      <c r="AM332" s="220" t="str">
        <f>IF(Buildings_Heat_Frontend[[#This Row],[Data]]="","", Buildings_Heat_Backend[[#This Row],[Total (tCO2e)]]*(1-Buildings_Heat_Backend[[#This Row],[RSD]]))</f>
        <v/>
      </c>
      <c r="AN332" s="220" t="str">
        <f>IF(Buildings_Heat_Frontend[[#This Row],[Data]]="","", Buildings_Heat_Backend[[#This Row],[Total (tCO2e)]]*(1+Buildings_Heat_Backend[[#This Row],[RSD]]))</f>
        <v/>
      </c>
      <c r="AO332" s="210" t="str">
        <f>IF(Buildings_Heat_Frontend[[#This Row],[Data]]="","", _xlfn.XLOOKUP(_xlfn.CONCAT(Buildings_Heat_Backend[[#This Row],[Level 1]:[Level 6]]),rng_EFConcat,rng_EFOOS)*Buildings_Heat_Backend[[#This Row],[Converted data]]/1000)</f>
        <v/>
      </c>
      <c r="AP332" s="174">
        <f>Buildings_Heat_Frontend[[#This Row],[Ease of collection]]</f>
        <v>0</v>
      </c>
      <c r="AQ332" s="174">
        <f>Buildings_Heat_Frontend[[#This Row],[Completeness]]</f>
        <v>0</v>
      </c>
      <c r="AR332" s="174">
        <f>Buildings_Heat_Frontend[[#This Row],[Notes]]</f>
        <v>0</v>
      </c>
    </row>
    <row r="333" spans="5:44" x14ac:dyDescent="0.3">
      <c r="E333" s="346"/>
      <c r="F333" s="364"/>
      <c r="G333" s="336"/>
      <c r="H333" s="336"/>
      <c r="I333" s="336"/>
      <c r="J333" s="334"/>
      <c r="K333" s="336"/>
      <c r="L333" s="336"/>
      <c r="M333" s="336"/>
      <c r="N333" s="352"/>
      <c r="O333" s="230">
        <f t="shared" si="14"/>
        <v>6</v>
      </c>
      <c r="Q333" s="212" t="str">
        <f t="shared" si="12"/>
        <v/>
      </c>
      <c r="R333" s="174" t="s">
        <v>265</v>
      </c>
      <c r="S333" s="174" t="s">
        <v>273</v>
      </c>
      <c r="T333" s="174" t="str">
        <f>IF(Buildings_Heat_Frontend[[#This Row],[Data]]="","", _xlfn.XLOOKUP(Buildings_Heat_Backend[[#This Row],[Info 1]],Buildings_SiteInfo[Site name],Buildings_SiteInfo[Site type]))</f>
        <v/>
      </c>
      <c r="U333" s="174" t="str">
        <f>IF(Buildings_Heat_Frontend[[#This Row],[Data]]="","", Buildings_Heat_Frontend[[#This Row],[Heating Type]])</f>
        <v/>
      </c>
      <c r="V333" s="174" t="str">
        <f>IF(Buildings_Heat_Frontend[[#This Row],[Data]]="","", Buildings_Heat_Frontend[[#This Row],[Fuel]])</f>
        <v/>
      </c>
      <c r="W333" s="174" t="str" cm="1">
        <f t="array" ref="W333">IF(Buildings_Heat_Frontend[[#This Row],[Data]]="","", _xlfn.XLOOKUP(Buildings_Heat_Backend[[#This Row],[Level 5]],rng_Level5Long,rng_Level6Long))</f>
        <v/>
      </c>
      <c r="X333" s="174" t="str">
        <f>IF(Buildings_Heat_Frontend[[#This Row],[Data]]="","", Buildings_Heat_Frontend[[#This Row],[Site Name]])</f>
        <v/>
      </c>
      <c r="Y333" s="174" t="str">
        <f>IF(Buildings_Heat_Frontend[[#This Row],[Data]]="","", Buildings_Heat_Frontend[[#This Row],[MPRN]])</f>
        <v/>
      </c>
      <c r="Z333" s="174" t="str">
        <f>IF(Buildings_Heat_Frontend[[#This Row],[Data]]="","", IF($I333="","",$I333))</f>
        <v/>
      </c>
      <c r="AA333" s="229" t="str" cm="1">
        <f t="array" ref="AA333">IF(Buildings_Heat_Frontend[[#This Row],[Data]]="","", INDEX(_xlfn.SWITCH(Buildings_Heat_Backend[[#This Row],[Methodology]],"Tier 1",rng_RSD1,"Tier 2",rng_RSD2,"Tier 3",rng_RSD3),MATCH(_xlfn.CONCAT(Buildings_Heat_Backend[[#This Row],[Level 1]:[Level 6]]),rng_LevelsConcat,0)))</f>
        <v/>
      </c>
      <c r="AB333" s="220" t="str">
        <f t="shared" si="13"/>
        <v/>
      </c>
      <c r="AC333" s="174">
        <f>Buildings_Heat_Frontend[[#This Row],[Units]]</f>
        <v>0</v>
      </c>
      <c r="AD33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3" s="174" t="str">
        <f>IF(Buildings_Heat_Frontend[[#This Row],[Data]]="","", _xlfn.XLOOKUP(_xlfn.CONCAT(Buildings_Heat_Backend[[#This Row],[Level 1]:[Level 6]]),rng_LevelsConcat,rng_UnitsLong))</f>
        <v/>
      </c>
      <c r="AF333" s="210" t="str">
        <f>IF(Buildings_Heat_Frontend[[#This Row],[Data]]="","", _xlfn.XLOOKUP(_xlfn.CONCAT(Buildings_Heat_Backend[[#This Row],[Level 1]:[Level 6]]),rng_EFConcat,rng_EF1)*Buildings_Heat_Backend[[#This Row],[Converted data]]/1000)</f>
        <v/>
      </c>
      <c r="AG333" s="210" t="str">
        <f>IF(Buildings_Heat_Frontend[[#This Row],[Data]]="","", _xlfn.XLOOKUP(_xlfn.CONCAT(Buildings_Heat_Backend[[#This Row],[Level 1]:[Level 6]]),rng_EFConcat,rng_EF2)*Buildings_Heat_Backend[[#This Row],[Converted data]]/1000)</f>
        <v/>
      </c>
      <c r="AH333" s="210" t="str">
        <f>IF(Buildings_Heat_Frontend[[#This Row],[Data]]="","", _xlfn.XLOOKUP(_xlfn.CONCAT(Buildings_Heat_Backend[[#This Row],[Level 1]:[Level 6]]),rng_EFConcat,rng_EF3)*Buildings_Heat_Backend[[#This Row],[Converted data]]/1000)</f>
        <v/>
      </c>
      <c r="AI333" s="210" t="str">
        <f>IF(Buildings_Heat_Frontend[[#This Row],[Data]]="","", _xlfn.XLOOKUP(_xlfn.CONCAT(Buildings_Heat_Backend[[#This Row],[Level 1]:[Level 6]]),rng_EFConcat,rng_EF3WTT)*Buildings_Heat_Backend[[#This Row],[Converted data]]/1000)</f>
        <v/>
      </c>
      <c r="AJ333" s="210" t="str">
        <f>IF(Buildings_Heat_Frontend[[#This Row],[Data]]="","", _xlfn.XLOOKUP(_xlfn.CONCAT(Buildings_Heat_Backend[[#This Row],[Level 1]:[Level 6]]),rng_EFConcat,rng_EF3TD)*Buildings_Heat_Backend[[#This Row],[Converted data]]/1000)</f>
        <v/>
      </c>
      <c r="AK333" s="210" t="str">
        <f>IF(Buildings_Heat_Frontend[[#This Row],[Data]]="","", _xlfn.XLOOKUP(_xlfn.CONCAT(Buildings_Heat_Backend[[#This Row],[Level 1]:[Level 6]]),rng_EFConcat,rng_EF3WTTTD)*Buildings_Heat_Backend[[#This Row],[Converted data]]/1000)</f>
        <v/>
      </c>
      <c r="AL333" s="220">
        <f>SUM(Buildings_Heat_Backend[[#This Row],[Scope 1 (tCO2e)]:[Scope 3 WTT T&amp;D (tCO2e)]])</f>
        <v>0</v>
      </c>
      <c r="AM333" s="220" t="str">
        <f>IF(Buildings_Heat_Frontend[[#This Row],[Data]]="","", Buildings_Heat_Backend[[#This Row],[Total (tCO2e)]]*(1-Buildings_Heat_Backend[[#This Row],[RSD]]))</f>
        <v/>
      </c>
      <c r="AN333" s="220" t="str">
        <f>IF(Buildings_Heat_Frontend[[#This Row],[Data]]="","", Buildings_Heat_Backend[[#This Row],[Total (tCO2e)]]*(1+Buildings_Heat_Backend[[#This Row],[RSD]]))</f>
        <v/>
      </c>
      <c r="AO333" s="210" t="str">
        <f>IF(Buildings_Heat_Frontend[[#This Row],[Data]]="","", _xlfn.XLOOKUP(_xlfn.CONCAT(Buildings_Heat_Backend[[#This Row],[Level 1]:[Level 6]]),rng_EFConcat,rng_EFOOS)*Buildings_Heat_Backend[[#This Row],[Converted data]]/1000)</f>
        <v/>
      </c>
      <c r="AP333" s="174">
        <f>Buildings_Heat_Frontend[[#This Row],[Ease of collection]]</f>
        <v>0</v>
      </c>
      <c r="AQ333" s="174">
        <f>Buildings_Heat_Frontend[[#This Row],[Completeness]]</f>
        <v>0</v>
      </c>
      <c r="AR333" s="174">
        <f>Buildings_Heat_Frontend[[#This Row],[Notes]]</f>
        <v>0</v>
      </c>
    </row>
    <row r="334" spans="5:44" x14ac:dyDescent="0.3">
      <c r="E334" s="346"/>
      <c r="F334" s="364"/>
      <c r="G334" s="336"/>
      <c r="H334" s="336"/>
      <c r="I334" s="336"/>
      <c r="J334" s="334"/>
      <c r="K334" s="336"/>
      <c r="L334" s="336"/>
      <c r="M334" s="336"/>
      <c r="N334" s="352"/>
      <c r="O334" s="230">
        <f t="shared" si="14"/>
        <v>6</v>
      </c>
      <c r="Q334" s="212" t="str">
        <f t="shared" si="12"/>
        <v/>
      </c>
      <c r="R334" s="174" t="s">
        <v>265</v>
      </c>
      <c r="S334" s="174" t="s">
        <v>273</v>
      </c>
      <c r="T334" s="174" t="str">
        <f>IF(Buildings_Heat_Frontend[[#This Row],[Data]]="","", _xlfn.XLOOKUP(Buildings_Heat_Backend[[#This Row],[Info 1]],Buildings_SiteInfo[Site name],Buildings_SiteInfo[Site type]))</f>
        <v/>
      </c>
      <c r="U334" s="174" t="str">
        <f>IF(Buildings_Heat_Frontend[[#This Row],[Data]]="","", Buildings_Heat_Frontend[[#This Row],[Heating Type]])</f>
        <v/>
      </c>
      <c r="V334" s="174" t="str">
        <f>IF(Buildings_Heat_Frontend[[#This Row],[Data]]="","", Buildings_Heat_Frontend[[#This Row],[Fuel]])</f>
        <v/>
      </c>
      <c r="W334" s="174" t="str" cm="1">
        <f t="array" ref="W334">IF(Buildings_Heat_Frontend[[#This Row],[Data]]="","", _xlfn.XLOOKUP(Buildings_Heat_Backend[[#This Row],[Level 5]],rng_Level5Long,rng_Level6Long))</f>
        <v/>
      </c>
      <c r="X334" s="174" t="str">
        <f>IF(Buildings_Heat_Frontend[[#This Row],[Data]]="","", Buildings_Heat_Frontend[[#This Row],[Site Name]])</f>
        <v/>
      </c>
      <c r="Y334" s="174" t="str">
        <f>IF(Buildings_Heat_Frontend[[#This Row],[Data]]="","", Buildings_Heat_Frontend[[#This Row],[MPRN]])</f>
        <v/>
      </c>
      <c r="Z334" s="174" t="str">
        <f>IF(Buildings_Heat_Frontend[[#This Row],[Data]]="","", IF($I334="","",$I334))</f>
        <v/>
      </c>
      <c r="AA334" s="229" t="str" cm="1">
        <f t="array" ref="AA334">IF(Buildings_Heat_Frontend[[#This Row],[Data]]="","", INDEX(_xlfn.SWITCH(Buildings_Heat_Backend[[#This Row],[Methodology]],"Tier 1",rng_RSD1,"Tier 2",rng_RSD2,"Tier 3",rng_RSD3),MATCH(_xlfn.CONCAT(Buildings_Heat_Backend[[#This Row],[Level 1]:[Level 6]]),rng_LevelsConcat,0)))</f>
        <v/>
      </c>
      <c r="AB334" s="220" t="str">
        <f t="shared" si="13"/>
        <v/>
      </c>
      <c r="AC334" s="174">
        <f>Buildings_Heat_Frontend[[#This Row],[Units]]</f>
        <v>0</v>
      </c>
      <c r="AD33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4" s="174" t="str">
        <f>IF(Buildings_Heat_Frontend[[#This Row],[Data]]="","", _xlfn.XLOOKUP(_xlfn.CONCAT(Buildings_Heat_Backend[[#This Row],[Level 1]:[Level 6]]),rng_LevelsConcat,rng_UnitsLong))</f>
        <v/>
      </c>
      <c r="AF334" s="210" t="str">
        <f>IF(Buildings_Heat_Frontend[[#This Row],[Data]]="","", _xlfn.XLOOKUP(_xlfn.CONCAT(Buildings_Heat_Backend[[#This Row],[Level 1]:[Level 6]]),rng_EFConcat,rng_EF1)*Buildings_Heat_Backend[[#This Row],[Converted data]]/1000)</f>
        <v/>
      </c>
      <c r="AG334" s="210" t="str">
        <f>IF(Buildings_Heat_Frontend[[#This Row],[Data]]="","", _xlfn.XLOOKUP(_xlfn.CONCAT(Buildings_Heat_Backend[[#This Row],[Level 1]:[Level 6]]),rng_EFConcat,rng_EF2)*Buildings_Heat_Backend[[#This Row],[Converted data]]/1000)</f>
        <v/>
      </c>
      <c r="AH334" s="210" t="str">
        <f>IF(Buildings_Heat_Frontend[[#This Row],[Data]]="","", _xlfn.XLOOKUP(_xlfn.CONCAT(Buildings_Heat_Backend[[#This Row],[Level 1]:[Level 6]]),rng_EFConcat,rng_EF3)*Buildings_Heat_Backend[[#This Row],[Converted data]]/1000)</f>
        <v/>
      </c>
      <c r="AI334" s="210" t="str">
        <f>IF(Buildings_Heat_Frontend[[#This Row],[Data]]="","", _xlfn.XLOOKUP(_xlfn.CONCAT(Buildings_Heat_Backend[[#This Row],[Level 1]:[Level 6]]),rng_EFConcat,rng_EF3WTT)*Buildings_Heat_Backend[[#This Row],[Converted data]]/1000)</f>
        <v/>
      </c>
      <c r="AJ334" s="210" t="str">
        <f>IF(Buildings_Heat_Frontend[[#This Row],[Data]]="","", _xlfn.XLOOKUP(_xlfn.CONCAT(Buildings_Heat_Backend[[#This Row],[Level 1]:[Level 6]]),rng_EFConcat,rng_EF3TD)*Buildings_Heat_Backend[[#This Row],[Converted data]]/1000)</f>
        <v/>
      </c>
      <c r="AK334" s="210" t="str">
        <f>IF(Buildings_Heat_Frontend[[#This Row],[Data]]="","", _xlfn.XLOOKUP(_xlfn.CONCAT(Buildings_Heat_Backend[[#This Row],[Level 1]:[Level 6]]),rng_EFConcat,rng_EF3WTTTD)*Buildings_Heat_Backend[[#This Row],[Converted data]]/1000)</f>
        <v/>
      </c>
      <c r="AL334" s="220">
        <f>SUM(Buildings_Heat_Backend[[#This Row],[Scope 1 (tCO2e)]:[Scope 3 WTT T&amp;D (tCO2e)]])</f>
        <v>0</v>
      </c>
      <c r="AM334" s="220" t="str">
        <f>IF(Buildings_Heat_Frontend[[#This Row],[Data]]="","", Buildings_Heat_Backend[[#This Row],[Total (tCO2e)]]*(1-Buildings_Heat_Backend[[#This Row],[RSD]]))</f>
        <v/>
      </c>
      <c r="AN334" s="220" t="str">
        <f>IF(Buildings_Heat_Frontend[[#This Row],[Data]]="","", Buildings_Heat_Backend[[#This Row],[Total (tCO2e)]]*(1+Buildings_Heat_Backend[[#This Row],[RSD]]))</f>
        <v/>
      </c>
      <c r="AO334" s="210" t="str">
        <f>IF(Buildings_Heat_Frontend[[#This Row],[Data]]="","", _xlfn.XLOOKUP(_xlfn.CONCAT(Buildings_Heat_Backend[[#This Row],[Level 1]:[Level 6]]),rng_EFConcat,rng_EFOOS)*Buildings_Heat_Backend[[#This Row],[Converted data]]/1000)</f>
        <v/>
      </c>
      <c r="AP334" s="174">
        <f>Buildings_Heat_Frontend[[#This Row],[Ease of collection]]</f>
        <v>0</v>
      </c>
      <c r="AQ334" s="174">
        <f>Buildings_Heat_Frontend[[#This Row],[Completeness]]</f>
        <v>0</v>
      </c>
      <c r="AR334" s="174">
        <f>Buildings_Heat_Frontend[[#This Row],[Notes]]</f>
        <v>0</v>
      </c>
    </row>
    <row r="335" spans="5:44" x14ac:dyDescent="0.3">
      <c r="E335" s="346"/>
      <c r="F335" s="364"/>
      <c r="G335" s="336"/>
      <c r="H335" s="336"/>
      <c r="I335" s="336"/>
      <c r="J335" s="334"/>
      <c r="K335" s="336"/>
      <c r="L335" s="336"/>
      <c r="M335" s="336"/>
      <c r="N335" s="352"/>
      <c r="O335" s="230">
        <f t="shared" si="14"/>
        <v>6</v>
      </c>
      <c r="Q335" s="212" t="str">
        <f t="shared" ref="Q335:Q398" si="15">IF(O335=0,SUBSTITUTE(2025&amp;TRIM(cl_org_name_select)&amp;TRIM($E$12)&amp;(ROW(O335)-ROW($O$15))," ",""),"")</f>
        <v/>
      </c>
      <c r="R335" s="174" t="s">
        <v>265</v>
      </c>
      <c r="S335" s="174" t="s">
        <v>273</v>
      </c>
      <c r="T335" s="174" t="str">
        <f>IF(Buildings_Heat_Frontend[[#This Row],[Data]]="","", _xlfn.XLOOKUP(Buildings_Heat_Backend[[#This Row],[Info 1]],Buildings_SiteInfo[Site name],Buildings_SiteInfo[Site type]))</f>
        <v/>
      </c>
      <c r="U335" s="174" t="str">
        <f>IF(Buildings_Heat_Frontend[[#This Row],[Data]]="","", Buildings_Heat_Frontend[[#This Row],[Heating Type]])</f>
        <v/>
      </c>
      <c r="V335" s="174" t="str">
        <f>IF(Buildings_Heat_Frontend[[#This Row],[Data]]="","", Buildings_Heat_Frontend[[#This Row],[Fuel]])</f>
        <v/>
      </c>
      <c r="W335" s="174" t="str" cm="1">
        <f t="array" ref="W335">IF(Buildings_Heat_Frontend[[#This Row],[Data]]="","", _xlfn.XLOOKUP(Buildings_Heat_Backend[[#This Row],[Level 5]],rng_Level5Long,rng_Level6Long))</f>
        <v/>
      </c>
      <c r="X335" s="174" t="str">
        <f>IF(Buildings_Heat_Frontend[[#This Row],[Data]]="","", Buildings_Heat_Frontend[[#This Row],[Site Name]])</f>
        <v/>
      </c>
      <c r="Y335" s="174" t="str">
        <f>IF(Buildings_Heat_Frontend[[#This Row],[Data]]="","", Buildings_Heat_Frontend[[#This Row],[MPRN]])</f>
        <v/>
      </c>
      <c r="Z335" s="174" t="str">
        <f>IF(Buildings_Heat_Frontend[[#This Row],[Data]]="","", IF($I335="","",$I335))</f>
        <v/>
      </c>
      <c r="AA335" s="229" t="str" cm="1">
        <f t="array" ref="AA335">IF(Buildings_Heat_Frontend[[#This Row],[Data]]="","", INDEX(_xlfn.SWITCH(Buildings_Heat_Backend[[#This Row],[Methodology]],"Tier 1",rng_RSD1,"Tier 2",rng_RSD2,"Tier 3",rng_RSD3),MATCH(_xlfn.CONCAT(Buildings_Heat_Backend[[#This Row],[Level 1]:[Level 6]]),rng_LevelsConcat,0)))</f>
        <v/>
      </c>
      <c r="AB335" s="220" t="str">
        <f t="shared" ref="AB335:AB398" si="16">IF($J335="","",$J335)</f>
        <v/>
      </c>
      <c r="AC335" s="174">
        <f>Buildings_Heat_Frontend[[#This Row],[Units]]</f>
        <v>0</v>
      </c>
      <c r="AD33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5" s="174" t="str">
        <f>IF(Buildings_Heat_Frontend[[#This Row],[Data]]="","", _xlfn.XLOOKUP(_xlfn.CONCAT(Buildings_Heat_Backend[[#This Row],[Level 1]:[Level 6]]),rng_LevelsConcat,rng_UnitsLong))</f>
        <v/>
      </c>
      <c r="AF335" s="210" t="str">
        <f>IF(Buildings_Heat_Frontend[[#This Row],[Data]]="","", _xlfn.XLOOKUP(_xlfn.CONCAT(Buildings_Heat_Backend[[#This Row],[Level 1]:[Level 6]]),rng_EFConcat,rng_EF1)*Buildings_Heat_Backend[[#This Row],[Converted data]]/1000)</f>
        <v/>
      </c>
      <c r="AG335" s="210" t="str">
        <f>IF(Buildings_Heat_Frontend[[#This Row],[Data]]="","", _xlfn.XLOOKUP(_xlfn.CONCAT(Buildings_Heat_Backend[[#This Row],[Level 1]:[Level 6]]),rng_EFConcat,rng_EF2)*Buildings_Heat_Backend[[#This Row],[Converted data]]/1000)</f>
        <v/>
      </c>
      <c r="AH335" s="210" t="str">
        <f>IF(Buildings_Heat_Frontend[[#This Row],[Data]]="","", _xlfn.XLOOKUP(_xlfn.CONCAT(Buildings_Heat_Backend[[#This Row],[Level 1]:[Level 6]]),rng_EFConcat,rng_EF3)*Buildings_Heat_Backend[[#This Row],[Converted data]]/1000)</f>
        <v/>
      </c>
      <c r="AI335" s="210" t="str">
        <f>IF(Buildings_Heat_Frontend[[#This Row],[Data]]="","", _xlfn.XLOOKUP(_xlfn.CONCAT(Buildings_Heat_Backend[[#This Row],[Level 1]:[Level 6]]),rng_EFConcat,rng_EF3WTT)*Buildings_Heat_Backend[[#This Row],[Converted data]]/1000)</f>
        <v/>
      </c>
      <c r="AJ335" s="210" t="str">
        <f>IF(Buildings_Heat_Frontend[[#This Row],[Data]]="","", _xlfn.XLOOKUP(_xlfn.CONCAT(Buildings_Heat_Backend[[#This Row],[Level 1]:[Level 6]]),rng_EFConcat,rng_EF3TD)*Buildings_Heat_Backend[[#This Row],[Converted data]]/1000)</f>
        <v/>
      </c>
      <c r="AK335" s="210" t="str">
        <f>IF(Buildings_Heat_Frontend[[#This Row],[Data]]="","", _xlfn.XLOOKUP(_xlfn.CONCAT(Buildings_Heat_Backend[[#This Row],[Level 1]:[Level 6]]),rng_EFConcat,rng_EF3WTTTD)*Buildings_Heat_Backend[[#This Row],[Converted data]]/1000)</f>
        <v/>
      </c>
      <c r="AL335" s="220">
        <f>SUM(Buildings_Heat_Backend[[#This Row],[Scope 1 (tCO2e)]:[Scope 3 WTT T&amp;D (tCO2e)]])</f>
        <v>0</v>
      </c>
      <c r="AM335" s="220" t="str">
        <f>IF(Buildings_Heat_Frontend[[#This Row],[Data]]="","", Buildings_Heat_Backend[[#This Row],[Total (tCO2e)]]*(1-Buildings_Heat_Backend[[#This Row],[RSD]]))</f>
        <v/>
      </c>
      <c r="AN335" s="220" t="str">
        <f>IF(Buildings_Heat_Frontend[[#This Row],[Data]]="","", Buildings_Heat_Backend[[#This Row],[Total (tCO2e)]]*(1+Buildings_Heat_Backend[[#This Row],[RSD]]))</f>
        <v/>
      </c>
      <c r="AO335" s="210" t="str">
        <f>IF(Buildings_Heat_Frontend[[#This Row],[Data]]="","", _xlfn.XLOOKUP(_xlfn.CONCAT(Buildings_Heat_Backend[[#This Row],[Level 1]:[Level 6]]),rng_EFConcat,rng_EFOOS)*Buildings_Heat_Backend[[#This Row],[Converted data]]/1000)</f>
        <v/>
      </c>
      <c r="AP335" s="174">
        <f>Buildings_Heat_Frontend[[#This Row],[Ease of collection]]</f>
        <v>0</v>
      </c>
      <c r="AQ335" s="174">
        <f>Buildings_Heat_Frontend[[#This Row],[Completeness]]</f>
        <v>0</v>
      </c>
      <c r="AR335" s="174">
        <f>Buildings_Heat_Frontend[[#This Row],[Notes]]</f>
        <v>0</v>
      </c>
    </row>
    <row r="336" spans="5:44" x14ac:dyDescent="0.3">
      <c r="E336" s="346"/>
      <c r="F336" s="364"/>
      <c r="G336" s="336"/>
      <c r="H336" s="336"/>
      <c r="I336" s="336"/>
      <c r="J336" s="334"/>
      <c r="K336" s="336"/>
      <c r="L336" s="336"/>
      <c r="M336" s="336"/>
      <c r="N336" s="352"/>
      <c r="O336" s="230">
        <f t="shared" ref="O336:O399" si="17">ISBLANK(E336)+ISBLANK(G336)+ISBLANK(H336)+ISBLANK(I336)+ISBLANK(J336)+ISBLANK(K336)</f>
        <v>6</v>
      </c>
      <c r="Q336" s="212" t="str">
        <f t="shared" si="15"/>
        <v/>
      </c>
      <c r="R336" s="174" t="s">
        <v>265</v>
      </c>
      <c r="S336" s="174" t="s">
        <v>273</v>
      </c>
      <c r="T336" s="174" t="str">
        <f>IF(Buildings_Heat_Frontend[[#This Row],[Data]]="","", _xlfn.XLOOKUP(Buildings_Heat_Backend[[#This Row],[Info 1]],Buildings_SiteInfo[Site name],Buildings_SiteInfo[Site type]))</f>
        <v/>
      </c>
      <c r="U336" s="174" t="str">
        <f>IF(Buildings_Heat_Frontend[[#This Row],[Data]]="","", Buildings_Heat_Frontend[[#This Row],[Heating Type]])</f>
        <v/>
      </c>
      <c r="V336" s="174" t="str">
        <f>IF(Buildings_Heat_Frontend[[#This Row],[Data]]="","", Buildings_Heat_Frontend[[#This Row],[Fuel]])</f>
        <v/>
      </c>
      <c r="W336" s="174" t="str" cm="1">
        <f t="array" ref="W336">IF(Buildings_Heat_Frontend[[#This Row],[Data]]="","", _xlfn.XLOOKUP(Buildings_Heat_Backend[[#This Row],[Level 5]],rng_Level5Long,rng_Level6Long))</f>
        <v/>
      </c>
      <c r="X336" s="174" t="str">
        <f>IF(Buildings_Heat_Frontend[[#This Row],[Data]]="","", Buildings_Heat_Frontend[[#This Row],[Site Name]])</f>
        <v/>
      </c>
      <c r="Y336" s="174" t="str">
        <f>IF(Buildings_Heat_Frontend[[#This Row],[Data]]="","", Buildings_Heat_Frontend[[#This Row],[MPRN]])</f>
        <v/>
      </c>
      <c r="Z336" s="174" t="str">
        <f>IF(Buildings_Heat_Frontend[[#This Row],[Data]]="","", IF($I336="","",$I336))</f>
        <v/>
      </c>
      <c r="AA336" s="229" t="str" cm="1">
        <f t="array" ref="AA336">IF(Buildings_Heat_Frontend[[#This Row],[Data]]="","", INDEX(_xlfn.SWITCH(Buildings_Heat_Backend[[#This Row],[Methodology]],"Tier 1",rng_RSD1,"Tier 2",rng_RSD2,"Tier 3",rng_RSD3),MATCH(_xlfn.CONCAT(Buildings_Heat_Backend[[#This Row],[Level 1]:[Level 6]]),rng_LevelsConcat,0)))</f>
        <v/>
      </c>
      <c r="AB336" s="220" t="str">
        <f t="shared" si="16"/>
        <v/>
      </c>
      <c r="AC336" s="174">
        <f>Buildings_Heat_Frontend[[#This Row],[Units]]</f>
        <v>0</v>
      </c>
      <c r="AD33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6" s="174" t="str">
        <f>IF(Buildings_Heat_Frontend[[#This Row],[Data]]="","", _xlfn.XLOOKUP(_xlfn.CONCAT(Buildings_Heat_Backend[[#This Row],[Level 1]:[Level 6]]),rng_LevelsConcat,rng_UnitsLong))</f>
        <v/>
      </c>
      <c r="AF336" s="210" t="str">
        <f>IF(Buildings_Heat_Frontend[[#This Row],[Data]]="","", _xlfn.XLOOKUP(_xlfn.CONCAT(Buildings_Heat_Backend[[#This Row],[Level 1]:[Level 6]]),rng_EFConcat,rng_EF1)*Buildings_Heat_Backend[[#This Row],[Converted data]]/1000)</f>
        <v/>
      </c>
      <c r="AG336" s="210" t="str">
        <f>IF(Buildings_Heat_Frontend[[#This Row],[Data]]="","", _xlfn.XLOOKUP(_xlfn.CONCAT(Buildings_Heat_Backend[[#This Row],[Level 1]:[Level 6]]),rng_EFConcat,rng_EF2)*Buildings_Heat_Backend[[#This Row],[Converted data]]/1000)</f>
        <v/>
      </c>
      <c r="AH336" s="210" t="str">
        <f>IF(Buildings_Heat_Frontend[[#This Row],[Data]]="","", _xlfn.XLOOKUP(_xlfn.CONCAT(Buildings_Heat_Backend[[#This Row],[Level 1]:[Level 6]]),rng_EFConcat,rng_EF3)*Buildings_Heat_Backend[[#This Row],[Converted data]]/1000)</f>
        <v/>
      </c>
      <c r="AI336" s="210" t="str">
        <f>IF(Buildings_Heat_Frontend[[#This Row],[Data]]="","", _xlfn.XLOOKUP(_xlfn.CONCAT(Buildings_Heat_Backend[[#This Row],[Level 1]:[Level 6]]),rng_EFConcat,rng_EF3WTT)*Buildings_Heat_Backend[[#This Row],[Converted data]]/1000)</f>
        <v/>
      </c>
      <c r="AJ336" s="210" t="str">
        <f>IF(Buildings_Heat_Frontend[[#This Row],[Data]]="","", _xlfn.XLOOKUP(_xlfn.CONCAT(Buildings_Heat_Backend[[#This Row],[Level 1]:[Level 6]]),rng_EFConcat,rng_EF3TD)*Buildings_Heat_Backend[[#This Row],[Converted data]]/1000)</f>
        <v/>
      </c>
      <c r="AK336" s="210" t="str">
        <f>IF(Buildings_Heat_Frontend[[#This Row],[Data]]="","", _xlfn.XLOOKUP(_xlfn.CONCAT(Buildings_Heat_Backend[[#This Row],[Level 1]:[Level 6]]),rng_EFConcat,rng_EF3WTTTD)*Buildings_Heat_Backend[[#This Row],[Converted data]]/1000)</f>
        <v/>
      </c>
      <c r="AL336" s="220">
        <f>SUM(Buildings_Heat_Backend[[#This Row],[Scope 1 (tCO2e)]:[Scope 3 WTT T&amp;D (tCO2e)]])</f>
        <v>0</v>
      </c>
      <c r="AM336" s="220" t="str">
        <f>IF(Buildings_Heat_Frontend[[#This Row],[Data]]="","", Buildings_Heat_Backend[[#This Row],[Total (tCO2e)]]*(1-Buildings_Heat_Backend[[#This Row],[RSD]]))</f>
        <v/>
      </c>
      <c r="AN336" s="220" t="str">
        <f>IF(Buildings_Heat_Frontend[[#This Row],[Data]]="","", Buildings_Heat_Backend[[#This Row],[Total (tCO2e)]]*(1+Buildings_Heat_Backend[[#This Row],[RSD]]))</f>
        <v/>
      </c>
      <c r="AO336" s="210" t="str">
        <f>IF(Buildings_Heat_Frontend[[#This Row],[Data]]="","", _xlfn.XLOOKUP(_xlfn.CONCAT(Buildings_Heat_Backend[[#This Row],[Level 1]:[Level 6]]),rng_EFConcat,rng_EFOOS)*Buildings_Heat_Backend[[#This Row],[Converted data]]/1000)</f>
        <v/>
      </c>
      <c r="AP336" s="174">
        <f>Buildings_Heat_Frontend[[#This Row],[Ease of collection]]</f>
        <v>0</v>
      </c>
      <c r="AQ336" s="174">
        <f>Buildings_Heat_Frontend[[#This Row],[Completeness]]</f>
        <v>0</v>
      </c>
      <c r="AR336" s="174">
        <f>Buildings_Heat_Frontend[[#This Row],[Notes]]</f>
        <v>0</v>
      </c>
    </row>
    <row r="337" spans="5:44" x14ac:dyDescent="0.3">
      <c r="E337" s="346"/>
      <c r="F337" s="364"/>
      <c r="G337" s="336"/>
      <c r="H337" s="336"/>
      <c r="I337" s="336"/>
      <c r="J337" s="334"/>
      <c r="K337" s="336"/>
      <c r="L337" s="336"/>
      <c r="M337" s="336"/>
      <c r="N337" s="352"/>
      <c r="O337" s="230">
        <f t="shared" si="17"/>
        <v>6</v>
      </c>
      <c r="Q337" s="212" t="str">
        <f t="shared" si="15"/>
        <v/>
      </c>
      <c r="R337" s="174" t="s">
        <v>265</v>
      </c>
      <c r="S337" s="174" t="s">
        <v>273</v>
      </c>
      <c r="T337" s="174" t="str">
        <f>IF(Buildings_Heat_Frontend[[#This Row],[Data]]="","", _xlfn.XLOOKUP(Buildings_Heat_Backend[[#This Row],[Info 1]],Buildings_SiteInfo[Site name],Buildings_SiteInfo[Site type]))</f>
        <v/>
      </c>
      <c r="U337" s="174" t="str">
        <f>IF(Buildings_Heat_Frontend[[#This Row],[Data]]="","", Buildings_Heat_Frontend[[#This Row],[Heating Type]])</f>
        <v/>
      </c>
      <c r="V337" s="174" t="str">
        <f>IF(Buildings_Heat_Frontend[[#This Row],[Data]]="","", Buildings_Heat_Frontend[[#This Row],[Fuel]])</f>
        <v/>
      </c>
      <c r="W337" s="174" t="str" cm="1">
        <f t="array" ref="W337">IF(Buildings_Heat_Frontend[[#This Row],[Data]]="","", _xlfn.XLOOKUP(Buildings_Heat_Backend[[#This Row],[Level 5]],rng_Level5Long,rng_Level6Long))</f>
        <v/>
      </c>
      <c r="X337" s="174" t="str">
        <f>IF(Buildings_Heat_Frontend[[#This Row],[Data]]="","", Buildings_Heat_Frontend[[#This Row],[Site Name]])</f>
        <v/>
      </c>
      <c r="Y337" s="174" t="str">
        <f>IF(Buildings_Heat_Frontend[[#This Row],[Data]]="","", Buildings_Heat_Frontend[[#This Row],[MPRN]])</f>
        <v/>
      </c>
      <c r="Z337" s="174" t="str">
        <f>IF(Buildings_Heat_Frontend[[#This Row],[Data]]="","", IF($I337="","",$I337))</f>
        <v/>
      </c>
      <c r="AA337" s="229" t="str" cm="1">
        <f t="array" ref="AA337">IF(Buildings_Heat_Frontend[[#This Row],[Data]]="","", INDEX(_xlfn.SWITCH(Buildings_Heat_Backend[[#This Row],[Methodology]],"Tier 1",rng_RSD1,"Tier 2",rng_RSD2,"Tier 3",rng_RSD3),MATCH(_xlfn.CONCAT(Buildings_Heat_Backend[[#This Row],[Level 1]:[Level 6]]),rng_LevelsConcat,0)))</f>
        <v/>
      </c>
      <c r="AB337" s="220" t="str">
        <f t="shared" si="16"/>
        <v/>
      </c>
      <c r="AC337" s="174">
        <f>Buildings_Heat_Frontend[[#This Row],[Units]]</f>
        <v>0</v>
      </c>
      <c r="AD33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7" s="174" t="str">
        <f>IF(Buildings_Heat_Frontend[[#This Row],[Data]]="","", _xlfn.XLOOKUP(_xlfn.CONCAT(Buildings_Heat_Backend[[#This Row],[Level 1]:[Level 6]]),rng_LevelsConcat,rng_UnitsLong))</f>
        <v/>
      </c>
      <c r="AF337" s="210" t="str">
        <f>IF(Buildings_Heat_Frontend[[#This Row],[Data]]="","", _xlfn.XLOOKUP(_xlfn.CONCAT(Buildings_Heat_Backend[[#This Row],[Level 1]:[Level 6]]),rng_EFConcat,rng_EF1)*Buildings_Heat_Backend[[#This Row],[Converted data]]/1000)</f>
        <v/>
      </c>
      <c r="AG337" s="210" t="str">
        <f>IF(Buildings_Heat_Frontend[[#This Row],[Data]]="","", _xlfn.XLOOKUP(_xlfn.CONCAT(Buildings_Heat_Backend[[#This Row],[Level 1]:[Level 6]]),rng_EFConcat,rng_EF2)*Buildings_Heat_Backend[[#This Row],[Converted data]]/1000)</f>
        <v/>
      </c>
      <c r="AH337" s="210" t="str">
        <f>IF(Buildings_Heat_Frontend[[#This Row],[Data]]="","", _xlfn.XLOOKUP(_xlfn.CONCAT(Buildings_Heat_Backend[[#This Row],[Level 1]:[Level 6]]),rng_EFConcat,rng_EF3)*Buildings_Heat_Backend[[#This Row],[Converted data]]/1000)</f>
        <v/>
      </c>
      <c r="AI337" s="210" t="str">
        <f>IF(Buildings_Heat_Frontend[[#This Row],[Data]]="","", _xlfn.XLOOKUP(_xlfn.CONCAT(Buildings_Heat_Backend[[#This Row],[Level 1]:[Level 6]]),rng_EFConcat,rng_EF3WTT)*Buildings_Heat_Backend[[#This Row],[Converted data]]/1000)</f>
        <v/>
      </c>
      <c r="AJ337" s="210" t="str">
        <f>IF(Buildings_Heat_Frontend[[#This Row],[Data]]="","", _xlfn.XLOOKUP(_xlfn.CONCAT(Buildings_Heat_Backend[[#This Row],[Level 1]:[Level 6]]),rng_EFConcat,rng_EF3TD)*Buildings_Heat_Backend[[#This Row],[Converted data]]/1000)</f>
        <v/>
      </c>
      <c r="AK337" s="210" t="str">
        <f>IF(Buildings_Heat_Frontend[[#This Row],[Data]]="","", _xlfn.XLOOKUP(_xlfn.CONCAT(Buildings_Heat_Backend[[#This Row],[Level 1]:[Level 6]]),rng_EFConcat,rng_EF3WTTTD)*Buildings_Heat_Backend[[#This Row],[Converted data]]/1000)</f>
        <v/>
      </c>
      <c r="AL337" s="220">
        <f>SUM(Buildings_Heat_Backend[[#This Row],[Scope 1 (tCO2e)]:[Scope 3 WTT T&amp;D (tCO2e)]])</f>
        <v>0</v>
      </c>
      <c r="AM337" s="220" t="str">
        <f>IF(Buildings_Heat_Frontend[[#This Row],[Data]]="","", Buildings_Heat_Backend[[#This Row],[Total (tCO2e)]]*(1-Buildings_Heat_Backend[[#This Row],[RSD]]))</f>
        <v/>
      </c>
      <c r="AN337" s="220" t="str">
        <f>IF(Buildings_Heat_Frontend[[#This Row],[Data]]="","", Buildings_Heat_Backend[[#This Row],[Total (tCO2e)]]*(1+Buildings_Heat_Backend[[#This Row],[RSD]]))</f>
        <v/>
      </c>
      <c r="AO337" s="210" t="str">
        <f>IF(Buildings_Heat_Frontend[[#This Row],[Data]]="","", _xlfn.XLOOKUP(_xlfn.CONCAT(Buildings_Heat_Backend[[#This Row],[Level 1]:[Level 6]]),rng_EFConcat,rng_EFOOS)*Buildings_Heat_Backend[[#This Row],[Converted data]]/1000)</f>
        <v/>
      </c>
      <c r="AP337" s="174">
        <f>Buildings_Heat_Frontend[[#This Row],[Ease of collection]]</f>
        <v>0</v>
      </c>
      <c r="AQ337" s="174">
        <f>Buildings_Heat_Frontend[[#This Row],[Completeness]]</f>
        <v>0</v>
      </c>
      <c r="AR337" s="174">
        <f>Buildings_Heat_Frontend[[#This Row],[Notes]]</f>
        <v>0</v>
      </c>
    </row>
    <row r="338" spans="5:44" x14ac:dyDescent="0.3">
      <c r="E338" s="346"/>
      <c r="F338" s="364"/>
      <c r="G338" s="336"/>
      <c r="H338" s="336"/>
      <c r="I338" s="336"/>
      <c r="J338" s="334"/>
      <c r="K338" s="336"/>
      <c r="L338" s="336"/>
      <c r="M338" s="336"/>
      <c r="N338" s="352"/>
      <c r="O338" s="230">
        <f t="shared" si="17"/>
        <v>6</v>
      </c>
      <c r="Q338" s="212" t="str">
        <f t="shared" si="15"/>
        <v/>
      </c>
      <c r="R338" s="174" t="s">
        <v>265</v>
      </c>
      <c r="S338" s="174" t="s">
        <v>273</v>
      </c>
      <c r="T338" s="174" t="str">
        <f>IF(Buildings_Heat_Frontend[[#This Row],[Data]]="","", _xlfn.XLOOKUP(Buildings_Heat_Backend[[#This Row],[Info 1]],Buildings_SiteInfo[Site name],Buildings_SiteInfo[Site type]))</f>
        <v/>
      </c>
      <c r="U338" s="174" t="str">
        <f>IF(Buildings_Heat_Frontend[[#This Row],[Data]]="","", Buildings_Heat_Frontend[[#This Row],[Heating Type]])</f>
        <v/>
      </c>
      <c r="V338" s="174" t="str">
        <f>IF(Buildings_Heat_Frontend[[#This Row],[Data]]="","", Buildings_Heat_Frontend[[#This Row],[Fuel]])</f>
        <v/>
      </c>
      <c r="W338" s="174" t="str" cm="1">
        <f t="array" ref="W338">IF(Buildings_Heat_Frontend[[#This Row],[Data]]="","", _xlfn.XLOOKUP(Buildings_Heat_Backend[[#This Row],[Level 5]],rng_Level5Long,rng_Level6Long))</f>
        <v/>
      </c>
      <c r="X338" s="174" t="str">
        <f>IF(Buildings_Heat_Frontend[[#This Row],[Data]]="","", Buildings_Heat_Frontend[[#This Row],[Site Name]])</f>
        <v/>
      </c>
      <c r="Y338" s="174" t="str">
        <f>IF(Buildings_Heat_Frontend[[#This Row],[Data]]="","", Buildings_Heat_Frontend[[#This Row],[MPRN]])</f>
        <v/>
      </c>
      <c r="Z338" s="174" t="str">
        <f>IF(Buildings_Heat_Frontend[[#This Row],[Data]]="","", IF($I338="","",$I338))</f>
        <v/>
      </c>
      <c r="AA338" s="229" t="str" cm="1">
        <f t="array" ref="AA338">IF(Buildings_Heat_Frontend[[#This Row],[Data]]="","", INDEX(_xlfn.SWITCH(Buildings_Heat_Backend[[#This Row],[Methodology]],"Tier 1",rng_RSD1,"Tier 2",rng_RSD2,"Tier 3",rng_RSD3),MATCH(_xlfn.CONCAT(Buildings_Heat_Backend[[#This Row],[Level 1]:[Level 6]]),rng_LevelsConcat,0)))</f>
        <v/>
      </c>
      <c r="AB338" s="220" t="str">
        <f t="shared" si="16"/>
        <v/>
      </c>
      <c r="AC338" s="174">
        <f>Buildings_Heat_Frontend[[#This Row],[Units]]</f>
        <v>0</v>
      </c>
      <c r="AD33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8" s="174" t="str">
        <f>IF(Buildings_Heat_Frontend[[#This Row],[Data]]="","", _xlfn.XLOOKUP(_xlfn.CONCAT(Buildings_Heat_Backend[[#This Row],[Level 1]:[Level 6]]),rng_LevelsConcat,rng_UnitsLong))</f>
        <v/>
      </c>
      <c r="AF338" s="210" t="str">
        <f>IF(Buildings_Heat_Frontend[[#This Row],[Data]]="","", _xlfn.XLOOKUP(_xlfn.CONCAT(Buildings_Heat_Backend[[#This Row],[Level 1]:[Level 6]]),rng_EFConcat,rng_EF1)*Buildings_Heat_Backend[[#This Row],[Converted data]]/1000)</f>
        <v/>
      </c>
      <c r="AG338" s="210" t="str">
        <f>IF(Buildings_Heat_Frontend[[#This Row],[Data]]="","", _xlfn.XLOOKUP(_xlfn.CONCAT(Buildings_Heat_Backend[[#This Row],[Level 1]:[Level 6]]),rng_EFConcat,rng_EF2)*Buildings_Heat_Backend[[#This Row],[Converted data]]/1000)</f>
        <v/>
      </c>
      <c r="AH338" s="210" t="str">
        <f>IF(Buildings_Heat_Frontend[[#This Row],[Data]]="","", _xlfn.XLOOKUP(_xlfn.CONCAT(Buildings_Heat_Backend[[#This Row],[Level 1]:[Level 6]]),rng_EFConcat,rng_EF3)*Buildings_Heat_Backend[[#This Row],[Converted data]]/1000)</f>
        <v/>
      </c>
      <c r="AI338" s="210" t="str">
        <f>IF(Buildings_Heat_Frontend[[#This Row],[Data]]="","", _xlfn.XLOOKUP(_xlfn.CONCAT(Buildings_Heat_Backend[[#This Row],[Level 1]:[Level 6]]),rng_EFConcat,rng_EF3WTT)*Buildings_Heat_Backend[[#This Row],[Converted data]]/1000)</f>
        <v/>
      </c>
      <c r="AJ338" s="210" t="str">
        <f>IF(Buildings_Heat_Frontend[[#This Row],[Data]]="","", _xlfn.XLOOKUP(_xlfn.CONCAT(Buildings_Heat_Backend[[#This Row],[Level 1]:[Level 6]]),rng_EFConcat,rng_EF3TD)*Buildings_Heat_Backend[[#This Row],[Converted data]]/1000)</f>
        <v/>
      </c>
      <c r="AK338" s="210" t="str">
        <f>IF(Buildings_Heat_Frontend[[#This Row],[Data]]="","", _xlfn.XLOOKUP(_xlfn.CONCAT(Buildings_Heat_Backend[[#This Row],[Level 1]:[Level 6]]),rng_EFConcat,rng_EF3WTTTD)*Buildings_Heat_Backend[[#This Row],[Converted data]]/1000)</f>
        <v/>
      </c>
      <c r="AL338" s="220">
        <f>SUM(Buildings_Heat_Backend[[#This Row],[Scope 1 (tCO2e)]:[Scope 3 WTT T&amp;D (tCO2e)]])</f>
        <v>0</v>
      </c>
      <c r="AM338" s="220" t="str">
        <f>IF(Buildings_Heat_Frontend[[#This Row],[Data]]="","", Buildings_Heat_Backend[[#This Row],[Total (tCO2e)]]*(1-Buildings_Heat_Backend[[#This Row],[RSD]]))</f>
        <v/>
      </c>
      <c r="AN338" s="220" t="str">
        <f>IF(Buildings_Heat_Frontend[[#This Row],[Data]]="","", Buildings_Heat_Backend[[#This Row],[Total (tCO2e)]]*(1+Buildings_Heat_Backend[[#This Row],[RSD]]))</f>
        <v/>
      </c>
      <c r="AO338" s="210" t="str">
        <f>IF(Buildings_Heat_Frontend[[#This Row],[Data]]="","", _xlfn.XLOOKUP(_xlfn.CONCAT(Buildings_Heat_Backend[[#This Row],[Level 1]:[Level 6]]),rng_EFConcat,rng_EFOOS)*Buildings_Heat_Backend[[#This Row],[Converted data]]/1000)</f>
        <v/>
      </c>
      <c r="AP338" s="174">
        <f>Buildings_Heat_Frontend[[#This Row],[Ease of collection]]</f>
        <v>0</v>
      </c>
      <c r="AQ338" s="174">
        <f>Buildings_Heat_Frontend[[#This Row],[Completeness]]</f>
        <v>0</v>
      </c>
      <c r="AR338" s="174">
        <f>Buildings_Heat_Frontend[[#This Row],[Notes]]</f>
        <v>0</v>
      </c>
    </row>
    <row r="339" spans="5:44" x14ac:dyDescent="0.3">
      <c r="E339" s="346"/>
      <c r="F339" s="364"/>
      <c r="G339" s="336"/>
      <c r="H339" s="336"/>
      <c r="I339" s="336"/>
      <c r="J339" s="334"/>
      <c r="K339" s="336"/>
      <c r="L339" s="336"/>
      <c r="M339" s="336"/>
      <c r="N339" s="352"/>
      <c r="O339" s="230">
        <f t="shared" si="17"/>
        <v>6</v>
      </c>
      <c r="Q339" s="212" t="str">
        <f t="shared" si="15"/>
        <v/>
      </c>
      <c r="R339" s="174" t="s">
        <v>265</v>
      </c>
      <c r="S339" s="174" t="s">
        <v>273</v>
      </c>
      <c r="T339" s="174" t="str">
        <f>IF(Buildings_Heat_Frontend[[#This Row],[Data]]="","", _xlfn.XLOOKUP(Buildings_Heat_Backend[[#This Row],[Info 1]],Buildings_SiteInfo[Site name],Buildings_SiteInfo[Site type]))</f>
        <v/>
      </c>
      <c r="U339" s="174" t="str">
        <f>IF(Buildings_Heat_Frontend[[#This Row],[Data]]="","", Buildings_Heat_Frontend[[#This Row],[Heating Type]])</f>
        <v/>
      </c>
      <c r="V339" s="174" t="str">
        <f>IF(Buildings_Heat_Frontend[[#This Row],[Data]]="","", Buildings_Heat_Frontend[[#This Row],[Fuel]])</f>
        <v/>
      </c>
      <c r="W339" s="174" t="str" cm="1">
        <f t="array" ref="W339">IF(Buildings_Heat_Frontend[[#This Row],[Data]]="","", _xlfn.XLOOKUP(Buildings_Heat_Backend[[#This Row],[Level 5]],rng_Level5Long,rng_Level6Long))</f>
        <v/>
      </c>
      <c r="X339" s="174" t="str">
        <f>IF(Buildings_Heat_Frontend[[#This Row],[Data]]="","", Buildings_Heat_Frontend[[#This Row],[Site Name]])</f>
        <v/>
      </c>
      <c r="Y339" s="174" t="str">
        <f>IF(Buildings_Heat_Frontend[[#This Row],[Data]]="","", Buildings_Heat_Frontend[[#This Row],[MPRN]])</f>
        <v/>
      </c>
      <c r="Z339" s="174" t="str">
        <f>IF(Buildings_Heat_Frontend[[#This Row],[Data]]="","", IF($I339="","",$I339))</f>
        <v/>
      </c>
      <c r="AA339" s="229" t="str" cm="1">
        <f t="array" ref="AA339">IF(Buildings_Heat_Frontend[[#This Row],[Data]]="","", INDEX(_xlfn.SWITCH(Buildings_Heat_Backend[[#This Row],[Methodology]],"Tier 1",rng_RSD1,"Tier 2",rng_RSD2,"Tier 3",rng_RSD3),MATCH(_xlfn.CONCAT(Buildings_Heat_Backend[[#This Row],[Level 1]:[Level 6]]),rng_LevelsConcat,0)))</f>
        <v/>
      </c>
      <c r="AB339" s="220" t="str">
        <f t="shared" si="16"/>
        <v/>
      </c>
      <c r="AC339" s="174">
        <f>Buildings_Heat_Frontend[[#This Row],[Units]]</f>
        <v>0</v>
      </c>
      <c r="AD33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39" s="174" t="str">
        <f>IF(Buildings_Heat_Frontend[[#This Row],[Data]]="","", _xlfn.XLOOKUP(_xlfn.CONCAT(Buildings_Heat_Backend[[#This Row],[Level 1]:[Level 6]]),rng_LevelsConcat,rng_UnitsLong))</f>
        <v/>
      </c>
      <c r="AF339" s="210" t="str">
        <f>IF(Buildings_Heat_Frontend[[#This Row],[Data]]="","", _xlfn.XLOOKUP(_xlfn.CONCAT(Buildings_Heat_Backend[[#This Row],[Level 1]:[Level 6]]),rng_EFConcat,rng_EF1)*Buildings_Heat_Backend[[#This Row],[Converted data]]/1000)</f>
        <v/>
      </c>
      <c r="AG339" s="210" t="str">
        <f>IF(Buildings_Heat_Frontend[[#This Row],[Data]]="","", _xlfn.XLOOKUP(_xlfn.CONCAT(Buildings_Heat_Backend[[#This Row],[Level 1]:[Level 6]]),rng_EFConcat,rng_EF2)*Buildings_Heat_Backend[[#This Row],[Converted data]]/1000)</f>
        <v/>
      </c>
      <c r="AH339" s="210" t="str">
        <f>IF(Buildings_Heat_Frontend[[#This Row],[Data]]="","", _xlfn.XLOOKUP(_xlfn.CONCAT(Buildings_Heat_Backend[[#This Row],[Level 1]:[Level 6]]),rng_EFConcat,rng_EF3)*Buildings_Heat_Backend[[#This Row],[Converted data]]/1000)</f>
        <v/>
      </c>
      <c r="AI339" s="210" t="str">
        <f>IF(Buildings_Heat_Frontend[[#This Row],[Data]]="","", _xlfn.XLOOKUP(_xlfn.CONCAT(Buildings_Heat_Backend[[#This Row],[Level 1]:[Level 6]]),rng_EFConcat,rng_EF3WTT)*Buildings_Heat_Backend[[#This Row],[Converted data]]/1000)</f>
        <v/>
      </c>
      <c r="AJ339" s="210" t="str">
        <f>IF(Buildings_Heat_Frontend[[#This Row],[Data]]="","", _xlfn.XLOOKUP(_xlfn.CONCAT(Buildings_Heat_Backend[[#This Row],[Level 1]:[Level 6]]),rng_EFConcat,rng_EF3TD)*Buildings_Heat_Backend[[#This Row],[Converted data]]/1000)</f>
        <v/>
      </c>
      <c r="AK339" s="210" t="str">
        <f>IF(Buildings_Heat_Frontend[[#This Row],[Data]]="","", _xlfn.XLOOKUP(_xlfn.CONCAT(Buildings_Heat_Backend[[#This Row],[Level 1]:[Level 6]]),rng_EFConcat,rng_EF3WTTTD)*Buildings_Heat_Backend[[#This Row],[Converted data]]/1000)</f>
        <v/>
      </c>
      <c r="AL339" s="220">
        <f>SUM(Buildings_Heat_Backend[[#This Row],[Scope 1 (tCO2e)]:[Scope 3 WTT T&amp;D (tCO2e)]])</f>
        <v>0</v>
      </c>
      <c r="AM339" s="220" t="str">
        <f>IF(Buildings_Heat_Frontend[[#This Row],[Data]]="","", Buildings_Heat_Backend[[#This Row],[Total (tCO2e)]]*(1-Buildings_Heat_Backend[[#This Row],[RSD]]))</f>
        <v/>
      </c>
      <c r="AN339" s="220" t="str">
        <f>IF(Buildings_Heat_Frontend[[#This Row],[Data]]="","", Buildings_Heat_Backend[[#This Row],[Total (tCO2e)]]*(1+Buildings_Heat_Backend[[#This Row],[RSD]]))</f>
        <v/>
      </c>
      <c r="AO339" s="210" t="str">
        <f>IF(Buildings_Heat_Frontend[[#This Row],[Data]]="","", _xlfn.XLOOKUP(_xlfn.CONCAT(Buildings_Heat_Backend[[#This Row],[Level 1]:[Level 6]]),rng_EFConcat,rng_EFOOS)*Buildings_Heat_Backend[[#This Row],[Converted data]]/1000)</f>
        <v/>
      </c>
      <c r="AP339" s="174">
        <f>Buildings_Heat_Frontend[[#This Row],[Ease of collection]]</f>
        <v>0</v>
      </c>
      <c r="AQ339" s="174">
        <f>Buildings_Heat_Frontend[[#This Row],[Completeness]]</f>
        <v>0</v>
      </c>
      <c r="AR339" s="174">
        <f>Buildings_Heat_Frontend[[#This Row],[Notes]]</f>
        <v>0</v>
      </c>
    </row>
    <row r="340" spans="5:44" x14ac:dyDescent="0.3">
      <c r="E340" s="346"/>
      <c r="F340" s="364"/>
      <c r="G340" s="336"/>
      <c r="H340" s="336"/>
      <c r="I340" s="336"/>
      <c r="J340" s="334"/>
      <c r="K340" s="336"/>
      <c r="L340" s="336"/>
      <c r="M340" s="336"/>
      <c r="N340" s="352"/>
      <c r="O340" s="230">
        <f t="shared" si="17"/>
        <v>6</v>
      </c>
      <c r="Q340" s="212" t="str">
        <f t="shared" si="15"/>
        <v/>
      </c>
      <c r="R340" s="174" t="s">
        <v>265</v>
      </c>
      <c r="S340" s="174" t="s">
        <v>273</v>
      </c>
      <c r="T340" s="174" t="str">
        <f>IF(Buildings_Heat_Frontend[[#This Row],[Data]]="","", _xlfn.XLOOKUP(Buildings_Heat_Backend[[#This Row],[Info 1]],Buildings_SiteInfo[Site name],Buildings_SiteInfo[Site type]))</f>
        <v/>
      </c>
      <c r="U340" s="174" t="str">
        <f>IF(Buildings_Heat_Frontend[[#This Row],[Data]]="","", Buildings_Heat_Frontend[[#This Row],[Heating Type]])</f>
        <v/>
      </c>
      <c r="V340" s="174" t="str">
        <f>IF(Buildings_Heat_Frontend[[#This Row],[Data]]="","", Buildings_Heat_Frontend[[#This Row],[Fuel]])</f>
        <v/>
      </c>
      <c r="W340" s="174" t="str" cm="1">
        <f t="array" ref="W340">IF(Buildings_Heat_Frontend[[#This Row],[Data]]="","", _xlfn.XLOOKUP(Buildings_Heat_Backend[[#This Row],[Level 5]],rng_Level5Long,rng_Level6Long))</f>
        <v/>
      </c>
      <c r="X340" s="174" t="str">
        <f>IF(Buildings_Heat_Frontend[[#This Row],[Data]]="","", Buildings_Heat_Frontend[[#This Row],[Site Name]])</f>
        <v/>
      </c>
      <c r="Y340" s="174" t="str">
        <f>IF(Buildings_Heat_Frontend[[#This Row],[Data]]="","", Buildings_Heat_Frontend[[#This Row],[MPRN]])</f>
        <v/>
      </c>
      <c r="Z340" s="174" t="str">
        <f>IF(Buildings_Heat_Frontend[[#This Row],[Data]]="","", IF($I340="","",$I340))</f>
        <v/>
      </c>
      <c r="AA340" s="229" t="str" cm="1">
        <f t="array" ref="AA340">IF(Buildings_Heat_Frontend[[#This Row],[Data]]="","", INDEX(_xlfn.SWITCH(Buildings_Heat_Backend[[#This Row],[Methodology]],"Tier 1",rng_RSD1,"Tier 2",rng_RSD2,"Tier 3",rng_RSD3),MATCH(_xlfn.CONCAT(Buildings_Heat_Backend[[#This Row],[Level 1]:[Level 6]]),rng_LevelsConcat,0)))</f>
        <v/>
      </c>
      <c r="AB340" s="220" t="str">
        <f t="shared" si="16"/>
        <v/>
      </c>
      <c r="AC340" s="174">
        <f>Buildings_Heat_Frontend[[#This Row],[Units]]</f>
        <v>0</v>
      </c>
      <c r="AD34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0" s="174" t="str">
        <f>IF(Buildings_Heat_Frontend[[#This Row],[Data]]="","", _xlfn.XLOOKUP(_xlfn.CONCAT(Buildings_Heat_Backend[[#This Row],[Level 1]:[Level 6]]),rng_LevelsConcat,rng_UnitsLong))</f>
        <v/>
      </c>
      <c r="AF340" s="210" t="str">
        <f>IF(Buildings_Heat_Frontend[[#This Row],[Data]]="","", _xlfn.XLOOKUP(_xlfn.CONCAT(Buildings_Heat_Backend[[#This Row],[Level 1]:[Level 6]]),rng_EFConcat,rng_EF1)*Buildings_Heat_Backend[[#This Row],[Converted data]]/1000)</f>
        <v/>
      </c>
      <c r="AG340" s="210" t="str">
        <f>IF(Buildings_Heat_Frontend[[#This Row],[Data]]="","", _xlfn.XLOOKUP(_xlfn.CONCAT(Buildings_Heat_Backend[[#This Row],[Level 1]:[Level 6]]),rng_EFConcat,rng_EF2)*Buildings_Heat_Backend[[#This Row],[Converted data]]/1000)</f>
        <v/>
      </c>
      <c r="AH340" s="210" t="str">
        <f>IF(Buildings_Heat_Frontend[[#This Row],[Data]]="","", _xlfn.XLOOKUP(_xlfn.CONCAT(Buildings_Heat_Backend[[#This Row],[Level 1]:[Level 6]]),rng_EFConcat,rng_EF3)*Buildings_Heat_Backend[[#This Row],[Converted data]]/1000)</f>
        <v/>
      </c>
      <c r="AI340" s="210" t="str">
        <f>IF(Buildings_Heat_Frontend[[#This Row],[Data]]="","", _xlfn.XLOOKUP(_xlfn.CONCAT(Buildings_Heat_Backend[[#This Row],[Level 1]:[Level 6]]),rng_EFConcat,rng_EF3WTT)*Buildings_Heat_Backend[[#This Row],[Converted data]]/1000)</f>
        <v/>
      </c>
      <c r="AJ340" s="210" t="str">
        <f>IF(Buildings_Heat_Frontend[[#This Row],[Data]]="","", _xlfn.XLOOKUP(_xlfn.CONCAT(Buildings_Heat_Backend[[#This Row],[Level 1]:[Level 6]]),rng_EFConcat,rng_EF3TD)*Buildings_Heat_Backend[[#This Row],[Converted data]]/1000)</f>
        <v/>
      </c>
      <c r="AK340" s="210" t="str">
        <f>IF(Buildings_Heat_Frontend[[#This Row],[Data]]="","", _xlfn.XLOOKUP(_xlfn.CONCAT(Buildings_Heat_Backend[[#This Row],[Level 1]:[Level 6]]),rng_EFConcat,rng_EF3WTTTD)*Buildings_Heat_Backend[[#This Row],[Converted data]]/1000)</f>
        <v/>
      </c>
      <c r="AL340" s="220">
        <f>SUM(Buildings_Heat_Backend[[#This Row],[Scope 1 (tCO2e)]:[Scope 3 WTT T&amp;D (tCO2e)]])</f>
        <v>0</v>
      </c>
      <c r="AM340" s="220" t="str">
        <f>IF(Buildings_Heat_Frontend[[#This Row],[Data]]="","", Buildings_Heat_Backend[[#This Row],[Total (tCO2e)]]*(1-Buildings_Heat_Backend[[#This Row],[RSD]]))</f>
        <v/>
      </c>
      <c r="AN340" s="220" t="str">
        <f>IF(Buildings_Heat_Frontend[[#This Row],[Data]]="","", Buildings_Heat_Backend[[#This Row],[Total (tCO2e)]]*(1+Buildings_Heat_Backend[[#This Row],[RSD]]))</f>
        <v/>
      </c>
      <c r="AO340" s="210" t="str">
        <f>IF(Buildings_Heat_Frontend[[#This Row],[Data]]="","", _xlfn.XLOOKUP(_xlfn.CONCAT(Buildings_Heat_Backend[[#This Row],[Level 1]:[Level 6]]),rng_EFConcat,rng_EFOOS)*Buildings_Heat_Backend[[#This Row],[Converted data]]/1000)</f>
        <v/>
      </c>
      <c r="AP340" s="174">
        <f>Buildings_Heat_Frontend[[#This Row],[Ease of collection]]</f>
        <v>0</v>
      </c>
      <c r="AQ340" s="174">
        <f>Buildings_Heat_Frontend[[#This Row],[Completeness]]</f>
        <v>0</v>
      </c>
      <c r="AR340" s="174">
        <f>Buildings_Heat_Frontend[[#This Row],[Notes]]</f>
        <v>0</v>
      </c>
    </row>
    <row r="341" spans="5:44" x14ac:dyDescent="0.3">
      <c r="E341" s="346"/>
      <c r="F341" s="364"/>
      <c r="G341" s="336"/>
      <c r="H341" s="336"/>
      <c r="I341" s="336"/>
      <c r="J341" s="334"/>
      <c r="K341" s="336"/>
      <c r="L341" s="336"/>
      <c r="M341" s="336"/>
      <c r="N341" s="352"/>
      <c r="O341" s="230">
        <f t="shared" si="17"/>
        <v>6</v>
      </c>
      <c r="Q341" s="212" t="str">
        <f t="shared" si="15"/>
        <v/>
      </c>
      <c r="R341" s="174" t="s">
        <v>265</v>
      </c>
      <c r="S341" s="174" t="s">
        <v>273</v>
      </c>
      <c r="T341" s="174" t="str">
        <f>IF(Buildings_Heat_Frontend[[#This Row],[Data]]="","", _xlfn.XLOOKUP(Buildings_Heat_Backend[[#This Row],[Info 1]],Buildings_SiteInfo[Site name],Buildings_SiteInfo[Site type]))</f>
        <v/>
      </c>
      <c r="U341" s="174" t="str">
        <f>IF(Buildings_Heat_Frontend[[#This Row],[Data]]="","", Buildings_Heat_Frontend[[#This Row],[Heating Type]])</f>
        <v/>
      </c>
      <c r="V341" s="174" t="str">
        <f>IF(Buildings_Heat_Frontend[[#This Row],[Data]]="","", Buildings_Heat_Frontend[[#This Row],[Fuel]])</f>
        <v/>
      </c>
      <c r="W341" s="174" t="str" cm="1">
        <f t="array" ref="W341">IF(Buildings_Heat_Frontend[[#This Row],[Data]]="","", _xlfn.XLOOKUP(Buildings_Heat_Backend[[#This Row],[Level 5]],rng_Level5Long,rng_Level6Long))</f>
        <v/>
      </c>
      <c r="X341" s="174" t="str">
        <f>IF(Buildings_Heat_Frontend[[#This Row],[Data]]="","", Buildings_Heat_Frontend[[#This Row],[Site Name]])</f>
        <v/>
      </c>
      <c r="Y341" s="174" t="str">
        <f>IF(Buildings_Heat_Frontend[[#This Row],[Data]]="","", Buildings_Heat_Frontend[[#This Row],[MPRN]])</f>
        <v/>
      </c>
      <c r="Z341" s="174" t="str">
        <f>IF(Buildings_Heat_Frontend[[#This Row],[Data]]="","", IF($I341="","",$I341))</f>
        <v/>
      </c>
      <c r="AA341" s="229" t="str" cm="1">
        <f t="array" ref="AA341">IF(Buildings_Heat_Frontend[[#This Row],[Data]]="","", INDEX(_xlfn.SWITCH(Buildings_Heat_Backend[[#This Row],[Methodology]],"Tier 1",rng_RSD1,"Tier 2",rng_RSD2,"Tier 3",rng_RSD3),MATCH(_xlfn.CONCAT(Buildings_Heat_Backend[[#This Row],[Level 1]:[Level 6]]),rng_LevelsConcat,0)))</f>
        <v/>
      </c>
      <c r="AB341" s="220" t="str">
        <f t="shared" si="16"/>
        <v/>
      </c>
      <c r="AC341" s="174">
        <f>Buildings_Heat_Frontend[[#This Row],[Units]]</f>
        <v>0</v>
      </c>
      <c r="AD34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1" s="174" t="str">
        <f>IF(Buildings_Heat_Frontend[[#This Row],[Data]]="","", _xlfn.XLOOKUP(_xlfn.CONCAT(Buildings_Heat_Backend[[#This Row],[Level 1]:[Level 6]]),rng_LevelsConcat,rng_UnitsLong))</f>
        <v/>
      </c>
      <c r="AF341" s="210" t="str">
        <f>IF(Buildings_Heat_Frontend[[#This Row],[Data]]="","", _xlfn.XLOOKUP(_xlfn.CONCAT(Buildings_Heat_Backend[[#This Row],[Level 1]:[Level 6]]),rng_EFConcat,rng_EF1)*Buildings_Heat_Backend[[#This Row],[Converted data]]/1000)</f>
        <v/>
      </c>
      <c r="AG341" s="210" t="str">
        <f>IF(Buildings_Heat_Frontend[[#This Row],[Data]]="","", _xlfn.XLOOKUP(_xlfn.CONCAT(Buildings_Heat_Backend[[#This Row],[Level 1]:[Level 6]]),rng_EFConcat,rng_EF2)*Buildings_Heat_Backend[[#This Row],[Converted data]]/1000)</f>
        <v/>
      </c>
      <c r="AH341" s="210" t="str">
        <f>IF(Buildings_Heat_Frontend[[#This Row],[Data]]="","", _xlfn.XLOOKUP(_xlfn.CONCAT(Buildings_Heat_Backend[[#This Row],[Level 1]:[Level 6]]),rng_EFConcat,rng_EF3)*Buildings_Heat_Backend[[#This Row],[Converted data]]/1000)</f>
        <v/>
      </c>
      <c r="AI341" s="210" t="str">
        <f>IF(Buildings_Heat_Frontend[[#This Row],[Data]]="","", _xlfn.XLOOKUP(_xlfn.CONCAT(Buildings_Heat_Backend[[#This Row],[Level 1]:[Level 6]]),rng_EFConcat,rng_EF3WTT)*Buildings_Heat_Backend[[#This Row],[Converted data]]/1000)</f>
        <v/>
      </c>
      <c r="AJ341" s="210" t="str">
        <f>IF(Buildings_Heat_Frontend[[#This Row],[Data]]="","", _xlfn.XLOOKUP(_xlfn.CONCAT(Buildings_Heat_Backend[[#This Row],[Level 1]:[Level 6]]),rng_EFConcat,rng_EF3TD)*Buildings_Heat_Backend[[#This Row],[Converted data]]/1000)</f>
        <v/>
      </c>
      <c r="AK341" s="210" t="str">
        <f>IF(Buildings_Heat_Frontend[[#This Row],[Data]]="","", _xlfn.XLOOKUP(_xlfn.CONCAT(Buildings_Heat_Backend[[#This Row],[Level 1]:[Level 6]]),rng_EFConcat,rng_EF3WTTTD)*Buildings_Heat_Backend[[#This Row],[Converted data]]/1000)</f>
        <v/>
      </c>
      <c r="AL341" s="220">
        <f>SUM(Buildings_Heat_Backend[[#This Row],[Scope 1 (tCO2e)]:[Scope 3 WTT T&amp;D (tCO2e)]])</f>
        <v>0</v>
      </c>
      <c r="AM341" s="220" t="str">
        <f>IF(Buildings_Heat_Frontend[[#This Row],[Data]]="","", Buildings_Heat_Backend[[#This Row],[Total (tCO2e)]]*(1-Buildings_Heat_Backend[[#This Row],[RSD]]))</f>
        <v/>
      </c>
      <c r="AN341" s="220" t="str">
        <f>IF(Buildings_Heat_Frontend[[#This Row],[Data]]="","", Buildings_Heat_Backend[[#This Row],[Total (tCO2e)]]*(1+Buildings_Heat_Backend[[#This Row],[RSD]]))</f>
        <v/>
      </c>
      <c r="AO341" s="210" t="str">
        <f>IF(Buildings_Heat_Frontend[[#This Row],[Data]]="","", _xlfn.XLOOKUP(_xlfn.CONCAT(Buildings_Heat_Backend[[#This Row],[Level 1]:[Level 6]]),rng_EFConcat,rng_EFOOS)*Buildings_Heat_Backend[[#This Row],[Converted data]]/1000)</f>
        <v/>
      </c>
      <c r="AP341" s="174">
        <f>Buildings_Heat_Frontend[[#This Row],[Ease of collection]]</f>
        <v>0</v>
      </c>
      <c r="AQ341" s="174">
        <f>Buildings_Heat_Frontend[[#This Row],[Completeness]]</f>
        <v>0</v>
      </c>
      <c r="AR341" s="174">
        <f>Buildings_Heat_Frontend[[#This Row],[Notes]]</f>
        <v>0</v>
      </c>
    </row>
    <row r="342" spans="5:44" x14ac:dyDescent="0.3">
      <c r="E342" s="346"/>
      <c r="F342" s="364"/>
      <c r="G342" s="336"/>
      <c r="H342" s="336"/>
      <c r="I342" s="336"/>
      <c r="J342" s="334"/>
      <c r="K342" s="336"/>
      <c r="L342" s="336"/>
      <c r="M342" s="336"/>
      <c r="N342" s="352"/>
      <c r="O342" s="230">
        <f t="shared" si="17"/>
        <v>6</v>
      </c>
      <c r="Q342" s="212" t="str">
        <f t="shared" si="15"/>
        <v/>
      </c>
      <c r="R342" s="174" t="s">
        <v>265</v>
      </c>
      <c r="S342" s="174" t="s">
        <v>273</v>
      </c>
      <c r="T342" s="174" t="str">
        <f>IF(Buildings_Heat_Frontend[[#This Row],[Data]]="","", _xlfn.XLOOKUP(Buildings_Heat_Backend[[#This Row],[Info 1]],Buildings_SiteInfo[Site name],Buildings_SiteInfo[Site type]))</f>
        <v/>
      </c>
      <c r="U342" s="174" t="str">
        <f>IF(Buildings_Heat_Frontend[[#This Row],[Data]]="","", Buildings_Heat_Frontend[[#This Row],[Heating Type]])</f>
        <v/>
      </c>
      <c r="V342" s="174" t="str">
        <f>IF(Buildings_Heat_Frontend[[#This Row],[Data]]="","", Buildings_Heat_Frontend[[#This Row],[Fuel]])</f>
        <v/>
      </c>
      <c r="W342" s="174" t="str" cm="1">
        <f t="array" ref="W342">IF(Buildings_Heat_Frontend[[#This Row],[Data]]="","", _xlfn.XLOOKUP(Buildings_Heat_Backend[[#This Row],[Level 5]],rng_Level5Long,rng_Level6Long))</f>
        <v/>
      </c>
      <c r="X342" s="174" t="str">
        <f>IF(Buildings_Heat_Frontend[[#This Row],[Data]]="","", Buildings_Heat_Frontend[[#This Row],[Site Name]])</f>
        <v/>
      </c>
      <c r="Y342" s="174" t="str">
        <f>IF(Buildings_Heat_Frontend[[#This Row],[Data]]="","", Buildings_Heat_Frontend[[#This Row],[MPRN]])</f>
        <v/>
      </c>
      <c r="Z342" s="174" t="str">
        <f>IF(Buildings_Heat_Frontend[[#This Row],[Data]]="","", IF($I342="","",$I342))</f>
        <v/>
      </c>
      <c r="AA342" s="229" t="str" cm="1">
        <f t="array" ref="AA342">IF(Buildings_Heat_Frontend[[#This Row],[Data]]="","", INDEX(_xlfn.SWITCH(Buildings_Heat_Backend[[#This Row],[Methodology]],"Tier 1",rng_RSD1,"Tier 2",rng_RSD2,"Tier 3",rng_RSD3),MATCH(_xlfn.CONCAT(Buildings_Heat_Backend[[#This Row],[Level 1]:[Level 6]]),rng_LevelsConcat,0)))</f>
        <v/>
      </c>
      <c r="AB342" s="220" t="str">
        <f t="shared" si="16"/>
        <v/>
      </c>
      <c r="AC342" s="174">
        <f>Buildings_Heat_Frontend[[#This Row],[Units]]</f>
        <v>0</v>
      </c>
      <c r="AD34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2" s="174" t="str">
        <f>IF(Buildings_Heat_Frontend[[#This Row],[Data]]="","", _xlfn.XLOOKUP(_xlfn.CONCAT(Buildings_Heat_Backend[[#This Row],[Level 1]:[Level 6]]),rng_LevelsConcat,rng_UnitsLong))</f>
        <v/>
      </c>
      <c r="AF342" s="210" t="str">
        <f>IF(Buildings_Heat_Frontend[[#This Row],[Data]]="","", _xlfn.XLOOKUP(_xlfn.CONCAT(Buildings_Heat_Backend[[#This Row],[Level 1]:[Level 6]]),rng_EFConcat,rng_EF1)*Buildings_Heat_Backend[[#This Row],[Converted data]]/1000)</f>
        <v/>
      </c>
      <c r="AG342" s="210" t="str">
        <f>IF(Buildings_Heat_Frontend[[#This Row],[Data]]="","", _xlfn.XLOOKUP(_xlfn.CONCAT(Buildings_Heat_Backend[[#This Row],[Level 1]:[Level 6]]),rng_EFConcat,rng_EF2)*Buildings_Heat_Backend[[#This Row],[Converted data]]/1000)</f>
        <v/>
      </c>
      <c r="AH342" s="210" t="str">
        <f>IF(Buildings_Heat_Frontend[[#This Row],[Data]]="","", _xlfn.XLOOKUP(_xlfn.CONCAT(Buildings_Heat_Backend[[#This Row],[Level 1]:[Level 6]]),rng_EFConcat,rng_EF3)*Buildings_Heat_Backend[[#This Row],[Converted data]]/1000)</f>
        <v/>
      </c>
      <c r="AI342" s="210" t="str">
        <f>IF(Buildings_Heat_Frontend[[#This Row],[Data]]="","", _xlfn.XLOOKUP(_xlfn.CONCAT(Buildings_Heat_Backend[[#This Row],[Level 1]:[Level 6]]),rng_EFConcat,rng_EF3WTT)*Buildings_Heat_Backend[[#This Row],[Converted data]]/1000)</f>
        <v/>
      </c>
      <c r="AJ342" s="210" t="str">
        <f>IF(Buildings_Heat_Frontend[[#This Row],[Data]]="","", _xlfn.XLOOKUP(_xlfn.CONCAT(Buildings_Heat_Backend[[#This Row],[Level 1]:[Level 6]]),rng_EFConcat,rng_EF3TD)*Buildings_Heat_Backend[[#This Row],[Converted data]]/1000)</f>
        <v/>
      </c>
      <c r="AK342" s="210" t="str">
        <f>IF(Buildings_Heat_Frontend[[#This Row],[Data]]="","", _xlfn.XLOOKUP(_xlfn.CONCAT(Buildings_Heat_Backend[[#This Row],[Level 1]:[Level 6]]),rng_EFConcat,rng_EF3WTTTD)*Buildings_Heat_Backend[[#This Row],[Converted data]]/1000)</f>
        <v/>
      </c>
      <c r="AL342" s="220">
        <f>SUM(Buildings_Heat_Backend[[#This Row],[Scope 1 (tCO2e)]:[Scope 3 WTT T&amp;D (tCO2e)]])</f>
        <v>0</v>
      </c>
      <c r="AM342" s="220" t="str">
        <f>IF(Buildings_Heat_Frontend[[#This Row],[Data]]="","", Buildings_Heat_Backend[[#This Row],[Total (tCO2e)]]*(1-Buildings_Heat_Backend[[#This Row],[RSD]]))</f>
        <v/>
      </c>
      <c r="AN342" s="220" t="str">
        <f>IF(Buildings_Heat_Frontend[[#This Row],[Data]]="","", Buildings_Heat_Backend[[#This Row],[Total (tCO2e)]]*(1+Buildings_Heat_Backend[[#This Row],[RSD]]))</f>
        <v/>
      </c>
      <c r="AO342" s="210" t="str">
        <f>IF(Buildings_Heat_Frontend[[#This Row],[Data]]="","", _xlfn.XLOOKUP(_xlfn.CONCAT(Buildings_Heat_Backend[[#This Row],[Level 1]:[Level 6]]),rng_EFConcat,rng_EFOOS)*Buildings_Heat_Backend[[#This Row],[Converted data]]/1000)</f>
        <v/>
      </c>
      <c r="AP342" s="174">
        <f>Buildings_Heat_Frontend[[#This Row],[Ease of collection]]</f>
        <v>0</v>
      </c>
      <c r="AQ342" s="174">
        <f>Buildings_Heat_Frontend[[#This Row],[Completeness]]</f>
        <v>0</v>
      </c>
      <c r="AR342" s="174">
        <f>Buildings_Heat_Frontend[[#This Row],[Notes]]</f>
        <v>0</v>
      </c>
    </row>
    <row r="343" spans="5:44" x14ac:dyDescent="0.3">
      <c r="E343" s="346"/>
      <c r="F343" s="364"/>
      <c r="G343" s="336"/>
      <c r="H343" s="336"/>
      <c r="I343" s="336"/>
      <c r="J343" s="334"/>
      <c r="K343" s="336"/>
      <c r="L343" s="336"/>
      <c r="M343" s="336"/>
      <c r="N343" s="352"/>
      <c r="O343" s="230">
        <f t="shared" si="17"/>
        <v>6</v>
      </c>
      <c r="Q343" s="212" t="str">
        <f t="shared" si="15"/>
        <v/>
      </c>
      <c r="R343" s="174" t="s">
        <v>265</v>
      </c>
      <c r="S343" s="174" t="s">
        <v>273</v>
      </c>
      <c r="T343" s="174" t="str">
        <f>IF(Buildings_Heat_Frontend[[#This Row],[Data]]="","", _xlfn.XLOOKUP(Buildings_Heat_Backend[[#This Row],[Info 1]],Buildings_SiteInfo[Site name],Buildings_SiteInfo[Site type]))</f>
        <v/>
      </c>
      <c r="U343" s="174" t="str">
        <f>IF(Buildings_Heat_Frontend[[#This Row],[Data]]="","", Buildings_Heat_Frontend[[#This Row],[Heating Type]])</f>
        <v/>
      </c>
      <c r="V343" s="174" t="str">
        <f>IF(Buildings_Heat_Frontend[[#This Row],[Data]]="","", Buildings_Heat_Frontend[[#This Row],[Fuel]])</f>
        <v/>
      </c>
      <c r="W343" s="174" t="str" cm="1">
        <f t="array" ref="W343">IF(Buildings_Heat_Frontend[[#This Row],[Data]]="","", _xlfn.XLOOKUP(Buildings_Heat_Backend[[#This Row],[Level 5]],rng_Level5Long,rng_Level6Long))</f>
        <v/>
      </c>
      <c r="X343" s="174" t="str">
        <f>IF(Buildings_Heat_Frontend[[#This Row],[Data]]="","", Buildings_Heat_Frontend[[#This Row],[Site Name]])</f>
        <v/>
      </c>
      <c r="Y343" s="174" t="str">
        <f>IF(Buildings_Heat_Frontend[[#This Row],[Data]]="","", Buildings_Heat_Frontend[[#This Row],[MPRN]])</f>
        <v/>
      </c>
      <c r="Z343" s="174" t="str">
        <f>IF(Buildings_Heat_Frontend[[#This Row],[Data]]="","", IF($I343="","",$I343))</f>
        <v/>
      </c>
      <c r="AA343" s="229" t="str" cm="1">
        <f t="array" ref="AA343">IF(Buildings_Heat_Frontend[[#This Row],[Data]]="","", INDEX(_xlfn.SWITCH(Buildings_Heat_Backend[[#This Row],[Methodology]],"Tier 1",rng_RSD1,"Tier 2",rng_RSD2,"Tier 3",rng_RSD3),MATCH(_xlfn.CONCAT(Buildings_Heat_Backend[[#This Row],[Level 1]:[Level 6]]),rng_LevelsConcat,0)))</f>
        <v/>
      </c>
      <c r="AB343" s="220" t="str">
        <f t="shared" si="16"/>
        <v/>
      </c>
      <c r="AC343" s="174">
        <f>Buildings_Heat_Frontend[[#This Row],[Units]]</f>
        <v>0</v>
      </c>
      <c r="AD34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3" s="174" t="str">
        <f>IF(Buildings_Heat_Frontend[[#This Row],[Data]]="","", _xlfn.XLOOKUP(_xlfn.CONCAT(Buildings_Heat_Backend[[#This Row],[Level 1]:[Level 6]]),rng_LevelsConcat,rng_UnitsLong))</f>
        <v/>
      </c>
      <c r="AF343" s="210" t="str">
        <f>IF(Buildings_Heat_Frontend[[#This Row],[Data]]="","", _xlfn.XLOOKUP(_xlfn.CONCAT(Buildings_Heat_Backend[[#This Row],[Level 1]:[Level 6]]),rng_EFConcat,rng_EF1)*Buildings_Heat_Backend[[#This Row],[Converted data]]/1000)</f>
        <v/>
      </c>
      <c r="AG343" s="210" t="str">
        <f>IF(Buildings_Heat_Frontend[[#This Row],[Data]]="","", _xlfn.XLOOKUP(_xlfn.CONCAT(Buildings_Heat_Backend[[#This Row],[Level 1]:[Level 6]]),rng_EFConcat,rng_EF2)*Buildings_Heat_Backend[[#This Row],[Converted data]]/1000)</f>
        <v/>
      </c>
      <c r="AH343" s="210" t="str">
        <f>IF(Buildings_Heat_Frontend[[#This Row],[Data]]="","", _xlfn.XLOOKUP(_xlfn.CONCAT(Buildings_Heat_Backend[[#This Row],[Level 1]:[Level 6]]),rng_EFConcat,rng_EF3)*Buildings_Heat_Backend[[#This Row],[Converted data]]/1000)</f>
        <v/>
      </c>
      <c r="AI343" s="210" t="str">
        <f>IF(Buildings_Heat_Frontend[[#This Row],[Data]]="","", _xlfn.XLOOKUP(_xlfn.CONCAT(Buildings_Heat_Backend[[#This Row],[Level 1]:[Level 6]]),rng_EFConcat,rng_EF3WTT)*Buildings_Heat_Backend[[#This Row],[Converted data]]/1000)</f>
        <v/>
      </c>
      <c r="AJ343" s="210" t="str">
        <f>IF(Buildings_Heat_Frontend[[#This Row],[Data]]="","", _xlfn.XLOOKUP(_xlfn.CONCAT(Buildings_Heat_Backend[[#This Row],[Level 1]:[Level 6]]),rng_EFConcat,rng_EF3TD)*Buildings_Heat_Backend[[#This Row],[Converted data]]/1000)</f>
        <v/>
      </c>
      <c r="AK343" s="210" t="str">
        <f>IF(Buildings_Heat_Frontend[[#This Row],[Data]]="","", _xlfn.XLOOKUP(_xlfn.CONCAT(Buildings_Heat_Backend[[#This Row],[Level 1]:[Level 6]]),rng_EFConcat,rng_EF3WTTTD)*Buildings_Heat_Backend[[#This Row],[Converted data]]/1000)</f>
        <v/>
      </c>
      <c r="AL343" s="220">
        <f>SUM(Buildings_Heat_Backend[[#This Row],[Scope 1 (tCO2e)]:[Scope 3 WTT T&amp;D (tCO2e)]])</f>
        <v>0</v>
      </c>
      <c r="AM343" s="220" t="str">
        <f>IF(Buildings_Heat_Frontend[[#This Row],[Data]]="","", Buildings_Heat_Backend[[#This Row],[Total (tCO2e)]]*(1-Buildings_Heat_Backend[[#This Row],[RSD]]))</f>
        <v/>
      </c>
      <c r="AN343" s="220" t="str">
        <f>IF(Buildings_Heat_Frontend[[#This Row],[Data]]="","", Buildings_Heat_Backend[[#This Row],[Total (tCO2e)]]*(1+Buildings_Heat_Backend[[#This Row],[RSD]]))</f>
        <v/>
      </c>
      <c r="AO343" s="210" t="str">
        <f>IF(Buildings_Heat_Frontend[[#This Row],[Data]]="","", _xlfn.XLOOKUP(_xlfn.CONCAT(Buildings_Heat_Backend[[#This Row],[Level 1]:[Level 6]]),rng_EFConcat,rng_EFOOS)*Buildings_Heat_Backend[[#This Row],[Converted data]]/1000)</f>
        <v/>
      </c>
      <c r="AP343" s="174">
        <f>Buildings_Heat_Frontend[[#This Row],[Ease of collection]]</f>
        <v>0</v>
      </c>
      <c r="AQ343" s="174">
        <f>Buildings_Heat_Frontend[[#This Row],[Completeness]]</f>
        <v>0</v>
      </c>
      <c r="AR343" s="174">
        <f>Buildings_Heat_Frontend[[#This Row],[Notes]]</f>
        <v>0</v>
      </c>
    </row>
    <row r="344" spans="5:44" x14ac:dyDescent="0.3">
      <c r="E344" s="346"/>
      <c r="F344" s="364"/>
      <c r="G344" s="336"/>
      <c r="H344" s="336"/>
      <c r="I344" s="336"/>
      <c r="J344" s="334"/>
      <c r="K344" s="336"/>
      <c r="L344" s="336"/>
      <c r="M344" s="336"/>
      <c r="N344" s="352"/>
      <c r="O344" s="230">
        <f t="shared" si="17"/>
        <v>6</v>
      </c>
      <c r="Q344" s="212" t="str">
        <f t="shared" si="15"/>
        <v/>
      </c>
      <c r="R344" s="174" t="s">
        <v>265</v>
      </c>
      <c r="S344" s="174" t="s">
        <v>273</v>
      </c>
      <c r="T344" s="174" t="str">
        <f>IF(Buildings_Heat_Frontend[[#This Row],[Data]]="","", _xlfn.XLOOKUP(Buildings_Heat_Backend[[#This Row],[Info 1]],Buildings_SiteInfo[Site name],Buildings_SiteInfo[Site type]))</f>
        <v/>
      </c>
      <c r="U344" s="174" t="str">
        <f>IF(Buildings_Heat_Frontend[[#This Row],[Data]]="","", Buildings_Heat_Frontend[[#This Row],[Heating Type]])</f>
        <v/>
      </c>
      <c r="V344" s="174" t="str">
        <f>IF(Buildings_Heat_Frontend[[#This Row],[Data]]="","", Buildings_Heat_Frontend[[#This Row],[Fuel]])</f>
        <v/>
      </c>
      <c r="W344" s="174" t="str" cm="1">
        <f t="array" ref="W344">IF(Buildings_Heat_Frontend[[#This Row],[Data]]="","", _xlfn.XLOOKUP(Buildings_Heat_Backend[[#This Row],[Level 5]],rng_Level5Long,rng_Level6Long))</f>
        <v/>
      </c>
      <c r="X344" s="174" t="str">
        <f>IF(Buildings_Heat_Frontend[[#This Row],[Data]]="","", Buildings_Heat_Frontend[[#This Row],[Site Name]])</f>
        <v/>
      </c>
      <c r="Y344" s="174" t="str">
        <f>IF(Buildings_Heat_Frontend[[#This Row],[Data]]="","", Buildings_Heat_Frontend[[#This Row],[MPRN]])</f>
        <v/>
      </c>
      <c r="Z344" s="174" t="str">
        <f>IF(Buildings_Heat_Frontend[[#This Row],[Data]]="","", IF($I344="","",$I344))</f>
        <v/>
      </c>
      <c r="AA344" s="229" t="str" cm="1">
        <f t="array" ref="AA344">IF(Buildings_Heat_Frontend[[#This Row],[Data]]="","", INDEX(_xlfn.SWITCH(Buildings_Heat_Backend[[#This Row],[Methodology]],"Tier 1",rng_RSD1,"Tier 2",rng_RSD2,"Tier 3",rng_RSD3),MATCH(_xlfn.CONCAT(Buildings_Heat_Backend[[#This Row],[Level 1]:[Level 6]]),rng_LevelsConcat,0)))</f>
        <v/>
      </c>
      <c r="AB344" s="220" t="str">
        <f t="shared" si="16"/>
        <v/>
      </c>
      <c r="AC344" s="174">
        <f>Buildings_Heat_Frontend[[#This Row],[Units]]</f>
        <v>0</v>
      </c>
      <c r="AD34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4" s="174" t="str">
        <f>IF(Buildings_Heat_Frontend[[#This Row],[Data]]="","", _xlfn.XLOOKUP(_xlfn.CONCAT(Buildings_Heat_Backend[[#This Row],[Level 1]:[Level 6]]),rng_LevelsConcat,rng_UnitsLong))</f>
        <v/>
      </c>
      <c r="AF344" s="210" t="str">
        <f>IF(Buildings_Heat_Frontend[[#This Row],[Data]]="","", _xlfn.XLOOKUP(_xlfn.CONCAT(Buildings_Heat_Backend[[#This Row],[Level 1]:[Level 6]]),rng_EFConcat,rng_EF1)*Buildings_Heat_Backend[[#This Row],[Converted data]]/1000)</f>
        <v/>
      </c>
      <c r="AG344" s="210" t="str">
        <f>IF(Buildings_Heat_Frontend[[#This Row],[Data]]="","", _xlfn.XLOOKUP(_xlfn.CONCAT(Buildings_Heat_Backend[[#This Row],[Level 1]:[Level 6]]),rng_EFConcat,rng_EF2)*Buildings_Heat_Backend[[#This Row],[Converted data]]/1000)</f>
        <v/>
      </c>
      <c r="AH344" s="210" t="str">
        <f>IF(Buildings_Heat_Frontend[[#This Row],[Data]]="","", _xlfn.XLOOKUP(_xlfn.CONCAT(Buildings_Heat_Backend[[#This Row],[Level 1]:[Level 6]]),rng_EFConcat,rng_EF3)*Buildings_Heat_Backend[[#This Row],[Converted data]]/1000)</f>
        <v/>
      </c>
      <c r="AI344" s="210" t="str">
        <f>IF(Buildings_Heat_Frontend[[#This Row],[Data]]="","", _xlfn.XLOOKUP(_xlfn.CONCAT(Buildings_Heat_Backend[[#This Row],[Level 1]:[Level 6]]),rng_EFConcat,rng_EF3WTT)*Buildings_Heat_Backend[[#This Row],[Converted data]]/1000)</f>
        <v/>
      </c>
      <c r="AJ344" s="210" t="str">
        <f>IF(Buildings_Heat_Frontend[[#This Row],[Data]]="","", _xlfn.XLOOKUP(_xlfn.CONCAT(Buildings_Heat_Backend[[#This Row],[Level 1]:[Level 6]]),rng_EFConcat,rng_EF3TD)*Buildings_Heat_Backend[[#This Row],[Converted data]]/1000)</f>
        <v/>
      </c>
      <c r="AK344" s="210" t="str">
        <f>IF(Buildings_Heat_Frontend[[#This Row],[Data]]="","", _xlfn.XLOOKUP(_xlfn.CONCAT(Buildings_Heat_Backend[[#This Row],[Level 1]:[Level 6]]),rng_EFConcat,rng_EF3WTTTD)*Buildings_Heat_Backend[[#This Row],[Converted data]]/1000)</f>
        <v/>
      </c>
      <c r="AL344" s="220">
        <f>SUM(Buildings_Heat_Backend[[#This Row],[Scope 1 (tCO2e)]:[Scope 3 WTT T&amp;D (tCO2e)]])</f>
        <v>0</v>
      </c>
      <c r="AM344" s="220" t="str">
        <f>IF(Buildings_Heat_Frontend[[#This Row],[Data]]="","", Buildings_Heat_Backend[[#This Row],[Total (tCO2e)]]*(1-Buildings_Heat_Backend[[#This Row],[RSD]]))</f>
        <v/>
      </c>
      <c r="AN344" s="220" t="str">
        <f>IF(Buildings_Heat_Frontend[[#This Row],[Data]]="","", Buildings_Heat_Backend[[#This Row],[Total (tCO2e)]]*(1+Buildings_Heat_Backend[[#This Row],[RSD]]))</f>
        <v/>
      </c>
      <c r="AO344" s="210" t="str">
        <f>IF(Buildings_Heat_Frontend[[#This Row],[Data]]="","", _xlfn.XLOOKUP(_xlfn.CONCAT(Buildings_Heat_Backend[[#This Row],[Level 1]:[Level 6]]),rng_EFConcat,rng_EFOOS)*Buildings_Heat_Backend[[#This Row],[Converted data]]/1000)</f>
        <v/>
      </c>
      <c r="AP344" s="174">
        <f>Buildings_Heat_Frontend[[#This Row],[Ease of collection]]</f>
        <v>0</v>
      </c>
      <c r="AQ344" s="174">
        <f>Buildings_Heat_Frontend[[#This Row],[Completeness]]</f>
        <v>0</v>
      </c>
      <c r="AR344" s="174">
        <f>Buildings_Heat_Frontend[[#This Row],[Notes]]</f>
        <v>0</v>
      </c>
    </row>
    <row r="345" spans="5:44" x14ac:dyDescent="0.3">
      <c r="E345" s="346"/>
      <c r="F345" s="364"/>
      <c r="G345" s="336"/>
      <c r="H345" s="336"/>
      <c r="I345" s="336"/>
      <c r="J345" s="334"/>
      <c r="K345" s="336"/>
      <c r="L345" s="336"/>
      <c r="M345" s="336"/>
      <c r="N345" s="352"/>
      <c r="O345" s="230">
        <f t="shared" si="17"/>
        <v>6</v>
      </c>
      <c r="Q345" s="212" t="str">
        <f t="shared" si="15"/>
        <v/>
      </c>
      <c r="R345" s="174" t="s">
        <v>265</v>
      </c>
      <c r="S345" s="174" t="s">
        <v>273</v>
      </c>
      <c r="T345" s="174" t="str">
        <f>IF(Buildings_Heat_Frontend[[#This Row],[Data]]="","", _xlfn.XLOOKUP(Buildings_Heat_Backend[[#This Row],[Info 1]],Buildings_SiteInfo[Site name],Buildings_SiteInfo[Site type]))</f>
        <v/>
      </c>
      <c r="U345" s="174" t="str">
        <f>IF(Buildings_Heat_Frontend[[#This Row],[Data]]="","", Buildings_Heat_Frontend[[#This Row],[Heating Type]])</f>
        <v/>
      </c>
      <c r="V345" s="174" t="str">
        <f>IF(Buildings_Heat_Frontend[[#This Row],[Data]]="","", Buildings_Heat_Frontend[[#This Row],[Fuel]])</f>
        <v/>
      </c>
      <c r="W345" s="174" t="str" cm="1">
        <f t="array" ref="W345">IF(Buildings_Heat_Frontend[[#This Row],[Data]]="","", _xlfn.XLOOKUP(Buildings_Heat_Backend[[#This Row],[Level 5]],rng_Level5Long,rng_Level6Long))</f>
        <v/>
      </c>
      <c r="X345" s="174" t="str">
        <f>IF(Buildings_Heat_Frontend[[#This Row],[Data]]="","", Buildings_Heat_Frontend[[#This Row],[Site Name]])</f>
        <v/>
      </c>
      <c r="Y345" s="174" t="str">
        <f>IF(Buildings_Heat_Frontend[[#This Row],[Data]]="","", Buildings_Heat_Frontend[[#This Row],[MPRN]])</f>
        <v/>
      </c>
      <c r="Z345" s="174" t="str">
        <f>IF(Buildings_Heat_Frontend[[#This Row],[Data]]="","", IF($I345="","",$I345))</f>
        <v/>
      </c>
      <c r="AA345" s="229" t="str" cm="1">
        <f t="array" ref="AA345">IF(Buildings_Heat_Frontend[[#This Row],[Data]]="","", INDEX(_xlfn.SWITCH(Buildings_Heat_Backend[[#This Row],[Methodology]],"Tier 1",rng_RSD1,"Tier 2",rng_RSD2,"Tier 3",rng_RSD3),MATCH(_xlfn.CONCAT(Buildings_Heat_Backend[[#This Row],[Level 1]:[Level 6]]),rng_LevelsConcat,0)))</f>
        <v/>
      </c>
      <c r="AB345" s="220" t="str">
        <f t="shared" si="16"/>
        <v/>
      </c>
      <c r="AC345" s="174">
        <f>Buildings_Heat_Frontend[[#This Row],[Units]]</f>
        <v>0</v>
      </c>
      <c r="AD34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5" s="174" t="str">
        <f>IF(Buildings_Heat_Frontend[[#This Row],[Data]]="","", _xlfn.XLOOKUP(_xlfn.CONCAT(Buildings_Heat_Backend[[#This Row],[Level 1]:[Level 6]]),rng_LevelsConcat,rng_UnitsLong))</f>
        <v/>
      </c>
      <c r="AF345" s="210" t="str">
        <f>IF(Buildings_Heat_Frontend[[#This Row],[Data]]="","", _xlfn.XLOOKUP(_xlfn.CONCAT(Buildings_Heat_Backend[[#This Row],[Level 1]:[Level 6]]),rng_EFConcat,rng_EF1)*Buildings_Heat_Backend[[#This Row],[Converted data]]/1000)</f>
        <v/>
      </c>
      <c r="AG345" s="210" t="str">
        <f>IF(Buildings_Heat_Frontend[[#This Row],[Data]]="","", _xlfn.XLOOKUP(_xlfn.CONCAT(Buildings_Heat_Backend[[#This Row],[Level 1]:[Level 6]]),rng_EFConcat,rng_EF2)*Buildings_Heat_Backend[[#This Row],[Converted data]]/1000)</f>
        <v/>
      </c>
      <c r="AH345" s="210" t="str">
        <f>IF(Buildings_Heat_Frontend[[#This Row],[Data]]="","", _xlfn.XLOOKUP(_xlfn.CONCAT(Buildings_Heat_Backend[[#This Row],[Level 1]:[Level 6]]),rng_EFConcat,rng_EF3)*Buildings_Heat_Backend[[#This Row],[Converted data]]/1000)</f>
        <v/>
      </c>
      <c r="AI345" s="210" t="str">
        <f>IF(Buildings_Heat_Frontend[[#This Row],[Data]]="","", _xlfn.XLOOKUP(_xlfn.CONCAT(Buildings_Heat_Backend[[#This Row],[Level 1]:[Level 6]]),rng_EFConcat,rng_EF3WTT)*Buildings_Heat_Backend[[#This Row],[Converted data]]/1000)</f>
        <v/>
      </c>
      <c r="AJ345" s="210" t="str">
        <f>IF(Buildings_Heat_Frontend[[#This Row],[Data]]="","", _xlfn.XLOOKUP(_xlfn.CONCAT(Buildings_Heat_Backend[[#This Row],[Level 1]:[Level 6]]),rng_EFConcat,rng_EF3TD)*Buildings_Heat_Backend[[#This Row],[Converted data]]/1000)</f>
        <v/>
      </c>
      <c r="AK345" s="210" t="str">
        <f>IF(Buildings_Heat_Frontend[[#This Row],[Data]]="","", _xlfn.XLOOKUP(_xlfn.CONCAT(Buildings_Heat_Backend[[#This Row],[Level 1]:[Level 6]]),rng_EFConcat,rng_EF3WTTTD)*Buildings_Heat_Backend[[#This Row],[Converted data]]/1000)</f>
        <v/>
      </c>
      <c r="AL345" s="220">
        <f>SUM(Buildings_Heat_Backend[[#This Row],[Scope 1 (tCO2e)]:[Scope 3 WTT T&amp;D (tCO2e)]])</f>
        <v>0</v>
      </c>
      <c r="AM345" s="220" t="str">
        <f>IF(Buildings_Heat_Frontend[[#This Row],[Data]]="","", Buildings_Heat_Backend[[#This Row],[Total (tCO2e)]]*(1-Buildings_Heat_Backend[[#This Row],[RSD]]))</f>
        <v/>
      </c>
      <c r="AN345" s="220" t="str">
        <f>IF(Buildings_Heat_Frontend[[#This Row],[Data]]="","", Buildings_Heat_Backend[[#This Row],[Total (tCO2e)]]*(1+Buildings_Heat_Backend[[#This Row],[RSD]]))</f>
        <v/>
      </c>
      <c r="AO345" s="210" t="str">
        <f>IF(Buildings_Heat_Frontend[[#This Row],[Data]]="","", _xlfn.XLOOKUP(_xlfn.CONCAT(Buildings_Heat_Backend[[#This Row],[Level 1]:[Level 6]]),rng_EFConcat,rng_EFOOS)*Buildings_Heat_Backend[[#This Row],[Converted data]]/1000)</f>
        <v/>
      </c>
      <c r="AP345" s="174">
        <f>Buildings_Heat_Frontend[[#This Row],[Ease of collection]]</f>
        <v>0</v>
      </c>
      <c r="AQ345" s="174">
        <f>Buildings_Heat_Frontend[[#This Row],[Completeness]]</f>
        <v>0</v>
      </c>
      <c r="AR345" s="174">
        <f>Buildings_Heat_Frontend[[#This Row],[Notes]]</f>
        <v>0</v>
      </c>
    </row>
    <row r="346" spans="5:44" x14ac:dyDescent="0.3">
      <c r="E346" s="346"/>
      <c r="F346" s="364"/>
      <c r="G346" s="336"/>
      <c r="H346" s="336"/>
      <c r="I346" s="336"/>
      <c r="J346" s="334"/>
      <c r="K346" s="336"/>
      <c r="L346" s="336"/>
      <c r="M346" s="336"/>
      <c r="N346" s="352"/>
      <c r="O346" s="230">
        <f t="shared" si="17"/>
        <v>6</v>
      </c>
      <c r="Q346" s="212" t="str">
        <f t="shared" si="15"/>
        <v/>
      </c>
      <c r="R346" s="174" t="s">
        <v>265</v>
      </c>
      <c r="S346" s="174" t="s">
        <v>273</v>
      </c>
      <c r="T346" s="174" t="str">
        <f>IF(Buildings_Heat_Frontend[[#This Row],[Data]]="","", _xlfn.XLOOKUP(Buildings_Heat_Backend[[#This Row],[Info 1]],Buildings_SiteInfo[Site name],Buildings_SiteInfo[Site type]))</f>
        <v/>
      </c>
      <c r="U346" s="174" t="str">
        <f>IF(Buildings_Heat_Frontend[[#This Row],[Data]]="","", Buildings_Heat_Frontend[[#This Row],[Heating Type]])</f>
        <v/>
      </c>
      <c r="V346" s="174" t="str">
        <f>IF(Buildings_Heat_Frontend[[#This Row],[Data]]="","", Buildings_Heat_Frontend[[#This Row],[Fuel]])</f>
        <v/>
      </c>
      <c r="W346" s="174" t="str" cm="1">
        <f t="array" ref="W346">IF(Buildings_Heat_Frontend[[#This Row],[Data]]="","", _xlfn.XLOOKUP(Buildings_Heat_Backend[[#This Row],[Level 5]],rng_Level5Long,rng_Level6Long))</f>
        <v/>
      </c>
      <c r="X346" s="174" t="str">
        <f>IF(Buildings_Heat_Frontend[[#This Row],[Data]]="","", Buildings_Heat_Frontend[[#This Row],[Site Name]])</f>
        <v/>
      </c>
      <c r="Y346" s="174" t="str">
        <f>IF(Buildings_Heat_Frontend[[#This Row],[Data]]="","", Buildings_Heat_Frontend[[#This Row],[MPRN]])</f>
        <v/>
      </c>
      <c r="Z346" s="174" t="str">
        <f>IF(Buildings_Heat_Frontend[[#This Row],[Data]]="","", IF($I346="","",$I346))</f>
        <v/>
      </c>
      <c r="AA346" s="229" t="str" cm="1">
        <f t="array" ref="AA346">IF(Buildings_Heat_Frontend[[#This Row],[Data]]="","", INDEX(_xlfn.SWITCH(Buildings_Heat_Backend[[#This Row],[Methodology]],"Tier 1",rng_RSD1,"Tier 2",rng_RSD2,"Tier 3",rng_RSD3),MATCH(_xlfn.CONCAT(Buildings_Heat_Backend[[#This Row],[Level 1]:[Level 6]]),rng_LevelsConcat,0)))</f>
        <v/>
      </c>
      <c r="AB346" s="220" t="str">
        <f t="shared" si="16"/>
        <v/>
      </c>
      <c r="AC346" s="174">
        <f>Buildings_Heat_Frontend[[#This Row],[Units]]</f>
        <v>0</v>
      </c>
      <c r="AD34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6" s="174" t="str">
        <f>IF(Buildings_Heat_Frontend[[#This Row],[Data]]="","", _xlfn.XLOOKUP(_xlfn.CONCAT(Buildings_Heat_Backend[[#This Row],[Level 1]:[Level 6]]),rng_LevelsConcat,rng_UnitsLong))</f>
        <v/>
      </c>
      <c r="AF346" s="210" t="str">
        <f>IF(Buildings_Heat_Frontend[[#This Row],[Data]]="","", _xlfn.XLOOKUP(_xlfn.CONCAT(Buildings_Heat_Backend[[#This Row],[Level 1]:[Level 6]]),rng_EFConcat,rng_EF1)*Buildings_Heat_Backend[[#This Row],[Converted data]]/1000)</f>
        <v/>
      </c>
      <c r="AG346" s="210" t="str">
        <f>IF(Buildings_Heat_Frontend[[#This Row],[Data]]="","", _xlfn.XLOOKUP(_xlfn.CONCAT(Buildings_Heat_Backend[[#This Row],[Level 1]:[Level 6]]),rng_EFConcat,rng_EF2)*Buildings_Heat_Backend[[#This Row],[Converted data]]/1000)</f>
        <v/>
      </c>
      <c r="AH346" s="210" t="str">
        <f>IF(Buildings_Heat_Frontend[[#This Row],[Data]]="","", _xlfn.XLOOKUP(_xlfn.CONCAT(Buildings_Heat_Backend[[#This Row],[Level 1]:[Level 6]]),rng_EFConcat,rng_EF3)*Buildings_Heat_Backend[[#This Row],[Converted data]]/1000)</f>
        <v/>
      </c>
      <c r="AI346" s="210" t="str">
        <f>IF(Buildings_Heat_Frontend[[#This Row],[Data]]="","", _xlfn.XLOOKUP(_xlfn.CONCAT(Buildings_Heat_Backend[[#This Row],[Level 1]:[Level 6]]),rng_EFConcat,rng_EF3WTT)*Buildings_Heat_Backend[[#This Row],[Converted data]]/1000)</f>
        <v/>
      </c>
      <c r="AJ346" s="210" t="str">
        <f>IF(Buildings_Heat_Frontend[[#This Row],[Data]]="","", _xlfn.XLOOKUP(_xlfn.CONCAT(Buildings_Heat_Backend[[#This Row],[Level 1]:[Level 6]]),rng_EFConcat,rng_EF3TD)*Buildings_Heat_Backend[[#This Row],[Converted data]]/1000)</f>
        <v/>
      </c>
      <c r="AK346" s="210" t="str">
        <f>IF(Buildings_Heat_Frontend[[#This Row],[Data]]="","", _xlfn.XLOOKUP(_xlfn.CONCAT(Buildings_Heat_Backend[[#This Row],[Level 1]:[Level 6]]),rng_EFConcat,rng_EF3WTTTD)*Buildings_Heat_Backend[[#This Row],[Converted data]]/1000)</f>
        <v/>
      </c>
      <c r="AL346" s="220">
        <f>SUM(Buildings_Heat_Backend[[#This Row],[Scope 1 (tCO2e)]:[Scope 3 WTT T&amp;D (tCO2e)]])</f>
        <v>0</v>
      </c>
      <c r="AM346" s="220" t="str">
        <f>IF(Buildings_Heat_Frontend[[#This Row],[Data]]="","", Buildings_Heat_Backend[[#This Row],[Total (tCO2e)]]*(1-Buildings_Heat_Backend[[#This Row],[RSD]]))</f>
        <v/>
      </c>
      <c r="AN346" s="220" t="str">
        <f>IF(Buildings_Heat_Frontend[[#This Row],[Data]]="","", Buildings_Heat_Backend[[#This Row],[Total (tCO2e)]]*(1+Buildings_Heat_Backend[[#This Row],[RSD]]))</f>
        <v/>
      </c>
      <c r="AO346" s="210" t="str">
        <f>IF(Buildings_Heat_Frontend[[#This Row],[Data]]="","", _xlfn.XLOOKUP(_xlfn.CONCAT(Buildings_Heat_Backend[[#This Row],[Level 1]:[Level 6]]),rng_EFConcat,rng_EFOOS)*Buildings_Heat_Backend[[#This Row],[Converted data]]/1000)</f>
        <v/>
      </c>
      <c r="AP346" s="174">
        <f>Buildings_Heat_Frontend[[#This Row],[Ease of collection]]</f>
        <v>0</v>
      </c>
      <c r="AQ346" s="174">
        <f>Buildings_Heat_Frontend[[#This Row],[Completeness]]</f>
        <v>0</v>
      </c>
      <c r="AR346" s="174">
        <f>Buildings_Heat_Frontend[[#This Row],[Notes]]</f>
        <v>0</v>
      </c>
    </row>
    <row r="347" spans="5:44" x14ac:dyDescent="0.3">
      <c r="E347" s="346"/>
      <c r="F347" s="364"/>
      <c r="G347" s="336"/>
      <c r="H347" s="336"/>
      <c r="I347" s="336"/>
      <c r="J347" s="334"/>
      <c r="K347" s="336"/>
      <c r="L347" s="336"/>
      <c r="M347" s="336"/>
      <c r="N347" s="352"/>
      <c r="O347" s="230">
        <f t="shared" si="17"/>
        <v>6</v>
      </c>
      <c r="Q347" s="212" t="str">
        <f t="shared" si="15"/>
        <v/>
      </c>
      <c r="R347" s="174" t="s">
        <v>265</v>
      </c>
      <c r="S347" s="174" t="s">
        <v>273</v>
      </c>
      <c r="T347" s="174" t="str">
        <f>IF(Buildings_Heat_Frontend[[#This Row],[Data]]="","", _xlfn.XLOOKUP(Buildings_Heat_Backend[[#This Row],[Info 1]],Buildings_SiteInfo[Site name],Buildings_SiteInfo[Site type]))</f>
        <v/>
      </c>
      <c r="U347" s="174" t="str">
        <f>IF(Buildings_Heat_Frontend[[#This Row],[Data]]="","", Buildings_Heat_Frontend[[#This Row],[Heating Type]])</f>
        <v/>
      </c>
      <c r="V347" s="174" t="str">
        <f>IF(Buildings_Heat_Frontend[[#This Row],[Data]]="","", Buildings_Heat_Frontend[[#This Row],[Fuel]])</f>
        <v/>
      </c>
      <c r="W347" s="174" t="str" cm="1">
        <f t="array" ref="W347">IF(Buildings_Heat_Frontend[[#This Row],[Data]]="","", _xlfn.XLOOKUP(Buildings_Heat_Backend[[#This Row],[Level 5]],rng_Level5Long,rng_Level6Long))</f>
        <v/>
      </c>
      <c r="X347" s="174" t="str">
        <f>IF(Buildings_Heat_Frontend[[#This Row],[Data]]="","", Buildings_Heat_Frontend[[#This Row],[Site Name]])</f>
        <v/>
      </c>
      <c r="Y347" s="174" t="str">
        <f>IF(Buildings_Heat_Frontend[[#This Row],[Data]]="","", Buildings_Heat_Frontend[[#This Row],[MPRN]])</f>
        <v/>
      </c>
      <c r="Z347" s="174" t="str">
        <f>IF(Buildings_Heat_Frontend[[#This Row],[Data]]="","", IF($I347="","",$I347))</f>
        <v/>
      </c>
      <c r="AA347" s="229" t="str" cm="1">
        <f t="array" ref="AA347">IF(Buildings_Heat_Frontend[[#This Row],[Data]]="","", INDEX(_xlfn.SWITCH(Buildings_Heat_Backend[[#This Row],[Methodology]],"Tier 1",rng_RSD1,"Tier 2",rng_RSD2,"Tier 3",rng_RSD3),MATCH(_xlfn.CONCAT(Buildings_Heat_Backend[[#This Row],[Level 1]:[Level 6]]),rng_LevelsConcat,0)))</f>
        <v/>
      </c>
      <c r="AB347" s="220" t="str">
        <f t="shared" si="16"/>
        <v/>
      </c>
      <c r="AC347" s="174">
        <f>Buildings_Heat_Frontend[[#This Row],[Units]]</f>
        <v>0</v>
      </c>
      <c r="AD34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7" s="174" t="str">
        <f>IF(Buildings_Heat_Frontend[[#This Row],[Data]]="","", _xlfn.XLOOKUP(_xlfn.CONCAT(Buildings_Heat_Backend[[#This Row],[Level 1]:[Level 6]]),rng_LevelsConcat,rng_UnitsLong))</f>
        <v/>
      </c>
      <c r="AF347" s="210" t="str">
        <f>IF(Buildings_Heat_Frontend[[#This Row],[Data]]="","", _xlfn.XLOOKUP(_xlfn.CONCAT(Buildings_Heat_Backend[[#This Row],[Level 1]:[Level 6]]),rng_EFConcat,rng_EF1)*Buildings_Heat_Backend[[#This Row],[Converted data]]/1000)</f>
        <v/>
      </c>
      <c r="AG347" s="210" t="str">
        <f>IF(Buildings_Heat_Frontend[[#This Row],[Data]]="","", _xlfn.XLOOKUP(_xlfn.CONCAT(Buildings_Heat_Backend[[#This Row],[Level 1]:[Level 6]]),rng_EFConcat,rng_EF2)*Buildings_Heat_Backend[[#This Row],[Converted data]]/1000)</f>
        <v/>
      </c>
      <c r="AH347" s="210" t="str">
        <f>IF(Buildings_Heat_Frontend[[#This Row],[Data]]="","", _xlfn.XLOOKUP(_xlfn.CONCAT(Buildings_Heat_Backend[[#This Row],[Level 1]:[Level 6]]),rng_EFConcat,rng_EF3)*Buildings_Heat_Backend[[#This Row],[Converted data]]/1000)</f>
        <v/>
      </c>
      <c r="AI347" s="210" t="str">
        <f>IF(Buildings_Heat_Frontend[[#This Row],[Data]]="","", _xlfn.XLOOKUP(_xlfn.CONCAT(Buildings_Heat_Backend[[#This Row],[Level 1]:[Level 6]]),rng_EFConcat,rng_EF3WTT)*Buildings_Heat_Backend[[#This Row],[Converted data]]/1000)</f>
        <v/>
      </c>
      <c r="AJ347" s="210" t="str">
        <f>IF(Buildings_Heat_Frontend[[#This Row],[Data]]="","", _xlfn.XLOOKUP(_xlfn.CONCAT(Buildings_Heat_Backend[[#This Row],[Level 1]:[Level 6]]),rng_EFConcat,rng_EF3TD)*Buildings_Heat_Backend[[#This Row],[Converted data]]/1000)</f>
        <v/>
      </c>
      <c r="AK347" s="210" t="str">
        <f>IF(Buildings_Heat_Frontend[[#This Row],[Data]]="","", _xlfn.XLOOKUP(_xlfn.CONCAT(Buildings_Heat_Backend[[#This Row],[Level 1]:[Level 6]]),rng_EFConcat,rng_EF3WTTTD)*Buildings_Heat_Backend[[#This Row],[Converted data]]/1000)</f>
        <v/>
      </c>
      <c r="AL347" s="220">
        <f>SUM(Buildings_Heat_Backend[[#This Row],[Scope 1 (tCO2e)]:[Scope 3 WTT T&amp;D (tCO2e)]])</f>
        <v>0</v>
      </c>
      <c r="AM347" s="220" t="str">
        <f>IF(Buildings_Heat_Frontend[[#This Row],[Data]]="","", Buildings_Heat_Backend[[#This Row],[Total (tCO2e)]]*(1-Buildings_Heat_Backend[[#This Row],[RSD]]))</f>
        <v/>
      </c>
      <c r="AN347" s="220" t="str">
        <f>IF(Buildings_Heat_Frontend[[#This Row],[Data]]="","", Buildings_Heat_Backend[[#This Row],[Total (tCO2e)]]*(1+Buildings_Heat_Backend[[#This Row],[RSD]]))</f>
        <v/>
      </c>
      <c r="AO347" s="210" t="str">
        <f>IF(Buildings_Heat_Frontend[[#This Row],[Data]]="","", _xlfn.XLOOKUP(_xlfn.CONCAT(Buildings_Heat_Backend[[#This Row],[Level 1]:[Level 6]]),rng_EFConcat,rng_EFOOS)*Buildings_Heat_Backend[[#This Row],[Converted data]]/1000)</f>
        <v/>
      </c>
      <c r="AP347" s="174">
        <f>Buildings_Heat_Frontend[[#This Row],[Ease of collection]]</f>
        <v>0</v>
      </c>
      <c r="AQ347" s="174">
        <f>Buildings_Heat_Frontend[[#This Row],[Completeness]]</f>
        <v>0</v>
      </c>
      <c r="AR347" s="174">
        <f>Buildings_Heat_Frontend[[#This Row],[Notes]]</f>
        <v>0</v>
      </c>
    </row>
    <row r="348" spans="5:44" x14ac:dyDescent="0.3">
      <c r="E348" s="346"/>
      <c r="F348" s="364"/>
      <c r="G348" s="336"/>
      <c r="H348" s="336"/>
      <c r="I348" s="336"/>
      <c r="J348" s="334"/>
      <c r="K348" s="336"/>
      <c r="L348" s="336"/>
      <c r="M348" s="336"/>
      <c r="N348" s="352"/>
      <c r="O348" s="230">
        <f t="shared" si="17"/>
        <v>6</v>
      </c>
      <c r="Q348" s="212" t="str">
        <f t="shared" si="15"/>
        <v/>
      </c>
      <c r="R348" s="174" t="s">
        <v>265</v>
      </c>
      <c r="S348" s="174" t="s">
        <v>273</v>
      </c>
      <c r="T348" s="174" t="str">
        <f>IF(Buildings_Heat_Frontend[[#This Row],[Data]]="","", _xlfn.XLOOKUP(Buildings_Heat_Backend[[#This Row],[Info 1]],Buildings_SiteInfo[Site name],Buildings_SiteInfo[Site type]))</f>
        <v/>
      </c>
      <c r="U348" s="174" t="str">
        <f>IF(Buildings_Heat_Frontend[[#This Row],[Data]]="","", Buildings_Heat_Frontend[[#This Row],[Heating Type]])</f>
        <v/>
      </c>
      <c r="V348" s="174" t="str">
        <f>IF(Buildings_Heat_Frontend[[#This Row],[Data]]="","", Buildings_Heat_Frontend[[#This Row],[Fuel]])</f>
        <v/>
      </c>
      <c r="W348" s="174" t="str" cm="1">
        <f t="array" ref="W348">IF(Buildings_Heat_Frontend[[#This Row],[Data]]="","", _xlfn.XLOOKUP(Buildings_Heat_Backend[[#This Row],[Level 5]],rng_Level5Long,rng_Level6Long))</f>
        <v/>
      </c>
      <c r="X348" s="174" t="str">
        <f>IF(Buildings_Heat_Frontend[[#This Row],[Data]]="","", Buildings_Heat_Frontend[[#This Row],[Site Name]])</f>
        <v/>
      </c>
      <c r="Y348" s="174" t="str">
        <f>IF(Buildings_Heat_Frontend[[#This Row],[Data]]="","", Buildings_Heat_Frontend[[#This Row],[MPRN]])</f>
        <v/>
      </c>
      <c r="Z348" s="174" t="str">
        <f>IF(Buildings_Heat_Frontend[[#This Row],[Data]]="","", IF($I348="","",$I348))</f>
        <v/>
      </c>
      <c r="AA348" s="229" t="str" cm="1">
        <f t="array" ref="AA348">IF(Buildings_Heat_Frontend[[#This Row],[Data]]="","", INDEX(_xlfn.SWITCH(Buildings_Heat_Backend[[#This Row],[Methodology]],"Tier 1",rng_RSD1,"Tier 2",rng_RSD2,"Tier 3",rng_RSD3),MATCH(_xlfn.CONCAT(Buildings_Heat_Backend[[#This Row],[Level 1]:[Level 6]]),rng_LevelsConcat,0)))</f>
        <v/>
      </c>
      <c r="AB348" s="220" t="str">
        <f t="shared" si="16"/>
        <v/>
      </c>
      <c r="AC348" s="174">
        <f>Buildings_Heat_Frontend[[#This Row],[Units]]</f>
        <v>0</v>
      </c>
      <c r="AD34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8" s="174" t="str">
        <f>IF(Buildings_Heat_Frontend[[#This Row],[Data]]="","", _xlfn.XLOOKUP(_xlfn.CONCAT(Buildings_Heat_Backend[[#This Row],[Level 1]:[Level 6]]),rng_LevelsConcat,rng_UnitsLong))</f>
        <v/>
      </c>
      <c r="AF348" s="210" t="str">
        <f>IF(Buildings_Heat_Frontend[[#This Row],[Data]]="","", _xlfn.XLOOKUP(_xlfn.CONCAT(Buildings_Heat_Backend[[#This Row],[Level 1]:[Level 6]]),rng_EFConcat,rng_EF1)*Buildings_Heat_Backend[[#This Row],[Converted data]]/1000)</f>
        <v/>
      </c>
      <c r="AG348" s="210" t="str">
        <f>IF(Buildings_Heat_Frontend[[#This Row],[Data]]="","", _xlfn.XLOOKUP(_xlfn.CONCAT(Buildings_Heat_Backend[[#This Row],[Level 1]:[Level 6]]),rng_EFConcat,rng_EF2)*Buildings_Heat_Backend[[#This Row],[Converted data]]/1000)</f>
        <v/>
      </c>
      <c r="AH348" s="210" t="str">
        <f>IF(Buildings_Heat_Frontend[[#This Row],[Data]]="","", _xlfn.XLOOKUP(_xlfn.CONCAT(Buildings_Heat_Backend[[#This Row],[Level 1]:[Level 6]]),rng_EFConcat,rng_EF3)*Buildings_Heat_Backend[[#This Row],[Converted data]]/1000)</f>
        <v/>
      </c>
      <c r="AI348" s="210" t="str">
        <f>IF(Buildings_Heat_Frontend[[#This Row],[Data]]="","", _xlfn.XLOOKUP(_xlfn.CONCAT(Buildings_Heat_Backend[[#This Row],[Level 1]:[Level 6]]),rng_EFConcat,rng_EF3WTT)*Buildings_Heat_Backend[[#This Row],[Converted data]]/1000)</f>
        <v/>
      </c>
      <c r="AJ348" s="210" t="str">
        <f>IF(Buildings_Heat_Frontend[[#This Row],[Data]]="","", _xlfn.XLOOKUP(_xlfn.CONCAT(Buildings_Heat_Backend[[#This Row],[Level 1]:[Level 6]]),rng_EFConcat,rng_EF3TD)*Buildings_Heat_Backend[[#This Row],[Converted data]]/1000)</f>
        <v/>
      </c>
      <c r="AK348" s="210" t="str">
        <f>IF(Buildings_Heat_Frontend[[#This Row],[Data]]="","", _xlfn.XLOOKUP(_xlfn.CONCAT(Buildings_Heat_Backend[[#This Row],[Level 1]:[Level 6]]),rng_EFConcat,rng_EF3WTTTD)*Buildings_Heat_Backend[[#This Row],[Converted data]]/1000)</f>
        <v/>
      </c>
      <c r="AL348" s="220">
        <f>SUM(Buildings_Heat_Backend[[#This Row],[Scope 1 (tCO2e)]:[Scope 3 WTT T&amp;D (tCO2e)]])</f>
        <v>0</v>
      </c>
      <c r="AM348" s="220" t="str">
        <f>IF(Buildings_Heat_Frontend[[#This Row],[Data]]="","", Buildings_Heat_Backend[[#This Row],[Total (tCO2e)]]*(1-Buildings_Heat_Backend[[#This Row],[RSD]]))</f>
        <v/>
      </c>
      <c r="AN348" s="220" t="str">
        <f>IF(Buildings_Heat_Frontend[[#This Row],[Data]]="","", Buildings_Heat_Backend[[#This Row],[Total (tCO2e)]]*(1+Buildings_Heat_Backend[[#This Row],[RSD]]))</f>
        <v/>
      </c>
      <c r="AO348" s="210" t="str">
        <f>IF(Buildings_Heat_Frontend[[#This Row],[Data]]="","", _xlfn.XLOOKUP(_xlfn.CONCAT(Buildings_Heat_Backend[[#This Row],[Level 1]:[Level 6]]),rng_EFConcat,rng_EFOOS)*Buildings_Heat_Backend[[#This Row],[Converted data]]/1000)</f>
        <v/>
      </c>
      <c r="AP348" s="174">
        <f>Buildings_Heat_Frontend[[#This Row],[Ease of collection]]</f>
        <v>0</v>
      </c>
      <c r="AQ348" s="174">
        <f>Buildings_Heat_Frontend[[#This Row],[Completeness]]</f>
        <v>0</v>
      </c>
      <c r="AR348" s="174">
        <f>Buildings_Heat_Frontend[[#This Row],[Notes]]</f>
        <v>0</v>
      </c>
    </row>
    <row r="349" spans="5:44" x14ac:dyDescent="0.3">
      <c r="E349" s="346"/>
      <c r="F349" s="364"/>
      <c r="G349" s="336"/>
      <c r="H349" s="336"/>
      <c r="I349" s="336"/>
      <c r="J349" s="334"/>
      <c r="K349" s="336"/>
      <c r="L349" s="336"/>
      <c r="M349" s="336"/>
      <c r="N349" s="352"/>
      <c r="O349" s="230">
        <f t="shared" si="17"/>
        <v>6</v>
      </c>
      <c r="Q349" s="212" t="str">
        <f t="shared" si="15"/>
        <v/>
      </c>
      <c r="R349" s="174" t="s">
        <v>265</v>
      </c>
      <c r="S349" s="174" t="s">
        <v>273</v>
      </c>
      <c r="T349" s="174" t="str">
        <f>IF(Buildings_Heat_Frontend[[#This Row],[Data]]="","", _xlfn.XLOOKUP(Buildings_Heat_Backend[[#This Row],[Info 1]],Buildings_SiteInfo[Site name],Buildings_SiteInfo[Site type]))</f>
        <v/>
      </c>
      <c r="U349" s="174" t="str">
        <f>IF(Buildings_Heat_Frontend[[#This Row],[Data]]="","", Buildings_Heat_Frontend[[#This Row],[Heating Type]])</f>
        <v/>
      </c>
      <c r="V349" s="174" t="str">
        <f>IF(Buildings_Heat_Frontend[[#This Row],[Data]]="","", Buildings_Heat_Frontend[[#This Row],[Fuel]])</f>
        <v/>
      </c>
      <c r="W349" s="174" t="str" cm="1">
        <f t="array" ref="W349">IF(Buildings_Heat_Frontend[[#This Row],[Data]]="","", _xlfn.XLOOKUP(Buildings_Heat_Backend[[#This Row],[Level 5]],rng_Level5Long,rng_Level6Long))</f>
        <v/>
      </c>
      <c r="X349" s="174" t="str">
        <f>IF(Buildings_Heat_Frontend[[#This Row],[Data]]="","", Buildings_Heat_Frontend[[#This Row],[Site Name]])</f>
        <v/>
      </c>
      <c r="Y349" s="174" t="str">
        <f>IF(Buildings_Heat_Frontend[[#This Row],[Data]]="","", Buildings_Heat_Frontend[[#This Row],[MPRN]])</f>
        <v/>
      </c>
      <c r="Z349" s="174" t="str">
        <f>IF(Buildings_Heat_Frontend[[#This Row],[Data]]="","", IF($I349="","",$I349))</f>
        <v/>
      </c>
      <c r="AA349" s="229" t="str" cm="1">
        <f t="array" ref="AA349">IF(Buildings_Heat_Frontend[[#This Row],[Data]]="","", INDEX(_xlfn.SWITCH(Buildings_Heat_Backend[[#This Row],[Methodology]],"Tier 1",rng_RSD1,"Tier 2",rng_RSD2,"Tier 3",rng_RSD3),MATCH(_xlfn.CONCAT(Buildings_Heat_Backend[[#This Row],[Level 1]:[Level 6]]),rng_LevelsConcat,0)))</f>
        <v/>
      </c>
      <c r="AB349" s="220" t="str">
        <f t="shared" si="16"/>
        <v/>
      </c>
      <c r="AC349" s="174">
        <f>Buildings_Heat_Frontend[[#This Row],[Units]]</f>
        <v>0</v>
      </c>
      <c r="AD34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49" s="174" t="str">
        <f>IF(Buildings_Heat_Frontend[[#This Row],[Data]]="","", _xlfn.XLOOKUP(_xlfn.CONCAT(Buildings_Heat_Backend[[#This Row],[Level 1]:[Level 6]]),rng_LevelsConcat,rng_UnitsLong))</f>
        <v/>
      </c>
      <c r="AF349" s="210" t="str">
        <f>IF(Buildings_Heat_Frontend[[#This Row],[Data]]="","", _xlfn.XLOOKUP(_xlfn.CONCAT(Buildings_Heat_Backend[[#This Row],[Level 1]:[Level 6]]),rng_EFConcat,rng_EF1)*Buildings_Heat_Backend[[#This Row],[Converted data]]/1000)</f>
        <v/>
      </c>
      <c r="AG349" s="210" t="str">
        <f>IF(Buildings_Heat_Frontend[[#This Row],[Data]]="","", _xlfn.XLOOKUP(_xlfn.CONCAT(Buildings_Heat_Backend[[#This Row],[Level 1]:[Level 6]]),rng_EFConcat,rng_EF2)*Buildings_Heat_Backend[[#This Row],[Converted data]]/1000)</f>
        <v/>
      </c>
      <c r="AH349" s="210" t="str">
        <f>IF(Buildings_Heat_Frontend[[#This Row],[Data]]="","", _xlfn.XLOOKUP(_xlfn.CONCAT(Buildings_Heat_Backend[[#This Row],[Level 1]:[Level 6]]),rng_EFConcat,rng_EF3)*Buildings_Heat_Backend[[#This Row],[Converted data]]/1000)</f>
        <v/>
      </c>
      <c r="AI349" s="210" t="str">
        <f>IF(Buildings_Heat_Frontend[[#This Row],[Data]]="","", _xlfn.XLOOKUP(_xlfn.CONCAT(Buildings_Heat_Backend[[#This Row],[Level 1]:[Level 6]]),rng_EFConcat,rng_EF3WTT)*Buildings_Heat_Backend[[#This Row],[Converted data]]/1000)</f>
        <v/>
      </c>
      <c r="AJ349" s="210" t="str">
        <f>IF(Buildings_Heat_Frontend[[#This Row],[Data]]="","", _xlfn.XLOOKUP(_xlfn.CONCAT(Buildings_Heat_Backend[[#This Row],[Level 1]:[Level 6]]),rng_EFConcat,rng_EF3TD)*Buildings_Heat_Backend[[#This Row],[Converted data]]/1000)</f>
        <v/>
      </c>
      <c r="AK349" s="210" t="str">
        <f>IF(Buildings_Heat_Frontend[[#This Row],[Data]]="","", _xlfn.XLOOKUP(_xlfn.CONCAT(Buildings_Heat_Backend[[#This Row],[Level 1]:[Level 6]]),rng_EFConcat,rng_EF3WTTTD)*Buildings_Heat_Backend[[#This Row],[Converted data]]/1000)</f>
        <v/>
      </c>
      <c r="AL349" s="220">
        <f>SUM(Buildings_Heat_Backend[[#This Row],[Scope 1 (tCO2e)]:[Scope 3 WTT T&amp;D (tCO2e)]])</f>
        <v>0</v>
      </c>
      <c r="AM349" s="220" t="str">
        <f>IF(Buildings_Heat_Frontend[[#This Row],[Data]]="","", Buildings_Heat_Backend[[#This Row],[Total (tCO2e)]]*(1-Buildings_Heat_Backend[[#This Row],[RSD]]))</f>
        <v/>
      </c>
      <c r="AN349" s="220" t="str">
        <f>IF(Buildings_Heat_Frontend[[#This Row],[Data]]="","", Buildings_Heat_Backend[[#This Row],[Total (tCO2e)]]*(1+Buildings_Heat_Backend[[#This Row],[RSD]]))</f>
        <v/>
      </c>
      <c r="AO349" s="210" t="str">
        <f>IF(Buildings_Heat_Frontend[[#This Row],[Data]]="","", _xlfn.XLOOKUP(_xlfn.CONCAT(Buildings_Heat_Backend[[#This Row],[Level 1]:[Level 6]]),rng_EFConcat,rng_EFOOS)*Buildings_Heat_Backend[[#This Row],[Converted data]]/1000)</f>
        <v/>
      </c>
      <c r="AP349" s="174">
        <f>Buildings_Heat_Frontend[[#This Row],[Ease of collection]]</f>
        <v>0</v>
      </c>
      <c r="AQ349" s="174">
        <f>Buildings_Heat_Frontend[[#This Row],[Completeness]]</f>
        <v>0</v>
      </c>
      <c r="AR349" s="174">
        <f>Buildings_Heat_Frontend[[#This Row],[Notes]]</f>
        <v>0</v>
      </c>
    </row>
    <row r="350" spans="5:44" x14ac:dyDescent="0.3">
      <c r="E350" s="346"/>
      <c r="F350" s="364"/>
      <c r="G350" s="336"/>
      <c r="H350" s="336"/>
      <c r="I350" s="336"/>
      <c r="J350" s="334"/>
      <c r="K350" s="336"/>
      <c r="L350" s="336"/>
      <c r="M350" s="336"/>
      <c r="N350" s="352"/>
      <c r="O350" s="230">
        <f t="shared" si="17"/>
        <v>6</v>
      </c>
      <c r="Q350" s="212" t="str">
        <f t="shared" si="15"/>
        <v/>
      </c>
      <c r="R350" s="174" t="s">
        <v>265</v>
      </c>
      <c r="S350" s="174" t="s">
        <v>273</v>
      </c>
      <c r="T350" s="174" t="str">
        <f>IF(Buildings_Heat_Frontend[[#This Row],[Data]]="","", _xlfn.XLOOKUP(Buildings_Heat_Backend[[#This Row],[Info 1]],Buildings_SiteInfo[Site name],Buildings_SiteInfo[Site type]))</f>
        <v/>
      </c>
      <c r="U350" s="174" t="str">
        <f>IF(Buildings_Heat_Frontend[[#This Row],[Data]]="","", Buildings_Heat_Frontend[[#This Row],[Heating Type]])</f>
        <v/>
      </c>
      <c r="V350" s="174" t="str">
        <f>IF(Buildings_Heat_Frontend[[#This Row],[Data]]="","", Buildings_Heat_Frontend[[#This Row],[Fuel]])</f>
        <v/>
      </c>
      <c r="W350" s="174" t="str" cm="1">
        <f t="array" ref="W350">IF(Buildings_Heat_Frontend[[#This Row],[Data]]="","", _xlfn.XLOOKUP(Buildings_Heat_Backend[[#This Row],[Level 5]],rng_Level5Long,rng_Level6Long))</f>
        <v/>
      </c>
      <c r="X350" s="174" t="str">
        <f>IF(Buildings_Heat_Frontend[[#This Row],[Data]]="","", Buildings_Heat_Frontend[[#This Row],[Site Name]])</f>
        <v/>
      </c>
      <c r="Y350" s="174" t="str">
        <f>IF(Buildings_Heat_Frontend[[#This Row],[Data]]="","", Buildings_Heat_Frontend[[#This Row],[MPRN]])</f>
        <v/>
      </c>
      <c r="Z350" s="174" t="str">
        <f>IF(Buildings_Heat_Frontend[[#This Row],[Data]]="","", IF($I350="","",$I350))</f>
        <v/>
      </c>
      <c r="AA350" s="229" t="str" cm="1">
        <f t="array" ref="AA350">IF(Buildings_Heat_Frontend[[#This Row],[Data]]="","", INDEX(_xlfn.SWITCH(Buildings_Heat_Backend[[#This Row],[Methodology]],"Tier 1",rng_RSD1,"Tier 2",rng_RSD2,"Tier 3",rng_RSD3),MATCH(_xlfn.CONCAT(Buildings_Heat_Backend[[#This Row],[Level 1]:[Level 6]]),rng_LevelsConcat,0)))</f>
        <v/>
      </c>
      <c r="AB350" s="220" t="str">
        <f t="shared" si="16"/>
        <v/>
      </c>
      <c r="AC350" s="174">
        <f>Buildings_Heat_Frontend[[#This Row],[Units]]</f>
        <v>0</v>
      </c>
      <c r="AD35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0" s="174" t="str">
        <f>IF(Buildings_Heat_Frontend[[#This Row],[Data]]="","", _xlfn.XLOOKUP(_xlfn.CONCAT(Buildings_Heat_Backend[[#This Row],[Level 1]:[Level 6]]),rng_LevelsConcat,rng_UnitsLong))</f>
        <v/>
      </c>
      <c r="AF350" s="210" t="str">
        <f>IF(Buildings_Heat_Frontend[[#This Row],[Data]]="","", _xlfn.XLOOKUP(_xlfn.CONCAT(Buildings_Heat_Backend[[#This Row],[Level 1]:[Level 6]]),rng_EFConcat,rng_EF1)*Buildings_Heat_Backend[[#This Row],[Converted data]]/1000)</f>
        <v/>
      </c>
      <c r="AG350" s="210" t="str">
        <f>IF(Buildings_Heat_Frontend[[#This Row],[Data]]="","", _xlfn.XLOOKUP(_xlfn.CONCAT(Buildings_Heat_Backend[[#This Row],[Level 1]:[Level 6]]),rng_EFConcat,rng_EF2)*Buildings_Heat_Backend[[#This Row],[Converted data]]/1000)</f>
        <v/>
      </c>
      <c r="AH350" s="210" t="str">
        <f>IF(Buildings_Heat_Frontend[[#This Row],[Data]]="","", _xlfn.XLOOKUP(_xlfn.CONCAT(Buildings_Heat_Backend[[#This Row],[Level 1]:[Level 6]]),rng_EFConcat,rng_EF3)*Buildings_Heat_Backend[[#This Row],[Converted data]]/1000)</f>
        <v/>
      </c>
      <c r="AI350" s="210" t="str">
        <f>IF(Buildings_Heat_Frontend[[#This Row],[Data]]="","", _xlfn.XLOOKUP(_xlfn.CONCAT(Buildings_Heat_Backend[[#This Row],[Level 1]:[Level 6]]),rng_EFConcat,rng_EF3WTT)*Buildings_Heat_Backend[[#This Row],[Converted data]]/1000)</f>
        <v/>
      </c>
      <c r="AJ350" s="210" t="str">
        <f>IF(Buildings_Heat_Frontend[[#This Row],[Data]]="","", _xlfn.XLOOKUP(_xlfn.CONCAT(Buildings_Heat_Backend[[#This Row],[Level 1]:[Level 6]]),rng_EFConcat,rng_EF3TD)*Buildings_Heat_Backend[[#This Row],[Converted data]]/1000)</f>
        <v/>
      </c>
      <c r="AK350" s="210" t="str">
        <f>IF(Buildings_Heat_Frontend[[#This Row],[Data]]="","", _xlfn.XLOOKUP(_xlfn.CONCAT(Buildings_Heat_Backend[[#This Row],[Level 1]:[Level 6]]),rng_EFConcat,rng_EF3WTTTD)*Buildings_Heat_Backend[[#This Row],[Converted data]]/1000)</f>
        <v/>
      </c>
      <c r="AL350" s="220">
        <f>SUM(Buildings_Heat_Backend[[#This Row],[Scope 1 (tCO2e)]:[Scope 3 WTT T&amp;D (tCO2e)]])</f>
        <v>0</v>
      </c>
      <c r="AM350" s="220" t="str">
        <f>IF(Buildings_Heat_Frontend[[#This Row],[Data]]="","", Buildings_Heat_Backend[[#This Row],[Total (tCO2e)]]*(1-Buildings_Heat_Backend[[#This Row],[RSD]]))</f>
        <v/>
      </c>
      <c r="AN350" s="220" t="str">
        <f>IF(Buildings_Heat_Frontend[[#This Row],[Data]]="","", Buildings_Heat_Backend[[#This Row],[Total (tCO2e)]]*(1+Buildings_Heat_Backend[[#This Row],[RSD]]))</f>
        <v/>
      </c>
      <c r="AO350" s="210" t="str">
        <f>IF(Buildings_Heat_Frontend[[#This Row],[Data]]="","", _xlfn.XLOOKUP(_xlfn.CONCAT(Buildings_Heat_Backend[[#This Row],[Level 1]:[Level 6]]),rng_EFConcat,rng_EFOOS)*Buildings_Heat_Backend[[#This Row],[Converted data]]/1000)</f>
        <v/>
      </c>
      <c r="AP350" s="174">
        <f>Buildings_Heat_Frontend[[#This Row],[Ease of collection]]</f>
        <v>0</v>
      </c>
      <c r="AQ350" s="174">
        <f>Buildings_Heat_Frontend[[#This Row],[Completeness]]</f>
        <v>0</v>
      </c>
      <c r="AR350" s="174">
        <f>Buildings_Heat_Frontend[[#This Row],[Notes]]</f>
        <v>0</v>
      </c>
    </row>
    <row r="351" spans="5:44" x14ac:dyDescent="0.3">
      <c r="E351" s="346"/>
      <c r="F351" s="364"/>
      <c r="G351" s="336"/>
      <c r="H351" s="336"/>
      <c r="I351" s="336"/>
      <c r="J351" s="334"/>
      <c r="K351" s="336"/>
      <c r="L351" s="336"/>
      <c r="M351" s="336"/>
      <c r="N351" s="352"/>
      <c r="O351" s="230">
        <f t="shared" si="17"/>
        <v>6</v>
      </c>
      <c r="Q351" s="212" t="str">
        <f t="shared" si="15"/>
        <v/>
      </c>
      <c r="R351" s="174" t="s">
        <v>265</v>
      </c>
      <c r="S351" s="174" t="s">
        <v>273</v>
      </c>
      <c r="T351" s="174" t="str">
        <f>IF(Buildings_Heat_Frontend[[#This Row],[Data]]="","", _xlfn.XLOOKUP(Buildings_Heat_Backend[[#This Row],[Info 1]],Buildings_SiteInfo[Site name],Buildings_SiteInfo[Site type]))</f>
        <v/>
      </c>
      <c r="U351" s="174" t="str">
        <f>IF(Buildings_Heat_Frontend[[#This Row],[Data]]="","", Buildings_Heat_Frontend[[#This Row],[Heating Type]])</f>
        <v/>
      </c>
      <c r="V351" s="174" t="str">
        <f>IF(Buildings_Heat_Frontend[[#This Row],[Data]]="","", Buildings_Heat_Frontend[[#This Row],[Fuel]])</f>
        <v/>
      </c>
      <c r="W351" s="174" t="str" cm="1">
        <f t="array" ref="W351">IF(Buildings_Heat_Frontend[[#This Row],[Data]]="","", _xlfn.XLOOKUP(Buildings_Heat_Backend[[#This Row],[Level 5]],rng_Level5Long,rng_Level6Long))</f>
        <v/>
      </c>
      <c r="X351" s="174" t="str">
        <f>IF(Buildings_Heat_Frontend[[#This Row],[Data]]="","", Buildings_Heat_Frontend[[#This Row],[Site Name]])</f>
        <v/>
      </c>
      <c r="Y351" s="174" t="str">
        <f>IF(Buildings_Heat_Frontend[[#This Row],[Data]]="","", Buildings_Heat_Frontend[[#This Row],[MPRN]])</f>
        <v/>
      </c>
      <c r="Z351" s="174" t="str">
        <f>IF(Buildings_Heat_Frontend[[#This Row],[Data]]="","", IF($I351="","",$I351))</f>
        <v/>
      </c>
      <c r="AA351" s="229" t="str" cm="1">
        <f t="array" ref="AA351">IF(Buildings_Heat_Frontend[[#This Row],[Data]]="","", INDEX(_xlfn.SWITCH(Buildings_Heat_Backend[[#This Row],[Methodology]],"Tier 1",rng_RSD1,"Tier 2",rng_RSD2,"Tier 3",rng_RSD3),MATCH(_xlfn.CONCAT(Buildings_Heat_Backend[[#This Row],[Level 1]:[Level 6]]),rng_LevelsConcat,0)))</f>
        <v/>
      </c>
      <c r="AB351" s="220" t="str">
        <f t="shared" si="16"/>
        <v/>
      </c>
      <c r="AC351" s="174">
        <f>Buildings_Heat_Frontend[[#This Row],[Units]]</f>
        <v>0</v>
      </c>
      <c r="AD35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1" s="174" t="str">
        <f>IF(Buildings_Heat_Frontend[[#This Row],[Data]]="","", _xlfn.XLOOKUP(_xlfn.CONCAT(Buildings_Heat_Backend[[#This Row],[Level 1]:[Level 6]]),rng_LevelsConcat,rng_UnitsLong))</f>
        <v/>
      </c>
      <c r="AF351" s="210" t="str">
        <f>IF(Buildings_Heat_Frontend[[#This Row],[Data]]="","", _xlfn.XLOOKUP(_xlfn.CONCAT(Buildings_Heat_Backend[[#This Row],[Level 1]:[Level 6]]),rng_EFConcat,rng_EF1)*Buildings_Heat_Backend[[#This Row],[Converted data]]/1000)</f>
        <v/>
      </c>
      <c r="AG351" s="210" t="str">
        <f>IF(Buildings_Heat_Frontend[[#This Row],[Data]]="","", _xlfn.XLOOKUP(_xlfn.CONCAT(Buildings_Heat_Backend[[#This Row],[Level 1]:[Level 6]]),rng_EFConcat,rng_EF2)*Buildings_Heat_Backend[[#This Row],[Converted data]]/1000)</f>
        <v/>
      </c>
      <c r="AH351" s="210" t="str">
        <f>IF(Buildings_Heat_Frontend[[#This Row],[Data]]="","", _xlfn.XLOOKUP(_xlfn.CONCAT(Buildings_Heat_Backend[[#This Row],[Level 1]:[Level 6]]),rng_EFConcat,rng_EF3)*Buildings_Heat_Backend[[#This Row],[Converted data]]/1000)</f>
        <v/>
      </c>
      <c r="AI351" s="210" t="str">
        <f>IF(Buildings_Heat_Frontend[[#This Row],[Data]]="","", _xlfn.XLOOKUP(_xlfn.CONCAT(Buildings_Heat_Backend[[#This Row],[Level 1]:[Level 6]]),rng_EFConcat,rng_EF3WTT)*Buildings_Heat_Backend[[#This Row],[Converted data]]/1000)</f>
        <v/>
      </c>
      <c r="AJ351" s="210" t="str">
        <f>IF(Buildings_Heat_Frontend[[#This Row],[Data]]="","", _xlfn.XLOOKUP(_xlfn.CONCAT(Buildings_Heat_Backend[[#This Row],[Level 1]:[Level 6]]),rng_EFConcat,rng_EF3TD)*Buildings_Heat_Backend[[#This Row],[Converted data]]/1000)</f>
        <v/>
      </c>
      <c r="AK351" s="210" t="str">
        <f>IF(Buildings_Heat_Frontend[[#This Row],[Data]]="","", _xlfn.XLOOKUP(_xlfn.CONCAT(Buildings_Heat_Backend[[#This Row],[Level 1]:[Level 6]]),rng_EFConcat,rng_EF3WTTTD)*Buildings_Heat_Backend[[#This Row],[Converted data]]/1000)</f>
        <v/>
      </c>
      <c r="AL351" s="220">
        <f>SUM(Buildings_Heat_Backend[[#This Row],[Scope 1 (tCO2e)]:[Scope 3 WTT T&amp;D (tCO2e)]])</f>
        <v>0</v>
      </c>
      <c r="AM351" s="220" t="str">
        <f>IF(Buildings_Heat_Frontend[[#This Row],[Data]]="","", Buildings_Heat_Backend[[#This Row],[Total (tCO2e)]]*(1-Buildings_Heat_Backend[[#This Row],[RSD]]))</f>
        <v/>
      </c>
      <c r="AN351" s="220" t="str">
        <f>IF(Buildings_Heat_Frontend[[#This Row],[Data]]="","", Buildings_Heat_Backend[[#This Row],[Total (tCO2e)]]*(1+Buildings_Heat_Backend[[#This Row],[RSD]]))</f>
        <v/>
      </c>
      <c r="AO351" s="210" t="str">
        <f>IF(Buildings_Heat_Frontend[[#This Row],[Data]]="","", _xlfn.XLOOKUP(_xlfn.CONCAT(Buildings_Heat_Backend[[#This Row],[Level 1]:[Level 6]]),rng_EFConcat,rng_EFOOS)*Buildings_Heat_Backend[[#This Row],[Converted data]]/1000)</f>
        <v/>
      </c>
      <c r="AP351" s="174">
        <f>Buildings_Heat_Frontend[[#This Row],[Ease of collection]]</f>
        <v>0</v>
      </c>
      <c r="AQ351" s="174">
        <f>Buildings_Heat_Frontend[[#This Row],[Completeness]]</f>
        <v>0</v>
      </c>
      <c r="AR351" s="174">
        <f>Buildings_Heat_Frontend[[#This Row],[Notes]]</f>
        <v>0</v>
      </c>
    </row>
    <row r="352" spans="5:44" x14ac:dyDescent="0.3">
      <c r="E352" s="346"/>
      <c r="F352" s="364"/>
      <c r="G352" s="336"/>
      <c r="H352" s="336"/>
      <c r="I352" s="336"/>
      <c r="J352" s="334"/>
      <c r="K352" s="336"/>
      <c r="L352" s="336"/>
      <c r="M352" s="336"/>
      <c r="N352" s="352"/>
      <c r="O352" s="230">
        <f t="shared" si="17"/>
        <v>6</v>
      </c>
      <c r="Q352" s="212" t="str">
        <f t="shared" si="15"/>
        <v/>
      </c>
      <c r="R352" s="174" t="s">
        <v>265</v>
      </c>
      <c r="S352" s="174" t="s">
        <v>273</v>
      </c>
      <c r="T352" s="174" t="str">
        <f>IF(Buildings_Heat_Frontend[[#This Row],[Data]]="","", _xlfn.XLOOKUP(Buildings_Heat_Backend[[#This Row],[Info 1]],Buildings_SiteInfo[Site name],Buildings_SiteInfo[Site type]))</f>
        <v/>
      </c>
      <c r="U352" s="174" t="str">
        <f>IF(Buildings_Heat_Frontend[[#This Row],[Data]]="","", Buildings_Heat_Frontend[[#This Row],[Heating Type]])</f>
        <v/>
      </c>
      <c r="V352" s="174" t="str">
        <f>IF(Buildings_Heat_Frontend[[#This Row],[Data]]="","", Buildings_Heat_Frontend[[#This Row],[Fuel]])</f>
        <v/>
      </c>
      <c r="W352" s="174" t="str" cm="1">
        <f t="array" ref="W352">IF(Buildings_Heat_Frontend[[#This Row],[Data]]="","", _xlfn.XLOOKUP(Buildings_Heat_Backend[[#This Row],[Level 5]],rng_Level5Long,rng_Level6Long))</f>
        <v/>
      </c>
      <c r="X352" s="174" t="str">
        <f>IF(Buildings_Heat_Frontend[[#This Row],[Data]]="","", Buildings_Heat_Frontend[[#This Row],[Site Name]])</f>
        <v/>
      </c>
      <c r="Y352" s="174" t="str">
        <f>IF(Buildings_Heat_Frontend[[#This Row],[Data]]="","", Buildings_Heat_Frontend[[#This Row],[MPRN]])</f>
        <v/>
      </c>
      <c r="Z352" s="174" t="str">
        <f>IF(Buildings_Heat_Frontend[[#This Row],[Data]]="","", IF($I352="","",$I352))</f>
        <v/>
      </c>
      <c r="AA352" s="229" t="str" cm="1">
        <f t="array" ref="AA352">IF(Buildings_Heat_Frontend[[#This Row],[Data]]="","", INDEX(_xlfn.SWITCH(Buildings_Heat_Backend[[#This Row],[Methodology]],"Tier 1",rng_RSD1,"Tier 2",rng_RSD2,"Tier 3",rng_RSD3),MATCH(_xlfn.CONCAT(Buildings_Heat_Backend[[#This Row],[Level 1]:[Level 6]]),rng_LevelsConcat,0)))</f>
        <v/>
      </c>
      <c r="AB352" s="220" t="str">
        <f t="shared" si="16"/>
        <v/>
      </c>
      <c r="AC352" s="174">
        <f>Buildings_Heat_Frontend[[#This Row],[Units]]</f>
        <v>0</v>
      </c>
      <c r="AD35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2" s="174" t="str">
        <f>IF(Buildings_Heat_Frontend[[#This Row],[Data]]="","", _xlfn.XLOOKUP(_xlfn.CONCAT(Buildings_Heat_Backend[[#This Row],[Level 1]:[Level 6]]),rng_LevelsConcat,rng_UnitsLong))</f>
        <v/>
      </c>
      <c r="AF352" s="210" t="str">
        <f>IF(Buildings_Heat_Frontend[[#This Row],[Data]]="","", _xlfn.XLOOKUP(_xlfn.CONCAT(Buildings_Heat_Backend[[#This Row],[Level 1]:[Level 6]]),rng_EFConcat,rng_EF1)*Buildings_Heat_Backend[[#This Row],[Converted data]]/1000)</f>
        <v/>
      </c>
      <c r="AG352" s="210" t="str">
        <f>IF(Buildings_Heat_Frontend[[#This Row],[Data]]="","", _xlfn.XLOOKUP(_xlfn.CONCAT(Buildings_Heat_Backend[[#This Row],[Level 1]:[Level 6]]),rng_EFConcat,rng_EF2)*Buildings_Heat_Backend[[#This Row],[Converted data]]/1000)</f>
        <v/>
      </c>
      <c r="AH352" s="210" t="str">
        <f>IF(Buildings_Heat_Frontend[[#This Row],[Data]]="","", _xlfn.XLOOKUP(_xlfn.CONCAT(Buildings_Heat_Backend[[#This Row],[Level 1]:[Level 6]]),rng_EFConcat,rng_EF3)*Buildings_Heat_Backend[[#This Row],[Converted data]]/1000)</f>
        <v/>
      </c>
      <c r="AI352" s="210" t="str">
        <f>IF(Buildings_Heat_Frontend[[#This Row],[Data]]="","", _xlfn.XLOOKUP(_xlfn.CONCAT(Buildings_Heat_Backend[[#This Row],[Level 1]:[Level 6]]),rng_EFConcat,rng_EF3WTT)*Buildings_Heat_Backend[[#This Row],[Converted data]]/1000)</f>
        <v/>
      </c>
      <c r="AJ352" s="210" t="str">
        <f>IF(Buildings_Heat_Frontend[[#This Row],[Data]]="","", _xlfn.XLOOKUP(_xlfn.CONCAT(Buildings_Heat_Backend[[#This Row],[Level 1]:[Level 6]]),rng_EFConcat,rng_EF3TD)*Buildings_Heat_Backend[[#This Row],[Converted data]]/1000)</f>
        <v/>
      </c>
      <c r="AK352" s="210" t="str">
        <f>IF(Buildings_Heat_Frontend[[#This Row],[Data]]="","", _xlfn.XLOOKUP(_xlfn.CONCAT(Buildings_Heat_Backend[[#This Row],[Level 1]:[Level 6]]),rng_EFConcat,rng_EF3WTTTD)*Buildings_Heat_Backend[[#This Row],[Converted data]]/1000)</f>
        <v/>
      </c>
      <c r="AL352" s="220">
        <f>SUM(Buildings_Heat_Backend[[#This Row],[Scope 1 (tCO2e)]:[Scope 3 WTT T&amp;D (tCO2e)]])</f>
        <v>0</v>
      </c>
      <c r="AM352" s="220" t="str">
        <f>IF(Buildings_Heat_Frontend[[#This Row],[Data]]="","", Buildings_Heat_Backend[[#This Row],[Total (tCO2e)]]*(1-Buildings_Heat_Backend[[#This Row],[RSD]]))</f>
        <v/>
      </c>
      <c r="AN352" s="220" t="str">
        <f>IF(Buildings_Heat_Frontend[[#This Row],[Data]]="","", Buildings_Heat_Backend[[#This Row],[Total (tCO2e)]]*(1+Buildings_Heat_Backend[[#This Row],[RSD]]))</f>
        <v/>
      </c>
      <c r="AO352" s="210" t="str">
        <f>IF(Buildings_Heat_Frontend[[#This Row],[Data]]="","", _xlfn.XLOOKUP(_xlfn.CONCAT(Buildings_Heat_Backend[[#This Row],[Level 1]:[Level 6]]),rng_EFConcat,rng_EFOOS)*Buildings_Heat_Backend[[#This Row],[Converted data]]/1000)</f>
        <v/>
      </c>
      <c r="AP352" s="174">
        <f>Buildings_Heat_Frontend[[#This Row],[Ease of collection]]</f>
        <v>0</v>
      </c>
      <c r="AQ352" s="174">
        <f>Buildings_Heat_Frontend[[#This Row],[Completeness]]</f>
        <v>0</v>
      </c>
      <c r="AR352" s="174">
        <f>Buildings_Heat_Frontend[[#This Row],[Notes]]</f>
        <v>0</v>
      </c>
    </row>
    <row r="353" spans="5:44" x14ac:dyDescent="0.3">
      <c r="E353" s="346"/>
      <c r="F353" s="364"/>
      <c r="G353" s="336"/>
      <c r="H353" s="336"/>
      <c r="I353" s="336"/>
      <c r="J353" s="334"/>
      <c r="K353" s="336"/>
      <c r="L353" s="336"/>
      <c r="M353" s="336"/>
      <c r="N353" s="352"/>
      <c r="O353" s="230">
        <f t="shared" si="17"/>
        <v>6</v>
      </c>
      <c r="Q353" s="212" t="str">
        <f t="shared" si="15"/>
        <v/>
      </c>
      <c r="R353" s="174" t="s">
        <v>265</v>
      </c>
      <c r="S353" s="174" t="s">
        <v>273</v>
      </c>
      <c r="T353" s="174" t="str">
        <f>IF(Buildings_Heat_Frontend[[#This Row],[Data]]="","", _xlfn.XLOOKUP(Buildings_Heat_Backend[[#This Row],[Info 1]],Buildings_SiteInfo[Site name],Buildings_SiteInfo[Site type]))</f>
        <v/>
      </c>
      <c r="U353" s="174" t="str">
        <f>IF(Buildings_Heat_Frontend[[#This Row],[Data]]="","", Buildings_Heat_Frontend[[#This Row],[Heating Type]])</f>
        <v/>
      </c>
      <c r="V353" s="174" t="str">
        <f>IF(Buildings_Heat_Frontend[[#This Row],[Data]]="","", Buildings_Heat_Frontend[[#This Row],[Fuel]])</f>
        <v/>
      </c>
      <c r="W353" s="174" t="str" cm="1">
        <f t="array" ref="W353">IF(Buildings_Heat_Frontend[[#This Row],[Data]]="","", _xlfn.XLOOKUP(Buildings_Heat_Backend[[#This Row],[Level 5]],rng_Level5Long,rng_Level6Long))</f>
        <v/>
      </c>
      <c r="X353" s="174" t="str">
        <f>IF(Buildings_Heat_Frontend[[#This Row],[Data]]="","", Buildings_Heat_Frontend[[#This Row],[Site Name]])</f>
        <v/>
      </c>
      <c r="Y353" s="174" t="str">
        <f>IF(Buildings_Heat_Frontend[[#This Row],[Data]]="","", Buildings_Heat_Frontend[[#This Row],[MPRN]])</f>
        <v/>
      </c>
      <c r="Z353" s="174" t="str">
        <f>IF(Buildings_Heat_Frontend[[#This Row],[Data]]="","", IF($I353="","",$I353))</f>
        <v/>
      </c>
      <c r="AA353" s="229" t="str" cm="1">
        <f t="array" ref="AA353">IF(Buildings_Heat_Frontend[[#This Row],[Data]]="","", INDEX(_xlfn.SWITCH(Buildings_Heat_Backend[[#This Row],[Methodology]],"Tier 1",rng_RSD1,"Tier 2",rng_RSD2,"Tier 3",rng_RSD3),MATCH(_xlfn.CONCAT(Buildings_Heat_Backend[[#This Row],[Level 1]:[Level 6]]),rng_LevelsConcat,0)))</f>
        <v/>
      </c>
      <c r="AB353" s="220" t="str">
        <f t="shared" si="16"/>
        <v/>
      </c>
      <c r="AC353" s="174">
        <f>Buildings_Heat_Frontend[[#This Row],[Units]]</f>
        <v>0</v>
      </c>
      <c r="AD35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3" s="174" t="str">
        <f>IF(Buildings_Heat_Frontend[[#This Row],[Data]]="","", _xlfn.XLOOKUP(_xlfn.CONCAT(Buildings_Heat_Backend[[#This Row],[Level 1]:[Level 6]]),rng_LevelsConcat,rng_UnitsLong))</f>
        <v/>
      </c>
      <c r="AF353" s="210" t="str">
        <f>IF(Buildings_Heat_Frontend[[#This Row],[Data]]="","", _xlfn.XLOOKUP(_xlfn.CONCAT(Buildings_Heat_Backend[[#This Row],[Level 1]:[Level 6]]),rng_EFConcat,rng_EF1)*Buildings_Heat_Backend[[#This Row],[Converted data]]/1000)</f>
        <v/>
      </c>
      <c r="AG353" s="210" t="str">
        <f>IF(Buildings_Heat_Frontend[[#This Row],[Data]]="","", _xlfn.XLOOKUP(_xlfn.CONCAT(Buildings_Heat_Backend[[#This Row],[Level 1]:[Level 6]]),rng_EFConcat,rng_EF2)*Buildings_Heat_Backend[[#This Row],[Converted data]]/1000)</f>
        <v/>
      </c>
      <c r="AH353" s="210" t="str">
        <f>IF(Buildings_Heat_Frontend[[#This Row],[Data]]="","", _xlfn.XLOOKUP(_xlfn.CONCAT(Buildings_Heat_Backend[[#This Row],[Level 1]:[Level 6]]),rng_EFConcat,rng_EF3)*Buildings_Heat_Backend[[#This Row],[Converted data]]/1000)</f>
        <v/>
      </c>
      <c r="AI353" s="210" t="str">
        <f>IF(Buildings_Heat_Frontend[[#This Row],[Data]]="","", _xlfn.XLOOKUP(_xlfn.CONCAT(Buildings_Heat_Backend[[#This Row],[Level 1]:[Level 6]]),rng_EFConcat,rng_EF3WTT)*Buildings_Heat_Backend[[#This Row],[Converted data]]/1000)</f>
        <v/>
      </c>
      <c r="AJ353" s="210" t="str">
        <f>IF(Buildings_Heat_Frontend[[#This Row],[Data]]="","", _xlfn.XLOOKUP(_xlfn.CONCAT(Buildings_Heat_Backend[[#This Row],[Level 1]:[Level 6]]),rng_EFConcat,rng_EF3TD)*Buildings_Heat_Backend[[#This Row],[Converted data]]/1000)</f>
        <v/>
      </c>
      <c r="AK353" s="210" t="str">
        <f>IF(Buildings_Heat_Frontend[[#This Row],[Data]]="","", _xlfn.XLOOKUP(_xlfn.CONCAT(Buildings_Heat_Backend[[#This Row],[Level 1]:[Level 6]]),rng_EFConcat,rng_EF3WTTTD)*Buildings_Heat_Backend[[#This Row],[Converted data]]/1000)</f>
        <v/>
      </c>
      <c r="AL353" s="220">
        <f>SUM(Buildings_Heat_Backend[[#This Row],[Scope 1 (tCO2e)]:[Scope 3 WTT T&amp;D (tCO2e)]])</f>
        <v>0</v>
      </c>
      <c r="AM353" s="220" t="str">
        <f>IF(Buildings_Heat_Frontend[[#This Row],[Data]]="","", Buildings_Heat_Backend[[#This Row],[Total (tCO2e)]]*(1-Buildings_Heat_Backend[[#This Row],[RSD]]))</f>
        <v/>
      </c>
      <c r="AN353" s="220" t="str">
        <f>IF(Buildings_Heat_Frontend[[#This Row],[Data]]="","", Buildings_Heat_Backend[[#This Row],[Total (tCO2e)]]*(1+Buildings_Heat_Backend[[#This Row],[RSD]]))</f>
        <v/>
      </c>
      <c r="AO353" s="210" t="str">
        <f>IF(Buildings_Heat_Frontend[[#This Row],[Data]]="","", _xlfn.XLOOKUP(_xlfn.CONCAT(Buildings_Heat_Backend[[#This Row],[Level 1]:[Level 6]]),rng_EFConcat,rng_EFOOS)*Buildings_Heat_Backend[[#This Row],[Converted data]]/1000)</f>
        <v/>
      </c>
      <c r="AP353" s="174">
        <f>Buildings_Heat_Frontend[[#This Row],[Ease of collection]]</f>
        <v>0</v>
      </c>
      <c r="AQ353" s="174">
        <f>Buildings_Heat_Frontend[[#This Row],[Completeness]]</f>
        <v>0</v>
      </c>
      <c r="AR353" s="174">
        <f>Buildings_Heat_Frontend[[#This Row],[Notes]]</f>
        <v>0</v>
      </c>
    </row>
    <row r="354" spans="5:44" x14ac:dyDescent="0.3">
      <c r="E354" s="346"/>
      <c r="F354" s="364"/>
      <c r="G354" s="336"/>
      <c r="H354" s="336"/>
      <c r="I354" s="336"/>
      <c r="J354" s="334"/>
      <c r="K354" s="336"/>
      <c r="L354" s="336"/>
      <c r="M354" s="336"/>
      <c r="N354" s="352"/>
      <c r="O354" s="230">
        <f t="shared" si="17"/>
        <v>6</v>
      </c>
      <c r="Q354" s="212" t="str">
        <f t="shared" si="15"/>
        <v/>
      </c>
      <c r="R354" s="174" t="s">
        <v>265</v>
      </c>
      <c r="S354" s="174" t="s">
        <v>273</v>
      </c>
      <c r="T354" s="174" t="str">
        <f>IF(Buildings_Heat_Frontend[[#This Row],[Data]]="","", _xlfn.XLOOKUP(Buildings_Heat_Backend[[#This Row],[Info 1]],Buildings_SiteInfo[Site name],Buildings_SiteInfo[Site type]))</f>
        <v/>
      </c>
      <c r="U354" s="174" t="str">
        <f>IF(Buildings_Heat_Frontend[[#This Row],[Data]]="","", Buildings_Heat_Frontend[[#This Row],[Heating Type]])</f>
        <v/>
      </c>
      <c r="V354" s="174" t="str">
        <f>IF(Buildings_Heat_Frontend[[#This Row],[Data]]="","", Buildings_Heat_Frontend[[#This Row],[Fuel]])</f>
        <v/>
      </c>
      <c r="W354" s="174" t="str" cm="1">
        <f t="array" ref="W354">IF(Buildings_Heat_Frontend[[#This Row],[Data]]="","", _xlfn.XLOOKUP(Buildings_Heat_Backend[[#This Row],[Level 5]],rng_Level5Long,rng_Level6Long))</f>
        <v/>
      </c>
      <c r="X354" s="174" t="str">
        <f>IF(Buildings_Heat_Frontend[[#This Row],[Data]]="","", Buildings_Heat_Frontend[[#This Row],[Site Name]])</f>
        <v/>
      </c>
      <c r="Y354" s="174" t="str">
        <f>IF(Buildings_Heat_Frontend[[#This Row],[Data]]="","", Buildings_Heat_Frontend[[#This Row],[MPRN]])</f>
        <v/>
      </c>
      <c r="Z354" s="174" t="str">
        <f>IF(Buildings_Heat_Frontend[[#This Row],[Data]]="","", IF($I354="","",$I354))</f>
        <v/>
      </c>
      <c r="AA354" s="229" t="str" cm="1">
        <f t="array" ref="AA354">IF(Buildings_Heat_Frontend[[#This Row],[Data]]="","", INDEX(_xlfn.SWITCH(Buildings_Heat_Backend[[#This Row],[Methodology]],"Tier 1",rng_RSD1,"Tier 2",rng_RSD2,"Tier 3",rng_RSD3),MATCH(_xlfn.CONCAT(Buildings_Heat_Backend[[#This Row],[Level 1]:[Level 6]]),rng_LevelsConcat,0)))</f>
        <v/>
      </c>
      <c r="AB354" s="220" t="str">
        <f t="shared" si="16"/>
        <v/>
      </c>
      <c r="AC354" s="174">
        <f>Buildings_Heat_Frontend[[#This Row],[Units]]</f>
        <v>0</v>
      </c>
      <c r="AD35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4" s="174" t="str">
        <f>IF(Buildings_Heat_Frontend[[#This Row],[Data]]="","", _xlfn.XLOOKUP(_xlfn.CONCAT(Buildings_Heat_Backend[[#This Row],[Level 1]:[Level 6]]),rng_LevelsConcat,rng_UnitsLong))</f>
        <v/>
      </c>
      <c r="AF354" s="210" t="str">
        <f>IF(Buildings_Heat_Frontend[[#This Row],[Data]]="","", _xlfn.XLOOKUP(_xlfn.CONCAT(Buildings_Heat_Backend[[#This Row],[Level 1]:[Level 6]]),rng_EFConcat,rng_EF1)*Buildings_Heat_Backend[[#This Row],[Converted data]]/1000)</f>
        <v/>
      </c>
      <c r="AG354" s="210" t="str">
        <f>IF(Buildings_Heat_Frontend[[#This Row],[Data]]="","", _xlfn.XLOOKUP(_xlfn.CONCAT(Buildings_Heat_Backend[[#This Row],[Level 1]:[Level 6]]),rng_EFConcat,rng_EF2)*Buildings_Heat_Backend[[#This Row],[Converted data]]/1000)</f>
        <v/>
      </c>
      <c r="AH354" s="210" t="str">
        <f>IF(Buildings_Heat_Frontend[[#This Row],[Data]]="","", _xlfn.XLOOKUP(_xlfn.CONCAT(Buildings_Heat_Backend[[#This Row],[Level 1]:[Level 6]]),rng_EFConcat,rng_EF3)*Buildings_Heat_Backend[[#This Row],[Converted data]]/1000)</f>
        <v/>
      </c>
      <c r="AI354" s="210" t="str">
        <f>IF(Buildings_Heat_Frontend[[#This Row],[Data]]="","", _xlfn.XLOOKUP(_xlfn.CONCAT(Buildings_Heat_Backend[[#This Row],[Level 1]:[Level 6]]),rng_EFConcat,rng_EF3WTT)*Buildings_Heat_Backend[[#This Row],[Converted data]]/1000)</f>
        <v/>
      </c>
      <c r="AJ354" s="210" t="str">
        <f>IF(Buildings_Heat_Frontend[[#This Row],[Data]]="","", _xlfn.XLOOKUP(_xlfn.CONCAT(Buildings_Heat_Backend[[#This Row],[Level 1]:[Level 6]]),rng_EFConcat,rng_EF3TD)*Buildings_Heat_Backend[[#This Row],[Converted data]]/1000)</f>
        <v/>
      </c>
      <c r="AK354" s="210" t="str">
        <f>IF(Buildings_Heat_Frontend[[#This Row],[Data]]="","", _xlfn.XLOOKUP(_xlfn.CONCAT(Buildings_Heat_Backend[[#This Row],[Level 1]:[Level 6]]),rng_EFConcat,rng_EF3WTTTD)*Buildings_Heat_Backend[[#This Row],[Converted data]]/1000)</f>
        <v/>
      </c>
      <c r="AL354" s="220">
        <f>SUM(Buildings_Heat_Backend[[#This Row],[Scope 1 (tCO2e)]:[Scope 3 WTT T&amp;D (tCO2e)]])</f>
        <v>0</v>
      </c>
      <c r="AM354" s="220" t="str">
        <f>IF(Buildings_Heat_Frontend[[#This Row],[Data]]="","", Buildings_Heat_Backend[[#This Row],[Total (tCO2e)]]*(1-Buildings_Heat_Backend[[#This Row],[RSD]]))</f>
        <v/>
      </c>
      <c r="AN354" s="220" t="str">
        <f>IF(Buildings_Heat_Frontend[[#This Row],[Data]]="","", Buildings_Heat_Backend[[#This Row],[Total (tCO2e)]]*(1+Buildings_Heat_Backend[[#This Row],[RSD]]))</f>
        <v/>
      </c>
      <c r="AO354" s="210" t="str">
        <f>IF(Buildings_Heat_Frontend[[#This Row],[Data]]="","", _xlfn.XLOOKUP(_xlfn.CONCAT(Buildings_Heat_Backend[[#This Row],[Level 1]:[Level 6]]),rng_EFConcat,rng_EFOOS)*Buildings_Heat_Backend[[#This Row],[Converted data]]/1000)</f>
        <v/>
      </c>
      <c r="AP354" s="174">
        <f>Buildings_Heat_Frontend[[#This Row],[Ease of collection]]</f>
        <v>0</v>
      </c>
      <c r="AQ354" s="174">
        <f>Buildings_Heat_Frontend[[#This Row],[Completeness]]</f>
        <v>0</v>
      </c>
      <c r="AR354" s="174">
        <f>Buildings_Heat_Frontend[[#This Row],[Notes]]</f>
        <v>0</v>
      </c>
    </row>
    <row r="355" spans="5:44" x14ac:dyDescent="0.3">
      <c r="E355" s="346"/>
      <c r="F355" s="364"/>
      <c r="G355" s="336"/>
      <c r="H355" s="336"/>
      <c r="I355" s="336"/>
      <c r="J355" s="334"/>
      <c r="K355" s="336"/>
      <c r="L355" s="336"/>
      <c r="M355" s="336"/>
      <c r="N355" s="352"/>
      <c r="O355" s="230">
        <f t="shared" si="17"/>
        <v>6</v>
      </c>
      <c r="Q355" s="212" t="str">
        <f t="shared" si="15"/>
        <v/>
      </c>
      <c r="R355" s="174" t="s">
        <v>265</v>
      </c>
      <c r="S355" s="174" t="s">
        <v>273</v>
      </c>
      <c r="T355" s="174" t="str">
        <f>IF(Buildings_Heat_Frontend[[#This Row],[Data]]="","", _xlfn.XLOOKUP(Buildings_Heat_Backend[[#This Row],[Info 1]],Buildings_SiteInfo[Site name],Buildings_SiteInfo[Site type]))</f>
        <v/>
      </c>
      <c r="U355" s="174" t="str">
        <f>IF(Buildings_Heat_Frontend[[#This Row],[Data]]="","", Buildings_Heat_Frontend[[#This Row],[Heating Type]])</f>
        <v/>
      </c>
      <c r="V355" s="174" t="str">
        <f>IF(Buildings_Heat_Frontend[[#This Row],[Data]]="","", Buildings_Heat_Frontend[[#This Row],[Fuel]])</f>
        <v/>
      </c>
      <c r="W355" s="174" t="str" cm="1">
        <f t="array" ref="W355">IF(Buildings_Heat_Frontend[[#This Row],[Data]]="","", _xlfn.XLOOKUP(Buildings_Heat_Backend[[#This Row],[Level 5]],rng_Level5Long,rng_Level6Long))</f>
        <v/>
      </c>
      <c r="X355" s="174" t="str">
        <f>IF(Buildings_Heat_Frontend[[#This Row],[Data]]="","", Buildings_Heat_Frontend[[#This Row],[Site Name]])</f>
        <v/>
      </c>
      <c r="Y355" s="174" t="str">
        <f>IF(Buildings_Heat_Frontend[[#This Row],[Data]]="","", Buildings_Heat_Frontend[[#This Row],[MPRN]])</f>
        <v/>
      </c>
      <c r="Z355" s="174" t="str">
        <f>IF(Buildings_Heat_Frontend[[#This Row],[Data]]="","", IF($I355="","",$I355))</f>
        <v/>
      </c>
      <c r="AA355" s="229" t="str" cm="1">
        <f t="array" ref="AA355">IF(Buildings_Heat_Frontend[[#This Row],[Data]]="","", INDEX(_xlfn.SWITCH(Buildings_Heat_Backend[[#This Row],[Methodology]],"Tier 1",rng_RSD1,"Tier 2",rng_RSD2,"Tier 3",rng_RSD3),MATCH(_xlfn.CONCAT(Buildings_Heat_Backend[[#This Row],[Level 1]:[Level 6]]),rng_LevelsConcat,0)))</f>
        <v/>
      </c>
      <c r="AB355" s="220" t="str">
        <f t="shared" si="16"/>
        <v/>
      </c>
      <c r="AC355" s="174">
        <f>Buildings_Heat_Frontend[[#This Row],[Units]]</f>
        <v>0</v>
      </c>
      <c r="AD35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5" s="174" t="str">
        <f>IF(Buildings_Heat_Frontend[[#This Row],[Data]]="","", _xlfn.XLOOKUP(_xlfn.CONCAT(Buildings_Heat_Backend[[#This Row],[Level 1]:[Level 6]]),rng_LevelsConcat,rng_UnitsLong))</f>
        <v/>
      </c>
      <c r="AF355" s="210" t="str">
        <f>IF(Buildings_Heat_Frontend[[#This Row],[Data]]="","", _xlfn.XLOOKUP(_xlfn.CONCAT(Buildings_Heat_Backend[[#This Row],[Level 1]:[Level 6]]),rng_EFConcat,rng_EF1)*Buildings_Heat_Backend[[#This Row],[Converted data]]/1000)</f>
        <v/>
      </c>
      <c r="AG355" s="210" t="str">
        <f>IF(Buildings_Heat_Frontend[[#This Row],[Data]]="","", _xlfn.XLOOKUP(_xlfn.CONCAT(Buildings_Heat_Backend[[#This Row],[Level 1]:[Level 6]]),rng_EFConcat,rng_EF2)*Buildings_Heat_Backend[[#This Row],[Converted data]]/1000)</f>
        <v/>
      </c>
      <c r="AH355" s="210" t="str">
        <f>IF(Buildings_Heat_Frontend[[#This Row],[Data]]="","", _xlfn.XLOOKUP(_xlfn.CONCAT(Buildings_Heat_Backend[[#This Row],[Level 1]:[Level 6]]),rng_EFConcat,rng_EF3)*Buildings_Heat_Backend[[#This Row],[Converted data]]/1000)</f>
        <v/>
      </c>
      <c r="AI355" s="210" t="str">
        <f>IF(Buildings_Heat_Frontend[[#This Row],[Data]]="","", _xlfn.XLOOKUP(_xlfn.CONCAT(Buildings_Heat_Backend[[#This Row],[Level 1]:[Level 6]]),rng_EFConcat,rng_EF3WTT)*Buildings_Heat_Backend[[#This Row],[Converted data]]/1000)</f>
        <v/>
      </c>
      <c r="AJ355" s="210" t="str">
        <f>IF(Buildings_Heat_Frontend[[#This Row],[Data]]="","", _xlfn.XLOOKUP(_xlfn.CONCAT(Buildings_Heat_Backend[[#This Row],[Level 1]:[Level 6]]),rng_EFConcat,rng_EF3TD)*Buildings_Heat_Backend[[#This Row],[Converted data]]/1000)</f>
        <v/>
      </c>
      <c r="AK355" s="210" t="str">
        <f>IF(Buildings_Heat_Frontend[[#This Row],[Data]]="","", _xlfn.XLOOKUP(_xlfn.CONCAT(Buildings_Heat_Backend[[#This Row],[Level 1]:[Level 6]]),rng_EFConcat,rng_EF3WTTTD)*Buildings_Heat_Backend[[#This Row],[Converted data]]/1000)</f>
        <v/>
      </c>
      <c r="AL355" s="220">
        <f>SUM(Buildings_Heat_Backend[[#This Row],[Scope 1 (tCO2e)]:[Scope 3 WTT T&amp;D (tCO2e)]])</f>
        <v>0</v>
      </c>
      <c r="AM355" s="220" t="str">
        <f>IF(Buildings_Heat_Frontend[[#This Row],[Data]]="","", Buildings_Heat_Backend[[#This Row],[Total (tCO2e)]]*(1-Buildings_Heat_Backend[[#This Row],[RSD]]))</f>
        <v/>
      </c>
      <c r="AN355" s="220" t="str">
        <f>IF(Buildings_Heat_Frontend[[#This Row],[Data]]="","", Buildings_Heat_Backend[[#This Row],[Total (tCO2e)]]*(1+Buildings_Heat_Backend[[#This Row],[RSD]]))</f>
        <v/>
      </c>
      <c r="AO355" s="210" t="str">
        <f>IF(Buildings_Heat_Frontend[[#This Row],[Data]]="","", _xlfn.XLOOKUP(_xlfn.CONCAT(Buildings_Heat_Backend[[#This Row],[Level 1]:[Level 6]]),rng_EFConcat,rng_EFOOS)*Buildings_Heat_Backend[[#This Row],[Converted data]]/1000)</f>
        <v/>
      </c>
      <c r="AP355" s="174">
        <f>Buildings_Heat_Frontend[[#This Row],[Ease of collection]]</f>
        <v>0</v>
      </c>
      <c r="AQ355" s="174">
        <f>Buildings_Heat_Frontend[[#This Row],[Completeness]]</f>
        <v>0</v>
      </c>
      <c r="AR355" s="174">
        <f>Buildings_Heat_Frontend[[#This Row],[Notes]]</f>
        <v>0</v>
      </c>
    </row>
    <row r="356" spans="5:44" x14ac:dyDescent="0.3">
      <c r="E356" s="346"/>
      <c r="F356" s="364"/>
      <c r="G356" s="336"/>
      <c r="H356" s="336"/>
      <c r="I356" s="336"/>
      <c r="J356" s="334"/>
      <c r="K356" s="336"/>
      <c r="L356" s="336"/>
      <c r="M356" s="336"/>
      <c r="N356" s="352"/>
      <c r="O356" s="230">
        <f t="shared" si="17"/>
        <v>6</v>
      </c>
      <c r="Q356" s="212" t="str">
        <f t="shared" si="15"/>
        <v/>
      </c>
      <c r="R356" s="174" t="s">
        <v>265</v>
      </c>
      <c r="S356" s="174" t="s">
        <v>273</v>
      </c>
      <c r="T356" s="174" t="str">
        <f>IF(Buildings_Heat_Frontend[[#This Row],[Data]]="","", _xlfn.XLOOKUP(Buildings_Heat_Backend[[#This Row],[Info 1]],Buildings_SiteInfo[Site name],Buildings_SiteInfo[Site type]))</f>
        <v/>
      </c>
      <c r="U356" s="174" t="str">
        <f>IF(Buildings_Heat_Frontend[[#This Row],[Data]]="","", Buildings_Heat_Frontend[[#This Row],[Heating Type]])</f>
        <v/>
      </c>
      <c r="V356" s="174" t="str">
        <f>IF(Buildings_Heat_Frontend[[#This Row],[Data]]="","", Buildings_Heat_Frontend[[#This Row],[Fuel]])</f>
        <v/>
      </c>
      <c r="W356" s="174" t="str" cm="1">
        <f t="array" ref="W356">IF(Buildings_Heat_Frontend[[#This Row],[Data]]="","", _xlfn.XLOOKUP(Buildings_Heat_Backend[[#This Row],[Level 5]],rng_Level5Long,rng_Level6Long))</f>
        <v/>
      </c>
      <c r="X356" s="174" t="str">
        <f>IF(Buildings_Heat_Frontend[[#This Row],[Data]]="","", Buildings_Heat_Frontend[[#This Row],[Site Name]])</f>
        <v/>
      </c>
      <c r="Y356" s="174" t="str">
        <f>IF(Buildings_Heat_Frontend[[#This Row],[Data]]="","", Buildings_Heat_Frontend[[#This Row],[MPRN]])</f>
        <v/>
      </c>
      <c r="Z356" s="174" t="str">
        <f>IF(Buildings_Heat_Frontend[[#This Row],[Data]]="","", IF($I356="","",$I356))</f>
        <v/>
      </c>
      <c r="AA356" s="229" t="str" cm="1">
        <f t="array" ref="AA356">IF(Buildings_Heat_Frontend[[#This Row],[Data]]="","", INDEX(_xlfn.SWITCH(Buildings_Heat_Backend[[#This Row],[Methodology]],"Tier 1",rng_RSD1,"Tier 2",rng_RSD2,"Tier 3",rng_RSD3),MATCH(_xlfn.CONCAT(Buildings_Heat_Backend[[#This Row],[Level 1]:[Level 6]]),rng_LevelsConcat,0)))</f>
        <v/>
      </c>
      <c r="AB356" s="220" t="str">
        <f t="shared" si="16"/>
        <v/>
      </c>
      <c r="AC356" s="174">
        <f>Buildings_Heat_Frontend[[#This Row],[Units]]</f>
        <v>0</v>
      </c>
      <c r="AD35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6" s="174" t="str">
        <f>IF(Buildings_Heat_Frontend[[#This Row],[Data]]="","", _xlfn.XLOOKUP(_xlfn.CONCAT(Buildings_Heat_Backend[[#This Row],[Level 1]:[Level 6]]),rng_LevelsConcat,rng_UnitsLong))</f>
        <v/>
      </c>
      <c r="AF356" s="210" t="str">
        <f>IF(Buildings_Heat_Frontend[[#This Row],[Data]]="","", _xlfn.XLOOKUP(_xlfn.CONCAT(Buildings_Heat_Backend[[#This Row],[Level 1]:[Level 6]]),rng_EFConcat,rng_EF1)*Buildings_Heat_Backend[[#This Row],[Converted data]]/1000)</f>
        <v/>
      </c>
      <c r="AG356" s="210" t="str">
        <f>IF(Buildings_Heat_Frontend[[#This Row],[Data]]="","", _xlfn.XLOOKUP(_xlfn.CONCAT(Buildings_Heat_Backend[[#This Row],[Level 1]:[Level 6]]),rng_EFConcat,rng_EF2)*Buildings_Heat_Backend[[#This Row],[Converted data]]/1000)</f>
        <v/>
      </c>
      <c r="AH356" s="210" t="str">
        <f>IF(Buildings_Heat_Frontend[[#This Row],[Data]]="","", _xlfn.XLOOKUP(_xlfn.CONCAT(Buildings_Heat_Backend[[#This Row],[Level 1]:[Level 6]]),rng_EFConcat,rng_EF3)*Buildings_Heat_Backend[[#This Row],[Converted data]]/1000)</f>
        <v/>
      </c>
      <c r="AI356" s="210" t="str">
        <f>IF(Buildings_Heat_Frontend[[#This Row],[Data]]="","", _xlfn.XLOOKUP(_xlfn.CONCAT(Buildings_Heat_Backend[[#This Row],[Level 1]:[Level 6]]),rng_EFConcat,rng_EF3WTT)*Buildings_Heat_Backend[[#This Row],[Converted data]]/1000)</f>
        <v/>
      </c>
      <c r="AJ356" s="210" t="str">
        <f>IF(Buildings_Heat_Frontend[[#This Row],[Data]]="","", _xlfn.XLOOKUP(_xlfn.CONCAT(Buildings_Heat_Backend[[#This Row],[Level 1]:[Level 6]]),rng_EFConcat,rng_EF3TD)*Buildings_Heat_Backend[[#This Row],[Converted data]]/1000)</f>
        <v/>
      </c>
      <c r="AK356" s="210" t="str">
        <f>IF(Buildings_Heat_Frontend[[#This Row],[Data]]="","", _xlfn.XLOOKUP(_xlfn.CONCAT(Buildings_Heat_Backend[[#This Row],[Level 1]:[Level 6]]),rng_EFConcat,rng_EF3WTTTD)*Buildings_Heat_Backend[[#This Row],[Converted data]]/1000)</f>
        <v/>
      </c>
      <c r="AL356" s="220">
        <f>SUM(Buildings_Heat_Backend[[#This Row],[Scope 1 (tCO2e)]:[Scope 3 WTT T&amp;D (tCO2e)]])</f>
        <v>0</v>
      </c>
      <c r="AM356" s="220" t="str">
        <f>IF(Buildings_Heat_Frontend[[#This Row],[Data]]="","", Buildings_Heat_Backend[[#This Row],[Total (tCO2e)]]*(1-Buildings_Heat_Backend[[#This Row],[RSD]]))</f>
        <v/>
      </c>
      <c r="AN356" s="220" t="str">
        <f>IF(Buildings_Heat_Frontend[[#This Row],[Data]]="","", Buildings_Heat_Backend[[#This Row],[Total (tCO2e)]]*(1+Buildings_Heat_Backend[[#This Row],[RSD]]))</f>
        <v/>
      </c>
      <c r="AO356" s="210" t="str">
        <f>IF(Buildings_Heat_Frontend[[#This Row],[Data]]="","", _xlfn.XLOOKUP(_xlfn.CONCAT(Buildings_Heat_Backend[[#This Row],[Level 1]:[Level 6]]),rng_EFConcat,rng_EFOOS)*Buildings_Heat_Backend[[#This Row],[Converted data]]/1000)</f>
        <v/>
      </c>
      <c r="AP356" s="174">
        <f>Buildings_Heat_Frontend[[#This Row],[Ease of collection]]</f>
        <v>0</v>
      </c>
      <c r="AQ356" s="174">
        <f>Buildings_Heat_Frontend[[#This Row],[Completeness]]</f>
        <v>0</v>
      </c>
      <c r="AR356" s="174">
        <f>Buildings_Heat_Frontend[[#This Row],[Notes]]</f>
        <v>0</v>
      </c>
    </row>
    <row r="357" spans="5:44" x14ac:dyDescent="0.3">
      <c r="E357" s="346"/>
      <c r="F357" s="364"/>
      <c r="G357" s="336"/>
      <c r="H357" s="336"/>
      <c r="I357" s="336"/>
      <c r="J357" s="334"/>
      <c r="K357" s="336"/>
      <c r="L357" s="336"/>
      <c r="M357" s="336"/>
      <c r="N357" s="352"/>
      <c r="O357" s="230">
        <f t="shared" si="17"/>
        <v>6</v>
      </c>
      <c r="Q357" s="212" t="str">
        <f t="shared" si="15"/>
        <v/>
      </c>
      <c r="R357" s="174" t="s">
        <v>265</v>
      </c>
      <c r="S357" s="174" t="s">
        <v>273</v>
      </c>
      <c r="T357" s="174" t="str">
        <f>IF(Buildings_Heat_Frontend[[#This Row],[Data]]="","", _xlfn.XLOOKUP(Buildings_Heat_Backend[[#This Row],[Info 1]],Buildings_SiteInfo[Site name],Buildings_SiteInfo[Site type]))</f>
        <v/>
      </c>
      <c r="U357" s="174" t="str">
        <f>IF(Buildings_Heat_Frontend[[#This Row],[Data]]="","", Buildings_Heat_Frontend[[#This Row],[Heating Type]])</f>
        <v/>
      </c>
      <c r="V357" s="174" t="str">
        <f>IF(Buildings_Heat_Frontend[[#This Row],[Data]]="","", Buildings_Heat_Frontend[[#This Row],[Fuel]])</f>
        <v/>
      </c>
      <c r="W357" s="174" t="str" cm="1">
        <f t="array" ref="W357">IF(Buildings_Heat_Frontend[[#This Row],[Data]]="","", _xlfn.XLOOKUP(Buildings_Heat_Backend[[#This Row],[Level 5]],rng_Level5Long,rng_Level6Long))</f>
        <v/>
      </c>
      <c r="X357" s="174" t="str">
        <f>IF(Buildings_Heat_Frontend[[#This Row],[Data]]="","", Buildings_Heat_Frontend[[#This Row],[Site Name]])</f>
        <v/>
      </c>
      <c r="Y357" s="174" t="str">
        <f>IF(Buildings_Heat_Frontend[[#This Row],[Data]]="","", Buildings_Heat_Frontend[[#This Row],[MPRN]])</f>
        <v/>
      </c>
      <c r="Z357" s="174" t="str">
        <f>IF(Buildings_Heat_Frontend[[#This Row],[Data]]="","", IF($I357="","",$I357))</f>
        <v/>
      </c>
      <c r="AA357" s="229" t="str" cm="1">
        <f t="array" ref="AA357">IF(Buildings_Heat_Frontend[[#This Row],[Data]]="","", INDEX(_xlfn.SWITCH(Buildings_Heat_Backend[[#This Row],[Methodology]],"Tier 1",rng_RSD1,"Tier 2",rng_RSD2,"Tier 3",rng_RSD3),MATCH(_xlfn.CONCAT(Buildings_Heat_Backend[[#This Row],[Level 1]:[Level 6]]),rng_LevelsConcat,0)))</f>
        <v/>
      </c>
      <c r="AB357" s="220" t="str">
        <f t="shared" si="16"/>
        <v/>
      </c>
      <c r="AC357" s="174">
        <f>Buildings_Heat_Frontend[[#This Row],[Units]]</f>
        <v>0</v>
      </c>
      <c r="AD35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7" s="174" t="str">
        <f>IF(Buildings_Heat_Frontend[[#This Row],[Data]]="","", _xlfn.XLOOKUP(_xlfn.CONCAT(Buildings_Heat_Backend[[#This Row],[Level 1]:[Level 6]]),rng_LevelsConcat,rng_UnitsLong))</f>
        <v/>
      </c>
      <c r="AF357" s="210" t="str">
        <f>IF(Buildings_Heat_Frontend[[#This Row],[Data]]="","", _xlfn.XLOOKUP(_xlfn.CONCAT(Buildings_Heat_Backend[[#This Row],[Level 1]:[Level 6]]),rng_EFConcat,rng_EF1)*Buildings_Heat_Backend[[#This Row],[Converted data]]/1000)</f>
        <v/>
      </c>
      <c r="AG357" s="210" t="str">
        <f>IF(Buildings_Heat_Frontend[[#This Row],[Data]]="","", _xlfn.XLOOKUP(_xlfn.CONCAT(Buildings_Heat_Backend[[#This Row],[Level 1]:[Level 6]]),rng_EFConcat,rng_EF2)*Buildings_Heat_Backend[[#This Row],[Converted data]]/1000)</f>
        <v/>
      </c>
      <c r="AH357" s="210" t="str">
        <f>IF(Buildings_Heat_Frontend[[#This Row],[Data]]="","", _xlfn.XLOOKUP(_xlfn.CONCAT(Buildings_Heat_Backend[[#This Row],[Level 1]:[Level 6]]),rng_EFConcat,rng_EF3)*Buildings_Heat_Backend[[#This Row],[Converted data]]/1000)</f>
        <v/>
      </c>
      <c r="AI357" s="210" t="str">
        <f>IF(Buildings_Heat_Frontend[[#This Row],[Data]]="","", _xlfn.XLOOKUP(_xlfn.CONCAT(Buildings_Heat_Backend[[#This Row],[Level 1]:[Level 6]]),rng_EFConcat,rng_EF3WTT)*Buildings_Heat_Backend[[#This Row],[Converted data]]/1000)</f>
        <v/>
      </c>
      <c r="AJ357" s="210" t="str">
        <f>IF(Buildings_Heat_Frontend[[#This Row],[Data]]="","", _xlfn.XLOOKUP(_xlfn.CONCAT(Buildings_Heat_Backend[[#This Row],[Level 1]:[Level 6]]),rng_EFConcat,rng_EF3TD)*Buildings_Heat_Backend[[#This Row],[Converted data]]/1000)</f>
        <v/>
      </c>
      <c r="AK357" s="210" t="str">
        <f>IF(Buildings_Heat_Frontend[[#This Row],[Data]]="","", _xlfn.XLOOKUP(_xlfn.CONCAT(Buildings_Heat_Backend[[#This Row],[Level 1]:[Level 6]]),rng_EFConcat,rng_EF3WTTTD)*Buildings_Heat_Backend[[#This Row],[Converted data]]/1000)</f>
        <v/>
      </c>
      <c r="AL357" s="220">
        <f>SUM(Buildings_Heat_Backend[[#This Row],[Scope 1 (tCO2e)]:[Scope 3 WTT T&amp;D (tCO2e)]])</f>
        <v>0</v>
      </c>
      <c r="AM357" s="220" t="str">
        <f>IF(Buildings_Heat_Frontend[[#This Row],[Data]]="","", Buildings_Heat_Backend[[#This Row],[Total (tCO2e)]]*(1-Buildings_Heat_Backend[[#This Row],[RSD]]))</f>
        <v/>
      </c>
      <c r="AN357" s="220" t="str">
        <f>IF(Buildings_Heat_Frontend[[#This Row],[Data]]="","", Buildings_Heat_Backend[[#This Row],[Total (tCO2e)]]*(1+Buildings_Heat_Backend[[#This Row],[RSD]]))</f>
        <v/>
      </c>
      <c r="AO357" s="210" t="str">
        <f>IF(Buildings_Heat_Frontend[[#This Row],[Data]]="","", _xlfn.XLOOKUP(_xlfn.CONCAT(Buildings_Heat_Backend[[#This Row],[Level 1]:[Level 6]]),rng_EFConcat,rng_EFOOS)*Buildings_Heat_Backend[[#This Row],[Converted data]]/1000)</f>
        <v/>
      </c>
      <c r="AP357" s="174">
        <f>Buildings_Heat_Frontend[[#This Row],[Ease of collection]]</f>
        <v>0</v>
      </c>
      <c r="AQ357" s="174">
        <f>Buildings_Heat_Frontend[[#This Row],[Completeness]]</f>
        <v>0</v>
      </c>
      <c r="AR357" s="174">
        <f>Buildings_Heat_Frontend[[#This Row],[Notes]]</f>
        <v>0</v>
      </c>
    </row>
    <row r="358" spans="5:44" x14ac:dyDescent="0.3">
      <c r="E358" s="346"/>
      <c r="F358" s="364"/>
      <c r="G358" s="336"/>
      <c r="H358" s="336"/>
      <c r="I358" s="336"/>
      <c r="J358" s="334"/>
      <c r="K358" s="336"/>
      <c r="L358" s="336"/>
      <c r="M358" s="336"/>
      <c r="N358" s="352"/>
      <c r="O358" s="230">
        <f t="shared" si="17"/>
        <v>6</v>
      </c>
      <c r="Q358" s="212" t="str">
        <f t="shared" si="15"/>
        <v/>
      </c>
      <c r="R358" s="174" t="s">
        <v>265</v>
      </c>
      <c r="S358" s="174" t="s">
        <v>273</v>
      </c>
      <c r="T358" s="174" t="str">
        <f>IF(Buildings_Heat_Frontend[[#This Row],[Data]]="","", _xlfn.XLOOKUP(Buildings_Heat_Backend[[#This Row],[Info 1]],Buildings_SiteInfo[Site name],Buildings_SiteInfo[Site type]))</f>
        <v/>
      </c>
      <c r="U358" s="174" t="str">
        <f>IF(Buildings_Heat_Frontend[[#This Row],[Data]]="","", Buildings_Heat_Frontend[[#This Row],[Heating Type]])</f>
        <v/>
      </c>
      <c r="V358" s="174" t="str">
        <f>IF(Buildings_Heat_Frontend[[#This Row],[Data]]="","", Buildings_Heat_Frontend[[#This Row],[Fuel]])</f>
        <v/>
      </c>
      <c r="W358" s="174" t="str" cm="1">
        <f t="array" ref="W358">IF(Buildings_Heat_Frontend[[#This Row],[Data]]="","", _xlfn.XLOOKUP(Buildings_Heat_Backend[[#This Row],[Level 5]],rng_Level5Long,rng_Level6Long))</f>
        <v/>
      </c>
      <c r="X358" s="174" t="str">
        <f>IF(Buildings_Heat_Frontend[[#This Row],[Data]]="","", Buildings_Heat_Frontend[[#This Row],[Site Name]])</f>
        <v/>
      </c>
      <c r="Y358" s="174" t="str">
        <f>IF(Buildings_Heat_Frontend[[#This Row],[Data]]="","", Buildings_Heat_Frontend[[#This Row],[MPRN]])</f>
        <v/>
      </c>
      <c r="Z358" s="174" t="str">
        <f>IF(Buildings_Heat_Frontend[[#This Row],[Data]]="","", IF($I358="","",$I358))</f>
        <v/>
      </c>
      <c r="AA358" s="229" t="str" cm="1">
        <f t="array" ref="AA358">IF(Buildings_Heat_Frontend[[#This Row],[Data]]="","", INDEX(_xlfn.SWITCH(Buildings_Heat_Backend[[#This Row],[Methodology]],"Tier 1",rng_RSD1,"Tier 2",rng_RSD2,"Tier 3",rng_RSD3),MATCH(_xlfn.CONCAT(Buildings_Heat_Backend[[#This Row],[Level 1]:[Level 6]]),rng_LevelsConcat,0)))</f>
        <v/>
      </c>
      <c r="AB358" s="220" t="str">
        <f t="shared" si="16"/>
        <v/>
      </c>
      <c r="AC358" s="174">
        <f>Buildings_Heat_Frontend[[#This Row],[Units]]</f>
        <v>0</v>
      </c>
      <c r="AD35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8" s="174" t="str">
        <f>IF(Buildings_Heat_Frontend[[#This Row],[Data]]="","", _xlfn.XLOOKUP(_xlfn.CONCAT(Buildings_Heat_Backend[[#This Row],[Level 1]:[Level 6]]),rng_LevelsConcat,rng_UnitsLong))</f>
        <v/>
      </c>
      <c r="AF358" s="210" t="str">
        <f>IF(Buildings_Heat_Frontend[[#This Row],[Data]]="","", _xlfn.XLOOKUP(_xlfn.CONCAT(Buildings_Heat_Backend[[#This Row],[Level 1]:[Level 6]]),rng_EFConcat,rng_EF1)*Buildings_Heat_Backend[[#This Row],[Converted data]]/1000)</f>
        <v/>
      </c>
      <c r="AG358" s="210" t="str">
        <f>IF(Buildings_Heat_Frontend[[#This Row],[Data]]="","", _xlfn.XLOOKUP(_xlfn.CONCAT(Buildings_Heat_Backend[[#This Row],[Level 1]:[Level 6]]),rng_EFConcat,rng_EF2)*Buildings_Heat_Backend[[#This Row],[Converted data]]/1000)</f>
        <v/>
      </c>
      <c r="AH358" s="210" t="str">
        <f>IF(Buildings_Heat_Frontend[[#This Row],[Data]]="","", _xlfn.XLOOKUP(_xlfn.CONCAT(Buildings_Heat_Backend[[#This Row],[Level 1]:[Level 6]]),rng_EFConcat,rng_EF3)*Buildings_Heat_Backend[[#This Row],[Converted data]]/1000)</f>
        <v/>
      </c>
      <c r="AI358" s="210" t="str">
        <f>IF(Buildings_Heat_Frontend[[#This Row],[Data]]="","", _xlfn.XLOOKUP(_xlfn.CONCAT(Buildings_Heat_Backend[[#This Row],[Level 1]:[Level 6]]),rng_EFConcat,rng_EF3WTT)*Buildings_Heat_Backend[[#This Row],[Converted data]]/1000)</f>
        <v/>
      </c>
      <c r="AJ358" s="210" t="str">
        <f>IF(Buildings_Heat_Frontend[[#This Row],[Data]]="","", _xlfn.XLOOKUP(_xlfn.CONCAT(Buildings_Heat_Backend[[#This Row],[Level 1]:[Level 6]]),rng_EFConcat,rng_EF3TD)*Buildings_Heat_Backend[[#This Row],[Converted data]]/1000)</f>
        <v/>
      </c>
      <c r="AK358" s="210" t="str">
        <f>IF(Buildings_Heat_Frontend[[#This Row],[Data]]="","", _xlfn.XLOOKUP(_xlfn.CONCAT(Buildings_Heat_Backend[[#This Row],[Level 1]:[Level 6]]),rng_EFConcat,rng_EF3WTTTD)*Buildings_Heat_Backend[[#This Row],[Converted data]]/1000)</f>
        <v/>
      </c>
      <c r="AL358" s="220">
        <f>SUM(Buildings_Heat_Backend[[#This Row],[Scope 1 (tCO2e)]:[Scope 3 WTT T&amp;D (tCO2e)]])</f>
        <v>0</v>
      </c>
      <c r="AM358" s="220" t="str">
        <f>IF(Buildings_Heat_Frontend[[#This Row],[Data]]="","", Buildings_Heat_Backend[[#This Row],[Total (tCO2e)]]*(1-Buildings_Heat_Backend[[#This Row],[RSD]]))</f>
        <v/>
      </c>
      <c r="AN358" s="220" t="str">
        <f>IF(Buildings_Heat_Frontend[[#This Row],[Data]]="","", Buildings_Heat_Backend[[#This Row],[Total (tCO2e)]]*(1+Buildings_Heat_Backend[[#This Row],[RSD]]))</f>
        <v/>
      </c>
      <c r="AO358" s="210" t="str">
        <f>IF(Buildings_Heat_Frontend[[#This Row],[Data]]="","", _xlfn.XLOOKUP(_xlfn.CONCAT(Buildings_Heat_Backend[[#This Row],[Level 1]:[Level 6]]),rng_EFConcat,rng_EFOOS)*Buildings_Heat_Backend[[#This Row],[Converted data]]/1000)</f>
        <v/>
      </c>
      <c r="AP358" s="174">
        <f>Buildings_Heat_Frontend[[#This Row],[Ease of collection]]</f>
        <v>0</v>
      </c>
      <c r="AQ358" s="174">
        <f>Buildings_Heat_Frontend[[#This Row],[Completeness]]</f>
        <v>0</v>
      </c>
      <c r="AR358" s="174">
        <f>Buildings_Heat_Frontend[[#This Row],[Notes]]</f>
        <v>0</v>
      </c>
    </row>
    <row r="359" spans="5:44" x14ac:dyDescent="0.3">
      <c r="E359" s="346"/>
      <c r="F359" s="364"/>
      <c r="G359" s="336"/>
      <c r="H359" s="336"/>
      <c r="I359" s="336"/>
      <c r="J359" s="334"/>
      <c r="K359" s="336"/>
      <c r="L359" s="336"/>
      <c r="M359" s="336"/>
      <c r="N359" s="352"/>
      <c r="O359" s="230">
        <f t="shared" si="17"/>
        <v>6</v>
      </c>
      <c r="Q359" s="212" t="str">
        <f t="shared" si="15"/>
        <v/>
      </c>
      <c r="R359" s="174" t="s">
        <v>265</v>
      </c>
      <c r="S359" s="174" t="s">
        <v>273</v>
      </c>
      <c r="T359" s="174" t="str">
        <f>IF(Buildings_Heat_Frontend[[#This Row],[Data]]="","", _xlfn.XLOOKUP(Buildings_Heat_Backend[[#This Row],[Info 1]],Buildings_SiteInfo[Site name],Buildings_SiteInfo[Site type]))</f>
        <v/>
      </c>
      <c r="U359" s="174" t="str">
        <f>IF(Buildings_Heat_Frontend[[#This Row],[Data]]="","", Buildings_Heat_Frontend[[#This Row],[Heating Type]])</f>
        <v/>
      </c>
      <c r="V359" s="174" t="str">
        <f>IF(Buildings_Heat_Frontend[[#This Row],[Data]]="","", Buildings_Heat_Frontend[[#This Row],[Fuel]])</f>
        <v/>
      </c>
      <c r="W359" s="174" t="str" cm="1">
        <f t="array" ref="W359">IF(Buildings_Heat_Frontend[[#This Row],[Data]]="","", _xlfn.XLOOKUP(Buildings_Heat_Backend[[#This Row],[Level 5]],rng_Level5Long,rng_Level6Long))</f>
        <v/>
      </c>
      <c r="X359" s="174" t="str">
        <f>IF(Buildings_Heat_Frontend[[#This Row],[Data]]="","", Buildings_Heat_Frontend[[#This Row],[Site Name]])</f>
        <v/>
      </c>
      <c r="Y359" s="174" t="str">
        <f>IF(Buildings_Heat_Frontend[[#This Row],[Data]]="","", Buildings_Heat_Frontend[[#This Row],[MPRN]])</f>
        <v/>
      </c>
      <c r="Z359" s="174" t="str">
        <f>IF(Buildings_Heat_Frontend[[#This Row],[Data]]="","", IF($I359="","",$I359))</f>
        <v/>
      </c>
      <c r="AA359" s="229" t="str" cm="1">
        <f t="array" ref="AA359">IF(Buildings_Heat_Frontend[[#This Row],[Data]]="","", INDEX(_xlfn.SWITCH(Buildings_Heat_Backend[[#This Row],[Methodology]],"Tier 1",rng_RSD1,"Tier 2",rng_RSD2,"Tier 3",rng_RSD3),MATCH(_xlfn.CONCAT(Buildings_Heat_Backend[[#This Row],[Level 1]:[Level 6]]),rng_LevelsConcat,0)))</f>
        <v/>
      </c>
      <c r="AB359" s="220" t="str">
        <f t="shared" si="16"/>
        <v/>
      </c>
      <c r="AC359" s="174">
        <f>Buildings_Heat_Frontend[[#This Row],[Units]]</f>
        <v>0</v>
      </c>
      <c r="AD35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59" s="174" t="str">
        <f>IF(Buildings_Heat_Frontend[[#This Row],[Data]]="","", _xlfn.XLOOKUP(_xlfn.CONCAT(Buildings_Heat_Backend[[#This Row],[Level 1]:[Level 6]]),rng_LevelsConcat,rng_UnitsLong))</f>
        <v/>
      </c>
      <c r="AF359" s="210" t="str">
        <f>IF(Buildings_Heat_Frontend[[#This Row],[Data]]="","", _xlfn.XLOOKUP(_xlfn.CONCAT(Buildings_Heat_Backend[[#This Row],[Level 1]:[Level 6]]),rng_EFConcat,rng_EF1)*Buildings_Heat_Backend[[#This Row],[Converted data]]/1000)</f>
        <v/>
      </c>
      <c r="AG359" s="210" t="str">
        <f>IF(Buildings_Heat_Frontend[[#This Row],[Data]]="","", _xlfn.XLOOKUP(_xlfn.CONCAT(Buildings_Heat_Backend[[#This Row],[Level 1]:[Level 6]]),rng_EFConcat,rng_EF2)*Buildings_Heat_Backend[[#This Row],[Converted data]]/1000)</f>
        <v/>
      </c>
      <c r="AH359" s="210" t="str">
        <f>IF(Buildings_Heat_Frontend[[#This Row],[Data]]="","", _xlfn.XLOOKUP(_xlfn.CONCAT(Buildings_Heat_Backend[[#This Row],[Level 1]:[Level 6]]),rng_EFConcat,rng_EF3)*Buildings_Heat_Backend[[#This Row],[Converted data]]/1000)</f>
        <v/>
      </c>
      <c r="AI359" s="210" t="str">
        <f>IF(Buildings_Heat_Frontend[[#This Row],[Data]]="","", _xlfn.XLOOKUP(_xlfn.CONCAT(Buildings_Heat_Backend[[#This Row],[Level 1]:[Level 6]]),rng_EFConcat,rng_EF3WTT)*Buildings_Heat_Backend[[#This Row],[Converted data]]/1000)</f>
        <v/>
      </c>
      <c r="AJ359" s="210" t="str">
        <f>IF(Buildings_Heat_Frontend[[#This Row],[Data]]="","", _xlfn.XLOOKUP(_xlfn.CONCAT(Buildings_Heat_Backend[[#This Row],[Level 1]:[Level 6]]),rng_EFConcat,rng_EF3TD)*Buildings_Heat_Backend[[#This Row],[Converted data]]/1000)</f>
        <v/>
      </c>
      <c r="AK359" s="210" t="str">
        <f>IF(Buildings_Heat_Frontend[[#This Row],[Data]]="","", _xlfn.XLOOKUP(_xlfn.CONCAT(Buildings_Heat_Backend[[#This Row],[Level 1]:[Level 6]]),rng_EFConcat,rng_EF3WTTTD)*Buildings_Heat_Backend[[#This Row],[Converted data]]/1000)</f>
        <v/>
      </c>
      <c r="AL359" s="220">
        <f>SUM(Buildings_Heat_Backend[[#This Row],[Scope 1 (tCO2e)]:[Scope 3 WTT T&amp;D (tCO2e)]])</f>
        <v>0</v>
      </c>
      <c r="AM359" s="220" t="str">
        <f>IF(Buildings_Heat_Frontend[[#This Row],[Data]]="","", Buildings_Heat_Backend[[#This Row],[Total (tCO2e)]]*(1-Buildings_Heat_Backend[[#This Row],[RSD]]))</f>
        <v/>
      </c>
      <c r="AN359" s="220" t="str">
        <f>IF(Buildings_Heat_Frontend[[#This Row],[Data]]="","", Buildings_Heat_Backend[[#This Row],[Total (tCO2e)]]*(1+Buildings_Heat_Backend[[#This Row],[RSD]]))</f>
        <v/>
      </c>
      <c r="AO359" s="210" t="str">
        <f>IF(Buildings_Heat_Frontend[[#This Row],[Data]]="","", _xlfn.XLOOKUP(_xlfn.CONCAT(Buildings_Heat_Backend[[#This Row],[Level 1]:[Level 6]]),rng_EFConcat,rng_EFOOS)*Buildings_Heat_Backend[[#This Row],[Converted data]]/1000)</f>
        <v/>
      </c>
      <c r="AP359" s="174">
        <f>Buildings_Heat_Frontend[[#This Row],[Ease of collection]]</f>
        <v>0</v>
      </c>
      <c r="AQ359" s="174">
        <f>Buildings_Heat_Frontend[[#This Row],[Completeness]]</f>
        <v>0</v>
      </c>
      <c r="AR359" s="174">
        <f>Buildings_Heat_Frontend[[#This Row],[Notes]]</f>
        <v>0</v>
      </c>
    </row>
    <row r="360" spans="5:44" x14ac:dyDescent="0.3">
      <c r="E360" s="346"/>
      <c r="F360" s="364"/>
      <c r="G360" s="336"/>
      <c r="H360" s="336"/>
      <c r="I360" s="336"/>
      <c r="J360" s="334"/>
      <c r="K360" s="336"/>
      <c r="L360" s="336"/>
      <c r="M360" s="336"/>
      <c r="N360" s="352"/>
      <c r="O360" s="230">
        <f t="shared" si="17"/>
        <v>6</v>
      </c>
      <c r="Q360" s="212" t="str">
        <f t="shared" si="15"/>
        <v/>
      </c>
      <c r="R360" s="174" t="s">
        <v>265</v>
      </c>
      <c r="S360" s="174" t="s">
        <v>273</v>
      </c>
      <c r="T360" s="174" t="str">
        <f>IF(Buildings_Heat_Frontend[[#This Row],[Data]]="","", _xlfn.XLOOKUP(Buildings_Heat_Backend[[#This Row],[Info 1]],Buildings_SiteInfo[Site name],Buildings_SiteInfo[Site type]))</f>
        <v/>
      </c>
      <c r="U360" s="174" t="str">
        <f>IF(Buildings_Heat_Frontend[[#This Row],[Data]]="","", Buildings_Heat_Frontend[[#This Row],[Heating Type]])</f>
        <v/>
      </c>
      <c r="V360" s="174" t="str">
        <f>IF(Buildings_Heat_Frontend[[#This Row],[Data]]="","", Buildings_Heat_Frontend[[#This Row],[Fuel]])</f>
        <v/>
      </c>
      <c r="W360" s="174" t="str" cm="1">
        <f t="array" ref="W360">IF(Buildings_Heat_Frontend[[#This Row],[Data]]="","", _xlfn.XLOOKUP(Buildings_Heat_Backend[[#This Row],[Level 5]],rng_Level5Long,rng_Level6Long))</f>
        <v/>
      </c>
      <c r="X360" s="174" t="str">
        <f>IF(Buildings_Heat_Frontend[[#This Row],[Data]]="","", Buildings_Heat_Frontend[[#This Row],[Site Name]])</f>
        <v/>
      </c>
      <c r="Y360" s="174" t="str">
        <f>IF(Buildings_Heat_Frontend[[#This Row],[Data]]="","", Buildings_Heat_Frontend[[#This Row],[MPRN]])</f>
        <v/>
      </c>
      <c r="Z360" s="174" t="str">
        <f>IF(Buildings_Heat_Frontend[[#This Row],[Data]]="","", IF($I360="","",$I360))</f>
        <v/>
      </c>
      <c r="AA360" s="229" t="str" cm="1">
        <f t="array" ref="AA360">IF(Buildings_Heat_Frontend[[#This Row],[Data]]="","", INDEX(_xlfn.SWITCH(Buildings_Heat_Backend[[#This Row],[Methodology]],"Tier 1",rng_RSD1,"Tier 2",rng_RSD2,"Tier 3",rng_RSD3),MATCH(_xlfn.CONCAT(Buildings_Heat_Backend[[#This Row],[Level 1]:[Level 6]]),rng_LevelsConcat,0)))</f>
        <v/>
      </c>
      <c r="AB360" s="220" t="str">
        <f t="shared" si="16"/>
        <v/>
      </c>
      <c r="AC360" s="174">
        <f>Buildings_Heat_Frontend[[#This Row],[Units]]</f>
        <v>0</v>
      </c>
      <c r="AD36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0" s="174" t="str">
        <f>IF(Buildings_Heat_Frontend[[#This Row],[Data]]="","", _xlfn.XLOOKUP(_xlfn.CONCAT(Buildings_Heat_Backend[[#This Row],[Level 1]:[Level 6]]),rng_LevelsConcat,rng_UnitsLong))</f>
        <v/>
      </c>
      <c r="AF360" s="210" t="str">
        <f>IF(Buildings_Heat_Frontend[[#This Row],[Data]]="","", _xlfn.XLOOKUP(_xlfn.CONCAT(Buildings_Heat_Backend[[#This Row],[Level 1]:[Level 6]]),rng_EFConcat,rng_EF1)*Buildings_Heat_Backend[[#This Row],[Converted data]]/1000)</f>
        <v/>
      </c>
      <c r="AG360" s="210" t="str">
        <f>IF(Buildings_Heat_Frontend[[#This Row],[Data]]="","", _xlfn.XLOOKUP(_xlfn.CONCAT(Buildings_Heat_Backend[[#This Row],[Level 1]:[Level 6]]),rng_EFConcat,rng_EF2)*Buildings_Heat_Backend[[#This Row],[Converted data]]/1000)</f>
        <v/>
      </c>
      <c r="AH360" s="210" t="str">
        <f>IF(Buildings_Heat_Frontend[[#This Row],[Data]]="","", _xlfn.XLOOKUP(_xlfn.CONCAT(Buildings_Heat_Backend[[#This Row],[Level 1]:[Level 6]]),rng_EFConcat,rng_EF3)*Buildings_Heat_Backend[[#This Row],[Converted data]]/1000)</f>
        <v/>
      </c>
      <c r="AI360" s="210" t="str">
        <f>IF(Buildings_Heat_Frontend[[#This Row],[Data]]="","", _xlfn.XLOOKUP(_xlfn.CONCAT(Buildings_Heat_Backend[[#This Row],[Level 1]:[Level 6]]),rng_EFConcat,rng_EF3WTT)*Buildings_Heat_Backend[[#This Row],[Converted data]]/1000)</f>
        <v/>
      </c>
      <c r="AJ360" s="210" t="str">
        <f>IF(Buildings_Heat_Frontend[[#This Row],[Data]]="","", _xlfn.XLOOKUP(_xlfn.CONCAT(Buildings_Heat_Backend[[#This Row],[Level 1]:[Level 6]]),rng_EFConcat,rng_EF3TD)*Buildings_Heat_Backend[[#This Row],[Converted data]]/1000)</f>
        <v/>
      </c>
      <c r="AK360" s="210" t="str">
        <f>IF(Buildings_Heat_Frontend[[#This Row],[Data]]="","", _xlfn.XLOOKUP(_xlfn.CONCAT(Buildings_Heat_Backend[[#This Row],[Level 1]:[Level 6]]),rng_EFConcat,rng_EF3WTTTD)*Buildings_Heat_Backend[[#This Row],[Converted data]]/1000)</f>
        <v/>
      </c>
      <c r="AL360" s="220">
        <f>SUM(Buildings_Heat_Backend[[#This Row],[Scope 1 (tCO2e)]:[Scope 3 WTT T&amp;D (tCO2e)]])</f>
        <v>0</v>
      </c>
      <c r="AM360" s="220" t="str">
        <f>IF(Buildings_Heat_Frontend[[#This Row],[Data]]="","", Buildings_Heat_Backend[[#This Row],[Total (tCO2e)]]*(1-Buildings_Heat_Backend[[#This Row],[RSD]]))</f>
        <v/>
      </c>
      <c r="AN360" s="220" t="str">
        <f>IF(Buildings_Heat_Frontend[[#This Row],[Data]]="","", Buildings_Heat_Backend[[#This Row],[Total (tCO2e)]]*(1+Buildings_Heat_Backend[[#This Row],[RSD]]))</f>
        <v/>
      </c>
      <c r="AO360" s="210" t="str">
        <f>IF(Buildings_Heat_Frontend[[#This Row],[Data]]="","", _xlfn.XLOOKUP(_xlfn.CONCAT(Buildings_Heat_Backend[[#This Row],[Level 1]:[Level 6]]),rng_EFConcat,rng_EFOOS)*Buildings_Heat_Backend[[#This Row],[Converted data]]/1000)</f>
        <v/>
      </c>
      <c r="AP360" s="174">
        <f>Buildings_Heat_Frontend[[#This Row],[Ease of collection]]</f>
        <v>0</v>
      </c>
      <c r="AQ360" s="174">
        <f>Buildings_Heat_Frontend[[#This Row],[Completeness]]</f>
        <v>0</v>
      </c>
      <c r="AR360" s="174">
        <f>Buildings_Heat_Frontend[[#This Row],[Notes]]</f>
        <v>0</v>
      </c>
    </row>
    <row r="361" spans="5:44" x14ac:dyDescent="0.3">
      <c r="E361" s="346"/>
      <c r="F361" s="364"/>
      <c r="G361" s="336"/>
      <c r="H361" s="336"/>
      <c r="I361" s="336"/>
      <c r="J361" s="334"/>
      <c r="K361" s="336"/>
      <c r="L361" s="336"/>
      <c r="M361" s="336"/>
      <c r="N361" s="352"/>
      <c r="O361" s="230">
        <f t="shared" si="17"/>
        <v>6</v>
      </c>
      <c r="Q361" s="212" t="str">
        <f t="shared" si="15"/>
        <v/>
      </c>
      <c r="R361" s="174" t="s">
        <v>265</v>
      </c>
      <c r="S361" s="174" t="s">
        <v>273</v>
      </c>
      <c r="T361" s="174" t="str">
        <f>IF(Buildings_Heat_Frontend[[#This Row],[Data]]="","", _xlfn.XLOOKUP(Buildings_Heat_Backend[[#This Row],[Info 1]],Buildings_SiteInfo[Site name],Buildings_SiteInfo[Site type]))</f>
        <v/>
      </c>
      <c r="U361" s="174" t="str">
        <f>IF(Buildings_Heat_Frontend[[#This Row],[Data]]="","", Buildings_Heat_Frontend[[#This Row],[Heating Type]])</f>
        <v/>
      </c>
      <c r="V361" s="174" t="str">
        <f>IF(Buildings_Heat_Frontend[[#This Row],[Data]]="","", Buildings_Heat_Frontend[[#This Row],[Fuel]])</f>
        <v/>
      </c>
      <c r="W361" s="174" t="str" cm="1">
        <f t="array" ref="W361">IF(Buildings_Heat_Frontend[[#This Row],[Data]]="","", _xlfn.XLOOKUP(Buildings_Heat_Backend[[#This Row],[Level 5]],rng_Level5Long,rng_Level6Long))</f>
        <v/>
      </c>
      <c r="X361" s="174" t="str">
        <f>IF(Buildings_Heat_Frontend[[#This Row],[Data]]="","", Buildings_Heat_Frontend[[#This Row],[Site Name]])</f>
        <v/>
      </c>
      <c r="Y361" s="174" t="str">
        <f>IF(Buildings_Heat_Frontend[[#This Row],[Data]]="","", Buildings_Heat_Frontend[[#This Row],[MPRN]])</f>
        <v/>
      </c>
      <c r="Z361" s="174" t="str">
        <f>IF(Buildings_Heat_Frontend[[#This Row],[Data]]="","", IF($I361="","",$I361))</f>
        <v/>
      </c>
      <c r="AA361" s="229" t="str" cm="1">
        <f t="array" ref="AA361">IF(Buildings_Heat_Frontend[[#This Row],[Data]]="","", INDEX(_xlfn.SWITCH(Buildings_Heat_Backend[[#This Row],[Methodology]],"Tier 1",rng_RSD1,"Tier 2",rng_RSD2,"Tier 3",rng_RSD3),MATCH(_xlfn.CONCAT(Buildings_Heat_Backend[[#This Row],[Level 1]:[Level 6]]),rng_LevelsConcat,0)))</f>
        <v/>
      </c>
      <c r="AB361" s="220" t="str">
        <f t="shared" si="16"/>
        <v/>
      </c>
      <c r="AC361" s="174">
        <f>Buildings_Heat_Frontend[[#This Row],[Units]]</f>
        <v>0</v>
      </c>
      <c r="AD36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1" s="174" t="str">
        <f>IF(Buildings_Heat_Frontend[[#This Row],[Data]]="","", _xlfn.XLOOKUP(_xlfn.CONCAT(Buildings_Heat_Backend[[#This Row],[Level 1]:[Level 6]]),rng_LevelsConcat,rng_UnitsLong))</f>
        <v/>
      </c>
      <c r="AF361" s="210" t="str">
        <f>IF(Buildings_Heat_Frontend[[#This Row],[Data]]="","", _xlfn.XLOOKUP(_xlfn.CONCAT(Buildings_Heat_Backend[[#This Row],[Level 1]:[Level 6]]),rng_EFConcat,rng_EF1)*Buildings_Heat_Backend[[#This Row],[Converted data]]/1000)</f>
        <v/>
      </c>
      <c r="AG361" s="210" t="str">
        <f>IF(Buildings_Heat_Frontend[[#This Row],[Data]]="","", _xlfn.XLOOKUP(_xlfn.CONCAT(Buildings_Heat_Backend[[#This Row],[Level 1]:[Level 6]]),rng_EFConcat,rng_EF2)*Buildings_Heat_Backend[[#This Row],[Converted data]]/1000)</f>
        <v/>
      </c>
      <c r="AH361" s="210" t="str">
        <f>IF(Buildings_Heat_Frontend[[#This Row],[Data]]="","", _xlfn.XLOOKUP(_xlfn.CONCAT(Buildings_Heat_Backend[[#This Row],[Level 1]:[Level 6]]),rng_EFConcat,rng_EF3)*Buildings_Heat_Backend[[#This Row],[Converted data]]/1000)</f>
        <v/>
      </c>
      <c r="AI361" s="210" t="str">
        <f>IF(Buildings_Heat_Frontend[[#This Row],[Data]]="","", _xlfn.XLOOKUP(_xlfn.CONCAT(Buildings_Heat_Backend[[#This Row],[Level 1]:[Level 6]]),rng_EFConcat,rng_EF3WTT)*Buildings_Heat_Backend[[#This Row],[Converted data]]/1000)</f>
        <v/>
      </c>
      <c r="AJ361" s="210" t="str">
        <f>IF(Buildings_Heat_Frontend[[#This Row],[Data]]="","", _xlfn.XLOOKUP(_xlfn.CONCAT(Buildings_Heat_Backend[[#This Row],[Level 1]:[Level 6]]),rng_EFConcat,rng_EF3TD)*Buildings_Heat_Backend[[#This Row],[Converted data]]/1000)</f>
        <v/>
      </c>
      <c r="AK361" s="210" t="str">
        <f>IF(Buildings_Heat_Frontend[[#This Row],[Data]]="","", _xlfn.XLOOKUP(_xlfn.CONCAT(Buildings_Heat_Backend[[#This Row],[Level 1]:[Level 6]]),rng_EFConcat,rng_EF3WTTTD)*Buildings_Heat_Backend[[#This Row],[Converted data]]/1000)</f>
        <v/>
      </c>
      <c r="AL361" s="220">
        <f>SUM(Buildings_Heat_Backend[[#This Row],[Scope 1 (tCO2e)]:[Scope 3 WTT T&amp;D (tCO2e)]])</f>
        <v>0</v>
      </c>
      <c r="AM361" s="220" t="str">
        <f>IF(Buildings_Heat_Frontend[[#This Row],[Data]]="","", Buildings_Heat_Backend[[#This Row],[Total (tCO2e)]]*(1-Buildings_Heat_Backend[[#This Row],[RSD]]))</f>
        <v/>
      </c>
      <c r="AN361" s="220" t="str">
        <f>IF(Buildings_Heat_Frontend[[#This Row],[Data]]="","", Buildings_Heat_Backend[[#This Row],[Total (tCO2e)]]*(1+Buildings_Heat_Backend[[#This Row],[RSD]]))</f>
        <v/>
      </c>
      <c r="AO361" s="210" t="str">
        <f>IF(Buildings_Heat_Frontend[[#This Row],[Data]]="","", _xlfn.XLOOKUP(_xlfn.CONCAT(Buildings_Heat_Backend[[#This Row],[Level 1]:[Level 6]]),rng_EFConcat,rng_EFOOS)*Buildings_Heat_Backend[[#This Row],[Converted data]]/1000)</f>
        <v/>
      </c>
      <c r="AP361" s="174">
        <f>Buildings_Heat_Frontend[[#This Row],[Ease of collection]]</f>
        <v>0</v>
      </c>
      <c r="AQ361" s="174">
        <f>Buildings_Heat_Frontend[[#This Row],[Completeness]]</f>
        <v>0</v>
      </c>
      <c r="AR361" s="174">
        <f>Buildings_Heat_Frontend[[#This Row],[Notes]]</f>
        <v>0</v>
      </c>
    </row>
    <row r="362" spans="5:44" x14ac:dyDescent="0.3">
      <c r="E362" s="346"/>
      <c r="F362" s="364"/>
      <c r="G362" s="336"/>
      <c r="H362" s="336"/>
      <c r="I362" s="336"/>
      <c r="J362" s="334"/>
      <c r="K362" s="336"/>
      <c r="L362" s="336"/>
      <c r="M362" s="336"/>
      <c r="N362" s="352"/>
      <c r="O362" s="230">
        <f t="shared" si="17"/>
        <v>6</v>
      </c>
      <c r="Q362" s="212" t="str">
        <f t="shared" si="15"/>
        <v/>
      </c>
      <c r="R362" s="174" t="s">
        <v>265</v>
      </c>
      <c r="S362" s="174" t="s">
        <v>273</v>
      </c>
      <c r="T362" s="174" t="str">
        <f>IF(Buildings_Heat_Frontend[[#This Row],[Data]]="","", _xlfn.XLOOKUP(Buildings_Heat_Backend[[#This Row],[Info 1]],Buildings_SiteInfo[Site name],Buildings_SiteInfo[Site type]))</f>
        <v/>
      </c>
      <c r="U362" s="174" t="str">
        <f>IF(Buildings_Heat_Frontend[[#This Row],[Data]]="","", Buildings_Heat_Frontend[[#This Row],[Heating Type]])</f>
        <v/>
      </c>
      <c r="V362" s="174" t="str">
        <f>IF(Buildings_Heat_Frontend[[#This Row],[Data]]="","", Buildings_Heat_Frontend[[#This Row],[Fuel]])</f>
        <v/>
      </c>
      <c r="W362" s="174" t="str" cm="1">
        <f t="array" ref="W362">IF(Buildings_Heat_Frontend[[#This Row],[Data]]="","", _xlfn.XLOOKUP(Buildings_Heat_Backend[[#This Row],[Level 5]],rng_Level5Long,rng_Level6Long))</f>
        <v/>
      </c>
      <c r="X362" s="174" t="str">
        <f>IF(Buildings_Heat_Frontend[[#This Row],[Data]]="","", Buildings_Heat_Frontend[[#This Row],[Site Name]])</f>
        <v/>
      </c>
      <c r="Y362" s="174" t="str">
        <f>IF(Buildings_Heat_Frontend[[#This Row],[Data]]="","", Buildings_Heat_Frontend[[#This Row],[MPRN]])</f>
        <v/>
      </c>
      <c r="Z362" s="174" t="str">
        <f>IF(Buildings_Heat_Frontend[[#This Row],[Data]]="","", IF($I362="","",$I362))</f>
        <v/>
      </c>
      <c r="AA362" s="229" t="str" cm="1">
        <f t="array" ref="AA362">IF(Buildings_Heat_Frontend[[#This Row],[Data]]="","", INDEX(_xlfn.SWITCH(Buildings_Heat_Backend[[#This Row],[Methodology]],"Tier 1",rng_RSD1,"Tier 2",rng_RSD2,"Tier 3",rng_RSD3),MATCH(_xlfn.CONCAT(Buildings_Heat_Backend[[#This Row],[Level 1]:[Level 6]]),rng_LevelsConcat,0)))</f>
        <v/>
      </c>
      <c r="AB362" s="220" t="str">
        <f t="shared" si="16"/>
        <v/>
      </c>
      <c r="AC362" s="174">
        <f>Buildings_Heat_Frontend[[#This Row],[Units]]</f>
        <v>0</v>
      </c>
      <c r="AD36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2" s="174" t="str">
        <f>IF(Buildings_Heat_Frontend[[#This Row],[Data]]="","", _xlfn.XLOOKUP(_xlfn.CONCAT(Buildings_Heat_Backend[[#This Row],[Level 1]:[Level 6]]),rng_LevelsConcat,rng_UnitsLong))</f>
        <v/>
      </c>
      <c r="AF362" s="210" t="str">
        <f>IF(Buildings_Heat_Frontend[[#This Row],[Data]]="","", _xlfn.XLOOKUP(_xlfn.CONCAT(Buildings_Heat_Backend[[#This Row],[Level 1]:[Level 6]]),rng_EFConcat,rng_EF1)*Buildings_Heat_Backend[[#This Row],[Converted data]]/1000)</f>
        <v/>
      </c>
      <c r="AG362" s="210" t="str">
        <f>IF(Buildings_Heat_Frontend[[#This Row],[Data]]="","", _xlfn.XLOOKUP(_xlfn.CONCAT(Buildings_Heat_Backend[[#This Row],[Level 1]:[Level 6]]),rng_EFConcat,rng_EF2)*Buildings_Heat_Backend[[#This Row],[Converted data]]/1000)</f>
        <v/>
      </c>
      <c r="AH362" s="210" t="str">
        <f>IF(Buildings_Heat_Frontend[[#This Row],[Data]]="","", _xlfn.XLOOKUP(_xlfn.CONCAT(Buildings_Heat_Backend[[#This Row],[Level 1]:[Level 6]]),rng_EFConcat,rng_EF3)*Buildings_Heat_Backend[[#This Row],[Converted data]]/1000)</f>
        <v/>
      </c>
      <c r="AI362" s="210" t="str">
        <f>IF(Buildings_Heat_Frontend[[#This Row],[Data]]="","", _xlfn.XLOOKUP(_xlfn.CONCAT(Buildings_Heat_Backend[[#This Row],[Level 1]:[Level 6]]),rng_EFConcat,rng_EF3WTT)*Buildings_Heat_Backend[[#This Row],[Converted data]]/1000)</f>
        <v/>
      </c>
      <c r="AJ362" s="210" t="str">
        <f>IF(Buildings_Heat_Frontend[[#This Row],[Data]]="","", _xlfn.XLOOKUP(_xlfn.CONCAT(Buildings_Heat_Backend[[#This Row],[Level 1]:[Level 6]]),rng_EFConcat,rng_EF3TD)*Buildings_Heat_Backend[[#This Row],[Converted data]]/1000)</f>
        <v/>
      </c>
      <c r="AK362" s="210" t="str">
        <f>IF(Buildings_Heat_Frontend[[#This Row],[Data]]="","", _xlfn.XLOOKUP(_xlfn.CONCAT(Buildings_Heat_Backend[[#This Row],[Level 1]:[Level 6]]),rng_EFConcat,rng_EF3WTTTD)*Buildings_Heat_Backend[[#This Row],[Converted data]]/1000)</f>
        <v/>
      </c>
      <c r="AL362" s="220">
        <f>SUM(Buildings_Heat_Backend[[#This Row],[Scope 1 (tCO2e)]:[Scope 3 WTT T&amp;D (tCO2e)]])</f>
        <v>0</v>
      </c>
      <c r="AM362" s="220" t="str">
        <f>IF(Buildings_Heat_Frontend[[#This Row],[Data]]="","", Buildings_Heat_Backend[[#This Row],[Total (tCO2e)]]*(1-Buildings_Heat_Backend[[#This Row],[RSD]]))</f>
        <v/>
      </c>
      <c r="AN362" s="220" t="str">
        <f>IF(Buildings_Heat_Frontend[[#This Row],[Data]]="","", Buildings_Heat_Backend[[#This Row],[Total (tCO2e)]]*(1+Buildings_Heat_Backend[[#This Row],[RSD]]))</f>
        <v/>
      </c>
      <c r="AO362" s="210" t="str">
        <f>IF(Buildings_Heat_Frontend[[#This Row],[Data]]="","", _xlfn.XLOOKUP(_xlfn.CONCAT(Buildings_Heat_Backend[[#This Row],[Level 1]:[Level 6]]),rng_EFConcat,rng_EFOOS)*Buildings_Heat_Backend[[#This Row],[Converted data]]/1000)</f>
        <v/>
      </c>
      <c r="AP362" s="174">
        <f>Buildings_Heat_Frontend[[#This Row],[Ease of collection]]</f>
        <v>0</v>
      </c>
      <c r="AQ362" s="174">
        <f>Buildings_Heat_Frontend[[#This Row],[Completeness]]</f>
        <v>0</v>
      </c>
      <c r="AR362" s="174">
        <f>Buildings_Heat_Frontend[[#This Row],[Notes]]</f>
        <v>0</v>
      </c>
    </row>
    <row r="363" spans="5:44" x14ac:dyDescent="0.3">
      <c r="E363" s="346"/>
      <c r="F363" s="364"/>
      <c r="G363" s="336"/>
      <c r="H363" s="336"/>
      <c r="I363" s="336"/>
      <c r="J363" s="334"/>
      <c r="K363" s="336"/>
      <c r="L363" s="336"/>
      <c r="M363" s="336"/>
      <c r="N363" s="352"/>
      <c r="O363" s="230">
        <f t="shared" si="17"/>
        <v>6</v>
      </c>
      <c r="Q363" s="212" t="str">
        <f t="shared" si="15"/>
        <v/>
      </c>
      <c r="R363" s="174" t="s">
        <v>265</v>
      </c>
      <c r="S363" s="174" t="s">
        <v>273</v>
      </c>
      <c r="T363" s="174" t="str">
        <f>IF(Buildings_Heat_Frontend[[#This Row],[Data]]="","", _xlfn.XLOOKUP(Buildings_Heat_Backend[[#This Row],[Info 1]],Buildings_SiteInfo[Site name],Buildings_SiteInfo[Site type]))</f>
        <v/>
      </c>
      <c r="U363" s="174" t="str">
        <f>IF(Buildings_Heat_Frontend[[#This Row],[Data]]="","", Buildings_Heat_Frontend[[#This Row],[Heating Type]])</f>
        <v/>
      </c>
      <c r="V363" s="174" t="str">
        <f>IF(Buildings_Heat_Frontend[[#This Row],[Data]]="","", Buildings_Heat_Frontend[[#This Row],[Fuel]])</f>
        <v/>
      </c>
      <c r="W363" s="174" t="str" cm="1">
        <f t="array" ref="W363">IF(Buildings_Heat_Frontend[[#This Row],[Data]]="","", _xlfn.XLOOKUP(Buildings_Heat_Backend[[#This Row],[Level 5]],rng_Level5Long,rng_Level6Long))</f>
        <v/>
      </c>
      <c r="X363" s="174" t="str">
        <f>IF(Buildings_Heat_Frontend[[#This Row],[Data]]="","", Buildings_Heat_Frontend[[#This Row],[Site Name]])</f>
        <v/>
      </c>
      <c r="Y363" s="174" t="str">
        <f>IF(Buildings_Heat_Frontend[[#This Row],[Data]]="","", Buildings_Heat_Frontend[[#This Row],[MPRN]])</f>
        <v/>
      </c>
      <c r="Z363" s="174" t="str">
        <f>IF(Buildings_Heat_Frontend[[#This Row],[Data]]="","", IF($I363="","",$I363))</f>
        <v/>
      </c>
      <c r="AA363" s="229" t="str" cm="1">
        <f t="array" ref="AA363">IF(Buildings_Heat_Frontend[[#This Row],[Data]]="","", INDEX(_xlfn.SWITCH(Buildings_Heat_Backend[[#This Row],[Methodology]],"Tier 1",rng_RSD1,"Tier 2",rng_RSD2,"Tier 3",rng_RSD3),MATCH(_xlfn.CONCAT(Buildings_Heat_Backend[[#This Row],[Level 1]:[Level 6]]),rng_LevelsConcat,0)))</f>
        <v/>
      </c>
      <c r="AB363" s="220" t="str">
        <f t="shared" si="16"/>
        <v/>
      </c>
      <c r="AC363" s="174">
        <f>Buildings_Heat_Frontend[[#This Row],[Units]]</f>
        <v>0</v>
      </c>
      <c r="AD36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3" s="174" t="str">
        <f>IF(Buildings_Heat_Frontend[[#This Row],[Data]]="","", _xlfn.XLOOKUP(_xlfn.CONCAT(Buildings_Heat_Backend[[#This Row],[Level 1]:[Level 6]]),rng_LevelsConcat,rng_UnitsLong))</f>
        <v/>
      </c>
      <c r="AF363" s="210" t="str">
        <f>IF(Buildings_Heat_Frontend[[#This Row],[Data]]="","", _xlfn.XLOOKUP(_xlfn.CONCAT(Buildings_Heat_Backend[[#This Row],[Level 1]:[Level 6]]),rng_EFConcat,rng_EF1)*Buildings_Heat_Backend[[#This Row],[Converted data]]/1000)</f>
        <v/>
      </c>
      <c r="AG363" s="210" t="str">
        <f>IF(Buildings_Heat_Frontend[[#This Row],[Data]]="","", _xlfn.XLOOKUP(_xlfn.CONCAT(Buildings_Heat_Backend[[#This Row],[Level 1]:[Level 6]]),rng_EFConcat,rng_EF2)*Buildings_Heat_Backend[[#This Row],[Converted data]]/1000)</f>
        <v/>
      </c>
      <c r="AH363" s="210" t="str">
        <f>IF(Buildings_Heat_Frontend[[#This Row],[Data]]="","", _xlfn.XLOOKUP(_xlfn.CONCAT(Buildings_Heat_Backend[[#This Row],[Level 1]:[Level 6]]),rng_EFConcat,rng_EF3)*Buildings_Heat_Backend[[#This Row],[Converted data]]/1000)</f>
        <v/>
      </c>
      <c r="AI363" s="210" t="str">
        <f>IF(Buildings_Heat_Frontend[[#This Row],[Data]]="","", _xlfn.XLOOKUP(_xlfn.CONCAT(Buildings_Heat_Backend[[#This Row],[Level 1]:[Level 6]]),rng_EFConcat,rng_EF3WTT)*Buildings_Heat_Backend[[#This Row],[Converted data]]/1000)</f>
        <v/>
      </c>
      <c r="AJ363" s="210" t="str">
        <f>IF(Buildings_Heat_Frontend[[#This Row],[Data]]="","", _xlfn.XLOOKUP(_xlfn.CONCAT(Buildings_Heat_Backend[[#This Row],[Level 1]:[Level 6]]),rng_EFConcat,rng_EF3TD)*Buildings_Heat_Backend[[#This Row],[Converted data]]/1000)</f>
        <v/>
      </c>
      <c r="AK363" s="210" t="str">
        <f>IF(Buildings_Heat_Frontend[[#This Row],[Data]]="","", _xlfn.XLOOKUP(_xlfn.CONCAT(Buildings_Heat_Backend[[#This Row],[Level 1]:[Level 6]]),rng_EFConcat,rng_EF3WTTTD)*Buildings_Heat_Backend[[#This Row],[Converted data]]/1000)</f>
        <v/>
      </c>
      <c r="AL363" s="220">
        <f>SUM(Buildings_Heat_Backend[[#This Row],[Scope 1 (tCO2e)]:[Scope 3 WTT T&amp;D (tCO2e)]])</f>
        <v>0</v>
      </c>
      <c r="AM363" s="220" t="str">
        <f>IF(Buildings_Heat_Frontend[[#This Row],[Data]]="","", Buildings_Heat_Backend[[#This Row],[Total (tCO2e)]]*(1-Buildings_Heat_Backend[[#This Row],[RSD]]))</f>
        <v/>
      </c>
      <c r="AN363" s="220" t="str">
        <f>IF(Buildings_Heat_Frontend[[#This Row],[Data]]="","", Buildings_Heat_Backend[[#This Row],[Total (tCO2e)]]*(1+Buildings_Heat_Backend[[#This Row],[RSD]]))</f>
        <v/>
      </c>
      <c r="AO363" s="210" t="str">
        <f>IF(Buildings_Heat_Frontend[[#This Row],[Data]]="","", _xlfn.XLOOKUP(_xlfn.CONCAT(Buildings_Heat_Backend[[#This Row],[Level 1]:[Level 6]]),rng_EFConcat,rng_EFOOS)*Buildings_Heat_Backend[[#This Row],[Converted data]]/1000)</f>
        <v/>
      </c>
      <c r="AP363" s="174">
        <f>Buildings_Heat_Frontend[[#This Row],[Ease of collection]]</f>
        <v>0</v>
      </c>
      <c r="AQ363" s="174">
        <f>Buildings_Heat_Frontend[[#This Row],[Completeness]]</f>
        <v>0</v>
      </c>
      <c r="AR363" s="174">
        <f>Buildings_Heat_Frontend[[#This Row],[Notes]]</f>
        <v>0</v>
      </c>
    </row>
    <row r="364" spans="5:44" x14ac:dyDescent="0.3">
      <c r="E364" s="346"/>
      <c r="F364" s="364"/>
      <c r="G364" s="336"/>
      <c r="H364" s="336"/>
      <c r="I364" s="336"/>
      <c r="J364" s="334"/>
      <c r="K364" s="336"/>
      <c r="L364" s="336"/>
      <c r="M364" s="336"/>
      <c r="N364" s="352"/>
      <c r="O364" s="230">
        <f t="shared" si="17"/>
        <v>6</v>
      </c>
      <c r="Q364" s="212" t="str">
        <f t="shared" si="15"/>
        <v/>
      </c>
      <c r="R364" s="174" t="s">
        <v>265</v>
      </c>
      <c r="S364" s="174" t="s">
        <v>273</v>
      </c>
      <c r="T364" s="174" t="str">
        <f>IF(Buildings_Heat_Frontend[[#This Row],[Data]]="","", _xlfn.XLOOKUP(Buildings_Heat_Backend[[#This Row],[Info 1]],Buildings_SiteInfo[Site name],Buildings_SiteInfo[Site type]))</f>
        <v/>
      </c>
      <c r="U364" s="174" t="str">
        <f>IF(Buildings_Heat_Frontend[[#This Row],[Data]]="","", Buildings_Heat_Frontend[[#This Row],[Heating Type]])</f>
        <v/>
      </c>
      <c r="V364" s="174" t="str">
        <f>IF(Buildings_Heat_Frontend[[#This Row],[Data]]="","", Buildings_Heat_Frontend[[#This Row],[Fuel]])</f>
        <v/>
      </c>
      <c r="W364" s="174" t="str" cm="1">
        <f t="array" ref="W364">IF(Buildings_Heat_Frontend[[#This Row],[Data]]="","", _xlfn.XLOOKUP(Buildings_Heat_Backend[[#This Row],[Level 5]],rng_Level5Long,rng_Level6Long))</f>
        <v/>
      </c>
      <c r="X364" s="174" t="str">
        <f>IF(Buildings_Heat_Frontend[[#This Row],[Data]]="","", Buildings_Heat_Frontend[[#This Row],[Site Name]])</f>
        <v/>
      </c>
      <c r="Y364" s="174" t="str">
        <f>IF(Buildings_Heat_Frontend[[#This Row],[Data]]="","", Buildings_Heat_Frontend[[#This Row],[MPRN]])</f>
        <v/>
      </c>
      <c r="Z364" s="174" t="str">
        <f>IF(Buildings_Heat_Frontend[[#This Row],[Data]]="","", IF($I364="","",$I364))</f>
        <v/>
      </c>
      <c r="AA364" s="229" t="str" cm="1">
        <f t="array" ref="AA364">IF(Buildings_Heat_Frontend[[#This Row],[Data]]="","", INDEX(_xlfn.SWITCH(Buildings_Heat_Backend[[#This Row],[Methodology]],"Tier 1",rng_RSD1,"Tier 2",rng_RSD2,"Tier 3",rng_RSD3),MATCH(_xlfn.CONCAT(Buildings_Heat_Backend[[#This Row],[Level 1]:[Level 6]]),rng_LevelsConcat,0)))</f>
        <v/>
      </c>
      <c r="AB364" s="220" t="str">
        <f t="shared" si="16"/>
        <v/>
      </c>
      <c r="AC364" s="174">
        <f>Buildings_Heat_Frontend[[#This Row],[Units]]</f>
        <v>0</v>
      </c>
      <c r="AD36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4" s="174" t="str">
        <f>IF(Buildings_Heat_Frontend[[#This Row],[Data]]="","", _xlfn.XLOOKUP(_xlfn.CONCAT(Buildings_Heat_Backend[[#This Row],[Level 1]:[Level 6]]),rng_LevelsConcat,rng_UnitsLong))</f>
        <v/>
      </c>
      <c r="AF364" s="210" t="str">
        <f>IF(Buildings_Heat_Frontend[[#This Row],[Data]]="","", _xlfn.XLOOKUP(_xlfn.CONCAT(Buildings_Heat_Backend[[#This Row],[Level 1]:[Level 6]]),rng_EFConcat,rng_EF1)*Buildings_Heat_Backend[[#This Row],[Converted data]]/1000)</f>
        <v/>
      </c>
      <c r="AG364" s="210" t="str">
        <f>IF(Buildings_Heat_Frontend[[#This Row],[Data]]="","", _xlfn.XLOOKUP(_xlfn.CONCAT(Buildings_Heat_Backend[[#This Row],[Level 1]:[Level 6]]),rng_EFConcat,rng_EF2)*Buildings_Heat_Backend[[#This Row],[Converted data]]/1000)</f>
        <v/>
      </c>
      <c r="AH364" s="210" t="str">
        <f>IF(Buildings_Heat_Frontend[[#This Row],[Data]]="","", _xlfn.XLOOKUP(_xlfn.CONCAT(Buildings_Heat_Backend[[#This Row],[Level 1]:[Level 6]]),rng_EFConcat,rng_EF3)*Buildings_Heat_Backend[[#This Row],[Converted data]]/1000)</f>
        <v/>
      </c>
      <c r="AI364" s="210" t="str">
        <f>IF(Buildings_Heat_Frontend[[#This Row],[Data]]="","", _xlfn.XLOOKUP(_xlfn.CONCAT(Buildings_Heat_Backend[[#This Row],[Level 1]:[Level 6]]),rng_EFConcat,rng_EF3WTT)*Buildings_Heat_Backend[[#This Row],[Converted data]]/1000)</f>
        <v/>
      </c>
      <c r="AJ364" s="210" t="str">
        <f>IF(Buildings_Heat_Frontend[[#This Row],[Data]]="","", _xlfn.XLOOKUP(_xlfn.CONCAT(Buildings_Heat_Backend[[#This Row],[Level 1]:[Level 6]]),rng_EFConcat,rng_EF3TD)*Buildings_Heat_Backend[[#This Row],[Converted data]]/1000)</f>
        <v/>
      </c>
      <c r="AK364" s="210" t="str">
        <f>IF(Buildings_Heat_Frontend[[#This Row],[Data]]="","", _xlfn.XLOOKUP(_xlfn.CONCAT(Buildings_Heat_Backend[[#This Row],[Level 1]:[Level 6]]),rng_EFConcat,rng_EF3WTTTD)*Buildings_Heat_Backend[[#This Row],[Converted data]]/1000)</f>
        <v/>
      </c>
      <c r="AL364" s="220">
        <f>SUM(Buildings_Heat_Backend[[#This Row],[Scope 1 (tCO2e)]:[Scope 3 WTT T&amp;D (tCO2e)]])</f>
        <v>0</v>
      </c>
      <c r="AM364" s="220" t="str">
        <f>IF(Buildings_Heat_Frontend[[#This Row],[Data]]="","", Buildings_Heat_Backend[[#This Row],[Total (tCO2e)]]*(1-Buildings_Heat_Backend[[#This Row],[RSD]]))</f>
        <v/>
      </c>
      <c r="AN364" s="220" t="str">
        <f>IF(Buildings_Heat_Frontend[[#This Row],[Data]]="","", Buildings_Heat_Backend[[#This Row],[Total (tCO2e)]]*(1+Buildings_Heat_Backend[[#This Row],[RSD]]))</f>
        <v/>
      </c>
      <c r="AO364" s="210" t="str">
        <f>IF(Buildings_Heat_Frontend[[#This Row],[Data]]="","", _xlfn.XLOOKUP(_xlfn.CONCAT(Buildings_Heat_Backend[[#This Row],[Level 1]:[Level 6]]),rng_EFConcat,rng_EFOOS)*Buildings_Heat_Backend[[#This Row],[Converted data]]/1000)</f>
        <v/>
      </c>
      <c r="AP364" s="174">
        <f>Buildings_Heat_Frontend[[#This Row],[Ease of collection]]</f>
        <v>0</v>
      </c>
      <c r="AQ364" s="174">
        <f>Buildings_Heat_Frontend[[#This Row],[Completeness]]</f>
        <v>0</v>
      </c>
      <c r="AR364" s="174">
        <f>Buildings_Heat_Frontend[[#This Row],[Notes]]</f>
        <v>0</v>
      </c>
    </row>
    <row r="365" spans="5:44" x14ac:dyDescent="0.3">
      <c r="E365" s="346"/>
      <c r="F365" s="364"/>
      <c r="G365" s="336"/>
      <c r="H365" s="336"/>
      <c r="I365" s="336"/>
      <c r="J365" s="334"/>
      <c r="K365" s="336"/>
      <c r="L365" s="336"/>
      <c r="M365" s="336"/>
      <c r="N365" s="352"/>
      <c r="O365" s="230">
        <f t="shared" si="17"/>
        <v>6</v>
      </c>
      <c r="Q365" s="212" t="str">
        <f t="shared" si="15"/>
        <v/>
      </c>
      <c r="R365" s="174" t="s">
        <v>265</v>
      </c>
      <c r="S365" s="174" t="s">
        <v>273</v>
      </c>
      <c r="T365" s="174" t="str">
        <f>IF(Buildings_Heat_Frontend[[#This Row],[Data]]="","", _xlfn.XLOOKUP(Buildings_Heat_Backend[[#This Row],[Info 1]],Buildings_SiteInfo[Site name],Buildings_SiteInfo[Site type]))</f>
        <v/>
      </c>
      <c r="U365" s="174" t="str">
        <f>IF(Buildings_Heat_Frontend[[#This Row],[Data]]="","", Buildings_Heat_Frontend[[#This Row],[Heating Type]])</f>
        <v/>
      </c>
      <c r="V365" s="174" t="str">
        <f>IF(Buildings_Heat_Frontend[[#This Row],[Data]]="","", Buildings_Heat_Frontend[[#This Row],[Fuel]])</f>
        <v/>
      </c>
      <c r="W365" s="174" t="str" cm="1">
        <f t="array" ref="W365">IF(Buildings_Heat_Frontend[[#This Row],[Data]]="","", _xlfn.XLOOKUP(Buildings_Heat_Backend[[#This Row],[Level 5]],rng_Level5Long,rng_Level6Long))</f>
        <v/>
      </c>
      <c r="X365" s="174" t="str">
        <f>IF(Buildings_Heat_Frontend[[#This Row],[Data]]="","", Buildings_Heat_Frontend[[#This Row],[Site Name]])</f>
        <v/>
      </c>
      <c r="Y365" s="174" t="str">
        <f>IF(Buildings_Heat_Frontend[[#This Row],[Data]]="","", Buildings_Heat_Frontend[[#This Row],[MPRN]])</f>
        <v/>
      </c>
      <c r="Z365" s="174" t="str">
        <f>IF(Buildings_Heat_Frontend[[#This Row],[Data]]="","", IF($I365="","",$I365))</f>
        <v/>
      </c>
      <c r="AA365" s="229" t="str" cm="1">
        <f t="array" ref="AA365">IF(Buildings_Heat_Frontend[[#This Row],[Data]]="","", INDEX(_xlfn.SWITCH(Buildings_Heat_Backend[[#This Row],[Methodology]],"Tier 1",rng_RSD1,"Tier 2",rng_RSD2,"Tier 3",rng_RSD3),MATCH(_xlfn.CONCAT(Buildings_Heat_Backend[[#This Row],[Level 1]:[Level 6]]),rng_LevelsConcat,0)))</f>
        <v/>
      </c>
      <c r="AB365" s="220" t="str">
        <f t="shared" si="16"/>
        <v/>
      </c>
      <c r="AC365" s="174">
        <f>Buildings_Heat_Frontend[[#This Row],[Units]]</f>
        <v>0</v>
      </c>
      <c r="AD36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5" s="174" t="str">
        <f>IF(Buildings_Heat_Frontend[[#This Row],[Data]]="","", _xlfn.XLOOKUP(_xlfn.CONCAT(Buildings_Heat_Backend[[#This Row],[Level 1]:[Level 6]]),rng_LevelsConcat,rng_UnitsLong))</f>
        <v/>
      </c>
      <c r="AF365" s="210" t="str">
        <f>IF(Buildings_Heat_Frontend[[#This Row],[Data]]="","", _xlfn.XLOOKUP(_xlfn.CONCAT(Buildings_Heat_Backend[[#This Row],[Level 1]:[Level 6]]),rng_EFConcat,rng_EF1)*Buildings_Heat_Backend[[#This Row],[Converted data]]/1000)</f>
        <v/>
      </c>
      <c r="AG365" s="210" t="str">
        <f>IF(Buildings_Heat_Frontend[[#This Row],[Data]]="","", _xlfn.XLOOKUP(_xlfn.CONCAT(Buildings_Heat_Backend[[#This Row],[Level 1]:[Level 6]]),rng_EFConcat,rng_EF2)*Buildings_Heat_Backend[[#This Row],[Converted data]]/1000)</f>
        <v/>
      </c>
      <c r="AH365" s="210" t="str">
        <f>IF(Buildings_Heat_Frontend[[#This Row],[Data]]="","", _xlfn.XLOOKUP(_xlfn.CONCAT(Buildings_Heat_Backend[[#This Row],[Level 1]:[Level 6]]),rng_EFConcat,rng_EF3)*Buildings_Heat_Backend[[#This Row],[Converted data]]/1000)</f>
        <v/>
      </c>
      <c r="AI365" s="210" t="str">
        <f>IF(Buildings_Heat_Frontend[[#This Row],[Data]]="","", _xlfn.XLOOKUP(_xlfn.CONCAT(Buildings_Heat_Backend[[#This Row],[Level 1]:[Level 6]]),rng_EFConcat,rng_EF3WTT)*Buildings_Heat_Backend[[#This Row],[Converted data]]/1000)</f>
        <v/>
      </c>
      <c r="AJ365" s="210" t="str">
        <f>IF(Buildings_Heat_Frontend[[#This Row],[Data]]="","", _xlfn.XLOOKUP(_xlfn.CONCAT(Buildings_Heat_Backend[[#This Row],[Level 1]:[Level 6]]),rng_EFConcat,rng_EF3TD)*Buildings_Heat_Backend[[#This Row],[Converted data]]/1000)</f>
        <v/>
      </c>
      <c r="AK365" s="210" t="str">
        <f>IF(Buildings_Heat_Frontend[[#This Row],[Data]]="","", _xlfn.XLOOKUP(_xlfn.CONCAT(Buildings_Heat_Backend[[#This Row],[Level 1]:[Level 6]]),rng_EFConcat,rng_EF3WTTTD)*Buildings_Heat_Backend[[#This Row],[Converted data]]/1000)</f>
        <v/>
      </c>
      <c r="AL365" s="220">
        <f>SUM(Buildings_Heat_Backend[[#This Row],[Scope 1 (tCO2e)]:[Scope 3 WTT T&amp;D (tCO2e)]])</f>
        <v>0</v>
      </c>
      <c r="AM365" s="220" t="str">
        <f>IF(Buildings_Heat_Frontend[[#This Row],[Data]]="","", Buildings_Heat_Backend[[#This Row],[Total (tCO2e)]]*(1-Buildings_Heat_Backend[[#This Row],[RSD]]))</f>
        <v/>
      </c>
      <c r="AN365" s="220" t="str">
        <f>IF(Buildings_Heat_Frontend[[#This Row],[Data]]="","", Buildings_Heat_Backend[[#This Row],[Total (tCO2e)]]*(1+Buildings_Heat_Backend[[#This Row],[RSD]]))</f>
        <v/>
      </c>
      <c r="AO365" s="210" t="str">
        <f>IF(Buildings_Heat_Frontend[[#This Row],[Data]]="","", _xlfn.XLOOKUP(_xlfn.CONCAT(Buildings_Heat_Backend[[#This Row],[Level 1]:[Level 6]]),rng_EFConcat,rng_EFOOS)*Buildings_Heat_Backend[[#This Row],[Converted data]]/1000)</f>
        <v/>
      </c>
      <c r="AP365" s="174">
        <f>Buildings_Heat_Frontend[[#This Row],[Ease of collection]]</f>
        <v>0</v>
      </c>
      <c r="AQ365" s="174">
        <f>Buildings_Heat_Frontend[[#This Row],[Completeness]]</f>
        <v>0</v>
      </c>
      <c r="AR365" s="174">
        <f>Buildings_Heat_Frontend[[#This Row],[Notes]]</f>
        <v>0</v>
      </c>
    </row>
    <row r="366" spans="5:44" x14ac:dyDescent="0.3">
      <c r="E366" s="346"/>
      <c r="F366" s="364"/>
      <c r="G366" s="336"/>
      <c r="H366" s="336"/>
      <c r="I366" s="336"/>
      <c r="J366" s="334"/>
      <c r="K366" s="336"/>
      <c r="L366" s="336"/>
      <c r="M366" s="336"/>
      <c r="N366" s="352"/>
      <c r="O366" s="230">
        <f t="shared" si="17"/>
        <v>6</v>
      </c>
      <c r="Q366" s="212" t="str">
        <f t="shared" si="15"/>
        <v/>
      </c>
      <c r="R366" s="174" t="s">
        <v>265</v>
      </c>
      <c r="S366" s="174" t="s">
        <v>273</v>
      </c>
      <c r="T366" s="174" t="str">
        <f>IF(Buildings_Heat_Frontend[[#This Row],[Data]]="","", _xlfn.XLOOKUP(Buildings_Heat_Backend[[#This Row],[Info 1]],Buildings_SiteInfo[Site name],Buildings_SiteInfo[Site type]))</f>
        <v/>
      </c>
      <c r="U366" s="174" t="str">
        <f>IF(Buildings_Heat_Frontend[[#This Row],[Data]]="","", Buildings_Heat_Frontend[[#This Row],[Heating Type]])</f>
        <v/>
      </c>
      <c r="V366" s="174" t="str">
        <f>IF(Buildings_Heat_Frontend[[#This Row],[Data]]="","", Buildings_Heat_Frontend[[#This Row],[Fuel]])</f>
        <v/>
      </c>
      <c r="W366" s="174" t="str" cm="1">
        <f t="array" ref="W366">IF(Buildings_Heat_Frontend[[#This Row],[Data]]="","", _xlfn.XLOOKUP(Buildings_Heat_Backend[[#This Row],[Level 5]],rng_Level5Long,rng_Level6Long))</f>
        <v/>
      </c>
      <c r="X366" s="174" t="str">
        <f>IF(Buildings_Heat_Frontend[[#This Row],[Data]]="","", Buildings_Heat_Frontend[[#This Row],[Site Name]])</f>
        <v/>
      </c>
      <c r="Y366" s="174" t="str">
        <f>IF(Buildings_Heat_Frontend[[#This Row],[Data]]="","", Buildings_Heat_Frontend[[#This Row],[MPRN]])</f>
        <v/>
      </c>
      <c r="Z366" s="174" t="str">
        <f>IF(Buildings_Heat_Frontend[[#This Row],[Data]]="","", IF($I366="","",$I366))</f>
        <v/>
      </c>
      <c r="AA366" s="229" t="str" cm="1">
        <f t="array" ref="AA366">IF(Buildings_Heat_Frontend[[#This Row],[Data]]="","", INDEX(_xlfn.SWITCH(Buildings_Heat_Backend[[#This Row],[Methodology]],"Tier 1",rng_RSD1,"Tier 2",rng_RSD2,"Tier 3",rng_RSD3),MATCH(_xlfn.CONCAT(Buildings_Heat_Backend[[#This Row],[Level 1]:[Level 6]]),rng_LevelsConcat,0)))</f>
        <v/>
      </c>
      <c r="AB366" s="220" t="str">
        <f t="shared" si="16"/>
        <v/>
      </c>
      <c r="AC366" s="174">
        <f>Buildings_Heat_Frontend[[#This Row],[Units]]</f>
        <v>0</v>
      </c>
      <c r="AD36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6" s="174" t="str">
        <f>IF(Buildings_Heat_Frontend[[#This Row],[Data]]="","", _xlfn.XLOOKUP(_xlfn.CONCAT(Buildings_Heat_Backend[[#This Row],[Level 1]:[Level 6]]),rng_LevelsConcat,rng_UnitsLong))</f>
        <v/>
      </c>
      <c r="AF366" s="210" t="str">
        <f>IF(Buildings_Heat_Frontend[[#This Row],[Data]]="","", _xlfn.XLOOKUP(_xlfn.CONCAT(Buildings_Heat_Backend[[#This Row],[Level 1]:[Level 6]]),rng_EFConcat,rng_EF1)*Buildings_Heat_Backend[[#This Row],[Converted data]]/1000)</f>
        <v/>
      </c>
      <c r="AG366" s="210" t="str">
        <f>IF(Buildings_Heat_Frontend[[#This Row],[Data]]="","", _xlfn.XLOOKUP(_xlfn.CONCAT(Buildings_Heat_Backend[[#This Row],[Level 1]:[Level 6]]),rng_EFConcat,rng_EF2)*Buildings_Heat_Backend[[#This Row],[Converted data]]/1000)</f>
        <v/>
      </c>
      <c r="AH366" s="210" t="str">
        <f>IF(Buildings_Heat_Frontend[[#This Row],[Data]]="","", _xlfn.XLOOKUP(_xlfn.CONCAT(Buildings_Heat_Backend[[#This Row],[Level 1]:[Level 6]]),rng_EFConcat,rng_EF3)*Buildings_Heat_Backend[[#This Row],[Converted data]]/1000)</f>
        <v/>
      </c>
      <c r="AI366" s="210" t="str">
        <f>IF(Buildings_Heat_Frontend[[#This Row],[Data]]="","", _xlfn.XLOOKUP(_xlfn.CONCAT(Buildings_Heat_Backend[[#This Row],[Level 1]:[Level 6]]),rng_EFConcat,rng_EF3WTT)*Buildings_Heat_Backend[[#This Row],[Converted data]]/1000)</f>
        <v/>
      </c>
      <c r="AJ366" s="210" t="str">
        <f>IF(Buildings_Heat_Frontend[[#This Row],[Data]]="","", _xlfn.XLOOKUP(_xlfn.CONCAT(Buildings_Heat_Backend[[#This Row],[Level 1]:[Level 6]]),rng_EFConcat,rng_EF3TD)*Buildings_Heat_Backend[[#This Row],[Converted data]]/1000)</f>
        <v/>
      </c>
      <c r="AK366" s="210" t="str">
        <f>IF(Buildings_Heat_Frontend[[#This Row],[Data]]="","", _xlfn.XLOOKUP(_xlfn.CONCAT(Buildings_Heat_Backend[[#This Row],[Level 1]:[Level 6]]),rng_EFConcat,rng_EF3WTTTD)*Buildings_Heat_Backend[[#This Row],[Converted data]]/1000)</f>
        <v/>
      </c>
      <c r="AL366" s="220">
        <f>SUM(Buildings_Heat_Backend[[#This Row],[Scope 1 (tCO2e)]:[Scope 3 WTT T&amp;D (tCO2e)]])</f>
        <v>0</v>
      </c>
      <c r="AM366" s="220" t="str">
        <f>IF(Buildings_Heat_Frontend[[#This Row],[Data]]="","", Buildings_Heat_Backend[[#This Row],[Total (tCO2e)]]*(1-Buildings_Heat_Backend[[#This Row],[RSD]]))</f>
        <v/>
      </c>
      <c r="AN366" s="220" t="str">
        <f>IF(Buildings_Heat_Frontend[[#This Row],[Data]]="","", Buildings_Heat_Backend[[#This Row],[Total (tCO2e)]]*(1+Buildings_Heat_Backend[[#This Row],[RSD]]))</f>
        <v/>
      </c>
      <c r="AO366" s="210" t="str">
        <f>IF(Buildings_Heat_Frontend[[#This Row],[Data]]="","", _xlfn.XLOOKUP(_xlfn.CONCAT(Buildings_Heat_Backend[[#This Row],[Level 1]:[Level 6]]),rng_EFConcat,rng_EFOOS)*Buildings_Heat_Backend[[#This Row],[Converted data]]/1000)</f>
        <v/>
      </c>
      <c r="AP366" s="174">
        <f>Buildings_Heat_Frontend[[#This Row],[Ease of collection]]</f>
        <v>0</v>
      </c>
      <c r="AQ366" s="174">
        <f>Buildings_Heat_Frontend[[#This Row],[Completeness]]</f>
        <v>0</v>
      </c>
      <c r="AR366" s="174">
        <f>Buildings_Heat_Frontend[[#This Row],[Notes]]</f>
        <v>0</v>
      </c>
    </row>
    <row r="367" spans="5:44" x14ac:dyDescent="0.3">
      <c r="E367" s="346"/>
      <c r="F367" s="364"/>
      <c r="G367" s="336"/>
      <c r="H367" s="336"/>
      <c r="I367" s="336"/>
      <c r="J367" s="334"/>
      <c r="K367" s="336"/>
      <c r="L367" s="336"/>
      <c r="M367" s="336"/>
      <c r="N367" s="352"/>
      <c r="O367" s="230">
        <f t="shared" si="17"/>
        <v>6</v>
      </c>
      <c r="Q367" s="212" t="str">
        <f t="shared" si="15"/>
        <v/>
      </c>
      <c r="R367" s="174" t="s">
        <v>265</v>
      </c>
      <c r="S367" s="174" t="s">
        <v>273</v>
      </c>
      <c r="T367" s="174" t="str">
        <f>IF(Buildings_Heat_Frontend[[#This Row],[Data]]="","", _xlfn.XLOOKUP(Buildings_Heat_Backend[[#This Row],[Info 1]],Buildings_SiteInfo[Site name],Buildings_SiteInfo[Site type]))</f>
        <v/>
      </c>
      <c r="U367" s="174" t="str">
        <f>IF(Buildings_Heat_Frontend[[#This Row],[Data]]="","", Buildings_Heat_Frontend[[#This Row],[Heating Type]])</f>
        <v/>
      </c>
      <c r="V367" s="174" t="str">
        <f>IF(Buildings_Heat_Frontend[[#This Row],[Data]]="","", Buildings_Heat_Frontend[[#This Row],[Fuel]])</f>
        <v/>
      </c>
      <c r="W367" s="174" t="str" cm="1">
        <f t="array" ref="W367">IF(Buildings_Heat_Frontend[[#This Row],[Data]]="","", _xlfn.XLOOKUP(Buildings_Heat_Backend[[#This Row],[Level 5]],rng_Level5Long,rng_Level6Long))</f>
        <v/>
      </c>
      <c r="X367" s="174" t="str">
        <f>IF(Buildings_Heat_Frontend[[#This Row],[Data]]="","", Buildings_Heat_Frontend[[#This Row],[Site Name]])</f>
        <v/>
      </c>
      <c r="Y367" s="174" t="str">
        <f>IF(Buildings_Heat_Frontend[[#This Row],[Data]]="","", Buildings_Heat_Frontend[[#This Row],[MPRN]])</f>
        <v/>
      </c>
      <c r="Z367" s="174" t="str">
        <f>IF(Buildings_Heat_Frontend[[#This Row],[Data]]="","", IF($I367="","",$I367))</f>
        <v/>
      </c>
      <c r="AA367" s="229" t="str" cm="1">
        <f t="array" ref="AA367">IF(Buildings_Heat_Frontend[[#This Row],[Data]]="","", INDEX(_xlfn.SWITCH(Buildings_Heat_Backend[[#This Row],[Methodology]],"Tier 1",rng_RSD1,"Tier 2",rng_RSD2,"Tier 3",rng_RSD3),MATCH(_xlfn.CONCAT(Buildings_Heat_Backend[[#This Row],[Level 1]:[Level 6]]),rng_LevelsConcat,0)))</f>
        <v/>
      </c>
      <c r="AB367" s="220" t="str">
        <f t="shared" si="16"/>
        <v/>
      </c>
      <c r="AC367" s="174">
        <f>Buildings_Heat_Frontend[[#This Row],[Units]]</f>
        <v>0</v>
      </c>
      <c r="AD36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7" s="174" t="str">
        <f>IF(Buildings_Heat_Frontend[[#This Row],[Data]]="","", _xlfn.XLOOKUP(_xlfn.CONCAT(Buildings_Heat_Backend[[#This Row],[Level 1]:[Level 6]]),rng_LevelsConcat,rng_UnitsLong))</f>
        <v/>
      </c>
      <c r="AF367" s="210" t="str">
        <f>IF(Buildings_Heat_Frontend[[#This Row],[Data]]="","", _xlfn.XLOOKUP(_xlfn.CONCAT(Buildings_Heat_Backend[[#This Row],[Level 1]:[Level 6]]),rng_EFConcat,rng_EF1)*Buildings_Heat_Backend[[#This Row],[Converted data]]/1000)</f>
        <v/>
      </c>
      <c r="AG367" s="210" t="str">
        <f>IF(Buildings_Heat_Frontend[[#This Row],[Data]]="","", _xlfn.XLOOKUP(_xlfn.CONCAT(Buildings_Heat_Backend[[#This Row],[Level 1]:[Level 6]]),rng_EFConcat,rng_EF2)*Buildings_Heat_Backend[[#This Row],[Converted data]]/1000)</f>
        <v/>
      </c>
      <c r="AH367" s="210" t="str">
        <f>IF(Buildings_Heat_Frontend[[#This Row],[Data]]="","", _xlfn.XLOOKUP(_xlfn.CONCAT(Buildings_Heat_Backend[[#This Row],[Level 1]:[Level 6]]),rng_EFConcat,rng_EF3)*Buildings_Heat_Backend[[#This Row],[Converted data]]/1000)</f>
        <v/>
      </c>
      <c r="AI367" s="210" t="str">
        <f>IF(Buildings_Heat_Frontend[[#This Row],[Data]]="","", _xlfn.XLOOKUP(_xlfn.CONCAT(Buildings_Heat_Backend[[#This Row],[Level 1]:[Level 6]]),rng_EFConcat,rng_EF3WTT)*Buildings_Heat_Backend[[#This Row],[Converted data]]/1000)</f>
        <v/>
      </c>
      <c r="AJ367" s="210" t="str">
        <f>IF(Buildings_Heat_Frontend[[#This Row],[Data]]="","", _xlfn.XLOOKUP(_xlfn.CONCAT(Buildings_Heat_Backend[[#This Row],[Level 1]:[Level 6]]),rng_EFConcat,rng_EF3TD)*Buildings_Heat_Backend[[#This Row],[Converted data]]/1000)</f>
        <v/>
      </c>
      <c r="AK367" s="210" t="str">
        <f>IF(Buildings_Heat_Frontend[[#This Row],[Data]]="","", _xlfn.XLOOKUP(_xlfn.CONCAT(Buildings_Heat_Backend[[#This Row],[Level 1]:[Level 6]]),rng_EFConcat,rng_EF3WTTTD)*Buildings_Heat_Backend[[#This Row],[Converted data]]/1000)</f>
        <v/>
      </c>
      <c r="AL367" s="220">
        <f>SUM(Buildings_Heat_Backend[[#This Row],[Scope 1 (tCO2e)]:[Scope 3 WTT T&amp;D (tCO2e)]])</f>
        <v>0</v>
      </c>
      <c r="AM367" s="220" t="str">
        <f>IF(Buildings_Heat_Frontend[[#This Row],[Data]]="","", Buildings_Heat_Backend[[#This Row],[Total (tCO2e)]]*(1-Buildings_Heat_Backend[[#This Row],[RSD]]))</f>
        <v/>
      </c>
      <c r="AN367" s="220" t="str">
        <f>IF(Buildings_Heat_Frontend[[#This Row],[Data]]="","", Buildings_Heat_Backend[[#This Row],[Total (tCO2e)]]*(1+Buildings_Heat_Backend[[#This Row],[RSD]]))</f>
        <v/>
      </c>
      <c r="AO367" s="210" t="str">
        <f>IF(Buildings_Heat_Frontend[[#This Row],[Data]]="","", _xlfn.XLOOKUP(_xlfn.CONCAT(Buildings_Heat_Backend[[#This Row],[Level 1]:[Level 6]]),rng_EFConcat,rng_EFOOS)*Buildings_Heat_Backend[[#This Row],[Converted data]]/1000)</f>
        <v/>
      </c>
      <c r="AP367" s="174">
        <f>Buildings_Heat_Frontend[[#This Row],[Ease of collection]]</f>
        <v>0</v>
      </c>
      <c r="AQ367" s="174">
        <f>Buildings_Heat_Frontend[[#This Row],[Completeness]]</f>
        <v>0</v>
      </c>
      <c r="AR367" s="174">
        <f>Buildings_Heat_Frontend[[#This Row],[Notes]]</f>
        <v>0</v>
      </c>
    </row>
    <row r="368" spans="5:44" x14ac:dyDescent="0.3">
      <c r="E368" s="346"/>
      <c r="F368" s="364"/>
      <c r="G368" s="336"/>
      <c r="H368" s="336"/>
      <c r="I368" s="336"/>
      <c r="J368" s="334"/>
      <c r="K368" s="336"/>
      <c r="L368" s="336"/>
      <c r="M368" s="336"/>
      <c r="N368" s="352"/>
      <c r="O368" s="230">
        <f t="shared" si="17"/>
        <v>6</v>
      </c>
      <c r="Q368" s="212" t="str">
        <f t="shared" si="15"/>
        <v/>
      </c>
      <c r="R368" s="174" t="s">
        <v>265</v>
      </c>
      <c r="S368" s="174" t="s">
        <v>273</v>
      </c>
      <c r="T368" s="174" t="str">
        <f>IF(Buildings_Heat_Frontend[[#This Row],[Data]]="","", _xlfn.XLOOKUP(Buildings_Heat_Backend[[#This Row],[Info 1]],Buildings_SiteInfo[Site name],Buildings_SiteInfo[Site type]))</f>
        <v/>
      </c>
      <c r="U368" s="174" t="str">
        <f>IF(Buildings_Heat_Frontend[[#This Row],[Data]]="","", Buildings_Heat_Frontend[[#This Row],[Heating Type]])</f>
        <v/>
      </c>
      <c r="V368" s="174" t="str">
        <f>IF(Buildings_Heat_Frontend[[#This Row],[Data]]="","", Buildings_Heat_Frontend[[#This Row],[Fuel]])</f>
        <v/>
      </c>
      <c r="W368" s="174" t="str" cm="1">
        <f t="array" ref="W368">IF(Buildings_Heat_Frontend[[#This Row],[Data]]="","", _xlfn.XLOOKUP(Buildings_Heat_Backend[[#This Row],[Level 5]],rng_Level5Long,rng_Level6Long))</f>
        <v/>
      </c>
      <c r="X368" s="174" t="str">
        <f>IF(Buildings_Heat_Frontend[[#This Row],[Data]]="","", Buildings_Heat_Frontend[[#This Row],[Site Name]])</f>
        <v/>
      </c>
      <c r="Y368" s="174" t="str">
        <f>IF(Buildings_Heat_Frontend[[#This Row],[Data]]="","", Buildings_Heat_Frontend[[#This Row],[MPRN]])</f>
        <v/>
      </c>
      <c r="Z368" s="174" t="str">
        <f>IF(Buildings_Heat_Frontend[[#This Row],[Data]]="","", IF($I368="","",$I368))</f>
        <v/>
      </c>
      <c r="AA368" s="229" t="str" cm="1">
        <f t="array" ref="AA368">IF(Buildings_Heat_Frontend[[#This Row],[Data]]="","", INDEX(_xlfn.SWITCH(Buildings_Heat_Backend[[#This Row],[Methodology]],"Tier 1",rng_RSD1,"Tier 2",rng_RSD2,"Tier 3",rng_RSD3),MATCH(_xlfn.CONCAT(Buildings_Heat_Backend[[#This Row],[Level 1]:[Level 6]]),rng_LevelsConcat,0)))</f>
        <v/>
      </c>
      <c r="AB368" s="220" t="str">
        <f t="shared" si="16"/>
        <v/>
      </c>
      <c r="AC368" s="174">
        <f>Buildings_Heat_Frontend[[#This Row],[Units]]</f>
        <v>0</v>
      </c>
      <c r="AD36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8" s="174" t="str">
        <f>IF(Buildings_Heat_Frontend[[#This Row],[Data]]="","", _xlfn.XLOOKUP(_xlfn.CONCAT(Buildings_Heat_Backend[[#This Row],[Level 1]:[Level 6]]),rng_LevelsConcat,rng_UnitsLong))</f>
        <v/>
      </c>
      <c r="AF368" s="210" t="str">
        <f>IF(Buildings_Heat_Frontend[[#This Row],[Data]]="","", _xlfn.XLOOKUP(_xlfn.CONCAT(Buildings_Heat_Backend[[#This Row],[Level 1]:[Level 6]]),rng_EFConcat,rng_EF1)*Buildings_Heat_Backend[[#This Row],[Converted data]]/1000)</f>
        <v/>
      </c>
      <c r="AG368" s="210" t="str">
        <f>IF(Buildings_Heat_Frontend[[#This Row],[Data]]="","", _xlfn.XLOOKUP(_xlfn.CONCAT(Buildings_Heat_Backend[[#This Row],[Level 1]:[Level 6]]),rng_EFConcat,rng_EF2)*Buildings_Heat_Backend[[#This Row],[Converted data]]/1000)</f>
        <v/>
      </c>
      <c r="AH368" s="210" t="str">
        <f>IF(Buildings_Heat_Frontend[[#This Row],[Data]]="","", _xlfn.XLOOKUP(_xlfn.CONCAT(Buildings_Heat_Backend[[#This Row],[Level 1]:[Level 6]]),rng_EFConcat,rng_EF3)*Buildings_Heat_Backend[[#This Row],[Converted data]]/1000)</f>
        <v/>
      </c>
      <c r="AI368" s="210" t="str">
        <f>IF(Buildings_Heat_Frontend[[#This Row],[Data]]="","", _xlfn.XLOOKUP(_xlfn.CONCAT(Buildings_Heat_Backend[[#This Row],[Level 1]:[Level 6]]),rng_EFConcat,rng_EF3WTT)*Buildings_Heat_Backend[[#This Row],[Converted data]]/1000)</f>
        <v/>
      </c>
      <c r="AJ368" s="210" t="str">
        <f>IF(Buildings_Heat_Frontend[[#This Row],[Data]]="","", _xlfn.XLOOKUP(_xlfn.CONCAT(Buildings_Heat_Backend[[#This Row],[Level 1]:[Level 6]]),rng_EFConcat,rng_EF3TD)*Buildings_Heat_Backend[[#This Row],[Converted data]]/1000)</f>
        <v/>
      </c>
      <c r="AK368" s="210" t="str">
        <f>IF(Buildings_Heat_Frontend[[#This Row],[Data]]="","", _xlfn.XLOOKUP(_xlfn.CONCAT(Buildings_Heat_Backend[[#This Row],[Level 1]:[Level 6]]),rng_EFConcat,rng_EF3WTTTD)*Buildings_Heat_Backend[[#This Row],[Converted data]]/1000)</f>
        <v/>
      </c>
      <c r="AL368" s="220">
        <f>SUM(Buildings_Heat_Backend[[#This Row],[Scope 1 (tCO2e)]:[Scope 3 WTT T&amp;D (tCO2e)]])</f>
        <v>0</v>
      </c>
      <c r="AM368" s="220" t="str">
        <f>IF(Buildings_Heat_Frontend[[#This Row],[Data]]="","", Buildings_Heat_Backend[[#This Row],[Total (tCO2e)]]*(1-Buildings_Heat_Backend[[#This Row],[RSD]]))</f>
        <v/>
      </c>
      <c r="AN368" s="220" t="str">
        <f>IF(Buildings_Heat_Frontend[[#This Row],[Data]]="","", Buildings_Heat_Backend[[#This Row],[Total (tCO2e)]]*(1+Buildings_Heat_Backend[[#This Row],[RSD]]))</f>
        <v/>
      </c>
      <c r="AO368" s="210" t="str">
        <f>IF(Buildings_Heat_Frontend[[#This Row],[Data]]="","", _xlfn.XLOOKUP(_xlfn.CONCAT(Buildings_Heat_Backend[[#This Row],[Level 1]:[Level 6]]),rng_EFConcat,rng_EFOOS)*Buildings_Heat_Backend[[#This Row],[Converted data]]/1000)</f>
        <v/>
      </c>
      <c r="AP368" s="174">
        <f>Buildings_Heat_Frontend[[#This Row],[Ease of collection]]</f>
        <v>0</v>
      </c>
      <c r="AQ368" s="174">
        <f>Buildings_Heat_Frontend[[#This Row],[Completeness]]</f>
        <v>0</v>
      </c>
      <c r="AR368" s="174">
        <f>Buildings_Heat_Frontend[[#This Row],[Notes]]</f>
        <v>0</v>
      </c>
    </row>
    <row r="369" spans="5:44" x14ac:dyDescent="0.3">
      <c r="E369" s="346"/>
      <c r="F369" s="364"/>
      <c r="G369" s="336"/>
      <c r="H369" s="336"/>
      <c r="I369" s="336"/>
      <c r="J369" s="334"/>
      <c r="K369" s="336"/>
      <c r="L369" s="336"/>
      <c r="M369" s="336"/>
      <c r="N369" s="352"/>
      <c r="O369" s="230">
        <f t="shared" si="17"/>
        <v>6</v>
      </c>
      <c r="Q369" s="212" t="str">
        <f t="shared" si="15"/>
        <v/>
      </c>
      <c r="R369" s="174" t="s">
        <v>265</v>
      </c>
      <c r="S369" s="174" t="s">
        <v>273</v>
      </c>
      <c r="T369" s="174" t="str">
        <f>IF(Buildings_Heat_Frontend[[#This Row],[Data]]="","", _xlfn.XLOOKUP(Buildings_Heat_Backend[[#This Row],[Info 1]],Buildings_SiteInfo[Site name],Buildings_SiteInfo[Site type]))</f>
        <v/>
      </c>
      <c r="U369" s="174" t="str">
        <f>IF(Buildings_Heat_Frontend[[#This Row],[Data]]="","", Buildings_Heat_Frontend[[#This Row],[Heating Type]])</f>
        <v/>
      </c>
      <c r="V369" s="174" t="str">
        <f>IF(Buildings_Heat_Frontend[[#This Row],[Data]]="","", Buildings_Heat_Frontend[[#This Row],[Fuel]])</f>
        <v/>
      </c>
      <c r="W369" s="174" t="str" cm="1">
        <f t="array" ref="W369">IF(Buildings_Heat_Frontend[[#This Row],[Data]]="","", _xlfn.XLOOKUP(Buildings_Heat_Backend[[#This Row],[Level 5]],rng_Level5Long,rng_Level6Long))</f>
        <v/>
      </c>
      <c r="X369" s="174" t="str">
        <f>IF(Buildings_Heat_Frontend[[#This Row],[Data]]="","", Buildings_Heat_Frontend[[#This Row],[Site Name]])</f>
        <v/>
      </c>
      <c r="Y369" s="174" t="str">
        <f>IF(Buildings_Heat_Frontend[[#This Row],[Data]]="","", Buildings_Heat_Frontend[[#This Row],[MPRN]])</f>
        <v/>
      </c>
      <c r="Z369" s="174" t="str">
        <f>IF(Buildings_Heat_Frontend[[#This Row],[Data]]="","", IF($I369="","",$I369))</f>
        <v/>
      </c>
      <c r="AA369" s="229" t="str" cm="1">
        <f t="array" ref="AA369">IF(Buildings_Heat_Frontend[[#This Row],[Data]]="","", INDEX(_xlfn.SWITCH(Buildings_Heat_Backend[[#This Row],[Methodology]],"Tier 1",rng_RSD1,"Tier 2",rng_RSD2,"Tier 3",rng_RSD3),MATCH(_xlfn.CONCAT(Buildings_Heat_Backend[[#This Row],[Level 1]:[Level 6]]),rng_LevelsConcat,0)))</f>
        <v/>
      </c>
      <c r="AB369" s="220" t="str">
        <f t="shared" si="16"/>
        <v/>
      </c>
      <c r="AC369" s="174">
        <f>Buildings_Heat_Frontend[[#This Row],[Units]]</f>
        <v>0</v>
      </c>
      <c r="AD36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69" s="174" t="str">
        <f>IF(Buildings_Heat_Frontend[[#This Row],[Data]]="","", _xlfn.XLOOKUP(_xlfn.CONCAT(Buildings_Heat_Backend[[#This Row],[Level 1]:[Level 6]]),rng_LevelsConcat,rng_UnitsLong))</f>
        <v/>
      </c>
      <c r="AF369" s="210" t="str">
        <f>IF(Buildings_Heat_Frontend[[#This Row],[Data]]="","", _xlfn.XLOOKUP(_xlfn.CONCAT(Buildings_Heat_Backend[[#This Row],[Level 1]:[Level 6]]),rng_EFConcat,rng_EF1)*Buildings_Heat_Backend[[#This Row],[Converted data]]/1000)</f>
        <v/>
      </c>
      <c r="AG369" s="210" t="str">
        <f>IF(Buildings_Heat_Frontend[[#This Row],[Data]]="","", _xlfn.XLOOKUP(_xlfn.CONCAT(Buildings_Heat_Backend[[#This Row],[Level 1]:[Level 6]]),rng_EFConcat,rng_EF2)*Buildings_Heat_Backend[[#This Row],[Converted data]]/1000)</f>
        <v/>
      </c>
      <c r="AH369" s="210" t="str">
        <f>IF(Buildings_Heat_Frontend[[#This Row],[Data]]="","", _xlfn.XLOOKUP(_xlfn.CONCAT(Buildings_Heat_Backend[[#This Row],[Level 1]:[Level 6]]),rng_EFConcat,rng_EF3)*Buildings_Heat_Backend[[#This Row],[Converted data]]/1000)</f>
        <v/>
      </c>
      <c r="AI369" s="210" t="str">
        <f>IF(Buildings_Heat_Frontend[[#This Row],[Data]]="","", _xlfn.XLOOKUP(_xlfn.CONCAT(Buildings_Heat_Backend[[#This Row],[Level 1]:[Level 6]]),rng_EFConcat,rng_EF3WTT)*Buildings_Heat_Backend[[#This Row],[Converted data]]/1000)</f>
        <v/>
      </c>
      <c r="AJ369" s="210" t="str">
        <f>IF(Buildings_Heat_Frontend[[#This Row],[Data]]="","", _xlfn.XLOOKUP(_xlfn.CONCAT(Buildings_Heat_Backend[[#This Row],[Level 1]:[Level 6]]),rng_EFConcat,rng_EF3TD)*Buildings_Heat_Backend[[#This Row],[Converted data]]/1000)</f>
        <v/>
      </c>
      <c r="AK369" s="210" t="str">
        <f>IF(Buildings_Heat_Frontend[[#This Row],[Data]]="","", _xlfn.XLOOKUP(_xlfn.CONCAT(Buildings_Heat_Backend[[#This Row],[Level 1]:[Level 6]]),rng_EFConcat,rng_EF3WTTTD)*Buildings_Heat_Backend[[#This Row],[Converted data]]/1000)</f>
        <v/>
      </c>
      <c r="AL369" s="220">
        <f>SUM(Buildings_Heat_Backend[[#This Row],[Scope 1 (tCO2e)]:[Scope 3 WTT T&amp;D (tCO2e)]])</f>
        <v>0</v>
      </c>
      <c r="AM369" s="220" t="str">
        <f>IF(Buildings_Heat_Frontend[[#This Row],[Data]]="","", Buildings_Heat_Backend[[#This Row],[Total (tCO2e)]]*(1-Buildings_Heat_Backend[[#This Row],[RSD]]))</f>
        <v/>
      </c>
      <c r="AN369" s="220" t="str">
        <f>IF(Buildings_Heat_Frontend[[#This Row],[Data]]="","", Buildings_Heat_Backend[[#This Row],[Total (tCO2e)]]*(1+Buildings_Heat_Backend[[#This Row],[RSD]]))</f>
        <v/>
      </c>
      <c r="AO369" s="210" t="str">
        <f>IF(Buildings_Heat_Frontend[[#This Row],[Data]]="","", _xlfn.XLOOKUP(_xlfn.CONCAT(Buildings_Heat_Backend[[#This Row],[Level 1]:[Level 6]]),rng_EFConcat,rng_EFOOS)*Buildings_Heat_Backend[[#This Row],[Converted data]]/1000)</f>
        <v/>
      </c>
      <c r="AP369" s="174">
        <f>Buildings_Heat_Frontend[[#This Row],[Ease of collection]]</f>
        <v>0</v>
      </c>
      <c r="AQ369" s="174">
        <f>Buildings_Heat_Frontend[[#This Row],[Completeness]]</f>
        <v>0</v>
      </c>
      <c r="AR369" s="174">
        <f>Buildings_Heat_Frontend[[#This Row],[Notes]]</f>
        <v>0</v>
      </c>
    </row>
    <row r="370" spans="5:44" x14ac:dyDescent="0.3">
      <c r="E370" s="346"/>
      <c r="F370" s="364"/>
      <c r="G370" s="336"/>
      <c r="H370" s="336"/>
      <c r="I370" s="336"/>
      <c r="J370" s="334"/>
      <c r="K370" s="336"/>
      <c r="L370" s="336"/>
      <c r="M370" s="336"/>
      <c r="N370" s="352"/>
      <c r="O370" s="230">
        <f t="shared" si="17"/>
        <v>6</v>
      </c>
      <c r="Q370" s="212" t="str">
        <f t="shared" si="15"/>
        <v/>
      </c>
      <c r="R370" s="174" t="s">
        <v>265</v>
      </c>
      <c r="S370" s="174" t="s">
        <v>273</v>
      </c>
      <c r="T370" s="174" t="str">
        <f>IF(Buildings_Heat_Frontend[[#This Row],[Data]]="","", _xlfn.XLOOKUP(Buildings_Heat_Backend[[#This Row],[Info 1]],Buildings_SiteInfo[Site name],Buildings_SiteInfo[Site type]))</f>
        <v/>
      </c>
      <c r="U370" s="174" t="str">
        <f>IF(Buildings_Heat_Frontend[[#This Row],[Data]]="","", Buildings_Heat_Frontend[[#This Row],[Heating Type]])</f>
        <v/>
      </c>
      <c r="V370" s="174" t="str">
        <f>IF(Buildings_Heat_Frontend[[#This Row],[Data]]="","", Buildings_Heat_Frontend[[#This Row],[Fuel]])</f>
        <v/>
      </c>
      <c r="W370" s="174" t="str" cm="1">
        <f t="array" ref="W370">IF(Buildings_Heat_Frontend[[#This Row],[Data]]="","", _xlfn.XLOOKUP(Buildings_Heat_Backend[[#This Row],[Level 5]],rng_Level5Long,rng_Level6Long))</f>
        <v/>
      </c>
      <c r="X370" s="174" t="str">
        <f>IF(Buildings_Heat_Frontend[[#This Row],[Data]]="","", Buildings_Heat_Frontend[[#This Row],[Site Name]])</f>
        <v/>
      </c>
      <c r="Y370" s="174" t="str">
        <f>IF(Buildings_Heat_Frontend[[#This Row],[Data]]="","", Buildings_Heat_Frontend[[#This Row],[MPRN]])</f>
        <v/>
      </c>
      <c r="Z370" s="174" t="str">
        <f>IF(Buildings_Heat_Frontend[[#This Row],[Data]]="","", IF($I370="","",$I370))</f>
        <v/>
      </c>
      <c r="AA370" s="229" t="str" cm="1">
        <f t="array" ref="AA370">IF(Buildings_Heat_Frontend[[#This Row],[Data]]="","", INDEX(_xlfn.SWITCH(Buildings_Heat_Backend[[#This Row],[Methodology]],"Tier 1",rng_RSD1,"Tier 2",rng_RSD2,"Tier 3",rng_RSD3),MATCH(_xlfn.CONCAT(Buildings_Heat_Backend[[#This Row],[Level 1]:[Level 6]]),rng_LevelsConcat,0)))</f>
        <v/>
      </c>
      <c r="AB370" s="220" t="str">
        <f t="shared" si="16"/>
        <v/>
      </c>
      <c r="AC370" s="174">
        <f>Buildings_Heat_Frontend[[#This Row],[Units]]</f>
        <v>0</v>
      </c>
      <c r="AD37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0" s="174" t="str">
        <f>IF(Buildings_Heat_Frontend[[#This Row],[Data]]="","", _xlfn.XLOOKUP(_xlfn.CONCAT(Buildings_Heat_Backend[[#This Row],[Level 1]:[Level 6]]),rng_LevelsConcat,rng_UnitsLong))</f>
        <v/>
      </c>
      <c r="AF370" s="210" t="str">
        <f>IF(Buildings_Heat_Frontend[[#This Row],[Data]]="","", _xlfn.XLOOKUP(_xlfn.CONCAT(Buildings_Heat_Backend[[#This Row],[Level 1]:[Level 6]]),rng_EFConcat,rng_EF1)*Buildings_Heat_Backend[[#This Row],[Converted data]]/1000)</f>
        <v/>
      </c>
      <c r="AG370" s="210" t="str">
        <f>IF(Buildings_Heat_Frontend[[#This Row],[Data]]="","", _xlfn.XLOOKUP(_xlfn.CONCAT(Buildings_Heat_Backend[[#This Row],[Level 1]:[Level 6]]),rng_EFConcat,rng_EF2)*Buildings_Heat_Backend[[#This Row],[Converted data]]/1000)</f>
        <v/>
      </c>
      <c r="AH370" s="210" t="str">
        <f>IF(Buildings_Heat_Frontend[[#This Row],[Data]]="","", _xlfn.XLOOKUP(_xlfn.CONCAT(Buildings_Heat_Backend[[#This Row],[Level 1]:[Level 6]]),rng_EFConcat,rng_EF3)*Buildings_Heat_Backend[[#This Row],[Converted data]]/1000)</f>
        <v/>
      </c>
      <c r="AI370" s="210" t="str">
        <f>IF(Buildings_Heat_Frontend[[#This Row],[Data]]="","", _xlfn.XLOOKUP(_xlfn.CONCAT(Buildings_Heat_Backend[[#This Row],[Level 1]:[Level 6]]),rng_EFConcat,rng_EF3WTT)*Buildings_Heat_Backend[[#This Row],[Converted data]]/1000)</f>
        <v/>
      </c>
      <c r="AJ370" s="210" t="str">
        <f>IF(Buildings_Heat_Frontend[[#This Row],[Data]]="","", _xlfn.XLOOKUP(_xlfn.CONCAT(Buildings_Heat_Backend[[#This Row],[Level 1]:[Level 6]]),rng_EFConcat,rng_EF3TD)*Buildings_Heat_Backend[[#This Row],[Converted data]]/1000)</f>
        <v/>
      </c>
      <c r="AK370" s="210" t="str">
        <f>IF(Buildings_Heat_Frontend[[#This Row],[Data]]="","", _xlfn.XLOOKUP(_xlfn.CONCAT(Buildings_Heat_Backend[[#This Row],[Level 1]:[Level 6]]),rng_EFConcat,rng_EF3WTTTD)*Buildings_Heat_Backend[[#This Row],[Converted data]]/1000)</f>
        <v/>
      </c>
      <c r="AL370" s="220">
        <f>SUM(Buildings_Heat_Backend[[#This Row],[Scope 1 (tCO2e)]:[Scope 3 WTT T&amp;D (tCO2e)]])</f>
        <v>0</v>
      </c>
      <c r="AM370" s="220" t="str">
        <f>IF(Buildings_Heat_Frontend[[#This Row],[Data]]="","", Buildings_Heat_Backend[[#This Row],[Total (tCO2e)]]*(1-Buildings_Heat_Backend[[#This Row],[RSD]]))</f>
        <v/>
      </c>
      <c r="AN370" s="220" t="str">
        <f>IF(Buildings_Heat_Frontend[[#This Row],[Data]]="","", Buildings_Heat_Backend[[#This Row],[Total (tCO2e)]]*(1+Buildings_Heat_Backend[[#This Row],[RSD]]))</f>
        <v/>
      </c>
      <c r="AO370" s="210" t="str">
        <f>IF(Buildings_Heat_Frontend[[#This Row],[Data]]="","", _xlfn.XLOOKUP(_xlfn.CONCAT(Buildings_Heat_Backend[[#This Row],[Level 1]:[Level 6]]),rng_EFConcat,rng_EFOOS)*Buildings_Heat_Backend[[#This Row],[Converted data]]/1000)</f>
        <v/>
      </c>
      <c r="AP370" s="174">
        <f>Buildings_Heat_Frontend[[#This Row],[Ease of collection]]</f>
        <v>0</v>
      </c>
      <c r="AQ370" s="174">
        <f>Buildings_Heat_Frontend[[#This Row],[Completeness]]</f>
        <v>0</v>
      </c>
      <c r="AR370" s="174">
        <f>Buildings_Heat_Frontend[[#This Row],[Notes]]</f>
        <v>0</v>
      </c>
    </row>
    <row r="371" spans="5:44" x14ac:dyDescent="0.3">
      <c r="E371" s="346"/>
      <c r="F371" s="364"/>
      <c r="G371" s="336"/>
      <c r="H371" s="336"/>
      <c r="I371" s="336"/>
      <c r="J371" s="334"/>
      <c r="K371" s="336"/>
      <c r="L371" s="336"/>
      <c r="M371" s="336"/>
      <c r="N371" s="352"/>
      <c r="O371" s="230">
        <f t="shared" si="17"/>
        <v>6</v>
      </c>
      <c r="Q371" s="212" t="str">
        <f t="shared" si="15"/>
        <v/>
      </c>
      <c r="R371" s="174" t="s">
        <v>265</v>
      </c>
      <c r="S371" s="174" t="s">
        <v>273</v>
      </c>
      <c r="T371" s="174" t="str">
        <f>IF(Buildings_Heat_Frontend[[#This Row],[Data]]="","", _xlfn.XLOOKUP(Buildings_Heat_Backend[[#This Row],[Info 1]],Buildings_SiteInfo[Site name],Buildings_SiteInfo[Site type]))</f>
        <v/>
      </c>
      <c r="U371" s="174" t="str">
        <f>IF(Buildings_Heat_Frontend[[#This Row],[Data]]="","", Buildings_Heat_Frontend[[#This Row],[Heating Type]])</f>
        <v/>
      </c>
      <c r="V371" s="174" t="str">
        <f>IF(Buildings_Heat_Frontend[[#This Row],[Data]]="","", Buildings_Heat_Frontend[[#This Row],[Fuel]])</f>
        <v/>
      </c>
      <c r="W371" s="174" t="str" cm="1">
        <f t="array" ref="W371">IF(Buildings_Heat_Frontend[[#This Row],[Data]]="","", _xlfn.XLOOKUP(Buildings_Heat_Backend[[#This Row],[Level 5]],rng_Level5Long,rng_Level6Long))</f>
        <v/>
      </c>
      <c r="X371" s="174" t="str">
        <f>IF(Buildings_Heat_Frontend[[#This Row],[Data]]="","", Buildings_Heat_Frontend[[#This Row],[Site Name]])</f>
        <v/>
      </c>
      <c r="Y371" s="174" t="str">
        <f>IF(Buildings_Heat_Frontend[[#This Row],[Data]]="","", Buildings_Heat_Frontend[[#This Row],[MPRN]])</f>
        <v/>
      </c>
      <c r="Z371" s="174" t="str">
        <f>IF(Buildings_Heat_Frontend[[#This Row],[Data]]="","", IF($I371="","",$I371))</f>
        <v/>
      </c>
      <c r="AA371" s="229" t="str" cm="1">
        <f t="array" ref="AA371">IF(Buildings_Heat_Frontend[[#This Row],[Data]]="","", INDEX(_xlfn.SWITCH(Buildings_Heat_Backend[[#This Row],[Methodology]],"Tier 1",rng_RSD1,"Tier 2",rng_RSD2,"Tier 3",rng_RSD3),MATCH(_xlfn.CONCAT(Buildings_Heat_Backend[[#This Row],[Level 1]:[Level 6]]),rng_LevelsConcat,0)))</f>
        <v/>
      </c>
      <c r="AB371" s="220" t="str">
        <f t="shared" si="16"/>
        <v/>
      </c>
      <c r="AC371" s="174">
        <f>Buildings_Heat_Frontend[[#This Row],[Units]]</f>
        <v>0</v>
      </c>
      <c r="AD37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1" s="174" t="str">
        <f>IF(Buildings_Heat_Frontend[[#This Row],[Data]]="","", _xlfn.XLOOKUP(_xlfn.CONCAT(Buildings_Heat_Backend[[#This Row],[Level 1]:[Level 6]]),rng_LevelsConcat,rng_UnitsLong))</f>
        <v/>
      </c>
      <c r="AF371" s="210" t="str">
        <f>IF(Buildings_Heat_Frontend[[#This Row],[Data]]="","", _xlfn.XLOOKUP(_xlfn.CONCAT(Buildings_Heat_Backend[[#This Row],[Level 1]:[Level 6]]),rng_EFConcat,rng_EF1)*Buildings_Heat_Backend[[#This Row],[Converted data]]/1000)</f>
        <v/>
      </c>
      <c r="AG371" s="210" t="str">
        <f>IF(Buildings_Heat_Frontend[[#This Row],[Data]]="","", _xlfn.XLOOKUP(_xlfn.CONCAT(Buildings_Heat_Backend[[#This Row],[Level 1]:[Level 6]]),rng_EFConcat,rng_EF2)*Buildings_Heat_Backend[[#This Row],[Converted data]]/1000)</f>
        <v/>
      </c>
      <c r="AH371" s="210" t="str">
        <f>IF(Buildings_Heat_Frontend[[#This Row],[Data]]="","", _xlfn.XLOOKUP(_xlfn.CONCAT(Buildings_Heat_Backend[[#This Row],[Level 1]:[Level 6]]),rng_EFConcat,rng_EF3)*Buildings_Heat_Backend[[#This Row],[Converted data]]/1000)</f>
        <v/>
      </c>
      <c r="AI371" s="210" t="str">
        <f>IF(Buildings_Heat_Frontend[[#This Row],[Data]]="","", _xlfn.XLOOKUP(_xlfn.CONCAT(Buildings_Heat_Backend[[#This Row],[Level 1]:[Level 6]]),rng_EFConcat,rng_EF3WTT)*Buildings_Heat_Backend[[#This Row],[Converted data]]/1000)</f>
        <v/>
      </c>
      <c r="AJ371" s="210" t="str">
        <f>IF(Buildings_Heat_Frontend[[#This Row],[Data]]="","", _xlfn.XLOOKUP(_xlfn.CONCAT(Buildings_Heat_Backend[[#This Row],[Level 1]:[Level 6]]),rng_EFConcat,rng_EF3TD)*Buildings_Heat_Backend[[#This Row],[Converted data]]/1000)</f>
        <v/>
      </c>
      <c r="AK371" s="210" t="str">
        <f>IF(Buildings_Heat_Frontend[[#This Row],[Data]]="","", _xlfn.XLOOKUP(_xlfn.CONCAT(Buildings_Heat_Backend[[#This Row],[Level 1]:[Level 6]]),rng_EFConcat,rng_EF3WTTTD)*Buildings_Heat_Backend[[#This Row],[Converted data]]/1000)</f>
        <v/>
      </c>
      <c r="AL371" s="220">
        <f>SUM(Buildings_Heat_Backend[[#This Row],[Scope 1 (tCO2e)]:[Scope 3 WTT T&amp;D (tCO2e)]])</f>
        <v>0</v>
      </c>
      <c r="AM371" s="220" t="str">
        <f>IF(Buildings_Heat_Frontend[[#This Row],[Data]]="","", Buildings_Heat_Backend[[#This Row],[Total (tCO2e)]]*(1-Buildings_Heat_Backend[[#This Row],[RSD]]))</f>
        <v/>
      </c>
      <c r="AN371" s="220" t="str">
        <f>IF(Buildings_Heat_Frontend[[#This Row],[Data]]="","", Buildings_Heat_Backend[[#This Row],[Total (tCO2e)]]*(1+Buildings_Heat_Backend[[#This Row],[RSD]]))</f>
        <v/>
      </c>
      <c r="AO371" s="210" t="str">
        <f>IF(Buildings_Heat_Frontend[[#This Row],[Data]]="","", _xlfn.XLOOKUP(_xlfn.CONCAT(Buildings_Heat_Backend[[#This Row],[Level 1]:[Level 6]]),rng_EFConcat,rng_EFOOS)*Buildings_Heat_Backend[[#This Row],[Converted data]]/1000)</f>
        <v/>
      </c>
      <c r="AP371" s="174">
        <f>Buildings_Heat_Frontend[[#This Row],[Ease of collection]]</f>
        <v>0</v>
      </c>
      <c r="AQ371" s="174">
        <f>Buildings_Heat_Frontend[[#This Row],[Completeness]]</f>
        <v>0</v>
      </c>
      <c r="AR371" s="174">
        <f>Buildings_Heat_Frontend[[#This Row],[Notes]]</f>
        <v>0</v>
      </c>
    </row>
    <row r="372" spans="5:44" x14ac:dyDescent="0.3">
      <c r="E372" s="346"/>
      <c r="F372" s="364"/>
      <c r="G372" s="336"/>
      <c r="H372" s="336"/>
      <c r="I372" s="336"/>
      <c r="J372" s="334"/>
      <c r="K372" s="336"/>
      <c r="L372" s="336"/>
      <c r="M372" s="336"/>
      <c r="N372" s="352"/>
      <c r="O372" s="230">
        <f t="shared" si="17"/>
        <v>6</v>
      </c>
      <c r="Q372" s="212" t="str">
        <f t="shared" si="15"/>
        <v/>
      </c>
      <c r="R372" s="174" t="s">
        <v>265</v>
      </c>
      <c r="S372" s="174" t="s">
        <v>273</v>
      </c>
      <c r="T372" s="174" t="str">
        <f>IF(Buildings_Heat_Frontend[[#This Row],[Data]]="","", _xlfn.XLOOKUP(Buildings_Heat_Backend[[#This Row],[Info 1]],Buildings_SiteInfo[Site name],Buildings_SiteInfo[Site type]))</f>
        <v/>
      </c>
      <c r="U372" s="174" t="str">
        <f>IF(Buildings_Heat_Frontend[[#This Row],[Data]]="","", Buildings_Heat_Frontend[[#This Row],[Heating Type]])</f>
        <v/>
      </c>
      <c r="V372" s="174" t="str">
        <f>IF(Buildings_Heat_Frontend[[#This Row],[Data]]="","", Buildings_Heat_Frontend[[#This Row],[Fuel]])</f>
        <v/>
      </c>
      <c r="W372" s="174" t="str" cm="1">
        <f t="array" ref="W372">IF(Buildings_Heat_Frontend[[#This Row],[Data]]="","", _xlfn.XLOOKUP(Buildings_Heat_Backend[[#This Row],[Level 5]],rng_Level5Long,rng_Level6Long))</f>
        <v/>
      </c>
      <c r="X372" s="174" t="str">
        <f>IF(Buildings_Heat_Frontend[[#This Row],[Data]]="","", Buildings_Heat_Frontend[[#This Row],[Site Name]])</f>
        <v/>
      </c>
      <c r="Y372" s="174" t="str">
        <f>IF(Buildings_Heat_Frontend[[#This Row],[Data]]="","", Buildings_Heat_Frontend[[#This Row],[MPRN]])</f>
        <v/>
      </c>
      <c r="Z372" s="174" t="str">
        <f>IF(Buildings_Heat_Frontend[[#This Row],[Data]]="","", IF($I372="","",$I372))</f>
        <v/>
      </c>
      <c r="AA372" s="229" t="str" cm="1">
        <f t="array" ref="AA372">IF(Buildings_Heat_Frontend[[#This Row],[Data]]="","", INDEX(_xlfn.SWITCH(Buildings_Heat_Backend[[#This Row],[Methodology]],"Tier 1",rng_RSD1,"Tier 2",rng_RSD2,"Tier 3",rng_RSD3),MATCH(_xlfn.CONCAT(Buildings_Heat_Backend[[#This Row],[Level 1]:[Level 6]]),rng_LevelsConcat,0)))</f>
        <v/>
      </c>
      <c r="AB372" s="220" t="str">
        <f t="shared" si="16"/>
        <v/>
      </c>
      <c r="AC372" s="174">
        <f>Buildings_Heat_Frontend[[#This Row],[Units]]</f>
        <v>0</v>
      </c>
      <c r="AD37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2" s="174" t="str">
        <f>IF(Buildings_Heat_Frontend[[#This Row],[Data]]="","", _xlfn.XLOOKUP(_xlfn.CONCAT(Buildings_Heat_Backend[[#This Row],[Level 1]:[Level 6]]),rng_LevelsConcat,rng_UnitsLong))</f>
        <v/>
      </c>
      <c r="AF372" s="210" t="str">
        <f>IF(Buildings_Heat_Frontend[[#This Row],[Data]]="","", _xlfn.XLOOKUP(_xlfn.CONCAT(Buildings_Heat_Backend[[#This Row],[Level 1]:[Level 6]]),rng_EFConcat,rng_EF1)*Buildings_Heat_Backend[[#This Row],[Converted data]]/1000)</f>
        <v/>
      </c>
      <c r="AG372" s="210" t="str">
        <f>IF(Buildings_Heat_Frontend[[#This Row],[Data]]="","", _xlfn.XLOOKUP(_xlfn.CONCAT(Buildings_Heat_Backend[[#This Row],[Level 1]:[Level 6]]),rng_EFConcat,rng_EF2)*Buildings_Heat_Backend[[#This Row],[Converted data]]/1000)</f>
        <v/>
      </c>
      <c r="AH372" s="210" t="str">
        <f>IF(Buildings_Heat_Frontend[[#This Row],[Data]]="","", _xlfn.XLOOKUP(_xlfn.CONCAT(Buildings_Heat_Backend[[#This Row],[Level 1]:[Level 6]]),rng_EFConcat,rng_EF3)*Buildings_Heat_Backend[[#This Row],[Converted data]]/1000)</f>
        <v/>
      </c>
      <c r="AI372" s="210" t="str">
        <f>IF(Buildings_Heat_Frontend[[#This Row],[Data]]="","", _xlfn.XLOOKUP(_xlfn.CONCAT(Buildings_Heat_Backend[[#This Row],[Level 1]:[Level 6]]),rng_EFConcat,rng_EF3WTT)*Buildings_Heat_Backend[[#This Row],[Converted data]]/1000)</f>
        <v/>
      </c>
      <c r="AJ372" s="210" t="str">
        <f>IF(Buildings_Heat_Frontend[[#This Row],[Data]]="","", _xlfn.XLOOKUP(_xlfn.CONCAT(Buildings_Heat_Backend[[#This Row],[Level 1]:[Level 6]]),rng_EFConcat,rng_EF3TD)*Buildings_Heat_Backend[[#This Row],[Converted data]]/1000)</f>
        <v/>
      </c>
      <c r="AK372" s="210" t="str">
        <f>IF(Buildings_Heat_Frontend[[#This Row],[Data]]="","", _xlfn.XLOOKUP(_xlfn.CONCAT(Buildings_Heat_Backend[[#This Row],[Level 1]:[Level 6]]),rng_EFConcat,rng_EF3WTTTD)*Buildings_Heat_Backend[[#This Row],[Converted data]]/1000)</f>
        <v/>
      </c>
      <c r="AL372" s="220">
        <f>SUM(Buildings_Heat_Backend[[#This Row],[Scope 1 (tCO2e)]:[Scope 3 WTT T&amp;D (tCO2e)]])</f>
        <v>0</v>
      </c>
      <c r="AM372" s="220" t="str">
        <f>IF(Buildings_Heat_Frontend[[#This Row],[Data]]="","", Buildings_Heat_Backend[[#This Row],[Total (tCO2e)]]*(1-Buildings_Heat_Backend[[#This Row],[RSD]]))</f>
        <v/>
      </c>
      <c r="AN372" s="220" t="str">
        <f>IF(Buildings_Heat_Frontend[[#This Row],[Data]]="","", Buildings_Heat_Backend[[#This Row],[Total (tCO2e)]]*(1+Buildings_Heat_Backend[[#This Row],[RSD]]))</f>
        <v/>
      </c>
      <c r="AO372" s="210" t="str">
        <f>IF(Buildings_Heat_Frontend[[#This Row],[Data]]="","", _xlfn.XLOOKUP(_xlfn.CONCAT(Buildings_Heat_Backend[[#This Row],[Level 1]:[Level 6]]),rng_EFConcat,rng_EFOOS)*Buildings_Heat_Backend[[#This Row],[Converted data]]/1000)</f>
        <v/>
      </c>
      <c r="AP372" s="174">
        <f>Buildings_Heat_Frontend[[#This Row],[Ease of collection]]</f>
        <v>0</v>
      </c>
      <c r="AQ372" s="174">
        <f>Buildings_Heat_Frontend[[#This Row],[Completeness]]</f>
        <v>0</v>
      </c>
      <c r="AR372" s="174">
        <f>Buildings_Heat_Frontend[[#This Row],[Notes]]</f>
        <v>0</v>
      </c>
    </row>
    <row r="373" spans="5:44" x14ac:dyDescent="0.3">
      <c r="E373" s="346"/>
      <c r="F373" s="364"/>
      <c r="G373" s="336"/>
      <c r="H373" s="336"/>
      <c r="I373" s="336"/>
      <c r="J373" s="334"/>
      <c r="K373" s="336"/>
      <c r="L373" s="336"/>
      <c r="M373" s="336"/>
      <c r="N373" s="352"/>
      <c r="O373" s="230">
        <f t="shared" si="17"/>
        <v>6</v>
      </c>
      <c r="Q373" s="212" t="str">
        <f t="shared" si="15"/>
        <v/>
      </c>
      <c r="R373" s="174" t="s">
        <v>265</v>
      </c>
      <c r="S373" s="174" t="s">
        <v>273</v>
      </c>
      <c r="T373" s="174" t="str">
        <f>IF(Buildings_Heat_Frontend[[#This Row],[Data]]="","", _xlfn.XLOOKUP(Buildings_Heat_Backend[[#This Row],[Info 1]],Buildings_SiteInfo[Site name],Buildings_SiteInfo[Site type]))</f>
        <v/>
      </c>
      <c r="U373" s="174" t="str">
        <f>IF(Buildings_Heat_Frontend[[#This Row],[Data]]="","", Buildings_Heat_Frontend[[#This Row],[Heating Type]])</f>
        <v/>
      </c>
      <c r="V373" s="174" t="str">
        <f>IF(Buildings_Heat_Frontend[[#This Row],[Data]]="","", Buildings_Heat_Frontend[[#This Row],[Fuel]])</f>
        <v/>
      </c>
      <c r="W373" s="174" t="str" cm="1">
        <f t="array" ref="W373">IF(Buildings_Heat_Frontend[[#This Row],[Data]]="","", _xlfn.XLOOKUP(Buildings_Heat_Backend[[#This Row],[Level 5]],rng_Level5Long,rng_Level6Long))</f>
        <v/>
      </c>
      <c r="X373" s="174" t="str">
        <f>IF(Buildings_Heat_Frontend[[#This Row],[Data]]="","", Buildings_Heat_Frontend[[#This Row],[Site Name]])</f>
        <v/>
      </c>
      <c r="Y373" s="174" t="str">
        <f>IF(Buildings_Heat_Frontend[[#This Row],[Data]]="","", Buildings_Heat_Frontend[[#This Row],[MPRN]])</f>
        <v/>
      </c>
      <c r="Z373" s="174" t="str">
        <f>IF(Buildings_Heat_Frontend[[#This Row],[Data]]="","", IF($I373="","",$I373))</f>
        <v/>
      </c>
      <c r="AA373" s="229" t="str" cm="1">
        <f t="array" ref="AA373">IF(Buildings_Heat_Frontend[[#This Row],[Data]]="","", INDEX(_xlfn.SWITCH(Buildings_Heat_Backend[[#This Row],[Methodology]],"Tier 1",rng_RSD1,"Tier 2",rng_RSD2,"Tier 3",rng_RSD3),MATCH(_xlfn.CONCAT(Buildings_Heat_Backend[[#This Row],[Level 1]:[Level 6]]),rng_LevelsConcat,0)))</f>
        <v/>
      </c>
      <c r="AB373" s="220" t="str">
        <f t="shared" si="16"/>
        <v/>
      </c>
      <c r="AC373" s="174">
        <f>Buildings_Heat_Frontend[[#This Row],[Units]]</f>
        <v>0</v>
      </c>
      <c r="AD37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3" s="174" t="str">
        <f>IF(Buildings_Heat_Frontend[[#This Row],[Data]]="","", _xlfn.XLOOKUP(_xlfn.CONCAT(Buildings_Heat_Backend[[#This Row],[Level 1]:[Level 6]]),rng_LevelsConcat,rng_UnitsLong))</f>
        <v/>
      </c>
      <c r="AF373" s="210" t="str">
        <f>IF(Buildings_Heat_Frontend[[#This Row],[Data]]="","", _xlfn.XLOOKUP(_xlfn.CONCAT(Buildings_Heat_Backend[[#This Row],[Level 1]:[Level 6]]),rng_EFConcat,rng_EF1)*Buildings_Heat_Backend[[#This Row],[Converted data]]/1000)</f>
        <v/>
      </c>
      <c r="AG373" s="210" t="str">
        <f>IF(Buildings_Heat_Frontend[[#This Row],[Data]]="","", _xlfn.XLOOKUP(_xlfn.CONCAT(Buildings_Heat_Backend[[#This Row],[Level 1]:[Level 6]]),rng_EFConcat,rng_EF2)*Buildings_Heat_Backend[[#This Row],[Converted data]]/1000)</f>
        <v/>
      </c>
      <c r="AH373" s="210" t="str">
        <f>IF(Buildings_Heat_Frontend[[#This Row],[Data]]="","", _xlfn.XLOOKUP(_xlfn.CONCAT(Buildings_Heat_Backend[[#This Row],[Level 1]:[Level 6]]),rng_EFConcat,rng_EF3)*Buildings_Heat_Backend[[#This Row],[Converted data]]/1000)</f>
        <v/>
      </c>
      <c r="AI373" s="210" t="str">
        <f>IF(Buildings_Heat_Frontend[[#This Row],[Data]]="","", _xlfn.XLOOKUP(_xlfn.CONCAT(Buildings_Heat_Backend[[#This Row],[Level 1]:[Level 6]]),rng_EFConcat,rng_EF3WTT)*Buildings_Heat_Backend[[#This Row],[Converted data]]/1000)</f>
        <v/>
      </c>
      <c r="AJ373" s="210" t="str">
        <f>IF(Buildings_Heat_Frontend[[#This Row],[Data]]="","", _xlfn.XLOOKUP(_xlfn.CONCAT(Buildings_Heat_Backend[[#This Row],[Level 1]:[Level 6]]),rng_EFConcat,rng_EF3TD)*Buildings_Heat_Backend[[#This Row],[Converted data]]/1000)</f>
        <v/>
      </c>
      <c r="AK373" s="210" t="str">
        <f>IF(Buildings_Heat_Frontend[[#This Row],[Data]]="","", _xlfn.XLOOKUP(_xlfn.CONCAT(Buildings_Heat_Backend[[#This Row],[Level 1]:[Level 6]]),rng_EFConcat,rng_EF3WTTTD)*Buildings_Heat_Backend[[#This Row],[Converted data]]/1000)</f>
        <v/>
      </c>
      <c r="AL373" s="220">
        <f>SUM(Buildings_Heat_Backend[[#This Row],[Scope 1 (tCO2e)]:[Scope 3 WTT T&amp;D (tCO2e)]])</f>
        <v>0</v>
      </c>
      <c r="AM373" s="220" t="str">
        <f>IF(Buildings_Heat_Frontend[[#This Row],[Data]]="","", Buildings_Heat_Backend[[#This Row],[Total (tCO2e)]]*(1-Buildings_Heat_Backend[[#This Row],[RSD]]))</f>
        <v/>
      </c>
      <c r="AN373" s="220" t="str">
        <f>IF(Buildings_Heat_Frontend[[#This Row],[Data]]="","", Buildings_Heat_Backend[[#This Row],[Total (tCO2e)]]*(1+Buildings_Heat_Backend[[#This Row],[RSD]]))</f>
        <v/>
      </c>
      <c r="AO373" s="210" t="str">
        <f>IF(Buildings_Heat_Frontend[[#This Row],[Data]]="","", _xlfn.XLOOKUP(_xlfn.CONCAT(Buildings_Heat_Backend[[#This Row],[Level 1]:[Level 6]]),rng_EFConcat,rng_EFOOS)*Buildings_Heat_Backend[[#This Row],[Converted data]]/1000)</f>
        <v/>
      </c>
      <c r="AP373" s="174">
        <f>Buildings_Heat_Frontend[[#This Row],[Ease of collection]]</f>
        <v>0</v>
      </c>
      <c r="AQ373" s="174">
        <f>Buildings_Heat_Frontend[[#This Row],[Completeness]]</f>
        <v>0</v>
      </c>
      <c r="AR373" s="174">
        <f>Buildings_Heat_Frontend[[#This Row],[Notes]]</f>
        <v>0</v>
      </c>
    </row>
    <row r="374" spans="5:44" x14ac:dyDescent="0.3">
      <c r="E374" s="346"/>
      <c r="F374" s="364"/>
      <c r="G374" s="336"/>
      <c r="H374" s="336"/>
      <c r="I374" s="336"/>
      <c r="J374" s="334"/>
      <c r="K374" s="336"/>
      <c r="L374" s="336"/>
      <c r="M374" s="336"/>
      <c r="N374" s="352"/>
      <c r="O374" s="230">
        <f t="shared" si="17"/>
        <v>6</v>
      </c>
      <c r="Q374" s="212" t="str">
        <f t="shared" si="15"/>
        <v/>
      </c>
      <c r="R374" s="174" t="s">
        <v>265</v>
      </c>
      <c r="S374" s="174" t="s">
        <v>273</v>
      </c>
      <c r="T374" s="174" t="str">
        <f>IF(Buildings_Heat_Frontend[[#This Row],[Data]]="","", _xlfn.XLOOKUP(Buildings_Heat_Backend[[#This Row],[Info 1]],Buildings_SiteInfo[Site name],Buildings_SiteInfo[Site type]))</f>
        <v/>
      </c>
      <c r="U374" s="174" t="str">
        <f>IF(Buildings_Heat_Frontend[[#This Row],[Data]]="","", Buildings_Heat_Frontend[[#This Row],[Heating Type]])</f>
        <v/>
      </c>
      <c r="V374" s="174" t="str">
        <f>IF(Buildings_Heat_Frontend[[#This Row],[Data]]="","", Buildings_Heat_Frontend[[#This Row],[Fuel]])</f>
        <v/>
      </c>
      <c r="W374" s="174" t="str" cm="1">
        <f t="array" ref="W374">IF(Buildings_Heat_Frontend[[#This Row],[Data]]="","", _xlfn.XLOOKUP(Buildings_Heat_Backend[[#This Row],[Level 5]],rng_Level5Long,rng_Level6Long))</f>
        <v/>
      </c>
      <c r="X374" s="174" t="str">
        <f>IF(Buildings_Heat_Frontend[[#This Row],[Data]]="","", Buildings_Heat_Frontend[[#This Row],[Site Name]])</f>
        <v/>
      </c>
      <c r="Y374" s="174" t="str">
        <f>IF(Buildings_Heat_Frontend[[#This Row],[Data]]="","", Buildings_Heat_Frontend[[#This Row],[MPRN]])</f>
        <v/>
      </c>
      <c r="Z374" s="174" t="str">
        <f>IF(Buildings_Heat_Frontend[[#This Row],[Data]]="","", IF($I374="","",$I374))</f>
        <v/>
      </c>
      <c r="AA374" s="229" t="str" cm="1">
        <f t="array" ref="AA374">IF(Buildings_Heat_Frontend[[#This Row],[Data]]="","", INDEX(_xlfn.SWITCH(Buildings_Heat_Backend[[#This Row],[Methodology]],"Tier 1",rng_RSD1,"Tier 2",rng_RSD2,"Tier 3",rng_RSD3),MATCH(_xlfn.CONCAT(Buildings_Heat_Backend[[#This Row],[Level 1]:[Level 6]]),rng_LevelsConcat,0)))</f>
        <v/>
      </c>
      <c r="AB374" s="220" t="str">
        <f t="shared" si="16"/>
        <v/>
      </c>
      <c r="AC374" s="174">
        <f>Buildings_Heat_Frontend[[#This Row],[Units]]</f>
        <v>0</v>
      </c>
      <c r="AD37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4" s="174" t="str">
        <f>IF(Buildings_Heat_Frontend[[#This Row],[Data]]="","", _xlfn.XLOOKUP(_xlfn.CONCAT(Buildings_Heat_Backend[[#This Row],[Level 1]:[Level 6]]),rng_LevelsConcat,rng_UnitsLong))</f>
        <v/>
      </c>
      <c r="AF374" s="210" t="str">
        <f>IF(Buildings_Heat_Frontend[[#This Row],[Data]]="","", _xlfn.XLOOKUP(_xlfn.CONCAT(Buildings_Heat_Backend[[#This Row],[Level 1]:[Level 6]]),rng_EFConcat,rng_EF1)*Buildings_Heat_Backend[[#This Row],[Converted data]]/1000)</f>
        <v/>
      </c>
      <c r="AG374" s="210" t="str">
        <f>IF(Buildings_Heat_Frontend[[#This Row],[Data]]="","", _xlfn.XLOOKUP(_xlfn.CONCAT(Buildings_Heat_Backend[[#This Row],[Level 1]:[Level 6]]),rng_EFConcat,rng_EF2)*Buildings_Heat_Backend[[#This Row],[Converted data]]/1000)</f>
        <v/>
      </c>
      <c r="AH374" s="210" t="str">
        <f>IF(Buildings_Heat_Frontend[[#This Row],[Data]]="","", _xlfn.XLOOKUP(_xlfn.CONCAT(Buildings_Heat_Backend[[#This Row],[Level 1]:[Level 6]]),rng_EFConcat,rng_EF3)*Buildings_Heat_Backend[[#This Row],[Converted data]]/1000)</f>
        <v/>
      </c>
      <c r="AI374" s="210" t="str">
        <f>IF(Buildings_Heat_Frontend[[#This Row],[Data]]="","", _xlfn.XLOOKUP(_xlfn.CONCAT(Buildings_Heat_Backend[[#This Row],[Level 1]:[Level 6]]),rng_EFConcat,rng_EF3WTT)*Buildings_Heat_Backend[[#This Row],[Converted data]]/1000)</f>
        <v/>
      </c>
      <c r="AJ374" s="210" t="str">
        <f>IF(Buildings_Heat_Frontend[[#This Row],[Data]]="","", _xlfn.XLOOKUP(_xlfn.CONCAT(Buildings_Heat_Backend[[#This Row],[Level 1]:[Level 6]]),rng_EFConcat,rng_EF3TD)*Buildings_Heat_Backend[[#This Row],[Converted data]]/1000)</f>
        <v/>
      </c>
      <c r="AK374" s="210" t="str">
        <f>IF(Buildings_Heat_Frontend[[#This Row],[Data]]="","", _xlfn.XLOOKUP(_xlfn.CONCAT(Buildings_Heat_Backend[[#This Row],[Level 1]:[Level 6]]),rng_EFConcat,rng_EF3WTTTD)*Buildings_Heat_Backend[[#This Row],[Converted data]]/1000)</f>
        <v/>
      </c>
      <c r="AL374" s="220">
        <f>SUM(Buildings_Heat_Backend[[#This Row],[Scope 1 (tCO2e)]:[Scope 3 WTT T&amp;D (tCO2e)]])</f>
        <v>0</v>
      </c>
      <c r="AM374" s="220" t="str">
        <f>IF(Buildings_Heat_Frontend[[#This Row],[Data]]="","", Buildings_Heat_Backend[[#This Row],[Total (tCO2e)]]*(1-Buildings_Heat_Backend[[#This Row],[RSD]]))</f>
        <v/>
      </c>
      <c r="AN374" s="220" t="str">
        <f>IF(Buildings_Heat_Frontend[[#This Row],[Data]]="","", Buildings_Heat_Backend[[#This Row],[Total (tCO2e)]]*(1+Buildings_Heat_Backend[[#This Row],[RSD]]))</f>
        <v/>
      </c>
      <c r="AO374" s="210" t="str">
        <f>IF(Buildings_Heat_Frontend[[#This Row],[Data]]="","", _xlfn.XLOOKUP(_xlfn.CONCAT(Buildings_Heat_Backend[[#This Row],[Level 1]:[Level 6]]),rng_EFConcat,rng_EFOOS)*Buildings_Heat_Backend[[#This Row],[Converted data]]/1000)</f>
        <v/>
      </c>
      <c r="AP374" s="174">
        <f>Buildings_Heat_Frontend[[#This Row],[Ease of collection]]</f>
        <v>0</v>
      </c>
      <c r="AQ374" s="174">
        <f>Buildings_Heat_Frontend[[#This Row],[Completeness]]</f>
        <v>0</v>
      </c>
      <c r="AR374" s="174">
        <f>Buildings_Heat_Frontend[[#This Row],[Notes]]</f>
        <v>0</v>
      </c>
    </row>
    <row r="375" spans="5:44" x14ac:dyDescent="0.3">
      <c r="E375" s="346"/>
      <c r="F375" s="364"/>
      <c r="G375" s="336"/>
      <c r="H375" s="336"/>
      <c r="I375" s="336"/>
      <c r="J375" s="334"/>
      <c r="K375" s="336"/>
      <c r="L375" s="336"/>
      <c r="M375" s="336"/>
      <c r="N375" s="352"/>
      <c r="O375" s="230">
        <f t="shared" si="17"/>
        <v>6</v>
      </c>
      <c r="Q375" s="212" t="str">
        <f t="shared" si="15"/>
        <v/>
      </c>
      <c r="R375" s="174" t="s">
        <v>265</v>
      </c>
      <c r="S375" s="174" t="s">
        <v>273</v>
      </c>
      <c r="T375" s="174" t="str">
        <f>IF(Buildings_Heat_Frontend[[#This Row],[Data]]="","", _xlfn.XLOOKUP(Buildings_Heat_Backend[[#This Row],[Info 1]],Buildings_SiteInfo[Site name],Buildings_SiteInfo[Site type]))</f>
        <v/>
      </c>
      <c r="U375" s="174" t="str">
        <f>IF(Buildings_Heat_Frontend[[#This Row],[Data]]="","", Buildings_Heat_Frontend[[#This Row],[Heating Type]])</f>
        <v/>
      </c>
      <c r="V375" s="174" t="str">
        <f>IF(Buildings_Heat_Frontend[[#This Row],[Data]]="","", Buildings_Heat_Frontend[[#This Row],[Fuel]])</f>
        <v/>
      </c>
      <c r="W375" s="174" t="str" cm="1">
        <f t="array" ref="W375">IF(Buildings_Heat_Frontend[[#This Row],[Data]]="","", _xlfn.XLOOKUP(Buildings_Heat_Backend[[#This Row],[Level 5]],rng_Level5Long,rng_Level6Long))</f>
        <v/>
      </c>
      <c r="X375" s="174" t="str">
        <f>IF(Buildings_Heat_Frontend[[#This Row],[Data]]="","", Buildings_Heat_Frontend[[#This Row],[Site Name]])</f>
        <v/>
      </c>
      <c r="Y375" s="174" t="str">
        <f>IF(Buildings_Heat_Frontend[[#This Row],[Data]]="","", Buildings_Heat_Frontend[[#This Row],[MPRN]])</f>
        <v/>
      </c>
      <c r="Z375" s="174" t="str">
        <f>IF(Buildings_Heat_Frontend[[#This Row],[Data]]="","", IF($I375="","",$I375))</f>
        <v/>
      </c>
      <c r="AA375" s="229" t="str" cm="1">
        <f t="array" ref="AA375">IF(Buildings_Heat_Frontend[[#This Row],[Data]]="","", INDEX(_xlfn.SWITCH(Buildings_Heat_Backend[[#This Row],[Methodology]],"Tier 1",rng_RSD1,"Tier 2",rng_RSD2,"Tier 3",rng_RSD3),MATCH(_xlfn.CONCAT(Buildings_Heat_Backend[[#This Row],[Level 1]:[Level 6]]),rng_LevelsConcat,0)))</f>
        <v/>
      </c>
      <c r="AB375" s="220" t="str">
        <f t="shared" si="16"/>
        <v/>
      </c>
      <c r="AC375" s="174">
        <f>Buildings_Heat_Frontend[[#This Row],[Units]]</f>
        <v>0</v>
      </c>
      <c r="AD37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5" s="174" t="str">
        <f>IF(Buildings_Heat_Frontend[[#This Row],[Data]]="","", _xlfn.XLOOKUP(_xlfn.CONCAT(Buildings_Heat_Backend[[#This Row],[Level 1]:[Level 6]]),rng_LevelsConcat,rng_UnitsLong))</f>
        <v/>
      </c>
      <c r="AF375" s="210" t="str">
        <f>IF(Buildings_Heat_Frontend[[#This Row],[Data]]="","", _xlfn.XLOOKUP(_xlfn.CONCAT(Buildings_Heat_Backend[[#This Row],[Level 1]:[Level 6]]),rng_EFConcat,rng_EF1)*Buildings_Heat_Backend[[#This Row],[Converted data]]/1000)</f>
        <v/>
      </c>
      <c r="AG375" s="210" t="str">
        <f>IF(Buildings_Heat_Frontend[[#This Row],[Data]]="","", _xlfn.XLOOKUP(_xlfn.CONCAT(Buildings_Heat_Backend[[#This Row],[Level 1]:[Level 6]]),rng_EFConcat,rng_EF2)*Buildings_Heat_Backend[[#This Row],[Converted data]]/1000)</f>
        <v/>
      </c>
      <c r="AH375" s="210" t="str">
        <f>IF(Buildings_Heat_Frontend[[#This Row],[Data]]="","", _xlfn.XLOOKUP(_xlfn.CONCAT(Buildings_Heat_Backend[[#This Row],[Level 1]:[Level 6]]),rng_EFConcat,rng_EF3)*Buildings_Heat_Backend[[#This Row],[Converted data]]/1000)</f>
        <v/>
      </c>
      <c r="AI375" s="210" t="str">
        <f>IF(Buildings_Heat_Frontend[[#This Row],[Data]]="","", _xlfn.XLOOKUP(_xlfn.CONCAT(Buildings_Heat_Backend[[#This Row],[Level 1]:[Level 6]]),rng_EFConcat,rng_EF3WTT)*Buildings_Heat_Backend[[#This Row],[Converted data]]/1000)</f>
        <v/>
      </c>
      <c r="AJ375" s="210" t="str">
        <f>IF(Buildings_Heat_Frontend[[#This Row],[Data]]="","", _xlfn.XLOOKUP(_xlfn.CONCAT(Buildings_Heat_Backend[[#This Row],[Level 1]:[Level 6]]),rng_EFConcat,rng_EF3TD)*Buildings_Heat_Backend[[#This Row],[Converted data]]/1000)</f>
        <v/>
      </c>
      <c r="AK375" s="210" t="str">
        <f>IF(Buildings_Heat_Frontend[[#This Row],[Data]]="","", _xlfn.XLOOKUP(_xlfn.CONCAT(Buildings_Heat_Backend[[#This Row],[Level 1]:[Level 6]]),rng_EFConcat,rng_EF3WTTTD)*Buildings_Heat_Backend[[#This Row],[Converted data]]/1000)</f>
        <v/>
      </c>
      <c r="AL375" s="220">
        <f>SUM(Buildings_Heat_Backend[[#This Row],[Scope 1 (tCO2e)]:[Scope 3 WTT T&amp;D (tCO2e)]])</f>
        <v>0</v>
      </c>
      <c r="AM375" s="220" t="str">
        <f>IF(Buildings_Heat_Frontend[[#This Row],[Data]]="","", Buildings_Heat_Backend[[#This Row],[Total (tCO2e)]]*(1-Buildings_Heat_Backend[[#This Row],[RSD]]))</f>
        <v/>
      </c>
      <c r="AN375" s="220" t="str">
        <f>IF(Buildings_Heat_Frontend[[#This Row],[Data]]="","", Buildings_Heat_Backend[[#This Row],[Total (tCO2e)]]*(1+Buildings_Heat_Backend[[#This Row],[RSD]]))</f>
        <v/>
      </c>
      <c r="AO375" s="210" t="str">
        <f>IF(Buildings_Heat_Frontend[[#This Row],[Data]]="","", _xlfn.XLOOKUP(_xlfn.CONCAT(Buildings_Heat_Backend[[#This Row],[Level 1]:[Level 6]]),rng_EFConcat,rng_EFOOS)*Buildings_Heat_Backend[[#This Row],[Converted data]]/1000)</f>
        <v/>
      </c>
      <c r="AP375" s="174">
        <f>Buildings_Heat_Frontend[[#This Row],[Ease of collection]]</f>
        <v>0</v>
      </c>
      <c r="AQ375" s="174">
        <f>Buildings_Heat_Frontend[[#This Row],[Completeness]]</f>
        <v>0</v>
      </c>
      <c r="AR375" s="174">
        <f>Buildings_Heat_Frontend[[#This Row],[Notes]]</f>
        <v>0</v>
      </c>
    </row>
    <row r="376" spans="5:44" x14ac:dyDescent="0.3">
      <c r="E376" s="346"/>
      <c r="F376" s="364"/>
      <c r="G376" s="336"/>
      <c r="H376" s="336"/>
      <c r="I376" s="336"/>
      <c r="J376" s="334"/>
      <c r="K376" s="336"/>
      <c r="L376" s="336"/>
      <c r="M376" s="336"/>
      <c r="N376" s="352"/>
      <c r="O376" s="230">
        <f t="shared" si="17"/>
        <v>6</v>
      </c>
      <c r="Q376" s="212" t="str">
        <f t="shared" si="15"/>
        <v/>
      </c>
      <c r="R376" s="174" t="s">
        <v>265</v>
      </c>
      <c r="S376" s="174" t="s">
        <v>273</v>
      </c>
      <c r="T376" s="174" t="str">
        <f>IF(Buildings_Heat_Frontend[[#This Row],[Data]]="","", _xlfn.XLOOKUP(Buildings_Heat_Backend[[#This Row],[Info 1]],Buildings_SiteInfo[Site name],Buildings_SiteInfo[Site type]))</f>
        <v/>
      </c>
      <c r="U376" s="174" t="str">
        <f>IF(Buildings_Heat_Frontend[[#This Row],[Data]]="","", Buildings_Heat_Frontend[[#This Row],[Heating Type]])</f>
        <v/>
      </c>
      <c r="V376" s="174" t="str">
        <f>IF(Buildings_Heat_Frontend[[#This Row],[Data]]="","", Buildings_Heat_Frontend[[#This Row],[Fuel]])</f>
        <v/>
      </c>
      <c r="W376" s="174" t="str" cm="1">
        <f t="array" ref="W376">IF(Buildings_Heat_Frontend[[#This Row],[Data]]="","", _xlfn.XLOOKUP(Buildings_Heat_Backend[[#This Row],[Level 5]],rng_Level5Long,rng_Level6Long))</f>
        <v/>
      </c>
      <c r="X376" s="174" t="str">
        <f>IF(Buildings_Heat_Frontend[[#This Row],[Data]]="","", Buildings_Heat_Frontend[[#This Row],[Site Name]])</f>
        <v/>
      </c>
      <c r="Y376" s="174" t="str">
        <f>IF(Buildings_Heat_Frontend[[#This Row],[Data]]="","", Buildings_Heat_Frontend[[#This Row],[MPRN]])</f>
        <v/>
      </c>
      <c r="Z376" s="174" t="str">
        <f>IF(Buildings_Heat_Frontend[[#This Row],[Data]]="","", IF($I376="","",$I376))</f>
        <v/>
      </c>
      <c r="AA376" s="229" t="str" cm="1">
        <f t="array" ref="AA376">IF(Buildings_Heat_Frontend[[#This Row],[Data]]="","", INDEX(_xlfn.SWITCH(Buildings_Heat_Backend[[#This Row],[Methodology]],"Tier 1",rng_RSD1,"Tier 2",rng_RSD2,"Tier 3",rng_RSD3),MATCH(_xlfn.CONCAT(Buildings_Heat_Backend[[#This Row],[Level 1]:[Level 6]]),rng_LevelsConcat,0)))</f>
        <v/>
      </c>
      <c r="AB376" s="220" t="str">
        <f t="shared" si="16"/>
        <v/>
      </c>
      <c r="AC376" s="174">
        <f>Buildings_Heat_Frontend[[#This Row],[Units]]</f>
        <v>0</v>
      </c>
      <c r="AD37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6" s="174" t="str">
        <f>IF(Buildings_Heat_Frontend[[#This Row],[Data]]="","", _xlfn.XLOOKUP(_xlfn.CONCAT(Buildings_Heat_Backend[[#This Row],[Level 1]:[Level 6]]),rng_LevelsConcat,rng_UnitsLong))</f>
        <v/>
      </c>
      <c r="AF376" s="210" t="str">
        <f>IF(Buildings_Heat_Frontend[[#This Row],[Data]]="","", _xlfn.XLOOKUP(_xlfn.CONCAT(Buildings_Heat_Backend[[#This Row],[Level 1]:[Level 6]]),rng_EFConcat,rng_EF1)*Buildings_Heat_Backend[[#This Row],[Converted data]]/1000)</f>
        <v/>
      </c>
      <c r="AG376" s="210" t="str">
        <f>IF(Buildings_Heat_Frontend[[#This Row],[Data]]="","", _xlfn.XLOOKUP(_xlfn.CONCAT(Buildings_Heat_Backend[[#This Row],[Level 1]:[Level 6]]),rng_EFConcat,rng_EF2)*Buildings_Heat_Backend[[#This Row],[Converted data]]/1000)</f>
        <v/>
      </c>
      <c r="AH376" s="210" t="str">
        <f>IF(Buildings_Heat_Frontend[[#This Row],[Data]]="","", _xlfn.XLOOKUP(_xlfn.CONCAT(Buildings_Heat_Backend[[#This Row],[Level 1]:[Level 6]]),rng_EFConcat,rng_EF3)*Buildings_Heat_Backend[[#This Row],[Converted data]]/1000)</f>
        <v/>
      </c>
      <c r="AI376" s="210" t="str">
        <f>IF(Buildings_Heat_Frontend[[#This Row],[Data]]="","", _xlfn.XLOOKUP(_xlfn.CONCAT(Buildings_Heat_Backend[[#This Row],[Level 1]:[Level 6]]),rng_EFConcat,rng_EF3WTT)*Buildings_Heat_Backend[[#This Row],[Converted data]]/1000)</f>
        <v/>
      </c>
      <c r="AJ376" s="210" t="str">
        <f>IF(Buildings_Heat_Frontend[[#This Row],[Data]]="","", _xlfn.XLOOKUP(_xlfn.CONCAT(Buildings_Heat_Backend[[#This Row],[Level 1]:[Level 6]]),rng_EFConcat,rng_EF3TD)*Buildings_Heat_Backend[[#This Row],[Converted data]]/1000)</f>
        <v/>
      </c>
      <c r="AK376" s="210" t="str">
        <f>IF(Buildings_Heat_Frontend[[#This Row],[Data]]="","", _xlfn.XLOOKUP(_xlfn.CONCAT(Buildings_Heat_Backend[[#This Row],[Level 1]:[Level 6]]),rng_EFConcat,rng_EF3WTTTD)*Buildings_Heat_Backend[[#This Row],[Converted data]]/1000)</f>
        <v/>
      </c>
      <c r="AL376" s="220">
        <f>SUM(Buildings_Heat_Backend[[#This Row],[Scope 1 (tCO2e)]:[Scope 3 WTT T&amp;D (tCO2e)]])</f>
        <v>0</v>
      </c>
      <c r="AM376" s="220" t="str">
        <f>IF(Buildings_Heat_Frontend[[#This Row],[Data]]="","", Buildings_Heat_Backend[[#This Row],[Total (tCO2e)]]*(1-Buildings_Heat_Backend[[#This Row],[RSD]]))</f>
        <v/>
      </c>
      <c r="AN376" s="220" t="str">
        <f>IF(Buildings_Heat_Frontend[[#This Row],[Data]]="","", Buildings_Heat_Backend[[#This Row],[Total (tCO2e)]]*(1+Buildings_Heat_Backend[[#This Row],[RSD]]))</f>
        <v/>
      </c>
      <c r="AO376" s="210" t="str">
        <f>IF(Buildings_Heat_Frontend[[#This Row],[Data]]="","", _xlfn.XLOOKUP(_xlfn.CONCAT(Buildings_Heat_Backend[[#This Row],[Level 1]:[Level 6]]),rng_EFConcat,rng_EFOOS)*Buildings_Heat_Backend[[#This Row],[Converted data]]/1000)</f>
        <v/>
      </c>
      <c r="AP376" s="174">
        <f>Buildings_Heat_Frontend[[#This Row],[Ease of collection]]</f>
        <v>0</v>
      </c>
      <c r="AQ376" s="174">
        <f>Buildings_Heat_Frontend[[#This Row],[Completeness]]</f>
        <v>0</v>
      </c>
      <c r="AR376" s="174">
        <f>Buildings_Heat_Frontend[[#This Row],[Notes]]</f>
        <v>0</v>
      </c>
    </row>
    <row r="377" spans="5:44" x14ac:dyDescent="0.3">
      <c r="E377" s="346"/>
      <c r="F377" s="364"/>
      <c r="G377" s="336"/>
      <c r="H377" s="336"/>
      <c r="I377" s="336"/>
      <c r="J377" s="334"/>
      <c r="K377" s="336"/>
      <c r="L377" s="336"/>
      <c r="M377" s="336"/>
      <c r="N377" s="352"/>
      <c r="O377" s="230">
        <f t="shared" si="17"/>
        <v>6</v>
      </c>
      <c r="Q377" s="212" t="str">
        <f t="shared" si="15"/>
        <v/>
      </c>
      <c r="R377" s="174" t="s">
        <v>265</v>
      </c>
      <c r="S377" s="174" t="s">
        <v>273</v>
      </c>
      <c r="T377" s="174" t="str">
        <f>IF(Buildings_Heat_Frontend[[#This Row],[Data]]="","", _xlfn.XLOOKUP(Buildings_Heat_Backend[[#This Row],[Info 1]],Buildings_SiteInfo[Site name],Buildings_SiteInfo[Site type]))</f>
        <v/>
      </c>
      <c r="U377" s="174" t="str">
        <f>IF(Buildings_Heat_Frontend[[#This Row],[Data]]="","", Buildings_Heat_Frontend[[#This Row],[Heating Type]])</f>
        <v/>
      </c>
      <c r="V377" s="174" t="str">
        <f>IF(Buildings_Heat_Frontend[[#This Row],[Data]]="","", Buildings_Heat_Frontend[[#This Row],[Fuel]])</f>
        <v/>
      </c>
      <c r="W377" s="174" t="str" cm="1">
        <f t="array" ref="W377">IF(Buildings_Heat_Frontend[[#This Row],[Data]]="","", _xlfn.XLOOKUP(Buildings_Heat_Backend[[#This Row],[Level 5]],rng_Level5Long,rng_Level6Long))</f>
        <v/>
      </c>
      <c r="X377" s="174" t="str">
        <f>IF(Buildings_Heat_Frontend[[#This Row],[Data]]="","", Buildings_Heat_Frontend[[#This Row],[Site Name]])</f>
        <v/>
      </c>
      <c r="Y377" s="174" t="str">
        <f>IF(Buildings_Heat_Frontend[[#This Row],[Data]]="","", Buildings_Heat_Frontend[[#This Row],[MPRN]])</f>
        <v/>
      </c>
      <c r="Z377" s="174" t="str">
        <f>IF(Buildings_Heat_Frontend[[#This Row],[Data]]="","", IF($I377="","",$I377))</f>
        <v/>
      </c>
      <c r="AA377" s="229" t="str" cm="1">
        <f t="array" ref="AA377">IF(Buildings_Heat_Frontend[[#This Row],[Data]]="","", INDEX(_xlfn.SWITCH(Buildings_Heat_Backend[[#This Row],[Methodology]],"Tier 1",rng_RSD1,"Tier 2",rng_RSD2,"Tier 3",rng_RSD3),MATCH(_xlfn.CONCAT(Buildings_Heat_Backend[[#This Row],[Level 1]:[Level 6]]),rng_LevelsConcat,0)))</f>
        <v/>
      </c>
      <c r="AB377" s="220" t="str">
        <f t="shared" si="16"/>
        <v/>
      </c>
      <c r="AC377" s="174">
        <f>Buildings_Heat_Frontend[[#This Row],[Units]]</f>
        <v>0</v>
      </c>
      <c r="AD37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7" s="174" t="str">
        <f>IF(Buildings_Heat_Frontend[[#This Row],[Data]]="","", _xlfn.XLOOKUP(_xlfn.CONCAT(Buildings_Heat_Backend[[#This Row],[Level 1]:[Level 6]]),rng_LevelsConcat,rng_UnitsLong))</f>
        <v/>
      </c>
      <c r="AF377" s="210" t="str">
        <f>IF(Buildings_Heat_Frontend[[#This Row],[Data]]="","", _xlfn.XLOOKUP(_xlfn.CONCAT(Buildings_Heat_Backend[[#This Row],[Level 1]:[Level 6]]),rng_EFConcat,rng_EF1)*Buildings_Heat_Backend[[#This Row],[Converted data]]/1000)</f>
        <v/>
      </c>
      <c r="AG377" s="210" t="str">
        <f>IF(Buildings_Heat_Frontend[[#This Row],[Data]]="","", _xlfn.XLOOKUP(_xlfn.CONCAT(Buildings_Heat_Backend[[#This Row],[Level 1]:[Level 6]]),rng_EFConcat,rng_EF2)*Buildings_Heat_Backend[[#This Row],[Converted data]]/1000)</f>
        <v/>
      </c>
      <c r="AH377" s="210" t="str">
        <f>IF(Buildings_Heat_Frontend[[#This Row],[Data]]="","", _xlfn.XLOOKUP(_xlfn.CONCAT(Buildings_Heat_Backend[[#This Row],[Level 1]:[Level 6]]),rng_EFConcat,rng_EF3)*Buildings_Heat_Backend[[#This Row],[Converted data]]/1000)</f>
        <v/>
      </c>
      <c r="AI377" s="210" t="str">
        <f>IF(Buildings_Heat_Frontend[[#This Row],[Data]]="","", _xlfn.XLOOKUP(_xlfn.CONCAT(Buildings_Heat_Backend[[#This Row],[Level 1]:[Level 6]]),rng_EFConcat,rng_EF3WTT)*Buildings_Heat_Backend[[#This Row],[Converted data]]/1000)</f>
        <v/>
      </c>
      <c r="AJ377" s="210" t="str">
        <f>IF(Buildings_Heat_Frontend[[#This Row],[Data]]="","", _xlfn.XLOOKUP(_xlfn.CONCAT(Buildings_Heat_Backend[[#This Row],[Level 1]:[Level 6]]),rng_EFConcat,rng_EF3TD)*Buildings_Heat_Backend[[#This Row],[Converted data]]/1000)</f>
        <v/>
      </c>
      <c r="AK377" s="210" t="str">
        <f>IF(Buildings_Heat_Frontend[[#This Row],[Data]]="","", _xlfn.XLOOKUP(_xlfn.CONCAT(Buildings_Heat_Backend[[#This Row],[Level 1]:[Level 6]]),rng_EFConcat,rng_EF3WTTTD)*Buildings_Heat_Backend[[#This Row],[Converted data]]/1000)</f>
        <v/>
      </c>
      <c r="AL377" s="220">
        <f>SUM(Buildings_Heat_Backend[[#This Row],[Scope 1 (tCO2e)]:[Scope 3 WTT T&amp;D (tCO2e)]])</f>
        <v>0</v>
      </c>
      <c r="AM377" s="220" t="str">
        <f>IF(Buildings_Heat_Frontend[[#This Row],[Data]]="","", Buildings_Heat_Backend[[#This Row],[Total (tCO2e)]]*(1-Buildings_Heat_Backend[[#This Row],[RSD]]))</f>
        <v/>
      </c>
      <c r="AN377" s="220" t="str">
        <f>IF(Buildings_Heat_Frontend[[#This Row],[Data]]="","", Buildings_Heat_Backend[[#This Row],[Total (tCO2e)]]*(1+Buildings_Heat_Backend[[#This Row],[RSD]]))</f>
        <v/>
      </c>
      <c r="AO377" s="210" t="str">
        <f>IF(Buildings_Heat_Frontend[[#This Row],[Data]]="","", _xlfn.XLOOKUP(_xlfn.CONCAT(Buildings_Heat_Backend[[#This Row],[Level 1]:[Level 6]]),rng_EFConcat,rng_EFOOS)*Buildings_Heat_Backend[[#This Row],[Converted data]]/1000)</f>
        <v/>
      </c>
      <c r="AP377" s="174">
        <f>Buildings_Heat_Frontend[[#This Row],[Ease of collection]]</f>
        <v>0</v>
      </c>
      <c r="AQ377" s="174">
        <f>Buildings_Heat_Frontend[[#This Row],[Completeness]]</f>
        <v>0</v>
      </c>
      <c r="AR377" s="174">
        <f>Buildings_Heat_Frontend[[#This Row],[Notes]]</f>
        <v>0</v>
      </c>
    </row>
    <row r="378" spans="5:44" x14ac:dyDescent="0.3">
      <c r="E378" s="346"/>
      <c r="F378" s="364"/>
      <c r="G378" s="336"/>
      <c r="H378" s="336"/>
      <c r="I378" s="336"/>
      <c r="J378" s="334"/>
      <c r="K378" s="336"/>
      <c r="L378" s="336"/>
      <c r="M378" s="336"/>
      <c r="N378" s="352"/>
      <c r="O378" s="230">
        <f t="shared" si="17"/>
        <v>6</v>
      </c>
      <c r="Q378" s="212" t="str">
        <f t="shared" si="15"/>
        <v/>
      </c>
      <c r="R378" s="174" t="s">
        <v>265</v>
      </c>
      <c r="S378" s="174" t="s">
        <v>273</v>
      </c>
      <c r="T378" s="174" t="str">
        <f>IF(Buildings_Heat_Frontend[[#This Row],[Data]]="","", _xlfn.XLOOKUP(Buildings_Heat_Backend[[#This Row],[Info 1]],Buildings_SiteInfo[Site name],Buildings_SiteInfo[Site type]))</f>
        <v/>
      </c>
      <c r="U378" s="174" t="str">
        <f>IF(Buildings_Heat_Frontend[[#This Row],[Data]]="","", Buildings_Heat_Frontend[[#This Row],[Heating Type]])</f>
        <v/>
      </c>
      <c r="V378" s="174" t="str">
        <f>IF(Buildings_Heat_Frontend[[#This Row],[Data]]="","", Buildings_Heat_Frontend[[#This Row],[Fuel]])</f>
        <v/>
      </c>
      <c r="W378" s="174" t="str" cm="1">
        <f t="array" ref="W378">IF(Buildings_Heat_Frontend[[#This Row],[Data]]="","", _xlfn.XLOOKUP(Buildings_Heat_Backend[[#This Row],[Level 5]],rng_Level5Long,rng_Level6Long))</f>
        <v/>
      </c>
      <c r="X378" s="174" t="str">
        <f>IF(Buildings_Heat_Frontend[[#This Row],[Data]]="","", Buildings_Heat_Frontend[[#This Row],[Site Name]])</f>
        <v/>
      </c>
      <c r="Y378" s="174" t="str">
        <f>IF(Buildings_Heat_Frontend[[#This Row],[Data]]="","", Buildings_Heat_Frontend[[#This Row],[MPRN]])</f>
        <v/>
      </c>
      <c r="Z378" s="174" t="str">
        <f>IF(Buildings_Heat_Frontend[[#This Row],[Data]]="","", IF($I378="","",$I378))</f>
        <v/>
      </c>
      <c r="AA378" s="229" t="str" cm="1">
        <f t="array" ref="AA378">IF(Buildings_Heat_Frontend[[#This Row],[Data]]="","", INDEX(_xlfn.SWITCH(Buildings_Heat_Backend[[#This Row],[Methodology]],"Tier 1",rng_RSD1,"Tier 2",rng_RSD2,"Tier 3",rng_RSD3),MATCH(_xlfn.CONCAT(Buildings_Heat_Backend[[#This Row],[Level 1]:[Level 6]]),rng_LevelsConcat,0)))</f>
        <v/>
      </c>
      <c r="AB378" s="220" t="str">
        <f t="shared" si="16"/>
        <v/>
      </c>
      <c r="AC378" s="174">
        <f>Buildings_Heat_Frontend[[#This Row],[Units]]</f>
        <v>0</v>
      </c>
      <c r="AD37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8" s="174" t="str">
        <f>IF(Buildings_Heat_Frontend[[#This Row],[Data]]="","", _xlfn.XLOOKUP(_xlfn.CONCAT(Buildings_Heat_Backend[[#This Row],[Level 1]:[Level 6]]),rng_LevelsConcat,rng_UnitsLong))</f>
        <v/>
      </c>
      <c r="AF378" s="210" t="str">
        <f>IF(Buildings_Heat_Frontend[[#This Row],[Data]]="","", _xlfn.XLOOKUP(_xlfn.CONCAT(Buildings_Heat_Backend[[#This Row],[Level 1]:[Level 6]]),rng_EFConcat,rng_EF1)*Buildings_Heat_Backend[[#This Row],[Converted data]]/1000)</f>
        <v/>
      </c>
      <c r="AG378" s="210" t="str">
        <f>IF(Buildings_Heat_Frontend[[#This Row],[Data]]="","", _xlfn.XLOOKUP(_xlfn.CONCAT(Buildings_Heat_Backend[[#This Row],[Level 1]:[Level 6]]),rng_EFConcat,rng_EF2)*Buildings_Heat_Backend[[#This Row],[Converted data]]/1000)</f>
        <v/>
      </c>
      <c r="AH378" s="210" t="str">
        <f>IF(Buildings_Heat_Frontend[[#This Row],[Data]]="","", _xlfn.XLOOKUP(_xlfn.CONCAT(Buildings_Heat_Backend[[#This Row],[Level 1]:[Level 6]]),rng_EFConcat,rng_EF3)*Buildings_Heat_Backend[[#This Row],[Converted data]]/1000)</f>
        <v/>
      </c>
      <c r="AI378" s="210" t="str">
        <f>IF(Buildings_Heat_Frontend[[#This Row],[Data]]="","", _xlfn.XLOOKUP(_xlfn.CONCAT(Buildings_Heat_Backend[[#This Row],[Level 1]:[Level 6]]),rng_EFConcat,rng_EF3WTT)*Buildings_Heat_Backend[[#This Row],[Converted data]]/1000)</f>
        <v/>
      </c>
      <c r="AJ378" s="210" t="str">
        <f>IF(Buildings_Heat_Frontend[[#This Row],[Data]]="","", _xlfn.XLOOKUP(_xlfn.CONCAT(Buildings_Heat_Backend[[#This Row],[Level 1]:[Level 6]]),rng_EFConcat,rng_EF3TD)*Buildings_Heat_Backend[[#This Row],[Converted data]]/1000)</f>
        <v/>
      </c>
      <c r="AK378" s="210" t="str">
        <f>IF(Buildings_Heat_Frontend[[#This Row],[Data]]="","", _xlfn.XLOOKUP(_xlfn.CONCAT(Buildings_Heat_Backend[[#This Row],[Level 1]:[Level 6]]),rng_EFConcat,rng_EF3WTTTD)*Buildings_Heat_Backend[[#This Row],[Converted data]]/1000)</f>
        <v/>
      </c>
      <c r="AL378" s="220">
        <f>SUM(Buildings_Heat_Backend[[#This Row],[Scope 1 (tCO2e)]:[Scope 3 WTT T&amp;D (tCO2e)]])</f>
        <v>0</v>
      </c>
      <c r="AM378" s="220" t="str">
        <f>IF(Buildings_Heat_Frontend[[#This Row],[Data]]="","", Buildings_Heat_Backend[[#This Row],[Total (tCO2e)]]*(1-Buildings_Heat_Backend[[#This Row],[RSD]]))</f>
        <v/>
      </c>
      <c r="AN378" s="220" t="str">
        <f>IF(Buildings_Heat_Frontend[[#This Row],[Data]]="","", Buildings_Heat_Backend[[#This Row],[Total (tCO2e)]]*(1+Buildings_Heat_Backend[[#This Row],[RSD]]))</f>
        <v/>
      </c>
      <c r="AO378" s="210" t="str">
        <f>IF(Buildings_Heat_Frontend[[#This Row],[Data]]="","", _xlfn.XLOOKUP(_xlfn.CONCAT(Buildings_Heat_Backend[[#This Row],[Level 1]:[Level 6]]),rng_EFConcat,rng_EFOOS)*Buildings_Heat_Backend[[#This Row],[Converted data]]/1000)</f>
        <v/>
      </c>
      <c r="AP378" s="174">
        <f>Buildings_Heat_Frontend[[#This Row],[Ease of collection]]</f>
        <v>0</v>
      </c>
      <c r="AQ378" s="174">
        <f>Buildings_Heat_Frontend[[#This Row],[Completeness]]</f>
        <v>0</v>
      </c>
      <c r="AR378" s="174">
        <f>Buildings_Heat_Frontend[[#This Row],[Notes]]</f>
        <v>0</v>
      </c>
    </row>
    <row r="379" spans="5:44" x14ac:dyDescent="0.3">
      <c r="E379" s="346"/>
      <c r="F379" s="364"/>
      <c r="G379" s="336"/>
      <c r="H379" s="336"/>
      <c r="I379" s="336"/>
      <c r="J379" s="334"/>
      <c r="K379" s="336"/>
      <c r="L379" s="336"/>
      <c r="M379" s="336"/>
      <c r="N379" s="352"/>
      <c r="O379" s="230">
        <f t="shared" si="17"/>
        <v>6</v>
      </c>
      <c r="Q379" s="212" t="str">
        <f t="shared" si="15"/>
        <v/>
      </c>
      <c r="R379" s="174" t="s">
        <v>265</v>
      </c>
      <c r="S379" s="174" t="s">
        <v>273</v>
      </c>
      <c r="T379" s="174" t="str">
        <f>IF(Buildings_Heat_Frontend[[#This Row],[Data]]="","", _xlfn.XLOOKUP(Buildings_Heat_Backend[[#This Row],[Info 1]],Buildings_SiteInfo[Site name],Buildings_SiteInfo[Site type]))</f>
        <v/>
      </c>
      <c r="U379" s="174" t="str">
        <f>IF(Buildings_Heat_Frontend[[#This Row],[Data]]="","", Buildings_Heat_Frontend[[#This Row],[Heating Type]])</f>
        <v/>
      </c>
      <c r="V379" s="174" t="str">
        <f>IF(Buildings_Heat_Frontend[[#This Row],[Data]]="","", Buildings_Heat_Frontend[[#This Row],[Fuel]])</f>
        <v/>
      </c>
      <c r="W379" s="174" t="str" cm="1">
        <f t="array" ref="W379">IF(Buildings_Heat_Frontend[[#This Row],[Data]]="","", _xlfn.XLOOKUP(Buildings_Heat_Backend[[#This Row],[Level 5]],rng_Level5Long,rng_Level6Long))</f>
        <v/>
      </c>
      <c r="X379" s="174" t="str">
        <f>IF(Buildings_Heat_Frontend[[#This Row],[Data]]="","", Buildings_Heat_Frontend[[#This Row],[Site Name]])</f>
        <v/>
      </c>
      <c r="Y379" s="174" t="str">
        <f>IF(Buildings_Heat_Frontend[[#This Row],[Data]]="","", Buildings_Heat_Frontend[[#This Row],[MPRN]])</f>
        <v/>
      </c>
      <c r="Z379" s="174" t="str">
        <f>IF(Buildings_Heat_Frontend[[#This Row],[Data]]="","", IF($I379="","",$I379))</f>
        <v/>
      </c>
      <c r="AA379" s="229" t="str" cm="1">
        <f t="array" ref="AA379">IF(Buildings_Heat_Frontend[[#This Row],[Data]]="","", INDEX(_xlfn.SWITCH(Buildings_Heat_Backend[[#This Row],[Methodology]],"Tier 1",rng_RSD1,"Tier 2",rng_RSD2,"Tier 3",rng_RSD3),MATCH(_xlfn.CONCAT(Buildings_Heat_Backend[[#This Row],[Level 1]:[Level 6]]),rng_LevelsConcat,0)))</f>
        <v/>
      </c>
      <c r="AB379" s="220" t="str">
        <f t="shared" si="16"/>
        <v/>
      </c>
      <c r="AC379" s="174">
        <f>Buildings_Heat_Frontend[[#This Row],[Units]]</f>
        <v>0</v>
      </c>
      <c r="AD37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79" s="174" t="str">
        <f>IF(Buildings_Heat_Frontend[[#This Row],[Data]]="","", _xlfn.XLOOKUP(_xlfn.CONCAT(Buildings_Heat_Backend[[#This Row],[Level 1]:[Level 6]]),rng_LevelsConcat,rng_UnitsLong))</f>
        <v/>
      </c>
      <c r="AF379" s="210" t="str">
        <f>IF(Buildings_Heat_Frontend[[#This Row],[Data]]="","", _xlfn.XLOOKUP(_xlfn.CONCAT(Buildings_Heat_Backend[[#This Row],[Level 1]:[Level 6]]),rng_EFConcat,rng_EF1)*Buildings_Heat_Backend[[#This Row],[Converted data]]/1000)</f>
        <v/>
      </c>
      <c r="AG379" s="210" t="str">
        <f>IF(Buildings_Heat_Frontend[[#This Row],[Data]]="","", _xlfn.XLOOKUP(_xlfn.CONCAT(Buildings_Heat_Backend[[#This Row],[Level 1]:[Level 6]]),rng_EFConcat,rng_EF2)*Buildings_Heat_Backend[[#This Row],[Converted data]]/1000)</f>
        <v/>
      </c>
      <c r="AH379" s="210" t="str">
        <f>IF(Buildings_Heat_Frontend[[#This Row],[Data]]="","", _xlfn.XLOOKUP(_xlfn.CONCAT(Buildings_Heat_Backend[[#This Row],[Level 1]:[Level 6]]),rng_EFConcat,rng_EF3)*Buildings_Heat_Backend[[#This Row],[Converted data]]/1000)</f>
        <v/>
      </c>
      <c r="AI379" s="210" t="str">
        <f>IF(Buildings_Heat_Frontend[[#This Row],[Data]]="","", _xlfn.XLOOKUP(_xlfn.CONCAT(Buildings_Heat_Backend[[#This Row],[Level 1]:[Level 6]]),rng_EFConcat,rng_EF3WTT)*Buildings_Heat_Backend[[#This Row],[Converted data]]/1000)</f>
        <v/>
      </c>
      <c r="AJ379" s="210" t="str">
        <f>IF(Buildings_Heat_Frontend[[#This Row],[Data]]="","", _xlfn.XLOOKUP(_xlfn.CONCAT(Buildings_Heat_Backend[[#This Row],[Level 1]:[Level 6]]),rng_EFConcat,rng_EF3TD)*Buildings_Heat_Backend[[#This Row],[Converted data]]/1000)</f>
        <v/>
      </c>
      <c r="AK379" s="210" t="str">
        <f>IF(Buildings_Heat_Frontend[[#This Row],[Data]]="","", _xlfn.XLOOKUP(_xlfn.CONCAT(Buildings_Heat_Backend[[#This Row],[Level 1]:[Level 6]]),rng_EFConcat,rng_EF3WTTTD)*Buildings_Heat_Backend[[#This Row],[Converted data]]/1000)</f>
        <v/>
      </c>
      <c r="AL379" s="220">
        <f>SUM(Buildings_Heat_Backend[[#This Row],[Scope 1 (tCO2e)]:[Scope 3 WTT T&amp;D (tCO2e)]])</f>
        <v>0</v>
      </c>
      <c r="AM379" s="220" t="str">
        <f>IF(Buildings_Heat_Frontend[[#This Row],[Data]]="","", Buildings_Heat_Backend[[#This Row],[Total (tCO2e)]]*(1-Buildings_Heat_Backend[[#This Row],[RSD]]))</f>
        <v/>
      </c>
      <c r="AN379" s="220" t="str">
        <f>IF(Buildings_Heat_Frontend[[#This Row],[Data]]="","", Buildings_Heat_Backend[[#This Row],[Total (tCO2e)]]*(1+Buildings_Heat_Backend[[#This Row],[RSD]]))</f>
        <v/>
      </c>
      <c r="AO379" s="210" t="str">
        <f>IF(Buildings_Heat_Frontend[[#This Row],[Data]]="","", _xlfn.XLOOKUP(_xlfn.CONCAT(Buildings_Heat_Backend[[#This Row],[Level 1]:[Level 6]]),rng_EFConcat,rng_EFOOS)*Buildings_Heat_Backend[[#This Row],[Converted data]]/1000)</f>
        <v/>
      </c>
      <c r="AP379" s="174">
        <f>Buildings_Heat_Frontend[[#This Row],[Ease of collection]]</f>
        <v>0</v>
      </c>
      <c r="AQ379" s="174">
        <f>Buildings_Heat_Frontend[[#This Row],[Completeness]]</f>
        <v>0</v>
      </c>
      <c r="AR379" s="174">
        <f>Buildings_Heat_Frontend[[#This Row],[Notes]]</f>
        <v>0</v>
      </c>
    </row>
    <row r="380" spans="5:44" x14ac:dyDescent="0.3">
      <c r="E380" s="346"/>
      <c r="F380" s="364"/>
      <c r="G380" s="336"/>
      <c r="H380" s="336"/>
      <c r="I380" s="336"/>
      <c r="J380" s="334"/>
      <c r="K380" s="336"/>
      <c r="L380" s="336"/>
      <c r="M380" s="336"/>
      <c r="N380" s="352"/>
      <c r="O380" s="230">
        <f t="shared" si="17"/>
        <v>6</v>
      </c>
      <c r="Q380" s="212" t="str">
        <f t="shared" si="15"/>
        <v/>
      </c>
      <c r="R380" s="174" t="s">
        <v>265</v>
      </c>
      <c r="S380" s="174" t="s">
        <v>273</v>
      </c>
      <c r="T380" s="174" t="str">
        <f>IF(Buildings_Heat_Frontend[[#This Row],[Data]]="","", _xlfn.XLOOKUP(Buildings_Heat_Backend[[#This Row],[Info 1]],Buildings_SiteInfo[Site name],Buildings_SiteInfo[Site type]))</f>
        <v/>
      </c>
      <c r="U380" s="174" t="str">
        <f>IF(Buildings_Heat_Frontend[[#This Row],[Data]]="","", Buildings_Heat_Frontend[[#This Row],[Heating Type]])</f>
        <v/>
      </c>
      <c r="V380" s="174" t="str">
        <f>IF(Buildings_Heat_Frontend[[#This Row],[Data]]="","", Buildings_Heat_Frontend[[#This Row],[Fuel]])</f>
        <v/>
      </c>
      <c r="W380" s="174" t="str" cm="1">
        <f t="array" ref="W380">IF(Buildings_Heat_Frontend[[#This Row],[Data]]="","", _xlfn.XLOOKUP(Buildings_Heat_Backend[[#This Row],[Level 5]],rng_Level5Long,rng_Level6Long))</f>
        <v/>
      </c>
      <c r="X380" s="174" t="str">
        <f>IF(Buildings_Heat_Frontend[[#This Row],[Data]]="","", Buildings_Heat_Frontend[[#This Row],[Site Name]])</f>
        <v/>
      </c>
      <c r="Y380" s="174" t="str">
        <f>IF(Buildings_Heat_Frontend[[#This Row],[Data]]="","", Buildings_Heat_Frontend[[#This Row],[MPRN]])</f>
        <v/>
      </c>
      <c r="Z380" s="174" t="str">
        <f>IF(Buildings_Heat_Frontend[[#This Row],[Data]]="","", IF($I380="","",$I380))</f>
        <v/>
      </c>
      <c r="AA380" s="229" t="str" cm="1">
        <f t="array" ref="AA380">IF(Buildings_Heat_Frontend[[#This Row],[Data]]="","", INDEX(_xlfn.SWITCH(Buildings_Heat_Backend[[#This Row],[Methodology]],"Tier 1",rng_RSD1,"Tier 2",rng_RSD2,"Tier 3",rng_RSD3),MATCH(_xlfn.CONCAT(Buildings_Heat_Backend[[#This Row],[Level 1]:[Level 6]]),rng_LevelsConcat,0)))</f>
        <v/>
      </c>
      <c r="AB380" s="220" t="str">
        <f t="shared" si="16"/>
        <v/>
      </c>
      <c r="AC380" s="174">
        <f>Buildings_Heat_Frontend[[#This Row],[Units]]</f>
        <v>0</v>
      </c>
      <c r="AD38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0" s="174" t="str">
        <f>IF(Buildings_Heat_Frontend[[#This Row],[Data]]="","", _xlfn.XLOOKUP(_xlfn.CONCAT(Buildings_Heat_Backend[[#This Row],[Level 1]:[Level 6]]),rng_LevelsConcat,rng_UnitsLong))</f>
        <v/>
      </c>
      <c r="AF380" s="210" t="str">
        <f>IF(Buildings_Heat_Frontend[[#This Row],[Data]]="","", _xlfn.XLOOKUP(_xlfn.CONCAT(Buildings_Heat_Backend[[#This Row],[Level 1]:[Level 6]]),rng_EFConcat,rng_EF1)*Buildings_Heat_Backend[[#This Row],[Converted data]]/1000)</f>
        <v/>
      </c>
      <c r="AG380" s="210" t="str">
        <f>IF(Buildings_Heat_Frontend[[#This Row],[Data]]="","", _xlfn.XLOOKUP(_xlfn.CONCAT(Buildings_Heat_Backend[[#This Row],[Level 1]:[Level 6]]),rng_EFConcat,rng_EF2)*Buildings_Heat_Backend[[#This Row],[Converted data]]/1000)</f>
        <v/>
      </c>
      <c r="AH380" s="210" t="str">
        <f>IF(Buildings_Heat_Frontend[[#This Row],[Data]]="","", _xlfn.XLOOKUP(_xlfn.CONCAT(Buildings_Heat_Backend[[#This Row],[Level 1]:[Level 6]]),rng_EFConcat,rng_EF3)*Buildings_Heat_Backend[[#This Row],[Converted data]]/1000)</f>
        <v/>
      </c>
      <c r="AI380" s="210" t="str">
        <f>IF(Buildings_Heat_Frontend[[#This Row],[Data]]="","", _xlfn.XLOOKUP(_xlfn.CONCAT(Buildings_Heat_Backend[[#This Row],[Level 1]:[Level 6]]),rng_EFConcat,rng_EF3WTT)*Buildings_Heat_Backend[[#This Row],[Converted data]]/1000)</f>
        <v/>
      </c>
      <c r="AJ380" s="210" t="str">
        <f>IF(Buildings_Heat_Frontend[[#This Row],[Data]]="","", _xlfn.XLOOKUP(_xlfn.CONCAT(Buildings_Heat_Backend[[#This Row],[Level 1]:[Level 6]]),rng_EFConcat,rng_EF3TD)*Buildings_Heat_Backend[[#This Row],[Converted data]]/1000)</f>
        <v/>
      </c>
      <c r="AK380" s="210" t="str">
        <f>IF(Buildings_Heat_Frontend[[#This Row],[Data]]="","", _xlfn.XLOOKUP(_xlfn.CONCAT(Buildings_Heat_Backend[[#This Row],[Level 1]:[Level 6]]),rng_EFConcat,rng_EF3WTTTD)*Buildings_Heat_Backend[[#This Row],[Converted data]]/1000)</f>
        <v/>
      </c>
      <c r="AL380" s="220">
        <f>SUM(Buildings_Heat_Backend[[#This Row],[Scope 1 (tCO2e)]:[Scope 3 WTT T&amp;D (tCO2e)]])</f>
        <v>0</v>
      </c>
      <c r="AM380" s="220" t="str">
        <f>IF(Buildings_Heat_Frontend[[#This Row],[Data]]="","", Buildings_Heat_Backend[[#This Row],[Total (tCO2e)]]*(1-Buildings_Heat_Backend[[#This Row],[RSD]]))</f>
        <v/>
      </c>
      <c r="AN380" s="220" t="str">
        <f>IF(Buildings_Heat_Frontend[[#This Row],[Data]]="","", Buildings_Heat_Backend[[#This Row],[Total (tCO2e)]]*(1+Buildings_Heat_Backend[[#This Row],[RSD]]))</f>
        <v/>
      </c>
      <c r="AO380" s="210" t="str">
        <f>IF(Buildings_Heat_Frontend[[#This Row],[Data]]="","", _xlfn.XLOOKUP(_xlfn.CONCAT(Buildings_Heat_Backend[[#This Row],[Level 1]:[Level 6]]),rng_EFConcat,rng_EFOOS)*Buildings_Heat_Backend[[#This Row],[Converted data]]/1000)</f>
        <v/>
      </c>
      <c r="AP380" s="174">
        <f>Buildings_Heat_Frontend[[#This Row],[Ease of collection]]</f>
        <v>0</v>
      </c>
      <c r="AQ380" s="174">
        <f>Buildings_Heat_Frontend[[#This Row],[Completeness]]</f>
        <v>0</v>
      </c>
      <c r="AR380" s="174">
        <f>Buildings_Heat_Frontend[[#This Row],[Notes]]</f>
        <v>0</v>
      </c>
    </row>
    <row r="381" spans="5:44" x14ac:dyDescent="0.3">
      <c r="E381" s="346"/>
      <c r="F381" s="364"/>
      <c r="G381" s="336"/>
      <c r="H381" s="336"/>
      <c r="I381" s="336"/>
      <c r="J381" s="334"/>
      <c r="K381" s="336"/>
      <c r="L381" s="336"/>
      <c r="M381" s="336"/>
      <c r="N381" s="352"/>
      <c r="O381" s="230">
        <f t="shared" si="17"/>
        <v>6</v>
      </c>
      <c r="Q381" s="212" t="str">
        <f t="shared" si="15"/>
        <v/>
      </c>
      <c r="R381" s="174" t="s">
        <v>265</v>
      </c>
      <c r="S381" s="174" t="s">
        <v>273</v>
      </c>
      <c r="T381" s="174" t="str">
        <f>IF(Buildings_Heat_Frontend[[#This Row],[Data]]="","", _xlfn.XLOOKUP(Buildings_Heat_Backend[[#This Row],[Info 1]],Buildings_SiteInfo[Site name],Buildings_SiteInfo[Site type]))</f>
        <v/>
      </c>
      <c r="U381" s="174" t="str">
        <f>IF(Buildings_Heat_Frontend[[#This Row],[Data]]="","", Buildings_Heat_Frontend[[#This Row],[Heating Type]])</f>
        <v/>
      </c>
      <c r="V381" s="174" t="str">
        <f>IF(Buildings_Heat_Frontend[[#This Row],[Data]]="","", Buildings_Heat_Frontend[[#This Row],[Fuel]])</f>
        <v/>
      </c>
      <c r="W381" s="174" t="str" cm="1">
        <f t="array" ref="W381">IF(Buildings_Heat_Frontend[[#This Row],[Data]]="","", _xlfn.XLOOKUP(Buildings_Heat_Backend[[#This Row],[Level 5]],rng_Level5Long,rng_Level6Long))</f>
        <v/>
      </c>
      <c r="X381" s="174" t="str">
        <f>IF(Buildings_Heat_Frontend[[#This Row],[Data]]="","", Buildings_Heat_Frontend[[#This Row],[Site Name]])</f>
        <v/>
      </c>
      <c r="Y381" s="174" t="str">
        <f>IF(Buildings_Heat_Frontend[[#This Row],[Data]]="","", Buildings_Heat_Frontend[[#This Row],[MPRN]])</f>
        <v/>
      </c>
      <c r="Z381" s="174" t="str">
        <f>IF(Buildings_Heat_Frontend[[#This Row],[Data]]="","", IF($I381="","",$I381))</f>
        <v/>
      </c>
      <c r="AA381" s="229" t="str" cm="1">
        <f t="array" ref="AA381">IF(Buildings_Heat_Frontend[[#This Row],[Data]]="","", INDEX(_xlfn.SWITCH(Buildings_Heat_Backend[[#This Row],[Methodology]],"Tier 1",rng_RSD1,"Tier 2",rng_RSD2,"Tier 3",rng_RSD3),MATCH(_xlfn.CONCAT(Buildings_Heat_Backend[[#This Row],[Level 1]:[Level 6]]),rng_LevelsConcat,0)))</f>
        <v/>
      </c>
      <c r="AB381" s="220" t="str">
        <f t="shared" si="16"/>
        <v/>
      </c>
      <c r="AC381" s="174">
        <f>Buildings_Heat_Frontend[[#This Row],[Units]]</f>
        <v>0</v>
      </c>
      <c r="AD38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1" s="174" t="str">
        <f>IF(Buildings_Heat_Frontend[[#This Row],[Data]]="","", _xlfn.XLOOKUP(_xlfn.CONCAT(Buildings_Heat_Backend[[#This Row],[Level 1]:[Level 6]]),rng_LevelsConcat,rng_UnitsLong))</f>
        <v/>
      </c>
      <c r="AF381" s="210" t="str">
        <f>IF(Buildings_Heat_Frontend[[#This Row],[Data]]="","", _xlfn.XLOOKUP(_xlfn.CONCAT(Buildings_Heat_Backend[[#This Row],[Level 1]:[Level 6]]),rng_EFConcat,rng_EF1)*Buildings_Heat_Backend[[#This Row],[Converted data]]/1000)</f>
        <v/>
      </c>
      <c r="AG381" s="210" t="str">
        <f>IF(Buildings_Heat_Frontend[[#This Row],[Data]]="","", _xlfn.XLOOKUP(_xlfn.CONCAT(Buildings_Heat_Backend[[#This Row],[Level 1]:[Level 6]]),rng_EFConcat,rng_EF2)*Buildings_Heat_Backend[[#This Row],[Converted data]]/1000)</f>
        <v/>
      </c>
      <c r="AH381" s="210" t="str">
        <f>IF(Buildings_Heat_Frontend[[#This Row],[Data]]="","", _xlfn.XLOOKUP(_xlfn.CONCAT(Buildings_Heat_Backend[[#This Row],[Level 1]:[Level 6]]),rng_EFConcat,rng_EF3)*Buildings_Heat_Backend[[#This Row],[Converted data]]/1000)</f>
        <v/>
      </c>
      <c r="AI381" s="210" t="str">
        <f>IF(Buildings_Heat_Frontend[[#This Row],[Data]]="","", _xlfn.XLOOKUP(_xlfn.CONCAT(Buildings_Heat_Backend[[#This Row],[Level 1]:[Level 6]]),rng_EFConcat,rng_EF3WTT)*Buildings_Heat_Backend[[#This Row],[Converted data]]/1000)</f>
        <v/>
      </c>
      <c r="AJ381" s="210" t="str">
        <f>IF(Buildings_Heat_Frontend[[#This Row],[Data]]="","", _xlfn.XLOOKUP(_xlfn.CONCAT(Buildings_Heat_Backend[[#This Row],[Level 1]:[Level 6]]),rng_EFConcat,rng_EF3TD)*Buildings_Heat_Backend[[#This Row],[Converted data]]/1000)</f>
        <v/>
      </c>
      <c r="AK381" s="210" t="str">
        <f>IF(Buildings_Heat_Frontend[[#This Row],[Data]]="","", _xlfn.XLOOKUP(_xlfn.CONCAT(Buildings_Heat_Backend[[#This Row],[Level 1]:[Level 6]]),rng_EFConcat,rng_EF3WTTTD)*Buildings_Heat_Backend[[#This Row],[Converted data]]/1000)</f>
        <v/>
      </c>
      <c r="AL381" s="220">
        <f>SUM(Buildings_Heat_Backend[[#This Row],[Scope 1 (tCO2e)]:[Scope 3 WTT T&amp;D (tCO2e)]])</f>
        <v>0</v>
      </c>
      <c r="AM381" s="220" t="str">
        <f>IF(Buildings_Heat_Frontend[[#This Row],[Data]]="","", Buildings_Heat_Backend[[#This Row],[Total (tCO2e)]]*(1-Buildings_Heat_Backend[[#This Row],[RSD]]))</f>
        <v/>
      </c>
      <c r="AN381" s="220" t="str">
        <f>IF(Buildings_Heat_Frontend[[#This Row],[Data]]="","", Buildings_Heat_Backend[[#This Row],[Total (tCO2e)]]*(1+Buildings_Heat_Backend[[#This Row],[RSD]]))</f>
        <v/>
      </c>
      <c r="AO381" s="210" t="str">
        <f>IF(Buildings_Heat_Frontend[[#This Row],[Data]]="","", _xlfn.XLOOKUP(_xlfn.CONCAT(Buildings_Heat_Backend[[#This Row],[Level 1]:[Level 6]]),rng_EFConcat,rng_EFOOS)*Buildings_Heat_Backend[[#This Row],[Converted data]]/1000)</f>
        <v/>
      </c>
      <c r="AP381" s="174">
        <f>Buildings_Heat_Frontend[[#This Row],[Ease of collection]]</f>
        <v>0</v>
      </c>
      <c r="AQ381" s="174">
        <f>Buildings_Heat_Frontend[[#This Row],[Completeness]]</f>
        <v>0</v>
      </c>
      <c r="AR381" s="174">
        <f>Buildings_Heat_Frontend[[#This Row],[Notes]]</f>
        <v>0</v>
      </c>
    </row>
    <row r="382" spans="5:44" x14ac:dyDescent="0.3">
      <c r="E382" s="346"/>
      <c r="F382" s="364"/>
      <c r="G382" s="336"/>
      <c r="H382" s="336"/>
      <c r="I382" s="336"/>
      <c r="J382" s="334"/>
      <c r="K382" s="336"/>
      <c r="L382" s="336"/>
      <c r="M382" s="336"/>
      <c r="N382" s="352"/>
      <c r="O382" s="230">
        <f t="shared" si="17"/>
        <v>6</v>
      </c>
      <c r="Q382" s="212" t="str">
        <f t="shared" si="15"/>
        <v/>
      </c>
      <c r="R382" s="174" t="s">
        <v>265</v>
      </c>
      <c r="S382" s="174" t="s">
        <v>273</v>
      </c>
      <c r="T382" s="174" t="str">
        <f>IF(Buildings_Heat_Frontend[[#This Row],[Data]]="","", _xlfn.XLOOKUP(Buildings_Heat_Backend[[#This Row],[Info 1]],Buildings_SiteInfo[Site name],Buildings_SiteInfo[Site type]))</f>
        <v/>
      </c>
      <c r="U382" s="174" t="str">
        <f>IF(Buildings_Heat_Frontend[[#This Row],[Data]]="","", Buildings_Heat_Frontend[[#This Row],[Heating Type]])</f>
        <v/>
      </c>
      <c r="V382" s="174" t="str">
        <f>IF(Buildings_Heat_Frontend[[#This Row],[Data]]="","", Buildings_Heat_Frontend[[#This Row],[Fuel]])</f>
        <v/>
      </c>
      <c r="W382" s="174" t="str" cm="1">
        <f t="array" ref="W382">IF(Buildings_Heat_Frontend[[#This Row],[Data]]="","", _xlfn.XLOOKUP(Buildings_Heat_Backend[[#This Row],[Level 5]],rng_Level5Long,rng_Level6Long))</f>
        <v/>
      </c>
      <c r="X382" s="174" t="str">
        <f>IF(Buildings_Heat_Frontend[[#This Row],[Data]]="","", Buildings_Heat_Frontend[[#This Row],[Site Name]])</f>
        <v/>
      </c>
      <c r="Y382" s="174" t="str">
        <f>IF(Buildings_Heat_Frontend[[#This Row],[Data]]="","", Buildings_Heat_Frontend[[#This Row],[MPRN]])</f>
        <v/>
      </c>
      <c r="Z382" s="174" t="str">
        <f>IF(Buildings_Heat_Frontend[[#This Row],[Data]]="","", IF($I382="","",$I382))</f>
        <v/>
      </c>
      <c r="AA382" s="229" t="str" cm="1">
        <f t="array" ref="AA382">IF(Buildings_Heat_Frontend[[#This Row],[Data]]="","", INDEX(_xlfn.SWITCH(Buildings_Heat_Backend[[#This Row],[Methodology]],"Tier 1",rng_RSD1,"Tier 2",rng_RSD2,"Tier 3",rng_RSD3),MATCH(_xlfn.CONCAT(Buildings_Heat_Backend[[#This Row],[Level 1]:[Level 6]]),rng_LevelsConcat,0)))</f>
        <v/>
      </c>
      <c r="AB382" s="220" t="str">
        <f t="shared" si="16"/>
        <v/>
      </c>
      <c r="AC382" s="174">
        <f>Buildings_Heat_Frontend[[#This Row],[Units]]</f>
        <v>0</v>
      </c>
      <c r="AD38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2" s="174" t="str">
        <f>IF(Buildings_Heat_Frontend[[#This Row],[Data]]="","", _xlfn.XLOOKUP(_xlfn.CONCAT(Buildings_Heat_Backend[[#This Row],[Level 1]:[Level 6]]),rng_LevelsConcat,rng_UnitsLong))</f>
        <v/>
      </c>
      <c r="AF382" s="210" t="str">
        <f>IF(Buildings_Heat_Frontend[[#This Row],[Data]]="","", _xlfn.XLOOKUP(_xlfn.CONCAT(Buildings_Heat_Backend[[#This Row],[Level 1]:[Level 6]]),rng_EFConcat,rng_EF1)*Buildings_Heat_Backend[[#This Row],[Converted data]]/1000)</f>
        <v/>
      </c>
      <c r="AG382" s="210" t="str">
        <f>IF(Buildings_Heat_Frontend[[#This Row],[Data]]="","", _xlfn.XLOOKUP(_xlfn.CONCAT(Buildings_Heat_Backend[[#This Row],[Level 1]:[Level 6]]),rng_EFConcat,rng_EF2)*Buildings_Heat_Backend[[#This Row],[Converted data]]/1000)</f>
        <v/>
      </c>
      <c r="AH382" s="210" t="str">
        <f>IF(Buildings_Heat_Frontend[[#This Row],[Data]]="","", _xlfn.XLOOKUP(_xlfn.CONCAT(Buildings_Heat_Backend[[#This Row],[Level 1]:[Level 6]]),rng_EFConcat,rng_EF3)*Buildings_Heat_Backend[[#This Row],[Converted data]]/1000)</f>
        <v/>
      </c>
      <c r="AI382" s="210" t="str">
        <f>IF(Buildings_Heat_Frontend[[#This Row],[Data]]="","", _xlfn.XLOOKUP(_xlfn.CONCAT(Buildings_Heat_Backend[[#This Row],[Level 1]:[Level 6]]),rng_EFConcat,rng_EF3WTT)*Buildings_Heat_Backend[[#This Row],[Converted data]]/1000)</f>
        <v/>
      </c>
      <c r="AJ382" s="210" t="str">
        <f>IF(Buildings_Heat_Frontend[[#This Row],[Data]]="","", _xlfn.XLOOKUP(_xlfn.CONCAT(Buildings_Heat_Backend[[#This Row],[Level 1]:[Level 6]]),rng_EFConcat,rng_EF3TD)*Buildings_Heat_Backend[[#This Row],[Converted data]]/1000)</f>
        <v/>
      </c>
      <c r="AK382" s="210" t="str">
        <f>IF(Buildings_Heat_Frontend[[#This Row],[Data]]="","", _xlfn.XLOOKUP(_xlfn.CONCAT(Buildings_Heat_Backend[[#This Row],[Level 1]:[Level 6]]),rng_EFConcat,rng_EF3WTTTD)*Buildings_Heat_Backend[[#This Row],[Converted data]]/1000)</f>
        <v/>
      </c>
      <c r="AL382" s="220">
        <f>SUM(Buildings_Heat_Backend[[#This Row],[Scope 1 (tCO2e)]:[Scope 3 WTT T&amp;D (tCO2e)]])</f>
        <v>0</v>
      </c>
      <c r="AM382" s="220" t="str">
        <f>IF(Buildings_Heat_Frontend[[#This Row],[Data]]="","", Buildings_Heat_Backend[[#This Row],[Total (tCO2e)]]*(1-Buildings_Heat_Backend[[#This Row],[RSD]]))</f>
        <v/>
      </c>
      <c r="AN382" s="220" t="str">
        <f>IF(Buildings_Heat_Frontend[[#This Row],[Data]]="","", Buildings_Heat_Backend[[#This Row],[Total (tCO2e)]]*(1+Buildings_Heat_Backend[[#This Row],[RSD]]))</f>
        <v/>
      </c>
      <c r="AO382" s="210" t="str">
        <f>IF(Buildings_Heat_Frontend[[#This Row],[Data]]="","", _xlfn.XLOOKUP(_xlfn.CONCAT(Buildings_Heat_Backend[[#This Row],[Level 1]:[Level 6]]),rng_EFConcat,rng_EFOOS)*Buildings_Heat_Backend[[#This Row],[Converted data]]/1000)</f>
        <v/>
      </c>
      <c r="AP382" s="174">
        <f>Buildings_Heat_Frontend[[#This Row],[Ease of collection]]</f>
        <v>0</v>
      </c>
      <c r="AQ382" s="174">
        <f>Buildings_Heat_Frontend[[#This Row],[Completeness]]</f>
        <v>0</v>
      </c>
      <c r="AR382" s="174">
        <f>Buildings_Heat_Frontend[[#This Row],[Notes]]</f>
        <v>0</v>
      </c>
    </row>
    <row r="383" spans="5:44" x14ac:dyDescent="0.3">
      <c r="E383" s="346"/>
      <c r="F383" s="364"/>
      <c r="G383" s="336"/>
      <c r="H383" s="336"/>
      <c r="I383" s="336"/>
      <c r="J383" s="334"/>
      <c r="K383" s="336"/>
      <c r="L383" s="336"/>
      <c r="M383" s="336"/>
      <c r="N383" s="352"/>
      <c r="O383" s="230">
        <f t="shared" si="17"/>
        <v>6</v>
      </c>
      <c r="Q383" s="212" t="str">
        <f t="shared" si="15"/>
        <v/>
      </c>
      <c r="R383" s="174" t="s">
        <v>265</v>
      </c>
      <c r="S383" s="174" t="s">
        <v>273</v>
      </c>
      <c r="T383" s="174" t="str">
        <f>IF(Buildings_Heat_Frontend[[#This Row],[Data]]="","", _xlfn.XLOOKUP(Buildings_Heat_Backend[[#This Row],[Info 1]],Buildings_SiteInfo[Site name],Buildings_SiteInfo[Site type]))</f>
        <v/>
      </c>
      <c r="U383" s="174" t="str">
        <f>IF(Buildings_Heat_Frontend[[#This Row],[Data]]="","", Buildings_Heat_Frontend[[#This Row],[Heating Type]])</f>
        <v/>
      </c>
      <c r="V383" s="174" t="str">
        <f>IF(Buildings_Heat_Frontend[[#This Row],[Data]]="","", Buildings_Heat_Frontend[[#This Row],[Fuel]])</f>
        <v/>
      </c>
      <c r="W383" s="174" t="str" cm="1">
        <f t="array" ref="W383">IF(Buildings_Heat_Frontend[[#This Row],[Data]]="","", _xlfn.XLOOKUP(Buildings_Heat_Backend[[#This Row],[Level 5]],rng_Level5Long,rng_Level6Long))</f>
        <v/>
      </c>
      <c r="X383" s="174" t="str">
        <f>IF(Buildings_Heat_Frontend[[#This Row],[Data]]="","", Buildings_Heat_Frontend[[#This Row],[Site Name]])</f>
        <v/>
      </c>
      <c r="Y383" s="174" t="str">
        <f>IF(Buildings_Heat_Frontend[[#This Row],[Data]]="","", Buildings_Heat_Frontend[[#This Row],[MPRN]])</f>
        <v/>
      </c>
      <c r="Z383" s="174" t="str">
        <f>IF(Buildings_Heat_Frontend[[#This Row],[Data]]="","", IF($I383="","",$I383))</f>
        <v/>
      </c>
      <c r="AA383" s="229" t="str" cm="1">
        <f t="array" ref="AA383">IF(Buildings_Heat_Frontend[[#This Row],[Data]]="","", INDEX(_xlfn.SWITCH(Buildings_Heat_Backend[[#This Row],[Methodology]],"Tier 1",rng_RSD1,"Tier 2",rng_RSD2,"Tier 3",rng_RSD3),MATCH(_xlfn.CONCAT(Buildings_Heat_Backend[[#This Row],[Level 1]:[Level 6]]),rng_LevelsConcat,0)))</f>
        <v/>
      </c>
      <c r="AB383" s="220" t="str">
        <f t="shared" si="16"/>
        <v/>
      </c>
      <c r="AC383" s="174">
        <f>Buildings_Heat_Frontend[[#This Row],[Units]]</f>
        <v>0</v>
      </c>
      <c r="AD38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3" s="174" t="str">
        <f>IF(Buildings_Heat_Frontend[[#This Row],[Data]]="","", _xlfn.XLOOKUP(_xlfn.CONCAT(Buildings_Heat_Backend[[#This Row],[Level 1]:[Level 6]]),rng_LevelsConcat,rng_UnitsLong))</f>
        <v/>
      </c>
      <c r="AF383" s="210" t="str">
        <f>IF(Buildings_Heat_Frontend[[#This Row],[Data]]="","", _xlfn.XLOOKUP(_xlfn.CONCAT(Buildings_Heat_Backend[[#This Row],[Level 1]:[Level 6]]),rng_EFConcat,rng_EF1)*Buildings_Heat_Backend[[#This Row],[Converted data]]/1000)</f>
        <v/>
      </c>
      <c r="AG383" s="210" t="str">
        <f>IF(Buildings_Heat_Frontend[[#This Row],[Data]]="","", _xlfn.XLOOKUP(_xlfn.CONCAT(Buildings_Heat_Backend[[#This Row],[Level 1]:[Level 6]]),rng_EFConcat,rng_EF2)*Buildings_Heat_Backend[[#This Row],[Converted data]]/1000)</f>
        <v/>
      </c>
      <c r="AH383" s="210" t="str">
        <f>IF(Buildings_Heat_Frontend[[#This Row],[Data]]="","", _xlfn.XLOOKUP(_xlfn.CONCAT(Buildings_Heat_Backend[[#This Row],[Level 1]:[Level 6]]),rng_EFConcat,rng_EF3)*Buildings_Heat_Backend[[#This Row],[Converted data]]/1000)</f>
        <v/>
      </c>
      <c r="AI383" s="210" t="str">
        <f>IF(Buildings_Heat_Frontend[[#This Row],[Data]]="","", _xlfn.XLOOKUP(_xlfn.CONCAT(Buildings_Heat_Backend[[#This Row],[Level 1]:[Level 6]]),rng_EFConcat,rng_EF3WTT)*Buildings_Heat_Backend[[#This Row],[Converted data]]/1000)</f>
        <v/>
      </c>
      <c r="AJ383" s="210" t="str">
        <f>IF(Buildings_Heat_Frontend[[#This Row],[Data]]="","", _xlfn.XLOOKUP(_xlfn.CONCAT(Buildings_Heat_Backend[[#This Row],[Level 1]:[Level 6]]),rng_EFConcat,rng_EF3TD)*Buildings_Heat_Backend[[#This Row],[Converted data]]/1000)</f>
        <v/>
      </c>
      <c r="AK383" s="210" t="str">
        <f>IF(Buildings_Heat_Frontend[[#This Row],[Data]]="","", _xlfn.XLOOKUP(_xlfn.CONCAT(Buildings_Heat_Backend[[#This Row],[Level 1]:[Level 6]]),rng_EFConcat,rng_EF3WTTTD)*Buildings_Heat_Backend[[#This Row],[Converted data]]/1000)</f>
        <v/>
      </c>
      <c r="AL383" s="220">
        <f>SUM(Buildings_Heat_Backend[[#This Row],[Scope 1 (tCO2e)]:[Scope 3 WTT T&amp;D (tCO2e)]])</f>
        <v>0</v>
      </c>
      <c r="AM383" s="220" t="str">
        <f>IF(Buildings_Heat_Frontend[[#This Row],[Data]]="","", Buildings_Heat_Backend[[#This Row],[Total (tCO2e)]]*(1-Buildings_Heat_Backend[[#This Row],[RSD]]))</f>
        <v/>
      </c>
      <c r="AN383" s="220" t="str">
        <f>IF(Buildings_Heat_Frontend[[#This Row],[Data]]="","", Buildings_Heat_Backend[[#This Row],[Total (tCO2e)]]*(1+Buildings_Heat_Backend[[#This Row],[RSD]]))</f>
        <v/>
      </c>
      <c r="AO383" s="210" t="str">
        <f>IF(Buildings_Heat_Frontend[[#This Row],[Data]]="","", _xlfn.XLOOKUP(_xlfn.CONCAT(Buildings_Heat_Backend[[#This Row],[Level 1]:[Level 6]]),rng_EFConcat,rng_EFOOS)*Buildings_Heat_Backend[[#This Row],[Converted data]]/1000)</f>
        <v/>
      </c>
      <c r="AP383" s="174">
        <f>Buildings_Heat_Frontend[[#This Row],[Ease of collection]]</f>
        <v>0</v>
      </c>
      <c r="AQ383" s="174">
        <f>Buildings_Heat_Frontend[[#This Row],[Completeness]]</f>
        <v>0</v>
      </c>
      <c r="AR383" s="174">
        <f>Buildings_Heat_Frontend[[#This Row],[Notes]]</f>
        <v>0</v>
      </c>
    </row>
    <row r="384" spans="5:44" x14ac:dyDescent="0.3">
      <c r="E384" s="346"/>
      <c r="F384" s="364"/>
      <c r="G384" s="336"/>
      <c r="H384" s="336"/>
      <c r="I384" s="336"/>
      <c r="J384" s="334"/>
      <c r="K384" s="336"/>
      <c r="L384" s="336"/>
      <c r="M384" s="336"/>
      <c r="N384" s="352"/>
      <c r="O384" s="230">
        <f t="shared" si="17"/>
        <v>6</v>
      </c>
      <c r="Q384" s="212" t="str">
        <f t="shared" si="15"/>
        <v/>
      </c>
      <c r="R384" s="174" t="s">
        <v>265</v>
      </c>
      <c r="S384" s="174" t="s">
        <v>273</v>
      </c>
      <c r="T384" s="174" t="str">
        <f>IF(Buildings_Heat_Frontend[[#This Row],[Data]]="","", _xlfn.XLOOKUP(Buildings_Heat_Backend[[#This Row],[Info 1]],Buildings_SiteInfo[Site name],Buildings_SiteInfo[Site type]))</f>
        <v/>
      </c>
      <c r="U384" s="174" t="str">
        <f>IF(Buildings_Heat_Frontend[[#This Row],[Data]]="","", Buildings_Heat_Frontend[[#This Row],[Heating Type]])</f>
        <v/>
      </c>
      <c r="V384" s="174" t="str">
        <f>IF(Buildings_Heat_Frontend[[#This Row],[Data]]="","", Buildings_Heat_Frontend[[#This Row],[Fuel]])</f>
        <v/>
      </c>
      <c r="W384" s="174" t="str" cm="1">
        <f t="array" ref="W384">IF(Buildings_Heat_Frontend[[#This Row],[Data]]="","", _xlfn.XLOOKUP(Buildings_Heat_Backend[[#This Row],[Level 5]],rng_Level5Long,rng_Level6Long))</f>
        <v/>
      </c>
      <c r="X384" s="174" t="str">
        <f>IF(Buildings_Heat_Frontend[[#This Row],[Data]]="","", Buildings_Heat_Frontend[[#This Row],[Site Name]])</f>
        <v/>
      </c>
      <c r="Y384" s="174" t="str">
        <f>IF(Buildings_Heat_Frontend[[#This Row],[Data]]="","", Buildings_Heat_Frontend[[#This Row],[MPRN]])</f>
        <v/>
      </c>
      <c r="Z384" s="174" t="str">
        <f>IF(Buildings_Heat_Frontend[[#This Row],[Data]]="","", IF($I384="","",$I384))</f>
        <v/>
      </c>
      <c r="AA384" s="229" t="str" cm="1">
        <f t="array" ref="AA384">IF(Buildings_Heat_Frontend[[#This Row],[Data]]="","", INDEX(_xlfn.SWITCH(Buildings_Heat_Backend[[#This Row],[Methodology]],"Tier 1",rng_RSD1,"Tier 2",rng_RSD2,"Tier 3",rng_RSD3),MATCH(_xlfn.CONCAT(Buildings_Heat_Backend[[#This Row],[Level 1]:[Level 6]]),rng_LevelsConcat,0)))</f>
        <v/>
      </c>
      <c r="AB384" s="220" t="str">
        <f t="shared" si="16"/>
        <v/>
      </c>
      <c r="AC384" s="174">
        <f>Buildings_Heat_Frontend[[#This Row],[Units]]</f>
        <v>0</v>
      </c>
      <c r="AD38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4" s="174" t="str">
        <f>IF(Buildings_Heat_Frontend[[#This Row],[Data]]="","", _xlfn.XLOOKUP(_xlfn.CONCAT(Buildings_Heat_Backend[[#This Row],[Level 1]:[Level 6]]),rng_LevelsConcat,rng_UnitsLong))</f>
        <v/>
      </c>
      <c r="AF384" s="210" t="str">
        <f>IF(Buildings_Heat_Frontend[[#This Row],[Data]]="","", _xlfn.XLOOKUP(_xlfn.CONCAT(Buildings_Heat_Backend[[#This Row],[Level 1]:[Level 6]]),rng_EFConcat,rng_EF1)*Buildings_Heat_Backend[[#This Row],[Converted data]]/1000)</f>
        <v/>
      </c>
      <c r="AG384" s="210" t="str">
        <f>IF(Buildings_Heat_Frontend[[#This Row],[Data]]="","", _xlfn.XLOOKUP(_xlfn.CONCAT(Buildings_Heat_Backend[[#This Row],[Level 1]:[Level 6]]),rng_EFConcat,rng_EF2)*Buildings_Heat_Backend[[#This Row],[Converted data]]/1000)</f>
        <v/>
      </c>
      <c r="AH384" s="210" t="str">
        <f>IF(Buildings_Heat_Frontend[[#This Row],[Data]]="","", _xlfn.XLOOKUP(_xlfn.CONCAT(Buildings_Heat_Backend[[#This Row],[Level 1]:[Level 6]]),rng_EFConcat,rng_EF3)*Buildings_Heat_Backend[[#This Row],[Converted data]]/1000)</f>
        <v/>
      </c>
      <c r="AI384" s="210" t="str">
        <f>IF(Buildings_Heat_Frontend[[#This Row],[Data]]="","", _xlfn.XLOOKUP(_xlfn.CONCAT(Buildings_Heat_Backend[[#This Row],[Level 1]:[Level 6]]),rng_EFConcat,rng_EF3WTT)*Buildings_Heat_Backend[[#This Row],[Converted data]]/1000)</f>
        <v/>
      </c>
      <c r="AJ384" s="210" t="str">
        <f>IF(Buildings_Heat_Frontend[[#This Row],[Data]]="","", _xlfn.XLOOKUP(_xlfn.CONCAT(Buildings_Heat_Backend[[#This Row],[Level 1]:[Level 6]]),rng_EFConcat,rng_EF3TD)*Buildings_Heat_Backend[[#This Row],[Converted data]]/1000)</f>
        <v/>
      </c>
      <c r="AK384" s="210" t="str">
        <f>IF(Buildings_Heat_Frontend[[#This Row],[Data]]="","", _xlfn.XLOOKUP(_xlfn.CONCAT(Buildings_Heat_Backend[[#This Row],[Level 1]:[Level 6]]),rng_EFConcat,rng_EF3WTTTD)*Buildings_Heat_Backend[[#This Row],[Converted data]]/1000)</f>
        <v/>
      </c>
      <c r="AL384" s="220">
        <f>SUM(Buildings_Heat_Backend[[#This Row],[Scope 1 (tCO2e)]:[Scope 3 WTT T&amp;D (tCO2e)]])</f>
        <v>0</v>
      </c>
      <c r="AM384" s="220" t="str">
        <f>IF(Buildings_Heat_Frontend[[#This Row],[Data]]="","", Buildings_Heat_Backend[[#This Row],[Total (tCO2e)]]*(1-Buildings_Heat_Backend[[#This Row],[RSD]]))</f>
        <v/>
      </c>
      <c r="AN384" s="220" t="str">
        <f>IF(Buildings_Heat_Frontend[[#This Row],[Data]]="","", Buildings_Heat_Backend[[#This Row],[Total (tCO2e)]]*(1+Buildings_Heat_Backend[[#This Row],[RSD]]))</f>
        <v/>
      </c>
      <c r="AO384" s="210" t="str">
        <f>IF(Buildings_Heat_Frontend[[#This Row],[Data]]="","", _xlfn.XLOOKUP(_xlfn.CONCAT(Buildings_Heat_Backend[[#This Row],[Level 1]:[Level 6]]),rng_EFConcat,rng_EFOOS)*Buildings_Heat_Backend[[#This Row],[Converted data]]/1000)</f>
        <v/>
      </c>
      <c r="AP384" s="174">
        <f>Buildings_Heat_Frontend[[#This Row],[Ease of collection]]</f>
        <v>0</v>
      </c>
      <c r="AQ384" s="174">
        <f>Buildings_Heat_Frontend[[#This Row],[Completeness]]</f>
        <v>0</v>
      </c>
      <c r="AR384" s="174">
        <f>Buildings_Heat_Frontend[[#This Row],[Notes]]</f>
        <v>0</v>
      </c>
    </row>
    <row r="385" spans="5:44" x14ac:dyDescent="0.3">
      <c r="E385" s="346"/>
      <c r="F385" s="364"/>
      <c r="G385" s="336"/>
      <c r="H385" s="336"/>
      <c r="I385" s="336"/>
      <c r="J385" s="334"/>
      <c r="K385" s="336"/>
      <c r="L385" s="336"/>
      <c r="M385" s="336"/>
      <c r="N385" s="352"/>
      <c r="O385" s="230">
        <f t="shared" si="17"/>
        <v>6</v>
      </c>
      <c r="Q385" s="212" t="str">
        <f t="shared" si="15"/>
        <v/>
      </c>
      <c r="R385" s="174" t="s">
        <v>265</v>
      </c>
      <c r="S385" s="174" t="s">
        <v>273</v>
      </c>
      <c r="T385" s="174" t="str">
        <f>IF(Buildings_Heat_Frontend[[#This Row],[Data]]="","", _xlfn.XLOOKUP(Buildings_Heat_Backend[[#This Row],[Info 1]],Buildings_SiteInfo[Site name],Buildings_SiteInfo[Site type]))</f>
        <v/>
      </c>
      <c r="U385" s="174" t="str">
        <f>IF(Buildings_Heat_Frontend[[#This Row],[Data]]="","", Buildings_Heat_Frontend[[#This Row],[Heating Type]])</f>
        <v/>
      </c>
      <c r="V385" s="174" t="str">
        <f>IF(Buildings_Heat_Frontend[[#This Row],[Data]]="","", Buildings_Heat_Frontend[[#This Row],[Fuel]])</f>
        <v/>
      </c>
      <c r="W385" s="174" t="str" cm="1">
        <f t="array" ref="W385">IF(Buildings_Heat_Frontend[[#This Row],[Data]]="","", _xlfn.XLOOKUP(Buildings_Heat_Backend[[#This Row],[Level 5]],rng_Level5Long,rng_Level6Long))</f>
        <v/>
      </c>
      <c r="X385" s="174" t="str">
        <f>IF(Buildings_Heat_Frontend[[#This Row],[Data]]="","", Buildings_Heat_Frontend[[#This Row],[Site Name]])</f>
        <v/>
      </c>
      <c r="Y385" s="174" t="str">
        <f>IF(Buildings_Heat_Frontend[[#This Row],[Data]]="","", Buildings_Heat_Frontend[[#This Row],[MPRN]])</f>
        <v/>
      </c>
      <c r="Z385" s="174" t="str">
        <f>IF(Buildings_Heat_Frontend[[#This Row],[Data]]="","", IF($I385="","",$I385))</f>
        <v/>
      </c>
      <c r="AA385" s="229" t="str" cm="1">
        <f t="array" ref="AA385">IF(Buildings_Heat_Frontend[[#This Row],[Data]]="","", INDEX(_xlfn.SWITCH(Buildings_Heat_Backend[[#This Row],[Methodology]],"Tier 1",rng_RSD1,"Tier 2",rng_RSD2,"Tier 3",rng_RSD3),MATCH(_xlfn.CONCAT(Buildings_Heat_Backend[[#This Row],[Level 1]:[Level 6]]),rng_LevelsConcat,0)))</f>
        <v/>
      </c>
      <c r="AB385" s="220" t="str">
        <f t="shared" si="16"/>
        <v/>
      </c>
      <c r="AC385" s="174">
        <f>Buildings_Heat_Frontend[[#This Row],[Units]]</f>
        <v>0</v>
      </c>
      <c r="AD38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5" s="174" t="str">
        <f>IF(Buildings_Heat_Frontend[[#This Row],[Data]]="","", _xlfn.XLOOKUP(_xlfn.CONCAT(Buildings_Heat_Backend[[#This Row],[Level 1]:[Level 6]]),rng_LevelsConcat,rng_UnitsLong))</f>
        <v/>
      </c>
      <c r="AF385" s="210" t="str">
        <f>IF(Buildings_Heat_Frontend[[#This Row],[Data]]="","", _xlfn.XLOOKUP(_xlfn.CONCAT(Buildings_Heat_Backend[[#This Row],[Level 1]:[Level 6]]),rng_EFConcat,rng_EF1)*Buildings_Heat_Backend[[#This Row],[Converted data]]/1000)</f>
        <v/>
      </c>
      <c r="AG385" s="210" t="str">
        <f>IF(Buildings_Heat_Frontend[[#This Row],[Data]]="","", _xlfn.XLOOKUP(_xlfn.CONCAT(Buildings_Heat_Backend[[#This Row],[Level 1]:[Level 6]]),rng_EFConcat,rng_EF2)*Buildings_Heat_Backend[[#This Row],[Converted data]]/1000)</f>
        <v/>
      </c>
      <c r="AH385" s="210" t="str">
        <f>IF(Buildings_Heat_Frontend[[#This Row],[Data]]="","", _xlfn.XLOOKUP(_xlfn.CONCAT(Buildings_Heat_Backend[[#This Row],[Level 1]:[Level 6]]),rng_EFConcat,rng_EF3)*Buildings_Heat_Backend[[#This Row],[Converted data]]/1000)</f>
        <v/>
      </c>
      <c r="AI385" s="210" t="str">
        <f>IF(Buildings_Heat_Frontend[[#This Row],[Data]]="","", _xlfn.XLOOKUP(_xlfn.CONCAT(Buildings_Heat_Backend[[#This Row],[Level 1]:[Level 6]]),rng_EFConcat,rng_EF3WTT)*Buildings_Heat_Backend[[#This Row],[Converted data]]/1000)</f>
        <v/>
      </c>
      <c r="AJ385" s="210" t="str">
        <f>IF(Buildings_Heat_Frontend[[#This Row],[Data]]="","", _xlfn.XLOOKUP(_xlfn.CONCAT(Buildings_Heat_Backend[[#This Row],[Level 1]:[Level 6]]),rng_EFConcat,rng_EF3TD)*Buildings_Heat_Backend[[#This Row],[Converted data]]/1000)</f>
        <v/>
      </c>
      <c r="AK385" s="210" t="str">
        <f>IF(Buildings_Heat_Frontend[[#This Row],[Data]]="","", _xlfn.XLOOKUP(_xlfn.CONCAT(Buildings_Heat_Backend[[#This Row],[Level 1]:[Level 6]]),rng_EFConcat,rng_EF3WTTTD)*Buildings_Heat_Backend[[#This Row],[Converted data]]/1000)</f>
        <v/>
      </c>
      <c r="AL385" s="220">
        <f>SUM(Buildings_Heat_Backend[[#This Row],[Scope 1 (tCO2e)]:[Scope 3 WTT T&amp;D (tCO2e)]])</f>
        <v>0</v>
      </c>
      <c r="AM385" s="220" t="str">
        <f>IF(Buildings_Heat_Frontend[[#This Row],[Data]]="","", Buildings_Heat_Backend[[#This Row],[Total (tCO2e)]]*(1-Buildings_Heat_Backend[[#This Row],[RSD]]))</f>
        <v/>
      </c>
      <c r="AN385" s="220" t="str">
        <f>IF(Buildings_Heat_Frontend[[#This Row],[Data]]="","", Buildings_Heat_Backend[[#This Row],[Total (tCO2e)]]*(1+Buildings_Heat_Backend[[#This Row],[RSD]]))</f>
        <v/>
      </c>
      <c r="AO385" s="210" t="str">
        <f>IF(Buildings_Heat_Frontend[[#This Row],[Data]]="","", _xlfn.XLOOKUP(_xlfn.CONCAT(Buildings_Heat_Backend[[#This Row],[Level 1]:[Level 6]]),rng_EFConcat,rng_EFOOS)*Buildings_Heat_Backend[[#This Row],[Converted data]]/1000)</f>
        <v/>
      </c>
      <c r="AP385" s="174">
        <f>Buildings_Heat_Frontend[[#This Row],[Ease of collection]]</f>
        <v>0</v>
      </c>
      <c r="AQ385" s="174">
        <f>Buildings_Heat_Frontend[[#This Row],[Completeness]]</f>
        <v>0</v>
      </c>
      <c r="AR385" s="174">
        <f>Buildings_Heat_Frontend[[#This Row],[Notes]]</f>
        <v>0</v>
      </c>
    </row>
    <row r="386" spans="5:44" x14ac:dyDescent="0.3">
      <c r="E386" s="346"/>
      <c r="F386" s="364"/>
      <c r="G386" s="336"/>
      <c r="H386" s="336"/>
      <c r="I386" s="336"/>
      <c r="J386" s="334"/>
      <c r="K386" s="336"/>
      <c r="L386" s="336"/>
      <c r="M386" s="336"/>
      <c r="N386" s="352"/>
      <c r="O386" s="230">
        <f t="shared" si="17"/>
        <v>6</v>
      </c>
      <c r="Q386" s="212" t="str">
        <f t="shared" si="15"/>
        <v/>
      </c>
      <c r="R386" s="174" t="s">
        <v>265</v>
      </c>
      <c r="S386" s="174" t="s">
        <v>273</v>
      </c>
      <c r="T386" s="174" t="str">
        <f>IF(Buildings_Heat_Frontend[[#This Row],[Data]]="","", _xlfn.XLOOKUP(Buildings_Heat_Backend[[#This Row],[Info 1]],Buildings_SiteInfo[Site name],Buildings_SiteInfo[Site type]))</f>
        <v/>
      </c>
      <c r="U386" s="174" t="str">
        <f>IF(Buildings_Heat_Frontend[[#This Row],[Data]]="","", Buildings_Heat_Frontend[[#This Row],[Heating Type]])</f>
        <v/>
      </c>
      <c r="V386" s="174" t="str">
        <f>IF(Buildings_Heat_Frontend[[#This Row],[Data]]="","", Buildings_Heat_Frontend[[#This Row],[Fuel]])</f>
        <v/>
      </c>
      <c r="W386" s="174" t="str" cm="1">
        <f t="array" ref="W386">IF(Buildings_Heat_Frontend[[#This Row],[Data]]="","", _xlfn.XLOOKUP(Buildings_Heat_Backend[[#This Row],[Level 5]],rng_Level5Long,rng_Level6Long))</f>
        <v/>
      </c>
      <c r="X386" s="174" t="str">
        <f>IF(Buildings_Heat_Frontend[[#This Row],[Data]]="","", Buildings_Heat_Frontend[[#This Row],[Site Name]])</f>
        <v/>
      </c>
      <c r="Y386" s="174" t="str">
        <f>IF(Buildings_Heat_Frontend[[#This Row],[Data]]="","", Buildings_Heat_Frontend[[#This Row],[MPRN]])</f>
        <v/>
      </c>
      <c r="Z386" s="174" t="str">
        <f>IF(Buildings_Heat_Frontend[[#This Row],[Data]]="","", IF($I386="","",$I386))</f>
        <v/>
      </c>
      <c r="AA386" s="229" t="str" cm="1">
        <f t="array" ref="AA386">IF(Buildings_Heat_Frontend[[#This Row],[Data]]="","", INDEX(_xlfn.SWITCH(Buildings_Heat_Backend[[#This Row],[Methodology]],"Tier 1",rng_RSD1,"Tier 2",rng_RSD2,"Tier 3",rng_RSD3),MATCH(_xlfn.CONCAT(Buildings_Heat_Backend[[#This Row],[Level 1]:[Level 6]]),rng_LevelsConcat,0)))</f>
        <v/>
      </c>
      <c r="AB386" s="220" t="str">
        <f t="shared" si="16"/>
        <v/>
      </c>
      <c r="AC386" s="174">
        <f>Buildings_Heat_Frontend[[#This Row],[Units]]</f>
        <v>0</v>
      </c>
      <c r="AD38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6" s="174" t="str">
        <f>IF(Buildings_Heat_Frontend[[#This Row],[Data]]="","", _xlfn.XLOOKUP(_xlfn.CONCAT(Buildings_Heat_Backend[[#This Row],[Level 1]:[Level 6]]),rng_LevelsConcat,rng_UnitsLong))</f>
        <v/>
      </c>
      <c r="AF386" s="210" t="str">
        <f>IF(Buildings_Heat_Frontend[[#This Row],[Data]]="","", _xlfn.XLOOKUP(_xlfn.CONCAT(Buildings_Heat_Backend[[#This Row],[Level 1]:[Level 6]]),rng_EFConcat,rng_EF1)*Buildings_Heat_Backend[[#This Row],[Converted data]]/1000)</f>
        <v/>
      </c>
      <c r="AG386" s="210" t="str">
        <f>IF(Buildings_Heat_Frontend[[#This Row],[Data]]="","", _xlfn.XLOOKUP(_xlfn.CONCAT(Buildings_Heat_Backend[[#This Row],[Level 1]:[Level 6]]),rng_EFConcat,rng_EF2)*Buildings_Heat_Backend[[#This Row],[Converted data]]/1000)</f>
        <v/>
      </c>
      <c r="AH386" s="210" t="str">
        <f>IF(Buildings_Heat_Frontend[[#This Row],[Data]]="","", _xlfn.XLOOKUP(_xlfn.CONCAT(Buildings_Heat_Backend[[#This Row],[Level 1]:[Level 6]]),rng_EFConcat,rng_EF3)*Buildings_Heat_Backend[[#This Row],[Converted data]]/1000)</f>
        <v/>
      </c>
      <c r="AI386" s="210" t="str">
        <f>IF(Buildings_Heat_Frontend[[#This Row],[Data]]="","", _xlfn.XLOOKUP(_xlfn.CONCAT(Buildings_Heat_Backend[[#This Row],[Level 1]:[Level 6]]),rng_EFConcat,rng_EF3WTT)*Buildings_Heat_Backend[[#This Row],[Converted data]]/1000)</f>
        <v/>
      </c>
      <c r="AJ386" s="210" t="str">
        <f>IF(Buildings_Heat_Frontend[[#This Row],[Data]]="","", _xlfn.XLOOKUP(_xlfn.CONCAT(Buildings_Heat_Backend[[#This Row],[Level 1]:[Level 6]]),rng_EFConcat,rng_EF3TD)*Buildings_Heat_Backend[[#This Row],[Converted data]]/1000)</f>
        <v/>
      </c>
      <c r="AK386" s="210" t="str">
        <f>IF(Buildings_Heat_Frontend[[#This Row],[Data]]="","", _xlfn.XLOOKUP(_xlfn.CONCAT(Buildings_Heat_Backend[[#This Row],[Level 1]:[Level 6]]),rng_EFConcat,rng_EF3WTTTD)*Buildings_Heat_Backend[[#This Row],[Converted data]]/1000)</f>
        <v/>
      </c>
      <c r="AL386" s="220">
        <f>SUM(Buildings_Heat_Backend[[#This Row],[Scope 1 (tCO2e)]:[Scope 3 WTT T&amp;D (tCO2e)]])</f>
        <v>0</v>
      </c>
      <c r="AM386" s="220" t="str">
        <f>IF(Buildings_Heat_Frontend[[#This Row],[Data]]="","", Buildings_Heat_Backend[[#This Row],[Total (tCO2e)]]*(1-Buildings_Heat_Backend[[#This Row],[RSD]]))</f>
        <v/>
      </c>
      <c r="AN386" s="220" t="str">
        <f>IF(Buildings_Heat_Frontend[[#This Row],[Data]]="","", Buildings_Heat_Backend[[#This Row],[Total (tCO2e)]]*(1+Buildings_Heat_Backend[[#This Row],[RSD]]))</f>
        <v/>
      </c>
      <c r="AO386" s="210" t="str">
        <f>IF(Buildings_Heat_Frontend[[#This Row],[Data]]="","", _xlfn.XLOOKUP(_xlfn.CONCAT(Buildings_Heat_Backend[[#This Row],[Level 1]:[Level 6]]),rng_EFConcat,rng_EFOOS)*Buildings_Heat_Backend[[#This Row],[Converted data]]/1000)</f>
        <v/>
      </c>
      <c r="AP386" s="174">
        <f>Buildings_Heat_Frontend[[#This Row],[Ease of collection]]</f>
        <v>0</v>
      </c>
      <c r="AQ386" s="174">
        <f>Buildings_Heat_Frontend[[#This Row],[Completeness]]</f>
        <v>0</v>
      </c>
      <c r="AR386" s="174">
        <f>Buildings_Heat_Frontend[[#This Row],[Notes]]</f>
        <v>0</v>
      </c>
    </row>
    <row r="387" spans="5:44" x14ac:dyDescent="0.3">
      <c r="E387" s="346"/>
      <c r="F387" s="364"/>
      <c r="G387" s="336"/>
      <c r="H387" s="336"/>
      <c r="I387" s="336"/>
      <c r="J387" s="334"/>
      <c r="K387" s="336"/>
      <c r="L387" s="336"/>
      <c r="M387" s="336"/>
      <c r="N387" s="352"/>
      <c r="O387" s="230">
        <f t="shared" si="17"/>
        <v>6</v>
      </c>
      <c r="Q387" s="212" t="str">
        <f t="shared" si="15"/>
        <v/>
      </c>
      <c r="R387" s="174" t="s">
        <v>265</v>
      </c>
      <c r="S387" s="174" t="s">
        <v>273</v>
      </c>
      <c r="T387" s="174" t="str">
        <f>IF(Buildings_Heat_Frontend[[#This Row],[Data]]="","", _xlfn.XLOOKUP(Buildings_Heat_Backend[[#This Row],[Info 1]],Buildings_SiteInfo[Site name],Buildings_SiteInfo[Site type]))</f>
        <v/>
      </c>
      <c r="U387" s="174" t="str">
        <f>IF(Buildings_Heat_Frontend[[#This Row],[Data]]="","", Buildings_Heat_Frontend[[#This Row],[Heating Type]])</f>
        <v/>
      </c>
      <c r="V387" s="174" t="str">
        <f>IF(Buildings_Heat_Frontend[[#This Row],[Data]]="","", Buildings_Heat_Frontend[[#This Row],[Fuel]])</f>
        <v/>
      </c>
      <c r="W387" s="174" t="str" cm="1">
        <f t="array" ref="W387">IF(Buildings_Heat_Frontend[[#This Row],[Data]]="","", _xlfn.XLOOKUP(Buildings_Heat_Backend[[#This Row],[Level 5]],rng_Level5Long,rng_Level6Long))</f>
        <v/>
      </c>
      <c r="X387" s="174" t="str">
        <f>IF(Buildings_Heat_Frontend[[#This Row],[Data]]="","", Buildings_Heat_Frontend[[#This Row],[Site Name]])</f>
        <v/>
      </c>
      <c r="Y387" s="174" t="str">
        <f>IF(Buildings_Heat_Frontend[[#This Row],[Data]]="","", Buildings_Heat_Frontend[[#This Row],[MPRN]])</f>
        <v/>
      </c>
      <c r="Z387" s="174" t="str">
        <f>IF(Buildings_Heat_Frontend[[#This Row],[Data]]="","", IF($I387="","",$I387))</f>
        <v/>
      </c>
      <c r="AA387" s="229" t="str" cm="1">
        <f t="array" ref="AA387">IF(Buildings_Heat_Frontend[[#This Row],[Data]]="","", INDEX(_xlfn.SWITCH(Buildings_Heat_Backend[[#This Row],[Methodology]],"Tier 1",rng_RSD1,"Tier 2",rng_RSD2,"Tier 3",rng_RSD3),MATCH(_xlfn.CONCAT(Buildings_Heat_Backend[[#This Row],[Level 1]:[Level 6]]),rng_LevelsConcat,0)))</f>
        <v/>
      </c>
      <c r="AB387" s="220" t="str">
        <f t="shared" si="16"/>
        <v/>
      </c>
      <c r="AC387" s="174">
        <f>Buildings_Heat_Frontend[[#This Row],[Units]]</f>
        <v>0</v>
      </c>
      <c r="AD38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7" s="174" t="str">
        <f>IF(Buildings_Heat_Frontend[[#This Row],[Data]]="","", _xlfn.XLOOKUP(_xlfn.CONCAT(Buildings_Heat_Backend[[#This Row],[Level 1]:[Level 6]]),rng_LevelsConcat,rng_UnitsLong))</f>
        <v/>
      </c>
      <c r="AF387" s="210" t="str">
        <f>IF(Buildings_Heat_Frontend[[#This Row],[Data]]="","", _xlfn.XLOOKUP(_xlfn.CONCAT(Buildings_Heat_Backend[[#This Row],[Level 1]:[Level 6]]),rng_EFConcat,rng_EF1)*Buildings_Heat_Backend[[#This Row],[Converted data]]/1000)</f>
        <v/>
      </c>
      <c r="AG387" s="210" t="str">
        <f>IF(Buildings_Heat_Frontend[[#This Row],[Data]]="","", _xlfn.XLOOKUP(_xlfn.CONCAT(Buildings_Heat_Backend[[#This Row],[Level 1]:[Level 6]]),rng_EFConcat,rng_EF2)*Buildings_Heat_Backend[[#This Row],[Converted data]]/1000)</f>
        <v/>
      </c>
      <c r="AH387" s="210" t="str">
        <f>IF(Buildings_Heat_Frontend[[#This Row],[Data]]="","", _xlfn.XLOOKUP(_xlfn.CONCAT(Buildings_Heat_Backend[[#This Row],[Level 1]:[Level 6]]),rng_EFConcat,rng_EF3)*Buildings_Heat_Backend[[#This Row],[Converted data]]/1000)</f>
        <v/>
      </c>
      <c r="AI387" s="210" t="str">
        <f>IF(Buildings_Heat_Frontend[[#This Row],[Data]]="","", _xlfn.XLOOKUP(_xlfn.CONCAT(Buildings_Heat_Backend[[#This Row],[Level 1]:[Level 6]]),rng_EFConcat,rng_EF3WTT)*Buildings_Heat_Backend[[#This Row],[Converted data]]/1000)</f>
        <v/>
      </c>
      <c r="AJ387" s="210" t="str">
        <f>IF(Buildings_Heat_Frontend[[#This Row],[Data]]="","", _xlfn.XLOOKUP(_xlfn.CONCAT(Buildings_Heat_Backend[[#This Row],[Level 1]:[Level 6]]),rng_EFConcat,rng_EF3TD)*Buildings_Heat_Backend[[#This Row],[Converted data]]/1000)</f>
        <v/>
      </c>
      <c r="AK387" s="210" t="str">
        <f>IF(Buildings_Heat_Frontend[[#This Row],[Data]]="","", _xlfn.XLOOKUP(_xlfn.CONCAT(Buildings_Heat_Backend[[#This Row],[Level 1]:[Level 6]]),rng_EFConcat,rng_EF3WTTTD)*Buildings_Heat_Backend[[#This Row],[Converted data]]/1000)</f>
        <v/>
      </c>
      <c r="AL387" s="220">
        <f>SUM(Buildings_Heat_Backend[[#This Row],[Scope 1 (tCO2e)]:[Scope 3 WTT T&amp;D (tCO2e)]])</f>
        <v>0</v>
      </c>
      <c r="AM387" s="220" t="str">
        <f>IF(Buildings_Heat_Frontend[[#This Row],[Data]]="","", Buildings_Heat_Backend[[#This Row],[Total (tCO2e)]]*(1-Buildings_Heat_Backend[[#This Row],[RSD]]))</f>
        <v/>
      </c>
      <c r="AN387" s="220" t="str">
        <f>IF(Buildings_Heat_Frontend[[#This Row],[Data]]="","", Buildings_Heat_Backend[[#This Row],[Total (tCO2e)]]*(1+Buildings_Heat_Backend[[#This Row],[RSD]]))</f>
        <v/>
      </c>
      <c r="AO387" s="210" t="str">
        <f>IF(Buildings_Heat_Frontend[[#This Row],[Data]]="","", _xlfn.XLOOKUP(_xlfn.CONCAT(Buildings_Heat_Backend[[#This Row],[Level 1]:[Level 6]]),rng_EFConcat,rng_EFOOS)*Buildings_Heat_Backend[[#This Row],[Converted data]]/1000)</f>
        <v/>
      </c>
      <c r="AP387" s="174">
        <f>Buildings_Heat_Frontend[[#This Row],[Ease of collection]]</f>
        <v>0</v>
      </c>
      <c r="AQ387" s="174">
        <f>Buildings_Heat_Frontend[[#This Row],[Completeness]]</f>
        <v>0</v>
      </c>
      <c r="AR387" s="174">
        <f>Buildings_Heat_Frontend[[#This Row],[Notes]]</f>
        <v>0</v>
      </c>
    </row>
    <row r="388" spans="5:44" x14ac:dyDescent="0.3">
      <c r="E388" s="346"/>
      <c r="F388" s="364"/>
      <c r="G388" s="336"/>
      <c r="H388" s="336"/>
      <c r="I388" s="336"/>
      <c r="J388" s="334"/>
      <c r="K388" s="336"/>
      <c r="L388" s="336"/>
      <c r="M388" s="336"/>
      <c r="N388" s="352"/>
      <c r="O388" s="230">
        <f t="shared" si="17"/>
        <v>6</v>
      </c>
      <c r="Q388" s="212" t="str">
        <f t="shared" si="15"/>
        <v/>
      </c>
      <c r="R388" s="174" t="s">
        <v>265</v>
      </c>
      <c r="S388" s="174" t="s">
        <v>273</v>
      </c>
      <c r="T388" s="174" t="str">
        <f>IF(Buildings_Heat_Frontend[[#This Row],[Data]]="","", _xlfn.XLOOKUP(Buildings_Heat_Backend[[#This Row],[Info 1]],Buildings_SiteInfo[Site name],Buildings_SiteInfo[Site type]))</f>
        <v/>
      </c>
      <c r="U388" s="174" t="str">
        <f>IF(Buildings_Heat_Frontend[[#This Row],[Data]]="","", Buildings_Heat_Frontend[[#This Row],[Heating Type]])</f>
        <v/>
      </c>
      <c r="V388" s="174" t="str">
        <f>IF(Buildings_Heat_Frontend[[#This Row],[Data]]="","", Buildings_Heat_Frontend[[#This Row],[Fuel]])</f>
        <v/>
      </c>
      <c r="W388" s="174" t="str" cm="1">
        <f t="array" ref="W388">IF(Buildings_Heat_Frontend[[#This Row],[Data]]="","", _xlfn.XLOOKUP(Buildings_Heat_Backend[[#This Row],[Level 5]],rng_Level5Long,rng_Level6Long))</f>
        <v/>
      </c>
      <c r="X388" s="174" t="str">
        <f>IF(Buildings_Heat_Frontend[[#This Row],[Data]]="","", Buildings_Heat_Frontend[[#This Row],[Site Name]])</f>
        <v/>
      </c>
      <c r="Y388" s="174" t="str">
        <f>IF(Buildings_Heat_Frontend[[#This Row],[Data]]="","", Buildings_Heat_Frontend[[#This Row],[MPRN]])</f>
        <v/>
      </c>
      <c r="Z388" s="174" t="str">
        <f>IF(Buildings_Heat_Frontend[[#This Row],[Data]]="","", IF($I388="","",$I388))</f>
        <v/>
      </c>
      <c r="AA388" s="229" t="str" cm="1">
        <f t="array" ref="AA388">IF(Buildings_Heat_Frontend[[#This Row],[Data]]="","", INDEX(_xlfn.SWITCH(Buildings_Heat_Backend[[#This Row],[Methodology]],"Tier 1",rng_RSD1,"Tier 2",rng_RSD2,"Tier 3",rng_RSD3),MATCH(_xlfn.CONCAT(Buildings_Heat_Backend[[#This Row],[Level 1]:[Level 6]]),rng_LevelsConcat,0)))</f>
        <v/>
      </c>
      <c r="AB388" s="220" t="str">
        <f t="shared" si="16"/>
        <v/>
      </c>
      <c r="AC388" s="174">
        <f>Buildings_Heat_Frontend[[#This Row],[Units]]</f>
        <v>0</v>
      </c>
      <c r="AD38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8" s="174" t="str">
        <f>IF(Buildings_Heat_Frontend[[#This Row],[Data]]="","", _xlfn.XLOOKUP(_xlfn.CONCAT(Buildings_Heat_Backend[[#This Row],[Level 1]:[Level 6]]),rng_LevelsConcat,rng_UnitsLong))</f>
        <v/>
      </c>
      <c r="AF388" s="210" t="str">
        <f>IF(Buildings_Heat_Frontend[[#This Row],[Data]]="","", _xlfn.XLOOKUP(_xlfn.CONCAT(Buildings_Heat_Backend[[#This Row],[Level 1]:[Level 6]]),rng_EFConcat,rng_EF1)*Buildings_Heat_Backend[[#This Row],[Converted data]]/1000)</f>
        <v/>
      </c>
      <c r="AG388" s="210" t="str">
        <f>IF(Buildings_Heat_Frontend[[#This Row],[Data]]="","", _xlfn.XLOOKUP(_xlfn.CONCAT(Buildings_Heat_Backend[[#This Row],[Level 1]:[Level 6]]),rng_EFConcat,rng_EF2)*Buildings_Heat_Backend[[#This Row],[Converted data]]/1000)</f>
        <v/>
      </c>
      <c r="AH388" s="210" t="str">
        <f>IF(Buildings_Heat_Frontend[[#This Row],[Data]]="","", _xlfn.XLOOKUP(_xlfn.CONCAT(Buildings_Heat_Backend[[#This Row],[Level 1]:[Level 6]]),rng_EFConcat,rng_EF3)*Buildings_Heat_Backend[[#This Row],[Converted data]]/1000)</f>
        <v/>
      </c>
      <c r="AI388" s="210" t="str">
        <f>IF(Buildings_Heat_Frontend[[#This Row],[Data]]="","", _xlfn.XLOOKUP(_xlfn.CONCAT(Buildings_Heat_Backend[[#This Row],[Level 1]:[Level 6]]),rng_EFConcat,rng_EF3WTT)*Buildings_Heat_Backend[[#This Row],[Converted data]]/1000)</f>
        <v/>
      </c>
      <c r="AJ388" s="210" t="str">
        <f>IF(Buildings_Heat_Frontend[[#This Row],[Data]]="","", _xlfn.XLOOKUP(_xlfn.CONCAT(Buildings_Heat_Backend[[#This Row],[Level 1]:[Level 6]]),rng_EFConcat,rng_EF3TD)*Buildings_Heat_Backend[[#This Row],[Converted data]]/1000)</f>
        <v/>
      </c>
      <c r="AK388" s="210" t="str">
        <f>IF(Buildings_Heat_Frontend[[#This Row],[Data]]="","", _xlfn.XLOOKUP(_xlfn.CONCAT(Buildings_Heat_Backend[[#This Row],[Level 1]:[Level 6]]),rng_EFConcat,rng_EF3WTTTD)*Buildings_Heat_Backend[[#This Row],[Converted data]]/1000)</f>
        <v/>
      </c>
      <c r="AL388" s="220">
        <f>SUM(Buildings_Heat_Backend[[#This Row],[Scope 1 (tCO2e)]:[Scope 3 WTT T&amp;D (tCO2e)]])</f>
        <v>0</v>
      </c>
      <c r="AM388" s="220" t="str">
        <f>IF(Buildings_Heat_Frontend[[#This Row],[Data]]="","", Buildings_Heat_Backend[[#This Row],[Total (tCO2e)]]*(1-Buildings_Heat_Backend[[#This Row],[RSD]]))</f>
        <v/>
      </c>
      <c r="AN388" s="220" t="str">
        <f>IF(Buildings_Heat_Frontend[[#This Row],[Data]]="","", Buildings_Heat_Backend[[#This Row],[Total (tCO2e)]]*(1+Buildings_Heat_Backend[[#This Row],[RSD]]))</f>
        <v/>
      </c>
      <c r="AO388" s="210" t="str">
        <f>IF(Buildings_Heat_Frontend[[#This Row],[Data]]="","", _xlfn.XLOOKUP(_xlfn.CONCAT(Buildings_Heat_Backend[[#This Row],[Level 1]:[Level 6]]),rng_EFConcat,rng_EFOOS)*Buildings_Heat_Backend[[#This Row],[Converted data]]/1000)</f>
        <v/>
      </c>
      <c r="AP388" s="174">
        <f>Buildings_Heat_Frontend[[#This Row],[Ease of collection]]</f>
        <v>0</v>
      </c>
      <c r="AQ388" s="174">
        <f>Buildings_Heat_Frontend[[#This Row],[Completeness]]</f>
        <v>0</v>
      </c>
      <c r="AR388" s="174">
        <f>Buildings_Heat_Frontend[[#This Row],[Notes]]</f>
        <v>0</v>
      </c>
    </row>
    <row r="389" spans="5:44" x14ac:dyDescent="0.3">
      <c r="E389" s="346"/>
      <c r="F389" s="364"/>
      <c r="G389" s="336"/>
      <c r="H389" s="336"/>
      <c r="I389" s="336"/>
      <c r="J389" s="334"/>
      <c r="K389" s="336"/>
      <c r="L389" s="336"/>
      <c r="M389" s="336"/>
      <c r="N389" s="352"/>
      <c r="O389" s="230">
        <f t="shared" si="17"/>
        <v>6</v>
      </c>
      <c r="Q389" s="212" t="str">
        <f t="shared" si="15"/>
        <v/>
      </c>
      <c r="R389" s="174" t="s">
        <v>265</v>
      </c>
      <c r="S389" s="174" t="s">
        <v>273</v>
      </c>
      <c r="T389" s="174" t="str">
        <f>IF(Buildings_Heat_Frontend[[#This Row],[Data]]="","", _xlfn.XLOOKUP(Buildings_Heat_Backend[[#This Row],[Info 1]],Buildings_SiteInfo[Site name],Buildings_SiteInfo[Site type]))</f>
        <v/>
      </c>
      <c r="U389" s="174" t="str">
        <f>IF(Buildings_Heat_Frontend[[#This Row],[Data]]="","", Buildings_Heat_Frontend[[#This Row],[Heating Type]])</f>
        <v/>
      </c>
      <c r="V389" s="174" t="str">
        <f>IF(Buildings_Heat_Frontend[[#This Row],[Data]]="","", Buildings_Heat_Frontend[[#This Row],[Fuel]])</f>
        <v/>
      </c>
      <c r="W389" s="174" t="str" cm="1">
        <f t="array" ref="W389">IF(Buildings_Heat_Frontend[[#This Row],[Data]]="","", _xlfn.XLOOKUP(Buildings_Heat_Backend[[#This Row],[Level 5]],rng_Level5Long,rng_Level6Long))</f>
        <v/>
      </c>
      <c r="X389" s="174" t="str">
        <f>IF(Buildings_Heat_Frontend[[#This Row],[Data]]="","", Buildings_Heat_Frontend[[#This Row],[Site Name]])</f>
        <v/>
      </c>
      <c r="Y389" s="174" t="str">
        <f>IF(Buildings_Heat_Frontend[[#This Row],[Data]]="","", Buildings_Heat_Frontend[[#This Row],[MPRN]])</f>
        <v/>
      </c>
      <c r="Z389" s="174" t="str">
        <f>IF(Buildings_Heat_Frontend[[#This Row],[Data]]="","", IF($I389="","",$I389))</f>
        <v/>
      </c>
      <c r="AA389" s="229" t="str" cm="1">
        <f t="array" ref="AA389">IF(Buildings_Heat_Frontend[[#This Row],[Data]]="","", INDEX(_xlfn.SWITCH(Buildings_Heat_Backend[[#This Row],[Methodology]],"Tier 1",rng_RSD1,"Tier 2",rng_RSD2,"Tier 3",rng_RSD3),MATCH(_xlfn.CONCAT(Buildings_Heat_Backend[[#This Row],[Level 1]:[Level 6]]),rng_LevelsConcat,0)))</f>
        <v/>
      </c>
      <c r="AB389" s="220" t="str">
        <f t="shared" si="16"/>
        <v/>
      </c>
      <c r="AC389" s="174">
        <f>Buildings_Heat_Frontend[[#This Row],[Units]]</f>
        <v>0</v>
      </c>
      <c r="AD38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89" s="174" t="str">
        <f>IF(Buildings_Heat_Frontend[[#This Row],[Data]]="","", _xlfn.XLOOKUP(_xlfn.CONCAT(Buildings_Heat_Backend[[#This Row],[Level 1]:[Level 6]]),rng_LevelsConcat,rng_UnitsLong))</f>
        <v/>
      </c>
      <c r="AF389" s="210" t="str">
        <f>IF(Buildings_Heat_Frontend[[#This Row],[Data]]="","", _xlfn.XLOOKUP(_xlfn.CONCAT(Buildings_Heat_Backend[[#This Row],[Level 1]:[Level 6]]),rng_EFConcat,rng_EF1)*Buildings_Heat_Backend[[#This Row],[Converted data]]/1000)</f>
        <v/>
      </c>
      <c r="AG389" s="210" t="str">
        <f>IF(Buildings_Heat_Frontend[[#This Row],[Data]]="","", _xlfn.XLOOKUP(_xlfn.CONCAT(Buildings_Heat_Backend[[#This Row],[Level 1]:[Level 6]]),rng_EFConcat,rng_EF2)*Buildings_Heat_Backend[[#This Row],[Converted data]]/1000)</f>
        <v/>
      </c>
      <c r="AH389" s="210" t="str">
        <f>IF(Buildings_Heat_Frontend[[#This Row],[Data]]="","", _xlfn.XLOOKUP(_xlfn.CONCAT(Buildings_Heat_Backend[[#This Row],[Level 1]:[Level 6]]),rng_EFConcat,rng_EF3)*Buildings_Heat_Backend[[#This Row],[Converted data]]/1000)</f>
        <v/>
      </c>
      <c r="AI389" s="210" t="str">
        <f>IF(Buildings_Heat_Frontend[[#This Row],[Data]]="","", _xlfn.XLOOKUP(_xlfn.CONCAT(Buildings_Heat_Backend[[#This Row],[Level 1]:[Level 6]]),rng_EFConcat,rng_EF3WTT)*Buildings_Heat_Backend[[#This Row],[Converted data]]/1000)</f>
        <v/>
      </c>
      <c r="AJ389" s="210" t="str">
        <f>IF(Buildings_Heat_Frontend[[#This Row],[Data]]="","", _xlfn.XLOOKUP(_xlfn.CONCAT(Buildings_Heat_Backend[[#This Row],[Level 1]:[Level 6]]),rng_EFConcat,rng_EF3TD)*Buildings_Heat_Backend[[#This Row],[Converted data]]/1000)</f>
        <v/>
      </c>
      <c r="AK389" s="210" t="str">
        <f>IF(Buildings_Heat_Frontend[[#This Row],[Data]]="","", _xlfn.XLOOKUP(_xlfn.CONCAT(Buildings_Heat_Backend[[#This Row],[Level 1]:[Level 6]]),rng_EFConcat,rng_EF3WTTTD)*Buildings_Heat_Backend[[#This Row],[Converted data]]/1000)</f>
        <v/>
      </c>
      <c r="AL389" s="220">
        <f>SUM(Buildings_Heat_Backend[[#This Row],[Scope 1 (tCO2e)]:[Scope 3 WTT T&amp;D (tCO2e)]])</f>
        <v>0</v>
      </c>
      <c r="AM389" s="220" t="str">
        <f>IF(Buildings_Heat_Frontend[[#This Row],[Data]]="","", Buildings_Heat_Backend[[#This Row],[Total (tCO2e)]]*(1-Buildings_Heat_Backend[[#This Row],[RSD]]))</f>
        <v/>
      </c>
      <c r="AN389" s="220" t="str">
        <f>IF(Buildings_Heat_Frontend[[#This Row],[Data]]="","", Buildings_Heat_Backend[[#This Row],[Total (tCO2e)]]*(1+Buildings_Heat_Backend[[#This Row],[RSD]]))</f>
        <v/>
      </c>
      <c r="AO389" s="210" t="str">
        <f>IF(Buildings_Heat_Frontend[[#This Row],[Data]]="","", _xlfn.XLOOKUP(_xlfn.CONCAT(Buildings_Heat_Backend[[#This Row],[Level 1]:[Level 6]]),rng_EFConcat,rng_EFOOS)*Buildings_Heat_Backend[[#This Row],[Converted data]]/1000)</f>
        <v/>
      </c>
      <c r="AP389" s="174">
        <f>Buildings_Heat_Frontend[[#This Row],[Ease of collection]]</f>
        <v>0</v>
      </c>
      <c r="AQ389" s="174">
        <f>Buildings_Heat_Frontend[[#This Row],[Completeness]]</f>
        <v>0</v>
      </c>
      <c r="AR389" s="174">
        <f>Buildings_Heat_Frontend[[#This Row],[Notes]]</f>
        <v>0</v>
      </c>
    </row>
    <row r="390" spans="5:44" x14ac:dyDescent="0.3">
      <c r="E390" s="346"/>
      <c r="F390" s="364"/>
      <c r="G390" s="336"/>
      <c r="H390" s="336"/>
      <c r="I390" s="336"/>
      <c r="J390" s="334"/>
      <c r="K390" s="336"/>
      <c r="L390" s="336"/>
      <c r="M390" s="336"/>
      <c r="N390" s="352"/>
      <c r="O390" s="230">
        <f t="shared" si="17"/>
        <v>6</v>
      </c>
      <c r="Q390" s="212" t="str">
        <f t="shared" si="15"/>
        <v/>
      </c>
      <c r="R390" s="174" t="s">
        <v>265</v>
      </c>
      <c r="S390" s="174" t="s">
        <v>273</v>
      </c>
      <c r="T390" s="174" t="str">
        <f>IF(Buildings_Heat_Frontend[[#This Row],[Data]]="","", _xlfn.XLOOKUP(Buildings_Heat_Backend[[#This Row],[Info 1]],Buildings_SiteInfo[Site name],Buildings_SiteInfo[Site type]))</f>
        <v/>
      </c>
      <c r="U390" s="174" t="str">
        <f>IF(Buildings_Heat_Frontend[[#This Row],[Data]]="","", Buildings_Heat_Frontend[[#This Row],[Heating Type]])</f>
        <v/>
      </c>
      <c r="V390" s="174" t="str">
        <f>IF(Buildings_Heat_Frontend[[#This Row],[Data]]="","", Buildings_Heat_Frontend[[#This Row],[Fuel]])</f>
        <v/>
      </c>
      <c r="W390" s="174" t="str" cm="1">
        <f t="array" ref="W390">IF(Buildings_Heat_Frontend[[#This Row],[Data]]="","", _xlfn.XLOOKUP(Buildings_Heat_Backend[[#This Row],[Level 5]],rng_Level5Long,rng_Level6Long))</f>
        <v/>
      </c>
      <c r="X390" s="174" t="str">
        <f>IF(Buildings_Heat_Frontend[[#This Row],[Data]]="","", Buildings_Heat_Frontend[[#This Row],[Site Name]])</f>
        <v/>
      </c>
      <c r="Y390" s="174" t="str">
        <f>IF(Buildings_Heat_Frontend[[#This Row],[Data]]="","", Buildings_Heat_Frontend[[#This Row],[MPRN]])</f>
        <v/>
      </c>
      <c r="Z390" s="174" t="str">
        <f>IF(Buildings_Heat_Frontend[[#This Row],[Data]]="","", IF($I390="","",$I390))</f>
        <v/>
      </c>
      <c r="AA390" s="229" t="str" cm="1">
        <f t="array" ref="AA390">IF(Buildings_Heat_Frontend[[#This Row],[Data]]="","", INDEX(_xlfn.SWITCH(Buildings_Heat_Backend[[#This Row],[Methodology]],"Tier 1",rng_RSD1,"Tier 2",rng_RSD2,"Tier 3",rng_RSD3),MATCH(_xlfn.CONCAT(Buildings_Heat_Backend[[#This Row],[Level 1]:[Level 6]]),rng_LevelsConcat,0)))</f>
        <v/>
      </c>
      <c r="AB390" s="220" t="str">
        <f t="shared" si="16"/>
        <v/>
      </c>
      <c r="AC390" s="174">
        <f>Buildings_Heat_Frontend[[#This Row],[Units]]</f>
        <v>0</v>
      </c>
      <c r="AD39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0" s="174" t="str">
        <f>IF(Buildings_Heat_Frontend[[#This Row],[Data]]="","", _xlfn.XLOOKUP(_xlfn.CONCAT(Buildings_Heat_Backend[[#This Row],[Level 1]:[Level 6]]),rng_LevelsConcat,rng_UnitsLong))</f>
        <v/>
      </c>
      <c r="AF390" s="210" t="str">
        <f>IF(Buildings_Heat_Frontend[[#This Row],[Data]]="","", _xlfn.XLOOKUP(_xlfn.CONCAT(Buildings_Heat_Backend[[#This Row],[Level 1]:[Level 6]]),rng_EFConcat,rng_EF1)*Buildings_Heat_Backend[[#This Row],[Converted data]]/1000)</f>
        <v/>
      </c>
      <c r="AG390" s="210" t="str">
        <f>IF(Buildings_Heat_Frontend[[#This Row],[Data]]="","", _xlfn.XLOOKUP(_xlfn.CONCAT(Buildings_Heat_Backend[[#This Row],[Level 1]:[Level 6]]),rng_EFConcat,rng_EF2)*Buildings_Heat_Backend[[#This Row],[Converted data]]/1000)</f>
        <v/>
      </c>
      <c r="AH390" s="210" t="str">
        <f>IF(Buildings_Heat_Frontend[[#This Row],[Data]]="","", _xlfn.XLOOKUP(_xlfn.CONCAT(Buildings_Heat_Backend[[#This Row],[Level 1]:[Level 6]]),rng_EFConcat,rng_EF3)*Buildings_Heat_Backend[[#This Row],[Converted data]]/1000)</f>
        <v/>
      </c>
      <c r="AI390" s="210" t="str">
        <f>IF(Buildings_Heat_Frontend[[#This Row],[Data]]="","", _xlfn.XLOOKUP(_xlfn.CONCAT(Buildings_Heat_Backend[[#This Row],[Level 1]:[Level 6]]),rng_EFConcat,rng_EF3WTT)*Buildings_Heat_Backend[[#This Row],[Converted data]]/1000)</f>
        <v/>
      </c>
      <c r="AJ390" s="210" t="str">
        <f>IF(Buildings_Heat_Frontend[[#This Row],[Data]]="","", _xlfn.XLOOKUP(_xlfn.CONCAT(Buildings_Heat_Backend[[#This Row],[Level 1]:[Level 6]]),rng_EFConcat,rng_EF3TD)*Buildings_Heat_Backend[[#This Row],[Converted data]]/1000)</f>
        <v/>
      </c>
      <c r="AK390" s="210" t="str">
        <f>IF(Buildings_Heat_Frontend[[#This Row],[Data]]="","", _xlfn.XLOOKUP(_xlfn.CONCAT(Buildings_Heat_Backend[[#This Row],[Level 1]:[Level 6]]),rng_EFConcat,rng_EF3WTTTD)*Buildings_Heat_Backend[[#This Row],[Converted data]]/1000)</f>
        <v/>
      </c>
      <c r="AL390" s="220">
        <f>SUM(Buildings_Heat_Backend[[#This Row],[Scope 1 (tCO2e)]:[Scope 3 WTT T&amp;D (tCO2e)]])</f>
        <v>0</v>
      </c>
      <c r="AM390" s="220" t="str">
        <f>IF(Buildings_Heat_Frontend[[#This Row],[Data]]="","", Buildings_Heat_Backend[[#This Row],[Total (tCO2e)]]*(1-Buildings_Heat_Backend[[#This Row],[RSD]]))</f>
        <v/>
      </c>
      <c r="AN390" s="220" t="str">
        <f>IF(Buildings_Heat_Frontend[[#This Row],[Data]]="","", Buildings_Heat_Backend[[#This Row],[Total (tCO2e)]]*(1+Buildings_Heat_Backend[[#This Row],[RSD]]))</f>
        <v/>
      </c>
      <c r="AO390" s="210" t="str">
        <f>IF(Buildings_Heat_Frontend[[#This Row],[Data]]="","", _xlfn.XLOOKUP(_xlfn.CONCAT(Buildings_Heat_Backend[[#This Row],[Level 1]:[Level 6]]),rng_EFConcat,rng_EFOOS)*Buildings_Heat_Backend[[#This Row],[Converted data]]/1000)</f>
        <v/>
      </c>
      <c r="AP390" s="174">
        <f>Buildings_Heat_Frontend[[#This Row],[Ease of collection]]</f>
        <v>0</v>
      </c>
      <c r="AQ390" s="174">
        <f>Buildings_Heat_Frontend[[#This Row],[Completeness]]</f>
        <v>0</v>
      </c>
      <c r="AR390" s="174">
        <f>Buildings_Heat_Frontend[[#This Row],[Notes]]</f>
        <v>0</v>
      </c>
    </row>
    <row r="391" spans="5:44" x14ac:dyDescent="0.3">
      <c r="E391" s="346"/>
      <c r="F391" s="364"/>
      <c r="G391" s="336"/>
      <c r="H391" s="336"/>
      <c r="I391" s="336"/>
      <c r="J391" s="334"/>
      <c r="K391" s="336"/>
      <c r="L391" s="336"/>
      <c r="M391" s="336"/>
      <c r="N391" s="352"/>
      <c r="O391" s="230">
        <f t="shared" si="17"/>
        <v>6</v>
      </c>
      <c r="Q391" s="212" t="str">
        <f t="shared" si="15"/>
        <v/>
      </c>
      <c r="R391" s="174" t="s">
        <v>265</v>
      </c>
      <c r="S391" s="174" t="s">
        <v>273</v>
      </c>
      <c r="T391" s="174" t="str">
        <f>IF(Buildings_Heat_Frontend[[#This Row],[Data]]="","", _xlfn.XLOOKUP(Buildings_Heat_Backend[[#This Row],[Info 1]],Buildings_SiteInfo[Site name],Buildings_SiteInfo[Site type]))</f>
        <v/>
      </c>
      <c r="U391" s="174" t="str">
        <f>IF(Buildings_Heat_Frontend[[#This Row],[Data]]="","", Buildings_Heat_Frontend[[#This Row],[Heating Type]])</f>
        <v/>
      </c>
      <c r="V391" s="174" t="str">
        <f>IF(Buildings_Heat_Frontend[[#This Row],[Data]]="","", Buildings_Heat_Frontend[[#This Row],[Fuel]])</f>
        <v/>
      </c>
      <c r="W391" s="174" t="str" cm="1">
        <f t="array" ref="W391">IF(Buildings_Heat_Frontend[[#This Row],[Data]]="","", _xlfn.XLOOKUP(Buildings_Heat_Backend[[#This Row],[Level 5]],rng_Level5Long,rng_Level6Long))</f>
        <v/>
      </c>
      <c r="X391" s="174" t="str">
        <f>IF(Buildings_Heat_Frontend[[#This Row],[Data]]="","", Buildings_Heat_Frontend[[#This Row],[Site Name]])</f>
        <v/>
      </c>
      <c r="Y391" s="174" t="str">
        <f>IF(Buildings_Heat_Frontend[[#This Row],[Data]]="","", Buildings_Heat_Frontend[[#This Row],[MPRN]])</f>
        <v/>
      </c>
      <c r="Z391" s="174" t="str">
        <f>IF(Buildings_Heat_Frontend[[#This Row],[Data]]="","", IF($I391="","",$I391))</f>
        <v/>
      </c>
      <c r="AA391" s="229" t="str" cm="1">
        <f t="array" ref="AA391">IF(Buildings_Heat_Frontend[[#This Row],[Data]]="","", INDEX(_xlfn.SWITCH(Buildings_Heat_Backend[[#This Row],[Methodology]],"Tier 1",rng_RSD1,"Tier 2",rng_RSD2,"Tier 3",rng_RSD3),MATCH(_xlfn.CONCAT(Buildings_Heat_Backend[[#This Row],[Level 1]:[Level 6]]),rng_LevelsConcat,0)))</f>
        <v/>
      </c>
      <c r="AB391" s="220" t="str">
        <f t="shared" si="16"/>
        <v/>
      </c>
      <c r="AC391" s="174">
        <f>Buildings_Heat_Frontend[[#This Row],[Units]]</f>
        <v>0</v>
      </c>
      <c r="AD39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1" s="174" t="str">
        <f>IF(Buildings_Heat_Frontend[[#This Row],[Data]]="","", _xlfn.XLOOKUP(_xlfn.CONCAT(Buildings_Heat_Backend[[#This Row],[Level 1]:[Level 6]]),rng_LevelsConcat,rng_UnitsLong))</f>
        <v/>
      </c>
      <c r="AF391" s="210" t="str">
        <f>IF(Buildings_Heat_Frontend[[#This Row],[Data]]="","", _xlfn.XLOOKUP(_xlfn.CONCAT(Buildings_Heat_Backend[[#This Row],[Level 1]:[Level 6]]),rng_EFConcat,rng_EF1)*Buildings_Heat_Backend[[#This Row],[Converted data]]/1000)</f>
        <v/>
      </c>
      <c r="AG391" s="210" t="str">
        <f>IF(Buildings_Heat_Frontend[[#This Row],[Data]]="","", _xlfn.XLOOKUP(_xlfn.CONCAT(Buildings_Heat_Backend[[#This Row],[Level 1]:[Level 6]]),rng_EFConcat,rng_EF2)*Buildings_Heat_Backend[[#This Row],[Converted data]]/1000)</f>
        <v/>
      </c>
      <c r="AH391" s="210" t="str">
        <f>IF(Buildings_Heat_Frontend[[#This Row],[Data]]="","", _xlfn.XLOOKUP(_xlfn.CONCAT(Buildings_Heat_Backend[[#This Row],[Level 1]:[Level 6]]),rng_EFConcat,rng_EF3)*Buildings_Heat_Backend[[#This Row],[Converted data]]/1000)</f>
        <v/>
      </c>
      <c r="AI391" s="210" t="str">
        <f>IF(Buildings_Heat_Frontend[[#This Row],[Data]]="","", _xlfn.XLOOKUP(_xlfn.CONCAT(Buildings_Heat_Backend[[#This Row],[Level 1]:[Level 6]]),rng_EFConcat,rng_EF3WTT)*Buildings_Heat_Backend[[#This Row],[Converted data]]/1000)</f>
        <v/>
      </c>
      <c r="AJ391" s="210" t="str">
        <f>IF(Buildings_Heat_Frontend[[#This Row],[Data]]="","", _xlfn.XLOOKUP(_xlfn.CONCAT(Buildings_Heat_Backend[[#This Row],[Level 1]:[Level 6]]),rng_EFConcat,rng_EF3TD)*Buildings_Heat_Backend[[#This Row],[Converted data]]/1000)</f>
        <v/>
      </c>
      <c r="AK391" s="210" t="str">
        <f>IF(Buildings_Heat_Frontend[[#This Row],[Data]]="","", _xlfn.XLOOKUP(_xlfn.CONCAT(Buildings_Heat_Backend[[#This Row],[Level 1]:[Level 6]]),rng_EFConcat,rng_EF3WTTTD)*Buildings_Heat_Backend[[#This Row],[Converted data]]/1000)</f>
        <v/>
      </c>
      <c r="AL391" s="220">
        <f>SUM(Buildings_Heat_Backend[[#This Row],[Scope 1 (tCO2e)]:[Scope 3 WTT T&amp;D (tCO2e)]])</f>
        <v>0</v>
      </c>
      <c r="AM391" s="220" t="str">
        <f>IF(Buildings_Heat_Frontend[[#This Row],[Data]]="","", Buildings_Heat_Backend[[#This Row],[Total (tCO2e)]]*(1-Buildings_Heat_Backend[[#This Row],[RSD]]))</f>
        <v/>
      </c>
      <c r="AN391" s="220" t="str">
        <f>IF(Buildings_Heat_Frontend[[#This Row],[Data]]="","", Buildings_Heat_Backend[[#This Row],[Total (tCO2e)]]*(1+Buildings_Heat_Backend[[#This Row],[RSD]]))</f>
        <v/>
      </c>
      <c r="AO391" s="210" t="str">
        <f>IF(Buildings_Heat_Frontend[[#This Row],[Data]]="","", _xlfn.XLOOKUP(_xlfn.CONCAT(Buildings_Heat_Backend[[#This Row],[Level 1]:[Level 6]]),rng_EFConcat,rng_EFOOS)*Buildings_Heat_Backend[[#This Row],[Converted data]]/1000)</f>
        <v/>
      </c>
      <c r="AP391" s="174">
        <f>Buildings_Heat_Frontend[[#This Row],[Ease of collection]]</f>
        <v>0</v>
      </c>
      <c r="AQ391" s="174">
        <f>Buildings_Heat_Frontend[[#This Row],[Completeness]]</f>
        <v>0</v>
      </c>
      <c r="AR391" s="174">
        <f>Buildings_Heat_Frontend[[#This Row],[Notes]]</f>
        <v>0</v>
      </c>
    </row>
    <row r="392" spans="5:44" x14ac:dyDescent="0.3">
      <c r="E392" s="346"/>
      <c r="F392" s="364"/>
      <c r="G392" s="336"/>
      <c r="H392" s="336"/>
      <c r="I392" s="336"/>
      <c r="J392" s="334"/>
      <c r="K392" s="336"/>
      <c r="L392" s="336"/>
      <c r="M392" s="336"/>
      <c r="N392" s="352"/>
      <c r="O392" s="230">
        <f t="shared" si="17"/>
        <v>6</v>
      </c>
      <c r="Q392" s="212" t="str">
        <f t="shared" si="15"/>
        <v/>
      </c>
      <c r="R392" s="174" t="s">
        <v>265</v>
      </c>
      <c r="S392" s="174" t="s">
        <v>273</v>
      </c>
      <c r="T392" s="174" t="str">
        <f>IF(Buildings_Heat_Frontend[[#This Row],[Data]]="","", _xlfn.XLOOKUP(Buildings_Heat_Backend[[#This Row],[Info 1]],Buildings_SiteInfo[Site name],Buildings_SiteInfo[Site type]))</f>
        <v/>
      </c>
      <c r="U392" s="174" t="str">
        <f>IF(Buildings_Heat_Frontend[[#This Row],[Data]]="","", Buildings_Heat_Frontend[[#This Row],[Heating Type]])</f>
        <v/>
      </c>
      <c r="V392" s="174" t="str">
        <f>IF(Buildings_Heat_Frontend[[#This Row],[Data]]="","", Buildings_Heat_Frontend[[#This Row],[Fuel]])</f>
        <v/>
      </c>
      <c r="W392" s="174" t="str" cm="1">
        <f t="array" ref="W392">IF(Buildings_Heat_Frontend[[#This Row],[Data]]="","", _xlfn.XLOOKUP(Buildings_Heat_Backend[[#This Row],[Level 5]],rng_Level5Long,rng_Level6Long))</f>
        <v/>
      </c>
      <c r="X392" s="174" t="str">
        <f>IF(Buildings_Heat_Frontend[[#This Row],[Data]]="","", Buildings_Heat_Frontend[[#This Row],[Site Name]])</f>
        <v/>
      </c>
      <c r="Y392" s="174" t="str">
        <f>IF(Buildings_Heat_Frontend[[#This Row],[Data]]="","", Buildings_Heat_Frontend[[#This Row],[MPRN]])</f>
        <v/>
      </c>
      <c r="Z392" s="174" t="str">
        <f>IF(Buildings_Heat_Frontend[[#This Row],[Data]]="","", IF($I392="","",$I392))</f>
        <v/>
      </c>
      <c r="AA392" s="229" t="str" cm="1">
        <f t="array" ref="AA392">IF(Buildings_Heat_Frontend[[#This Row],[Data]]="","", INDEX(_xlfn.SWITCH(Buildings_Heat_Backend[[#This Row],[Methodology]],"Tier 1",rng_RSD1,"Tier 2",rng_RSD2,"Tier 3",rng_RSD3),MATCH(_xlfn.CONCAT(Buildings_Heat_Backend[[#This Row],[Level 1]:[Level 6]]),rng_LevelsConcat,0)))</f>
        <v/>
      </c>
      <c r="AB392" s="220" t="str">
        <f t="shared" si="16"/>
        <v/>
      </c>
      <c r="AC392" s="174">
        <f>Buildings_Heat_Frontend[[#This Row],[Units]]</f>
        <v>0</v>
      </c>
      <c r="AD39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2" s="174" t="str">
        <f>IF(Buildings_Heat_Frontend[[#This Row],[Data]]="","", _xlfn.XLOOKUP(_xlfn.CONCAT(Buildings_Heat_Backend[[#This Row],[Level 1]:[Level 6]]),rng_LevelsConcat,rng_UnitsLong))</f>
        <v/>
      </c>
      <c r="AF392" s="210" t="str">
        <f>IF(Buildings_Heat_Frontend[[#This Row],[Data]]="","", _xlfn.XLOOKUP(_xlfn.CONCAT(Buildings_Heat_Backend[[#This Row],[Level 1]:[Level 6]]),rng_EFConcat,rng_EF1)*Buildings_Heat_Backend[[#This Row],[Converted data]]/1000)</f>
        <v/>
      </c>
      <c r="AG392" s="210" t="str">
        <f>IF(Buildings_Heat_Frontend[[#This Row],[Data]]="","", _xlfn.XLOOKUP(_xlfn.CONCAT(Buildings_Heat_Backend[[#This Row],[Level 1]:[Level 6]]),rng_EFConcat,rng_EF2)*Buildings_Heat_Backend[[#This Row],[Converted data]]/1000)</f>
        <v/>
      </c>
      <c r="AH392" s="210" t="str">
        <f>IF(Buildings_Heat_Frontend[[#This Row],[Data]]="","", _xlfn.XLOOKUP(_xlfn.CONCAT(Buildings_Heat_Backend[[#This Row],[Level 1]:[Level 6]]),rng_EFConcat,rng_EF3)*Buildings_Heat_Backend[[#This Row],[Converted data]]/1000)</f>
        <v/>
      </c>
      <c r="AI392" s="210" t="str">
        <f>IF(Buildings_Heat_Frontend[[#This Row],[Data]]="","", _xlfn.XLOOKUP(_xlfn.CONCAT(Buildings_Heat_Backend[[#This Row],[Level 1]:[Level 6]]),rng_EFConcat,rng_EF3WTT)*Buildings_Heat_Backend[[#This Row],[Converted data]]/1000)</f>
        <v/>
      </c>
      <c r="AJ392" s="210" t="str">
        <f>IF(Buildings_Heat_Frontend[[#This Row],[Data]]="","", _xlfn.XLOOKUP(_xlfn.CONCAT(Buildings_Heat_Backend[[#This Row],[Level 1]:[Level 6]]),rng_EFConcat,rng_EF3TD)*Buildings_Heat_Backend[[#This Row],[Converted data]]/1000)</f>
        <v/>
      </c>
      <c r="AK392" s="210" t="str">
        <f>IF(Buildings_Heat_Frontend[[#This Row],[Data]]="","", _xlfn.XLOOKUP(_xlfn.CONCAT(Buildings_Heat_Backend[[#This Row],[Level 1]:[Level 6]]),rng_EFConcat,rng_EF3WTTTD)*Buildings_Heat_Backend[[#This Row],[Converted data]]/1000)</f>
        <v/>
      </c>
      <c r="AL392" s="220">
        <f>SUM(Buildings_Heat_Backend[[#This Row],[Scope 1 (tCO2e)]:[Scope 3 WTT T&amp;D (tCO2e)]])</f>
        <v>0</v>
      </c>
      <c r="AM392" s="220" t="str">
        <f>IF(Buildings_Heat_Frontend[[#This Row],[Data]]="","", Buildings_Heat_Backend[[#This Row],[Total (tCO2e)]]*(1-Buildings_Heat_Backend[[#This Row],[RSD]]))</f>
        <v/>
      </c>
      <c r="AN392" s="220" t="str">
        <f>IF(Buildings_Heat_Frontend[[#This Row],[Data]]="","", Buildings_Heat_Backend[[#This Row],[Total (tCO2e)]]*(1+Buildings_Heat_Backend[[#This Row],[RSD]]))</f>
        <v/>
      </c>
      <c r="AO392" s="210" t="str">
        <f>IF(Buildings_Heat_Frontend[[#This Row],[Data]]="","", _xlfn.XLOOKUP(_xlfn.CONCAT(Buildings_Heat_Backend[[#This Row],[Level 1]:[Level 6]]),rng_EFConcat,rng_EFOOS)*Buildings_Heat_Backend[[#This Row],[Converted data]]/1000)</f>
        <v/>
      </c>
      <c r="AP392" s="174">
        <f>Buildings_Heat_Frontend[[#This Row],[Ease of collection]]</f>
        <v>0</v>
      </c>
      <c r="AQ392" s="174">
        <f>Buildings_Heat_Frontend[[#This Row],[Completeness]]</f>
        <v>0</v>
      </c>
      <c r="AR392" s="174">
        <f>Buildings_Heat_Frontend[[#This Row],[Notes]]</f>
        <v>0</v>
      </c>
    </row>
    <row r="393" spans="5:44" x14ac:dyDescent="0.3">
      <c r="E393" s="346"/>
      <c r="F393" s="364"/>
      <c r="G393" s="336"/>
      <c r="H393" s="336"/>
      <c r="I393" s="336"/>
      <c r="J393" s="334"/>
      <c r="K393" s="336"/>
      <c r="L393" s="336"/>
      <c r="M393" s="336"/>
      <c r="N393" s="352"/>
      <c r="O393" s="230">
        <f t="shared" si="17"/>
        <v>6</v>
      </c>
      <c r="Q393" s="212" t="str">
        <f t="shared" si="15"/>
        <v/>
      </c>
      <c r="R393" s="174" t="s">
        <v>265</v>
      </c>
      <c r="S393" s="174" t="s">
        <v>273</v>
      </c>
      <c r="T393" s="174" t="str">
        <f>IF(Buildings_Heat_Frontend[[#This Row],[Data]]="","", _xlfn.XLOOKUP(Buildings_Heat_Backend[[#This Row],[Info 1]],Buildings_SiteInfo[Site name],Buildings_SiteInfo[Site type]))</f>
        <v/>
      </c>
      <c r="U393" s="174" t="str">
        <f>IF(Buildings_Heat_Frontend[[#This Row],[Data]]="","", Buildings_Heat_Frontend[[#This Row],[Heating Type]])</f>
        <v/>
      </c>
      <c r="V393" s="174" t="str">
        <f>IF(Buildings_Heat_Frontend[[#This Row],[Data]]="","", Buildings_Heat_Frontend[[#This Row],[Fuel]])</f>
        <v/>
      </c>
      <c r="W393" s="174" t="str" cm="1">
        <f t="array" ref="W393">IF(Buildings_Heat_Frontend[[#This Row],[Data]]="","", _xlfn.XLOOKUP(Buildings_Heat_Backend[[#This Row],[Level 5]],rng_Level5Long,rng_Level6Long))</f>
        <v/>
      </c>
      <c r="X393" s="174" t="str">
        <f>IF(Buildings_Heat_Frontend[[#This Row],[Data]]="","", Buildings_Heat_Frontend[[#This Row],[Site Name]])</f>
        <v/>
      </c>
      <c r="Y393" s="174" t="str">
        <f>IF(Buildings_Heat_Frontend[[#This Row],[Data]]="","", Buildings_Heat_Frontend[[#This Row],[MPRN]])</f>
        <v/>
      </c>
      <c r="Z393" s="174" t="str">
        <f>IF(Buildings_Heat_Frontend[[#This Row],[Data]]="","", IF($I393="","",$I393))</f>
        <v/>
      </c>
      <c r="AA393" s="229" t="str" cm="1">
        <f t="array" ref="AA393">IF(Buildings_Heat_Frontend[[#This Row],[Data]]="","", INDEX(_xlfn.SWITCH(Buildings_Heat_Backend[[#This Row],[Methodology]],"Tier 1",rng_RSD1,"Tier 2",rng_RSD2,"Tier 3",rng_RSD3),MATCH(_xlfn.CONCAT(Buildings_Heat_Backend[[#This Row],[Level 1]:[Level 6]]),rng_LevelsConcat,0)))</f>
        <v/>
      </c>
      <c r="AB393" s="220" t="str">
        <f t="shared" si="16"/>
        <v/>
      </c>
      <c r="AC393" s="174">
        <f>Buildings_Heat_Frontend[[#This Row],[Units]]</f>
        <v>0</v>
      </c>
      <c r="AD39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3" s="174" t="str">
        <f>IF(Buildings_Heat_Frontend[[#This Row],[Data]]="","", _xlfn.XLOOKUP(_xlfn.CONCAT(Buildings_Heat_Backend[[#This Row],[Level 1]:[Level 6]]),rng_LevelsConcat,rng_UnitsLong))</f>
        <v/>
      </c>
      <c r="AF393" s="210" t="str">
        <f>IF(Buildings_Heat_Frontend[[#This Row],[Data]]="","", _xlfn.XLOOKUP(_xlfn.CONCAT(Buildings_Heat_Backend[[#This Row],[Level 1]:[Level 6]]),rng_EFConcat,rng_EF1)*Buildings_Heat_Backend[[#This Row],[Converted data]]/1000)</f>
        <v/>
      </c>
      <c r="AG393" s="210" t="str">
        <f>IF(Buildings_Heat_Frontend[[#This Row],[Data]]="","", _xlfn.XLOOKUP(_xlfn.CONCAT(Buildings_Heat_Backend[[#This Row],[Level 1]:[Level 6]]),rng_EFConcat,rng_EF2)*Buildings_Heat_Backend[[#This Row],[Converted data]]/1000)</f>
        <v/>
      </c>
      <c r="AH393" s="210" t="str">
        <f>IF(Buildings_Heat_Frontend[[#This Row],[Data]]="","", _xlfn.XLOOKUP(_xlfn.CONCAT(Buildings_Heat_Backend[[#This Row],[Level 1]:[Level 6]]),rng_EFConcat,rng_EF3)*Buildings_Heat_Backend[[#This Row],[Converted data]]/1000)</f>
        <v/>
      </c>
      <c r="AI393" s="210" t="str">
        <f>IF(Buildings_Heat_Frontend[[#This Row],[Data]]="","", _xlfn.XLOOKUP(_xlfn.CONCAT(Buildings_Heat_Backend[[#This Row],[Level 1]:[Level 6]]),rng_EFConcat,rng_EF3WTT)*Buildings_Heat_Backend[[#This Row],[Converted data]]/1000)</f>
        <v/>
      </c>
      <c r="AJ393" s="210" t="str">
        <f>IF(Buildings_Heat_Frontend[[#This Row],[Data]]="","", _xlfn.XLOOKUP(_xlfn.CONCAT(Buildings_Heat_Backend[[#This Row],[Level 1]:[Level 6]]),rng_EFConcat,rng_EF3TD)*Buildings_Heat_Backend[[#This Row],[Converted data]]/1000)</f>
        <v/>
      </c>
      <c r="AK393" s="210" t="str">
        <f>IF(Buildings_Heat_Frontend[[#This Row],[Data]]="","", _xlfn.XLOOKUP(_xlfn.CONCAT(Buildings_Heat_Backend[[#This Row],[Level 1]:[Level 6]]),rng_EFConcat,rng_EF3WTTTD)*Buildings_Heat_Backend[[#This Row],[Converted data]]/1000)</f>
        <v/>
      </c>
      <c r="AL393" s="220">
        <f>SUM(Buildings_Heat_Backend[[#This Row],[Scope 1 (tCO2e)]:[Scope 3 WTT T&amp;D (tCO2e)]])</f>
        <v>0</v>
      </c>
      <c r="AM393" s="220" t="str">
        <f>IF(Buildings_Heat_Frontend[[#This Row],[Data]]="","", Buildings_Heat_Backend[[#This Row],[Total (tCO2e)]]*(1-Buildings_Heat_Backend[[#This Row],[RSD]]))</f>
        <v/>
      </c>
      <c r="AN393" s="220" t="str">
        <f>IF(Buildings_Heat_Frontend[[#This Row],[Data]]="","", Buildings_Heat_Backend[[#This Row],[Total (tCO2e)]]*(1+Buildings_Heat_Backend[[#This Row],[RSD]]))</f>
        <v/>
      </c>
      <c r="AO393" s="210" t="str">
        <f>IF(Buildings_Heat_Frontend[[#This Row],[Data]]="","", _xlfn.XLOOKUP(_xlfn.CONCAT(Buildings_Heat_Backend[[#This Row],[Level 1]:[Level 6]]),rng_EFConcat,rng_EFOOS)*Buildings_Heat_Backend[[#This Row],[Converted data]]/1000)</f>
        <v/>
      </c>
      <c r="AP393" s="174">
        <f>Buildings_Heat_Frontend[[#This Row],[Ease of collection]]</f>
        <v>0</v>
      </c>
      <c r="AQ393" s="174">
        <f>Buildings_Heat_Frontend[[#This Row],[Completeness]]</f>
        <v>0</v>
      </c>
      <c r="AR393" s="174">
        <f>Buildings_Heat_Frontend[[#This Row],[Notes]]</f>
        <v>0</v>
      </c>
    </row>
    <row r="394" spans="5:44" x14ac:dyDescent="0.3">
      <c r="E394" s="346"/>
      <c r="F394" s="364"/>
      <c r="G394" s="336"/>
      <c r="H394" s="336"/>
      <c r="I394" s="336"/>
      <c r="J394" s="334"/>
      <c r="K394" s="336"/>
      <c r="L394" s="336"/>
      <c r="M394" s="336"/>
      <c r="N394" s="352"/>
      <c r="O394" s="230">
        <f t="shared" si="17"/>
        <v>6</v>
      </c>
      <c r="Q394" s="212" t="str">
        <f t="shared" si="15"/>
        <v/>
      </c>
      <c r="R394" s="174" t="s">
        <v>265</v>
      </c>
      <c r="S394" s="174" t="s">
        <v>273</v>
      </c>
      <c r="T394" s="174" t="str">
        <f>IF(Buildings_Heat_Frontend[[#This Row],[Data]]="","", _xlfn.XLOOKUP(Buildings_Heat_Backend[[#This Row],[Info 1]],Buildings_SiteInfo[Site name],Buildings_SiteInfo[Site type]))</f>
        <v/>
      </c>
      <c r="U394" s="174" t="str">
        <f>IF(Buildings_Heat_Frontend[[#This Row],[Data]]="","", Buildings_Heat_Frontend[[#This Row],[Heating Type]])</f>
        <v/>
      </c>
      <c r="V394" s="174" t="str">
        <f>IF(Buildings_Heat_Frontend[[#This Row],[Data]]="","", Buildings_Heat_Frontend[[#This Row],[Fuel]])</f>
        <v/>
      </c>
      <c r="W394" s="174" t="str" cm="1">
        <f t="array" ref="W394">IF(Buildings_Heat_Frontend[[#This Row],[Data]]="","", _xlfn.XLOOKUP(Buildings_Heat_Backend[[#This Row],[Level 5]],rng_Level5Long,rng_Level6Long))</f>
        <v/>
      </c>
      <c r="X394" s="174" t="str">
        <f>IF(Buildings_Heat_Frontend[[#This Row],[Data]]="","", Buildings_Heat_Frontend[[#This Row],[Site Name]])</f>
        <v/>
      </c>
      <c r="Y394" s="174" t="str">
        <f>IF(Buildings_Heat_Frontend[[#This Row],[Data]]="","", Buildings_Heat_Frontend[[#This Row],[MPRN]])</f>
        <v/>
      </c>
      <c r="Z394" s="174" t="str">
        <f>IF(Buildings_Heat_Frontend[[#This Row],[Data]]="","", IF($I394="","",$I394))</f>
        <v/>
      </c>
      <c r="AA394" s="229" t="str" cm="1">
        <f t="array" ref="AA394">IF(Buildings_Heat_Frontend[[#This Row],[Data]]="","", INDEX(_xlfn.SWITCH(Buildings_Heat_Backend[[#This Row],[Methodology]],"Tier 1",rng_RSD1,"Tier 2",rng_RSD2,"Tier 3",rng_RSD3),MATCH(_xlfn.CONCAT(Buildings_Heat_Backend[[#This Row],[Level 1]:[Level 6]]),rng_LevelsConcat,0)))</f>
        <v/>
      </c>
      <c r="AB394" s="220" t="str">
        <f t="shared" si="16"/>
        <v/>
      </c>
      <c r="AC394" s="174">
        <f>Buildings_Heat_Frontend[[#This Row],[Units]]</f>
        <v>0</v>
      </c>
      <c r="AD39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4" s="174" t="str">
        <f>IF(Buildings_Heat_Frontend[[#This Row],[Data]]="","", _xlfn.XLOOKUP(_xlfn.CONCAT(Buildings_Heat_Backend[[#This Row],[Level 1]:[Level 6]]),rng_LevelsConcat,rng_UnitsLong))</f>
        <v/>
      </c>
      <c r="AF394" s="210" t="str">
        <f>IF(Buildings_Heat_Frontend[[#This Row],[Data]]="","", _xlfn.XLOOKUP(_xlfn.CONCAT(Buildings_Heat_Backend[[#This Row],[Level 1]:[Level 6]]),rng_EFConcat,rng_EF1)*Buildings_Heat_Backend[[#This Row],[Converted data]]/1000)</f>
        <v/>
      </c>
      <c r="AG394" s="210" t="str">
        <f>IF(Buildings_Heat_Frontend[[#This Row],[Data]]="","", _xlfn.XLOOKUP(_xlfn.CONCAT(Buildings_Heat_Backend[[#This Row],[Level 1]:[Level 6]]),rng_EFConcat,rng_EF2)*Buildings_Heat_Backend[[#This Row],[Converted data]]/1000)</f>
        <v/>
      </c>
      <c r="AH394" s="210" t="str">
        <f>IF(Buildings_Heat_Frontend[[#This Row],[Data]]="","", _xlfn.XLOOKUP(_xlfn.CONCAT(Buildings_Heat_Backend[[#This Row],[Level 1]:[Level 6]]),rng_EFConcat,rng_EF3)*Buildings_Heat_Backend[[#This Row],[Converted data]]/1000)</f>
        <v/>
      </c>
      <c r="AI394" s="210" t="str">
        <f>IF(Buildings_Heat_Frontend[[#This Row],[Data]]="","", _xlfn.XLOOKUP(_xlfn.CONCAT(Buildings_Heat_Backend[[#This Row],[Level 1]:[Level 6]]),rng_EFConcat,rng_EF3WTT)*Buildings_Heat_Backend[[#This Row],[Converted data]]/1000)</f>
        <v/>
      </c>
      <c r="AJ394" s="210" t="str">
        <f>IF(Buildings_Heat_Frontend[[#This Row],[Data]]="","", _xlfn.XLOOKUP(_xlfn.CONCAT(Buildings_Heat_Backend[[#This Row],[Level 1]:[Level 6]]),rng_EFConcat,rng_EF3TD)*Buildings_Heat_Backend[[#This Row],[Converted data]]/1000)</f>
        <v/>
      </c>
      <c r="AK394" s="210" t="str">
        <f>IF(Buildings_Heat_Frontend[[#This Row],[Data]]="","", _xlfn.XLOOKUP(_xlfn.CONCAT(Buildings_Heat_Backend[[#This Row],[Level 1]:[Level 6]]),rng_EFConcat,rng_EF3WTTTD)*Buildings_Heat_Backend[[#This Row],[Converted data]]/1000)</f>
        <v/>
      </c>
      <c r="AL394" s="220">
        <f>SUM(Buildings_Heat_Backend[[#This Row],[Scope 1 (tCO2e)]:[Scope 3 WTT T&amp;D (tCO2e)]])</f>
        <v>0</v>
      </c>
      <c r="AM394" s="220" t="str">
        <f>IF(Buildings_Heat_Frontend[[#This Row],[Data]]="","", Buildings_Heat_Backend[[#This Row],[Total (tCO2e)]]*(1-Buildings_Heat_Backend[[#This Row],[RSD]]))</f>
        <v/>
      </c>
      <c r="AN394" s="220" t="str">
        <f>IF(Buildings_Heat_Frontend[[#This Row],[Data]]="","", Buildings_Heat_Backend[[#This Row],[Total (tCO2e)]]*(1+Buildings_Heat_Backend[[#This Row],[RSD]]))</f>
        <v/>
      </c>
      <c r="AO394" s="210" t="str">
        <f>IF(Buildings_Heat_Frontend[[#This Row],[Data]]="","", _xlfn.XLOOKUP(_xlfn.CONCAT(Buildings_Heat_Backend[[#This Row],[Level 1]:[Level 6]]),rng_EFConcat,rng_EFOOS)*Buildings_Heat_Backend[[#This Row],[Converted data]]/1000)</f>
        <v/>
      </c>
      <c r="AP394" s="174">
        <f>Buildings_Heat_Frontend[[#This Row],[Ease of collection]]</f>
        <v>0</v>
      </c>
      <c r="AQ394" s="174">
        <f>Buildings_Heat_Frontend[[#This Row],[Completeness]]</f>
        <v>0</v>
      </c>
      <c r="AR394" s="174">
        <f>Buildings_Heat_Frontend[[#This Row],[Notes]]</f>
        <v>0</v>
      </c>
    </row>
    <row r="395" spans="5:44" x14ac:dyDescent="0.3">
      <c r="E395" s="346"/>
      <c r="F395" s="364"/>
      <c r="G395" s="336"/>
      <c r="H395" s="336"/>
      <c r="I395" s="336"/>
      <c r="J395" s="334"/>
      <c r="K395" s="336"/>
      <c r="L395" s="336"/>
      <c r="M395" s="336"/>
      <c r="N395" s="352"/>
      <c r="O395" s="230">
        <f t="shared" si="17"/>
        <v>6</v>
      </c>
      <c r="Q395" s="212" t="str">
        <f t="shared" si="15"/>
        <v/>
      </c>
      <c r="R395" s="174" t="s">
        <v>265</v>
      </c>
      <c r="S395" s="174" t="s">
        <v>273</v>
      </c>
      <c r="T395" s="174" t="str">
        <f>IF(Buildings_Heat_Frontend[[#This Row],[Data]]="","", _xlfn.XLOOKUP(Buildings_Heat_Backend[[#This Row],[Info 1]],Buildings_SiteInfo[Site name],Buildings_SiteInfo[Site type]))</f>
        <v/>
      </c>
      <c r="U395" s="174" t="str">
        <f>IF(Buildings_Heat_Frontend[[#This Row],[Data]]="","", Buildings_Heat_Frontend[[#This Row],[Heating Type]])</f>
        <v/>
      </c>
      <c r="V395" s="174" t="str">
        <f>IF(Buildings_Heat_Frontend[[#This Row],[Data]]="","", Buildings_Heat_Frontend[[#This Row],[Fuel]])</f>
        <v/>
      </c>
      <c r="W395" s="174" t="str" cm="1">
        <f t="array" ref="W395">IF(Buildings_Heat_Frontend[[#This Row],[Data]]="","", _xlfn.XLOOKUP(Buildings_Heat_Backend[[#This Row],[Level 5]],rng_Level5Long,rng_Level6Long))</f>
        <v/>
      </c>
      <c r="X395" s="174" t="str">
        <f>IF(Buildings_Heat_Frontend[[#This Row],[Data]]="","", Buildings_Heat_Frontend[[#This Row],[Site Name]])</f>
        <v/>
      </c>
      <c r="Y395" s="174" t="str">
        <f>IF(Buildings_Heat_Frontend[[#This Row],[Data]]="","", Buildings_Heat_Frontend[[#This Row],[MPRN]])</f>
        <v/>
      </c>
      <c r="Z395" s="174" t="str">
        <f>IF(Buildings_Heat_Frontend[[#This Row],[Data]]="","", IF($I395="","",$I395))</f>
        <v/>
      </c>
      <c r="AA395" s="229" t="str" cm="1">
        <f t="array" ref="AA395">IF(Buildings_Heat_Frontend[[#This Row],[Data]]="","", INDEX(_xlfn.SWITCH(Buildings_Heat_Backend[[#This Row],[Methodology]],"Tier 1",rng_RSD1,"Tier 2",rng_RSD2,"Tier 3",rng_RSD3),MATCH(_xlfn.CONCAT(Buildings_Heat_Backend[[#This Row],[Level 1]:[Level 6]]),rng_LevelsConcat,0)))</f>
        <v/>
      </c>
      <c r="AB395" s="220" t="str">
        <f t="shared" si="16"/>
        <v/>
      </c>
      <c r="AC395" s="174">
        <f>Buildings_Heat_Frontend[[#This Row],[Units]]</f>
        <v>0</v>
      </c>
      <c r="AD39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5" s="174" t="str">
        <f>IF(Buildings_Heat_Frontend[[#This Row],[Data]]="","", _xlfn.XLOOKUP(_xlfn.CONCAT(Buildings_Heat_Backend[[#This Row],[Level 1]:[Level 6]]),rng_LevelsConcat,rng_UnitsLong))</f>
        <v/>
      </c>
      <c r="AF395" s="210" t="str">
        <f>IF(Buildings_Heat_Frontend[[#This Row],[Data]]="","", _xlfn.XLOOKUP(_xlfn.CONCAT(Buildings_Heat_Backend[[#This Row],[Level 1]:[Level 6]]),rng_EFConcat,rng_EF1)*Buildings_Heat_Backend[[#This Row],[Converted data]]/1000)</f>
        <v/>
      </c>
      <c r="AG395" s="210" t="str">
        <f>IF(Buildings_Heat_Frontend[[#This Row],[Data]]="","", _xlfn.XLOOKUP(_xlfn.CONCAT(Buildings_Heat_Backend[[#This Row],[Level 1]:[Level 6]]),rng_EFConcat,rng_EF2)*Buildings_Heat_Backend[[#This Row],[Converted data]]/1000)</f>
        <v/>
      </c>
      <c r="AH395" s="210" t="str">
        <f>IF(Buildings_Heat_Frontend[[#This Row],[Data]]="","", _xlfn.XLOOKUP(_xlfn.CONCAT(Buildings_Heat_Backend[[#This Row],[Level 1]:[Level 6]]),rng_EFConcat,rng_EF3)*Buildings_Heat_Backend[[#This Row],[Converted data]]/1000)</f>
        <v/>
      </c>
      <c r="AI395" s="210" t="str">
        <f>IF(Buildings_Heat_Frontend[[#This Row],[Data]]="","", _xlfn.XLOOKUP(_xlfn.CONCAT(Buildings_Heat_Backend[[#This Row],[Level 1]:[Level 6]]),rng_EFConcat,rng_EF3WTT)*Buildings_Heat_Backend[[#This Row],[Converted data]]/1000)</f>
        <v/>
      </c>
      <c r="AJ395" s="210" t="str">
        <f>IF(Buildings_Heat_Frontend[[#This Row],[Data]]="","", _xlfn.XLOOKUP(_xlfn.CONCAT(Buildings_Heat_Backend[[#This Row],[Level 1]:[Level 6]]),rng_EFConcat,rng_EF3TD)*Buildings_Heat_Backend[[#This Row],[Converted data]]/1000)</f>
        <v/>
      </c>
      <c r="AK395" s="210" t="str">
        <f>IF(Buildings_Heat_Frontend[[#This Row],[Data]]="","", _xlfn.XLOOKUP(_xlfn.CONCAT(Buildings_Heat_Backend[[#This Row],[Level 1]:[Level 6]]),rng_EFConcat,rng_EF3WTTTD)*Buildings_Heat_Backend[[#This Row],[Converted data]]/1000)</f>
        <v/>
      </c>
      <c r="AL395" s="220">
        <f>SUM(Buildings_Heat_Backend[[#This Row],[Scope 1 (tCO2e)]:[Scope 3 WTT T&amp;D (tCO2e)]])</f>
        <v>0</v>
      </c>
      <c r="AM395" s="220" t="str">
        <f>IF(Buildings_Heat_Frontend[[#This Row],[Data]]="","", Buildings_Heat_Backend[[#This Row],[Total (tCO2e)]]*(1-Buildings_Heat_Backend[[#This Row],[RSD]]))</f>
        <v/>
      </c>
      <c r="AN395" s="220" t="str">
        <f>IF(Buildings_Heat_Frontend[[#This Row],[Data]]="","", Buildings_Heat_Backend[[#This Row],[Total (tCO2e)]]*(1+Buildings_Heat_Backend[[#This Row],[RSD]]))</f>
        <v/>
      </c>
      <c r="AO395" s="210" t="str">
        <f>IF(Buildings_Heat_Frontend[[#This Row],[Data]]="","", _xlfn.XLOOKUP(_xlfn.CONCAT(Buildings_Heat_Backend[[#This Row],[Level 1]:[Level 6]]),rng_EFConcat,rng_EFOOS)*Buildings_Heat_Backend[[#This Row],[Converted data]]/1000)</f>
        <v/>
      </c>
      <c r="AP395" s="174">
        <f>Buildings_Heat_Frontend[[#This Row],[Ease of collection]]</f>
        <v>0</v>
      </c>
      <c r="AQ395" s="174">
        <f>Buildings_Heat_Frontend[[#This Row],[Completeness]]</f>
        <v>0</v>
      </c>
      <c r="AR395" s="174">
        <f>Buildings_Heat_Frontend[[#This Row],[Notes]]</f>
        <v>0</v>
      </c>
    </row>
    <row r="396" spans="5:44" x14ac:dyDescent="0.3">
      <c r="E396" s="346"/>
      <c r="F396" s="364"/>
      <c r="G396" s="336"/>
      <c r="H396" s="336"/>
      <c r="I396" s="336"/>
      <c r="J396" s="334"/>
      <c r="K396" s="336"/>
      <c r="L396" s="336"/>
      <c r="M396" s="336"/>
      <c r="N396" s="352"/>
      <c r="O396" s="230">
        <f t="shared" si="17"/>
        <v>6</v>
      </c>
      <c r="Q396" s="212" t="str">
        <f t="shared" si="15"/>
        <v/>
      </c>
      <c r="R396" s="174" t="s">
        <v>265</v>
      </c>
      <c r="S396" s="174" t="s">
        <v>273</v>
      </c>
      <c r="T396" s="174" t="str">
        <f>IF(Buildings_Heat_Frontend[[#This Row],[Data]]="","", _xlfn.XLOOKUP(Buildings_Heat_Backend[[#This Row],[Info 1]],Buildings_SiteInfo[Site name],Buildings_SiteInfo[Site type]))</f>
        <v/>
      </c>
      <c r="U396" s="174" t="str">
        <f>IF(Buildings_Heat_Frontend[[#This Row],[Data]]="","", Buildings_Heat_Frontend[[#This Row],[Heating Type]])</f>
        <v/>
      </c>
      <c r="V396" s="174" t="str">
        <f>IF(Buildings_Heat_Frontend[[#This Row],[Data]]="","", Buildings_Heat_Frontend[[#This Row],[Fuel]])</f>
        <v/>
      </c>
      <c r="W396" s="174" t="str" cm="1">
        <f t="array" ref="W396">IF(Buildings_Heat_Frontend[[#This Row],[Data]]="","", _xlfn.XLOOKUP(Buildings_Heat_Backend[[#This Row],[Level 5]],rng_Level5Long,rng_Level6Long))</f>
        <v/>
      </c>
      <c r="X396" s="174" t="str">
        <f>IF(Buildings_Heat_Frontend[[#This Row],[Data]]="","", Buildings_Heat_Frontend[[#This Row],[Site Name]])</f>
        <v/>
      </c>
      <c r="Y396" s="174" t="str">
        <f>IF(Buildings_Heat_Frontend[[#This Row],[Data]]="","", Buildings_Heat_Frontend[[#This Row],[MPRN]])</f>
        <v/>
      </c>
      <c r="Z396" s="174" t="str">
        <f>IF(Buildings_Heat_Frontend[[#This Row],[Data]]="","", IF($I396="","",$I396))</f>
        <v/>
      </c>
      <c r="AA396" s="229" t="str" cm="1">
        <f t="array" ref="AA396">IF(Buildings_Heat_Frontend[[#This Row],[Data]]="","", INDEX(_xlfn.SWITCH(Buildings_Heat_Backend[[#This Row],[Methodology]],"Tier 1",rng_RSD1,"Tier 2",rng_RSD2,"Tier 3",rng_RSD3),MATCH(_xlfn.CONCAT(Buildings_Heat_Backend[[#This Row],[Level 1]:[Level 6]]),rng_LevelsConcat,0)))</f>
        <v/>
      </c>
      <c r="AB396" s="220" t="str">
        <f t="shared" si="16"/>
        <v/>
      </c>
      <c r="AC396" s="174">
        <f>Buildings_Heat_Frontend[[#This Row],[Units]]</f>
        <v>0</v>
      </c>
      <c r="AD39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6" s="174" t="str">
        <f>IF(Buildings_Heat_Frontend[[#This Row],[Data]]="","", _xlfn.XLOOKUP(_xlfn.CONCAT(Buildings_Heat_Backend[[#This Row],[Level 1]:[Level 6]]),rng_LevelsConcat,rng_UnitsLong))</f>
        <v/>
      </c>
      <c r="AF396" s="210" t="str">
        <f>IF(Buildings_Heat_Frontend[[#This Row],[Data]]="","", _xlfn.XLOOKUP(_xlfn.CONCAT(Buildings_Heat_Backend[[#This Row],[Level 1]:[Level 6]]),rng_EFConcat,rng_EF1)*Buildings_Heat_Backend[[#This Row],[Converted data]]/1000)</f>
        <v/>
      </c>
      <c r="AG396" s="210" t="str">
        <f>IF(Buildings_Heat_Frontend[[#This Row],[Data]]="","", _xlfn.XLOOKUP(_xlfn.CONCAT(Buildings_Heat_Backend[[#This Row],[Level 1]:[Level 6]]),rng_EFConcat,rng_EF2)*Buildings_Heat_Backend[[#This Row],[Converted data]]/1000)</f>
        <v/>
      </c>
      <c r="AH396" s="210" t="str">
        <f>IF(Buildings_Heat_Frontend[[#This Row],[Data]]="","", _xlfn.XLOOKUP(_xlfn.CONCAT(Buildings_Heat_Backend[[#This Row],[Level 1]:[Level 6]]),rng_EFConcat,rng_EF3)*Buildings_Heat_Backend[[#This Row],[Converted data]]/1000)</f>
        <v/>
      </c>
      <c r="AI396" s="210" t="str">
        <f>IF(Buildings_Heat_Frontend[[#This Row],[Data]]="","", _xlfn.XLOOKUP(_xlfn.CONCAT(Buildings_Heat_Backend[[#This Row],[Level 1]:[Level 6]]),rng_EFConcat,rng_EF3WTT)*Buildings_Heat_Backend[[#This Row],[Converted data]]/1000)</f>
        <v/>
      </c>
      <c r="AJ396" s="210" t="str">
        <f>IF(Buildings_Heat_Frontend[[#This Row],[Data]]="","", _xlfn.XLOOKUP(_xlfn.CONCAT(Buildings_Heat_Backend[[#This Row],[Level 1]:[Level 6]]),rng_EFConcat,rng_EF3TD)*Buildings_Heat_Backend[[#This Row],[Converted data]]/1000)</f>
        <v/>
      </c>
      <c r="AK396" s="210" t="str">
        <f>IF(Buildings_Heat_Frontend[[#This Row],[Data]]="","", _xlfn.XLOOKUP(_xlfn.CONCAT(Buildings_Heat_Backend[[#This Row],[Level 1]:[Level 6]]),rng_EFConcat,rng_EF3WTTTD)*Buildings_Heat_Backend[[#This Row],[Converted data]]/1000)</f>
        <v/>
      </c>
      <c r="AL396" s="220">
        <f>SUM(Buildings_Heat_Backend[[#This Row],[Scope 1 (tCO2e)]:[Scope 3 WTT T&amp;D (tCO2e)]])</f>
        <v>0</v>
      </c>
      <c r="AM396" s="220" t="str">
        <f>IF(Buildings_Heat_Frontend[[#This Row],[Data]]="","", Buildings_Heat_Backend[[#This Row],[Total (tCO2e)]]*(1-Buildings_Heat_Backend[[#This Row],[RSD]]))</f>
        <v/>
      </c>
      <c r="AN396" s="220" t="str">
        <f>IF(Buildings_Heat_Frontend[[#This Row],[Data]]="","", Buildings_Heat_Backend[[#This Row],[Total (tCO2e)]]*(1+Buildings_Heat_Backend[[#This Row],[RSD]]))</f>
        <v/>
      </c>
      <c r="AO396" s="210" t="str">
        <f>IF(Buildings_Heat_Frontend[[#This Row],[Data]]="","", _xlfn.XLOOKUP(_xlfn.CONCAT(Buildings_Heat_Backend[[#This Row],[Level 1]:[Level 6]]),rng_EFConcat,rng_EFOOS)*Buildings_Heat_Backend[[#This Row],[Converted data]]/1000)</f>
        <v/>
      </c>
      <c r="AP396" s="174">
        <f>Buildings_Heat_Frontend[[#This Row],[Ease of collection]]</f>
        <v>0</v>
      </c>
      <c r="AQ396" s="174">
        <f>Buildings_Heat_Frontend[[#This Row],[Completeness]]</f>
        <v>0</v>
      </c>
      <c r="AR396" s="174">
        <f>Buildings_Heat_Frontend[[#This Row],[Notes]]</f>
        <v>0</v>
      </c>
    </row>
    <row r="397" spans="5:44" x14ac:dyDescent="0.3">
      <c r="E397" s="346"/>
      <c r="F397" s="364"/>
      <c r="G397" s="336"/>
      <c r="H397" s="336"/>
      <c r="I397" s="336"/>
      <c r="J397" s="334"/>
      <c r="K397" s="336"/>
      <c r="L397" s="336"/>
      <c r="M397" s="336"/>
      <c r="N397" s="352"/>
      <c r="O397" s="230">
        <f t="shared" si="17"/>
        <v>6</v>
      </c>
      <c r="Q397" s="212" t="str">
        <f t="shared" si="15"/>
        <v/>
      </c>
      <c r="R397" s="174" t="s">
        <v>265</v>
      </c>
      <c r="S397" s="174" t="s">
        <v>273</v>
      </c>
      <c r="T397" s="174" t="str">
        <f>IF(Buildings_Heat_Frontend[[#This Row],[Data]]="","", _xlfn.XLOOKUP(Buildings_Heat_Backend[[#This Row],[Info 1]],Buildings_SiteInfo[Site name],Buildings_SiteInfo[Site type]))</f>
        <v/>
      </c>
      <c r="U397" s="174" t="str">
        <f>IF(Buildings_Heat_Frontend[[#This Row],[Data]]="","", Buildings_Heat_Frontend[[#This Row],[Heating Type]])</f>
        <v/>
      </c>
      <c r="V397" s="174" t="str">
        <f>IF(Buildings_Heat_Frontend[[#This Row],[Data]]="","", Buildings_Heat_Frontend[[#This Row],[Fuel]])</f>
        <v/>
      </c>
      <c r="W397" s="174" t="str" cm="1">
        <f t="array" ref="W397">IF(Buildings_Heat_Frontend[[#This Row],[Data]]="","", _xlfn.XLOOKUP(Buildings_Heat_Backend[[#This Row],[Level 5]],rng_Level5Long,rng_Level6Long))</f>
        <v/>
      </c>
      <c r="X397" s="174" t="str">
        <f>IF(Buildings_Heat_Frontend[[#This Row],[Data]]="","", Buildings_Heat_Frontend[[#This Row],[Site Name]])</f>
        <v/>
      </c>
      <c r="Y397" s="174" t="str">
        <f>IF(Buildings_Heat_Frontend[[#This Row],[Data]]="","", Buildings_Heat_Frontend[[#This Row],[MPRN]])</f>
        <v/>
      </c>
      <c r="Z397" s="174" t="str">
        <f>IF(Buildings_Heat_Frontend[[#This Row],[Data]]="","", IF($I397="","",$I397))</f>
        <v/>
      </c>
      <c r="AA397" s="229" t="str" cm="1">
        <f t="array" ref="AA397">IF(Buildings_Heat_Frontend[[#This Row],[Data]]="","", INDEX(_xlfn.SWITCH(Buildings_Heat_Backend[[#This Row],[Methodology]],"Tier 1",rng_RSD1,"Tier 2",rng_RSD2,"Tier 3",rng_RSD3),MATCH(_xlfn.CONCAT(Buildings_Heat_Backend[[#This Row],[Level 1]:[Level 6]]),rng_LevelsConcat,0)))</f>
        <v/>
      </c>
      <c r="AB397" s="220" t="str">
        <f t="shared" si="16"/>
        <v/>
      </c>
      <c r="AC397" s="174">
        <f>Buildings_Heat_Frontend[[#This Row],[Units]]</f>
        <v>0</v>
      </c>
      <c r="AD39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7" s="174" t="str">
        <f>IF(Buildings_Heat_Frontend[[#This Row],[Data]]="","", _xlfn.XLOOKUP(_xlfn.CONCAT(Buildings_Heat_Backend[[#This Row],[Level 1]:[Level 6]]),rng_LevelsConcat,rng_UnitsLong))</f>
        <v/>
      </c>
      <c r="AF397" s="210" t="str">
        <f>IF(Buildings_Heat_Frontend[[#This Row],[Data]]="","", _xlfn.XLOOKUP(_xlfn.CONCAT(Buildings_Heat_Backend[[#This Row],[Level 1]:[Level 6]]),rng_EFConcat,rng_EF1)*Buildings_Heat_Backend[[#This Row],[Converted data]]/1000)</f>
        <v/>
      </c>
      <c r="AG397" s="210" t="str">
        <f>IF(Buildings_Heat_Frontend[[#This Row],[Data]]="","", _xlfn.XLOOKUP(_xlfn.CONCAT(Buildings_Heat_Backend[[#This Row],[Level 1]:[Level 6]]),rng_EFConcat,rng_EF2)*Buildings_Heat_Backend[[#This Row],[Converted data]]/1000)</f>
        <v/>
      </c>
      <c r="AH397" s="210" t="str">
        <f>IF(Buildings_Heat_Frontend[[#This Row],[Data]]="","", _xlfn.XLOOKUP(_xlfn.CONCAT(Buildings_Heat_Backend[[#This Row],[Level 1]:[Level 6]]),rng_EFConcat,rng_EF3)*Buildings_Heat_Backend[[#This Row],[Converted data]]/1000)</f>
        <v/>
      </c>
      <c r="AI397" s="210" t="str">
        <f>IF(Buildings_Heat_Frontend[[#This Row],[Data]]="","", _xlfn.XLOOKUP(_xlfn.CONCAT(Buildings_Heat_Backend[[#This Row],[Level 1]:[Level 6]]),rng_EFConcat,rng_EF3WTT)*Buildings_Heat_Backend[[#This Row],[Converted data]]/1000)</f>
        <v/>
      </c>
      <c r="AJ397" s="210" t="str">
        <f>IF(Buildings_Heat_Frontend[[#This Row],[Data]]="","", _xlfn.XLOOKUP(_xlfn.CONCAT(Buildings_Heat_Backend[[#This Row],[Level 1]:[Level 6]]),rng_EFConcat,rng_EF3TD)*Buildings_Heat_Backend[[#This Row],[Converted data]]/1000)</f>
        <v/>
      </c>
      <c r="AK397" s="210" t="str">
        <f>IF(Buildings_Heat_Frontend[[#This Row],[Data]]="","", _xlfn.XLOOKUP(_xlfn.CONCAT(Buildings_Heat_Backend[[#This Row],[Level 1]:[Level 6]]),rng_EFConcat,rng_EF3WTTTD)*Buildings_Heat_Backend[[#This Row],[Converted data]]/1000)</f>
        <v/>
      </c>
      <c r="AL397" s="220">
        <f>SUM(Buildings_Heat_Backend[[#This Row],[Scope 1 (tCO2e)]:[Scope 3 WTT T&amp;D (tCO2e)]])</f>
        <v>0</v>
      </c>
      <c r="AM397" s="220" t="str">
        <f>IF(Buildings_Heat_Frontend[[#This Row],[Data]]="","", Buildings_Heat_Backend[[#This Row],[Total (tCO2e)]]*(1-Buildings_Heat_Backend[[#This Row],[RSD]]))</f>
        <v/>
      </c>
      <c r="AN397" s="220" t="str">
        <f>IF(Buildings_Heat_Frontend[[#This Row],[Data]]="","", Buildings_Heat_Backend[[#This Row],[Total (tCO2e)]]*(1+Buildings_Heat_Backend[[#This Row],[RSD]]))</f>
        <v/>
      </c>
      <c r="AO397" s="210" t="str">
        <f>IF(Buildings_Heat_Frontend[[#This Row],[Data]]="","", _xlfn.XLOOKUP(_xlfn.CONCAT(Buildings_Heat_Backend[[#This Row],[Level 1]:[Level 6]]),rng_EFConcat,rng_EFOOS)*Buildings_Heat_Backend[[#This Row],[Converted data]]/1000)</f>
        <v/>
      </c>
      <c r="AP397" s="174">
        <f>Buildings_Heat_Frontend[[#This Row],[Ease of collection]]</f>
        <v>0</v>
      </c>
      <c r="AQ397" s="174">
        <f>Buildings_Heat_Frontend[[#This Row],[Completeness]]</f>
        <v>0</v>
      </c>
      <c r="AR397" s="174">
        <f>Buildings_Heat_Frontend[[#This Row],[Notes]]</f>
        <v>0</v>
      </c>
    </row>
    <row r="398" spans="5:44" x14ac:dyDescent="0.3">
      <c r="E398" s="346"/>
      <c r="F398" s="364"/>
      <c r="G398" s="336"/>
      <c r="H398" s="336"/>
      <c r="I398" s="336"/>
      <c r="J398" s="334"/>
      <c r="K398" s="336"/>
      <c r="L398" s="336"/>
      <c r="M398" s="336"/>
      <c r="N398" s="352"/>
      <c r="O398" s="230">
        <f t="shared" si="17"/>
        <v>6</v>
      </c>
      <c r="Q398" s="212" t="str">
        <f t="shared" si="15"/>
        <v/>
      </c>
      <c r="R398" s="174" t="s">
        <v>265</v>
      </c>
      <c r="S398" s="174" t="s">
        <v>273</v>
      </c>
      <c r="T398" s="174" t="str">
        <f>IF(Buildings_Heat_Frontend[[#This Row],[Data]]="","", _xlfn.XLOOKUP(Buildings_Heat_Backend[[#This Row],[Info 1]],Buildings_SiteInfo[Site name],Buildings_SiteInfo[Site type]))</f>
        <v/>
      </c>
      <c r="U398" s="174" t="str">
        <f>IF(Buildings_Heat_Frontend[[#This Row],[Data]]="","", Buildings_Heat_Frontend[[#This Row],[Heating Type]])</f>
        <v/>
      </c>
      <c r="V398" s="174" t="str">
        <f>IF(Buildings_Heat_Frontend[[#This Row],[Data]]="","", Buildings_Heat_Frontend[[#This Row],[Fuel]])</f>
        <v/>
      </c>
      <c r="W398" s="174" t="str" cm="1">
        <f t="array" ref="W398">IF(Buildings_Heat_Frontend[[#This Row],[Data]]="","", _xlfn.XLOOKUP(Buildings_Heat_Backend[[#This Row],[Level 5]],rng_Level5Long,rng_Level6Long))</f>
        <v/>
      </c>
      <c r="X398" s="174" t="str">
        <f>IF(Buildings_Heat_Frontend[[#This Row],[Data]]="","", Buildings_Heat_Frontend[[#This Row],[Site Name]])</f>
        <v/>
      </c>
      <c r="Y398" s="174" t="str">
        <f>IF(Buildings_Heat_Frontend[[#This Row],[Data]]="","", Buildings_Heat_Frontend[[#This Row],[MPRN]])</f>
        <v/>
      </c>
      <c r="Z398" s="174" t="str">
        <f>IF(Buildings_Heat_Frontend[[#This Row],[Data]]="","", IF($I398="","",$I398))</f>
        <v/>
      </c>
      <c r="AA398" s="229" t="str" cm="1">
        <f t="array" ref="AA398">IF(Buildings_Heat_Frontend[[#This Row],[Data]]="","", INDEX(_xlfn.SWITCH(Buildings_Heat_Backend[[#This Row],[Methodology]],"Tier 1",rng_RSD1,"Tier 2",rng_RSD2,"Tier 3",rng_RSD3),MATCH(_xlfn.CONCAT(Buildings_Heat_Backend[[#This Row],[Level 1]:[Level 6]]),rng_LevelsConcat,0)))</f>
        <v/>
      </c>
      <c r="AB398" s="220" t="str">
        <f t="shared" si="16"/>
        <v/>
      </c>
      <c r="AC398" s="174">
        <f>Buildings_Heat_Frontend[[#This Row],[Units]]</f>
        <v>0</v>
      </c>
      <c r="AD39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8" s="174" t="str">
        <f>IF(Buildings_Heat_Frontend[[#This Row],[Data]]="","", _xlfn.XLOOKUP(_xlfn.CONCAT(Buildings_Heat_Backend[[#This Row],[Level 1]:[Level 6]]),rng_LevelsConcat,rng_UnitsLong))</f>
        <v/>
      </c>
      <c r="AF398" s="210" t="str">
        <f>IF(Buildings_Heat_Frontend[[#This Row],[Data]]="","", _xlfn.XLOOKUP(_xlfn.CONCAT(Buildings_Heat_Backend[[#This Row],[Level 1]:[Level 6]]),rng_EFConcat,rng_EF1)*Buildings_Heat_Backend[[#This Row],[Converted data]]/1000)</f>
        <v/>
      </c>
      <c r="AG398" s="210" t="str">
        <f>IF(Buildings_Heat_Frontend[[#This Row],[Data]]="","", _xlfn.XLOOKUP(_xlfn.CONCAT(Buildings_Heat_Backend[[#This Row],[Level 1]:[Level 6]]),rng_EFConcat,rng_EF2)*Buildings_Heat_Backend[[#This Row],[Converted data]]/1000)</f>
        <v/>
      </c>
      <c r="AH398" s="210" t="str">
        <f>IF(Buildings_Heat_Frontend[[#This Row],[Data]]="","", _xlfn.XLOOKUP(_xlfn.CONCAT(Buildings_Heat_Backend[[#This Row],[Level 1]:[Level 6]]),rng_EFConcat,rng_EF3)*Buildings_Heat_Backend[[#This Row],[Converted data]]/1000)</f>
        <v/>
      </c>
      <c r="AI398" s="210" t="str">
        <f>IF(Buildings_Heat_Frontend[[#This Row],[Data]]="","", _xlfn.XLOOKUP(_xlfn.CONCAT(Buildings_Heat_Backend[[#This Row],[Level 1]:[Level 6]]),rng_EFConcat,rng_EF3WTT)*Buildings_Heat_Backend[[#This Row],[Converted data]]/1000)</f>
        <v/>
      </c>
      <c r="AJ398" s="210" t="str">
        <f>IF(Buildings_Heat_Frontend[[#This Row],[Data]]="","", _xlfn.XLOOKUP(_xlfn.CONCAT(Buildings_Heat_Backend[[#This Row],[Level 1]:[Level 6]]),rng_EFConcat,rng_EF3TD)*Buildings_Heat_Backend[[#This Row],[Converted data]]/1000)</f>
        <v/>
      </c>
      <c r="AK398" s="210" t="str">
        <f>IF(Buildings_Heat_Frontend[[#This Row],[Data]]="","", _xlfn.XLOOKUP(_xlfn.CONCAT(Buildings_Heat_Backend[[#This Row],[Level 1]:[Level 6]]),rng_EFConcat,rng_EF3WTTTD)*Buildings_Heat_Backend[[#This Row],[Converted data]]/1000)</f>
        <v/>
      </c>
      <c r="AL398" s="220">
        <f>SUM(Buildings_Heat_Backend[[#This Row],[Scope 1 (tCO2e)]:[Scope 3 WTT T&amp;D (tCO2e)]])</f>
        <v>0</v>
      </c>
      <c r="AM398" s="220" t="str">
        <f>IF(Buildings_Heat_Frontend[[#This Row],[Data]]="","", Buildings_Heat_Backend[[#This Row],[Total (tCO2e)]]*(1-Buildings_Heat_Backend[[#This Row],[RSD]]))</f>
        <v/>
      </c>
      <c r="AN398" s="220" t="str">
        <f>IF(Buildings_Heat_Frontend[[#This Row],[Data]]="","", Buildings_Heat_Backend[[#This Row],[Total (tCO2e)]]*(1+Buildings_Heat_Backend[[#This Row],[RSD]]))</f>
        <v/>
      </c>
      <c r="AO398" s="210" t="str">
        <f>IF(Buildings_Heat_Frontend[[#This Row],[Data]]="","", _xlfn.XLOOKUP(_xlfn.CONCAT(Buildings_Heat_Backend[[#This Row],[Level 1]:[Level 6]]),rng_EFConcat,rng_EFOOS)*Buildings_Heat_Backend[[#This Row],[Converted data]]/1000)</f>
        <v/>
      </c>
      <c r="AP398" s="174">
        <f>Buildings_Heat_Frontend[[#This Row],[Ease of collection]]</f>
        <v>0</v>
      </c>
      <c r="AQ398" s="174">
        <f>Buildings_Heat_Frontend[[#This Row],[Completeness]]</f>
        <v>0</v>
      </c>
      <c r="AR398" s="174">
        <f>Buildings_Heat_Frontend[[#This Row],[Notes]]</f>
        <v>0</v>
      </c>
    </row>
    <row r="399" spans="5:44" x14ac:dyDescent="0.3">
      <c r="E399" s="346"/>
      <c r="F399" s="364"/>
      <c r="G399" s="336"/>
      <c r="H399" s="336"/>
      <c r="I399" s="336"/>
      <c r="J399" s="334"/>
      <c r="K399" s="336"/>
      <c r="L399" s="336"/>
      <c r="M399" s="336"/>
      <c r="N399" s="352"/>
      <c r="O399" s="230">
        <f t="shared" si="17"/>
        <v>6</v>
      </c>
      <c r="Q399" s="212" t="str">
        <f t="shared" ref="Q399:Q462" si="18">IF(O399=0,SUBSTITUTE(2025&amp;TRIM(cl_org_name_select)&amp;TRIM($E$12)&amp;(ROW(O399)-ROW($O$15))," ",""),"")</f>
        <v/>
      </c>
      <c r="R399" s="174" t="s">
        <v>265</v>
      </c>
      <c r="S399" s="174" t="s">
        <v>273</v>
      </c>
      <c r="T399" s="174" t="str">
        <f>IF(Buildings_Heat_Frontend[[#This Row],[Data]]="","", _xlfn.XLOOKUP(Buildings_Heat_Backend[[#This Row],[Info 1]],Buildings_SiteInfo[Site name],Buildings_SiteInfo[Site type]))</f>
        <v/>
      </c>
      <c r="U399" s="174" t="str">
        <f>IF(Buildings_Heat_Frontend[[#This Row],[Data]]="","", Buildings_Heat_Frontend[[#This Row],[Heating Type]])</f>
        <v/>
      </c>
      <c r="V399" s="174" t="str">
        <f>IF(Buildings_Heat_Frontend[[#This Row],[Data]]="","", Buildings_Heat_Frontend[[#This Row],[Fuel]])</f>
        <v/>
      </c>
      <c r="W399" s="174" t="str" cm="1">
        <f t="array" ref="W399">IF(Buildings_Heat_Frontend[[#This Row],[Data]]="","", _xlfn.XLOOKUP(Buildings_Heat_Backend[[#This Row],[Level 5]],rng_Level5Long,rng_Level6Long))</f>
        <v/>
      </c>
      <c r="X399" s="174" t="str">
        <f>IF(Buildings_Heat_Frontend[[#This Row],[Data]]="","", Buildings_Heat_Frontend[[#This Row],[Site Name]])</f>
        <v/>
      </c>
      <c r="Y399" s="174" t="str">
        <f>IF(Buildings_Heat_Frontend[[#This Row],[Data]]="","", Buildings_Heat_Frontend[[#This Row],[MPRN]])</f>
        <v/>
      </c>
      <c r="Z399" s="174" t="str">
        <f>IF(Buildings_Heat_Frontend[[#This Row],[Data]]="","", IF($I399="","",$I399))</f>
        <v/>
      </c>
      <c r="AA399" s="229" t="str" cm="1">
        <f t="array" ref="AA399">IF(Buildings_Heat_Frontend[[#This Row],[Data]]="","", INDEX(_xlfn.SWITCH(Buildings_Heat_Backend[[#This Row],[Methodology]],"Tier 1",rng_RSD1,"Tier 2",rng_RSD2,"Tier 3",rng_RSD3),MATCH(_xlfn.CONCAT(Buildings_Heat_Backend[[#This Row],[Level 1]:[Level 6]]),rng_LevelsConcat,0)))</f>
        <v/>
      </c>
      <c r="AB399" s="220" t="str">
        <f t="shared" ref="AB399:AB462" si="19">IF($J399="","",$J399)</f>
        <v/>
      </c>
      <c r="AC399" s="174">
        <f>Buildings_Heat_Frontend[[#This Row],[Units]]</f>
        <v>0</v>
      </c>
      <c r="AD39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399" s="174" t="str">
        <f>IF(Buildings_Heat_Frontend[[#This Row],[Data]]="","", _xlfn.XLOOKUP(_xlfn.CONCAT(Buildings_Heat_Backend[[#This Row],[Level 1]:[Level 6]]),rng_LevelsConcat,rng_UnitsLong))</f>
        <v/>
      </c>
      <c r="AF399" s="210" t="str">
        <f>IF(Buildings_Heat_Frontend[[#This Row],[Data]]="","", _xlfn.XLOOKUP(_xlfn.CONCAT(Buildings_Heat_Backend[[#This Row],[Level 1]:[Level 6]]),rng_EFConcat,rng_EF1)*Buildings_Heat_Backend[[#This Row],[Converted data]]/1000)</f>
        <v/>
      </c>
      <c r="AG399" s="210" t="str">
        <f>IF(Buildings_Heat_Frontend[[#This Row],[Data]]="","", _xlfn.XLOOKUP(_xlfn.CONCAT(Buildings_Heat_Backend[[#This Row],[Level 1]:[Level 6]]),rng_EFConcat,rng_EF2)*Buildings_Heat_Backend[[#This Row],[Converted data]]/1000)</f>
        <v/>
      </c>
      <c r="AH399" s="210" t="str">
        <f>IF(Buildings_Heat_Frontend[[#This Row],[Data]]="","", _xlfn.XLOOKUP(_xlfn.CONCAT(Buildings_Heat_Backend[[#This Row],[Level 1]:[Level 6]]),rng_EFConcat,rng_EF3)*Buildings_Heat_Backend[[#This Row],[Converted data]]/1000)</f>
        <v/>
      </c>
      <c r="AI399" s="210" t="str">
        <f>IF(Buildings_Heat_Frontend[[#This Row],[Data]]="","", _xlfn.XLOOKUP(_xlfn.CONCAT(Buildings_Heat_Backend[[#This Row],[Level 1]:[Level 6]]),rng_EFConcat,rng_EF3WTT)*Buildings_Heat_Backend[[#This Row],[Converted data]]/1000)</f>
        <v/>
      </c>
      <c r="AJ399" s="210" t="str">
        <f>IF(Buildings_Heat_Frontend[[#This Row],[Data]]="","", _xlfn.XLOOKUP(_xlfn.CONCAT(Buildings_Heat_Backend[[#This Row],[Level 1]:[Level 6]]),rng_EFConcat,rng_EF3TD)*Buildings_Heat_Backend[[#This Row],[Converted data]]/1000)</f>
        <v/>
      </c>
      <c r="AK399" s="210" t="str">
        <f>IF(Buildings_Heat_Frontend[[#This Row],[Data]]="","", _xlfn.XLOOKUP(_xlfn.CONCAT(Buildings_Heat_Backend[[#This Row],[Level 1]:[Level 6]]),rng_EFConcat,rng_EF3WTTTD)*Buildings_Heat_Backend[[#This Row],[Converted data]]/1000)</f>
        <v/>
      </c>
      <c r="AL399" s="220">
        <f>SUM(Buildings_Heat_Backend[[#This Row],[Scope 1 (tCO2e)]:[Scope 3 WTT T&amp;D (tCO2e)]])</f>
        <v>0</v>
      </c>
      <c r="AM399" s="220" t="str">
        <f>IF(Buildings_Heat_Frontend[[#This Row],[Data]]="","", Buildings_Heat_Backend[[#This Row],[Total (tCO2e)]]*(1-Buildings_Heat_Backend[[#This Row],[RSD]]))</f>
        <v/>
      </c>
      <c r="AN399" s="220" t="str">
        <f>IF(Buildings_Heat_Frontend[[#This Row],[Data]]="","", Buildings_Heat_Backend[[#This Row],[Total (tCO2e)]]*(1+Buildings_Heat_Backend[[#This Row],[RSD]]))</f>
        <v/>
      </c>
      <c r="AO399" s="210" t="str">
        <f>IF(Buildings_Heat_Frontend[[#This Row],[Data]]="","", _xlfn.XLOOKUP(_xlfn.CONCAT(Buildings_Heat_Backend[[#This Row],[Level 1]:[Level 6]]),rng_EFConcat,rng_EFOOS)*Buildings_Heat_Backend[[#This Row],[Converted data]]/1000)</f>
        <v/>
      </c>
      <c r="AP399" s="174">
        <f>Buildings_Heat_Frontend[[#This Row],[Ease of collection]]</f>
        <v>0</v>
      </c>
      <c r="AQ399" s="174">
        <f>Buildings_Heat_Frontend[[#This Row],[Completeness]]</f>
        <v>0</v>
      </c>
      <c r="AR399" s="174">
        <f>Buildings_Heat_Frontend[[#This Row],[Notes]]</f>
        <v>0</v>
      </c>
    </row>
    <row r="400" spans="5:44" x14ac:dyDescent="0.3">
      <c r="E400" s="346"/>
      <c r="F400" s="364"/>
      <c r="G400" s="336"/>
      <c r="H400" s="336"/>
      <c r="I400" s="336"/>
      <c r="J400" s="334"/>
      <c r="K400" s="336"/>
      <c r="L400" s="336"/>
      <c r="M400" s="336"/>
      <c r="N400" s="352"/>
      <c r="O400" s="230">
        <f t="shared" ref="O400:O463" si="20">ISBLANK(E400)+ISBLANK(G400)+ISBLANK(H400)+ISBLANK(I400)+ISBLANK(J400)+ISBLANK(K400)</f>
        <v>6</v>
      </c>
      <c r="Q400" s="212" t="str">
        <f t="shared" si="18"/>
        <v/>
      </c>
      <c r="R400" s="174" t="s">
        <v>265</v>
      </c>
      <c r="S400" s="174" t="s">
        <v>273</v>
      </c>
      <c r="T400" s="174" t="str">
        <f>IF(Buildings_Heat_Frontend[[#This Row],[Data]]="","", _xlfn.XLOOKUP(Buildings_Heat_Backend[[#This Row],[Info 1]],Buildings_SiteInfo[Site name],Buildings_SiteInfo[Site type]))</f>
        <v/>
      </c>
      <c r="U400" s="174" t="str">
        <f>IF(Buildings_Heat_Frontend[[#This Row],[Data]]="","", Buildings_Heat_Frontend[[#This Row],[Heating Type]])</f>
        <v/>
      </c>
      <c r="V400" s="174" t="str">
        <f>IF(Buildings_Heat_Frontend[[#This Row],[Data]]="","", Buildings_Heat_Frontend[[#This Row],[Fuel]])</f>
        <v/>
      </c>
      <c r="W400" s="174" t="str" cm="1">
        <f t="array" ref="W400">IF(Buildings_Heat_Frontend[[#This Row],[Data]]="","", _xlfn.XLOOKUP(Buildings_Heat_Backend[[#This Row],[Level 5]],rng_Level5Long,rng_Level6Long))</f>
        <v/>
      </c>
      <c r="X400" s="174" t="str">
        <f>IF(Buildings_Heat_Frontend[[#This Row],[Data]]="","", Buildings_Heat_Frontend[[#This Row],[Site Name]])</f>
        <v/>
      </c>
      <c r="Y400" s="174" t="str">
        <f>IF(Buildings_Heat_Frontend[[#This Row],[Data]]="","", Buildings_Heat_Frontend[[#This Row],[MPRN]])</f>
        <v/>
      </c>
      <c r="Z400" s="174" t="str">
        <f>IF(Buildings_Heat_Frontend[[#This Row],[Data]]="","", IF($I400="","",$I400))</f>
        <v/>
      </c>
      <c r="AA400" s="229" t="str" cm="1">
        <f t="array" ref="AA400">IF(Buildings_Heat_Frontend[[#This Row],[Data]]="","", INDEX(_xlfn.SWITCH(Buildings_Heat_Backend[[#This Row],[Methodology]],"Tier 1",rng_RSD1,"Tier 2",rng_RSD2,"Tier 3",rng_RSD3),MATCH(_xlfn.CONCAT(Buildings_Heat_Backend[[#This Row],[Level 1]:[Level 6]]),rng_LevelsConcat,0)))</f>
        <v/>
      </c>
      <c r="AB400" s="220" t="str">
        <f t="shared" si="19"/>
        <v/>
      </c>
      <c r="AC400" s="174">
        <f>Buildings_Heat_Frontend[[#This Row],[Units]]</f>
        <v>0</v>
      </c>
      <c r="AD40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0" s="174" t="str">
        <f>IF(Buildings_Heat_Frontend[[#This Row],[Data]]="","", _xlfn.XLOOKUP(_xlfn.CONCAT(Buildings_Heat_Backend[[#This Row],[Level 1]:[Level 6]]),rng_LevelsConcat,rng_UnitsLong))</f>
        <v/>
      </c>
      <c r="AF400" s="210" t="str">
        <f>IF(Buildings_Heat_Frontend[[#This Row],[Data]]="","", _xlfn.XLOOKUP(_xlfn.CONCAT(Buildings_Heat_Backend[[#This Row],[Level 1]:[Level 6]]),rng_EFConcat,rng_EF1)*Buildings_Heat_Backend[[#This Row],[Converted data]]/1000)</f>
        <v/>
      </c>
      <c r="AG400" s="210" t="str">
        <f>IF(Buildings_Heat_Frontend[[#This Row],[Data]]="","", _xlfn.XLOOKUP(_xlfn.CONCAT(Buildings_Heat_Backend[[#This Row],[Level 1]:[Level 6]]),rng_EFConcat,rng_EF2)*Buildings_Heat_Backend[[#This Row],[Converted data]]/1000)</f>
        <v/>
      </c>
      <c r="AH400" s="210" t="str">
        <f>IF(Buildings_Heat_Frontend[[#This Row],[Data]]="","", _xlfn.XLOOKUP(_xlfn.CONCAT(Buildings_Heat_Backend[[#This Row],[Level 1]:[Level 6]]),rng_EFConcat,rng_EF3)*Buildings_Heat_Backend[[#This Row],[Converted data]]/1000)</f>
        <v/>
      </c>
      <c r="AI400" s="210" t="str">
        <f>IF(Buildings_Heat_Frontend[[#This Row],[Data]]="","", _xlfn.XLOOKUP(_xlfn.CONCAT(Buildings_Heat_Backend[[#This Row],[Level 1]:[Level 6]]),rng_EFConcat,rng_EF3WTT)*Buildings_Heat_Backend[[#This Row],[Converted data]]/1000)</f>
        <v/>
      </c>
      <c r="AJ400" s="210" t="str">
        <f>IF(Buildings_Heat_Frontend[[#This Row],[Data]]="","", _xlfn.XLOOKUP(_xlfn.CONCAT(Buildings_Heat_Backend[[#This Row],[Level 1]:[Level 6]]),rng_EFConcat,rng_EF3TD)*Buildings_Heat_Backend[[#This Row],[Converted data]]/1000)</f>
        <v/>
      </c>
      <c r="AK400" s="210" t="str">
        <f>IF(Buildings_Heat_Frontend[[#This Row],[Data]]="","", _xlfn.XLOOKUP(_xlfn.CONCAT(Buildings_Heat_Backend[[#This Row],[Level 1]:[Level 6]]),rng_EFConcat,rng_EF3WTTTD)*Buildings_Heat_Backend[[#This Row],[Converted data]]/1000)</f>
        <v/>
      </c>
      <c r="AL400" s="220">
        <f>SUM(Buildings_Heat_Backend[[#This Row],[Scope 1 (tCO2e)]:[Scope 3 WTT T&amp;D (tCO2e)]])</f>
        <v>0</v>
      </c>
      <c r="AM400" s="220" t="str">
        <f>IF(Buildings_Heat_Frontend[[#This Row],[Data]]="","", Buildings_Heat_Backend[[#This Row],[Total (tCO2e)]]*(1-Buildings_Heat_Backend[[#This Row],[RSD]]))</f>
        <v/>
      </c>
      <c r="AN400" s="220" t="str">
        <f>IF(Buildings_Heat_Frontend[[#This Row],[Data]]="","", Buildings_Heat_Backend[[#This Row],[Total (tCO2e)]]*(1+Buildings_Heat_Backend[[#This Row],[RSD]]))</f>
        <v/>
      </c>
      <c r="AO400" s="210" t="str">
        <f>IF(Buildings_Heat_Frontend[[#This Row],[Data]]="","", _xlfn.XLOOKUP(_xlfn.CONCAT(Buildings_Heat_Backend[[#This Row],[Level 1]:[Level 6]]),rng_EFConcat,rng_EFOOS)*Buildings_Heat_Backend[[#This Row],[Converted data]]/1000)</f>
        <v/>
      </c>
      <c r="AP400" s="174">
        <f>Buildings_Heat_Frontend[[#This Row],[Ease of collection]]</f>
        <v>0</v>
      </c>
      <c r="AQ400" s="174">
        <f>Buildings_Heat_Frontend[[#This Row],[Completeness]]</f>
        <v>0</v>
      </c>
      <c r="AR400" s="174">
        <f>Buildings_Heat_Frontend[[#This Row],[Notes]]</f>
        <v>0</v>
      </c>
    </row>
    <row r="401" spans="5:44" x14ac:dyDescent="0.3">
      <c r="E401" s="346"/>
      <c r="F401" s="364"/>
      <c r="G401" s="336"/>
      <c r="H401" s="336"/>
      <c r="I401" s="336"/>
      <c r="J401" s="334"/>
      <c r="K401" s="336"/>
      <c r="L401" s="336"/>
      <c r="M401" s="336"/>
      <c r="N401" s="352"/>
      <c r="O401" s="230">
        <f t="shared" si="20"/>
        <v>6</v>
      </c>
      <c r="Q401" s="212" t="str">
        <f t="shared" si="18"/>
        <v/>
      </c>
      <c r="R401" s="174" t="s">
        <v>265</v>
      </c>
      <c r="S401" s="174" t="s">
        <v>273</v>
      </c>
      <c r="T401" s="174" t="str">
        <f>IF(Buildings_Heat_Frontend[[#This Row],[Data]]="","", _xlfn.XLOOKUP(Buildings_Heat_Backend[[#This Row],[Info 1]],Buildings_SiteInfo[Site name],Buildings_SiteInfo[Site type]))</f>
        <v/>
      </c>
      <c r="U401" s="174" t="str">
        <f>IF(Buildings_Heat_Frontend[[#This Row],[Data]]="","", Buildings_Heat_Frontend[[#This Row],[Heating Type]])</f>
        <v/>
      </c>
      <c r="V401" s="174" t="str">
        <f>IF(Buildings_Heat_Frontend[[#This Row],[Data]]="","", Buildings_Heat_Frontend[[#This Row],[Fuel]])</f>
        <v/>
      </c>
      <c r="W401" s="174" t="str" cm="1">
        <f t="array" ref="W401">IF(Buildings_Heat_Frontend[[#This Row],[Data]]="","", _xlfn.XLOOKUP(Buildings_Heat_Backend[[#This Row],[Level 5]],rng_Level5Long,rng_Level6Long))</f>
        <v/>
      </c>
      <c r="X401" s="174" t="str">
        <f>IF(Buildings_Heat_Frontend[[#This Row],[Data]]="","", Buildings_Heat_Frontend[[#This Row],[Site Name]])</f>
        <v/>
      </c>
      <c r="Y401" s="174" t="str">
        <f>IF(Buildings_Heat_Frontend[[#This Row],[Data]]="","", Buildings_Heat_Frontend[[#This Row],[MPRN]])</f>
        <v/>
      </c>
      <c r="Z401" s="174" t="str">
        <f>IF(Buildings_Heat_Frontend[[#This Row],[Data]]="","", IF($I401="","",$I401))</f>
        <v/>
      </c>
      <c r="AA401" s="229" t="str" cm="1">
        <f t="array" ref="AA401">IF(Buildings_Heat_Frontend[[#This Row],[Data]]="","", INDEX(_xlfn.SWITCH(Buildings_Heat_Backend[[#This Row],[Methodology]],"Tier 1",rng_RSD1,"Tier 2",rng_RSD2,"Tier 3",rng_RSD3),MATCH(_xlfn.CONCAT(Buildings_Heat_Backend[[#This Row],[Level 1]:[Level 6]]),rng_LevelsConcat,0)))</f>
        <v/>
      </c>
      <c r="AB401" s="220" t="str">
        <f t="shared" si="19"/>
        <v/>
      </c>
      <c r="AC401" s="174">
        <f>Buildings_Heat_Frontend[[#This Row],[Units]]</f>
        <v>0</v>
      </c>
      <c r="AD40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1" s="174" t="str">
        <f>IF(Buildings_Heat_Frontend[[#This Row],[Data]]="","", _xlfn.XLOOKUP(_xlfn.CONCAT(Buildings_Heat_Backend[[#This Row],[Level 1]:[Level 6]]),rng_LevelsConcat,rng_UnitsLong))</f>
        <v/>
      </c>
      <c r="AF401" s="210" t="str">
        <f>IF(Buildings_Heat_Frontend[[#This Row],[Data]]="","", _xlfn.XLOOKUP(_xlfn.CONCAT(Buildings_Heat_Backend[[#This Row],[Level 1]:[Level 6]]),rng_EFConcat,rng_EF1)*Buildings_Heat_Backend[[#This Row],[Converted data]]/1000)</f>
        <v/>
      </c>
      <c r="AG401" s="210" t="str">
        <f>IF(Buildings_Heat_Frontend[[#This Row],[Data]]="","", _xlfn.XLOOKUP(_xlfn.CONCAT(Buildings_Heat_Backend[[#This Row],[Level 1]:[Level 6]]),rng_EFConcat,rng_EF2)*Buildings_Heat_Backend[[#This Row],[Converted data]]/1000)</f>
        <v/>
      </c>
      <c r="AH401" s="210" t="str">
        <f>IF(Buildings_Heat_Frontend[[#This Row],[Data]]="","", _xlfn.XLOOKUP(_xlfn.CONCAT(Buildings_Heat_Backend[[#This Row],[Level 1]:[Level 6]]),rng_EFConcat,rng_EF3)*Buildings_Heat_Backend[[#This Row],[Converted data]]/1000)</f>
        <v/>
      </c>
      <c r="AI401" s="210" t="str">
        <f>IF(Buildings_Heat_Frontend[[#This Row],[Data]]="","", _xlfn.XLOOKUP(_xlfn.CONCAT(Buildings_Heat_Backend[[#This Row],[Level 1]:[Level 6]]),rng_EFConcat,rng_EF3WTT)*Buildings_Heat_Backend[[#This Row],[Converted data]]/1000)</f>
        <v/>
      </c>
      <c r="AJ401" s="210" t="str">
        <f>IF(Buildings_Heat_Frontend[[#This Row],[Data]]="","", _xlfn.XLOOKUP(_xlfn.CONCAT(Buildings_Heat_Backend[[#This Row],[Level 1]:[Level 6]]),rng_EFConcat,rng_EF3TD)*Buildings_Heat_Backend[[#This Row],[Converted data]]/1000)</f>
        <v/>
      </c>
      <c r="AK401" s="210" t="str">
        <f>IF(Buildings_Heat_Frontend[[#This Row],[Data]]="","", _xlfn.XLOOKUP(_xlfn.CONCAT(Buildings_Heat_Backend[[#This Row],[Level 1]:[Level 6]]),rng_EFConcat,rng_EF3WTTTD)*Buildings_Heat_Backend[[#This Row],[Converted data]]/1000)</f>
        <v/>
      </c>
      <c r="AL401" s="220">
        <f>SUM(Buildings_Heat_Backend[[#This Row],[Scope 1 (tCO2e)]:[Scope 3 WTT T&amp;D (tCO2e)]])</f>
        <v>0</v>
      </c>
      <c r="AM401" s="220" t="str">
        <f>IF(Buildings_Heat_Frontend[[#This Row],[Data]]="","", Buildings_Heat_Backend[[#This Row],[Total (tCO2e)]]*(1-Buildings_Heat_Backend[[#This Row],[RSD]]))</f>
        <v/>
      </c>
      <c r="AN401" s="220" t="str">
        <f>IF(Buildings_Heat_Frontend[[#This Row],[Data]]="","", Buildings_Heat_Backend[[#This Row],[Total (tCO2e)]]*(1+Buildings_Heat_Backend[[#This Row],[RSD]]))</f>
        <v/>
      </c>
      <c r="AO401" s="210" t="str">
        <f>IF(Buildings_Heat_Frontend[[#This Row],[Data]]="","", _xlfn.XLOOKUP(_xlfn.CONCAT(Buildings_Heat_Backend[[#This Row],[Level 1]:[Level 6]]),rng_EFConcat,rng_EFOOS)*Buildings_Heat_Backend[[#This Row],[Converted data]]/1000)</f>
        <v/>
      </c>
      <c r="AP401" s="174">
        <f>Buildings_Heat_Frontend[[#This Row],[Ease of collection]]</f>
        <v>0</v>
      </c>
      <c r="AQ401" s="174">
        <f>Buildings_Heat_Frontend[[#This Row],[Completeness]]</f>
        <v>0</v>
      </c>
      <c r="AR401" s="174">
        <f>Buildings_Heat_Frontend[[#This Row],[Notes]]</f>
        <v>0</v>
      </c>
    </row>
    <row r="402" spans="5:44" x14ac:dyDescent="0.3">
      <c r="E402" s="346"/>
      <c r="F402" s="364"/>
      <c r="G402" s="336"/>
      <c r="H402" s="336"/>
      <c r="I402" s="336"/>
      <c r="J402" s="334"/>
      <c r="K402" s="336"/>
      <c r="L402" s="336"/>
      <c r="M402" s="336"/>
      <c r="N402" s="352"/>
      <c r="O402" s="230">
        <f t="shared" si="20"/>
        <v>6</v>
      </c>
      <c r="Q402" s="212" t="str">
        <f t="shared" si="18"/>
        <v/>
      </c>
      <c r="R402" s="174" t="s">
        <v>265</v>
      </c>
      <c r="S402" s="174" t="s">
        <v>273</v>
      </c>
      <c r="T402" s="174" t="str">
        <f>IF(Buildings_Heat_Frontend[[#This Row],[Data]]="","", _xlfn.XLOOKUP(Buildings_Heat_Backend[[#This Row],[Info 1]],Buildings_SiteInfo[Site name],Buildings_SiteInfo[Site type]))</f>
        <v/>
      </c>
      <c r="U402" s="174" t="str">
        <f>IF(Buildings_Heat_Frontend[[#This Row],[Data]]="","", Buildings_Heat_Frontend[[#This Row],[Heating Type]])</f>
        <v/>
      </c>
      <c r="V402" s="174" t="str">
        <f>IF(Buildings_Heat_Frontend[[#This Row],[Data]]="","", Buildings_Heat_Frontend[[#This Row],[Fuel]])</f>
        <v/>
      </c>
      <c r="W402" s="174" t="str" cm="1">
        <f t="array" ref="W402">IF(Buildings_Heat_Frontend[[#This Row],[Data]]="","", _xlfn.XLOOKUP(Buildings_Heat_Backend[[#This Row],[Level 5]],rng_Level5Long,rng_Level6Long))</f>
        <v/>
      </c>
      <c r="X402" s="174" t="str">
        <f>IF(Buildings_Heat_Frontend[[#This Row],[Data]]="","", Buildings_Heat_Frontend[[#This Row],[Site Name]])</f>
        <v/>
      </c>
      <c r="Y402" s="174" t="str">
        <f>IF(Buildings_Heat_Frontend[[#This Row],[Data]]="","", Buildings_Heat_Frontend[[#This Row],[MPRN]])</f>
        <v/>
      </c>
      <c r="Z402" s="174" t="str">
        <f>IF(Buildings_Heat_Frontend[[#This Row],[Data]]="","", IF($I402="","",$I402))</f>
        <v/>
      </c>
      <c r="AA402" s="229" t="str" cm="1">
        <f t="array" ref="AA402">IF(Buildings_Heat_Frontend[[#This Row],[Data]]="","", INDEX(_xlfn.SWITCH(Buildings_Heat_Backend[[#This Row],[Methodology]],"Tier 1",rng_RSD1,"Tier 2",rng_RSD2,"Tier 3",rng_RSD3),MATCH(_xlfn.CONCAT(Buildings_Heat_Backend[[#This Row],[Level 1]:[Level 6]]),rng_LevelsConcat,0)))</f>
        <v/>
      </c>
      <c r="AB402" s="220" t="str">
        <f t="shared" si="19"/>
        <v/>
      </c>
      <c r="AC402" s="174">
        <f>Buildings_Heat_Frontend[[#This Row],[Units]]</f>
        <v>0</v>
      </c>
      <c r="AD40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2" s="174" t="str">
        <f>IF(Buildings_Heat_Frontend[[#This Row],[Data]]="","", _xlfn.XLOOKUP(_xlfn.CONCAT(Buildings_Heat_Backend[[#This Row],[Level 1]:[Level 6]]),rng_LevelsConcat,rng_UnitsLong))</f>
        <v/>
      </c>
      <c r="AF402" s="210" t="str">
        <f>IF(Buildings_Heat_Frontend[[#This Row],[Data]]="","", _xlfn.XLOOKUP(_xlfn.CONCAT(Buildings_Heat_Backend[[#This Row],[Level 1]:[Level 6]]),rng_EFConcat,rng_EF1)*Buildings_Heat_Backend[[#This Row],[Converted data]]/1000)</f>
        <v/>
      </c>
      <c r="AG402" s="210" t="str">
        <f>IF(Buildings_Heat_Frontend[[#This Row],[Data]]="","", _xlfn.XLOOKUP(_xlfn.CONCAT(Buildings_Heat_Backend[[#This Row],[Level 1]:[Level 6]]),rng_EFConcat,rng_EF2)*Buildings_Heat_Backend[[#This Row],[Converted data]]/1000)</f>
        <v/>
      </c>
      <c r="AH402" s="210" t="str">
        <f>IF(Buildings_Heat_Frontend[[#This Row],[Data]]="","", _xlfn.XLOOKUP(_xlfn.CONCAT(Buildings_Heat_Backend[[#This Row],[Level 1]:[Level 6]]),rng_EFConcat,rng_EF3)*Buildings_Heat_Backend[[#This Row],[Converted data]]/1000)</f>
        <v/>
      </c>
      <c r="AI402" s="210" t="str">
        <f>IF(Buildings_Heat_Frontend[[#This Row],[Data]]="","", _xlfn.XLOOKUP(_xlfn.CONCAT(Buildings_Heat_Backend[[#This Row],[Level 1]:[Level 6]]),rng_EFConcat,rng_EF3WTT)*Buildings_Heat_Backend[[#This Row],[Converted data]]/1000)</f>
        <v/>
      </c>
      <c r="AJ402" s="210" t="str">
        <f>IF(Buildings_Heat_Frontend[[#This Row],[Data]]="","", _xlfn.XLOOKUP(_xlfn.CONCAT(Buildings_Heat_Backend[[#This Row],[Level 1]:[Level 6]]),rng_EFConcat,rng_EF3TD)*Buildings_Heat_Backend[[#This Row],[Converted data]]/1000)</f>
        <v/>
      </c>
      <c r="AK402" s="210" t="str">
        <f>IF(Buildings_Heat_Frontend[[#This Row],[Data]]="","", _xlfn.XLOOKUP(_xlfn.CONCAT(Buildings_Heat_Backend[[#This Row],[Level 1]:[Level 6]]),rng_EFConcat,rng_EF3WTTTD)*Buildings_Heat_Backend[[#This Row],[Converted data]]/1000)</f>
        <v/>
      </c>
      <c r="AL402" s="220">
        <f>SUM(Buildings_Heat_Backend[[#This Row],[Scope 1 (tCO2e)]:[Scope 3 WTT T&amp;D (tCO2e)]])</f>
        <v>0</v>
      </c>
      <c r="AM402" s="220" t="str">
        <f>IF(Buildings_Heat_Frontend[[#This Row],[Data]]="","", Buildings_Heat_Backend[[#This Row],[Total (tCO2e)]]*(1-Buildings_Heat_Backend[[#This Row],[RSD]]))</f>
        <v/>
      </c>
      <c r="AN402" s="220" t="str">
        <f>IF(Buildings_Heat_Frontend[[#This Row],[Data]]="","", Buildings_Heat_Backend[[#This Row],[Total (tCO2e)]]*(1+Buildings_Heat_Backend[[#This Row],[RSD]]))</f>
        <v/>
      </c>
      <c r="AO402" s="210" t="str">
        <f>IF(Buildings_Heat_Frontend[[#This Row],[Data]]="","", _xlfn.XLOOKUP(_xlfn.CONCAT(Buildings_Heat_Backend[[#This Row],[Level 1]:[Level 6]]),rng_EFConcat,rng_EFOOS)*Buildings_Heat_Backend[[#This Row],[Converted data]]/1000)</f>
        <v/>
      </c>
      <c r="AP402" s="174">
        <f>Buildings_Heat_Frontend[[#This Row],[Ease of collection]]</f>
        <v>0</v>
      </c>
      <c r="AQ402" s="174">
        <f>Buildings_Heat_Frontend[[#This Row],[Completeness]]</f>
        <v>0</v>
      </c>
      <c r="AR402" s="174">
        <f>Buildings_Heat_Frontend[[#This Row],[Notes]]</f>
        <v>0</v>
      </c>
    </row>
    <row r="403" spans="5:44" x14ac:dyDescent="0.3">
      <c r="E403" s="346"/>
      <c r="F403" s="364"/>
      <c r="G403" s="336"/>
      <c r="H403" s="336"/>
      <c r="I403" s="336"/>
      <c r="J403" s="334"/>
      <c r="K403" s="336"/>
      <c r="L403" s="336"/>
      <c r="M403" s="336"/>
      <c r="N403" s="352"/>
      <c r="O403" s="230">
        <f t="shared" si="20"/>
        <v>6</v>
      </c>
      <c r="Q403" s="212" t="str">
        <f t="shared" si="18"/>
        <v/>
      </c>
      <c r="R403" s="174" t="s">
        <v>265</v>
      </c>
      <c r="S403" s="174" t="s">
        <v>273</v>
      </c>
      <c r="T403" s="174" t="str">
        <f>IF(Buildings_Heat_Frontend[[#This Row],[Data]]="","", _xlfn.XLOOKUP(Buildings_Heat_Backend[[#This Row],[Info 1]],Buildings_SiteInfo[Site name],Buildings_SiteInfo[Site type]))</f>
        <v/>
      </c>
      <c r="U403" s="174" t="str">
        <f>IF(Buildings_Heat_Frontend[[#This Row],[Data]]="","", Buildings_Heat_Frontend[[#This Row],[Heating Type]])</f>
        <v/>
      </c>
      <c r="V403" s="174" t="str">
        <f>IF(Buildings_Heat_Frontend[[#This Row],[Data]]="","", Buildings_Heat_Frontend[[#This Row],[Fuel]])</f>
        <v/>
      </c>
      <c r="W403" s="174" t="str" cm="1">
        <f t="array" ref="W403">IF(Buildings_Heat_Frontend[[#This Row],[Data]]="","", _xlfn.XLOOKUP(Buildings_Heat_Backend[[#This Row],[Level 5]],rng_Level5Long,rng_Level6Long))</f>
        <v/>
      </c>
      <c r="X403" s="174" t="str">
        <f>IF(Buildings_Heat_Frontend[[#This Row],[Data]]="","", Buildings_Heat_Frontend[[#This Row],[Site Name]])</f>
        <v/>
      </c>
      <c r="Y403" s="174" t="str">
        <f>IF(Buildings_Heat_Frontend[[#This Row],[Data]]="","", Buildings_Heat_Frontend[[#This Row],[MPRN]])</f>
        <v/>
      </c>
      <c r="Z403" s="174" t="str">
        <f>IF(Buildings_Heat_Frontend[[#This Row],[Data]]="","", IF($I403="","",$I403))</f>
        <v/>
      </c>
      <c r="AA403" s="229" t="str" cm="1">
        <f t="array" ref="AA403">IF(Buildings_Heat_Frontend[[#This Row],[Data]]="","", INDEX(_xlfn.SWITCH(Buildings_Heat_Backend[[#This Row],[Methodology]],"Tier 1",rng_RSD1,"Tier 2",rng_RSD2,"Tier 3",rng_RSD3),MATCH(_xlfn.CONCAT(Buildings_Heat_Backend[[#This Row],[Level 1]:[Level 6]]),rng_LevelsConcat,0)))</f>
        <v/>
      </c>
      <c r="AB403" s="220" t="str">
        <f t="shared" si="19"/>
        <v/>
      </c>
      <c r="AC403" s="174">
        <f>Buildings_Heat_Frontend[[#This Row],[Units]]</f>
        <v>0</v>
      </c>
      <c r="AD40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3" s="174" t="str">
        <f>IF(Buildings_Heat_Frontend[[#This Row],[Data]]="","", _xlfn.XLOOKUP(_xlfn.CONCAT(Buildings_Heat_Backend[[#This Row],[Level 1]:[Level 6]]),rng_LevelsConcat,rng_UnitsLong))</f>
        <v/>
      </c>
      <c r="AF403" s="210" t="str">
        <f>IF(Buildings_Heat_Frontend[[#This Row],[Data]]="","", _xlfn.XLOOKUP(_xlfn.CONCAT(Buildings_Heat_Backend[[#This Row],[Level 1]:[Level 6]]),rng_EFConcat,rng_EF1)*Buildings_Heat_Backend[[#This Row],[Converted data]]/1000)</f>
        <v/>
      </c>
      <c r="AG403" s="210" t="str">
        <f>IF(Buildings_Heat_Frontend[[#This Row],[Data]]="","", _xlfn.XLOOKUP(_xlfn.CONCAT(Buildings_Heat_Backend[[#This Row],[Level 1]:[Level 6]]),rng_EFConcat,rng_EF2)*Buildings_Heat_Backend[[#This Row],[Converted data]]/1000)</f>
        <v/>
      </c>
      <c r="AH403" s="210" t="str">
        <f>IF(Buildings_Heat_Frontend[[#This Row],[Data]]="","", _xlfn.XLOOKUP(_xlfn.CONCAT(Buildings_Heat_Backend[[#This Row],[Level 1]:[Level 6]]),rng_EFConcat,rng_EF3)*Buildings_Heat_Backend[[#This Row],[Converted data]]/1000)</f>
        <v/>
      </c>
      <c r="AI403" s="210" t="str">
        <f>IF(Buildings_Heat_Frontend[[#This Row],[Data]]="","", _xlfn.XLOOKUP(_xlfn.CONCAT(Buildings_Heat_Backend[[#This Row],[Level 1]:[Level 6]]),rng_EFConcat,rng_EF3WTT)*Buildings_Heat_Backend[[#This Row],[Converted data]]/1000)</f>
        <v/>
      </c>
      <c r="AJ403" s="210" t="str">
        <f>IF(Buildings_Heat_Frontend[[#This Row],[Data]]="","", _xlfn.XLOOKUP(_xlfn.CONCAT(Buildings_Heat_Backend[[#This Row],[Level 1]:[Level 6]]),rng_EFConcat,rng_EF3TD)*Buildings_Heat_Backend[[#This Row],[Converted data]]/1000)</f>
        <v/>
      </c>
      <c r="AK403" s="210" t="str">
        <f>IF(Buildings_Heat_Frontend[[#This Row],[Data]]="","", _xlfn.XLOOKUP(_xlfn.CONCAT(Buildings_Heat_Backend[[#This Row],[Level 1]:[Level 6]]),rng_EFConcat,rng_EF3WTTTD)*Buildings_Heat_Backend[[#This Row],[Converted data]]/1000)</f>
        <v/>
      </c>
      <c r="AL403" s="220">
        <f>SUM(Buildings_Heat_Backend[[#This Row],[Scope 1 (tCO2e)]:[Scope 3 WTT T&amp;D (tCO2e)]])</f>
        <v>0</v>
      </c>
      <c r="AM403" s="220" t="str">
        <f>IF(Buildings_Heat_Frontend[[#This Row],[Data]]="","", Buildings_Heat_Backend[[#This Row],[Total (tCO2e)]]*(1-Buildings_Heat_Backend[[#This Row],[RSD]]))</f>
        <v/>
      </c>
      <c r="AN403" s="220" t="str">
        <f>IF(Buildings_Heat_Frontend[[#This Row],[Data]]="","", Buildings_Heat_Backend[[#This Row],[Total (tCO2e)]]*(1+Buildings_Heat_Backend[[#This Row],[RSD]]))</f>
        <v/>
      </c>
      <c r="AO403" s="210" t="str">
        <f>IF(Buildings_Heat_Frontend[[#This Row],[Data]]="","", _xlfn.XLOOKUP(_xlfn.CONCAT(Buildings_Heat_Backend[[#This Row],[Level 1]:[Level 6]]),rng_EFConcat,rng_EFOOS)*Buildings_Heat_Backend[[#This Row],[Converted data]]/1000)</f>
        <v/>
      </c>
      <c r="AP403" s="174">
        <f>Buildings_Heat_Frontend[[#This Row],[Ease of collection]]</f>
        <v>0</v>
      </c>
      <c r="AQ403" s="174">
        <f>Buildings_Heat_Frontend[[#This Row],[Completeness]]</f>
        <v>0</v>
      </c>
      <c r="AR403" s="174">
        <f>Buildings_Heat_Frontend[[#This Row],[Notes]]</f>
        <v>0</v>
      </c>
    </row>
    <row r="404" spans="5:44" x14ac:dyDescent="0.3">
      <c r="E404" s="346"/>
      <c r="F404" s="364"/>
      <c r="G404" s="336"/>
      <c r="H404" s="336"/>
      <c r="I404" s="336"/>
      <c r="J404" s="334"/>
      <c r="K404" s="336"/>
      <c r="L404" s="336"/>
      <c r="M404" s="336"/>
      <c r="N404" s="352"/>
      <c r="O404" s="230">
        <f t="shared" si="20"/>
        <v>6</v>
      </c>
      <c r="Q404" s="212" t="str">
        <f t="shared" si="18"/>
        <v/>
      </c>
      <c r="R404" s="174" t="s">
        <v>265</v>
      </c>
      <c r="S404" s="174" t="s">
        <v>273</v>
      </c>
      <c r="T404" s="174" t="str">
        <f>IF(Buildings_Heat_Frontend[[#This Row],[Data]]="","", _xlfn.XLOOKUP(Buildings_Heat_Backend[[#This Row],[Info 1]],Buildings_SiteInfo[Site name],Buildings_SiteInfo[Site type]))</f>
        <v/>
      </c>
      <c r="U404" s="174" t="str">
        <f>IF(Buildings_Heat_Frontend[[#This Row],[Data]]="","", Buildings_Heat_Frontend[[#This Row],[Heating Type]])</f>
        <v/>
      </c>
      <c r="V404" s="174" t="str">
        <f>IF(Buildings_Heat_Frontend[[#This Row],[Data]]="","", Buildings_Heat_Frontend[[#This Row],[Fuel]])</f>
        <v/>
      </c>
      <c r="W404" s="174" t="str" cm="1">
        <f t="array" ref="W404">IF(Buildings_Heat_Frontend[[#This Row],[Data]]="","", _xlfn.XLOOKUP(Buildings_Heat_Backend[[#This Row],[Level 5]],rng_Level5Long,rng_Level6Long))</f>
        <v/>
      </c>
      <c r="X404" s="174" t="str">
        <f>IF(Buildings_Heat_Frontend[[#This Row],[Data]]="","", Buildings_Heat_Frontend[[#This Row],[Site Name]])</f>
        <v/>
      </c>
      <c r="Y404" s="174" t="str">
        <f>IF(Buildings_Heat_Frontend[[#This Row],[Data]]="","", Buildings_Heat_Frontend[[#This Row],[MPRN]])</f>
        <v/>
      </c>
      <c r="Z404" s="174" t="str">
        <f>IF(Buildings_Heat_Frontend[[#This Row],[Data]]="","", IF($I404="","",$I404))</f>
        <v/>
      </c>
      <c r="AA404" s="229" t="str" cm="1">
        <f t="array" ref="AA404">IF(Buildings_Heat_Frontend[[#This Row],[Data]]="","", INDEX(_xlfn.SWITCH(Buildings_Heat_Backend[[#This Row],[Methodology]],"Tier 1",rng_RSD1,"Tier 2",rng_RSD2,"Tier 3",rng_RSD3),MATCH(_xlfn.CONCAT(Buildings_Heat_Backend[[#This Row],[Level 1]:[Level 6]]),rng_LevelsConcat,0)))</f>
        <v/>
      </c>
      <c r="AB404" s="220" t="str">
        <f t="shared" si="19"/>
        <v/>
      </c>
      <c r="AC404" s="174">
        <f>Buildings_Heat_Frontend[[#This Row],[Units]]</f>
        <v>0</v>
      </c>
      <c r="AD40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4" s="174" t="str">
        <f>IF(Buildings_Heat_Frontend[[#This Row],[Data]]="","", _xlfn.XLOOKUP(_xlfn.CONCAT(Buildings_Heat_Backend[[#This Row],[Level 1]:[Level 6]]),rng_LevelsConcat,rng_UnitsLong))</f>
        <v/>
      </c>
      <c r="AF404" s="210" t="str">
        <f>IF(Buildings_Heat_Frontend[[#This Row],[Data]]="","", _xlfn.XLOOKUP(_xlfn.CONCAT(Buildings_Heat_Backend[[#This Row],[Level 1]:[Level 6]]),rng_EFConcat,rng_EF1)*Buildings_Heat_Backend[[#This Row],[Converted data]]/1000)</f>
        <v/>
      </c>
      <c r="AG404" s="210" t="str">
        <f>IF(Buildings_Heat_Frontend[[#This Row],[Data]]="","", _xlfn.XLOOKUP(_xlfn.CONCAT(Buildings_Heat_Backend[[#This Row],[Level 1]:[Level 6]]),rng_EFConcat,rng_EF2)*Buildings_Heat_Backend[[#This Row],[Converted data]]/1000)</f>
        <v/>
      </c>
      <c r="AH404" s="210" t="str">
        <f>IF(Buildings_Heat_Frontend[[#This Row],[Data]]="","", _xlfn.XLOOKUP(_xlfn.CONCAT(Buildings_Heat_Backend[[#This Row],[Level 1]:[Level 6]]),rng_EFConcat,rng_EF3)*Buildings_Heat_Backend[[#This Row],[Converted data]]/1000)</f>
        <v/>
      </c>
      <c r="AI404" s="210" t="str">
        <f>IF(Buildings_Heat_Frontend[[#This Row],[Data]]="","", _xlfn.XLOOKUP(_xlfn.CONCAT(Buildings_Heat_Backend[[#This Row],[Level 1]:[Level 6]]),rng_EFConcat,rng_EF3WTT)*Buildings_Heat_Backend[[#This Row],[Converted data]]/1000)</f>
        <v/>
      </c>
      <c r="AJ404" s="210" t="str">
        <f>IF(Buildings_Heat_Frontend[[#This Row],[Data]]="","", _xlfn.XLOOKUP(_xlfn.CONCAT(Buildings_Heat_Backend[[#This Row],[Level 1]:[Level 6]]),rng_EFConcat,rng_EF3TD)*Buildings_Heat_Backend[[#This Row],[Converted data]]/1000)</f>
        <v/>
      </c>
      <c r="AK404" s="210" t="str">
        <f>IF(Buildings_Heat_Frontend[[#This Row],[Data]]="","", _xlfn.XLOOKUP(_xlfn.CONCAT(Buildings_Heat_Backend[[#This Row],[Level 1]:[Level 6]]),rng_EFConcat,rng_EF3WTTTD)*Buildings_Heat_Backend[[#This Row],[Converted data]]/1000)</f>
        <v/>
      </c>
      <c r="AL404" s="220">
        <f>SUM(Buildings_Heat_Backend[[#This Row],[Scope 1 (tCO2e)]:[Scope 3 WTT T&amp;D (tCO2e)]])</f>
        <v>0</v>
      </c>
      <c r="AM404" s="220" t="str">
        <f>IF(Buildings_Heat_Frontend[[#This Row],[Data]]="","", Buildings_Heat_Backend[[#This Row],[Total (tCO2e)]]*(1-Buildings_Heat_Backend[[#This Row],[RSD]]))</f>
        <v/>
      </c>
      <c r="AN404" s="220" t="str">
        <f>IF(Buildings_Heat_Frontend[[#This Row],[Data]]="","", Buildings_Heat_Backend[[#This Row],[Total (tCO2e)]]*(1+Buildings_Heat_Backend[[#This Row],[RSD]]))</f>
        <v/>
      </c>
      <c r="AO404" s="210" t="str">
        <f>IF(Buildings_Heat_Frontend[[#This Row],[Data]]="","", _xlfn.XLOOKUP(_xlfn.CONCAT(Buildings_Heat_Backend[[#This Row],[Level 1]:[Level 6]]),rng_EFConcat,rng_EFOOS)*Buildings_Heat_Backend[[#This Row],[Converted data]]/1000)</f>
        <v/>
      </c>
      <c r="AP404" s="174">
        <f>Buildings_Heat_Frontend[[#This Row],[Ease of collection]]</f>
        <v>0</v>
      </c>
      <c r="AQ404" s="174">
        <f>Buildings_Heat_Frontend[[#This Row],[Completeness]]</f>
        <v>0</v>
      </c>
      <c r="AR404" s="174">
        <f>Buildings_Heat_Frontend[[#This Row],[Notes]]</f>
        <v>0</v>
      </c>
    </row>
    <row r="405" spans="5:44" x14ac:dyDescent="0.3">
      <c r="E405" s="346"/>
      <c r="F405" s="364"/>
      <c r="G405" s="336"/>
      <c r="H405" s="336"/>
      <c r="I405" s="336"/>
      <c r="J405" s="334"/>
      <c r="K405" s="336"/>
      <c r="L405" s="336"/>
      <c r="M405" s="336"/>
      <c r="N405" s="352"/>
      <c r="O405" s="230">
        <f t="shared" si="20"/>
        <v>6</v>
      </c>
      <c r="Q405" s="212" t="str">
        <f t="shared" si="18"/>
        <v/>
      </c>
      <c r="R405" s="174" t="s">
        <v>265</v>
      </c>
      <c r="S405" s="174" t="s">
        <v>273</v>
      </c>
      <c r="T405" s="174" t="str">
        <f>IF(Buildings_Heat_Frontend[[#This Row],[Data]]="","", _xlfn.XLOOKUP(Buildings_Heat_Backend[[#This Row],[Info 1]],Buildings_SiteInfo[Site name],Buildings_SiteInfo[Site type]))</f>
        <v/>
      </c>
      <c r="U405" s="174" t="str">
        <f>IF(Buildings_Heat_Frontend[[#This Row],[Data]]="","", Buildings_Heat_Frontend[[#This Row],[Heating Type]])</f>
        <v/>
      </c>
      <c r="V405" s="174" t="str">
        <f>IF(Buildings_Heat_Frontend[[#This Row],[Data]]="","", Buildings_Heat_Frontend[[#This Row],[Fuel]])</f>
        <v/>
      </c>
      <c r="W405" s="174" t="str" cm="1">
        <f t="array" ref="W405">IF(Buildings_Heat_Frontend[[#This Row],[Data]]="","", _xlfn.XLOOKUP(Buildings_Heat_Backend[[#This Row],[Level 5]],rng_Level5Long,rng_Level6Long))</f>
        <v/>
      </c>
      <c r="X405" s="174" t="str">
        <f>IF(Buildings_Heat_Frontend[[#This Row],[Data]]="","", Buildings_Heat_Frontend[[#This Row],[Site Name]])</f>
        <v/>
      </c>
      <c r="Y405" s="174" t="str">
        <f>IF(Buildings_Heat_Frontend[[#This Row],[Data]]="","", Buildings_Heat_Frontend[[#This Row],[MPRN]])</f>
        <v/>
      </c>
      <c r="Z405" s="174" t="str">
        <f>IF(Buildings_Heat_Frontend[[#This Row],[Data]]="","", IF($I405="","",$I405))</f>
        <v/>
      </c>
      <c r="AA405" s="229" t="str" cm="1">
        <f t="array" ref="AA405">IF(Buildings_Heat_Frontend[[#This Row],[Data]]="","", INDEX(_xlfn.SWITCH(Buildings_Heat_Backend[[#This Row],[Methodology]],"Tier 1",rng_RSD1,"Tier 2",rng_RSD2,"Tier 3",rng_RSD3),MATCH(_xlfn.CONCAT(Buildings_Heat_Backend[[#This Row],[Level 1]:[Level 6]]),rng_LevelsConcat,0)))</f>
        <v/>
      </c>
      <c r="AB405" s="220" t="str">
        <f t="shared" si="19"/>
        <v/>
      </c>
      <c r="AC405" s="174">
        <f>Buildings_Heat_Frontend[[#This Row],[Units]]</f>
        <v>0</v>
      </c>
      <c r="AD40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5" s="174" t="str">
        <f>IF(Buildings_Heat_Frontend[[#This Row],[Data]]="","", _xlfn.XLOOKUP(_xlfn.CONCAT(Buildings_Heat_Backend[[#This Row],[Level 1]:[Level 6]]),rng_LevelsConcat,rng_UnitsLong))</f>
        <v/>
      </c>
      <c r="AF405" s="210" t="str">
        <f>IF(Buildings_Heat_Frontend[[#This Row],[Data]]="","", _xlfn.XLOOKUP(_xlfn.CONCAT(Buildings_Heat_Backend[[#This Row],[Level 1]:[Level 6]]),rng_EFConcat,rng_EF1)*Buildings_Heat_Backend[[#This Row],[Converted data]]/1000)</f>
        <v/>
      </c>
      <c r="AG405" s="210" t="str">
        <f>IF(Buildings_Heat_Frontend[[#This Row],[Data]]="","", _xlfn.XLOOKUP(_xlfn.CONCAT(Buildings_Heat_Backend[[#This Row],[Level 1]:[Level 6]]),rng_EFConcat,rng_EF2)*Buildings_Heat_Backend[[#This Row],[Converted data]]/1000)</f>
        <v/>
      </c>
      <c r="AH405" s="210" t="str">
        <f>IF(Buildings_Heat_Frontend[[#This Row],[Data]]="","", _xlfn.XLOOKUP(_xlfn.CONCAT(Buildings_Heat_Backend[[#This Row],[Level 1]:[Level 6]]),rng_EFConcat,rng_EF3)*Buildings_Heat_Backend[[#This Row],[Converted data]]/1000)</f>
        <v/>
      </c>
      <c r="AI405" s="210" t="str">
        <f>IF(Buildings_Heat_Frontend[[#This Row],[Data]]="","", _xlfn.XLOOKUP(_xlfn.CONCAT(Buildings_Heat_Backend[[#This Row],[Level 1]:[Level 6]]),rng_EFConcat,rng_EF3WTT)*Buildings_Heat_Backend[[#This Row],[Converted data]]/1000)</f>
        <v/>
      </c>
      <c r="AJ405" s="210" t="str">
        <f>IF(Buildings_Heat_Frontend[[#This Row],[Data]]="","", _xlfn.XLOOKUP(_xlfn.CONCAT(Buildings_Heat_Backend[[#This Row],[Level 1]:[Level 6]]),rng_EFConcat,rng_EF3TD)*Buildings_Heat_Backend[[#This Row],[Converted data]]/1000)</f>
        <v/>
      </c>
      <c r="AK405" s="210" t="str">
        <f>IF(Buildings_Heat_Frontend[[#This Row],[Data]]="","", _xlfn.XLOOKUP(_xlfn.CONCAT(Buildings_Heat_Backend[[#This Row],[Level 1]:[Level 6]]),rng_EFConcat,rng_EF3WTTTD)*Buildings_Heat_Backend[[#This Row],[Converted data]]/1000)</f>
        <v/>
      </c>
      <c r="AL405" s="220">
        <f>SUM(Buildings_Heat_Backend[[#This Row],[Scope 1 (tCO2e)]:[Scope 3 WTT T&amp;D (tCO2e)]])</f>
        <v>0</v>
      </c>
      <c r="AM405" s="220" t="str">
        <f>IF(Buildings_Heat_Frontend[[#This Row],[Data]]="","", Buildings_Heat_Backend[[#This Row],[Total (tCO2e)]]*(1-Buildings_Heat_Backend[[#This Row],[RSD]]))</f>
        <v/>
      </c>
      <c r="AN405" s="220" t="str">
        <f>IF(Buildings_Heat_Frontend[[#This Row],[Data]]="","", Buildings_Heat_Backend[[#This Row],[Total (tCO2e)]]*(1+Buildings_Heat_Backend[[#This Row],[RSD]]))</f>
        <v/>
      </c>
      <c r="AO405" s="210" t="str">
        <f>IF(Buildings_Heat_Frontend[[#This Row],[Data]]="","", _xlfn.XLOOKUP(_xlfn.CONCAT(Buildings_Heat_Backend[[#This Row],[Level 1]:[Level 6]]),rng_EFConcat,rng_EFOOS)*Buildings_Heat_Backend[[#This Row],[Converted data]]/1000)</f>
        <v/>
      </c>
      <c r="AP405" s="174">
        <f>Buildings_Heat_Frontend[[#This Row],[Ease of collection]]</f>
        <v>0</v>
      </c>
      <c r="AQ405" s="174">
        <f>Buildings_Heat_Frontend[[#This Row],[Completeness]]</f>
        <v>0</v>
      </c>
      <c r="AR405" s="174">
        <f>Buildings_Heat_Frontend[[#This Row],[Notes]]</f>
        <v>0</v>
      </c>
    </row>
    <row r="406" spans="5:44" x14ac:dyDescent="0.3">
      <c r="E406" s="346"/>
      <c r="F406" s="364"/>
      <c r="G406" s="336"/>
      <c r="H406" s="336"/>
      <c r="I406" s="336"/>
      <c r="J406" s="334"/>
      <c r="K406" s="336"/>
      <c r="L406" s="336"/>
      <c r="M406" s="336"/>
      <c r="N406" s="352"/>
      <c r="O406" s="230">
        <f t="shared" si="20"/>
        <v>6</v>
      </c>
      <c r="Q406" s="212" t="str">
        <f t="shared" si="18"/>
        <v/>
      </c>
      <c r="R406" s="174" t="s">
        <v>265</v>
      </c>
      <c r="S406" s="174" t="s">
        <v>273</v>
      </c>
      <c r="T406" s="174" t="str">
        <f>IF(Buildings_Heat_Frontend[[#This Row],[Data]]="","", _xlfn.XLOOKUP(Buildings_Heat_Backend[[#This Row],[Info 1]],Buildings_SiteInfo[Site name],Buildings_SiteInfo[Site type]))</f>
        <v/>
      </c>
      <c r="U406" s="174" t="str">
        <f>IF(Buildings_Heat_Frontend[[#This Row],[Data]]="","", Buildings_Heat_Frontend[[#This Row],[Heating Type]])</f>
        <v/>
      </c>
      <c r="V406" s="174" t="str">
        <f>IF(Buildings_Heat_Frontend[[#This Row],[Data]]="","", Buildings_Heat_Frontend[[#This Row],[Fuel]])</f>
        <v/>
      </c>
      <c r="W406" s="174" t="str" cm="1">
        <f t="array" ref="W406">IF(Buildings_Heat_Frontend[[#This Row],[Data]]="","", _xlfn.XLOOKUP(Buildings_Heat_Backend[[#This Row],[Level 5]],rng_Level5Long,rng_Level6Long))</f>
        <v/>
      </c>
      <c r="X406" s="174" t="str">
        <f>IF(Buildings_Heat_Frontend[[#This Row],[Data]]="","", Buildings_Heat_Frontend[[#This Row],[Site Name]])</f>
        <v/>
      </c>
      <c r="Y406" s="174" t="str">
        <f>IF(Buildings_Heat_Frontend[[#This Row],[Data]]="","", Buildings_Heat_Frontend[[#This Row],[MPRN]])</f>
        <v/>
      </c>
      <c r="Z406" s="174" t="str">
        <f>IF(Buildings_Heat_Frontend[[#This Row],[Data]]="","", IF($I406="","",$I406))</f>
        <v/>
      </c>
      <c r="AA406" s="229" t="str" cm="1">
        <f t="array" ref="AA406">IF(Buildings_Heat_Frontend[[#This Row],[Data]]="","", INDEX(_xlfn.SWITCH(Buildings_Heat_Backend[[#This Row],[Methodology]],"Tier 1",rng_RSD1,"Tier 2",rng_RSD2,"Tier 3",rng_RSD3),MATCH(_xlfn.CONCAT(Buildings_Heat_Backend[[#This Row],[Level 1]:[Level 6]]),rng_LevelsConcat,0)))</f>
        <v/>
      </c>
      <c r="AB406" s="220" t="str">
        <f t="shared" si="19"/>
        <v/>
      </c>
      <c r="AC406" s="174">
        <f>Buildings_Heat_Frontend[[#This Row],[Units]]</f>
        <v>0</v>
      </c>
      <c r="AD40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6" s="174" t="str">
        <f>IF(Buildings_Heat_Frontend[[#This Row],[Data]]="","", _xlfn.XLOOKUP(_xlfn.CONCAT(Buildings_Heat_Backend[[#This Row],[Level 1]:[Level 6]]),rng_LevelsConcat,rng_UnitsLong))</f>
        <v/>
      </c>
      <c r="AF406" s="210" t="str">
        <f>IF(Buildings_Heat_Frontend[[#This Row],[Data]]="","", _xlfn.XLOOKUP(_xlfn.CONCAT(Buildings_Heat_Backend[[#This Row],[Level 1]:[Level 6]]),rng_EFConcat,rng_EF1)*Buildings_Heat_Backend[[#This Row],[Converted data]]/1000)</f>
        <v/>
      </c>
      <c r="AG406" s="210" t="str">
        <f>IF(Buildings_Heat_Frontend[[#This Row],[Data]]="","", _xlfn.XLOOKUP(_xlfn.CONCAT(Buildings_Heat_Backend[[#This Row],[Level 1]:[Level 6]]),rng_EFConcat,rng_EF2)*Buildings_Heat_Backend[[#This Row],[Converted data]]/1000)</f>
        <v/>
      </c>
      <c r="AH406" s="210" t="str">
        <f>IF(Buildings_Heat_Frontend[[#This Row],[Data]]="","", _xlfn.XLOOKUP(_xlfn.CONCAT(Buildings_Heat_Backend[[#This Row],[Level 1]:[Level 6]]),rng_EFConcat,rng_EF3)*Buildings_Heat_Backend[[#This Row],[Converted data]]/1000)</f>
        <v/>
      </c>
      <c r="AI406" s="210" t="str">
        <f>IF(Buildings_Heat_Frontend[[#This Row],[Data]]="","", _xlfn.XLOOKUP(_xlfn.CONCAT(Buildings_Heat_Backend[[#This Row],[Level 1]:[Level 6]]),rng_EFConcat,rng_EF3WTT)*Buildings_Heat_Backend[[#This Row],[Converted data]]/1000)</f>
        <v/>
      </c>
      <c r="AJ406" s="210" t="str">
        <f>IF(Buildings_Heat_Frontend[[#This Row],[Data]]="","", _xlfn.XLOOKUP(_xlfn.CONCAT(Buildings_Heat_Backend[[#This Row],[Level 1]:[Level 6]]),rng_EFConcat,rng_EF3TD)*Buildings_Heat_Backend[[#This Row],[Converted data]]/1000)</f>
        <v/>
      </c>
      <c r="AK406" s="210" t="str">
        <f>IF(Buildings_Heat_Frontend[[#This Row],[Data]]="","", _xlfn.XLOOKUP(_xlfn.CONCAT(Buildings_Heat_Backend[[#This Row],[Level 1]:[Level 6]]),rng_EFConcat,rng_EF3WTTTD)*Buildings_Heat_Backend[[#This Row],[Converted data]]/1000)</f>
        <v/>
      </c>
      <c r="AL406" s="220">
        <f>SUM(Buildings_Heat_Backend[[#This Row],[Scope 1 (tCO2e)]:[Scope 3 WTT T&amp;D (tCO2e)]])</f>
        <v>0</v>
      </c>
      <c r="AM406" s="220" t="str">
        <f>IF(Buildings_Heat_Frontend[[#This Row],[Data]]="","", Buildings_Heat_Backend[[#This Row],[Total (tCO2e)]]*(1-Buildings_Heat_Backend[[#This Row],[RSD]]))</f>
        <v/>
      </c>
      <c r="AN406" s="220" t="str">
        <f>IF(Buildings_Heat_Frontend[[#This Row],[Data]]="","", Buildings_Heat_Backend[[#This Row],[Total (tCO2e)]]*(1+Buildings_Heat_Backend[[#This Row],[RSD]]))</f>
        <v/>
      </c>
      <c r="AO406" s="210" t="str">
        <f>IF(Buildings_Heat_Frontend[[#This Row],[Data]]="","", _xlfn.XLOOKUP(_xlfn.CONCAT(Buildings_Heat_Backend[[#This Row],[Level 1]:[Level 6]]),rng_EFConcat,rng_EFOOS)*Buildings_Heat_Backend[[#This Row],[Converted data]]/1000)</f>
        <v/>
      </c>
      <c r="AP406" s="174">
        <f>Buildings_Heat_Frontend[[#This Row],[Ease of collection]]</f>
        <v>0</v>
      </c>
      <c r="AQ406" s="174">
        <f>Buildings_Heat_Frontend[[#This Row],[Completeness]]</f>
        <v>0</v>
      </c>
      <c r="AR406" s="174">
        <f>Buildings_Heat_Frontend[[#This Row],[Notes]]</f>
        <v>0</v>
      </c>
    </row>
    <row r="407" spans="5:44" x14ac:dyDescent="0.3">
      <c r="E407" s="346"/>
      <c r="F407" s="364"/>
      <c r="G407" s="336"/>
      <c r="H407" s="336"/>
      <c r="I407" s="336"/>
      <c r="J407" s="334"/>
      <c r="K407" s="336"/>
      <c r="L407" s="336"/>
      <c r="M407" s="336"/>
      <c r="N407" s="352"/>
      <c r="O407" s="230">
        <f t="shared" si="20"/>
        <v>6</v>
      </c>
      <c r="Q407" s="212" t="str">
        <f t="shared" si="18"/>
        <v/>
      </c>
      <c r="R407" s="174" t="s">
        <v>265</v>
      </c>
      <c r="S407" s="174" t="s">
        <v>273</v>
      </c>
      <c r="T407" s="174" t="str">
        <f>IF(Buildings_Heat_Frontend[[#This Row],[Data]]="","", _xlfn.XLOOKUP(Buildings_Heat_Backend[[#This Row],[Info 1]],Buildings_SiteInfo[Site name],Buildings_SiteInfo[Site type]))</f>
        <v/>
      </c>
      <c r="U407" s="174" t="str">
        <f>IF(Buildings_Heat_Frontend[[#This Row],[Data]]="","", Buildings_Heat_Frontend[[#This Row],[Heating Type]])</f>
        <v/>
      </c>
      <c r="V407" s="174" t="str">
        <f>IF(Buildings_Heat_Frontend[[#This Row],[Data]]="","", Buildings_Heat_Frontend[[#This Row],[Fuel]])</f>
        <v/>
      </c>
      <c r="W407" s="174" t="str" cm="1">
        <f t="array" ref="W407">IF(Buildings_Heat_Frontend[[#This Row],[Data]]="","", _xlfn.XLOOKUP(Buildings_Heat_Backend[[#This Row],[Level 5]],rng_Level5Long,rng_Level6Long))</f>
        <v/>
      </c>
      <c r="X407" s="174" t="str">
        <f>IF(Buildings_Heat_Frontend[[#This Row],[Data]]="","", Buildings_Heat_Frontend[[#This Row],[Site Name]])</f>
        <v/>
      </c>
      <c r="Y407" s="174" t="str">
        <f>IF(Buildings_Heat_Frontend[[#This Row],[Data]]="","", Buildings_Heat_Frontend[[#This Row],[MPRN]])</f>
        <v/>
      </c>
      <c r="Z407" s="174" t="str">
        <f>IF(Buildings_Heat_Frontend[[#This Row],[Data]]="","", IF($I407="","",$I407))</f>
        <v/>
      </c>
      <c r="AA407" s="229" t="str" cm="1">
        <f t="array" ref="AA407">IF(Buildings_Heat_Frontend[[#This Row],[Data]]="","", INDEX(_xlfn.SWITCH(Buildings_Heat_Backend[[#This Row],[Methodology]],"Tier 1",rng_RSD1,"Tier 2",rng_RSD2,"Tier 3",rng_RSD3),MATCH(_xlfn.CONCAT(Buildings_Heat_Backend[[#This Row],[Level 1]:[Level 6]]),rng_LevelsConcat,0)))</f>
        <v/>
      </c>
      <c r="AB407" s="220" t="str">
        <f t="shared" si="19"/>
        <v/>
      </c>
      <c r="AC407" s="174">
        <f>Buildings_Heat_Frontend[[#This Row],[Units]]</f>
        <v>0</v>
      </c>
      <c r="AD40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7" s="174" t="str">
        <f>IF(Buildings_Heat_Frontend[[#This Row],[Data]]="","", _xlfn.XLOOKUP(_xlfn.CONCAT(Buildings_Heat_Backend[[#This Row],[Level 1]:[Level 6]]),rng_LevelsConcat,rng_UnitsLong))</f>
        <v/>
      </c>
      <c r="AF407" s="210" t="str">
        <f>IF(Buildings_Heat_Frontend[[#This Row],[Data]]="","", _xlfn.XLOOKUP(_xlfn.CONCAT(Buildings_Heat_Backend[[#This Row],[Level 1]:[Level 6]]),rng_EFConcat,rng_EF1)*Buildings_Heat_Backend[[#This Row],[Converted data]]/1000)</f>
        <v/>
      </c>
      <c r="AG407" s="210" t="str">
        <f>IF(Buildings_Heat_Frontend[[#This Row],[Data]]="","", _xlfn.XLOOKUP(_xlfn.CONCAT(Buildings_Heat_Backend[[#This Row],[Level 1]:[Level 6]]),rng_EFConcat,rng_EF2)*Buildings_Heat_Backend[[#This Row],[Converted data]]/1000)</f>
        <v/>
      </c>
      <c r="AH407" s="210" t="str">
        <f>IF(Buildings_Heat_Frontend[[#This Row],[Data]]="","", _xlfn.XLOOKUP(_xlfn.CONCAT(Buildings_Heat_Backend[[#This Row],[Level 1]:[Level 6]]),rng_EFConcat,rng_EF3)*Buildings_Heat_Backend[[#This Row],[Converted data]]/1000)</f>
        <v/>
      </c>
      <c r="AI407" s="210" t="str">
        <f>IF(Buildings_Heat_Frontend[[#This Row],[Data]]="","", _xlfn.XLOOKUP(_xlfn.CONCAT(Buildings_Heat_Backend[[#This Row],[Level 1]:[Level 6]]),rng_EFConcat,rng_EF3WTT)*Buildings_Heat_Backend[[#This Row],[Converted data]]/1000)</f>
        <v/>
      </c>
      <c r="AJ407" s="210" t="str">
        <f>IF(Buildings_Heat_Frontend[[#This Row],[Data]]="","", _xlfn.XLOOKUP(_xlfn.CONCAT(Buildings_Heat_Backend[[#This Row],[Level 1]:[Level 6]]),rng_EFConcat,rng_EF3TD)*Buildings_Heat_Backend[[#This Row],[Converted data]]/1000)</f>
        <v/>
      </c>
      <c r="AK407" s="210" t="str">
        <f>IF(Buildings_Heat_Frontend[[#This Row],[Data]]="","", _xlfn.XLOOKUP(_xlfn.CONCAT(Buildings_Heat_Backend[[#This Row],[Level 1]:[Level 6]]),rng_EFConcat,rng_EF3WTTTD)*Buildings_Heat_Backend[[#This Row],[Converted data]]/1000)</f>
        <v/>
      </c>
      <c r="AL407" s="220">
        <f>SUM(Buildings_Heat_Backend[[#This Row],[Scope 1 (tCO2e)]:[Scope 3 WTT T&amp;D (tCO2e)]])</f>
        <v>0</v>
      </c>
      <c r="AM407" s="220" t="str">
        <f>IF(Buildings_Heat_Frontend[[#This Row],[Data]]="","", Buildings_Heat_Backend[[#This Row],[Total (tCO2e)]]*(1-Buildings_Heat_Backend[[#This Row],[RSD]]))</f>
        <v/>
      </c>
      <c r="AN407" s="220" t="str">
        <f>IF(Buildings_Heat_Frontend[[#This Row],[Data]]="","", Buildings_Heat_Backend[[#This Row],[Total (tCO2e)]]*(1+Buildings_Heat_Backend[[#This Row],[RSD]]))</f>
        <v/>
      </c>
      <c r="AO407" s="210" t="str">
        <f>IF(Buildings_Heat_Frontend[[#This Row],[Data]]="","", _xlfn.XLOOKUP(_xlfn.CONCAT(Buildings_Heat_Backend[[#This Row],[Level 1]:[Level 6]]),rng_EFConcat,rng_EFOOS)*Buildings_Heat_Backend[[#This Row],[Converted data]]/1000)</f>
        <v/>
      </c>
      <c r="AP407" s="174">
        <f>Buildings_Heat_Frontend[[#This Row],[Ease of collection]]</f>
        <v>0</v>
      </c>
      <c r="AQ407" s="174">
        <f>Buildings_Heat_Frontend[[#This Row],[Completeness]]</f>
        <v>0</v>
      </c>
      <c r="AR407" s="174">
        <f>Buildings_Heat_Frontend[[#This Row],[Notes]]</f>
        <v>0</v>
      </c>
    </row>
    <row r="408" spans="5:44" x14ac:dyDescent="0.3">
      <c r="E408" s="346"/>
      <c r="F408" s="364"/>
      <c r="G408" s="336"/>
      <c r="H408" s="336"/>
      <c r="I408" s="336"/>
      <c r="J408" s="334"/>
      <c r="K408" s="336"/>
      <c r="L408" s="336"/>
      <c r="M408" s="336"/>
      <c r="N408" s="352"/>
      <c r="O408" s="230">
        <f t="shared" si="20"/>
        <v>6</v>
      </c>
      <c r="Q408" s="212" t="str">
        <f t="shared" si="18"/>
        <v/>
      </c>
      <c r="R408" s="174" t="s">
        <v>265</v>
      </c>
      <c r="S408" s="174" t="s">
        <v>273</v>
      </c>
      <c r="T408" s="174" t="str">
        <f>IF(Buildings_Heat_Frontend[[#This Row],[Data]]="","", _xlfn.XLOOKUP(Buildings_Heat_Backend[[#This Row],[Info 1]],Buildings_SiteInfo[Site name],Buildings_SiteInfo[Site type]))</f>
        <v/>
      </c>
      <c r="U408" s="174" t="str">
        <f>IF(Buildings_Heat_Frontend[[#This Row],[Data]]="","", Buildings_Heat_Frontend[[#This Row],[Heating Type]])</f>
        <v/>
      </c>
      <c r="V408" s="174" t="str">
        <f>IF(Buildings_Heat_Frontend[[#This Row],[Data]]="","", Buildings_Heat_Frontend[[#This Row],[Fuel]])</f>
        <v/>
      </c>
      <c r="W408" s="174" t="str" cm="1">
        <f t="array" ref="W408">IF(Buildings_Heat_Frontend[[#This Row],[Data]]="","", _xlfn.XLOOKUP(Buildings_Heat_Backend[[#This Row],[Level 5]],rng_Level5Long,rng_Level6Long))</f>
        <v/>
      </c>
      <c r="X408" s="174" t="str">
        <f>IF(Buildings_Heat_Frontend[[#This Row],[Data]]="","", Buildings_Heat_Frontend[[#This Row],[Site Name]])</f>
        <v/>
      </c>
      <c r="Y408" s="174" t="str">
        <f>IF(Buildings_Heat_Frontend[[#This Row],[Data]]="","", Buildings_Heat_Frontend[[#This Row],[MPRN]])</f>
        <v/>
      </c>
      <c r="Z408" s="174" t="str">
        <f>IF(Buildings_Heat_Frontend[[#This Row],[Data]]="","", IF($I408="","",$I408))</f>
        <v/>
      </c>
      <c r="AA408" s="229" t="str" cm="1">
        <f t="array" ref="AA408">IF(Buildings_Heat_Frontend[[#This Row],[Data]]="","", INDEX(_xlfn.SWITCH(Buildings_Heat_Backend[[#This Row],[Methodology]],"Tier 1",rng_RSD1,"Tier 2",rng_RSD2,"Tier 3",rng_RSD3),MATCH(_xlfn.CONCAT(Buildings_Heat_Backend[[#This Row],[Level 1]:[Level 6]]),rng_LevelsConcat,0)))</f>
        <v/>
      </c>
      <c r="AB408" s="220" t="str">
        <f t="shared" si="19"/>
        <v/>
      </c>
      <c r="AC408" s="174">
        <f>Buildings_Heat_Frontend[[#This Row],[Units]]</f>
        <v>0</v>
      </c>
      <c r="AD40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8" s="174" t="str">
        <f>IF(Buildings_Heat_Frontend[[#This Row],[Data]]="","", _xlfn.XLOOKUP(_xlfn.CONCAT(Buildings_Heat_Backend[[#This Row],[Level 1]:[Level 6]]),rng_LevelsConcat,rng_UnitsLong))</f>
        <v/>
      </c>
      <c r="AF408" s="210" t="str">
        <f>IF(Buildings_Heat_Frontend[[#This Row],[Data]]="","", _xlfn.XLOOKUP(_xlfn.CONCAT(Buildings_Heat_Backend[[#This Row],[Level 1]:[Level 6]]),rng_EFConcat,rng_EF1)*Buildings_Heat_Backend[[#This Row],[Converted data]]/1000)</f>
        <v/>
      </c>
      <c r="AG408" s="210" t="str">
        <f>IF(Buildings_Heat_Frontend[[#This Row],[Data]]="","", _xlfn.XLOOKUP(_xlfn.CONCAT(Buildings_Heat_Backend[[#This Row],[Level 1]:[Level 6]]),rng_EFConcat,rng_EF2)*Buildings_Heat_Backend[[#This Row],[Converted data]]/1000)</f>
        <v/>
      </c>
      <c r="AH408" s="210" t="str">
        <f>IF(Buildings_Heat_Frontend[[#This Row],[Data]]="","", _xlfn.XLOOKUP(_xlfn.CONCAT(Buildings_Heat_Backend[[#This Row],[Level 1]:[Level 6]]),rng_EFConcat,rng_EF3)*Buildings_Heat_Backend[[#This Row],[Converted data]]/1000)</f>
        <v/>
      </c>
      <c r="AI408" s="210" t="str">
        <f>IF(Buildings_Heat_Frontend[[#This Row],[Data]]="","", _xlfn.XLOOKUP(_xlfn.CONCAT(Buildings_Heat_Backend[[#This Row],[Level 1]:[Level 6]]),rng_EFConcat,rng_EF3WTT)*Buildings_Heat_Backend[[#This Row],[Converted data]]/1000)</f>
        <v/>
      </c>
      <c r="AJ408" s="210" t="str">
        <f>IF(Buildings_Heat_Frontend[[#This Row],[Data]]="","", _xlfn.XLOOKUP(_xlfn.CONCAT(Buildings_Heat_Backend[[#This Row],[Level 1]:[Level 6]]),rng_EFConcat,rng_EF3TD)*Buildings_Heat_Backend[[#This Row],[Converted data]]/1000)</f>
        <v/>
      </c>
      <c r="AK408" s="210" t="str">
        <f>IF(Buildings_Heat_Frontend[[#This Row],[Data]]="","", _xlfn.XLOOKUP(_xlfn.CONCAT(Buildings_Heat_Backend[[#This Row],[Level 1]:[Level 6]]),rng_EFConcat,rng_EF3WTTTD)*Buildings_Heat_Backend[[#This Row],[Converted data]]/1000)</f>
        <v/>
      </c>
      <c r="AL408" s="220">
        <f>SUM(Buildings_Heat_Backend[[#This Row],[Scope 1 (tCO2e)]:[Scope 3 WTT T&amp;D (tCO2e)]])</f>
        <v>0</v>
      </c>
      <c r="AM408" s="220" t="str">
        <f>IF(Buildings_Heat_Frontend[[#This Row],[Data]]="","", Buildings_Heat_Backend[[#This Row],[Total (tCO2e)]]*(1-Buildings_Heat_Backend[[#This Row],[RSD]]))</f>
        <v/>
      </c>
      <c r="AN408" s="220" t="str">
        <f>IF(Buildings_Heat_Frontend[[#This Row],[Data]]="","", Buildings_Heat_Backend[[#This Row],[Total (tCO2e)]]*(1+Buildings_Heat_Backend[[#This Row],[RSD]]))</f>
        <v/>
      </c>
      <c r="AO408" s="210" t="str">
        <f>IF(Buildings_Heat_Frontend[[#This Row],[Data]]="","", _xlfn.XLOOKUP(_xlfn.CONCAT(Buildings_Heat_Backend[[#This Row],[Level 1]:[Level 6]]),rng_EFConcat,rng_EFOOS)*Buildings_Heat_Backend[[#This Row],[Converted data]]/1000)</f>
        <v/>
      </c>
      <c r="AP408" s="174">
        <f>Buildings_Heat_Frontend[[#This Row],[Ease of collection]]</f>
        <v>0</v>
      </c>
      <c r="AQ408" s="174">
        <f>Buildings_Heat_Frontend[[#This Row],[Completeness]]</f>
        <v>0</v>
      </c>
      <c r="AR408" s="174">
        <f>Buildings_Heat_Frontend[[#This Row],[Notes]]</f>
        <v>0</v>
      </c>
    </row>
    <row r="409" spans="5:44" x14ac:dyDescent="0.3">
      <c r="E409" s="346"/>
      <c r="F409" s="364"/>
      <c r="G409" s="336"/>
      <c r="H409" s="336"/>
      <c r="I409" s="336"/>
      <c r="J409" s="334"/>
      <c r="K409" s="336"/>
      <c r="L409" s="336"/>
      <c r="M409" s="336"/>
      <c r="N409" s="352"/>
      <c r="O409" s="230">
        <f t="shared" si="20"/>
        <v>6</v>
      </c>
      <c r="Q409" s="212" t="str">
        <f t="shared" si="18"/>
        <v/>
      </c>
      <c r="R409" s="174" t="s">
        <v>265</v>
      </c>
      <c r="S409" s="174" t="s">
        <v>273</v>
      </c>
      <c r="T409" s="174" t="str">
        <f>IF(Buildings_Heat_Frontend[[#This Row],[Data]]="","", _xlfn.XLOOKUP(Buildings_Heat_Backend[[#This Row],[Info 1]],Buildings_SiteInfo[Site name],Buildings_SiteInfo[Site type]))</f>
        <v/>
      </c>
      <c r="U409" s="174" t="str">
        <f>IF(Buildings_Heat_Frontend[[#This Row],[Data]]="","", Buildings_Heat_Frontend[[#This Row],[Heating Type]])</f>
        <v/>
      </c>
      <c r="V409" s="174" t="str">
        <f>IF(Buildings_Heat_Frontend[[#This Row],[Data]]="","", Buildings_Heat_Frontend[[#This Row],[Fuel]])</f>
        <v/>
      </c>
      <c r="W409" s="174" t="str" cm="1">
        <f t="array" ref="W409">IF(Buildings_Heat_Frontend[[#This Row],[Data]]="","", _xlfn.XLOOKUP(Buildings_Heat_Backend[[#This Row],[Level 5]],rng_Level5Long,rng_Level6Long))</f>
        <v/>
      </c>
      <c r="X409" s="174" t="str">
        <f>IF(Buildings_Heat_Frontend[[#This Row],[Data]]="","", Buildings_Heat_Frontend[[#This Row],[Site Name]])</f>
        <v/>
      </c>
      <c r="Y409" s="174" t="str">
        <f>IF(Buildings_Heat_Frontend[[#This Row],[Data]]="","", Buildings_Heat_Frontend[[#This Row],[MPRN]])</f>
        <v/>
      </c>
      <c r="Z409" s="174" t="str">
        <f>IF(Buildings_Heat_Frontend[[#This Row],[Data]]="","", IF($I409="","",$I409))</f>
        <v/>
      </c>
      <c r="AA409" s="229" t="str" cm="1">
        <f t="array" ref="AA409">IF(Buildings_Heat_Frontend[[#This Row],[Data]]="","", INDEX(_xlfn.SWITCH(Buildings_Heat_Backend[[#This Row],[Methodology]],"Tier 1",rng_RSD1,"Tier 2",rng_RSD2,"Tier 3",rng_RSD3),MATCH(_xlfn.CONCAT(Buildings_Heat_Backend[[#This Row],[Level 1]:[Level 6]]),rng_LevelsConcat,0)))</f>
        <v/>
      </c>
      <c r="AB409" s="220" t="str">
        <f t="shared" si="19"/>
        <v/>
      </c>
      <c r="AC409" s="174">
        <f>Buildings_Heat_Frontend[[#This Row],[Units]]</f>
        <v>0</v>
      </c>
      <c r="AD40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09" s="174" t="str">
        <f>IF(Buildings_Heat_Frontend[[#This Row],[Data]]="","", _xlfn.XLOOKUP(_xlfn.CONCAT(Buildings_Heat_Backend[[#This Row],[Level 1]:[Level 6]]),rng_LevelsConcat,rng_UnitsLong))</f>
        <v/>
      </c>
      <c r="AF409" s="210" t="str">
        <f>IF(Buildings_Heat_Frontend[[#This Row],[Data]]="","", _xlfn.XLOOKUP(_xlfn.CONCAT(Buildings_Heat_Backend[[#This Row],[Level 1]:[Level 6]]),rng_EFConcat,rng_EF1)*Buildings_Heat_Backend[[#This Row],[Converted data]]/1000)</f>
        <v/>
      </c>
      <c r="AG409" s="210" t="str">
        <f>IF(Buildings_Heat_Frontend[[#This Row],[Data]]="","", _xlfn.XLOOKUP(_xlfn.CONCAT(Buildings_Heat_Backend[[#This Row],[Level 1]:[Level 6]]),rng_EFConcat,rng_EF2)*Buildings_Heat_Backend[[#This Row],[Converted data]]/1000)</f>
        <v/>
      </c>
      <c r="AH409" s="210" t="str">
        <f>IF(Buildings_Heat_Frontend[[#This Row],[Data]]="","", _xlfn.XLOOKUP(_xlfn.CONCAT(Buildings_Heat_Backend[[#This Row],[Level 1]:[Level 6]]),rng_EFConcat,rng_EF3)*Buildings_Heat_Backend[[#This Row],[Converted data]]/1000)</f>
        <v/>
      </c>
      <c r="AI409" s="210" t="str">
        <f>IF(Buildings_Heat_Frontend[[#This Row],[Data]]="","", _xlfn.XLOOKUP(_xlfn.CONCAT(Buildings_Heat_Backend[[#This Row],[Level 1]:[Level 6]]),rng_EFConcat,rng_EF3WTT)*Buildings_Heat_Backend[[#This Row],[Converted data]]/1000)</f>
        <v/>
      </c>
      <c r="AJ409" s="210" t="str">
        <f>IF(Buildings_Heat_Frontend[[#This Row],[Data]]="","", _xlfn.XLOOKUP(_xlfn.CONCAT(Buildings_Heat_Backend[[#This Row],[Level 1]:[Level 6]]),rng_EFConcat,rng_EF3TD)*Buildings_Heat_Backend[[#This Row],[Converted data]]/1000)</f>
        <v/>
      </c>
      <c r="AK409" s="210" t="str">
        <f>IF(Buildings_Heat_Frontend[[#This Row],[Data]]="","", _xlfn.XLOOKUP(_xlfn.CONCAT(Buildings_Heat_Backend[[#This Row],[Level 1]:[Level 6]]),rng_EFConcat,rng_EF3WTTTD)*Buildings_Heat_Backend[[#This Row],[Converted data]]/1000)</f>
        <v/>
      </c>
      <c r="AL409" s="220">
        <f>SUM(Buildings_Heat_Backend[[#This Row],[Scope 1 (tCO2e)]:[Scope 3 WTT T&amp;D (tCO2e)]])</f>
        <v>0</v>
      </c>
      <c r="AM409" s="220" t="str">
        <f>IF(Buildings_Heat_Frontend[[#This Row],[Data]]="","", Buildings_Heat_Backend[[#This Row],[Total (tCO2e)]]*(1-Buildings_Heat_Backend[[#This Row],[RSD]]))</f>
        <v/>
      </c>
      <c r="AN409" s="220" t="str">
        <f>IF(Buildings_Heat_Frontend[[#This Row],[Data]]="","", Buildings_Heat_Backend[[#This Row],[Total (tCO2e)]]*(1+Buildings_Heat_Backend[[#This Row],[RSD]]))</f>
        <v/>
      </c>
      <c r="AO409" s="210" t="str">
        <f>IF(Buildings_Heat_Frontend[[#This Row],[Data]]="","", _xlfn.XLOOKUP(_xlfn.CONCAT(Buildings_Heat_Backend[[#This Row],[Level 1]:[Level 6]]),rng_EFConcat,rng_EFOOS)*Buildings_Heat_Backend[[#This Row],[Converted data]]/1000)</f>
        <v/>
      </c>
      <c r="AP409" s="174">
        <f>Buildings_Heat_Frontend[[#This Row],[Ease of collection]]</f>
        <v>0</v>
      </c>
      <c r="AQ409" s="174">
        <f>Buildings_Heat_Frontend[[#This Row],[Completeness]]</f>
        <v>0</v>
      </c>
      <c r="AR409" s="174">
        <f>Buildings_Heat_Frontend[[#This Row],[Notes]]</f>
        <v>0</v>
      </c>
    </row>
    <row r="410" spans="5:44" x14ac:dyDescent="0.3">
      <c r="E410" s="346"/>
      <c r="F410" s="364"/>
      <c r="G410" s="336"/>
      <c r="H410" s="336"/>
      <c r="I410" s="336"/>
      <c r="J410" s="334"/>
      <c r="K410" s="336"/>
      <c r="L410" s="336"/>
      <c r="M410" s="336"/>
      <c r="N410" s="352"/>
      <c r="O410" s="230">
        <f t="shared" si="20"/>
        <v>6</v>
      </c>
      <c r="Q410" s="212" t="str">
        <f t="shared" si="18"/>
        <v/>
      </c>
      <c r="R410" s="174" t="s">
        <v>265</v>
      </c>
      <c r="S410" s="174" t="s">
        <v>273</v>
      </c>
      <c r="T410" s="174" t="str">
        <f>IF(Buildings_Heat_Frontend[[#This Row],[Data]]="","", _xlfn.XLOOKUP(Buildings_Heat_Backend[[#This Row],[Info 1]],Buildings_SiteInfo[Site name],Buildings_SiteInfo[Site type]))</f>
        <v/>
      </c>
      <c r="U410" s="174" t="str">
        <f>IF(Buildings_Heat_Frontend[[#This Row],[Data]]="","", Buildings_Heat_Frontend[[#This Row],[Heating Type]])</f>
        <v/>
      </c>
      <c r="V410" s="174" t="str">
        <f>IF(Buildings_Heat_Frontend[[#This Row],[Data]]="","", Buildings_Heat_Frontend[[#This Row],[Fuel]])</f>
        <v/>
      </c>
      <c r="W410" s="174" t="str" cm="1">
        <f t="array" ref="W410">IF(Buildings_Heat_Frontend[[#This Row],[Data]]="","", _xlfn.XLOOKUP(Buildings_Heat_Backend[[#This Row],[Level 5]],rng_Level5Long,rng_Level6Long))</f>
        <v/>
      </c>
      <c r="X410" s="174" t="str">
        <f>IF(Buildings_Heat_Frontend[[#This Row],[Data]]="","", Buildings_Heat_Frontend[[#This Row],[Site Name]])</f>
        <v/>
      </c>
      <c r="Y410" s="174" t="str">
        <f>IF(Buildings_Heat_Frontend[[#This Row],[Data]]="","", Buildings_Heat_Frontend[[#This Row],[MPRN]])</f>
        <v/>
      </c>
      <c r="Z410" s="174" t="str">
        <f>IF(Buildings_Heat_Frontend[[#This Row],[Data]]="","", IF($I410="","",$I410))</f>
        <v/>
      </c>
      <c r="AA410" s="229" t="str" cm="1">
        <f t="array" ref="AA410">IF(Buildings_Heat_Frontend[[#This Row],[Data]]="","", INDEX(_xlfn.SWITCH(Buildings_Heat_Backend[[#This Row],[Methodology]],"Tier 1",rng_RSD1,"Tier 2",rng_RSD2,"Tier 3",rng_RSD3),MATCH(_xlfn.CONCAT(Buildings_Heat_Backend[[#This Row],[Level 1]:[Level 6]]),rng_LevelsConcat,0)))</f>
        <v/>
      </c>
      <c r="AB410" s="220" t="str">
        <f t="shared" si="19"/>
        <v/>
      </c>
      <c r="AC410" s="174">
        <f>Buildings_Heat_Frontend[[#This Row],[Units]]</f>
        <v>0</v>
      </c>
      <c r="AD41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0" s="174" t="str">
        <f>IF(Buildings_Heat_Frontend[[#This Row],[Data]]="","", _xlfn.XLOOKUP(_xlfn.CONCAT(Buildings_Heat_Backend[[#This Row],[Level 1]:[Level 6]]),rng_LevelsConcat,rng_UnitsLong))</f>
        <v/>
      </c>
      <c r="AF410" s="210" t="str">
        <f>IF(Buildings_Heat_Frontend[[#This Row],[Data]]="","", _xlfn.XLOOKUP(_xlfn.CONCAT(Buildings_Heat_Backend[[#This Row],[Level 1]:[Level 6]]),rng_EFConcat,rng_EF1)*Buildings_Heat_Backend[[#This Row],[Converted data]]/1000)</f>
        <v/>
      </c>
      <c r="AG410" s="210" t="str">
        <f>IF(Buildings_Heat_Frontend[[#This Row],[Data]]="","", _xlfn.XLOOKUP(_xlfn.CONCAT(Buildings_Heat_Backend[[#This Row],[Level 1]:[Level 6]]),rng_EFConcat,rng_EF2)*Buildings_Heat_Backend[[#This Row],[Converted data]]/1000)</f>
        <v/>
      </c>
      <c r="AH410" s="210" t="str">
        <f>IF(Buildings_Heat_Frontend[[#This Row],[Data]]="","", _xlfn.XLOOKUP(_xlfn.CONCAT(Buildings_Heat_Backend[[#This Row],[Level 1]:[Level 6]]),rng_EFConcat,rng_EF3)*Buildings_Heat_Backend[[#This Row],[Converted data]]/1000)</f>
        <v/>
      </c>
      <c r="AI410" s="210" t="str">
        <f>IF(Buildings_Heat_Frontend[[#This Row],[Data]]="","", _xlfn.XLOOKUP(_xlfn.CONCAT(Buildings_Heat_Backend[[#This Row],[Level 1]:[Level 6]]),rng_EFConcat,rng_EF3WTT)*Buildings_Heat_Backend[[#This Row],[Converted data]]/1000)</f>
        <v/>
      </c>
      <c r="AJ410" s="210" t="str">
        <f>IF(Buildings_Heat_Frontend[[#This Row],[Data]]="","", _xlfn.XLOOKUP(_xlfn.CONCAT(Buildings_Heat_Backend[[#This Row],[Level 1]:[Level 6]]),rng_EFConcat,rng_EF3TD)*Buildings_Heat_Backend[[#This Row],[Converted data]]/1000)</f>
        <v/>
      </c>
      <c r="AK410" s="210" t="str">
        <f>IF(Buildings_Heat_Frontend[[#This Row],[Data]]="","", _xlfn.XLOOKUP(_xlfn.CONCAT(Buildings_Heat_Backend[[#This Row],[Level 1]:[Level 6]]),rng_EFConcat,rng_EF3WTTTD)*Buildings_Heat_Backend[[#This Row],[Converted data]]/1000)</f>
        <v/>
      </c>
      <c r="AL410" s="220">
        <f>SUM(Buildings_Heat_Backend[[#This Row],[Scope 1 (tCO2e)]:[Scope 3 WTT T&amp;D (tCO2e)]])</f>
        <v>0</v>
      </c>
      <c r="AM410" s="220" t="str">
        <f>IF(Buildings_Heat_Frontend[[#This Row],[Data]]="","", Buildings_Heat_Backend[[#This Row],[Total (tCO2e)]]*(1-Buildings_Heat_Backend[[#This Row],[RSD]]))</f>
        <v/>
      </c>
      <c r="AN410" s="220" t="str">
        <f>IF(Buildings_Heat_Frontend[[#This Row],[Data]]="","", Buildings_Heat_Backend[[#This Row],[Total (tCO2e)]]*(1+Buildings_Heat_Backend[[#This Row],[RSD]]))</f>
        <v/>
      </c>
      <c r="AO410" s="210" t="str">
        <f>IF(Buildings_Heat_Frontend[[#This Row],[Data]]="","", _xlfn.XLOOKUP(_xlfn.CONCAT(Buildings_Heat_Backend[[#This Row],[Level 1]:[Level 6]]),rng_EFConcat,rng_EFOOS)*Buildings_Heat_Backend[[#This Row],[Converted data]]/1000)</f>
        <v/>
      </c>
      <c r="AP410" s="174">
        <f>Buildings_Heat_Frontend[[#This Row],[Ease of collection]]</f>
        <v>0</v>
      </c>
      <c r="AQ410" s="174">
        <f>Buildings_Heat_Frontend[[#This Row],[Completeness]]</f>
        <v>0</v>
      </c>
      <c r="AR410" s="174">
        <f>Buildings_Heat_Frontend[[#This Row],[Notes]]</f>
        <v>0</v>
      </c>
    </row>
    <row r="411" spans="5:44" x14ac:dyDescent="0.3">
      <c r="E411" s="346"/>
      <c r="F411" s="364"/>
      <c r="G411" s="336"/>
      <c r="H411" s="336"/>
      <c r="I411" s="336"/>
      <c r="J411" s="334"/>
      <c r="K411" s="336"/>
      <c r="L411" s="336"/>
      <c r="M411" s="336"/>
      <c r="N411" s="352"/>
      <c r="O411" s="230">
        <f t="shared" si="20"/>
        <v>6</v>
      </c>
      <c r="Q411" s="212" t="str">
        <f t="shared" si="18"/>
        <v/>
      </c>
      <c r="R411" s="174" t="s">
        <v>265</v>
      </c>
      <c r="S411" s="174" t="s">
        <v>273</v>
      </c>
      <c r="T411" s="174" t="str">
        <f>IF(Buildings_Heat_Frontend[[#This Row],[Data]]="","", _xlfn.XLOOKUP(Buildings_Heat_Backend[[#This Row],[Info 1]],Buildings_SiteInfo[Site name],Buildings_SiteInfo[Site type]))</f>
        <v/>
      </c>
      <c r="U411" s="174" t="str">
        <f>IF(Buildings_Heat_Frontend[[#This Row],[Data]]="","", Buildings_Heat_Frontend[[#This Row],[Heating Type]])</f>
        <v/>
      </c>
      <c r="V411" s="174" t="str">
        <f>IF(Buildings_Heat_Frontend[[#This Row],[Data]]="","", Buildings_Heat_Frontend[[#This Row],[Fuel]])</f>
        <v/>
      </c>
      <c r="W411" s="174" t="str" cm="1">
        <f t="array" ref="W411">IF(Buildings_Heat_Frontend[[#This Row],[Data]]="","", _xlfn.XLOOKUP(Buildings_Heat_Backend[[#This Row],[Level 5]],rng_Level5Long,rng_Level6Long))</f>
        <v/>
      </c>
      <c r="X411" s="174" t="str">
        <f>IF(Buildings_Heat_Frontend[[#This Row],[Data]]="","", Buildings_Heat_Frontend[[#This Row],[Site Name]])</f>
        <v/>
      </c>
      <c r="Y411" s="174" t="str">
        <f>IF(Buildings_Heat_Frontend[[#This Row],[Data]]="","", Buildings_Heat_Frontend[[#This Row],[MPRN]])</f>
        <v/>
      </c>
      <c r="Z411" s="174" t="str">
        <f>IF(Buildings_Heat_Frontend[[#This Row],[Data]]="","", IF($I411="","",$I411))</f>
        <v/>
      </c>
      <c r="AA411" s="229" t="str" cm="1">
        <f t="array" ref="AA411">IF(Buildings_Heat_Frontend[[#This Row],[Data]]="","", INDEX(_xlfn.SWITCH(Buildings_Heat_Backend[[#This Row],[Methodology]],"Tier 1",rng_RSD1,"Tier 2",rng_RSD2,"Tier 3",rng_RSD3),MATCH(_xlfn.CONCAT(Buildings_Heat_Backend[[#This Row],[Level 1]:[Level 6]]),rng_LevelsConcat,0)))</f>
        <v/>
      </c>
      <c r="AB411" s="220" t="str">
        <f t="shared" si="19"/>
        <v/>
      </c>
      <c r="AC411" s="174">
        <f>Buildings_Heat_Frontend[[#This Row],[Units]]</f>
        <v>0</v>
      </c>
      <c r="AD41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1" s="174" t="str">
        <f>IF(Buildings_Heat_Frontend[[#This Row],[Data]]="","", _xlfn.XLOOKUP(_xlfn.CONCAT(Buildings_Heat_Backend[[#This Row],[Level 1]:[Level 6]]),rng_LevelsConcat,rng_UnitsLong))</f>
        <v/>
      </c>
      <c r="AF411" s="210" t="str">
        <f>IF(Buildings_Heat_Frontend[[#This Row],[Data]]="","", _xlfn.XLOOKUP(_xlfn.CONCAT(Buildings_Heat_Backend[[#This Row],[Level 1]:[Level 6]]),rng_EFConcat,rng_EF1)*Buildings_Heat_Backend[[#This Row],[Converted data]]/1000)</f>
        <v/>
      </c>
      <c r="AG411" s="210" t="str">
        <f>IF(Buildings_Heat_Frontend[[#This Row],[Data]]="","", _xlfn.XLOOKUP(_xlfn.CONCAT(Buildings_Heat_Backend[[#This Row],[Level 1]:[Level 6]]),rng_EFConcat,rng_EF2)*Buildings_Heat_Backend[[#This Row],[Converted data]]/1000)</f>
        <v/>
      </c>
      <c r="AH411" s="210" t="str">
        <f>IF(Buildings_Heat_Frontend[[#This Row],[Data]]="","", _xlfn.XLOOKUP(_xlfn.CONCAT(Buildings_Heat_Backend[[#This Row],[Level 1]:[Level 6]]),rng_EFConcat,rng_EF3)*Buildings_Heat_Backend[[#This Row],[Converted data]]/1000)</f>
        <v/>
      </c>
      <c r="AI411" s="210" t="str">
        <f>IF(Buildings_Heat_Frontend[[#This Row],[Data]]="","", _xlfn.XLOOKUP(_xlfn.CONCAT(Buildings_Heat_Backend[[#This Row],[Level 1]:[Level 6]]),rng_EFConcat,rng_EF3WTT)*Buildings_Heat_Backend[[#This Row],[Converted data]]/1000)</f>
        <v/>
      </c>
      <c r="AJ411" s="210" t="str">
        <f>IF(Buildings_Heat_Frontend[[#This Row],[Data]]="","", _xlfn.XLOOKUP(_xlfn.CONCAT(Buildings_Heat_Backend[[#This Row],[Level 1]:[Level 6]]),rng_EFConcat,rng_EF3TD)*Buildings_Heat_Backend[[#This Row],[Converted data]]/1000)</f>
        <v/>
      </c>
      <c r="AK411" s="210" t="str">
        <f>IF(Buildings_Heat_Frontend[[#This Row],[Data]]="","", _xlfn.XLOOKUP(_xlfn.CONCAT(Buildings_Heat_Backend[[#This Row],[Level 1]:[Level 6]]),rng_EFConcat,rng_EF3WTTTD)*Buildings_Heat_Backend[[#This Row],[Converted data]]/1000)</f>
        <v/>
      </c>
      <c r="AL411" s="220">
        <f>SUM(Buildings_Heat_Backend[[#This Row],[Scope 1 (tCO2e)]:[Scope 3 WTT T&amp;D (tCO2e)]])</f>
        <v>0</v>
      </c>
      <c r="AM411" s="220" t="str">
        <f>IF(Buildings_Heat_Frontend[[#This Row],[Data]]="","", Buildings_Heat_Backend[[#This Row],[Total (tCO2e)]]*(1-Buildings_Heat_Backend[[#This Row],[RSD]]))</f>
        <v/>
      </c>
      <c r="AN411" s="220" t="str">
        <f>IF(Buildings_Heat_Frontend[[#This Row],[Data]]="","", Buildings_Heat_Backend[[#This Row],[Total (tCO2e)]]*(1+Buildings_Heat_Backend[[#This Row],[RSD]]))</f>
        <v/>
      </c>
      <c r="AO411" s="210" t="str">
        <f>IF(Buildings_Heat_Frontend[[#This Row],[Data]]="","", _xlfn.XLOOKUP(_xlfn.CONCAT(Buildings_Heat_Backend[[#This Row],[Level 1]:[Level 6]]),rng_EFConcat,rng_EFOOS)*Buildings_Heat_Backend[[#This Row],[Converted data]]/1000)</f>
        <v/>
      </c>
      <c r="AP411" s="174">
        <f>Buildings_Heat_Frontend[[#This Row],[Ease of collection]]</f>
        <v>0</v>
      </c>
      <c r="AQ411" s="174">
        <f>Buildings_Heat_Frontend[[#This Row],[Completeness]]</f>
        <v>0</v>
      </c>
      <c r="AR411" s="174">
        <f>Buildings_Heat_Frontend[[#This Row],[Notes]]</f>
        <v>0</v>
      </c>
    </row>
    <row r="412" spans="5:44" x14ac:dyDescent="0.3">
      <c r="E412" s="346"/>
      <c r="F412" s="364"/>
      <c r="G412" s="336"/>
      <c r="H412" s="336"/>
      <c r="I412" s="336"/>
      <c r="J412" s="334"/>
      <c r="K412" s="336"/>
      <c r="L412" s="336"/>
      <c r="M412" s="336"/>
      <c r="N412" s="352"/>
      <c r="O412" s="230">
        <f t="shared" si="20"/>
        <v>6</v>
      </c>
      <c r="Q412" s="212" t="str">
        <f t="shared" si="18"/>
        <v/>
      </c>
      <c r="R412" s="174" t="s">
        <v>265</v>
      </c>
      <c r="S412" s="174" t="s">
        <v>273</v>
      </c>
      <c r="T412" s="174" t="str">
        <f>IF(Buildings_Heat_Frontend[[#This Row],[Data]]="","", _xlfn.XLOOKUP(Buildings_Heat_Backend[[#This Row],[Info 1]],Buildings_SiteInfo[Site name],Buildings_SiteInfo[Site type]))</f>
        <v/>
      </c>
      <c r="U412" s="174" t="str">
        <f>IF(Buildings_Heat_Frontend[[#This Row],[Data]]="","", Buildings_Heat_Frontend[[#This Row],[Heating Type]])</f>
        <v/>
      </c>
      <c r="V412" s="174" t="str">
        <f>IF(Buildings_Heat_Frontend[[#This Row],[Data]]="","", Buildings_Heat_Frontend[[#This Row],[Fuel]])</f>
        <v/>
      </c>
      <c r="W412" s="174" t="str" cm="1">
        <f t="array" ref="W412">IF(Buildings_Heat_Frontend[[#This Row],[Data]]="","", _xlfn.XLOOKUP(Buildings_Heat_Backend[[#This Row],[Level 5]],rng_Level5Long,rng_Level6Long))</f>
        <v/>
      </c>
      <c r="X412" s="174" t="str">
        <f>IF(Buildings_Heat_Frontend[[#This Row],[Data]]="","", Buildings_Heat_Frontend[[#This Row],[Site Name]])</f>
        <v/>
      </c>
      <c r="Y412" s="174" t="str">
        <f>IF(Buildings_Heat_Frontend[[#This Row],[Data]]="","", Buildings_Heat_Frontend[[#This Row],[MPRN]])</f>
        <v/>
      </c>
      <c r="Z412" s="174" t="str">
        <f>IF(Buildings_Heat_Frontend[[#This Row],[Data]]="","", IF($I412="","",$I412))</f>
        <v/>
      </c>
      <c r="AA412" s="229" t="str" cm="1">
        <f t="array" ref="AA412">IF(Buildings_Heat_Frontend[[#This Row],[Data]]="","", INDEX(_xlfn.SWITCH(Buildings_Heat_Backend[[#This Row],[Methodology]],"Tier 1",rng_RSD1,"Tier 2",rng_RSD2,"Tier 3",rng_RSD3),MATCH(_xlfn.CONCAT(Buildings_Heat_Backend[[#This Row],[Level 1]:[Level 6]]),rng_LevelsConcat,0)))</f>
        <v/>
      </c>
      <c r="AB412" s="220" t="str">
        <f t="shared" si="19"/>
        <v/>
      </c>
      <c r="AC412" s="174">
        <f>Buildings_Heat_Frontend[[#This Row],[Units]]</f>
        <v>0</v>
      </c>
      <c r="AD41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2" s="174" t="str">
        <f>IF(Buildings_Heat_Frontend[[#This Row],[Data]]="","", _xlfn.XLOOKUP(_xlfn.CONCAT(Buildings_Heat_Backend[[#This Row],[Level 1]:[Level 6]]),rng_LevelsConcat,rng_UnitsLong))</f>
        <v/>
      </c>
      <c r="AF412" s="210" t="str">
        <f>IF(Buildings_Heat_Frontend[[#This Row],[Data]]="","", _xlfn.XLOOKUP(_xlfn.CONCAT(Buildings_Heat_Backend[[#This Row],[Level 1]:[Level 6]]),rng_EFConcat,rng_EF1)*Buildings_Heat_Backend[[#This Row],[Converted data]]/1000)</f>
        <v/>
      </c>
      <c r="AG412" s="210" t="str">
        <f>IF(Buildings_Heat_Frontend[[#This Row],[Data]]="","", _xlfn.XLOOKUP(_xlfn.CONCAT(Buildings_Heat_Backend[[#This Row],[Level 1]:[Level 6]]),rng_EFConcat,rng_EF2)*Buildings_Heat_Backend[[#This Row],[Converted data]]/1000)</f>
        <v/>
      </c>
      <c r="AH412" s="210" t="str">
        <f>IF(Buildings_Heat_Frontend[[#This Row],[Data]]="","", _xlfn.XLOOKUP(_xlfn.CONCAT(Buildings_Heat_Backend[[#This Row],[Level 1]:[Level 6]]),rng_EFConcat,rng_EF3)*Buildings_Heat_Backend[[#This Row],[Converted data]]/1000)</f>
        <v/>
      </c>
      <c r="AI412" s="210" t="str">
        <f>IF(Buildings_Heat_Frontend[[#This Row],[Data]]="","", _xlfn.XLOOKUP(_xlfn.CONCAT(Buildings_Heat_Backend[[#This Row],[Level 1]:[Level 6]]),rng_EFConcat,rng_EF3WTT)*Buildings_Heat_Backend[[#This Row],[Converted data]]/1000)</f>
        <v/>
      </c>
      <c r="AJ412" s="210" t="str">
        <f>IF(Buildings_Heat_Frontend[[#This Row],[Data]]="","", _xlfn.XLOOKUP(_xlfn.CONCAT(Buildings_Heat_Backend[[#This Row],[Level 1]:[Level 6]]),rng_EFConcat,rng_EF3TD)*Buildings_Heat_Backend[[#This Row],[Converted data]]/1000)</f>
        <v/>
      </c>
      <c r="AK412" s="210" t="str">
        <f>IF(Buildings_Heat_Frontend[[#This Row],[Data]]="","", _xlfn.XLOOKUP(_xlfn.CONCAT(Buildings_Heat_Backend[[#This Row],[Level 1]:[Level 6]]),rng_EFConcat,rng_EF3WTTTD)*Buildings_Heat_Backend[[#This Row],[Converted data]]/1000)</f>
        <v/>
      </c>
      <c r="AL412" s="220">
        <f>SUM(Buildings_Heat_Backend[[#This Row],[Scope 1 (tCO2e)]:[Scope 3 WTT T&amp;D (tCO2e)]])</f>
        <v>0</v>
      </c>
      <c r="AM412" s="220" t="str">
        <f>IF(Buildings_Heat_Frontend[[#This Row],[Data]]="","", Buildings_Heat_Backend[[#This Row],[Total (tCO2e)]]*(1-Buildings_Heat_Backend[[#This Row],[RSD]]))</f>
        <v/>
      </c>
      <c r="AN412" s="220" t="str">
        <f>IF(Buildings_Heat_Frontend[[#This Row],[Data]]="","", Buildings_Heat_Backend[[#This Row],[Total (tCO2e)]]*(1+Buildings_Heat_Backend[[#This Row],[RSD]]))</f>
        <v/>
      </c>
      <c r="AO412" s="210" t="str">
        <f>IF(Buildings_Heat_Frontend[[#This Row],[Data]]="","", _xlfn.XLOOKUP(_xlfn.CONCAT(Buildings_Heat_Backend[[#This Row],[Level 1]:[Level 6]]),rng_EFConcat,rng_EFOOS)*Buildings_Heat_Backend[[#This Row],[Converted data]]/1000)</f>
        <v/>
      </c>
      <c r="AP412" s="174">
        <f>Buildings_Heat_Frontend[[#This Row],[Ease of collection]]</f>
        <v>0</v>
      </c>
      <c r="AQ412" s="174">
        <f>Buildings_Heat_Frontend[[#This Row],[Completeness]]</f>
        <v>0</v>
      </c>
      <c r="AR412" s="174">
        <f>Buildings_Heat_Frontend[[#This Row],[Notes]]</f>
        <v>0</v>
      </c>
    </row>
    <row r="413" spans="5:44" x14ac:dyDescent="0.3">
      <c r="E413" s="346"/>
      <c r="F413" s="364"/>
      <c r="G413" s="336"/>
      <c r="H413" s="336"/>
      <c r="I413" s="336"/>
      <c r="J413" s="334"/>
      <c r="K413" s="336"/>
      <c r="L413" s="336"/>
      <c r="M413" s="336"/>
      <c r="N413" s="352"/>
      <c r="O413" s="230">
        <f t="shared" si="20"/>
        <v>6</v>
      </c>
      <c r="Q413" s="212" t="str">
        <f t="shared" si="18"/>
        <v/>
      </c>
      <c r="R413" s="174" t="s">
        <v>265</v>
      </c>
      <c r="S413" s="174" t="s">
        <v>273</v>
      </c>
      <c r="T413" s="174" t="str">
        <f>IF(Buildings_Heat_Frontend[[#This Row],[Data]]="","", _xlfn.XLOOKUP(Buildings_Heat_Backend[[#This Row],[Info 1]],Buildings_SiteInfo[Site name],Buildings_SiteInfo[Site type]))</f>
        <v/>
      </c>
      <c r="U413" s="174" t="str">
        <f>IF(Buildings_Heat_Frontend[[#This Row],[Data]]="","", Buildings_Heat_Frontend[[#This Row],[Heating Type]])</f>
        <v/>
      </c>
      <c r="V413" s="174" t="str">
        <f>IF(Buildings_Heat_Frontend[[#This Row],[Data]]="","", Buildings_Heat_Frontend[[#This Row],[Fuel]])</f>
        <v/>
      </c>
      <c r="W413" s="174" t="str" cm="1">
        <f t="array" ref="W413">IF(Buildings_Heat_Frontend[[#This Row],[Data]]="","", _xlfn.XLOOKUP(Buildings_Heat_Backend[[#This Row],[Level 5]],rng_Level5Long,rng_Level6Long))</f>
        <v/>
      </c>
      <c r="X413" s="174" t="str">
        <f>IF(Buildings_Heat_Frontend[[#This Row],[Data]]="","", Buildings_Heat_Frontend[[#This Row],[Site Name]])</f>
        <v/>
      </c>
      <c r="Y413" s="174" t="str">
        <f>IF(Buildings_Heat_Frontend[[#This Row],[Data]]="","", Buildings_Heat_Frontend[[#This Row],[MPRN]])</f>
        <v/>
      </c>
      <c r="Z413" s="174" t="str">
        <f>IF(Buildings_Heat_Frontend[[#This Row],[Data]]="","", IF($I413="","",$I413))</f>
        <v/>
      </c>
      <c r="AA413" s="229" t="str" cm="1">
        <f t="array" ref="AA413">IF(Buildings_Heat_Frontend[[#This Row],[Data]]="","", INDEX(_xlfn.SWITCH(Buildings_Heat_Backend[[#This Row],[Methodology]],"Tier 1",rng_RSD1,"Tier 2",rng_RSD2,"Tier 3",rng_RSD3),MATCH(_xlfn.CONCAT(Buildings_Heat_Backend[[#This Row],[Level 1]:[Level 6]]),rng_LevelsConcat,0)))</f>
        <v/>
      </c>
      <c r="AB413" s="220" t="str">
        <f t="shared" si="19"/>
        <v/>
      </c>
      <c r="AC413" s="174">
        <f>Buildings_Heat_Frontend[[#This Row],[Units]]</f>
        <v>0</v>
      </c>
      <c r="AD41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3" s="174" t="str">
        <f>IF(Buildings_Heat_Frontend[[#This Row],[Data]]="","", _xlfn.XLOOKUP(_xlfn.CONCAT(Buildings_Heat_Backend[[#This Row],[Level 1]:[Level 6]]),rng_LevelsConcat,rng_UnitsLong))</f>
        <v/>
      </c>
      <c r="AF413" s="210" t="str">
        <f>IF(Buildings_Heat_Frontend[[#This Row],[Data]]="","", _xlfn.XLOOKUP(_xlfn.CONCAT(Buildings_Heat_Backend[[#This Row],[Level 1]:[Level 6]]),rng_EFConcat,rng_EF1)*Buildings_Heat_Backend[[#This Row],[Converted data]]/1000)</f>
        <v/>
      </c>
      <c r="AG413" s="210" t="str">
        <f>IF(Buildings_Heat_Frontend[[#This Row],[Data]]="","", _xlfn.XLOOKUP(_xlfn.CONCAT(Buildings_Heat_Backend[[#This Row],[Level 1]:[Level 6]]),rng_EFConcat,rng_EF2)*Buildings_Heat_Backend[[#This Row],[Converted data]]/1000)</f>
        <v/>
      </c>
      <c r="AH413" s="210" t="str">
        <f>IF(Buildings_Heat_Frontend[[#This Row],[Data]]="","", _xlfn.XLOOKUP(_xlfn.CONCAT(Buildings_Heat_Backend[[#This Row],[Level 1]:[Level 6]]),rng_EFConcat,rng_EF3)*Buildings_Heat_Backend[[#This Row],[Converted data]]/1000)</f>
        <v/>
      </c>
      <c r="AI413" s="210" t="str">
        <f>IF(Buildings_Heat_Frontend[[#This Row],[Data]]="","", _xlfn.XLOOKUP(_xlfn.CONCAT(Buildings_Heat_Backend[[#This Row],[Level 1]:[Level 6]]),rng_EFConcat,rng_EF3WTT)*Buildings_Heat_Backend[[#This Row],[Converted data]]/1000)</f>
        <v/>
      </c>
      <c r="AJ413" s="210" t="str">
        <f>IF(Buildings_Heat_Frontend[[#This Row],[Data]]="","", _xlfn.XLOOKUP(_xlfn.CONCAT(Buildings_Heat_Backend[[#This Row],[Level 1]:[Level 6]]),rng_EFConcat,rng_EF3TD)*Buildings_Heat_Backend[[#This Row],[Converted data]]/1000)</f>
        <v/>
      </c>
      <c r="AK413" s="210" t="str">
        <f>IF(Buildings_Heat_Frontend[[#This Row],[Data]]="","", _xlfn.XLOOKUP(_xlfn.CONCAT(Buildings_Heat_Backend[[#This Row],[Level 1]:[Level 6]]),rng_EFConcat,rng_EF3WTTTD)*Buildings_Heat_Backend[[#This Row],[Converted data]]/1000)</f>
        <v/>
      </c>
      <c r="AL413" s="220">
        <f>SUM(Buildings_Heat_Backend[[#This Row],[Scope 1 (tCO2e)]:[Scope 3 WTT T&amp;D (tCO2e)]])</f>
        <v>0</v>
      </c>
      <c r="AM413" s="220" t="str">
        <f>IF(Buildings_Heat_Frontend[[#This Row],[Data]]="","", Buildings_Heat_Backend[[#This Row],[Total (tCO2e)]]*(1-Buildings_Heat_Backend[[#This Row],[RSD]]))</f>
        <v/>
      </c>
      <c r="AN413" s="220" t="str">
        <f>IF(Buildings_Heat_Frontend[[#This Row],[Data]]="","", Buildings_Heat_Backend[[#This Row],[Total (tCO2e)]]*(1+Buildings_Heat_Backend[[#This Row],[RSD]]))</f>
        <v/>
      </c>
      <c r="AO413" s="210" t="str">
        <f>IF(Buildings_Heat_Frontend[[#This Row],[Data]]="","", _xlfn.XLOOKUP(_xlfn.CONCAT(Buildings_Heat_Backend[[#This Row],[Level 1]:[Level 6]]),rng_EFConcat,rng_EFOOS)*Buildings_Heat_Backend[[#This Row],[Converted data]]/1000)</f>
        <v/>
      </c>
      <c r="AP413" s="174">
        <f>Buildings_Heat_Frontend[[#This Row],[Ease of collection]]</f>
        <v>0</v>
      </c>
      <c r="AQ413" s="174">
        <f>Buildings_Heat_Frontend[[#This Row],[Completeness]]</f>
        <v>0</v>
      </c>
      <c r="AR413" s="174">
        <f>Buildings_Heat_Frontend[[#This Row],[Notes]]</f>
        <v>0</v>
      </c>
    </row>
    <row r="414" spans="5:44" x14ac:dyDescent="0.3">
      <c r="E414" s="346"/>
      <c r="F414" s="364"/>
      <c r="G414" s="336"/>
      <c r="H414" s="336"/>
      <c r="I414" s="336"/>
      <c r="J414" s="334"/>
      <c r="K414" s="336"/>
      <c r="L414" s="336"/>
      <c r="M414" s="336"/>
      <c r="N414" s="352"/>
      <c r="O414" s="230">
        <f t="shared" si="20"/>
        <v>6</v>
      </c>
      <c r="Q414" s="212" t="str">
        <f t="shared" si="18"/>
        <v/>
      </c>
      <c r="R414" s="174" t="s">
        <v>265</v>
      </c>
      <c r="S414" s="174" t="s">
        <v>273</v>
      </c>
      <c r="T414" s="174" t="str">
        <f>IF(Buildings_Heat_Frontend[[#This Row],[Data]]="","", _xlfn.XLOOKUP(Buildings_Heat_Backend[[#This Row],[Info 1]],Buildings_SiteInfo[Site name],Buildings_SiteInfo[Site type]))</f>
        <v/>
      </c>
      <c r="U414" s="174" t="str">
        <f>IF(Buildings_Heat_Frontend[[#This Row],[Data]]="","", Buildings_Heat_Frontend[[#This Row],[Heating Type]])</f>
        <v/>
      </c>
      <c r="V414" s="174" t="str">
        <f>IF(Buildings_Heat_Frontend[[#This Row],[Data]]="","", Buildings_Heat_Frontend[[#This Row],[Fuel]])</f>
        <v/>
      </c>
      <c r="W414" s="174" t="str" cm="1">
        <f t="array" ref="W414">IF(Buildings_Heat_Frontend[[#This Row],[Data]]="","", _xlfn.XLOOKUP(Buildings_Heat_Backend[[#This Row],[Level 5]],rng_Level5Long,rng_Level6Long))</f>
        <v/>
      </c>
      <c r="X414" s="174" t="str">
        <f>IF(Buildings_Heat_Frontend[[#This Row],[Data]]="","", Buildings_Heat_Frontend[[#This Row],[Site Name]])</f>
        <v/>
      </c>
      <c r="Y414" s="174" t="str">
        <f>IF(Buildings_Heat_Frontend[[#This Row],[Data]]="","", Buildings_Heat_Frontend[[#This Row],[MPRN]])</f>
        <v/>
      </c>
      <c r="Z414" s="174" t="str">
        <f>IF(Buildings_Heat_Frontend[[#This Row],[Data]]="","", IF($I414="","",$I414))</f>
        <v/>
      </c>
      <c r="AA414" s="229" t="str" cm="1">
        <f t="array" ref="AA414">IF(Buildings_Heat_Frontend[[#This Row],[Data]]="","", INDEX(_xlfn.SWITCH(Buildings_Heat_Backend[[#This Row],[Methodology]],"Tier 1",rng_RSD1,"Tier 2",rng_RSD2,"Tier 3",rng_RSD3),MATCH(_xlfn.CONCAT(Buildings_Heat_Backend[[#This Row],[Level 1]:[Level 6]]),rng_LevelsConcat,0)))</f>
        <v/>
      </c>
      <c r="AB414" s="220" t="str">
        <f t="shared" si="19"/>
        <v/>
      </c>
      <c r="AC414" s="174">
        <f>Buildings_Heat_Frontend[[#This Row],[Units]]</f>
        <v>0</v>
      </c>
      <c r="AD41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4" s="174" t="str">
        <f>IF(Buildings_Heat_Frontend[[#This Row],[Data]]="","", _xlfn.XLOOKUP(_xlfn.CONCAT(Buildings_Heat_Backend[[#This Row],[Level 1]:[Level 6]]),rng_LevelsConcat,rng_UnitsLong))</f>
        <v/>
      </c>
      <c r="AF414" s="210" t="str">
        <f>IF(Buildings_Heat_Frontend[[#This Row],[Data]]="","", _xlfn.XLOOKUP(_xlfn.CONCAT(Buildings_Heat_Backend[[#This Row],[Level 1]:[Level 6]]),rng_EFConcat,rng_EF1)*Buildings_Heat_Backend[[#This Row],[Converted data]]/1000)</f>
        <v/>
      </c>
      <c r="AG414" s="210" t="str">
        <f>IF(Buildings_Heat_Frontend[[#This Row],[Data]]="","", _xlfn.XLOOKUP(_xlfn.CONCAT(Buildings_Heat_Backend[[#This Row],[Level 1]:[Level 6]]),rng_EFConcat,rng_EF2)*Buildings_Heat_Backend[[#This Row],[Converted data]]/1000)</f>
        <v/>
      </c>
      <c r="AH414" s="210" t="str">
        <f>IF(Buildings_Heat_Frontend[[#This Row],[Data]]="","", _xlfn.XLOOKUP(_xlfn.CONCAT(Buildings_Heat_Backend[[#This Row],[Level 1]:[Level 6]]),rng_EFConcat,rng_EF3)*Buildings_Heat_Backend[[#This Row],[Converted data]]/1000)</f>
        <v/>
      </c>
      <c r="AI414" s="210" t="str">
        <f>IF(Buildings_Heat_Frontend[[#This Row],[Data]]="","", _xlfn.XLOOKUP(_xlfn.CONCAT(Buildings_Heat_Backend[[#This Row],[Level 1]:[Level 6]]),rng_EFConcat,rng_EF3WTT)*Buildings_Heat_Backend[[#This Row],[Converted data]]/1000)</f>
        <v/>
      </c>
      <c r="AJ414" s="210" t="str">
        <f>IF(Buildings_Heat_Frontend[[#This Row],[Data]]="","", _xlfn.XLOOKUP(_xlfn.CONCAT(Buildings_Heat_Backend[[#This Row],[Level 1]:[Level 6]]),rng_EFConcat,rng_EF3TD)*Buildings_Heat_Backend[[#This Row],[Converted data]]/1000)</f>
        <v/>
      </c>
      <c r="AK414" s="210" t="str">
        <f>IF(Buildings_Heat_Frontend[[#This Row],[Data]]="","", _xlfn.XLOOKUP(_xlfn.CONCAT(Buildings_Heat_Backend[[#This Row],[Level 1]:[Level 6]]),rng_EFConcat,rng_EF3WTTTD)*Buildings_Heat_Backend[[#This Row],[Converted data]]/1000)</f>
        <v/>
      </c>
      <c r="AL414" s="220">
        <f>SUM(Buildings_Heat_Backend[[#This Row],[Scope 1 (tCO2e)]:[Scope 3 WTT T&amp;D (tCO2e)]])</f>
        <v>0</v>
      </c>
      <c r="AM414" s="220" t="str">
        <f>IF(Buildings_Heat_Frontend[[#This Row],[Data]]="","", Buildings_Heat_Backend[[#This Row],[Total (tCO2e)]]*(1-Buildings_Heat_Backend[[#This Row],[RSD]]))</f>
        <v/>
      </c>
      <c r="AN414" s="220" t="str">
        <f>IF(Buildings_Heat_Frontend[[#This Row],[Data]]="","", Buildings_Heat_Backend[[#This Row],[Total (tCO2e)]]*(1+Buildings_Heat_Backend[[#This Row],[RSD]]))</f>
        <v/>
      </c>
      <c r="AO414" s="210" t="str">
        <f>IF(Buildings_Heat_Frontend[[#This Row],[Data]]="","", _xlfn.XLOOKUP(_xlfn.CONCAT(Buildings_Heat_Backend[[#This Row],[Level 1]:[Level 6]]),rng_EFConcat,rng_EFOOS)*Buildings_Heat_Backend[[#This Row],[Converted data]]/1000)</f>
        <v/>
      </c>
      <c r="AP414" s="174">
        <f>Buildings_Heat_Frontend[[#This Row],[Ease of collection]]</f>
        <v>0</v>
      </c>
      <c r="AQ414" s="174">
        <f>Buildings_Heat_Frontend[[#This Row],[Completeness]]</f>
        <v>0</v>
      </c>
      <c r="AR414" s="174">
        <f>Buildings_Heat_Frontend[[#This Row],[Notes]]</f>
        <v>0</v>
      </c>
    </row>
    <row r="415" spans="5:44" x14ac:dyDescent="0.3">
      <c r="E415" s="346"/>
      <c r="F415" s="364"/>
      <c r="G415" s="336"/>
      <c r="H415" s="336"/>
      <c r="I415" s="336"/>
      <c r="J415" s="334"/>
      <c r="K415" s="336"/>
      <c r="L415" s="336"/>
      <c r="M415" s="336"/>
      <c r="N415" s="352"/>
      <c r="O415" s="230">
        <f t="shared" si="20"/>
        <v>6</v>
      </c>
      <c r="Q415" s="212" t="str">
        <f t="shared" si="18"/>
        <v/>
      </c>
      <c r="R415" s="174" t="s">
        <v>265</v>
      </c>
      <c r="S415" s="174" t="s">
        <v>273</v>
      </c>
      <c r="T415" s="174" t="str">
        <f>IF(Buildings_Heat_Frontend[[#This Row],[Data]]="","", _xlfn.XLOOKUP(Buildings_Heat_Backend[[#This Row],[Info 1]],Buildings_SiteInfo[Site name],Buildings_SiteInfo[Site type]))</f>
        <v/>
      </c>
      <c r="U415" s="174" t="str">
        <f>IF(Buildings_Heat_Frontend[[#This Row],[Data]]="","", Buildings_Heat_Frontend[[#This Row],[Heating Type]])</f>
        <v/>
      </c>
      <c r="V415" s="174" t="str">
        <f>IF(Buildings_Heat_Frontend[[#This Row],[Data]]="","", Buildings_Heat_Frontend[[#This Row],[Fuel]])</f>
        <v/>
      </c>
      <c r="W415" s="174" t="str" cm="1">
        <f t="array" ref="W415">IF(Buildings_Heat_Frontend[[#This Row],[Data]]="","", _xlfn.XLOOKUP(Buildings_Heat_Backend[[#This Row],[Level 5]],rng_Level5Long,rng_Level6Long))</f>
        <v/>
      </c>
      <c r="X415" s="174" t="str">
        <f>IF(Buildings_Heat_Frontend[[#This Row],[Data]]="","", Buildings_Heat_Frontend[[#This Row],[Site Name]])</f>
        <v/>
      </c>
      <c r="Y415" s="174" t="str">
        <f>IF(Buildings_Heat_Frontend[[#This Row],[Data]]="","", Buildings_Heat_Frontend[[#This Row],[MPRN]])</f>
        <v/>
      </c>
      <c r="Z415" s="174" t="str">
        <f>IF(Buildings_Heat_Frontend[[#This Row],[Data]]="","", IF($I415="","",$I415))</f>
        <v/>
      </c>
      <c r="AA415" s="229" t="str" cm="1">
        <f t="array" ref="AA415">IF(Buildings_Heat_Frontend[[#This Row],[Data]]="","", INDEX(_xlfn.SWITCH(Buildings_Heat_Backend[[#This Row],[Methodology]],"Tier 1",rng_RSD1,"Tier 2",rng_RSD2,"Tier 3",rng_RSD3),MATCH(_xlfn.CONCAT(Buildings_Heat_Backend[[#This Row],[Level 1]:[Level 6]]),rng_LevelsConcat,0)))</f>
        <v/>
      </c>
      <c r="AB415" s="220" t="str">
        <f t="shared" si="19"/>
        <v/>
      </c>
      <c r="AC415" s="174">
        <f>Buildings_Heat_Frontend[[#This Row],[Units]]</f>
        <v>0</v>
      </c>
      <c r="AD41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5" s="174" t="str">
        <f>IF(Buildings_Heat_Frontend[[#This Row],[Data]]="","", _xlfn.XLOOKUP(_xlfn.CONCAT(Buildings_Heat_Backend[[#This Row],[Level 1]:[Level 6]]),rng_LevelsConcat,rng_UnitsLong))</f>
        <v/>
      </c>
      <c r="AF415" s="210" t="str">
        <f>IF(Buildings_Heat_Frontend[[#This Row],[Data]]="","", _xlfn.XLOOKUP(_xlfn.CONCAT(Buildings_Heat_Backend[[#This Row],[Level 1]:[Level 6]]),rng_EFConcat,rng_EF1)*Buildings_Heat_Backend[[#This Row],[Converted data]]/1000)</f>
        <v/>
      </c>
      <c r="AG415" s="210" t="str">
        <f>IF(Buildings_Heat_Frontend[[#This Row],[Data]]="","", _xlfn.XLOOKUP(_xlfn.CONCAT(Buildings_Heat_Backend[[#This Row],[Level 1]:[Level 6]]),rng_EFConcat,rng_EF2)*Buildings_Heat_Backend[[#This Row],[Converted data]]/1000)</f>
        <v/>
      </c>
      <c r="AH415" s="210" t="str">
        <f>IF(Buildings_Heat_Frontend[[#This Row],[Data]]="","", _xlfn.XLOOKUP(_xlfn.CONCAT(Buildings_Heat_Backend[[#This Row],[Level 1]:[Level 6]]),rng_EFConcat,rng_EF3)*Buildings_Heat_Backend[[#This Row],[Converted data]]/1000)</f>
        <v/>
      </c>
      <c r="AI415" s="210" t="str">
        <f>IF(Buildings_Heat_Frontend[[#This Row],[Data]]="","", _xlfn.XLOOKUP(_xlfn.CONCAT(Buildings_Heat_Backend[[#This Row],[Level 1]:[Level 6]]),rng_EFConcat,rng_EF3WTT)*Buildings_Heat_Backend[[#This Row],[Converted data]]/1000)</f>
        <v/>
      </c>
      <c r="AJ415" s="210" t="str">
        <f>IF(Buildings_Heat_Frontend[[#This Row],[Data]]="","", _xlfn.XLOOKUP(_xlfn.CONCAT(Buildings_Heat_Backend[[#This Row],[Level 1]:[Level 6]]),rng_EFConcat,rng_EF3TD)*Buildings_Heat_Backend[[#This Row],[Converted data]]/1000)</f>
        <v/>
      </c>
      <c r="AK415" s="210" t="str">
        <f>IF(Buildings_Heat_Frontend[[#This Row],[Data]]="","", _xlfn.XLOOKUP(_xlfn.CONCAT(Buildings_Heat_Backend[[#This Row],[Level 1]:[Level 6]]),rng_EFConcat,rng_EF3WTTTD)*Buildings_Heat_Backend[[#This Row],[Converted data]]/1000)</f>
        <v/>
      </c>
      <c r="AL415" s="220">
        <f>SUM(Buildings_Heat_Backend[[#This Row],[Scope 1 (tCO2e)]:[Scope 3 WTT T&amp;D (tCO2e)]])</f>
        <v>0</v>
      </c>
      <c r="AM415" s="220" t="str">
        <f>IF(Buildings_Heat_Frontend[[#This Row],[Data]]="","", Buildings_Heat_Backend[[#This Row],[Total (tCO2e)]]*(1-Buildings_Heat_Backend[[#This Row],[RSD]]))</f>
        <v/>
      </c>
      <c r="AN415" s="220" t="str">
        <f>IF(Buildings_Heat_Frontend[[#This Row],[Data]]="","", Buildings_Heat_Backend[[#This Row],[Total (tCO2e)]]*(1+Buildings_Heat_Backend[[#This Row],[RSD]]))</f>
        <v/>
      </c>
      <c r="AO415" s="210" t="str">
        <f>IF(Buildings_Heat_Frontend[[#This Row],[Data]]="","", _xlfn.XLOOKUP(_xlfn.CONCAT(Buildings_Heat_Backend[[#This Row],[Level 1]:[Level 6]]),rng_EFConcat,rng_EFOOS)*Buildings_Heat_Backend[[#This Row],[Converted data]]/1000)</f>
        <v/>
      </c>
      <c r="AP415" s="174">
        <f>Buildings_Heat_Frontend[[#This Row],[Ease of collection]]</f>
        <v>0</v>
      </c>
      <c r="AQ415" s="174">
        <f>Buildings_Heat_Frontend[[#This Row],[Completeness]]</f>
        <v>0</v>
      </c>
      <c r="AR415" s="174">
        <f>Buildings_Heat_Frontend[[#This Row],[Notes]]</f>
        <v>0</v>
      </c>
    </row>
    <row r="416" spans="5:44" x14ac:dyDescent="0.3">
      <c r="E416" s="346"/>
      <c r="F416" s="364"/>
      <c r="G416" s="336"/>
      <c r="H416" s="336"/>
      <c r="I416" s="336"/>
      <c r="J416" s="334"/>
      <c r="K416" s="336"/>
      <c r="L416" s="336"/>
      <c r="M416" s="336"/>
      <c r="N416" s="352"/>
      <c r="O416" s="230">
        <f t="shared" si="20"/>
        <v>6</v>
      </c>
      <c r="Q416" s="212" t="str">
        <f t="shared" si="18"/>
        <v/>
      </c>
      <c r="R416" s="174" t="s">
        <v>265</v>
      </c>
      <c r="S416" s="174" t="s">
        <v>273</v>
      </c>
      <c r="T416" s="174" t="str">
        <f>IF(Buildings_Heat_Frontend[[#This Row],[Data]]="","", _xlfn.XLOOKUP(Buildings_Heat_Backend[[#This Row],[Info 1]],Buildings_SiteInfo[Site name],Buildings_SiteInfo[Site type]))</f>
        <v/>
      </c>
      <c r="U416" s="174" t="str">
        <f>IF(Buildings_Heat_Frontend[[#This Row],[Data]]="","", Buildings_Heat_Frontend[[#This Row],[Heating Type]])</f>
        <v/>
      </c>
      <c r="V416" s="174" t="str">
        <f>IF(Buildings_Heat_Frontend[[#This Row],[Data]]="","", Buildings_Heat_Frontend[[#This Row],[Fuel]])</f>
        <v/>
      </c>
      <c r="W416" s="174" t="str" cm="1">
        <f t="array" ref="W416">IF(Buildings_Heat_Frontend[[#This Row],[Data]]="","", _xlfn.XLOOKUP(Buildings_Heat_Backend[[#This Row],[Level 5]],rng_Level5Long,rng_Level6Long))</f>
        <v/>
      </c>
      <c r="X416" s="174" t="str">
        <f>IF(Buildings_Heat_Frontend[[#This Row],[Data]]="","", Buildings_Heat_Frontend[[#This Row],[Site Name]])</f>
        <v/>
      </c>
      <c r="Y416" s="174" t="str">
        <f>IF(Buildings_Heat_Frontend[[#This Row],[Data]]="","", Buildings_Heat_Frontend[[#This Row],[MPRN]])</f>
        <v/>
      </c>
      <c r="Z416" s="174" t="str">
        <f>IF(Buildings_Heat_Frontend[[#This Row],[Data]]="","", IF($I416="","",$I416))</f>
        <v/>
      </c>
      <c r="AA416" s="229" t="str" cm="1">
        <f t="array" ref="AA416">IF(Buildings_Heat_Frontend[[#This Row],[Data]]="","", INDEX(_xlfn.SWITCH(Buildings_Heat_Backend[[#This Row],[Methodology]],"Tier 1",rng_RSD1,"Tier 2",rng_RSD2,"Tier 3",rng_RSD3),MATCH(_xlfn.CONCAT(Buildings_Heat_Backend[[#This Row],[Level 1]:[Level 6]]),rng_LevelsConcat,0)))</f>
        <v/>
      </c>
      <c r="AB416" s="220" t="str">
        <f t="shared" si="19"/>
        <v/>
      </c>
      <c r="AC416" s="174">
        <f>Buildings_Heat_Frontend[[#This Row],[Units]]</f>
        <v>0</v>
      </c>
      <c r="AD41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6" s="174" t="str">
        <f>IF(Buildings_Heat_Frontend[[#This Row],[Data]]="","", _xlfn.XLOOKUP(_xlfn.CONCAT(Buildings_Heat_Backend[[#This Row],[Level 1]:[Level 6]]),rng_LevelsConcat,rng_UnitsLong))</f>
        <v/>
      </c>
      <c r="AF416" s="210" t="str">
        <f>IF(Buildings_Heat_Frontend[[#This Row],[Data]]="","", _xlfn.XLOOKUP(_xlfn.CONCAT(Buildings_Heat_Backend[[#This Row],[Level 1]:[Level 6]]),rng_EFConcat,rng_EF1)*Buildings_Heat_Backend[[#This Row],[Converted data]]/1000)</f>
        <v/>
      </c>
      <c r="AG416" s="210" t="str">
        <f>IF(Buildings_Heat_Frontend[[#This Row],[Data]]="","", _xlfn.XLOOKUP(_xlfn.CONCAT(Buildings_Heat_Backend[[#This Row],[Level 1]:[Level 6]]),rng_EFConcat,rng_EF2)*Buildings_Heat_Backend[[#This Row],[Converted data]]/1000)</f>
        <v/>
      </c>
      <c r="AH416" s="210" t="str">
        <f>IF(Buildings_Heat_Frontend[[#This Row],[Data]]="","", _xlfn.XLOOKUP(_xlfn.CONCAT(Buildings_Heat_Backend[[#This Row],[Level 1]:[Level 6]]),rng_EFConcat,rng_EF3)*Buildings_Heat_Backend[[#This Row],[Converted data]]/1000)</f>
        <v/>
      </c>
      <c r="AI416" s="210" t="str">
        <f>IF(Buildings_Heat_Frontend[[#This Row],[Data]]="","", _xlfn.XLOOKUP(_xlfn.CONCAT(Buildings_Heat_Backend[[#This Row],[Level 1]:[Level 6]]),rng_EFConcat,rng_EF3WTT)*Buildings_Heat_Backend[[#This Row],[Converted data]]/1000)</f>
        <v/>
      </c>
      <c r="AJ416" s="210" t="str">
        <f>IF(Buildings_Heat_Frontend[[#This Row],[Data]]="","", _xlfn.XLOOKUP(_xlfn.CONCAT(Buildings_Heat_Backend[[#This Row],[Level 1]:[Level 6]]),rng_EFConcat,rng_EF3TD)*Buildings_Heat_Backend[[#This Row],[Converted data]]/1000)</f>
        <v/>
      </c>
      <c r="AK416" s="210" t="str">
        <f>IF(Buildings_Heat_Frontend[[#This Row],[Data]]="","", _xlfn.XLOOKUP(_xlfn.CONCAT(Buildings_Heat_Backend[[#This Row],[Level 1]:[Level 6]]),rng_EFConcat,rng_EF3WTTTD)*Buildings_Heat_Backend[[#This Row],[Converted data]]/1000)</f>
        <v/>
      </c>
      <c r="AL416" s="220">
        <f>SUM(Buildings_Heat_Backend[[#This Row],[Scope 1 (tCO2e)]:[Scope 3 WTT T&amp;D (tCO2e)]])</f>
        <v>0</v>
      </c>
      <c r="AM416" s="220" t="str">
        <f>IF(Buildings_Heat_Frontend[[#This Row],[Data]]="","", Buildings_Heat_Backend[[#This Row],[Total (tCO2e)]]*(1-Buildings_Heat_Backend[[#This Row],[RSD]]))</f>
        <v/>
      </c>
      <c r="AN416" s="220" t="str">
        <f>IF(Buildings_Heat_Frontend[[#This Row],[Data]]="","", Buildings_Heat_Backend[[#This Row],[Total (tCO2e)]]*(1+Buildings_Heat_Backend[[#This Row],[RSD]]))</f>
        <v/>
      </c>
      <c r="AO416" s="210" t="str">
        <f>IF(Buildings_Heat_Frontend[[#This Row],[Data]]="","", _xlfn.XLOOKUP(_xlfn.CONCAT(Buildings_Heat_Backend[[#This Row],[Level 1]:[Level 6]]),rng_EFConcat,rng_EFOOS)*Buildings_Heat_Backend[[#This Row],[Converted data]]/1000)</f>
        <v/>
      </c>
      <c r="AP416" s="174">
        <f>Buildings_Heat_Frontend[[#This Row],[Ease of collection]]</f>
        <v>0</v>
      </c>
      <c r="AQ416" s="174">
        <f>Buildings_Heat_Frontend[[#This Row],[Completeness]]</f>
        <v>0</v>
      </c>
      <c r="AR416" s="174">
        <f>Buildings_Heat_Frontend[[#This Row],[Notes]]</f>
        <v>0</v>
      </c>
    </row>
    <row r="417" spans="5:44" x14ac:dyDescent="0.3">
      <c r="E417" s="346"/>
      <c r="F417" s="364"/>
      <c r="G417" s="336"/>
      <c r="H417" s="336"/>
      <c r="I417" s="336"/>
      <c r="J417" s="334"/>
      <c r="K417" s="336"/>
      <c r="L417" s="336"/>
      <c r="M417" s="336"/>
      <c r="N417" s="352"/>
      <c r="O417" s="230">
        <f t="shared" si="20"/>
        <v>6</v>
      </c>
      <c r="Q417" s="212" t="str">
        <f t="shared" si="18"/>
        <v/>
      </c>
      <c r="R417" s="174" t="s">
        <v>265</v>
      </c>
      <c r="S417" s="174" t="s">
        <v>273</v>
      </c>
      <c r="T417" s="174" t="str">
        <f>IF(Buildings_Heat_Frontend[[#This Row],[Data]]="","", _xlfn.XLOOKUP(Buildings_Heat_Backend[[#This Row],[Info 1]],Buildings_SiteInfo[Site name],Buildings_SiteInfo[Site type]))</f>
        <v/>
      </c>
      <c r="U417" s="174" t="str">
        <f>IF(Buildings_Heat_Frontend[[#This Row],[Data]]="","", Buildings_Heat_Frontend[[#This Row],[Heating Type]])</f>
        <v/>
      </c>
      <c r="V417" s="174" t="str">
        <f>IF(Buildings_Heat_Frontend[[#This Row],[Data]]="","", Buildings_Heat_Frontend[[#This Row],[Fuel]])</f>
        <v/>
      </c>
      <c r="W417" s="174" t="str" cm="1">
        <f t="array" ref="W417">IF(Buildings_Heat_Frontend[[#This Row],[Data]]="","", _xlfn.XLOOKUP(Buildings_Heat_Backend[[#This Row],[Level 5]],rng_Level5Long,rng_Level6Long))</f>
        <v/>
      </c>
      <c r="X417" s="174" t="str">
        <f>IF(Buildings_Heat_Frontend[[#This Row],[Data]]="","", Buildings_Heat_Frontend[[#This Row],[Site Name]])</f>
        <v/>
      </c>
      <c r="Y417" s="174" t="str">
        <f>IF(Buildings_Heat_Frontend[[#This Row],[Data]]="","", Buildings_Heat_Frontend[[#This Row],[MPRN]])</f>
        <v/>
      </c>
      <c r="Z417" s="174" t="str">
        <f>IF(Buildings_Heat_Frontend[[#This Row],[Data]]="","", IF($I417="","",$I417))</f>
        <v/>
      </c>
      <c r="AA417" s="229" t="str" cm="1">
        <f t="array" ref="AA417">IF(Buildings_Heat_Frontend[[#This Row],[Data]]="","", INDEX(_xlfn.SWITCH(Buildings_Heat_Backend[[#This Row],[Methodology]],"Tier 1",rng_RSD1,"Tier 2",rng_RSD2,"Tier 3",rng_RSD3),MATCH(_xlfn.CONCAT(Buildings_Heat_Backend[[#This Row],[Level 1]:[Level 6]]),rng_LevelsConcat,0)))</f>
        <v/>
      </c>
      <c r="AB417" s="220" t="str">
        <f t="shared" si="19"/>
        <v/>
      </c>
      <c r="AC417" s="174">
        <f>Buildings_Heat_Frontend[[#This Row],[Units]]</f>
        <v>0</v>
      </c>
      <c r="AD41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7" s="174" t="str">
        <f>IF(Buildings_Heat_Frontend[[#This Row],[Data]]="","", _xlfn.XLOOKUP(_xlfn.CONCAT(Buildings_Heat_Backend[[#This Row],[Level 1]:[Level 6]]),rng_LevelsConcat,rng_UnitsLong))</f>
        <v/>
      </c>
      <c r="AF417" s="210" t="str">
        <f>IF(Buildings_Heat_Frontend[[#This Row],[Data]]="","", _xlfn.XLOOKUP(_xlfn.CONCAT(Buildings_Heat_Backend[[#This Row],[Level 1]:[Level 6]]),rng_EFConcat,rng_EF1)*Buildings_Heat_Backend[[#This Row],[Converted data]]/1000)</f>
        <v/>
      </c>
      <c r="AG417" s="210" t="str">
        <f>IF(Buildings_Heat_Frontend[[#This Row],[Data]]="","", _xlfn.XLOOKUP(_xlfn.CONCAT(Buildings_Heat_Backend[[#This Row],[Level 1]:[Level 6]]),rng_EFConcat,rng_EF2)*Buildings_Heat_Backend[[#This Row],[Converted data]]/1000)</f>
        <v/>
      </c>
      <c r="AH417" s="210" t="str">
        <f>IF(Buildings_Heat_Frontend[[#This Row],[Data]]="","", _xlfn.XLOOKUP(_xlfn.CONCAT(Buildings_Heat_Backend[[#This Row],[Level 1]:[Level 6]]),rng_EFConcat,rng_EF3)*Buildings_Heat_Backend[[#This Row],[Converted data]]/1000)</f>
        <v/>
      </c>
      <c r="AI417" s="210" t="str">
        <f>IF(Buildings_Heat_Frontend[[#This Row],[Data]]="","", _xlfn.XLOOKUP(_xlfn.CONCAT(Buildings_Heat_Backend[[#This Row],[Level 1]:[Level 6]]),rng_EFConcat,rng_EF3WTT)*Buildings_Heat_Backend[[#This Row],[Converted data]]/1000)</f>
        <v/>
      </c>
      <c r="AJ417" s="210" t="str">
        <f>IF(Buildings_Heat_Frontend[[#This Row],[Data]]="","", _xlfn.XLOOKUP(_xlfn.CONCAT(Buildings_Heat_Backend[[#This Row],[Level 1]:[Level 6]]),rng_EFConcat,rng_EF3TD)*Buildings_Heat_Backend[[#This Row],[Converted data]]/1000)</f>
        <v/>
      </c>
      <c r="AK417" s="210" t="str">
        <f>IF(Buildings_Heat_Frontend[[#This Row],[Data]]="","", _xlfn.XLOOKUP(_xlfn.CONCAT(Buildings_Heat_Backend[[#This Row],[Level 1]:[Level 6]]),rng_EFConcat,rng_EF3WTTTD)*Buildings_Heat_Backend[[#This Row],[Converted data]]/1000)</f>
        <v/>
      </c>
      <c r="AL417" s="220">
        <f>SUM(Buildings_Heat_Backend[[#This Row],[Scope 1 (tCO2e)]:[Scope 3 WTT T&amp;D (tCO2e)]])</f>
        <v>0</v>
      </c>
      <c r="AM417" s="220" t="str">
        <f>IF(Buildings_Heat_Frontend[[#This Row],[Data]]="","", Buildings_Heat_Backend[[#This Row],[Total (tCO2e)]]*(1-Buildings_Heat_Backend[[#This Row],[RSD]]))</f>
        <v/>
      </c>
      <c r="AN417" s="220" t="str">
        <f>IF(Buildings_Heat_Frontend[[#This Row],[Data]]="","", Buildings_Heat_Backend[[#This Row],[Total (tCO2e)]]*(1+Buildings_Heat_Backend[[#This Row],[RSD]]))</f>
        <v/>
      </c>
      <c r="AO417" s="210" t="str">
        <f>IF(Buildings_Heat_Frontend[[#This Row],[Data]]="","", _xlfn.XLOOKUP(_xlfn.CONCAT(Buildings_Heat_Backend[[#This Row],[Level 1]:[Level 6]]),rng_EFConcat,rng_EFOOS)*Buildings_Heat_Backend[[#This Row],[Converted data]]/1000)</f>
        <v/>
      </c>
      <c r="AP417" s="174">
        <f>Buildings_Heat_Frontend[[#This Row],[Ease of collection]]</f>
        <v>0</v>
      </c>
      <c r="AQ417" s="174">
        <f>Buildings_Heat_Frontend[[#This Row],[Completeness]]</f>
        <v>0</v>
      </c>
      <c r="AR417" s="174">
        <f>Buildings_Heat_Frontend[[#This Row],[Notes]]</f>
        <v>0</v>
      </c>
    </row>
    <row r="418" spans="5:44" x14ac:dyDescent="0.3">
      <c r="E418" s="346"/>
      <c r="F418" s="364"/>
      <c r="G418" s="336"/>
      <c r="H418" s="336"/>
      <c r="I418" s="336"/>
      <c r="J418" s="334"/>
      <c r="K418" s="336"/>
      <c r="L418" s="336"/>
      <c r="M418" s="336"/>
      <c r="N418" s="352"/>
      <c r="O418" s="230">
        <f t="shared" si="20"/>
        <v>6</v>
      </c>
      <c r="Q418" s="212" t="str">
        <f t="shared" si="18"/>
        <v/>
      </c>
      <c r="R418" s="174" t="s">
        <v>265</v>
      </c>
      <c r="S418" s="174" t="s">
        <v>273</v>
      </c>
      <c r="T418" s="174" t="str">
        <f>IF(Buildings_Heat_Frontend[[#This Row],[Data]]="","", _xlfn.XLOOKUP(Buildings_Heat_Backend[[#This Row],[Info 1]],Buildings_SiteInfo[Site name],Buildings_SiteInfo[Site type]))</f>
        <v/>
      </c>
      <c r="U418" s="174" t="str">
        <f>IF(Buildings_Heat_Frontend[[#This Row],[Data]]="","", Buildings_Heat_Frontend[[#This Row],[Heating Type]])</f>
        <v/>
      </c>
      <c r="V418" s="174" t="str">
        <f>IF(Buildings_Heat_Frontend[[#This Row],[Data]]="","", Buildings_Heat_Frontend[[#This Row],[Fuel]])</f>
        <v/>
      </c>
      <c r="W418" s="174" t="str" cm="1">
        <f t="array" ref="W418">IF(Buildings_Heat_Frontend[[#This Row],[Data]]="","", _xlfn.XLOOKUP(Buildings_Heat_Backend[[#This Row],[Level 5]],rng_Level5Long,rng_Level6Long))</f>
        <v/>
      </c>
      <c r="X418" s="174" t="str">
        <f>IF(Buildings_Heat_Frontend[[#This Row],[Data]]="","", Buildings_Heat_Frontend[[#This Row],[Site Name]])</f>
        <v/>
      </c>
      <c r="Y418" s="174" t="str">
        <f>IF(Buildings_Heat_Frontend[[#This Row],[Data]]="","", Buildings_Heat_Frontend[[#This Row],[MPRN]])</f>
        <v/>
      </c>
      <c r="Z418" s="174" t="str">
        <f>IF(Buildings_Heat_Frontend[[#This Row],[Data]]="","", IF($I418="","",$I418))</f>
        <v/>
      </c>
      <c r="AA418" s="229" t="str" cm="1">
        <f t="array" ref="AA418">IF(Buildings_Heat_Frontend[[#This Row],[Data]]="","", INDEX(_xlfn.SWITCH(Buildings_Heat_Backend[[#This Row],[Methodology]],"Tier 1",rng_RSD1,"Tier 2",rng_RSD2,"Tier 3",rng_RSD3),MATCH(_xlfn.CONCAT(Buildings_Heat_Backend[[#This Row],[Level 1]:[Level 6]]),rng_LevelsConcat,0)))</f>
        <v/>
      </c>
      <c r="AB418" s="220" t="str">
        <f t="shared" si="19"/>
        <v/>
      </c>
      <c r="AC418" s="174">
        <f>Buildings_Heat_Frontend[[#This Row],[Units]]</f>
        <v>0</v>
      </c>
      <c r="AD41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8" s="174" t="str">
        <f>IF(Buildings_Heat_Frontend[[#This Row],[Data]]="","", _xlfn.XLOOKUP(_xlfn.CONCAT(Buildings_Heat_Backend[[#This Row],[Level 1]:[Level 6]]),rng_LevelsConcat,rng_UnitsLong))</f>
        <v/>
      </c>
      <c r="AF418" s="210" t="str">
        <f>IF(Buildings_Heat_Frontend[[#This Row],[Data]]="","", _xlfn.XLOOKUP(_xlfn.CONCAT(Buildings_Heat_Backend[[#This Row],[Level 1]:[Level 6]]),rng_EFConcat,rng_EF1)*Buildings_Heat_Backend[[#This Row],[Converted data]]/1000)</f>
        <v/>
      </c>
      <c r="AG418" s="210" t="str">
        <f>IF(Buildings_Heat_Frontend[[#This Row],[Data]]="","", _xlfn.XLOOKUP(_xlfn.CONCAT(Buildings_Heat_Backend[[#This Row],[Level 1]:[Level 6]]),rng_EFConcat,rng_EF2)*Buildings_Heat_Backend[[#This Row],[Converted data]]/1000)</f>
        <v/>
      </c>
      <c r="AH418" s="210" t="str">
        <f>IF(Buildings_Heat_Frontend[[#This Row],[Data]]="","", _xlfn.XLOOKUP(_xlfn.CONCAT(Buildings_Heat_Backend[[#This Row],[Level 1]:[Level 6]]),rng_EFConcat,rng_EF3)*Buildings_Heat_Backend[[#This Row],[Converted data]]/1000)</f>
        <v/>
      </c>
      <c r="AI418" s="210" t="str">
        <f>IF(Buildings_Heat_Frontend[[#This Row],[Data]]="","", _xlfn.XLOOKUP(_xlfn.CONCAT(Buildings_Heat_Backend[[#This Row],[Level 1]:[Level 6]]),rng_EFConcat,rng_EF3WTT)*Buildings_Heat_Backend[[#This Row],[Converted data]]/1000)</f>
        <v/>
      </c>
      <c r="AJ418" s="210" t="str">
        <f>IF(Buildings_Heat_Frontend[[#This Row],[Data]]="","", _xlfn.XLOOKUP(_xlfn.CONCAT(Buildings_Heat_Backend[[#This Row],[Level 1]:[Level 6]]),rng_EFConcat,rng_EF3TD)*Buildings_Heat_Backend[[#This Row],[Converted data]]/1000)</f>
        <v/>
      </c>
      <c r="AK418" s="210" t="str">
        <f>IF(Buildings_Heat_Frontend[[#This Row],[Data]]="","", _xlfn.XLOOKUP(_xlfn.CONCAT(Buildings_Heat_Backend[[#This Row],[Level 1]:[Level 6]]),rng_EFConcat,rng_EF3WTTTD)*Buildings_Heat_Backend[[#This Row],[Converted data]]/1000)</f>
        <v/>
      </c>
      <c r="AL418" s="220">
        <f>SUM(Buildings_Heat_Backend[[#This Row],[Scope 1 (tCO2e)]:[Scope 3 WTT T&amp;D (tCO2e)]])</f>
        <v>0</v>
      </c>
      <c r="AM418" s="220" t="str">
        <f>IF(Buildings_Heat_Frontend[[#This Row],[Data]]="","", Buildings_Heat_Backend[[#This Row],[Total (tCO2e)]]*(1-Buildings_Heat_Backend[[#This Row],[RSD]]))</f>
        <v/>
      </c>
      <c r="AN418" s="220" t="str">
        <f>IF(Buildings_Heat_Frontend[[#This Row],[Data]]="","", Buildings_Heat_Backend[[#This Row],[Total (tCO2e)]]*(1+Buildings_Heat_Backend[[#This Row],[RSD]]))</f>
        <v/>
      </c>
      <c r="AO418" s="210" t="str">
        <f>IF(Buildings_Heat_Frontend[[#This Row],[Data]]="","", _xlfn.XLOOKUP(_xlfn.CONCAT(Buildings_Heat_Backend[[#This Row],[Level 1]:[Level 6]]),rng_EFConcat,rng_EFOOS)*Buildings_Heat_Backend[[#This Row],[Converted data]]/1000)</f>
        <v/>
      </c>
      <c r="AP418" s="174">
        <f>Buildings_Heat_Frontend[[#This Row],[Ease of collection]]</f>
        <v>0</v>
      </c>
      <c r="AQ418" s="174">
        <f>Buildings_Heat_Frontend[[#This Row],[Completeness]]</f>
        <v>0</v>
      </c>
      <c r="AR418" s="174">
        <f>Buildings_Heat_Frontend[[#This Row],[Notes]]</f>
        <v>0</v>
      </c>
    </row>
    <row r="419" spans="5:44" x14ac:dyDescent="0.3">
      <c r="E419" s="346"/>
      <c r="F419" s="364"/>
      <c r="G419" s="336"/>
      <c r="H419" s="336"/>
      <c r="I419" s="336"/>
      <c r="J419" s="334"/>
      <c r="K419" s="336"/>
      <c r="L419" s="336"/>
      <c r="M419" s="336"/>
      <c r="N419" s="352"/>
      <c r="O419" s="230">
        <f t="shared" si="20"/>
        <v>6</v>
      </c>
      <c r="Q419" s="212" t="str">
        <f t="shared" si="18"/>
        <v/>
      </c>
      <c r="R419" s="174" t="s">
        <v>265</v>
      </c>
      <c r="S419" s="174" t="s">
        <v>273</v>
      </c>
      <c r="T419" s="174" t="str">
        <f>IF(Buildings_Heat_Frontend[[#This Row],[Data]]="","", _xlfn.XLOOKUP(Buildings_Heat_Backend[[#This Row],[Info 1]],Buildings_SiteInfo[Site name],Buildings_SiteInfo[Site type]))</f>
        <v/>
      </c>
      <c r="U419" s="174" t="str">
        <f>IF(Buildings_Heat_Frontend[[#This Row],[Data]]="","", Buildings_Heat_Frontend[[#This Row],[Heating Type]])</f>
        <v/>
      </c>
      <c r="V419" s="174" t="str">
        <f>IF(Buildings_Heat_Frontend[[#This Row],[Data]]="","", Buildings_Heat_Frontend[[#This Row],[Fuel]])</f>
        <v/>
      </c>
      <c r="W419" s="174" t="str" cm="1">
        <f t="array" ref="W419">IF(Buildings_Heat_Frontend[[#This Row],[Data]]="","", _xlfn.XLOOKUP(Buildings_Heat_Backend[[#This Row],[Level 5]],rng_Level5Long,rng_Level6Long))</f>
        <v/>
      </c>
      <c r="X419" s="174" t="str">
        <f>IF(Buildings_Heat_Frontend[[#This Row],[Data]]="","", Buildings_Heat_Frontend[[#This Row],[Site Name]])</f>
        <v/>
      </c>
      <c r="Y419" s="174" t="str">
        <f>IF(Buildings_Heat_Frontend[[#This Row],[Data]]="","", Buildings_Heat_Frontend[[#This Row],[MPRN]])</f>
        <v/>
      </c>
      <c r="Z419" s="174" t="str">
        <f>IF(Buildings_Heat_Frontend[[#This Row],[Data]]="","", IF($I419="","",$I419))</f>
        <v/>
      </c>
      <c r="AA419" s="229" t="str" cm="1">
        <f t="array" ref="AA419">IF(Buildings_Heat_Frontend[[#This Row],[Data]]="","", INDEX(_xlfn.SWITCH(Buildings_Heat_Backend[[#This Row],[Methodology]],"Tier 1",rng_RSD1,"Tier 2",rng_RSD2,"Tier 3",rng_RSD3),MATCH(_xlfn.CONCAT(Buildings_Heat_Backend[[#This Row],[Level 1]:[Level 6]]),rng_LevelsConcat,0)))</f>
        <v/>
      </c>
      <c r="AB419" s="220" t="str">
        <f t="shared" si="19"/>
        <v/>
      </c>
      <c r="AC419" s="174">
        <f>Buildings_Heat_Frontend[[#This Row],[Units]]</f>
        <v>0</v>
      </c>
      <c r="AD41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19" s="174" t="str">
        <f>IF(Buildings_Heat_Frontend[[#This Row],[Data]]="","", _xlfn.XLOOKUP(_xlfn.CONCAT(Buildings_Heat_Backend[[#This Row],[Level 1]:[Level 6]]),rng_LevelsConcat,rng_UnitsLong))</f>
        <v/>
      </c>
      <c r="AF419" s="210" t="str">
        <f>IF(Buildings_Heat_Frontend[[#This Row],[Data]]="","", _xlfn.XLOOKUP(_xlfn.CONCAT(Buildings_Heat_Backend[[#This Row],[Level 1]:[Level 6]]),rng_EFConcat,rng_EF1)*Buildings_Heat_Backend[[#This Row],[Converted data]]/1000)</f>
        <v/>
      </c>
      <c r="AG419" s="210" t="str">
        <f>IF(Buildings_Heat_Frontend[[#This Row],[Data]]="","", _xlfn.XLOOKUP(_xlfn.CONCAT(Buildings_Heat_Backend[[#This Row],[Level 1]:[Level 6]]),rng_EFConcat,rng_EF2)*Buildings_Heat_Backend[[#This Row],[Converted data]]/1000)</f>
        <v/>
      </c>
      <c r="AH419" s="210" t="str">
        <f>IF(Buildings_Heat_Frontend[[#This Row],[Data]]="","", _xlfn.XLOOKUP(_xlfn.CONCAT(Buildings_Heat_Backend[[#This Row],[Level 1]:[Level 6]]),rng_EFConcat,rng_EF3)*Buildings_Heat_Backend[[#This Row],[Converted data]]/1000)</f>
        <v/>
      </c>
      <c r="AI419" s="210" t="str">
        <f>IF(Buildings_Heat_Frontend[[#This Row],[Data]]="","", _xlfn.XLOOKUP(_xlfn.CONCAT(Buildings_Heat_Backend[[#This Row],[Level 1]:[Level 6]]),rng_EFConcat,rng_EF3WTT)*Buildings_Heat_Backend[[#This Row],[Converted data]]/1000)</f>
        <v/>
      </c>
      <c r="AJ419" s="210" t="str">
        <f>IF(Buildings_Heat_Frontend[[#This Row],[Data]]="","", _xlfn.XLOOKUP(_xlfn.CONCAT(Buildings_Heat_Backend[[#This Row],[Level 1]:[Level 6]]),rng_EFConcat,rng_EF3TD)*Buildings_Heat_Backend[[#This Row],[Converted data]]/1000)</f>
        <v/>
      </c>
      <c r="AK419" s="210" t="str">
        <f>IF(Buildings_Heat_Frontend[[#This Row],[Data]]="","", _xlfn.XLOOKUP(_xlfn.CONCAT(Buildings_Heat_Backend[[#This Row],[Level 1]:[Level 6]]),rng_EFConcat,rng_EF3WTTTD)*Buildings_Heat_Backend[[#This Row],[Converted data]]/1000)</f>
        <v/>
      </c>
      <c r="AL419" s="220">
        <f>SUM(Buildings_Heat_Backend[[#This Row],[Scope 1 (tCO2e)]:[Scope 3 WTT T&amp;D (tCO2e)]])</f>
        <v>0</v>
      </c>
      <c r="AM419" s="220" t="str">
        <f>IF(Buildings_Heat_Frontend[[#This Row],[Data]]="","", Buildings_Heat_Backend[[#This Row],[Total (tCO2e)]]*(1-Buildings_Heat_Backend[[#This Row],[RSD]]))</f>
        <v/>
      </c>
      <c r="AN419" s="220" t="str">
        <f>IF(Buildings_Heat_Frontend[[#This Row],[Data]]="","", Buildings_Heat_Backend[[#This Row],[Total (tCO2e)]]*(1+Buildings_Heat_Backend[[#This Row],[RSD]]))</f>
        <v/>
      </c>
      <c r="AO419" s="210" t="str">
        <f>IF(Buildings_Heat_Frontend[[#This Row],[Data]]="","", _xlfn.XLOOKUP(_xlfn.CONCAT(Buildings_Heat_Backend[[#This Row],[Level 1]:[Level 6]]),rng_EFConcat,rng_EFOOS)*Buildings_Heat_Backend[[#This Row],[Converted data]]/1000)</f>
        <v/>
      </c>
      <c r="AP419" s="174">
        <f>Buildings_Heat_Frontend[[#This Row],[Ease of collection]]</f>
        <v>0</v>
      </c>
      <c r="AQ419" s="174">
        <f>Buildings_Heat_Frontend[[#This Row],[Completeness]]</f>
        <v>0</v>
      </c>
      <c r="AR419" s="174">
        <f>Buildings_Heat_Frontend[[#This Row],[Notes]]</f>
        <v>0</v>
      </c>
    </row>
    <row r="420" spans="5:44" x14ac:dyDescent="0.3">
      <c r="E420" s="346"/>
      <c r="F420" s="364"/>
      <c r="G420" s="336"/>
      <c r="H420" s="336"/>
      <c r="I420" s="336"/>
      <c r="J420" s="334"/>
      <c r="K420" s="336"/>
      <c r="L420" s="336"/>
      <c r="M420" s="336"/>
      <c r="N420" s="352"/>
      <c r="O420" s="230">
        <f t="shared" si="20"/>
        <v>6</v>
      </c>
      <c r="Q420" s="212" t="str">
        <f t="shared" si="18"/>
        <v/>
      </c>
      <c r="R420" s="174" t="s">
        <v>265</v>
      </c>
      <c r="S420" s="174" t="s">
        <v>273</v>
      </c>
      <c r="T420" s="174" t="str">
        <f>IF(Buildings_Heat_Frontend[[#This Row],[Data]]="","", _xlfn.XLOOKUP(Buildings_Heat_Backend[[#This Row],[Info 1]],Buildings_SiteInfo[Site name],Buildings_SiteInfo[Site type]))</f>
        <v/>
      </c>
      <c r="U420" s="174" t="str">
        <f>IF(Buildings_Heat_Frontend[[#This Row],[Data]]="","", Buildings_Heat_Frontend[[#This Row],[Heating Type]])</f>
        <v/>
      </c>
      <c r="V420" s="174" t="str">
        <f>IF(Buildings_Heat_Frontend[[#This Row],[Data]]="","", Buildings_Heat_Frontend[[#This Row],[Fuel]])</f>
        <v/>
      </c>
      <c r="W420" s="174" t="str" cm="1">
        <f t="array" ref="W420">IF(Buildings_Heat_Frontend[[#This Row],[Data]]="","", _xlfn.XLOOKUP(Buildings_Heat_Backend[[#This Row],[Level 5]],rng_Level5Long,rng_Level6Long))</f>
        <v/>
      </c>
      <c r="X420" s="174" t="str">
        <f>IF(Buildings_Heat_Frontend[[#This Row],[Data]]="","", Buildings_Heat_Frontend[[#This Row],[Site Name]])</f>
        <v/>
      </c>
      <c r="Y420" s="174" t="str">
        <f>IF(Buildings_Heat_Frontend[[#This Row],[Data]]="","", Buildings_Heat_Frontend[[#This Row],[MPRN]])</f>
        <v/>
      </c>
      <c r="Z420" s="174" t="str">
        <f>IF(Buildings_Heat_Frontend[[#This Row],[Data]]="","", IF($I420="","",$I420))</f>
        <v/>
      </c>
      <c r="AA420" s="229" t="str" cm="1">
        <f t="array" ref="AA420">IF(Buildings_Heat_Frontend[[#This Row],[Data]]="","", INDEX(_xlfn.SWITCH(Buildings_Heat_Backend[[#This Row],[Methodology]],"Tier 1",rng_RSD1,"Tier 2",rng_RSD2,"Tier 3",rng_RSD3),MATCH(_xlfn.CONCAT(Buildings_Heat_Backend[[#This Row],[Level 1]:[Level 6]]),rng_LevelsConcat,0)))</f>
        <v/>
      </c>
      <c r="AB420" s="220" t="str">
        <f t="shared" si="19"/>
        <v/>
      </c>
      <c r="AC420" s="174">
        <f>Buildings_Heat_Frontend[[#This Row],[Units]]</f>
        <v>0</v>
      </c>
      <c r="AD42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0" s="174" t="str">
        <f>IF(Buildings_Heat_Frontend[[#This Row],[Data]]="","", _xlfn.XLOOKUP(_xlfn.CONCAT(Buildings_Heat_Backend[[#This Row],[Level 1]:[Level 6]]),rng_LevelsConcat,rng_UnitsLong))</f>
        <v/>
      </c>
      <c r="AF420" s="210" t="str">
        <f>IF(Buildings_Heat_Frontend[[#This Row],[Data]]="","", _xlfn.XLOOKUP(_xlfn.CONCAT(Buildings_Heat_Backend[[#This Row],[Level 1]:[Level 6]]),rng_EFConcat,rng_EF1)*Buildings_Heat_Backend[[#This Row],[Converted data]]/1000)</f>
        <v/>
      </c>
      <c r="AG420" s="210" t="str">
        <f>IF(Buildings_Heat_Frontend[[#This Row],[Data]]="","", _xlfn.XLOOKUP(_xlfn.CONCAT(Buildings_Heat_Backend[[#This Row],[Level 1]:[Level 6]]),rng_EFConcat,rng_EF2)*Buildings_Heat_Backend[[#This Row],[Converted data]]/1000)</f>
        <v/>
      </c>
      <c r="AH420" s="210" t="str">
        <f>IF(Buildings_Heat_Frontend[[#This Row],[Data]]="","", _xlfn.XLOOKUP(_xlfn.CONCAT(Buildings_Heat_Backend[[#This Row],[Level 1]:[Level 6]]),rng_EFConcat,rng_EF3)*Buildings_Heat_Backend[[#This Row],[Converted data]]/1000)</f>
        <v/>
      </c>
      <c r="AI420" s="210" t="str">
        <f>IF(Buildings_Heat_Frontend[[#This Row],[Data]]="","", _xlfn.XLOOKUP(_xlfn.CONCAT(Buildings_Heat_Backend[[#This Row],[Level 1]:[Level 6]]),rng_EFConcat,rng_EF3WTT)*Buildings_Heat_Backend[[#This Row],[Converted data]]/1000)</f>
        <v/>
      </c>
      <c r="AJ420" s="210" t="str">
        <f>IF(Buildings_Heat_Frontend[[#This Row],[Data]]="","", _xlfn.XLOOKUP(_xlfn.CONCAT(Buildings_Heat_Backend[[#This Row],[Level 1]:[Level 6]]),rng_EFConcat,rng_EF3TD)*Buildings_Heat_Backend[[#This Row],[Converted data]]/1000)</f>
        <v/>
      </c>
      <c r="AK420" s="210" t="str">
        <f>IF(Buildings_Heat_Frontend[[#This Row],[Data]]="","", _xlfn.XLOOKUP(_xlfn.CONCAT(Buildings_Heat_Backend[[#This Row],[Level 1]:[Level 6]]),rng_EFConcat,rng_EF3WTTTD)*Buildings_Heat_Backend[[#This Row],[Converted data]]/1000)</f>
        <v/>
      </c>
      <c r="AL420" s="220">
        <f>SUM(Buildings_Heat_Backend[[#This Row],[Scope 1 (tCO2e)]:[Scope 3 WTT T&amp;D (tCO2e)]])</f>
        <v>0</v>
      </c>
      <c r="AM420" s="220" t="str">
        <f>IF(Buildings_Heat_Frontend[[#This Row],[Data]]="","", Buildings_Heat_Backend[[#This Row],[Total (tCO2e)]]*(1-Buildings_Heat_Backend[[#This Row],[RSD]]))</f>
        <v/>
      </c>
      <c r="AN420" s="220" t="str">
        <f>IF(Buildings_Heat_Frontend[[#This Row],[Data]]="","", Buildings_Heat_Backend[[#This Row],[Total (tCO2e)]]*(1+Buildings_Heat_Backend[[#This Row],[RSD]]))</f>
        <v/>
      </c>
      <c r="AO420" s="210" t="str">
        <f>IF(Buildings_Heat_Frontend[[#This Row],[Data]]="","", _xlfn.XLOOKUP(_xlfn.CONCAT(Buildings_Heat_Backend[[#This Row],[Level 1]:[Level 6]]),rng_EFConcat,rng_EFOOS)*Buildings_Heat_Backend[[#This Row],[Converted data]]/1000)</f>
        <v/>
      </c>
      <c r="AP420" s="174">
        <f>Buildings_Heat_Frontend[[#This Row],[Ease of collection]]</f>
        <v>0</v>
      </c>
      <c r="AQ420" s="174">
        <f>Buildings_Heat_Frontend[[#This Row],[Completeness]]</f>
        <v>0</v>
      </c>
      <c r="AR420" s="174">
        <f>Buildings_Heat_Frontend[[#This Row],[Notes]]</f>
        <v>0</v>
      </c>
    </row>
    <row r="421" spans="5:44" x14ac:dyDescent="0.3">
      <c r="E421" s="346"/>
      <c r="F421" s="364"/>
      <c r="G421" s="336"/>
      <c r="H421" s="336"/>
      <c r="I421" s="336"/>
      <c r="J421" s="334"/>
      <c r="K421" s="336"/>
      <c r="L421" s="336"/>
      <c r="M421" s="336"/>
      <c r="N421" s="352"/>
      <c r="O421" s="230">
        <f t="shared" si="20"/>
        <v>6</v>
      </c>
      <c r="Q421" s="212" t="str">
        <f t="shared" si="18"/>
        <v/>
      </c>
      <c r="R421" s="174" t="s">
        <v>265</v>
      </c>
      <c r="S421" s="174" t="s">
        <v>273</v>
      </c>
      <c r="T421" s="174" t="str">
        <f>IF(Buildings_Heat_Frontend[[#This Row],[Data]]="","", _xlfn.XLOOKUP(Buildings_Heat_Backend[[#This Row],[Info 1]],Buildings_SiteInfo[Site name],Buildings_SiteInfo[Site type]))</f>
        <v/>
      </c>
      <c r="U421" s="174" t="str">
        <f>IF(Buildings_Heat_Frontend[[#This Row],[Data]]="","", Buildings_Heat_Frontend[[#This Row],[Heating Type]])</f>
        <v/>
      </c>
      <c r="V421" s="174" t="str">
        <f>IF(Buildings_Heat_Frontend[[#This Row],[Data]]="","", Buildings_Heat_Frontend[[#This Row],[Fuel]])</f>
        <v/>
      </c>
      <c r="W421" s="174" t="str" cm="1">
        <f t="array" ref="W421">IF(Buildings_Heat_Frontend[[#This Row],[Data]]="","", _xlfn.XLOOKUP(Buildings_Heat_Backend[[#This Row],[Level 5]],rng_Level5Long,rng_Level6Long))</f>
        <v/>
      </c>
      <c r="X421" s="174" t="str">
        <f>IF(Buildings_Heat_Frontend[[#This Row],[Data]]="","", Buildings_Heat_Frontend[[#This Row],[Site Name]])</f>
        <v/>
      </c>
      <c r="Y421" s="174" t="str">
        <f>IF(Buildings_Heat_Frontend[[#This Row],[Data]]="","", Buildings_Heat_Frontend[[#This Row],[MPRN]])</f>
        <v/>
      </c>
      <c r="Z421" s="174" t="str">
        <f>IF(Buildings_Heat_Frontend[[#This Row],[Data]]="","", IF($I421="","",$I421))</f>
        <v/>
      </c>
      <c r="AA421" s="229" t="str" cm="1">
        <f t="array" ref="AA421">IF(Buildings_Heat_Frontend[[#This Row],[Data]]="","", INDEX(_xlfn.SWITCH(Buildings_Heat_Backend[[#This Row],[Methodology]],"Tier 1",rng_RSD1,"Tier 2",rng_RSD2,"Tier 3",rng_RSD3),MATCH(_xlfn.CONCAT(Buildings_Heat_Backend[[#This Row],[Level 1]:[Level 6]]),rng_LevelsConcat,0)))</f>
        <v/>
      </c>
      <c r="AB421" s="220" t="str">
        <f t="shared" si="19"/>
        <v/>
      </c>
      <c r="AC421" s="174">
        <f>Buildings_Heat_Frontend[[#This Row],[Units]]</f>
        <v>0</v>
      </c>
      <c r="AD42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1" s="174" t="str">
        <f>IF(Buildings_Heat_Frontend[[#This Row],[Data]]="","", _xlfn.XLOOKUP(_xlfn.CONCAT(Buildings_Heat_Backend[[#This Row],[Level 1]:[Level 6]]),rng_LevelsConcat,rng_UnitsLong))</f>
        <v/>
      </c>
      <c r="AF421" s="210" t="str">
        <f>IF(Buildings_Heat_Frontend[[#This Row],[Data]]="","", _xlfn.XLOOKUP(_xlfn.CONCAT(Buildings_Heat_Backend[[#This Row],[Level 1]:[Level 6]]),rng_EFConcat,rng_EF1)*Buildings_Heat_Backend[[#This Row],[Converted data]]/1000)</f>
        <v/>
      </c>
      <c r="AG421" s="210" t="str">
        <f>IF(Buildings_Heat_Frontend[[#This Row],[Data]]="","", _xlfn.XLOOKUP(_xlfn.CONCAT(Buildings_Heat_Backend[[#This Row],[Level 1]:[Level 6]]),rng_EFConcat,rng_EF2)*Buildings_Heat_Backend[[#This Row],[Converted data]]/1000)</f>
        <v/>
      </c>
      <c r="AH421" s="210" t="str">
        <f>IF(Buildings_Heat_Frontend[[#This Row],[Data]]="","", _xlfn.XLOOKUP(_xlfn.CONCAT(Buildings_Heat_Backend[[#This Row],[Level 1]:[Level 6]]),rng_EFConcat,rng_EF3)*Buildings_Heat_Backend[[#This Row],[Converted data]]/1000)</f>
        <v/>
      </c>
      <c r="AI421" s="210" t="str">
        <f>IF(Buildings_Heat_Frontend[[#This Row],[Data]]="","", _xlfn.XLOOKUP(_xlfn.CONCAT(Buildings_Heat_Backend[[#This Row],[Level 1]:[Level 6]]),rng_EFConcat,rng_EF3WTT)*Buildings_Heat_Backend[[#This Row],[Converted data]]/1000)</f>
        <v/>
      </c>
      <c r="AJ421" s="210" t="str">
        <f>IF(Buildings_Heat_Frontend[[#This Row],[Data]]="","", _xlfn.XLOOKUP(_xlfn.CONCAT(Buildings_Heat_Backend[[#This Row],[Level 1]:[Level 6]]),rng_EFConcat,rng_EF3TD)*Buildings_Heat_Backend[[#This Row],[Converted data]]/1000)</f>
        <v/>
      </c>
      <c r="AK421" s="210" t="str">
        <f>IF(Buildings_Heat_Frontend[[#This Row],[Data]]="","", _xlfn.XLOOKUP(_xlfn.CONCAT(Buildings_Heat_Backend[[#This Row],[Level 1]:[Level 6]]),rng_EFConcat,rng_EF3WTTTD)*Buildings_Heat_Backend[[#This Row],[Converted data]]/1000)</f>
        <v/>
      </c>
      <c r="AL421" s="220">
        <f>SUM(Buildings_Heat_Backend[[#This Row],[Scope 1 (tCO2e)]:[Scope 3 WTT T&amp;D (tCO2e)]])</f>
        <v>0</v>
      </c>
      <c r="AM421" s="220" t="str">
        <f>IF(Buildings_Heat_Frontend[[#This Row],[Data]]="","", Buildings_Heat_Backend[[#This Row],[Total (tCO2e)]]*(1-Buildings_Heat_Backend[[#This Row],[RSD]]))</f>
        <v/>
      </c>
      <c r="AN421" s="220" t="str">
        <f>IF(Buildings_Heat_Frontend[[#This Row],[Data]]="","", Buildings_Heat_Backend[[#This Row],[Total (tCO2e)]]*(1+Buildings_Heat_Backend[[#This Row],[RSD]]))</f>
        <v/>
      </c>
      <c r="AO421" s="210" t="str">
        <f>IF(Buildings_Heat_Frontend[[#This Row],[Data]]="","", _xlfn.XLOOKUP(_xlfn.CONCAT(Buildings_Heat_Backend[[#This Row],[Level 1]:[Level 6]]),rng_EFConcat,rng_EFOOS)*Buildings_Heat_Backend[[#This Row],[Converted data]]/1000)</f>
        <v/>
      </c>
      <c r="AP421" s="174">
        <f>Buildings_Heat_Frontend[[#This Row],[Ease of collection]]</f>
        <v>0</v>
      </c>
      <c r="AQ421" s="174">
        <f>Buildings_Heat_Frontend[[#This Row],[Completeness]]</f>
        <v>0</v>
      </c>
      <c r="AR421" s="174">
        <f>Buildings_Heat_Frontend[[#This Row],[Notes]]</f>
        <v>0</v>
      </c>
    </row>
    <row r="422" spans="5:44" x14ac:dyDescent="0.3">
      <c r="E422" s="346"/>
      <c r="F422" s="364"/>
      <c r="G422" s="336"/>
      <c r="H422" s="336"/>
      <c r="I422" s="336"/>
      <c r="J422" s="334"/>
      <c r="K422" s="336"/>
      <c r="L422" s="336"/>
      <c r="M422" s="336"/>
      <c r="N422" s="352"/>
      <c r="O422" s="230">
        <f t="shared" si="20"/>
        <v>6</v>
      </c>
      <c r="Q422" s="212" t="str">
        <f t="shared" si="18"/>
        <v/>
      </c>
      <c r="R422" s="174" t="s">
        <v>265</v>
      </c>
      <c r="S422" s="174" t="s">
        <v>273</v>
      </c>
      <c r="T422" s="174" t="str">
        <f>IF(Buildings_Heat_Frontend[[#This Row],[Data]]="","", _xlfn.XLOOKUP(Buildings_Heat_Backend[[#This Row],[Info 1]],Buildings_SiteInfo[Site name],Buildings_SiteInfo[Site type]))</f>
        <v/>
      </c>
      <c r="U422" s="174" t="str">
        <f>IF(Buildings_Heat_Frontend[[#This Row],[Data]]="","", Buildings_Heat_Frontend[[#This Row],[Heating Type]])</f>
        <v/>
      </c>
      <c r="V422" s="174" t="str">
        <f>IF(Buildings_Heat_Frontend[[#This Row],[Data]]="","", Buildings_Heat_Frontend[[#This Row],[Fuel]])</f>
        <v/>
      </c>
      <c r="W422" s="174" t="str" cm="1">
        <f t="array" ref="W422">IF(Buildings_Heat_Frontend[[#This Row],[Data]]="","", _xlfn.XLOOKUP(Buildings_Heat_Backend[[#This Row],[Level 5]],rng_Level5Long,rng_Level6Long))</f>
        <v/>
      </c>
      <c r="X422" s="174" t="str">
        <f>IF(Buildings_Heat_Frontend[[#This Row],[Data]]="","", Buildings_Heat_Frontend[[#This Row],[Site Name]])</f>
        <v/>
      </c>
      <c r="Y422" s="174" t="str">
        <f>IF(Buildings_Heat_Frontend[[#This Row],[Data]]="","", Buildings_Heat_Frontend[[#This Row],[MPRN]])</f>
        <v/>
      </c>
      <c r="Z422" s="174" t="str">
        <f>IF(Buildings_Heat_Frontend[[#This Row],[Data]]="","", IF($I422="","",$I422))</f>
        <v/>
      </c>
      <c r="AA422" s="229" t="str" cm="1">
        <f t="array" ref="AA422">IF(Buildings_Heat_Frontend[[#This Row],[Data]]="","", INDEX(_xlfn.SWITCH(Buildings_Heat_Backend[[#This Row],[Methodology]],"Tier 1",rng_RSD1,"Tier 2",rng_RSD2,"Tier 3",rng_RSD3),MATCH(_xlfn.CONCAT(Buildings_Heat_Backend[[#This Row],[Level 1]:[Level 6]]),rng_LevelsConcat,0)))</f>
        <v/>
      </c>
      <c r="AB422" s="220" t="str">
        <f t="shared" si="19"/>
        <v/>
      </c>
      <c r="AC422" s="174">
        <f>Buildings_Heat_Frontend[[#This Row],[Units]]</f>
        <v>0</v>
      </c>
      <c r="AD42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2" s="174" t="str">
        <f>IF(Buildings_Heat_Frontend[[#This Row],[Data]]="","", _xlfn.XLOOKUP(_xlfn.CONCAT(Buildings_Heat_Backend[[#This Row],[Level 1]:[Level 6]]),rng_LevelsConcat,rng_UnitsLong))</f>
        <v/>
      </c>
      <c r="AF422" s="210" t="str">
        <f>IF(Buildings_Heat_Frontend[[#This Row],[Data]]="","", _xlfn.XLOOKUP(_xlfn.CONCAT(Buildings_Heat_Backend[[#This Row],[Level 1]:[Level 6]]),rng_EFConcat,rng_EF1)*Buildings_Heat_Backend[[#This Row],[Converted data]]/1000)</f>
        <v/>
      </c>
      <c r="AG422" s="210" t="str">
        <f>IF(Buildings_Heat_Frontend[[#This Row],[Data]]="","", _xlfn.XLOOKUP(_xlfn.CONCAT(Buildings_Heat_Backend[[#This Row],[Level 1]:[Level 6]]),rng_EFConcat,rng_EF2)*Buildings_Heat_Backend[[#This Row],[Converted data]]/1000)</f>
        <v/>
      </c>
      <c r="AH422" s="210" t="str">
        <f>IF(Buildings_Heat_Frontend[[#This Row],[Data]]="","", _xlfn.XLOOKUP(_xlfn.CONCAT(Buildings_Heat_Backend[[#This Row],[Level 1]:[Level 6]]),rng_EFConcat,rng_EF3)*Buildings_Heat_Backend[[#This Row],[Converted data]]/1000)</f>
        <v/>
      </c>
      <c r="AI422" s="210" t="str">
        <f>IF(Buildings_Heat_Frontend[[#This Row],[Data]]="","", _xlfn.XLOOKUP(_xlfn.CONCAT(Buildings_Heat_Backend[[#This Row],[Level 1]:[Level 6]]),rng_EFConcat,rng_EF3WTT)*Buildings_Heat_Backend[[#This Row],[Converted data]]/1000)</f>
        <v/>
      </c>
      <c r="AJ422" s="210" t="str">
        <f>IF(Buildings_Heat_Frontend[[#This Row],[Data]]="","", _xlfn.XLOOKUP(_xlfn.CONCAT(Buildings_Heat_Backend[[#This Row],[Level 1]:[Level 6]]),rng_EFConcat,rng_EF3TD)*Buildings_Heat_Backend[[#This Row],[Converted data]]/1000)</f>
        <v/>
      </c>
      <c r="AK422" s="210" t="str">
        <f>IF(Buildings_Heat_Frontend[[#This Row],[Data]]="","", _xlfn.XLOOKUP(_xlfn.CONCAT(Buildings_Heat_Backend[[#This Row],[Level 1]:[Level 6]]),rng_EFConcat,rng_EF3WTTTD)*Buildings_Heat_Backend[[#This Row],[Converted data]]/1000)</f>
        <v/>
      </c>
      <c r="AL422" s="220">
        <f>SUM(Buildings_Heat_Backend[[#This Row],[Scope 1 (tCO2e)]:[Scope 3 WTT T&amp;D (tCO2e)]])</f>
        <v>0</v>
      </c>
      <c r="AM422" s="220" t="str">
        <f>IF(Buildings_Heat_Frontend[[#This Row],[Data]]="","", Buildings_Heat_Backend[[#This Row],[Total (tCO2e)]]*(1-Buildings_Heat_Backend[[#This Row],[RSD]]))</f>
        <v/>
      </c>
      <c r="AN422" s="220" t="str">
        <f>IF(Buildings_Heat_Frontend[[#This Row],[Data]]="","", Buildings_Heat_Backend[[#This Row],[Total (tCO2e)]]*(1+Buildings_Heat_Backend[[#This Row],[RSD]]))</f>
        <v/>
      </c>
      <c r="AO422" s="210" t="str">
        <f>IF(Buildings_Heat_Frontend[[#This Row],[Data]]="","", _xlfn.XLOOKUP(_xlfn.CONCAT(Buildings_Heat_Backend[[#This Row],[Level 1]:[Level 6]]),rng_EFConcat,rng_EFOOS)*Buildings_Heat_Backend[[#This Row],[Converted data]]/1000)</f>
        <v/>
      </c>
      <c r="AP422" s="174">
        <f>Buildings_Heat_Frontend[[#This Row],[Ease of collection]]</f>
        <v>0</v>
      </c>
      <c r="AQ422" s="174">
        <f>Buildings_Heat_Frontend[[#This Row],[Completeness]]</f>
        <v>0</v>
      </c>
      <c r="AR422" s="174">
        <f>Buildings_Heat_Frontend[[#This Row],[Notes]]</f>
        <v>0</v>
      </c>
    </row>
    <row r="423" spans="5:44" x14ac:dyDescent="0.3">
      <c r="E423" s="346"/>
      <c r="F423" s="364"/>
      <c r="G423" s="336"/>
      <c r="H423" s="336"/>
      <c r="I423" s="336"/>
      <c r="J423" s="334"/>
      <c r="K423" s="336"/>
      <c r="L423" s="336"/>
      <c r="M423" s="336"/>
      <c r="N423" s="352"/>
      <c r="O423" s="230">
        <f t="shared" si="20"/>
        <v>6</v>
      </c>
      <c r="Q423" s="212" t="str">
        <f t="shared" si="18"/>
        <v/>
      </c>
      <c r="R423" s="174" t="s">
        <v>265</v>
      </c>
      <c r="S423" s="174" t="s">
        <v>273</v>
      </c>
      <c r="T423" s="174" t="str">
        <f>IF(Buildings_Heat_Frontend[[#This Row],[Data]]="","", _xlfn.XLOOKUP(Buildings_Heat_Backend[[#This Row],[Info 1]],Buildings_SiteInfo[Site name],Buildings_SiteInfo[Site type]))</f>
        <v/>
      </c>
      <c r="U423" s="174" t="str">
        <f>IF(Buildings_Heat_Frontend[[#This Row],[Data]]="","", Buildings_Heat_Frontend[[#This Row],[Heating Type]])</f>
        <v/>
      </c>
      <c r="V423" s="174" t="str">
        <f>IF(Buildings_Heat_Frontend[[#This Row],[Data]]="","", Buildings_Heat_Frontend[[#This Row],[Fuel]])</f>
        <v/>
      </c>
      <c r="W423" s="174" t="str" cm="1">
        <f t="array" ref="W423">IF(Buildings_Heat_Frontend[[#This Row],[Data]]="","", _xlfn.XLOOKUP(Buildings_Heat_Backend[[#This Row],[Level 5]],rng_Level5Long,rng_Level6Long))</f>
        <v/>
      </c>
      <c r="X423" s="174" t="str">
        <f>IF(Buildings_Heat_Frontend[[#This Row],[Data]]="","", Buildings_Heat_Frontend[[#This Row],[Site Name]])</f>
        <v/>
      </c>
      <c r="Y423" s="174" t="str">
        <f>IF(Buildings_Heat_Frontend[[#This Row],[Data]]="","", Buildings_Heat_Frontend[[#This Row],[MPRN]])</f>
        <v/>
      </c>
      <c r="Z423" s="174" t="str">
        <f>IF(Buildings_Heat_Frontend[[#This Row],[Data]]="","", IF($I423="","",$I423))</f>
        <v/>
      </c>
      <c r="AA423" s="229" t="str" cm="1">
        <f t="array" ref="AA423">IF(Buildings_Heat_Frontend[[#This Row],[Data]]="","", INDEX(_xlfn.SWITCH(Buildings_Heat_Backend[[#This Row],[Methodology]],"Tier 1",rng_RSD1,"Tier 2",rng_RSD2,"Tier 3",rng_RSD3),MATCH(_xlfn.CONCAT(Buildings_Heat_Backend[[#This Row],[Level 1]:[Level 6]]),rng_LevelsConcat,0)))</f>
        <v/>
      </c>
      <c r="AB423" s="220" t="str">
        <f t="shared" si="19"/>
        <v/>
      </c>
      <c r="AC423" s="174">
        <f>Buildings_Heat_Frontend[[#This Row],[Units]]</f>
        <v>0</v>
      </c>
      <c r="AD42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3" s="174" t="str">
        <f>IF(Buildings_Heat_Frontend[[#This Row],[Data]]="","", _xlfn.XLOOKUP(_xlfn.CONCAT(Buildings_Heat_Backend[[#This Row],[Level 1]:[Level 6]]),rng_LevelsConcat,rng_UnitsLong))</f>
        <v/>
      </c>
      <c r="AF423" s="210" t="str">
        <f>IF(Buildings_Heat_Frontend[[#This Row],[Data]]="","", _xlfn.XLOOKUP(_xlfn.CONCAT(Buildings_Heat_Backend[[#This Row],[Level 1]:[Level 6]]),rng_EFConcat,rng_EF1)*Buildings_Heat_Backend[[#This Row],[Converted data]]/1000)</f>
        <v/>
      </c>
      <c r="AG423" s="210" t="str">
        <f>IF(Buildings_Heat_Frontend[[#This Row],[Data]]="","", _xlfn.XLOOKUP(_xlfn.CONCAT(Buildings_Heat_Backend[[#This Row],[Level 1]:[Level 6]]),rng_EFConcat,rng_EF2)*Buildings_Heat_Backend[[#This Row],[Converted data]]/1000)</f>
        <v/>
      </c>
      <c r="AH423" s="210" t="str">
        <f>IF(Buildings_Heat_Frontend[[#This Row],[Data]]="","", _xlfn.XLOOKUP(_xlfn.CONCAT(Buildings_Heat_Backend[[#This Row],[Level 1]:[Level 6]]),rng_EFConcat,rng_EF3)*Buildings_Heat_Backend[[#This Row],[Converted data]]/1000)</f>
        <v/>
      </c>
      <c r="AI423" s="210" t="str">
        <f>IF(Buildings_Heat_Frontend[[#This Row],[Data]]="","", _xlfn.XLOOKUP(_xlfn.CONCAT(Buildings_Heat_Backend[[#This Row],[Level 1]:[Level 6]]),rng_EFConcat,rng_EF3WTT)*Buildings_Heat_Backend[[#This Row],[Converted data]]/1000)</f>
        <v/>
      </c>
      <c r="AJ423" s="210" t="str">
        <f>IF(Buildings_Heat_Frontend[[#This Row],[Data]]="","", _xlfn.XLOOKUP(_xlfn.CONCAT(Buildings_Heat_Backend[[#This Row],[Level 1]:[Level 6]]),rng_EFConcat,rng_EF3TD)*Buildings_Heat_Backend[[#This Row],[Converted data]]/1000)</f>
        <v/>
      </c>
      <c r="AK423" s="210" t="str">
        <f>IF(Buildings_Heat_Frontend[[#This Row],[Data]]="","", _xlfn.XLOOKUP(_xlfn.CONCAT(Buildings_Heat_Backend[[#This Row],[Level 1]:[Level 6]]),rng_EFConcat,rng_EF3WTTTD)*Buildings_Heat_Backend[[#This Row],[Converted data]]/1000)</f>
        <v/>
      </c>
      <c r="AL423" s="220">
        <f>SUM(Buildings_Heat_Backend[[#This Row],[Scope 1 (tCO2e)]:[Scope 3 WTT T&amp;D (tCO2e)]])</f>
        <v>0</v>
      </c>
      <c r="AM423" s="220" t="str">
        <f>IF(Buildings_Heat_Frontend[[#This Row],[Data]]="","", Buildings_Heat_Backend[[#This Row],[Total (tCO2e)]]*(1-Buildings_Heat_Backend[[#This Row],[RSD]]))</f>
        <v/>
      </c>
      <c r="AN423" s="220" t="str">
        <f>IF(Buildings_Heat_Frontend[[#This Row],[Data]]="","", Buildings_Heat_Backend[[#This Row],[Total (tCO2e)]]*(1+Buildings_Heat_Backend[[#This Row],[RSD]]))</f>
        <v/>
      </c>
      <c r="AO423" s="210" t="str">
        <f>IF(Buildings_Heat_Frontend[[#This Row],[Data]]="","", _xlfn.XLOOKUP(_xlfn.CONCAT(Buildings_Heat_Backend[[#This Row],[Level 1]:[Level 6]]),rng_EFConcat,rng_EFOOS)*Buildings_Heat_Backend[[#This Row],[Converted data]]/1000)</f>
        <v/>
      </c>
      <c r="AP423" s="174">
        <f>Buildings_Heat_Frontend[[#This Row],[Ease of collection]]</f>
        <v>0</v>
      </c>
      <c r="AQ423" s="174">
        <f>Buildings_Heat_Frontend[[#This Row],[Completeness]]</f>
        <v>0</v>
      </c>
      <c r="AR423" s="174">
        <f>Buildings_Heat_Frontend[[#This Row],[Notes]]</f>
        <v>0</v>
      </c>
    </row>
    <row r="424" spans="5:44" x14ac:dyDescent="0.3">
      <c r="E424" s="346"/>
      <c r="F424" s="364"/>
      <c r="G424" s="336"/>
      <c r="H424" s="336"/>
      <c r="I424" s="336"/>
      <c r="J424" s="334"/>
      <c r="K424" s="336"/>
      <c r="L424" s="336"/>
      <c r="M424" s="336"/>
      <c r="N424" s="352"/>
      <c r="O424" s="230">
        <f t="shared" si="20"/>
        <v>6</v>
      </c>
      <c r="Q424" s="212" t="str">
        <f t="shared" si="18"/>
        <v/>
      </c>
      <c r="R424" s="174" t="s">
        <v>265</v>
      </c>
      <c r="S424" s="174" t="s">
        <v>273</v>
      </c>
      <c r="T424" s="174" t="str">
        <f>IF(Buildings_Heat_Frontend[[#This Row],[Data]]="","", _xlfn.XLOOKUP(Buildings_Heat_Backend[[#This Row],[Info 1]],Buildings_SiteInfo[Site name],Buildings_SiteInfo[Site type]))</f>
        <v/>
      </c>
      <c r="U424" s="174" t="str">
        <f>IF(Buildings_Heat_Frontend[[#This Row],[Data]]="","", Buildings_Heat_Frontend[[#This Row],[Heating Type]])</f>
        <v/>
      </c>
      <c r="V424" s="174" t="str">
        <f>IF(Buildings_Heat_Frontend[[#This Row],[Data]]="","", Buildings_Heat_Frontend[[#This Row],[Fuel]])</f>
        <v/>
      </c>
      <c r="W424" s="174" t="str" cm="1">
        <f t="array" ref="W424">IF(Buildings_Heat_Frontend[[#This Row],[Data]]="","", _xlfn.XLOOKUP(Buildings_Heat_Backend[[#This Row],[Level 5]],rng_Level5Long,rng_Level6Long))</f>
        <v/>
      </c>
      <c r="X424" s="174" t="str">
        <f>IF(Buildings_Heat_Frontend[[#This Row],[Data]]="","", Buildings_Heat_Frontend[[#This Row],[Site Name]])</f>
        <v/>
      </c>
      <c r="Y424" s="174" t="str">
        <f>IF(Buildings_Heat_Frontend[[#This Row],[Data]]="","", Buildings_Heat_Frontend[[#This Row],[MPRN]])</f>
        <v/>
      </c>
      <c r="Z424" s="174" t="str">
        <f>IF(Buildings_Heat_Frontend[[#This Row],[Data]]="","", IF($I424="","",$I424))</f>
        <v/>
      </c>
      <c r="AA424" s="229" t="str" cm="1">
        <f t="array" ref="AA424">IF(Buildings_Heat_Frontend[[#This Row],[Data]]="","", INDEX(_xlfn.SWITCH(Buildings_Heat_Backend[[#This Row],[Methodology]],"Tier 1",rng_RSD1,"Tier 2",rng_RSD2,"Tier 3",rng_RSD3),MATCH(_xlfn.CONCAT(Buildings_Heat_Backend[[#This Row],[Level 1]:[Level 6]]),rng_LevelsConcat,0)))</f>
        <v/>
      </c>
      <c r="AB424" s="220" t="str">
        <f t="shared" si="19"/>
        <v/>
      </c>
      <c r="AC424" s="174">
        <f>Buildings_Heat_Frontend[[#This Row],[Units]]</f>
        <v>0</v>
      </c>
      <c r="AD42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4" s="174" t="str">
        <f>IF(Buildings_Heat_Frontend[[#This Row],[Data]]="","", _xlfn.XLOOKUP(_xlfn.CONCAT(Buildings_Heat_Backend[[#This Row],[Level 1]:[Level 6]]),rng_LevelsConcat,rng_UnitsLong))</f>
        <v/>
      </c>
      <c r="AF424" s="210" t="str">
        <f>IF(Buildings_Heat_Frontend[[#This Row],[Data]]="","", _xlfn.XLOOKUP(_xlfn.CONCAT(Buildings_Heat_Backend[[#This Row],[Level 1]:[Level 6]]),rng_EFConcat,rng_EF1)*Buildings_Heat_Backend[[#This Row],[Converted data]]/1000)</f>
        <v/>
      </c>
      <c r="AG424" s="210" t="str">
        <f>IF(Buildings_Heat_Frontend[[#This Row],[Data]]="","", _xlfn.XLOOKUP(_xlfn.CONCAT(Buildings_Heat_Backend[[#This Row],[Level 1]:[Level 6]]),rng_EFConcat,rng_EF2)*Buildings_Heat_Backend[[#This Row],[Converted data]]/1000)</f>
        <v/>
      </c>
      <c r="AH424" s="210" t="str">
        <f>IF(Buildings_Heat_Frontend[[#This Row],[Data]]="","", _xlfn.XLOOKUP(_xlfn.CONCAT(Buildings_Heat_Backend[[#This Row],[Level 1]:[Level 6]]),rng_EFConcat,rng_EF3)*Buildings_Heat_Backend[[#This Row],[Converted data]]/1000)</f>
        <v/>
      </c>
      <c r="AI424" s="210" t="str">
        <f>IF(Buildings_Heat_Frontend[[#This Row],[Data]]="","", _xlfn.XLOOKUP(_xlfn.CONCAT(Buildings_Heat_Backend[[#This Row],[Level 1]:[Level 6]]),rng_EFConcat,rng_EF3WTT)*Buildings_Heat_Backend[[#This Row],[Converted data]]/1000)</f>
        <v/>
      </c>
      <c r="AJ424" s="210" t="str">
        <f>IF(Buildings_Heat_Frontend[[#This Row],[Data]]="","", _xlfn.XLOOKUP(_xlfn.CONCAT(Buildings_Heat_Backend[[#This Row],[Level 1]:[Level 6]]),rng_EFConcat,rng_EF3TD)*Buildings_Heat_Backend[[#This Row],[Converted data]]/1000)</f>
        <v/>
      </c>
      <c r="AK424" s="210" t="str">
        <f>IF(Buildings_Heat_Frontend[[#This Row],[Data]]="","", _xlfn.XLOOKUP(_xlfn.CONCAT(Buildings_Heat_Backend[[#This Row],[Level 1]:[Level 6]]),rng_EFConcat,rng_EF3WTTTD)*Buildings_Heat_Backend[[#This Row],[Converted data]]/1000)</f>
        <v/>
      </c>
      <c r="AL424" s="220">
        <f>SUM(Buildings_Heat_Backend[[#This Row],[Scope 1 (tCO2e)]:[Scope 3 WTT T&amp;D (tCO2e)]])</f>
        <v>0</v>
      </c>
      <c r="AM424" s="220" t="str">
        <f>IF(Buildings_Heat_Frontend[[#This Row],[Data]]="","", Buildings_Heat_Backend[[#This Row],[Total (tCO2e)]]*(1-Buildings_Heat_Backend[[#This Row],[RSD]]))</f>
        <v/>
      </c>
      <c r="AN424" s="220" t="str">
        <f>IF(Buildings_Heat_Frontend[[#This Row],[Data]]="","", Buildings_Heat_Backend[[#This Row],[Total (tCO2e)]]*(1+Buildings_Heat_Backend[[#This Row],[RSD]]))</f>
        <v/>
      </c>
      <c r="AO424" s="210" t="str">
        <f>IF(Buildings_Heat_Frontend[[#This Row],[Data]]="","", _xlfn.XLOOKUP(_xlfn.CONCAT(Buildings_Heat_Backend[[#This Row],[Level 1]:[Level 6]]),rng_EFConcat,rng_EFOOS)*Buildings_Heat_Backend[[#This Row],[Converted data]]/1000)</f>
        <v/>
      </c>
      <c r="AP424" s="174">
        <f>Buildings_Heat_Frontend[[#This Row],[Ease of collection]]</f>
        <v>0</v>
      </c>
      <c r="AQ424" s="174">
        <f>Buildings_Heat_Frontend[[#This Row],[Completeness]]</f>
        <v>0</v>
      </c>
      <c r="AR424" s="174">
        <f>Buildings_Heat_Frontend[[#This Row],[Notes]]</f>
        <v>0</v>
      </c>
    </row>
    <row r="425" spans="5:44" x14ac:dyDescent="0.3">
      <c r="E425" s="346"/>
      <c r="F425" s="364"/>
      <c r="G425" s="336"/>
      <c r="H425" s="336"/>
      <c r="I425" s="336"/>
      <c r="J425" s="334"/>
      <c r="K425" s="336"/>
      <c r="L425" s="336"/>
      <c r="M425" s="336"/>
      <c r="N425" s="352"/>
      <c r="O425" s="230">
        <f t="shared" si="20"/>
        <v>6</v>
      </c>
      <c r="Q425" s="212" t="str">
        <f t="shared" si="18"/>
        <v/>
      </c>
      <c r="R425" s="174" t="s">
        <v>265</v>
      </c>
      <c r="S425" s="174" t="s">
        <v>273</v>
      </c>
      <c r="T425" s="174" t="str">
        <f>IF(Buildings_Heat_Frontend[[#This Row],[Data]]="","", _xlfn.XLOOKUP(Buildings_Heat_Backend[[#This Row],[Info 1]],Buildings_SiteInfo[Site name],Buildings_SiteInfo[Site type]))</f>
        <v/>
      </c>
      <c r="U425" s="174" t="str">
        <f>IF(Buildings_Heat_Frontend[[#This Row],[Data]]="","", Buildings_Heat_Frontend[[#This Row],[Heating Type]])</f>
        <v/>
      </c>
      <c r="V425" s="174" t="str">
        <f>IF(Buildings_Heat_Frontend[[#This Row],[Data]]="","", Buildings_Heat_Frontend[[#This Row],[Fuel]])</f>
        <v/>
      </c>
      <c r="W425" s="174" t="str" cm="1">
        <f t="array" ref="W425">IF(Buildings_Heat_Frontend[[#This Row],[Data]]="","", _xlfn.XLOOKUP(Buildings_Heat_Backend[[#This Row],[Level 5]],rng_Level5Long,rng_Level6Long))</f>
        <v/>
      </c>
      <c r="X425" s="174" t="str">
        <f>IF(Buildings_Heat_Frontend[[#This Row],[Data]]="","", Buildings_Heat_Frontend[[#This Row],[Site Name]])</f>
        <v/>
      </c>
      <c r="Y425" s="174" t="str">
        <f>IF(Buildings_Heat_Frontend[[#This Row],[Data]]="","", Buildings_Heat_Frontend[[#This Row],[MPRN]])</f>
        <v/>
      </c>
      <c r="Z425" s="174" t="str">
        <f>IF(Buildings_Heat_Frontend[[#This Row],[Data]]="","", IF($I425="","",$I425))</f>
        <v/>
      </c>
      <c r="AA425" s="229" t="str" cm="1">
        <f t="array" ref="AA425">IF(Buildings_Heat_Frontend[[#This Row],[Data]]="","", INDEX(_xlfn.SWITCH(Buildings_Heat_Backend[[#This Row],[Methodology]],"Tier 1",rng_RSD1,"Tier 2",rng_RSD2,"Tier 3",rng_RSD3),MATCH(_xlfn.CONCAT(Buildings_Heat_Backend[[#This Row],[Level 1]:[Level 6]]),rng_LevelsConcat,0)))</f>
        <v/>
      </c>
      <c r="AB425" s="220" t="str">
        <f t="shared" si="19"/>
        <v/>
      </c>
      <c r="AC425" s="174">
        <f>Buildings_Heat_Frontend[[#This Row],[Units]]</f>
        <v>0</v>
      </c>
      <c r="AD42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5" s="174" t="str">
        <f>IF(Buildings_Heat_Frontend[[#This Row],[Data]]="","", _xlfn.XLOOKUP(_xlfn.CONCAT(Buildings_Heat_Backend[[#This Row],[Level 1]:[Level 6]]),rng_LevelsConcat,rng_UnitsLong))</f>
        <v/>
      </c>
      <c r="AF425" s="210" t="str">
        <f>IF(Buildings_Heat_Frontend[[#This Row],[Data]]="","", _xlfn.XLOOKUP(_xlfn.CONCAT(Buildings_Heat_Backend[[#This Row],[Level 1]:[Level 6]]),rng_EFConcat,rng_EF1)*Buildings_Heat_Backend[[#This Row],[Converted data]]/1000)</f>
        <v/>
      </c>
      <c r="AG425" s="210" t="str">
        <f>IF(Buildings_Heat_Frontend[[#This Row],[Data]]="","", _xlfn.XLOOKUP(_xlfn.CONCAT(Buildings_Heat_Backend[[#This Row],[Level 1]:[Level 6]]),rng_EFConcat,rng_EF2)*Buildings_Heat_Backend[[#This Row],[Converted data]]/1000)</f>
        <v/>
      </c>
      <c r="AH425" s="210" t="str">
        <f>IF(Buildings_Heat_Frontend[[#This Row],[Data]]="","", _xlfn.XLOOKUP(_xlfn.CONCAT(Buildings_Heat_Backend[[#This Row],[Level 1]:[Level 6]]),rng_EFConcat,rng_EF3)*Buildings_Heat_Backend[[#This Row],[Converted data]]/1000)</f>
        <v/>
      </c>
      <c r="AI425" s="210" t="str">
        <f>IF(Buildings_Heat_Frontend[[#This Row],[Data]]="","", _xlfn.XLOOKUP(_xlfn.CONCAT(Buildings_Heat_Backend[[#This Row],[Level 1]:[Level 6]]),rng_EFConcat,rng_EF3WTT)*Buildings_Heat_Backend[[#This Row],[Converted data]]/1000)</f>
        <v/>
      </c>
      <c r="AJ425" s="210" t="str">
        <f>IF(Buildings_Heat_Frontend[[#This Row],[Data]]="","", _xlfn.XLOOKUP(_xlfn.CONCAT(Buildings_Heat_Backend[[#This Row],[Level 1]:[Level 6]]),rng_EFConcat,rng_EF3TD)*Buildings_Heat_Backend[[#This Row],[Converted data]]/1000)</f>
        <v/>
      </c>
      <c r="AK425" s="210" t="str">
        <f>IF(Buildings_Heat_Frontend[[#This Row],[Data]]="","", _xlfn.XLOOKUP(_xlfn.CONCAT(Buildings_Heat_Backend[[#This Row],[Level 1]:[Level 6]]),rng_EFConcat,rng_EF3WTTTD)*Buildings_Heat_Backend[[#This Row],[Converted data]]/1000)</f>
        <v/>
      </c>
      <c r="AL425" s="220">
        <f>SUM(Buildings_Heat_Backend[[#This Row],[Scope 1 (tCO2e)]:[Scope 3 WTT T&amp;D (tCO2e)]])</f>
        <v>0</v>
      </c>
      <c r="AM425" s="220" t="str">
        <f>IF(Buildings_Heat_Frontend[[#This Row],[Data]]="","", Buildings_Heat_Backend[[#This Row],[Total (tCO2e)]]*(1-Buildings_Heat_Backend[[#This Row],[RSD]]))</f>
        <v/>
      </c>
      <c r="AN425" s="220" t="str">
        <f>IF(Buildings_Heat_Frontend[[#This Row],[Data]]="","", Buildings_Heat_Backend[[#This Row],[Total (tCO2e)]]*(1+Buildings_Heat_Backend[[#This Row],[RSD]]))</f>
        <v/>
      </c>
      <c r="AO425" s="210" t="str">
        <f>IF(Buildings_Heat_Frontend[[#This Row],[Data]]="","", _xlfn.XLOOKUP(_xlfn.CONCAT(Buildings_Heat_Backend[[#This Row],[Level 1]:[Level 6]]),rng_EFConcat,rng_EFOOS)*Buildings_Heat_Backend[[#This Row],[Converted data]]/1000)</f>
        <v/>
      </c>
      <c r="AP425" s="174">
        <f>Buildings_Heat_Frontend[[#This Row],[Ease of collection]]</f>
        <v>0</v>
      </c>
      <c r="AQ425" s="174">
        <f>Buildings_Heat_Frontend[[#This Row],[Completeness]]</f>
        <v>0</v>
      </c>
      <c r="AR425" s="174">
        <f>Buildings_Heat_Frontend[[#This Row],[Notes]]</f>
        <v>0</v>
      </c>
    </row>
    <row r="426" spans="5:44" x14ac:dyDescent="0.3">
      <c r="E426" s="346"/>
      <c r="F426" s="364"/>
      <c r="G426" s="336"/>
      <c r="H426" s="336"/>
      <c r="I426" s="336"/>
      <c r="J426" s="334"/>
      <c r="K426" s="336"/>
      <c r="L426" s="336"/>
      <c r="M426" s="336"/>
      <c r="N426" s="352"/>
      <c r="O426" s="230">
        <f t="shared" si="20"/>
        <v>6</v>
      </c>
      <c r="Q426" s="212" t="str">
        <f t="shared" si="18"/>
        <v/>
      </c>
      <c r="R426" s="174" t="s">
        <v>265</v>
      </c>
      <c r="S426" s="174" t="s">
        <v>273</v>
      </c>
      <c r="T426" s="174" t="str">
        <f>IF(Buildings_Heat_Frontend[[#This Row],[Data]]="","", _xlfn.XLOOKUP(Buildings_Heat_Backend[[#This Row],[Info 1]],Buildings_SiteInfo[Site name],Buildings_SiteInfo[Site type]))</f>
        <v/>
      </c>
      <c r="U426" s="174" t="str">
        <f>IF(Buildings_Heat_Frontend[[#This Row],[Data]]="","", Buildings_Heat_Frontend[[#This Row],[Heating Type]])</f>
        <v/>
      </c>
      <c r="V426" s="174" t="str">
        <f>IF(Buildings_Heat_Frontend[[#This Row],[Data]]="","", Buildings_Heat_Frontend[[#This Row],[Fuel]])</f>
        <v/>
      </c>
      <c r="W426" s="174" t="str" cm="1">
        <f t="array" ref="W426">IF(Buildings_Heat_Frontend[[#This Row],[Data]]="","", _xlfn.XLOOKUP(Buildings_Heat_Backend[[#This Row],[Level 5]],rng_Level5Long,rng_Level6Long))</f>
        <v/>
      </c>
      <c r="X426" s="174" t="str">
        <f>IF(Buildings_Heat_Frontend[[#This Row],[Data]]="","", Buildings_Heat_Frontend[[#This Row],[Site Name]])</f>
        <v/>
      </c>
      <c r="Y426" s="174" t="str">
        <f>IF(Buildings_Heat_Frontend[[#This Row],[Data]]="","", Buildings_Heat_Frontend[[#This Row],[MPRN]])</f>
        <v/>
      </c>
      <c r="Z426" s="174" t="str">
        <f>IF(Buildings_Heat_Frontend[[#This Row],[Data]]="","", IF($I426="","",$I426))</f>
        <v/>
      </c>
      <c r="AA426" s="229" t="str" cm="1">
        <f t="array" ref="AA426">IF(Buildings_Heat_Frontend[[#This Row],[Data]]="","", INDEX(_xlfn.SWITCH(Buildings_Heat_Backend[[#This Row],[Methodology]],"Tier 1",rng_RSD1,"Tier 2",rng_RSD2,"Tier 3",rng_RSD3),MATCH(_xlfn.CONCAT(Buildings_Heat_Backend[[#This Row],[Level 1]:[Level 6]]),rng_LevelsConcat,0)))</f>
        <v/>
      </c>
      <c r="AB426" s="220" t="str">
        <f t="shared" si="19"/>
        <v/>
      </c>
      <c r="AC426" s="174">
        <f>Buildings_Heat_Frontend[[#This Row],[Units]]</f>
        <v>0</v>
      </c>
      <c r="AD42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6" s="174" t="str">
        <f>IF(Buildings_Heat_Frontend[[#This Row],[Data]]="","", _xlfn.XLOOKUP(_xlfn.CONCAT(Buildings_Heat_Backend[[#This Row],[Level 1]:[Level 6]]),rng_LevelsConcat,rng_UnitsLong))</f>
        <v/>
      </c>
      <c r="AF426" s="210" t="str">
        <f>IF(Buildings_Heat_Frontend[[#This Row],[Data]]="","", _xlfn.XLOOKUP(_xlfn.CONCAT(Buildings_Heat_Backend[[#This Row],[Level 1]:[Level 6]]),rng_EFConcat,rng_EF1)*Buildings_Heat_Backend[[#This Row],[Converted data]]/1000)</f>
        <v/>
      </c>
      <c r="AG426" s="210" t="str">
        <f>IF(Buildings_Heat_Frontend[[#This Row],[Data]]="","", _xlfn.XLOOKUP(_xlfn.CONCAT(Buildings_Heat_Backend[[#This Row],[Level 1]:[Level 6]]),rng_EFConcat,rng_EF2)*Buildings_Heat_Backend[[#This Row],[Converted data]]/1000)</f>
        <v/>
      </c>
      <c r="AH426" s="210" t="str">
        <f>IF(Buildings_Heat_Frontend[[#This Row],[Data]]="","", _xlfn.XLOOKUP(_xlfn.CONCAT(Buildings_Heat_Backend[[#This Row],[Level 1]:[Level 6]]),rng_EFConcat,rng_EF3)*Buildings_Heat_Backend[[#This Row],[Converted data]]/1000)</f>
        <v/>
      </c>
      <c r="AI426" s="210" t="str">
        <f>IF(Buildings_Heat_Frontend[[#This Row],[Data]]="","", _xlfn.XLOOKUP(_xlfn.CONCAT(Buildings_Heat_Backend[[#This Row],[Level 1]:[Level 6]]),rng_EFConcat,rng_EF3WTT)*Buildings_Heat_Backend[[#This Row],[Converted data]]/1000)</f>
        <v/>
      </c>
      <c r="AJ426" s="210" t="str">
        <f>IF(Buildings_Heat_Frontend[[#This Row],[Data]]="","", _xlfn.XLOOKUP(_xlfn.CONCAT(Buildings_Heat_Backend[[#This Row],[Level 1]:[Level 6]]),rng_EFConcat,rng_EF3TD)*Buildings_Heat_Backend[[#This Row],[Converted data]]/1000)</f>
        <v/>
      </c>
      <c r="AK426" s="210" t="str">
        <f>IF(Buildings_Heat_Frontend[[#This Row],[Data]]="","", _xlfn.XLOOKUP(_xlfn.CONCAT(Buildings_Heat_Backend[[#This Row],[Level 1]:[Level 6]]),rng_EFConcat,rng_EF3WTTTD)*Buildings_Heat_Backend[[#This Row],[Converted data]]/1000)</f>
        <v/>
      </c>
      <c r="AL426" s="220">
        <f>SUM(Buildings_Heat_Backend[[#This Row],[Scope 1 (tCO2e)]:[Scope 3 WTT T&amp;D (tCO2e)]])</f>
        <v>0</v>
      </c>
      <c r="AM426" s="220" t="str">
        <f>IF(Buildings_Heat_Frontend[[#This Row],[Data]]="","", Buildings_Heat_Backend[[#This Row],[Total (tCO2e)]]*(1-Buildings_Heat_Backend[[#This Row],[RSD]]))</f>
        <v/>
      </c>
      <c r="AN426" s="220" t="str">
        <f>IF(Buildings_Heat_Frontend[[#This Row],[Data]]="","", Buildings_Heat_Backend[[#This Row],[Total (tCO2e)]]*(1+Buildings_Heat_Backend[[#This Row],[RSD]]))</f>
        <v/>
      </c>
      <c r="AO426" s="210" t="str">
        <f>IF(Buildings_Heat_Frontend[[#This Row],[Data]]="","", _xlfn.XLOOKUP(_xlfn.CONCAT(Buildings_Heat_Backend[[#This Row],[Level 1]:[Level 6]]),rng_EFConcat,rng_EFOOS)*Buildings_Heat_Backend[[#This Row],[Converted data]]/1000)</f>
        <v/>
      </c>
      <c r="AP426" s="174">
        <f>Buildings_Heat_Frontend[[#This Row],[Ease of collection]]</f>
        <v>0</v>
      </c>
      <c r="AQ426" s="174">
        <f>Buildings_Heat_Frontend[[#This Row],[Completeness]]</f>
        <v>0</v>
      </c>
      <c r="AR426" s="174">
        <f>Buildings_Heat_Frontend[[#This Row],[Notes]]</f>
        <v>0</v>
      </c>
    </row>
    <row r="427" spans="5:44" x14ac:dyDescent="0.3">
      <c r="E427" s="346"/>
      <c r="F427" s="364"/>
      <c r="G427" s="336"/>
      <c r="H427" s="336"/>
      <c r="I427" s="336"/>
      <c r="J427" s="334"/>
      <c r="K427" s="336"/>
      <c r="L427" s="336"/>
      <c r="M427" s="336"/>
      <c r="N427" s="352"/>
      <c r="O427" s="230">
        <f t="shared" si="20"/>
        <v>6</v>
      </c>
      <c r="Q427" s="212" t="str">
        <f t="shared" si="18"/>
        <v/>
      </c>
      <c r="R427" s="174" t="s">
        <v>265</v>
      </c>
      <c r="S427" s="174" t="s">
        <v>273</v>
      </c>
      <c r="T427" s="174" t="str">
        <f>IF(Buildings_Heat_Frontend[[#This Row],[Data]]="","", _xlfn.XLOOKUP(Buildings_Heat_Backend[[#This Row],[Info 1]],Buildings_SiteInfo[Site name],Buildings_SiteInfo[Site type]))</f>
        <v/>
      </c>
      <c r="U427" s="174" t="str">
        <f>IF(Buildings_Heat_Frontend[[#This Row],[Data]]="","", Buildings_Heat_Frontend[[#This Row],[Heating Type]])</f>
        <v/>
      </c>
      <c r="V427" s="174" t="str">
        <f>IF(Buildings_Heat_Frontend[[#This Row],[Data]]="","", Buildings_Heat_Frontend[[#This Row],[Fuel]])</f>
        <v/>
      </c>
      <c r="W427" s="174" t="str" cm="1">
        <f t="array" ref="W427">IF(Buildings_Heat_Frontend[[#This Row],[Data]]="","", _xlfn.XLOOKUP(Buildings_Heat_Backend[[#This Row],[Level 5]],rng_Level5Long,rng_Level6Long))</f>
        <v/>
      </c>
      <c r="X427" s="174" t="str">
        <f>IF(Buildings_Heat_Frontend[[#This Row],[Data]]="","", Buildings_Heat_Frontend[[#This Row],[Site Name]])</f>
        <v/>
      </c>
      <c r="Y427" s="174" t="str">
        <f>IF(Buildings_Heat_Frontend[[#This Row],[Data]]="","", Buildings_Heat_Frontend[[#This Row],[MPRN]])</f>
        <v/>
      </c>
      <c r="Z427" s="174" t="str">
        <f>IF(Buildings_Heat_Frontend[[#This Row],[Data]]="","", IF($I427="","",$I427))</f>
        <v/>
      </c>
      <c r="AA427" s="229" t="str" cm="1">
        <f t="array" ref="AA427">IF(Buildings_Heat_Frontend[[#This Row],[Data]]="","", INDEX(_xlfn.SWITCH(Buildings_Heat_Backend[[#This Row],[Methodology]],"Tier 1",rng_RSD1,"Tier 2",rng_RSD2,"Tier 3",rng_RSD3),MATCH(_xlfn.CONCAT(Buildings_Heat_Backend[[#This Row],[Level 1]:[Level 6]]),rng_LevelsConcat,0)))</f>
        <v/>
      </c>
      <c r="AB427" s="220" t="str">
        <f t="shared" si="19"/>
        <v/>
      </c>
      <c r="AC427" s="174">
        <f>Buildings_Heat_Frontend[[#This Row],[Units]]</f>
        <v>0</v>
      </c>
      <c r="AD42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7" s="174" t="str">
        <f>IF(Buildings_Heat_Frontend[[#This Row],[Data]]="","", _xlfn.XLOOKUP(_xlfn.CONCAT(Buildings_Heat_Backend[[#This Row],[Level 1]:[Level 6]]),rng_LevelsConcat,rng_UnitsLong))</f>
        <v/>
      </c>
      <c r="AF427" s="210" t="str">
        <f>IF(Buildings_Heat_Frontend[[#This Row],[Data]]="","", _xlfn.XLOOKUP(_xlfn.CONCAT(Buildings_Heat_Backend[[#This Row],[Level 1]:[Level 6]]),rng_EFConcat,rng_EF1)*Buildings_Heat_Backend[[#This Row],[Converted data]]/1000)</f>
        <v/>
      </c>
      <c r="AG427" s="210" t="str">
        <f>IF(Buildings_Heat_Frontend[[#This Row],[Data]]="","", _xlfn.XLOOKUP(_xlfn.CONCAT(Buildings_Heat_Backend[[#This Row],[Level 1]:[Level 6]]),rng_EFConcat,rng_EF2)*Buildings_Heat_Backend[[#This Row],[Converted data]]/1000)</f>
        <v/>
      </c>
      <c r="AH427" s="210" t="str">
        <f>IF(Buildings_Heat_Frontend[[#This Row],[Data]]="","", _xlfn.XLOOKUP(_xlfn.CONCAT(Buildings_Heat_Backend[[#This Row],[Level 1]:[Level 6]]),rng_EFConcat,rng_EF3)*Buildings_Heat_Backend[[#This Row],[Converted data]]/1000)</f>
        <v/>
      </c>
      <c r="AI427" s="210" t="str">
        <f>IF(Buildings_Heat_Frontend[[#This Row],[Data]]="","", _xlfn.XLOOKUP(_xlfn.CONCAT(Buildings_Heat_Backend[[#This Row],[Level 1]:[Level 6]]),rng_EFConcat,rng_EF3WTT)*Buildings_Heat_Backend[[#This Row],[Converted data]]/1000)</f>
        <v/>
      </c>
      <c r="AJ427" s="210" t="str">
        <f>IF(Buildings_Heat_Frontend[[#This Row],[Data]]="","", _xlfn.XLOOKUP(_xlfn.CONCAT(Buildings_Heat_Backend[[#This Row],[Level 1]:[Level 6]]),rng_EFConcat,rng_EF3TD)*Buildings_Heat_Backend[[#This Row],[Converted data]]/1000)</f>
        <v/>
      </c>
      <c r="AK427" s="210" t="str">
        <f>IF(Buildings_Heat_Frontend[[#This Row],[Data]]="","", _xlfn.XLOOKUP(_xlfn.CONCAT(Buildings_Heat_Backend[[#This Row],[Level 1]:[Level 6]]),rng_EFConcat,rng_EF3WTTTD)*Buildings_Heat_Backend[[#This Row],[Converted data]]/1000)</f>
        <v/>
      </c>
      <c r="AL427" s="220">
        <f>SUM(Buildings_Heat_Backend[[#This Row],[Scope 1 (tCO2e)]:[Scope 3 WTT T&amp;D (tCO2e)]])</f>
        <v>0</v>
      </c>
      <c r="AM427" s="220" t="str">
        <f>IF(Buildings_Heat_Frontend[[#This Row],[Data]]="","", Buildings_Heat_Backend[[#This Row],[Total (tCO2e)]]*(1-Buildings_Heat_Backend[[#This Row],[RSD]]))</f>
        <v/>
      </c>
      <c r="AN427" s="220" t="str">
        <f>IF(Buildings_Heat_Frontend[[#This Row],[Data]]="","", Buildings_Heat_Backend[[#This Row],[Total (tCO2e)]]*(1+Buildings_Heat_Backend[[#This Row],[RSD]]))</f>
        <v/>
      </c>
      <c r="AO427" s="210" t="str">
        <f>IF(Buildings_Heat_Frontend[[#This Row],[Data]]="","", _xlfn.XLOOKUP(_xlfn.CONCAT(Buildings_Heat_Backend[[#This Row],[Level 1]:[Level 6]]),rng_EFConcat,rng_EFOOS)*Buildings_Heat_Backend[[#This Row],[Converted data]]/1000)</f>
        <v/>
      </c>
      <c r="AP427" s="174">
        <f>Buildings_Heat_Frontend[[#This Row],[Ease of collection]]</f>
        <v>0</v>
      </c>
      <c r="AQ427" s="174">
        <f>Buildings_Heat_Frontend[[#This Row],[Completeness]]</f>
        <v>0</v>
      </c>
      <c r="AR427" s="174">
        <f>Buildings_Heat_Frontend[[#This Row],[Notes]]</f>
        <v>0</v>
      </c>
    </row>
    <row r="428" spans="5:44" x14ac:dyDescent="0.3">
      <c r="E428" s="346"/>
      <c r="F428" s="364"/>
      <c r="G428" s="336"/>
      <c r="H428" s="336"/>
      <c r="I428" s="336"/>
      <c r="J428" s="334"/>
      <c r="K428" s="336"/>
      <c r="L428" s="336"/>
      <c r="M428" s="336"/>
      <c r="N428" s="352"/>
      <c r="O428" s="230">
        <f t="shared" si="20"/>
        <v>6</v>
      </c>
      <c r="Q428" s="212" t="str">
        <f t="shared" si="18"/>
        <v/>
      </c>
      <c r="R428" s="174" t="s">
        <v>265</v>
      </c>
      <c r="S428" s="174" t="s">
        <v>273</v>
      </c>
      <c r="T428" s="174" t="str">
        <f>IF(Buildings_Heat_Frontend[[#This Row],[Data]]="","", _xlfn.XLOOKUP(Buildings_Heat_Backend[[#This Row],[Info 1]],Buildings_SiteInfo[Site name],Buildings_SiteInfo[Site type]))</f>
        <v/>
      </c>
      <c r="U428" s="174" t="str">
        <f>IF(Buildings_Heat_Frontend[[#This Row],[Data]]="","", Buildings_Heat_Frontend[[#This Row],[Heating Type]])</f>
        <v/>
      </c>
      <c r="V428" s="174" t="str">
        <f>IF(Buildings_Heat_Frontend[[#This Row],[Data]]="","", Buildings_Heat_Frontend[[#This Row],[Fuel]])</f>
        <v/>
      </c>
      <c r="W428" s="174" t="str" cm="1">
        <f t="array" ref="W428">IF(Buildings_Heat_Frontend[[#This Row],[Data]]="","", _xlfn.XLOOKUP(Buildings_Heat_Backend[[#This Row],[Level 5]],rng_Level5Long,rng_Level6Long))</f>
        <v/>
      </c>
      <c r="X428" s="174" t="str">
        <f>IF(Buildings_Heat_Frontend[[#This Row],[Data]]="","", Buildings_Heat_Frontend[[#This Row],[Site Name]])</f>
        <v/>
      </c>
      <c r="Y428" s="174" t="str">
        <f>IF(Buildings_Heat_Frontend[[#This Row],[Data]]="","", Buildings_Heat_Frontend[[#This Row],[MPRN]])</f>
        <v/>
      </c>
      <c r="Z428" s="174" t="str">
        <f>IF(Buildings_Heat_Frontend[[#This Row],[Data]]="","", IF($I428="","",$I428))</f>
        <v/>
      </c>
      <c r="AA428" s="229" t="str" cm="1">
        <f t="array" ref="AA428">IF(Buildings_Heat_Frontend[[#This Row],[Data]]="","", INDEX(_xlfn.SWITCH(Buildings_Heat_Backend[[#This Row],[Methodology]],"Tier 1",rng_RSD1,"Tier 2",rng_RSD2,"Tier 3",rng_RSD3),MATCH(_xlfn.CONCAT(Buildings_Heat_Backend[[#This Row],[Level 1]:[Level 6]]),rng_LevelsConcat,0)))</f>
        <v/>
      </c>
      <c r="AB428" s="220" t="str">
        <f t="shared" si="19"/>
        <v/>
      </c>
      <c r="AC428" s="174">
        <f>Buildings_Heat_Frontend[[#This Row],[Units]]</f>
        <v>0</v>
      </c>
      <c r="AD42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8" s="174" t="str">
        <f>IF(Buildings_Heat_Frontend[[#This Row],[Data]]="","", _xlfn.XLOOKUP(_xlfn.CONCAT(Buildings_Heat_Backend[[#This Row],[Level 1]:[Level 6]]),rng_LevelsConcat,rng_UnitsLong))</f>
        <v/>
      </c>
      <c r="AF428" s="210" t="str">
        <f>IF(Buildings_Heat_Frontend[[#This Row],[Data]]="","", _xlfn.XLOOKUP(_xlfn.CONCAT(Buildings_Heat_Backend[[#This Row],[Level 1]:[Level 6]]),rng_EFConcat,rng_EF1)*Buildings_Heat_Backend[[#This Row],[Converted data]]/1000)</f>
        <v/>
      </c>
      <c r="AG428" s="210" t="str">
        <f>IF(Buildings_Heat_Frontend[[#This Row],[Data]]="","", _xlfn.XLOOKUP(_xlfn.CONCAT(Buildings_Heat_Backend[[#This Row],[Level 1]:[Level 6]]),rng_EFConcat,rng_EF2)*Buildings_Heat_Backend[[#This Row],[Converted data]]/1000)</f>
        <v/>
      </c>
      <c r="AH428" s="210" t="str">
        <f>IF(Buildings_Heat_Frontend[[#This Row],[Data]]="","", _xlfn.XLOOKUP(_xlfn.CONCAT(Buildings_Heat_Backend[[#This Row],[Level 1]:[Level 6]]),rng_EFConcat,rng_EF3)*Buildings_Heat_Backend[[#This Row],[Converted data]]/1000)</f>
        <v/>
      </c>
      <c r="AI428" s="210" t="str">
        <f>IF(Buildings_Heat_Frontend[[#This Row],[Data]]="","", _xlfn.XLOOKUP(_xlfn.CONCAT(Buildings_Heat_Backend[[#This Row],[Level 1]:[Level 6]]),rng_EFConcat,rng_EF3WTT)*Buildings_Heat_Backend[[#This Row],[Converted data]]/1000)</f>
        <v/>
      </c>
      <c r="AJ428" s="210" t="str">
        <f>IF(Buildings_Heat_Frontend[[#This Row],[Data]]="","", _xlfn.XLOOKUP(_xlfn.CONCAT(Buildings_Heat_Backend[[#This Row],[Level 1]:[Level 6]]),rng_EFConcat,rng_EF3TD)*Buildings_Heat_Backend[[#This Row],[Converted data]]/1000)</f>
        <v/>
      </c>
      <c r="AK428" s="210" t="str">
        <f>IF(Buildings_Heat_Frontend[[#This Row],[Data]]="","", _xlfn.XLOOKUP(_xlfn.CONCAT(Buildings_Heat_Backend[[#This Row],[Level 1]:[Level 6]]),rng_EFConcat,rng_EF3WTTTD)*Buildings_Heat_Backend[[#This Row],[Converted data]]/1000)</f>
        <v/>
      </c>
      <c r="AL428" s="220">
        <f>SUM(Buildings_Heat_Backend[[#This Row],[Scope 1 (tCO2e)]:[Scope 3 WTT T&amp;D (tCO2e)]])</f>
        <v>0</v>
      </c>
      <c r="AM428" s="220" t="str">
        <f>IF(Buildings_Heat_Frontend[[#This Row],[Data]]="","", Buildings_Heat_Backend[[#This Row],[Total (tCO2e)]]*(1-Buildings_Heat_Backend[[#This Row],[RSD]]))</f>
        <v/>
      </c>
      <c r="AN428" s="220" t="str">
        <f>IF(Buildings_Heat_Frontend[[#This Row],[Data]]="","", Buildings_Heat_Backend[[#This Row],[Total (tCO2e)]]*(1+Buildings_Heat_Backend[[#This Row],[RSD]]))</f>
        <v/>
      </c>
      <c r="AO428" s="210" t="str">
        <f>IF(Buildings_Heat_Frontend[[#This Row],[Data]]="","", _xlfn.XLOOKUP(_xlfn.CONCAT(Buildings_Heat_Backend[[#This Row],[Level 1]:[Level 6]]),rng_EFConcat,rng_EFOOS)*Buildings_Heat_Backend[[#This Row],[Converted data]]/1000)</f>
        <v/>
      </c>
      <c r="AP428" s="174">
        <f>Buildings_Heat_Frontend[[#This Row],[Ease of collection]]</f>
        <v>0</v>
      </c>
      <c r="AQ428" s="174">
        <f>Buildings_Heat_Frontend[[#This Row],[Completeness]]</f>
        <v>0</v>
      </c>
      <c r="AR428" s="174">
        <f>Buildings_Heat_Frontend[[#This Row],[Notes]]</f>
        <v>0</v>
      </c>
    </row>
    <row r="429" spans="5:44" x14ac:dyDescent="0.3">
      <c r="E429" s="346"/>
      <c r="F429" s="364"/>
      <c r="G429" s="336"/>
      <c r="H429" s="336"/>
      <c r="I429" s="336"/>
      <c r="J429" s="334"/>
      <c r="K429" s="336"/>
      <c r="L429" s="336"/>
      <c r="M429" s="336"/>
      <c r="N429" s="352"/>
      <c r="O429" s="230">
        <f t="shared" si="20"/>
        <v>6</v>
      </c>
      <c r="Q429" s="212" t="str">
        <f t="shared" si="18"/>
        <v/>
      </c>
      <c r="R429" s="174" t="s">
        <v>265</v>
      </c>
      <c r="S429" s="174" t="s">
        <v>273</v>
      </c>
      <c r="T429" s="174" t="str">
        <f>IF(Buildings_Heat_Frontend[[#This Row],[Data]]="","", _xlfn.XLOOKUP(Buildings_Heat_Backend[[#This Row],[Info 1]],Buildings_SiteInfo[Site name],Buildings_SiteInfo[Site type]))</f>
        <v/>
      </c>
      <c r="U429" s="174" t="str">
        <f>IF(Buildings_Heat_Frontend[[#This Row],[Data]]="","", Buildings_Heat_Frontend[[#This Row],[Heating Type]])</f>
        <v/>
      </c>
      <c r="V429" s="174" t="str">
        <f>IF(Buildings_Heat_Frontend[[#This Row],[Data]]="","", Buildings_Heat_Frontend[[#This Row],[Fuel]])</f>
        <v/>
      </c>
      <c r="W429" s="174" t="str" cm="1">
        <f t="array" ref="W429">IF(Buildings_Heat_Frontend[[#This Row],[Data]]="","", _xlfn.XLOOKUP(Buildings_Heat_Backend[[#This Row],[Level 5]],rng_Level5Long,rng_Level6Long))</f>
        <v/>
      </c>
      <c r="X429" s="174" t="str">
        <f>IF(Buildings_Heat_Frontend[[#This Row],[Data]]="","", Buildings_Heat_Frontend[[#This Row],[Site Name]])</f>
        <v/>
      </c>
      <c r="Y429" s="174" t="str">
        <f>IF(Buildings_Heat_Frontend[[#This Row],[Data]]="","", Buildings_Heat_Frontend[[#This Row],[MPRN]])</f>
        <v/>
      </c>
      <c r="Z429" s="174" t="str">
        <f>IF(Buildings_Heat_Frontend[[#This Row],[Data]]="","", IF($I429="","",$I429))</f>
        <v/>
      </c>
      <c r="AA429" s="229" t="str" cm="1">
        <f t="array" ref="AA429">IF(Buildings_Heat_Frontend[[#This Row],[Data]]="","", INDEX(_xlfn.SWITCH(Buildings_Heat_Backend[[#This Row],[Methodology]],"Tier 1",rng_RSD1,"Tier 2",rng_RSD2,"Tier 3",rng_RSD3),MATCH(_xlfn.CONCAT(Buildings_Heat_Backend[[#This Row],[Level 1]:[Level 6]]),rng_LevelsConcat,0)))</f>
        <v/>
      </c>
      <c r="AB429" s="220" t="str">
        <f t="shared" si="19"/>
        <v/>
      </c>
      <c r="AC429" s="174">
        <f>Buildings_Heat_Frontend[[#This Row],[Units]]</f>
        <v>0</v>
      </c>
      <c r="AD42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29" s="174" t="str">
        <f>IF(Buildings_Heat_Frontend[[#This Row],[Data]]="","", _xlfn.XLOOKUP(_xlfn.CONCAT(Buildings_Heat_Backend[[#This Row],[Level 1]:[Level 6]]),rng_LevelsConcat,rng_UnitsLong))</f>
        <v/>
      </c>
      <c r="AF429" s="210" t="str">
        <f>IF(Buildings_Heat_Frontend[[#This Row],[Data]]="","", _xlfn.XLOOKUP(_xlfn.CONCAT(Buildings_Heat_Backend[[#This Row],[Level 1]:[Level 6]]),rng_EFConcat,rng_EF1)*Buildings_Heat_Backend[[#This Row],[Converted data]]/1000)</f>
        <v/>
      </c>
      <c r="AG429" s="210" t="str">
        <f>IF(Buildings_Heat_Frontend[[#This Row],[Data]]="","", _xlfn.XLOOKUP(_xlfn.CONCAT(Buildings_Heat_Backend[[#This Row],[Level 1]:[Level 6]]),rng_EFConcat,rng_EF2)*Buildings_Heat_Backend[[#This Row],[Converted data]]/1000)</f>
        <v/>
      </c>
      <c r="AH429" s="210" t="str">
        <f>IF(Buildings_Heat_Frontend[[#This Row],[Data]]="","", _xlfn.XLOOKUP(_xlfn.CONCAT(Buildings_Heat_Backend[[#This Row],[Level 1]:[Level 6]]),rng_EFConcat,rng_EF3)*Buildings_Heat_Backend[[#This Row],[Converted data]]/1000)</f>
        <v/>
      </c>
      <c r="AI429" s="210" t="str">
        <f>IF(Buildings_Heat_Frontend[[#This Row],[Data]]="","", _xlfn.XLOOKUP(_xlfn.CONCAT(Buildings_Heat_Backend[[#This Row],[Level 1]:[Level 6]]),rng_EFConcat,rng_EF3WTT)*Buildings_Heat_Backend[[#This Row],[Converted data]]/1000)</f>
        <v/>
      </c>
      <c r="AJ429" s="210" t="str">
        <f>IF(Buildings_Heat_Frontend[[#This Row],[Data]]="","", _xlfn.XLOOKUP(_xlfn.CONCAT(Buildings_Heat_Backend[[#This Row],[Level 1]:[Level 6]]),rng_EFConcat,rng_EF3TD)*Buildings_Heat_Backend[[#This Row],[Converted data]]/1000)</f>
        <v/>
      </c>
      <c r="AK429" s="210" t="str">
        <f>IF(Buildings_Heat_Frontend[[#This Row],[Data]]="","", _xlfn.XLOOKUP(_xlfn.CONCAT(Buildings_Heat_Backend[[#This Row],[Level 1]:[Level 6]]),rng_EFConcat,rng_EF3WTTTD)*Buildings_Heat_Backend[[#This Row],[Converted data]]/1000)</f>
        <v/>
      </c>
      <c r="AL429" s="220">
        <f>SUM(Buildings_Heat_Backend[[#This Row],[Scope 1 (tCO2e)]:[Scope 3 WTT T&amp;D (tCO2e)]])</f>
        <v>0</v>
      </c>
      <c r="AM429" s="220" t="str">
        <f>IF(Buildings_Heat_Frontend[[#This Row],[Data]]="","", Buildings_Heat_Backend[[#This Row],[Total (tCO2e)]]*(1-Buildings_Heat_Backend[[#This Row],[RSD]]))</f>
        <v/>
      </c>
      <c r="AN429" s="220" t="str">
        <f>IF(Buildings_Heat_Frontend[[#This Row],[Data]]="","", Buildings_Heat_Backend[[#This Row],[Total (tCO2e)]]*(1+Buildings_Heat_Backend[[#This Row],[RSD]]))</f>
        <v/>
      </c>
      <c r="AO429" s="210" t="str">
        <f>IF(Buildings_Heat_Frontend[[#This Row],[Data]]="","", _xlfn.XLOOKUP(_xlfn.CONCAT(Buildings_Heat_Backend[[#This Row],[Level 1]:[Level 6]]),rng_EFConcat,rng_EFOOS)*Buildings_Heat_Backend[[#This Row],[Converted data]]/1000)</f>
        <v/>
      </c>
      <c r="AP429" s="174">
        <f>Buildings_Heat_Frontend[[#This Row],[Ease of collection]]</f>
        <v>0</v>
      </c>
      <c r="AQ429" s="174">
        <f>Buildings_Heat_Frontend[[#This Row],[Completeness]]</f>
        <v>0</v>
      </c>
      <c r="AR429" s="174">
        <f>Buildings_Heat_Frontend[[#This Row],[Notes]]</f>
        <v>0</v>
      </c>
    </row>
    <row r="430" spans="5:44" x14ac:dyDescent="0.3">
      <c r="E430" s="346"/>
      <c r="F430" s="364"/>
      <c r="G430" s="336"/>
      <c r="H430" s="336"/>
      <c r="I430" s="336"/>
      <c r="J430" s="334"/>
      <c r="K430" s="336"/>
      <c r="L430" s="336"/>
      <c r="M430" s="336"/>
      <c r="N430" s="352"/>
      <c r="O430" s="230">
        <f t="shared" si="20"/>
        <v>6</v>
      </c>
      <c r="Q430" s="212" t="str">
        <f t="shared" si="18"/>
        <v/>
      </c>
      <c r="R430" s="174" t="s">
        <v>265</v>
      </c>
      <c r="S430" s="174" t="s">
        <v>273</v>
      </c>
      <c r="T430" s="174" t="str">
        <f>IF(Buildings_Heat_Frontend[[#This Row],[Data]]="","", _xlfn.XLOOKUP(Buildings_Heat_Backend[[#This Row],[Info 1]],Buildings_SiteInfo[Site name],Buildings_SiteInfo[Site type]))</f>
        <v/>
      </c>
      <c r="U430" s="174" t="str">
        <f>IF(Buildings_Heat_Frontend[[#This Row],[Data]]="","", Buildings_Heat_Frontend[[#This Row],[Heating Type]])</f>
        <v/>
      </c>
      <c r="V430" s="174" t="str">
        <f>IF(Buildings_Heat_Frontend[[#This Row],[Data]]="","", Buildings_Heat_Frontend[[#This Row],[Fuel]])</f>
        <v/>
      </c>
      <c r="W430" s="174" t="str" cm="1">
        <f t="array" ref="W430">IF(Buildings_Heat_Frontend[[#This Row],[Data]]="","", _xlfn.XLOOKUP(Buildings_Heat_Backend[[#This Row],[Level 5]],rng_Level5Long,rng_Level6Long))</f>
        <v/>
      </c>
      <c r="X430" s="174" t="str">
        <f>IF(Buildings_Heat_Frontend[[#This Row],[Data]]="","", Buildings_Heat_Frontend[[#This Row],[Site Name]])</f>
        <v/>
      </c>
      <c r="Y430" s="174" t="str">
        <f>IF(Buildings_Heat_Frontend[[#This Row],[Data]]="","", Buildings_Heat_Frontend[[#This Row],[MPRN]])</f>
        <v/>
      </c>
      <c r="Z430" s="174" t="str">
        <f>IF(Buildings_Heat_Frontend[[#This Row],[Data]]="","", IF($I430="","",$I430))</f>
        <v/>
      </c>
      <c r="AA430" s="229" t="str" cm="1">
        <f t="array" ref="AA430">IF(Buildings_Heat_Frontend[[#This Row],[Data]]="","", INDEX(_xlfn.SWITCH(Buildings_Heat_Backend[[#This Row],[Methodology]],"Tier 1",rng_RSD1,"Tier 2",rng_RSD2,"Tier 3",rng_RSD3),MATCH(_xlfn.CONCAT(Buildings_Heat_Backend[[#This Row],[Level 1]:[Level 6]]),rng_LevelsConcat,0)))</f>
        <v/>
      </c>
      <c r="AB430" s="220" t="str">
        <f t="shared" si="19"/>
        <v/>
      </c>
      <c r="AC430" s="174">
        <f>Buildings_Heat_Frontend[[#This Row],[Units]]</f>
        <v>0</v>
      </c>
      <c r="AD43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0" s="174" t="str">
        <f>IF(Buildings_Heat_Frontend[[#This Row],[Data]]="","", _xlfn.XLOOKUP(_xlfn.CONCAT(Buildings_Heat_Backend[[#This Row],[Level 1]:[Level 6]]),rng_LevelsConcat,rng_UnitsLong))</f>
        <v/>
      </c>
      <c r="AF430" s="210" t="str">
        <f>IF(Buildings_Heat_Frontend[[#This Row],[Data]]="","", _xlfn.XLOOKUP(_xlfn.CONCAT(Buildings_Heat_Backend[[#This Row],[Level 1]:[Level 6]]),rng_EFConcat,rng_EF1)*Buildings_Heat_Backend[[#This Row],[Converted data]]/1000)</f>
        <v/>
      </c>
      <c r="AG430" s="210" t="str">
        <f>IF(Buildings_Heat_Frontend[[#This Row],[Data]]="","", _xlfn.XLOOKUP(_xlfn.CONCAT(Buildings_Heat_Backend[[#This Row],[Level 1]:[Level 6]]),rng_EFConcat,rng_EF2)*Buildings_Heat_Backend[[#This Row],[Converted data]]/1000)</f>
        <v/>
      </c>
      <c r="AH430" s="210" t="str">
        <f>IF(Buildings_Heat_Frontend[[#This Row],[Data]]="","", _xlfn.XLOOKUP(_xlfn.CONCAT(Buildings_Heat_Backend[[#This Row],[Level 1]:[Level 6]]),rng_EFConcat,rng_EF3)*Buildings_Heat_Backend[[#This Row],[Converted data]]/1000)</f>
        <v/>
      </c>
      <c r="AI430" s="210" t="str">
        <f>IF(Buildings_Heat_Frontend[[#This Row],[Data]]="","", _xlfn.XLOOKUP(_xlfn.CONCAT(Buildings_Heat_Backend[[#This Row],[Level 1]:[Level 6]]),rng_EFConcat,rng_EF3WTT)*Buildings_Heat_Backend[[#This Row],[Converted data]]/1000)</f>
        <v/>
      </c>
      <c r="AJ430" s="210" t="str">
        <f>IF(Buildings_Heat_Frontend[[#This Row],[Data]]="","", _xlfn.XLOOKUP(_xlfn.CONCAT(Buildings_Heat_Backend[[#This Row],[Level 1]:[Level 6]]),rng_EFConcat,rng_EF3TD)*Buildings_Heat_Backend[[#This Row],[Converted data]]/1000)</f>
        <v/>
      </c>
      <c r="AK430" s="210" t="str">
        <f>IF(Buildings_Heat_Frontend[[#This Row],[Data]]="","", _xlfn.XLOOKUP(_xlfn.CONCAT(Buildings_Heat_Backend[[#This Row],[Level 1]:[Level 6]]),rng_EFConcat,rng_EF3WTTTD)*Buildings_Heat_Backend[[#This Row],[Converted data]]/1000)</f>
        <v/>
      </c>
      <c r="AL430" s="220">
        <f>SUM(Buildings_Heat_Backend[[#This Row],[Scope 1 (tCO2e)]:[Scope 3 WTT T&amp;D (tCO2e)]])</f>
        <v>0</v>
      </c>
      <c r="AM430" s="220" t="str">
        <f>IF(Buildings_Heat_Frontend[[#This Row],[Data]]="","", Buildings_Heat_Backend[[#This Row],[Total (tCO2e)]]*(1-Buildings_Heat_Backend[[#This Row],[RSD]]))</f>
        <v/>
      </c>
      <c r="AN430" s="220" t="str">
        <f>IF(Buildings_Heat_Frontend[[#This Row],[Data]]="","", Buildings_Heat_Backend[[#This Row],[Total (tCO2e)]]*(1+Buildings_Heat_Backend[[#This Row],[RSD]]))</f>
        <v/>
      </c>
      <c r="AO430" s="210" t="str">
        <f>IF(Buildings_Heat_Frontend[[#This Row],[Data]]="","", _xlfn.XLOOKUP(_xlfn.CONCAT(Buildings_Heat_Backend[[#This Row],[Level 1]:[Level 6]]),rng_EFConcat,rng_EFOOS)*Buildings_Heat_Backend[[#This Row],[Converted data]]/1000)</f>
        <v/>
      </c>
      <c r="AP430" s="174">
        <f>Buildings_Heat_Frontend[[#This Row],[Ease of collection]]</f>
        <v>0</v>
      </c>
      <c r="AQ430" s="174">
        <f>Buildings_Heat_Frontend[[#This Row],[Completeness]]</f>
        <v>0</v>
      </c>
      <c r="AR430" s="174">
        <f>Buildings_Heat_Frontend[[#This Row],[Notes]]</f>
        <v>0</v>
      </c>
    </row>
    <row r="431" spans="5:44" x14ac:dyDescent="0.3">
      <c r="E431" s="346"/>
      <c r="F431" s="364"/>
      <c r="G431" s="336"/>
      <c r="H431" s="336"/>
      <c r="I431" s="336"/>
      <c r="J431" s="334"/>
      <c r="K431" s="336"/>
      <c r="L431" s="336"/>
      <c r="M431" s="336"/>
      <c r="N431" s="352"/>
      <c r="O431" s="230">
        <f t="shared" si="20"/>
        <v>6</v>
      </c>
      <c r="Q431" s="212" t="str">
        <f t="shared" si="18"/>
        <v/>
      </c>
      <c r="R431" s="174" t="s">
        <v>265</v>
      </c>
      <c r="S431" s="174" t="s">
        <v>273</v>
      </c>
      <c r="T431" s="174" t="str">
        <f>IF(Buildings_Heat_Frontend[[#This Row],[Data]]="","", _xlfn.XLOOKUP(Buildings_Heat_Backend[[#This Row],[Info 1]],Buildings_SiteInfo[Site name],Buildings_SiteInfo[Site type]))</f>
        <v/>
      </c>
      <c r="U431" s="174" t="str">
        <f>IF(Buildings_Heat_Frontend[[#This Row],[Data]]="","", Buildings_Heat_Frontend[[#This Row],[Heating Type]])</f>
        <v/>
      </c>
      <c r="V431" s="174" t="str">
        <f>IF(Buildings_Heat_Frontend[[#This Row],[Data]]="","", Buildings_Heat_Frontend[[#This Row],[Fuel]])</f>
        <v/>
      </c>
      <c r="W431" s="174" t="str" cm="1">
        <f t="array" ref="W431">IF(Buildings_Heat_Frontend[[#This Row],[Data]]="","", _xlfn.XLOOKUP(Buildings_Heat_Backend[[#This Row],[Level 5]],rng_Level5Long,rng_Level6Long))</f>
        <v/>
      </c>
      <c r="X431" s="174" t="str">
        <f>IF(Buildings_Heat_Frontend[[#This Row],[Data]]="","", Buildings_Heat_Frontend[[#This Row],[Site Name]])</f>
        <v/>
      </c>
      <c r="Y431" s="174" t="str">
        <f>IF(Buildings_Heat_Frontend[[#This Row],[Data]]="","", Buildings_Heat_Frontend[[#This Row],[MPRN]])</f>
        <v/>
      </c>
      <c r="Z431" s="174" t="str">
        <f>IF(Buildings_Heat_Frontend[[#This Row],[Data]]="","", IF($I431="","",$I431))</f>
        <v/>
      </c>
      <c r="AA431" s="229" t="str" cm="1">
        <f t="array" ref="AA431">IF(Buildings_Heat_Frontend[[#This Row],[Data]]="","", INDEX(_xlfn.SWITCH(Buildings_Heat_Backend[[#This Row],[Methodology]],"Tier 1",rng_RSD1,"Tier 2",rng_RSD2,"Tier 3",rng_RSD3),MATCH(_xlfn.CONCAT(Buildings_Heat_Backend[[#This Row],[Level 1]:[Level 6]]),rng_LevelsConcat,0)))</f>
        <v/>
      </c>
      <c r="AB431" s="220" t="str">
        <f t="shared" si="19"/>
        <v/>
      </c>
      <c r="AC431" s="174">
        <f>Buildings_Heat_Frontend[[#This Row],[Units]]</f>
        <v>0</v>
      </c>
      <c r="AD43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1" s="174" t="str">
        <f>IF(Buildings_Heat_Frontend[[#This Row],[Data]]="","", _xlfn.XLOOKUP(_xlfn.CONCAT(Buildings_Heat_Backend[[#This Row],[Level 1]:[Level 6]]),rng_LevelsConcat,rng_UnitsLong))</f>
        <v/>
      </c>
      <c r="AF431" s="210" t="str">
        <f>IF(Buildings_Heat_Frontend[[#This Row],[Data]]="","", _xlfn.XLOOKUP(_xlfn.CONCAT(Buildings_Heat_Backend[[#This Row],[Level 1]:[Level 6]]),rng_EFConcat,rng_EF1)*Buildings_Heat_Backend[[#This Row],[Converted data]]/1000)</f>
        <v/>
      </c>
      <c r="AG431" s="210" t="str">
        <f>IF(Buildings_Heat_Frontend[[#This Row],[Data]]="","", _xlfn.XLOOKUP(_xlfn.CONCAT(Buildings_Heat_Backend[[#This Row],[Level 1]:[Level 6]]),rng_EFConcat,rng_EF2)*Buildings_Heat_Backend[[#This Row],[Converted data]]/1000)</f>
        <v/>
      </c>
      <c r="AH431" s="210" t="str">
        <f>IF(Buildings_Heat_Frontend[[#This Row],[Data]]="","", _xlfn.XLOOKUP(_xlfn.CONCAT(Buildings_Heat_Backend[[#This Row],[Level 1]:[Level 6]]),rng_EFConcat,rng_EF3)*Buildings_Heat_Backend[[#This Row],[Converted data]]/1000)</f>
        <v/>
      </c>
      <c r="AI431" s="210" t="str">
        <f>IF(Buildings_Heat_Frontend[[#This Row],[Data]]="","", _xlfn.XLOOKUP(_xlfn.CONCAT(Buildings_Heat_Backend[[#This Row],[Level 1]:[Level 6]]),rng_EFConcat,rng_EF3WTT)*Buildings_Heat_Backend[[#This Row],[Converted data]]/1000)</f>
        <v/>
      </c>
      <c r="AJ431" s="210" t="str">
        <f>IF(Buildings_Heat_Frontend[[#This Row],[Data]]="","", _xlfn.XLOOKUP(_xlfn.CONCAT(Buildings_Heat_Backend[[#This Row],[Level 1]:[Level 6]]),rng_EFConcat,rng_EF3TD)*Buildings_Heat_Backend[[#This Row],[Converted data]]/1000)</f>
        <v/>
      </c>
      <c r="AK431" s="210" t="str">
        <f>IF(Buildings_Heat_Frontend[[#This Row],[Data]]="","", _xlfn.XLOOKUP(_xlfn.CONCAT(Buildings_Heat_Backend[[#This Row],[Level 1]:[Level 6]]),rng_EFConcat,rng_EF3WTTTD)*Buildings_Heat_Backend[[#This Row],[Converted data]]/1000)</f>
        <v/>
      </c>
      <c r="AL431" s="220">
        <f>SUM(Buildings_Heat_Backend[[#This Row],[Scope 1 (tCO2e)]:[Scope 3 WTT T&amp;D (tCO2e)]])</f>
        <v>0</v>
      </c>
      <c r="AM431" s="220" t="str">
        <f>IF(Buildings_Heat_Frontend[[#This Row],[Data]]="","", Buildings_Heat_Backend[[#This Row],[Total (tCO2e)]]*(1-Buildings_Heat_Backend[[#This Row],[RSD]]))</f>
        <v/>
      </c>
      <c r="AN431" s="220" t="str">
        <f>IF(Buildings_Heat_Frontend[[#This Row],[Data]]="","", Buildings_Heat_Backend[[#This Row],[Total (tCO2e)]]*(1+Buildings_Heat_Backend[[#This Row],[RSD]]))</f>
        <v/>
      </c>
      <c r="AO431" s="210" t="str">
        <f>IF(Buildings_Heat_Frontend[[#This Row],[Data]]="","", _xlfn.XLOOKUP(_xlfn.CONCAT(Buildings_Heat_Backend[[#This Row],[Level 1]:[Level 6]]),rng_EFConcat,rng_EFOOS)*Buildings_Heat_Backend[[#This Row],[Converted data]]/1000)</f>
        <v/>
      </c>
      <c r="AP431" s="174">
        <f>Buildings_Heat_Frontend[[#This Row],[Ease of collection]]</f>
        <v>0</v>
      </c>
      <c r="AQ431" s="174">
        <f>Buildings_Heat_Frontend[[#This Row],[Completeness]]</f>
        <v>0</v>
      </c>
      <c r="AR431" s="174">
        <f>Buildings_Heat_Frontend[[#This Row],[Notes]]</f>
        <v>0</v>
      </c>
    </row>
    <row r="432" spans="5:44" x14ac:dyDescent="0.3">
      <c r="E432" s="346"/>
      <c r="F432" s="364"/>
      <c r="G432" s="336"/>
      <c r="H432" s="336"/>
      <c r="I432" s="336"/>
      <c r="J432" s="334"/>
      <c r="K432" s="336"/>
      <c r="L432" s="336"/>
      <c r="M432" s="336"/>
      <c r="N432" s="352"/>
      <c r="O432" s="230">
        <f t="shared" si="20"/>
        <v>6</v>
      </c>
      <c r="Q432" s="212" t="str">
        <f t="shared" si="18"/>
        <v/>
      </c>
      <c r="R432" s="174" t="s">
        <v>265</v>
      </c>
      <c r="S432" s="174" t="s">
        <v>273</v>
      </c>
      <c r="T432" s="174" t="str">
        <f>IF(Buildings_Heat_Frontend[[#This Row],[Data]]="","", _xlfn.XLOOKUP(Buildings_Heat_Backend[[#This Row],[Info 1]],Buildings_SiteInfo[Site name],Buildings_SiteInfo[Site type]))</f>
        <v/>
      </c>
      <c r="U432" s="174" t="str">
        <f>IF(Buildings_Heat_Frontend[[#This Row],[Data]]="","", Buildings_Heat_Frontend[[#This Row],[Heating Type]])</f>
        <v/>
      </c>
      <c r="V432" s="174" t="str">
        <f>IF(Buildings_Heat_Frontend[[#This Row],[Data]]="","", Buildings_Heat_Frontend[[#This Row],[Fuel]])</f>
        <v/>
      </c>
      <c r="W432" s="174" t="str" cm="1">
        <f t="array" ref="W432">IF(Buildings_Heat_Frontend[[#This Row],[Data]]="","", _xlfn.XLOOKUP(Buildings_Heat_Backend[[#This Row],[Level 5]],rng_Level5Long,rng_Level6Long))</f>
        <v/>
      </c>
      <c r="X432" s="174" t="str">
        <f>IF(Buildings_Heat_Frontend[[#This Row],[Data]]="","", Buildings_Heat_Frontend[[#This Row],[Site Name]])</f>
        <v/>
      </c>
      <c r="Y432" s="174" t="str">
        <f>IF(Buildings_Heat_Frontend[[#This Row],[Data]]="","", Buildings_Heat_Frontend[[#This Row],[MPRN]])</f>
        <v/>
      </c>
      <c r="Z432" s="174" t="str">
        <f>IF(Buildings_Heat_Frontend[[#This Row],[Data]]="","", IF($I432="","",$I432))</f>
        <v/>
      </c>
      <c r="AA432" s="229" t="str" cm="1">
        <f t="array" ref="AA432">IF(Buildings_Heat_Frontend[[#This Row],[Data]]="","", INDEX(_xlfn.SWITCH(Buildings_Heat_Backend[[#This Row],[Methodology]],"Tier 1",rng_RSD1,"Tier 2",rng_RSD2,"Tier 3",rng_RSD3),MATCH(_xlfn.CONCAT(Buildings_Heat_Backend[[#This Row],[Level 1]:[Level 6]]),rng_LevelsConcat,0)))</f>
        <v/>
      </c>
      <c r="AB432" s="220" t="str">
        <f t="shared" si="19"/>
        <v/>
      </c>
      <c r="AC432" s="174">
        <f>Buildings_Heat_Frontend[[#This Row],[Units]]</f>
        <v>0</v>
      </c>
      <c r="AD43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2" s="174" t="str">
        <f>IF(Buildings_Heat_Frontend[[#This Row],[Data]]="","", _xlfn.XLOOKUP(_xlfn.CONCAT(Buildings_Heat_Backend[[#This Row],[Level 1]:[Level 6]]),rng_LevelsConcat,rng_UnitsLong))</f>
        <v/>
      </c>
      <c r="AF432" s="210" t="str">
        <f>IF(Buildings_Heat_Frontend[[#This Row],[Data]]="","", _xlfn.XLOOKUP(_xlfn.CONCAT(Buildings_Heat_Backend[[#This Row],[Level 1]:[Level 6]]),rng_EFConcat,rng_EF1)*Buildings_Heat_Backend[[#This Row],[Converted data]]/1000)</f>
        <v/>
      </c>
      <c r="AG432" s="210" t="str">
        <f>IF(Buildings_Heat_Frontend[[#This Row],[Data]]="","", _xlfn.XLOOKUP(_xlfn.CONCAT(Buildings_Heat_Backend[[#This Row],[Level 1]:[Level 6]]),rng_EFConcat,rng_EF2)*Buildings_Heat_Backend[[#This Row],[Converted data]]/1000)</f>
        <v/>
      </c>
      <c r="AH432" s="210" t="str">
        <f>IF(Buildings_Heat_Frontend[[#This Row],[Data]]="","", _xlfn.XLOOKUP(_xlfn.CONCAT(Buildings_Heat_Backend[[#This Row],[Level 1]:[Level 6]]),rng_EFConcat,rng_EF3)*Buildings_Heat_Backend[[#This Row],[Converted data]]/1000)</f>
        <v/>
      </c>
      <c r="AI432" s="210" t="str">
        <f>IF(Buildings_Heat_Frontend[[#This Row],[Data]]="","", _xlfn.XLOOKUP(_xlfn.CONCAT(Buildings_Heat_Backend[[#This Row],[Level 1]:[Level 6]]),rng_EFConcat,rng_EF3WTT)*Buildings_Heat_Backend[[#This Row],[Converted data]]/1000)</f>
        <v/>
      </c>
      <c r="AJ432" s="210" t="str">
        <f>IF(Buildings_Heat_Frontend[[#This Row],[Data]]="","", _xlfn.XLOOKUP(_xlfn.CONCAT(Buildings_Heat_Backend[[#This Row],[Level 1]:[Level 6]]),rng_EFConcat,rng_EF3TD)*Buildings_Heat_Backend[[#This Row],[Converted data]]/1000)</f>
        <v/>
      </c>
      <c r="AK432" s="210" t="str">
        <f>IF(Buildings_Heat_Frontend[[#This Row],[Data]]="","", _xlfn.XLOOKUP(_xlfn.CONCAT(Buildings_Heat_Backend[[#This Row],[Level 1]:[Level 6]]),rng_EFConcat,rng_EF3WTTTD)*Buildings_Heat_Backend[[#This Row],[Converted data]]/1000)</f>
        <v/>
      </c>
      <c r="AL432" s="220">
        <f>SUM(Buildings_Heat_Backend[[#This Row],[Scope 1 (tCO2e)]:[Scope 3 WTT T&amp;D (tCO2e)]])</f>
        <v>0</v>
      </c>
      <c r="AM432" s="220" t="str">
        <f>IF(Buildings_Heat_Frontend[[#This Row],[Data]]="","", Buildings_Heat_Backend[[#This Row],[Total (tCO2e)]]*(1-Buildings_Heat_Backend[[#This Row],[RSD]]))</f>
        <v/>
      </c>
      <c r="AN432" s="220" t="str">
        <f>IF(Buildings_Heat_Frontend[[#This Row],[Data]]="","", Buildings_Heat_Backend[[#This Row],[Total (tCO2e)]]*(1+Buildings_Heat_Backend[[#This Row],[RSD]]))</f>
        <v/>
      </c>
      <c r="AO432" s="210" t="str">
        <f>IF(Buildings_Heat_Frontend[[#This Row],[Data]]="","", _xlfn.XLOOKUP(_xlfn.CONCAT(Buildings_Heat_Backend[[#This Row],[Level 1]:[Level 6]]),rng_EFConcat,rng_EFOOS)*Buildings_Heat_Backend[[#This Row],[Converted data]]/1000)</f>
        <v/>
      </c>
      <c r="AP432" s="174">
        <f>Buildings_Heat_Frontend[[#This Row],[Ease of collection]]</f>
        <v>0</v>
      </c>
      <c r="AQ432" s="174">
        <f>Buildings_Heat_Frontend[[#This Row],[Completeness]]</f>
        <v>0</v>
      </c>
      <c r="AR432" s="174">
        <f>Buildings_Heat_Frontend[[#This Row],[Notes]]</f>
        <v>0</v>
      </c>
    </row>
    <row r="433" spans="5:44" x14ac:dyDescent="0.3">
      <c r="E433" s="346"/>
      <c r="F433" s="364"/>
      <c r="G433" s="336"/>
      <c r="H433" s="336"/>
      <c r="I433" s="336"/>
      <c r="J433" s="334"/>
      <c r="K433" s="336"/>
      <c r="L433" s="336"/>
      <c r="M433" s="336"/>
      <c r="N433" s="352"/>
      <c r="O433" s="230">
        <f t="shared" si="20"/>
        <v>6</v>
      </c>
      <c r="Q433" s="212" t="str">
        <f t="shared" si="18"/>
        <v/>
      </c>
      <c r="R433" s="174" t="s">
        <v>265</v>
      </c>
      <c r="S433" s="174" t="s">
        <v>273</v>
      </c>
      <c r="T433" s="174" t="str">
        <f>IF(Buildings_Heat_Frontend[[#This Row],[Data]]="","", _xlfn.XLOOKUP(Buildings_Heat_Backend[[#This Row],[Info 1]],Buildings_SiteInfo[Site name],Buildings_SiteInfo[Site type]))</f>
        <v/>
      </c>
      <c r="U433" s="174" t="str">
        <f>IF(Buildings_Heat_Frontend[[#This Row],[Data]]="","", Buildings_Heat_Frontend[[#This Row],[Heating Type]])</f>
        <v/>
      </c>
      <c r="V433" s="174" t="str">
        <f>IF(Buildings_Heat_Frontend[[#This Row],[Data]]="","", Buildings_Heat_Frontend[[#This Row],[Fuel]])</f>
        <v/>
      </c>
      <c r="W433" s="174" t="str" cm="1">
        <f t="array" ref="W433">IF(Buildings_Heat_Frontend[[#This Row],[Data]]="","", _xlfn.XLOOKUP(Buildings_Heat_Backend[[#This Row],[Level 5]],rng_Level5Long,rng_Level6Long))</f>
        <v/>
      </c>
      <c r="X433" s="174" t="str">
        <f>IF(Buildings_Heat_Frontend[[#This Row],[Data]]="","", Buildings_Heat_Frontend[[#This Row],[Site Name]])</f>
        <v/>
      </c>
      <c r="Y433" s="174" t="str">
        <f>IF(Buildings_Heat_Frontend[[#This Row],[Data]]="","", Buildings_Heat_Frontend[[#This Row],[MPRN]])</f>
        <v/>
      </c>
      <c r="Z433" s="174" t="str">
        <f>IF(Buildings_Heat_Frontend[[#This Row],[Data]]="","", IF($I433="","",$I433))</f>
        <v/>
      </c>
      <c r="AA433" s="229" t="str" cm="1">
        <f t="array" ref="AA433">IF(Buildings_Heat_Frontend[[#This Row],[Data]]="","", INDEX(_xlfn.SWITCH(Buildings_Heat_Backend[[#This Row],[Methodology]],"Tier 1",rng_RSD1,"Tier 2",rng_RSD2,"Tier 3",rng_RSD3),MATCH(_xlfn.CONCAT(Buildings_Heat_Backend[[#This Row],[Level 1]:[Level 6]]),rng_LevelsConcat,0)))</f>
        <v/>
      </c>
      <c r="AB433" s="220" t="str">
        <f t="shared" si="19"/>
        <v/>
      </c>
      <c r="AC433" s="174">
        <f>Buildings_Heat_Frontend[[#This Row],[Units]]</f>
        <v>0</v>
      </c>
      <c r="AD43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3" s="174" t="str">
        <f>IF(Buildings_Heat_Frontend[[#This Row],[Data]]="","", _xlfn.XLOOKUP(_xlfn.CONCAT(Buildings_Heat_Backend[[#This Row],[Level 1]:[Level 6]]),rng_LevelsConcat,rng_UnitsLong))</f>
        <v/>
      </c>
      <c r="AF433" s="210" t="str">
        <f>IF(Buildings_Heat_Frontend[[#This Row],[Data]]="","", _xlfn.XLOOKUP(_xlfn.CONCAT(Buildings_Heat_Backend[[#This Row],[Level 1]:[Level 6]]),rng_EFConcat,rng_EF1)*Buildings_Heat_Backend[[#This Row],[Converted data]]/1000)</f>
        <v/>
      </c>
      <c r="AG433" s="210" t="str">
        <f>IF(Buildings_Heat_Frontend[[#This Row],[Data]]="","", _xlfn.XLOOKUP(_xlfn.CONCAT(Buildings_Heat_Backend[[#This Row],[Level 1]:[Level 6]]),rng_EFConcat,rng_EF2)*Buildings_Heat_Backend[[#This Row],[Converted data]]/1000)</f>
        <v/>
      </c>
      <c r="AH433" s="210" t="str">
        <f>IF(Buildings_Heat_Frontend[[#This Row],[Data]]="","", _xlfn.XLOOKUP(_xlfn.CONCAT(Buildings_Heat_Backend[[#This Row],[Level 1]:[Level 6]]),rng_EFConcat,rng_EF3)*Buildings_Heat_Backend[[#This Row],[Converted data]]/1000)</f>
        <v/>
      </c>
      <c r="AI433" s="210" t="str">
        <f>IF(Buildings_Heat_Frontend[[#This Row],[Data]]="","", _xlfn.XLOOKUP(_xlfn.CONCAT(Buildings_Heat_Backend[[#This Row],[Level 1]:[Level 6]]),rng_EFConcat,rng_EF3WTT)*Buildings_Heat_Backend[[#This Row],[Converted data]]/1000)</f>
        <v/>
      </c>
      <c r="AJ433" s="210" t="str">
        <f>IF(Buildings_Heat_Frontend[[#This Row],[Data]]="","", _xlfn.XLOOKUP(_xlfn.CONCAT(Buildings_Heat_Backend[[#This Row],[Level 1]:[Level 6]]),rng_EFConcat,rng_EF3TD)*Buildings_Heat_Backend[[#This Row],[Converted data]]/1000)</f>
        <v/>
      </c>
      <c r="AK433" s="210" t="str">
        <f>IF(Buildings_Heat_Frontend[[#This Row],[Data]]="","", _xlfn.XLOOKUP(_xlfn.CONCAT(Buildings_Heat_Backend[[#This Row],[Level 1]:[Level 6]]),rng_EFConcat,rng_EF3WTTTD)*Buildings_Heat_Backend[[#This Row],[Converted data]]/1000)</f>
        <v/>
      </c>
      <c r="AL433" s="220">
        <f>SUM(Buildings_Heat_Backend[[#This Row],[Scope 1 (tCO2e)]:[Scope 3 WTT T&amp;D (tCO2e)]])</f>
        <v>0</v>
      </c>
      <c r="AM433" s="220" t="str">
        <f>IF(Buildings_Heat_Frontend[[#This Row],[Data]]="","", Buildings_Heat_Backend[[#This Row],[Total (tCO2e)]]*(1-Buildings_Heat_Backend[[#This Row],[RSD]]))</f>
        <v/>
      </c>
      <c r="AN433" s="220" t="str">
        <f>IF(Buildings_Heat_Frontend[[#This Row],[Data]]="","", Buildings_Heat_Backend[[#This Row],[Total (tCO2e)]]*(1+Buildings_Heat_Backend[[#This Row],[RSD]]))</f>
        <v/>
      </c>
      <c r="AO433" s="210" t="str">
        <f>IF(Buildings_Heat_Frontend[[#This Row],[Data]]="","", _xlfn.XLOOKUP(_xlfn.CONCAT(Buildings_Heat_Backend[[#This Row],[Level 1]:[Level 6]]),rng_EFConcat,rng_EFOOS)*Buildings_Heat_Backend[[#This Row],[Converted data]]/1000)</f>
        <v/>
      </c>
      <c r="AP433" s="174">
        <f>Buildings_Heat_Frontend[[#This Row],[Ease of collection]]</f>
        <v>0</v>
      </c>
      <c r="AQ433" s="174">
        <f>Buildings_Heat_Frontend[[#This Row],[Completeness]]</f>
        <v>0</v>
      </c>
      <c r="AR433" s="174">
        <f>Buildings_Heat_Frontend[[#This Row],[Notes]]</f>
        <v>0</v>
      </c>
    </row>
    <row r="434" spans="5:44" x14ac:dyDescent="0.3">
      <c r="E434" s="346"/>
      <c r="F434" s="364"/>
      <c r="G434" s="336"/>
      <c r="H434" s="336"/>
      <c r="I434" s="336"/>
      <c r="J434" s="334"/>
      <c r="K434" s="336"/>
      <c r="L434" s="336"/>
      <c r="M434" s="336"/>
      <c r="N434" s="352"/>
      <c r="O434" s="230">
        <f t="shared" si="20"/>
        <v>6</v>
      </c>
      <c r="Q434" s="212" t="str">
        <f t="shared" si="18"/>
        <v/>
      </c>
      <c r="R434" s="174" t="s">
        <v>265</v>
      </c>
      <c r="S434" s="174" t="s">
        <v>273</v>
      </c>
      <c r="T434" s="174" t="str">
        <f>IF(Buildings_Heat_Frontend[[#This Row],[Data]]="","", _xlfn.XLOOKUP(Buildings_Heat_Backend[[#This Row],[Info 1]],Buildings_SiteInfo[Site name],Buildings_SiteInfo[Site type]))</f>
        <v/>
      </c>
      <c r="U434" s="174" t="str">
        <f>IF(Buildings_Heat_Frontend[[#This Row],[Data]]="","", Buildings_Heat_Frontend[[#This Row],[Heating Type]])</f>
        <v/>
      </c>
      <c r="V434" s="174" t="str">
        <f>IF(Buildings_Heat_Frontend[[#This Row],[Data]]="","", Buildings_Heat_Frontend[[#This Row],[Fuel]])</f>
        <v/>
      </c>
      <c r="W434" s="174" t="str" cm="1">
        <f t="array" ref="W434">IF(Buildings_Heat_Frontend[[#This Row],[Data]]="","", _xlfn.XLOOKUP(Buildings_Heat_Backend[[#This Row],[Level 5]],rng_Level5Long,rng_Level6Long))</f>
        <v/>
      </c>
      <c r="X434" s="174" t="str">
        <f>IF(Buildings_Heat_Frontend[[#This Row],[Data]]="","", Buildings_Heat_Frontend[[#This Row],[Site Name]])</f>
        <v/>
      </c>
      <c r="Y434" s="174" t="str">
        <f>IF(Buildings_Heat_Frontend[[#This Row],[Data]]="","", Buildings_Heat_Frontend[[#This Row],[MPRN]])</f>
        <v/>
      </c>
      <c r="Z434" s="174" t="str">
        <f>IF(Buildings_Heat_Frontend[[#This Row],[Data]]="","", IF($I434="","",$I434))</f>
        <v/>
      </c>
      <c r="AA434" s="229" t="str" cm="1">
        <f t="array" ref="AA434">IF(Buildings_Heat_Frontend[[#This Row],[Data]]="","", INDEX(_xlfn.SWITCH(Buildings_Heat_Backend[[#This Row],[Methodology]],"Tier 1",rng_RSD1,"Tier 2",rng_RSD2,"Tier 3",rng_RSD3),MATCH(_xlfn.CONCAT(Buildings_Heat_Backend[[#This Row],[Level 1]:[Level 6]]),rng_LevelsConcat,0)))</f>
        <v/>
      </c>
      <c r="AB434" s="220" t="str">
        <f t="shared" si="19"/>
        <v/>
      </c>
      <c r="AC434" s="174">
        <f>Buildings_Heat_Frontend[[#This Row],[Units]]</f>
        <v>0</v>
      </c>
      <c r="AD43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4" s="174" t="str">
        <f>IF(Buildings_Heat_Frontend[[#This Row],[Data]]="","", _xlfn.XLOOKUP(_xlfn.CONCAT(Buildings_Heat_Backend[[#This Row],[Level 1]:[Level 6]]),rng_LevelsConcat,rng_UnitsLong))</f>
        <v/>
      </c>
      <c r="AF434" s="210" t="str">
        <f>IF(Buildings_Heat_Frontend[[#This Row],[Data]]="","", _xlfn.XLOOKUP(_xlfn.CONCAT(Buildings_Heat_Backend[[#This Row],[Level 1]:[Level 6]]),rng_EFConcat,rng_EF1)*Buildings_Heat_Backend[[#This Row],[Converted data]]/1000)</f>
        <v/>
      </c>
      <c r="AG434" s="210" t="str">
        <f>IF(Buildings_Heat_Frontend[[#This Row],[Data]]="","", _xlfn.XLOOKUP(_xlfn.CONCAT(Buildings_Heat_Backend[[#This Row],[Level 1]:[Level 6]]),rng_EFConcat,rng_EF2)*Buildings_Heat_Backend[[#This Row],[Converted data]]/1000)</f>
        <v/>
      </c>
      <c r="AH434" s="210" t="str">
        <f>IF(Buildings_Heat_Frontend[[#This Row],[Data]]="","", _xlfn.XLOOKUP(_xlfn.CONCAT(Buildings_Heat_Backend[[#This Row],[Level 1]:[Level 6]]),rng_EFConcat,rng_EF3)*Buildings_Heat_Backend[[#This Row],[Converted data]]/1000)</f>
        <v/>
      </c>
      <c r="AI434" s="210" t="str">
        <f>IF(Buildings_Heat_Frontend[[#This Row],[Data]]="","", _xlfn.XLOOKUP(_xlfn.CONCAT(Buildings_Heat_Backend[[#This Row],[Level 1]:[Level 6]]),rng_EFConcat,rng_EF3WTT)*Buildings_Heat_Backend[[#This Row],[Converted data]]/1000)</f>
        <v/>
      </c>
      <c r="AJ434" s="210" t="str">
        <f>IF(Buildings_Heat_Frontend[[#This Row],[Data]]="","", _xlfn.XLOOKUP(_xlfn.CONCAT(Buildings_Heat_Backend[[#This Row],[Level 1]:[Level 6]]),rng_EFConcat,rng_EF3TD)*Buildings_Heat_Backend[[#This Row],[Converted data]]/1000)</f>
        <v/>
      </c>
      <c r="AK434" s="210" t="str">
        <f>IF(Buildings_Heat_Frontend[[#This Row],[Data]]="","", _xlfn.XLOOKUP(_xlfn.CONCAT(Buildings_Heat_Backend[[#This Row],[Level 1]:[Level 6]]),rng_EFConcat,rng_EF3WTTTD)*Buildings_Heat_Backend[[#This Row],[Converted data]]/1000)</f>
        <v/>
      </c>
      <c r="AL434" s="220">
        <f>SUM(Buildings_Heat_Backend[[#This Row],[Scope 1 (tCO2e)]:[Scope 3 WTT T&amp;D (tCO2e)]])</f>
        <v>0</v>
      </c>
      <c r="AM434" s="220" t="str">
        <f>IF(Buildings_Heat_Frontend[[#This Row],[Data]]="","", Buildings_Heat_Backend[[#This Row],[Total (tCO2e)]]*(1-Buildings_Heat_Backend[[#This Row],[RSD]]))</f>
        <v/>
      </c>
      <c r="AN434" s="220" t="str">
        <f>IF(Buildings_Heat_Frontend[[#This Row],[Data]]="","", Buildings_Heat_Backend[[#This Row],[Total (tCO2e)]]*(1+Buildings_Heat_Backend[[#This Row],[RSD]]))</f>
        <v/>
      </c>
      <c r="AO434" s="210" t="str">
        <f>IF(Buildings_Heat_Frontend[[#This Row],[Data]]="","", _xlfn.XLOOKUP(_xlfn.CONCAT(Buildings_Heat_Backend[[#This Row],[Level 1]:[Level 6]]),rng_EFConcat,rng_EFOOS)*Buildings_Heat_Backend[[#This Row],[Converted data]]/1000)</f>
        <v/>
      </c>
      <c r="AP434" s="174">
        <f>Buildings_Heat_Frontend[[#This Row],[Ease of collection]]</f>
        <v>0</v>
      </c>
      <c r="AQ434" s="174">
        <f>Buildings_Heat_Frontend[[#This Row],[Completeness]]</f>
        <v>0</v>
      </c>
      <c r="AR434" s="174">
        <f>Buildings_Heat_Frontend[[#This Row],[Notes]]</f>
        <v>0</v>
      </c>
    </row>
    <row r="435" spans="5:44" x14ac:dyDescent="0.3">
      <c r="E435" s="346"/>
      <c r="F435" s="364"/>
      <c r="G435" s="336"/>
      <c r="H435" s="336"/>
      <c r="I435" s="336"/>
      <c r="J435" s="334"/>
      <c r="K435" s="336"/>
      <c r="L435" s="336"/>
      <c r="M435" s="336"/>
      <c r="N435" s="352"/>
      <c r="O435" s="230">
        <f t="shared" si="20"/>
        <v>6</v>
      </c>
      <c r="Q435" s="212" t="str">
        <f t="shared" si="18"/>
        <v/>
      </c>
      <c r="R435" s="174" t="s">
        <v>265</v>
      </c>
      <c r="S435" s="174" t="s">
        <v>273</v>
      </c>
      <c r="T435" s="174" t="str">
        <f>IF(Buildings_Heat_Frontend[[#This Row],[Data]]="","", _xlfn.XLOOKUP(Buildings_Heat_Backend[[#This Row],[Info 1]],Buildings_SiteInfo[Site name],Buildings_SiteInfo[Site type]))</f>
        <v/>
      </c>
      <c r="U435" s="174" t="str">
        <f>IF(Buildings_Heat_Frontend[[#This Row],[Data]]="","", Buildings_Heat_Frontend[[#This Row],[Heating Type]])</f>
        <v/>
      </c>
      <c r="V435" s="174" t="str">
        <f>IF(Buildings_Heat_Frontend[[#This Row],[Data]]="","", Buildings_Heat_Frontend[[#This Row],[Fuel]])</f>
        <v/>
      </c>
      <c r="W435" s="174" t="str" cm="1">
        <f t="array" ref="W435">IF(Buildings_Heat_Frontend[[#This Row],[Data]]="","", _xlfn.XLOOKUP(Buildings_Heat_Backend[[#This Row],[Level 5]],rng_Level5Long,rng_Level6Long))</f>
        <v/>
      </c>
      <c r="X435" s="174" t="str">
        <f>IF(Buildings_Heat_Frontend[[#This Row],[Data]]="","", Buildings_Heat_Frontend[[#This Row],[Site Name]])</f>
        <v/>
      </c>
      <c r="Y435" s="174" t="str">
        <f>IF(Buildings_Heat_Frontend[[#This Row],[Data]]="","", Buildings_Heat_Frontend[[#This Row],[MPRN]])</f>
        <v/>
      </c>
      <c r="Z435" s="174" t="str">
        <f>IF(Buildings_Heat_Frontend[[#This Row],[Data]]="","", IF($I435="","",$I435))</f>
        <v/>
      </c>
      <c r="AA435" s="229" t="str" cm="1">
        <f t="array" ref="AA435">IF(Buildings_Heat_Frontend[[#This Row],[Data]]="","", INDEX(_xlfn.SWITCH(Buildings_Heat_Backend[[#This Row],[Methodology]],"Tier 1",rng_RSD1,"Tier 2",rng_RSD2,"Tier 3",rng_RSD3),MATCH(_xlfn.CONCAT(Buildings_Heat_Backend[[#This Row],[Level 1]:[Level 6]]),rng_LevelsConcat,0)))</f>
        <v/>
      </c>
      <c r="AB435" s="220" t="str">
        <f t="shared" si="19"/>
        <v/>
      </c>
      <c r="AC435" s="174">
        <f>Buildings_Heat_Frontend[[#This Row],[Units]]</f>
        <v>0</v>
      </c>
      <c r="AD43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5" s="174" t="str">
        <f>IF(Buildings_Heat_Frontend[[#This Row],[Data]]="","", _xlfn.XLOOKUP(_xlfn.CONCAT(Buildings_Heat_Backend[[#This Row],[Level 1]:[Level 6]]),rng_LevelsConcat,rng_UnitsLong))</f>
        <v/>
      </c>
      <c r="AF435" s="210" t="str">
        <f>IF(Buildings_Heat_Frontend[[#This Row],[Data]]="","", _xlfn.XLOOKUP(_xlfn.CONCAT(Buildings_Heat_Backend[[#This Row],[Level 1]:[Level 6]]),rng_EFConcat,rng_EF1)*Buildings_Heat_Backend[[#This Row],[Converted data]]/1000)</f>
        <v/>
      </c>
      <c r="AG435" s="210" t="str">
        <f>IF(Buildings_Heat_Frontend[[#This Row],[Data]]="","", _xlfn.XLOOKUP(_xlfn.CONCAT(Buildings_Heat_Backend[[#This Row],[Level 1]:[Level 6]]),rng_EFConcat,rng_EF2)*Buildings_Heat_Backend[[#This Row],[Converted data]]/1000)</f>
        <v/>
      </c>
      <c r="AH435" s="210" t="str">
        <f>IF(Buildings_Heat_Frontend[[#This Row],[Data]]="","", _xlfn.XLOOKUP(_xlfn.CONCAT(Buildings_Heat_Backend[[#This Row],[Level 1]:[Level 6]]),rng_EFConcat,rng_EF3)*Buildings_Heat_Backend[[#This Row],[Converted data]]/1000)</f>
        <v/>
      </c>
      <c r="AI435" s="210" t="str">
        <f>IF(Buildings_Heat_Frontend[[#This Row],[Data]]="","", _xlfn.XLOOKUP(_xlfn.CONCAT(Buildings_Heat_Backend[[#This Row],[Level 1]:[Level 6]]),rng_EFConcat,rng_EF3WTT)*Buildings_Heat_Backend[[#This Row],[Converted data]]/1000)</f>
        <v/>
      </c>
      <c r="AJ435" s="210" t="str">
        <f>IF(Buildings_Heat_Frontend[[#This Row],[Data]]="","", _xlfn.XLOOKUP(_xlfn.CONCAT(Buildings_Heat_Backend[[#This Row],[Level 1]:[Level 6]]),rng_EFConcat,rng_EF3TD)*Buildings_Heat_Backend[[#This Row],[Converted data]]/1000)</f>
        <v/>
      </c>
      <c r="AK435" s="210" t="str">
        <f>IF(Buildings_Heat_Frontend[[#This Row],[Data]]="","", _xlfn.XLOOKUP(_xlfn.CONCAT(Buildings_Heat_Backend[[#This Row],[Level 1]:[Level 6]]),rng_EFConcat,rng_EF3WTTTD)*Buildings_Heat_Backend[[#This Row],[Converted data]]/1000)</f>
        <v/>
      </c>
      <c r="AL435" s="220">
        <f>SUM(Buildings_Heat_Backend[[#This Row],[Scope 1 (tCO2e)]:[Scope 3 WTT T&amp;D (tCO2e)]])</f>
        <v>0</v>
      </c>
      <c r="AM435" s="220" t="str">
        <f>IF(Buildings_Heat_Frontend[[#This Row],[Data]]="","", Buildings_Heat_Backend[[#This Row],[Total (tCO2e)]]*(1-Buildings_Heat_Backend[[#This Row],[RSD]]))</f>
        <v/>
      </c>
      <c r="AN435" s="220" t="str">
        <f>IF(Buildings_Heat_Frontend[[#This Row],[Data]]="","", Buildings_Heat_Backend[[#This Row],[Total (tCO2e)]]*(1+Buildings_Heat_Backend[[#This Row],[RSD]]))</f>
        <v/>
      </c>
      <c r="AO435" s="210" t="str">
        <f>IF(Buildings_Heat_Frontend[[#This Row],[Data]]="","", _xlfn.XLOOKUP(_xlfn.CONCAT(Buildings_Heat_Backend[[#This Row],[Level 1]:[Level 6]]),rng_EFConcat,rng_EFOOS)*Buildings_Heat_Backend[[#This Row],[Converted data]]/1000)</f>
        <v/>
      </c>
      <c r="AP435" s="174">
        <f>Buildings_Heat_Frontend[[#This Row],[Ease of collection]]</f>
        <v>0</v>
      </c>
      <c r="AQ435" s="174">
        <f>Buildings_Heat_Frontend[[#This Row],[Completeness]]</f>
        <v>0</v>
      </c>
      <c r="AR435" s="174">
        <f>Buildings_Heat_Frontend[[#This Row],[Notes]]</f>
        <v>0</v>
      </c>
    </row>
    <row r="436" spans="5:44" x14ac:dyDescent="0.3">
      <c r="E436" s="346"/>
      <c r="F436" s="364"/>
      <c r="G436" s="336"/>
      <c r="H436" s="336"/>
      <c r="I436" s="336"/>
      <c r="J436" s="334"/>
      <c r="K436" s="336"/>
      <c r="L436" s="336"/>
      <c r="M436" s="336"/>
      <c r="N436" s="352"/>
      <c r="O436" s="230">
        <f t="shared" si="20"/>
        <v>6</v>
      </c>
      <c r="Q436" s="212" t="str">
        <f t="shared" si="18"/>
        <v/>
      </c>
      <c r="R436" s="174" t="s">
        <v>265</v>
      </c>
      <c r="S436" s="174" t="s">
        <v>273</v>
      </c>
      <c r="T436" s="174" t="str">
        <f>IF(Buildings_Heat_Frontend[[#This Row],[Data]]="","", _xlfn.XLOOKUP(Buildings_Heat_Backend[[#This Row],[Info 1]],Buildings_SiteInfo[Site name],Buildings_SiteInfo[Site type]))</f>
        <v/>
      </c>
      <c r="U436" s="174" t="str">
        <f>IF(Buildings_Heat_Frontend[[#This Row],[Data]]="","", Buildings_Heat_Frontend[[#This Row],[Heating Type]])</f>
        <v/>
      </c>
      <c r="V436" s="174" t="str">
        <f>IF(Buildings_Heat_Frontend[[#This Row],[Data]]="","", Buildings_Heat_Frontend[[#This Row],[Fuel]])</f>
        <v/>
      </c>
      <c r="W436" s="174" t="str" cm="1">
        <f t="array" ref="W436">IF(Buildings_Heat_Frontend[[#This Row],[Data]]="","", _xlfn.XLOOKUP(Buildings_Heat_Backend[[#This Row],[Level 5]],rng_Level5Long,rng_Level6Long))</f>
        <v/>
      </c>
      <c r="X436" s="174" t="str">
        <f>IF(Buildings_Heat_Frontend[[#This Row],[Data]]="","", Buildings_Heat_Frontend[[#This Row],[Site Name]])</f>
        <v/>
      </c>
      <c r="Y436" s="174" t="str">
        <f>IF(Buildings_Heat_Frontend[[#This Row],[Data]]="","", Buildings_Heat_Frontend[[#This Row],[MPRN]])</f>
        <v/>
      </c>
      <c r="Z436" s="174" t="str">
        <f>IF(Buildings_Heat_Frontend[[#This Row],[Data]]="","", IF($I436="","",$I436))</f>
        <v/>
      </c>
      <c r="AA436" s="229" t="str" cm="1">
        <f t="array" ref="AA436">IF(Buildings_Heat_Frontend[[#This Row],[Data]]="","", INDEX(_xlfn.SWITCH(Buildings_Heat_Backend[[#This Row],[Methodology]],"Tier 1",rng_RSD1,"Tier 2",rng_RSD2,"Tier 3",rng_RSD3),MATCH(_xlfn.CONCAT(Buildings_Heat_Backend[[#This Row],[Level 1]:[Level 6]]),rng_LevelsConcat,0)))</f>
        <v/>
      </c>
      <c r="AB436" s="220" t="str">
        <f t="shared" si="19"/>
        <v/>
      </c>
      <c r="AC436" s="174">
        <f>Buildings_Heat_Frontend[[#This Row],[Units]]</f>
        <v>0</v>
      </c>
      <c r="AD43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6" s="174" t="str">
        <f>IF(Buildings_Heat_Frontend[[#This Row],[Data]]="","", _xlfn.XLOOKUP(_xlfn.CONCAT(Buildings_Heat_Backend[[#This Row],[Level 1]:[Level 6]]),rng_LevelsConcat,rng_UnitsLong))</f>
        <v/>
      </c>
      <c r="AF436" s="210" t="str">
        <f>IF(Buildings_Heat_Frontend[[#This Row],[Data]]="","", _xlfn.XLOOKUP(_xlfn.CONCAT(Buildings_Heat_Backend[[#This Row],[Level 1]:[Level 6]]),rng_EFConcat,rng_EF1)*Buildings_Heat_Backend[[#This Row],[Converted data]]/1000)</f>
        <v/>
      </c>
      <c r="AG436" s="210" t="str">
        <f>IF(Buildings_Heat_Frontend[[#This Row],[Data]]="","", _xlfn.XLOOKUP(_xlfn.CONCAT(Buildings_Heat_Backend[[#This Row],[Level 1]:[Level 6]]),rng_EFConcat,rng_EF2)*Buildings_Heat_Backend[[#This Row],[Converted data]]/1000)</f>
        <v/>
      </c>
      <c r="AH436" s="210" t="str">
        <f>IF(Buildings_Heat_Frontend[[#This Row],[Data]]="","", _xlfn.XLOOKUP(_xlfn.CONCAT(Buildings_Heat_Backend[[#This Row],[Level 1]:[Level 6]]),rng_EFConcat,rng_EF3)*Buildings_Heat_Backend[[#This Row],[Converted data]]/1000)</f>
        <v/>
      </c>
      <c r="AI436" s="210" t="str">
        <f>IF(Buildings_Heat_Frontend[[#This Row],[Data]]="","", _xlfn.XLOOKUP(_xlfn.CONCAT(Buildings_Heat_Backend[[#This Row],[Level 1]:[Level 6]]),rng_EFConcat,rng_EF3WTT)*Buildings_Heat_Backend[[#This Row],[Converted data]]/1000)</f>
        <v/>
      </c>
      <c r="AJ436" s="210" t="str">
        <f>IF(Buildings_Heat_Frontend[[#This Row],[Data]]="","", _xlfn.XLOOKUP(_xlfn.CONCAT(Buildings_Heat_Backend[[#This Row],[Level 1]:[Level 6]]),rng_EFConcat,rng_EF3TD)*Buildings_Heat_Backend[[#This Row],[Converted data]]/1000)</f>
        <v/>
      </c>
      <c r="AK436" s="210" t="str">
        <f>IF(Buildings_Heat_Frontend[[#This Row],[Data]]="","", _xlfn.XLOOKUP(_xlfn.CONCAT(Buildings_Heat_Backend[[#This Row],[Level 1]:[Level 6]]),rng_EFConcat,rng_EF3WTTTD)*Buildings_Heat_Backend[[#This Row],[Converted data]]/1000)</f>
        <v/>
      </c>
      <c r="AL436" s="220">
        <f>SUM(Buildings_Heat_Backend[[#This Row],[Scope 1 (tCO2e)]:[Scope 3 WTT T&amp;D (tCO2e)]])</f>
        <v>0</v>
      </c>
      <c r="AM436" s="220" t="str">
        <f>IF(Buildings_Heat_Frontend[[#This Row],[Data]]="","", Buildings_Heat_Backend[[#This Row],[Total (tCO2e)]]*(1-Buildings_Heat_Backend[[#This Row],[RSD]]))</f>
        <v/>
      </c>
      <c r="AN436" s="220" t="str">
        <f>IF(Buildings_Heat_Frontend[[#This Row],[Data]]="","", Buildings_Heat_Backend[[#This Row],[Total (tCO2e)]]*(1+Buildings_Heat_Backend[[#This Row],[RSD]]))</f>
        <v/>
      </c>
      <c r="AO436" s="210" t="str">
        <f>IF(Buildings_Heat_Frontend[[#This Row],[Data]]="","", _xlfn.XLOOKUP(_xlfn.CONCAT(Buildings_Heat_Backend[[#This Row],[Level 1]:[Level 6]]),rng_EFConcat,rng_EFOOS)*Buildings_Heat_Backend[[#This Row],[Converted data]]/1000)</f>
        <v/>
      </c>
      <c r="AP436" s="174">
        <f>Buildings_Heat_Frontend[[#This Row],[Ease of collection]]</f>
        <v>0</v>
      </c>
      <c r="AQ436" s="174">
        <f>Buildings_Heat_Frontend[[#This Row],[Completeness]]</f>
        <v>0</v>
      </c>
      <c r="AR436" s="174">
        <f>Buildings_Heat_Frontend[[#This Row],[Notes]]</f>
        <v>0</v>
      </c>
    </row>
    <row r="437" spans="5:44" x14ac:dyDescent="0.3">
      <c r="E437" s="346"/>
      <c r="F437" s="364"/>
      <c r="G437" s="336"/>
      <c r="H437" s="336"/>
      <c r="I437" s="336"/>
      <c r="J437" s="334"/>
      <c r="K437" s="336"/>
      <c r="L437" s="336"/>
      <c r="M437" s="336"/>
      <c r="N437" s="352"/>
      <c r="O437" s="230">
        <f t="shared" si="20"/>
        <v>6</v>
      </c>
      <c r="Q437" s="212" t="str">
        <f t="shared" si="18"/>
        <v/>
      </c>
      <c r="R437" s="174" t="s">
        <v>265</v>
      </c>
      <c r="S437" s="174" t="s">
        <v>273</v>
      </c>
      <c r="T437" s="174" t="str">
        <f>IF(Buildings_Heat_Frontend[[#This Row],[Data]]="","", _xlfn.XLOOKUP(Buildings_Heat_Backend[[#This Row],[Info 1]],Buildings_SiteInfo[Site name],Buildings_SiteInfo[Site type]))</f>
        <v/>
      </c>
      <c r="U437" s="174" t="str">
        <f>IF(Buildings_Heat_Frontend[[#This Row],[Data]]="","", Buildings_Heat_Frontend[[#This Row],[Heating Type]])</f>
        <v/>
      </c>
      <c r="V437" s="174" t="str">
        <f>IF(Buildings_Heat_Frontend[[#This Row],[Data]]="","", Buildings_Heat_Frontend[[#This Row],[Fuel]])</f>
        <v/>
      </c>
      <c r="W437" s="174" t="str" cm="1">
        <f t="array" ref="W437">IF(Buildings_Heat_Frontend[[#This Row],[Data]]="","", _xlfn.XLOOKUP(Buildings_Heat_Backend[[#This Row],[Level 5]],rng_Level5Long,rng_Level6Long))</f>
        <v/>
      </c>
      <c r="X437" s="174" t="str">
        <f>IF(Buildings_Heat_Frontend[[#This Row],[Data]]="","", Buildings_Heat_Frontend[[#This Row],[Site Name]])</f>
        <v/>
      </c>
      <c r="Y437" s="174" t="str">
        <f>IF(Buildings_Heat_Frontend[[#This Row],[Data]]="","", Buildings_Heat_Frontend[[#This Row],[MPRN]])</f>
        <v/>
      </c>
      <c r="Z437" s="174" t="str">
        <f>IF(Buildings_Heat_Frontend[[#This Row],[Data]]="","", IF($I437="","",$I437))</f>
        <v/>
      </c>
      <c r="AA437" s="229" t="str" cm="1">
        <f t="array" ref="AA437">IF(Buildings_Heat_Frontend[[#This Row],[Data]]="","", INDEX(_xlfn.SWITCH(Buildings_Heat_Backend[[#This Row],[Methodology]],"Tier 1",rng_RSD1,"Tier 2",rng_RSD2,"Tier 3",rng_RSD3),MATCH(_xlfn.CONCAT(Buildings_Heat_Backend[[#This Row],[Level 1]:[Level 6]]),rng_LevelsConcat,0)))</f>
        <v/>
      </c>
      <c r="AB437" s="220" t="str">
        <f t="shared" si="19"/>
        <v/>
      </c>
      <c r="AC437" s="174">
        <f>Buildings_Heat_Frontend[[#This Row],[Units]]</f>
        <v>0</v>
      </c>
      <c r="AD43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7" s="174" t="str">
        <f>IF(Buildings_Heat_Frontend[[#This Row],[Data]]="","", _xlfn.XLOOKUP(_xlfn.CONCAT(Buildings_Heat_Backend[[#This Row],[Level 1]:[Level 6]]),rng_LevelsConcat,rng_UnitsLong))</f>
        <v/>
      </c>
      <c r="AF437" s="210" t="str">
        <f>IF(Buildings_Heat_Frontend[[#This Row],[Data]]="","", _xlfn.XLOOKUP(_xlfn.CONCAT(Buildings_Heat_Backend[[#This Row],[Level 1]:[Level 6]]),rng_EFConcat,rng_EF1)*Buildings_Heat_Backend[[#This Row],[Converted data]]/1000)</f>
        <v/>
      </c>
      <c r="AG437" s="210" t="str">
        <f>IF(Buildings_Heat_Frontend[[#This Row],[Data]]="","", _xlfn.XLOOKUP(_xlfn.CONCAT(Buildings_Heat_Backend[[#This Row],[Level 1]:[Level 6]]),rng_EFConcat,rng_EF2)*Buildings_Heat_Backend[[#This Row],[Converted data]]/1000)</f>
        <v/>
      </c>
      <c r="AH437" s="210" t="str">
        <f>IF(Buildings_Heat_Frontend[[#This Row],[Data]]="","", _xlfn.XLOOKUP(_xlfn.CONCAT(Buildings_Heat_Backend[[#This Row],[Level 1]:[Level 6]]),rng_EFConcat,rng_EF3)*Buildings_Heat_Backend[[#This Row],[Converted data]]/1000)</f>
        <v/>
      </c>
      <c r="AI437" s="210" t="str">
        <f>IF(Buildings_Heat_Frontend[[#This Row],[Data]]="","", _xlfn.XLOOKUP(_xlfn.CONCAT(Buildings_Heat_Backend[[#This Row],[Level 1]:[Level 6]]),rng_EFConcat,rng_EF3WTT)*Buildings_Heat_Backend[[#This Row],[Converted data]]/1000)</f>
        <v/>
      </c>
      <c r="AJ437" s="210" t="str">
        <f>IF(Buildings_Heat_Frontend[[#This Row],[Data]]="","", _xlfn.XLOOKUP(_xlfn.CONCAT(Buildings_Heat_Backend[[#This Row],[Level 1]:[Level 6]]),rng_EFConcat,rng_EF3TD)*Buildings_Heat_Backend[[#This Row],[Converted data]]/1000)</f>
        <v/>
      </c>
      <c r="AK437" s="210" t="str">
        <f>IF(Buildings_Heat_Frontend[[#This Row],[Data]]="","", _xlfn.XLOOKUP(_xlfn.CONCAT(Buildings_Heat_Backend[[#This Row],[Level 1]:[Level 6]]),rng_EFConcat,rng_EF3WTTTD)*Buildings_Heat_Backend[[#This Row],[Converted data]]/1000)</f>
        <v/>
      </c>
      <c r="AL437" s="220">
        <f>SUM(Buildings_Heat_Backend[[#This Row],[Scope 1 (tCO2e)]:[Scope 3 WTT T&amp;D (tCO2e)]])</f>
        <v>0</v>
      </c>
      <c r="AM437" s="220" t="str">
        <f>IF(Buildings_Heat_Frontend[[#This Row],[Data]]="","", Buildings_Heat_Backend[[#This Row],[Total (tCO2e)]]*(1-Buildings_Heat_Backend[[#This Row],[RSD]]))</f>
        <v/>
      </c>
      <c r="AN437" s="220" t="str">
        <f>IF(Buildings_Heat_Frontend[[#This Row],[Data]]="","", Buildings_Heat_Backend[[#This Row],[Total (tCO2e)]]*(1+Buildings_Heat_Backend[[#This Row],[RSD]]))</f>
        <v/>
      </c>
      <c r="AO437" s="210" t="str">
        <f>IF(Buildings_Heat_Frontend[[#This Row],[Data]]="","", _xlfn.XLOOKUP(_xlfn.CONCAT(Buildings_Heat_Backend[[#This Row],[Level 1]:[Level 6]]),rng_EFConcat,rng_EFOOS)*Buildings_Heat_Backend[[#This Row],[Converted data]]/1000)</f>
        <v/>
      </c>
      <c r="AP437" s="174">
        <f>Buildings_Heat_Frontend[[#This Row],[Ease of collection]]</f>
        <v>0</v>
      </c>
      <c r="AQ437" s="174">
        <f>Buildings_Heat_Frontend[[#This Row],[Completeness]]</f>
        <v>0</v>
      </c>
      <c r="AR437" s="174">
        <f>Buildings_Heat_Frontend[[#This Row],[Notes]]</f>
        <v>0</v>
      </c>
    </row>
    <row r="438" spans="5:44" x14ac:dyDescent="0.3">
      <c r="E438" s="346"/>
      <c r="F438" s="364"/>
      <c r="G438" s="336"/>
      <c r="H438" s="336"/>
      <c r="I438" s="336"/>
      <c r="J438" s="334"/>
      <c r="K438" s="336"/>
      <c r="L438" s="336"/>
      <c r="M438" s="336"/>
      <c r="N438" s="352"/>
      <c r="O438" s="230">
        <f t="shared" si="20"/>
        <v>6</v>
      </c>
      <c r="Q438" s="212" t="str">
        <f t="shared" si="18"/>
        <v/>
      </c>
      <c r="R438" s="174" t="s">
        <v>265</v>
      </c>
      <c r="S438" s="174" t="s">
        <v>273</v>
      </c>
      <c r="T438" s="174" t="str">
        <f>IF(Buildings_Heat_Frontend[[#This Row],[Data]]="","", _xlfn.XLOOKUP(Buildings_Heat_Backend[[#This Row],[Info 1]],Buildings_SiteInfo[Site name],Buildings_SiteInfo[Site type]))</f>
        <v/>
      </c>
      <c r="U438" s="174" t="str">
        <f>IF(Buildings_Heat_Frontend[[#This Row],[Data]]="","", Buildings_Heat_Frontend[[#This Row],[Heating Type]])</f>
        <v/>
      </c>
      <c r="V438" s="174" t="str">
        <f>IF(Buildings_Heat_Frontend[[#This Row],[Data]]="","", Buildings_Heat_Frontend[[#This Row],[Fuel]])</f>
        <v/>
      </c>
      <c r="W438" s="174" t="str" cm="1">
        <f t="array" ref="W438">IF(Buildings_Heat_Frontend[[#This Row],[Data]]="","", _xlfn.XLOOKUP(Buildings_Heat_Backend[[#This Row],[Level 5]],rng_Level5Long,rng_Level6Long))</f>
        <v/>
      </c>
      <c r="X438" s="174" t="str">
        <f>IF(Buildings_Heat_Frontend[[#This Row],[Data]]="","", Buildings_Heat_Frontend[[#This Row],[Site Name]])</f>
        <v/>
      </c>
      <c r="Y438" s="174" t="str">
        <f>IF(Buildings_Heat_Frontend[[#This Row],[Data]]="","", Buildings_Heat_Frontend[[#This Row],[MPRN]])</f>
        <v/>
      </c>
      <c r="Z438" s="174" t="str">
        <f>IF(Buildings_Heat_Frontend[[#This Row],[Data]]="","", IF($I438="","",$I438))</f>
        <v/>
      </c>
      <c r="AA438" s="229" t="str" cm="1">
        <f t="array" ref="AA438">IF(Buildings_Heat_Frontend[[#This Row],[Data]]="","", INDEX(_xlfn.SWITCH(Buildings_Heat_Backend[[#This Row],[Methodology]],"Tier 1",rng_RSD1,"Tier 2",rng_RSD2,"Tier 3",rng_RSD3),MATCH(_xlfn.CONCAT(Buildings_Heat_Backend[[#This Row],[Level 1]:[Level 6]]),rng_LevelsConcat,0)))</f>
        <v/>
      </c>
      <c r="AB438" s="220" t="str">
        <f t="shared" si="19"/>
        <v/>
      </c>
      <c r="AC438" s="174">
        <f>Buildings_Heat_Frontend[[#This Row],[Units]]</f>
        <v>0</v>
      </c>
      <c r="AD43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8" s="174" t="str">
        <f>IF(Buildings_Heat_Frontend[[#This Row],[Data]]="","", _xlfn.XLOOKUP(_xlfn.CONCAT(Buildings_Heat_Backend[[#This Row],[Level 1]:[Level 6]]),rng_LevelsConcat,rng_UnitsLong))</f>
        <v/>
      </c>
      <c r="AF438" s="210" t="str">
        <f>IF(Buildings_Heat_Frontend[[#This Row],[Data]]="","", _xlfn.XLOOKUP(_xlfn.CONCAT(Buildings_Heat_Backend[[#This Row],[Level 1]:[Level 6]]),rng_EFConcat,rng_EF1)*Buildings_Heat_Backend[[#This Row],[Converted data]]/1000)</f>
        <v/>
      </c>
      <c r="AG438" s="210" t="str">
        <f>IF(Buildings_Heat_Frontend[[#This Row],[Data]]="","", _xlfn.XLOOKUP(_xlfn.CONCAT(Buildings_Heat_Backend[[#This Row],[Level 1]:[Level 6]]),rng_EFConcat,rng_EF2)*Buildings_Heat_Backend[[#This Row],[Converted data]]/1000)</f>
        <v/>
      </c>
      <c r="AH438" s="210" t="str">
        <f>IF(Buildings_Heat_Frontend[[#This Row],[Data]]="","", _xlfn.XLOOKUP(_xlfn.CONCAT(Buildings_Heat_Backend[[#This Row],[Level 1]:[Level 6]]),rng_EFConcat,rng_EF3)*Buildings_Heat_Backend[[#This Row],[Converted data]]/1000)</f>
        <v/>
      </c>
      <c r="AI438" s="210" t="str">
        <f>IF(Buildings_Heat_Frontend[[#This Row],[Data]]="","", _xlfn.XLOOKUP(_xlfn.CONCAT(Buildings_Heat_Backend[[#This Row],[Level 1]:[Level 6]]),rng_EFConcat,rng_EF3WTT)*Buildings_Heat_Backend[[#This Row],[Converted data]]/1000)</f>
        <v/>
      </c>
      <c r="AJ438" s="210" t="str">
        <f>IF(Buildings_Heat_Frontend[[#This Row],[Data]]="","", _xlfn.XLOOKUP(_xlfn.CONCAT(Buildings_Heat_Backend[[#This Row],[Level 1]:[Level 6]]),rng_EFConcat,rng_EF3TD)*Buildings_Heat_Backend[[#This Row],[Converted data]]/1000)</f>
        <v/>
      </c>
      <c r="AK438" s="210" t="str">
        <f>IF(Buildings_Heat_Frontend[[#This Row],[Data]]="","", _xlfn.XLOOKUP(_xlfn.CONCAT(Buildings_Heat_Backend[[#This Row],[Level 1]:[Level 6]]),rng_EFConcat,rng_EF3WTTTD)*Buildings_Heat_Backend[[#This Row],[Converted data]]/1000)</f>
        <v/>
      </c>
      <c r="AL438" s="220">
        <f>SUM(Buildings_Heat_Backend[[#This Row],[Scope 1 (tCO2e)]:[Scope 3 WTT T&amp;D (tCO2e)]])</f>
        <v>0</v>
      </c>
      <c r="AM438" s="220" t="str">
        <f>IF(Buildings_Heat_Frontend[[#This Row],[Data]]="","", Buildings_Heat_Backend[[#This Row],[Total (tCO2e)]]*(1-Buildings_Heat_Backend[[#This Row],[RSD]]))</f>
        <v/>
      </c>
      <c r="AN438" s="220" t="str">
        <f>IF(Buildings_Heat_Frontend[[#This Row],[Data]]="","", Buildings_Heat_Backend[[#This Row],[Total (tCO2e)]]*(1+Buildings_Heat_Backend[[#This Row],[RSD]]))</f>
        <v/>
      </c>
      <c r="AO438" s="210" t="str">
        <f>IF(Buildings_Heat_Frontend[[#This Row],[Data]]="","", _xlfn.XLOOKUP(_xlfn.CONCAT(Buildings_Heat_Backend[[#This Row],[Level 1]:[Level 6]]),rng_EFConcat,rng_EFOOS)*Buildings_Heat_Backend[[#This Row],[Converted data]]/1000)</f>
        <v/>
      </c>
      <c r="AP438" s="174">
        <f>Buildings_Heat_Frontend[[#This Row],[Ease of collection]]</f>
        <v>0</v>
      </c>
      <c r="AQ438" s="174">
        <f>Buildings_Heat_Frontend[[#This Row],[Completeness]]</f>
        <v>0</v>
      </c>
      <c r="AR438" s="174">
        <f>Buildings_Heat_Frontend[[#This Row],[Notes]]</f>
        <v>0</v>
      </c>
    </row>
    <row r="439" spans="5:44" x14ac:dyDescent="0.3">
      <c r="E439" s="346"/>
      <c r="F439" s="364"/>
      <c r="G439" s="336"/>
      <c r="H439" s="336"/>
      <c r="I439" s="336"/>
      <c r="J439" s="334"/>
      <c r="K439" s="336"/>
      <c r="L439" s="336"/>
      <c r="M439" s="336"/>
      <c r="N439" s="352"/>
      <c r="O439" s="230">
        <f t="shared" si="20"/>
        <v>6</v>
      </c>
      <c r="Q439" s="212" t="str">
        <f t="shared" si="18"/>
        <v/>
      </c>
      <c r="R439" s="174" t="s">
        <v>265</v>
      </c>
      <c r="S439" s="174" t="s">
        <v>273</v>
      </c>
      <c r="T439" s="174" t="str">
        <f>IF(Buildings_Heat_Frontend[[#This Row],[Data]]="","", _xlfn.XLOOKUP(Buildings_Heat_Backend[[#This Row],[Info 1]],Buildings_SiteInfo[Site name],Buildings_SiteInfo[Site type]))</f>
        <v/>
      </c>
      <c r="U439" s="174" t="str">
        <f>IF(Buildings_Heat_Frontend[[#This Row],[Data]]="","", Buildings_Heat_Frontend[[#This Row],[Heating Type]])</f>
        <v/>
      </c>
      <c r="V439" s="174" t="str">
        <f>IF(Buildings_Heat_Frontend[[#This Row],[Data]]="","", Buildings_Heat_Frontend[[#This Row],[Fuel]])</f>
        <v/>
      </c>
      <c r="W439" s="174" t="str" cm="1">
        <f t="array" ref="W439">IF(Buildings_Heat_Frontend[[#This Row],[Data]]="","", _xlfn.XLOOKUP(Buildings_Heat_Backend[[#This Row],[Level 5]],rng_Level5Long,rng_Level6Long))</f>
        <v/>
      </c>
      <c r="X439" s="174" t="str">
        <f>IF(Buildings_Heat_Frontend[[#This Row],[Data]]="","", Buildings_Heat_Frontend[[#This Row],[Site Name]])</f>
        <v/>
      </c>
      <c r="Y439" s="174" t="str">
        <f>IF(Buildings_Heat_Frontend[[#This Row],[Data]]="","", Buildings_Heat_Frontend[[#This Row],[MPRN]])</f>
        <v/>
      </c>
      <c r="Z439" s="174" t="str">
        <f>IF(Buildings_Heat_Frontend[[#This Row],[Data]]="","", IF($I439="","",$I439))</f>
        <v/>
      </c>
      <c r="AA439" s="229" t="str" cm="1">
        <f t="array" ref="AA439">IF(Buildings_Heat_Frontend[[#This Row],[Data]]="","", INDEX(_xlfn.SWITCH(Buildings_Heat_Backend[[#This Row],[Methodology]],"Tier 1",rng_RSD1,"Tier 2",rng_RSD2,"Tier 3",rng_RSD3),MATCH(_xlfn.CONCAT(Buildings_Heat_Backend[[#This Row],[Level 1]:[Level 6]]),rng_LevelsConcat,0)))</f>
        <v/>
      </c>
      <c r="AB439" s="220" t="str">
        <f t="shared" si="19"/>
        <v/>
      </c>
      <c r="AC439" s="174">
        <f>Buildings_Heat_Frontend[[#This Row],[Units]]</f>
        <v>0</v>
      </c>
      <c r="AD43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39" s="174" t="str">
        <f>IF(Buildings_Heat_Frontend[[#This Row],[Data]]="","", _xlfn.XLOOKUP(_xlfn.CONCAT(Buildings_Heat_Backend[[#This Row],[Level 1]:[Level 6]]),rng_LevelsConcat,rng_UnitsLong))</f>
        <v/>
      </c>
      <c r="AF439" s="210" t="str">
        <f>IF(Buildings_Heat_Frontend[[#This Row],[Data]]="","", _xlfn.XLOOKUP(_xlfn.CONCAT(Buildings_Heat_Backend[[#This Row],[Level 1]:[Level 6]]),rng_EFConcat,rng_EF1)*Buildings_Heat_Backend[[#This Row],[Converted data]]/1000)</f>
        <v/>
      </c>
      <c r="AG439" s="210" t="str">
        <f>IF(Buildings_Heat_Frontend[[#This Row],[Data]]="","", _xlfn.XLOOKUP(_xlfn.CONCAT(Buildings_Heat_Backend[[#This Row],[Level 1]:[Level 6]]),rng_EFConcat,rng_EF2)*Buildings_Heat_Backend[[#This Row],[Converted data]]/1000)</f>
        <v/>
      </c>
      <c r="AH439" s="210" t="str">
        <f>IF(Buildings_Heat_Frontend[[#This Row],[Data]]="","", _xlfn.XLOOKUP(_xlfn.CONCAT(Buildings_Heat_Backend[[#This Row],[Level 1]:[Level 6]]),rng_EFConcat,rng_EF3)*Buildings_Heat_Backend[[#This Row],[Converted data]]/1000)</f>
        <v/>
      </c>
      <c r="AI439" s="210" t="str">
        <f>IF(Buildings_Heat_Frontend[[#This Row],[Data]]="","", _xlfn.XLOOKUP(_xlfn.CONCAT(Buildings_Heat_Backend[[#This Row],[Level 1]:[Level 6]]),rng_EFConcat,rng_EF3WTT)*Buildings_Heat_Backend[[#This Row],[Converted data]]/1000)</f>
        <v/>
      </c>
      <c r="AJ439" s="210" t="str">
        <f>IF(Buildings_Heat_Frontend[[#This Row],[Data]]="","", _xlfn.XLOOKUP(_xlfn.CONCAT(Buildings_Heat_Backend[[#This Row],[Level 1]:[Level 6]]),rng_EFConcat,rng_EF3TD)*Buildings_Heat_Backend[[#This Row],[Converted data]]/1000)</f>
        <v/>
      </c>
      <c r="AK439" s="210" t="str">
        <f>IF(Buildings_Heat_Frontend[[#This Row],[Data]]="","", _xlfn.XLOOKUP(_xlfn.CONCAT(Buildings_Heat_Backend[[#This Row],[Level 1]:[Level 6]]),rng_EFConcat,rng_EF3WTTTD)*Buildings_Heat_Backend[[#This Row],[Converted data]]/1000)</f>
        <v/>
      </c>
      <c r="AL439" s="220">
        <f>SUM(Buildings_Heat_Backend[[#This Row],[Scope 1 (tCO2e)]:[Scope 3 WTT T&amp;D (tCO2e)]])</f>
        <v>0</v>
      </c>
      <c r="AM439" s="220" t="str">
        <f>IF(Buildings_Heat_Frontend[[#This Row],[Data]]="","", Buildings_Heat_Backend[[#This Row],[Total (tCO2e)]]*(1-Buildings_Heat_Backend[[#This Row],[RSD]]))</f>
        <v/>
      </c>
      <c r="AN439" s="220" t="str">
        <f>IF(Buildings_Heat_Frontend[[#This Row],[Data]]="","", Buildings_Heat_Backend[[#This Row],[Total (tCO2e)]]*(1+Buildings_Heat_Backend[[#This Row],[RSD]]))</f>
        <v/>
      </c>
      <c r="AO439" s="210" t="str">
        <f>IF(Buildings_Heat_Frontend[[#This Row],[Data]]="","", _xlfn.XLOOKUP(_xlfn.CONCAT(Buildings_Heat_Backend[[#This Row],[Level 1]:[Level 6]]),rng_EFConcat,rng_EFOOS)*Buildings_Heat_Backend[[#This Row],[Converted data]]/1000)</f>
        <v/>
      </c>
      <c r="AP439" s="174">
        <f>Buildings_Heat_Frontend[[#This Row],[Ease of collection]]</f>
        <v>0</v>
      </c>
      <c r="AQ439" s="174">
        <f>Buildings_Heat_Frontend[[#This Row],[Completeness]]</f>
        <v>0</v>
      </c>
      <c r="AR439" s="174">
        <f>Buildings_Heat_Frontend[[#This Row],[Notes]]</f>
        <v>0</v>
      </c>
    </row>
    <row r="440" spans="5:44" x14ac:dyDescent="0.3">
      <c r="E440" s="346"/>
      <c r="F440" s="364"/>
      <c r="G440" s="336"/>
      <c r="H440" s="336"/>
      <c r="I440" s="336"/>
      <c r="J440" s="334"/>
      <c r="K440" s="336"/>
      <c r="L440" s="336"/>
      <c r="M440" s="336"/>
      <c r="N440" s="352"/>
      <c r="O440" s="230">
        <f t="shared" si="20"/>
        <v>6</v>
      </c>
      <c r="Q440" s="212" t="str">
        <f t="shared" si="18"/>
        <v/>
      </c>
      <c r="R440" s="174" t="s">
        <v>265</v>
      </c>
      <c r="S440" s="174" t="s">
        <v>273</v>
      </c>
      <c r="T440" s="174" t="str">
        <f>IF(Buildings_Heat_Frontend[[#This Row],[Data]]="","", _xlfn.XLOOKUP(Buildings_Heat_Backend[[#This Row],[Info 1]],Buildings_SiteInfo[Site name],Buildings_SiteInfo[Site type]))</f>
        <v/>
      </c>
      <c r="U440" s="174" t="str">
        <f>IF(Buildings_Heat_Frontend[[#This Row],[Data]]="","", Buildings_Heat_Frontend[[#This Row],[Heating Type]])</f>
        <v/>
      </c>
      <c r="V440" s="174" t="str">
        <f>IF(Buildings_Heat_Frontend[[#This Row],[Data]]="","", Buildings_Heat_Frontend[[#This Row],[Fuel]])</f>
        <v/>
      </c>
      <c r="W440" s="174" t="str" cm="1">
        <f t="array" ref="W440">IF(Buildings_Heat_Frontend[[#This Row],[Data]]="","", _xlfn.XLOOKUP(Buildings_Heat_Backend[[#This Row],[Level 5]],rng_Level5Long,rng_Level6Long))</f>
        <v/>
      </c>
      <c r="X440" s="174" t="str">
        <f>IF(Buildings_Heat_Frontend[[#This Row],[Data]]="","", Buildings_Heat_Frontend[[#This Row],[Site Name]])</f>
        <v/>
      </c>
      <c r="Y440" s="174" t="str">
        <f>IF(Buildings_Heat_Frontend[[#This Row],[Data]]="","", Buildings_Heat_Frontend[[#This Row],[MPRN]])</f>
        <v/>
      </c>
      <c r="Z440" s="174" t="str">
        <f>IF(Buildings_Heat_Frontend[[#This Row],[Data]]="","", IF($I440="","",$I440))</f>
        <v/>
      </c>
      <c r="AA440" s="229" t="str" cm="1">
        <f t="array" ref="AA440">IF(Buildings_Heat_Frontend[[#This Row],[Data]]="","", INDEX(_xlfn.SWITCH(Buildings_Heat_Backend[[#This Row],[Methodology]],"Tier 1",rng_RSD1,"Tier 2",rng_RSD2,"Tier 3",rng_RSD3),MATCH(_xlfn.CONCAT(Buildings_Heat_Backend[[#This Row],[Level 1]:[Level 6]]),rng_LevelsConcat,0)))</f>
        <v/>
      </c>
      <c r="AB440" s="220" t="str">
        <f t="shared" si="19"/>
        <v/>
      </c>
      <c r="AC440" s="174">
        <f>Buildings_Heat_Frontend[[#This Row],[Units]]</f>
        <v>0</v>
      </c>
      <c r="AD44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0" s="174" t="str">
        <f>IF(Buildings_Heat_Frontend[[#This Row],[Data]]="","", _xlfn.XLOOKUP(_xlfn.CONCAT(Buildings_Heat_Backend[[#This Row],[Level 1]:[Level 6]]),rng_LevelsConcat,rng_UnitsLong))</f>
        <v/>
      </c>
      <c r="AF440" s="210" t="str">
        <f>IF(Buildings_Heat_Frontend[[#This Row],[Data]]="","", _xlfn.XLOOKUP(_xlfn.CONCAT(Buildings_Heat_Backend[[#This Row],[Level 1]:[Level 6]]),rng_EFConcat,rng_EF1)*Buildings_Heat_Backend[[#This Row],[Converted data]]/1000)</f>
        <v/>
      </c>
      <c r="AG440" s="210" t="str">
        <f>IF(Buildings_Heat_Frontend[[#This Row],[Data]]="","", _xlfn.XLOOKUP(_xlfn.CONCAT(Buildings_Heat_Backend[[#This Row],[Level 1]:[Level 6]]),rng_EFConcat,rng_EF2)*Buildings_Heat_Backend[[#This Row],[Converted data]]/1000)</f>
        <v/>
      </c>
      <c r="AH440" s="210" t="str">
        <f>IF(Buildings_Heat_Frontend[[#This Row],[Data]]="","", _xlfn.XLOOKUP(_xlfn.CONCAT(Buildings_Heat_Backend[[#This Row],[Level 1]:[Level 6]]),rng_EFConcat,rng_EF3)*Buildings_Heat_Backend[[#This Row],[Converted data]]/1000)</f>
        <v/>
      </c>
      <c r="AI440" s="210" t="str">
        <f>IF(Buildings_Heat_Frontend[[#This Row],[Data]]="","", _xlfn.XLOOKUP(_xlfn.CONCAT(Buildings_Heat_Backend[[#This Row],[Level 1]:[Level 6]]),rng_EFConcat,rng_EF3WTT)*Buildings_Heat_Backend[[#This Row],[Converted data]]/1000)</f>
        <v/>
      </c>
      <c r="AJ440" s="210" t="str">
        <f>IF(Buildings_Heat_Frontend[[#This Row],[Data]]="","", _xlfn.XLOOKUP(_xlfn.CONCAT(Buildings_Heat_Backend[[#This Row],[Level 1]:[Level 6]]),rng_EFConcat,rng_EF3TD)*Buildings_Heat_Backend[[#This Row],[Converted data]]/1000)</f>
        <v/>
      </c>
      <c r="AK440" s="210" t="str">
        <f>IF(Buildings_Heat_Frontend[[#This Row],[Data]]="","", _xlfn.XLOOKUP(_xlfn.CONCAT(Buildings_Heat_Backend[[#This Row],[Level 1]:[Level 6]]),rng_EFConcat,rng_EF3WTTTD)*Buildings_Heat_Backend[[#This Row],[Converted data]]/1000)</f>
        <v/>
      </c>
      <c r="AL440" s="220">
        <f>SUM(Buildings_Heat_Backend[[#This Row],[Scope 1 (tCO2e)]:[Scope 3 WTT T&amp;D (tCO2e)]])</f>
        <v>0</v>
      </c>
      <c r="AM440" s="220" t="str">
        <f>IF(Buildings_Heat_Frontend[[#This Row],[Data]]="","", Buildings_Heat_Backend[[#This Row],[Total (tCO2e)]]*(1-Buildings_Heat_Backend[[#This Row],[RSD]]))</f>
        <v/>
      </c>
      <c r="AN440" s="220" t="str">
        <f>IF(Buildings_Heat_Frontend[[#This Row],[Data]]="","", Buildings_Heat_Backend[[#This Row],[Total (tCO2e)]]*(1+Buildings_Heat_Backend[[#This Row],[RSD]]))</f>
        <v/>
      </c>
      <c r="AO440" s="210" t="str">
        <f>IF(Buildings_Heat_Frontend[[#This Row],[Data]]="","", _xlfn.XLOOKUP(_xlfn.CONCAT(Buildings_Heat_Backend[[#This Row],[Level 1]:[Level 6]]),rng_EFConcat,rng_EFOOS)*Buildings_Heat_Backend[[#This Row],[Converted data]]/1000)</f>
        <v/>
      </c>
      <c r="AP440" s="174">
        <f>Buildings_Heat_Frontend[[#This Row],[Ease of collection]]</f>
        <v>0</v>
      </c>
      <c r="AQ440" s="174">
        <f>Buildings_Heat_Frontend[[#This Row],[Completeness]]</f>
        <v>0</v>
      </c>
      <c r="AR440" s="174">
        <f>Buildings_Heat_Frontend[[#This Row],[Notes]]</f>
        <v>0</v>
      </c>
    </row>
    <row r="441" spans="5:44" x14ac:dyDescent="0.3">
      <c r="E441" s="346"/>
      <c r="F441" s="364"/>
      <c r="G441" s="336"/>
      <c r="H441" s="336"/>
      <c r="I441" s="336"/>
      <c r="J441" s="334"/>
      <c r="K441" s="336"/>
      <c r="L441" s="336"/>
      <c r="M441" s="336"/>
      <c r="N441" s="352"/>
      <c r="O441" s="230">
        <f t="shared" si="20"/>
        <v>6</v>
      </c>
      <c r="Q441" s="212" t="str">
        <f t="shared" si="18"/>
        <v/>
      </c>
      <c r="R441" s="174" t="s">
        <v>265</v>
      </c>
      <c r="S441" s="174" t="s">
        <v>273</v>
      </c>
      <c r="T441" s="174" t="str">
        <f>IF(Buildings_Heat_Frontend[[#This Row],[Data]]="","", _xlfn.XLOOKUP(Buildings_Heat_Backend[[#This Row],[Info 1]],Buildings_SiteInfo[Site name],Buildings_SiteInfo[Site type]))</f>
        <v/>
      </c>
      <c r="U441" s="174" t="str">
        <f>IF(Buildings_Heat_Frontend[[#This Row],[Data]]="","", Buildings_Heat_Frontend[[#This Row],[Heating Type]])</f>
        <v/>
      </c>
      <c r="V441" s="174" t="str">
        <f>IF(Buildings_Heat_Frontend[[#This Row],[Data]]="","", Buildings_Heat_Frontend[[#This Row],[Fuel]])</f>
        <v/>
      </c>
      <c r="W441" s="174" t="str" cm="1">
        <f t="array" ref="W441">IF(Buildings_Heat_Frontend[[#This Row],[Data]]="","", _xlfn.XLOOKUP(Buildings_Heat_Backend[[#This Row],[Level 5]],rng_Level5Long,rng_Level6Long))</f>
        <v/>
      </c>
      <c r="X441" s="174" t="str">
        <f>IF(Buildings_Heat_Frontend[[#This Row],[Data]]="","", Buildings_Heat_Frontend[[#This Row],[Site Name]])</f>
        <v/>
      </c>
      <c r="Y441" s="174" t="str">
        <f>IF(Buildings_Heat_Frontend[[#This Row],[Data]]="","", Buildings_Heat_Frontend[[#This Row],[MPRN]])</f>
        <v/>
      </c>
      <c r="Z441" s="174" t="str">
        <f>IF(Buildings_Heat_Frontend[[#This Row],[Data]]="","", IF($I441="","",$I441))</f>
        <v/>
      </c>
      <c r="AA441" s="229" t="str" cm="1">
        <f t="array" ref="AA441">IF(Buildings_Heat_Frontend[[#This Row],[Data]]="","", INDEX(_xlfn.SWITCH(Buildings_Heat_Backend[[#This Row],[Methodology]],"Tier 1",rng_RSD1,"Tier 2",rng_RSD2,"Tier 3",rng_RSD3),MATCH(_xlfn.CONCAT(Buildings_Heat_Backend[[#This Row],[Level 1]:[Level 6]]),rng_LevelsConcat,0)))</f>
        <v/>
      </c>
      <c r="AB441" s="220" t="str">
        <f t="shared" si="19"/>
        <v/>
      </c>
      <c r="AC441" s="174">
        <f>Buildings_Heat_Frontend[[#This Row],[Units]]</f>
        <v>0</v>
      </c>
      <c r="AD44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1" s="174" t="str">
        <f>IF(Buildings_Heat_Frontend[[#This Row],[Data]]="","", _xlfn.XLOOKUP(_xlfn.CONCAT(Buildings_Heat_Backend[[#This Row],[Level 1]:[Level 6]]),rng_LevelsConcat,rng_UnitsLong))</f>
        <v/>
      </c>
      <c r="AF441" s="210" t="str">
        <f>IF(Buildings_Heat_Frontend[[#This Row],[Data]]="","", _xlfn.XLOOKUP(_xlfn.CONCAT(Buildings_Heat_Backend[[#This Row],[Level 1]:[Level 6]]),rng_EFConcat,rng_EF1)*Buildings_Heat_Backend[[#This Row],[Converted data]]/1000)</f>
        <v/>
      </c>
      <c r="AG441" s="210" t="str">
        <f>IF(Buildings_Heat_Frontend[[#This Row],[Data]]="","", _xlfn.XLOOKUP(_xlfn.CONCAT(Buildings_Heat_Backend[[#This Row],[Level 1]:[Level 6]]),rng_EFConcat,rng_EF2)*Buildings_Heat_Backend[[#This Row],[Converted data]]/1000)</f>
        <v/>
      </c>
      <c r="AH441" s="210" t="str">
        <f>IF(Buildings_Heat_Frontend[[#This Row],[Data]]="","", _xlfn.XLOOKUP(_xlfn.CONCAT(Buildings_Heat_Backend[[#This Row],[Level 1]:[Level 6]]),rng_EFConcat,rng_EF3)*Buildings_Heat_Backend[[#This Row],[Converted data]]/1000)</f>
        <v/>
      </c>
      <c r="AI441" s="210" t="str">
        <f>IF(Buildings_Heat_Frontend[[#This Row],[Data]]="","", _xlfn.XLOOKUP(_xlfn.CONCAT(Buildings_Heat_Backend[[#This Row],[Level 1]:[Level 6]]),rng_EFConcat,rng_EF3WTT)*Buildings_Heat_Backend[[#This Row],[Converted data]]/1000)</f>
        <v/>
      </c>
      <c r="AJ441" s="210" t="str">
        <f>IF(Buildings_Heat_Frontend[[#This Row],[Data]]="","", _xlfn.XLOOKUP(_xlfn.CONCAT(Buildings_Heat_Backend[[#This Row],[Level 1]:[Level 6]]),rng_EFConcat,rng_EF3TD)*Buildings_Heat_Backend[[#This Row],[Converted data]]/1000)</f>
        <v/>
      </c>
      <c r="AK441" s="210" t="str">
        <f>IF(Buildings_Heat_Frontend[[#This Row],[Data]]="","", _xlfn.XLOOKUP(_xlfn.CONCAT(Buildings_Heat_Backend[[#This Row],[Level 1]:[Level 6]]),rng_EFConcat,rng_EF3WTTTD)*Buildings_Heat_Backend[[#This Row],[Converted data]]/1000)</f>
        <v/>
      </c>
      <c r="AL441" s="220">
        <f>SUM(Buildings_Heat_Backend[[#This Row],[Scope 1 (tCO2e)]:[Scope 3 WTT T&amp;D (tCO2e)]])</f>
        <v>0</v>
      </c>
      <c r="AM441" s="220" t="str">
        <f>IF(Buildings_Heat_Frontend[[#This Row],[Data]]="","", Buildings_Heat_Backend[[#This Row],[Total (tCO2e)]]*(1-Buildings_Heat_Backend[[#This Row],[RSD]]))</f>
        <v/>
      </c>
      <c r="AN441" s="220" t="str">
        <f>IF(Buildings_Heat_Frontend[[#This Row],[Data]]="","", Buildings_Heat_Backend[[#This Row],[Total (tCO2e)]]*(1+Buildings_Heat_Backend[[#This Row],[RSD]]))</f>
        <v/>
      </c>
      <c r="AO441" s="210" t="str">
        <f>IF(Buildings_Heat_Frontend[[#This Row],[Data]]="","", _xlfn.XLOOKUP(_xlfn.CONCAT(Buildings_Heat_Backend[[#This Row],[Level 1]:[Level 6]]),rng_EFConcat,rng_EFOOS)*Buildings_Heat_Backend[[#This Row],[Converted data]]/1000)</f>
        <v/>
      </c>
      <c r="AP441" s="174">
        <f>Buildings_Heat_Frontend[[#This Row],[Ease of collection]]</f>
        <v>0</v>
      </c>
      <c r="AQ441" s="174">
        <f>Buildings_Heat_Frontend[[#This Row],[Completeness]]</f>
        <v>0</v>
      </c>
      <c r="AR441" s="174">
        <f>Buildings_Heat_Frontend[[#This Row],[Notes]]</f>
        <v>0</v>
      </c>
    </row>
    <row r="442" spans="5:44" x14ac:dyDescent="0.3">
      <c r="E442" s="346"/>
      <c r="F442" s="364"/>
      <c r="G442" s="336"/>
      <c r="H442" s="336"/>
      <c r="I442" s="336"/>
      <c r="J442" s="334"/>
      <c r="K442" s="336"/>
      <c r="L442" s="336"/>
      <c r="M442" s="336"/>
      <c r="N442" s="352"/>
      <c r="O442" s="230">
        <f t="shared" si="20"/>
        <v>6</v>
      </c>
      <c r="Q442" s="212" t="str">
        <f t="shared" si="18"/>
        <v/>
      </c>
      <c r="R442" s="174" t="s">
        <v>265</v>
      </c>
      <c r="S442" s="174" t="s">
        <v>273</v>
      </c>
      <c r="T442" s="174" t="str">
        <f>IF(Buildings_Heat_Frontend[[#This Row],[Data]]="","", _xlfn.XLOOKUP(Buildings_Heat_Backend[[#This Row],[Info 1]],Buildings_SiteInfo[Site name],Buildings_SiteInfo[Site type]))</f>
        <v/>
      </c>
      <c r="U442" s="174" t="str">
        <f>IF(Buildings_Heat_Frontend[[#This Row],[Data]]="","", Buildings_Heat_Frontend[[#This Row],[Heating Type]])</f>
        <v/>
      </c>
      <c r="V442" s="174" t="str">
        <f>IF(Buildings_Heat_Frontend[[#This Row],[Data]]="","", Buildings_Heat_Frontend[[#This Row],[Fuel]])</f>
        <v/>
      </c>
      <c r="W442" s="174" t="str" cm="1">
        <f t="array" ref="W442">IF(Buildings_Heat_Frontend[[#This Row],[Data]]="","", _xlfn.XLOOKUP(Buildings_Heat_Backend[[#This Row],[Level 5]],rng_Level5Long,rng_Level6Long))</f>
        <v/>
      </c>
      <c r="X442" s="174" t="str">
        <f>IF(Buildings_Heat_Frontend[[#This Row],[Data]]="","", Buildings_Heat_Frontend[[#This Row],[Site Name]])</f>
        <v/>
      </c>
      <c r="Y442" s="174" t="str">
        <f>IF(Buildings_Heat_Frontend[[#This Row],[Data]]="","", Buildings_Heat_Frontend[[#This Row],[MPRN]])</f>
        <v/>
      </c>
      <c r="Z442" s="174" t="str">
        <f>IF(Buildings_Heat_Frontend[[#This Row],[Data]]="","", IF($I442="","",$I442))</f>
        <v/>
      </c>
      <c r="AA442" s="229" t="str" cm="1">
        <f t="array" ref="AA442">IF(Buildings_Heat_Frontend[[#This Row],[Data]]="","", INDEX(_xlfn.SWITCH(Buildings_Heat_Backend[[#This Row],[Methodology]],"Tier 1",rng_RSD1,"Tier 2",rng_RSD2,"Tier 3",rng_RSD3),MATCH(_xlfn.CONCAT(Buildings_Heat_Backend[[#This Row],[Level 1]:[Level 6]]),rng_LevelsConcat,0)))</f>
        <v/>
      </c>
      <c r="AB442" s="220" t="str">
        <f t="shared" si="19"/>
        <v/>
      </c>
      <c r="AC442" s="174">
        <f>Buildings_Heat_Frontend[[#This Row],[Units]]</f>
        <v>0</v>
      </c>
      <c r="AD44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2" s="174" t="str">
        <f>IF(Buildings_Heat_Frontend[[#This Row],[Data]]="","", _xlfn.XLOOKUP(_xlfn.CONCAT(Buildings_Heat_Backend[[#This Row],[Level 1]:[Level 6]]),rng_LevelsConcat,rng_UnitsLong))</f>
        <v/>
      </c>
      <c r="AF442" s="210" t="str">
        <f>IF(Buildings_Heat_Frontend[[#This Row],[Data]]="","", _xlfn.XLOOKUP(_xlfn.CONCAT(Buildings_Heat_Backend[[#This Row],[Level 1]:[Level 6]]),rng_EFConcat,rng_EF1)*Buildings_Heat_Backend[[#This Row],[Converted data]]/1000)</f>
        <v/>
      </c>
      <c r="AG442" s="210" t="str">
        <f>IF(Buildings_Heat_Frontend[[#This Row],[Data]]="","", _xlfn.XLOOKUP(_xlfn.CONCAT(Buildings_Heat_Backend[[#This Row],[Level 1]:[Level 6]]),rng_EFConcat,rng_EF2)*Buildings_Heat_Backend[[#This Row],[Converted data]]/1000)</f>
        <v/>
      </c>
      <c r="AH442" s="210" t="str">
        <f>IF(Buildings_Heat_Frontend[[#This Row],[Data]]="","", _xlfn.XLOOKUP(_xlfn.CONCAT(Buildings_Heat_Backend[[#This Row],[Level 1]:[Level 6]]),rng_EFConcat,rng_EF3)*Buildings_Heat_Backend[[#This Row],[Converted data]]/1000)</f>
        <v/>
      </c>
      <c r="AI442" s="210" t="str">
        <f>IF(Buildings_Heat_Frontend[[#This Row],[Data]]="","", _xlfn.XLOOKUP(_xlfn.CONCAT(Buildings_Heat_Backend[[#This Row],[Level 1]:[Level 6]]),rng_EFConcat,rng_EF3WTT)*Buildings_Heat_Backend[[#This Row],[Converted data]]/1000)</f>
        <v/>
      </c>
      <c r="AJ442" s="210" t="str">
        <f>IF(Buildings_Heat_Frontend[[#This Row],[Data]]="","", _xlfn.XLOOKUP(_xlfn.CONCAT(Buildings_Heat_Backend[[#This Row],[Level 1]:[Level 6]]),rng_EFConcat,rng_EF3TD)*Buildings_Heat_Backend[[#This Row],[Converted data]]/1000)</f>
        <v/>
      </c>
      <c r="AK442" s="210" t="str">
        <f>IF(Buildings_Heat_Frontend[[#This Row],[Data]]="","", _xlfn.XLOOKUP(_xlfn.CONCAT(Buildings_Heat_Backend[[#This Row],[Level 1]:[Level 6]]),rng_EFConcat,rng_EF3WTTTD)*Buildings_Heat_Backend[[#This Row],[Converted data]]/1000)</f>
        <v/>
      </c>
      <c r="AL442" s="220">
        <f>SUM(Buildings_Heat_Backend[[#This Row],[Scope 1 (tCO2e)]:[Scope 3 WTT T&amp;D (tCO2e)]])</f>
        <v>0</v>
      </c>
      <c r="AM442" s="220" t="str">
        <f>IF(Buildings_Heat_Frontend[[#This Row],[Data]]="","", Buildings_Heat_Backend[[#This Row],[Total (tCO2e)]]*(1-Buildings_Heat_Backend[[#This Row],[RSD]]))</f>
        <v/>
      </c>
      <c r="AN442" s="220" t="str">
        <f>IF(Buildings_Heat_Frontend[[#This Row],[Data]]="","", Buildings_Heat_Backend[[#This Row],[Total (tCO2e)]]*(1+Buildings_Heat_Backend[[#This Row],[RSD]]))</f>
        <v/>
      </c>
      <c r="AO442" s="210" t="str">
        <f>IF(Buildings_Heat_Frontend[[#This Row],[Data]]="","", _xlfn.XLOOKUP(_xlfn.CONCAT(Buildings_Heat_Backend[[#This Row],[Level 1]:[Level 6]]),rng_EFConcat,rng_EFOOS)*Buildings_Heat_Backend[[#This Row],[Converted data]]/1000)</f>
        <v/>
      </c>
      <c r="AP442" s="174">
        <f>Buildings_Heat_Frontend[[#This Row],[Ease of collection]]</f>
        <v>0</v>
      </c>
      <c r="AQ442" s="174">
        <f>Buildings_Heat_Frontend[[#This Row],[Completeness]]</f>
        <v>0</v>
      </c>
      <c r="AR442" s="174">
        <f>Buildings_Heat_Frontend[[#This Row],[Notes]]</f>
        <v>0</v>
      </c>
    </row>
    <row r="443" spans="5:44" x14ac:dyDescent="0.3">
      <c r="E443" s="346"/>
      <c r="F443" s="364"/>
      <c r="G443" s="336"/>
      <c r="H443" s="336"/>
      <c r="I443" s="336"/>
      <c r="J443" s="334"/>
      <c r="K443" s="336"/>
      <c r="L443" s="336"/>
      <c r="M443" s="336"/>
      <c r="N443" s="352"/>
      <c r="O443" s="230">
        <f t="shared" si="20"/>
        <v>6</v>
      </c>
      <c r="Q443" s="212" t="str">
        <f t="shared" si="18"/>
        <v/>
      </c>
      <c r="R443" s="174" t="s">
        <v>265</v>
      </c>
      <c r="S443" s="174" t="s">
        <v>273</v>
      </c>
      <c r="T443" s="174" t="str">
        <f>IF(Buildings_Heat_Frontend[[#This Row],[Data]]="","", _xlfn.XLOOKUP(Buildings_Heat_Backend[[#This Row],[Info 1]],Buildings_SiteInfo[Site name],Buildings_SiteInfo[Site type]))</f>
        <v/>
      </c>
      <c r="U443" s="174" t="str">
        <f>IF(Buildings_Heat_Frontend[[#This Row],[Data]]="","", Buildings_Heat_Frontend[[#This Row],[Heating Type]])</f>
        <v/>
      </c>
      <c r="V443" s="174" t="str">
        <f>IF(Buildings_Heat_Frontend[[#This Row],[Data]]="","", Buildings_Heat_Frontend[[#This Row],[Fuel]])</f>
        <v/>
      </c>
      <c r="W443" s="174" t="str" cm="1">
        <f t="array" ref="W443">IF(Buildings_Heat_Frontend[[#This Row],[Data]]="","", _xlfn.XLOOKUP(Buildings_Heat_Backend[[#This Row],[Level 5]],rng_Level5Long,rng_Level6Long))</f>
        <v/>
      </c>
      <c r="X443" s="174" t="str">
        <f>IF(Buildings_Heat_Frontend[[#This Row],[Data]]="","", Buildings_Heat_Frontend[[#This Row],[Site Name]])</f>
        <v/>
      </c>
      <c r="Y443" s="174" t="str">
        <f>IF(Buildings_Heat_Frontend[[#This Row],[Data]]="","", Buildings_Heat_Frontend[[#This Row],[MPRN]])</f>
        <v/>
      </c>
      <c r="Z443" s="174" t="str">
        <f>IF(Buildings_Heat_Frontend[[#This Row],[Data]]="","", IF($I443="","",$I443))</f>
        <v/>
      </c>
      <c r="AA443" s="229" t="str" cm="1">
        <f t="array" ref="AA443">IF(Buildings_Heat_Frontend[[#This Row],[Data]]="","", INDEX(_xlfn.SWITCH(Buildings_Heat_Backend[[#This Row],[Methodology]],"Tier 1",rng_RSD1,"Tier 2",rng_RSD2,"Tier 3",rng_RSD3),MATCH(_xlfn.CONCAT(Buildings_Heat_Backend[[#This Row],[Level 1]:[Level 6]]),rng_LevelsConcat,0)))</f>
        <v/>
      </c>
      <c r="AB443" s="220" t="str">
        <f t="shared" si="19"/>
        <v/>
      </c>
      <c r="AC443" s="174">
        <f>Buildings_Heat_Frontend[[#This Row],[Units]]</f>
        <v>0</v>
      </c>
      <c r="AD44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3" s="174" t="str">
        <f>IF(Buildings_Heat_Frontend[[#This Row],[Data]]="","", _xlfn.XLOOKUP(_xlfn.CONCAT(Buildings_Heat_Backend[[#This Row],[Level 1]:[Level 6]]),rng_LevelsConcat,rng_UnitsLong))</f>
        <v/>
      </c>
      <c r="AF443" s="210" t="str">
        <f>IF(Buildings_Heat_Frontend[[#This Row],[Data]]="","", _xlfn.XLOOKUP(_xlfn.CONCAT(Buildings_Heat_Backend[[#This Row],[Level 1]:[Level 6]]),rng_EFConcat,rng_EF1)*Buildings_Heat_Backend[[#This Row],[Converted data]]/1000)</f>
        <v/>
      </c>
      <c r="AG443" s="210" t="str">
        <f>IF(Buildings_Heat_Frontend[[#This Row],[Data]]="","", _xlfn.XLOOKUP(_xlfn.CONCAT(Buildings_Heat_Backend[[#This Row],[Level 1]:[Level 6]]),rng_EFConcat,rng_EF2)*Buildings_Heat_Backend[[#This Row],[Converted data]]/1000)</f>
        <v/>
      </c>
      <c r="AH443" s="210" t="str">
        <f>IF(Buildings_Heat_Frontend[[#This Row],[Data]]="","", _xlfn.XLOOKUP(_xlfn.CONCAT(Buildings_Heat_Backend[[#This Row],[Level 1]:[Level 6]]),rng_EFConcat,rng_EF3)*Buildings_Heat_Backend[[#This Row],[Converted data]]/1000)</f>
        <v/>
      </c>
      <c r="AI443" s="210" t="str">
        <f>IF(Buildings_Heat_Frontend[[#This Row],[Data]]="","", _xlfn.XLOOKUP(_xlfn.CONCAT(Buildings_Heat_Backend[[#This Row],[Level 1]:[Level 6]]),rng_EFConcat,rng_EF3WTT)*Buildings_Heat_Backend[[#This Row],[Converted data]]/1000)</f>
        <v/>
      </c>
      <c r="AJ443" s="210" t="str">
        <f>IF(Buildings_Heat_Frontend[[#This Row],[Data]]="","", _xlfn.XLOOKUP(_xlfn.CONCAT(Buildings_Heat_Backend[[#This Row],[Level 1]:[Level 6]]),rng_EFConcat,rng_EF3TD)*Buildings_Heat_Backend[[#This Row],[Converted data]]/1000)</f>
        <v/>
      </c>
      <c r="AK443" s="210" t="str">
        <f>IF(Buildings_Heat_Frontend[[#This Row],[Data]]="","", _xlfn.XLOOKUP(_xlfn.CONCAT(Buildings_Heat_Backend[[#This Row],[Level 1]:[Level 6]]),rng_EFConcat,rng_EF3WTTTD)*Buildings_Heat_Backend[[#This Row],[Converted data]]/1000)</f>
        <v/>
      </c>
      <c r="AL443" s="220">
        <f>SUM(Buildings_Heat_Backend[[#This Row],[Scope 1 (tCO2e)]:[Scope 3 WTT T&amp;D (tCO2e)]])</f>
        <v>0</v>
      </c>
      <c r="AM443" s="220" t="str">
        <f>IF(Buildings_Heat_Frontend[[#This Row],[Data]]="","", Buildings_Heat_Backend[[#This Row],[Total (tCO2e)]]*(1-Buildings_Heat_Backend[[#This Row],[RSD]]))</f>
        <v/>
      </c>
      <c r="AN443" s="220" t="str">
        <f>IF(Buildings_Heat_Frontend[[#This Row],[Data]]="","", Buildings_Heat_Backend[[#This Row],[Total (tCO2e)]]*(1+Buildings_Heat_Backend[[#This Row],[RSD]]))</f>
        <v/>
      </c>
      <c r="AO443" s="210" t="str">
        <f>IF(Buildings_Heat_Frontend[[#This Row],[Data]]="","", _xlfn.XLOOKUP(_xlfn.CONCAT(Buildings_Heat_Backend[[#This Row],[Level 1]:[Level 6]]),rng_EFConcat,rng_EFOOS)*Buildings_Heat_Backend[[#This Row],[Converted data]]/1000)</f>
        <v/>
      </c>
      <c r="AP443" s="174">
        <f>Buildings_Heat_Frontend[[#This Row],[Ease of collection]]</f>
        <v>0</v>
      </c>
      <c r="AQ443" s="174">
        <f>Buildings_Heat_Frontend[[#This Row],[Completeness]]</f>
        <v>0</v>
      </c>
      <c r="AR443" s="174">
        <f>Buildings_Heat_Frontend[[#This Row],[Notes]]</f>
        <v>0</v>
      </c>
    </row>
    <row r="444" spans="5:44" x14ac:dyDescent="0.3">
      <c r="E444" s="346"/>
      <c r="F444" s="364"/>
      <c r="G444" s="336"/>
      <c r="H444" s="336"/>
      <c r="I444" s="336"/>
      <c r="J444" s="334"/>
      <c r="K444" s="336"/>
      <c r="L444" s="336"/>
      <c r="M444" s="336"/>
      <c r="N444" s="352"/>
      <c r="O444" s="230">
        <f t="shared" si="20"/>
        <v>6</v>
      </c>
      <c r="Q444" s="212" t="str">
        <f t="shared" si="18"/>
        <v/>
      </c>
      <c r="R444" s="174" t="s">
        <v>265</v>
      </c>
      <c r="S444" s="174" t="s">
        <v>273</v>
      </c>
      <c r="T444" s="174" t="str">
        <f>IF(Buildings_Heat_Frontend[[#This Row],[Data]]="","", _xlfn.XLOOKUP(Buildings_Heat_Backend[[#This Row],[Info 1]],Buildings_SiteInfo[Site name],Buildings_SiteInfo[Site type]))</f>
        <v/>
      </c>
      <c r="U444" s="174" t="str">
        <f>IF(Buildings_Heat_Frontend[[#This Row],[Data]]="","", Buildings_Heat_Frontend[[#This Row],[Heating Type]])</f>
        <v/>
      </c>
      <c r="V444" s="174" t="str">
        <f>IF(Buildings_Heat_Frontend[[#This Row],[Data]]="","", Buildings_Heat_Frontend[[#This Row],[Fuel]])</f>
        <v/>
      </c>
      <c r="W444" s="174" t="str" cm="1">
        <f t="array" ref="W444">IF(Buildings_Heat_Frontend[[#This Row],[Data]]="","", _xlfn.XLOOKUP(Buildings_Heat_Backend[[#This Row],[Level 5]],rng_Level5Long,rng_Level6Long))</f>
        <v/>
      </c>
      <c r="X444" s="174" t="str">
        <f>IF(Buildings_Heat_Frontend[[#This Row],[Data]]="","", Buildings_Heat_Frontend[[#This Row],[Site Name]])</f>
        <v/>
      </c>
      <c r="Y444" s="174" t="str">
        <f>IF(Buildings_Heat_Frontend[[#This Row],[Data]]="","", Buildings_Heat_Frontend[[#This Row],[MPRN]])</f>
        <v/>
      </c>
      <c r="Z444" s="174" t="str">
        <f>IF(Buildings_Heat_Frontend[[#This Row],[Data]]="","", IF($I444="","",$I444))</f>
        <v/>
      </c>
      <c r="AA444" s="229" t="str" cm="1">
        <f t="array" ref="AA444">IF(Buildings_Heat_Frontend[[#This Row],[Data]]="","", INDEX(_xlfn.SWITCH(Buildings_Heat_Backend[[#This Row],[Methodology]],"Tier 1",rng_RSD1,"Tier 2",rng_RSD2,"Tier 3",rng_RSD3),MATCH(_xlfn.CONCAT(Buildings_Heat_Backend[[#This Row],[Level 1]:[Level 6]]),rng_LevelsConcat,0)))</f>
        <v/>
      </c>
      <c r="AB444" s="220" t="str">
        <f t="shared" si="19"/>
        <v/>
      </c>
      <c r="AC444" s="174">
        <f>Buildings_Heat_Frontend[[#This Row],[Units]]</f>
        <v>0</v>
      </c>
      <c r="AD44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4" s="174" t="str">
        <f>IF(Buildings_Heat_Frontend[[#This Row],[Data]]="","", _xlfn.XLOOKUP(_xlfn.CONCAT(Buildings_Heat_Backend[[#This Row],[Level 1]:[Level 6]]),rng_LevelsConcat,rng_UnitsLong))</f>
        <v/>
      </c>
      <c r="AF444" s="210" t="str">
        <f>IF(Buildings_Heat_Frontend[[#This Row],[Data]]="","", _xlfn.XLOOKUP(_xlfn.CONCAT(Buildings_Heat_Backend[[#This Row],[Level 1]:[Level 6]]),rng_EFConcat,rng_EF1)*Buildings_Heat_Backend[[#This Row],[Converted data]]/1000)</f>
        <v/>
      </c>
      <c r="AG444" s="210" t="str">
        <f>IF(Buildings_Heat_Frontend[[#This Row],[Data]]="","", _xlfn.XLOOKUP(_xlfn.CONCAT(Buildings_Heat_Backend[[#This Row],[Level 1]:[Level 6]]),rng_EFConcat,rng_EF2)*Buildings_Heat_Backend[[#This Row],[Converted data]]/1000)</f>
        <v/>
      </c>
      <c r="AH444" s="210" t="str">
        <f>IF(Buildings_Heat_Frontend[[#This Row],[Data]]="","", _xlfn.XLOOKUP(_xlfn.CONCAT(Buildings_Heat_Backend[[#This Row],[Level 1]:[Level 6]]),rng_EFConcat,rng_EF3)*Buildings_Heat_Backend[[#This Row],[Converted data]]/1000)</f>
        <v/>
      </c>
      <c r="AI444" s="210" t="str">
        <f>IF(Buildings_Heat_Frontend[[#This Row],[Data]]="","", _xlfn.XLOOKUP(_xlfn.CONCAT(Buildings_Heat_Backend[[#This Row],[Level 1]:[Level 6]]),rng_EFConcat,rng_EF3WTT)*Buildings_Heat_Backend[[#This Row],[Converted data]]/1000)</f>
        <v/>
      </c>
      <c r="AJ444" s="210" t="str">
        <f>IF(Buildings_Heat_Frontend[[#This Row],[Data]]="","", _xlfn.XLOOKUP(_xlfn.CONCAT(Buildings_Heat_Backend[[#This Row],[Level 1]:[Level 6]]),rng_EFConcat,rng_EF3TD)*Buildings_Heat_Backend[[#This Row],[Converted data]]/1000)</f>
        <v/>
      </c>
      <c r="AK444" s="210" t="str">
        <f>IF(Buildings_Heat_Frontend[[#This Row],[Data]]="","", _xlfn.XLOOKUP(_xlfn.CONCAT(Buildings_Heat_Backend[[#This Row],[Level 1]:[Level 6]]),rng_EFConcat,rng_EF3WTTTD)*Buildings_Heat_Backend[[#This Row],[Converted data]]/1000)</f>
        <v/>
      </c>
      <c r="AL444" s="220">
        <f>SUM(Buildings_Heat_Backend[[#This Row],[Scope 1 (tCO2e)]:[Scope 3 WTT T&amp;D (tCO2e)]])</f>
        <v>0</v>
      </c>
      <c r="AM444" s="220" t="str">
        <f>IF(Buildings_Heat_Frontend[[#This Row],[Data]]="","", Buildings_Heat_Backend[[#This Row],[Total (tCO2e)]]*(1-Buildings_Heat_Backend[[#This Row],[RSD]]))</f>
        <v/>
      </c>
      <c r="AN444" s="220" t="str">
        <f>IF(Buildings_Heat_Frontend[[#This Row],[Data]]="","", Buildings_Heat_Backend[[#This Row],[Total (tCO2e)]]*(1+Buildings_Heat_Backend[[#This Row],[RSD]]))</f>
        <v/>
      </c>
      <c r="AO444" s="210" t="str">
        <f>IF(Buildings_Heat_Frontend[[#This Row],[Data]]="","", _xlfn.XLOOKUP(_xlfn.CONCAT(Buildings_Heat_Backend[[#This Row],[Level 1]:[Level 6]]),rng_EFConcat,rng_EFOOS)*Buildings_Heat_Backend[[#This Row],[Converted data]]/1000)</f>
        <v/>
      </c>
      <c r="AP444" s="174">
        <f>Buildings_Heat_Frontend[[#This Row],[Ease of collection]]</f>
        <v>0</v>
      </c>
      <c r="AQ444" s="174">
        <f>Buildings_Heat_Frontend[[#This Row],[Completeness]]</f>
        <v>0</v>
      </c>
      <c r="AR444" s="174">
        <f>Buildings_Heat_Frontend[[#This Row],[Notes]]</f>
        <v>0</v>
      </c>
    </row>
    <row r="445" spans="5:44" x14ac:dyDescent="0.3">
      <c r="E445" s="346"/>
      <c r="F445" s="364"/>
      <c r="G445" s="336"/>
      <c r="H445" s="336"/>
      <c r="I445" s="336"/>
      <c r="J445" s="334"/>
      <c r="K445" s="336"/>
      <c r="L445" s="336"/>
      <c r="M445" s="336"/>
      <c r="N445" s="352"/>
      <c r="O445" s="230">
        <f t="shared" si="20"/>
        <v>6</v>
      </c>
      <c r="Q445" s="212" t="str">
        <f t="shared" si="18"/>
        <v/>
      </c>
      <c r="R445" s="174" t="s">
        <v>265</v>
      </c>
      <c r="S445" s="174" t="s">
        <v>273</v>
      </c>
      <c r="T445" s="174" t="str">
        <f>IF(Buildings_Heat_Frontend[[#This Row],[Data]]="","", _xlfn.XLOOKUP(Buildings_Heat_Backend[[#This Row],[Info 1]],Buildings_SiteInfo[Site name],Buildings_SiteInfo[Site type]))</f>
        <v/>
      </c>
      <c r="U445" s="174" t="str">
        <f>IF(Buildings_Heat_Frontend[[#This Row],[Data]]="","", Buildings_Heat_Frontend[[#This Row],[Heating Type]])</f>
        <v/>
      </c>
      <c r="V445" s="174" t="str">
        <f>IF(Buildings_Heat_Frontend[[#This Row],[Data]]="","", Buildings_Heat_Frontend[[#This Row],[Fuel]])</f>
        <v/>
      </c>
      <c r="W445" s="174" t="str" cm="1">
        <f t="array" ref="W445">IF(Buildings_Heat_Frontend[[#This Row],[Data]]="","", _xlfn.XLOOKUP(Buildings_Heat_Backend[[#This Row],[Level 5]],rng_Level5Long,rng_Level6Long))</f>
        <v/>
      </c>
      <c r="X445" s="174" t="str">
        <f>IF(Buildings_Heat_Frontend[[#This Row],[Data]]="","", Buildings_Heat_Frontend[[#This Row],[Site Name]])</f>
        <v/>
      </c>
      <c r="Y445" s="174" t="str">
        <f>IF(Buildings_Heat_Frontend[[#This Row],[Data]]="","", Buildings_Heat_Frontend[[#This Row],[MPRN]])</f>
        <v/>
      </c>
      <c r="Z445" s="174" t="str">
        <f>IF(Buildings_Heat_Frontend[[#This Row],[Data]]="","", IF($I445="","",$I445))</f>
        <v/>
      </c>
      <c r="AA445" s="229" t="str" cm="1">
        <f t="array" ref="AA445">IF(Buildings_Heat_Frontend[[#This Row],[Data]]="","", INDEX(_xlfn.SWITCH(Buildings_Heat_Backend[[#This Row],[Methodology]],"Tier 1",rng_RSD1,"Tier 2",rng_RSD2,"Tier 3",rng_RSD3),MATCH(_xlfn.CONCAT(Buildings_Heat_Backend[[#This Row],[Level 1]:[Level 6]]),rng_LevelsConcat,0)))</f>
        <v/>
      </c>
      <c r="AB445" s="220" t="str">
        <f t="shared" si="19"/>
        <v/>
      </c>
      <c r="AC445" s="174">
        <f>Buildings_Heat_Frontend[[#This Row],[Units]]</f>
        <v>0</v>
      </c>
      <c r="AD44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5" s="174" t="str">
        <f>IF(Buildings_Heat_Frontend[[#This Row],[Data]]="","", _xlfn.XLOOKUP(_xlfn.CONCAT(Buildings_Heat_Backend[[#This Row],[Level 1]:[Level 6]]),rng_LevelsConcat,rng_UnitsLong))</f>
        <v/>
      </c>
      <c r="AF445" s="210" t="str">
        <f>IF(Buildings_Heat_Frontend[[#This Row],[Data]]="","", _xlfn.XLOOKUP(_xlfn.CONCAT(Buildings_Heat_Backend[[#This Row],[Level 1]:[Level 6]]),rng_EFConcat,rng_EF1)*Buildings_Heat_Backend[[#This Row],[Converted data]]/1000)</f>
        <v/>
      </c>
      <c r="AG445" s="210" t="str">
        <f>IF(Buildings_Heat_Frontend[[#This Row],[Data]]="","", _xlfn.XLOOKUP(_xlfn.CONCAT(Buildings_Heat_Backend[[#This Row],[Level 1]:[Level 6]]),rng_EFConcat,rng_EF2)*Buildings_Heat_Backend[[#This Row],[Converted data]]/1000)</f>
        <v/>
      </c>
      <c r="AH445" s="210" t="str">
        <f>IF(Buildings_Heat_Frontend[[#This Row],[Data]]="","", _xlfn.XLOOKUP(_xlfn.CONCAT(Buildings_Heat_Backend[[#This Row],[Level 1]:[Level 6]]),rng_EFConcat,rng_EF3)*Buildings_Heat_Backend[[#This Row],[Converted data]]/1000)</f>
        <v/>
      </c>
      <c r="AI445" s="210" t="str">
        <f>IF(Buildings_Heat_Frontend[[#This Row],[Data]]="","", _xlfn.XLOOKUP(_xlfn.CONCAT(Buildings_Heat_Backend[[#This Row],[Level 1]:[Level 6]]),rng_EFConcat,rng_EF3WTT)*Buildings_Heat_Backend[[#This Row],[Converted data]]/1000)</f>
        <v/>
      </c>
      <c r="AJ445" s="210" t="str">
        <f>IF(Buildings_Heat_Frontend[[#This Row],[Data]]="","", _xlfn.XLOOKUP(_xlfn.CONCAT(Buildings_Heat_Backend[[#This Row],[Level 1]:[Level 6]]),rng_EFConcat,rng_EF3TD)*Buildings_Heat_Backend[[#This Row],[Converted data]]/1000)</f>
        <v/>
      </c>
      <c r="AK445" s="210" t="str">
        <f>IF(Buildings_Heat_Frontend[[#This Row],[Data]]="","", _xlfn.XLOOKUP(_xlfn.CONCAT(Buildings_Heat_Backend[[#This Row],[Level 1]:[Level 6]]),rng_EFConcat,rng_EF3WTTTD)*Buildings_Heat_Backend[[#This Row],[Converted data]]/1000)</f>
        <v/>
      </c>
      <c r="AL445" s="220">
        <f>SUM(Buildings_Heat_Backend[[#This Row],[Scope 1 (tCO2e)]:[Scope 3 WTT T&amp;D (tCO2e)]])</f>
        <v>0</v>
      </c>
      <c r="AM445" s="220" t="str">
        <f>IF(Buildings_Heat_Frontend[[#This Row],[Data]]="","", Buildings_Heat_Backend[[#This Row],[Total (tCO2e)]]*(1-Buildings_Heat_Backend[[#This Row],[RSD]]))</f>
        <v/>
      </c>
      <c r="AN445" s="220" t="str">
        <f>IF(Buildings_Heat_Frontend[[#This Row],[Data]]="","", Buildings_Heat_Backend[[#This Row],[Total (tCO2e)]]*(1+Buildings_Heat_Backend[[#This Row],[RSD]]))</f>
        <v/>
      </c>
      <c r="AO445" s="210" t="str">
        <f>IF(Buildings_Heat_Frontend[[#This Row],[Data]]="","", _xlfn.XLOOKUP(_xlfn.CONCAT(Buildings_Heat_Backend[[#This Row],[Level 1]:[Level 6]]),rng_EFConcat,rng_EFOOS)*Buildings_Heat_Backend[[#This Row],[Converted data]]/1000)</f>
        <v/>
      </c>
      <c r="AP445" s="174">
        <f>Buildings_Heat_Frontend[[#This Row],[Ease of collection]]</f>
        <v>0</v>
      </c>
      <c r="AQ445" s="174">
        <f>Buildings_Heat_Frontend[[#This Row],[Completeness]]</f>
        <v>0</v>
      </c>
      <c r="AR445" s="174">
        <f>Buildings_Heat_Frontend[[#This Row],[Notes]]</f>
        <v>0</v>
      </c>
    </row>
    <row r="446" spans="5:44" x14ac:dyDescent="0.3">
      <c r="E446" s="346"/>
      <c r="F446" s="364"/>
      <c r="G446" s="336"/>
      <c r="H446" s="336"/>
      <c r="I446" s="336"/>
      <c r="J446" s="334"/>
      <c r="K446" s="336"/>
      <c r="L446" s="336"/>
      <c r="M446" s="336"/>
      <c r="N446" s="352"/>
      <c r="O446" s="230">
        <f t="shared" si="20"/>
        <v>6</v>
      </c>
      <c r="Q446" s="212" t="str">
        <f t="shared" si="18"/>
        <v/>
      </c>
      <c r="R446" s="174" t="s">
        <v>265</v>
      </c>
      <c r="S446" s="174" t="s">
        <v>273</v>
      </c>
      <c r="T446" s="174" t="str">
        <f>IF(Buildings_Heat_Frontend[[#This Row],[Data]]="","", _xlfn.XLOOKUP(Buildings_Heat_Backend[[#This Row],[Info 1]],Buildings_SiteInfo[Site name],Buildings_SiteInfo[Site type]))</f>
        <v/>
      </c>
      <c r="U446" s="174" t="str">
        <f>IF(Buildings_Heat_Frontend[[#This Row],[Data]]="","", Buildings_Heat_Frontend[[#This Row],[Heating Type]])</f>
        <v/>
      </c>
      <c r="V446" s="174" t="str">
        <f>IF(Buildings_Heat_Frontend[[#This Row],[Data]]="","", Buildings_Heat_Frontend[[#This Row],[Fuel]])</f>
        <v/>
      </c>
      <c r="W446" s="174" t="str" cm="1">
        <f t="array" ref="W446">IF(Buildings_Heat_Frontend[[#This Row],[Data]]="","", _xlfn.XLOOKUP(Buildings_Heat_Backend[[#This Row],[Level 5]],rng_Level5Long,rng_Level6Long))</f>
        <v/>
      </c>
      <c r="X446" s="174" t="str">
        <f>IF(Buildings_Heat_Frontend[[#This Row],[Data]]="","", Buildings_Heat_Frontend[[#This Row],[Site Name]])</f>
        <v/>
      </c>
      <c r="Y446" s="174" t="str">
        <f>IF(Buildings_Heat_Frontend[[#This Row],[Data]]="","", Buildings_Heat_Frontend[[#This Row],[MPRN]])</f>
        <v/>
      </c>
      <c r="Z446" s="174" t="str">
        <f>IF(Buildings_Heat_Frontend[[#This Row],[Data]]="","", IF($I446="","",$I446))</f>
        <v/>
      </c>
      <c r="AA446" s="229" t="str" cm="1">
        <f t="array" ref="AA446">IF(Buildings_Heat_Frontend[[#This Row],[Data]]="","", INDEX(_xlfn.SWITCH(Buildings_Heat_Backend[[#This Row],[Methodology]],"Tier 1",rng_RSD1,"Tier 2",rng_RSD2,"Tier 3",rng_RSD3),MATCH(_xlfn.CONCAT(Buildings_Heat_Backend[[#This Row],[Level 1]:[Level 6]]),rng_LevelsConcat,0)))</f>
        <v/>
      </c>
      <c r="AB446" s="220" t="str">
        <f t="shared" si="19"/>
        <v/>
      </c>
      <c r="AC446" s="174">
        <f>Buildings_Heat_Frontend[[#This Row],[Units]]</f>
        <v>0</v>
      </c>
      <c r="AD44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6" s="174" t="str">
        <f>IF(Buildings_Heat_Frontend[[#This Row],[Data]]="","", _xlfn.XLOOKUP(_xlfn.CONCAT(Buildings_Heat_Backend[[#This Row],[Level 1]:[Level 6]]),rng_LevelsConcat,rng_UnitsLong))</f>
        <v/>
      </c>
      <c r="AF446" s="210" t="str">
        <f>IF(Buildings_Heat_Frontend[[#This Row],[Data]]="","", _xlfn.XLOOKUP(_xlfn.CONCAT(Buildings_Heat_Backend[[#This Row],[Level 1]:[Level 6]]),rng_EFConcat,rng_EF1)*Buildings_Heat_Backend[[#This Row],[Converted data]]/1000)</f>
        <v/>
      </c>
      <c r="AG446" s="210" t="str">
        <f>IF(Buildings_Heat_Frontend[[#This Row],[Data]]="","", _xlfn.XLOOKUP(_xlfn.CONCAT(Buildings_Heat_Backend[[#This Row],[Level 1]:[Level 6]]),rng_EFConcat,rng_EF2)*Buildings_Heat_Backend[[#This Row],[Converted data]]/1000)</f>
        <v/>
      </c>
      <c r="AH446" s="210" t="str">
        <f>IF(Buildings_Heat_Frontend[[#This Row],[Data]]="","", _xlfn.XLOOKUP(_xlfn.CONCAT(Buildings_Heat_Backend[[#This Row],[Level 1]:[Level 6]]),rng_EFConcat,rng_EF3)*Buildings_Heat_Backend[[#This Row],[Converted data]]/1000)</f>
        <v/>
      </c>
      <c r="AI446" s="210" t="str">
        <f>IF(Buildings_Heat_Frontend[[#This Row],[Data]]="","", _xlfn.XLOOKUP(_xlfn.CONCAT(Buildings_Heat_Backend[[#This Row],[Level 1]:[Level 6]]),rng_EFConcat,rng_EF3WTT)*Buildings_Heat_Backend[[#This Row],[Converted data]]/1000)</f>
        <v/>
      </c>
      <c r="AJ446" s="210" t="str">
        <f>IF(Buildings_Heat_Frontend[[#This Row],[Data]]="","", _xlfn.XLOOKUP(_xlfn.CONCAT(Buildings_Heat_Backend[[#This Row],[Level 1]:[Level 6]]),rng_EFConcat,rng_EF3TD)*Buildings_Heat_Backend[[#This Row],[Converted data]]/1000)</f>
        <v/>
      </c>
      <c r="AK446" s="210" t="str">
        <f>IF(Buildings_Heat_Frontend[[#This Row],[Data]]="","", _xlfn.XLOOKUP(_xlfn.CONCAT(Buildings_Heat_Backend[[#This Row],[Level 1]:[Level 6]]),rng_EFConcat,rng_EF3WTTTD)*Buildings_Heat_Backend[[#This Row],[Converted data]]/1000)</f>
        <v/>
      </c>
      <c r="AL446" s="220">
        <f>SUM(Buildings_Heat_Backend[[#This Row],[Scope 1 (tCO2e)]:[Scope 3 WTT T&amp;D (tCO2e)]])</f>
        <v>0</v>
      </c>
      <c r="AM446" s="220" t="str">
        <f>IF(Buildings_Heat_Frontend[[#This Row],[Data]]="","", Buildings_Heat_Backend[[#This Row],[Total (tCO2e)]]*(1-Buildings_Heat_Backend[[#This Row],[RSD]]))</f>
        <v/>
      </c>
      <c r="AN446" s="220" t="str">
        <f>IF(Buildings_Heat_Frontend[[#This Row],[Data]]="","", Buildings_Heat_Backend[[#This Row],[Total (tCO2e)]]*(1+Buildings_Heat_Backend[[#This Row],[RSD]]))</f>
        <v/>
      </c>
      <c r="AO446" s="210" t="str">
        <f>IF(Buildings_Heat_Frontend[[#This Row],[Data]]="","", _xlfn.XLOOKUP(_xlfn.CONCAT(Buildings_Heat_Backend[[#This Row],[Level 1]:[Level 6]]),rng_EFConcat,rng_EFOOS)*Buildings_Heat_Backend[[#This Row],[Converted data]]/1000)</f>
        <v/>
      </c>
      <c r="AP446" s="174">
        <f>Buildings_Heat_Frontend[[#This Row],[Ease of collection]]</f>
        <v>0</v>
      </c>
      <c r="AQ446" s="174">
        <f>Buildings_Heat_Frontend[[#This Row],[Completeness]]</f>
        <v>0</v>
      </c>
      <c r="AR446" s="174">
        <f>Buildings_Heat_Frontend[[#This Row],[Notes]]</f>
        <v>0</v>
      </c>
    </row>
    <row r="447" spans="5:44" x14ac:dyDescent="0.3">
      <c r="E447" s="346"/>
      <c r="F447" s="364"/>
      <c r="G447" s="336"/>
      <c r="H447" s="336"/>
      <c r="I447" s="336"/>
      <c r="J447" s="334"/>
      <c r="K447" s="336"/>
      <c r="L447" s="336"/>
      <c r="M447" s="336"/>
      <c r="N447" s="352"/>
      <c r="O447" s="230">
        <f t="shared" si="20"/>
        <v>6</v>
      </c>
      <c r="Q447" s="212" t="str">
        <f t="shared" si="18"/>
        <v/>
      </c>
      <c r="R447" s="174" t="s">
        <v>265</v>
      </c>
      <c r="S447" s="174" t="s">
        <v>273</v>
      </c>
      <c r="T447" s="174" t="str">
        <f>IF(Buildings_Heat_Frontend[[#This Row],[Data]]="","", _xlfn.XLOOKUP(Buildings_Heat_Backend[[#This Row],[Info 1]],Buildings_SiteInfo[Site name],Buildings_SiteInfo[Site type]))</f>
        <v/>
      </c>
      <c r="U447" s="174" t="str">
        <f>IF(Buildings_Heat_Frontend[[#This Row],[Data]]="","", Buildings_Heat_Frontend[[#This Row],[Heating Type]])</f>
        <v/>
      </c>
      <c r="V447" s="174" t="str">
        <f>IF(Buildings_Heat_Frontend[[#This Row],[Data]]="","", Buildings_Heat_Frontend[[#This Row],[Fuel]])</f>
        <v/>
      </c>
      <c r="W447" s="174" t="str" cm="1">
        <f t="array" ref="W447">IF(Buildings_Heat_Frontend[[#This Row],[Data]]="","", _xlfn.XLOOKUP(Buildings_Heat_Backend[[#This Row],[Level 5]],rng_Level5Long,rng_Level6Long))</f>
        <v/>
      </c>
      <c r="X447" s="174" t="str">
        <f>IF(Buildings_Heat_Frontend[[#This Row],[Data]]="","", Buildings_Heat_Frontend[[#This Row],[Site Name]])</f>
        <v/>
      </c>
      <c r="Y447" s="174" t="str">
        <f>IF(Buildings_Heat_Frontend[[#This Row],[Data]]="","", Buildings_Heat_Frontend[[#This Row],[MPRN]])</f>
        <v/>
      </c>
      <c r="Z447" s="174" t="str">
        <f>IF(Buildings_Heat_Frontend[[#This Row],[Data]]="","", IF($I447="","",$I447))</f>
        <v/>
      </c>
      <c r="AA447" s="229" t="str" cm="1">
        <f t="array" ref="AA447">IF(Buildings_Heat_Frontend[[#This Row],[Data]]="","", INDEX(_xlfn.SWITCH(Buildings_Heat_Backend[[#This Row],[Methodology]],"Tier 1",rng_RSD1,"Tier 2",rng_RSD2,"Tier 3",rng_RSD3),MATCH(_xlfn.CONCAT(Buildings_Heat_Backend[[#This Row],[Level 1]:[Level 6]]),rng_LevelsConcat,0)))</f>
        <v/>
      </c>
      <c r="AB447" s="220" t="str">
        <f t="shared" si="19"/>
        <v/>
      </c>
      <c r="AC447" s="174">
        <f>Buildings_Heat_Frontend[[#This Row],[Units]]</f>
        <v>0</v>
      </c>
      <c r="AD44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7" s="174" t="str">
        <f>IF(Buildings_Heat_Frontend[[#This Row],[Data]]="","", _xlfn.XLOOKUP(_xlfn.CONCAT(Buildings_Heat_Backend[[#This Row],[Level 1]:[Level 6]]),rng_LevelsConcat,rng_UnitsLong))</f>
        <v/>
      </c>
      <c r="AF447" s="210" t="str">
        <f>IF(Buildings_Heat_Frontend[[#This Row],[Data]]="","", _xlfn.XLOOKUP(_xlfn.CONCAT(Buildings_Heat_Backend[[#This Row],[Level 1]:[Level 6]]),rng_EFConcat,rng_EF1)*Buildings_Heat_Backend[[#This Row],[Converted data]]/1000)</f>
        <v/>
      </c>
      <c r="AG447" s="210" t="str">
        <f>IF(Buildings_Heat_Frontend[[#This Row],[Data]]="","", _xlfn.XLOOKUP(_xlfn.CONCAT(Buildings_Heat_Backend[[#This Row],[Level 1]:[Level 6]]),rng_EFConcat,rng_EF2)*Buildings_Heat_Backend[[#This Row],[Converted data]]/1000)</f>
        <v/>
      </c>
      <c r="AH447" s="210" t="str">
        <f>IF(Buildings_Heat_Frontend[[#This Row],[Data]]="","", _xlfn.XLOOKUP(_xlfn.CONCAT(Buildings_Heat_Backend[[#This Row],[Level 1]:[Level 6]]),rng_EFConcat,rng_EF3)*Buildings_Heat_Backend[[#This Row],[Converted data]]/1000)</f>
        <v/>
      </c>
      <c r="AI447" s="210" t="str">
        <f>IF(Buildings_Heat_Frontend[[#This Row],[Data]]="","", _xlfn.XLOOKUP(_xlfn.CONCAT(Buildings_Heat_Backend[[#This Row],[Level 1]:[Level 6]]),rng_EFConcat,rng_EF3WTT)*Buildings_Heat_Backend[[#This Row],[Converted data]]/1000)</f>
        <v/>
      </c>
      <c r="AJ447" s="210" t="str">
        <f>IF(Buildings_Heat_Frontend[[#This Row],[Data]]="","", _xlfn.XLOOKUP(_xlfn.CONCAT(Buildings_Heat_Backend[[#This Row],[Level 1]:[Level 6]]),rng_EFConcat,rng_EF3TD)*Buildings_Heat_Backend[[#This Row],[Converted data]]/1000)</f>
        <v/>
      </c>
      <c r="AK447" s="210" t="str">
        <f>IF(Buildings_Heat_Frontend[[#This Row],[Data]]="","", _xlfn.XLOOKUP(_xlfn.CONCAT(Buildings_Heat_Backend[[#This Row],[Level 1]:[Level 6]]),rng_EFConcat,rng_EF3WTTTD)*Buildings_Heat_Backend[[#This Row],[Converted data]]/1000)</f>
        <v/>
      </c>
      <c r="AL447" s="220">
        <f>SUM(Buildings_Heat_Backend[[#This Row],[Scope 1 (tCO2e)]:[Scope 3 WTT T&amp;D (tCO2e)]])</f>
        <v>0</v>
      </c>
      <c r="AM447" s="220" t="str">
        <f>IF(Buildings_Heat_Frontend[[#This Row],[Data]]="","", Buildings_Heat_Backend[[#This Row],[Total (tCO2e)]]*(1-Buildings_Heat_Backend[[#This Row],[RSD]]))</f>
        <v/>
      </c>
      <c r="AN447" s="220" t="str">
        <f>IF(Buildings_Heat_Frontend[[#This Row],[Data]]="","", Buildings_Heat_Backend[[#This Row],[Total (tCO2e)]]*(1+Buildings_Heat_Backend[[#This Row],[RSD]]))</f>
        <v/>
      </c>
      <c r="AO447" s="210" t="str">
        <f>IF(Buildings_Heat_Frontend[[#This Row],[Data]]="","", _xlfn.XLOOKUP(_xlfn.CONCAT(Buildings_Heat_Backend[[#This Row],[Level 1]:[Level 6]]),rng_EFConcat,rng_EFOOS)*Buildings_Heat_Backend[[#This Row],[Converted data]]/1000)</f>
        <v/>
      </c>
      <c r="AP447" s="174">
        <f>Buildings_Heat_Frontend[[#This Row],[Ease of collection]]</f>
        <v>0</v>
      </c>
      <c r="AQ447" s="174">
        <f>Buildings_Heat_Frontend[[#This Row],[Completeness]]</f>
        <v>0</v>
      </c>
      <c r="AR447" s="174">
        <f>Buildings_Heat_Frontend[[#This Row],[Notes]]</f>
        <v>0</v>
      </c>
    </row>
    <row r="448" spans="5:44" x14ac:dyDescent="0.3">
      <c r="E448" s="346"/>
      <c r="F448" s="364"/>
      <c r="G448" s="336"/>
      <c r="H448" s="336"/>
      <c r="I448" s="336"/>
      <c r="J448" s="334"/>
      <c r="K448" s="336"/>
      <c r="L448" s="336"/>
      <c r="M448" s="336"/>
      <c r="N448" s="352"/>
      <c r="O448" s="230">
        <f t="shared" si="20"/>
        <v>6</v>
      </c>
      <c r="Q448" s="212" t="str">
        <f t="shared" si="18"/>
        <v/>
      </c>
      <c r="R448" s="174" t="s">
        <v>265</v>
      </c>
      <c r="S448" s="174" t="s">
        <v>273</v>
      </c>
      <c r="T448" s="174" t="str">
        <f>IF(Buildings_Heat_Frontend[[#This Row],[Data]]="","", _xlfn.XLOOKUP(Buildings_Heat_Backend[[#This Row],[Info 1]],Buildings_SiteInfo[Site name],Buildings_SiteInfo[Site type]))</f>
        <v/>
      </c>
      <c r="U448" s="174" t="str">
        <f>IF(Buildings_Heat_Frontend[[#This Row],[Data]]="","", Buildings_Heat_Frontend[[#This Row],[Heating Type]])</f>
        <v/>
      </c>
      <c r="V448" s="174" t="str">
        <f>IF(Buildings_Heat_Frontend[[#This Row],[Data]]="","", Buildings_Heat_Frontend[[#This Row],[Fuel]])</f>
        <v/>
      </c>
      <c r="W448" s="174" t="str" cm="1">
        <f t="array" ref="W448">IF(Buildings_Heat_Frontend[[#This Row],[Data]]="","", _xlfn.XLOOKUP(Buildings_Heat_Backend[[#This Row],[Level 5]],rng_Level5Long,rng_Level6Long))</f>
        <v/>
      </c>
      <c r="X448" s="174" t="str">
        <f>IF(Buildings_Heat_Frontend[[#This Row],[Data]]="","", Buildings_Heat_Frontend[[#This Row],[Site Name]])</f>
        <v/>
      </c>
      <c r="Y448" s="174" t="str">
        <f>IF(Buildings_Heat_Frontend[[#This Row],[Data]]="","", Buildings_Heat_Frontend[[#This Row],[MPRN]])</f>
        <v/>
      </c>
      <c r="Z448" s="174" t="str">
        <f>IF(Buildings_Heat_Frontend[[#This Row],[Data]]="","", IF($I448="","",$I448))</f>
        <v/>
      </c>
      <c r="AA448" s="229" t="str" cm="1">
        <f t="array" ref="AA448">IF(Buildings_Heat_Frontend[[#This Row],[Data]]="","", INDEX(_xlfn.SWITCH(Buildings_Heat_Backend[[#This Row],[Methodology]],"Tier 1",rng_RSD1,"Tier 2",rng_RSD2,"Tier 3",rng_RSD3),MATCH(_xlfn.CONCAT(Buildings_Heat_Backend[[#This Row],[Level 1]:[Level 6]]),rng_LevelsConcat,0)))</f>
        <v/>
      </c>
      <c r="AB448" s="220" t="str">
        <f t="shared" si="19"/>
        <v/>
      </c>
      <c r="AC448" s="174">
        <f>Buildings_Heat_Frontend[[#This Row],[Units]]</f>
        <v>0</v>
      </c>
      <c r="AD44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8" s="174" t="str">
        <f>IF(Buildings_Heat_Frontend[[#This Row],[Data]]="","", _xlfn.XLOOKUP(_xlfn.CONCAT(Buildings_Heat_Backend[[#This Row],[Level 1]:[Level 6]]),rng_LevelsConcat,rng_UnitsLong))</f>
        <v/>
      </c>
      <c r="AF448" s="210" t="str">
        <f>IF(Buildings_Heat_Frontend[[#This Row],[Data]]="","", _xlfn.XLOOKUP(_xlfn.CONCAT(Buildings_Heat_Backend[[#This Row],[Level 1]:[Level 6]]),rng_EFConcat,rng_EF1)*Buildings_Heat_Backend[[#This Row],[Converted data]]/1000)</f>
        <v/>
      </c>
      <c r="AG448" s="210" t="str">
        <f>IF(Buildings_Heat_Frontend[[#This Row],[Data]]="","", _xlfn.XLOOKUP(_xlfn.CONCAT(Buildings_Heat_Backend[[#This Row],[Level 1]:[Level 6]]),rng_EFConcat,rng_EF2)*Buildings_Heat_Backend[[#This Row],[Converted data]]/1000)</f>
        <v/>
      </c>
      <c r="AH448" s="210" t="str">
        <f>IF(Buildings_Heat_Frontend[[#This Row],[Data]]="","", _xlfn.XLOOKUP(_xlfn.CONCAT(Buildings_Heat_Backend[[#This Row],[Level 1]:[Level 6]]),rng_EFConcat,rng_EF3)*Buildings_Heat_Backend[[#This Row],[Converted data]]/1000)</f>
        <v/>
      </c>
      <c r="AI448" s="210" t="str">
        <f>IF(Buildings_Heat_Frontend[[#This Row],[Data]]="","", _xlfn.XLOOKUP(_xlfn.CONCAT(Buildings_Heat_Backend[[#This Row],[Level 1]:[Level 6]]),rng_EFConcat,rng_EF3WTT)*Buildings_Heat_Backend[[#This Row],[Converted data]]/1000)</f>
        <v/>
      </c>
      <c r="AJ448" s="210" t="str">
        <f>IF(Buildings_Heat_Frontend[[#This Row],[Data]]="","", _xlfn.XLOOKUP(_xlfn.CONCAT(Buildings_Heat_Backend[[#This Row],[Level 1]:[Level 6]]),rng_EFConcat,rng_EF3TD)*Buildings_Heat_Backend[[#This Row],[Converted data]]/1000)</f>
        <v/>
      </c>
      <c r="AK448" s="210" t="str">
        <f>IF(Buildings_Heat_Frontend[[#This Row],[Data]]="","", _xlfn.XLOOKUP(_xlfn.CONCAT(Buildings_Heat_Backend[[#This Row],[Level 1]:[Level 6]]),rng_EFConcat,rng_EF3WTTTD)*Buildings_Heat_Backend[[#This Row],[Converted data]]/1000)</f>
        <v/>
      </c>
      <c r="AL448" s="220">
        <f>SUM(Buildings_Heat_Backend[[#This Row],[Scope 1 (tCO2e)]:[Scope 3 WTT T&amp;D (tCO2e)]])</f>
        <v>0</v>
      </c>
      <c r="AM448" s="220" t="str">
        <f>IF(Buildings_Heat_Frontend[[#This Row],[Data]]="","", Buildings_Heat_Backend[[#This Row],[Total (tCO2e)]]*(1-Buildings_Heat_Backend[[#This Row],[RSD]]))</f>
        <v/>
      </c>
      <c r="AN448" s="220" t="str">
        <f>IF(Buildings_Heat_Frontend[[#This Row],[Data]]="","", Buildings_Heat_Backend[[#This Row],[Total (tCO2e)]]*(1+Buildings_Heat_Backend[[#This Row],[RSD]]))</f>
        <v/>
      </c>
      <c r="AO448" s="210" t="str">
        <f>IF(Buildings_Heat_Frontend[[#This Row],[Data]]="","", _xlfn.XLOOKUP(_xlfn.CONCAT(Buildings_Heat_Backend[[#This Row],[Level 1]:[Level 6]]),rng_EFConcat,rng_EFOOS)*Buildings_Heat_Backend[[#This Row],[Converted data]]/1000)</f>
        <v/>
      </c>
      <c r="AP448" s="174">
        <f>Buildings_Heat_Frontend[[#This Row],[Ease of collection]]</f>
        <v>0</v>
      </c>
      <c r="AQ448" s="174">
        <f>Buildings_Heat_Frontend[[#This Row],[Completeness]]</f>
        <v>0</v>
      </c>
      <c r="AR448" s="174">
        <f>Buildings_Heat_Frontend[[#This Row],[Notes]]</f>
        <v>0</v>
      </c>
    </row>
    <row r="449" spans="5:44" x14ac:dyDescent="0.3">
      <c r="E449" s="346"/>
      <c r="F449" s="364"/>
      <c r="G449" s="336"/>
      <c r="H449" s="336"/>
      <c r="I449" s="336"/>
      <c r="J449" s="334"/>
      <c r="K449" s="336"/>
      <c r="L449" s="336"/>
      <c r="M449" s="336"/>
      <c r="N449" s="352"/>
      <c r="O449" s="230">
        <f t="shared" si="20"/>
        <v>6</v>
      </c>
      <c r="Q449" s="212" t="str">
        <f t="shared" si="18"/>
        <v/>
      </c>
      <c r="R449" s="174" t="s">
        <v>265</v>
      </c>
      <c r="S449" s="174" t="s">
        <v>273</v>
      </c>
      <c r="T449" s="174" t="str">
        <f>IF(Buildings_Heat_Frontend[[#This Row],[Data]]="","", _xlfn.XLOOKUP(Buildings_Heat_Backend[[#This Row],[Info 1]],Buildings_SiteInfo[Site name],Buildings_SiteInfo[Site type]))</f>
        <v/>
      </c>
      <c r="U449" s="174" t="str">
        <f>IF(Buildings_Heat_Frontend[[#This Row],[Data]]="","", Buildings_Heat_Frontend[[#This Row],[Heating Type]])</f>
        <v/>
      </c>
      <c r="V449" s="174" t="str">
        <f>IF(Buildings_Heat_Frontend[[#This Row],[Data]]="","", Buildings_Heat_Frontend[[#This Row],[Fuel]])</f>
        <v/>
      </c>
      <c r="W449" s="174" t="str" cm="1">
        <f t="array" ref="W449">IF(Buildings_Heat_Frontend[[#This Row],[Data]]="","", _xlfn.XLOOKUP(Buildings_Heat_Backend[[#This Row],[Level 5]],rng_Level5Long,rng_Level6Long))</f>
        <v/>
      </c>
      <c r="X449" s="174" t="str">
        <f>IF(Buildings_Heat_Frontend[[#This Row],[Data]]="","", Buildings_Heat_Frontend[[#This Row],[Site Name]])</f>
        <v/>
      </c>
      <c r="Y449" s="174" t="str">
        <f>IF(Buildings_Heat_Frontend[[#This Row],[Data]]="","", Buildings_Heat_Frontend[[#This Row],[MPRN]])</f>
        <v/>
      </c>
      <c r="Z449" s="174" t="str">
        <f>IF(Buildings_Heat_Frontend[[#This Row],[Data]]="","", IF($I449="","",$I449))</f>
        <v/>
      </c>
      <c r="AA449" s="229" t="str" cm="1">
        <f t="array" ref="AA449">IF(Buildings_Heat_Frontend[[#This Row],[Data]]="","", INDEX(_xlfn.SWITCH(Buildings_Heat_Backend[[#This Row],[Methodology]],"Tier 1",rng_RSD1,"Tier 2",rng_RSD2,"Tier 3",rng_RSD3),MATCH(_xlfn.CONCAT(Buildings_Heat_Backend[[#This Row],[Level 1]:[Level 6]]),rng_LevelsConcat,0)))</f>
        <v/>
      </c>
      <c r="AB449" s="220" t="str">
        <f t="shared" si="19"/>
        <v/>
      </c>
      <c r="AC449" s="174">
        <f>Buildings_Heat_Frontend[[#This Row],[Units]]</f>
        <v>0</v>
      </c>
      <c r="AD44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49" s="174" t="str">
        <f>IF(Buildings_Heat_Frontend[[#This Row],[Data]]="","", _xlfn.XLOOKUP(_xlfn.CONCAT(Buildings_Heat_Backend[[#This Row],[Level 1]:[Level 6]]),rng_LevelsConcat,rng_UnitsLong))</f>
        <v/>
      </c>
      <c r="AF449" s="210" t="str">
        <f>IF(Buildings_Heat_Frontend[[#This Row],[Data]]="","", _xlfn.XLOOKUP(_xlfn.CONCAT(Buildings_Heat_Backend[[#This Row],[Level 1]:[Level 6]]),rng_EFConcat,rng_EF1)*Buildings_Heat_Backend[[#This Row],[Converted data]]/1000)</f>
        <v/>
      </c>
      <c r="AG449" s="210" t="str">
        <f>IF(Buildings_Heat_Frontend[[#This Row],[Data]]="","", _xlfn.XLOOKUP(_xlfn.CONCAT(Buildings_Heat_Backend[[#This Row],[Level 1]:[Level 6]]),rng_EFConcat,rng_EF2)*Buildings_Heat_Backend[[#This Row],[Converted data]]/1000)</f>
        <v/>
      </c>
      <c r="AH449" s="210" t="str">
        <f>IF(Buildings_Heat_Frontend[[#This Row],[Data]]="","", _xlfn.XLOOKUP(_xlfn.CONCAT(Buildings_Heat_Backend[[#This Row],[Level 1]:[Level 6]]),rng_EFConcat,rng_EF3)*Buildings_Heat_Backend[[#This Row],[Converted data]]/1000)</f>
        <v/>
      </c>
      <c r="AI449" s="210" t="str">
        <f>IF(Buildings_Heat_Frontend[[#This Row],[Data]]="","", _xlfn.XLOOKUP(_xlfn.CONCAT(Buildings_Heat_Backend[[#This Row],[Level 1]:[Level 6]]),rng_EFConcat,rng_EF3WTT)*Buildings_Heat_Backend[[#This Row],[Converted data]]/1000)</f>
        <v/>
      </c>
      <c r="AJ449" s="210" t="str">
        <f>IF(Buildings_Heat_Frontend[[#This Row],[Data]]="","", _xlfn.XLOOKUP(_xlfn.CONCAT(Buildings_Heat_Backend[[#This Row],[Level 1]:[Level 6]]),rng_EFConcat,rng_EF3TD)*Buildings_Heat_Backend[[#This Row],[Converted data]]/1000)</f>
        <v/>
      </c>
      <c r="AK449" s="210" t="str">
        <f>IF(Buildings_Heat_Frontend[[#This Row],[Data]]="","", _xlfn.XLOOKUP(_xlfn.CONCAT(Buildings_Heat_Backend[[#This Row],[Level 1]:[Level 6]]),rng_EFConcat,rng_EF3WTTTD)*Buildings_Heat_Backend[[#This Row],[Converted data]]/1000)</f>
        <v/>
      </c>
      <c r="AL449" s="220">
        <f>SUM(Buildings_Heat_Backend[[#This Row],[Scope 1 (tCO2e)]:[Scope 3 WTT T&amp;D (tCO2e)]])</f>
        <v>0</v>
      </c>
      <c r="AM449" s="220" t="str">
        <f>IF(Buildings_Heat_Frontend[[#This Row],[Data]]="","", Buildings_Heat_Backend[[#This Row],[Total (tCO2e)]]*(1-Buildings_Heat_Backend[[#This Row],[RSD]]))</f>
        <v/>
      </c>
      <c r="AN449" s="220" t="str">
        <f>IF(Buildings_Heat_Frontend[[#This Row],[Data]]="","", Buildings_Heat_Backend[[#This Row],[Total (tCO2e)]]*(1+Buildings_Heat_Backend[[#This Row],[RSD]]))</f>
        <v/>
      </c>
      <c r="AO449" s="210" t="str">
        <f>IF(Buildings_Heat_Frontend[[#This Row],[Data]]="","", _xlfn.XLOOKUP(_xlfn.CONCAT(Buildings_Heat_Backend[[#This Row],[Level 1]:[Level 6]]),rng_EFConcat,rng_EFOOS)*Buildings_Heat_Backend[[#This Row],[Converted data]]/1000)</f>
        <v/>
      </c>
      <c r="AP449" s="174">
        <f>Buildings_Heat_Frontend[[#This Row],[Ease of collection]]</f>
        <v>0</v>
      </c>
      <c r="AQ449" s="174">
        <f>Buildings_Heat_Frontend[[#This Row],[Completeness]]</f>
        <v>0</v>
      </c>
      <c r="AR449" s="174">
        <f>Buildings_Heat_Frontend[[#This Row],[Notes]]</f>
        <v>0</v>
      </c>
    </row>
    <row r="450" spans="5:44" x14ac:dyDescent="0.3">
      <c r="E450" s="346"/>
      <c r="F450" s="364"/>
      <c r="G450" s="336"/>
      <c r="H450" s="336"/>
      <c r="I450" s="336"/>
      <c r="J450" s="334"/>
      <c r="K450" s="336"/>
      <c r="L450" s="336"/>
      <c r="M450" s="336"/>
      <c r="N450" s="352"/>
      <c r="O450" s="230">
        <f t="shared" si="20"/>
        <v>6</v>
      </c>
      <c r="Q450" s="212" t="str">
        <f t="shared" si="18"/>
        <v/>
      </c>
      <c r="R450" s="174" t="s">
        <v>265</v>
      </c>
      <c r="S450" s="174" t="s">
        <v>273</v>
      </c>
      <c r="T450" s="174" t="str">
        <f>IF(Buildings_Heat_Frontend[[#This Row],[Data]]="","", _xlfn.XLOOKUP(Buildings_Heat_Backend[[#This Row],[Info 1]],Buildings_SiteInfo[Site name],Buildings_SiteInfo[Site type]))</f>
        <v/>
      </c>
      <c r="U450" s="174" t="str">
        <f>IF(Buildings_Heat_Frontend[[#This Row],[Data]]="","", Buildings_Heat_Frontend[[#This Row],[Heating Type]])</f>
        <v/>
      </c>
      <c r="V450" s="174" t="str">
        <f>IF(Buildings_Heat_Frontend[[#This Row],[Data]]="","", Buildings_Heat_Frontend[[#This Row],[Fuel]])</f>
        <v/>
      </c>
      <c r="W450" s="174" t="str" cm="1">
        <f t="array" ref="W450">IF(Buildings_Heat_Frontend[[#This Row],[Data]]="","", _xlfn.XLOOKUP(Buildings_Heat_Backend[[#This Row],[Level 5]],rng_Level5Long,rng_Level6Long))</f>
        <v/>
      </c>
      <c r="X450" s="174" t="str">
        <f>IF(Buildings_Heat_Frontend[[#This Row],[Data]]="","", Buildings_Heat_Frontend[[#This Row],[Site Name]])</f>
        <v/>
      </c>
      <c r="Y450" s="174" t="str">
        <f>IF(Buildings_Heat_Frontend[[#This Row],[Data]]="","", Buildings_Heat_Frontend[[#This Row],[MPRN]])</f>
        <v/>
      </c>
      <c r="Z450" s="174" t="str">
        <f>IF(Buildings_Heat_Frontend[[#This Row],[Data]]="","", IF($I450="","",$I450))</f>
        <v/>
      </c>
      <c r="AA450" s="229" t="str" cm="1">
        <f t="array" ref="AA450">IF(Buildings_Heat_Frontend[[#This Row],[Data]]="","", INDEX(_xlfn.SWITCH(Buildings_Heat_Backend[[#This Row],[Methodology]],"Tier 1",rng_RSD1,"Tier 2",rng_RSD2,"Tier 3",rng_RSD3),MATCH(_xlfn.CONCAT(Buildings_Heat_Backend[[#This Row],[Level 1]:[Level 6]]),rng_LevelsConcat,0)))</f>
        <v/>
      </c>
      <c r="AB450" s="220" t="str">
        <f t="shared" si="19"/>
        <v/>
      </c>
      <c r="AC450" s="174">
        <f>Buildings_Heat_Frontend[[#This Row],[Units]]</f>
        <v>0</v>
      </c>
      <c r="AD45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0" s="174" t="str">
        <f>IF(Buildings_Heat_Frontend[[#This Row],[Data]]="","", _xlfn.XLOOKUP(_xlfn.CONCAT(Buildings_Heat_Backend[[#This Row],[Level 1]:[Level 6]]),rng_LevelsConcat,rng_UnitsLong))</f>
        <v/>
      </c>
      <c r="AF450" s="210" t="str">
        <f>IF(Buildings_Heat_Frontend[[#This Row],[Data]]="","", _xlfn.XLOOKUP(_xlfn.CONCAT(Buildings_Heat_Backend[[#This Row],[Level 1]:[Level 6]]),rng_EFConcat,rng_EF1)*Buildings_Heat_Backend[[#This Row],[Converted data]]/1000)</f>
        <v/>
      </c>
      <c r="AG450" s="210" t="str">
        <f>IF(Buildings_Heat_Frontend[[#This Row],[Data]]="","", _xlfn.XLOOKUP(_xlfn.CONCAT(Buildings_Heat_Backend[[#This Row],[Level 1]:[Level 6]]),rng_EFConcat,rng_EF2)*Buildings_Heat_Backend[[#This Row],[Converted data]]/1000)</f>
        <v/>
      </c>
      <c r="AH450" s="210" t="str">
        <f>IF(Buildings_Heat_Frontend[[#This Row],[Data]]="","", _xlfn.XLOOKUP(_xlfn.CONCAT(Buildings_Heat_Backend[[#This Row],[Level 1]:[Level 6]]),rng_EFConcat,rng_EF3)*Buildings_Heat_Backend[[#This Row],[Converted data]]/1000)</f>
        <v/>
      </c>
      <c r="AI450" s="210" t="str">
        <f>IF(Buildings_Heat_Frontend[[#This Row],[Data]]="","", _xlfn.XLOOKUP(_xlfn.CONCAT(Buildings_Heat_Backend[[#This Row],[Level 1]:[Level 6]]),rng_EFConcat,rng_EF3WTT)*Buildings_Heat_Backend[[#This Row],[Converted data]]/1000)</f>
        <v/>
      </c>
      <c r="AJ450" s="210" t="str">
        <f>IF(Buildings_Heat_Frontend[[#This Row],[Data]]="","", _xlfn.XLOOKUP(_xlfn.CONCAT(Buildings_Heat_Backend[[#This Row],[Level 1]:[Level 6]]),rng_EFConcat,rng_EF3TD)*Buildings_Heat_Backend[[#This Row],[Converted data]]/1000)</f>
        <v/>
      </c>
      <c r="AK450" s="210" t="str">
        <f>IF(Buildings_Heat_Frontend[[#This Row],[Data]]="","", _xlfn.XLOOKUP(_xlfn.CONCAT(Buildings_Heat_Backend[[#This Row],[Level 1]:[Level 6]]),rng_EFConcat,rng_EF3WTTTD)*Buildings_Heat_Backend[[#This Row],[Converted data]]/1000)</f>
        <v/>
      </c>
      <c r="AL450" s="220">
        <f>SUM(Buildings_Heat_Backend[[#This Row],[Scope 1 (tCO2e)]:[Scope 3 WTT T&amp;D (tCO2e)]])</f>
        <v>0</v>
      </c>
      <c r="AM450" s="220" t="str">
        <f>IF(Buildings_Heat_Frontend[[#This Row],[Data]]="","", Buildings_Heat_Backend[[#This Row],[Total (tCO2e)]]*(1-Buildings_Heat_Backend[[#This Row],[RSD]]))</f>
        <v/>
      </c>
      <c r="AN450" s="220" t="str">
        <f>IF(Buildings_Heat_Frontend[[#This Row],[Data]]="","", Buildings_Heat_Backend[[#This Row],[Total (tCO2e)]]*(1+Buildings_Heat_Backend[[#This Row],[RSD]]))</f>
        <v/>
      </c>
      <c r="AO450" s="210" t="str">
        <f>IF(Buildings_Heat_Frontend[[#This Row],[Data]]="","", _xlfn.XLOOKUP(_xlfn.CONCAT(Buildings_Heat_Backend[[#This Row],[Level 1]:[Level 6]]),rng_EFConcat,rng_EFOOS)*Buildings_Heat_Backend[[#This Row],[Converted data]]/1000)</f>
        <v/>
      </c>
      <c r="AP450" s="174">
        <f>Buildings_Heat_Frontend[[#This Row],[Ease of collection]]</f>
        <v>0</v>
      </c>
      <c r="AQ450" s="174">
        <f>Buildings_Heat_Frontend[[#This Row],[Completeness]]</f>
        <v>0</v>
      </c>
      <c r="AR450" s="174">
        <f>Buildings_Heat_Frontend[[#This Row],[Notes]]</f>
        <v>0</v>
      </c>
    </row>
    <row r="451" spans="5:44" x14ac:dyDescent="0.3">
      <c r="E451" s="346"/>
      <c r="F451" s="364"/>
      <c r="G451" s="336"/>
      <c r="H451" s="336"/>
      <c r="I451" s="336"/>
      <c r="J451" s="334"/>
      <c r="K451" s="336"/>
      <c r="L451" s="336"/>
      <c r="M451" s="336"/>
      <c r="N451" s="352"/>
      <c r="O451" s="230">
        <f t="shared" si="20"/>
        <v>6</v>
      </c>
      <c r="Q451" s="212" t="str">
        <f t="shared" si="18"/>
        <v/>
      </c>
      <c r="R451" s="174" t="s">
        <v>265</v>
      </c>
      <c r="S451" s="174" t="s">
        <v>273</v>
      </c>
      <c r="T451" s="174" t="str">
        <f>IF(Buildings_Heat_Frontend[[#This Row],[Data]]="","", _xlfn.XLOOKUP(Buildings_Heat_Backend[[#This Row],[Info 1]],Buildings_SiteInfo[Site name],Buildings_SiteInfo[Site type]))</f>
        <v/>
      </c>
      <c r="U451" s="174" t="str">
        <f>IF(Buildings_Heat_Frontend[[#This Row],[Data]]="","", Buildings_Heat_Frontend[[#This Row],[Heating Type]])</f>
        <v/>
      </c>
      <c r="V451" s="174" t="str">
        <f>IF(Buildings_Heat_Frontend[[#This Row],[Data]]="","", Buildings_Heat_Frontend[[#This Row],[Fuel]])</f>
        <v/>
      </c>
      <c r="W451" s="174" t="str" cm="1">
        <f t="array" ref="W451">IF(Buildings_Heat_Frontend[[#This Row],[Data]]="","", _xlfn.XLOOKUP(Buildings_Heat_Backend[[#This Row],[Level 5]],rng_Level5Long,rng_Level6Long))</f>
        <v/>
      </c>
      <c r="X451" s="174" t="str">
        <f>IF(Buildings_Heat_Frontend[[#This Row],[Data]]="","", Buildings_Heat_Frontend[[#This Row],[Site Name]])</f>
        <v/>
      </c>
      <c r="Y451" s="174" t="str">
        <f>IF(Buildings_Heat_Frontend[[#This Row],[Data]]="","", Buildings_Heat_Frontend[[#This Row],[MPRN]])</f>
        <v/>
      </c>
      <c r="Z451" s="174" t="str">
        <f>IF(Buildings_Heat_Frontend[[#This Row],[Data]]="","", IF($I451="","",$I451))</f>
        <v/>
      </c>
      <c r="AA451" s="229" t="str" cm="1">
        <f t="array" ref="AA451">IF(Buildings_Heat_Frontend[[#This Row],[Data]]="","", INDEX(_xlfn.SWITCH(Buildings_Heat_Backend[[#This Row],[Methodology]],"Tier 1",rng_RSD1,"Tier 2",rng_RSD2,"Tier 3",rng_RSD3),MATCH(_xlfn.CONCAT(Buildings_Heat_Backend[[#This Row],[Level 1]:[Level 6]]),rng_LevelsConcat,0)))</f>
        <v/>
      </c>
      <c r="AB451" s="220" t="str">
        <f t="shared" si="19"/>
        <v/>
      </c>
      <c r="AC451" s="174">
        <f>Buildings_Heat_Frontend[[#This Row],[Units]]</f>
        <v>0</v>
      </c>
      <c r="AD45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1" s="174" t="str">
        <f>IF(Buildings_Heat_Frontend[[#This Row],[Data]]="","", _xlfn.XLOOKUP(_xlfn.CONCAT(Buildings_Heat_Backend[[#This Row],[Level 1]:[Level 6]]),rng_LevelsConcat,rng_UnitsLong))</f>
        <v/>
      </c>
      <c r="AF451" s="210" t="str">
        <f>IF(Buildings_Heat_Frontend[[#This Row],[Data]]="","", _xlfn.XLOOKUP(_xlfn.CONCAT(Buildings_Heat_Backend[[#This Row],[Level 1]:[Level 6]]),rng_EFConcat,rng_EF1)*Buildings_Heat_Backend[[#This Row],[Converted data]]/1000)</f>
        <v/>
      </c>
      <c r="AG451" s="210" t="str">
        <f>IF(Buildings_Heat_Frontend[[#This Row],[Data]]="","", _xlfn.XLOOKUP(_xlfn.CONCAT(Buildings_Heat_Backend[[#This Row],[Level 1]:[Level 6]]),rng_EFConcat,rng_EF2)*Buildings_Heat_Backend[[#This Row],[Converted data]]/1000)</f>
        <v/>
      </c>
      <c r="AH451" s="210" t="str">
        <f>IF(Buildings_Heat_Frontend[[#This Row],[Data]]="","", _xlfn.XLOOKUP(_xlfn.CONCAT(Buildings_Heat_Backend[[#This Row],[Level 1]:[Level 6]]),rng_EFConcat,rng_EF3)*Buildings_Heat_Backend[[#This Row],[Converted data]]/1000)</f>
        <v/>
      </c>
      <c r="AI451" s="210" t="str">
        <f>IF(Buildings_Heat_Frontend[[#This Row],[Data]]="","", _xlfn.XLOOKUP(_xlfn.CONCAT(Buildings_Heat_Backend[[#This Row],[Level 1]:[Level 6]]),rng_EFConcat,rng_EF3WTT)*Buildings_Heat_Backend[[#This Row],[Converted data]]/1000)</f>
        <v/>
      </c>
      <c r="AJ451" s="210" t="str">
        <f>IF(Buildings_Heat_Frontend[[#This Row],[Data]]="","", _xlfn.XLOOKUP(_xlfn.CONCAT(Buildings_Heat_Backend[[#This Row],[Level 1]:[Level 6]]),rng_EFConcat,rng_EF3TD)*Buildings_Heat_Backend[[#This Row],[Converted data]]/1000)</f>
        <v/>
      </c>
      <c r="AK451" s="210" t="str">
        <f>IF(Buildings_Heat_Frontend[[#This Row],[Data]]="","", _xlfn.XLOOKUP(_xlfn.CONCAT(Buildings_Heat_Backend[[#This Row],[Level 1]:[Level 6]]),rng_EFConcat,rng_EF3WTTTD)*Buildings_Heat_Backend[[#This Row],[Converted data]]/1000)</f>
        <v/>
      </c>
      <c r="AL451" s="220">
        <f>SUM(Buildings_Heat_Backend[[#This Row],[Scope 1 (tCO2e)]:[Scope 3 WTT T&amp;D (tCO2e)]])</f>
        <v>0</v>
      </c>
      <c r="AM451" s="220" t="str">
        <f>IF(Buildings_Heat_Frontend[[#This Row],[Data]]="","", Buildings_Heat_Backend[[#This Row],[Total (tCO2e)]]*(1-Buildings_Heat_Backend[[#This Row],[RSD]]))</f>
        <v/>
      </c>
      <c r="AN451" s="220" t="str">
        <f>IF(Buildings_Heat_Frontend[[#This Row],[Data]]="","", Buildings_Heat_Backend[[#This Row],[Total (tCO2e)]]*(1+Buildings_Heat_Backend[[#This Row],[RSD]]))</f>
        <v/>
      </c>
      <c r="AO451" s="210" t="str">
        <f>IF(Buildings_Heat_Frontend[[#This Row],[Data]]="","", _xlfn.XLOOKUP(_xlfn.CONCAT(Buildings_Heat_Backend[[#This Row],[Level 1]:[Level 6]]),rng_EFConcat,rng_EFOOS)*Buildings_Heat_Backend[[#This Row],[Converted data]]/1000)</f>
        <v/>
      </c>
      <c r="AP451" s="174">
        <f>Buildings_Heat_Frontend[[#This Row],[Ease of collection]]</f>
        <v>0</v>
      </c>
      <c r="AQ451" s="174">
        <f>Buildings_Heat_Frontend[[#This Row],[Completeness]]</f>
        <v>0</v>
      </c>
      <c r="AR451" s="174">
        <f>Buildings_Heat_Frontend[[#This Row],[Notes]]</f>
        <v>0</v>
      </c>
    </row>
    <row r="452" spans="5:44" x14ac:dyDescent="0.3">
      <c r="E452" s="346"/>
      <c r="F452" s="364"/>
      <c r="G452" s="336"/>
      <c r="H452" s="336"/>
      <c r="I452" s="336"/>
      <c r="J452" s="334"/>
      <c r="K452" s="336"/>
      <c r="L452" s="336"/>
      <c r="M452" s="336"/>
      <c r="N452" s="352"/>
      <c r="O452" s="230">
        <f t="shared" si="20"/>
        <v>6</v>
      </c>
      <c r="Q452" s="212" t="str">
        <f t="shared" si="18"/>
        <v/>
      </c>
      <c r="R452" s="174" t="s">
        <v>265</v>
      </c>
      <c r="S452" s="174" t="s">
        <v>273</v>
      </c>
      <c r="T452" s="174" t="str">
        <f>IF(Buildings_Heat_Frontend[[#This Row],[Data]]="","", _xlfn.XLOOKUP(Buildings_Heat_Backend[[#This Row],[Info 1]],Buildings_SiteInfo[Site name],Buildings_SiteInfo[Site type]))</f>
        <v/>
      </c>
      <c r="U452" s="174" t="str">
        <f>IF(Buildings_Heat_Frontend[[#This Row],[Data]]="","", Buildings_Heat_Frontend[[#This Row],[Heating Type]])</f>
        <v/>
      </c>
      <c r="V452" s="174" t="str">
        <f>IF(Buildings_Heat_Frontend[[#This Row],[Data]]="","", Buildings_Heat_Frontend[[#This Row],[Fuel]])</f>
        <v/>
      </c>
      <c r="W452" s="174" t="str" cm="1">
        <f t="array" ref="W452">IF(Buildings_Heat_Frontend[[#This Row],[Data]]="","", _xlfn.XLOOKUP(Buildings_Heat_Backend[[#This Row],[Level 5]],rng_Level5Long,rng_Level6Long))</f>
        <v/>
      </c>
      <c r="X452" s="174" t="str">
        <f>IF(Buildings_Heat_Frontend[[#This Row],[Data]]="","", Buildings_Heat_Frontend[[#This Row],[Site Name]])</f>
        <v/>
      </c>
      <c r="Y452" s="174" t="str">
        <f>IF(Buildings_Heat_Frontend[[#This Row],[Data]]="","", Buildings_Heat_Frontend[[#This Row],[MPRN]])</f>
        <v/>
      </c>
      <c r="Z452" s="174" t="str">
        <f>IF(Buildings_Heat_Frontend[[#This Row],[Data]]="","", IF($I452="","",$I452))</f>
        <v/>
      </c>
      <c r="AA452" s="229" t="str" cm="1">
        <f t="array" ref="AA452">IF(Buildings_Heat_Frontend[[#This Row],[Data]]="","", INDEX(_xlfn.SWITCH(Buildings_Heat_Backend[[#This Row],[Methodology]],"Tier 1",rng_RSD1,"Tier 2",rng_RSD2,"Tier 3",rng_RSD3),MATCH(_xlfn.CONCAT(Buildings_Heat_Backend[[#This Row],[Level 1]:[Level 6]]),rng_LevelsConcat,0)))</f>
        <v/>
      </c>
      <c r="AB452" s="220" t="str">
        <f t="shared" si="19"/>
        <v/>
      </c>
      <c r="AC452" s="174">
        <f>Buildings_Heat_Frontend[[#This Row],[Units]]</f>
        <v>0</v>
      </c>
      <c r="AD45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2" s="174" t="str">
        <f>IF(Buildings_Heat_Frontend[[#This Row],[Data]]="","", _xlfn.XLOOKUP(_xlfn.CONCAT(Buildings_Heat_Backend[[#This Row],[Level 1]:[Level 6]]),rng_LevelsConcat,rng_UnitsLong))</f>
        <v/>
      </c>
      <c r="AF452" s="210" t="str">
        <f>IF(Buildings_Heat_Frontend[[#This Row],[Data]]="","", _xlfn.XLOOKUP(_xlfn.CONCAT(Buildings_Heat_Backend[[#This Row],[Level 1]:[Level 6]]),rng_EFConcat,rng_EF1)*Buildings_Heat_Backend[[#This Row],[Converted data]]/1000)</f>
        <v/>
      </c>
      <c r="AG452" s="210" t="str">
        <f>IF(Buildings_Heat_Frontend[[#This Row],[Data]]="","", _xlfn.XLOOKUP(_xlfn.CONCAT(Buildings_Heat_Backend[[#This Row],[Level 1]:[Level 6]]),rng_EFConcat,rng_EF2)*Buildings_Heat_Backend[[#This Row],[Converted data]]/1000)</f>
        <v/>
      </c>
      <c r="AH452" s="210" t="str">
        <f>IF(Buildings_Heat_Frontend[[#This Row],[Data]]="","", _xlfn.XLOOKUP(_xlfn.CONCAT(Buildings_Heat_Backend[[#This Row],[Level 1]:[Level 6]]),rng_EFConcat,rng_EF3)*Buildings_Heat_Backend[[#This Row],[Converted data]]/1000)</f>
        <v/>
      </c>
      <c r="AI452" s="210" t="str">
        <f>IF(Buildings_Heat_Frontend[[#This Row],[Data]]="","", _xlfn.XLOOKUP(_xlfn.CONCAT(Buildings_Heat_Backend[[#This Row],[Level 1]:[Level 6]]),rng_EFConcat,rng_EF3WTT)*Buildings_Heat_Backend[[#This Row],[Converted data]]/1000)</f>
        <v/>
      </c>
      <c r="AJ452" s="210" t="str">
        <f>IF(Buildings_Heat_Frontend[[#This Row],[Data]]="","", _xlfn.XLOOKUP(_xlfn.CONCAT(Buildings_Heat_Backend[[#This Row],[Level 1]:[Level 6]]),rng_EFConcat,rng_EF3TD)*Buildings_Heat_Backend[[#This Row],[Converted data]]/1000)</f>
        <v/>
      </c>
      <c r="AK452" s="210" t="str">
        <f>IF(Buildings_Heat_Frontend[[#This Row],[Data]]="","", _xlfn.XLOOKUP(_xlfn.CONCAT(Buildings_Heat_Backend[[#This Row],[Level 1]:[Level 6]]),rng_EFConcat,rng_EF3WTTTD)*Buildings_Heat_Backend[[#This Row],[Converted data]]/1000)</f>
        <v/>
      </c>
      <c r="AL452" s="220">
        <f>SUM(Buildings_Heat_Backend[[#This Row],[Scope 1 (tCO2e)]:[Scope 3 WTT T&amp;D (tCO2e)]])</f>
        <v>0</v>
      </c>
      <c r="AM452" s="220" t="str">
        <f>IF(Buildings_Heat_Frontend[[#This Row],[Data]]="","", Buildings_Heat_Backend[[#This Row],[Total (tCO2e)]]*(1-Buildings_Heat_Backend[[#This Row],[RSD]]))</f>
        <v/>
      </c>
      <c r="AN452" s="220" t="str">
        <f>IF(Buildings_Heat_Frontend[[#This Row],[Data]]="","", Buildings_Heat_Backend[[#This Row],[Total (tCO2e)]]*(1+Buildings_Heat_Backend[[#This Row],[RSD]]))</f>
        <v/>
      </c>
      <c r="AO452" s="210" t="str">
        <f>IF(Buildings_Heat_Frontend[[#This Row],[Data]]="","", _xlfn.XLOOKUP(_xlfn.CONCAT(Buildings_Heat_Backend[[#This Row],[Level 1]:[Level 6]]),rng_EFConcat,rng_EFOOS)*Buildings_Heat_Backend[[#This Row],[Converted data]]/1000)</f>
        <v/>
      </c>
      <c r="AP452" s="174">
        <f>Buildings_Heat_Frontend[[#This Row],[Ease of collection]]</f>
        <v>0</v>
      </c>
      <c r="AQ452" s="174">
        <f>Buildings_Heat_Frontend[[#This Row],[Completeness]]</f>
        <v>0</v>
      </c>
      <c r="AR452" s="174">
        <f>Buildings_Heat_Frontend[[#This Row],[Notes]]</f>
        <v>0</v>
      </c>
    </row>
    <row r="453" spans="5:44" x14ac:dyDescent="0.3">
      <c r="E453" s="346"/>
      <c r="F453" s="364"/>
      <c r="G453" s="336"/>
      <c r="H453" s="336"/>
      <c r="I453" s="336"/>
      <c r="J453" s="334"/>
      <c r="K453" s="336"/>
      <c r="L453" s="336"/>
      <c r="M453" s="336"/>
      <c r="N453" s="352"/>
      <c r="O453" s="230">
        <f t="shared" si="20"/>
        <v>6</v>
      </c>
      <c r="Q453" s="212" t="str">
        <f t="shared" si="18"/>
        <v/>
      </c>
      <c r="R453" s="174" t="s">
        <v>265</v>
      </c>
      <c r="S453" s="174" t="s">
        <v>273</v>
      </c>
      <c r="T453" s="174" t="str">
        <f>IF(Buildings_Heat_Frontend[[#This Row],[Data]]="","", _xlfn.XLOOKUP(Buildings_Heat_Backend[[#This Row],[Info 1]],Buildings_SiteInfo[Site name],Buildings_SiteInfo[Site type]))</f>
        <v/>
      </c>
      <c r="U453" s="174" t="str">
        <f>IF(Buildings_Heat_Frontend[[#This Row],[Data]]="","", Buildings_Heat_Frontend[[#This Row],[Heating Type]])</f>
        <v/>
      </c>
      <c r="V453" s="174" t="str">
        <f>IF(Buildings_Heat_Frontend[[#This Row],[Data]]="","", Buildings_Heat_Frontend[[#This Row],[Fuel]])</f>
        <v/>
      </c>
      <c r="W453" s="174" t="str" cm="1">
        <f t="array" ref="W453">IF(Buildings_Heat_Frontend[[#This Row],[Data]]="","", _xlfn.XLOOKUP(Buildings_Heat_Backend[[#This Row],[Level 5]],rng_Level5Long,rng_Level6Long))</f>
        <v/>
      </c>
      <c r="X453" s="174" t="str">
        <f>IF(Buildings_Heat_Frontend[[#This Row],[Data]]="","", Buildings_Heat_Frontend[[#This Row],[Site Name]])</f>
        <v/>
      </c>
      <c r="Y453" s="174" t="str">
        <f>IF(Buildings_Heat_Frontend[[#This Row],[Data]]="","", Buildings_Heat_Frontend[[#This Row],[MPRN]])</f>
        <v/>
      </c>
      <c r="Z453" s="174" t="str">
        <f>IF(Buildings_Heat_Frontend[[#This Row],[Data]]="","", IF($I453="","",$I453))</f>
        <v/>
      </c>
      <c r="AA453" s="229" t="str" cm="1">
        <f t="array" ref="AA453">IF(Buildings_Heat_Frontend[[#This Row],[Data]]="","", INDEX(_xlfn.SWITCH(Buildings_Heat_Backend[[#This Row],[Methodology]],"Tier 1",rng_RSD1,"Tier 2",rng_RSD2,"Tier 3",rng_RSD3),MATCH(_xlfn.CONCAT(Buildings_Heat_Backend[[#This Row],[Level 1]:[Level 6]]),rng_LevelsConcat,0)))</f>
        <v/>
      </c>
      <c r="AB453" s="220" t="str">
        <f t="shared" si="19"/>
        <v/>
      </c>
      <c r="AC453" s="174">
        <f>Buildings_Heat_Frontend[[#This Row],[Units]]</f>
        <v>0</v>
      </c>
      <c r="AD45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3" s="174" t="str">
        <f>IF(Buildings_Heat_Frontend[[#This Row],[Data]]="","", _xlfn.XLOOKUP(_xlfn.CONCAT(Buildings_Heat_Backend[[#This Row],[Level 1]:[Level 6]]),rng_LevelsConcat,rng_UnitsLong))</f>
        <v/>
      </c>
      <c r="AF453" s="210" t="str">
        <f>IF(Buildings_Heat_Frontend[[#This Row],[Data]]="","", _xlfn.XLOOKUP(_xlfn.CONCAT(Buildings_Heat_Backend[[#This Row],[Level 1]:[Level 6]]),rng_EFConcat,rng_EF1)*Buildings_Heat_Backend[[#This Row],[Converted data]]/1000)</f>
        <v/>
      </c>
      <c r="AG453" s="210" t="str">
        <f>IF(Buildings_Heat_Frontend[[#This Row],[Data]]="","", _xlfn.XLOOKUP(_xlfn.CONCAT(Buildings_Heat_Backend[[#This Row],[Level 1]:[Level 6]]),rng_EFConcat,rng_EF2)*Buildings_Heat_Backend[[#This Row],[Converted data]]/1000)</f>
        <v/>
      </c>
      <c r="AH453" s="210" t="str">
        <f>IF(Buildings_Heat_Frontend[[#This Row],[Data]]="","", _xlfn.XLOOKUP(_xlfn.CONCAT(Buildings_Heat_Backend[[#This Row],[Level 1]:[Level 6]]),rng_EFConcat,rng_EF3)*Buildings_Heat_Backend[[#This Row],[Converted data]]/1000)</f>
        <v/>
      </c>
      <c r="AI453" s="210" t="str">
        <f>IF(Buildings_Heat_Frontend[[#This Row],[Data]]="","", _xlfn.XLOOKUP(_xlfn.CONCAT(Buildings_Heat_Backend[[#This Row],[Level 1]:[Level 6]]),rng_EFConcat,rng_EF3WTT)*Buildings_Heat_Backend[[#This Row],[Converted data]]/1000)</f>
        <v/>
      </c>
      <c r="AJ453" s="210" t="str">
        <f>IF(Buildings_Heat_Frontend[[#This Row],[Data]]="","", _xlfn.XLOOKUP(_xlfn.CONCAT(Buildings_Heat_Backend[[#This Row],[Level 1]:[Level 6]]),rng_EFConcat,rng_EF3TD)*Buildings_Heat_Backend[[#This Row],[Converted data]]/1000)</f>
        <v/>
      </c>
      <c r="AK453" s="210" t="str">
        <f>IF(Buildings_Heat_Frontend[[#This Row],[Data]]="","", _xlfn.XLOOKUP(_xlfn.CONCAT(Buildings_Heat_Backend[[#This Row],[Level 1]:[Level 6]]),rng_EFConcat,rng_EF3WTTTD)*Buildings_Heat_Backend[[#This Row],[Converted data]]/1000)</f>
        <v/>
      </c>
      <c r="AL453" s="220">
        <f>SUM(Buildings_Heat_Backend[[#This Row],[Scope 1 (tCO2e)]:[Scope 3 WTT T&amp;D (tCO2e)]])</f>
        <v>0</v>
      </c>
      <c r="AM453" s="220" t="str">
        <f>IF(Buildings_Heat_Frontend[[#This Row],[Data]]="","", Buildings_Heat_Backend[[#This Row],[Total (tCO2e)]]*(1-Buildings_Heat_Backend[[#This Row],[RSD]]))</f>
        <v/>
      </c>
      <c r="AN453" s="220" t="str">
        <f>IF(Buildings_Heat_Frontend[[#This Row],[Data]]="","", Buildings_Heat_Backend[[#This Row],[Total (tCO2e)]]*(1+Buildings_Heat_Backend[[#This Row],[RSD]]))</f>
        <v/>
      </c>
      <c r="AO453" s="210" t="str">
        <f>IF(Buildings_Heat_Frontend[[#This Row],[Data]]="","", _xlfn.XLOOKUP(_xlfn.CONCAT(Buildings_Heat_Backend[[#This Row],[Level 1]:[Level 6]]),rng_EFConcat,rng_EFOOS)*Buildings_Heat_Backend[[#This Row],[Converted data]]/1000)</f>
        <v/>
      </c>
      <c r="AP453" s="174">
        <f>Buildings_Heat_Frontend[[#This Row],[Ease of collection]]</f>
        <v>0</v>
      </c>
      <c r="AQ453" s="174">
        <f>Buildings_Heat_Frontend[[#This Row],[Completeness]]</f>
        <v>0</v>
      </c>
      <c r="AR453" s="174">
        <f>Buildings_Heat_Frontend[[#This Row],[Notes]]</f>
        <v>0</v>
      </c>
    </row>
    <row r="454" spans="5:44" x14ac:dyDescent="0.3">
      <c r="E454" s="346"/>
      <c r="F454" s="364"/>
      <c r="G454" s="336"/>
      <c r="H454" s="336"/>
      <c r="I454" s="336"/>
      <c r="J454" s="334"/>
      <c r="K454" s="336"/>
      <c r="L454" s="336"/>
      <c r="M454" s="336"/>
      <c r="N454" s="352"/>
      <c r="O454" s="230">
        <f t="shared" si="20"/>
        <v>6</v>
      </c>
      <c r="Q454" s="212" t="str">
        <f t="shared" si="18"/>
        <v/>
      </c>
      <c r="R454" s="174" t="s">
        <v>265</v>
      </c>
      <c r="S454" s="174" t="s">
        <v>273</v>
      </c>
      <c r="T454" s="174" t="str">
        <f>IF(Buildings_Heat_Frontend[[#This Row],[Data]]="","", _xlfn.XLOOKUP(Buildings_Heat_Backend[[#This Row],[Info 1]],Buildings_SiteInfo[Site name],Buildings_SiteInfo[Site type]))</f>
        <v/>
      </c>
      <c r="U454" s="174" t="str">
        <f>IF(Buildings_Heat_Frontend[[#This Row],[Data]]="","", Buildings_Heat_Frontend[[#This Row],[Heating Type]])</f>
        <v/>
      </c>
      <c r="V454" s="174" t="str">
        <f>IF(Buildings_Heat_Frontend[[#This Row],[Data]]="","", Buildings_Heat_Frontend[[#This Row],[Fuel]])</f>
        <v/>
      </c>
      <c r="W454" s="174" t="str" cm="1">
        <f t="array" ref="W454">IF(Buildings_Heat_Frontend[[#This Row],[Data]]="","", _xlfn.XLOOKUP(Buildings_Heat_Backend[[#This Row],[Level 5]],rng_Level5Long,rng_Level6Long))</f>
        <v/>
      </c>
      <c r="X454" s="174" t="str">
        <f>IF(Buildings_Heat_Frontend[[#This Row],[Data]]="","", Buildings_Heat_Frontend[[#This Row],[Site Name]])</f>
        <v/>
      </c>
      <c r="Y454" s="174" t="str">
        <f>IF(Buildings_Heat_Frontend[[#This Row],[Data]]="","", Buildings_Heat_Frontend[[#This Row],[MPRN]])</f>
        <v/>
      </c>
      <c r="Z454" s="174" t="str">
        <f>IF(Buildings_Heat_Frontend[[#This Row],[Data]]="","", IF($I454="","",$I454))</f>
        <v/>
      </c>
      <c r="AA454" s="229" t="str" cm="1">
        <f t="array" ref="AA454">IF(Buildings_Heat_Frontend[[#This Row],[Data]]="","", INDEX(_xlfn.SWITCH(Buildings_Heat_Backend[[#This Row],[Methodology]],"Tier 1",rng_RSD1,"Tier 2",rng_RSD2,"Tier 3",rng_RSD3),MATCH(_xlfn.CONCAT(Buildings_Heat_Backend[[#This Row],[Level 1]:[Level 6]]),rng_LevelsConcat,0)))</f>
        <v/>
      </c>
      <c r="AB454" s="220" t="str">
        <f t="shared" si="19"/>
        <v/>
      </c>
      <c r="AC454" s="174">
        <f>Buildings_Heat_Frontend[[#This Row],[Units]]</f>
        <v>0</v>
      </c>
      <c r="AD45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4" s="174" t="str">
        <f>IF(Buildings_Heat_Frontend[[#This Row],[Data]]="","", _xlfn.XLOOKUP(_xlfn.CONCAT(Buildings_Heat_Backend[[#This Row],[Level 1]:[Level 6]]),rng_LevelsConcat,rng_UnitsLong))</f>
        <v/>
      </c>
      <c r="AF454" s="210" t="str">
        <f>IF(Buildings_Heat_Frontend[[#This Row],[Data]]="","", _xlfn.XLOOKUP(_xlfn.CONCAT(Buildings_Heat_Backend[[#This Row],[Level 1]:[Level 6]]),rng_EFConcat,rng_EF1)*Buildings_Heat_Backend[[#This Row],[Converted data]]/1000)</f>
        <v/>
      </c>
      <c r="AG454" s="210" t="str">
        <f>IF(Buildings_Heat_Frontend[[#This Row],[Data]]="","", _xlfn.XLOOKUP(_xlfn.CONCAT(Buildings_Heat_Backend[[#This Row],[Level 1]:[Level 6]]),rng_EFConcat,rng_EF2)*Buildings_Heat_Backend[[#This Row],[Converted data]]/1000)</f>
        <v/>
      </c>
      <c r="AH454" s="210" t="str">
        <f>IF(Buildings_Heat_Frontend[[#This Row],[Data]]="","", _xlfn.XLOOKUP(_xlfn.CONCAT(Buildings_Heat_Backend[[#This Row],[Level 1]:[Level 6]]),rng_EFConcat,rng_EF3)*Buildings_Heat_Backend[[#This Row],[Converted data]]/1000)</f>
        <v/>
      </c>
      <c r="AI454" s="210" t="str">
        <f>IF(Buildings_Heat_Frontend[[#This Row],[Data]]="","", _xlfn.XLOOKUP(_xlfn.CONCAT(Buildings_Heat_Backend[[#This Row],[Level 1]:[Level 6]]),rng_EFConcat,rng_EF3WTT)*Buildings_Heat_Backend[[#This Row],[Converted data]]/1000)</f>
        <v/>
      </c>
      <c r="AJ454" s="210" t="str">
        <f>IF(Buildings_Heat_Frontend[[#This Row],[Data]]="","", _xlfn.XLOOKUP(_xlfn.CONCAT(Buildings_Heat_Backend[[#This Row],[Level 1]:[Level 6]]),rng_EFConcat,rng_EF3TD)*Buildings_Heat_Backend[[#This Row],[Converted data]]/1000)</f>
        <v/>
      </c>
      <c r="AK454" s="210" t="str">
        <f>IF(Buildings_Heat_Frontend[[#This Row],[Data]]="","", _xlfn.XLOOKUP(_xlfn.CONCAT(Buildings_Heat_Backend[[#This Row],[Level 1]:[Level 6]]),rng_EFConcat,rng_EF3WTTTD)*Buildings_Heat_Backend[[#This Row],[Converted data]]/1000)</f>
        <v/>
      </c>
      <c r="AL454" s="220">
        <f>SUM(Buildings_Heat_Backend[[#This Row],[Scope 1 (tCO2e)]:[Scope 3 WTT T&amp;D (tCO2e)]])</f>
        <v>0</v>
      </c>
      <c r="AM454" s="220" t="str">
        <f>IF(Buildings_Heat_Frontend[[#This Row],[Data]]="","", Buildings_Heat_Backend[[#This Row],[Total (tCO2e)]]*(1-Buildings_Heat_Backend[[#This Row],[RSD]]))</f>
        <v/>
      </c>
      <c r="AN454" s="220" t="str">
        <f>IF(Buildings_Heat_Frontend[[#This Row],[Data]]="","", Buildings_Heat_Backend[[#This Row],[Total (tCO2e)]]*(1+Buildings_Heat_Backend[[#This Row],[RSD]]))</f>
        <v/>
      </c>
      <c r="AO454" s="210" t="str">
        <f>IF(Buildings_Heat_Frontend[[#This Row],[Data]]="","", _xlfn.XLOOKUP(_xlfn.CONCAT(Buildings_Heat_Backend[[#This Row],[Level 1]:[Level 6]]),rng_EFConcat,rng_EFOOS)*Buildings_Heat_Backend[[#This Row],[Converted data]]/1000)</f>
        <v/>
      </c>
      <c r="AP454" s="174">
        <f>Buildings_Heat_Frontend[[#This Row],[Ease of collection]]</f>
        <v>0</v>
      </c>
      <c r="AQ454" s="174">
        <f>Buildings_Heat_Frontend[[#This Row],[Completeness]]</f>
        <v>0</v>
      </c>
      <c r="AR454" s="174">
        <f>Buildings_Heat_Frontend[[#This Row],[Notes]]</f>
        <v>0</v>
      </c>
    </row>
    <row r="455" spans="5:44" x14ac:dyDescent="0.3">
      <c r="E455" s="346"/>
      <c r="F455" s="364"/>
      <c r="G455" s="336"/>
      <c r="H455" s="336"/>
      <c r="I455" s="336"/>
      <c r="J455" s="334"/>
      <c r="K455" s="336"/>
      <c r="L455" s="336"/>
      <c r="M455" s="336"/>
      <c r="N455" s="352"/>
      <c r="O455" s="230">
        <f t="shared" si="20"/>
        <v>6</v>
      </c>
      <c r="Q455" s="212" t="str">
        <f t="shared" si="18"/>
        <v/>
      </c>
      <c r="R455" s="174" t="s">
        <v>265</v>
      </c>
      <c r="S455" s="174" t="s">
        <v>273</v>
      </c>
      <c r="T455" s="174" t="str">
        <f>IF(Buildings_Heat_Frontend[[#This Row],[Data]]="","", _xlfn.XLOOKUP(Buildings_Heat_Backend[[#This Row],[Info 1]],Buildings_SiteInfo[Site name],Buildings_SiteInfo[Site type]))</f>
        <v/>
      </c>
      <c r="U455" s="174" t="str">
        <f>IF(Buildings_Heat_Frontend[[#This Row],[Data]]="","", Buildings_Heat_Frontend[[#This Row],[Heating Type]])</f>
        <v/>
      </c>
      <c r="V455" s="174" t="str">
        <f>IF(Buildings_Heat_Frontend[[#This Row],[Data]]="","", Buildings_Heat_Frontend[[#This Row],[Fuel]])</f>
        <v/>
      </c>
      <c r="W455" s="174" t="str" cm="1">
        <f t="array" ref="W455">IF(Buildings_Heat_Frontend[[#This Row],[Data]]="","", _xlfn.XLOOKUP(Buildings_Heat_Backend[[#This Row],[Level 5]],rng_Level5Long,rng_Level6Long))</f>
        <v/>
      </c>
      <c r="X455" s="174" t="str">
        <f>IF(Buildings_Heat_Frontend[[#This Row],[Data]]="","", Buildings_Heat_Frontend[[#This Row],[Site Name]])</f>
        <v/>
      </c>
      <c r="Y455" s="174" t="str">
        <f>IF(Buildings_Heat_Frontend[[#This Row],[Data]]="","", Buildings_Heat_Frontend[[#This Row],[MPRN]])</f>
        <v/>
      </c>
      <c r="Z455" s="174" t="str">
        <f>IF(Buildings_Heat_Frontend[[#This Row],[Data]]="","", IF($I455="","",$I455))</f>
        <v/>
      </c>
      <c r="AA455" s="229" t="str" cm="1">
        <f t="array" ref="AA455">IF(Buildings_Heat_Frontend[[#This Row],[Data]]="","", INDEX(_xlfn.SWITCH(Buildings_Heat_Backend[[#This Row],[Methodology]],"Tier 1",rng_RSD1,"Tier 2",rng_RSD2,"Tier 3",rng_RSD3),MATCH(_xlfn.CONCAT(Buildings_Heat_Backend[[#This Row],[Level 1]:[Level 6]]),rng_LevelsConcat,0)))</f>
        <v/>
      </c>
      <c r="AB455" s="220" t="str">
        <f t="shared" si="19"/>
        <v/>
      </c>
      <c r="AC455" s="174">
        <f>Buildings_Heat_Frontend[[#This Row],[Units]]</f>
        <v>0</v>
      </c>
      <c r="AD45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5" s="174" t="str">
        <f>IF(Buildings_Heat_Frontend[[#This Row],[Data]]="","", _xlfn.XLOOKUP(_xlfn.CONCAT(Buildings_Heat_Backend[[#This Row],[Level 1]:[Level 6]]),rng_LevelsConcat,rng_UnitsLong))</f>
        <v/>
      </c>
      <c r="AF455" s="210" t="str">
        <f>IF(Buildings_Heat_Frontend[[#This Row],[Data]]="","", _xlfn.XLOOKUP(_xlfn.CONCAT(Buildings_Heat_Backend[[#This Row],[Level 1]:[Level 6]]),rng_EFConcat,rng_EF1)*Buildings_Heat_Backend[[#This Row],[Converted data]]/1000)</f>
        <v/>
      </c>
      <c r="AG455" s="210" t="str">
        <f>IF(Buildings_Heat_Frontend[[#This Row],[Data]]="","", _xlfn.XLOOKUP(_xlfn.CONCAT(Buildings_Heat_Backend[[#This Row],[Level 1]:[Level 6]]),rng_EFConcat,rng_EF2)*Buildings_Heat_Backend[[#This Row],[Converted data]]/1000)</f>
        <v/>
      </c>
      <c r="AH455" s="210" t="str">
        <f>IF(Buildings_Heat_Frontend[[#This Row],[Data]]="","", _xlfn.XLOOKUP(_xlfn.CONCAT(Buildings_Heat_Backend[[#This Row],[Level 1]:[Level 6]]),rng_EFConcat,rng_EF3)*Buildings_Heat_Backend[[#This Row],[Converted data]]/1000)</f>
        <v/>
      </c>
      <c r="AI455" s="210" t="str">
        <f>IF(Buildings_Heat_Frontend[[#This Row],[Data]]="","", _xlfn.XLOOKUP(_xlfn.CONCAT(Buildings_Heat_Backend[[#This Row],[Level 1]:[Level 6]]),rng_EFConcat,rng_EF3WTT)*Buildings_Heat_Backend[[#This Row],[Converted data]]/1000)</f>
        <v/>
      </c>
      <c r="AJ455" s="210" t="str">
        <f>IF(Buildings_Heat_Frontend[[#This Row],[Data]]="","", _xlfn.XLOOKUP(_xlfn.CONCAT(Buildings_Heat_Backend[[#This Row],[Level 1]:[Level 6]]),rng_EFConcat,rng_EF3TD)*Buildings_Heat_Backend[[#This Row],[Converted data]]/1000)</f>
        <v/>
      </c>
      <c r="AK455" s="210" t="str">
        <f>IF(Buildings_Heat_Frontend[[#This Row],[Data]]="","", _xlfn.XLOOKUP(_xlfn.CONCAT(Buildings_Heat_Backend[[#This Row],[Level 1]:[Level 6]]),rng_EFConcat,rng_EF3WTTTD)*Buildings_Heat_Backend[[#This Row],[Converted data]]/1000)</f>
        <v/>
      </c>
      <c r="AL455" s="220">
        <f>SUM(Buildings_Heat_Backend[[#This Row],[Scope 1 (tCO2e)]:[Scope 3 WTT T&amp;D (tCO2e)]])</f>
        <v>0</v>
      </c>
      <c r="AM455" s="220" t="str">
        <f>IF(Buildings_Heat_Frontend[[#This Row],[Data]]="","", Buildings_Heat_Backend[[#This Row],[Total (tCO2e)]]*(1-Buildings_Heat_Backend[[#This Row],[RSD]]))</f>
        <v/>
      </c>
      <c r="AN455" s="220" t="str">
        <f>IF(Buildings_Heat_Frontend[[#This Row],[Data]]="","", Buildings_Heat_Backend[[#This Row],[Total (tCO2e)]]*(1+Buildings_Heat_Backend[[#This Row],[RSD]]))</f>
        <v/>
      </c>
      <c r="AO455" s="210" t="str">
        <f>IF(Buildings_Heat_Frontend[[#This Row],[Data]]="","", _xlfn.XLOOKUP(_xlfn.CONCAT(Buildings_Heat_Backend[[#This Row],[Level 1]:[Level 6]]),rng_EFConcat,rng_EFOOS)*Buildings_Heat_Backend[[#This Row],[Converted data]]/1000)</f>
        <v/>
      </c>
      <c r="AP455" s="174">
        <f>Buildings_Heat_Frontend[[#This Row],[Ease of collection]]</f>
        <v>0</v>
      </c>
      <c r="AQ455" s="174">
        <f>Buildings_Heat_Frontend[[#This Row],[Completeness]]</f>
        <v>0</v>
      </c>
      <c r="AR455" s="174">
        <f>Buildings_Heat_Frontend[[#This Row],[Notes]]</f>
        <v>0</v>
      </c>
    </row>
    <row r="456" spans="5:44" x14ac:dyDescent="0.3">
      <c r="E456" s="346"/>
      <c r="F456" s="364"/>
      <c r="G456" s="336"/>
      <c r="H456" s="336"/>
      <c r="I456" s="336"/>
      <c r="J456" s="334"/>
      <c r="K456" s="336"/>
      <c r="L456" s="336"/>
      <c r="M456" s="336"/>
      <c r="N456" s="352"/>
      <c r="O456" s="230">
        <f t="shared" si="20"/>
        <v>6</v>
      </c>
      <c r="Q456" s="212" t="str">
        <f t="shared" si="18"/>
        <v/>
      </c>
      <c r="R456" s="174" t="s">
        <v>265</v>
      </c>
      <c r="S456" s="174" t="s">
        <v>273</v>
      </c>
      <c r="T456" s="174" t="str">
        <f>IF(Buildings_Heat_Frontend[[#This Row],[Data]]="","", _xlfn.XLOOKUP(Buildings_Heat_Backend[[#This Row],[Info 1]],Buildings_SiteInfo[Site name],Buildings_SiteInfo[Site type]))</f>
        <v/>
      </c>
      <c r="U456" s="174" t="str">
        <f>IF(Buildings_Heat_Frontend[[#This Row],[Data]]="","", Buildings_Heat_Frontend[[#This Row],[Heating Type]])</f>
        <v/>
      </c>
      <c r="V456" s="174" t="str">
        <f>IF(Buildings_Heat_Frontend[[#This Row],[Data]]="","", Buildings_Heat_Frontend[[#This Row],[Fuel]])</f>
        <v/>
      </c>
      <c r="W456" s="174" t="str" cm="1">
        <f t="array" ref="W456">IF(Buildings_Heat_Frontend[[#This Row],[Data]]="","", _xlfn.XLOOKUP(Buildings_Heat_Backend[[#This Row],[Level 5]],rng_Level5Long,rng_Level6Long))</f>
        <v/>
      </c>
      <c r="X456" s="174" t="str">
        <f>IF(Buildings_Heat_Frontend[[#This Row],[Data]]="","", Buildings_Heat_Frontend[[#This Row],[Site Name]])</f>
        <v/>
      </c>
      <c r="Y456" s="174" t="str">
        <f>IF(Buildings_Heat_Frontend[[#This Row],[Data]]="","", Buildings_Heat_Frontend[[#This Row],[MPRN]])</f>
        <v/>
      </c>
      <c r="Z456" s="174" t="str">
        <f>IF(Buildings_Heat_Frontend[[#This Row],[Data]]="","", IF($I456="","",$I456))</f>
        <v/>
      </c>
      <c r="AA456" s="229" t="str" cm="1">
        <f t="array" ref="AA456">IF(Buildings_Heat_Frontend[[#This Row],[Data]]="","", INDEX(_xlfn.SWITCH(Buildings_Heat_Backend[[#This Row],[Methodology]],"Tier 1",rng_RSD1,"Tier 2",rng_RSD2,"Tier 3",rng_RSD3),MATCH(_xlfn.CONCAT(Buildings_Heat_Backend[[#This Row],[Level 1]:[Level 6]]),rng_LevelsConcat,0)))</f>
        <v/>
      </c>
      <c r="AB456" s="220" t="str">
        <f t="shared" si="19"/>
        <v/>
      </c>
      <c r="AC456" s="174">
        <f>Buildings_Heat_Frontend[[#This Row],[Units]]</f>
        <v>0</v>
      </c>
      <c r="AD45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6" s="174" t="str">
        <f>IF(Buildings_Heat_Frontend[[#This Row],[Data]]="","", _xlfn.XLOOKUP(_xlfn.CONCAT(Buildings_Heat_Backend[[#This Row],[Level 1]:[Level 6]]),rng_LevelsConcat,rng_UnitsLong))</f>
        <v/>
      </c>
      <c r="AF456" s="210" t="str">
        <f>IF(Buildings_Heat_Frontend[[#This Row],[Data]]="","", _xlfn.XLOOKUP(_xlfn.CONCAT(Buildings_Heat_Backend[[#This Row],[Level 1]:[Level 6]]),rng_EFConcat,rng_EF1)*Buildings_Heat_Backend[[#This Row],[Converted data]]/1000)</f>
        <v/>
      </c>
      <c r="AG456" s="210" t="str">
        <f>IF(Buildings_Heat_Frontend[[#This Row],[Data]]="","", _xlfn.XLOOKUP(_xlfn.CONCAT(Buildings_Heat_Backend[[#This Row],[Level 1]:[Level 6]]),rng_EFConcat,rng_EF2)*Buildings_Heat_Backend[[#This Row],[Converted data]]/1000)</f>
        <v/>
      </c>
      <c r="AH456" s="210" t="str">
        <f>IF(Buildings_Heat_Frontend[[#This Row],[Data]]="","", _xlfn.XLOOKUP(_xlfn.CONCAT(Buildings_Heat_Backend[[#This Row],[Level 1]:[Level 6]]),rng_EFConcat,rng_EF3)*Buildings_Heat_Backend[[#This Row],[Converted data]]/1000)</f>
        <v/>
      </c>
      <c r="AI456" s="210" t="str">
        <f>IF(Buildings_Heat_Frontend[[#This Row],[Data]]="","", _xlfn.XLOOKUP(_xlfn.CONCAT(Buildings_Heat_Backend[[#This Row],[Level 1]:[Level 6]]),rng_EFConcat,rng_EF3WTT)*Buildings_Heat_Backend[[#This Row],[Converted data]]/1000)</f>
        <v/>
      </c>
      <c r="AJ456" s="210" t="str">
        <f>IF(Buildings_Heat_Frontend[[#This Row],[Data]]="","", _xlfn.XLOOKUP(_xlfn.CONCAT(Buildings_Heat_Backend[[#This Row],[Level 1]:[Level 6]]),rng_EFConcat,rng_EF3TD)*Buildings_Heat_Backend[[#This Row],[Converted data]]/1000)</f>
        <v/>
      </c>
      <c r="AK456" s="210" t="str">
        <f>IF(Buildings_Heat_Frontend[[#This Row],[Data]]="","", _xlfn.XLOOKUP(_xlfn.CONCAT(Buildings_Heat_Backend[[#This Row],[Level 1]:[Level 6]]),rng_EFConcat,rng_EF3WTTTD)*Buildings_Heat_Backend[[#This Row],[Converted data]]/1000)</f>
        <v/>
      </c>
      <c r="AL456" s="220">
        <f>SUM(Buildings_Heat_Backend[[#This Row],[Scope 1 (tCO2e)]:[Scope 3 WTT T&amp;D (tCO2e)]])</f>
        <v>0</v>
      </c>
      <c r="AM456" s="220" t="str">
        <f>IF(Buildings_Heat_Frontend[[#This Row],[Data]]="","", Buildings_Heat_Backend[[#This Row],[Total (tCO2e)]]*(1-Buildings_Heat_Backend[[#This Row],[RSD]]))</f>
        <v/>
      </c>
      <c r="AN456" s="220" t="str">
        <f>IF(Buildings_Heat_Frontend[[#This Row],[Data]]="","", Buildings_Heat_Backend[[#This Row],[Total (tCO2e)]]*(1+Buildings_Heat_Backend[[#This Row],[RSD]]))</f>
        <v/>
      </c>
      <c r="AO456" s="210" t="str">
        <f>IF(Buildings_Heat_Frontend[[#This Row],[Data]]="","", _xlfn.XLOOKUP(_xlfn.CONCAT(Buildings_Heat_Backend[[#This Row],[Level 1]:[Level 6]]),rng_EFConcat,rng_EFOOS)*Buildings_Heat_Backend[[#This Row],[Converted data]]/1000)</f>
        <v/>
      </c>
      <c r="AP456" s="174">
        <f>Buildings_Heat_Frontend[[#This Row],[Ease of collection]]</f>
        <v>0</v>
      </c>
      <c r="AQ456" s="174">
        <f>Buildings_Heat_Frontend[[#This Row],[Completeness]]</f>
        <v>0</v>
      </c>
      <c r="AR456" s="174">
        <f>Buildings_Heat_Frontend[[#This Row],[Notes]]</f>
        <v>0</v>
      </c>
    </row>
    <row r="457" spans="5:44" x14ac:dyDescent="0.3">
      <c r="E457" s="346"/>
      <c r="F457" s="364"/>
      <c r="G457" s="336"/>
      <c r="H457" s="336"/>
      <c r="I457" s="336"/>
      <c r="J457" s="334"/>
      <c r="K457" s="336"/>
      <c r="L457" s="336"/>
      <c r="M457" s="336"/>
      <c r="N457" s="352"/>
      <c r="O457" s="230">
        <f t="shared" si="20"/>
        <v>6</v>
      </c>
      <c r="Q457" s="212" t="str">
        <f t="shared" si="18"/>
        <v/>
      </c>
      <c r="R457" s="174" t="s">
        <v>265</v>
      </c>
      <c r="S457" s="174" t="s">
        <v>273</v>
      </c>
      <c r="T457" s="174" t="str">
        <f>IF(Buildings_Heat_Frontend[[#This Row],[Data]]="","", _xlfn.XLOOKUP(Buildings_Heat_Backend[[#This Row],[Info 1]],Buildings_SiteInfo[Site name],Buildings_SiteInfo[Site type]))</f>
        <v/>
      </c>
      <c r="U457" s="174" t="str">
        <f>IF(Buildings_Heat_Frontend[[#This Row],[Data]]="","", Buildings_Heat_Frontend[[#This Row],[Heating Type]])</f>
        <v/>
      </c>
      <c r="V457" s="174" t="str">
        <f>IF(Buildings_Heat_Frontend[[#This Row],[Data]]="","", Buildings_Heat_Frontend[[#This Row],[Fuel]])</f>
        <v/>
      </c>
      <c r="W457" s="174" t="str" cm="1">
        <f t="array" ref="W457">IF(Buildings_Heat_Frontend[[#This Row],[Data]]="","", _xlfn.XLOOKUP(Buildings_Heat_Backend[[#This Row],[Level 5]],rng_Level5Long,rng_Level6Long))</f>
        <v/>
      </c>
      <c r="X457" s="174" t="str">
        <f>IF(Buildings_Heat_Frontend[[#This Row],[Data]]="","", Buildings_Heat_Frontend[[#This Row],[Site Name]])</f>
        <v/>
      </c>
      <c r="Y457" s="174" t="str">
        <f>IF(Buildings_Heat_Frontend[[#This Row],[Data]]="","", Buildings_Heat_Frontend[[#This Row],[MPRN]])</f>
        <v/>
      </c>
      <c r="Z457" s="174" t="str">
        <f>IF(Buildings_Heat_Frontend[[#This Row],[Data]]="","", IF($I457="","",$I457))</f>
        <v/>
      </c>
      <c r="AA457" s="229" t="str" cm="1">
        <f t="array" ref="AA457">IF(Buildings_Heat_Frontend[[#This Row],[Data]]="","", INDEX(_xlfn.SWITCH(Buildings_Heat_Backend[[#This Row],[Methodology]],"Tier 1",rng_RSD1,"Tier 2",rng_RSD2,"Tier 3",rng_RSD3),MATCH(_xlfn.CONCAT(Buildings_Heat_Backend[[#This Row],[Level 1]:[Level 6]]),rng_LevelsConcat,0)))</f>
        <v/>
      </c>
      <c r="AB457" s="220" t="str">
        <f t="shared" si="19"/>
        <v/>
      </c>
      <c r="AC457" s="174">
        <f>Buildings_Heat_Frontend[[#This Row],[Units]]</f>
        <v>0</v>
      </c>
      <c r="AD45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7" s="174" t="str">
        <f>IF(Buildings_Heat_Frontend[[#This Row],[Data]]="","", _xlfn.XLOOKUP(_xlfn.CONCAT(Buildings_Heat_Backend[[#This Row],[Level 1]:[Level 6]]),rng_LevelsConcat,rng_UnitsLong))</f>
        <v/>
      </c>
      <c r="AF457" s="210" t="str">
        <f>IF(Buildings_Heat_Frontend[[#This Row],[Data]]="","", _xlfn.XLOOKUP(_xlfn.CONCAT(Buildings_Heat_Backend[[#This Row],[Level 1]:[Level 6]]),rng_EFConcat,rng_EF1)*Buildings_Heat_Backend[[#This Row],[Converted data]]/1000)</f>
        <v/>
      </c>
      <c r="AG457" s="210" t="str">
        <f>IF(Buildings_Heat_Frontend[[#This Row],[Data]]="","", _xlfn.XLOOKUP(_xlfn.CONCAT(Buildings_Heat_Backend[[#This Row],[Level 1]:[Level 6]]),rng_EFConcat,rng_EF2)*Buildings_Heat_Backend[[#This Row],[Converted data]]/1000)</f>
        <v/>
      </c>
      <c r="AH457" s="210" t="str">
        <f>IF(Buildings_Heat_Frontend[[#This Row],[Data]]="","", _xlfn.XLOOKUP(_xlfn.CONCAT(Buildings_Heat_Backend[[#This Row],[Level 1]:[Level 6]]),rng_EFConcat,rng_EF3)*Buildings_Heat_Backend[[#This Row],[Converted data]]/1000)</f>
        <v/>
      </c>
      <c r="AI457" s="210" t="str">
        <f>IF(Buildings_Heat_Frontend[[#This Row],[Data]]="","", _xlfn.XLOOKUP(_xlfn.CONCAT(Buildings_Heat_Backend[[#This Row],[Level 1]:[Level 6]]),rng_EFConcat,rng_EF3WTT)*Buildings_Heat_Backend[[#This Row],[Converted data]]/1000)</f>
        <v/>
      </c>
      <c r="AJ457" s="210" t="str">
        <f>IF(Buildings_Heat_Frontend[[#This Row],[Data]]="","", _xlfn.XLOOKUP(_xlfn.CONCAT(Buildings_Heat_Backend[[#This Row],[Level 1]:[Level 6]]),rng_EFConcat,rng_EF3TD)*Buildings_Heat_Backend[[#This Row],[Converted data]]/1000)</f>
        <v/>
      </c>
      <c r="AK457" s="210" t="str">
        <f>IF(Buildings_Heat_Frontend[[#This Row],[Data]]="","", _xlfn.XLOOKUP(_xlfn.CONCAT(Buildings_Heat_Backend[[#This Row],[Level 1]:[Level 6]]),rng_EFConcat,rng_EF3WTTTD)*Buildings_Heat_Backend[[#This Row],[Converted data]]/1000)</f>
        <v/>
      </c>
      <c r="AL457" s="220">
        <f>SUM(Buildings_Heat_Backend[[#This Row],[Scope 1 (tCO2e)]:[Scope 3 WTT T&amp;D (tCO2e)]])</f>
        <v>0</v>
      </c>
      <c r="AM457" s="220" t="str">
        <f>IF(Buildings_Heat_Frontend[[#This Row],[Data]]="","", Buildings_Heat_Backend[[#This Row],[Total (tCO2e)]]*(1-Buildings_Heat_Backend[[#This Row],[RSD]]))</f>
        <v/>
      </c>
      <c r="AN457" s="220" t="str">
        <f>IF(Buildings_Heat_Frontend[[#This Row],[Data]]="","", Buildings_Heat_Backend[[#This Row],[Total (tCO2e)]]*(1+Buildings_Heat_Backend[[#This Row],[RSD]]))</f>
        <v/>
      </c>
      <c r="AO457" s="210" t="str">
        <f>IF(Buildings_Heat_Frontend[[#This Row],[Data]]="","", _xlfn.XLOOKUP(_xlfn.CONCAT(Buildings_Heat_Backend[[#This Row],[Level 1]:[Level 6]]),rng_EFConcat,rng_EFOOS)*Buildings_Heat_Backend[[#This Row],[Converted data]]/1000)</f>
        <v/>
      </c>
      <c r="AP457" s="174">
        <f>Buildings_Heat_Frontend[[#This Row],[Ease of collection]]</f>
        <v>0</v>
      </c>
      <c r="AQ457" s="174">
        <f>Buildings_Heat_Frontend[[#This Row],[Completeness]]</f>
        <v>0</v>
      </c>
      <c r="AR457" s="174">
        <f>Buildings_Heat_Frontend[[#This Row],[Notes]]</f>
        <v>0</v>
      </c>
    </row>
    <row r="458" spans="5:44" x14ac:dyDescent="0.3">
      <c r="E458" s="346"/>
      <c r="F458" s="364"/>
      <c r="G458" s="336"/>
      <c r="H458" s="336"/>
      <c r="I458" s="336"/>
      <c r="J458" s="334"/>
      <c r="K458" s="336"/>
      <c r="L458" s="336"/>
      <c r="M458" s="336"/>
      <c r="N458" s="352"/>
      <c r="O458" s="230">
        <f t="shared" si="20"/>
        <v>6</v>
      </c>
      <c r="Q458" s="212" t="str">
        <f t="shared" si="18"/>
        <v/>
      </c>
      <c r="R458" s="174" t="s">
        <v>265</v>
      </c>
      <c r="S458" s="174" t="s">
        <v>273</v>
      </c>
      <c r="T458" s="174" t="str">
        <f>IF(Buildings_Heat_Frontend[[#This Row],[Data]]="","", _xlfn.XLOOKUP(Buildings_Heat_Backend[[#This Row],[Info 1]],Buildings_SiteInfo[Site name],Buildings_SiteInfo[Site type]))</f>
        <v/>
      </c>
      <c r="U458" s="174" t="str">
        <f>IF(Buildings_Heat_Frontend[[#This Row],[Data]]="","", Buildings_Heat_Frontend[[#This Row],[Heating Type]])</f>
        <v/>
      </c>
      <c r="V458" s="174" t="str">
        <f>IF(Buildings_Heat_Frontend[[#This Row],[Data]]="","", Buildings_Heat_Frontend[[#This Row],[Fuel]])</f>
        <v/>
      </c>
      <c r="W458" s="174" t="str" cm="1">
        <f t="array" ref="W458">IF(Buildings_Heat_Frontend[[#This Row],[Data]]="","", _xlfn.XLOOKUP(Buildings_Heat_Backend[[#This Row],[Level 5]],rng_Level5Long,rng_Level6Long))</f>
        <v/>
      </c>
      <c r="X458" s="174" t="str">
        <f>IF(Buildings_Heat_Frontend[[#This Row],[Data]]="","", Buildings_Heat_Frontend[[#This Row],[Site Name]])</f>
        <v/>
      </c>
      <c r="Y458" s="174" t="str">
        <f>IF(Buildings_Heat_Frontend[[#This Row],[Data]]="","", Buildings_Heat_Frontend[[#This Row],[MPRN]])</f>
        <v/>
      </c>
      <c r="Z458" s="174" t="str">
        <f>IF(Buildings_Heat_Frontend[[#This Row],[Data]]="","", IF($I458="","",$I458))</f>
        <v/>
      </c>
      <c r="AA458" s="229" t="str" cm="1">
        <f t="array" ref="AA458">IF(Buildings_Heat_Frontend[[#This Row],[Data]]="","", INDEX(_xlfn.SWITCH(Buildings_Heat_Backend[[#This Row],[Methodology]],"Tier 1",rng_RSD1,"Tier 2",rng_RSD2,"Tier 3",rng_RSD3),MATCH(_xlfn.CONCAT(Buildings_Heat_Backend[[#This Row],[Level 1]:[Level 6]]),rng_LevelsConcat,0)))</f>
        <v/>
      </c>
      <c r="AB458" s="220" t="str">
        <f t="shared" si="19"/>
        <v/>
      </c>
      <c r="AC458" s="174">
        <f>Buildings_Heat_Frontend[[#This Row],[Units]]</f>
        <v>0</v>
      </c>
      <c r="AD45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8" s="174" t="str">
        <f>IF(Buildings_Heat_Frontend[[#This Row],[Data]]="","", _xlfn.XLOOKUP(_xlfn.CONCAT(Buildings_Heat_Backend[[#This Row],[Level 1]:[Level 6]]),rng_LevelsConcat,rng_UnitsLong))</f>
        <v/>
      </c>
      <c r="AF458" s="210" t="str">
        <f>IF(Buildings_Heat_Frontend[[#This Row],[Data]]="","", _xlfn.XLOOKUP(_xlfn.CONCAT(Buildings_Heat_Backend[[#This Row],[Level 1]:[Level 6]]),rng_EFConcat,rng_EF1)*Buildings_Heat_Backend[[#This Row],[Converted data]]/1000)</f>
        <v/>
      </c>
      <c r="AG458" s="210" t="str">
        <f>IF(Buildings_Heat_Frontend[[#This Row],[Data]]="","", _xlfn.XLOOKUP(_xlfn.CONCAT(Buildings_Heat_Backend[[#This Row],[Level 1]:[Level 6]]),rng_EFConcat,rng_EF2)*Buildings_Heat_Backend[[#This Row],[Converted data]]/1000)</f>
        <v/>
      </c>
      <c r="AH458" s="210" t="str">
        <f>IF(Buildings_Heat_Frontend[[#This Row],[Data]]="","", _xlfn.XLOOKUP(_xlfn.CONCAT(Buildings_Heat_Backend[[#This Row],[Level 1]:[Level 6]]),rng_EFConcat,rng_EF3)*Buildings_Heat_Backend[[#This Row],[Converted data]]/1000)</f>
        <v/>
      </c>
      <c r="AI458" s="210" t="str">
        <f>IF(Buildings_Heat_Frontend[[#This Row],[Data]]="","", _xlfn.XLOOKUP(_xlfn.CONCAT(Buildings_Heat_Backend[[#This Row],[Level 1]:[Level 6]]),rng_EFConcat,rng_EF3WTT)*Buildings_Heat_Backend[[#This Row],[Converted data]]/1000)</f>
        <v/>
      </c>
      <c r="AJ458" s="210" t="str">
        <f>IF(Buildings_Heat_Frontend[[#This Row],[Data]]="","", _xlfn.XLOOKUP(_xlfn.CONCAT(Buildings_Heat_Backend[[#This Row],[Level 1]:[Level 6]]),rng_EFConcat,rng_EF3TD)*Buildings_Heat_Backend[[#This Row],[Converted data]]/1000)</f>
        <v/>
      </c>
      <c r="AK458" s="210" t="str">
        <f>IF(Buildings_Heat_Frontend[[#This Row],[Data]]="","", _xlfn.XLOOKUP(_xlfn.CONCAT(Buildings_Heat_Backend[[#This Row],[Level 1]:[Level 6]]),rng_EFConcat,rng_EF3WTTTD)*Buildings_Heat_Backend[[#This Row],[Converted data]]/1000)</f>
        <v/>
      </c>
      <c r="AL458" s="220">
        <f>SUM(Buildings_Heat_Backend[[#This Row],[Scope 1 (tCO2e)]:[Scope 3 WTT T&amp;D (tCO2e)]])</f>
        <v>0</v>
      </c>
      <c r="AM458" s="220" t="str">
        <f>IF(Buildings_Heat_Frontend[[#This Row],[Data]]="","", Buildings_Heat_Backend[[#This Row],[Total (tCO2e)]]*(1-Buildings_Heat_Backend[[#This Row],[RSD]]))</f>
        <v/>
      </c>
      <c r="AN458" s="220" t="str">
        <f>IF(Buildings_Heat_Frontend[[#This Row],[Data]]="","", Buildings_Heat_Backend[[#This Row],[Total (tCO2e)]]*(1+Buildings_Heat_Backend[[#This Row],[RSD]]))</f>
        <v/>
      </c>
      <c r="AO458" s="210" t="str">
        <f>IF(Buildings_Heat_Frontend[[#This Row],[Data]]="","", _xlfn.XLOOKUP(_xlfn.CONCAT(Buildings_Heat_Backend[[#This Row],[Level 1]:[Level 6]]),rng_EFConcat,rng_EFOOS)*Buildings_Heat_Backend[[#This Row],[Converted data]]/1000)</f>
        <v/>
      </c>
      <c r="AP458" s="174">
        <f>Buildings_Heat_Frontend[[#This Row],[Ease of collection]]</f>
        <v>0</v>
      </c>
      <c r="AQ458" s="174">
        <f>Buildings_Heat_Frontend[[#This Row],[Completeness]]</f>
        <v>0</v>
      </c>
      <c r="AR458" s="174">
        <f>Buildings_Heat_Frontend[[#This Row],[Notes]]</f>
        <v>0</v>
      </c>
    </row>
    <row r="459" spans="5:44" x14ac:dyDescent="0.3">
      <c r="E459" s="346"/>
      <c r="F459" s="364"/>
      <c r="G459" s="336"/>
      <c r="H459" s="336"/>
      <c r="I459" s="336"/>
      <c r="J459" s="334"/>
      <c r="K459" s="336"/>
      <c r="L459" s="336"/>
      <c r="M459" s="336"/>
      <c r="N459" s="352"/>
      <c r="O459" s="230">
        <f t="shared" si="20"/>
        <v>6</v>
      </c>
      <c r="Q459" s="212" t="str">
        <f t="shared" si="18"/>
        <v/>
      </c>
      <c r="R459" s="174" t="s">
        <v>265</v>
      </c>
      <c r="S459" s="174" t="s">
        <v>273</v>
      </c>
      <c r="T459" s="174" t="str">
        <f>IF(Buildings_Heat_Frontend[[#This Row],[Data]]="","", _xlfn.XLOOKUP(Buildings_Heat_Backend[[#This Row],[Info 1]],Buildings_SiteInfo[Site name],Buildings_SiteInfo[Site type]))</f>
        <v/>
      </c>
      <c r="U459" s="174" t="str">
        <f>IF(Buildings_Heat_Frontend[[#This Row],[Data]]="","", Buildings_Heat_Frontend[[#This Row],[Heating Type]])</f>
        <v/>
      </c>
      <c r="V459" s="174" t="str">
        <f>IF(Buildings_Heat_Frontend[[#This Row],[Data]]="","", Buildings_Heat_Frontend[[#This Row],[Fuel]])</f>
        <v/>
      </c>
      <c r="W459" s="174" t="str" cm="1">
        <f t="array" ref="W459">IF(Buildings_Heat_Frontend[[#This Row],[Data]]="","", _xlfn.XLOOKUP(Buildings_Heat_Backend[[#This Row],[Level 5]],rng_Level5Long,rng_Level6Long))</f>
        <v/>
      </c>
      <c r="X459" s="174" t="str">
        <f>IF(Buildings_Heat_Frontend[[#This Row],[Data]]="","", Buildings_Heat_Frontend[[#This Row],[Site Name]])</f>
        <v/>
      </c>
      <c r="Y459" s="174" t="str">
        <f>IF(Buildings_Heat_Frontend[[#This Row],[Data]]="","", Buildings_Heat_Frontend[[#This Row],[MPRN]])</f>
        <v/>
      </c>
      <c r="Z459" s="174" t="str">
        <f>IF(Buildings_Heat_Frontend[[#This Row],[Data]]="","", IF($I459="","",$I459))</f>
        <v/>
      </c>
      <c r="AA459" s="229" t="str" cm="1">
        <f t="array" ref="AA459">IF(Buildings_Heat_Frontend[[#This Row],[Data]]="","", INDEX(_xlfn.SWITCH(Buildings_Heat_Backend[[#This Row],[Methodology]],"Tier 1",rng_RSD1,"Tier 2",rng_RSD2,"Tier 3",rng_RSD3),MATCH(_xlfn.CONCAT(Buildings_Heat_Backend[[#This Row],[Level 1]:[Level 6]]),rng_LevelsConcat,0)))</f>
        <v/>
      </c>
      <c r="AB459" s="220" t="str">
        <f t="shared" si="19"/>
        <v/>
      </c>
      <c r="AC459" s="174">
        <f>Buildings_Heat_Frontend[[#This Row],[Units]]</f>
        <v>0</v>
      </c>
      <c r="AD45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59" s="174" t="str">
        <f>IF(Buildings_Heat_Frontend[[#This Row],[Data]]="","", _xlfn.XLOOKUP(_xlfn.CONCAT(Buildings_Heat_Backend[[#This Row],[Level 1]:[Level 6]]),rng_LevelsConcat,rng_UnitsLong))</f>
        <v/>
      </c>
      <c r="AF459" s="210" t="str">
        <f>IF(Buildings_Heat_Frontend[[#This Row],[Data]]="","", _xlfn.XLOOKUP(_xlfn.CONCAT(Buildings_Heat_Backend[[#This Row],[Level 1]:[Level 6]]),rng_EFConcat,rng_EF1)*Buildings_Heat_Backend[[#This Row],[Converted data]]/1000)</f>
        <v/>
      </c>
      <c r="AG459" s="210" t="str">
        <f>IF(Buildings_Heat_Frontend[[#This Row],[Data]]="","", _xlfn.XLOOKUP(_xlfn.CONCAT(Buildings_Heat_Backend[[#This Row],[Level 1]:[Level 6]]),rng_EFConcat,rng_EF2)*Buildings_Heat_Backend[[#This Row],[Converted data]]/1000)</f>
        <v/>
      </c>
      <c r="AH459" s="210" t="str">
        <f>IF(Buildings_Heat_Frontend[[#This Row],[Data]]="","", _xlfn.XLOOKUP(_xlfn.CONCAT(Buildings_Heat_Backend[[#This Row],[Level 1]:[Level 6]]),rng_EFConcat,rng_EF3)*Buildings_Heat_Backend[[#This Row],[Converted data]]/1000)</f>
        <v/>
      </c>
      <c r="AI459" s="210" t="str">
        <f>IF(Buildings_Heat_Frontend[[#This Row],[Data]]="","", _xlfn.XLOOKUP(_xlfn.CONCAT(Buildings_Heat_Backend[[#This Row],[Level 1]:[Level 6]]),rng_EFConcat,rng_EF3WTT)*Buildings_Heat_Backend[[#This Row],[Converted data]]/1000)</f>
        <v/>
      </c>
      <c r="AJ459" s="210" t="str">
        <f>IF(Buildings_Heat_Frontend[[#This Row],[Data]]="","", _xlfn.XLOOKUP(_xlfn.CONCAT(Buildings_Heat_Backend[[#This Row],[Level 1]:[Level 6]]),rng_EFConcat,rng_EF3TD)*Buildings_Heat_Backend[[#This Row],[Converted data]]/1000)</f>
        <v/>
      </c>
      <c r="AK459" s="210" t="str">
        <f>IF(Buildings_Heat_Frontend[[#This Row],[Data]]="","", _xlfn.XLOOKUP(_xlfn.CONCAT(Buildings_Heat_Backend[[#This Row],[Level 1]:[Level 6]]),rng_EFConcat,rng_EF3WTTTD)*Buildings_Heat_Backend[[#This Row],[Converted data]]/1000)</f>
        <v/>
      </c>
      <c r="AL459" s="220">
        <f>SUM(Buildings_Heat_Backend[[#This Row],[Scope 1 (tCO2e)]:[Scope 3 WTT T&amp;D (tCO2e)]])</f>
        <v>0</v>
      </c>
      <c r="AM459" s="220" t="str">
        <f>IF(Buildings_Heat_Frontend[[#This Row],[Data]]="","", Buildings_Heat_Backend[[#This Row],[Total (tCO2e)]]*(1-Buildings_Heat_Backend[[#This Row],[RSD]]))</f>
        <v/>
      </c>
      <c r="AN459" s="220" t="str">
        <f>IF(Buildings_Heat_Frontend[[#This Row],[Data]]="","", Buildings_Heat_Backend[[#This Row],[Total (tCO2e)]]*(1+Buildings_Heat_Backend[[#This Row],[RSD]]))</f>
        <v/>
      </c>
      <c r="AO459" s="210" t="str">
        <f>IF(Buildings_Heat_Frontend[[#This Row],[Data]]="","", _xlfn.XLOOKUP(_xlfn.CONCAT(Buildings_Heat_Backend[[#This Row],[Level 1]:[Level 6]]),rng_EFConcat,rng_EFOOS)*Buildings_Heat_Backend[[#This Row],[Converted data]]/1000)</f>
        <v/>
      </c>
      <c r="AP459" s="174">
        <f>Buildings_Heat_Frontend[[#This Row],[Ease of collection]]</f>
        <v>0</v>
      </c>
      <c r="AQ459" s="174">
        <f>Buildings_Heat_Frontend[[#This Row],[Completeness]]</f>
        <v>0</v>
      </c>
      <c r="AR459" s="174">
        <f>Buildings_Heat_Frontend[[#This Row],[Notes]]</f>
        <v>0</v>
      </c>
    </row>
    <row r="460" spans="5:44" x14ac:dyDescent="0.3">
      <c r="E460" s="346"/>
      <c r="F460" s="364"/>
      <c r="G460" s="336"/>
      <c r="H460" s="336"/>
      <c r="I460" s="336"/>
      <c r="J460" s="334"/>
      <c r="K460" s="336"/>
      <c r="L460" s="336"/>
      <c r="M460" s="336"/>
      <c r="N460" s="352"/>
      <c r="O460" s="230">
        <f t="shared" si="20"/>
        <v>6</v>
      </c>
      <c r="Q460" s="212" t="str">
        <f t="shared" si="18"/>
        <v/>
      </c>
      <c r="R460" s="174" t="s">
        <v>265</v>
      </c>
      <c r="S460" s="174" t="s">
        <v>273</v>
      </c>
      <c r="T460" s="174" t="str">
        <f>IF(Buildings_Heat_Frontend[[#This Row],[Data]]="","", _xlfn.XLOOKUP(Buildings_Heat_Backend[[#This Row],[Info 1]],Buildings_SiteInfo[Site name],Buildings_SiteInfo[Site type]))</f>
        <v/>
      </c>
      <c r="U460" s="174" t="str">
        <f>IF(Buildings_Heat_Frontend[[#This Row],[Data]]="","", Buildings_Heat_Frontend[[#This Row],[Heating Type]])</f>
        <v/>
      </c>
      <c r="V460" s="174" t="str">
        <f>IF(Buildings_Heat_Frontend[[#This Row],[Data]]="","", Buildings_Heat_Frontend[[#This Row],[Fuel]])</f>
        <v/>
      </c>
      <c r="W460" s="174" t="str" cm="1">
        <f t="array" ref="W460">IF(Buildings_Heat_Frontend[[#This Row],[Data]]="","", _xlfn.XLOOKUP(Buildings_Heat_Backend[[#This Row],[Level 5]],rng_Level5Long,rng_Level6Long))</f>
        <v/>
      </c>
      <c r="X460" s="174" t="str">
        <f>IF(Buildings_Heat_Frontend[[#This Row],[Data]]="","", Buildings_Heat_Frontend[[#This Row],[Site Name]])</f>
        <v/>
      </c>
      <c r="Y460" s="174" t="str">
        <f>IF(Buildings_Heat_Frontend[[#This Row],[Data]]="","", Buildings_Heat_Frontend[[#This Row],[MPRN]])</f>
        <v/>
      </c>
      <c r="Z460" s="174" t="str">
        <f>IF(Buildings_Heat_Frontend[[#This Row],[Data]]="","", IF($I460="","",$I460))</f>
        <v/>
      </c>
      <c r="AA460" s="229" t="str" cm="1">
        <f t="array" ref="AA460">IF(Buildings_Heat_Frontend[[#This Row],[Data]]="","", INDEX(_xlfn.SWITCH(Buildings_Heat_Backend[[#This Row],[Methodology]],"Tier 1",rng_RSD1,"Tier 2",rng_RSD2,"Tier 3",rng_RSD3),MATCH(_xlfn.CONCAT(Buildings_Heat_Backend[[#This Row],[Level 1]:[Level 6]]),rng_LevelsConcat,0)))</f>
        <v/>
      </c>
      <c r="AB460" s="220" t="str">
        <f t="shared" si="19"/>
        <v/>
      </c>
      <c r="AC460" s="174">
        <f>Buildings_Heat_Frontend[[#This Row],[Units]]</f>
        <v>0</v>
      </c>
      <c r="AD46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0" s="174" t="str">
        <f>IF(Buildings_Heat_Frontend[[#This Row],[Data]]="","", _xlfn.XLOOKUP(_xlfn.CONCAT(Buildings_Heat_Backend[[#This Row],[Level 1]:[Level 6]]),rng_LevelsConcat,rng_UnitsLong))</f>
        <v/>
      </c>
      <c r="AF460" s="210" t="str">
        <f>IF(Buildings_Heat_Frontend[[#This Row],[Data]]="","", _xlfn.XLOOKUP(_xlfn.CONCAT(Buildings_Heat_Backend[[#This Row],[Level 1]:[Level 6]]),rng_EFConcat,rng_EF1)*Buildings_Heat_Backend[[#This Row],[Converted data]]/1000)</f>
        <v/>
      </c>
      <c r="AG460" s="210" t="str">
        <f>IF(Buildings_Heat_Frontend[[#This Row],[Data]]="","", _xlfn.XLOOKUP(_xlfn.CONCAT(Buildings_Heat_Backend[[#This Row],[Level 1]:[Level 6]]),rng_EFConcat,rng_EF2)*Buildings_Heat_Backend[[#This Row],[Converted data]]/1000)</f>
        <v/>
      </c>
      <c r="AH460" s="210" t="str">
        <f>IF(Buildings_Heat_Frontend[[#This Row],[Data]]="","", _xlfn.XLOOKUP(_xlfn.CONCAT(Buildings_Heat_Backend[[#This Row],[Level 1]:[Level 6]]),rng_EFConcat,rng_EF3)*Buildings_Heat_Backend[[#This Row],[Converted data]]/1000)</f>
        <v/>
      </c>
      <c r="AI460" s="210" t="str">
        <f>IF(Buildings_Heat_Frontend[[#This Row],[Data]]="","", _xlfn.XLOOKUP(_xlfn.CONCAT(Buildings_Heat_Backend[[#This Row],[Level 1]:[Level 6]]),rng_EFConcat,rng_EF3WTT)*Buildings_Heat_Backend[[#This Row],[Converted data]]/1000)</f>
        <v/>
      </c>
      <c r="AJ460" s="210" t="str">
        <f>IF(Buildings_Heat_Frontend[[#This Row],[Data]]="","", _xlfn.XLOOKUP(_xlfn.CONCAT(Buildings_Heat_Backend[[#This Row],[Level 1]:[Level 6]]),rng_EFConcat,rng_EF3TD)*Buildings_Heat_Backend[[#This Row],[Converted data]]/1000)</f>
        <v/>
      </c>
      <c r="AK460" s="210" t="str">
        <f>IF(Buildings_Heat_Frontend[[#This Row],[Data]]="","", _xlfn.XLOOKUP(_xlfn.CONCAT(Buildings_Heat_Backend[[#This Row],[Level 1]:[Level 6]]),rng_EFConcat,rng_EF3WTTTD)*Buildings_Heat_Backend[[#This Row],[Converted data]]/1000)</f>
        <v/>
      </c>
      <c r="AL460" s="220">
        <f>SUM(Buildings_Heat_Backend[[#This Row],[Scope 1 (tCO2e)]:[Scope 3 WTT T&amp;D (tCO2e)]])</f>
        <v>0</v>
      </c>
      <c r="AM460" s="220" t="str">
        <f>IF(Buildings_Heat_Frontend[[#This Row],[Data]]="","", Buildings_Heat_Backend[[#This Row],[Total (tCO2e)]]*(1-Buildings_Heat_Backend[[#This Row],[RSD]]))</f>
        <v/>
      </c>
      <c r="AN460" s="220" t="str">
        <f>IF(Buildings_Heat_Frontend[[#This Row],[Data]]="","", Buildings_Heat_Backend[[#This Row],[Total (tCO2e)]]*(1+Buildings_Heat_Backend[[#This Row],[RSD]]))</f>
        <v/>
      </c>
      <c r="AO460" s="210" t="str">
        <f>IF(Buildings_Heat_Frontend[[#This Row],[Data]]="","", _xlfn.XLOOKUP(_xlfn.CONCAT(Buildings_Heat_Backend[[#This Row],[Level 1]:[Level 6]]),rng_EFConcat,rng_EFOOS)*Buildings_Heat_Backend[[#This Row],[Converted data]]/1000)</f>
        <v/>
      </c>
      <c r="AP460" s="174">
        <f>Buildings_Heat_Frontend[[#This Row],[Ease of collection]]</f>
        <v>0</v>
      </c>
      <c r="AQ460" s="174">
        <f>Buildings_Heat_Frontend[[#This Row],[Completeness]]</f>
        <v>0</v>
      </c>
      <c r="AR460" s="174">
        <f>Buildings_Heat_Frontend[[#This Row],[Notes]]</f>
        <v>0</v>
      </c>
    </row>
    <row r="461" spans="5:44" x14ac:dyDescent="0.3">
      <c r="E461" s="346"/>
      <c r="F461" s="364"/>
      <c r="G461" s="336"/>
      <c r="H461" s="336"/>
      <c r="I461" s="336"/>
      <c r="J461" s="334"/>
      <c r="K461" s="336"/>
      <c r="L461" s="336"/>
      <c r="M461" s="336"/>
      <c r="N461" s="352"/>
      <c r="O461" s="230">
        <f t="shared" si="20"/>
        <v>6</v>
      </c>
      <c r="Q461" s="212" t="str">
        <f t="shared" si="18"/>
        <v/>
      </c>
      <c r="R461" s="174" t="s">
        <v>265</v>
      </c>
      <c r="S461" s="174" t="s">
        <v>273</v>
      </c>
      <c r="T461" s="174" t="str">
        <f>IF(Buildings_Heat_Frontend[[#This Row],[Data]]="","", _xlfn.XLOOKUP(Buildings_Heat_Backend[[#This Row],[Info 1]],Buildings_SiteInfo[Site name],Buildings_SiteInfo[Site type]))</f>
        <v/>
      </c>
      <c r="U461" s="174" t="str">
        <f>IF(Buildings_Heat_Frontend[[#This Row],[Data]]="","", Buildings_Heat_Frontend[[#This Row],[Heating Type]])</f>
        <v/>
      </c>
      <c r="V461" s="174" t="str">
        <f>IF(Buildings_Heat_Frontend[[#This Row],[Data]]="","", Buildings_Heat_Frontend[[#This Row],[Fuel]])</f>
        <v/>
      </c>
      <c r="W461" s="174" t="str" cm="1">
        <f t="array" ref="W461">IF(Buildings_Heat_Frontend[[#This Row],[Data]]="","", _xlfn.XLOOKUP(Buildings_Heat_Backend[[#This Row],[Level 5]],rng_Level5Long,rng_Level6Long))</f>
        <v/>
      </c>
      <c r="X461" s="174" t="str">
        <f>IF(Buildings_Heat_Frontend[[#This Row],[Data]]="","", Buildings_Heat_Frontend[[#This Row],[Site Name]])</f>
        <v/>
      </c>
      <c r="Y461" s="174" t="str">
        <f>IF(Buildings_Heat_Frontend[[#This Row],[Data]]="","", Buildings_Heat_Frontend[[#This Row],[MPRN]])</f>
        <v/>
      </c>
      <c r="Z461" s="174" t="str">
        <f>IF(Buildings_Heat_Frontend[[#This Row],[Data]]="","", IF($I461="","",$I461))</f>
        <v/>
      </c>
      <c r="AA461" s="229" t="str" cm="1">
        <f t="array" ref="AA461">IF(Buildings_Heat_Frontend[[#This Row],[Data]]="","", INDEX(_xlfn.SWITCH(Buildings_Heat_Backend[[#This Row],[Methodology]],"Tier 1",rng_RSD1,"Tier 2",rng_RSD2,"Tier 3",rng_RSD3),MATCH(_xlfn.CONCAT(Buildings_Heat_Backend[[#This Row],[Level 1]:[Level 6]]),rng_LevelsConcat,0)))</f>
        <v/>
      </c>
      <c r="AB461" s="220" t="str">
        <f t="shared" si="19"/>
        <v/>
      </c>
      <c r="AC461" s="174">
        <f>Buildings_Heat_Frontend[[#This Row],[Units]]</f>
        <v>0</v>
      </c>
      <c r="AD46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1" s="174" t="str">
        <f>IF(Buildings_Heat_Frontend[[#This Row],[Data]]="","", _xlfn.XLOOKUP(_xlfn.CONCAT(Buildings_Heat_Backend[[#This Row],[Level 1]:[Level 6]]),rng_LevelsConcat,rng_UnitsLong))</f>
        <v/>
      </c>
      <c r="AF461" s="210" t="str">
        <f>IF(Buildings_Heat_Frontend[[#This Row],[Data]]="","", _xlfn.XLOOKUP(_xlfn.CONCAT(Buildings_Heat_Backend[[#This Row],[Level 1]:[Level 6]]),rng_EFConcat,rng_EF1)*Buildings_Heat_Backend[[#This Row],[Converted data]]/1000)</f>
        <v/>
      </c>
      <c r="AG461" s="210" t="str">
        <f>IF(Buildings_Heat_Frontend[[#This Row],[Data]]="","", _xlfn.XLOOKUP(_xlfn.CONCAT(Buildings_Heat_Backend[[#This Row],[Level 1]:[Level 6]]),rng_EFConcat,rng_EF2)*Buildings_Heat_Backend[[#This Row],[Converted data]]/1000)</f>
        <v/>
      </c>
      <c r="AH461" s="210" t="str">
        <f>IF(Buildings_Heat_Frontend[[#This Row],[Data]]="","", _xlfn.XLOOKUP(_xlfn.CONCAT(Buildings_Heat_Backend[[#This Row],[Level 1]:[Level 6]]),rng_EFConcat,rng_EF3)*Buildings_Heat_Backend[[#This Row],[Converted data]]/1000)</f>
        <v/>
      </c>
      <c r="AI461" s="210" t="str">
        <f>IF(Buildings_Heat_Frontend[[#This Row],[Data]]="","", _xlfn.XLOOKUP(_xlfn.CONCAT(Buildings_Heat_Backend[[#This Row],[Level 1]:[Level 6]]),rng_EFConcat,rng_EF3WTT)*Buildings_Heat_Backend[[#This Row],[Converted data]]/1000)</f>
        <v/>
      </c>
      <c r="AJ461" s="210" t="str">
        <f>IF(Buildings_Heat_Frontend[[#This Row],[Data]]="","", _xlfn.XLOOKUP(_xlfn.CONCAT(Buildings_Heat_Backend[[#This Row],[Level 1]:[Level 6]]),rng_EFConcat,rng_EF3TD)*Buildings_Heat_Backend[[#This Row],[Converted data]]/1000)</f>
        <v/>
      </c>
      <c r="AK461" s="210" t="str">
        <f>IF(Buildings_Heat_Frontend[[#This Row],[Data]]="","", _xlfn.XLOOKUP(_xlfn.CONCAT(Buildings_Heat_Backend[[#This Row],[Level 1]:[Level 6]]),rng_EFConcat,rng_EF3WTTTD)*Buildings_Heat_Backend[[#This Row],[Converted data]]/1000)</f>
        <v/>
      </c>
      <c r="AL461" s="220">
        <f>SUM(Buildings_Heat_Backend[[#This Row],[Scope 1 (tCO2e)]:[Scope 3 WTT T&amp;D (tCO2e)]])</f>
        <v>0</v>
      </c>
      <c r="AM461" s="220" t="str">
        <f>IF(Buildings_Heat_Frontend[[#This Row],[Data]]="","", Buildings_Heat_Backend[[#This Row],[Total (tCO2e)]]*(1-Buildings_Heat_Backend[[#This Row],[RSD]]))</f>
        <v/>
      </c>
      <c r="AN461" s="220" t="str">
        <f>IF(Buildings_Heat_Frontend[[#This Row],[Data]]="","", Buildings_Heat_Backend[[#This Row],[Total (tCO2e)]]*(1+Buildings_Heat_Backend[[#This Row],[RSD]]))</f>
        <v/>
      </c>
      <c r="AO461" s="210" t="str">
        <f>IF(Buildings_Heat_Frontend[[#This Row],[Data]]="","", _xlfn.XLOOKUP(_xlfn.CONCAT(Buildings_Heat_Backend[[#This Row],[Level 1]:[Level 6]]),rng_EFConcat,rng_EFOOS)*Buildings_Heat_Backend[[#This Row],[Converted data]]/1000)</f>
        <v/>
      </c>
      <c r="AP461" s="174">
        <f>Buildings_Heat_Frontend[[#This Row],[Ease of collection]]</f>
        <v>0</v>
      </c>
      <c r="AQ461" s="174">
        <f>Buildings_Heat_Frontend[[#This Row],[Completeness]]</f>
        <v>0</v>
      </c>
      <c r="AR461" s="174">
        <f>Buildings_Heat_Frontend[[#This Row],[Notes]]</f>
        <v>0</v>
      </c>
    </row>
    <row r="462" spans="5:44" x14ac:dyDescent="0.3">
      <c r="E462" s="346"/>
      <c r="F462" s="364"/>
      <c r="G462" s="336"/>
      <c r="H462" s="336"/>
      <c r="I462" s="336"/>
      <c r="J462" s="334"/>
      <c r="K462" s="336"/>
      <c r="L462" s="336"/>
      <c r="M462" s="336"/>
      <c r="N462" s="352"/>
      <c r="O462" s="230">
        <f t="shared" si="20"/>
        <v>6</v>
      </c>
      <c r="Q462" s="212" t="str">
        <f t="shared" si="18"/>
        <v/>
      </c>
      <c r="R462" s="174" t="s">
        <v>265</v>
      </c>
      <c r="S462" s="174" t="s">
        <v>273</v>
      </c>
      <c r="T462" s="174" t="str">
        <f>IF(Buildings_Heat_Frontend[[#This Row],[Data]]="","", _xlfn.XLOOKUP(Buildings_Heat_Backend[[#This Row],[Info 1]],Buildings_SiteInfo[Site name],Buildings_SiteInfo[Site type]))</f>
        <v/>
      </c>
      <c r="U462" s="174" t="str">
        <f>IF(Buildings_Heat_Frontend[[#This Row],[Data]]="","", Buildings_Heat_Frontend[[#This Row],[Heating Type]])</f>
        <v/>
      </c>
      <c r="V462" s="174" t="str">
        <f>IF(Buildings_Heat_Frontend[[#This Row],[Data]]="","", Buildings_Heat_Frontend[[#This Row],[Fuel]])</f>
        <v/>
      </c>
      <c r="W462" s="174" t="str" cm="1">
        <f t="array" ref="W462">IF(Buildings_Heat_Frontend[[#This Row],[Data]]="","", _xlfn.XLOOKUP(Buildings_Heat_Backend[[#This Row],[Level 5]],rng_Level5Long,rng_Level6Long))</f>
        <v/>
      </c>
      <c r="X462" s="174" t="str">
        <f>IF(Buildings_Heat_Frontend[[#This Row],[Data]]="","", Buildings_Heat_Frontend[[#This Row],[Site Name]])</f>
        <v/>
      </c>
      <c r="Y462" s="174" t="str">
        <f>IF(Buildings_Heat_Frontend[[#This Row],[Data]]="","", Buildings_Heat_Frontend[[#This Row],[MPRN]])</f>
        <v/>
      </c>
      <c r="Z462" s="174" t="str">
        <f>IF(Buildings_Heat_Frontend[[#This Row],[Data]]="","", IF($I462="","",$I462))</f>
        <v/>
      </c>
      <c r="AA462" s="229" t="str" cm="1">
        <f t="array" ref="AA462">IF(Buildings_Heat_Frontend[[#This Row],[Data]]="","", INDEX(_xlfn.SWITCH(Buildings_Heat_Backend[[#This Row],[Methodology]],"Tier 1",rng_RSD1,"Tier 2",rng_RSD2,"Tier 3",rng_RSD3),MATCH(_xlfn.CONCAT(Buildings_Heat_Backend[[#This Row],[Level 1]:[Level 6]]),rng_LevelsConcat,0)))</f>
        <v/>
      </c>
      <c r="AB462" s="220" t="str">
        <f t="shared" si="19"/>
        <v/>
      </c>
      <c r="AC462" s="174">
        <f>Buildings_Heat_Frontend[[#This Row],[Units]]</f>
        <v>0</v>
      </c>
      <c r="AD46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2" s="174" t="str">
        <f>IF(Buildings_Heat_Frontend[[#This Row],[Data]]="","", _xlfn.XLOOKUP(_xlfn.CONCAT(Buildings_Heat_Backend[[#This Row],[Level 1]:[Level 6]]),rng_LevelsConcat,rng_UnitsLong))</f>
        <v/>
      </c>
      <c r="AF462" s="210" t="str">
        <f>IF(Buildings_Heat_Frontend[[#This Row],[Data]]="","", _xlfn.XLOOKUP(_xlfn.CONCAT(Buildings_Heat_Backend[[#This Row],[Level 1]:[Level 6]]),rng_EFConcat,rng_EF1)*Buildings_Heat_Backend[[#This Row],[Converted data]]/1000)</f>
        <v/>
      </c>
      <c r="AG462" s="210" t="str">
        <f>IF(Buildings_Heat_Frontend[[#This Row],[Data]]="","", _xlfn.XLOOKUP(_xlfn.CONCAT(Buildings_Heat_Backend[[#This Row],[Level 1]:[Level 6]]),rng_EFConcat,rng_EF2)*Buildings_Heat_Backend[[#This Row],[Converted data]]/1000)</f>
        <v/>
      </c>
      <c r="AH462" s="210" t="str">
        <f>IF(Buildings_Heat_Frontend[[#This Row],[Data]]="","", _xlfn.XLOOKUP(_xlfn.CONCAT(Buildings_Heat_Backend[[#This Row],[Level 1]:[Level 6]]),rng_EFConcat,rng_EF3)*Buildings_Heat_Backend[[#This Row],[Converted data]]/1000)</f>
        <v/>
      </c>
      <c r="AI462" s="210" t="str">
        <f>IF(Buildings_Heat_Frontend[[#This Row],[Data]]="","", _xlfn.XLOOKUP(_xlfn.CONCAT(Buildings_Heat_Backend[[#This Row],[Level 1]:[Level 6]]),rng_EFConcat,rng_EF3WTT)*Buildings_Heat_Backend[[#This Row],[Converted data]]/1000)</f>
        <v/>
      </c>
      <c r="AJ462" s="210" t="str">
        <f>IF(Buildings_Heat_Frontend[[#This Row],[Data]]="","", _xlfn.XLOOKUP(_xlfn.CONCAT(Buildings_Heat_Backend[[#This Row],[Level 1]:[Level 6]]),rng_EFConcat,rng_EF3TD)*Buildings_Heat_Backend[[#This Row],[Converted data]]/1000)</f>
        <v/>
      </c>
      <c r="AK462" s="210" t="str">
        <f>IF(Buildings_Heat_Frontend[[#This Row],[Data]]="","", _xlfn.XLOOKUP(_xlfn.CONCAT(Buildings_Heat_Backend[[#This Row],[Level 1]:[Level 6]]),rng_EFConcat,rng_EF3WTTTD)*Buildings_Heat_Backend[[#This Row],[Converted data]]/1000)</f>
        <v/>
      </c>
      <c r="AL462" s="220">
        <f>SUM(Buildings_Heat_Backend[[#This Row],[Scope 1 (tCO2e)]:[Scope 3 WTT T&amp;D (tCO2e)]])</f>
        <v>0</v>
      </c>
      <c r="AM462" s="220" t="str">
        <f>IF(Buildings_Heat_Frontend[[#This Row],[Data]]="","", Buildings_Heat_Backend[[#This Row],[Total (tCO2e)]]*(1-Buildings_Heat_Backend[[#This Row],[RSD]]))</f>
        <v/>
      </c>
      <c r="AN462" s="220" t="str">
        <f>IF(Buildings_Heat_Frontend[[#This Row],[Data]]="","", Buildings_Heat_Backend[[#This Row],[Total (tCO2e)]]*(1+Buildings_Heat_Backend[[#This Row],[RSD]]))</f>
        <v/>
      </c>
      <c r="AO462" s="210" t="str">
        <f>IF(Buildings_Heat_Frontend[[#This Row],[Data]]="","", _xlfn.XLOOKUP(_xlfn.CONCAT(Buildings_Heat_Backend[[#This Row],[Level 1]:[Level 6]]),rng_EFConcat,rng_EFOOS)*Buildings_Heat_Backend[[#This Row],[Converted data]]/1000)</f>
        <v/>
      </c>
      <c r="AP462" s="174">
        <f>Buildings_Heat_Frontend[[#This Row],[Ease of collection]]</f>
        <v>0</v>
      </c>
      <c r="AQ462" s="174">
        <f>Buildings_Heat_Frontend[[#This Row],[Completeness]]</f>
        <v>0</v>
      </c>
      <c r="AR462" s="174">
        <f>Buildings_Heat_Frontend[[#This Row],[Notes]]</f>
        <v>0</v>
      </c>
    </row>
    <row r="463" spans="5:44" x14ac:dyDescent="0.3">
      <c r="E463" s="346"/>
      <c r="F463" s="364"/>
      <c r="G463" s="336"/>
      <c r="H463" s="336"/>
      <c r="I463" s="336"/>
      <c r="J463" s="334"/>
      <c r="K463" s="336"/>
      <c r="L463" s="336"/>
      <c r="M463" s="336"/>
      <c r="N463" s="352"/>
      <c r="O463" s="230">
        <f t="shared" si="20"/>
        <v>6</v>
      </c>
      <c r="Q463" s="212" t="str">
        <f t="shared" ref="Q463:Q514" si="21">IF(O463=0,SUBSTITUTE(2025&amp;TRIM(cl_org_name_select)&amp;TRIM($E$12)&amp;(ROW(O463)-ROW($O$15))," ",""),"")</f>
        <v/>
      </c>
      <c r="R463" s="174" t="s">
        <v>265</v>
      </c>
      <c r="S463" s="174" t="s">
        <v>273</v>
      </c>
      <c r="T463" s="174" t="str">
        <f>IF(Buildings_Heat_Frontend[[#This Row],[Data]]="","", _xlfn.XLOOKUP(Buildings_Heat_Backend[[#This Row],[Info 1]],Buildings_SiteInfo[Site name],Buildings_SiteInfo[Site type]))</f>
        <v/>
      </c>
      <c r="U463" s="174" t="str">
        <f>IF(Buildings_Heat_Frontend[[#This Row],[Data]]="","", Buildings_Heat_Frontend[[#This Row],[Heating Type]])</f>
        <v/>
      </c>
      <c r="V463" s="174" t="str">
        <f>IF(Buildings_Heat_Frontend[[#This Row],[Data]]="","", Buildings_Heat_Frontend[[#This Row],[Fuel]])</f>
        <v/>
      </c>
      <c r="W463" s="174" t="str" cm="1">
        <f t="array" ref="W463">IF(Buildings_Heat_Frontend[[#This Row],[Data]]="","", _xlfn.XLOOKUP(Buildings_Heat_Backend[[#This Row],[Level 5]],rng_Level5Long,rng_Level6Long))</f>
        <v/>
      </c>
      <c r="X463" s="174" t="str">
        <f>IF(Buildings_Heat_Frontend[[#This Row],[Data]]="","", Buildings_Heat_Frontend[[#This Row],[Site Name]])</f>
        <v/>
      </c>
      <c r="Y463" s="174" t="str">
        <f>IF(Buildings_Heat_Frontend[[#This Row],[Data]]="","", Buildings_Heat_Frontend[[#This Row],[MPRN]])</f>
        <v/>
      </c>
      <c r="Z463" s="174" t="str">
        <f>IF(Buildings_Heat_Frontend[[#This Row],[Data]]="","", IF($I463="","",$I463))</f>
        <v/>
      </c>
      <c r="AA463" s="229" t="str" cm="1">
        <f t="array" ref="AA463">IF(Buildings_Heat_Frontend[[#This Row],[Data]]="","", INDEX(_xlfn.SWITCH(Buildings_Heat_Backend[[#This Row],[Methodology]],"Tier 1",rng_RSD1,"Tier 2",rng_RSD2,"Tier 3",rng_RSD3),MATCH(_xlfn.CONCAT(Buildings_Heat_Backend[[#This Row],[Level 1]:[Level 6]]),rng_LevelsConcat,0)))</f>
        <v/>
      </c>
      <c r="AB463" s="220" t="str">
        <f t="shared" ref="AB463:AB514" si="22">IF($J463="","",$J463)</f>
        <v/>
      </c>
      <c r="AC463" s="174">
        <f>Buildings_Heat_Frontend[[#This Row],[Units]]</f>
        <v>0</v>
      </c>
      <c r="AD46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3" s="174" t="str">
        <f>IF(Buildings_Heat_Frontend[[#This Row],[Data]]="","", _xlfn.XLOOKUP(_xlfn.CONCAT(Buildings_Heat_Backend[[#This Row],[Level 1]:[Level 6]]),rng_LevelsConcat,rng_UnitsLong))</f>
        <v/>
      </c>
      <c r="AF463" s="210" t="str">
        <f>IF(Buildings_Heat_Frontend[[#This Row],[Data]]="","", _xlfn.XLOOKUP(_xlfn.CONCAT(Buildings_Heat_Backend[[#This Row],[Level 1]:[Level 6]]),rng_EFConcat,rng_EF1)*Buildings_Heat_Backend[[#This Row],[Converted data]]/1000)</f>
        <v/>
      </c>
      <c r="AG463" s="210" t="str">
        <f>IF(Buildings_Heat_Frontend[[#This Row],[Data]]="","", _xlfn.XLOOKUP(_xlfn.CONCAT(Buildings_Heat_Backend[[#This Row],[Level 1]:[Level 6]]),rng_EFConcat,rng_EF2)*Buildings_Heat_Backend[[#This Row],[Converted data]]/1000)</f>
        <v/>
      </c>
      <c r="AH463" s="210" t="str">
        <f>IF(Buildings_Heat_Frontend[[#This Row],[Data]]="","", _xlfn.XLOOKUP(_xlfn.CONCAT(Buildings_Heat_Backend[[#This Row],[Level 1]:[Level 6]]),rng_EFConcat,rng_EF3)*Buildings_Heat_Backend[[#This Row],[Converted data]]/1000)</f>
        <v/>
      </c>
      <c r="AI463" s="210" t="str">
        <f>IF(Buildings_Heat_Frontend[[#This Row],[Data]]="","", _xlfn.XLOOKUP(_xlfn.CONCAT(Buildings_Heat_Backend[[#This Row],[Level 1]:[Level 6]]),rng_EFConcat,rng_EF3WTT)*Buildings_Heat_Backend[[#This Row],[Converted data]]/1000)</f>
        <v/>
      </c>
      <c r="AJ463" s="210" t="str">
        <f>IF(Buildings_Heat_Frontend[[#This Row],[Data]]="","", _xlfn.XLOOKUP(_xlfn.CONCAT(Buildings_Heat_Backend[[#This Row],[Level 1]:[Level 6]]),rng_EFConcat,rng_EF3TD)*Buildings_Heat_Backend[[#This Row],[Converted data]]/1000)</f>
        <v/>
      </c>
      <c r="AK463" s="210" t="str">
        <f>IF(Buildings_Heat_Frontend[[#This Row],[Data]]="","", _xlfn.XLOOKUP(_xlfn.CONCAT(Buildings_Heat_Backend[[#This Row],[Level 1]:[Level 6]]),rng_EFConcat,rng_EF3WTTTD)*Buildings_Heat_Backend[[#This Row],[Converted data]]/1000)</f>
        <v/>
      </c>
      <c r="AL463" s="220">
        <f>SUM(Buildings_Heat_Backend[[#This Row],[Scope 1 (tCO2e)]:[Scope 3 WTT T&amp;D (tCO2e)]])</f>
        <v>0</v>
      </c>
      <c r="AM463" s="220" t="str">
        <f>IF(Buildings_Heat_Frontend[[#This Row],[Data]]="","", Buildings_Heat_Backend[[#This Row],[Total (tCO2e)]]*(1-Buildings_Heat_Backend[[#This Row],[RSD]]))</f>
        <v/>
      </c>
      <c r="AN463" s="220" t="str">
        <f>IF(Buildings_Heat_Frontend[[#This Row],[Data]]="","", Buildings_Heat_Backend[[#This Row],[Total (tCO2e)]]*(1+Buildings_Heat_Backend[[#This Row],[RSD]]))</f>
        <v/>
      </c>
      <c r="AO463" s="210" t="str">
        <f>IF(Buildings_Heat_Frontend[[#This Row],[Data]]="","", _xlfn.XLOOKUP(_xlfn.CONCAT(Buildings_Heat_Backend[[#This Row],[Level 1]:[Level 6]]),rng_EFConcat,rng_EFOOS)*Buildings_Heat_Backend[[#This Row],[Converted data]]/1000)</f>
        <v/>
      </c>
      <c r="AP463" s="174">
        <f>Buildings_Heat_Frontend[[#This Row],[Ease of collection]]</f>
        <v>0</v>
      </c>
      <c r="AQ463" s="174">
        <f>Buildings_Heat_Frontend[[#This Row],[Completeness]]</f>
        <v>0</v>
      </c>
      <c r="AR463" s="174">
        <f>Buildings_Heat_Frontend[[#This Row],[Notes]]</f>
        <v>0</v>
      </c>
    </row>
    <row r="464" spans="5:44" x14ac:dyDescent="0.3">
      <c r="E464" s="346"/>
      <c r="F464" s="364"/>
      <c r="G464" s="336"/>
      <c r="H464" s="336"/>
      <c r="I464" s="336"/>
      <c r="J464" s="334"/>
      <c r="K464" s="336"/>
      <c r="L464" s="336"/>
      <c r="M464" s="336"/>
      <c r="N464" s="352"/>
      <c r="O464" s="230">
        <f t="shared" ref="O464:O514" si="23">ISBLANK(E464)+ISBLANK(G464)+ISBLANK(H464)+ISBLANK(I464)+ISBLANK(J464)+ISBLANK(K464)</f>
        <v>6</v>
      </c>
      <c r="Q464" s="212" t="str">
        <f t="shared" si="21"/>
        <v/>
      </c>
      <c r="R464" s="174" t="s">
        <v>265</v>
      </c>
      <c r="S464" s="174" t="s">
        <v>273</v>
      </c>
      <c r="T464" s="174" t="str">
        <f>IF(Buildings_Heat_Frontend[[#This Row],[Data]]="","", _xlfn.XLOOKUP(Buildings_Heat_Backend[[#This Row],[Info 1]],Buildings_SiteInfo[Site name],Buildings_SiteInfo[Site type]))</f>
        <v/>
      </c>
      <c r="U464" s="174" t="str">
        <f>IF(Buildings_Heat_Frontend[[#This Row],[Data]]="","", Buildings_Heat_Frontend[[#This Row],[Heating Type]])</f>
        <v/>
      </c>
      <c r="V464" s="174" t="str">
        <f>IF(Buildings_Heat_Frontend[[#This Row],[Data]]="","", Buildings_Heat_Frontend[[#This Row],[Fuel]])</f>
        <v/>
      </c>
      <c r="W464" s="174" t="str" cm="1">
        <f t="array" ref="W464">IF(Buildings_Heat_Frontend[[#This Row],[Data]]="","", _xlfn.XLOOKUP(Buildings_Heat_Backend[[#This Row],[Level 5]],rng_Level5Long,rng_Level6Long))</f>
        <v/>
      </c>
      <c r="X464" s="174" t="str">
        <f>IF(Buildings_Heat_Frontend[[#This Row],[Data]]="","", Buildings_Heat_Frontend[[#This Row],[Site Name]])</f>
        <v/>
      </c>
      <c r="Y464" s="174" t="str">
        <f>IF(Buildings_Heat_Frontend[[#This Row],[Data]]="","", Buildings_Heat_Frontend[[#This Row],[MPRN]])</f>
        <v/>
      </c>
      <c r="Z464" s="174" t="str">
        <f>IF(Buildings_Heat_Frontend[[#This Row],[Data]]="","", IF($I464="","",$I464))</f>
        <v/>
      </c>
      <c r="AA464" s="229" t="str" cm="1">
        <f t="array" ref="AA464">IF(Buildings_Heat_Frontend[[#This Row],[Data]]="","", INDEX(_xlfn.SWITCH(Buildings_Heat_Backend[[#This Row],[Methodology]],"Tier 1",rng_RSD1,"Tier 2",rng_RSD2,"Tier 3",rng_RSD3),MATCH(_xlfn.CONCAT(Buildings_Heat_Backend[[#This Row],[Level 1]:[Level 6]]),rng_LevelsConcat,0)))</f>
        <v/>
      </c>
      <c r="AB464" s="220" t="str">
        <f t="shared" si="22"/>
        <v/>
      </c>
      <c r="AC464" s="174">
        <f>Buildings_Heat_Frontend[[#This Row],[Units]]</f>
        <v>0</v>
      </c>
      <c r="AD46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4" s="174" t="str">
        <f>IF(Buildings_Heat_Frontend[[#This Row],[Data]]="","", _xlfn.XLOOKUP(_xlfn.CONCAT(Buildings_Heat_Backend[[#This Row],[Level 1]:[Level 6]]),rng_LevelsConcat,rng_UnitsLong))</f>
        <v/>
      </c>
      <c r="AF464" s="210" t="str">
        <f>IF(Buildings_Heat_Frontend[[#This Row],[Data]]="","", _xlfn.XLOOKUP(_xlfn.CONCAT(Buildings_Heat_Backend[[#This Row],[Level 1]:[Level 6]]),rng_EFConcat,rng_EF1)*Buildings_Heat_Backend[[#This Row],[Converted data]]/1000)</f>
        <v/>
      </c>
      <c r="AG464" s="210" t="str">
        <f>IF(Buildings_Heat_Frontend[[#This Row],[Data]]="","", _xlfn.XLOOKUP(_xlfn.CONCAT(Buildings_Heat_Backend[[#This Row],[Level 1]:[Level 6]]),rng_EFConcat,rng_EF2)*Buildings_Heat_Backend[[#This Row],[Converted data]]/1000)</f>
        <v/>
      </c>
      <c r="AH464" s="210" t="str">
        <f>IF(Buildings_Heat_Frontend[[#This Row],[Data]]="","", _xlfn.XLOOKUP(_xlfn.CONCAT(Buildings_Heat_Backend[[#This Row],[Level 1]:[Level 6]]),rng_EFConcat,rng_EF3)*Buildings_Heat_Backend[[#This Row],[Converted data]]/1000)</f>
        <v/>
      </c>
      <c r="AI464" s="210" t="str">
        <f>IF(Buildings_Heat_Frontend[[#This Row],[Data]]="","", _xlfn.XLOOKUP(_xlfn.CONCAT(Buildings_Heat_Backend[[#This Row],[Level 1]:[Level 6]]),rng_EFConcat,rng_EF3WTT)*Buildings_Heat_Backend[[#This Row],[Converted data]]/1000)</f>
        <v/>
      </c>
      <c r="AJ464" s="210" t="str">
        <f>IF(Buildings_Heat_Frontend[[#This Row],[Data]]="","", _xlfn.XLOOKUP(_xlfn.CONCAT(Buildings_Heat_Backend[[#This Row],[Level 1]:[Level 6]]),rng_EFConcat,rng_EF3TD)*Buildings_Heat_Backend[[#This Row],[Converted data]]/1000)</f>
        <v/>
      </c>
      <c r="AK464" s="210" t="str">
        <f>IF(Buildings_Heat_Frontend[[#This Row],[Data]]="","", _xlfn.XLOOKUP(_xlfn.CONCAT(Buildings_Heat_Backend[[#This Row],[Level 1]:[Level 6]]),rng_EFConcat,rng_EF3WTTTD)*Buildings_Heat_Backend[[#This Row],[Converted data]]/1000)</f>
        <v/>
      </c>
      <c r="AL464" s="220">
        <f>SUM(Buildings_Heat_Backend[[#This Row],[Scope 1 (tCO2e)]:[Scope 3 WTT T&amp;D (tCO2e)]])</f>
        <v>0</v>
      </c>
      <c r="AM464" s="220" t="str">
        <f>IF(Buildings_Heat_Frontend[[#This Row],[Data]]="","", Buildings_Heat_Backend[[#This Row],[Total (tCO2e)]]*(1-Buildings_Heat_Backend[[#This Row],[RSD]]))</f>
        <v/>
      </c>
      <c r="AN464" s="220" t="str">
        <f>IF(Buildings_Heat_Frontend[[#This Row],[Data]]="","", Buildings_Heat_Backend[[#This Row],[Total (tCO2e)]]*(1+Buildings_Heat_Backend[[#This Row],[RSD]]))</f>
        <v/>
      </c>
      <c r="AO464" s="210" t="str">
        <f>IF(Buildings_Heat_Frontend[[#This Row],[Data]]="","", _xlfn.XLOOKUP(_xlfn.CONCAT(Buildings_Heat_Backend[[#This Row],[Level 1]:[Level 6]]),rng_EFConcat,rng_EFOOS)*Buildings_Heat_Backend[[#This Row],[Converted data]]/1000)</f>
        <v/>
      </c>
      <c r="AP464" s="174">
        <f>Buildings_Heat_Frontend[[#This Row],[Ease of collection]]</f>
        <v>0</v>
      </c>
      <c r="AQ464" s="174">
        <f>Buildings_Heat_Frontend[[#This Row],[Completeness]]</f>
        <v>0</v>
      </c>
      <c r="AR464" s="174">
        <f>Buildings_Heat_Frontend[[#This Row],[Notes]]</f>
        <v>0</v>
      </c>
    </row>
    <row r="465" spans="5:44" x14ac:dyDescent="0.3">
      <c r="E465" s="346"/>
      <c r="F465" s="364"/>
      <c r="G465" s="336"/>
      <c r="H465" s="336"/>
      <c r="I465" s="336"/>
      <c r="J465" s="334"/>
      <c r="K465" s="336"/>
      <c r="L465" s="336"/>
      <c r="M465" s="336"/>
      <c r="N465" s="352"/>
      <c r="O465" s="230">
        <f t="shared" si="23"/>
        <v>6</v>
      </c>
      <c r="Q465" s="212" t="str">
        <f t="shared" si="21"/>
        <v/>
      </c>
      <c r="R465" s="174" t="s">
        <v>265</v>
      </c>
      <c r="S465" s="174" t="s">
        <v>273</v>
      </c>
      <c r="T465" s="174" t="str">
        <f>IF(Buildings_Heat_Frontend[[#This Row],[Data]]="","", _xlfn.XLOOKUP(Buildings_Heat_Backend[[#This Row],[Info 1]],Buildings_SiteInfo[Site name],Buildings_SiteInfo[Site type]))</f>
        <v/>
      </c>
      <c r="U465" s="174" t="str">
        <f>IF(Buildings_Heat_Frontend[[#This Row],[Data]]="","", Buildings_Heat_Frontend[[#This Row],[Heating Type]])</f>
        <v/>
      </c>
      <c r="V465" s="174" t="str">
        <f>IF(Buildings_Heat_Frontend[[#This Row],[Data]]="","", Buildings_Heat_Frontend[[#This Row],[Fuel]])</f>
        <v/>
      </c>
      <c r="W465" s="174" t="str" cm="1">
        <f t="array" ref="W465">IF(Buildings_Heat_Frontend[[#This Row],[Data]]="","", _xlfn.XLOOKUP(Buildings_Heat_Backend[[#This Row],[Level 5]],rng_Level5Long,rng_Level6Long))</f>
        <v/>
      </c>
      <c r="X465" s="174" t="str">
        <f>IF(Buildings_Heat_Frontend[[#This Row],[Data]]="","", Buildings_Heat_Frontend[[#This Row],[Site Name]])</f>
        <v/>
      </c>
      <c r="Y465" s="174" t="str">
        <f>IF(Buildings_Heat_Frontend[[#This Row],[Data]]="","", Buildings_Heat_Frontend[[#This Row],[MPRN]])</f>
        <v/>
      </c>
      <c r="Z465" s="174" t="str">
        <f>IF(Buildings_Heat_Frontend[[#This Row],[Data]]="","", IF($I465="","",$I465))</f>
        <v/>
      </c>
      <c r="AA465" s="229" t="str" cm="1">
        <f t="array" ref="AA465">IF(Buildings_Heat_Frontend[[#This Row],[Data]]="","", INDEX(_xlfn.SWITCH(Buildings_Heat_Backend[[#This Row],[Methodology]],"Tier 1",rng_RSD1,"Tier 2",rng_RSD2,"Tier 3",rng_RSD3),MATCH(_xlfn.CONCAT(Buildings_Heat_Backend[[#This Row],[Level 1]:[Level 6]]),rng_LevelsConcat,0)))</f>
        <v/>
      </c>
      <c r="AB465" s="220" t="str">
        <f t="shared" si="22"/>
        <v/>
      </c>
      <c r="AC465" s="174">
        <f>Buildings_Heat_Frontend[[#This Row],[Units]]</f>
        <v>0</v>
      </c>
      <c r="AD46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5" s="174" t="str">
        <f>IF(Buildings_Heat_Frontend[[#This Row],[Data]]="","", _xlfn.XLOOKUP(_xlfn.CONCAT(Buildings_Heat_Backend[[#This Row],[Level 1]:[Level 6]]),rng_LevelsConcat,rng_UnitsLong))</f>
        <v/>
      </c>
      <c r="AF465" s="210" t="str">
        <f>IF(Buildings_Heat_Frontend[[#This Row],[Data]]="","", _xlfn.XLOOKUP(_xlfn.CONCAT(Buildings_Heat_Backend[[#This Row],[Level 1]:[Level 6]]),rng_EFConcat,rng_EF1)*Buildings_Heat_Backend[[#This Row],[Converted data]]/1000)</f>
        <v/>
      </c>
      <c r="AG465" s="210" t="str">
        <f>IF(Buildings_Heat_Frontend[[#This Row],[Data]]="","", _xlfn.XLOOKUP(_xlfn.CONCAT(Buildings_Heat_Backend[[#This Row],[Level 1]:[Level 6]]),rng_EFConcat,rng_EF2)*Buildings_Heat_Backend[[#This Row],[Converted data]]/1000)</f>
        <v/>
      </c>
      <c r="AH465" s="210" t="str">
        <f>IF(Buildings_Heat_Frontend[[#This Row],[Data]]="","", _xlfn.XLOOKUP(_xlfn.CONCAT(Buildings_Heat_Backend[[#This Row],[Level 1]:[Level 6]]),rng_EFConcat,rng_EF3)*Buildings_Heat_Backend[[#This Row],[Converted data]]/1000)</f>
        <v/>
      </c>
      <c r="AI465" s="210" t="str">
        <f>IF(Buildings_Heat_Frontend[[#This Row],[Data]]="","", _xlfn.XLOOKUP(_xlfn.CONCAT(Buildings_Heat_Backend[[#This Row],[Level 1]:[Level 6]]),rng_EFConcat,rng_EF3WTT)*Buildings_Heat_Backend[[#This Row],[Converted data]]/1000)</f>
        <v/>
      </c>
      <c r="AJ465" s="210" t="str">
        <f>IF(Buildings_Heat_Frontend[[#This Row],[Data]]="","", _xlfn.XLOOKUP(_xlfn.CONCAT(Buildings_Heat_Backend[[#This Row],[Level 1]:[Level 6]]),rng_EFConcat,rng_EF3TD)*Buildings_Heat_Backend[[#This Row],[Converted data]]/1000)</f>
        <v/>
      </c>
      <c r="AK465" s="210" t="str">
        <f>IF(Buildings_Heat_Frontend[[#This Row],[Data]]="","", _xlfn.XLOOKUP(_xlfn.CONCAT(Buildings_Heat_Backend[[#This Row],[Level 1]:[Level 6]]),rng_EFConcat,rng_EF3WTTTD)*Buildings_Heat_Backend[[#This Row],[Converted data]]/1000)</f>
        <v/>
      </c>
      <c r="AL465" s="220">
        <f>SUM(Buildings_Heat_Backend[[#This Row],[Scope 1 (tCO2e)]:[Scope 3 WTT T&amp;D (tCO2e)]])</f>
        <v>0</v>
      </c>
      <c r="AM465" s="220" t="str">
        <f>IF(Buildings_Heat_Frontend[[#This Row],[Data]]="","", Buildings_Heat_Backend[[#This Row],[Total (tCO2e)]]*(1-Buildings_Heat_Backend[[#This Row],[RSD]]))</f>
        <v/>
      </c>
      <c r="AN465" s="220" t="str">
        <f>IF(Buildings_Heat_Frontend[[#This Row],[Data]]="","", Buildings_Heat_Backend[[#This Row],[Total (tCO2e)]]*(1+Buildings_Heat_Backend[[#This Row],[RSD]]))</f>
        <v/>
      </c>
      <c r="AO465" s="210" t="str">
        <f>IF(Buildings_Heat_Frontend[[#This Row],[Data]]="","", _xlfn.XLOOKUP(_xlfn.CONCAT(Buildings_Heat_Backend[[#This Row],[Level 1]:[Level 6]]),rng_EFConcat,rng_EFOOS)*Buildings_Heat_Backend[[#This Row],[Converted data]]/1000)</f>
        <v/>
      </c>
      <c r="AP465" s="174">
        <f>Buildings_Heat_Frontend[[#This Row],[Ease of collection]]</f>
        <v>0</v>
      </c>
      <c r="AQ465" s="174">
        <f>Buildings_Heat_Frontend[[#This Row],[Completeness]]</f>
        <v>0</v>
      </c>
      <c r="AR465" s="174">
        <f>Buildings_Heat_Frontend[[#This Row],[Notes]]</f>
        <v>0</v>
      </c>
    </row>
    <row r="466" spans="5:44" x14ac:dyDescent="0.3">
      <c r="E466" s="346"/>
      <c r="F466" s="364"/>
      <c r="G466" s="336"/>
      <c r="H466" s="336"/>
      <c r="I466" s="336"/>
      <c r="J466" s="334"/>
      <c r="K466" s="336"/>
      <c r="L466" s="336"/>
      <c r="M466" s="336"/>
      <c r="N466" s="352"/>
      <c r="O466" s="230">
        <f t="shared" si="23"/>
        <v>6</v>
      </c>
      <c r="Q466" s="212" t="str">
        <f t="shared" si="21"/>
        <v/>
      </c>
      <c r="R466" s="174" t="s">
        <v>265</v>
      </c>
      <c r="S466" s="174" t="s">
        <v>273</v>
      </c>
      <c r="T466" s="174" t="str">
        <f>IF(Buildings_Heat_Frontend[[#This Row],[Data]]="","", _xlfn.XLOOKUP(Buildings_Heat_Backend[[#This Row],[Info 1]],Buildings_SiteInfo[Site name],Buildings_SiteInfo[Site type]))</f>
        <v/>
      </c>
      <c r="U466" s="174" t="str">
        <f>IF(Buildings_Heat_Frontend[[#This Row],[Data]]="","", Buildings_Heat_Frontend[[#This Row],[Heating Type]])</f>
        <v/>
      </c>
      <c r="V466" s="174" t="str">
        <f>IF(Buildings_Heat_Frontend[[#This Row],[Data]]="","", Buildings_Heat_Frontend[[#This Row],[Fuel]])</f>
        <v/>
      </c>
      <c r="W466" s="174" t="str" cm="1">
        <f t="array" ref="W466">IF(Buildings_Heat_Frontend[[#This Row],[Data]]="","", _xlfn.XLOOKUP(Buildings_Heat_Backend[[#This Row],[Level 5]],rng_Level5Long,rng_Level6Long))</f>
        <v/>
      </c>
      <c r="X466" s="174" t="str">
        <f>IF(Buildings_Heat_Frontend[[#This Row],[Data]]="","", Buildings_Heat_Frontend[[#This Row],[Site Name]])</f>
        <v/>
      </c>
      <c r="Y466" s="174" t="str">
        <f>IF(Buildings_Heat_Frontend[[#This Row],[Data]]="","", Buildings_Heat_Frontend[[#This Row],[MPRN]])</f>
        <v/>
      </c>
      <c r="Z466" s="174" t="str">
        <f>IF(Buildings_Heat_Frontend[[#This Row],[Data]]="","", IF($I466="","",$I466))</f>
        <v/>
      </c>
      <c r="AA466" s="229" t="str" cm="1">
        <f t="array" ref="AA466">IF(Buildings_Heat_Frontend[[#This Row],[Data]]="","", INDEX(_xlfn.SWITCH(Buildings_Heat_Backend[[#This Row],[Methodology]],"Tier 1",rng_RSD1,"Tier 2",rng_RSD2,"Tier 3",rng_RSD3),MATCH(_xlfn.CONCAT(Buildings_Heat_Backend[[#This Row],[Level 1]:[Level 6]]),rng_LevelsConcat,0)))</f>
        <v/>
      </c>
      <c r="AB466" s="220" t="str">
        <f t="shared" si="22"/>
        <v/>
      </c>
      <c r="AC466" s="174">
        <f>Buildings_Heat_Frontend[[#This Row],[Units]]</f>
        <v>0</v>
      </c>
      <c r="AD46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6" s="174" t="str">
        <f>IF(Buildings_Heat_Frontend[[#This Row],[Data]]="","", _xlfn.XLOOKUP(_xlfn.CONCAT(Buildings_Heat_Backend[[#This Row],[Level 1]:[Level 6]]),rng_LevelsConcat,rng_UnitsLong))</f>
        <v/>
      </c>
      <c r="AF466" s="210" t="str">
        <f>IF(Buildings_Heat_Frontend[[#This Row],[Data]]="","", _xlfn.XLOOKUP(_xlfn.CONCAT(Buildings_Heat_Backend[[#This Row],[Level 1]:[Level 6]]),rng_EFConcat,rng_EF1)*Buildings_Heat_Backend[[#This Row],[Converted data]]/1000)</f>
        <v/>
      </c>
      <c r="AG466" s="210" t="str">
        <f>IF(Buildings_Heat_Frontend[[#This Row],[Data]]="","", _xlfn.XLOOKUP(_xlfn.CONCAT(Buildings_Heat_Backend[[#This Row],[Level 1]:[Level 6]]),rng_EFConcat,rng_EF2)*Buildings_Heat_Backend[[#This Row],[Converted data]]/1000)</f>
        <v/>
      </c>
      <c r="AH466" s="210" t="str">
        <f>IF(Buildings_Heat_Frontend[[#This Row],[Data]]="","", _xlfn.XLOOKUP(_xlfn.CONCAT(Buildings_Heat_Backend[[#This Row],[Level 1]:[Level 6]]),rng_EFConcat,rng_EF3)*Buildings_Heat_Backend[[#This Row],[Converted data]]/1000)</f>
        <v/>
      </c>
      <c r="AI466" s="210" t="str">
        <f>IF(Buildings_Heat_Frontend[[#This Row],[Data]]="","", _xlfn.XLOOKUP(_xlfn.CONCAT(Buildings_Heat_Backend[[#This Row],[Level 1]:[Level 6]]),rng_EFConcat,rng_EF3WTT)*Buildings_Heat_Backend[[#This Row],[Converted data]]/1000)</f>
        <v/>
      </c>
      <c r="AJ466" s="210" t="str">
        <f>IF(Buildings_Heat_Frontend[[#This Row],[Data]]="","", _xlfn.XLOOKUP(_xlfn.CONCAT(Buildings_Heat_Backend[[#This Row],[Level 1]:[Level 6]]),rng_EFConcat,rng_EF3TD)*Buildings_Heat_Backend[[#This Row],[Converted data]]/1000)</f>
        <v/>
      </c>
      <c r="AK466" s="210" t="str">
        <f>IF(Buildings_Heat_Frontend[[#This Row],[Data]]="","", _xlfn.XLOOKUP(_xlfn.CONCAT(Buildings_Heat_Backend[[#This Row],[Level 1]:[Level 6]]),rng_EFConcat,rng_EF3WTTTD)*Buildings_Heat_Backend[[#This Row],[Converted data]]/1000)</f>
        <v/>
      </c>
      <c r="AL466" s="220">
        <f>SUM(Buildings_Heat_Backend[[#This Row],[Scope 1 (tCO2e)]:[Scope 3 WTT T&amp;D (tCO2e)]])</f>
        <v>0</v>
      </c>
      <c r="AM466" s="220" t="str">
        <f>IF(Buildings_Heat_Frontend[[#This Row],[Data]]="","", Buildings_Heat_Backend[[#This Row],[Total (tCO2e)]]*(1-Buildings_Heat_Backend[[#This Row],[RSD]]))</f>
        <v/>
      </c>
      <c r="AN466" s="220" t="str">
        <f>IF(Buildings_Heat_Frontend[[#This Row],[Data]]="","", Buildings_Heat_Backend[[#This Row],[Total (tCO2e)]]*(1+Buildings_Heat_Backend[[#This Row],[RSD]]))</f>
        <v/>
      </c>
      <c r="AO466" s="210" t="str">
        <f>IF(Buildings_Heat_Frontend[[#This Row],[Data]]="","", _xlfn.XLOOKUP(_xlfn.CONCAT(Buildings_Heat_Backend[[#This Row],[Level 1]:[Level 6]]),rng_EFConcat,rng_EFOOS)*Buildings_Heat_Backend[[#This Row],[Converted data]]/1000)</f>
        <v/>
      </c>
      <c r="AP466" s="174">
        <f>Buildings_Heat_Frontend[[#This Row],[Ease of collection]]</f>
        <v>0</v>
      </c>
      <c r="AQ466" s="174">
        <f>Buildings_Heat_Frontend[[#This Row],[Completeness]]</f>
        <v>0</v>
      </c>
      <c r="AR466" s="174">
        <f>Buildings_Heat_Frontend[[#This Row],[Notes]]</f>
        <v>0</v>
      </c>
    </row>
    <row r="467" spans="5:44" x14ac:dyDescent="0.3">
      <c r="E467" s="346"/>
      <c r="F467" s="364"/>
      <c r="G467" s="336"/>
      <c r="H467" s="336"/>
      <c r="I467" s="336"/>
      <c r="J467" s="334"/>
      <c r="K467" s="336"/>
      <c r="L467" s="336"/>
      <c r="M467" s="336"/>
      <c r="N467" s="352"/>
      <c r="O467" s="230">
        <f t="shared" si="23"/>
        <v>6</v>
      </c>
      <c r="Q467" s="212" t="str">
        <f t="shared" si="21"/>
        <v/>
      </c>
      <c r="R467" s="174" t="s">
        <v>265</v>
      </c>
      <c r="S467" s="174" t="s">
        <v>273</v>
      </c>
      <c r="T467" s="174" t="str">
        <f>IF(Buildings_Heat_Frontend[[#This Row],[Data]]="","", _xlfn.XLOOKUP(Buildings_Heat_Backend[[#This Row],[Info 1]],Buildings_SiteInfo[Site name],Buildings_SiteInfo[Site type]))</f>
        <v/>
      </c>
      <c r="U467" s="174" t="str">
        <f>IF(Buildings_Heat_Frontend[[#This Row],[Data]]="","", Buildings_Heat_Frontend[[#This Row],[Heating Type]])</f>
        <v/>
      </c>
      <c r="V467" s="174" t="str">
        <f>IF(Buildings_Heat_Frontend[[#This Row],[Data]]="","", Buildings_Heat_Frontend[[#This Row],[Fuel]])</f>
        <v/>
      </c>
      <c r="W467" s="174" t="str" cm="1">
        <f t="array" ref="W467">IF(Buildings_Heat_Frontend[[#This Row],[Data]]="","", _xlfn.XLOOKUP(Buildings_Heat_Backend[[#This Row],[Level 5]],rng_Level5Long,rng_Level6Long))</f>
        <v/>
      </c>
      <c r="X467" s="174" t="str">
        <f>IF(Buildings_Heat_Frontend[[#This Row],[Data]]="","", Buildings_Heat_Frontend[[#This Row],[Site Name]])</f>
        <v/>
      </c>
      <c r="Y467" s="174" t="str">
        <f>IF(Buildings_Heat_Frontend[[#This Row],[Data]]="","", Buildings_Heat_Frontend[[#This Row],[MPRN]])</f>
        <v/>
      </c>
      <c r="Z467" s="174" t="str">
        <f>IF(Buildings_Heat_Frontend[[#This Row],[Data]]="","", IF($I467="","",$I467))</f>
        <v/>
      </c>
      <c r="AA467" s="229" t="str" cm="1">
        <f t="array" ref="AA467">IF(Buildings_Heat_Frontend[[#This Row],[Data]]="","", INDEX(_xlfn.SWITCH(Buildings_Heat_Backend[[#This Row],[Methodology]],"Tier 1",rng_RSD1,"Tier 2",rng_RSD2,"Tier 3",rng_RSD3),MATCH(_xlfn.CONCAT(Buildings_Heat_Backend[[#This Row],[Level 1]:[Level 6]]),rng_LevelsConcat,0)))</f>
        <v/>
      </c>
      <c r="AB467" s="220" t="str">
        <f t="shared" si="22"/>
        <v/>
      </c>
      <c r="AC467" s="174">
        <f>Buildings_Heat_Frontend[[#This Row],[Units]]</f>
        <v>0</v>
      </c>
      <c r="AD46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7" s="174" t="str">
        <f>IF(Buildings_Heat_Frontend[[#This Row],[Data]]="","", _xlfn.XLOOKUP(_xlfn.CONCAT(Buildings_Heat_Backend[[#This Row],[Level 1]:[Level 6]]),rng_LevelsConcat,rng_UnitsLong))</f>
        <v/>
      </c>
      <c r="AF467" s="210" t="str">
        <f>IF(Buildings_Heat_Frontend[[#This Row],[Data]]="","", _xlfn.XLOOKUP(_xlfn.CONCAT(Buildings_Heat_Backend[[#This Row],[Level 1]:[Level 6]]),rng_EFConcat,rng_EF1)*Buildings_Heat_Backend[[#This Row],[Converted data]]/1000)</f>
        <v/>
      </c>
      <c r="AG467" s="210" t="str">
        <f>IF(Buildings_Heat_Frontend[[#This Row],[Data]]="","", _xlfn.XLOOKUP(_xlfn.CONCAT(Buildings_Heat_Backend[[#This Row],[Level 1]:[Level 6]]),rng_EFConcat,rng_EF2)*Buildings_Heat_Backend[[#This Row],[Converted data]]/1000)</f>
        <v/>
      </c>
      <c r="AH467" s="210" t="str">
        <f>IF(Buildings_Heat_Frontend[[#This Row],[Data]]="","", _xlfn.XLOOKUP(_xlfn.CONCAT(Buildings_Heat_Backend[[#This Row],[Level 1]:[Level 6]]),rng_EFConcat,rng_EF3)*Buildings_Heat_Backend[[#This Row],[Converted data]]/1000)</f>
        <v/>
      </c>
      <c r="AI467" s="210" t="str">
        <f>IF(Buildings_Heat_Frontend[[#This Row],[Data]]="","", _xlfn.XLOOKUP(_xlfn.CONCAT(Buildings_Heat_Backend[[#This Row],[Level 1]:[Level 6]]),rng_EFConcat,rng_EF3WTT)*Buildings_Heat_Backend[[#This Row],[Converted data]]/1000)</f>
        <v/>
      </c>
      <c r="AJ467" s="210" t="str">
        <f>IF(Buildings_Heat_Frontend[[#This Row],[Data]]="","", _xlfn.XLOOKUP(_xlfn.CONCAT(Buildings_Heat_Backend[[#This Row],[Level 1]:[Level 6]]),rng_EFConcat,rng_EF3TD)*Buildings_Heat_Backend[[#This Row],[Converted data]]/1000)</f>
        <v/>
      </c>
      <c r="AK467" s="210" t="str">
        <f>IF(Buildings_Heat_Frontend[[#This Row],[Data]]="","", _xlfn.XLOOKUP(_xlfn.CONCAT(Buildings_Heat_Backend[[#This Row],[Level 1]:[Level 6]]),rng_EFConcat,rng_EF3WTTTD)*Buildings_Heat_Backend[[#This Row],[Converted data]]/1000)</f>
        <v/>
      </c>
      <c r="AL467" s="220">
        <f>SUM(Buildings_Heat_Backend[[#This Row],[Scope 1 (tCO2e)]:[Scope 3 WTT T&amp;D (tCO2e)]])</f>
        <v>0</v>
      </c>
      <c r="AM467" s="220" t="str">
        <f>IF(Buildings_Heat_Frontend[[#This Row],[Data]]="","", Buildings_Heat_Backend[[#This Row],[Total (tCO2e)]]*(1-Buildings_Heat_Backend[[#This Row],[RSD]]))</f>
        <v/>
      </c>
      <c r="AN467" s="220" t="str">
        <f>IF(Buildings_Heat_Frontend[[#This Row],[Data]]="","", Buildings_Heat_Backend[[#This Row],[Total (tCO2e)]]*(1+Buildings_Heat_Backend[[#This Row],[RSD]]))</f>
        <v/>
      </c>
      <c r="AO467" s="210" t="str">
        <f>IF(Buildings_Heat_Frontend[[#This Row],[Data]]="","", _xlfn.XLOOKUP(_xlfn.CONCAT(Buildings_Heat_Backend[[#This Row],[Level 1]:[Level 6]]),rng_EFConcat,rng_EFOOS)*Buildings_Heat_Backend[[#This Row],[Converted data]]/1000)</f>
        <v/>
      </c>
      <c r="AP467" s="174">
        <f>Buildings_Heat_Frontend[[#This Row],[Ease of collection]]</f>
        <v>0</v>
      </c>
      <c r="AQ467" s="174">
        <f>Buildings_Heat_Frontend[[#This Row],[Completeness]]</f>
        <v>0</v>
      </c>
      <c r="AR467" s="174">
        <f>Buildings_Heat_Frontend[[#This Row],[Notes]]</f>
        <v>0</v>
      </c>
    </row>
    <row r="468" spans="5:44" x14ac:dyDescent="0.3">
      <c r="E468" s="346"/>
      <c r="F468" s="364"/>
      <c r="G468" s="336"/>
      <c r="H468" s="336"/>
      <c r="I468" s="336"/>
      <c r="J468" s="334"/>
      <c r="K468" s="336"/>
      <c r="L468" s="336"/>
      <c r="M468" s="336"/>
      <c r="N468" s="352"/>
      <c r="O468" s="230">
        <f t="shared" si="23"/>
        <v>6</v>
      </c>
      <c r="Q468" s="212" t="str">
        <f t="shared" si="21"/>
        <v/>
      </c>
      <c r="R468" s="174" t="s">
        <v>265</v>
      </c>
      <c r="S468" s="174" t="s">
        <v>273</v>
      </c>
      <c r="T468" s="174" t="str">
        <f>IF(Buildings_Heat_Frontend[[#This Row],[Data]]="","", _xlfn.XLOOKUP(Buildings_Heat_Backend[[#This Row],[Info 1]],Buildings_SiteInfo[Site name],Buildings_SiteInfo[Site type]))</f>
        <v/>
      </c>
      <c r="U468" s="174" t="str">
        <f>IF(Buildings_Heat_Frontend[[#This Row],[Data]]="","", Buildings_Heat_Frontend[[#This Row],[Heating Type]])</f>
        <v/>
      </c>
      <c r="V468" s="174" t="str">
        <f>IF(Buildings_Heat_Frontend[[#This Row],[Data]]="","", Buildings_Heat_Frontend[[#This Row],[Fuel]])</f>
        <v/>
      </c>
      <c r="W468" s="174" t="str" cm="1">
        <f t="array" ref="W468">IF(Buildings_Heat_Frontend[[#This Row],[Data]]="","", _xlfn.XLOOKUP(Buildings_Heat_Backend[[#This Row],[Level 5]],rng_Level5Long,rng_Level6Long))</f>
        <v/>
      </c>
      <c r="X468" s="174" t="str">
        <f>IF(Buildings_Heat_Frontend[[#This Row],[Data]]="","", Buildings_Heat_Frontend[[#This Row],[Site Name]])</f>
        <v/>
      </c>
      <c r="Y468" s="174" t="str">
        <f>IF(Buildings_Heat_Frontend[[#This Row],[Data]]="","", Buildings_Heat_Frontend[[#This Row],[MPRN]])</f>
        <v/>
      </c>
      <c r="Z468" s="174" t="str">
        <f>IF(Buildings_Heat_Frontend[[#This Row],[Data]]="","", IF($I468="","",$I468))</f>
        <v/>
      </c>
      <c r="AA468" s="229" t="str" cm="1">
        <f t="array" ref="AA468">IF(Buildings_Heat_Frontend[[#This Row],[Data]]="","", INDEX(_xlfn.SWITCH(Buildings_Heat_Backend[[#This Row],[Methodology]],"Tier 1",rng_RSD1,"Tier 2",rng_RSD2,"Tier 3",rng_RSD3),MATCH(_xlfn.CONCAT(Buildings_Heat_Backend[[#This Row],[Level 1]:[Level 6]]),rng_LevelsConcat,0)))</f>
        <v/>
      </c>
      <c r="AB468" s="220" t="str">
        <f t="shared" si="22"/>
        <v/>
      </c>
      <c r="AC468" s="174">
        <f>Buildings_Heat_Frontend[[#This Row],[Units]]</f>
        <v>0</v>
      </c>
      <c r="AD46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8" s="174" t="str">
        <f>IF(Buildings_Heat_Frontend[[#This Row],[Data]]="","", _xlfn.XLOOKUP(_xlfn.CONCAT(Buildings_Heat_Backend[[#This Row],[Level 1]:[Level 6]]),rng_LevelsConcat,rng_UnitsLong))</f>
        <v/>
      </c>
      <c r="AF468" s="210" t="str">
        <f>IF(Buildings_Heat_Frontend[[#This Row],[Data]]="","", _xlfn.XLOOKUP(_xlfn.CONCAT(Buildings_Heat_Backend[[#This Row],[Level 1]:[Level 6]]),rng_EFConcat,rng_EF1)*Buildings_Heat_Backend[[#This Row],[Converted data]]/1000)</f>
        <v/>
      </c>
      <c r="AG468" s="210" t="str">
        <f>IF(Buildings_Heat_Frontend[[#This Row],[Data]]="","", _xlfn.XLOOKUP(_xlfn.CONCAT(Buildings_Heat_Backend[[#This Row],[Level 1]:[Level 6]]),rng_EFConcat,rng_EF2)*Buildings_Heat_Backend[[#This Row],[Converted data]]/1000)</f>
        <v/>
      </c>
      <c r="AH468" s="210" t="str">
        <f>IF(Buildings_Heat_Frontend[[#This Row],[Data]]="","", _xlfn.XLOOKUP(_xlfn.CONCAT(Buildings_Heat_Backend[[#This Row],[Level 1]:[Level 6]]),rng_EFConcat,rng_EF3)*Buildings_Heat_Backend[[#This Row],[Converted data]]/1000)</f>
        <v/>
      </c>
      <c r="AI468" s="210" t="str">
        <f>IF(Buildings_Heat_Frontend[[#This Row],[Data]]="","", _xlfn.XLOOKUP(_xlfn.CONCAT(Buildings_Heat_Backend[[#This Row],[Level 1]:[Level 6]]),rng_EFConcat,rng_EF3WTT)*Buildings_Heat_Backend[[#This Row],[Converted data]]/1000)</f>
        <v/>
      </c>
      <c r="AJ468" s="210" t="str">
        <f>IF(Buildings_Heat_Frontend[[#This Row],[Data]]="","", _xlfn.XLOOKUP(_xlfn.CONCAT(Buildings_Heat_Backend[[#This Row],[Level 1]:[Level 6]]),rng_EFConcat,rng_EF3TD)*Buildings_Heat_Backend[[#This Row],[Converted data]]/1000)</f>
        <v/>
      </c>
      <c r="AK468" s="210" t="str">
        <f>IF(Buildings_Heat_Frontend[[#This Row],[Data]]="","", _xlfn.XLOOKUP(_xlfn.CONCAT(Buildings_Heat_Backend[[#This Row],[Level 1]:[Level 6]]),rng_EFConcat,rng_EF3WTTTD)*Buildings_Heat_Backend[[#This Row],[Converted data]]/1000)</f>
        <v/>
      </c>
      <c r="AL468" s="220">
        <f>SUM(Buildings_Heat_Backend[[#This Row],[Scope 1 (tCO2e)]:[Scope 3 WTT T&amp;D (tCO2e)]])</f>
        <v>0</v>
      </c>
      <c r="AM468" s="220" t="str">
        <f>IF(Buildings_Heat_Frontend[[#This Row],[Data]]="","", Buildings_Heat_Backend[[#This Row],[Total (tCO2e)]]*(1-Buildings_Heat_Backend[[#This Row],[RSD]]))</f>
        <v/>
      </c>
      <c r="AN468" s="220" t="str">
        <f>IF(Buildings_Heat_Frontend[[#This Row],[Data]]="","", Buildings_Heat_Backend[[#This Row],[Total (tCO2e)]]*(1+Buildings_Heat_Backend[[#This Row],[RSD]]))</f>
        <v/>
      </c>
      <c r="AO468" s="210" t="str">
        <f>IF(Buildings_Heat_Frontend[[#This Row],[Data]]="","", _xlfn.XLOOKUP(_xlfn.CONCAT(Buildings_Heat_Backend[[#This Row],[Level 1]:[Level 6]]),rng_EFConcat,rng_EFOOS)*Buildings_Heat_Backend[[#This Row],[Converted data]]/1000)</f>
        <v/>
      </c>
      <c r="AP468" s="174">
        <f>Buildings_Heat_Frontend[[#This Row],[Ease of collection]]</f>
        <v>0</v>
      </c>
      <c r="AQ468" s="174">
        <f>Buildings_Heat_Frontend[[#This Row],[Completeness]]</f>
        <v>0</v>
      </c>
      <c r="AR468" s="174">
        <f>Buildings_Heat_Frontend[[#This Row],[Notes]]</f>
        <v>0</v>
      </c>
    </row>
    <row r="469" spans="5:44" x14ac:dyDescent="0.3">
      <c r="E469" s="346"/>
      <c r="F469" s="364"/>
      <c r="G469" s="336"/>
      <c r="H469" s="336"/>
      <c r="I469" s="336"/>
      <c r="J469" s="334"/>
      <c r="K469" s="336"/>
      <c r="L469" s="336"/>
      <c r="M469" s="336"/>
      <c r="N469" s="352"/>
      <c r="O469" s="230">
        <f t="shared" si="23"/>
        <v>6</v>
      </c>
      <c r="Q469" s="212" t="str">
        <f t="shared" si="21"/>
        <v/>
      </c>
      <c r="R469" s="174" t="s">
        <v>265</v>
      </c>
      <c r="S469" s="174" t="s">
        <v>273</v>
      </c>
      <c r="T469" s="174" t="str">
        <f>IF(Buildings_Heat_Frontend[[#This Row],[Data]]="","", _xlfn.XLOOKUP(Buildings_Heat_Backend[[#This Row],[Info 1]],Buildings_SiteInfo[Site name],Buildings_SiteInfo[Site type]))</f>
        <v/>
      </c>
      <c r="U469" s="174" t="str">
        <f>IF(Buildings_Heat_Frontend[[#This Row],[Data]]="","", Buildings_Heat_Frontend[[#This Row],[Heating Type]])</f>
        <v/>
      </c>
      <c r="V469" s="174" t="str">
        <f>IF(Buildings_Heat_Frontend[[#This Row],[Data]]="","", Buildings_Heat_Frontend[[#This Row],[Fuel]])</f>
        <v/>
      </c>
      <c r="W469" s="174" t="str" cm="1">
        <f t="array" ref="W469">IF(Buildings_Heat_Frontend[[#This Row],[Data]]="","", _xlfn.XLOOKUP(Buildings_Heat_Backend[[#This Row],[Level 5]],rng_Level5Long,rng_Level6Long))</f>
        <v/>
      </c>
      <c r="X469" s="174" t="str">
        <f>IF(Buildings_Heat_Frontend[[#This Row],[Data]]="","", Buildings_Heat_Frontend[[#This Row],[Site Name]])</f>
        <v/>
      </c>
      <c r="Y469" s="174" t="str">
        <f>IF(Buildings_Heat_Frontend[[#This Row],[Data]]="","", Buildings_Heat_Frontend[[#This Row],[MPRN]])</f>
        <v/>
      </c>
      <c r="Z469" s="174" t="str">
        <f>IF(Buildings_Heat_Frontend[[#This Row],[Data]]="","", IF($I469="","",$I469))</f>
        <v/>
      </c>
      <c r="AA469" s="229" t="str" cm="1">
        <f t="array" ref="AA469">IF(Buildings_Heat_Frontend[[#This Row],[Data]]="","", INDEX(_xlfn.SWITCH(Buildings_Heat_Backend[[#This Row],[Methodology]],"Tier 1",rng_RSD1,"Tier 2",rng_RSD2,"Tier 3",rng_RSD3),MATCH(_xlfn.CONCAT(Buildings_Heat_Backend[[#This Row],[Level 1]:[Level 6]]),rng_LevelsConcat,0)))</f>
        <v/>
      </c>
      <c r="AB469" s="220" t="str">
        <f t="shared" si="22"/>
        <v/>
      </c>
      <c r="AC469" s="174">
        <f>Buildings_Heat_Frontend[[#This Row],[Units]]</f>
        <v>0</v>
      </c>
      <c r="AD46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69" s="174" t="str">
        <f>IF(Buildings_Heat_Frontend[[#This Row],[Data]]="","", _xlfn.XLOOKUP(_xlfn.CONCAT(Buildings_Heat_Backend[[#This Row],[Level 1]:[Level 6]]),rng_LevelsConcat,rng_UnitsLong))</f>
        <v/>
      </c>
      <c r="AF469" s="210" t="str">
        <f>IF(Buildings_Heat_Frontend[[#This Row],[Data]]="","", _xlfn.XLOOKUP(_xlfn.CONCAT(Buildings_Heat_Backend[[#This Row],[Level 1]:[Level 6]]),rng_EFConcat,rng_EF1)*Buildings_Heat_Backend[[#This Row],[Converted data]]/1000)</f>
        <v/>
      </c>
      <c r="AG469" s="210" t="str">
        <f>IF(Buildings_Heat_Frontend[[#This Row],[Data]]="","", _xlfn.XLOOKUP(_xlfn.CONCAT(Buildings_Heat_Backend[[#This Row],[Level 1]:[Level 6]]),rng_EFConcat,rng_EF2)*Buildings_Heat_Backend[[#This Row],[Converted data]]/1000)</f>
        <v/>
      </c>
      <c r="AH469" s="210" t="str">
        <f>IF(Buildings_Heat_Frontend[[#This Row],[Data]]="","", _xlfn.XLOOKUP(_xlfn.CONCAT(Buildings_Heat_Backend[[#This Row],[Level 1]:[Level 6]]),rng_EFConcat,rng_EF3)*Buildings_Heat_Backend[[#This Row],[Converted data]]/1000)</f>
        <v/>
      </c>
      <c r="AI469" s="210" t="str">
        <f>IF(Buildings_Heat_Frontend[[#This Row],[Data]]="","", _xlfn.XLOOKUP(_xlfn.CONCAT(Buildings_Heat_Backend[[#This Row],[Level 1]:[Level 6]]),rng_EFConcat,rng_EF3WTT)*Buildings_Heat_Backend[[#This Row],[Converted data]]/1000)</f>
        <v/>
      </c>
      <c r="AJ469" s="210" t="str">
        <f>IF(Buildings_Heat_Frontend[[#This Row],[Data]]="","", _xlfn.XLOOKUP(_xlfn.CONCAT(Buildings_Heat_Backend[[#This Row],[Level 1]:[Level 6]]),rng_EFConcat,rng_EF3TD)*Buildings_Heat_Backend[[#This Row],[Converted data]]/1000)</f>
        <v/>
      </c>
      <c r="AK469" s="210" t="str">
        <f>IF(Buildings_Heat_Frontend[[#This Row],[Data]]="","", _xlfn.XLOOKUP(_xlfn.CONCAT(Buildings_Heat_Backend[[#This Row],[Level 1]:[Level 6]]),rng_EFConcat,rng_EF3WTTTD)*Buildings_Heat_Backend[[#This Row],[Converted data]]/1000)</f>
        <v/>
      </c>
      <c r="AL469" s="220">
        <f>SUM(Buildings_Heat_Backend[[#This Row],[Scope 1 (tCO2e)]:[Scope 3 WTT T&amp;D (tCO2e)]])</f>
        <v>0</v>
      </c>
      <c r="AM469" s="220" t="str">
        <f>IF(Buildings_Heat_Frontend[[#This Row],[Data]]="","", Buildings_Heat_Backend[[#This Row],[Total (tCO2e)]]*(1-Buildings_Heat_Backend[[#This Row],[RSD]]))</f>
        <v/>
      </c>
      <c r="AN469" s="220" t="str">
        <f>IF(Buildings_Heat_Frontend[[#This Row],[Data]]="","", Buildings_Heat_Backend[[#This Row],[Total (tCO2e)]]*(1+Buildings_Heat_Backend[[#This Row],[RSD]]))</f>
        <v/>
      </c>
      <c r="AO469" s="210" t="str">
        <f>IF(Buildings_Heat_Frontend[[#This Row],[Data]]="","", _xlfn.XLOOKUP(_xlfn.CONCAT(Buildings_Heat_Backend[[#This Row],[Level 1]:[Level 6]]),rng_EFConcat,rng_EFOOS)*Buildings_Heat_Backend[[#This Row],[Converted data]]/1000)</f>
        <v/>
      </c>
      <c r="AP469" s="174">
        <f>Buildings_Heat_Frontend[[#This Row],[Ease of collection]]</f>
        <v>0</v>
      </c>
      <c r="AQ469" s="174">
        <f>Buildings_Heat_Frontend[[#This Row],[Completeness]]</f>
        <v>0</v>
      </c>
      <c r="AR469" s="174">
        <f>Buildings_Heat_Frontend[[#This Row],[Notes]]</f>
        <v>0</v>
      </c>
    </row>
    <row r="470" spans="5:44" x14ac:dyDescent="0.3">
      <c r="E470" s="346"/>
      <c r="F470" s="364"/>
      <c r="G470" s="336"/>
      <c r="H470" s="336"/>
      <c r="I470" s="336"/>
      <c r="J470" s="334"/>
      <c r="K470" s="336"/>
      <c r="L470" s="336"/>
      <c r="M470" s="336"/>
      <c r="N470" s="352"/>
      <c r="O470" s="230">
        <f t="shared" si="23"/>
        <v>6</v>
      </c>
      <c r="Q470" s="212" t="str">
        <f t="shared" si="21"/>
        <v/>
      </c>
      <c r="R470" s="174" t="s">
        <v>265</v>
      </c>
      <c r="S470" s="174" t="s">
        <v>273</v>
      </c>
      <c r="T470" s="174" t="str">
        <f>IF(Buildings_Heat_Frontend[[#This Row],[Data]]="","", _xlfn.XLOOKUP(Buildings_Heat_Backend[[#This Row],[Info 1]],Buildings_SiteInfo[Site name],Buildings_SiteInfo[Site type]))</f>
        <v/>
      </c>
      <c r="U470" s="174" t="str">
        <f>IF(Buildings_Heat_Frontend[[#This Row],[Data]]="","", Buildings_Heat_Frontend[[#This Row],[Heating Type]])</f>
        <v/>
      </c>
      <c r="V470" s="174" t="str">
        <f>IF(Buildings_Heat_Frontend[[#This Row],[Data]]="","", Buildings_Heat_Frontend[[#This Row],[Fuel]])</f>
        <v/>
      </c>
      <c r="W470" s="174" t="str" cm="1">
        <f t="array" ref="W470">IF(Buildings_Heat_Frontend[[#This Row],[Data]]="","", _xlfn.XLOOKUP(Buildings_Heat_Backend[[#This Row],[Level 5]],rng_Level5Long,rng_Level6Long))</f>
        <v/>
      </c>
      <c r="X470" s="174" t="str">
        <f>IF(Buildings_Heat_Frontend[[#This Row],[Data]]="","", Buildings_Heat_Frontend[[#This Row],[Site Name]])</f>
        <v/>
      </c>
      <c r="Y470" s="174" t="str">
        <f>IF(Buildings_Heat_Frontend[[#This Row],[Data]]="","", Buildings_Heat_Frontend[[#This Row],[MPRN]])</f>
        <v/>
      </c>
      <c r="Z470" s="174" t="str">
        <f>IF(Buildings_Heat_Frontend[[#This Row],[Data]]="","", IF($I470="","",$I470))</f>
        <v/>
      </c>
      <c r="AA470" s="229" t="str" cm="1">
        <f t="array" ref="AA470">IF(Buildings_Heat_Frontend[[#This Row],[Data]]="","", INDEX(_xlfn.SWITCH(Buildings_Heat_Backend[[#This Row],[Methodology]],"Tier 1",rng_RSD1,"Tier 2",rng_RSD2,"Tier 3",rng_RSD3),MATCH(_xlfn.CONCAT(Buildings_Heat_Backend[[#This Row],[Level 1]:[Level 6]]),rng_LevelsConcat,0)))</f>
        <v/>
      </c>
      <c r="AB470" s="220" t="str">
        <f t="shared" si="22"/>
        <v/>
      </c>
      <c r="AC470" s="174">
        <f>Buildings_Heat_Frontend[[#This Row],[Units]]</f>
        <v>0</v>
      </c>
      <c r="AD47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0" s="174" t="str">
        <f>IF(Buildings_Heat_Frontend[[#This Row],[Data]]="","", _xlfn.XLOOKUP(_xlfn.CONCAT(Buildings_Heat_Backend[[#This Row],[Level 1]:[Level 6]]),rng_LevelsConcat,rng_UnitsLong))</f>
        <v/>
      </c>
      <c r="AF470" s="210" t="str">
        <f>IF(Buildings_Heat_Frontend[[#This Row],[Data]]="","", _xlfn.XLOOKUP(_xlfn.CONCAT(Buildings_Heat_Backend[[#This Row],[Level 1]:[Level 6]]),rng_EFConcat,rng_EF1)*Buildings_Heat_Backend[[#This Row],[Converted data]]/1000)</f>
        <v/>
      </c>
      <c r="AG470" s="210" t="str">
        <f>IF(Buildings_Heat_Frontend[[#This Row],[Data]]="","", _xlfn.XLOOKUP(_xlfn.CONCAT(Buildings_Heat_Backend[[#This Row],[Level 1]:[Level 6]]),rng_EFConcat,rng_EF2)*Buildings_Heat_Backend[[#This Row],[Converted data]]/1000)</f>
        <v/>
      </c>
      <c r="AH470" s="210" t="str">
        <f>IF(Buildings_Heat_Frontend[[#This Row],[Data]]="","", _xlfn.XLOOKUP(_xlfn.CONCAT(Buildings_Heat_Backend[[#This Row],[Level 1]:[Level 6]]),rng_EFConcat,rng_EF3)*Buildings_Heat_Backend[[#This Row],[Converted data]]/1000)</f>
        <v/>
      </c>
      <c r="AI470" s="210" t="str">
        <f>IF(Buildings_Heat_Frontend[[#This Row],[Data]]="","", _xlfn.XLOOKUP(_xlfn.CONCAT(Buildings_Heat_Backend[[#This Row],[Level 1]:[Level 6]]),rng_EFConcat,rng_EF3WTT)*Buildings_Heat_Backend[[#This Row],[Converted data]]/1000)</f>
        <v/>
      </c>
      <c r="AJ470" s="210" t="str">
        <f>IF(Buildings_Heat_Frontend[[#This Row],[Data]]="","", _xlfn.XLOOKUP(_xlfn.CONCAT(Buildings_Heat_Backend[[#This Row],[Level 1]:[Level 6]]),rng_EFConcat,rng_EF3TD)*Buildings_Heat_Backend[[#This Row],[Converted data]]/1000)</f>
        <v/>
      </c>
      <c r="AK470" s="210" t="str">
        <f>IF(Buildings_Heat_Frontend[[#This Row],[Data]]="","", _xlfn.XLOOKUP(_xlfn.CONCAT(Buildings_Heat_Backend[[#This Row],[Level 1]:[Level 6]]),rng_EFConcat,rng_EF3WTTTD)*Buildings_Heat_Backend[[#This Row],[Converted data]]/1000)</f>
        <v/>
      </c>
      <c r="AL470" s="220">
        <f>SUM(Buildings_Heat_Backend[[#This Row],[Scope 1 (tCO2e)]:[Scope 3 WTT T&amp;D (tCO2e)]])</f>
        <v>0</v>
      </c>
      <c r="AM470" s="220" t="str">
        <f>IF(Buildings_Heat_Frontend[[#This Row],[Data]]="","", Buildings_Heat_Backend[[#This Row],[Total (tCO2e)]]*(1-Buildings_Heat_Backend[[#This Row],[RSD]]))</f>
        <v/>
      </c>
      <c r="AN470" s="220" t="str">
        <f>IF(Buildings_Heat_Frontend[[#This Row],[Data]]="","", Buildings_Heat_Backend[[#This Row],[Total (tCO2e)]]*(1+Buildings_Heat_Backend[[#This Row],[RSD]]))</f>
        <v/>
      </c>
      <c r="AO470" s="210" t="str">
        <f>IF(Buildings_Heat_Frontend[[#This Row],[Data]]="","", _xlfn.XLOOKUP(_xlfn.CONCAT(Buildings_Heat_Backend[[#This Row],[Level 1]:[Level 6]]),rng_EFConcat,rng_EFOOS)*Buildings_Heat_Backend[[#This Row],[Converted data]]/1000)</f>
        <v/>
      </c>
      <c r="AP470" s="174">
        <f>Buildings_Heat_Frontend[[#This Row],[Ease of collection]]</f>
        <v>0</v>
      </c>
      <c r="AQ470" s="174">
        <f>Buildings_Heat_Frontend[[#This Row],[Completeness]]</f>
        <v>0</v>
      </c>
      <c r="AR470" s="174">
        <f>Buildings_Heat_Frontend[[#This Row],[Notes]]</f>
        <v>0</v>
      </c>
    </row>
    <row r="471" spans="5:44" x14ac:dyDescent="0.3">
      <c r="E471" s="346"/>
      <c r="F471" s="364"/>
      <c r="G471" s="336"/>
      <c r="H471" s="336"/>
      <c r="I471" s="336"/>
      <c r="J471" s="334"/>
      <c r="K471" s="336"/>
      <c r="L471" s="336"/>
      <c r="M471" s="336"/>
      <c r="N471" s="352"/>
      <c r="O471" s="230">
        <f t="shared" si="23"/>
        <v>6</v>
      </c>
      <c r="Q471" s="212" t="str">
        <f t="shared" si="21"/>
        <v/>
      </c>
      <c r="R471" s="174" t="s">
        <v>265</v>
      </c>
      <c r="S471" s="174" t="s">
        <v>273</v>
      </c>
      <c r="T471" s="174" t="str">
        <f>IF(Buildings_Heat_Frontend[[#This Row],[Data]]="","", _xlfn.XLOOKUP(Buildings_Heat_Backend[[#This Row],[Info 1]],Buildings_SiteInfo[Site name],Buildings_SiteInfo[Site type]))</f>
        <v/>
      </c>
      <c r="U471" s="174" t="str">
        <f>IF(Buildings_Heat_Frontend[[#This Row],[Data]]="","", Buildings_Heat_Frontend[[#This Row],[Heating Type]])</f>
        <v/>
      </c>
      <c r="V471" s="174" t="str">
        <f>IF(Buildings_Heat_Frontend[[#This Row],[Data]]="","", Buildings_Heat_Frontend[[#This Row],[Fuel]])</f>
        <v/>
      </c>
      <c r="W471" s="174" t="str" cm="1">
        <f t="array" ref="W471">IF(Buildings_Heat_Frontend[[#This Row],[Data]]="","", _xlfn.XLOOKUP(Buildings_Heat_Backend[[#This Row],[Level 5]],rng_Level5Long,rng_Level6Long))</f>
        <v/>
      </c>
      <c r="X471" s="174" t="str">
        <f>IF(Buildings_Heat_Frontend[[#This Row],[Data]]="","", Buildings_Heat_Frontend[[#This Row],[Site Name]])</f>
        <v/>
      </c>
      <c r="Y471" s="174" t="str">
        <f>IF(Buildings_Heat_Frontend[[#This Row],[Data]]="","", Buildings_Heat_Frontend[[#This Row],[MPRN]])</f>
        <v/>
      </c>
      <c r="Z471" s="174" t="str">
        <f>IF(Buildings_Heat_Frontend[[#This Row],[Data]]="","", IF($I471="","",$I471))</f>
        <v/>
      </c>
      <c r="AA471" s="229" t="str" cm="1">
        <f t="array" ref="AA471">IF(Buildings_Heat_Frontend[[#This Row],[Data]]="","", INDEX(_xlfn.SWITCH(Buildings_Heat_Backend[[#This Row],[Methodology]],"Tier 1",rng_RSD1,"Tier 2",rng_RSD2,"Tier 3",rng_RSD3),MATCH(_xlfn.CONCAT(Buildings_Heat_Backend[[#This Row],[Level 1]:[Level 6]]),rng_LevelsConcat,0)))</f>
        <v/>
      </c>
      <c r="AB471" s="220" t="str">
        <f t="shared" si="22"/>
        <v/>
      </c>
      <c r="AC471" s="174">
        <f>Buildings_Heat_Frontend[[#This Row],[Units]]</f>
        <v>0</v>
      </c>
      <c r="AD47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1" s="174" t="str">
        <f>IF(Buildings_Heat_Frontend[[#This Row],[Data]]="","", _xlfn.XLOOKUP(_xlfn.CONCAT(Buildings_Heat_Backend[[#This Row],[Level 1]:[Level 6]]),rng_LevelsConcat,rng_UnitsLong))</f>
        <v/>
      </c>
      <c r="AF471" s="210" t="str">
        <f>IF(Buildings_Heat_Frontend[[#This Row],[Data]]="","", _xlfn.XLOOKUP(_xlfn.CONCAT(Buildings_Heat_Backend[[#This Row],[Level 1]:[Level 6]]),rng_EFConcat,rng_EF1)*Buildings_Heat_Backend[[#This Row],[Converted data]]/1000)</f>
        <v/>
      </c>
      <c r="AG471" s="210" t="str">
        <f>IF(Buildings_Heat_Frontend[[#This Row],[Data]]="","", _xlfn.XLOOKUP(_xlfn.CONCAT(Buildings_Heat_Backend[[#This Row],[Level 1]:[Level 6]]),rng_EFConcat,rng_EF2)*Buildings_Heat_Backend[[#This Row],[Converted data]]/1000)</f>
        <v/>
      </c>
      <c r="AH471" s="210" t="str">
        <f>IF(Buildings_Heat_Frontend[[#This Row],[Data]]="","", _xlfn.XLOOKUP(_xlfn.CONCAT(Buildings_Heat_Backend[[#This Row],[Level 1]:[Level 6]]),rng_EFConcat,rng_EF3)*Buildings_Heat_Backend[[#This Row],[Converted data]]/1000)</f>
        <v/>
      </c>
      <c r="AI471" s="210" t="str">
        <f>IF(Buildings_Heat_Frontend[[#This Row],[Data]]="","", _xlfn.XLOOKUP(_xlfn.CONCAT(Buildings_Heat_Backend[[#This Row],[Level 1]:[Level 6]]),rng_EFConcat,rng_EF3WTT)*Buildings_Heat_Backend[[#This Row],[Converted data]]/1000)</f>
        <v/>
      </c>
      <c r="AJ471" s="210" t="str">
        <f>IF(Buildings_Heat_Frontend[[#This Row],[Data]]="","", _xlfn.XLOOKUP(_xlfn.CONCAT(Buildings_Heat_Backend[[#This Row],[Level 1]:[Level 6]]),rng_EFConcat,rng_EF3TD)*Buildings_Heat_Backend[[#This Row],[Converted data]]/1000)</f>
        <v/>
      </c>
      <c r="AK471" s="210" t="str">
        <f>IF(Buildings_Heat_Frontend[[#This Row],[Data]]="","", _xlfn.XLOOKUP(_xlfn.CONCAT(Buildings_Heat_Backend[[#This Row],[Level 1]:[Level 6]]),rng_EFConcat,rng_EF3WTTTD)*Buildings_Heat_Backend[[#This Row],[Converted data]]/1000)</f>
        <v/>
      </c>
      <c r="AL471" s="220">
        <f>SUM(Buildings_Heat_Backend[[#This Row],[Scope 1 (tCO2e)]:[Scope 3 WTT T&amp;D (tCO2e)]])</f>
        <v>0</v>
      </c>
      <c r="AM471" s="220" t="str">
        <f>IF(Buildings_Heat_Frontend[[#This Row],[Data]]="","", Buildings_Heat_Backend[[#This Row],[Total (tCO2e)]]*(1-Buildings_Heat_Backend[[#This Row],[RSD]]))</f>
        <v/>
      </c>
      <c r="AN471" s="220" t="str">
        <f>IF(Buildings_Heat_Frontend[[#This Row],[Data]]="","", Buildings_Heat_Backend[[#This Row],[Total (tCO2e)]]*(1+Buildings_Heat_Backend[[#This Row],[RSD]]))</f>
        <v/>
      </c>
      <c r="AO471" s="210" t="str">
        <f>IF(Buildings_Heat_Frontend[[#This Row],[Data]]="","", _xlfn.XLOOKUP(_xlfn.CONCAT(Buildings_Heat_Backend[[#This Row],[Level 1]:[Level 6]]),rng_EFConcat,rng_EFOOS)*Buildings_Heat_Backend[[#This Row],[Converted data]]/1000)</f>
        <v/>
      </c>
      <c r="AP471" s="174">
        <f>Buildings_Heat_Frontend[[#This Row],[Ease of collection]]</f>
        <v>0</v>
      </c>
      <c r="AQ471" s="174">
        <f>Buildings_Heat_Frontend[[#This Row],[Completeness]]</f>
        <v>0</v>
      </c>
      <c r="AR471" s="174">
        <f>Buildings_Heat_Frontend[[#This Row],[Notes]]</f>
        <v>0</v>
      </c>
    </row>
    <row r="472" spans="5:44" x14ac:dyDescent="0.3">
      <c r="E472" s="346"/>
      <c r="F472" s="364"/>
      <c r="G472" s="336"/>
      <c r="H472" s="336"/>
      <c r="I472" s="336"/>
      <c r="J472" s="334"/>
      <c r="K472" s="336"/>
      <c r="L472" s="336"/>
      <c r="M472" s="336"/>
      <c r="N472" s="352"/>
      <c r="O472" s="230">
        <f t="shared" si="23"/>
        <v>6</v>
      </c>
      <c r="Q472" s="212" t="str">
        <f t="shared" si="21"/>
        <v/>
      </c>
      <c r="R472" s="174" t="s">
        <v>265</v>
      </c>
      <c r="S472" s="174" t="s">
        <v>273</v>
      </c>
      <c r="T472" s="174" t="str">
        <f>IF(Buildings_Heat_Frontend[[#This Row],[Data]]="","", _xlfn.XLOOKUP(Buildings_Heat_Backend[[#This Row],[Info 1]],Buildings_SiteInfo[Site name],Buildings_SiteInfo[Site type]))</f>
        <v/>
      </c>
      <c r="U472" s="174" t="str">
        <f>IF(Buildings_Heat_Frontend[[#This Row],[Data]]="","", Buildings_Heat_Frontend[[#This Row],[Heating Type]])</f>
        <v/>
      </c>
      <c r="V472" s="174" t="str">
        <f>IF(Buildings_Heat_Frontend[[#This Row],[Data]]="","", Buildings_Heat_Frontend[[#This Row],[Fuel]])</f>
        <v/>
      </c>
      <c r="W472" s="174" t="str" cm="1">
        <f t="array" ref="W472">IF(Buildings_Heat_Frontend[[#This Row],[Data]]="","", _xlfn.XLOOKUP(Buildings_Heat_Backend[[#This Row],[Level 5]],rng_Level5Long,rng_Level6Long))</f>
        <v/>
      </c>
      <c r="X472" s="174" t="str">
        <f>IF(Buildings_Heat_Frontend[[#This Row],[Data]]="","", Buildings_Heat_Frontend[[#This Row],[Site Name]])</f>
        <v/>
      </c>
      <c r="Y472" s="174" t="str">
        <f>IF(Buildings_Heat_Frontend[[#This Row],[Data]]="","", Buildings_Heat_Frontend[[#This Row],[MPRN]])</f>
        <v/>
      </c>
      <c r="Z472" s="174" t="str">
        <f>IF(Buildings_Heat_Frontend[[#This Row],[Data]]="","", IF($I472="","",$I472))</f>
        <v/>
      </c>
      <c r="AA472" s="229" t="str" cm="1">
        <f t="array" ref="AA472">IF(Buildings_Heat_Frontend[[#This Row],[Data]]="","", INDEX(_xlfn.SWITCH(Buildings_Heat_Backend[[#This Row],[Methodology]],"Tier 1",rng_RSD1,"Tier 2",rng_RSD2,"Tier 3",rng_RSD3),MATCH(_xlfn.CONCAT(Buildings_Heat_Backend[[#This Row],[Level 1]:[Level 6]]),rng_LevelsConcat,0)))</f>
        <v/>
      </c>
      <c r="AB472" s="220" t="str">
        <f t="shared" si="22"/>
        <v/>
      </c>
      <c r="AC472" s="174">
        <f>Buildings_Heat_Frontend[[#This Row],[Units]]</f>
        <v>0</v>
      </c>
      <c r="AD47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2" s="174" t="str">
        <f>IF(Buildings_Heat_Frontend[[#This Row],[Data]]="","", _xlfn.XLOOKUP(_xlfn.CONCAT(Buildings_Heat_Backend[[#This Row],[Level 1]:[Level 6]]),rng_LevelsConcat,rng_UnitsLong))</f>
        <v/>
      </c>
      <c r="AF472" s="210" t="str">
        <f>IF(Buildings_Heat_Frontend[[#This Row],[Data]]="","", _xlfn.XLOOKUP(_xlfn.CONCAT(Buildings_Heat_Backend[[#This Row],[Level 1]:[Level 6]]),rng_EFConcat,rng_EF1)*Buildings_Heat_Backend[[#This Row],[Converted data]]/1000)</f>
        <v/>
      </c>
      <c r="AG472" s="210" t="str">
        <f>IF(Buildings_Heat_Frontend[[#This Row],[Data]]="","", _xlfn.XLOOKUP(_xlfn.CONCAT(Buildings_Heat_Backend[[#This Row],[Level 1]:[Level 6]]),rng_EFConcat,rng_EF2)*Buildings_Heat_Backend[[#This Row],[Converted data]]/1000)</f>
        <v/>
      </c>
      <c r="AH472" s="210" t="str">
        <f>IF(Buildings_Heat_Frontend[[#This Row],[Data]]="","", _xlfn.XLOOKUP(_xlfn.CONCAT(Buildings_Heat_Backend[[#This Row],[Level 1]:[Level 6]]),rng_EFConcat,rng_EF3)*Buildings_Heat_Backend[[#This Row],[Converted data]]/1000)</f>
        <v/>
      </c>
      <c r="AI472" s="210" t="str">
        <f>IF(Buildings_Heat_Frontend[[#This Row],[Data]]="","", _xlfn.XLOOKUP(_xlfn.CONCAT(Buildings_Heat_Backend[[#This Row],[Level 1]:[Level 6]]),rng_EFConcat,rng_EF3WTT)*Buildings_Heat_Backend[[#This Row],[Converted data]]/1000)</f>
        <v/>
      </c>
      <c r="AJ472" s="210" t="str">
        <f>IF(Buildings_Heat_Frontend[[#This Row],[Data]]="","", _xlfn.XLOOKUP(_xlfn.CONCAT(Buildings_Heat_Backend[[#This Row],[Level 1]:[Level 6]]),rng_EFConcat,rng_EF3TD)*Buildings_Heat_Backend[[#This Row],[Converted data]]/1000)</f>
        <v/>
      </c>
      <c r="AK472" s="210" t="str">
        <f>IF(Buildings_Heat_Frontend[[#This Row],[Data]]="","", _xlfn.XLOOKUP(_xlfn.CONCAT(Buildings_Heat_Backend[[#This Row],[Level 1]:[Level 6]]),rng_EFConcat,rng_EF3WTTTD)*Buildings_Heat_Backend[[#This Row],[Converted data]]/1000)</f>
        <v/>
      </c>
      <c r="AL472" s="220">
        <f>SUM(Buildings_Heat_Backend[[#This Row],[Scope 1 (tCO2e)]:[Scope 3 WTT T&amp;D (tCO2e)]])</f>
        <v>0</v>
      </c>
      <c r="AM472" s="220" t="str">
        <f>IF(Buildings_Heat_Frontend[[#This Row],[Data]]="","", Buildings_Heat_Backend[[#This Row],[Total (tCO2e)]]*(1-Buildings_Heat_Backend[[#This Row],[RSD]]))</f>
        <v/>
      </c>
      <c r="AN472" s="220" t="str">
        <f>IF(Buildings_Heat_Frontend[[#This Row],[Data]]="","", Buildings_Heat_Backend[[#This Row],[Total (tCO2e)]]*(1+Buildings_Heat_Backend[[#This Row],[RSD]]))</f>
        <v/>
      </c>
      <c r="AO472" s="210" t="str">
        <f>IF(Buildings_Heat_Frontend[[#This Row],[Data]]="","", _xlfn.XLOOKUP(_xlfn.CONCAT(Buildings_Heat_Backend[[#This Row],[Level 1]:[Level 6]]),rng_EFConcat,rng_EFOOS)*Buildings_Heat_Backend[[#This Row],[Converted data]]/1000)</f>
        <v/>
      </c>
      <c r="AP472" s="174">
        <f>Buildings_Heat_Frontend[[#This Row],[Ease of collection]]</f>
        <v>0</v>
      </c>
      <c r="AQ472" s="174">
        <f>Buildings_Heat_Frontend[[#This Row],[Completeness]]</f>
        <v>0</v>
      </c>
      <c r="AR472" s="174">
        <f>Buildings_Heat_Frontend[[#This Row],[Notes]]</f>
        <v>0</v>
      </c>
    </row>
    <row r="473" spans="5:44" x14ac:dyDescent="0.3">
      <c r="E473" s="346"/>
      <c r="F473" s="364"/>
      <c r="G473" s="336"/>
      <c r="H473" s="336"/>
      <c r="I473" s="336"/>
      <c r="J473" s="334"/>
      <c r="K473" s="336"/>
      <c r="L473" s="336"/>
      <c r="M473" s="336"/>
      <c r="N473" s="352"/>
      <c r="O473" s="230">
        <f t="shared" si="23"/>
        <v>6</v>
      </c>
      <c r="Q473" s="212" t="str">
        <f t="shared" si="21"/>
        <v/>
      </c>
      <c r="R473" s="174" t="s">
        <v>265</v>
      </c>
      <c r="S473" s="174" t="s">
        <v>273</v>
      </c>
      <c r="T473" s="174" t="str">
        <f>IF(Buildings_Heat_Frontend[[#This Row],[Data]]="","", _xlfn.XLOOKUP(Buildings_Heat_Backend[[#This Row],[Info 1]],Buildings_SiteInfo[Site name],Buildings_SiteInfo[Site type]))</f>
        <v/>
      </c>
      <c r="U473" s="174" t="str">
        <f>IF(Buildings_Heat_Frontend[[#This Row],[Data]]="","", Buildings_Heat_Frontend[[#This Row],[Heating Type]])</f>
        <v/>
      </c>
      <c r="V473" s="174" t="str">
        <f>IF(Buildings_Heat_Frontend[[#This Row],[Data]]="","", Buildings_Heat_Frontend[[#This Row],[Fuel]])</f>
        <v/>
      </c>
      <c r="W473" s="174" t="str" cm="1">
        <f t="array" ref="W473">IF(Buildings_Heat_Frontend[[#This Row],[Data]]="","", _xlfn.XLOOKUP(Buildings_Heat_Backend[[#This Row],[Level 5]],rng_Level5Long,rng_Level6Long))</f>
        <v/>
      </c>
      <c r="X473" s="174" t="str">
        <f>IF(Buildings_Heat_Frontend[[#This Row],[Data]]="","", Buildings_Heat_Frontend[[#This Row],[Site Name]])</f>
        <v/>
      </c>
      <c r="Y473" s="174" t="str">
        <f>IF(Buildings_Heat_Frontend[[#This Row],[Data]]="","", Buildings_Heat_Frontend[[#This Row],[MPRN]])</f>
        <v/>
      </c>
      <c r="Z473" s="174" t="str">
        <f>IF(Buildings_Heat_Frontend[[#This Row],[Data]]="","", IF($I473="","",$I473))</f>
        <v/>
      </c>
      <c r="AA473" s="229" t="str" cm="1">
        <f t="array" ref="AA473">IF(Buildings_Heat_Frontend[[#This Row],[Data]]="","", INDEX(_xlfn.SWITCH(Buildings_Heat_Backend[[#This Row],[Methodology]],"Tier 1",rng_RSD1,"Tier 2",rng_RSD2,"Tier 3",rng_RSD3),MATCH(_xlfn.CONCAT(Buildings_Heat_Backend[[#This Row],[Level 1]:[Level 6]]),rng_LevelsConcat,0)))</f>
        <v/>
      </c>
      <c r="AB473" s="220" t="str">
        <f t="shared" si="22"/>
        <v/>
      </c>
      <c r="AC473" s="174">
        <f>Buildings_Heat_Frontend[[#This Row],[Units]]</f>
        <v>0</v>
      </c>
      <c r="AD47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3" s="174" t="str">
        <f>IF(Buildings_Heat_Frontend[[#This Row],[Data]]="","", _xlfn.XLOOKUP(_xlfn.CONCAT(Buildings_Heat_Backend[[#This Row],[Level 1]:[Level 6]]),rng_LevelsConcat,rng_UnitsLong))</f>
        <v/>
      </c>
      <c r="AF473" s="210" t="str">
        <f>IF(Buildings_Heat_Frontend[[#This Row],[Data]]="","", _xlfn.XLOOKUP(_xlfn.CONCAT(Buildings_Heat_Backend[[#This Row],[Level 1]:[Level 6]]),rng_EFConcat,rng_EF1)*Buildings_Heat_Backend[[#This Row],[Converted data]]/1000)</f>
        <v/>
      </c>
      <c r="AG473" s="210" t="str">
        <f>IF(Buildings_Heat_Frontend[[#This Row],[Data]]="","", _xlfn.XLOOKUP(_xlfn.CONCAT(Buildings_Heat_Backend[[#This Row],[Level 1]:[Level 6]]),rng_EFConcat,rng_EF2)*Buildings_Heat_Backend[[#This Row],[Converted data]]/1000)</f>
        <v/>
      </c>
      <c r="AH473" s="210" t="str">
        <f>IF(Buildings_Heat_Frontend[[#This Row],[Data]]="","", _xlfn.XLOOKUP(_xlfn.CONCAT(Buildings_Heat_Backend[[#This Row],[Level 1]:[Level 6]]),rng_EFConcat,rng_EF3)*Buildings_Heat_Backend[[#This Row],[Converted data]]/1000)</f>
        <v/>
      </c>
      <c r="AI473" s="210" t="str">
        <f>IF(Buildings_Heat_Frontend[[#This Row],[Data]]="","", _xlfn.XLOOKUP(_xlfn.CONCAT(Buildings_Heat_Backend[[#This Row],[Level 1]:[Level 6]]),rng_EFConcat,rng_EF3WTT)*Buildings_Heat_Backend[[#This Row],[Converted data]]/1000)</f>
        <v/>
      </c>
      <c r="AJ473" s="210" t="str">
        <f>IF(Buildings_Heat_Frontend[[#This Row],[Data]]="","", _xlfn.XLOOKUP(_xlfn.CONCAT(Buildings_Heat_Backend[[#This Row],[Level 1]:[Level 6]]),rng_EFConcat,rng_EF3TD)*Buildings_Heat_Backend[[#This Row],[Converted data]]/1000)</f>
        <v/>
      </c>
      <c r="AK473" s="210" t="str">
        <f>IF(Buildings_Heat_Frontend[[#This Row],[Data]]="","", _xlfn.XLOOKUP(_xlfn.CONCAT(Buildings_Heat_Backend[[#This Row],[Level 1]:[Level 6]]),rng_EFConcat,rng_EF3WTTTD)*Buildings_Heat_Backend[[#This Row],[Converted data]]/1000)</f>
        <v/>
      </c>
      <c r="AL473" s="220">
        <f>SUM(Buildings_Heat_Backend[[#This Row],[Scope 1 (tCO2e)]:[Scope 3 WTT T&amp;D (tCO2e)]])</f>
        <v>0</v>
      </c>
      <c r="AM473" s="220" t="str">
        <f>IF(Buildings_Heat_Frontend[[#This Row],[Data]]="","", Buildings_Heat_Backend[[#This Row],[Total (tCO2e)]]*(1-Buildings_Heat_Backend[[#This Row],[RSD]]))</f>
        <v/>
      </c>
      <c r="AN473" s="220" t="str">
        <f>IF(Buildings_Heat_Frontend[[#This Row],[Data]]="","", Buildings_Heat_Backend[[#This Row],[Total (tCO2e)]]*(1+Buildings_Heat_Backend[[#This Row],[RSD]]))</f>
        <v/>
      </c>
      <c r="AO473" s="210" t="str">
        <f>IF(Buildings_Heat_Frontend[[#This Row],[Data]]="","", _xlfn.XLOOKUP(_xlfn.CONCAT(Buildings_Heat_Backend[[#This Row],[Level 1]:[Level 6]]),rng_EFConcat,rng_EFOOS)*Buildings_Heat_Backend[[#This Row],[Converted data]]/1000)</f>
        <v/>
      </c>
      <c r="AP473" s="174">
        <f>Buildings_Heat_Frontend[[#This Row],[Ease of collection]]</f>
        <v>0</v>
      </c>
      <c r="AQ473" s="174">
        <f>Buildings_Heat_Frontend[[#This Row],[Completeness]]</f>
        <v>0</v>
      </c>
      <c r="AR473" s="174">
        <f>Buildings_Heat_Frontend[[#This Row],[Notes]]</f>
        <v>0</v>
      </c>
    </row>
    <row r="474" spans="5:44" x14ac:dyDescent="0.3">
      <c r="E474" s="346"/>
      <c r="F474" s="364"/>
      <c r="G474" s="336"/>
      <c r="H474" s="336"/>
      <c r="I474" s="336"/>
      <c r="J474" s="334"/>
      <c r="K474" s="336"/>
      <c r="L474" s="336"/>
      <c r="M474" s="336"/>
      <c r="N474" s="352"/>
      <c r="O474" s="230">
        <f t="shared" si="23"/>
        <v>6</v>
      </c>
      <c r="Q474" s="212" t="str">
        <f t="shared" si="21"/>
        <v/>
      </c>
      <c r="R474" s="174" t="s">
        <v>265</v>
      </c>
      <c r="S474" s="174" t="s">
        <v>273</v>
      </c>
      <c r="T474" s="174" t="str">
        <f>IF(Buildings_Heat_Frontend[[#This Row],[Data]]="","", _xlfn.XLOOKUP(Buildings_Heat_Backend[[#This Row],[Info 1]],Buildings_SiteInfo[Site name],Buildings_SiteInfo[Site type]))</f>
        <v/>
      </c>
      <c r="U474" s="174" t="str">
        <f>IF(Buildings_Heat_Frontend[[#This Row],[Data]]="","", Buildings_Heat_Frontend[[#This Row],[Heating Type]])</f>
        <v/>
      </c>
      <c r="V474" s="174" t="str">
        <f>IF(Buildings_Heat_Frontend[[#This Row],[Data]]="","", Buildings_Heat_Frontend[[#This Row],[Fuel]])</f>
        <v/>
      </c>
      <c r="W474" s="174" t="str" cm="1">
        <f t="array" ref="W474">IF(Buildings_Heat_Frontend[[#This Row],[Data]]="","", _xlfn.XLOOKUP(Buildings_Heat_Backend[[#This Row],[Level 5]],rng_Level5Long,rng_Level6Long))</f>
        <v/>
      </c>
      <c r="X474" s="174" t="str">
        <f>IF(Buildings_Heat_Frontend[[#This Row],[Data]]="","", Buildings_Heat_Frontend[[#This Row],[Site Name]])</f>
        <v/>
      </c>
      <c r="Y474" s="174" t="str">
        <f>IF(Buildings_Heat_Frontend[[#This Row],[Data]]="","", Buildings_Heat_Frontend[[#This Row],[MPRN]])</f>
        <v/>
      </c>
      <c r="Z474" s="174" t="str">
        <f>IF(Buildings_Heat_Frontend[[#This Row],[Data]]="","", IF($I474="","",$I474))</f>
        <v/>
      </c>
      <c r="AA474" s="229" t="str" cm="1">
        <f t="array" ref="AA474">IF(Buildings_Heat_Frontend[[#This Row],[Data]]="","", INDEX(_xlfn.SWITCH(Buildings_Heat_Backend[[#This Row],[Methodology]],"Tier 1",rng_RSD1,"Tier 2",rng_RSD2,"Tier 3",rng_RSD3),MATCH(_xlfn.CONCAT(Buildings_Heat_Backend[[#This Row],[Level 1]:[Level 6]]),rng_LevelsConcat,0)))</f>
        <v/>
      </c>
      <c r="AB474" s="220" t="str">
        <f t="shared" si="22"/>
        <v/>
      </c>
      <c r="AC474" s="174">
        <f>Buildings_Heat_Frontend[[#This Row],[Units]]</f>
        <v>0</v>
      </c>
      <c r="AD47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4" s="174" t="str">
        <f>IF(Buildings_Heat_Frontend[[#This Row],[Data]]="","", _xlfn.XLOOKUP(_xlfn.CONCAT(Buildings_Heat_Backend[[#This Row],[Level 1]:[Level 6]]),rng_LevelsConcat,rng_UnitsLong))</f>
        <v/>
      </c>
      <c r="AF474" s="210" t="str">
        <f>IF(Buildings_Heat_Frontend[[#This Row],[Data]]="","", _xlfn.XLOOKUP(_xlfn.CONCAT(Buildings_Heat_Backend[[#This Row],[Level 1]:[Level 6]]),rng_EFConcat,rng_EF1)*Buildings_Heat_Backend[[#This Row],[Converted data]]/1000)</f>
        <v/>
      </c>
      <c r="AG474" s="210" t="str">
        <f>IF(Buildings_Heat_Frontend[[#This Row],[Data]]="","", _xlfn.XLOOKUP(_xlfn.CONCAT(Buildings_Heat_Backend[[#This Row],[Level 1]:[Level 6]]),rng_EFConcat,rng_EF2)*Buildings_Heat_Backend[[#This Row],[Converted data]]/1000)</f>
        <v/>
      </c>
      <c r="AH474" s="210" t="str">
        <f>IF(Buildings_Heat_Frontend[[#This Row],[Data]]="","", _xlfn.XLOOKUP(_xlfn.CONCAT(Buildings_Heat_Backend[[#This Row],[Level 1]:[Level 6]]),rng_EFConcat,rng_EF3)*Buildings_Heat_Backend[[#This Row],[Converted data]]/1000)</f>
        <v/>
      </c>
      <c r="AI474" s="210" t="str">
        <f>IF(Buildings_Heat_Frontend[[#This Row],[Data]]="","", _xlfn.XLOOKUP(_xlfn.CONCAT(Buildings_Heat_Backend[[#This Row],[Level 1]:[Level 6]]),rng_EFConcat,rng_EF3WTT)*Buildings_Heat_Backend[[#This Row],[Converted data]]/1000)</f>
        <v/>
      </c>
      <c r="AJ474" s="210" t="str">
        <f>IF(Buildings_Heat_Frontend[[#This Row],[Data]]="","", _xlfn.XLOOKUP(_xlfn.CONCAT(Buildings_Heat_Backend[[#This Row],[Level 1]:[Level 6]]),rng_EFConcat,rng_EF3TD)*Buildings_Heat_Backend[[#This Row],[Converted data]]/1000)</f>
        <v/>
      </c>
      <c r="AK474" s="210" t="str">
        <f>IF(Buildings_Heat_Frontend[[#This Row],[Data]]="","", _xlfn.XLOOKUP(_xlfn.CONCAT(Buildings_Heat_Backend[[#This Row],[Level 1]:[Level 6]]),rng_EFConcat,rng_EF3WTTTD)*Buildings_Heat_Backend[[#This Row],[Converted data]]/1000)</f>
        <v/>
      </c>
      <c r="AL474" s="220">
        <f>SUM(Buildings_Heat_Backend[[#This Row],[Scope 1 (tCO2e)]:[Scope 3 WTT T&amp;D (tCO2e)]])</f>
        <v>0</v>
      </c>
      <c r="AM474" s="220" t="str">
        <f>IF(Buildings_Heat_Frontend[[#This Row],[Data]]="","", Buildings_Heat_Backend[[#This Row],[Total (tCO2e)]]*(1-Buildings_Heat_Backend[[#This Row],[RSD]]))</f>
        <v/>
      </c>
      <c r="AN474" s="220" t="str">
        <f>IF(Buildings_Heat_Frontend[[#This Row],[Data]]="","", Buildings_Heat_Backend[[#This Row],[Total (tCO2e)]]*(1+Buildings_Heat_Backend[[#This Row],[RSD]]))</f>
        <v/>
      </c>
      <c r="AO474" s="210" t="str">
        <f>IF(Buildings_Heat_Frontend[[#This Row],[Data]]="","", _xlfn.XLOOKUP(_xlfn.CONCAT(Buildings_Heat_Backend[[#This Row],[Level 1]:[Level 6]]),rng_EFConcat,rng_EFOOS)*Buildings_Heat_Backend[[#This Row],[Converted data]]/1000)</f>
        <v/>
      </c>
      <c r="AP474" s="174">
        <f>Buildings_Heat_Frontend[[#This Row],[Ease of collection]]</f>
        <v>0</v>
      </c>
      <c r="AQ474" s="174">
        <f>Buildings_Heat_Frontend[[#This Row],[Completeness]]</f>
        <v>0</v>
      </c>
      <c r="AR474" s="174">
        <f>Buildings_Heat_Frontend[[#This Row],[Notes]]</f>
        <v>0</v>
      </c>
    </row>
    <row r="475" spans="5:44" x14ac:dyDescent="0.3">
      <c r="E475" s="346"/>
      <c r="F475" s="364"/>
      <c r="G475" s="336"/>
      <c r="H475" s="336"/>
      <c r="I475" s="336"/>
      <c r="J475" s="334"/>
      <c r="K475" s="336"/>
      <c r="L475" s="336"/>
      <c r="M475" s="336"/>
      <c r="N475" s="352"/>
      <c r="O475" s="230">
        <f t="shared" si="23"/>
        <v>6</v>
      </c>
      <c r="Q475" s="212" t="str">
        <f t="shared" si="21"/>
        <v/>
      </c>
      <c r="R475" s="174" t="s">
        <v>265</v>
      </c>
      <c r="S475" s="174" t="s">
        <v>273</v>
      </c>
      <c r="T475" s="174" t="str">
        <f>IF(Buildings_Heat_Frontend[[#This Row],[Data]]="","", _xlfn.XLOOKUP(Buildings_Heat_Backend[[#This Row],[Info 1]],Buildings_SiteInfo[Site name],Buildings_SiteInfo[Site type]))</f>
        <v/>
      </c>
      <c r="U475" s="174" t="str">
        <f>IF(Buildings_Heat_Frontend[[#This Row],[Data]]="","", Buildings_Heat_Frontend[[#This Row],[Heating Type]])</f>
        <v/>
      </c>
      <c r="V475" s="174" t="str">
        <f>IF(Buildings_Heat_Frontend[[#This Row],[Data]]="","", Buildings_Heat_Frontend[[#This Row],[Fuel]])</f>
        <v/>
      </c>
      <c r="W475" s="174" t="str" cm="1">
        <f t="array" ref="W475">IF(Buildings_Heat_Frontend[[#This Row],[Data]]="","", _xlfn.XLOOKUP(Buildings_Heat_Backend[[#This Row],[Level 5]],rng_Level5Long,rng_Level6Long))</f>
        <v/>
      </c>
      <c r="X475" s="174" t="str">
        <f>IF(Buildings_Heat_Frontend[[#This Row],[Data]]="","", Buildings_Heat_Frontend[[#This Row],[Site Name]])</f>
        <v/>
      </c>
      <c r="Y475" s="174" t="str">
        <f>IF(Buildings_Heat_Frontend[[#This Row],[Data]]="","", Buildings_Heat_Frontend[[#This Row],[MPRN]])</f>
        <v/>
      </c>
      <c r="Z475" s="174" t="str">
        <f>IF(Buildings_Heat_Frontend[[#This Row],[Data]]="","", IF($I475="","",$I475))</f>
        <v/>
      </c>
      <c r="AA475" s="229" t="str" cm="1">
        <f t="array" ref="AA475">IF(Buildings_Heat_Frontend[[#This Row],[Data]]="","", INDEX(_xlfn.SWITCH(Buildings_Heat_Backend[[#This Row],[Methodology]],"Tier 1",rng_RSD1,"Tier 2",rng_RSD2,"Tier 3",rng_RSD3),MATCH(_xlfn.CONCAT(Buildings_Heat_Backend[[#This Row],[Level 1]:[Level 6]]),rng_LevelsConcat,0)))</f>
        <v/>
      </c>
      <c r="AB475" s="220" t="str">
        <f t="shared" si="22"/>
        <v/>
      </c>
      <c r="AC475" s="174">
        <f>Buildings_Heat_Frontend[[#This Row],[Units]]</f>
        <v>0</v>
      </c>
      <c r="AD47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5" s="174" t="str">
        <f>IF(Buildings_Heat_Frontend[[#This Row],[Data]]="","", _xlfn.XLOOKUP(_xlfn.CONCAT(Buildings_Heat_Backend[[#This Row],[Level 1]:[Level 6]]),rng_LevelsConcat,rng_UnitsLong))</f>
        <v/>
      </c>
      <c r="AF475" s="210" t="str">
        <f>IF(Buildings_Heat_Frontend[[#This Row],[Data]]="","", _xlfn.XLOOKUP(_xlfn.CONCAT(Buildings_Heat_Backend[[#This Row],[Level 1]:[Level 6]]),rng_EFConcat,rng_EF1)*Buildings_Heat_Backend[[#This Row],[Converted data]]/1000)</f>
        <v/>
      </c>
      <c r="AG475" s="210" t="str">
        <f>IF(Buildings_Heat_Frontend[[#This Row],[Data]]="","", _xlfn.XLOOKUP(_xlfn.CONCAT(Buildings_Heat_Backend[[#This Row],[Level 1]:[Level 6]]),rng_EFConcat,rng_EF2)*Buildings_Heat_Backend[[#This Row],[Converted data]]/1000)</f>
        <v/>
      </c>
      <c r="AH475" s="210" t="str">
        <f>IF(Buildings_Heat_Frontend[[#This Row],[Data]]="","", _xlfn.XLOOKUP(_xlfn.CONCAT(Buildings_Heat_Backend[[#This Row],[Level 1]:[Level 6]]),rng_EFConcat,rng_EF3)*Buildings_Heat_Backend[[#This Row],[Converted data]]/1000)</f>
        <v/>
      </c>
      <c r="AI475" s="210" t="str">
        <f>IF(Buildings_Heat_Frontend[[#This Row],[Data]]="","", _xlfn.XLOOKUP(_xlfn.CONCAT(Buildings_Heat_Backend[[#This Row],[Level 1]:[Level 6]]),rng_EFConcat,rng_EF3WTT)*Buildings_Heat_Backend[[#This Row],[Converted data]]/1000)</f>
        <v/>
      </c>
      <c r="AJ475" s="210" t="str">
        <f>IF(Buildings_Heat_Frontend[[#This Row],[Data]]="","", _xlfn.XLOOKUP(_xlfn.CONCAT(Buildings_Heat_Backend[[#This Row],[Level 1]:[Level 6]]),rng_EFConcat,rng_EF3TD)*Buildings_Heat_Backend[[#This Row],[Converted data]]/1000)</f>
        <v/>
      </c>
      <c r="AK475" s="210" t="str">
        <f>IF(Buildings_Heat_Frontend[[#This Row],[Data]]="","", _xlfn.XLOOKUP(_xlfn.CONCAT(Buildings_Heat_Backend[[#This Row],[Level 1]:[Level 6]]),rng_EFConcat,rng_EF3WTTTD)*Buildings_Heat_Backend[[#This Row],[Converted data]]/1000)</f>
        <v/>
      </c>
      <c r="AL475" s="220">
        <f>SUM(Buildings_Heat_Backend[[#This Row],[Scope 1 (tCO2e)]:[Scope 3 WTT T&amp;D (tCO2e)]])</f>
        <v>0</v>
      </c>
      <c r="AM475" s="220" t="str">
        <f>IF(Buildings_Heat_Frontend[[#This Row],[Data]]="","", Buildings_Heat_Backend[[#This Row],[Total (tCO2e)]]*(1-Buildings_Heat_Backend[[#This Row],[RSD]]))</f>
        <v/>
      </c>
      <c r="AN475" s="220" t="str">
        <f>IF(Buildings_Heat_Frontend[[#This Row],[Data]]="","", Buildings_Heat_Backend[[#This Row],[Total (tCO2e)]]*(1+Buildings_Heat_Backend[[#This Row],[RSD]]))</f>
        <v/>
      </c>
      <c r="AO475" s="210" t="str">
        <f>IF(Buildings_Heat_Frontend[[#This Row],[Data]]="","", _xlfn.XLOOKUP(_xlfn.CONCAT(Buildings_Heat_Backend[[#This Row],[Level 1]:[Level 6]]),rng_EFConcat,rng_EFOOS)*Buildings_Heat_Backend[[#This Row],[Converted data]]/1000)</f>
        <v/>
      </c>
      <c r="AP475" s="174">
        <f>Buildings_Heat_Frontend[[#This Row],[Ease of collection]]</f>
        <v>0</v>
      </c>
      <c r="AQ475" s="174">
        <f>Buildings_Heat_Frontend[[#This Row],[Completeness]]</f>
        <v>0</v>
      </c>
      <c r="AR475" s="174">
        <f>Buildings_Heat_Frontend[[#This Row],[Notes]]</f>
        <v>0</v>
      </c>
    </row>
    <row r="476" spans="5:44" x14ac:dyDescent="0.3">
      <c r="E476" s="346"/>
      <c r="F476" s="364"/>
      <c r="G476" s="336"/>
      <c r="H476" s="336"/>
      <c r="I476" s="336"/>
      <c r="J476" s="334"/>
      <c r="K476" s="336"/>
      <c r="L476" s="336"/>
      <c r="M476" s="336"/>
      <c r="N476" s="352"/>
      <c r="O476" s="230">
        <f t="shared" si="23"/>
        <v>6</v>
      </c>
      <c r="Q476" s="212" t="str">
        <f t="shared" si="21"/>
        <v/>
      </c>
      <c r="R476" s="174" t="s">
        <v>265</v>
      </c>
      <c r="S476" s="174" t="s">
        <v>273</v>
      </c>
      <c r="T476" s="174" t="str">
        <f>IF(Buildings_Heat_Frontend[[#This Row],[Data]]="","", _xlfn.XLOOKUP(Buildings_Heat_Backend[[#This Row],[Info 1]],Buildings_SiteInfo[Site name],Buildings_SiteInfo[Site type]))</f>
        <v/>
      </c>
      <c r="U476" s="174" t="str">
        <f>IF(Buildings_Heat_Frontend[[#This Row],[Data]]="","", Buildings_Heat_Frontend[[#This Row],[Heating Type]])</f>
        <v/>
      </c>
      <c r="V476" s="174" t="str">
        <f>IF(Buildings_Heat_Frontend[[#This Row],[Data]]="","", Buildings_Heat_Frontend[[#This Row],[Fuel]])</f>
        <v/>
      </c>
      <c r="W476" s="174" t="str" cm="1">
        <f t="array" ref="W476">IF(Buildings_Heat_Frontend[[#This Row],[Data]]="","", _xlfn.XLOOKUP(Buildings_Heat_Backend[[#This Row],[Level 5]],rng_Level5Long,rng_Level6Long))</f>
        <v/>
      </c>
      <c r="X476" s="174" t="str">
        <f>IF(Buildings_Heat_Frontend[[#This Row],[Data]]="","", Buildings_Heat_Frontend[[#This Row],[Site Name]])</f>
        <v/>
      </c>
      <c r="Y476" s="174" t="str">
        <f>IF(Buildings_Heat_Frontend[[#This Row],[Data]]="","", Buildings_Heat_Frontend[[#This Row],[MPRN]])</f>
        <v/>
      </c>
      <c r="Z476" s="174" t="str">
        <f>IF(Buildings_Heat_Frontend[[#This Row],[Data]]="","", IF($I476="","",$I476))</f>
        <v/>
      </c>
      <c r="AA476" s="229" t="str" cm="1">
        <f t="array" ref="AA476">IF(Buildings_Heat_Frontend[[#This Row],[Data]]="","", INDEX(_xlfn.SWITCH(Buildings_Heat_Backend[[#This Row],[Methodology]],"Tier 1",rng_RSD1,"Tier 2",rng_RSD2,"Tier 3",rng_RSD3),MATCH(_xlfn.CONCAT(Buildings_Heat_Backend[[#This Row],[Level 1]:[Level 6]]),rng_LevelsConcat,0)))</f>
        <v/>
      </c>
      <c r="AB476" s="220" t="str">
        <f t="shared" si="22"/>
        <v/>
      </c>
      <c r="AC476" s="174">
        <f>Buildings_Heat_Frontend[[#This Row],[Units]]</f>
        <v>0</v>
      </c>
      <c r="AD47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6" s="174" t="str">
        <f>IF(Buildings_Heat_Frontend[[#This Row],[Data]]="","", _xlfn.XLOOKUP(_xlfn.CONCAT(Buildings_Heat_Backend[[#This Row],[Level 1]:[Level 6]]),rng_LevelsConcat,rng_UnitsLong))</f>
        <v/>
      </c>
      <c r="AF476" s="210" t="str">
        <f>IF(Buildings_Heat_Frontend[[#This Row],[Data]]="","", _xlfn.XLOOKUP(_xlfn.CONCAT(Buildings_Heat_Backend[[#This Row],[Level 1]:[Level 6]]),rng_EFConcat,rng_EF1)*Buildings_Heat_Backend[[#This Row],[Converted data]]/1000)</f>
        <v/>
      </c>
      <c r="AG476" s="210" t="str">
        <f>IF(Buildings_Heat_Frontend[[#This Row],[Data]]="","", _xlfn.XLOOKUP(_xlfn.CONCAT(Buildings_Heat_Backend[[#This Row],[Level 1]:[Level 6]]),rng_EFConcat,rng_EF2)*Buildings_Heat_Backend[[#This Row],[Converted data]]/1000)</f>
        <v/>
      </c>
      <c r="AH476" s="210" t="str">
        <f>IF(Buildings_Heat_Frontend[[#This Row],[Data]]="","", _xlfn.XLOOKUP(_xlfn.CONCAT(Buildings_Heat_Backend[[#This Row],[Level 1]:[Level 6]]),rng_EFConcat,rng_EF3)*Buildings_Heat_Backend[[#This Row],[Converted data]]/1000)</f>
        <v/>
      </c>
      <c r="AI476" s="210" t="str">
        <f>IF(Buildings_Heat_Frontend[[#This Row],[Data]]="","", _xlfn.XLOOKUP(_xlfn.CONCAT(Buildings_Heat_Backend[[#This Row],[Level 1]:[Level 6]]),rng_EFConcat,rng_EF3WTT)*Buildings_Heat_Backend[[#This Row],[Converted data]]/1000)</f>
        <v/>
      </c>
      <c r="AJ476" s="210" t="str">
        <f>IF(Buildings_Heat_Frontend[[#This Row],[Data]]="","", _xlfn.XLOOKUP(_xlfn.CONCAT(Buildings_Heat_Backend[[#This Row],[Level 1]:[Level 6]]),rng_EFConcat,rng_EF3TD)*Buildings_Heat_Backend[[#This Row],[Converted data]]/1000)</f>
        <v/>
      </c>
      <c r="AK476" s="210" t="str">
        <f>IF(Buildings_Heat_Frontend[[#This Row],[Data]]="","", _xlfn.XLOOKUP(_xlfn.CONCAT(Buildings_Heat_Backend[[#This Row],[Level 1]:[Level 6]]),rng_EFConcat,rng_EF3WTTTD)*Buildings_Heat_Backend[[#This Row],[Converted data]]/1000)</f>
        <v/>
      </c>
      <c r="AL476" s="220">
        <f>SUM(Buildings_Heat_Backend[[#This Row],[Scope 1 (tCO2e)]:[Scope 3 WTT T&amp;D (tCO2e)]])</f>
        <v>0</v>
      </c>
      <c r="AM476" s="220" t="str">
        <f>IF(Buildings_Heat_Frontend[[#This Row],[Data]]="","", Buildings_Heat_Backend[[#This Row],[Total (tCO2e)]]*(1-Buildings_Heat_Backend[[#This Row],[RSD]]))</f>
        <v/>
      </c>
      <c r="AN476" s="220" t="str">
        <f>IF(Buildings_Heat_Frontend[[#This Row],[Data]]="","", Buildings_Heat_Backend[[#This Row],[Total (tCO2e)]]*(1+Buildings_Heat_Backend[[#This Row],[RSD]]))</f>
        <v/>
      </c>
      <c r="AO476" s="210" t="str">
        <f>IF(Buildings_Heat_Frontend[[#This Row],[Data]]="","", _xlfn.XLOOKUP(_xlfn.CONCAT(Buildings_Heat_Backend[[#This Row],[Level 1]:[Level 6]]),rng_EFConcat,rng_EFOOS)*Buildings_Heat_Backend[[#This Row],[Converted data]]/1000)</f>
        <v/>
      </c>
      <c r="AP476" s="174">
        <f>Buildings_Heat_Frontend[[#This Row],[Ease of collection]]</f>
        <v>0</v>
      </c>
      <c r="AQ476" s="174">
        <f>Buildings_Heat_Frontend[[#This Row],[Completeness]]</f>
        <v>0</v>
      </c>
      <c r="AR476" s="174">
        <f>Buildings_Heat_Frontend[[#This Row],[Notes]]</f>
        <v>0</v>
      </c>
    </row>
    <row r="477" spans="5:44" x14ac:dyDescent="0.3">
      <c r="E477" s="346"/>
      <c r="F477" s="364"/>
      <c r="G477" s="336"/>
      <c r="H477" s="336"/>
      <c r="I477" s="336"/>
      <c r="J477" s="334"/>
      <c r="K477" s="336"/>
      <c r="L477" s="336"/>
      <c r="M477" s="336"/>
      <c r="N477" s="352"/>
      <c r="O477" s="230">
        <f t="shared" si="23"/>
        <v>6</v>
      </c>
      <c r="Q477" s="212" t="str">
        <f t="shared" si="21"/>
        <v/>
      </c>
      <c r="R477" s="174" t="s">
        <v>265</v>
      </c>
      <c r="S477" s="174" t="s">
        <v>273</v>
      </c>
      <c r="T477" s="174" t="str">
        <f>IF(Buildings_Heat_Frontend[[#This Row],[Data]]="","", _xlfn.XLOOKUP(Buildings_Heat_Backend[[#This Row],[Info 1]],Buildings_SiteInfo[Site name],Buildings_SiteInfo[Site type]))</f>
        <v/>
      </c>
      <c r="U477" s="174" t="str">
        <f>IF(Buildings_Heat_Frontend[[#This Row],[Data]]="","", Buildings_Heat_Frontend[[#This Row],[Heating Type]])</f>
        <v/>
      </c>
      <c r="V477" s="174" t="str">
        <f>IF(Buildings_Heat_Frontend[[#This Row],[Data]]="","", Buildings_Heat_Frontend[[#This Row],[Fuel]])</f>
        <v/>
      </c>
      <c r="W477" s="174" t="str" cm="1">
        <f t="array" ref="W477">IF(Buildings_Heat_Frontend[[#This Row],[Data]]="","", _xlfn.XLOOKUP(Buildings_Heat_Backend[[#This Row],[Level 5]],rng_Level5Long,rng_Level6Long))</f>
        <v/>
      </c>
      <c r="X477" s="174" t="str">
        <f>IF(Buildings_Heat_Frontend[[#This Row],[Data]]="","", Buildings_Heat_Frontend[[#This Row],[Site Name]])</f>
        <v/>
      </c>
      <c r="Y477" s="174" t="str">
        <f>IF(Buildings_Heat_Frontend[[#This Row],[Data]]="","", Buildings_Heat_Frontend[[#This Row],[MPRN]])</f>
        <v/>
      </c>
      <c r="Z477" s="174" t="str">
        <f>IF(Buildings_Heat_Frontend[[#This Row],[Data]]="","", IF($I477="","",$I477))</f>
        <v/>
      </c>
      <c r="AA477" s="229" t="str" cm="1">
        <f t="array" ref="AA477">IF(Buildings_Heat_Frontend[[#This Row],[Data]]="","", INDEX(_xlfn.SWITCH(Buildings_Heat_Backend[[#This Row],[Methodology]],"Tier 1",rng_RSD1,"Tier 2",rng_RSD2,"Tier 3",rng_RSD3),MATCH(_xlfn.CONCAT(Buildings_Heat_Backend[[#This Row],[Level 1]:[Level 6]]),rng_LevelsConcat,0)))</f>
        <v/>
      </c>
      <c r="AB477" s="220" t="str">
        <f t="shared" si="22"/>
        <v/>
      </c>
      <c r="AC477" s="174">
        <f>Buildings_Heat_Frontend[[#This Row],[Units]]</f>
        <v>0</v>
      </c>
      <c r="AD47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7" s="174" t="str">
        <f>IF(Buildings_Heat_Frontend[[#This Row],[Data]]="","", _xlfn.XLOOKUP(_xlfn.CONCAT(Buildings_Heat_Backend[[#This Row],[Level 1]:[Level 6]]),rng_LevelsConcat,rng_UnitsLong))</f>
        <v/>
      </c>
      <c r="AF477" s="210" t="str">
        <f>IF(Buildings_Heat_Frontend[[#This Row],[Data]]="","", _xlfn.XLOOKUP(_xlfn.CONCAT(Buildings_Heat_Backend[[#This Row],[Level 1]:[Level 6]]),rng_EFConcat,rng_EF1)*Buildings_Heat_Backend[[#This Row],[Converted data]]/1000)</f>
        <v/>
      </c>
      <c r="AG477" s="210" t="str">
        <f>IF(Buildings_Heat_Frontend[[#This Row],[Data]]="","", _xlfn.XLOOKUP(_xlfn.CONCAT(Buildings_Heat_Backend[[#This Row],[Level 1]:[Level 6]]),rng_EFConcat,rng_EF2)*Buildings_Heat_Backend[[#This Row],[Converted data]]/1000)</f>
        <v/>
      </c>
      <c r="AH477" s="210" t="str">
        <f>IF(Buildings_Heat_Frontend[[#This Row],[Data]]="","", _xlfn.XLOOKUP(_xlfn.CONCAT(Buildings_Heat_Backend[[#This Row],[Level 1]:[Level 6]]),rng_EFConcat,rng_EF3)*Buildings_Heat_Backend[[#This Row],[Converted data]]/1000)</f>
        <v/>
      </c>
      <c r="AI477" s="210" t="str">
        <f>IF(Buildings_Heat_Frontend[[#This Row],[Data]]="","", _xlfn.XLOOKUP(_xlfn.CONCAT(Buildings_Heat_Backend[[#This Row],[Level 1]:[Level 6]]),rng_EFConcat,rng_EF3WTT)*Buildings_Heat_Backend[[#This Row],[Converted data]]/1000)</f>
        <v/>
      </c>
      <c r="AJ477" s="210" t="str">
        <f>IF(Buildings_Heat_Frontend[[#This Row],[Data]]="","", _xlfn.XLOOKUP(_xlfn.CONCAT(Buildings_Heat_Backend[[#This Row],[Level 1]:[Level 6]]),rng_EFConcat,rng_EF3TD)*Buildings_Heat_Backend[[#This Row],[Converted data]]/1000)</f>
        <v/>
      </c>
      <c r="AK477" s="210" t="str">
        <f>IF(Buildings_Heat_Frontend[[#This Row],[Data]]="","", _xlfn.XLOOKUP(_xlfn.CONCAT(Buildings_Heat_Backend[[#This Row],[Level 1]:[Level 6]]),rng_EFConcat,rng_EF3WTTTD)*Buildings_Heat_Backend[[#This Row],[Converted data]]/1000)</f>
        <v/>
      </c>
      <c r="AL477" s="220">
        <f>SUM(Buildings_Heat_Backend[[#This Row],[Scope 1 (tCO2e)]:[Scope 3 WTT T&amp;D (tCO2e)]])</f>
        <v>0</v>
      </c>
      <c r="AM477" s="220" t="str">
        <f>IF(Buildings_Heat_Frontend[[#This Row],[Data]]="","", Buildings_Heat_Backend[[#This Row],[Total (tCO2e)]]*(1-Buildings_Heat_Backend[[#This Row],[RSD]]))</f>
        <v/>
      </c>
      <c r="AN477" s="220" t="str">
        <f>IF(Buildings_Heat_Frontend[[#This Row],[Data]]="","", Buildings_Heat_Backend[[#This Row],[Total (tCO2e)]]*(1+Buildings_Heat_Backend[[#This Row],[RSD]]))</f>
        <v/>
      </c>
      <c r="AO477" s="210" t="str">
        <f>IF(Buildings_Heat_Frontend[[#This Row],[Data]]="","", _xlfn.XLOOKUP(_xlfn.CONCAT(Buildings_Heat_Backend[[#This Row],[Level 1]:[Level 6]]),rng_EFConcat,rng_EFOOS)*Buildings_Heat_Backend[[#This Row],[Converted data]]/1000)</f>
        <v/>
      </c>
      <c r="AP477" s="174">
        <f>Buildings_Heat_Frontend[[#This Row],[Ease of collection]]</f>
        <v>0</v>
      </c>
      <c r="AQ477" s="174">
        <f>Buildings_Heat_Frontend[[#This Row],[Completeness]]</f>
        <v>0</v>
      </c>
      <c r="AR477" s="174">
        <f>Buildings_Heat_Frontend[[#This Row],[Notes]]</f>
        <v>0</v>
      </c>
    </row>
    <row r="478" spans="5:44" x14ac:dyDescent="0.3">
      <c r="E478" s="346"/>
      <c r="F478" s="364"/>
      <c r="G478" s="336"/>
      <c r="H478" s="336"/>
      <c r="I478" s="336"/>
      <c r="J478" s="334"/>
      <c r="K478" s="336"/>
      <c r="L478" s="336"/>
      <c r="M478" s="336"/>
      <c r="N478" s="352"/>
      <c r="O478" s="230">
        <f t="shared" si="23"/>
        <v>6</v>
      </c>
      <c r="Q478" s="212" t="str">
        <f t="shared" si="21"/>
        <v/>
      </c>
      <c r="R478" s="174" t="s">
        <v>265</v>
      </c>
      <c r="S478" s="174" t="s">
        <v>273</v>
      </c>
      <c r="T478" s="174" t="str">
        <f>IF(Buildings_Heat_Frontend[[#This Row],[Data]]="","", _xlfn.XLOOKUP(Buildings_Heat_Backend[[#This Row],[Info 1]],Buildings_SiteInfo[Site name],Buildings_SiteInfo[Site type]))</f>
        <v/>
      </c>
      <c r="U478" s="174" t="str">
        <f>IF(Buildings_Heat_Frontend[[#This Row],[Data]]="","", Buildings_Heat_Frontend[[#This Row],[Heating Type]])</f>
        <v/>
      </c>
      <c r="V478" s="174" t="str">
        <f>IF(Buildings_Heat_Frontend[[#This Row],[Data]]="","", Buildings_Heat_Frontend[[#This Row],[Fuel]])</f>
        <v/>
      </c>
      <c r="W478" s="174" t="str" cm="1">
        <f t="array" ref="W478">IF(Buildings_Heat_Frontend[[#This Row],[Data]]="","", _xlfn.XLOOKUP(Buildings_Heat_Backend[[#This Row],[Level 5]],rng_Level5Long,rng_Level6Long))</f>
        <v/>
      </c>
      <c r="X478" s="174" t="str">
        <f>IF(Buildings_Heat_Frontend[[#This Row],[Data]]="","", Buildings_Heat_Frontend[[#This Row],[Site Name]])</f>
        <v/>
      </c>
      <c r="Y478" s="174" t="str">
        <f>IF(Buildings_Heat_Frontend[[#This Row],[Data]]="","", Buildings_Heat_Frontend[[#This Row],[MPRN]])</f>
        <v/>
      </c>
      <c r="Z478" s="174" t="str">
        <f>IF(Buildings_Heat_Frontend[[#This Row],[Data]]="","", IF($I478="","",$I478))</f>
        <v/>
      </c>
      <c r="AA478" s="229" t="str" cm="1">
        <f t="array" ref="AA478">IF(Buildings_Heat_Frontend[[#This Row],[Data]]="","", INDEX(_xlfn.SWITCH(Buildings_Heat_Backend[[#This Row],[Methodology]],"Tier 1",rng_RSD1,"Tier 2",rng_RSD2,"Tier 3",rng_RSD3),MATCH(_xlfn.CONCAT(Buildings_Heat_Backend[[#This Row],[Level 1]:[Level 6]]),rng_LevelsConcat,0)))</f>
        <v/>
      </c>
      <c r="AB478" s="220" t="str">
        <f t="shared" si="22"/>
        <v/>
      </c>
      <c r="AC478" s="174">
        <f>Buildings_Heat_Frontend[[#This Row],[Units]]</f>
        <v>0</v>
      </c>
      <c r="AD47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8" s="174" t="str">
        <f>IF(Buildings_Heat_Frontend[[#This Row],[Data]]="","", _xlfn.XLOOKUP(_xlfn.CONCAT(Buildings_Heat_Backend[[#This Row],[Level 1]:[Level 6]]),rng_LevelsConcat,rng_UnitsLong))</f>
        <v/>
      </c>
      <c r="AF478" s="210" t="str">
        <f>IF(Buildings_Heat_Frontend[[#This Row],[Data]]="","", _xlfn.XLOOKUP(_xlfn.CONCAT(Buildings_Heat_Backend[[#This Row],[Level 1]:[Level 6]]),rng_EFConcat,rng_EF1)*Buildings_Heat_Backend[[#This Row],[Converted data]]/1000)</f>
        <v/>
      </c>
      <c r="AG478" s="210" t="str">
        <f>IF(Buildings_Heat_Frontend[[#This Row],[Data]]="","", _xlfn.XLOOKUP(_xlfn.CONCAT(Buildings_Heat_Backend[[#This Row],[Level 1]:[Level 6]]),rng_EFConcat,rng_EF2)*Buildings_Heat_Backend[[#This Row],[Converted data]]/1000)</f>
        <v/>
      </c>
      <c r="AH478" s="210" t="str">
        <f>IF(Buildings_Heat_Frontend[[#This Row],[Data]]="","", _xlfn.XLOOKUP(_xlfn.CONCAT(Buildings_Heat_Backend[[#This Row],[Level 1]:[Level 6]]),rng_EFConcat,rng_EF3)*Buildings_Heat_Backend[[#This Row],[Converted data]]/1000)</f>
        <v/>
      </c>
      <c r="AI478" s="210" t="str">
        <f>IF(Buildings_Heat_Frontend[[#This Row],[Data]]="","", _xlfn.XLOOKUP(_xlfn.CONCAT(Buildings_Heat_Backend[[#This Row],[Level 1]:[Level 6]]),rng_EFConcat,rng_EF3WTT)*Buildings_Heat_Backend[[#This Row],[Converted data]]/1000)</f>
        <v/>
      </c>
      <c r="AJ478" s="210" t="str">
        <f>IF(Buildings_Heat_Frontend[[#This Row],[Data]]="","", _xlfn.XLOOKUP(_xlfn.CONCAT(Buildings_Heat_Backend[[#This Row],[Level 1]:[Level 6]]),rng_EFConcat,rng_EF3TD)*Buildings_Heat_Backend[[#This Row],[Converted data]]/1000)</f>
        <v/>
      </c>
      <c r="AK478" s="210" t="str">
        <f>IF(Buildings_Heat_Frontend[[#This Row],[Data]]="","", _xlfn.XLOOKUP(_xlfn.CONCAT(Buildings_Heat_Backend[[#This Row],[Level 1]:[Level 6]]),rng_EFConcat,rng_EF3WTTTD)*Buildings_Heat_Backend[[#This Row],[Converted data]]/1000)</f>
        <v/>
      </c>
      <c r="AL478" s="220">
        <f>SUM(Buildings_Heat_Backend[[#This Row],[Scope 1 (tCO2e)]:[Scope 3 WTT T&amp;D (tCO2e)]])</f>
        <v>0</v>
      </c>
      <c r="AM478" s="220" t="str">
        <f>IF(Buildings_Heat_Frontend[[#This Row],[Data]]="","", Buildings_Heat_Backend[[#This Row],[Total (tCO2e)]]*(1-Buildings_Heat_Backend[[#This Row],[RSD]]))</f>
        <v/>
      </c>
      <c r="AN478" s="220" t="str">
        <f>IF(Buildings_Heat_Frontend[[#This Row],[Data]]="","", Buildings_Heat_Backend[[#This Row],[Total (tCO2e)]]*(1+Buildings_Heat_Backend[[#This Row],[RSD]]))</f>
        <v/>
      </c>
      <c r="AO478" s="210" t="str">
        <f>IF(Buildings_Heat_Frontend[[#This Row],[Data]]="","", _xlfn.XLOOKUP(_xlfn.CONCAT(Buildings_Heat_Backend[[#This Row],[Level 1]:[Level 6]]),rng_EFConcat,rng_EFOOS)*Buildings_Heat_Backend[[#This Row],[Converted data]]/1000)</f>
        <v/>
      </c>
      <c r="AP478" s="174">
        <f>Buildings_Heat_Frontend[[#This Row],[Ease of collection]]</f>
        <v>0</v>
      </c>
      <c r="AQ478" s="174">
        <f>Buildings_Heat_Frontend[[#This Row],[Completeness]]</f>
        <v>0</v>
      </c>
      <c r="AR478" s="174">
        <f>Buildings_Heat_Frontend[[#This Row],[Notes]]</f>
        <v>0</v>
      </c>
    </row>
    <row r="479" spans="5:44" x14ac:dyDescent="0.3">
      <c r="E479" s="346"/>
      <c r="F479" s="364"/>
      <c r="G479" s="336"/>
      <c r="H479" s="336"/>
      <c r="I479" s="336"/>
      <c r="J479" s="334"/>
      <c r="K479" s="336"/>
      <c r="L479" s="336"/>
      <c r="M479" s="336"/>
      <c r="N479" s="352"/>
      <c r="O479" s="230">
        <f t="shared" si="23"/>
        <v>6</v>
      </c>
      <c r="Q479" s="212" t="str">
        <f t="shared" si="21"/>
        <v/>
      </c>
      <c r="R479" s="174" t="s">
        <v>265</v>
      </c>
      <c r="S479" s="174" t="s">
        <v>273</v>
      </c>
      <c r="T479" s="174" t="str">
        <f>IF(Buildings_Heat_Frontend[[#This Row],[Data]]="","", _xlfn.XLOOKUP(Buildings_Heat_Backend[[#This Row],[Info 1]],Buildings_SiteInfo[Site name],Buildings_SiteInfo[Site type]))</f>
        <v/>
      </c>
      <c r="U479" s="174" t="str">
        <f>IF(Buildings_Heat_Frontend[[#This Row],[Data]]="","", Buildings_Heat_Frontend[[#This Row],[Heating Type]])</f>
        <v/>
      </c>
      <c r="V479" s="174" t="str">
        <f>IF(Buildings_Heat_Frontend[[#This Row],[Data]]="","", Buildings_Heat_Frontend[[#This Row],[Fuel]])</f>
        <v/>
      </c>
      <c r="W479" s="174" t="str" cm="1">
        <f t="array" ref="W479">IF(Buildings_Heat_Frontend[[#This Row],[Data]]="","", _xlfn.XLOOKUP(Buildings_Heat_Backend[[#This Row],[Level 5]],rng_Level5Long,rng_Level6Long))</f>
        <v/>
      </c>
      <c r="X479" s="174" t="str">
        <f>IF(Buildings_Heat_Frontend[[#This Row],[Data]]="","", Buildings_Heat_Frontend[[#This Row],[Site Name]])</f>
        <v/>
      </c>
      <c r="Y479" s="174" t="str">
        <f>IF(Buildings_Heat_Frontend[[#This Row],[Data]]="","", Buildings_Heat_Frontend[[#This Row],[MPRN]])</f>
        <v/>
      </c>
      <c r="Z479" s="174" t="str">
        <f>IF(Buildings_Heat_Frontend[[#This Row],[Data]]="","", IF($I479="","",$I479))</f>
        <v/>
      </c>
      <c r="AA479" s="229" t="str" cm="1">
        <f t="array" ref="AA479">IF(Buildings_Heat_Frontend[[#This Row],[Data]]="","", INDEX(_xlfn.SWITCH(Buildings_Heat_Backend[[#This Row],[Methodology]],"Tier 1",rng_RSD1,"Tier 2",rng_RSD2,"Tier 3",rng_RSD3),MATCH(_xlfn.CONCAT(Buildings_Heat_Backend[[#This Row],[Level 1]:[Level 6]]),rng_LevelsConcat,0)))</f>
        <v/>
      </c>
      <c r="AB479" s="220" t="str">
        <f t="shared" si="22"/>
        <v/>
      </c>
      <c r="AC479" s="174">
        <f>Buildings_Heat_Frontend[[#This Row],[Units]]</f>
        <v>0</v>
      </c>
      <c r="AD47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79" s="174" t="str">
        <f>IF(Buildings_Heat_Frontend[[#This Row],[Data]]="","", _xlfn.XLOOKUP(_xlfn.CONCAT(Buildings_Heat_Backend[[#This Row],[Level 1]:[Level 6]]),rng_LevelsConcat,rng_UnitsLong))</f>
        <v/>
      </c>
      <c r="AF479" s="210" t="str">
        <f>IF(Buildings_Heat_Frontend[[#This Row],[Data]]="","", _xlfn.XLOOKUP(_xlfn.CONCAT(Buildings_Heat_Backend[[#This Row],[Level 1]:[Level 6]]),rng_EFConcat,rng_EF1)*Buildings_Heat_Backend[[#This Row],[Converted data]]/1000)</f>
        <v/>
      </c>
      <c r="AG479" s="210" t="str">
        <f>IF(Buildings_Heat_Frontend[[#This Row],[Data]]="","", _xlfn.XLOOKUP(_xlfn.CONCAT(Buildings_Heat_Backend[[#This Row],[Level 1]:[Level 6]]),rng_EFConcat,rng_EF2)*Buildings_Heat_Backend[[#This Row],[Converted data]]/1000)</f>
        <v/>
      </c>
      <c r="AH479" s="210" t="str">
        <f>IF(Buildings_Heat_Frontend[[#This Row],[Data]]="","", _xlfn.XLOOKUP(_xlfn.CONCAT(Buildings_Heat_Backend[[#This Row],[Level 1]:[Level 6]]),rng_EFConcat,rng_EF3)*Buildings_Heat_Backend[[#This Row],[Converted data]]/1000)</f>
        <v/>
      </c>
      <c r="AI479" s="210" t="str">
        <f>IF(Buildings_Heat_Frontend[[#This Row],[Data]]="","", _xlfn.XLOOKUP(_xlfn.CONCAT(Buildings_Heat_Backend[[#This Row],[Level 1]:[Level 6]]),rng_EFConcat,rng_EF3WTT)*Buildings_Heat_Backend[[#This Row],[Converted data]]/1000)</f>
        <v/>
      </c>
      <c r="AJ479" s="210" t="str">
        <f>IF(Buildings_Heat_Frontend[[#This Row],[Data]]="","", _xlfn.XLOOKUP(_xlfn.CONCAT(Buildings_Heat_Backend[[#This Row],[Level 1]:[Level 6]]),rng_EFConcat,rng_EF3TD)*Buildings_Heat_Backend[[#This Row],[Converted data]]/1000)</f>
        <v/>
      </c>
      <c r="AK479" s="210" t="str">
        <f>IF(Buildings_Heat_Frontend[[#This Row],[Data]]="","", _xlfn.XLOOKUP(_xlfn.CONCAT(Buildings_Heat_Backend[[#This Row],[Level 1]:[Level 6]]),rng_EFConcat,rng_EF3WTTTD)*Buildings_Heat_Backend[[#This Row],[Converted data]]/1000)</f>
        <v/>
      </c>
      <c r="AL479" s="220">
        <f>SUM(Buildings_Heat_Backend[[#This Row],[Scope 1 (tCO2e)]:[Scope 3 WTT T&amp;D (tCO2e)]])</f>
        <v>0</v>
      </c>
      <c r="AM479" s="220" t="str">
        <f>IF(Buildings_Heat_Frontend[[#This Row],[Data]]="","", Buildings_Heat_Backend[[#This Row],[Total (tCO2e)]]*(1-Buildings_Heat_Backend[[#This Row],[RSD]]))</f>
        <v/>
      </c>
      <c r="AN479" s="220" t="str">
        <f>IF(Buildings_Heat_Frontend[[#This Row],[Data]]="","", Buildings_Heat_Backend[[#This Row],[Total (tCO2e)]]*(1+Buildings_Heat_Backend[[#This Row],[RSD]]))</f>
        <v/>
      </c>
      <c r="AO479" s="210" t="str">
        <f>IF(Buildings_Heat_Frontend[[#This Row],[Data]]="","", _xlfn.XLOOKUP(_xlfn.CONCAT(Buildings_Heat_Backend[[#This Row],[Level 1]:[Level 6]]),rng_EFConcat,rng_EFOOS)*Buildings_Heat_Backend[[#This Row],[Converted data]]/1000)</f>
        <v/>
      </c>
      <c r="AP479" s="174">
        <f>Buildings_Heat_Frontend[[#This Row],[Ease of collection]]</f>
        <v>0</v>
      </c>
      <c r="AQ479" s="174">
        <f>Buildings_Heat_Frontend[[#This Row],[Completeness]]</f>
        <v>0</v>
      </c>
      <c r="AR479" s="174">
        <f>Buildings_Heat_Frontend[[#This Row],[Notes]]</f>
        <v>0</v>
      </c>
    </row>
    <row r="480" spans="5:44" x14ac:dyDescent="0.3">
      <c r="E480" s="346"/>
      <c r="F480" s="364"/>
      <c r="G480" s="336"/>
      <c r="H480" s="336"/>
      <c r="I480" s="336"/>
      <c r="J480" s="334"/>
      <c r="K480" s="336"/>
      <c r="L480" s="336"/>
      <c r="M480" s="336"/>
      <c r="N480" s="352"/>
      <c r="O480" s="230">
        <f t="shared" si="23"/>
        <v>6</v>
      </c>
      <c r="Q480" s="212" t="str">
        <f t="shared" si="21"/>
        <v/>
      </c>
      <c r="R480" s="174" t="s">
        <v>265</v>
      </c>
      <c r="S480" s="174" t="s">
        <v>273</v>
      </c>
      <c r="T480" s="174" t="str">
        <f>IF(Buildings_Heat_Frontend[[#This Row],[Data]]="","", _xlfn.XLOOKUP(Buildings_Heat_Backend[[#This Row],[Info 1]],Buildings_SiteInfo[Site name],Buildings_SiteInfo[Site type]))</f>
        <v/>
      </c>
      <c r="U480" s="174" t="str">
        <f>IF(Buildings_Heat_Frontend[[#This Row],[Data]]="","", Buildings_Heat_Frontend[[#This Row],[Heating Type]])</f>
        <v/>
      </c>
      <c r="V480" s="174" t="str">
        <f>IF(Buildings_Heat_Frontend[[#This Row],[Data]]="","", Buildings_Heat_Frontend[[#This Row],[Fuel]])</f>
        <v/>
      </c>
      <c r="W480" s="174" t="str" cm="1">
        <f t="array" ref="W480">IF(Buildings_Heat_Frontend[[#This Row],[Data]]="","", _xlfn.XLOOKUP(Buildings_Heat_Backend[[#This Row],[Level 5]],rng_Level5Long,rng_Level6Long))</f>
        <v/>
      </c>
      <c r="X480" s="174" t="str">
        <f>IF(Buildings_Heat_Frontend[[#This Row],[Data]]="","", Buildings_Heat_Frontend[[#This Row],[Site Name]])</f>
        <v/>
      </c>
      <c r="Y480" s="174" t="str">
        <f>IF(Buildings_Heat_Frontend[[#This Row],[Data]]="","", Buildings_Heat_Frontend[[#This Row],[MPRN]])</f>
        <v/>
      </c>
      <c r="Z480" s="174" t="str">
        <f>IF(Buildings_Heat_Frontend[[#This Row],[Data]]="","", IF($I480="","",$I480))</f>
        <v/>
      </c>
      <c r="AA480" s="229" t="str" cm="1">
        <f t="array" ref="AA480">IF(Buildings_Heat_Frontend[[#This Row],[Data]]="","", INDEX(_xlfn.SWITCH(Buildings_Heat_Backend[[#This Row],[Methodology]],"Tier 1",rng_RSD1,"Tier 2",rng_RSD2,"Tier 3",rng_RSD3),MATCH(_xlfn.CONCAT(Buildings_Heat_Backend[[#This Row],[Level 1]:[Level 6]]),rng_LevelsConcat,0)))</f>
        <v/>
      </c>
      <c r="AB480" s="220" t="str">
        <f t="shared" si="22"/>
        <v/>
      </c>
      <c r="AC480" s="174">
        <f>Buildings_Heat_Frontend[[#This Row],[Units]]</f>
        <v>0</v>
      </c>
      <c r="AD48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0" s="174" t="str">
        <f>IF(Buildings_Heat_Frontend[[#This Row],[Data]]="","", _xlfn.XLOOKUP(_xlfn.CONCAT(Buildings_Heat_Backend[[#This Row],[Level 1]:[Level 6]]),rng_LevelsConcat,rng_UnitsLong))</f>
        <v/>
      </c>
      <c r="AF480" s="210" t="str">
        <f>IF(Buildings_Heat_Frontend[[#This Row],[Data]]="","", _xlfn.XLOOKUP(_xlfn.CONCAT(Buildings_Heat_Backend[[#This Row],[Level 1]:[Level 6]]),rng_EFConcat,rng_EF1)*Buildings_Heat_Backend[[#This Row],[Converted data]]/1000)</f>
        <v/>
      </c>
      <c r="AG480" s="210" t="str">
        <f>IF(Buildings_Heat_Frontend[[#This Row],[Data]]="","", _xlfn.XLOOKUP(_xlfn.CONCAT(Buildings_Heat_Backend[[#This Row],[Level 1]:[Level 6]]),rng_EFConcat,rng_EF2)*Buildings_Heat_Backend[[#This Row],[Converted data]]/1000)</f>
        <v/>
      </c>
      <c r="AH480" s="210" t="str">
        <f>IF(Buildings_Heat_Frontend[[#This Row],[Data]]="","", _xlfn.XLOOKUP(_xlfn.CONCAT(Buildings_Heat_Backend[[#This Row],[Level 1]:[Level 6]]),rng_EFConcat,rng_EF3)*Buildings_Heat_Backend[[#This Row],[Converted data]]/1000)</f>
        <v/>
      </c>
      <c r="AI480" s="210" t="str">
        <f>IF(Buildings_Heat_Frontend[[#This Row],[Data]]="","", _xlfn.XLOOKUP(_xlfn.CONCAT(Buildings_Heat_Backend[[#This Row],[Level 1]:[Level 6]]),rng_EFConcat,rng_EF3WTT)*Buildings_Heat_Backend[[#This Row],[Converted data]]/1000)</f>
        <v/>
      </c>
      <c r="AJ480" s="210" t="str">
        <f>IF(Buildings_Heat_Frontend[[#This Row],[Data]]="","", _xlfn.XLOOKUP(_xlfn.CONCAT(Buildings_Heat_Backend[[#This Row],[Level 1]:[Level 6]]),rng_EFConcat,rng_EF3TD)*Buildings_Heat_Backend[[#This Row],[Converted data]]/1000)</f>
        <v/>
      </c>
      <c r="AK480" s="210" t="str">
        <f>IF(Buildings_Heat_Frontend[[#This Row],[Data]]="","", _xlfn.XLOOKUP(_xlfn.CONCAT(Buildings_Heat_Backend[[#This Row],[Level 1]:[Level 6]]),rng_EFConcat,rng_EF3WTTTD)*Buildings_Heat_Backend[[#This Row],[Converted data]]/1000)</f>
        <v/>
      </c>
      <c r="AL480" s="220">
        <f>SUM(Buildings_Heat_Backend[[#This Row],[Scope 1 (tCO2e)]:[Scope 3 WTT T&amp;D (tCO2e)]])</f>
        <v>0</v>
      </c>
      <c r="AM480" s="220" t="str">
        <f>IF(Buildings_Heat_Frontend[[#This Row],[Data]]="","", Buildings_Heat_Backend[[#This Row],[Total (tCO2e)]]*(1-Buildings_Heat_Backend[[#This Row],[RSD]]))</f>
        <v/>
      </c>
      <c r="AN480" s="220" t="str">
        <f>IF(Buildings_Heat_Frontend[[#This Row],[Data]]="","", Buildings_Heat_Backend[[#This Row],[Total (tCO2e)]]*(1+Buildings_Heat_Backend[[#This Row],[RSD]]))</f>
        <v/>
      </c>
      <c r="AO480" s="210" t="str">
        <f>IF(Buildings_Heat_Frontend[[#This Row],[Data]]="","", _xlfn.XLOOKUP(_xlfn.CONCAT(Buildings_Heat_Backend[[#This Row],[Level 1]:[Level 6]]),rng_EFConcat,rng_EFOOS)*Buildings_Heat_Backend[[#This Row],[Converted data]]/1000)</f>
        <v/>
      </c>
      <c r="AP480" s="174">
        <f>Buildings_Heat_Frontend[[#This Row],[Ease of collection]]</f>
        <v>0</v>
      </c>
      <c r="AQ480" s="174">
        <f>Buildings_Heat_Frontend[[#This Row],[Completeness]]</f>
        <v>0</v>
      </c>
      <c r="AR480" s="174">
        <f>Buildings_Heat_Frontend[[#This Row],[Notes]]</f>
        <v>0</v>
      </c>
    </row>
    <row r="481" spans="5:44" x14ac:dyDescent="0.3">
      <c r="E481" s="346"/>
      <c r="F481" s="364"/>
      <c r="G481" s="336"/>
      <c r="H481" s="336"/>
      <c r="I481" s="336"/>
      <c r="J481" s="334"/>
      <c r="K481" s="336"/>
      <c r="L481" s="336"/>
      <c r="M481" s="336"/>
      <c r="N481" s="352"/>
      <c r="O481" s="230">
        <f t="shared" si="23"/>
        <v>6</v>
      </c>
      <c r="Q481" s="212" t="str">
        <f t="shared" si="21"/>
        <v/>
      </c>
      <c r="R481" s="174" t="s">
        <v>265</v>
      </c>
      <c r="S481" s="174" t="s">
        <v>273</v>
      </c>
      <c r="T481" s="174" t="str">
        <f>IF(Buildings_Heat_Frontend[[#This Row],[Data]]="","", _xlfn.XLOOKUP(Buildings_Heat_Backend[[#This Row],[Info 1]],Buildings_SiteInfo[Site name],Buildings_SiteInfo[Site type]))</f>
        <v/>
      </c>
      <c r="U481" s="174" t="str">
        <f>IF(Buildings_Heat_Frontend[[#This Row],[Data]]="","", Buildings_Heat_Frontend[[#This Row],[Heating Type]])</f>
        <v/>
      </c>
      <c r="V481" s="174" t="str">
        <f>IF(Buildings_Heat_Frontend[[#This Row],[Data]]="","", Buildings_Heat_Frontend[[#This Row],[Fuel]])</f>
        <v/>
      </c>
      <c r="W481" s="174" t="str" cm="1">
        <f t="array" ref="W481">IF(Buildings_Heat_Frontend[[#This Row],[Data]]="","", _xlfn.XLOOKUP(Buildings_Heat_Backend[[#This Row],[Level 5]],rng_Level5Long,rng_Level6Long))</f>
        <v/>
      </c>
      <c r="X481" s="174" t="str">
        <f>IF(Buildings_Heat_Frontend[[#This Row],[Data]]="","", Buildings_Heat_Frontend[[#This Row],[Site Name]])</f>
        <v/>
      </c>
      <c r="Y481" s="174" t="str">
        <f>IF(Buildings_Heat_Frontend[[#This Row],[Data]]="","", Buildings_Heat_Frontend[[#This Row],[MPRN]])</f>
        <v/>
      </c>
      <c r="Z481" s="174" t="str">
        <f>IF(Buildings_Heat_Frontend[[#This Row],[Data]]="","", IF($I481="","",$I481))</f>
        <v/>
      </c>
      <c r="AA481" s="229" t="str" cm="1">
        <f t="array" ref="AA481">IF(Buildings_Heat_Frontend[[#This Row],[Data]]="","", INDEX(_xlfn.SWITCH(Buildings_Heat_Backend[[#This Row],[Methodology]],"Tier 1",rng_RSD1,"Tier 2",rng_RSD2,"Tier 3",rng_RSD3),MATCH(_xlfn.CONCAT(Buildings_Heat_Backend[[#This Row],[Level 1]:[Level 6]]),rng_LevelsConcat,0)))</f>
        <v/>
      </c>
      <c r="AB481" s="220" t="str">
        <f t="shared" si="22"/>
        <v/>
      </c>
      <c r="AC481" s="174">
        <f>Buildings_Heat_Frontend[[#This Row],[Units]]</f>
        <v>0</v>
      </c>
      <c r="AD48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1" s="174" t="str">
        <f>IF(Buildings_Heat_Frontend[[#This Row],[Data]]="","", _xlfn.XLOOKUP(_xlfn.CONCAT(Buildings_Heat_Backend[[#This Row],[Level 1]:[Level 6]]),rng_LevelsConcat,rng_UnitsLong))</f>
        <v/>
      </c>
      <c r="AF481" s="210" t="str">
        <f>IF(Buildings_Heat_Frontend[[#This Row],[Data]]="","", _xlfn.XLOOKUP(_xlfn.CONCAT(Buildings_Heat_Backend[[#This Row],[Level 1]:[Level 6]]),rng_EFConcat,rng_EF1)*Buildings_Heat_Backend[[#This Row],[Converted data]]/1000)</f>
        <v/>
      </c>
      <c r="AG481" s="210" t="str">
        <f>IF(Buildings_Heat_Frontend[[#This Row],[Data]]="","", _xlfn.XLOOKUP(_xlfn.CONCAT(Buildings_Heat_Backend[[#This Row],[Level 1]:[Level 6]]),rng_EFConcat,rng_EF2)*Buildings_Heat_Backend[[#This Row],[Converted data]]/1000)</f>
        <v/>
      </c>
      <c r="AH481" s="210" t="str">
        <f>IF(Buildings_Heat_Frontend[[#This Row],[Data]]="","", _xlfn.XLOOKUP(_xlfn.CONCAT(Buildings_Heat_Backend[[#This Row],[Level 1]:[Level 6]]),rng_EFConcat,rng_EF3)*Buildings_Heat_Backend[[#This Row],[Converted data]]/1000)</f>
        <v/>
      </c>
      <c r="AI481" s="210" t="str">
        <f>IF(Buildings_Heat_Frontend[[#This Row],[Data]]="","", _xlfn.XLOOKUP(_xlfn.CONCAT(Buildings_Heat_Backend[[#This Row],[Level 1]:[Level 6]]),rng_EFConcat,rng_EF3WTT)*Buildings_Heat_Backend[[#This Row],[Converted data]]/1000)</f>
        <v/>
      </c>
      <c r="AJ481" s="210" t="str">
        <f>IF(Buildings_Heat_Frontend[[#This Row],[Data]]="","", _xlfn.XLOOKUP(_xlfn.CONCAT(Buildings_Heat_Backend[[#This Row],[Level 1]:[Level 6]]),rng_EFConcat,rng_EF3TD)*Buildings_Heat_Backend[[#This Row],[Converted data]]/1000)</f>
        <v/>
      </c>
      <c r="AK481" s="210" t="str">
        <f>IF(Buildings_Heat_Frontend[[#This Row],[Data]]="","", _xlfn.XLOOKUP(_xlfn.CONCAT(Buildings_Heat_Backend[[#This Row],[Level 1]:[Level 6]]),rng_EFConcat,rng_EF3WTTTD)*Buildings_Heat_Backend[[#This Row],[Converted data]]/1000)</f>
        <v/>
      </c>
      <c r="AL481" s="220">
        <f>SUM(Buildings_Heat_Backend[[#This Row],[Scope 1 (tCO2e)]:[Scope 3 WTT T&amp;D (tCO2e)]])</f>
        <v>0</v>
      </c>
      <c r="AM481" s="220" t="str">
        <f>IF(Buildings_Heat_Frontend[[#This Row],[Data]]="","", Buildings_Heat_Backend[[#This Row],[Total (tCO2e)]]*(1-Buildings_Heat_Backend[[#This Row],[RSD]]))</f>
        <v/>
      </c>
      <c r="AN481" s="220" t="str">
        <f>IF(Buildings_Heat_Frontend[[#This Row],[Data]]="","", Buildings_Heat_Backend[[#This Row],[Total (tCO2e)]]*(1+Buildings_Heat_Backend[[#This Row],[RSD]]))</f>
        <v/>
      </c>
      <c r="AO481" s="210" t="str">
        <f>IF(Buildings_Heat_Frontend[[#This Row],[Data]]="","", _xlfn.XLOOKUP(_xlfn.CONCAT(Buildings_Heat_Backend[[#This Row],[Level 1]:[Level 6]]),rng_EFConcat,rng_EFOOS)*Buildings_Heat_Backend[[#This Row],[Converted data]]/1000)</f>
        <v/>
      </c>
      <c r="AP481" s="174">
        <f>Buildings_Heat_Frontend[[#This Row],[Ease of collection]]</f>
        <v>0</v>
      </c>
      <c r="AQ481" s="174">
        <f>Buildings_Heat_Frontend[[#This Row],[Completeness]]</f>
        <v>0</v>
      </c>
      <c r="AR481" s="174">
        <f>Buildings_Heat_Frontend[[#This Row],[Notes]]</f>
        <v>0</v>
      </c>
    </row>
    <row r="482" spans="5:44" x14ac:dyDescent="0.3">
      <c r="E482" s="346"/>
      <c r="F482" s="364"/>
      <c r="G482" s="336"/>
      <c r="H482" s="336"/>
      <c r="I482" s="336"/>
      <c r="J482" s="334"/>
      <c r="K482" s="336"/>
      <c r="L482" s="336"/>
      <c r="M482" s="336"/>
      <c r="N482" s="352"/>
      <c r="O482" s="230">
        <f t="shared" si="23"/>
        <v>6</v>
      </c>
      <c r="Q482" s="212" t="str">
        <f t="shared" si="21"/>
        <v/>
      </c>
      <c r="R482" s="174" t="s">
        <v>265</v>
      </c>
      <c r="S482" s="174" t="s">
        <v>273</v>
      </c>
      <c r="T482" s="174" t="str">
        <f>IF(Buildings_Heat_Frontend[[#This Row],[Data]]="","", _xlfn.XLOOKUP(Buildings_Heat_Backend[[#This Row],[Info 1]],Buildings_SiteInfo[Site name],Buildings_SiteInfo[Site type]))</f>
        <v/>
      </c>
      <c r="U482" s="174" t="str">
        <f>IF(Buildings_Heat_Frontend[[#This Row],[Data]]="","", Buildings_Heat_Frontend[[#This Row],[Heating Type]])</f>
        <v/>
      </c>
      <c r="V482" s="174" t="str">
        <f>IF(Buildings_Heat_Frontend[[#This Row],[Data]]="","", Buildings_Heat_Frontend[[#This Row],[Fuel]])</f>
        <v/>
      </c>
      <c r="W482" s="174" t="str" cm="1">
        <f t="array" ref="W482">IF(Buildings_Heat_Frontend[[#This Row],[Data]]="","", _xlfn.XLOOKUP(Buildings_Heat_Backend[[#This Row],[Level 5]],rng_Level5Long,rng_Level6Long))</f>
        <v/>
      </c>
      <c r="X482" s="174" t="str">
        <f>IF(Buildings_Heat_Frontend[[#This Row],[Data]]="","", Buildings_Heat_Frontend[[#This Row],[Site Name]])</f>
        <v/>
      </c>
      <c r="Y482" s="174" t="str">
        <f>IF(Buildings_Heat_Frontend[[#This Row],[Data]]="","", Buildings_Heat_Frontend[[#This Row],[MPRN]])</f>
        <v/>
      </c>
      <c r="Z482" s="174" t="str">
        <f>IF(Buildings_Heat_Frontend[[#This Row],[Data]]="","", IF($I482="","",$I482))</f>
        <v/>
      </c>
      <c r="AA482" s="229" t="str" cm="1">
        <f t="array" ref="AA482">IF(Buildings_Heat_Frontend[[#This Row],[Data]]="","", INDEX(_xlfn.SWITCH(Buildings_Heat_Backend[[#This Row],[Methodology]],"Tier 1",rng_RSD1,"Tier 2",rng_RSD2,"Tier 3",rng_RSD3),MATCH(_xlfn.CONCAT(Buildings_Heat_Backend[[#This Row],[Level 1]:[Level 6]]),rng_LevelsConcat,0)))</f>
        <v/>
      </c>
      <c r="AB482" s="220" t="str">
        <f t="shared" si="22"/>
        <v/>
      </c>
      <c r="AC482" s="174">
        <f>Buildings_Heat_Frontend[[#This Row],[Units]]</f>
        <v>0</v>
      </c>
      <c r="AD48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2" s="174" t="str">
        <f>IF(Buildings_Heat_Frontend[[#This Row],[Data]]="","", _xlfn.XLOOKUP(_xlfn.CONCAT(Buildings_Heat_Backend[[#This Row],[Level 1]:[Level 6]]),rng_LevelsConcat,rng_UnitsLong))</f>
        <v/>
      </c>
      <c r="AF482" s="210" t="str">
        <f>IF(Buildings_Heat_Frontend[[#This Row],[Data]]="","", _xlfn.XLOOKUP(_xlfn.CONCAT(Buildings_Heat_Backend[[#This Row],[Level 1]:[Level 6]]),rng_EFConcat,rng_EF1)*Buildings_Heat_Backend[[#This Row],[Converted data]]/1000)</f>
        <v/>
      </c>
      <c r="AG482" s="210" t="str">
        <f>IF(Buildings_Heat_Frontend[[#This Row],[Data]]="","", _xlfn.XLOOKUP(_xlfn.CONCAT(Buildings_Heat_Backend[[#This Row],[Level 1]:[Level 6]]),rng_EFConcat,rng_EF2)*Buildings_Heat_Backend[[#This Row],[Converted data]]/1000)</f>
        <v/>
      </c>
      <c r="AH482" s="210" t="str">
        <f>IF(Buildings_Heat_Frontend[[#This Row],[Data]]="","", _xlfn.XLOOKUP(_xlfn.CONCAT(Buildings_Heat_Backend[[#This Row],[Level 1]:[Level 6]]),rng_EFConcat,rng_EF3)*Buildings_Heat_Backend[[#This Row],[Converted data]]/1000)</f>
        <v/>
      </c>
      <c r="AI482" s="210" t="str">
        <f>IF(Buildings_Heat_Frontend[[#This Row],[Data]]="","", _xlfn.XLOOKUP(_xlfn.CONCAT(Buildings_Heat_Backend[[#This Row],[Level 1]:[Level 6]]),rng_EFConcat,rng_EF3WTT)*Buildings_Heat_Backend[[#This Row],[Converted data]]/1000)</f>
        <v/>
      </c>
      <c r="AJ482" s="210" t="str">
        <f>IF(Buildings_Heat_Frontend[[#This Row],[Data]]="","", _xlfn.XLOOKUP(_xlfn.CONCAT(Buildings_Heat_Backend[[#This Row],[Level 1]:[Level 6]]),rng_EFConcat,rng_EF3TD)*Buildings_Heat_Backend[[#This Row],[Converted data]]/1000)</f>
        <v/>
      </c>
      <c r="AK482" s="210" t="str">
        <f>IF(Buildings_Heat_Frontend[[#This Row],[Data]]="","", _xlfn.XLOOKUP(_xlfn.CONCAT(Buildings_Heat_Backend[[#This Row],[Level 1]:[Level 6]]),rng_EFConcat,rng_EF3WTTTD)*Buildings_Heat_Backend[[#This Row],[Converted data]]/1000)</f>
        <v/>
      </c>
      <c r="AL482" s="220">
        <f>SUM(Buildings_Heat_Backend[[#This Row],[Scope 1 (tCO2e)]:[Scope 3 WTT T&amp;D (tCO2e)]])</f>
        <v>0</v>
      </c>
      <c r="AM482" s="220" t="str">
        <f>IF(Buildings_Heat_Frontend[[#This Row],[Data]]="","", Buildings_Heat_Backend[[#This Row],[Total (tCO2e)]]*(1-Buildings_Heat_Backend[[#This Row],[RSD]]))</f>
        <v/>
      </c>
      <c r="AN482" s="220" t="str">
        <f>IF(Buildings_Heat_Frontend[[#This Row],[Data]]="","", Buildings_Heat_Backend[[#This Row],[Total (tCO2e)]]*(1+Buildings_Heat_Backend[[#This Row],[RSD]]))</f>
        <v/>
      </c>
      <c r="AO482" s="210" t="str">
        <f>IF(Buildings_Heat_Frontend[[#This Row],[Data]]="","", _xlfn.XLOOKUP(_xlfn.CONCAT(Buildings_Heat_Backend[[#This Row],[Level 1]:[Level 6]]),rng_EFConcat,rng_EFOOS)*Buildings_Heat_Backend[[#This Row],[Converted data]]/1000)</f>
        <v/>
      </c>
      <c r="AP482" s="174">
        <f>Buildings_Heat_Frontend[[#This Row],[Ease of collection]]</f>
        <v>0</v>
      </c>
      <c r="AQ482" s="174">
        <f>Buildings_Heat_Frontend[[#This Row],[Completeness]]</f>
        <v>0</v>
      </c>
      <c r="AR482" s="174">
        <f>Buildings_Heat_Frontend[[#This Row],[Notes]]</f>
        <v>0</v>
      </c>
    </row>
    <row r="483" spans="5:44" x14ac:dyDescent="0.3">
      <c r="E483" s="346"/>
      <c r="F483" s="364"/>
      <c r="G483" s="336"/>
      <c r="H483" s="336"/>
      <c r="I483" s="336"/>
      <c r="J483" s="334"/>
      <c r="K483" s="336"/>
      <c r="L483" s="336"/>
      <c r="M483" s="336"/>
      <c r="N483" s="352"/>
      <c r="O483" s="230">
        <f t="shared" si="23"/>
        <v>6</v>
      </c>
      <c r="Q483" s="212" t="str">
        <f t="shared" si="21"/>
        <v/>
      </c>
      <c r="R483" s="174" t="s">
        <v>265</v>
      </c>
      <c r="S483" s="174" t="s">
        <v>273</v>
      </c>
      <c r="T483" s="174" t="str">
        <f>IF(Buildings_Heat_Frontend[[#This Row],[Data]]="","", _xlfn.XLOOKUP(Buildings_Heat_Backend[[#This Row],[Info 1]],Buildings_SiteInfo[Site name],Buildings_SiteInfo[Site type]))</f>
        <v/>
      </c>
      <c r="U483" s="174" t="str">
        <f>IF(Buildings_Heat_Frontend[[#This Row],[Data]]="","", Buildings_Heat_Frontend[[#This Row],[Heating Type]])</f>
        <v/>
      </c>
      <c r="V483" s="174" t="str">
        <f>IF(Buildings_Heat_Frontend[[#This Row],[Data]]="","", Buildings_Heat_Frontend[[#This Row],[Fuel]])</f>
        <v/>
      </c>
      <c r="W483" s="174" t="str" cm="1">
        <f t="array" ref="W483">IF(Buildings_Heat_Frontend[[#This Row],[Data]]="","", _xlfn.XLOOKUP(Buildings_Heat_Backend[[#This Row],[Level 5]],rng_Level5Long,rng_Level6Long))</f>
        <v/>
      </c>
      <c r="X483" s="174" t="str">
        <f>IF(Buildings_Heat_Frontend[[#This Row],[Data]]="","", Buildings_Heat_Frontend[[#This Row],[Site Name]])</f>
        <v/>
      </c>
      <c r="Y483" s="174" t="str">
        <f>IF(Buildings_Heat_Frontend[[#This Row],[Data]]="","", Buildings_Heat_Frontend[[#This Row],[MPRN]])</f>
        <v/>
      </c>
      <c r="Z483" s="174" t="str">
        <f>IF(Buildings_Heat_Frontend[[#This Row],[Data]]="","", IF($I483="","",$I483))</f>
        <v/>
      </c>
      <c r="AA483" s="229" t="str" cm="1">
        <f t="array" ref="AA483">IF(Buildings_Heat_Frontend[[#This Row],[Data]]="","", INDEX(_xlfn.SWITCH(Buildings_Heat_Backend[[#This Row],[Methodology]],"Tier 1",rng_RSD1,"Tier 2",rng_RSD2,"Tier 3",rng_RSD3),MATCH(_xlfn.CONCAT(Buildings_Heat_Backend[[#This Row],[Level 1]:[Level 6]]),rng_LevelsConcat,0)))</f>
        <v/>
      </c>
      <c r="AB483" s="220" t="str">
        <f t="shared" si="22"/>
        <v/>
      </c>
      <c r="AC483" s="174">
        <f>Buildings_Heat_Frontend[[#This Row],[Units]]</f>
        <v>0</v>
      </c>
      <c r="AD48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3" s="174" t="str">
        <f>IF(Buildings_Heat_Frontend[[#This Row],[Data]]="","", _xlfn.XLOOKUP(_xlfn.CONCAT(Buildings_Heat_Backend[[#This Row],[Level 1]:[Level 6]]),rng_LevelsConcat,rng_UnitsLong))</f>
        <v/>
      </c>
      <c r="AF483" s="210" t="str">
        <f>IF(Buildings_Heat_Frontend[[#This Row],[Data]]="","", _xlfn.XLOOKUP(_xlfn.CONCAT(Buildings_Heat_Backend[[#This Row],[Level 1]:[Level 6]]),rng_EFConcat,rng_EF1)*Buildings_Heat_Backend[[#This Row],[Converted data]]/1000)</f>
        <v/>
      </c>
      <c r="AG483" s="210" t="str">
        <f>IF(Buildings_Heat_Frontend[[#This Row],[Data]]="","", _xlfn.XLOOKUP(_xlfn.CONCAT(Buildings_Heat_Backend[[#This Row],[Level 1]:[Level 6]]),rng_EFConcat,rng_EF2)*Buildings_Heat_Backend[[#This Row],[Converted data]]/1000)</f>
        <v/>
      </c>
      <c r="AH483" s="210" t="str">
        <f>IF(Buildings_Heat_Frontend[[#This Row],[Data]]="","", _xlfn.XLOOKUP(_xlfn.CONCAT(Buildings_Heat_Backend[[#This Row],[Level 1]:[Level 6]]),rng_EFConcat,rng_EF3)*Buildings_Heat_Backend[[#This Row],[Converted data]]/1000)</f>
        <v/>
      </c>
      <c r="AI483" s="210" t="str">
        <f>IF(Buildings_Heat_Frontend[[#This Row],[Data]]="","", _xlfn.XLOOKUP(_xlfn.CONCAT(Buildings_Heat_Backend[[#This Row],[Level 1]:[Level 6]]),rng_EFConcat,rng_EF3WTT)*Buildings_Heat_Backend[[#This Row],[Converted data]]/1000)</f>
        <v/>
      </c>
      <c r="AJ483" s="210" t="str">
        <f>IF(Buildings_Heat_Frontend[[#This Row],[Data]]="","", _xlfn.XLOOKUP(_xlfn.CONCAT(Buildings_Heat_Backend[[#This Row],[Level 1]:[Level 6]]),rng_EFConcat,rng_EF3TD)*Buildings_Heat_Backend[[#This Row],[Converted data]]/1000)</f>
        <v/>
      </c>
      <c r="AK483" s="210" t="str">
        <f>IF(Buildings_Heat_Frontend[[#This Row],[Data]]="","", _xlfn.XLOOKUP(_xlfn.CONCAT(Buildings_Heat_Backend[[#This Row],[Level 1]:[Level 6]]),rng_EFConcat,rng_EF3WTTTD)*Buildings_Heat_Backend[[#This Row],[Converted data]]/1000)</f>
        <v/>
      </c>
      <c r="AL483" s="220">
        <f>SUM(Buildings_Heat_Backend[[#This Row],[Scope 1 (tCO2e)]:[Scope 3 WTT T&amp;D (tCO2e)]])</f>
        <v>0</v>
      </c>
      <c r="AM483" s="220" t="str">
        <f>IF(Buildings_Heat_Frontend[[#This Row],[Data]]="","", Buildings_Heat_Backend[[#This Row],[Total (tCO2e)]]*(1-Buildings_Heat_Backend[[#This Row],[RSD]]))</f>
        <v/>
      </c>
      <c r="AN483" s="220" t="str">
        <f>IF(Buildings_Heat_Frontend[[#This Row],[Data]]="","", Buildings_Heat_Backend[[#This Row],[Total (tCO2e)]]*(1+Buildings_Heat_Backend[[#This Row],[RSD]]))</f>
        <v/>
      </c>
      <c r="AO483" s="210" t="str">
        <f>IF(Buildings_Heat_Frontend[[#This Row],[Data]]="","", _xlfn.XLOOKUP(_xlfn.CONCAT(Buildings_Heat_Backend[[#This Row],[Level 1]:[Level 6]]),rng_EFConcat,rng_EFOOS)*Buildings_Heat_Backend[[#This Row],[Converted data]]/1000)</f>
        <v/>
      </c>
      <c r="AP483" s="174">
        <f>Buildings_Heat_Frontend[[#This Row],[Ease of collection]]</f>
        <v>0</v>
      </c>
      <c r="AQ483" s="174">
        <f>Buildings_Heat_Frontend[[#This Row],[Completeness]]</f>
        <v>0</v>
      </c>
      <c r="AR483" s="174">
        <f>Buildings_Heat_Frontend[[#This Row],[Notes]]</f>
        <v>0</v>
      </c>
    </row>
    <row r="484" spans="5:44" x14ac:dyDescent="0.3">
      <c r="E484" s="346"/>
      <c r="F484" s="364"/>
      <c r="G484" s="336"/>
      <c r="H484" s="336"/>
      <c r="I484" s="336"/>
      <c r="J484" s="334"/>
      <c r="K484" s="336"/>
      <c r="L484" s="336"/>
      <c r="M484" s="336"/>
      <c r="N484" s="352"/>
      <c r="O484" s="230">
        <f t="shared" si="23"/>
        <v>6</v>
      </c>
      <c r="Q484" s="212" t="str">
        <f t="shared" si="21"/>
        <v/>
      </c>
      <c r="R484" s="174" t="s">
        <v>265</v>
      </c>
      <c r="S484" s="174" t="s">
        <v>273</v>
      </c>
      <c r="T484" s="174" t="str">
        <f>IF(Buildings_Heat_Frontend[[#This Row],[Data]]="","", _xlfn.XLOOKUP(Buildings_Heat_Backend[[#This Row],[Info 1]],Buildings_SiteInfo[Site name],Buildings_SiteInfo[Site type]))</f>
        <v/>
      </c>
      <c r="U484" s="174" t="str">
        <f>IF(Buildings_Heat_Frontend[[#This Row],[Data]]="","", Buildings_Heat_Frontend[[#This Row],[Heating Type]])</f>
        <v/>
      </c>
      <c r="V484" s="174" t="str">
        <f>IF(Buildings_Heat_Frontend[[#This Row],[Data]]="","", Buildings_Heat_Frontend[[#This Row],[Fuel]])</f>
        <v/>
      </c>
      <c r="W484" s="174" t="str" cm="1">
        <f t="array" ref="W484">IF(Buildings_Heat_Frontend[[#This Row],[Data]]="","", _xlfn.XLOOKUP(Buildings_Heat_Backend[[#This Row],[Level 5]],rng_Level5Long,rng_Level6Long))</f>
        <v/>
      </c>
      <c r="X484" s="174" t="str">
        <f>IF(Buildings_Heat_Frontend[[#This Row],[Data]]="","", Buildings_Heat_Frontend[[#This Row],[Site Name]])</f>
        <v/>
      </c>
      <c r="Y484" s="174" t="str">
        <f>IF(Buildings_Heat_Frontend[[#This Row],[Data]]="","", Buildings_Heat_Frontend[[#This Row],[MPRN]])</f>
        <v/>
      </c>
      <c r="Z484" s="174" t="str">
        <f>IF(Buildings_Heat_Frontend[[#This Row],[Data]]="","", IF($I484="","",$I484))</f>
        <v/>
      </c>
      <c r="AA484" s="229" t="str" cm="1">
        <f t="array" ref="AA484">IF(Buildings_Heat_Frontend[[#This Row],[Data]]="","", INDEX(_xlfn.SWITCH(Buildings_Heat_Backend[[#This Row],[Methodology]],"Tier 1",rng_RSD1,"Tier 2",rng_RSD2,"Tier 3",rng_RSD3),MATCH(_xlfn.CONCAT(Buildings_Heat_Backend[[#This Row],[Level 1]:[Level 6]]),rng_LevelsConcat,0)))</f>
        <v/>
      </c>
      <c r="AB484" s="220" t="str">
        <f t="shared" si="22"/>
        <v/>
      </c>
      <c r="AC484" s="174">
        <f>Buildings_Heat_Frontend[[#This Row],[Units]]</f>
        <v>0</v>
      </c>
      <c r="AD48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4" s="174" t="str">
        <f>IF(Buildings_Heat_Frontend[[#This Row],[Data]]="","", _xlfn.XLOOKUP(_xlfn.CONCAT(Buildings_Heat_Backend[[#This Row],[Level 1]:[Level 6]]),rng_LevelsConcat,rng_UnitsLong))</f>
        <v/>
      </c>
      <c r="AF484" s="210" t="str">
        <f>IF(Buildings_Heat_Frontend[[#This Row],[Data]]="","", _xlfn.XLOOKUP(_xlfn.CONCAT(Buildings_Heat_Backend[[#This Row],[Level 1]:[Level 6]]),rng_EFConcat,rng_EF1)*Buildings_Heat_Backend[[#This Row],[Converted data]]/1000)</f>
        <v/>
      </c>
      <c r="AG484" s="210" t="str">
        <f>IF(Buildings_Heat_Frontend[[#This Row],[Data]]="","", _xlfn.XLOOKUP(_xlfn.CONCAT(Buildings_Heat_Backend[[#This Row],[Level 1]:[Level 6]]),rng_EFConcat,rng_EF2)*Buildings_Heat_Backend[[#This Row],[Converted data]]/1000)</f>
        <v/>
      </c>
      <c r="AH484" s="210" t="str">
        <f>IF(Buildings_Heat_Frontend[[#This Row],[Data]]="","", _xlfn.XLOOKUP(_xlfn.CONCAT(Buildings_Heat_Backend[[#This Row],[Level 1]:[Level 6]]),rng_EFConcat,rng_EF3)*Buildings_Heat_Backend[[#This Row],[Converted data]]/1000)</f>
        <v/>
      </c>
      <c r="AI484" s="210" t="str">
        <f>IF(Buildings_Heat_Frontend[[#This Row],[Data]]="","", _xlfn.XLOOKUP(_xlfn.CONCAT(Buildings_Heat_Backend[[#This Row],[Level 1]:[Level 6]]),rng_EFConcat,rng_EF3WTT)*Buildings_Heat_Backend[[#This Row],[Converted data]]/1000)</f>
        <v/>
      </c>
      <c r="AJ484" s="210" t="str">
        <f>IF(Buildings_Heat_Frontend[[#This Row],[Data]]="","", _xlfn.XLOOKUP(_xlfn.CONCAT(Buildings_Heat_Backend[[#This Row],[Level 1]:[Level 6]]),rng_EFConcat,rng_EF3TD)*Buildings_Heat_Backend[[#This Row],[Converted data]]/1000)</f>
        <v/>
      </c>
      <c r="AK484" s="210" t="str">
        <f>IF(Buildings_Heat_Frontend[[#This Row],[Data]]="","", _xlfn.XLOOKUP(_xlfn.CONCAT(Buildings_Heat_Backend[[#This Row],[Level 1]:[Level 6]]),rng_EFConcat,rng_EF3WTTTD)*Buildings_Heat_Backend[[#This Row],[Converted data]]/1000)</f>
        <v/>
      </c>
      <c r="AL484" s="220">
        <f>SUM(Buildings_Heat_Backend[[#This Row],[Scope 1 (tCO2e)]:[Scope 3 WTT T&amp;D (tCO2e)]])</f>
        <v>0</v>
      </c>
      <c r="AM484" s="220" t="str">
        <f>IF(Buildings_Heat_Frontend[[#This Row],[Data]]="","", Buildings_Heat_Backend[[#This Row],[Total (tCO2e)]]*(1-Buildings_Heat_Backend[[#This Row],[RSD]]))</f>
        <v/>
      </c>
      <c r="AN484" s="220" t="str">
        <f>IF(Buildings_Heat_Frontend[[#This Row],[Data]]="","", Buildings_Heat_Backend[[#This Row],[Total (tCO2e)]]*(1+Buildings_Heat_Backend[[#This Row],[RSD]]))</f>
        <v/>
      </c>
      <c r="AO484" s="210" t="str">
        <f>IF(Buildings_Heat_Frontend[[#This Row],[Data]]="","", _xlfn.XLOOKUP(_xlfn.CONCAT(Buildings_Heat_Backend[[#This Row],[Level 1]:[Level 6]]),rng_EFConcat,rng_EFOOS)*Buildings_Heat_Backend[[#This Row],[Converted data]]/1000)</f>
        <v/>
      </c>
      <c r="AP484" s="174">
        <f>Buildings_Heat_Frontend[[#This Row],[Ease of collection]]</f>
        <v>0</v>
      </c>
      <c r="AQ484" s="174">
        <f>Buildings_Heat_Frontend[[#This Row],[Completeness]]</f>
        <v>0</v>
      </c>
      <c r="AR484" s="174">
        <f>Buildings_Heat_Frontend[[#This Row],[Notes]]</f>
        <v>0</v>
      </c>
    </row>
    <row r="485" spans="5:44" x14ac:dyDescent="0.3">
      <c r="E485" s="346"/>
      <c r="F485" s="364"/>
      <c r="G485" s="336"/>
      <c r="H485" s="336"/>
      <c r="I485" s="336"/>
      <c r="J485" s="334"/>
      <c r="K485" s="336"/>
      <c r="L485" s="336"/>
      <c r="M485" s="336"/>
      <c r="N485" s="352"/>
      <c r="O485" s="230">
        <f t="shared" si="23"/>
        <v>6</v>
      </c>
      <c r="Q485" s="212" t="str">
        <f t="shared" si="21"/>
        <v/>
      </c>
      <c r="R485" s="174" t="s">
        <v>265</v>
      </c>
      <c r="S485" s="174" t="s">
        <v>273</v>
      </c>
      <c r="T485" s="174" t="str">
        <f>IF(Buildings_Heat_Frontend[[#This Row],[Data]]="","", _xlfn.XLOOKUP(Buildings_Heat_Backend[[#This Row],[Info 1]],Buildings_SiteInfo[Site name],Buildings_SiteInfo[Site type]))</f>
        <v/>
      </c>
      <c r="U485" s="174" t="str">
        <f>IF(Buildings_Heat_Frontend[[#This Row],[Data]]="","", Buildings_Heat_Frontend[[#This Row],[Heating Type]])</f>
        <v/>
      </c>
      <c r="V485" s="174" t="str">
        <f>IF(Buildings_Heat_Frontend[[#This Row],[Data]]="","", Buildings_Heat_Frontend[[#This Row],[Fuel]])</f>
        <v/>
      </c>
      <c r="W485" s="174" t="str" cm="1">
        <f t="array" ref="W485">IF(Buildings_Heat_Frontend[[#This Row],[Data]]="","", _xlfn.XLOOKUP(Buildings_Heat_Backend[[#This Row],[Level 5]],rng_Level5Long,rng_Level6Long))</f>
        <v/>
      </c>
      <c r="X485" s="174" t="str">
        <f>IF(Buildings_Heat_Frontend[[#This Row],[Data]]="","", Buildings_Heat_Frontend[[#This Row],[Site Name]])</f>
        <v/>
      </c>
      <c r="Y485" s="174" t="str">
        <f>IF(Buildings_Heat_Frontend[[#This Row],[Data]]="","", Buildings_Heat_Frontend[[#This Row],[MPRN]])</f>
        <v/>
      </c>
      <c r="Z485" s="174" t="str">
        <f>IF(Buildings_Heat_Frontend[[#This Row],[Data]]="","", IF($I485="","",$I485))</f>
        <v/>
      </c>
      <c r="AA485" s="229" t="str" cm="1">
        <f t="array" ref="AA485">IF(Buildings_Heat_Frontend[[#This Row],[Data]]="","", INDEX(_xlfn.SWITCH(Buildings_Heat_Backend[[#This Row],[Methodology]],"Tier 1",rng_RSD1,"Tier 2",rng_RSD2,"Tier 3",rng_RSD3),MATCH(_xlfn.CONCAT(Buildings_Heat_Backend[[#This Row],[Level 1]:[Level 6]]),rng_LevelsConcat,0)))</f>
        <v/>
      </c>
      <c r="AB485" s="220" t="str">
        <f t="shared" si="22"/>
        <v/>
      </c>
      <c r="AC485" s="174">
        <f>Buildings_Heat_Frontend[[#This Row],[Units]]</f>
        <v>0</v>
      </c>
      <c r="AD48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5" s="174" t="str">
        <f>IF(Buildings_Heat_Frontend[[#This Row],[Data]]="","", _xlfn.XLOOKUP(_xlfn.CONCAT(Buildings_Heat_Backend[[#This Row],[Level 1]:[Level 6]]),rng_LevelsConcat,rng_UnitsLong))</f>
        <v/>
      </c>
      <c r="AF485" s="210" t="str">
        <f>IF(Buildings_Heat_Frontend[[#This Row],[Data]]="","", _xlfn.XLOOKUP(_xlfn.CONCAT(Buildings_Heat_Backend[[#This Row],[Level 1]:[Level 6]]),rng_EFConcat,rng_EF1)*Buildings_Heat_Backend[[#This Row],[Converted data]]/1000)</f>
        <v/>
      </c>
      <c r="AG485" s="210" t="str">
        <f>IF(Buildings_Heat_Frontend[[#This Row],[Data]]="","", _xlfn.XLOOKUP(_xlfn.CONCAT(Buildings_Heat_Backend[[#This Row],[Level 1]:[Level 6]]),rng_EFConcat,rng_EF2)*Buildings_Heat_Backend[[#This Row],[Converted data]]/1000)</f>
        <v/>
      </c>
      <c r="AH485" s="210" t="str">
        <f>IF(Buildings_Heat_Frontend[[#This Row],[Data]]="","", _xlfn.XLOOKUP(_xlfn.CONCAT(Buildings_Heat_Backend[[#This Row],[Level 1]:[Level 6]]),rng_EFConcat,rng_EF3)*Buildings_Heat_Backend[[#This Row],[Converted data]]/1000)</f>
        <v/>
      </c>
      <c r="AI485" s="210" t="str">
        <f>IF(Buildings_Heat_Frontend[[#This Row],[Data]]="","", _xlfn.XLOOKUP(_xlfn.CONCAT(Buildings_Heat_Backend[[#This Row],[Level 1]:[Level 6]]),rng_EFConcat,rng_EF3WTT)*Buildings_Heat_Backend[[#This Row],[Converted data]]/1000)</f>
        <v/>
      </c>
      <c r="AJ485" s="210" t="str">
        <f>IF(Buildings_Heat_Frontend[[#This Row],[Data]]="","", _xlfn.XLOOKUP(_xlfn.CONCAT(Buildings_Heat_Backend[[#This Row],[Level 1]:[Level 6]]),rng_EFConcat,rng_EF3TD)*Buildings_Heat_Backend[[#This Row],[Converted data]]/1000)</f>
        <v/>
      </c>
      <c r="AK485" s="210" t="str">
        <f>IF(Buildings_Heat_Frontend[[#This Row],[Data]]="","", _xlfn.XLOOKUP(_xlfn.CONCAT(Buildings_Heat_Backend[[#This Row],[Level 1]:[Level 6]]),rng_EFConcat,rng_EF3WTTTD)*Buildings_Heat_Backend[[#This Row],[Converted data]]/1000)</f>
        <v/>
      </c>
      <c r="AL485" s="220">
        <f>SUM(Buildings_Heat_Backend[[#This Row],[Scope 1 (tCO2e)]:[Scope 3 WTT T&amp;D (tCO2e)]])</f>
        <v>0</v>
      </c>
      <c r="AM485" s="220" t="str">
        <f>IF(Buildings_Heat_Frontend[[#This Row],[Data]]="","", Buildings_Heat_Backend[[#This Row],[Total (tCO2e)]]*(1-Buildings_Heat_Backend[[#This Row],[RSD]]))</f>
        <v/>
      </c>
      <c r="AN485" s="220" t="str">
        <f>IF(Buildings_Heat_Frontend[[#This Row],[Data]]="","", Buildings_Heat_Backend[[#This Row],[Total (tCO2e)]]*(1+Buildings_Heat_Backend[[#This Row],[RSD]]))</f>
        <v/>
      </c>
      <c r="AO485" s="210" t="str">
        <f>IF(Buildings_Heat_Frontend[[#This Row],[Data]]="","", _xlfn.XLOOKUP(_xlfn.CONCAT(Buildings_Heat_Backend[[#This Row],[Level 1]:[Level 6]]),rng_EFConcat,rng_EFOOS)*Buildings_Heat_Backend[[#This Row],[Converted data]]/1000)</f>
        <v/>
      </c>
      <c r="AP485" s="174">
        <f>Buildings_Heat_Frontend[[#This Row],[Ease of collection]]</f>
        <v>0</v>
      </c>
      <c r="AQ485" s="174">
        <f>Buildings_Heat_Frontend[[#This Row],[Completeness]]</f>
        <v>0</v>
      </c>
      <c r="AR485" s="174">
        <f>Buildings_Heat_Frontend[[#This Row],[Notes]]</f>
        <v>0</v>
      </c>
    </row>
    <row r="486" spans="5:44" x14ac:dyDescent="0.3">
      <c r="E486" s="346"/>
      <c r="F486" s="364"/>
      <c r="G486" s="336"/>
      <c r="H486" s="336"/>
      <c r="I486" s="336"/>
      <c r="J486" s="334"/>
      <c r="K486" s="336"/>
      <c r="L486" s="336"/>
      <c r="M486" s="336"/>
      <c r="N486" s="352"/>
      <c r="O486" s="230">
        <f t="shared" si="23"/>
        <v>6</v>
      </c>
      <c r="Q486" s="212" t="str">
        <f t="shared" si="21"/>
        <v/>
      </c>
      <c r="R486" s="174" t="s">
        <v>265</v>
      </c>
      <c r="S486" s="174" t="s">
        <v>273</v>
      </c>
      <c r="T486" s="174" t="str">
        <f>IF(Buildings_Heat_Frontend[[#This Row],[Data]]="","", _xlfn.XLOOKUP(Buildings_Heat_Backend[[#This Row],[Info 1]],Buildings_SiteInfo[Site name],Buildings_SiteInfo[Site type]))</f>
        <v/>
      </c>
      <c r="U486" s="174" t="str">
        <f>IF(Buildings_Heat_Frontend[[#This Row],[Data]]="","", Buildings_Heat_Frontend[[#This Row],[Heating Type]])</f>
        <v/>
      </c>
      <c r="V486" s="174" t="str">
        <f>IF(Buildings_Heat_Frontend[[#This Row],[Data]]="","", Buildings_Heat_Frontend[[#This Row],[Fuel]])</f>
        <v/>
      </c>
      <c r="W486" s="174" t="str" cm="1">
        <f t="array" ref="W486">IF(Buildings_Heat_Frontend[[#This Row],[Data]]="","", _xlfn.XLOOKUP(Buildings_Heat_Backend[[#This Row],[Level 5]],rng_Level5Long,rng_Level6Long))</f>
        <v/>
      </c>
      <c r="X486" s="174" t="str">
        <f>IF(Buildings_Heat_Frontend[[#This Row],[Data]]="","", Buildings_Heat_Frontend[[#This Row],[Site Name]])</f>
        <v/>
      </c>
      <c r="Y486" s="174" t="str">
        <f>IF(Buildings_Heat_Frontend[[#This Row],[Data]]="","", Buildings_Heat_Frontend[[#This Row],[MPRN]])</f>
        <v/>
      </c>
      <c r="Z486" s="174" t="str">
        <f>IF(Buildings_Heat_Frontend[[#This Row],[Data]]="","", IF($I486="","",$I486))</f>
        <v/>
      </c>
      <c r="AA486" s="229" t="str" cm="1">
        <f t="array" ref="AA486">IF(Buildings_Heat_Frontend[[#This Row],[Data]]="","", INDEX(_xlfn.SWITCH(Buildings_Heat_Backend[[#This Row],[Methodology]],"Tier 1",rng_RSD1,"Tier 2",rng_RSD2,"Tier 3",rng_RSD3),MATCH(_xlfn.CONCAT(Buildings_Heat_Backend[[#This Row],[Level 1]:[Level 6]]),rng_LevelsConcat,0)))</f>
        <v/>
      </c>
      <c r="AB486" s="220" t="str">
        <f t="shared" si="22"/>
        <v/>
      </c>
      <c r="AC486" s="174">
        <f>Buildings_Heat_Frontend[[#This Row],[Units]]</f>
        <v>0</v>
      </c>
      <c r="AD48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6" s="174" t="str">
        <f>IF(Buildings_Heat_Frontend[[#This Row],[Data]]="","", _xlfn.XLOOKUP(_xlfn.CONCAT(Buildings_Heat_Backend[[#This Row],[Level 1]:[Level 6]]),rng_LevelsConcat,rng_UnitsLong))</f>
        <v/>
      </c>
      <c r="AF486" s="210" t="str">
        <f>IF(Buildings_Heat_Frontend[[#This Row],[Data]]="","", _xlfn.XLOOKUP(_xlfn.CONCAT(Buildings_Heat_Backend[[#This Row],[Level 1]:[Level 6]]),rng_EFConcat,rng_EF1)*Buildings_Heat_Backend[[#This Row],[Converted data]]/1000)</f>
        <v/>
      </c>
      <c r="AG486" s="210" t="str">
        <f>IF(Buildings_Heat_Frontend[[#This Row],[Data]]="","", _xlfn.XLOOKUP(_xlfn.CONCAT(Buildings_Heat_Backend[[#This Row],[Level 1]:[Level 6]]),rng_EFConcat,rng_EF2)*Buildings_Heat_Backend[[#This Row],[Converted data]]/1000)</f>
        <v/>
      </c>
      <c r="AH486" s="210" t="str">
        <f>IF(Buildings_Heat_Frontend[[#This Row],[Data]]="","", _xlfn.XLOOKUP(_xlfn.CONCAT(Buildings_Heat_Backend[[#This Row],[Level 1]:[Level 6]]),rng_EFConcat,rng_EF3)*Buildings_Heat_Backend[[#This Row],[Converted data]]/1000)</f>
        <v/>
      </c>
      <c r="AI486" s="210" t="str">
        <f>IF(Buildings_Heat_Frontend[[#This Row],[Data]]="","", _xlfn.XLOOKUP(_xlfn.CONCAT(Buildings_Heat_Backend[[#This Row],[Level 1]:[Level 6]]),rng_EFConcat,rng_EF3WTT)*Buildings_Heat_Backend[[#This Row],[Converted data]]/1000)</f>
        <v/>
      </c>
      <c r="AJ486" s="210" t="str">
        <f>IF(Buildings_Heat_Frontend[[#This Row],[Data]]="","", _xlfn.XLOOKUP(_xlfn.CONCAT(Buildings_Heat_Backend[[#This Row],[Level 1]:[Level 6]]),rng_EFConcat,rng_EF3TD)*Buildings_Heat_Backend[[#This Row],[Converted data]]/1000)</f>
        <v/>
      </c>
      <c r="AK486" s="210" t="str">
        <f>IF(Buildings_Heat_Frontend[[#This Row],[Data]]="","", _xlfn.XLOOKUP(_xlfn.CONCAT(Buildings_Heat_Backend[[#This Row],[Level 1]:[Level 6]]),rng_EFConcat,rng_EF3WTTTD)*Buildings_Heat_Backend[[#This Row],[Converted data]]/1000)</f>
        <v/>
      </c>
      <c r="AL486" s="220">
        <f>SUM(Buildings_Heat_Backend[[#This Row],[Scope 1 (tCO2e)]:[Scope 3 WTT T&amp;D (tCO2e)]])</f>
        <v>0</v>
      </c>
      <c r="AM486" s="220" t="str">
        <f>IF(Buildings_Heat_Frontend[[#This Row],[Data]]="","", Buildings_Heat_Backend[[#This Row],[Total (tCO2e)]]*(1-Buildings_Heat_Backend[[#This Row],[RSD]]))</f>
        <v/>
      </c>
      <c r="AN486" s="220" t="str">
        <f>IF(Buildings_Heat_Frontend[[#This Row],[Data]]="","", Buildings_Heat_Backend[[#This Row],[Total (tCO2e)]]*(1+Buildings_Heat_Backend[[#This Row],[RSD]]))</f>
        <v/>
      </c>
      <c r="AO486" s="210" t="str">
        <f>IF(Buildings_Heat_Frontend[[#This Row],[Data]]="","", _xlfn.XLOOKUP(_xlfn.CONCAT(Buildings_Heat_Backend[[#This Row],[Level 1]:[Level 6]]),rng_EFConcat,rng_EFOOS)*Buildings_Heat_Backend[[#This Row],[Converted data]]/1000)</f>
        <v/>
      </c>
      <c r="AP486" s="174">
        <f>Buildings_Heat_Frontend[[#This Row],[Ease of collection]]</f>
        <v>0</v>
      </c>
      <c r="AQ486" s="174">
        <f>Buildings_Heat_Frontend[[#This Row],[Completeness]]</f>
        <v>0</v>
      </c>
      <c r="AR486" s="174">
        <f>Buildings_Heat_Frontend[[#This Row],[Notes]]</f>
        <v>0</v>
      </c>
    </row>
    <row r="487" spans="5:44" x14ac:dyDescent="0.3">
      <c r="E487" s="346"/>
      <c r="F487" s="364"/>
      <c r="G487" s="336"/>
      <c r="H487" s="336"/>
      <c r="I487" s="336"/>
      <c r="J487" s="334"/>
      <c r="K487" s="336"/>
      <c r="L487" s="336"/>
      <c r="M487" s="336"/>
      <c r="N487" s="352"/>
      <c r="O487" s="230">
        <f t="shared" si="23"/>
        <v>6</v>
      </c>
      <c r="Q487" s="212" t="str">
        <f t="shared" si="21"/>
        <v/>
      </c>
      <c r="R487" s="174" t="s">
        <v>265</v>
      </c>
      <c r="S487" s="174" t="s">
        <v>273</v>
      </c>
      <c r="T487" s="174" t="str">
        <f>IF(Buildings_Heat_Frontend[[#This Row],[Data]]="","", _xlfn.XLOOKUP(Buildings_Heat_Backend[[#This Row],[Info 1]],Buildings_SiteInfo[Site name],Buildings_SiteInfo[Site type]))</f>
        <v/>
      </c>
      <c r="U487" s="174" t="str">
        <f>IF(Buildings_Heat_Frontend[[#This Row],[Data]]="","", Buildings_Heat_Frontend[[#This Row],[Heating Type]])</f>
        <v/>
      </c>
      <c r="V487" s="174" t="str">
        <f>IF(Buildings_Heat_Frontend[[#This Row],[Data]]="","", Buildings_Heat_Frontend[[#This Row],[Fuel]])</f>
        <v/>
      </c>
      <c r="W487" s="174" t="str" cm="1">
        <f t="array" ref="W487">IF(Buildings_Heat_Frontend[[#This Row],[Data]]="","", _xlfn.XLOOKUP(Buildings_Heat_Backend[[#This Row],[Level 5]],rng_Level5Long,rng_Level6Long))</f>
        <v/>
      </c>
      <c r="X487" s="174" t="str">
        <f>IF(Buildings_Heat_Frontend[[#This Row],[Data]]="","", Buildings_Heat_Frontend[[#This Row],[Site Name]])</f>
        <v/>
      </c>
      <c r="Y487" s="174" t="str">
        <f>IF(Buildings_Heat_Frontend[[#This Row],[Data]]="","", Buildings_Heat_Frontend[[#This Row],[MPRN]])</f>
        <v/>
      </c>
      <c r="Z487" s="174" t="str">
        <f>IF(Buildings_Heat_Frontend[[#This Row],[Data]]="","", IF($I487="","",$I487))</f>
        <v/>
      </c>
      <c r="AA487" s="229" t="str" cm="1">
        <f t="array" ref="AA487">IF(Buildings_Heat_Frontend[[#This Row],[Data]]="","", INDEX(_xlfn.SWITCH(Buildings_Heat_Backend[[#This Row],[Methodology]],"Tier 1",rng_RSD1,"Tier 2",rng_RSD2,"Tier 3",rng_RSD3),MATCH(_xlfn.CONCAT(Buildings_Heat_Backend[[#This Row],[Level 1]:[Level 6]]),rng_LevelsConcat,0)))</f>
        <v/>
      </c>
      <c r="AB487" s="220" t="str">
        <f t="shared" si="22"/>
        <v/>
      </c>
      <c r="AC487" s="174">
        <f>Buildings_Heat_Frontend[[#This Row],[Units]]</f>
        <v>0</v>
      </c>
      <c r="AD48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7" s="174" t="str">
        <f>IF(Buildings_Heat_Frontend[[#This Row],[Data]]="","", _xlfn.XLOOKUP(_xlfn.CONCAT(Buildings_Heat_Backend[[#This Row],[Level 1]:[Level 6]]),rng_LevelsConcat,rng_UnitsLong))</f>
        <v/>
      </c>
      <c r="AF487" s="210" t="str">
        <f>IF(Buildings_Heat_Frontend[[#This Row],[Data]]="","", _xlfn.XLOOKUP(_xlfn.CONCAT(Buildings_Heat_Backend[[#This Row],[Level 1]:[Level 6]]),rng_EFConcat,rng_EF1)*Buildings_Heat_Backend[[#This Row],[Converted data]]/1000)</f>
        <v/>
      </c>
      <c r="AG487" s="210" t="str">
        <f>IF(Buildings_Heat_Frontend[[#This Row],[Data]]="","", _xlfn.XLOOKUP(_xlfn.CONCAT(Buildings_Heat_Backend[[#This Row],[Level 1]:[Level 6]]),rng_EFConcat,rng_EF2)*Buildings_Heat_Backend[[#This Row],[Converted data]]/1000)</f>
        <v/>
      </c>
      <c r="AH487" s="210" t="str">
        <f>IF(Buildings_Heat_Frontend[[#This Row],[Data]]="","", _xlfn.XLOOKUP(_xlfn.CONCAT(Buildings_Heat_Backend[[#This Row],[Level 1]:[Level 6]]),rng_EFConcat,rng_EF3)*Buildings_Heat_Backend[[#This Row],[Converted data]]/1000)</f>
        <v/>
      </c>
      <c r="AI487" s="210" t="str">
        <f>IF(Buildings_Heat_Frontend[[#This Row],[Data]]="","", _xlfn.XLOOKUP(_xlfn.CONCAT(Buildings_Heat_Backend[[#This Row],[Level 1]:[Level 6]]),rng_EFConcat,rng_EF3WTT)*Buildings_Heat_Backend[[#This Row],[Converted data]]/1000)</f>
        <v/>
      </c>
      <c r="AJ487" s="210" t="str">
        <f>IF(Buildings_Heat_Frontend[[#This Row],[Data]]="","", _xlfn.XLOOKUP(_xlfn.CONCAT(Buildings_Heat_Backend[[#This Row],[Level 1]:[Level 6]]),rng_EFConcat,rng_EF3TD)*Buildings_Heat_Backend[[#This Row],[Converted data]]/1000)</f>
        <v/>
      </c>
      <c r="AK487" s="210" t="str">
        <f>IF(Buildings_Heat_Frontend[[#This Row],[Data]]="","", _xlfn.XLOOKUP(_xlfn.CONCAT(Buildings_Heat_Backend[[#This Row],[Level 1]:[Level 6]]),rng_EFConcat,rng_EF3WTTTD)*Buildings_Heat_Backend[[#This Row],[Converted data]]/1000)</f>
        <v/>
      </c>
      <c r="AL487" s="220">
        <f>SUM(Buildings_Heat_Backend[[#This Row],[Scope 1 (tCO2e)]:[Scope 3 WTT T&amp;D (tCO2e)]])</f>
        <v>0</v>
      </c>
      <c r="AM487" s="220" t="str">
        <f>IF(Buildings_Heat_Frontend[[#This Row],[Data]]="","", Buildings_Heat_Backend[[#This Row],[Total (tCO2e)]]*(1-Buildings_Heat_Backend[[#This Row],[RSD]]))</f>
        <v/>
      </c>
      <c r="AN487" s="220" t="str">
        <f>IF(Buildings_Heat_Frontend[[#This Row],[Data]]="","", Buildings_Heat_Backend[[#This Row],[Total (tCO2e)]]*(1+Buildings_Heat_Backend[[#This Row],[RSD]]))</f>
        <v/>
      </c>
      <c r="AO487" s="210" t="str">
        <f>IF(Buildings_Heat_Frontend[[#This Row],[Data]]="","", _xlfn.XLOOKUP(_xlfn.CONCAT(Buildings_Heat_Backend[[#This Row],[Level 1]:[Level 6]]),rng_EFConcat,rng_EFOOS)*Buildings_Heat_Backend[[#This Row],[Converted data]]/1000)</f>
        <v/>
      </c>
      <c r="AP487" s="174">
        <f>Buildings_Heat_Frontend[[#This Row],[Ease of collection]]</f>
        <v>0</v>
      </c>
      <c r="AQ487" s="174">
        <f>Buildings_Heat_Frontend[[#This Row],[Completeness]]</f>
        <v>0</v>
      </c>
      <c r="AR487" s="174">
        <f>Buildings_Heat_Frontend[[#This Row],[Notes]]</f>
        <v>0</v>
      </c>
    </row>
    <row r="488" spans="5:44" x14ac:dyDescent="0.3">
      <c r="E488" s="346"/>
      <c r="F488" s="364"/>
      <c r="G488" s="336"/>
      <c r="H488" s="336"/>
      <c r="I488" s="336"/>
      <c r="J488" s="334"/>
      <c r="K488" s="336"/>
      <c r="L488" s="336"/>
      <c r="M488" s="336"/>
      <c r="N488" s="352"/>
      <c r="O488" s="230">
        <f t="shared" si="23"/>
        <v>6</v>
      </c>
      <c r="Q488" s="212" t="str">
        <f t="shared" si="21"/>
        <v/>
      </c>
      <c r="R488" s="174" t="s">
        <v>265</v>
      </c>
      <c r="S488" s="174" t="s">
        <v>273</v>
      </c>
      <c r="T488" s="174" t="str">
        <f>IF(Buildings_Heat_Frontend[[#This Row],[Data]]="","", _xlfn.XLOOKUP(Buildings_Heat_Backend[[#This Row],[Info 1]],Buildings_SiteInfo[Site name],Buildings_SiteInfo[Site type]))</f>
        <v/>
      </c>
      <c r="U488" s="174" t="str">
        <f>IF(Buildings_Heat_Frontend[[#This Row],[Data]]="","", Buildings_Heat_Frontend[[#This Row],[Heating Type]])</f>
        <v/>
      </c>
      <c r="V488" s="174" t="str">
        <f>IF(Buildings_Heat_Frontend[[#This Row],[Data]]="","", Buildings_Heat_Frontend[[#This Row],[Fuel]])</f>
        <v/>
      </c>
      <c r="W488" s="174" t="str" cm="1">
        <f t="array" ref="W488">IF(Buildings_Heat_Frontend[[#This Row],[Data]]="","", _xlfn.XLOOKUP(Buildings_Heat_Backend[[#This Row],[Level 5]],rng_Level5Long,rng_Level6Long))</f>
        <v/>
      </c>
      <c r="X488" s="174" t="str">
        <f>IF(Buildings_Heat_Frontend[[#This Row],[Data]]="","", Buildings_Heat_Frontend[[#This Row],[Site Name]])</f>
        <v/>
      </c>
      <c r="Y488" s="174" t="str">
        <f>IF(Buildings_Heat_Frontend[[#This Row],[Data]]="","", Buildings_Heat_Frontend[[#This Row],[MPRN]])</f>
        <v/>
      </c>
      <c r="Z488" s="174" t="str">
        <f>IF(Buildings_Heat_Frontend[[#This Row],[Data]]="","", IF($I488="","",$I488))</f>
        <v/>
      </c>
      <c r="AA488" s="229" t="str" cm="1">
        <f t="array" ref="AA488">IF(Buildings_Heat_Frontend[[#This Row],[Data]]="","", INDEX(_xlfn.SWITCH(Buildings_Heat_Backend[[#This Row],[Methodology]],"Tier 1",rng_RSD1,"Tier 2",rng_RSD2,"Tier 3",rng_RSD3),MATCH(_xlfn.CONCAT(Buildings_Heat_Backend[[#This Row],[Level 1]:[Level 6]]),rng_LevelsConcat,0)))</f>
        <v/>
      </c>
      <c r="AB488" s="220" t="str">
        <f t="shared" si="22"/>
        <v/>
      </c>
      <c r="AC488" s="174">
        <f>Buildings_Heat_Frontend[[#This Row],[Units]]</f>
        <v>0</v>
      </c>
      <c r="AD48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8" s="174" t="str">
        <f>IF(Buildings_Heat_Frontend[[#This Row],[Data]]="","", _xlfn.XLOOKUP(_xlfn.CONCAT(Buildings_Heat_Backend[[#This Row],[Level 1]:[Level 6]]),rng_LevelsConcat,rng_UnitsLong))</f>
        <v/>
      </c>
      <c r="AF488" s="210" t="str">
        <f>IF(Buildings_Heat_Frontend[[#This Row],[Data]]="","", _xlfn.XLOOKUP(_xlfn.CONCAT(Buildings_Heat_Backend[[#This Row],[Level 1]:[Level 6]]),rng_EFConcat,rng_EF1)*Buildings_Heat_Backend[[#This Row],[Converted data]]/1000)</f>
        <v/>
      </c>
      <c r="AG488" s="210" t="str">
        <f>IF(Buildings_Heat_Frontend[[#This Row],[Data]]="","", _xlfn.XLOOKUP(_xlfn.CONCAT(Buildings_Heat_Backend[[#This Row],[Level 1]:[Level 6]]),rng_EFConcat,rng_EF2)*Buildings_Heat_Backend[[#This Row],[Converted data]]/1000)</f>
        <v/>
      </c>
      <c r="AH488" s="210" t="str">
        <f>IF(Buildings_Heat_Frontend[[#This Row],[Data]]="","", _xlfn.XLOOKUP(_xlfn.CONCAT(Buildings_Heat_Backend[[#This Row],[Level 1]:[Level 6]]),rng_EFConcat,rng_EF3)*Buildings_Heat_Backend[[#This Row],[Converted data]]/1000)</f>
        <v/>
      </c>
      <c r="AI488" s="210" t="str">
        <f>IF(Buildings_Heat_Frontend[[#This Row],[Data]]="","", _xlfn.XLOOKUP(_xlfn.CONCAT(Buildings_Heat_Backend[[#This Row],[Level 1]:[Level 6]]),rng_EFConcat,rng_EF3WTT)*Buildings_Heat_Backend[[#This Row],[Converted data]]/1000)</f>
        <v/>
      </c>
      <c r="AJ488" s="210" t="str">
        <f>IF(Buildings_Heat_Frontend[[#This Row],[Data]]="","", _xlfn.XLOOKUP(_xlfn.CONCAT(Buildings_Heat_Backend[[#This Row],[Level 1]:[Level 6]]),rng_EFConcat,rng_EF3TD)*Buildings_Heat_Backend[[#This Row],[Converted data]]/1000)</f>
        <v/>
      </c>
      <c r="AK488" s="210" t="str">
        <f>IF(Buildings_Heat_Frontend[[#This Row],[Data]]="","", _xlfn.XLOOKUP(_xlfn.CONCAT(Buildings_Heat_Backend[[#This Row],[Level 1]:[Level 6]]),rng_EFConcat,rng_EF3WTTTD)*Buildings_Heat_Backend[[#This Row],[Converted data]]/1000)</f>
        <v/>
      </c>
      <c r="AL488" s="220">
        <f>SUM(Buildings_Heat_Backend[[#This Row],[Scope 1 (tCO2e)]:[Scope 3 WTT T&amp;D (tCO2e)]])</f>
        <v>0</v>
      </c>
      <c r="AM488" s="220" t="str">
        <f>IF(Buildings_Heat_Frontend[[#This Row],[Data]]="","", Buildings_Heat_Backend[[#This Row],[Total (tCO2e)]]*(1-Buildings_Heat_Backend[[#This Row],[RSD]]))</f>
        <v/>
      </c>
      <c r="AN488" s="220" t="str">
        <f>IF(Buildings_Heat_Frontend[[#This Row],[Data]]="","", Buildings_Heat_Backend[[#This Row],[Total (tCO2e)]]*(1+Buildings_Heat_Backend[[#This Row],[RSD]]))</f>
        <v/>
      </c>
      <c r="AO488" s="210" t="str">
        <f>IF(Buildings_Heat_Frontend[[#This Row],[Data]]="","", _xlfn.XLOOKUP(_xlfn.CONCAT(Buildings_Heat_Backend[[#This Row],[Level 1]:[Level 6]]),rng_EFConcat,rng_EFOOS)*Buildings_Heat_Backend[[#This Row],[Converted data]]/1000)</f>
        <v/>
      </c>
      <c r="AP488" s="174">
        <f>Buildings_Heat_Frontend[[#This Row],[Ease of collection]]</f>
        <v>0</v>
      </c>
      <c r="AQ488" s="174">
        <f>Buildings_Heat_Frontend[[#This Row],[Completeness]]</f>
        <v>0</v>
      </c>
      <c r="AR488" s="174">
        <f>Buildings_Heat_Frontend[[#This Row],[Notes]]</f>
        <v>0</v>
      </c>
    </row>
    <row r="489" spans="5:44" x14ac:dyDescent="0.3">
      <c r="E489" s="346"/>
      <c r="F489" s="364"/>
      <c r="G489" s="336"/>
      <c r="H489" s="336"/>
      <c r="I489" s="336"/>
      <c r="J489" s="334"/>
      <c r="K489" s="336"/>
      <c r="L489" s="336"/>
      <c r="M489" s="336"/>
      <c r="N489" s="352"/>
      <c r="O489" s="230">
        <f t="shared" si="23"/>
        <v>6</v>
      </c>
      <c r="Q489" s="212" t="str">
        <f t="shared" si="21"/>
        <v/>
      </c>
      <c r="R489" s="174" t="s">
        <v>265</v>
      </c>
      <c r="S489" s="174" t="s">
        <v>273</v>
      </c>
      <c r="T489" s="174" t="str">
        <f>IF(Buildings_Heat_Frontend[[#This Row],[Data]]="","", _xlfn.XLOOKUP(Buildings_Heat_Backend[[#This Row],[Info 1]],Buildings_SiteInfo[Site name],Buildings_SiteInfo[Site type]))</f>
        <v/>
      </c>
      <c r="U489" s="174" t="str">
        <f>IF(Buildings_Heat_Frontend[[#This Row],[Data]]="","", Buildings_Heat_Frontend[[#This Row],[Heating Type]])</f>
        <v/>
      </c>
      <c r="V489" s="174" t="str">
        <f>IF(Buildings_Heat_Frontend[[#This Row],[Data]]="","", Buildings_Heat_Frontend[[#This Row],[Fuel]])</f>
        <v/>
      </c>
      <c r="W489" s="174" t="str" cm="1">
        <f t="array" ref="W489">IF(Buildings_Heat_Frontend[[#This Row],[Data]]="","", _xlfn.XLOOKUP(Buildings_Heat_Backend[[#This Row],[Level 5]],rng_Level5Long,rng_Level6Long))</f>
        <v/>
      </c>
      <c r="X489" s="174" t="str">
        <f>IF(Buildings_Heat_Frontend[[#This Row],[Data]]="","", Buildings_Heat_Frontend[[#This Row],[Site Name]])</f>
        <v/>
      </c>
      <c r="Y489" s="174" t="str">
        <f>IF(Buildings_Heat_Frontend[[#This Row],[Data]]="","", Buildings_Heat_Frontend[[#This Row],[MPRN]])</f>
        <v/>
      </c>
      <c r="Z489" s="174" t="str">
        <f>IF(Buildings_Heat_Frontend[[#This Row],[Data]]="","", IF($I489="","",$I489))</f>
        <v/>
      </c>
      <c r="AA489" s="229" t="str" cm="1">
        <f t="array" ref="AA489">IF(Buildings_Heat_Frontend[[#This Row],[Data]]="","", INDEX(_xlfn.SWITCH(Buildings_Heat_Backend[[#This Row],[Methodology]],"Tier 1",rng_RSD1,"Tier 2",rng_RSD2,"Tier 3",rng_RSD3),MATCH(_xlfn.CONCAT(Buildings_Heat_Backend[[#This Row],[Level 1]:[Level 6]]),rng_LevelsConcat,0)))</f>
        <v/>
      </c>
      <c r="AB489" s="220" t="str">
        <f t="shared" si="22"/>
        <v/>
      </c>
      <c r="AC489" s="174">
        <f>Buildings_Heat_Frontend[[#This Row],[Units]]</f>
        <v>0</v>
      </c>
      <c r="AD48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89" s="174" t="str">
        <f>IF(Buildings_Heat_Frontend[[#This Row],[Data]]="","", _xlfn.XLOOKUP(_xlfn.CONCAT(Buildings_Heat_Backend[[#This Row],[Level 1]:[Level 6]]),rng_LevelsConcat,rng_UnitsLong))</f>
        <v/>
      </c>
      <c r="AF489" s="210" t="str">
        <f>IF(Buildings_Heat_Frontend[[#This Row],[Data]]="","", _xlfn.XLOOKUP(_xlfn.CONCAT(Buildings_Heat_Backend[[#This Row],[Level 1]:[Level 6]]),rng_EFConcat,rng_EF1)*Buildings_Heat_Backend[[#This Row],[Converted data]]/1000)</f>
        <v/>
      </c>
      <c r="AG489" s="210" t="str">
        <f>IF(Buildings_Heat_Frontend[[#This Row],[Data]]="","", _xlfn.XLOOKUP(_xlfn.CONCAT(Buildings_Heat_Backend[[#This Row],[Level 1]:[Level 6]]),rng_EFConcat,rng_EF2)*Buildings_Heat_Backend[[#This Row],[Converted data]]/1000)</f>
        <v/>
      </c>
      <c r="AH489" s="210" t="str">
        <f>IF(Buildings_Heat_Frontend[[#This Row],[Data]]="","", _xlfn.XLOOKUP(_xlfn.CONCAT(Buildings_Heat_Backend[[#This Row],[Level 1]:[Level 6]]),rng_EFConcat,rng_EF3)*Buildings_Heat_Backend[[#This Row],[Converted data]]/1000)</f>
        <v/>
      </c>
      <c r="AI489" s="210" t="str">
        <f>IF(Buildings_Heat_Frontend[[#This Row],[Data]]="","", _xlfn.XLOOKUP(_xlfn.CONCAT(Buildings_Heat_Backend[[#This Row],[Level 1]:[Level 6]]),rng_EFConcat,rng_EF3WTT)*Buildings_Heat_Backend[[#This Row],[Converted data]]/1000)</f>
        <v/>
      </c>
      <c r="AJ489" s="210" t="str">
        <f>IF(Buildings_Heat_Frontend[[#This Row],[Data]]="","", _xlfn.XLOOKUP(_xlfn.CONCAT(Buildings_Heat_Backend[[#This Row],[Level 1]:[Level 6]]),rng_EFConcat,rng_EF3TD)*Buildings_Heat_Backend[[#This Row],[Converted data]]/1000)</f>
        <v/>
      </c>
      <c r="AK489" s="210" t="str">
        <f>IF(Buildings_Heat_Frontend[[#This Row],[Data]]="","", _xlfn.XLOOKUP(_xlfn.CONCAT(Buildings_Heat_Backend[[#This Row],[Level 1]:[Level 6]]),rng_EFConcat,rng_EF3WTTTD)*Buildings_Heat_Backend[[#This Row],[Converted data]]/1000)</f>
        <v/>
      </c>
      <c r="AL489" s="220">
        <f>SUM(Buildings_Heat_Backend[[#This Row],[Scope 1 (tCO2e)]:[Scope 3 WTT T&amp;D (tCO2e)]])</f>
        <v>0</v>
      </c>
      <c r="AM489" s="220" t="str">
        <f>IF(Buildings_Heat_Frontend[[#This Row],[Data]]="","", Buildings_Heat_Backend[[#This Row],[Total (tCO2e)]]*(1-Buildings_Heat_Backend[[#This Row],[RSD]]))</f>
        <v/>
      </c>
      <c r="AN489" s="220" t="str">
        <f>IF(Buildings_Heat_Frontend[[#This Row],[Data]]="","", Buildings_Heat_Backend[[#This Row],[Total (tCO2e)]]*(1+Buildings_Heat_Backend[[#This Row],[RSD]]))</f>
        <v/>
      </c>
      <c r="AO489" s="210" t="str">
        <f>IF(Buildings_Heat_Frontend[[#This Row],[Data]]="","", _xlfn.XLOOKUP(_xlfn.CONCAT(Buildings_Heat_Backend[[#This Row],[Level 1]:[Level 6]]),rng_EFConcat,rng_EFOOS)*Buildings_Heat_Backend[[#This Row],[Converted data]]/1000)</f>
        <v/>
      </c>
      <c r="AP489" s="174">
        <f>Buildings_Heat_Frontend[[#This Row],[Ease of collection]]</f>
        <v>0</v>
      </c>
      <c r="AQ489" s="174">
        <f>Buildings_Heat_Frontend[[#This Row],[Completeness]]</f>
        <v>0</v>
      </c>
      <c r="AR489" s="174">
        <f>Buildings_Heat_Frontend[[#This Row],[Notes]]</f>
        <v>0</v>
      </c>
    </row>
    <row r="490" spans="5:44" x14ac:dyDescent="0.3">
      <c r="E490" s="346"/>
      <c r="F490" s="364"/>
      <c r="G490" s="336"/>
      <c r="H490" s="336"/>
      <c r="I490" s="336"/>
      <c r="J490" s="334"/>
      <c r="K490" s="336"/>
      <c r="L490" s="336"/>
      <c r="M490" s="336"/>
      <c r="N490" s="352"/>
      <c r="O490" s="230">
        <f t="shared" si="23"/>
        <v>6</v>
      </c>
      <c r="Q490" s="212" t="str">
        <f t="shared" si="21"/>
        <v/>
      </c>
      <c r="R490" s="174" t="s">
        <v>265</v>
      </c>
      <c r="S490" s="174" t="s">
        <v>273</v>
      </c>
      <c r="T490" s="174" t="str">
        <f>IF(Buildings_Heat_Frontend[[#This Row],[Data]]="","", _xlfn.XLOOKUP(Buildings_Heat_Backend[[#This Row],[Info 1]],Buildings_SiteInfo[Site name],Buildings_SiteInfo[Site type]))</f>
        <v/>
      </c>
      <c r="U490" s="174" t="str">
        <f>IF(Buildings_Heat_Frontend[[#This Row],[Data]]="","", Buildings_Heat_Frontend[[#This Row],[Heating Type]])</f>
        <v/>
      </c>
      <c r="V490" s="174" t="str">
        <f>IF(Buildings_Heat_Frontend[[#This Row],[Data]]="","", Buildings_Heat_Frontend[[#This Row],[Fuel]])</f>
        <v/>
      </c>
      <c r="W490" s="174" t="str" cm="1">
        <f t="array" ref="W490">IF(Buildings_Heat_Frontend[[#This Row],[Data]]="","", _xlfn.XLOOKUP(Buildings_Heat_Backend[[#This Row],[Level 5]],rng_Level5Long,rng_Level6Long))</f>
        <v/>
      </c>
      <c r="X490" s="174" t="str">
        <f>IF(Buildings_Heat_Frontend[[#This Row],[Data]]="","", Buildings_Heat_Frontend[[#This Row],[Site Name]])</f>
        <v/>
      </c>
      <c r="Y490" s="174" t="str">
        <f>IF(Buildings_Heat_Frontend[[#This Row],[Data]]="","", Buildings_Heat_Frontend[[#This Row],[MPRN]])</f>
        <v/>
      </c>
      <c r="Z490" s="174" t="str">
        <f>IF(Buildings_Heat_Frontend[[#This Row],[Data]]="","", IF($I490="","",$I490))</f>
        <v/>
      </c>
      <c r="AA490" s="229" t="str" cm="1">
        <f t="array" ref="AA490">IF(Buildings_Heat_Frontend[[#This Row],[Data]]="","", INDEX(_xlfn.SWITCH(Buildings_Heat_Backend[[#This Row],[Methodology]],"Tier 1",rng_RSD1,"Tier 2",rng_RSD2,"Tier 3",rng_RSD3),MATCH(_xlfn.CONCAT(Buildings_Heat_Backend[[#This Row],[Level 1]:[Level 6]]),rng_LevelsConcat,0)))</f>
        <v/>
      </c>
      <c r="AB490" s="220" t="str">
        <f t="shared" si="22"/>
        <v/>
      </c>
      <c r="AC490" s="174">
        <f>Buildings_Heat_Frontend[[#This Row],[Units]]</f>
        <v>0</v>
      </c>
      <c r="AD49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0" s="174" t="str">
        <f>IF(Buildings_Heat_Frontend[[#This Row],[Data]]="","", _xlfn.XLOOKUP(_xlfn.CONCAT(Buildings_Heat_Backend[[#This Row],[Level 1]:[Level 6]]),rng_LevelsConcat,rng_UnitsLong))</f>
        <v/>
      </c>
      <c r="AF490" s="210" t="str">
        <f>IF(Buildings_Heat_Frontend[[#This Row],[Data]]="","", _xlfn.XLOOKUP(_xlfn.CONCAT(Buildings_Heat_Backend[[#This Row],[Level 1]:[Level 6]]),rng_EFConcat,rng_EF1)*Buildings_Heat_Backend[[#This Row],[Converted data]]/1000)</f>
        <v/>
      </c>
      <c r="AG490" s="210" t="str">
        <f>IF(Buildings_Heat_Frontend[[#This Row],[Data]]="","", _xlfn.XLOOKUP(_xlfn.CONCAT(Buildings_Heat_Backend[[#This Row],[Level 1]:[Level 6]]),rng_EFConcat,rng_EF2)*Buildings_Heat_Backend[[#This Row],[Converted data]]/1000)</f>
        <v/>
      </c>
      <c r="AH490" s="210" t="str">
        <f>IF(Buildings_Heat_Frontend[[#This Row],[Data]]="","", _xlfn.XLOOKUP(_xlfn.CONCAT(Buildings_Heat_Backend[[#This Row],[Level 1]:[Level 6]]),rng_EFConcat,rng_EF3)*Buildings_Heat_Backend[[#This Row],[Converted data]]/1000)</f>
        <v/>
      </c>
      <c r="AI490" s="210" t="str">
        <f>IF(Buildings_Heat_Frontend[[#This Row],[Data]]="","", _xlfn.XLOOKUP(_xlfn.CONCAT(Buildings_Heat_Backend[[#This Row],[Level 1]:[Level 6]]),rng_EFConcat,rng_EF3WTT)*Buildings_Heat_Backend[[#This Row],[Converted data]]/1000)</f>
        <v/>
      </c>
      <c r="AJ490" s="210" t="str">
        <f>IF(Buildings_Heat_Frontend[[#This Row],[Data]]="","", _xlfn.XLOOKUP(_xlfn.CONCAT(Buildings_Heat_Backend[[#This Row],[Level 1]:[Level 6]]),rng_EFConcat,rng_EF3TD)*Buildings_Heat_Backend[[#This Row],[Converted data]]/1000)</f>
        <v/>
      </c>
      <c r="AK490" s="210" t="str">
        <f>IF(Buildings_Heat_Frontend[[#This Row],[Data]]="","", _xlfn.XLOOKUP(_xlfn.CONCAT(Buildings_Heat_Backend[[#This Row],[Level 1]:[Level 6]]),rng_EFConcat,rng_EF3WTTTD)*Buildings_Heat_Backend[[#This Row],[Converted data]]/1000)</f>
        <v/>
      </c>
      <c r="AL490" s="220">
        <f>SUM(Buildings_Heat_Backend[[#This Row],[Scope 1 (tCO2e)]:[Scope 3 WTT T&amp;D (tCO2e)]])</f>
        <v>0</v>
      </c>
      <c r="AM490" s="220" t="str">
        <f>IF(Buildings_Heat_Frontend[[#This Row],[Data]]="","", Buildings_Heat_Backend[[#This Row],[Total (tCO2e)]]*(1-Buildings_Heat_Backend[[#This Row],[RSD]]))</f>
        <v/>
      </c>
      <c r="AN490" s="220" t="str">
        <f>IF(Buildings_Heat_Frontend[[#This Row],[Data]]="","", Buildings_Heat_Backend[[#This Row],[Total (tCO2e)]]*(1+Buildings_Heat_Backend[[#This Row],[RSD]]))</f>
        <v/>
      </c>
      <c r="AO490" s="210" t="str">
        <f>IF(Buildings_Heat_Frontend[[#This Row],[Data]]="","", _xlfn.XLOOKUP(_xlfn.CONCAT(Buildings_Heat_Backend[[#This Row],[Level 1]:[Level 6]]),rng_EFConcat,rng_EFOOS)*Buildings_Heat_Backend[[#This Row],[Converted data]]/1000)</f>
        <v/>
      </c>
      <c r="AP490" s="174">
        <f>Buildings_Heat_Frontend[[#This Row],[Ease of collection]]</f>
        <v>0</v>
      </c>
      <c r="AQ490" s="174">
        <f>Buildings_Heat_Frontend[[#This Row],[Completeness]]</f>
        <v>0</v>
      </c>
      <c r="AR490" s="174">
        <f>Buildings_Heat_Frontend[[#This Row],[Notes]]</f>
        <v>0</v>
      </c>
    </row>
    <row r="491" spans="5:44" x14ac:dyDescent="0.3">
      <c r="E491" s="346"/>
      <c r="F491" s="364"/>
      <c r="G491" s="336"/>
      <c r="H491" s="336"/>
      <c r="I491" s="336"/>
      <c r="J491" s="334"/>
      <c r="K491" s="336"/>
      <c r="L491" s="336"/>
      <c r="M491" s="336"/>
      <c r="N491" s="352"/>
      <c r="O491" s="230">
        <f t="shared" si="23"/>
        <v>6</v>
      </c>
      <c r="Q491" s="212" t="str">
        <f t="shared" si="21"/>
        <v/>
      </c>
      <c r="R491" s="174" t="s">
        <v>265</v>
      </c>
      <c r="S491" s="174" t="s">
        <v>273</v>
      </c>
      <c r="T491" s="174" t="str">
        <f>IF(Buildings_Heat_Frontend[[#This Row],[Data]]="","", _xlfn.XLOOKUP(Buildings_Heat_Backend[[#This Row],[Info 1]],Buildings_SiteInfo[Site name],Buildings_SiteInfo[Site type]))</f>
        <v/>
      </c>
      <c r="U491" s="174" t="str">
        <f>IF(Buildings_Heat_Frontend[[#This Row],[Data]]="","", Buildings_Heat_Frontend[[#This Row],[Heating Type]])</f>
        <v/>
      </c>
      <c r="V491" s="174" t="str">
        <f>IF(Buildings_Heat_Frontend[[#This Row],[Data]]="","", Buildings_Heat_Frontend[[#This Row],[Fuel]])</f>
        <v/>
      </c>
      <c r="W491" s="174" t="str" cm="1">
        <f t="array" ref="W491">IF(Buildings_Heat_Frontend[[#This Row],[Data]]="","", _xlfn.XLOOKUP(Buildings_Heat_Backend[[#This Row],[Level 5]],rng_Level5Long,rng_Level6Long))</f>
        <v/>
      </c>
      <c r="X491" s="174" t="str">
        <f>IF(Buildings_Heat_Frontend[[#This Row],[Data]]="","", Buildings_Heat_Frontend[[#This Row],[Site Name]])</f>
        <v/>
      </c>
      <c r="Y491" s="174" t="str">
        <f>IF(Buildings_Heat_Frontend[[#This Row],[Data]]="","", Buildings_Heat_Frontend[[#This Row],[MPRN]])</f>
        <v/>
      </c>
      <c r="Z491" s="174" t="str">
        <f>IF(Buildings_Heat_Frontend[[#This Row],[Data]]="","", IF($I491="","",$I491))</f>
        <v/>
      </c>
      <c r="AA491" s="229" t="str" cm="1">
        <f t="array" ref="AA491">IF(Buildings_Heat_Frontend[[#This Row],[Data]]="","", INDEX(_xlfn.SWITCH(Buildings_Heat_Backend[[#This Row],[Methodology]],"Tier 1",rng_RSD1,"Tier 2",rng_RSD2,"Tier 3",rng_RSD3),MATCH(_xlfn.CONCAT(Buildings_Heat_Backend[[#This Row],[Level 1]:[Level 6]]),rng_LevelsConcat,0)))</f>
        <v/>
      </c>
      <c r="AB491" s="220" t="str">
        <f t="shared" si="22"/>
        <v/>
      </c>
      <c r="AC491" s="174">
        <f>Buildings_Heat_Frontend[[#This Row],[Units]]</f>
        <v>0</v>
      </c>
      <c r="AD49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1" s="174" t="str">
        <f>IF(Buildings_Heat_Frontend[[#This Row],[Data]]="","", _xlfn.XLOOKUP(_xlfn.CONCAT(Buildings_Heat_Backend[[#This Row],[Level 1]:[Level 6]]),rng_LevelsConcat,rng_UnitsLong))</f>
        <v/>
      </c>
      <c r="AF491" s="210" t="str">
        <f>IF(Buildings_Heat_Frontend[[#This Row],[Data]]="","", _xlfn.XLOOKUP(_xlfn.CONCAT(Buildings_Heat_Backend[[#This Row],[Level 1]:[Level 6]]),rng_EFConcat,rng_EF1)*Buildings_Heat_Backend[[#This Row],[Converted data]]/1000)</f>
        <v/>
      </c>
      <c r="AG491" s="210" t="str">
        <f>IF(Buildings_Heat_Frontend[[#This Row],[Data]]="","", _xlfn.XLOOKUP(_xlfn.CONCAT(Buildings_Heat_Backend[[#This Row],[Level 1]:[Level 6]]),rng_EFConcat,rng_EF2)*Buildings_Heat_Backend[[#This Row],[Converted data]]/1000)</f>
        <v/>
      </c>
      <c r="AH491" s="210" t="str">
        <f>IF(Buildings_Heat_Frontend[[#This Row],[Data]]="","", _xlfn.XLOOKUP(_xlfn.CONCAT(Buildings_Heat_Backend[[#This Row],[Level 1]:[Level 6]]),rng_EFConcat,rng_EF3)*Buildings_Heat_Backend[[#This Row],[Converted data]]/1000)</f>
        <v/>
      </c>
      <c r="AI491" s="210" t="str">
        <f>IF(Buildings_Heat_Frontend[[#This Row],[Data]]="","", _xlfn.XLOOKUP(_xlfn.CONCAT(Buildings_Heat_Backend[[#This Row],[Level 1]:[Level 6]]),rng_EFConcat,rng_EF3WTT)*Buildings_Heat_Backend[[#This Row],[Converted data]]/1000)</f>
        <v/>
      </c>
      <c r="AJ491" s="210" t="str">
        <f>IF(Buildings_Heat_Frontend[[#This Row],[Data]]="","", _xlfn.XLOOKUP(_xlfn.CONCAT(Buildings_Heat_Backend[[#This Row],[Level 1]:[Level 6]]),rng_EFConcat,rng_EF3TD)*Buildings_Heat_Backend[[#This Row],[Converted data]]/1000)</f>
        <v/>
      </c>
      <c r="AK491" s="210" t="str">
        <f>IF(Buildings_Heat_Frontend[[#This Row],[Data]]="","", _xlfn.XLOOKUP(_xlfn.CONCAT(Buildings_Heat_Backend[[#This Row],[Level 1]:[Level 6]]),rng_EFConcat,rng_EF3WTTTD)*Buildings_Heat_Backend[[#This Row],[Converted data]]/1000)</f>
        <v/>
      </c>
      <c r="AL491" s="220">
        <f>SUM(Buildings_Heat_Backend[[#This Row],[Scope 1 (tCO2e)]:[Scope 3 WTT T&amp;D (tCO2e)]])</f>
        <v>0</v>
      </c>
      <c r="AM491" s="220" t="str">
        <f>IF(Buildings_Heat_Frontend[[#This Row],[Data]]="","", Buildings_Heat_Backend[[#This Row],[Total (tCO2e)]]*(1-Buildings_Heat_Backend[[#This Row],[RSD]]))</f>
        <v/>
      </c>
      <c r="AN491" s="220" t="str">
        <f>IF(Buildings_Heat_Frontend[[#This Row],[Data]]="","", Buildings_Heat_Backend[[#This Row],[Total (tCO2e)]]*(1+Buildings_Heat_Backend[[#This Row],[RSD]]))</f>
        <v/>
      </c>
      <c r="AO491" s="210" t="str">
        <f>IF(Buildings_Heat_Frontend[[#This Row],[Data]]="","", _xlfn.XLOOKUP(_xlfn.CONCAT(Buildings_Heat_Backend[[#This Row],[Level 1]:[Level 6]]),rng_EFConcat,rng_EFOOS)*Buildings_Heat_Backend[[#This Row],[Converted data]]/1000)</f>
        <v/>
      </c>
      <c r="AP491" s="174">
        <f>Buildings_Heat_Frontend[[#This Row],[Ease of collection]]</f>
        <v>0</v>
      </c>
      <c r="AQ491" s="174">
        <f>Buildings_Heat_Frontend[[#This Row],[Completeness]]</f>
        <v>0</v>
      </c>
      <c r="AR491" s="174">
        <f>Buildings_Heat_Frontend[[#This Row],[Notes]]</f>
        <v>0</v>
      </c>
    </row>
    <row r="492" spans="5:44" x14ac:dyDescent="0.3">
      <c r="E492" s="346"/>
      <c r="F492" s="364"/>
      <c r="G492" s="336"/>
      <c r="H492" s="336"/>
      <c r="I492" s="336"/>
      <c r="J492" s="334"/>
      <c r="K492" s="336"/>
      <c r="L492" s="336"/>
      <c r="M492" s="336"/>
      <c r="N492" s="352"/>
      <c r="O492" s="230">
        <f t="shared" si="23"/>
        <v>6</v>
      </c>
      <c r="Q492" s="212" t="str">
        <f t="shared" si="21"/>
        <v/>
      </c>
      <c r="R492" s="174" t="s">
        <v>265</v>
      </c>
      <c r="S492" s="174" t="s">
        <v>273</v>
      </c>
      <c r="T492" s="174" t="str">
        <f>IF(Buildings_Heat_Frontend[[#This Row],[Data]]="","", _xlfn.XLOOKUP(Buildings_Heat_Backend[[#This Row],[Info 1]],Buildings_SiteInfo[Site name],Buildings_SiteInfo[Site type]))</f>
        <v/>
      </c>
      <c r="U492" s="174" t="str">
        <f>IF(Buildings_Heat_Frontend[[#This Row],[Data]]="","", Buildings_Heat_Frontend[[#This Row],[Heating Type]])</f>
        <v/>
      </c>
      <c r="V492" s="174" t="str">
        <f>IF(Buildings_Heat_Frontend[[#This Row],[Data]]="","", Buildings_Heat_Frontend[[#This Row],[Fuel]])</f>
        <v/>
      </c>
      <c r="W492" s="174" t="str" cm="1">
        <f t="array" ref="W492">IF(Buildings_Heat_Frontend[[#This Row],[Data]]="","", _xlfn.XLOOKUP(Buildings_Heat_Backend[[#This Row],[Level 5]],rng_Level5Long,rng_Level6Long))</f>
        <v/>
      </c>
      <c r="X492" s="174" t="str">
        <f>IF(Buildings_Heat_Frontend[[#This Row],[Data]]="","", Buildings_Heat_Frontend[[#This Row],[Site Name]])</f>
        <v/>
      </c>
      <c r="Y492" s="174" t="str">
        <f>IF(Buildings_Heat_Frontend[[#This Row],[Data]]="","", Buildings_Heat_Frontend[[#This Row],[MPRN]])</f>
        <v/>
      </c>
      <c r="Z492" s="174" t="str">
        <f>IF(Buildings_Heat_Frontend[[#This Row],[Data]]="","", IF($I492="","",$I492))</f>
        <v/>
      </c>
      <c r="AA492" s="229" t="str" cm="1">
        <f t="array" ref="AA492">IF(Buildings_Heat_Frontend[[#This Row],[Data]]="","", INDEX(_xlfn.SWITCH(Buildings_Heat_Backend[[#This Row],[Methodology]],"Tier 1",rng_RSD1,"Tier 2",rng_RSD2,"Tier 3",rng_RSD3),MATCH(_xlfn.CONCAT(Buildings_Heat_Backend[[#This Row],[Level 1]:[Level 6]]),rng_LevelsConcat,0)))</f>
        <v/>
      </c>
      <c r="AB492" s="220" t="str">
        <f t="shared" si="22"/>
        <v/>
      </c>
      <c r="AC492" s="174">
        <f>Buildings_Heat_Frontend[[#This Row],[Units]]</f>
        <v>0</v>
      </c>
      <c r="AD49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2" s="174" t="str">
        <f>IF(Buildings_Heat_Frontend[[#This Row],[Data]]="","", _xlfn.XLOOKUP(_xlfn.CONCAT(Buildings_Heat_Backend[[#This Row],[Level 1]:[Level 6]]),rng_LevelsConcat,rng_UnitsLong))</f>
        <v/>
      </c>
      <c r="AF492" s="210" t="str">
        <f>IF(Buildings_Heat_Frontend[[#This Row],[Data]]="","", _xlfn.XLOOKUP(_xlfn.CONCAT(Buildings_Heat_Backend[[#This Row],[Level 1]:[Level 6]]),rng_EFConcat,rng_EF1)*Buildings_Heat_Backend[[#This Row],[Converted data]]/1000)</f>
        <v/>
      </c>
      <c r="AG492" s="210" t="str">
        <f>IF(Buildings_Heat_Frontend[[#This Row],[Data]]="","", _xlfn.XLOOKUP(_xlfn.CONCAT(Buildings_Heat_Backend[[#This Row],[Level 1]:[Level 6]]),rng_EFConcat,rng_EF2)*Buildings_Heat_Backend[[#This Row],[Converted data]]/1000)</f>
        <v/>
      </c>
      <c r="AH492" s="210" t="str">
        <f>IF(Buildings_Heat_Frontend[[#This Row],[Data]]="","", _xlfn.XLOOKUP(_xlfn.CONCAT(Buildings_Heat_Backend[[#This Row],[Level 1]:[Level 6]]),rng_EFConcat,rng_EF3)*Buildings_Heat_Backend[[#This Row],[Converted data]]/1000)</f>
        <v/>
      </c>
      <c r="AI492" s="210" t="str">
        <f>IF(Buildings_Heat_Frontend[[#This Row],[Data]]="","", _xlfn.XLOOKUP(_xlfn.CONCAT(Buildings_Heat_Backend[[#This Row],[Level 1]:[Level 6]]),rng_EFConcat,rng_EF3WTT)*Buildings_Heat_Backend[[#This Row],[Converted data]]/1000)</f>
        <v/>
      </c>
      <c r="AJ492" s="210" t="str">
        <f>IF(Buildings_Heat_Frontend[[#This Row],[Data]]="","", _xlfn.XLOOKUP(_xlfn.CONCAT(Buildings_Heat_Backend[[#This Row],[Level 1]:[Level 6]]),rng_EFConcat,rng_EF3TD)*Buildings_Heat_Backend[[#This Row],[Converted data]]/1000)</f>
        <v/>
      </c>
      <c r="AK492" s="210" t="str">
        <f>IF(Buildings_Heat_Frontend[[#This Row],[Data]]="","", _xlfn.XLOOKUP(_xlfn.CONCAT(Buildings_Heat_Backend[[#This Row],[Level 1]:[Level 6]]),rng_EFConcat,rng_EF3WTTTD)*Buildings_Heat_Backend[[#This Row],[Converted data]]/1000)</f>
        <v/>
      </c>
      <c r="AL492" s="220">
        <f>SUM(Buildings_Heat_Backend[[#This Row],[Scope 1 (tCO2e)]:[Scope 3 WTT T&amp;D (tCO2e)]])</f>
        <v>0</v>
      </c>
      <c r="AM492" s="220" t="str">
        <f>IF(Buildings_Heat_Frontend[[#This Row],[Data]]="","", Buildings_Heat_Backend[[#This Row],[Total (tCO2e)]]*(1-Buildings_Heat_Backend[[#This Row],[RSD]]))</f>
        <v/>
      </c>
      <c r="AN492" s="220" t="str">
        <f>IF(Buildings_Heat_Frontend[[#This Row],[Data]]="","", Buildings_Heat_Backend[[#This Row],[Total (tCO2e)]]*(1+Buildings_Heat_Backend[[#This Row],[RSD]]))</f>
        <v/>
      </c>
      <c r="AO492" s="210" t="str">
        <f>IF(Buildings_Heat_Frontend[[#This Row],[Data]]="","", _xlfn.XLOOKUP(_xlfn.CONCAT(Buildings_Heat_Backend[[#This Row],[Level 1]:[Level 6]]),rng_EFConcat,rng_EFOOS)*Buildings_Heat_Backend[[#This Row],[Converted data]]/1000)</f>
        <v/>
      </c>
      <c r="AP492" s="174">
        <f>Buildings_Heat_Frontend[[#This Row],[Ease of collection]]</f>
        <v>0</v>
      </c>
      <c r="AQ492" s="174">
        <f>Buildings_Heat_Frontend[[#This Row],[Completeness]]</f>
        <v>0</v>
      </c>
      <c r="AR492" s="174">
        <f>Buildings_Heat_Frontend[[#This Row],[Notes]]</f>
        <v>0</v>
      </c>
    </row>
    <row r="493" spans="5:44" x14ac:dyDescent="0.3">
      <c r="E493" s="346"/>
      <c r="F493" s="364"/>
      <c r="G493" s="336"/>
      <c r="H493" s="336"/>
      <c r="I493" s="336"/>
      <c r="J493" s="334"/>
      <c r="K493" s="336"/>
      <c r="L493" s="336"/>
      <c r="M493" s="336"/>
      <c r="N493" s="352"/>
      <c r="O493" s="230">
        <f t="shared" si="23"/>
        <v>6</v>
      </c>
      <c r="Q493" s="212" t="str">
        <f t="shared" si="21"/>
        <v/>
      </c>
      <c r="R493" s="174" t="s">
        <v>265</v>
      </c>
      <c r="S493" s="174" t="s">
        <v>273</v>
      </c>
      <c r="T493" s="174" t="str">
        <f>IF(Buildings_Heat_Frontend[[#This Row],[Data]]="","", _xlfn.XLOOKUP(Buildings_Heat_Backend[[#This Row],[Info 1]],Buildings_SiteInfo[Site name],Buildings_SiteInfo[Site type]))</f>
        <v/>
      </c>
      <c r="U493" s="174" t="str">
        <f>IF(Buildings_Heat_Frontend[[#This Row],[Data]]="","", Buildings_Heat_Frontend[[#This Row],[Heating Type]])</f>
        <v/>
      </c>
      <c r="V493" s="174" t="str">
        <f>IF(Buildings_Heat_Frontend[[#This Row],[Data]]="","", Buildings_Heat_Frontend[[#This Row],[Fuel]])</f>
        <v/>
      </c>
      <c r="W493" s="174" t="str" cm="1">
        <f t="array" ref="W493">IF(Buildings_Heat_Frontend[[#This Row],[Data]]="","", _xlfn.XLOOKUP(Buildings_Heat_Backend[[#This Row],[Level 5]],rng_Level5Long,rng_Level6Long))</f>
        <v/>
      </c>
      <c r="X493" s="174" t="str">
        <f>IF(Buildings_Heat_Frontend[[#This Row],[Data]]="","", Buildings_Heat_Frontend[[#This Row],[Site Name]])</f>
        <v/>
      </c>
      <c r="Y493" s="174" t="str">
        <f>IF(Buildings_Heat_Frontend[[#This Row],[Data]]="","", Buildings_Heat_Frontend[[#This Row],[MPRN]])</f>
        <v/>
      </c>
      <c r="Z493" s="174" t="str">
        <f>IF(Buildings_Heat_Frontend[[#This Row],[Data]]="","", IF($I493="","",$I493))</f>
        <v/>
      </c>
      <c r="AA493" s="229" t="str" cm="1">
        <f t="array" ref="AA493">IF(Buildings_Heat_Frontend[[#This Row],[Data]]="","", INDEX(_xlfn.SWITCH(Buildings_Heat_Backend[[#This Row],[Methodology]],"Tier 1",rng_RSD1,"Tier 2",rng_RSD2,"Tier 3",rng_RSD3),MATCH(_xlfn.CONCAT(Buildings_Heat_Backend[[#This Row],[Level 1]:[Level 6]]),rng_LevelsConcat,0)))</f>
        <v/>
      </c>
      <c r="AB493" s="220" t="str">
        <f t="shared" si="22"/>
        <v/>
      </c>
      <c r="AC493" s="174">
        <f>Buildings_Heat_Frontend[[#This Row],[Units]]</f>
        <v>0</v>
      </c>
      <c r="AD49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3" s="174" t="str">
        <f>IF(Buildings_Heat_Frontend[[#This Row],[Data]]="","", _xlfn.XLOOKUP(_xlfn.CONCAT(Buildings_Heat_Backend[[#This Row],[Level 1]:[Level 6]]),rng_LevelsConcat,rng_UnitsLong))</f>
        <v/>
      </c>
      <c r="AF493" s="210" t="str">
        <f>IF(Buildings_Heat_Frontend[[#This Row],[Data]]="","", _xlfn.XLOOKUP(_xlfn.CONCAT(Buildings_Heat_Backend[[#This Row],[Level 1]:[Level 6]]),rng_EFConcat,rng_EF1)*Buildings_Heat_Backend[[#This Row],[Converted data]]/1000)</f>
        <v/>
      </c>
      <c r="AG493" s="210" t="str">
        <f>IF(Buildings_Heat_Frontend[[#This Row],[Data]]="","", _xlfn.XLOOKUP(_xlfn.CONCAT(Buildings_Heat_Backend[[#This Row],[Level 1]:[Level 6]]),rng_EFConcat,rng_EF2)*Buildings_Heat_Backend[[#This Row],[Converted data]]/1000)</f>
        <v/>
      </c>
      <c r="AH493" s="210" t="str">
        <f>IF(Buildings_Heat_Frontend[[#This Row],[Data]]="","", _xlfn.XLOOKUP(_xlfn.CONCAT(Buildings_Heat_Backend[[#This Row],[Level 1]:[Level 6]]),rng_EFConcat,rng_EF3)*Buildings_Heat_Backend[[#This Row],[Converted data]]/1000)</f>
        <v/>
      </c>
      <c r="AI493" s="210" t="str">
        <f>IF(Buildings_Heat_Frontend[[#This Row],[Data]]="","", _xlfn.XLOOKUP(_xlfn.CONCAT(Buildings_Heat_Backend[[#This Row],[Level 1]:[Level 6]]),rng_EFConcat,rng_EF3WTT)*Buildings_Heat_Backend[[#This Row],[Converted data]]/1000)</f>
        <v/>
      </c>
      <c r="AJ493" s="210" t="str">
        <f>IF(Buildings_Heat_Frontend[[#This Row],[Data]]="","", _xlfn.XLOOKUP(_xlfn.CONCAT(Buildings_Heat_Backend[[#This Row],[Level 1]:[Level 6]]),rng_EFConcat,rng_EF3TD)*Buildings_Heat_Backend[[#This Row],[Converted data]]/1000)</f>
        <v/>
      </c>
      <c r="AK493" s="210" t="str">
        <f>IF(Buildings_Heat_Frontend[[#This Row],[Data]]="","", _xlfn.XLOOKUP(_xlfn.CONCAT(Buildings_Heat_Backend[[#This Row],[Level 1]:[Level 6]]),rng_EFConcat,rng_EF3WTTTD)*Buildings_Heat_Backend[[#This Row],[Converted data]]/1000)</f>
        <v/>
      </c>
      <c r="AL493" s="220">
        <f>SUM(Buildings_Heat_Backend[[#This Row],[Scope 1 (tCO2e)]:[Scope 3 WTT T&amp;D (tCO2e)]])</f>
        <v>0</v>
      </c>
      <c r="AM493" s="220" t="str">
        <f>IF(Buildings_Heat_Frontend[[#This Row],[Data]]="","", Buildings_Heat_Backend[[#This Row],[Total (tCO2e)]]*(1-Buildings_Heat_Backend[[#This Row],[RSD]]))</f>
        <v/>
      </c>
      <c r="AN493" s="220" t="str">
        <f>IF(Buildings_Heat_Frontend[[#This Row],[Data]]="","", Buildings_Heat_Backend[[#This Row],[Total (tCO2e)]]*(1+Buildings_Heat_Backend[[#This Row],[RSD]]))</f>
        <v/>
      </c>
      <c r="AO493" s="210" t="str">
        <f>IF(Buildings_Heat_Frontend[[#This Row],[Data]]="","", _xlfn.XLOOKUP(_xlfn.CONCAT(Buildings_Heat_Backend[[#This Row],[Level 1]:[Level 6]]),rng_EFConcat,rng_EFOOS)*Buildings_Heat_Backend[[#This Row],[Converted data]]/1000)</f>
        <v/>
      </c>
      <c r="AP493" s="174">
        <f>Buildings_Heat_Frontend[[#This Row],[Ease of collection]]</f>
        <v>0</v>
      </c>
      <c r="AQ493" s="174">
        <f>Buildings_Heat_Frontend[[#This Row],[Completeness]]</f>
        <v>0</v>
      </c>
      <c r="AR493" s="174">
        <f>Buildings_Heat_Frontend[[#This Row],[Notes]]</f>
        <v>0</v>
      </c>
    </row>
    <row r="494" spans="5:44" x14ac:dyDescent="0.3">
      <c r="E494" s="346"/>
      <c r="F494" s="364"/>
      <c r="G494" s="336"/>
      <c r="H494" s="336"/>
      <c r="I494" s="336"/>
      <c r="J494" s="334"/>
      <c r="K494" s="336"/>
      <c r="L494" s="336"/>
      <c r="M494" s="336"/>
      <c r="N494" s="352"/>
      <c r="O494" s="230">
        <f t="shared" si="23"/>
        <v>6</v>
      </c>
      <c r="Q494" s="212" t="str">
        <f t="shared" si="21"/>
        <v/>
      </c>
      <c r="R494" s="174" t="s">
        <v>265</v>
      </c>
      <c r="S494" s="174" t="s">
        <v>273</v>
      </c>
      <c r="T494" s="174" t="str">
        <f>IF(Buildings_Heat_Frontend[[#This Row],[Data]]="","", _xlfn.XLOOKUP(Buildings_Heat_Backend[[#This Row],[Info 1]],Buildings_SiteInfo[Site name],Buildings_SiteInfo[Site type]))</f>
        <v/>
      </c>
      <c r="U494" s="174" t="str">
        <f>IF(Buildings_Heat_Frontend[[#This Row],[Data]]="","", Buildings_Heat_Frontend[[#This Row],[Heating Type]])</f>
        <v/>
      </c>
      <c r="V494" s="174" t="str">
        <f>IF(Buildings_Heat_Frontend[[#This Row],[Data]]="","", Buildings_Heat_Frontend[[#This Row],[Fuel]])</f>
        <v/>
      </c>
      <c r="W494" s="174" t="str" cm="1">
        <f t="array" ref="W494">IF(Buildings_Heat_Frontend[[#This Row],[Data]]="","", _xlfn.XLOOKUP(Buildings_Heat_Backend[[#This Row],[Level 5]],rng_Level5Long,rng_Level6Long))</f>
        <v/>
      </c>
      <c r="X494" s="174" t="str">
        <f>IF(Buildings_Heat_Frontend[[#This Row],[Data]]="","", Buildings_Heat_Frontend[[#This Row],[Site Name]])</f>
        <v/>
      </c>
      <c r="Y494" s="174" t="str">
        <f>IF(Buildings_Heat_Frontend[[#This Row],[Data]]="","", Buildings_Heat_Frontend[[#This Row],[MPRN]])</f>
        <v/>
      </c>
      <c r="Z494" s="174" t="str">
        <f>IF(Buildings_Heat_Frontend[[#This Row],[Data]]="","", IF($I494="","",$I494))</f>
        <v/>
      </c>
      <c r="AA494" s="229" t="str" cm="1">
        <f t="array" ref="AA494">IF(Buildings_Heat_Frontend[[#This Row],[Data]]="","", INDEX(_xlfn.SWITCH(Buildings_Heat_Backend[[#This Row],[Methodology]],"Tier 1",rng_RSD1,"Tier 2",rng_RSD2,"Tier 3",rng_RSD3),MATCH(_xlfn.CONCAT(Buildings_Heat_Backend[[#This Row],[Level 1]:[Level 6]]),rng_LevelsConcat,0)))</f>
        <v/>
      </c>
      <c r="AB494" s="220" t="str">
        <f t="shared" si="22"/>
        <v/>
      </c>
      <c r="AC494" s="174">
        <f>Buildings_Heat_Frontend[[#This Row],[Units]]</f>
        <v>0</v>
      </c>
      <c r="AD49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4" s="174" t="str">
        <f>IF(Buildings_Heat_Frontend[[#This Row],[Data]]="","", _xlfn.XLOOKUP(_xlfn.CONCAT(Buildings_Heat_Backend[[#This Row],[Level 1]:[Level 6]]),rng_LevelsConcat,rng_UnitsLong))</f>
        <v/>
      </c>
      <c r="AF494" s="210" t="str">
        <f>IF(Buildings_Heat_Frontend[[#This Row],[Data]]="","", _xlfn.XLOOKUP(_xlfn.CONCAT(Buildings_Heat_Backend[[#This Row],[Level 1]:[Level 6]]),rng_EFConcat,rng_EF1)*Buildings_Heat_Backend[[#This Row],[Converted data]]/1000)</f>
        <v/>
      </c>
      <c r="AG494" s="210" t="str">
        <f>IF(Buildings_Heat_Frontend[[#This Row],[Data]]="","", _xlfn.XLOOKUP(_xlfn.CONCAT(Buildings_Heat_Backend[[#This Row],[Level 1]:[Level 6]]),rng_EFConcat,rng_EF2)*Buildings_Heat_Backend[[#This Row],[Converted data]]/1000)</f>
        <v/>
      </c>
      <c r="AH494" s="210" t="str">
        <f>IF(Buildings_Heat_Frontend[[#This Row],[Data]]="","", _xlfn.XLOOKUP(_xlfn.CONCAT(Buildings_Heat_Backend[[#This Row],[Level 1]:[Level 6]]),rng_EFConcat,rng_EF3)*Buildings_Heat_Backend[[#This Row],[Converted data]]/1000)</f>
        <v/>
      </c>
      <c r="AI494" s="210" t="str">
        <f>IF(Buildings_Heat_Frontend[[#This Row],[Data]]="","", _xlfn.XLOOKUP(_xlfn.CONCAT(Buildings_Heat_Backend[[#This Row],[Level 1]:[Level 6]]),rng_EFConcat,rng_EF3WTT)*Buildings_Heat_Backend[[#This Row],[Converted data]]/1000)</f>
        <v/>
      </c>
      <c r="AJ494" s="210" t="str">
        <f>IF(Buildings_Heat_Frontend[[#This Row],[Data]]="","", _xlfn.XLOOKUP(_xlfn.CONCAT(Buildings_Heat_Backend[[#This Row],[Level 1]:[Level 6]]),rng_EFConcat,rng_EF3TD)*Buildings_Heat_Backend[[#This Row],[Converted data]]/1000)</f>
        <v/>
      </c>
      <c r="AK494" s="210" t="str">
        <f>IF(Buildings_Heat_Frontend[[#This Row],[Data]]="","", _xlfn.XLOOKUP(_xlfn.CONCAT(Buildings_Heat_Backend[[#This Row],[Level 1]:[Level 6]]),rng_EFConcat,rng_EF3WTTTD)*Buildings_Heat_Backend[[#This Row],[Converted data]]/1000)</f>
        <v/>
      </c>
      <c r="AL494" s="220">
        <f>SUM(Buildings_Heat_Backend[[#This Row],[Scope 1 (tCO2e)]:[Scope 3 WTT T&amp;D (tCO2e)]])</f>
        <v>0</v>
      </c>
      <c r="AM494" s="220" t="str">
        <f>IF(Buildings_Heat_Frontend[[#This Row],[Data]]="","", Buildings_Heat_Backend[[#This Row],[Total (tCO2e)]]*(1-Buildings_Heat_Backend[[#This Row],[RSD]]))</f>
        <v/>
      </c>
      <c r="AN494" s="220" t="str">
        <f>IF(Buildings_Heat_Frontend[[#This Row],[Data]]="","", Buildings_Heat_Backend[[#This Row],[Total (tCO2e)]]*(1+Buildings_Heat_Backend[[#This Row],[RSD]]))</f>
        <v/>
      </c>
      <c r="AO494" s="210" t="str">
        <f>IF(Buildings_Heat_Frontend[[#This Row],[Data]]="","", _xlfn.XLOOKUP(_xlfn.CONCAT(Buildings_Heat_Backend[[#This Row],[Level 1]:[Level 6]]),rng_EFConcat,rng_EFOOS)*Buildings_Heat_Backend[[#This Row],[Converted data]]/1000)</f>
        <v/>
      </c>
      <c r="AP494" s="174">
        <f>Buildings_Heat_Frontend[[#This Row],[Ease of collection]]</f>
        <v>0</v>
      </c>
      <c r="AQ494" s="174">
        <f>Buildings_Heat_Frontend[[#This Row],[Completeness]]</f>
        <v>0</v>
      </c>
      <c r="AR494" s="174">
        <f>Buildings_Heat_Frontend[[#This Row],[Notes]]</f>
        <v>0</v>
      </c>
    </row>
    <row r="495" spans="5:44" x14ac:dyDescent="0.3">
      <c r="E495" s="346"/>
      <c r="F495" s="364"/>
      <c r="G495" s="336"/>
      <c r="H495" s="336"/>
      <c r="I495" s="336"/>
      <c r="J495" s="334"/>
      <c r="K495" s="336"/>
      <c r="L495" s="336"/>
      <c r="M495" s="336"/>
      <c r="N495" s="352"/>
      <c r="O495" s="230">
        <f t="shared" si="23"/>
        <v>6</v>
      </c>
      <c r="Q495" s="212" t="str">
        <f t="shared" si="21"/>
        <v/>
      </c>
      <c r="R495" s="174" t="s">
        <v>265</v>
      </c>
      <c r="S495" s="174" t="s">
        <v>273</v>
      </c>
      <c r="T495" s="174" t="str">
        <f>IF(Buildings_Heat_Frontend[[#This Row],[Data]]="","", _xlfn.XLOOKUP(Buildings_Heat_Backend[[#This Row],[Info 1]],Buildings_SiteInfo[Site name],Buildings_SiteInfo[Site type]))</f>
        <v/>
      </c>
      <c r="U495" s="174" t="str">
        <f>IF(Buildings_Heat_Frontend[[#This Row],[Data]]="","", Buildings_Heat_Frontend[[#This Row],[Heating Type]])</f>
        <v/>
      </c>
      <c r="V495" s="174" t="str">
        <f>IF(Buildings_Heat_Frontend[[#This Row],[Data]]="","", Buildings_Heat_Frontend[[#This Row],[Fuel]])</f>
        <v/>
      </c>
      <c r="W495" s="174" t="str" cm="1">
        <f t="array" ref="W495">IF(Buildings_Heat_Frontend[[#This Row],[Data]]="","", _xlfn.XLOOKUP(Buildings_Heat_Backend[[#This Row],[Level 5]],rng_Level5Long,rng_Level6Long))</f>
        <v/>
      </c>
      <c r="X495" s="174" t="str">
        <f>IF(Buildings_Heat_Frontend[[#This Row],[Data]]="","", Buildings_Heat_Frontend[[#This Row],[Site Name]])</f>
        <v/>
      </c>
      <c r="Y495" s="174" t="str">
        <f>IF(Buildings_Heat_Frontend[[#This Row],[Data]]="","", Buildings_Heat_Frontend[[#This Row],[MPRN]])</f>
        <v/>
      </c>
      <c r="Z495" s="174" t="str">
        <f>IF(Buildings_Heat_Frontend[[#This Row],[Data]]="","", IF($I495="","",$I495))</f>
        <v/>
      </c>
      <c r="AA495" s="229" t="str" cm="1">
        <f t="array" ref="AA495">IF(Buildings_Heat_Frontend[[#This Row],[Data]]="","", INDEX(_xlfn.SWITCH(Buildings_Heat_Backend[[#This Row],[Methodology]],"Tier 1",rng_RSD1,"Tier 2",rng_RSD2,"Tier 3",rng_RSD3),MATCH(_xlfn.CONCAT(Buildings_Heat_Backend[[#This Row],[Level 1]:[Level 6]]),rng_LevelsConcat,0)))</f>
        <v/>
      </c>
      <c r="AB495" s="220" t="str">
        <f t="shared" si="22"/>
        <v/>
      </c>
      <c r="AC495" s="174">
        <f>Buildings_Heat_Frontend[[#This Row],[Units]]</f>
        <v>0</v>
      </c>
      <c r="AD49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5" s="174" t="str">
        <f>IF(Buildings_Heat_Frontend[[#This Row],[Data]]="","", _xlfn.XLOOKUP(_xlfn.CONCAT(Buildings_Heat_Backend[[#This Row],[Level 1]:[Level 6]]),rng_LevelsConcat,rng_UnitsLong))</f>
        <v/>
      </c>
      <c r="AF495" s="210" t="str">
        <f>IF(Buildings_Heat_Frontend[[#This Row],[Data]]="","", _xlfn.XLOOKUP(_xlfn.CONCAT(Buildings_Heat_Backend[[#This Row],[Level 1]:[Level 6]]),rng_EFConcat,rng_EF1)*Buildings_Heat_Backend[[#This Row],[Converted data]]/1000)</f>
        <v/>
      </c>
      <c r="AG495" s="210" t="str">
        <f>IF(Buildings_Heat_Frontend[[#This Row],[Data]]="","", _xlfn.XLOOKUP(_xlfn.CONCAT(Buildings_Heat_Backend[[#This Row],[Level 1]:[Level 6]]),rng_EFConcat,rng_EF2)*Buildings_Heat_Backend[[#This Row],[Converted data]]/1000)</f>
        <v/>
      </c>
      <c r="AH495" s="210" t="str">
        <f>IF(Buildings_Heat_Frontend[[#This Row],[Data]]="","", _xlfn.XLOOKUP(_xlfn.CONCAT(Buildings_Heat_Backend[[#This Row],[Level 1]:[Level 6]]),rng_EFConcat,rng_EF3)*Buildings_Heat_Backend[[#This Row],[Converted data]]/1000)</f>
        <v/>
      </c>
      <c r="AI495" s="210" t="str">
        <f>IF(Buildings_Heat_Frontend[[#This Row],[Data]]="","", _xlfn.XLOOKUP(_xlfn.CONCAT(Buildings_Heat_Backend[[#This Row],[Level 1]:[Level 6]]),rng_EFConcat,rng_EF3WTT)*Buildings_Heat_Backend[[#This Row],[Converted data]]/1000)</f>
        <v/>
      </c>
      <c r="AJ495" s="210" t="str">
        <f>IF(Buildings_Heat_Frontend[[#This Row],[Data]]="","", _xlfn.XLOOKUP(_xlfn.CONCAT(Buildings_Heat_Backend[[#This Row],[Level 1]:[Level 6]]),rng_EFConcat,rng_EF3TD)*Buildings_Heat_Backend[[#This Row],[Converted data]]/1000)</f>
        <v/>
      </c>
      <c r="AK495" s="210" t="str">
        <f>IF(Buildings_Heat_Frontend[[#This Row],[Data]]="","", _xlfn.XLOOKUP(_xlfn.CONCAT(Buildings_Heat_Backend[[#This Row],[Level 1]:[Level 6]]),rng_EFConcat,rng_EF3WTTTD)*Buildings_Heat_Backend[[#This Row],[Converted data]]/1000)</f>
        <v/>
      </c>
      <c r="AL495" s="220">
        <f>SUM(Buildings_Heat_Backend[[#This Row],[Scope 1 (tCO2e)]:[Scope 3 WTT T&amp;D (tCO2e)]])</f>
        <v>0</v>
      </c>
      <c r="AM495" s="220" t="str">
        <f>IF(Buildings_Heat_Frontend[[#This Row],[Data]]="","", Buildings_Heat_Backend[[#This Row],[Total (tCO2e)]]*(1-Buildings_Heat_Backend[[#This Row],[RSD]]))</f>
        <v/>
      </c>
      <c r="AN495" s="220" t="str">
        <f>IF(Buildings_Heat_Frontend[[#This Row],[Data]]="","", Buildings_Heat_Backend[[#This Row],[Total (tCO2e)]]*(1+Buildings_Heat_Backend[[#This Row],[RSD]]))</f>
        <v/>
      </c>
      <c r="AO495" s="210" t="str">
        <f>IF(Buildings_Heat_Frontend[[#This Row],[Data]]="","", _xlfn.XLOOKUP(_xlfn.CONCAT(Buildings_Heat_Backend[[#This Row],[Level 1]:[Level 6]]),rng_EFConcat,rng_EFOOS)*Buildings_Heat_Backend[[#This Row],[Converted data]]/1000)</f>
        <v/>
      </c>
      <c r="AP495" s="174">
        <f>Buildings_Heat_Frontend[[#This Row],[Ease of collection]]</f>
        <v>0</v>
      </c>
      <c r="AQ495" s="174">
        <f>Buildings_Heat_Frontend[[#This Row],[Completeness]]</f>
        <v>0</v>
      </c>
      <c r="AR495" s="174">
        <f>Buildings_Heat_Frontend[[#This Row],[Notes]]</f>
        <v>0</v>
      </c>
    </row>
    <row r="496" spans="5:44" x14ac:dyDescent="0.3">
      <c r="E496" s="346"/>
      <c r="F496" s="364"/>
      <c r="G496" s="336"/>
      <c r="H496" s="336"/>
      <c r="I496" s="336"/>
      <c r="J496" s="334"/>
      <c r="K496" s="336"/>
      <c r="L496" s="336"/>
      <c r="M496" s="336"/>
      <c r="N496" s="352"/>
      <c r="O496" s="230">
        <f t="shared" si="23"/>
        <v>6</v>
      </c>
      <c r="Q496" s="212" t="str">
        <f t="shared" si="21"/>
        <v/>
      </c>
      <c r="R496" s="174" t="s">
        <v>265</v>
      </c>
      <c r="S496" s="174" t="s">
        <v>273</v>
      </c>
      <c r="T496" s="174" t="str">
        <f>IF(Buildings_Heat_Frontend[[#This Row],[Data]]="","", _xlfn.XLOOKUP(Buildings_Heat_Backend[[#This Row],[Info 1]],Buildings_SiteInfo[Site name],Buildings_SiteInfo[Site type]))</f>
        <v/>
      </c>
      <c r="U496" s="174" t="str">
        <f>IF(Buildings_Heat_Frontend[[#This Row],[Data]]="","", Buildings_Heat_Frontend[[#This Row],[Heating Type]])</f>
        <v/>
      </c>
      <c r="V496" s="174" t="str">
        <f>IF(Buildings_Heat_Frontend[[#This Row],[Data]]="","", Buildings_Heat_Frontend[[#This Row],[Fuel]])</f>
        <v/>
      </c>
      <c r="W496" s="174" t="str" cm="1">
        <f t="array" ref="W496">IF(Buildings_Heat_Frontend[[#This Row],[Data]]="","", _xlfn.XLOOKUP(Buildings_Heat_Backend[[#This Row],[Level 5]],rng_Level5Long,rng_Level6Long))</f>
        <v/>
      </c>
      <c r="X496" s="174" t="str">
        <f>IF(Buildings_Heat_Frontend[[#This Row],[Data]]="","", Buildings_Heat_Frontend[[#This Row],[Site Name]])</f>
        <v/>
      </c>
      <c r="Y496" s="174" t="str">
        <f>IF(Buildings_Heat_Frontend[[#This Row],[Data]]="","", Buildings_Heat_Frontend[[#This Row],[MPRN]])</f>
        <v/>
      </c>
      <c r="Z496" s="174" t="str">
        <f>IF(Buildings_Heat_Frontend[[#This Row],[Data]]="","", IF($I496="","",$I496))</f>
        <v/>
      </c>
      <c r="AA496" s="229" t="str" cm="1">
        <f t="array" ref="AA496">IF(Buildings_Heat_Frontend[[#This Row],[Data]]="","", INDEX(_xlfn.SWITCH(Buildings_Heat_Backend[[#This Row],[Methodology]],"Tier 1",rng_RSD1,"Tier 2",rng_RSD2,"Tier 3",rng_RSD3),MATCH(_xlfn.CONCAT(Buildings_Heat_Backend[[#This Row],[Level 1]:[Level 6]]),rng_LevelsConcat,0)))</f>
        <v/>
      </c>
      <c r="AB496" s="220" t="str">
        <f t="shared" si="22"/>
        <v/>
      </c>
      <c r="AC496" s="174">
        <f>Buildings_Heat_Frontend[[#This Row],[Units]]</f>
        <v>0</v>
      </c>
      <c r="AD49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6" s="174" t="str">
        <f>IF(Buildings_Heat_Frontend[[#This Row],[Data]]="","", _xlfn.XLOOKUP(_xlfn.CONCAT(Buildings_Heat_Backend[[#This Row],[Level 1]:[Level 6]]),rng_LevelsConcat,rng_UnitsLong))</f>
        <v/>
      </c>
      <c r="AF496" s="210" t="str">
        <f>IF(Buildings_Heat_Frontend[[#This Row],[Data]]="","", _xlfn.XLOOKUP(_xlfn.CONCAT(Buildings_Heat_Backend[[#This Row],[Level 1]:[Level 6]]),rng_EFConcat,rng_EF1)*Buildings_Heat_Backend[[#This Row],[Converted data]]/1000)</f>
        <v/>
      </c>
      <c r="AG496" s="210" t="str">
        <f>IF(Buildings_Heat_Frontend[[#This Row],[Data]]="","", _xlfn.XLOOKUP(_xlfn.CONCAT(Buildings_Heat_Backend[[#This Row],[Level 1]:[Level 6]]),rng_EFConcat,rng_EF2)*Buildings_Heat_Backend[[#This Row],[Converted data]]/1000)</f>
        <v/>
      </c>
      <c r="AH496" s="210" t="str">
        <f>IF(Buildings_Heat_Frontend[[#This Row],[Data]]="","", _xlfn.XLOOKUP(_xlfn.CONCAT(Buildings_Heat_Backend[[#This Row],[Level 1]:[Level 6]]),rng_EFConcat,rng_EF3)*Buildings_Heat_Backend[[#This Row],[Converted data]]/1000)</f>
        <v/>
      </c>
      <c r="AI496" s="210" t="str">
        <f>IF(Buildings_Heat_Frontend[[#This Row],[Data]]="","", _xlfn.XLOOKUP(_xlfn.CONCAT(Buildings_Heat_Backend[[#This Row],[Level 1]:[Level 6]]),rng_EFConcat,rng_EF3WTT)*Buildings_Heat_Backend[[#This Row],[Converted data]]/1000)</f>
        <v/>
      </c>
      <c r="AJ496" s="210" t="str">
        <f>IF(Buildings_Heat_Frontend[[#This Row],[Data]]="","", _xlfn.XLOOKUP(_xlfn.CONCAT(Buildings_Heat_Backend[[#This Row],[Level 1]:[Level 6]]),rng_EFConcat,rng_EF3TD)*Buildings_Heat_Backend[[#This Row],[Converted data]]/1000)</f>
        <v/>
      </c>
      <c r="AK496" s="210" t="str">
        <f>IF(Buildings_Heat_Frontend[[#This Row],[Data]]="","", _xlfn.XLOOKUP(_xlfn.CONCAT(Buildings_Heat_Backend[[#This Row],[Level 1]:[Level 6]]),rng_EFConcat,rng_EF3WTTTD)*Buildings_Heat_Backend[[#This Row],[Converted data]]/1000)</f>
        <v/>
      </c>
      <c r="AL496" s="220">
        <f>SUM(Buildings_Heat_Backend[[#This Row],[Scope 1 (tCO2e)]:[Scope 3 WTT T&amp;D (tCO2e)]])</f>
        <v>0</v>
      </c>
      <c r="AM496" s="220" t="str">
        <f>IF(Buildings_Heat_Frontend[[#This Row],[Data]]="","", Buildings_Heat_Backend[[#This Row],[Total (tCO2e)]]*(1-Buildings_Heat_Backend[[#This Row],[RSD]]))</f>
        <v/>
      </c>
      <c r="AN496" s="220" t="str">
        <f>IF(Buildings_Heat_Frontend[[#This Row],[Data]]="","", Buildings_Heat_Backend[[#This Row],[Total (tCO2e)]]*(1+Buildings_Heat_Backend[[#This Row],[RSD]]))</f>
        <v/>
      </c>
      <c r="AO496" s="210" t="str">
        <f>IF(Buildings_Heat_Frontend[[#This Row],[Data]]="","", _xlfn.XLOOKUP(_xlfn.CONCAT(Buildings_Heat_Backend[[#This Row],[Level 1]:[Level 6]]),rng_EFConcat,rng_EFOOS)*Buildings_Heat_Backend[[#This Row],[Converted data]]/1000)</f>
        <v/>
      </c>
      <c r="AP496" s="174">
        <f>Buildings_Heat_Frontend[[#This Row],[Ease of collection]]</f>
        <v>0</v>
      </c>
      <c r="AQ496" s="174">
        <f>Buildings_Heat_Frontend[[#This Row],[Completeness]]</f>
        <v>0</v>
      </c>
      <c r="AR496" s="174">
        <f>Buildings_Heat_Frontend[[#This Row],[Notes]]</f>
        <v>0</v>
      </c>
    </row>
    <row r="497" spans="5:44" x14ac:dyDescent="0.3">
      <c r="E497" s="346"/>
      <c r="F497" s="364"/>
      <c r="G497" s="336"/>
      <c r="H497" s="336"/>
      <c r="I497" s="336"/>
      <c r="J497" s="334"/>
      <c r="K497" s="336"/>
      <c r="L497" s="336"/>
      <c r="M497" s="336"/>
      <c r="N497" s="352"/>
      <c r="O497" s="230">
        <f t="shared" si="23"/>
        <v>6</v>
      </c>
      <c r="Q497" s="212" t="str">
        <f t="shared" si="21"/>
        <v/>
      </c>
      <c r="R497" s="174" t="s">
        <v>265</v>
      </c>
      <c r="S497" s="174" t="s">
        <v>273</v>
      </c>
      <c r="T497" s="174" t="str">
        <f>IF(Buildings_Heat_Frontend[[#This Row],[Data]]="","", _xlfn.XLOOKUP(Buildings_Heat_Backend[[#This Row],[Info 1]],Buildings_SiteInfo[Site name],Buildings_SiteInfo[Site type]))</f>
        <v/>
      </c>
      <c r="U497" s="174" t="str">
        <f>IF(Buildings_Heat_Frontend[[#This Row],[Data]]="","", Buildings_Heat_Frontend[[#This Row],[Heating Type]])</f>
        <v/>
      </c>
      <c r="V497" s="174" t="str">
        <f>IF(Buildings_Heat_Frontend[[#This Row],[Data]]="","", Buildings_Heat_Frontend[[#This Row],[Fuel]])</f>
        <v/>
      </c>
      <c r="W497" s="174" t="str" cm="1">
        <f t="array" ref="W497">IF(Buildings_Heat_Frontend[[#This Row],[Data]]="","", _xlfn.XLOOKUP(Buildings_Heat_Backend[[#This Row],[Level 5]],rng_Level5Long,rng_Level6Long))</f>
        <v/>
      </c>
      <c r="X497" s="174" t="str">
        <f>IF(Buildings_Heat_Frontend[[#This Row],[Data]]="","", Buildings_Heat_Frontend[[#This Row],[Site Name]])</f>
        <v/>
      </c>
      <c r="Y497" s="174" t="str">
        <f>IF(Buildings_Heat_Frontend[[#This Row],[Data]]="","", Buildings_Heat_Frontend[[#This Row],[MPRN]])</f>
        <v/>
      </c>
      <c r="Z497" s="174" t="str">
        <f>IF(Buildings_Heat_Frontend[[#This Row],[Data]]="","", IF($I497="","",$I497))</f>
        <v/>
      </c>
      <c r="AA497" s="229" t="str" cm="1">
        <f t="array" ref="AA497">IF(Buildings_Heat_Frontend[[#This Row],[Data]]="","", INDEX(_xlfn.SWITCH(Buildings_Heat_Backend[[#This Row],[Methodology]],"Tier 1",rng_RSD1,"Tier 2",rng_RSD2,"Tier 3",rng_RSD3),MATCH(_xlfn.CONCAT(Buildings_Heat_Backend[[#This Row],[Level 1]:[Level 6]]),rng_LevelsConcat,0)))</f>
        <v/>
      </c>
      <c r="AB497" s="220" t="str">
        <f t="shared" si="22"/>
        <v/>
      </c>
      <c r="AC497" s="174">
        <f>Buildings_Heat_Frontend[[#This Row],[Units]]</f>
        <v>0</v>
      </c>
      <c r="AD49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7" s="174" t="str">
        <f>IF(Buildings_Heat_Frontend[[#This Row],[Data]]="","", _xlfn.XLOOKUP(_xlfn.CONCAT(Buildings_Heat_Backend[[#This Row],[Level 1]:[Level 6]]),rng_LevelsConcat,rng_UnitsLong))</f>
        <v/>
      </c>
      <c r="AF497" s="210" t="str">
        <f>IF(Buildings_Heat_Frontend[[#This Row],[Data]]="","", _xlfn.XLOOKUP(_xlfn.CONCAT(Buildings_Heat_Backend[[#This Row],[Level 1]:[Level 6]]),rng_EFConcat,rng_EF1)*Buildings_Heat_Backend[[#This Row],[Converted data]]/1000)</f>
        <v/>
      </c>
      <c r="AG497" s="210" t="str">
        <f>IF(Buildings_Heat_Frontend[[#This Row],[Data]]="","", _xlfn.XLOOKUP(_xlfn.CONCAT(Buildings_Heat_Backend[[#This Row],[Level 1]:[Level 6]]),rng_EFConcat,rng_EF2)*Buildings_Heat_Backend[[#This Row],[Converted data]]/1000)</f>
        <v/>
      </c>
      <c r="AH497" s="210" t="str">
        <f>IF(Buildings_Heat_Frontend[[#This Row],[Data]]="","", _xlfn.XLOOKUP(_xlfn.CONCAT(Buildings_Heat_Backend[[#This Row],[Level 1]:[Level 6]]),rng_EFConcat,rng_EF3)*Buildings_Heat_Backend[[#This Row],[Converted data]]/1000)</f>
        <v/>
      </c>
      <c r="AI497" s="210" t="str">
        <f>IF(Buildings_Heat_Frontend[[#This Row],[Data]]="","", _xlfn.XLOOKUP(_xlfn.CONCAT(Buildings_Heat_Backend[[#This Row],[Level 1]:[Level 6]]),rng_EFConcat,rng_EF3WTT)*Buildings_Heat_Backend[[#This Row],[Converted data]]/1000)</f>
        <v/>
      </c>
      <c r="AJ497" s="210" t="str">
        <f>IF(Buildings_Heat_Frontend[[#This Row],[Data]]="","", _xlfn.XLOOKUP(_xlfn.CONCAT(Buildings_Heat_Backend[[#This Row],[Level 1]:[Level 6]]),rng_EFConcat,rng_EF3TD)*Buildings_Heat_Backend[[#This Row],[Converted data]]/1000)</f>
        <v/>
      </c>
      <c r="AK497" s="210" t="str">
        <f>IF(Buildings_Heat_Frontend[[#This Row],[Data]]="","", _xlfn.XLOOKUP(_xlfn.CONCAT(Buildings_Heat_Backend[[#This Row],[Level 1]:[Level 6]]),rng_EFConcat,rng_EF3WTTTD)*Buildings_Heat_Backend[[#This Row],[Converted data]]/1000)</f>
        <v/>
      </c>
      <c r="AL497" s="220">
        <f>SUM(Buildings_Heat_Backend[[#This Row],[Scope 1 (tCO2e)]:[Scope 3 WTT T&amp;D (tCO2e)]])</f>
        <v>0</v>
      </c>
      <c r="AM497" s="220" t="str">
        <f>IF(Buildings_Heat_Frontend[[#This Row],[Data]]="","", Buildings_Heat_Backend[[#This Row],[Total (tCO2e)]]*(1-Buildings_Heat_Backend[[#This Row],[RSD]]))</f>
        <v/>
      </c>
      <c r="AN497" s="220" t="str">
        <f>IF(Buildings_Heat_Frontend[[#This Row],[Data]]="","", Buildings_Heat_Backend[[#This Row],[Total (tCO2e)]]*(1+Buildings_Heat_Backend[[#This Row],[RSD]]))</f>
        <v/>
      </c>
      <c r="AO497" s="210" t="str">
        <f>IF(Buildings_Heat_Frontend[[#This Row],[Data]]="","", _xlfn.XLOOKUP(_xlfn.CONCAT(Buildings_Heat_Backend[[#This Row],[Level 1]:[Level 6]]),rng_EFConcat,rng_EFOOS)*Buildings_Heat_Backend[[#This Row],[Converted data]]/1000)</f>
        <v/>
      </c>
      <c r="AP497" s="174">
        <f>Buildings_Heat_Frontend[[#This Row],[Ease of collection]]</f>
        <v>0</v>
      </c>
      <c r="AQ497" s="174">
        <f>Buildings_Heat_Frontend[[#This Row],[Completeness]]</f>
        <v>0</v>
      </c>
      <c r="AR497" s="174">
        <f>Buildings_Heat_Frontend[[#This Row],[Notes]]</f>
        <v>0</v>
      </c>
    </row>
    <row r="498" spans="5:44" x14ac:dyDescent="0.3">
      <c r="E498" s="346"/>
      <c r="F498" s="364"/>
      <c r="G498" s="336"/>
      <c r="H498" s="336"/>
      <c r="I498" s="336"/>
      <c r="J498" s="334"/>
      <c r="K498" s="336"/>
      <c r="L498" s="336"/>
      <c r="M498" s="336"/>
      <c r="N498" s="352"/>
      <c r="O498" s="230">
        <f t="shared" si="23"/>
        <v>6</v>
      </c>
      <c r="Q498" s="212" t="str">
        <f t="shared" si="21"/>
        <v/>
      </c>
      <c r="R498" s="174" t="s">
        <v>265</v>
      </c>
      <c r="S498" s="174" t="s">
        <v>273</v>
      </c>
      <c r="T498" s="174" t="str">
        <f>IF(Buildings_Heat_Frontend[[#This Row],[Data]]="","", _xlfn.XLOOKUP(Buildings_Heat_Backend[[#This Row],[Info 1]],Buildings_SiteInfo[Site name],Buildings_SiteInfo[Site type]))</f>
        <v/>
      </c>
      <c r="U498" s="174" t="str">
        <f>IF(Buildings_Heat_Frontend[[#This Row],[Data]]="","", Buildings_Heat_Frontend[[#This Row],[Heating Type]])</f>
        <v/>
      </c>
      <c r="V498" s="174" t="str">
        <f>IF(Buildings_Heat_Frontend[[#This Row],[Data]]="","", Buildings_Heat_Frontend[[#This Row],[Fuel]])</f>
        <v/>
      </c>
      <c r="W498" s="174" t="str" cm="1">
        <f t="array" ref="W498">IF(Buildings_Heat_Frontend[[#This Row],[Data]]="","", _xlfn.XLOOKUP(Buildings_Heat_Backend[[#This Row],[Level 5]],rng_Level5Long,rng_Level6Long))</f>
        <v/>
      </c>
      <c r="X498" s="174" t="str">
        <f>IF(Buildings_Heat_Frontend[[#This Row],[Data]]="","", Buildings_Heat_Frontend[[#This Row],[Site Name]])</f>
        <v/>
      </c>
      <c r="Y498" s="174" t="str">
        <f>IF(Buildings_Heat_Frontend[[#This Row],[Data]]="","", Buildings_Heat_Frontend[[#This Row],[MPRN]])</f>
        <v/>
      </c>
      <c r="Z498" s="174" t="str">
        <f>IF(Buildings_Heat_Frontend[[#This Row],[Data]]="","", IF($I498="","",$I498))</f>
        <v/>
      </c>
      <c r="AA498" s="229" t="str" cm="1">
        <f t="array" ref="AA498">IF(Buildings_Heat_Frontend[[#This Row],[Data]]="","", INDEX(_xlfn.SWITCH(Buildings_Heat_Backend[[#This Row],[Methodology]],"Tier 1",rng_RSD1,"Tier 2",rng_RSD2,"Tier 3",rng_RSD3),MATCH(_xlfn.CONCAT(Buildings_Heat_Backend[[#This Row],[Level 1]:[Level 6]]),rng_LevelsConcat,0)))</f>
        <v/>
      </c>
      <c r="AB498" s="220" t="str">
        <f t="shared" si="22"/>
        <v/>
      </c>
      <c r="AC498" s="174">
        <f>Buildings_Heat_Frontend[[#This Row],[Units]]</f>
        <v>0</v>
      </c>
      <c r="AD49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8" s="174" t="str">
        <f>IF(Buildings_Heat_Frontend[[#This Row],[Data]]="","", _xlfn.XLOOKUP(_xlfn.CONCAT(Buildings_Heat_Backend[[#This Row],[Level 1]:[Level 6]]),rng_LevelsConcat,rng_UnitsLong))</f>
        <v/>
      </c>
      <c r="AF498" s="210" t="str">
        <f>IF(Buildings_Heat_Frontend[[#This Row],[Data]]="","", _xlfn.XLOOKUP(_xlfn.CONCAT(Buildings_Heat_Backend[[#This Row],[Level 1]:[Level 6]]),rng_EFConcat,rng_EF1)*Buildings_Heat_Backend[[#This Row],[Converted data]]/1000)</f>
        <v/>
      </c>
      <c r="AG498" s="210" t="str">
        <f>IF(Buildings_Heat_Frontend[[#This Row],[Data]]="","", _xlfn.XLOOKUP(_xlfn.CONCAT(Buildings_Heat_Backend[[#This Row],[Level 1]:[Level 6]]),rng_EFConcat,rng_EF2)*Buildings_Heat_Backend[[#This Row],[Converted data]]/1000)</f>
        <v/>
      </c>
      <c r="AH498" s="210" t="str">
        <f>IF(Buildings_Heat_Frontend[[#This Row],[Data]]="","", _xlfn.XLOOKUP(_xlfn.CONCAT(Buildings_Heat_Backend[[#This Row],[Level 1]:[Level 6]]),rng_EFConcat,rng_EF3)*Buildings_Heat_Backend[[#This Row],[Converted data]]/1000)</f>
        <v/>
      </c>
      <c r="AI498" s="210" t="str">
        <f>IF(Buildings_Heat_Frontend[[#This Row],[Data]]="","", _xlfn.XLOOKUP(_xlfn.CONCAT(Buildings_Heat_Backend[[#This Row],[Level 1]:[Level 6]]),rng_EFConcat,rng_EF3WTT)*Buildings_Heat_Backend[[#This Row],[Converted data]]/1000)</f>
        <v/>
      </c>
      <c r="AJ498" s="210" t="str">
        <f>IF(Buildings_Heat_Frontend[[#This Row],[Data]]="","", _xlfn.XLOOKUP(_xlfn.CONCAT(Buildings_Heat_Backend[[#This Row],[Level 1]:[Level 6]]),rng_EFConcat,rng_EF3TD)*Buildings_Heat_Backend[[#This Row],[Converted data]]/1000)</f>
        <v/>
      </c>
      <c r="AK498" s="210" t="str">
        <f>IF(Buildings_Heat_Frontend[[#This Row],[Data]]="","", _xlfn.XLOOKUP(_xlfn.CONCAT(Buildings_Heat_Backend[[#This Row],[Level 1]:[Level 6]]),rng_EFConcat,rng_EF3WTTTD)*Buildings_Heat_Backend[[#This Row],[Converted data]]/1000)</f>
        <v/>
      </c>
      <c r="AL498" s="220">
        <f>SUM(Buildings_Heat_Backend[[#This Row],[Scope 1 (tCO2e)]:[Scope 3 WTT T&amp;D (tCO2e)]])</f>
        <v>0</v>
      </c>
      <c r="AM498" s="220" t="str">
        <f>IF(Buildings_Heat_Frontend[[#This Row],[Data]]="","", Buildings_Heat_Backend[[#This Row],[Total (tCO2e)]]*(1-Buildings_Heat_Backend[[#This Row],[RSD]]))</f>
        <v/>
      </c>
      <c r="AN498" s="220" t="str">
        <f>IF(Buildings_Heat_Frontend[[#This Row],[Data]]="","", Buildings_Heat_Backend[[#This Row],[Total (tCO2e)]]*(1+Buildings_Heat_Backend[[#This Row],[RSD]]))</f>
        <v/>
      </c>
      <c r="AO498" s="210" t="str">
        <f>IF(Buildings_Heat_Frontend[[#This Row],[Data]]="","", _xlfn.XLOOKUP(_xlfn.CONCAT(Buildings_Heat_Backend[[#This Row],[Level 1]:[Level 6]]),rng_EFConcat,rng_EFOOS)*Buildings_Heat_Backend[[#This Row],[Converted data]]/1000)</f>
        <v/>
      </c>
      <c r="AP498" s="174">
        <f>Buildings_Heat_Frontend[[#This Row],[Ease of collection]]</f>
        <v>0</v>
      </c>
      <c r="AQ498" s="174">
        <f>Buildings_Heat_Frontend[[#This Row],[Completeness]]</f>
        <v>0</v>
      </c>
      <c r="AR498" s="174">
        <f>Buildings_Heat_Frontend[[#This Row],[Notes]]</f>
        <v>0</v>
      </c>
    </row>
    <row r="499" spans="5:44" x14ac:dyDescent="0.3">
      <c r="E499" s="346"/>
      <c r="F499" s="364"/>
      <c r="G499" s="336"/>
      <c r="H499" s="336"/>
      <c r="I499" s="336"/>
      <c r="J499" s="334"/>
      <c r="K499" s="336"/>
      <c r="L499" s="336"/>
      <c r="M499" s="336"/>
      <c r="N499" s="352"/>
      <c r="O499" s="230">
        <f t="shared" si="23"/>
        <v>6</v>
      </c>
      <c r="Q499" s="212" t="str">
        <f t="shared" si="21"/>
        <v/>
      </c>
      <c r="R499" s="174" t="s">
        <v>265</v>
      </c>
      <c r="S499" s="174" t="s">
        <v>273</v>
      </c>
      <c r="T499" s="174" t="str">
        <f>IF(Buildings_Heat_Frontend[[#This Row],[Data]]="","", _xlfn.XLOOKUP(Buildings_Heat_Backend[[#This Row],[Info 1]],Buildings_SiteInfo[Site name],Buildings_SiteInfo[Site type]))</f>
        <v/>
      </c>
      <c r="U499" s="174" t="str">
        <f>IF(Buildings_Heat_Frontend[[#This Row],[Data]]="","", Buildings_Heat_Frontend[[#This Row],[Heating Type]])</f>
        <v/>
      </c>
      <c r="V499" s="174" t="str">
        <f>IF(Buildings_Heat_Frontend[[#This Row],[Data]]="","", Buildings_Heat_Frontend[[#This Row],[Fuel]])</f>
        <v/>
      </c>
      <c r="W499" s="174" t="str" cm="1">
        <f t="array" ref="W499">IF(Buildings_Heat_Frontend[[#This Row],[Data]]="","", _xlfn.XLOOKUP(Buildings_Heat_Backend[[#This Row],[Level 5]],rng_Level5Long,rng_Level6Long))</f>
        <v/>
      </c>
      <c r="X499" s="174" t="str">
        <f>IF(Buildings_Heat_Frontend[[#This Row],[Data]]="","", Buildings_Heat_Frontend[[#This Row],[Site Name]])</f>
        <v/>
      </c>
      <c r="Y499" s="174" t="str">
        <f>IF(Buildings_Heat_Frontend[[#This Row],[Data]]="","", Buildings_Heat_Frontend[[#This Row],[MPRN]])</f>
        <v/>
      </c>
      <c r="Z499" s="174" t="str">
        <f>IF(Buildings_Heat_Frontend[[#This Row],[Data]]="","", IF($I499="","",$I499))</f>
        <v/>
      </c>
      <c r="AA499" s="229" t="str" cm="1">
        <f t="array" ref="AA499">IF(Buildings_Heat_Frontend[[#This Row],[Data]]="","", INDEX(_xlfn.SWITCH(Buildings_Heat_Backend[[#This Row],[Methodology]],"Tier 1",rng_RSD1,"Tier 2",rng_RSD2,"Tier 3",rng_RSD3),MATCH(_xlfn.CONCAT(Buildings_Heat_Backend[[#This Row],[Level 1]:[Level 6]]),rng_LevelsConcat,0)))</f>
        <v/>
      </c>
      <c r="AB499" s="220" t="str">
        <f t="shared" si="22"/>
        <v/>
      </c>
      <c r="AC499" s="174">
        <f>Buildings_Heat_Frontend[[#This Row],[Units]]</f>
        <v>0</v>
      </c>
      <c r="AD49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499" s="174" t="str">
        <f>IF(Buildings_Heat_Frontend[[#This Row],[Data]]="","", _xlfn.XLOOKUP(_xlfn.CONCAT(Buildings_Heat_Backend[[#This Row],[Level 1]:[Level 6]]),rng_LevelsConcat,rng_UnitsLong))</f>
        <v/>
      </c>
      <c r="AF499" s="210" t="str">
        <f>IF(Buildings_Heat_Frontend[[#This Row],[Data]]="","", _xlfn.XLOOKUP(_xlfn.CONCAT(Buildings_Heat_Backend[[#This Row],[Level 1]:[Level 6]]),rng_EFConcat,rng_EF1)*Buildings_Heat_Backend[[#This Row],[Converted data]]/1000)</f>
        <v/>
      </c>
      <c r="AG499" s="210" t="str">
        <f>IF(Buildings_Heat_Frontend[[#This Row],[Data]]="","", _xlfn.XLOOKUP(_xlfn.CONCAT(Buildings_Heat_Backend[[#This Row],[Level 1]:[Level 6]]),rng_EFConcat,rng_EF2)*Buildings_Heat_Backend[[#This Row],[Converted data]]/1000)</f>
        <v/>
      </c>
      <c r="AH499" s="210" t="str">
        <f>IF(Buildings_Heat_Frontend[[#This Row],[Data]]="","", _xlfn.XLOOKUP(_xlfn.CONCAT(Buildings_Heat_Backend[[#This Row],[Level 1]:[Level 6]]),rng_EFConcat,rng_EF3)*Buildings_Heat_Backend[[#This Row],[Converted data]]/1000)</f>
        <v/>
      </c>
      <c r="AI499" s="210" t="str">
        <f>IF(Buildings_Heat_Frontend[[#This Row],[Data]]="","", _xlfn.XLOOKUP(_xlfn.CONCAT(Buildings_Heat_Backend[[#This Row],[Level 1]:[Level 6]]),rng_EFConcat,rng_EF3WTT)*Buildings_Heat_Backend[[#This Row],[Converted data]]/1000)</f>
        <v/>
      </c>
      <c r="AJ499" s="210" t="str">
        <f>IF(Buildings_Heat_Frontend[[#This Row],[Data]]="","", _xlfn.XLOOKUP(_xlfn.CONCAT(Buildings_Heat_Backend[[#This Row],[Level 1]:[Level 6]]),rng_EFConcat,rng_EF3TD)*Buildings_Heat_Backend[[#This Row],[Converted data]]/1000)</f>
        <v/>
      </c>
      <c r="AK499" s="210" t="str">
        <f>IF(Buildings_Heat_Frontend[[#This Row],[Data]]="","", _xlfn.XLOOKUP(_xlfn.CONCAT(Buildings_Heat_Backend[[#This Row],[Level 1]:[Level 6]]),rng_EFConcat,rng_EF3WTTTD)*Buildings_Heat_Backend[[#This Row],[Converted data]]/1000)</f>
        <v/>
      </c>
      <c r="AL499" s="220">
        <f>SUM(Buildings_Heat_Backend[[#This Row],[Scope 1 (tCO2e)]:[Scope 3 WTT T&amp;D (tCO2e)]])</f>
        <v>0</v>
      </c>
      <c r="AM499" s="220" t="str">
        <f>IF(Buildings_Heat_Frontend[[#This Row],[Data]]="","", Buildings_Heat_Backend[[#This Row],[Total (tCO2e)]]*(1-Buildings_Heat_Backend[[#This Row],[RSD]]))</f>
        <v/>
      </c>
      <c r="AN499" s="220" t="str">
        <f>IF(Buildings_Heat_Frontend[[#This Row],[Data]]="","", Buildings_Heat_Backend[[#This Row],[Total (tCO2e)]]*(1+Buildings_Heat_Backend[[#This Row],[RSD]]))</f>
        <v/>
      </c>
      <c r="AO499" s="210" t="str">
        <f>IF(Buildings_Heat_Frontend[[#This Row],[Data]]="","", _xlfn.XLOOKUP(_xlfn.CONCAT(Buildings_Heat_Backend[[#This Row],[Level 1]:[Level 6]]),rng_EFConcat,rng_EFOOS)*Buildings_Heat_Backend[[#This Row],[Converted data]]/1000)</f>
        <v/>
      </c>
      <c r="AP499" s="174">
        <f>Buildings_Heat_Frontend[[#This Row],[Ease of collection]]</f>
        <v>0</v>
      </c>
      <c r="AQ499" s="174">
        <f>Buildings_Heat_Frontend[[#This Row],[Completeness]]</f>
        <v>0</v>
      </c>
      <c r="AR499" s="174">
        <f>Buildings_Heat_Frontend[[#This Row],[Notes]]</f>
        <v>0</v>
      </c>
    </row>
    <row r="500" spans="5:44" x14ac:dyDescent="0.3">
      <c r="E500" s="346"/>
      <c r="F500" s="364"/>
      <c r="G500" s="336"/>
      <c r="H500" s="336"/>
      <c r="I500" s="336"/>
      <c r="J500" s="334"/>
      <c r="K500" s="336"/>
      <c r="L500" s="336"/>
      <c r="M500" s="336"/>
      <c r="N500" s="352"/>
      <c r="O500" s="230">
        <f t="shared" si="23"/>
        <v>6</v>
      </c>
      <c r="Q500" s="212" t="str">
        <f t="shared" si="21"/>
        <v/>
      </c>
      <c r="R500" s="174" t="s">
        <v>265</v>
      </c>
      <c r="S500" s="174" t="s">
        <v>273</v>
      </c>
      <c r="T500" s="174" t="str">
        <f>IF(Buildings_Heat_Frontend[[#This Row],[Data]]="","", _xlfn.XLOOKUP(Buildings_Heat_Backend[[#This Row],[Info 1]],Buildings_SiteInfo[Site name],Buildings_SiteInfo[Site type]))</f>
        <v/>
      </c>
      <c r="U500" s="174" t="str">
        <f>IF(Buildings_Heat_Frontend[[#This Row],[Data]]="","", Buildings_Heat_Frontend[[#This Row],[Heating Type]])</f>
        <v/>
      </c>
      <c r="V500" s="174" t="str">
        <f>IF(Buildings_Heat_Frontend[[#This Row],[Data]]="","", Buildings_Heat_Frontend[[#This Row],[Fuel]])</f>
        <v/>
      </c>
      <c r="W500" s="174" t="str" cm="1">
        <f t="array" ref="W500">IF(Buildings_Heat_Frontend[[#This Row],[Data]]="","", _xlfn.XLOOKUP(Buildings_Heat_Backend[[#This Row],[Level 5]],rng_Level5Long,rng_Level6Long))</f>
        <v/>
      </c>
      <c r="X500" s="174" t="str">
        <f>IF(Buildings_Heat_Frontend[[#This Row],[Data]]="","", Buildings_Heat_Frontend[[#This Row],[Site Name]])</f>
        <v/>
      </c>
      <c r="Y500" s="174" t="str">
        <f>IF(Buildings_Heat_Frontend[[#This Row],[Data]]="","", Buildings_Heat_Frontend[[#This Row],[MPRN]])</f>
        <v/>
      </c>
      <c r="Z500" s="174" t="str">
        <f>IF(Buildings_Heat_Frontend[[#This Row],[Data]]="","", IF($I500="","",$I500))</f>
        <v/>
      </c>
      <c r="AA500" s="229" t="str" cm="1">
        <f t="array" ref="AA500">IF(Buildings_Heat_Frontend[[#This Row],[Data]]="","", INDEX(_xlfn.SWITCH(Buildings_Heat_Backend[[#This Row],[Methodology]],"Tier 1",rng_RSD1,"Tier 2",rng_RSD2,"Tier 3",rng_RSD3),MATCH(_xlfn.CONCAT(Buildings_Heat_Backend[[#This Row],[Level 1]:[Level 6]]),rng_LevelsConcat,0)))</f>
        <v/>
      </c>
      <c r="AB500" s="220" t="str">
        <f t="shared" si="22"/>
        <v/>
      </c>
      <c r="AC500" s="174">
        <f>Buildings_Heat_Frontend[[#This Row],[Units]]</f>
        <v>0</v>
      </c>
      <c r="AD50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0" s="174" t="str">
        <f>IF(Buildings_Heat_Frontend[[#This Row],[Data]]="","", _xlfn.XLOOKUP(_xlfn.CONCAT(Buildings_Heat_Backend[[#This Row],[Level 1]:[Level 6]]),rng_LevelsConcat,rng_UnitsLong))</f>
        <v/>
      </c>
      <c r="AF500" s="210" t="str">
        <f>IF(Buildings_Heat_Frontend[[#This Row],[Data]]="","", _xlfn.XLOOKUP(_xlfn.CONCAT(Buildings_Heat_Backend[[#This Row],[Level 1]:[Level 6]]),rng_EFConcat,rng_EF1)*Buildings_Heat_Backend[[#This Row],[Converted data]]/1000)</f>
        <v/>
      </c>
      <c r="AG500" s="210" t="str">
        <f>IF(Buildings_Heat_Frontend[[#This Row],[Data]]="","", _xlfn.XLOOKUP(_xlfn.CONCAT(Buildings_Heat_Backend[[#This Row],[Level 1]:[Level 6]]),rng_EFConcat,rng_EF2)*Buildings_Heat_Backend[[#This Row],[Converted data]]/1000)</f>
        <v/>
      </c>
      <c r="AH500" s="210" t="str">
        <f>IF(Buildings_Heat_Frontend[[#This Row],[Data]]="","", _xlfn.XLOOKUP(_xlfn.CONCAT(Buildings_Heat_Backend[[#This Row],[Level 1]:[Level 6]]),rng_EFConcat,rng_EF3)*Buildings_Heat_Backend[[#This Row],[Converted data]]/1000)</f>
        <v/>
      </c>
      <c r="AI500" s="210" t="str">
        <f>IF(Buildings_Heat_Frontend[[#This Row],[Data]]="","", _xlfn.XLOOKUP(_xlfn.CONCAT(Buildings_Heat_Backend[[#This Row],[Level 1]:[Level 6]]),rng_EFConcat,rng_EF3WTT)*Buildings_Heat_Backend[[#This Row],[Converted data]]/1000)</f>
        <v/>
      </c>
      <c r="AJ500" s="210" t="str">
        <f>IF(Buildings_Heat_Frontend[[#This Row],[Data]]="","", _xlfn.XLOOKUP(_xlfn.CONCAT(Buildings_Heat_Backend[[#This Row],[Level 1]:[Level 6]]),rng_EFConcat,rng_EF3TD)*Buildings_Heat_Backend[[#This Row],[Converted data]]/1000)</f>
        <v/>
      </c>
      <c r="AK500" s="210" t="str">
        <f>IF(Buildings_Heat_Frontend[[#This Row],[Data]]="","", _xlfn.XLOOKUP(_xlfn.CONCAT(Buildings_Heat_Backend[[#This Row],[Level 1]:[Level 6]]),rng_EFConcat,rng_EF3WTTTD)*Buildings_Heat_Backend[[#This Row],[Converted data]]/1000)</f>
        <v/>
      </c>
      <c r="AL500" s="220">
        <f>SUM(Buildings_Heat_Backend[[#This Row],[Scope 1 (tCO2e)]:[Scope 3 WTT T&amp;D (tCO2e)]])</f>
        <v>0</v>
      </c>
      <c r="AM500" s="220" t="str">
        <f>IF(Buildings_Heat_Frontend[[#This Row],[Data]]="","", Buildings_Heat_Backend[[#This Row],[Total (tCO2e)]]*(1-Buildings_Heat_Backend[[#This Row],[RSD]]))</f>
        <v/>
      </c>
      <c r="AN500" s="220" t="str">
        <f>IF(Buildings_Heat_Frontend[[#This Row],[Data]]="","", Buildings_Heat_Backend[[#This Row],[Total (tCO2e)]]*(1+Buildings_Heat_Backend[[#This Row],[RSD]]))</f>
        <v/>
      </c>
      <c r="AO500" s="210" t="str">
        <f>IF(Buildings_Heat_Frontend[[#This Row],[Data]]="","", _xlfn.XLOOKUP(_xlfn.CONCAT(Buildings_Heat_Backend[[#This Row],[Level 1]:[Level 6]]),rng_EFConcat,rng_EFOOS)*Buildings_Heat_Backend[[#This Row],[Converted data]]/1000)</f>
        <v/>
      </c>
      <c r="AP500" s="174">
        <f>Buildings_Heat_Frontend[[#This Row],[Ease of collection]]</f>
        <v>0</v>
      </c>
      <c r="AQ500" s="174">
        <f>Buildings_Heat_Frontend[[#This Row],[Completeness]]</f>
        <v>0</v>
      </c>
      <c r="AR500" s="174">
        <f>Buildings_Heat_Frontend[[#This Row],[Notes]]</f>
        <v>0</v>
      </c>
    </row>
    <row r="501" spans="5:44" x14ac:dyDescent="0.3">
      <c r="E501" s="346"/>
      <c r="F501" s="364"/>
      <c r="G501" s="336"/>
      <c r="H501" s="336"/>
      <c r="I501" s="336"/>
      <c r="J501" s="334"/>
      <c r="K501" s="336"/>
      <c r="L501" s="336"/>
      <c r="M501" s="336"/>
      <c r="N501" s="352"/>
      <c r="O501" s="230">
        <f t="shared" si="23"/>
        <v>6</v>
      </c>
      <c r="Q501" s="212" t="str">
        <f t="shared" si="21"/>
        <v/>
      </c>
      <c r="R501" s="174" t="s">
        <v>265</v>
      </c>
      <c r="S501" s="174" t="s">
        <v>273</v>
      </c>
      <c r="T501" s="174" t="str">
        <f>IF(Buildings_Heat_Frontend[[#This Row],[Data]]="","", _xlfn.XLOOKUP(Buildings_Heat_Backend[[#This Row],[Info 1]],Buildings_SiteInfo[Site name],Buildings_SiteInfo[Site type]))</f>
        <v/>
      </c>
      <c r="U501" s="174" t="str">
        <f>IF(Buildings_Heat_Frontend[[#This Row],[Data]]="","", Buildings_Heat_Frontend[[#This Row],[Heating Type]])</f>
        <v/>
      </c>
      <c r="V501" s="174" t="str">
        <f>IF(Buildings_Heat_Frontend[[#This Row],[Data]]="","", Buildings_Heat_Frontend[[#This Row],[Fuel]])</f>
        <v/>
      </c>
      <c r="W501" s="174" t="str" cm="1">
        <f t="array" ref="W501">IF(Buildings_Heat_Frontend[[#This Row],[Data]]="","", _xlfn.XLOOKUP(Buildings_Heat_Backend[[#This Row],[Level 5]],rng_Level5Long,rng_Level6Long))</f>
        <v/>
      </c>
      <c r="X501" s="174" t="str">
        <f>IF(Buildings_Heat_Frontend[[#This Row],[Data]]="","", Buildings_Heat_Frontend[[#This Row],[Site Name]])</f>
        <v/>
      </c>
      <c r="Y501" s="174" t="str">
        <f>IF(Buildings_Heat_Frontend[[#This Row],[Data]]="","", Buildings_Heat_Frontend[[#This Row],[MPRN]])</f>
        <v/>
      </c>
      <c r="Z501" s="174" t="str">
        <f>IF(Buildings_Heat_Frontend[[#This Row],[Data]]="","", IF($I501="","",$I501))</f>
        <v/>
      </c>
      <c r="AA501" s="229" t="str" cm="1">
        <f t="array" ref="AA501">IF(Buildings_Heat_Frontend[[#This Row],[Data]]="","", INDEX(_xlfn.SWITCH(Buildings_Heat_Backend[[#This Row],[Methodology]],"Tier 1",rng_RSD1,"Tier 2",rng_RSD2,"Tier 3",rng_RSD3),MATCH(_xlfn.CONCAT(Buildings_Heat_Backend[[#This Row],[Level 1]:[Level 6]]),rng_LevelsConcat,0)))</f>
        <v/>
      </c>
      <c r="AB501" s="220" t="str">
        <f t="shared" si="22"/>
        <v/>
      </c>
      <c r="AC501" s="174">
        <f>Buildings_Heat_Frontend[[#This Row],[Units]]</f>
        <v>0</v>
      </c>
      <c r="AD50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1" s="174" t="str">
        <f>IF(Buildings_Heat_Frontend[[#This Row],[Data]]="","", _xlfn.XLOOKUP(_xlfn.CONCAT(Buildings_Heat_Backend[[#This Row],[Level 1]:[Level 6]]),rng_LevelsConcat,rng_UnitsLong))</f>
        <v/>
      </c>
      <c r="AF501" s="210" t="str">
        <f>IF(Buildings_Heat_Frontend[[#This Row],[Data]]="","", _xlfn.XLOOKUP(_xlfn.CONCAT(Buildings_Heat_Backend[[#This Row],[Level 1]:[Level 6]]),rng_EFConcat,rng_EF1)*Buildings_Heat_Backend[[#This Row],[Converted data]]/1000)</f>
        <v/>
      </c>
      <c r="AG501" s="210" t="str">
        <f>IF(Buildings_Heat_Frontend[[#This Row],[Data]]="","", _xlfn.XLOOKUP(_xlfn.CONCAT(Buildings_Heat_Backend[[#This Row],[Level 1]:[Level 6]]),rng_EFConcat,rng_EF2)*Buildings_Heat_Backend[[#This Row],[Converted data]]/1000)</f>
        <v/>
      </c>
      <c r="AH501" s="210" t="str">
        <f>IF(Buildings_Heat_Frontend[[#This Row],[Data]]="","", _xlfn.XLOOKUP(_xlfn.CONCAT(Buildings_Heat_Backend[[#This Row],[Level 1]:[Level 6]]),rng_EFConcat,rng_EF3)*Buildings_Heat_Backend[[#This Row],[Converted data]]/1000)</f>
        <v/>
      </c>
      <c r="AI501" s="210" t="str">
        <f>IF(Buildings_Heat_Frontend[[#This Row],[Data]]="","", _xlfn.XLOOKUP(_xlfn.CONCAT(Buildings_Heat_Backend[[#This Row],[Level 1]:[Level 6]]),rng_EFConcat,rng_EF3WTT)*Buildings_Heat_Backend[[#This Row],[Converted data]]/1000)</f>
        <v/>
      </c>
      <c r="AJ501" s="210" t="str">
        <f>IF(Buildings_Heat_Frontend[[#This Row],[Data]]="","", _xlfn.XLOOKUP(_xlfn.CONCAT(Buildings_Heat_Backend[[#This Row],[Level 1]:[Level 6]]),rng_EFConcat,rng_EF3TD)*Buildings_Heat_Backend[[#This Row],[Converted data]]/1000)</f>
        <v/>
      </c>
      <c r="AK501" s="210" t="str">
        <f>IF(Buildings_Heat_Frontend[[#This Row],[Data]]="","", _xlfn.XLOOKUP(_xlfn.CONCAT(Buildings_Heat_Backend[[#This Row],[Level 1]:[Level 6]]),rng_EFConcat,rng_EF3WTTTD)*Buildings_Heat_Backend[[#This Row],[Converted data]]/1000)</f>
        <v/>
      </c>
      <c r="AL501" s="220">
        <f>SUM(Buildings_Heat_Backend[[#This Row],[Scope 1 (tCO2e)]:[Scope 3 WTT T&amp;D (tCO2e)]])</f>
        <v>0</v>
      </c>
      <c r="AM501" s="220" t="str">
        <f>IF(Buildings_Heat_Frontend[[#This Row],[Data]]="","", Buildings_Heat_Backend[[#This Row],[Total (tCO2e)]]*(1-Buildings_Heat_Backend[[#This Row],[RSD]]))</f>
        <v/>
      </c>
      <c r="AN501" s="220" t="str">
        <f>IF(Buildings_Heat_Frontend[[#This Row],[Data]]="","", Buildings_Heat_Backend[[#This Row],[Total (tCO2e)]]*(1+Buildings_Heat_Backend[[#This Row],[RSD]]))</f>
        <v/>
      </c>
      <c r="AO501" s="210" t="str">
        <f>IF(Buildings_Heat_Frontend[[#This Row],[Data]]="","", _xlfn.XLOOKUP(_xlfn.CONCAT(Buildings_Heat_Backend[[#This Row],[Level 1]:[Level 6]]),rng_EFConcat,rng_EFOOS)*Buildings_Heat_Backend[[#This Row],[Converted data]]/1000)</f>
        <v/>
      </c>
      <c r="AP501" s="174">
        <f>Buildings_Heat_Frontend[[#This Row],[Ease of collection]]</f>
        <v>0</v>
      </c>
      <c r="AQ501" s="174">
        <f>Buildings_Heat_Frontend[[#This Row],[Completeness]]</f>
        <v>0</v>
      </c>
      <c r="AR501" s="174">
        <f>Buildings_Heat_Frontend[[#This Row],[Notes]]</f>
        <v>0</v>
      </c>
    </row>
    <row r="502" spans="5:44" x14ac:dyDescent="0.3">
      <c r="E502" s="346"/>
      <c r="F502" s="364"/>
      <c r="G502" s="336"/>
      <c r="H502" s="336"/>
      <c r="I502" s="336"/>
      <c r="J502" s="334"/>
      <c r="K502" s="336"/>
      <c r="L502" s="336"/>
      <c r="M502" s="336"/>
      <c r="N502" s="352"/>
      <c r="O502" s="230">
        <f t="shared" si="23"/>
        <v>6</v>
      </c>
      <c r="Q502" s="212" t="str">
        <f t="shared" si="21"/>
        <v/>
      </c>
      <c r="R502" s="174" t="s">
        <v>265</v>
      </c>
      <c r="S502" s="174" t="s">
        <v>273</v>
      </c>
      <c r="T502" s="174" t="str">
        <f>IF(Buildings_Heat_Frontend[[#This Row],[Data]]="","", _xlfn.XLOOKUP(Buildings_Heat_Backend[[#This Row],[Info 1]],Buildings_SiteInfo[Site name],Buildings_SiteInfo[Site type]))</f>
        <v/>
      </c>
      <c r="U502" s="174" t="str">
        <f>IF(Buildings_Heat_Frontend[[#This Row],[Data]]="","", Buildings_Heat_Frontend[[#This Row],[Heating Type]])</f>
        <v/>
      </c>
      <c r="V502" s="174" t="str">
        <f>IF(Buildings_Heat_Frontend[[#This Row],[Data]]="","", Buildings_Heat_Frontend[[#This Row],[Fuel]])</f>
        <v/>
      </c>
      <c r="W502" s="174" t="str" cm="1">
        <f t="array" ref="W502">IF(Buildings_Heat_Frontend[[#This Row],[Data]]="","", _xlfn.XLOOKUP(Buildings_Heat_Backend[[#This Row],[Level 5]],rng_Level5Long,rng_Level6Long))</f>
        <v/>
      </c>
      <c r="X502" s="174" t="str">
        <f>IF(Buildings_Heat_Frontend[[#This Row],[Data]]="","", Buildings_Heat_Frontend[[#This Row],[Site Name]])</f>
        <v/>
      </c>
      <c r="Y502" s="174" t="str">
        <f>IF(Buildings_Heat_Frontend[[#This Row],[Data]]="","", Buildings_Heat_Frontend[[#This Row],[MPRN]])</f>
        <v/>
      </c>
      <c r="Z502" s="174" t="str">
        <f>IF(Buildings_Heat_Frontend[[#This Row],[Data]]="","", IF($I502="","",$I502))</f>
        <v/>
      </c>
      <c r="AA502" s="229" t="str" cm="1">
        <f t="array" ref="AA502">IF(Buildings_Heat_Frontend[[#This Row],[Data]]="","", INDEX(_xlfn.SWITCH(Buildings_Heat_Backend[[#This Row],[Methodology]],"Tier 1",rng_RSD1,"Tier 2",rng_RSD2,"Tier 3",rng_RSD3),MATCH(_xlfn.CONCAT(Buildings_Heat_Backend[[#This Row],[Level 1]:[Level 6]]),rng_LevelsConcat,0)))</f>
        <v/>
      </c>
      <c r="AB502" s="220" t="str">
        <f t="shared" si="22"/>
        <v/>
      </c>
      <c r="AC502" s="174">
        <f>Buildings_Heat_Frontend[[#This Row],[Units]]</f>
        <v>0</v>
      </c>
      <c r="AD50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2" s="174" t="str">
        <f>IF(Buildings_Heat_Frontend[[#This Row],[Data]]="","", _xlfn.XLOOKUP(_xlfn.CONCAT(Buildings_Heat_Backend[[#This Row],[Level 1]:[Level 6]]),rng_LevelsConcat,rng_UnitsLong))</f>
        <v/>
      </c>
      <c r="AF502" s="210" t="str">
        <f>IF(Buildings_Heat_Frontend[[#This Row],[Data]]="","", _xlfn.XLOOKUP(_xlfn.CONCAT(Buildings_Heat_Backend[[#This Row],[Level 1]:[Level 6]]),rng_EFConcat,rng_EF1)*Buildings_Heat_Backend[[#This Row],[Converted data]]/1000)</f>
        <v/>
      </c>
      <c r="AG502" s="210" t="str">
        <f>IF(Buildings_Heat_Frontend[[#This Row],[Data]]="","", _xlfn.XLOOKUP(_xlfn.CONCAT(Buildings_Heat_Backend[[#This Row],[Level 1]:[Level 6]]),rng_EFConcat,rng_EF2)*Buildings_Heat_Backend[[#This Row],[Converted data]]/1000)</f>
        <v/>
      </c>
      <c r="AH502" s="210" t="str">
        <f>IF(Buildings_Heat_Frontend[[#This Row],[Data]]="","", _xlfn.XLOOKUP(_xlfn.CONCAT(Buildings_Heat_Backend[[#This Row],[Level 1]:[Level 6]]),rng_EFConcat,rng_EF3)*Buildings_Heat_Backend[[#This Row],[Converted data]]/1000)</f>
        <v/>
      </c>
      <c r="AI502" s="210" t="str">
        <f>IF(Buildings_Heat_Frontend[[#This Row],[Data]]="","", _xlfn.XLOOKUP(_xlfn.CONCAT(Buildings_Heat_Backend[[#This Row],[Level 1]:[Level 6]]),rng_EFConcat,rng_EF3WTT)*Buildings_Heat_Backend[[#This Row],[Converted data]]/1000)</f>
        <v/>
      </c>
      <c r="AJ502" s="210" t="str">
        <f>IF(Buildings_Heat_Frontend[[#This Row],[Data]]="","", _xlfn.XLOOKUP(_xlfn.CONCAT(Buildings_Heat_Backend[[#This Row],[Level 1]:[Level 6]]),rng_EFConcat,rng_EF3TD)*Buildings_Heat_Backend[[#This Row],[Converted data]]/1000)</f>
        <v/>
      </c>
      <c r="AK502" s="210" t="str">
        <f>IF(Buildings_Heat_Frontend[[#This Row],[Data]]="","", _xlfn.XLOOKUP(_xlfn.CONCAT(Buildings_Heat_Backend[[#This Row],[Level 1]:[Level 6]]),rng_EFConcat,rng_EF3WTTTD)*Buildings_Heat_Backend[[#This Row],[Converted data]]/1000)</f>
        <v/>
      </c>
      <c r="AL502" s="220">
        <f>SUM(Buildings_Heat_Backend[[#This Row],[Scope 1 (tCO2e)]:[Scope 3 WTT T&amp;D (tCO2e)]])</f>
        <v>0</v>
      </c>
      <c r="AM502" s="220" t="str">
        <f>IF(Buildings_Heat_Frontend[[#This Row],[Data]]="","", Buildings_Heat_Backend[[#This Row],[Total (tCO2e)]]*(1-Buildings_Heat_Backend[[#This Row],[RSD]]))</f>
        <v/>
      </c>
      <c r="AN502" s="220" t="str">
        <f>IF(Buildings_Heat_Frontend[[#This Row],[Data]]="","", Buildings_Heat_Backend[[#This Row],[Total (tCO2e)]]*(1+Buildings_Heat_Backend[[#This Row],[RSD]]))</f>
        <v/>
      </c>
      <c r="AO502" s="210" t="str">
        <f>IF(Buildings_Heat_Frontend[[#This Row],[Data]]="","", _xlfn.XLOOKUP(_xlfn.CONCAT(Buildings_Heat_Backend[[#This Row],[Level 1]:[Level 6]]),rng_EFConcat,rng_EFOOS)*Buildings_Heat_Backend[[#This Row],[Converted data]]/1000)</f>
        <v/>
      </c>
      <c r="AP502" s="174">
        <f>Buildings_Heat_Frontend[[#This Row],[Ease of collection]]</f>
        <v>0</v>
      </c>
      <c r="AQ502" s="174">
        <f>Buildings_Heat_Frontend[[#This Row],[Completeness]]</f>
        <v>0</v>
      </c>
      <c r="AR502" s="174">
        <f>Buildings_Heat_Frontend[[#This Row],[Notes]]</f>
        <v>0</v>
      </c>
    </row>
    <row r="503" spans="5:44" x14ac:dyDescent="0.3">
      <c r="E503" s="346"/>
      <c r="F503" s="364"/>
      <c r="G503" s="336"/>
      <c r="H503" s="336"/>
      <c r="I503" s="336"/>
      <c r="J503" s="334"/>
      <c r="K503" s="336"/>
      <c r="L503" s="336"/>
      <c r="M503" s="336"/>
      <c r="N503" s="352"/>
      <c r="O503" s="230">
        <f t="shared" si="23"/>
        <v>6</v>
      </c>
      <c r="Q503" s="212" t="str">
        <f t="shared" si="21"/>
        <v/>
      </c>
      <c r="R503" s="174" t="s">
        <v>265</v>
      </c>
      <c r="S503" s="174" t="s">
        <v>273</v>
      </c>
      <c r="T503" s="174" t="str">
        <f>IF(Buildings_Heat_Frontend[[#This Row],[Data]]="","", _xlfn.XLOOKUP(Buildings_Heat_Backend[[#This Row],[Info 1]],Buildings_SiteInfo[Site name],Buildings_SiteInfo[Site type]))</f>
        <v/>
      </c>
      <c r="U503" s="174" t="str">
        <f>IF(Buildings_Heat_Frontend[[#This Row],[Data]]="","", Buildings_Heat_Frontend[[#This Row],[Heating Type]])</f>
        <v/>
      </c>
      <c r="V503" s="174" t="str">
        <f>IF(Buildings_Heat_Frontend[[#This Row],[Data]]="","", Buildings_Heat_Frontend[[#This Row],[Fuel]])</f>
        <v/>
      </c>
      <c r="W503" s="174" t="str" cm="1">
        <f t="array" ref="W503">IF(Buildings_Heat_Frontend[[#This Row],[Data]]="","", _xlfn.XLOOKUP(Buildings_Heat_Backend[[#This Row],[Level 5]],rng_Level5Long,rng_Level6Long))</f>
        <v/>
      </c>
      <c r="X503" s="174" t="str">
        <f>IF(Buildings_Heat_Frontend[[#This Row],[Data]]="","", Buildings_Heat_Frontend[[#This Row],[Site Name]])</f>
        <v/>
      </c>
      <c r="Y503" s="174" t="str">
        <f>IF(Buildings_Heat_Frontend[[#This Row],[Data]]="","", Buildings_Heat_Frontend[[#This Row],[MPRN]])</f>
        <v/>
      </c>
      <c r="Z503" s="174" t="str">
        <f>IF(Buildings_Heat_Frontend[[#This Row],[Data]]="","", IF($I503="","",$I503))</f>
        <v/>
      </c>
      <c r="AA503" s="229" t="str" cm="1">
        <f t="array" ref="AA503">IF(Buildings_Heat_Frontend[[#This Row],[Data]]="","", INDEX(_xlfn.SWITCH(Buildings_Heat_Backend[[#This Row],[Methodology]],"Tier 1",rng_RSD1,"Tier 2",rng_RSD2,"Tier 3",rng_RSD3),MATCH(_xlfn.CONCAT(Buildings_Heat_Backend[[#This Row],[Level 1]:[Level 6]]),rng_LevelsConcat,0)))</f>
        <v/>
      </c>
      <c r="AB503" s="220" t="str">
        <f t="shared" si="22"/>
        <v/>
      </c>
      <c r="AC503" s="174">
        <f>Buildings_Heat_Frontend[[#This Row],[Units]]</f>
        <v>0</v>
      </c>
      <c r="AD50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3" s="174" t="str">
        <f>IF(Buildings_Heat_Frontend[[#This Row],[Data]]="","", _xlfn.XLOOKUP(_xlfn.CONCAT(Buildings_Heat_Backend[[#This Row],[Level 1]:[Level 6]]),rng_LevelsConcat,rng_UnitsLong))</f>
        <v/>
      </c>
      <c r="AF503" s="210" t="str">
        <f>IF(Buildings_Heat_Frontend[[#This Row],[Data]]="","", _xlfn.XLOOKUP(_xlfn.CONCAT(Buildings_Heat_Backend[[#This Row],[Level 1]:[Level 6]]),rng_EFConcat,rng_EF1)*Buildings_Heat_Backend[[#This Row],[Converted data]]/1000)</f>
        <v/>
      </c>
      <c r="AG503" s="210" t="str">
        <f>IF(Buildings_Heat_Frontend[[#This Row],[Data]]="","", _xlfn.XLOOKUP(_xlfn.CONCAT(Buildings_Heat_Backend[[#This Row],[Level 1]:[Level 6]]),rng_EFConcat,rng_EF2)*Buildings_Heat_Backend[[#This Row],[Converted data]]/1000)</f>
        <v/>
      </c>
      <c r="AH503" s="210" t="str">
        <f>IF(Buildings_Heat_Frontend[[#This Row],[Data]]="","", _xlfn.XLOOKUP(_xlfn.CONCAT(Buildings_Heat_Backend[[#This Row],[Level 1]:[Level 6]]),rng_EFConcat,rng_EF3)*Buildings_Heat_Backend[[#This Row],[Converted data]]/1000)</f>
        <v/>
      </c>
      <c r="AI503" s="210" t="str">
        <f>IF(Buildings_Heat_Frontend[[#This Row],[Data]]="","", _xlfn.XLOOKUP(_xlfn.CONCAT(Buildings_Heat_Backend[[#This Row],[Level 1]:[Level 6]]),rng_EFConcat,rng_EF3WTT)*Buildings_Heat_Backend[[#This Row],[Converted data]]/1000)</f>
        <v/>
      </c>
      <c r="AJ503" s="210" t="str">
        <f>IF(Buildings_Heat_Frontend[[#This Row],[Data]]="","", _xlfn.XLOOKUP(_xlfn.CONCAT(Buildings_Heat_Backend[[#This Row],[Level 1]:[Level 6]]),rng_EFConcat,rng_EF3TD)*Buildings_Heat_Backend[[#This Row],[Converted data]]/1000)</f>
        <v/>
      </c>
      <c r="AK503" s="210" t="str">
        <f>IF(Buildings_Heat_Frontend[[#This Row],[Data]]="","", _xlfn.XLOOKUP(_xlfn.CONCAT(Buildings_Heat_Backend[[#This Row],[Level 1]:[Level 6]]),rng_EFConcat,rng_EF3WTTTD)*Buildings_Heat_Backend[[#This Row],[Converted data]]/1000)</f>
        <v/>
      </c>
      <c r="AL503" s="220">
        <f>SUM(Buildings_Heat_Backend[[#This Row],[Scope 1 (tCO2e)]:[Scope 3 WTT T&amp;D (tCO2e)]])</f>
        <v>0</v>
      </c>
      <c r="AM503" s="220" t="str">
        <f>IF(Buildings_Heat_Frontend[[#This Row],[Data]]="","", Buildings_Heat_Backend[[#This Row],[Total (tCO2e)]]*(1-Buildings_Heat_Backend[[#This Row],[RSD]]))</f>
        <v/>
      </c>
      <c r="AN503" s="220" t="str">
        <f>IF(Buildings_Heat_Frontend[[#This Row],[Data]]="","", Buildings_Heat_Backend[[#This Row],[Total (tCO2e)]]*(1+Buildings_Heat_Backend[[#This Row],[RSD]]))</f>
        <v/>
      </c>
      <c r="AO503" s="210" t="str">
        <f>IF(Buildings_Heat_Frontend[[#This Row],[Data]]="","", _xlfn.XLOOKUP(_xlfn.CONCAT(Buildings_Heat_Backend[[#This Row],[Level 1]:[Level 6]]),rng_EFConcat,rng_EFOOS)*Buildings_Heat_Backend[[#This Row],[Converted data]]/1000)</f>
        <v/>
      </c>
      <c r="AP503" s="174">
        <f>Buildings_Heat_Frontend[[#This Row],[Ease of collection]]</f>
        <v>0</v>
      </c>
      <c r="AQ503" s="174">
        <f>Buildings_Heat_Frontend[[#This Row],[Completeness]]</f>
        <v>0</v>
      </c>
      <c r="AR503" s="174">
        <f>Buildings_Heat_Frontend[[#This Row],[Notes]]</f>
        <v>0</v>
      </c>
    </row>
    <row r="504" spans="5:44" x14ac:dyDescent="0.3">
      <c r="E504" s="346"/>
      <c r="F504" s="364"/>
      <c r="G504" s="336"/>
      <c r="H504" s="336"/>
      <c r="I504" s="336"/>
      <c r="J504" s="334"/>
      <c r="K504" s="336"/>
      <c r="L504" s="336"/>
      <c r="M504" s="336"/>
      <c r="N504" s="352"/>
      <c r="O504" s="230">
        <f t="shared" si="23"/>
        <v>6</v>
      </c>
      <c r="Q504" s="212" t="str">
        <f t="shared" si="21"/>
        <v/>
      </c>
      <c r="R504" s="174" t="s">
        <v>265</v>
      </c>
      <c r="S504" s="174" t="s">
        <v>273</v>
      </c>
      <c r="T504" s="174" t="str">
        <f>IF(Buildings_Heat_Frontend[[#This Row],[Data]]="","", _xlfn.XLOOKUP(Buildings_Heat_Backend[[#This Row],[Info 1]],Buildings_SiteInfo[Site name],Buildings_SiteInfo[Site type]))</f>
        <v/>
      </c>
      <c r="U504" s="174" t="str">
        <f>IF(Buildings_Heat_Frontend[[#This Row],[Data]]="","", Buildings_Heat_Frontend[[#This Row],[Heating Type]])</f>
        <v/>
      </c>
      <c r="V504" s="174" t="str">
        <f>IF(Buildings_Heat_Frontend[[#This Row],[Data]]="","", Buildings_Heat_Frontend[[#This Row],[Fuel]])</f>
        <v/>
      </c>
      <c r="W504" s="174" t="str" cm="1">
        <f t="array" ref="W504">IF(Buildings_Heat_Frontend[[#This Row],[Data]]="","", _xlfn.XLOOKUP(Buildings_Heat_Backend[[#This Row],[Level 5]],rng_Level5Long,rng_Level6Long))</f>
        <v/>
      </c>
      <c r="X504" s="174" t="str">
        <f>IF(Buildings_Heat_Frontend[[#This Row],[Data]]="","", Buildings_Heat_Frontend[[#This Row],[Site Name]])</f>
        <v/>
      </c>
      <c r="Y504" s="174" t="str">
        <f>IF(Buildings_Heat_Frontend[[#This Row],[Data]]="","", Buildings_Heat_Frontend[[#This Row],[MPRN]])</f>
        <v/>
      </c>
      <c r="Z504" s="174" t="str">
        <f>IF(Buildings_Heat_Frontend[[#This Row],[Data]]="","", IF($I504="","",$I504))</f>
        <v/>
      </c>
      <c r="AA504" s="229" t="str" cm="1">
        <f t="array" ref="AA504">IF(Buildings_Heat_Frontend[[#This Row],[Data]]="","", INDEX(_xlfn.SWITCH(Buildings_Heat_Backend[[#This Row],[Methodology]],"Tier 1",rng_RSD1,"Tier 2",rng_RSD2,"Tier 3",rng_RSD3),MATCH(_xlfn.CONCAT(Buildings_Heat_Backend[[#This Row],[Level 1]:[Level 6]]),rng_LevelsConcat,0)))</f>
        <v/>
      </c>
      <c r="AB504" s="220" t="str">
        <f t="shared" si="22"/>
        <v/>
      </c>
      <c r="AC504" s="174">
        <f>Buildings_Heat_Frontend[[#This Row],[Units]]</f>
        <v>0</v>
      </c>
      <c r="AD50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4" s="174" t="str">
        <f>IF(Buildings_Heat_Frontend[[#This Row],[Data]]="","", _xlfn.XLOOKUP(_xlfn.CONCAT(Buildings_Heat_Backend[[#This Row],[Level 1]:[Level 6]]),rng_LevelsConcat,rng_UnitsLong))</f>
        <v/>
      </c>
      <c r="AF504" s="210" t="str">
        <f>IF(Buildings_Heat_Frontend[[#This Row],[Data]]="","", _xlfn.XLOOKUP(_xlfn.CONCAT(Buildings_Heat_Backend[[#This Row],[Level 1]:[Level 6]]),rng_EFConcat,rng_EF1)*Buildings_Heat_Backend[[#This Row],[Converted data]]/1000)</f>
        <v/>
      </c>
      <c r="AG504" s="210" t="str">
        <f>IF(Buildings_Heat_Frontend[[#This Row],[Data]]="","", _xlfn.XLOOKUP(_xlfn.CONCAT(Buildings_Heat_Backend[[#This Row],[Level 1]:[Level 6]]),rng_EFConcat,rng_EF2)*Buildings_Heat_Backend[[#This Row],[Converted data]]/1000)</f>
        <v/>
      </c>
      <c r="AH504" s="210" t="str">
        <f>IF(Buildings_Heat_Frontend[[#This Row],[Data]]="","", _xlfn.XLOOKUP(_xlfn.CONCAT(Buildings_Heat_Backend[[#This Row],[Level 1]:[Level 6]]),rng_EFConcat,rng_EF3)*Buildings_Heat_Backend[[#This Row],[Converted data]]/1000)</f>
        <v/>
      </c>
      <c r="AI504" s="210" t="str">
        <f>IF(Buildings_Heat_Frontend[[#This Row],[Data]]="","", _xlfn.XLOOKUP(_xlfn.CONCAT(Buildings_Heat_Backend[[#This Row],[Level 1]:[Level 6]]),rng_EFConcat,rng_EF3WTT)*Buildings_Heat_Backend[[#This Row],[Converted data]]/1000)</f>
        <v/>
      </c>
      <c r="AJ504" s="210" t="str">
        <f>IF(Buildings_Heat_Frontend[[#This Row],[Data]]="","", _xlfn.XLOOKUP(_xlfn.CONCAT(Buildings_Heat_Backend[[#This Row],[Level 1]:[Level 6]]),rng_EFConcat,rng_EF3TD)*Buildings_Heat_Backend[[#This Row],[Converted data]]/1000)</f>
        <v/>
      </c>
      <c r="AK504" s="210" t="str">
        <f>IF(Buildings_Heat_Frontend[[#This Row],[Data]]="","", _xlfn.XLOOKUP(_xlfn.CONCAT(Buildings_Heat_Backend[[#This Row],[Level 1]:[Level 6]]),rng_EFConcat,rng_EF3WTTTD)*Buildings_Heat_Backend[[#This Row],[Converted data]]/1000)</f>
        <v/>
      </c>
      <c r="AL504" s="220">
        <f>SUM(Buildings_Heat_Backend[[#This Row],[Scope 1 (tCO2e)]:[Scope 3 WTT T&amp;D (tCO2e)]])</f>
        <v>0</v>
      </c>
      <c r="AM504" s="220" t="str">
        <f>IF(Buildings_Heat_Frontend[[#This Row],[Data]]="","", Buildings_Heat_Backend[[#This Row],[Total (tCO2e)]]*(1-Buildings_Heat_Backend[[#This Row],[RSD]]))</f>
        <v/>
      </c>
      <c r="AN504" s="220" t="str">
        <f>IF(Buildings_Heat_Frontend[[#This Row],[Data]]="","", Buildings_Heat_Backend[[#This Row],[Total (tCO2e)]]*(1+Buildings_Heat_Backend[[#This Row],[RSD]]))</f>
        <v/>
      </c>
      <c r="AO504" s="210" t="str">
        <f>IF(Buildings_Heat_Frontend[[#This Row],[Data]]="","", _xlfn.XLOOKUP(_xlfn.CONCAT(Buildings_Heat_Backend[[#This Row],[Level 1]:[Level 6]]),rng_EFConcat,rng_EFOOS)*Buildings_Heat_Backend[[#This Row],[Converted data]]/1000)</f>
        <v/>
      </c>
      <c r="AP504" s="174">
        <f>Buildings_Heat_Frontend[[#This Row],[Ease of collection]]</f>
        <v>0</v>
      </c>
      <c r="AQ504" s="174">
        <f>Buildings_Heat_Frontend[[#This Row],[Completeness]]</f>
        <v>0</v>
      </c>
      <c r="AR504" s="174">
        <f>Buildings_Heat_Frontend[[#This Row],[Notes]]</f>
        <v>0</v>
      </c>
    </row>
    <row r="505" spans="5:44" x14ac:dyDescent="0.3">
      <c r="E505" s="346"/>
      <c r="F505" s="364"/>
      <c r="G505" s="336"/>
      <c r="H505" s="336"/>
      <c r="I505" s="336"/>
      <c r="J505" s="334"/>
      <c r="K505" s="336"/>
      <c r="L505" s="336"/>
      <c r="M505" s="336"/>
      <c r="N505" s="352"/>
      <c r="O505" s="230">
        <f t="shared" si="23"/>
        <v>6</v>
      </c>
      <c r="Q505" s="212" t="str">
        <f t="shared" si="21"/>
        <v/>
      </c>
      <c r="R505" s="174" t="s">
        <v>265</v>
      </c>
      <c r="S505" s="174" t="s">
        <v>273</v>
      </c>
      <c r="T505" s="174" t="str">
        <f>IF(Buildings_Heat_Frontend[[#This Row],[Data]]="","", _xlfn.XLOOKUP(Buildings_Heat_Backend[[#This Row],[Info 1]],Buildings_SiteInfo[Site name],Buildings_SiteInfo[Site type]))</f>
        <v/>
      </c>
      <c r="U505" s="174" t="str">
        <f>IF(Buildings_Heat_Frontend[[#This Row],[Data]]="","", Buildings_Heat_Frontend[[#This Row],[Heating Type]])</f>
        <v/>
      </c>
      <c r="V505" s="174" t="str">
        <f>IF(Buildings_Heat_Frontend[[#This Row],[Data]]="","", Buildings_Heat_Frontend[[#This Row],[Fuel]])</f>
        <v/>
      </c>
      <c r="W505" s="174" t="str" cm="1">
        <f t="array" ref="W505">IF(Buildings_Heat_Frontend[[#This Row],[Data]]="","", _xlfn.XLOOKUP(Buildings_Heat_Backend[[#This Row],[Level 5]],rng_Level5Long,rng_Level6Long))</f>
        <v/>
      </c>
      <c r="X505" s="174" t="str">
        <f>IF(Buildings_Heat_Frontend[[#This Row],[Data]]="","", Buildings_Heat_Frontend[[#This Row],[Site Name]])</f>
        <v/>
      </c>
      <c r="Y505" s="174" t="str">
        <f>IF(Buildings_Heat_Frontend[[#This Row],[Data]]="","", Buildings_Heat_Frontend[[#This Row],[MPRN]])</f>
        <v/>
      </c>
      <c r="Z505" s="174" t="str">
        <f>IF(Buildings_Heat_Frontend[[#This Row],[Data]]="","", IF($I505="","",$I505))</f>
        <v/>
      </c>
      <c r="AA505" s="229" t="str" cm="1">
        <f t="array" ref="AA505">IF(Buildings_Heat_Frontend[[#This Row],[Data]]="","", INDEX(_xlfn.SWITCH(Buildings_Heat_Backend[[#This Row],[Methodology]],"Tier 1",rng_RSD1,"Tier 2",rng_RSD2,"Tier 3",rng_RSD3),MATCH(_xlfn.CONCAT(Buildings_Heat_Backend[[#This Row],[Level 1]:[Level 6]]),rng_LevelsConcat,0)))</f>
        <v/>
      </c>
      <c r="AB505" s="220" t="str">
        <f t="shared" si="22"/>
        <v/>
      </c>
      <c r="AC505" s="174">
        <f>Buildings_Heat_Frontend[[#This Row],[Units]]</f>
        <v>0</v>
      </c>
      <c r="AD505"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5" s="174" t="str">
        <f>IF(Buildings_Heat_Frontend[[#This Row],[Data]]="","", _xlfn.XLOOKUP(_xlfn.CONCAT(Buildings_Heat_Backend[[#This Row],[Level 1]:[Level 6]]),rng_LevelsConcat,rng_UnitsLong))</f>
        <v/>
      </c>
      <c r="AF505" s="210" t="str">
        <f>IF(Buildings_Heat_Frontend[[#This Row],[Data]]="","", _xlfn.XLOOKUP(_xlfn.CONCAT(Buildings_Heat_Backend[[#This Row],[Level 1]:[Level 6]]),rng_EFConcat,rng_EF1)*Buildings_Heat_Backend[[#This Row],[Converted data]]/1000)</f>
        <v/>
      </c>
      <c r="AG505" s="210" t="str">
        <f>IF(Buildings_Heat_Frontend[[#This Row],[Data]]="","", _xlfn.XLOOKUP(_xlfn.CONCAT(Buildings_Heat_Backend[[#This Row],[Level 1]:[Level 6]]),rng_EFConcat,rng_EF2)*Buildings_Heat_Backend[[#This Row],[Converted data]]/1000)</f>
        <v/>
      </c>
      <c r="AH505" s="210" t="str">
        <f>IF(Buildings_Heat_Frontend[[#This Row],[Data]]="","", _xlfn.XLOOKUP(_xlfn.CONCAT(Buildings_Heat_Backend[[#This Row],[Level 1]:[Level 6]]),rng_EFConcat,rng_EF3)*Buildings_Heat_Backend[[#This Row],[Converted data]]/1000)</f>
        <v/>
      </c>
      <c r="AI505" s="210" t="str">
        <f>IF(Buildings_Heat_Frontend[[#This Row],[Data]]="","", _xlfn.XLOOKUP(_xlfn.CONCAT(Buildings_Heat_Backend[[#This Row],[Level 1]:[Level 6]]),rng_EFConcat,rng_EF3WTT)*Buildings_Heat_Backend[[#This Row],[Converted data]]/1000)</f>
        <v/>
      </c>
      <c r="AJ505" s="210" t="str">
        <f>IF(Buildings_Heat_Frontend[[#This Row],[Data]]="","", _xlfn.XLOOKUP(_xlfn.CONCAT(Buildings_Heat_Backend[[#This Row],[Level 1]:[Level 6]]),rng_EFConcat,rng_EF3TD)*Buildings_Heat_Backend[[#This Row],[Converted data]]/1000)</f>
        <v/>
      </c>
      <c r="AK505" s="210" t="str">
        <f>IF(Buildings_Heat_Frontend[[#This Row],[Data]]="","", _xlfn.XLOOKUP(_xlfn.CONCAT(Buildings_Heat_Backend[[#This Row],[Level 1]:[Level 6]]),rng_EFConcat,rng_EF3WTTTD)*Buildings_Heat_Backend[[#This Row],[Converted data]]/1000)</f>
        <v/>
      </c>
      <c r="AL505" s="220">
        <f>SUM(Buildings_Heat_Backend[[#This Row],[Scope 1 (tCO2e)]:[Scope 3 WTT T&amp;D (tCO2e)]])</f>
        <v>0</v>
      </c>
      <c r="AM505" s="220" t="str">
        <f>IF(Buildings_Heat_Frontend[[#This Row],[Data]]="","", Buildings_Heat_Backend[[#This Row],[Total (tCO2e)]]*(1-Buildings_Heat_Backend[[#This Row],[RSD]]))</f>
        <v/>
      </c>
      <c r="AN505" s="220" t="str">
        <f>IF(Buildings_Heat_Frontend[[#This Row],[Data]]="","", Buildings_Heat_Backend[[#This Row],[Total (tCO2e)]]*(1+Buildings_Heat_Backend[[#This Row],[RSD]]))</f>
        <v/>
      </c>
      <c r="AO505" s="210" t="str">
        <f>IF(Buildings_Heat_Frontend[[#This Row],[Data]]="","", _xlfn.XLOOKUP(_xlfn.CONCAT(Buildings_Heat_Backend[[#This Row],[Level 1]:[Level 6]]),rng_EFConcat,rng_EFOOS)*Buildings_Heat_Backend[[#This Row],[Converted data]]/1000)</f>
        <v/>
      </c>
      <c r="AP505" s="174">
        <f>Buildings_Heat_Frontend[[#This Row],[Ease of collection]]</f>
        <v>0</v>
      </c>
      <c r="AQ505" s="174">
        <f>Buildings_Heat_Frontend[[#This Row],[Completeness]]</f>
        <v>0</v>
      </c>
      <c r="AR505" s="174">
        <f>Buildings_Heat_Frontend[[#This Row],[Notes]]</f>
        <v>0</v>
      </c>
    </row>
    <row r="506" spans="5:44" x14ac:dyDescent="0.3">
      <c r="E506" s="346"/>
      <c r="F506" s="364"/>
      <c r="G506" s="336"/>
      <c r="H506" s="336"/>
      <c r="I506" s="336"/>
      <c r="J506" s="334"/>
      <c r="K506" s="336"/>
      <c r="L506" s="336"/>
      <c r="M506" s="336"/>
      <c r="N506" s="352"/>
      <c r="O506" s="230">
        <f t="shared" si="23"/>
        <v>6</v>
      </c>
      <c r="Q506" s="212" t="str">
        <f t="shared" si="21"/>
        <v/>
      </c>
      <c r="R506" s="174" t="s">
        <v>265</v>
      </c>
      <c r="S506" s="174" t="s">
        <v>273</v>
      </c>
      <c r="T506" s="174" t="str">
        <f>IF(Buildings_Heat_Frontend[[#This Row],[Data]]="","", _xlfn.XLOOKUP(Buildings_Heat_Backend[[#This Row],[Info 1]],Buildings_SiteInfo[Site name],Buildings_SiteInfo[Site type]))</f>
        <v/>
      </c>
      <c r="U506" s="174" t="str">
        <f>IF(Buildings_Heat_Frontend[[#This Row],[Data]]="","", Buildings_Heat_Frontend[[#This Row],[Heating Type]])</f>
        <v/>
      </c>
      <c r="V506" s="174" t="str">
        <f>IF(Buildings_Heat_Frontend[[#This Row],[Data]]="","", Buildings_Heat_Frontend[[#This Row],[Fuel]])</f>
        <v/>
      </c>
      <c r="W506" s="174" t="str" cm="1">
        <f t="array" ref="W506">IF(Buildings_Heat_Frontend[[#This Row],[Data]]="","", _xlfn.XLOOKUP(Buildings_Heat_Backend[[#This Row],[Level 5]],rng_Level5Long,rng_Level6Long))</f>
        <v/>
      </c>
      <c r="X506" s="174" t="str">
        <f>IF(Buildings_Heat_Frontend[[#This Row],[Data]]="","", Buildings_Heat_Frontend[[#This Row],[Site Name]])</f>
        <v/>
      </c>
      <c r="Y506" s="174" t="str">
        <f>IF(Buildings_Heat_Frontend[[#This Row],[Data]]="","", Buildings_Heat_Frontend[[#This Row],[MPRN]])</f>
        <v/>
      </c>
      <c r="Z506" s="174" t="str">
        <f>IF(Buildings_Heat_Frontend[[#This Row],[Data]]="","", IF($I506="","",$I506))</f>
        <v/>
      </c>
      <c r="AA506" s="229" t="str" cm="1">
        <f t="array" ref="AA506">IF(Buildings_Heat_Frontend[[#This Row],[Data]]="","", INDEX(_xlfn.SWITCH(Buildings_Heat_Backend[[#This Row],[Methodology]],"Tier 1",rng_RSD1,"Tier 2",rng_RSD2,"Tier 3",rng_RSD3),MATCH(_xlfn.CONCAT(Buildings_Heat_Backend[[#This Row],[Level 1]:[Level 6]]),rng_LevelsConcat,0)))</f>
        <v/>
      </c>
      <c r="AB506" s="220" t="str">
        <f t="shared" si="22"/>
        <v/>
      </c>
      <c r="AC506" s="174">
        <f>Buildings_Heat_Frontend[[#This Row],[Units]]</f>
        <v>0</v>
      </c>
      <c r="AD506"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6" s="174" t="str">
        <f>IF(Buildings_Heat_Frontend[[#This Row],[Data]]="","", _xlfn.XLOOKUP(_xlfn.CONCAT(Buildings_Heat_Backend[[#This Row],[Level 1]:[Level 6]]),rng_LevelsConcat,rng_UnitsLong))</f>
        <v/>
      </c>
      <c r="AF506" s="210" t="str">
        <f>IF(Buildings_Heat_Frontend[[#This Row],[Data]]="","", _xlfn.XLOOKUP(_xlfn.CONCAT(Buildings_Heat_Backend[[#This Row],[Level 1]:[Level 6]]),rng_EFConcat,rng_EF1)*Buildings_Heat_Backend[[#This Row],[Converted data]]/1000)</f>
        <v/>
      </c>
      <c r="AG506" s="210" t="str">
        <f>IF(Buildings_Heat_Frontend[[#This Row],[Data]]="","", _xlfn.XLOOKUP(_xlfn.CONCAT(Buildings_Heat_Backend[[#This Row],[Level 1]:[Level 6]]),rng_EFConcat,rng_EF2)*Buildings_Heat_Backend[[#This Row],[Converted data]]/1000)</f>
        <v/>
      </c>
      <c r="AH506" s="210" t="str">
        <f>IF(Buildings_Heat_Frontend[[#This Row],[Data]]="","", _xlfn.XLOOKUP(_xlfn.CONCAT(Buildings_Heat_Backend[[#This Row],[Level 1]:[Level 6]]),rng_EFConcat,rng_EF3)*Buildings_Heat_Backend[[#This Row],[Converted data]]/1000)</f>
        <v/>
      </c>
      <c r="AI506" s="210" t="str">
        <f>IF(Buildings_Heat_Frontend[[#This Row],[Data]]="","", _xlfn.XLOOKUP(_xlfn.CONCAT(Buildings_Heat_Backend[[#This Row],[Level 1]:[Level 6]]),rng_EFConcat,rng_EF3WTT)*Buildings_Heat_Backend[[#This Row],[Converted data]]/1000)</f>
        <v/>
      </c>
      <c r="AJ506" s="210" t="str">
        <f>IF(Buildings_Heat_Frontend[[#This Row],[Data]]="","", _xlfn.XLOOKUP(_xlfn.CONCAT(Buildings_Heat_Backend[[#This Row],[Level 1]:[Level 6]]),rng_EFConcat,rng_EF3TD)*Buildings_Heat_Backend[[#This Row],[Converted data]]/1000)</f>
        <v/>
      </c>
      <c r="AK506" s="210" t="str">
        <f>IF(Buildings_Heat_Frontend[[#This Row],[Data]]="","", _xlfn.XLOOKUP(_xlfn.CONCAT(Buildings_Heat_Backend[[#This Row],[Level 1]:[Level 6]]),rng_EFConcat,rng_EF3WTTTD)*Buildings_Heat_Backend[[#This Row],[Converted data]]/1000)</f>
        <v/>
      </c>
      <c r="AL506" s="220">
        <f>SUM(Buildings_Heat_Backend[[#This Row],[Scope 1 (tCO2e)]:[Scope 3 WTT T&amp;D (tCO2e)]])</f>
        <v>0</v>
      </c>
      <c r="AM506" s="220" t="str">
        <f>IF(Buildings_Heat_Frontend[[#This Row],[Data]]="","", Buildings_Heat_Backend[[#This Row],[Total (tCO2e)]]*(1-Buildings_Heat_Backend[[#This Row],[RSD]]))</f>
        <v/>
      </c>
      <c r="AN506" s="220" t="str">
        <f>IF(Buildings_Heat_Frontend[[#This Row],[Data]]="","", Buildings_Heat_Backend[[#This Row],[Total (tCO2e)]]*(1+Buildings_Heat_Backend[[#This Row],[RSD]]))</f>
        <v/>
      </c>
      <c r="AO506" s="210" t="str">
        <f>IF(Buildings_Heat_Frontend[[#This Row],[Data]]="","", _xlfn.XLOOKUP(_xlfn.CONCAT(Buildings_Heat_Backend[[#This Row],[Level 1]:[Level 6]]),rng_EFConcat,rng_EFOOS)*Buildings_Heat_Backend[[#This Row],[Converted data]]/1000)</f>
        <v/>
      </c>
      <c r="AP506" s="174">
        <f>Buildings_Heat_Frontend[[#This Row],[Ease of collection]]</f>
        <v>0</v>
      </c>
      <c r="AQ506" s="174">
        <f>Buildings_Heat_Frontend[[#This Row],[Completeness]]</f>
        <v>0</v>
      </c>
      <c r="AR506" s="174">
        <f>Buildings_Heat_Frontend[[#This Row],[Notes]]</f>
        <v>0</v>
      </c>
    </row>
    <row r="507" spans="5:44" x14ac:dyDescent="0.3">
      <c r="E507" s="346"/>
      <c r="F507" s="364"/>
      <c r="G507" s="336"/>
      <c r="H507" s="336"/>
      <c r="I507" s="336"/>
      <c r="J507" s="334"/>
      <c r="K507" s="336"/>
      <c r="L507" s="336"/>
      <c r="M507" s="336"/>
      <c r="N507" s="352"/>
      <c r="O507" s="230">
        <f t="shared" si="23"/>
        <v>6</v>
      </c>
      <c r="Q507" s="212" t="str">
        <f t="shared" si="21"/>
        <v/>
      </c>
      <c r="R507" s="174" t="s">
        <v>265</v>
      </c>
      <c r="S507" s="174" t="s">
        <v>273</v>
      </c>
      <c r="T507" s="174" t="str">
        <f>IF(Buildings_Heat_Frontend[[#This Row],[Data]]="","", _xlfn.XLOOKUP(Buildings_Heat_Backend[[#This Row],[Info 1]],Buildings_SiteInfo[Site name],Buildings_SiteInfo[Site type]))</f>
        <v/>
      </c>
      <c r="U507" s="174" t="str">
        <f>IF(Buildings_Heat_Frontend[[#This Row],[Data]]="","", Buildings_Heat_Frontend[[#This Row],[Heating Type]])</f>
        <v/>
      </c>
      <c r="V507" s="174" t="str">
        <f>IF(Buildings_Heat_Frontend[[#This Row],[Data]]="","", Buildings_Heat_Frontend[[#This Row],[Fuel]])</f>
        <v/>
      </c>
      <c r="W507" s="174" t="str" cm="1">
        <f t="array" ref="W507">IF(Buildings_Heat_Frontend[[#This Row],[Data]]="","", _xlfn.XLOOKUP(Buildings_Heat_Backend[[#This Row],[Level 5]],rng_Level5Long,rng_Level6Long))</f>
        <v/>
      </c>
      <c r="X507" s="174" t="str">
        <f>IF(Buildings_Heat_Frontend[[#This Row],[Data]]="","", Buildings_Heat_Frontend[[#This Row],[Site Name]])</f>
        <v/>
      </c>
      <c r="Y507" s="174" t="str">
        <f>IF(Buildings_Heat_Frontend[[#This Row],[Data]]="","", Buildings_Heat_Frontend[[#This Row],[MPRN]])</f>
        <v/>
      </c>
      <c r="Z507" s="174" t="str">
        <f>IF(Buildings_Heat_Frontend[[#This Row],[Data]]="","", IF($I507="","",$I507))</f>
        <v/>
      </c>
      <c r="AA507" s="229" t="str" cm="1">
        <f t="array" ref="AA507">IF(Buildings_Heat_Frontend[[#This Row],[Data]]="","", INDEX(_xlfn.SWITCH(Buildings_Heat_Backend[[#This Row],[Methodology]],"Tier 1",rng_RSD1,"Tier 2",rng_RSD2,"Tier 3",rng_RSD3),MATCH(_xlfn.CONCAT(Buildings_Heat_Backend[[#This Row],[Level 1]:[Level 6]]),rng_LevelsConcat,0)))</f>
        <v/>
      </c>
      <c r="AB507" s="220" t="str">
        <f t="shared" si="22"/>
        <v/>
      </c>
      <c r="AC507" s="174">
        <f>Buildings_Heat_Frontend[[#This Row],[Units]]</f>
        <v>0</v>
      </c>
      <c r="AD507"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7" s="174" t="str">
        <f>IF(Buildings_Heat_Frontend[[#This Row],[Data]]="","", _xlfn.XLOOKUP(_xlfn.CONCAT(Buildings_Heat_Backend[[#This Row],[Level 1]:[Level 6]]),rng_LevelsConcat,rng_UnitsLong))</f>
        <v/>
      </c>
      <c r="AF507" s="210" t="str">
        <f>IF(Buildings_Heat_Frontend[[#This Row],[Data]]="","", _xlfn.XLOOKUP(_xlfn.CONCAT(Buildings_Heat_Backend[[#This Row],[Level 1]:[Level 6]]),rng_EFConcat,rng_EF1)*Buildings_Heat_Backend[[#This Row],[Converted data]]/1000)</f>
        <v/>
      </c>
      <c r="AG507" s="210" t="str">
        <f>IF(Buildings_Heat_Frontend[[#This Row],[Data]]="","", _xlfn.XLOOKUP(_xlfn.CONCAT(Buildings_Heat_Backend[[#This Row],[Level 1]:[Level 6]]),rng_EFConcat,rng_EF2)*Buildings_Heat_Backend[[#This Row],[Converted data]]/1000)</f>
        <v/>
      </c>
      <c r="AH507" s="210" t="str">
        <f>IF(Buildings_Heat_Frontend[[#This Row],[Data]]="","", _xlfn.XLOOKUP(_xlfn.CONCAT(Buildings_Heat_Backend[[#This Row],[Level 1]:[Level 6]]),rng_EFConcat,rng_EF3)*Buildings_Heat_Backend[[#This Row],[Converted data]]/1000)</f>
        <v/>
      </c>
      <c r="AI507" s="210" t="str">
        <f>IF(Buildings_Heat_Frontend[[#This Row],[Data]]="","", _xlfn.XLOOKUP(_xlfn.CONCAT(Buildings_Heat_Backend[[#This Row],[Level 1]:[Level 6]]),rng_EFConcat,rng_EF3WTT)*Buildings_Heat_Backend[[#This Row],[Converted data]]/1000)</f>
        <v/>
      </c>
      <c r="AJ507" s="210" t="str">
        <f>IF(Buildings_Heat_Frontend[[#This Row],[Data]]="","", _xlfn.XLOOKUP(_xlfn.CONCAT(Buildings_Heat_Backend[[#This Row],[Level 1]:[Level 6]]),rng_EFConcat,rng_EF3TD)*Buildings_Heat_Backend[[#This Row],[Converted data]]/1000)</f>
        <v/>
      </c>
      <c r="AK507" s="210" t="str">
        <f>IF(Buildings_Heat_Frontend[[#This Row],[Data]]="","", _xlfn.XLOOKUP(_xlfn.CONCAT(Buildings_Heat_Backend[[#This Row],[Level 1]:[Level 6]]),rng_EFConcat,rng_EF3WTTTD)*Buildings_Heat_Backend[[#This Row],[Converted data]]/1000)</f>
        <v/>
      </c>
      <c r="AL507" s="220">
        <f>SUM(Buildings_Heat_Backend[[#This Row],[Scope 1 (tCO2e)]:[Scope 3 WTT T&amp;D (tCO2e)]])</f>
        <v>0</v>
      </c>
      <c r="AM507" s="220" t="str">
        <f>IF(Buildings_Heat_Frontend[[#This Row],[Data]]="","", Buildings_Heat_Backend[[#This Row],[Total (tCO2e)]]*(1-Buildings_Heat_Backend[[#This Row],[RSD]]))</f>
        <v/>
      </c>
      <c r="AN507" s="220" t="str">
        <f>IF(Buildings_Heat_Frontend[[#This Row],[Data]]="","", Buildings_Heat_Backend[[#This Row],[Total (tCO2e)]]*(1+Buildings_Heat_Backend[[#This Row],[RSD]]))</f>
        <v/>
      </c>
      <c r="AO507" s="210" t="str">
        <f>IF(Buildings_Heat_Frontend[[#This Row],[Data]]="","", _xlfn.XLOOKUP(_xlfn.CONCAT(Buildings_Heat_Backend[[#This Row],[Level 1]:[Level 6]]),rng_EFConcat,rng_EFOOS)*Buildings_Heat_Backend[[#This Row],[Converted data]]/1000)</f>
        <v/>
      </c>
      <c r="AP507" s="174">
        <f>Buildings_Heat_Frontend[[#This Row],[Ease of collection]]</f>
        <v>0</v>
      </c>
      <c r="AQ507" s="174">
        <f>Buildings_Heat_Frontend[[#This Row],[Completeness]]</f>
        <v>0</v>
      </c>
      <c r="AR507" s="174">
        <f>Buildings_Heat_Frontend[[#This Row],[Notes]]</f>
        <v>0</v>
      </c>
    </row>
    <row r="508" spans="5:44" x14ac:dyDescent="0.3">
      <c r="E508" s="346"/>
      <c r="F508" s="364"/>
      <c r="G508" s="336"/>
      <c r="H508" s="336"/>
      <c r="I508" s="336"/>
      <c r="J508" s="334"/>
      <c r="K508" s="336"/>
      <c r="L508" s="336"/>
      <c r="M508" s="336"/>
      <c r="N508" s="352"/>
      <c r="O508" s="230">
        <f t="shared" si="23"/>
        <v>6</v>
      </c>
      <c r="Q508" s="212" t="str">
        <f t="shared" si="21"/>
        <v/>
      </c>
      <c r="R508" s="174" t="s">
        <v>265</v>
      </c>
      <c r="S508" s="174" t="s">
        <v>273</v>
      </c>
      <c r="T508" s="174" t="str">
        <f>IF(Buildings_Heat_Frontend[[#This Row],[Data]]="","", _xlfn.XLOOKUP(Buildings_Heat_Backend[[#This Row],[Info 1]],Buildings_SiteInfo[Site name],Buildings_SiteInfo[Site type]))</f>
        <v/>
      </c>
      <c r="U508" s="174" t="str">
        <f>IF(Buildings_Heat_Frontend[[#This Row],[Data]]="","", Buildings_Heat_Frontend[[#This Row],[Heating Type]])</f>
        <v/>
      </c>
      <c r="V508" s="174" t="str">
        <f>IF(Buildings_Heat_Frontend[[#This Row],[Data]]="","", Buildings_Heat_Frontend[[#This Row],[Fuel]])</f>
        <v/>
      </c>
      <c r="W508" s="174" t="str" cm="1">
        <f t="array" ref="W508">IF(Buildings_Heat_Frontend[[#This Row],[Data]]="","", _xlfn.XLOOKUP(Buildings_Heat_Backend[[#This Row],[Level 5]],rng_Level5Long,rng_Level6Long))</f>
        <v/>
      </c>
      <c r="X508" s="174" t="str">
        <f>IF(Buildings_Heat_Frontend[[#This Row],[Data]]="","", Buildings_Heat_Frontend[[#This Row],[Site Name]])</f>
        <v/>
      </c>
      <c r="Y508" s="174" t="str">
        <f>IF(Buildings_Heat_Frontend[[#This Row],[Data]]="","", Buildings_Heat_Frontend[[#This Row],[MPRN]])</f>
        <v/>
      </c>
      <c r="Z508" s="174" t="str">
        <f>IF(Buildings_Heat_Frontend[[#This Row],[Data]]="","", IF($I508="","",$I508))</f>
        <v/>
      </c>
      <c r="AA508" s="229" t="str" cm="1">
        <f t="array" ref="AA508">IF(Buildings_Heat_Frontend[[#This Row],[Data]]="","", INDEX(_xlfn.SWITCH(Buildings_Heat_Backend[[#This Row],[Methodology]],"Tier 1",rng_RSD1,"Tier 2",rng_RSD2,"Tier 3",rng_RSD3),MATCH(_xlfn.CONCAT(Buildings_Heat_Backend[[#This Row],[Level 1]:[Level 6]]),rng_LevelsConcat,0)))</f>
        <v/>
      </c>
      <c r="AB508" s="220" t="str">
        <f t="shared" si="22"/>
        <v/>
      </c>
      <c r="AC508" s="174">
        <f>Buildings_Heat_Frontend[[#This Row],[Units]]</f>
        <v>0</v>
      </c>
      <c r="AD508"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8" s="174" t="str">
        <f>IF(Buildings_Heat_Frontend[[#This Row],[Data]]="","", _xlfn.XLOOKUP(_xlfn.CONCAT(Buildings_Heat_Backend[[#This Row],[Level 1]:[Level 6]]),rng_LevelsConcat,rng_UnitsLong))</f>
        <v/>
      </c>
      <c r="AF508" s="210" t="str">
        <f>IF(Buildings_Heat_Frontend[[#This Row],[Data]]="","", _xlfn.XLOOKUP(_xlfn.CONCAT(Buildings_Heat_Backend[[#This Row],[Level 1]:[Level 6]]),rng_EFConcat,rng_EF1)*Buildings_Heat_Backend[[#This Row],[Converted data]]/1000)</f>
        <v/>
      </c>
      <c r="AG508" s="210" t="str">
        <f>IF(Buildings_Heat_Frontend[[#This Row],[Data]]="","", _xlfn.XLOOKUP(_xlfn.CONCAT(Buildings_Heat_Backend[[#This Row],[Level 1]:[Level 6]]),rng_EFConcat,rng_EF2)*Buildings_Heat_Backend[[#This Row],[Converted data]]/1000)</f>
        <v/>
      </c>
      <c r="AH508" s="210" t="str">
        <f>IF(Buildings_Heat_Frontend[[#This Row],[Data]]="","", _xlfn.XLOOKUP(_xlfn.CONCAT(Buildings_Heat_Backend[[#This Row],[Level 1]:[Level 6]]),rng_EFConcat,rng_EF3)*Buildings_Heat_Backend[[#This Row],[Converted data]]/1000)</f>
        <v/>
      </c>
      <c r="AI508" s="210" t="str">
        <f>IF(Buildings_Heat_Frontend[[#This Row],[Data]]="","", _xlfn.XLOOKUP(_xlfn.CONCAT(Buildings_Heat_Backend[[#This Row],[Level 1]:[Level 6]]),rng_EFConcat,rng_EF3WTT)*Buildings_Heat_Backend[[#This Row],[Converted data]]/1000)</f>
        <v/>
      </c>
      <c r="AJ508" s="210" t="str">
        <f>IF(Buildings_Heat_Frontend[[#This Row],[Data]]="","", _xlfn.XLOOKUP(_xlfn.CONCAT(Buildings_Heat_Backend[[#This Row],[Level 1]:[Level 6]]),rng_EFConcat,rng_EF3TD)*Buildings_Heat_Backend[[#This Row],[Converted data]]/1000)</f>
        <v/>
      </c>
      <c r="AK508" s="210" t="str">
        <f>IF(Buildings_Heat_Frontend[[#This Row],[Data]]="","", _xlfn.XLOOKUP(_xlfn.CONCAT(Buildings_Heat_Backend[[#This Row],[Level 1]:[Level 6]]),rng_EFConcat,rng_EF3WTTTD)*Buildings_Heat_Backend[[#This Row],[Converted data]]/1000)</f>
        <v/>
      </c>
      <c r="AL508" s="220">
        <f>SUM(Buildings_Heat_Backend[[#This Row],[Scope 1 (tCO2e)]:[Scope 3 WTT T&amp;D (tCO2e)]])</f>
        <v>0</v>
      </c>
      <c r="AM508" s="220" t="str">
        <f>IF(Buildings_Heat_Frontend[[#This Row],[Data]]="","", Buildings_Heat_Backend[[#This Row],[Total (tCO2e)]]*(1-Buildings_Heat_Backend[[#This Row],[RSD]]))</f>
        <v/>
      </c>
      <c r="AN508" s="220" t="str">
        <f>IF(Buildings_Heat_Frontend[[#This Row],[Data]]="","", Buildings_Heat_Backend[[#This Row],[Total (tCO2e)]]*(1+Buildings_Heat_Backend[[#This Row],[RSD]]))</f>
        <v/>
      </c>
      <c r="AO508" s="210" t="str">
        <f>IF(Buildings_Heat_Frontend[[#This Row],[Data]]="","", _xlfn.XLOOKUP(_xlfn.CONCAT(Buildings_Heat_Backend[[#This Row],[Level 1]:[Level 6]]),rng_EFConcat,rng_EFOOS)*Buildings_Heat_Backend[[#This Row],[Converted data]]/1000)</f>
        <v/>
      </c>
      <c r="AP508" s="174">
        <f>Buildings_Heat_Frontend[[#This Row],[Ease of collection]]</f>
        <v>0</v>
      </c>
      <c r="AQ508" s="174">
        <f>Buildings_Heat_Frontend[[#This Row],[Completeness]]</f>
        <v>0</v>
      </c>
      <c r="AR508" s="174">
        <f>Buildings_Heat_Frontend[[#This Row],[Notes]]</f>
        <v>0</v>
      </c>
    </row>
    <row r="509" spans="5:44" x14ac:dyDescent="0.3">
      <c r="E509" s="346"/>
      <c r="F509" s="364"/>
      <c r="G509" s="336"/>
      <c r="H509" s="336"/>
      <c r="I509" s="336"/>
      <c r="J509" s="334"/>
      <c r="K509" s="336"/>
      <c r="L509" s="336"/>
      <c r="M509" s="336"/>
      <c r="N509" s="352"/>
      <c r="O509" s="230">
        <f t="shared" si="23"/>
        <v>6</v>
      </c>
      <c r="Q509" s="212" t="str">
        <f t="shared" si="21"/>
        <v/>
      </c>
      <c r="R509" s="174" t="s">
        <v>265</v>
      </c>
      <c r="S509" s="174" t="s">
        <v>273</v>
      </c>
      <c r="T509" s="174" t="str">
        <f>IF(Buildings_Heat_Frontend[[#This Row],[Data]]="","", _xlfn.XLOOKUP(Buildings_Heat_Backend[[#This Row],[Info 1]],Buildings_SiteInfo[Site name],Buildings_SiteInfo[Site type]))</f>
        <v/>
      </c>
      <c r="U509" s="174" t="str">
        <f>IF(Buildings_Heat_Frontend[[#This Row],[Data]]="","", Buildings_Heat_Frontend[[#This Row],[Heating Type]])</f>
        <v/>
      </c>
      <c r="V509" s="174" t="str">
        <f>IF(Buildings_Heat_Frontend[[#This Row],[Data]]="","", Buildings_Heat_Frontend[[#This Row],[Fuel]])</f>
        <v/>
      </c>
      <c r="W509" s="174" t="str" cm="1">
        <f t="array" ref="W509">IF(Buildings_Heat_Frontend[[#This Row],[Data]]="","", _xlfn.XLOOKUP(Buildings_Heat_Backend[[#This Row],[Level 5]],rng_Level5Long,rng_Level6Long))</f>
        <v/>
      </c>
      <c r="X509" s="174" t="str">
        <f>IF(Buildings_Heat_Frontend[[#This Row],[Data]]="","", Buildings_Heat_Frontend[[#This Row],[Site Name]])</f>
        <v/>
      </c>
      <c r="Y509" s="174" t="str">
        <f>IF(Buildings_Heat_Frontend[[#This Row],[Data]]="","", Buildings_Heat_Frontend[[#This Row],[MPRN]])</f>
        <v/>
      </c>
      <c r="Z509" s="174" t="str">
        <f>IF(Buildings_Heat_Frontend[[#This Row],[Data]]="","", IF($I509="","",$I509))</f>
        <v/>
      </c>
      <c r="AA509" s="229" t="str" cm="1">
        <f t="array" ref="AA509">IF(Buildings_Heat_Frontend[[#This Row],[Data]]="","", INDEX(_xlfn.SWITCH(Buildings_Heat_Backend[[#This Row],[Methodology]],"Tier 1",rng_RSD1,"Tier 2",rng_RSD2,"Tier 3",rng_RSD3),MATCH(_xlfn.CONCAT(Buildings_Heat_Backend[[#This Row],[Level 1]:[Level 6]]),rng_LevelsConcat,0)))</f>
        <v/>
      </c>
      <c r="AB509" s="220" t="str">
        <f t="shared" si="22"/>
        <v/>
      </c>
      <c r="AC509" s="174">
        <f>Buildings_Heat_Frontend[[#This Row],[Units]]</f>
        <v>0</v>
      </c>
      <c r="AD509"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09" s="174" t="str">
        <f>IF(Buildings_Heat_Frontend[[#This Row],[Data]]="","", _xlfn.XLOOKUP(_xlfn.CONCAT(Buildings_Heat_Backend[[#This Row],[Level 1]:[Level 6]]),rng_LevelsConcat,rng_UnitsLong))</f>
        <v/>
      </c>
      <c r="AF509" s="210" t="str">
        <f>IF(Buildings_Heat_Frontend[[#This Row],[Data]]="","", _xlfn.XLOOKUP(_xlfn.CONCAT(Buildings_Heat_Backend[[#This Row],[Level 1]:[Level 6]]),rng_EFConcat,rng_EF1)*Buildings_Heat_Backend[[#This Row],[Converted data]]/1000)</f>
        <v/>
      </c>
      <c r="AG509" s="210" t="str">
        <f>IF(Buildings_Heat_Frontend[[#This Row],[Data]]="","", _xlfn.XLOOKUP(_xlfn.CONCAT(Buildings_Heat_Backend[[#This Row],[Level 1]:[Level 6]]),rng_EFConcat,rng_EF2)*Buildings_Heat_Backend[[#This Row],[Converted data]]/1000)</f>
        <v/>
      </c>
      <c r="AH509" s="210" t="str">
        <f>IF(Buildings_Heat_Frontend[[#This Row],[Data]]="","", _xlfn.XLOOKUP(_xlfn.CONCAT(Buildings_Heat_Backend[[#This Row],[Level 1]:[Level 6]]),rng_EFConcat,rng_EF3)*Buildings_Heat_Backend[[#This Row],[Converted data]]/1000)</f>
        <v/>
      </c>
      <c r="AI509" s="210" t="str">
        <f>IF(Buildings_Heat_Frontend[[#This Row],[Data]]="","", _xlfn.XLOOKUP(_xlfn.CONCAT(Buildings_Heat_Backend[[#This Row],[Level 1]:[Level 6]]),rng_EFConcat,rng_EF3WTT)*Buildings_Heat_Backend[[#This Row],[Converted data]]/1000)</f>
        <v/>
      </c>
      <c r="AJ509" s="210" t="str">
        <f>IF(Buildings_Heat_Frontend[[#This Row],[Data]]="","", _xlfn.XLOOKUP(_xlfn.CONCAT(Buildings_Heat_Backend[[#This Row],[Level 1]:[Level 6]]),rng_EFConcat,rng_EF3TD)*Buildings_Heat_Backend[[#This Row],[Converted data]]/1000)</f>
        <v/>
      </c>
      <c r="AK509" s="210" t="str">
        <f>IF(Buildings_Heat_Frontend[[#This Row],[Data]]="","", _xlfn.XLOOKUP(_xlfn.CONCAT(Buildings_Heat_Backend[[#This Row],[Level 1]:[Level 6]]),rng_EFConcat,rng_EF3WTTTD)*Buildings_Heat_Backend[[#This Row],[Converted data]]/1000)</f>
        <v/>
      </c>
      <c r="AL509" s="220">
        <f>SUM(Buildings_Heat_Backend[[#This Row],[Scope 1 (tCO2e)]:[Scope 3 WTT T&amp;D (tCO2e)]])</f>
        <v>0</v>
      </c>
      <c r="AM509" s="220" t="str">
        <f>IF(Buildings_Heat_Frontend[[#This Row],[Data]]="","", Buildings_Heat_Backend[[#This Row],[Total (tCO2e)]]*(1-Buildings_Heat_Backend[[#This Row],[RSD]]))</f>
        <v/>
      </c>
      <c r="AN509" s="220" t="str">
        <f>IF(Buildings_Heat_Frontend[[#This Row],[Data]]="","", Buildings_Heat_Backend[[#This Row],[Total (tCO2e)]]*(1+Buildings_Heat_Backend[[#This Row],[RSD]]))</f>
        <v/>
      </c>
      <c r="AO509" s="210" t="str">
        <f>IF(Buildings_Heat_Frontend[[#This Row],[Data]]="","", _xlfn.XLOOKUP(_xlfn.CONCAT(Buildings_Heat_Backend[[#This Row],[Level 1]:[Level 6]]),rng_EFConcat,rng_EFOOS)*Buildings_Heat_Backend[[#This Row],[Converted data]]/1000)</f>
        <v/>
      </c>
      <c r="AP509" s="174">
        <f>Buildings_Heat_Frontend[[#This Row],[Ease of collection]]</f>
        <v>0</v>
      </c>
      <c r="AQ509" s="174">
        <f>Buildings_Heat_Frontend[[#This Row],[Completeness]]</f>
        <v>0</v>
      </c>
      <c r="AR509" s="174">
        <f>Buildings_Heat_Frontend[[#This Row],[Notes]]</f>
        <v>0</v>
      </c>
    </row>
    <row r="510" spans="5:44" x14ac:dyDescent="0.3">
      <c r="E510" s="346"/>
      <c r="F510" s="364"/>
      <c r="G510" s="336"/>
      <c r="H510" s="336"/>
      <c r="I510" s="336"/>
      <c r="J510" s="334"/>
      <c r="K510" s="336"/>
      <c r="L510" s="336"/>
      <c r="M510" s="336"/>
      <c r="N510" s="352"/>
      <c r="O510" s="230">
        <f t="shared" si="23"/>
        <v>6</v>
      </c>
      <c r="Q510" s="212" t="str">
        <f t="shared" si="21"/>
        <v/>
      </c>
      <c r="R510" s="174" t="s">
        <v>265</v>
      </c>
      <c r="S510" s="174" t="s">
        <v>273</v>
      </c>
      <c r="T510" s="174" t="str">
        <f>IF(Buildings_Heat_Frontend[[#This Row],[Data]]="","", _xlfn.XLOOKUP(Buildings_Heat_Backend[[#This Row],[Info 1]],Buildings_SiteInfo[Site name],Buildings_SiteInfo[Site type]))</f>
        <v/>
      </c>
      <c r="U510" s="174" t="str">
        <f>IF(Buildings_Heat_Frontend[[#This Row],[Data]]="","", Buildings_Heat_Frontend[[#This Row],[Heating Type]])</f>
        <v/>
      </c>
      <c r="V510" s="174" t="str">
        <f>IF(Buildings_Heat_Frontend[[#This Row],[Data]]="","", Buildings_Heat_Frontend[[#This Row],[Fuel]])</f>
        <v/>
      </c>
      <c r="W510" s="174" t="str" cm="1">
        <f t="array" ref="W510">IF(Buildings_Heat_Frontend[[#This Row],[Data]]="","", _xlfn.XLOOKUP(Buildings_Heat_Backend[[#This Row],[Level 5]],rng_Level5Long,rng_Level6Long))</f>
        <v/>
      </c>
      <c r="X510" s="174" t="str">
        <f>IF(Buildings_Heat_Frontend[[#This Row],[Data]]="","", Buildings_Heat_Frontend[[#This Row],[Site Name]])</f>
        <v/>
      </c>
      <c r="Y510" s="174" t="str">
        <f>IF(Buildings_Heat_Frontend[[#This Row],[Data]]="","", Buildings_Heat_Frontend[[#This Row],[MPRN]])</f>
        <v/>
      </c>
      <c r="Z510" s="174" t="str">
        <f>IF(Buildings_Heat_Frontend[[#This Row],[Data]]="","", IF($I510="","",$I510))</f>
        <v/>
      </c>
      <c r="AA510" s="229" t="str" cm="1">
        <f t="array" ref="AA510">IF(Buildings_Heat_Frontend[[#This Row],[Data]]="","", INDEX(_xlfn.SWITCH(Buildings_Heat_Backend[[#This Row],[Methodology]],"Tier 1",rng_RSD1,"Tier 2",rng_RSD2,"Tier 3",rng_RSD3),MATCH(_xlfn.CONCAT(Buildings_Heat_Backend[[#This Row],[Level 1]:[Level 6]]),rng_LevelsConcat,0)))</f>
        <v/>
      </c>
      <c r="AB510" s="220" t="str">
        <f t="shared" si="22"/>
        <v/>
      </c>
      <c r="AC510" s="174">
        <f>Buildings_Heat_Frontend[[#This Row],[Units]]</f>
        <v>0</v>
      </c>
      <c r="AD510"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10" s="174" t="str">
        <f>IF(Buildings_Heat_Frontend[[#This Row],[Data]]="","", _xlfn.XLOOKUP(_xlfn.CONCAT(Buildings_Heat_Backend[[#This Row],[Level 1]:[Level 6]]),rng_LevelsConcat,rng_UnitsLong))</f>
        <v/>
      </c>
      <c r="AF510" s="210" t="str">
        <f>IF(Buildings_Heat_Frontend[[#This Row],[Data]]="","", _xlfn.XLOOKUP(_xlfn.CONCAT(Buildings_Heat_Backend[[#This Row],[Level 1]:[Level 6]]),rng_EFConcat,rng_EF1)*Buildings_Heat_Backend[[#This Row],[Converted data]]/1000)</f>
        <v/>
      </c>
      <c r="AG510" s="210" t="str">
        <f>IF(Buildings_Heat_Frontend[[#This Row],[Data]]="","", _xlfn.XLOOKUP(_xlfn.CONCAT(Buildings_Heat_Backend[[#This Row],[Level 1]:[Level 6]]),rng_EFConcat,rng_EF2)*Buildings_Heat_Backend[[#This Row],[Converted data]]/1000)</f>
        <v/>
      </c>
      <c r="AH510" s="210" t="str">
        <f>IF(Buildings_Heat_Frontend[[#This Row],[Data]]="","", _xlfn.XLOOKUP(_xlfn.CONCAT(Buildings_Heat_Backend[[#This Row],[Level 1]:[Level 6]]),rng_EFConcat,rng_EF3)*Buildings_Heat_Backend[[#This Row],[Converted data]]/1000)</f>
        <v/>
      </c>
      <c r="AI510" s="210" t="str">
        <f>IF(Buildings_Heat_Frontend[[#This Row],[Data]]="","", _xlfn.XLOOKUP(_xlfn.CONCAT(Buildings_Heat_Backend[[#This Row],[Level 1]:[Level 6]]),rng_EFConcat,rng_EF3WTT)*Buildings_Heat_Backend[[#This Row],[Converted data]]/1000)</f>
        <v/>
      </c>
      <c r="AJ510" s="210" t="str">
        <f>IF(Buildings_Heat_Frontend[[#This Row],[Data]]="","", _xlfn.XLOOKUP(_xlfn.CONCAT(Buildings_Heat_Backend[[#This Row],[Level 1]:[Level 6]]),rng_EFConcat,rng_EF3TD)*Buildings_Heat_Backend[[#This Row],[Converted data]]/1000)</f>
        <v/>
      </c>
      <c r="AK510" s="210" t="str">
        <f>IF(Buildings_Heat_Frontend[[#This Row],[Data]]="","", _xlfn.XLOOKUP(_xlfn.CONCAT(Buildings_Heat_Backend[[#This Row],[Level 1]:[Level 6]]),rng_EFConcat,rng_EF3WTTTD)*Buildings_Heat_Backend[[#This Row],[Converted data]]/1000)</f>
        <v/>
      </c>
      <c r="AL510" s="220">
        <f>SUM(Buildings_Heat_Backend[[#This Row],[Scope 1 (tCO2e)]:[Scope 3 WTT T&amp;D (tCO2e)]])</f>
        <v>0</v>
      </c>
      <c r="AM510" s="220" t="str">
        <f>IF(Buildings_Heat_Frontend[[#This Row],[Data]]="","", Buildings_Heat_Backend[[#This Row],[Total (tCO2e)]]*(1-Buildings_Heat_Backend[[#This Row],[RSD]]))</f>
        <v/>
      </c>
      <c r="AN510" s="220" t="str">
        <f>IF(Buildings_Heat_Frontend[[#This Row],[Data]]="","", Buildings_Heat_Backend[[#This Row],[Total (tCO2e)]]*(1+Buildings_Heat_Backend[[#This Row],[RSD]]))</f>
        <v/>
      </c>
      <c r="AO510" s="210" t="str">
        <f>IF(Buildings_Heat_Frontend[[#This Row],[Data]]="","", _xlfn.XLOOKUP(_xlfn.CONCAT(Buildings_Heat_Backend[[#This Row],[Level 1]:[Level 6]]),rng_EFConcat,rng_EFOOS)*Buildings_Heat_Backend[[#This Row],[Converted data]]/1000)</f>
        <v/>
      </c>
      <c r="AP510" s="174">
        <f>Buildings_Heat_Frontend[[#This Row],[Ease of collection]]</f>
        <v>0</v>
      </c>
      <c r="AQ510" s="174">
        <f>Buildings_Heat_Frontend[[#This Row],[Completeness]]</f>
        <v>0</v>
      </c>
      <c r="AR510" s="174">
        <f>Buildings_Heat_Frontend[[#This Row],[Notes]]</f>
        <v>0</v>
      </c>
    </row>
    <row r="511" spans="5:44" x14ac:dyDescent="0.3">
      <c r="E511" s="346"/>
      <c r="F511" s="364"/>
      <c r="G511" s="336"/>
      <c r="H511" s="336"/>
      <c r="I511" s="336"/>
      <c r="J511" s="334"/>
      <c r="K511" s="336"/>
      <c r="L511" s="336"/>
      <c r="M511" s="336"/>
      <c r="N511" s="352"/>
      <c r="O511" s="230">
        <f t="shared" si="23"/>
        <v>6</v>
      </c>
      <c r="Q511" s="212" t="str">
        <f t="shared" si="21"/>
        <v/>
      </c>
      <c r="R511" s="174" t="s">
        <v>265</v>
      </c>
      <c r="S511" s="174" t="s">
        <v>273</v>
      </c>
      <c r="T511" s="174" t="str">
        <f>IF(Buildings_Heat_Frontend[[#This Row],[Data]]="","", _xlfn.XLOOKUP(Buildings_Heat_Backend[[#This Row],[Info 1]],Buildings_SiteInfo[Site name],Buildings_SiteInfo[Site type]))</f>
        <v/>
      </c>
      <c r="U511" s="174" t="str">
        <f>IF(Buildings_Heat_Frontend[[#This Row],[Data]]="","", Buildings_Heat_Frontend[[#This Row],[Heating Type]])</f>
        <v/>
      </c>
      <c r="V511" s="174" t="str">
        <f>IF(Buildings_Heat_Frontend[[#This Row],[Data]]="","", Buildings_Heat_Frontend[[#This Row],[Fuel]])</f>
        <v/>
      </c>
      <c r="W511" s="174" t="str" cm="1">
        <f t="array" ref="W511">IF(Buildings_Heat_Frontend[[#This Row],[Data]]="","", _xlfn.XLOOKUP(Buildings_Heat_Backend[[#This Row],[Level 5]],rng_Level5Long,rng_Level6Long))</f>
        <v/>
      </c>
      <c r="X511" s="174" t="str">
        <f>IF(Buildings_Heat_Frontend[[#This Row],[Data]]="","", Buildings_Heat_Frontend[[#This Row],[Site Name]])</f>
        <v/>
      </c>
      <c r="Y511" s="174" t="str">
        <f>IF(Buildings_Heat_Frontend[[#This Row],[Data]]="","", Buildings_Heat_Frontend[[#This Row],[MPRN]])</f>
        <v/>
      </c>
      <c r="Z511" s="174" t="str">
        <f>IF(Buildings_Heat_Frontend[[#This Row],[Data]]="","", IF($I511="","",$I511))</f>
        <v/>
      </c>
      <c r="AA511" s="229" t="str" cm="1">
        <f t="array" ref="AA511">IF(Buildings_Heat_Frontend[[#This Row],[Data]]="","", INDEX(_xlfn.SWITCH(Buildings_Heat_Backend[[#This Row],[Methodology]],"Tier 1",rng_RSD1,"Tier 2",rng_RSD2,"Tier 3",rng_RSD3),MATCH(_xlfn.CONCAT(Buildings_Heat_Backend[[#This Row],[Level 1]:[Level 6]]),rng_LevelsConcat,0)))</f>
        <v/>
      </c>
      <c r="AB511" s="220" t="str">
        <f t="shared" si="22"/>
        <v/>
      </c>
      <c r="AC511" s="174">
        <f>Buildings_Heat_Frontend[[#This Row],[Units]]</f>
        <v>0</v>
      </c>
      <c r="AD511"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11" s="174" t="str">
        <f>IF(Buildings_Heat_Frontend[[#This Row],[Data]]="","", _xlfn.XLOOKUP(_xlfn.CONCAT(Buildings_Heat_Backend[[#This Row],[Level 1]:[Level 6]]),rng_LevelsConcat,rng_UnitsLong))</f>
        <v/>
      </c>
      <c r="AF511" s="210" t="str">
        <f>IF(Buildings_Heat_Frontend[[#This Row],[Data]]="","", _xlfn.XLOOKUP(_xlfn.CONCAT(Buildings_Heat_Backend[[#This Row],[Level 1]:[Level 6]]),rng_EFConcat,rng_EF1)*Buildings_Heat_Backend[[#This Row],[Converted data]]/1000)</f>
        <v/>
      </c>
      <c r="AG511" s="210" t="str">
        <f>IF(Buildings_Heat_Frontend[[#This Row],[Data]]="","", _xlfn.XLOOKUP(_xlfn.CONCAT(Buildings_Heat_Backend[[#This Row],[Level 1]:[Level 6]]),rng_EFConcat,rng_EF2)*Buildings_Heat_Backend[[#This Row],[Converted data]]/1000)</f>
        <v/>
      </c>
      <c r="AH511" s="210" t="str">
        <f>IF(Buildings_Heat_Frontend[[#This Row],[Data]]="","", _xlfn.XLOOKUP(_xlfn.CONCAT(Buildings_Heat_Backend[[#This Row],[Level 1]:[Level 6]]),rng_EFConcat,rng_EF3)*Buildings_Heat_Backend[[#This Row],[Converted data]]/1000)</f>
        <v/>
      </c>
      <c r="AI511" s="210" t="str">
        <f>IF(Buildings_Heat_Frontend[[#This Row],[Data]]="","", _xlfn.XLOOKUP(_xlfn.CONCAT(Buildings_Heat_Backend[[#This Row],[Level 1]:[Level 6]]),rng_EFConcat,rng_EF3WTT)*Buildings_Heat_Backend[[#This Row],[Converted data]]/1000)</f>
        <v/>
      </c>
      <c r="AJ511" s="210" t="str">
        <f>IF(Buildings_Heat_Frontend[[#This Row],[Data]]="","", _xlfn.XLOOKUP(_xlfn.CONCAT(Buildings_Heat_Backend[[#This Row],[Level 1]:[Level 6]]),rng_EFConcat,rng_EF3TD)*Buildings_Heat_Backend[[#This Row],[Converted data]]/1000)</f>
        <v/>
      </c>
      <c r="AK511" s="210" t="str">
        <f>IF(Buildings_Heat_Frontend[[#This Row],[Data]]="","", _xlfn.XLOOKUP(_xlfn.CONCAT(Buildings_Heat_Backend[[#This Row],[Level 1]:[Level 6]]),rng_EFConcat,rng_EF3WTTTD)*Buildings_Heat_Backend[[#This Row],[Converted data]]/1000)</f>
        <v/>
      </c>
      <c r="AL511" s="220">
        <f>SUM(Buildings_Heat_Backend[[#This Row],[Scope 1 (tCO2e)]:[Scope 3 WTT T&amp;D (tCO2e)]])</f>
        <v>0</v>
      </c>
      <c r="AM511" s="220" t="str">
        <f>IF(Buildings_Heat_Frontend[[#This Row],[Data]]="","", Buildings_Heat_Backend[[#This Row],[Total (tCO2e)]]*(1-Buildings_Heat_Backend[[#This Row],[RSD]]))</f>
        <v/>
      </c>
      <c r="AN511" s="220" t="str">
        <f>IF(Buildings_Heat_Frontend[[#This Row],[Data]]="","", Buildings_Heat_Backend[[#This Row],[Total (tCO2e)]]*(1+Buildings_Heat_Backend[[#This Row],[RSD]]))</f>
        <v/>
      </c>
      <c r="AO511" s="210" t="str">
        <f>IF(Buildings_Heat_Frontend[[#This Row],[Data]]="","", _xlfn.XLOOKUP(_xlfn.CONCAT(Buildings_Heat_Backend[[#This Row],[Level 1]:[Level 6]]),rng_EFConcat,rng_EFOOS)*Buildings_Heat_Backend[[#This Row],[Converted data]]/1000)</f>
        <v/>
      </c>
      <c r="AP511" s="174">
        <f>Buildings_Heat_Frontend[[#This Row],[Ease of collection]]</f>
        <v>0</v>
      </c>
      <c r="AQ511" s="174">
        <f>Buildings_Heat_Frontend[[#This Row],[Completeness]]</f>
        <v>0</v>
      </c>
      <c r="AR511" s="174">
        <f>Buildings_Heat_Frontend[[#This Row],[Notes]]</f>
        <v>0</v>
      </c>
    </row>
    <row r="512" spans="5:44" x14ac:dyDescent="0.3">
      <c r="E512" s="346"/>
      <c r="F512" s="364"/>
      <c r="G512" s="336"/>
      <c r="H512" s="336"/>
      <c r="I512" s="336"/>
      <c r="J512" s="334"/>
      <c r="K512" s="336"/>
      <c r="L512" s="336"/>
      <c r="M512" s="336"/>
      <c r="N512" s="352"/>
      <c r="O512" s="230">
        <f t="shared" si="23"/>
        <v>6</v>
      </c>
      <c r="Q512" s="212" t="str">
        <f t="shared" si="21"/>
        <v/>
      </c>
      <c r="R512" s="174" t="s">
        <v>265</v>
      </c>
      <c r="S512" s="174" t="s">
        <v>273</v>
      </c>
      <c r="T512" s="174" t="str">
        <f>IF(Buildings_Heat_Frontend[[#This Row],[Data]]="","", _xlfn.XLOOKUP(Buildings_Heat_Backend[[#This Row],[Info 1]],Buildings_SiteInfo[Site name],Buildings_SiteInfo[Site type]))</f>
        <v/>
      </c>
      <c r="U512" s="174" t="str">
        <f>IF(Buildings_Heat_Frontend[[#This Row],[Data]]="","", Buildings_Heat_Frontend[[#This Row],[Heating Type]])</f>
        <v/>
      </c>
      <c r="V512" s="174" t="str">
        <f>IF(Buildings_Heat_Frontend[[#This Row],[Data]]="","", Buildings_Heat_Frontend[[#This Row],[Fuel]])</f>
        <v/>
      </c>
      <c r="W512" s="174" t="str" cm="1">
        <f t="array" ref="W512">IF(Buildings_Heat_Frontend[[#This Row],[Data]]="","", _xlfn.XLOOKUP(Buildings_Heat_Backend[[#This Row],[Level 5]],rng_Level5Long,rng_Level6Long))</f>
        <v/>
      </c>
      <c r="X512" s="174" t="str">
        <f>IF(Buildings_Heat_Frontend[[#This Row],[Data]]="","", Buildings_Heat_Frontend[[#This Row],[Site Name]])</f>
        <v/>
      </c>
      <c r="Y512" s="174" t="str">
        <f>IF(Buildings_Heat_Frontend[[#This Row],[Data]]="","", Buildings_Heat_Frontend[[#This Row],[MPRN]])</f>
        <v/>
      </c>
      <c r="Z512" s="174" t="str">
        <f>IF(Buildings_Heat_Frontend[[#This Row],[Data]]="","", IF($I512="","",$I512))</f>
        <v/>
      </c>
      <c r="AA512" s="229" t="str" cm="1">
        <f t="array" ref="AA512">IF(Buildings_Heat_Frontend[[#This Row],[Data]]="","", INDEX(_xlfn.SWITCH(Buildings_Heat_Backend[[#This Row],[Methodology]],"Tier 1",rng_RSD1,"Tier 2",rng_RSD2,"Tier 3",rng_RSD3),MATCH(_xlfn.CONCAT(Buildings_Heat_Backend[[#This Row],[Level 1]:[Level 6]]),rng_LevelsConcat,0)))</f>
        <v/>
      </c>
      <c r="AB512" s="220" t="str">
        <f t="shared" si="22"/>
        <v/>
      </c>
      <c r="AC512" s="174">
        <f>Buildings_Heat_Frontend[[#This Row],[Units]]</f>
        <v>0</v>
      </c>
      <c r="AD512"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12" s="174" t="str">
        <f>IF(Buildings_Heat_Frontend[[#This Row],[Data]]="","", _xlfn.XLOOKUP(_xlfn.CONCAT(Buildings_Heat_Backend[[#This Row],[Level 1]:[Level 6]]),rng_LevelsConcat,rng_UnitsLong))</f>
        <v/>
      </c>
      <c r="AF512" s="210" t="str">
        <f>IF(Buildings_Heat_Frontend[[#This Row],[Data]]="","", _xlfn.XLOOKUP(_xlfn.CONCAT(Buildings_Heat_Backend[[#This Row],[Level 1]:[Level 6]]),rng_EFConcat,rng_EF1)*Buildings_Heat_Backend[[#This Row],[Converted data]]/1000)</f>
        <v/>
      </c>
      <c r="AG512" s="210" t="str">
        <f>IF(Buildings_Heat_Frontend[[#This Row],[Data]]="","", _xlfn.XLOOKUP(_xlfn.CONCAT(Buildings_Heat_Backend[[#This Row],[Level 1]:[Level 6]]),rng_EFConcat,rng_EF2)*Buildings_Heat_Backend[[#This Row],[Converted data]]/1000)</f>
        <v/>
      </c>
      <c r="AH512" s="210" t="str">
        <f>IF(Buildings_Heat_Frontend[[#This Row],[Data]]="","", _xlfn.XLOOKUP(_xlfn.CONCAT(Buildings_Heat_Backend[[#This Row],[Level 1]:[Level 6]]),rng_EFConcat,rng_EF3)*Buildings_Heat_Backend[[#This Row],[Converted data]]/1000)</f>
        <v/>
      </c>
      <c r="AI512" s="210" t="str">
        <f>IF(Buildings_Heat_Frontend[[#This Row],[Data]]="","", _xlfn.XLOOKUP(_xlfn.CONCAT(Buildings_Heat_Backend[[#This Row],[Level 1]:[Level 6]]),rng_EFConcat,rng_EF3WTT)*Buildings_Heat_Backend[[#This Row],[Converted data]]/1000)</f>
        <v/>
      </c>
      <c r="AJ512" s="210" t="str">
        <f>IF(Buildings_Heat_Frontend[[#This Row],[Data]]="","", _xlfn.XLOOKUP(_xlfn.CONCAT(Buildings_Heat_Backend[[#This Row],[Level 1]:[Level 6]]),rng_EFConcat,rng_EF3TD)*Buildings_Heat_Backend[[#This Row],[Converted data]]/1000)</f>
        <v/>
      </c>
      <c r="AK512" s="210" t="str">
        <f>IF(Buildings_Heat_Frontend[[#This Row],[Data]]="","", _xlfn.XLOOKUP(_xlfn.CONCAT(Buildings_Heat_Backend[[#This Row],[Level 1]:[Level 6]]),rng_EFConcat,rng_EF3WTTTD)*Buildings_Heat_Backend[[#This Row],[Converted data]]/1000)</f>
        <v/>
      </c>
      <c r="AL512" s="220">
        <f>SUM(Buildings_Heat_Backend[[#This Row],[Scope 1 (tCO2e)]:[Scope 3 WTT T&amp;D (tCO2e)]])</f>
        <v>0</v>
      </c>
      <c r="AM512" s="220" t="str">
        <f>IF(Buildings_Heat_Frontend[[#This Row],[Data]]="","", Buildings_Heat_Backend[[#This Row],[Total (tCO2e)]]*(1-Buildings_Heat_Backend[[#This Row],[RSD]]))</f>
        <v/>
      </c>
      <c r="AN512" s="220" t="str">
        <f>IF(Buildings_Heat_Frontend[[#This Row],[Data]]="","", Buildings_Heat_Backend[[#This Row],[Total (tCO2e)]]*(1+Buildings_Heat_Backend[[#This Row],[RSD]]))</f>
        <v/>
      </c>
      <c r="AO512" s="210" t="str">
        <f>IF(Buildings_Heat_Frontend[[#This Row],[Data]]="","", _xlfn.XLOOKUP(_xlfn.CONCAT(Buildings_Heat_Backend[[#This Row],[Level 1]:[Level 6]]),rng_EFConcat,rng_EFOOS)*Buildings_Heat_Backend[[#This Row],[Converted data]]/1000)</f>
        <v/>
      </c>
      <c r="AP512" s="174">
        <f>Buildings_Heat_Frontend[[#This Row],[Ease of collection]]</f>
        <v>0</v>
      </c>
      <c r="AQ512" s="174">
        <f>Buildings_Heat_Frontend[[#This Row],[Completeness]]</f>
        <v>0</v>
      </c>
      <c r="AR512" s="174">
        <f>Buildings_Heat_Frontend[[#This Row],[Notes]]</f>
        <v>0</v>
      </c>
    </row>
    <row r="513" spans="2:44" x14ac:dyDescent="0.3">
      <c r="E513" s="346"/>
      <c r="F513" s="364"/>
      <c r="G513" s="336"/>
      <c r="H513" s="336"/>
      <c r="I513" s="336"/>
      <c r="J513" s="334"/>
      <c r="K513" s="336"/>
      <c r="L513" s="336"/>
      <c r="M513" s="336"/>
      <c r="N513" s="352"/>
      <c r="O513" s="230">
        <f t="shared" si="23"/>
        <v>6</v>
      </c>
      <c r="Q513" s="212" t="str">
        <f t="shared" si="21"/>
        <v/>
      </c>
      <c r="R513" s="174" t="s">
        <v>265</v>
      </c>
      <c r="S513" s="174" t="s">
        <v>273</v>
      </c>
      <c r="T513" s="174" t="str">
        <f>IF(Buildings_Heat_Frontend[[#This Row],[Data]]="","", _xlfn.XLOOKUP(Buildings_Heat_Backend[[#This Row],[Info 1]],Buildings_SiteInfo[Site name],Buildings_SiteInfo[Site type]))</f>
        <v/>
      </c>
      <c r="U513" s="174" t="str">
        <f>IF(Buildings_Heat_Frontend[[#This Row],[Data]]="","", Buildings_Heat_Frontend[[#This Row],[Heating Type]])</f>
        <v/>
      </c>
      <c r="V513" s="174" t="str">
        <f>IF(Buildings_Heat_Frontend[[#This Row],[Data]]="","", Buildings_Heat_Frontend[[#This Row],[Fuel]])</f>
        <v/>
      </c>
      <c r="W513" s="174" t="str" cm="1">
        <f t="array" ref="W513">IF(Buildings_Heat_Frontend[[#This Row],[Data]]="","", _xlfn.XLOOKUP(Buildings_Heat_Backend[[#This Row],[Level 5]],rng_Level5Long,rng_Level6Long))</f>
        <v/>
      </c>
      <c r="X513" s="174" t="str">
        <f>IF(Buildings_Heat_Frontend[[#This Row],[Data]]="","", Buildings_Heat_Frontend[[#This Row],[Site Name]])</f>
        <v/>
      </c>
      <c r="Y513" s="174" t="str">
        <f>IF(Buildings_Heat_Frontend[[#This Row],[Data]]="","", Buildings_Heat_Frontend[[#This Row],[MPRN]])</f>
        <v/>
      </c>
      <c r="Z513" s="174" t="str">
        <f>IF(Buildings_Heat_Frontend[[#This Row],[Data]]="","", IF($I513="","",$I513))</f>
        <v/>
      </c>
      <c r="AA513" s="229" t="str" cm="1">
        <f t="array" ref="AA513">IF(Buildings_Heat_Frontend[[#This Row],[Data]]="","", INDEX(_xlfn.SWITCH(Buildings_Heat_Backend[[#This Row],[Methodology]],"Tier 1",rng_RSD1,"Tier 2",rng_RSD2,"Tier 3",rng_RSD3),MATCH(_xlfn.CONCAT(Buildings_Heat_Backend[[#This Row],[Level 1]:[Level 6]]),rng_LevelsConcat,0)))</f>
        <v/>
      </c>
      <c r="AB513" s="220" t="str">
        <f t="shared" si="22"/>
        <v/>
      </c>
      <c r="AC513" s="174">
        <f>Buildings_Heat_Frontend[[#This Row],[Units]]</f>
        <v>0</v>
      </c>
      <c r="AD513"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13" s="174" t="str">
        <f>IF(Buildings_Heat_Frontend[[#This Row],[Data]]="","", _xlfn.XLOOKUP(_xlfn.CONCAT(Buildings_Heat_Backend[[#This Row],[Level 1]:[Level 6]]),rng_LevelsConcat,rng_UnitsLong))</f>
        <v/>
      </c>
      <c r="AF513" s="210" t="str">
        <f>IF(Buildings_Heat_Frontend[[#This Row],[Data]]="","", _xlfn.XLOOKUP(_xlfn.CONCAT(Buildings_Heat_Backend[[#This Row],[Level 1]:[Level 6]]),rng_EFConcat,rng_EF1)*Buildings_Heat_Backend[[#This Row],[Converted data]]/1000)</f>
        <v/>
      </c>
      <c r="AG513" s="210" t="str">
        <f>IF(Buildings_Heat_Frontend[[#This Row],[Data]]="","", _xlfn.XLOOKUP(_xlfn.CONCAT(Buildings_Heat_Backend[[#This Row],[Level 1]:[Level 6]]),rng_EFConcat,rng_EF2)*Buildings_Heat_Backend[[#This Row],[Converted data]]/1000)</f>
        <v/>
      </c>
      <c r="AH513" s="210" t="str">
        <f>IF(Buildings_Heat_Frontend[[#This Row],[Data]]="","", _xlfn.XLOOKUP(_xlfn.CONCAT(Buildings_Heat_Backend[[#This Row],[Level 1]:[Level 6]]),rng_EFConcat,rng_EF3)*Buildings_Heat_Backend[[#This Row],[Converted data]]/1000)</f>
        <v/>
      </c>
      <c r="AI513" s="210" t="str">
        <f>IF(Buildings_Heat_Frontend[[#This Row],[Data]]="","", _xlfn.XLOOKUP(_xlfn.CONCAT(Buildings_Heat_Backend[[#This Row],[Level 1]:[Level 6]]),rng_EFConcat,rng_EF3WTT)*Buildings_Heat_Backend[[#This Row],[Converted data]]/1000)</f>
        <v/>
      </c>
      <c r="AJ513" s="210" t="str">
        <f>IF(Buildings_Heat_Frontend[[#This Row],[Data]]="","", _xlfn.XLOOKUP(_xlfn.CONCAT(Buildings_Heat_Backend[[#This Row],[Level 1]:[Level 6]]),rng_EFConcat,rng_EF3TD)*Buildings_Heat_Backend[[#This Row],[Converted data]]/1000)</f>
        <v/>
      </c>
      <c r="AK513" s="210" t="str">
        <f>IF(Buildings_Heat_Frontend[[#This Row],[Data]]="","", _xlfn.XLOOKUP(_xlfn.CONCAT(Buildings_Heat_Backend[[#This Row],[Level 1]:[Level 6]]),rng_EFConcat,rng_EF3WTTTD)*Buildings_Heat_Backend[[#This Row],[Converted data]]/1000)</f>
        <v/>
      </c>
      <c r="AL513" s="220">
        <f>SUM(Buildings_Heat_Backend[[#This Row],[Scope 1 (tCO2e)]:[Scope 3 WTT T&amp;D (tCO2e)]])</f>
        <v>0</v>
      </c>
      <c r="AM513" s="220" t="str">
        <f>IF(Buildings_Heat_Frontend[[#This Row],[Data]]="","", Buildings_Heat_Backend[[#This Row],[Total (tCO2e)]]*(1-Buildings_Heat_Backend[[#This Row],[RSD]]))</f>
        <v/>
      </c>
      <c r="AN513" s="220" t="str">
        <f>IF(Buildings_Heat_Frontend[[#This Row],[Data]]="","", Buildings_Heat_Backend[[#This Row],[Total (tCO2e)]]*(1+Buildings_Heat_Backend[[#This Row],[RSD]]))</f>
        <v/>
      </c>
      <c r="AO513" s="210" t="str">
        <f>IF(Buildings_Heat_Frontend[[#This Row],[Data]]="","", _xlfn.XLOOKUP(_xlfn.CONCAT(Buildings_Heat_Backend[[#This Row],[Level 1]:[Level 6]]),rng_EFConcat,rng_EFOOS)*Buildings_Heat_Backend[[#This Row],[Converted data]]/1000)</f>
        <v/>
      </c>
      <c r="AP513" s="174">
        <f>Buildings_Heat_Frontend[[#This Row],[Ease of collection]]</f>
        <v>0</v>
      </c>
      <c r="AQ513" s="174">
        <f>Buildings_Heat_Frontend[[#This Row],[Completeness]]</f>
        <v>0</v>
      </c>
      <c r="AR513" s="174">
        <f>Buildings_Heat_Frontend[[#This Row],[Notes]]</f>
        <v>0</v>
      </c>
    </row>
    <row r="514" spans="2:44" x14ac:dyDescent="0.3">
      <c r="E514" s="346"/>
      <c r="F514" s="365"/>
      <c r="G514" s="336"/>
      <c r="H514" s="338"/>
      <c r="I514" s="338"/>
      <c r="J514" s="335"/>
      <c r="K514" s="338"/>
      <c r="L514" s="338"/>
      <c r="M514" s="338"/>
      <c r="N514" s="353"/>
      <c r="O514" s="230">
        <f t="shared" si="23"/>
        <v>6</v>
      </c>
      <c r="Q514" s="214" t="str">
        <f t="shared" si="21"/>
        <v/>
      </c>
      <c r="R514" s="174" t="s">
        <v>265</v>
      </c>
      <c r="S514" s="174" t="s">
        <v>273</v>
      </c>
      <c r="T514" s="216" t="str">
        <f>IF(Buildings_Heat_Frontend[[#This Row],[Data]]="","", _xlfn.XLOOKUP(Buildings_Heat_Backend[[#This Row],[Info 1]],Buildings_SiteInfo[Site name],Buildings_SiteInfo[Site type]))</f>
        <v/>
      </c>
      <c r="U514" s="174" t="str">
        <f>IF(Buildings_Heat_Frontend[[#This Row],[Data]]="","", Buildings_Heat_Frontend[[#This Row],[Heating Type]])</f>
        <v/>
      </c>
      <c r="V514" s="174" t="str">
        <f>IF(Buildings_Heat_Frontend[[#This Row],[Data]]="","", Buildings_Heat_Frontend[[#This Row],[Fuel]])</f>
        <v/>
      </c>
      <c r="W514" s="216" t="str" cm="1">
        <f t="array" ref="W514">IF(Buildings_Heat_Frontend[[#This Row],[Data]]="","", _xlfn.XLOOKUP(Buildings_Heat_Backend[[#This Row],[Level 5]],rng_Level5Long,rng_Level6Long))</f>
        <v/>
      </c>
      <c r="X514" s="216" t="str">
        <f>IF(Buildings_Heat_Frontend[[#This Row],[Data]]="","", Buildings_Heat_Frontend[[#This Row],[Site Name]])</f>
        <v/>
      </c>
      <c r="Y514" s="216" t="str">
        <f>IF(Buildings_Heat_Frontend[[#This Row],[Data]]="","", Buildings_Heat_Frontend[[#This Row],[MPRN]])</f>
        <v/>
      </c>
      <c r="Z514" s="174" t="str">
        <f>IF(Buildings_Heat_Frontend[[#This Row],[Data]]="","", IF($I514="","",$I514))</f>
        <v/>
      </c>
      <c r="AA514" s="229" t="str" cm="1">
        <f t="array" ref="AA514">IF(Buildings_Heat_Frontend[[#This Row],[Data]]="","", INDEX(_xlfn.SWITCH(Buildings_Heat_Backend[[#This Row],[Methodology]],"Tier 1",rng_RSD1,"Tier 2",rng_RSD2,"Tier 3",rng_RSD3),MATCH(_xlfn.CONCAT(Buildings_Heat_Backend[[#This Row],[Level 1]:[Level 6]]),rng_LevelsConcat,0)))</f>
        <v/>
      </c>
      <c r="AB514" s="220" t="str">
        <f t="shared" si="22"/>
        <v/>
      </c>
      <c r="AC514" s="174">
        <f>Buildings_Heat_Frontend[[#This Row],[Units]]</f>
        <v>0</v>
      </c>
      <c r="AD514" s="220" t="str">
        <f>IF(Buildings_Heat_Frontend[[#This Row],[Data]]="","", IF(Buildings_Heat_Backend[[#This Row],[Units]]=Buildings_Heat_Backend[[#This Row],[Standard units]],Buildings_Heat_Backend[[#This Row],[Data]],Buildings_Heat_Backend[[#This Row],[Data]]*_xlfn.XLOOKUP(_xlfn.CONCAT(Buildings_Heat_Backend[[#This Row],[Level 1]:[Level 6]]),rng_EFConcat,rng_EFConversion)))</f>
        <v/>
      </c>
      <c r="AE514" s="174" t="str">
        <f>IF(Buildings_Heat_Frontend[[#This Row],[Data]]="","", _xlfn.XLOOKUP(_xlfn.CONCAT(Buildings_Heat_Backend[[#This Row],[Level 1]:[Level 6]]),rng_LevelsConcat,rng_UnitsLong))</f>
        <v/>
      </c>
      <c r="AF514" s="210" t="str">
        <f>IF(Buildings_Heat_Frontend[[#This Row],[Data]]="","", _xlfn.XLOOKUP(_xlfn.CONCAT(Buildings_Heat_Backend[[#This Row],[Level 1]:[Level 6]]),rng_EFConcat,rng_EF1)*Buildings_Heat_Backend[[#This Row],[Converted data]]/1000)</f>
        <v/>
      </c>
      <c r="AG514" s="210" t="str">
        <f>IF(Buildings_Heat_Frontend[[#This Row],[Data]]="","", _xlfn.XLOOKUP(_xlfn.CONCAT(Buildings_Heat_Backend[[#This Row],[Level 1]:[Level 6]]),rng_EFConcat,rng_EF2)*Buildings_Heat_Backend[[#This Row],[Converted data]]/1000)</f>
        <v/>
      </c>
      <c r="AH514" s="210" t="str">
        <f>IF(Buildings_Heat_Frontend[[#This Row],[Data]]="","", _xlfn.XLOOKUP(_xlfn.CONCAT(Buildings_Heat_Backend[[#This Row],[Level 1]:[Level 6]]),rng_EFConcat,rng_EF3)*Buildings_Heat_Backend[[#This Row],[Converted data]]/1000)</f>
        <v/>
      </c>
      <c r="AI514" s="210" t="str">
        <f>IF(Buildings_Heat_Frontend[[#This Row],[Data]]="","", _xlfn.XLOOKUP(_xlfn.CONCAT(Buildings_Heat_Backend[[#This Row],[Level 1]:[Level 6]]),rng_EFConcat,rng_EF3WTT)*Buildings_Heat_Backend[[#This Row],[Converted data]]/1000)</f>
        <v/>
      </c>
      <c r="AJ514" s="210" t="str">
        <f>IF(Buildings_Heat_Frontend[[#This Row],[Data]]="","", _xlfn.XLOOKUP(_xlfn.CONCAT(Buildings_Heat_Backend[[#This Row],[Level 1]:[Level 6]]),rng_EFConcat,rng_EF3TD)*Buildings_Heat_Backend[[#This Row],[Converted data]]/1000)</f>
        <v/>
      </c>
      <c r="AK514" s="210" t="str">
        <f>IF(Buildings_Heat_Frontend[[#This Row],[Data]]="","", _xlfn.XLOOKUP(_xlfn.CONCAT(Buildings_Heat_Backend[[#This Row],[Level 1]:[Level 6]]),rng_EFConcat,rng_EF3WTTTD)*Buildings_Heat_Backend[[#This Row],[Converted data]]/1000)</f>
        <v/>
      </c>
      <c r="AL514" s="220">
        <f>SUM(Buildings_Heat_Backend[[#This Row],[Scope 1 (tCO2e)]:[Scope 3 WTT T&amp;D (tCO2e)]])</f>
        <v>0</v>
      </c>
      <c r="AM514" s="220" t="str">
        <f>IF(Buildings_Heat_Frontend[[#This Row],[Data]]="","", Buildings_Heat_Backend[[#This Row],[Total (tCO2e)]]*(1-Buildings_Heat_Backend[[#This Row],[RSD]]))</f>
        <v/>
      </c>
      <c r="AN514" s="220" t="str">
        <f>IF(Buildings_Heat_Frontend[[#This Row],[Data]]="","", Buildings_Heat_Backend[[#This Row],[Total (tCO2e)]]*(1+Buildings_Heat_Backend[[#This Row],[RSD]]))</f>
        <v/>
      </c>
      <c r="AO514" s="210" t="str">
        <f>IF(Buildings_Heat_Frontend[[#This Row],[Data]]="","", _xlfn.XLOOKUP(_xlfn.CONCAT(Buildings_Heat_Backend[[#This Row],[Level 1]:[Level 6]]),rng_EFConcat,rng_EFOOS)*Buildings_Heat_Backend[[#This Row],[Converted data]]/1000)</f>
        <v/>
      </c>
      <c r="AP514" s="174">
        <f>Buildings_Heat_Frontend[[#This Row],[Ease of collection]]</f>
        <v>0</v>
      </c>
      <c r="AQ514" s="174">
        <f>Buildings_Heat_Frontend[[#This Row],[Completeness]]</f>
        <v>0</v>
      </c>
      <c r="AR514" s="174">
        <f>Buildings_Heat_Frontend[[#This Row],[Notes]]</f>
        <v>0</v>
      </c>
    </row>
    <row r="515" spans="2:44" x14ac:dyDescent="0.3">
      <c r="B515" s="146" t="s">
        <v>101</v>
      </c>
    </row>
  </sheetData>
  <sheetProtection algorithmName="SHA-512" hashValue="PADRVERp8mFd5J0t3bAyQxILzAJqa29n5cCr2dHixJ8GCjUU+sEdEYBcd+LSO5JnNm4r07coYBMqYqNPqg6Bzg==" saltValue="EM0PizExbS4TSZ7uBFJJDA==" spinCount="100000" sheet="1" formatColumns="0"/>
  <mergeCells count="2">
    <mergeCell ref="B5:B10"/>
    <mergeCell ref="B14:B30"/>
  </mergeCells>
  <phoneticPr fontId="16" type="noConversion"/>
  <conditionalFormatting sqref="J1">
    <cfRule type="containsText" dxfId="19" priority="1" operator="containsText" text="No data missing">
      <formula>NOT(ISERROR(SEARCH("No data missing",J1)))</formula>
    </cfRule>
  </conditionalFormatting>
  <conditionalFormatting sqref="O14">
    <cfRule type="iconSet" priority="2">
      <iconSet showValue="0">
        <cfvo type="percent" val="0"/>
        <cfvo type="num" val="0.01"/>
        <cfvo type="num" val="6"/>
      </iconSet>
    </cfRule>
  </conditionalFormatting>
  <dataValidations count="16">
    <dataValidation type="list" showInputMessage="1" showErrorMessage="1" errorTitle="Invalid value" error="Please select a value from the dropdown list. " sqref="E15:E514" xr:uid="{3F6AA925-0D3D-477A-BD46-1A2BAA9C0202}">
      <formula1>rng_sitename</formula1>
    </dataValidation>
    <dataValidation type="decimal" operator="greaterThanOrEqual" allowBlank="1" showInputMessage="1" showErrorMessage="1" sqref="J15:J514" xr:uid="{25C481E0-39B9-40C9-97FE-F8AA1E6209DB}">
      <formula1>0</formula1>
    </dataValidation>
    <dataValidation type="list" allowBlank="1" showInputMessage="1" showErrorMessage="1" sqref="G286 G287:G514 G15:G95 G97:G285 G96" xr:uid="{532D872C-B6AF-42C6-AAC8-CCF71B4821BD}">
      <formula1>"Fossil Fuels,Bioenergy,Heat &amp; Steam"</formula1>
    </dataValidation>
    <dataValidation type="list" showInputMessage="1" showErrorMessage="1" errorTitle="Invalid value" error="Please select a value from the dropdown list. " sqref="H15:H514" xr:uid="{DB92C97B-8245-4B4F-AC40-01904D84AE47}">
      <formula1>DROPDOWN(rng_Level4,$G15,cl_Level5Target)</formula1>
    </dataValidation>
    <dataValidation type="list" showInputMessage="1" showErrorMessage="1" sqref="I15:I514" xr:uid="{8D36896C-6E69-4805-9D7F-97C546561F42}">
      <formula1>rng_methodology</formula1>
    </dataValidation>
    <dataValidation type="list" allowBlank="1" showInputMessage="1" showErrorMessage="1" sqref="L15:L514" xr:uid="{C88E4278-C818-47A8-9C09-D15CB5CF4E43}">
      <formula1>rng_data_ease</formula1>
    </dataValidation>
    <dataValidation type="list" allowBlank="1" showInputMessage="1" showErrorMessage="1" sqref="M15:M514" xr:uid="{DBF237F1-4B64-4BB1-A943-BE4119081210}">
      <formula1>rng_data_completeness</formula1>
    </dataValidation>
    <dataValidation type="list" allowBlank="1" showInputMessage="1" showErrorMessage="1" sqref="U15" xr:uid="{1B6E8BA6-D430-4807-B823-3722F3A550D7}">
      <formula1>DROPDOWN(rng_Level3,$T15,cl_Level4Target)</formula1>
    </dataValidation>
    <dataValidation type="list" allowBlank="1" showInputMessage="1" showErrorMessage="1" sqref="T15" xr:uid="{B3A15932-60B4-4F07-A6EE-EEA92ADC066B}">
      <formula1>DROPDOWN(rng_Level2,$S15,cl_Level3Target)</formula1>
    </dataValidation>
    <dataValidation type="list" allowBlank="1" showInputMessage="1" showErrorMessage="1" sqref="S15:S514" xr:uid="{81DD7D97-C406-4B6A-89D6-3DDDCEB56B0F}">
      <formula1>DROPDOWN(rng_Level1,$R15,cl_Level2Target)</formula1>
    </dataValidation>
    <dataValidation type="list" allowBlank="1" showInputMessage="1" showErrorMessage="1" sqref="R15:R514" xr:uid="{14AF3F46-7F4F-47FA-807C-61218EBC2A33}">
      <formula1>rng_Level1Unique</formula1>
    </dataValidation>
    <dataValidation allowBlank="1" showInputMessage="1" showErrorMessage="1" promptTitle="Information:" prompt="This column contains a drop down of all site names included in the 'Building - Site Info' tab. Add additional sites on that tab to have them included in the dropdown here. This data is required." sqref="E14" xr:uid="{F8E2D309-A0FA-4FA4-B842-CA4EA8CC1A51}"/>
    <dataValidation allowBlank="1" showInputMessage="1" showErrorMessage="1" promptTitle="Information:" prompt="Enter the meter number (e.g., MPRN)" sqref="F14" xr:uid="{17C129DC-2115-4ECF-9A25-3A0F96D2CC14}"/>
    <dataValidation allowBlank="1" showInputMessage="1" showErrorMessage="1" promptTitle="Information:" prompt="Select whether the heating for the site is from fossil fuels, bioenergy or heat and steam_x000a_" sqref="G14" xr:uid="{68CADB72-2968-4519-9093-4821B8D329CF}"/>
    <dataValidation allowBlank="1" showInputMessage="1" showErrorMessage="1" promptTitle="Information:" prompt="Select the fuel source of the site_x000a_" sqref="H14" xr:uid="{45F4E096-EFFB-4246-BEE9-B30AC44EE0AF}"/>
    <dataValidation allowBlank="1" showInputMessage="1" showErrorMessage="1" promptTitle="Information:" prompt="The units dropdown will not work if a site name is not selected or if a site type is not assigned in the 'Buildings - Site Info' tab" sqref="K14" xr:uid="{DD89AA75-C376-42C7-8D3F-EDA7ACC29FD3}"/>
  </dataValidations>
  <pageMargins left="0.7" right="0.7" top="0.75" bottom="0.75" header="0.3" footer="0.3"/>
  <ignoredErrors>
    <ignoredError sqref="R16:R514 S15:S514" calculatedColumn="1"/>
  </ignoredErrors>
  <tableParts count="2">
    <tablePart r:id="rId1"/>
    <tablePart r:id="rId2"/>
  </tableParts>
  <extLst>
    <ext xmlns:x14="http://schemas.microsoft.com/office/spreadsheetml/2009/9/main" uri="{78C0D931-6437-407d-A8EE-F0AAD7539E65}">
      <x14:conditionalFormattings>
        <x14:conditionalFormatting xmlns:xm="http://schemas.microsoft.com/office/excel/2006/main">
          <x14:cfRule type="iconSet" priority="3" id="{B5F014ED-B8A5-4432-9AC5-FF69CC3EDBB7}">
            <x14:iconSet showValue="0" custom="1">
              <x14:cfvo type="percent">
                <xm:f>0</xm:f>
              </x14:cfvo>
              <x14:cfvo type="num">
                <xm:f>1</xm:f>
              </x14:cfvo>
              <x14:cfvo type="num">
                <xm:f>6</xm:f>
              </x14:cfvo>
              <x14:cfIcon iconSet="3TrafficLights1" iconId="2"/>
              <x14:cfIcon iconSet="3TrafficLights1" iconId="0"/>
              <x14:cfIcon iconSet="4TrafficLights" iconId="0"/>
            </x14:iconSet>
          </x14:cfRule>
          <xm:sqref>O15:O514</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5469C905-B6FB-4EF9-AB23-712C09E5F1F6}">
          <x14:formula1>
            <xm:f>OFFSET(Ranges!$AT$11,MATCH(_xlfn.CONCAT($R15:$W15),rng_LevelsConcat,0)-1,,,2)</xm:f>
          </x14:formula1>
          <xm:sqref>K15:K514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AC95-0A23-4CEC-B10A-6C250512E346}">
  <sheetPr codeName="Sheet14">
    <tabColor theme="6"/>
  </sheetPr>
  <dimension ref="B1:AR517"/>
  <sheetViews>
    <sheetView showGridLines="0" zoomScale="64" zoomScaleNormal="100" workbookViewId="0">
      <selection activeCell="G332" sqref="G332:G514"/>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31" style="147" customWidth="1"/>
    <col min="6" max="6" width="21" style="147" customWidth="1"/>
    <col min="7" max="7" width="19.453125" style="147" customWidth="1"/>
    <col min="8" max="8" width="16.81640625" style="147" customWidth="1"/>
    <col min="9" max="9" width="13.1796875" style="147" bestFit="1" customWidth="1"/>
    <col min="10" max="10" width="8.54296875" style="147" customWidth="1"/>
    <col min="11" max="11" width="22.453125" style="147" customWidth="1"/>
    <col min="12" max="12" width="18.26953125" style="147" customWidth="1"/>
    <col min="13" max="13" width="56.1796875" style="147" customWidth="1"/>
    <col min="14" max="14" width="3.1796875" style="147" customWidth="1"/>
    <col min="15" max="15" width="10.81640625" style="147" customWidth="1"/>
    <col min="16" max="16" width="13.453125" style="147" customWidth="1"/>
    <col min="17" max="17" width="5.453125" style="147" customWidth="1" outlineLevel="1"/>
    <col min="18" max="18" width="12.81640625" style="147" customWidth="1" outlineLevel="1"/>
    <col min="19" max="19" width="17.7265625" style="147" customWidth="1" outlineLevel="1"/>
    <col min="20" max="20" width="15.81640625" style="147" customWidth="1" outlineLevel="1"/>
    <col min="21" max="22" width="16.26953125" style="147" customWidth="1" outlineLevel="1"/>
    <col min="23" max="23" width="12.1796875" style="147" customWidth="1" outlineLevel="1"/>
    <col min="24" max="24" width="16.81640625" style="147" customWidth="1" outlineLevel="1"/>
    <col min="25" max="25" width="9.54296875" style="147" customWidth="1" outlineLevel="1"/>
    <col min="26" max="26" width="15.81640625" style="147" customWidth="1" outlineLevel="1"/>
    <col min="27" max="27" width="8.54296875" style="147" customWidth="1" outlineLevel="1"/>
    <col min="28" max="28" width="9.54296875" style="147" customWidth="1" outlineLevel="1"/>
    <col min="29" max="29" width="9.453125" style="147" customWidth="1" outlineLevel="1"/>
    <col min="30" max="30" width="13.54296875" style="147" customWidth="1" outlineLevel="1"/>
    <col min="31" max="31" width="15" style="147" customWidth="1" outlineLevel="1"/>
    <col min="32" max="32" width="12.453125" style="147" customWidth="1" outlineLevel="1"/>
    <col min="33" max="33" width="12.1796875" style="147" customWidth="1" outlineLevel="1"/>
    <col min="34" max="34" width="12.26953125" style="147" customWidth="1" outlineLevel="1"/>
    <col min="35" max="35" width="16.453125" style="147" customWidth="1" outlineLevel="1"/>
    <col min="36" max="36" width="16.54296875" style="147" customWidth="1" outlineLevel="1"/>
    <col min="37" max="37" width="17.26953125" style="147" customWidth="1" outlineLevel="1"/>
    <col min="38" max="38" width="10" style="147" customWidth="1" outlineLevel="1"/>
    <col min="39" max="39" width="10.7265625" style="147" customWidth="1" outlineLevel="1"/>
    <col min="40" max="40" width="9.54296875" style="147" customWidth="1" outlineLevel="1"/>
    <col min="41" max="41" width="11.81640625" style="147" customWidth="1" outlineLevel="1"/>
    <col min="42" max="42" width="13.26953125" style="147" customWidth="1" outlineLevel="1"/>
    <col min="43" max="43" width="14.453125" style="147" customWidth="1" outlineLevel="1"/>
    <col min="44" max="44" width="8.7265625" style="147" customWidth="1" outlineLevel="1"/>
    <col min="45" max="16384" width="8.7265625" style="147"/>
  </cols>
  <sheetData>
    <row r="1" spans="2:44" s="150" customFormat="1" ht="15.5" x14ac:dyDescent="0.35">
      <c r="B1" s="196" t="s">
        <v>273</v>
      </c>
      <c r="E1" s="200" t="s">
        <v>61</v>
      </c>
      <c r="F1" s="201">
        <f>cl_year_select</f>
        <v>0</v>
      </c>
      <c r="I1" s="200" t="s">
        <v>274</v>
      </c>
      <c r="J1" s="199" t="str">
        <f>IF($N$14=4,"No data missing","Data missing, see traffic lights")</f>
        <v>Data missing, see traffic lights</v>
      </c>
    </row>
    <row r="2" spans="2:44" s="153" customFormat="1" x14ac:dyDescent="0.3">
      <c r="B2" s="197" t="s">
        <v>327</v>
      </c>
      <c r="E2" s="202" t="s">
        <v>64</v>
      </c>
      <c r="F2" s="203">
        <f>cl_org_name_select</f>
        <v>0</v>
      </c>
    </row>
    <row r="3" spans="2:44" x14ac:dyDescent="0.3"/>
    <row r="4" spans="2:44" x14ac:dyDescent="0.3">
      <c r="B4" s="159" t="s">
        <v>10</v>
      </c>
      <c r="E4" s="191" t="s">
        <v>1</v>
      </c>
    </row>
    <row r="5" spans="2:44" x14ac:dyDescent="0.3">
      <c r="B5" s="455" t="s">
        <v>328</v>
      </c>
      <c r="E5" s="162" t="s">
        <v>37</v>
      </c>
    </row>
    <row r="6" spans="2:44" x14ac:dyDescent="0.3">
      <c r="B6" s="455"/>
      <c r="E6" s="170" t="s">
        <v>38</v>
      </c>
      <c r="H6" s="151"/>
    </row>
    <row r="7" spans="2:44" x14ac:dyDescent="0.3">
      <c r="B7" s="455"/>
      <c r="E7" s="192" t="s">
        <v>283</v>
      </c>
      <c r="H7" s="151"/>
    </row>
    <row r="8" spans="2:44" x14ac:dyDescent="0.3">
      <c r="B8" s="455"/>
      <c r="E8" s="370"/>
      <c r="H8" s="151"/>
    </row>
    <row r="9" spans="2:44" x14ac:dyDescent="0.3">
      <c r="B9" s="455"/>
      <c r="E9" s="370"/>
      <c r="H9" s="151"/>
    </row>
    <row r="10" spans="2:44" ht="14.5" thickBot="1" x14ac:dyDescent="0.35">
      <c r="B10" s="455"/>
      <c r="E10" s="176"/>
      <c r="F10" s="176"/>
      <c r="G10" s="176"/>
      <c r="H10" s="177"/>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row>
    <row r="11" spans="2:44" x14ac:dyDescent="0.3">
      <c r="H11" s="151"/>
    </row>
    <row r="12" spans="2:44" x14ac:dyDescent="0.3">
      <c r="B12" s="159" t="s">
        <v>12</v>
      </c>
      <c r="E12" s="160" t="s">
        <v>132</v>
      </c>
    </row>
    <row r="13" spans="2:44" x14ac:dyDescent="0.3"/>
    <row r="14" spans="2:44" ht="32.15" customHeight="1" x14ac:dyDescent="0.3">
      <c r="B14" s="455" t="s">
        <v>329</v>
      </c>
      <c r="E14" s="257" t="s">
        <v>319</v>
      </c>
      <c r="F14" s="258" t="s">
        <v>330</v>
      </c>
      <c r="G14" s="258" t="s">
        <v>331</v>
      </c>
      <c r="H14" s="258" t="s">
        <v>287</v>
      </c>
      <c r="I14" s="258" t="s">
        <v>288</v>
      </c>
      <c r="J14" s="258" t="s">
        <v>289</v>
      </c>
      <c r="K14" s="258" t="s">
        <v>291</v>
      </c>
      <c r="L14" s="258" t="s">
        <v>292</v>
      </c>
      <c r="M14" s="259" t="s">
        <v>293</v>
      </c>
      <c r="N14" s="188">
        <f>AVERAGEIF($N$15:$N$514,"&lt;&gt;0",$N$15:$N$514)</f>
        <v>5</v>
      </c>
      <c r="Q14" s="287" t="s">
        <v>294</v>
      </c>
      <c r="R14" s="286" t="s">
        <v>295</v>
      </c>
      <c r="S14" s="286" t="s">
        <v>296</v>
      </c>
      <c r="T14" s="286" t="s">
        <v>297</v>
      </c>
      <c r="U14" s="286" t="s">
        <v>298</v>
      </c>
      <c r="V14" s="286" t="s">
        <v>299</v>
      </c>
      <c r="W14" s="286" t="s">
        <v>300</v>
      </c>
      <c r="X14" s="286" t="s">
        <v>301</v>
      </c>
      <c r="Y14" s="286" t="s">
        <v>302</v>
      </c>
      <c r="Z14" s="286" t="s">
        <v>287</v>
      </c>
      <c r="AA14" s="286" t="s">
        <v>303</v>
      </c>
      <c r="AB14" s="286" t="s">
        <v>288</v>
      </c>
      <c r="AC14" s="286" t="s">
        <v>289</v>
      </c>
      <c r="AD14" s="286" t="s">
        <v>304</v>
      </c>
      <c r="AE14" s="286" t="s">
        <v>305</v>
      </c>
      <c r="AF14" s="286" t="s">
        <v>306</v>
      </c>
      <c r="AG14" s="286" t="s">
        <v>307</v>
      </c>
      <c r="AH14" s="286" t="s">
        <v>308</v>
      </c>
      <c r="AI14" s="286" t="s">
        <v>309</v>
      </c>
      <c r="AJ14" s="286" t="s">
        <v>310</v>
      </c>
      <c r="AK14" s="286" t="s">
        <v>311</v>
      </c>
      <c r="AL14" s="286" t="s">
        <v>312</v>
      </c>
      <c r="AM14" s="286" t="s">
        <v>313</v>
      </c>
      <c r="AN14" s="286" t="s">
        <v>314</v>
      </c>
      <c r="AO14" s="286" t="s">
        <v>315</v>
      </c>
      <c r="AP14" s="286" t="s">
        <v>291</v>
      </c>
      <c r="AQ14" s="288" t="s">
        <v>292</v>
      </c>
      <c r="AR14" s="288" t="s">
        <v>293</v>
      </c>
    </row>
    <row r="15" spans="2:44" x14ac:dyDescent="0.3">
      <c r="B15" s="455"/>
      <c r="E15" s="346"/>
      <c r="F15" s="364"/>
      <c r="G15" s="336"/>
      <c r="H15" s="336"/>
      <c r="I15" s="334"/>
      <c r="J15" s="336"/>
      <c r="K15" s="336"/>
      <c r="L15" s="336"/>
      <c r="M15" s="337"/>
      <c r="N15" s="242">
        <f>ISBLANK(E15)+ISBLANK(G15)+ISBLANK(H15)+ISBLANK(I15)+ISBLANK(J15)</f>
        <v>5</v>
      </c>
      <c r="Q15" s="212" t="str">
        <f t="shared" ref="Q15:Q78" si="0">IF(N15=0,SUBSTITUTE(2025&amp;TRIM(cl_org_name_select)&amp;TRIM($E$12)&amp;(ROW(N15)-ROW($N$15))," ",""),"")</f>
        <v/>
      </c>
      <c r="R15" s="174" t="s">
        <v>265</v>
      </c>
      <c r="S15" s="174" t="s">
        <v>273</v>
      </c>
      <c r="T15" s="174" t="e">
        <f>_xlfn.XLOOKUP(Buildings_Water_Backend[[#This Row],[Info 1]],Buildings_SiteInfo[Site name],Buildings_SiteInfo[Site type])</f>
        <v>#N/A</v>
      </c>
      <c r="U15" s="174" t="s">
        <v>327</v>
      </c>
      <c r="V15" s="174">
        <f>Buildings_Water_Frontend[[#This Row],[Type]]</f>
        <v>0</v>
      </c>
      <c r="W15" s="174" t="e" cm="1">
        <f t="array" aca="1" ref="W15" ca="1">_xlfn.XLOOKUP(Buildings_Water_Backend[[#This Row],[Level 5]],rng_Level5Long,rng_Level6Long)</f>
        <v>#N/A</v>
      </c>
      <c r="X15" s="174">
        <f>Buildings_Water_Frontend[[#This Row],[Site Name]]</f>
        <v>0</v>
      </c>
      <c r="Y15" s="174">
        <f>Buildings_Water_Frontend[[#This Row],[Meter Reference]]</f>
        <v>0</v>
      </c>
      <c r="Z15" s="220">
        <f>Buildings_Water_Frontend[[#This Row],[Methodology]]</f>
        <v>0</v>
      </c>
      <c r="AA15" s="229" t="e" cm="1">
        <f t="array" ref="AA15">INDEX(_xlfn.SWITCH(Buildings_Water_Backend[[#This Row],[Methodology]],"Tier 1",rng_RSD1,"Tier 2",rng_RSD2,"Tier 3",rng_RSD3),MATCH(_xlfn.CONCAT(Buildings_Water_Backend[[#This Row],[Level 1]:[Level 6]]),rng_LevelsConcat,0))</f>
        <v>#N/A</v>
      </c>
      <c r="AB15" s="224">
        <f>Buildings_Water_Frontend[[#This Row],[Data]]</f>
        <v>0</v>
      </c>
      <c r="AC15" s="174">
        <f>Buildings_Water_Frontend[[#This Row],[Units]]</f>
        <v>0</v>
      </c>
      <c r="AD15" s="220" t="e">
        <f>IF(Buildings_Water_Backend[[#This Row],[Units]]=Buildings_Water_Backend[[#This Row],[Standard units]],Buildings_Water_Backend[[#This Row],[Data]],Buildings_Water_Backend[[#This Row],[Data]]*_xlfn.XLOOKUP(_xlfn.CONCAT(Buildings_Water_Backend[[#This Row],[Level 1]:[Level 6]]),rng_EFConcat,rng_EFConversion))</f>
        <v>#N/A</v>
      </c>
      <c r="AE15" s="174" t="e" cm="1">
        <f t="array" ref="AE15">_xlfn.XLOOKUP(_xlfn.CONCAT(Buildings_Water_Backend[[#This Row],[Level 1]:[Level 6]]),rng_LevelsConcat,rng_UnitsLong)</f>
        <v>#N/A</v>
      </c>
      <c r="AF15" s="210" t="e">
        <f>_xlfn.XLOOKUP(_xlfn.CONCAT(Buildings_Water_Backend[[#This Row],[Level 1]:[Level 6]]),rng_EFConcat,rng_EF1)*Buildings_Water_Backend[[#This Row],[Converted data]]/1000</f>
        <v>#N/A</v>
      </c>
      <c r="AG15" s="210" t="e">
        <f>_xlfn.XLOOKUP(_xlfn.CONCAT(Buildings_Water_Backend[[#This Row],[Level 1]:[Level 6]]),rng_EFConcat,rng_EF2)*Buildings_Water_Backend[[#This Row],[Converted data]]/1000</f>
        <v>#N/A</v>
      </c>
      <c r="AH15" s="210" t="e">
        <f>_xlfn.XLOOKUP(_xlfn.CONCAT(Buildings_Water_Backend[[#This Row],[Level 1]:[Level 6]]),rng_EFConcat,rng_EF3)*Buildings_Water_Backend[[#This Row],[Converted data]]/1000</f>
        <v>#N/A</v>
      </c>
      <c r="AI15" s="210" t="e">
        <f>_xlfn.XLOOKUP(_xlfn.CONCAT(Buildings_Water_Backend[[#This Row],[Level 1]:[Level 6]]),rng_EFConcat,rng_EF3WTT)*Buildings_Water_Backend[[#This Row],[Converted data]]/1000</f>
        <v>#N/A</v>
      </c>
      <c r="AJ15" s="210" t="e">
        <f>_xlfn.XLOOKUP(_xlfn.CONCAT(Buildings_Water_Backend[[#This Row],[Level 1]:[Level 6]]),rng_EFConcat,rng_EF3TD)*Buildings_Water_Backend[[#This Row],[Converted data]]/1000</f>
        <v>#N/A</v>
      </c>
      <c r="AK15" s="210" t="e">
        <f>_xlfn.XLOOKUP(_xlfn.CONCAT(Buildings_Water_Backend[[#This Row],[Level 1]:[Level 6]]),rng_EFConcat,rng_EF3WTTTD)*Buildings_Water_Backend[[#This Row],[Converted data]]/1000</f>
        <v>#N/A</v>
      </c>
      <c r="AL15" s="220" t="e">
        <f>SUM(Buildings_Water_Backend[[#This Row],[Scope 1 (tCO2e)]:[Scope 3 WTT T&amp;D (tCO2e)]])</f>
        <v>#N/A</v>
      </c>
      <c r="AM15" s="220" t="e">
        <f>Buildings_Water_Backend[[#This Row],[Total (tCO2e)]]*(1-Buildings_Water_Backend[[#This Row],[RSD]])</f>
        <v>#N/A</v>
      </c>
      <c r="AN15" s="220" t="e">
        <f>Buildings_Water_Backend[[#This Row],[Total (tCO2e)]]*(1+Buildings_Water_Backend[[#This Row],[RSD]])</f>
        <v>#N/A</v>
      </c>
      <c r="AO15" s="210" t="e">
        <f>_xlfn.XLOOKUP(_xlfn.CONCAT(Buildings_Water_Backend[[#This Row],[Level 1]:[Level 6]]),rng_EFConcat,rng_EFOOS)*Buildings_Water_Backend[[#This Row],[Converted data]]/1000</f>
        <v>#N/A</v>
      </c>
      <c r="AP15" s="174">
        <f>Buildings_Water_Frontend[[#This Row],[Ease of collection]]</f>
        <v>0</v>
      </c>
      <c r="AQ15" s="174">
        <f>Buildings_Water_Frontend[[#This Row],[Completeness]]</f>
        <v>0</v>
      </c>
      <c r="AR15" s="174">
        <f>Buildings_Water_Frontend[[#This Row],[Notes]]</f>
        <v>0</v>
      </c>
    </row>
    <row r="16" spans="2:44" x14ac:dyDescent="0.3">
      <c r="B16" s="455"/>
      <c r="E16" s="346"/>
      <c r="F16" s="364"/>
      <c r="G16" s="336"/>
      <c r="H16" s="336"/>
      <c r="I16" s="334"/>
      <c r="J16" s="336"/>
      <c r="K16" s="336"/>
      <c r="L16" s="336"/>
      <c r="M16" s="337"/>
      <c r="N16" s="242">
        <f t="shared" ref="N16:N79" si="1">ISBLANK(E16)+ISBLANK(G16)+ISBLANK(H16)+ISBLANK(I16)+ISBLANK(J16)</f>
        <v>5</v>
      </c>
      <c r="Q16" s="212" t="str">
        <f t="shared" si="0"/>
        <v/>
      </c>
      <c r="R16" s="174" t="s">
        <v>265</v>
      </c>
      <c r="S16" s="174" t="s">
        <v>273</v>
      </c>
      <c r="T16" s="174" t="e">
        <f>_xlfn.XLOOKUP(Buildings_Water_Backend[[#This Row],[Info 1]],Buildings_SiteInfo[Site name],Buildings_SiteInfo[Site type])</f>
        <v>#N/A</v>
      </c>
      <c r="U16" s="174" t="s">
        <v>327</v>
      </c>
      <c r="V16" s="174">
        <f>Buildings_Water_Frontend[[#This Row],[Type]]</f>
        <v>0</v>
      </c>
      <c r="W16" s="174" t="e" cm="1">
        <f t="array" aca="1" ref="W16" ca="1">_xlfn.XLOOKUP(Buildings_Water_Backend[[#This Row],[Level 5]],rng_Level5Long,rng_Level6Long)</f>
        <v>#N/A</v>
      </c>
      <c r="X16" s="174">
        <f>Buildings_Water_Frontend[[#This Row],[Site Name]]</f>
        <v>0</v>
      </c>
      <c r="Y16" s="174">
        <f>Buildings_Water_Frontend[[#This Row],[Meter Reference]]</f>
        <v>0</v>
      </c>
      <c r="Z16" s="220">
        <f>Buildings_Water_Frontend[[#This Row],[Methodology]]</f>
        <v>0</v>
      </c>
      <c r="AA16" s="229" t="e" cm="1">
        <f t="array" ref="AA16">INDEX(_xlfn.SWITCH(Buildings_Water_Backend[[#This Row],[Methodology]],"Tier 1",rng_RSD1,"Tier 2",rng_RSD2,"Tier 3",rng_RSD3),MATCH(_xlfn.CONCAT(Buildings_Water_Backend[[#This Row],[Level 1]:[Level 6]]),rng_LevelsConcat,0))</f>
        <v>#N/A</v>
      </c>
      <c r="AB16" s="224">
        <f>Buildings_Water_Frontend[[#This Row],[Data]]</f>
        <v>0</v>
      </c>
      <c r="AC16" s="174">
        <f>Buildings_Water_Frontend[[#This Row],[Units]]</f>
        <v>0</v>
      </c>
      <c r="AD16" s="220" t="e">
        <f>IF(Buildings_Water_Backend[[#This Row],[Units]]=Buildings_Water_Backend[[#This Row],[Standard units]],Buildings_Water_Backend[[#This Row],[Data]],Buildings_Water_Backend[[#This Row],[Data]]*_xlfn.XLOOKUP(_xlfn.CONCAT(Buildings_Water_Backend[[#This Row],[Level 1]:[Level 6]]),rng_EFConcat,rng_EFConversion))</f>
        <v>#N/A</v>
      </c>
      <c r="AE16" s="174" t="e" cm="1">
        <f t="array" ref="AE16">_xlfn.XLOOKUP(_xlfn.CONCAT(Buildings_Water_Backend[[#This Row],[Level 1]:[Level 6]]),rng_LevelsConcat,rng_UnitsLong)</f>
        <v>#N/A</v>
      </c>
      <c r="AF16" s="210" t="e">
        <f>_xlfn.XLOOKUP(_xlfn.CONCAT(Buildings_Water_Backend[[#This Row],[Level 1]:[Level 6]]),rng_EFConcat,rng_EF1)*Buildings_Water_Backend[[#This Row],[Converted data]]/1000</f>
        <v>#N/A</v>
      </c>
      <c r="AG16" s="210" t="e">
        <f>_xlfn.XLOOKUP(_xlfn.CONCAT(Buildings_Water_Backend[[#This Row],[Level 1]:[Level 6]]),rng_EFConcat,rng_EF2)*Buildings_Water_Backend[[#This Row],[Converted data]]/1000</f>
        <v>#N/A</v>
      </c>
      <c r="AH16" s="210" t="e">
        <f>_xlfn.XLOOKUP(_xlfn.CONCAT(Buildings_Water_Backend[[#This Row],[Level 1]:[Level 6]]),rng_EFConcat,rng_EF3)*Buildings_Water_Backend[[#This Row],[Converted data]]/1000</f>
        <v>#N/A</v>
      </c>
      <c r="AI16" s="210" t="e">
        <f>_xlfn.XLOOKUP(_xlfn.CONCAT(Buildings_Water_Backend[[#This Row],[Level 1]:[Level 6]]),rng_EFConcat,rng_EF3WTT)*Buildings_Water_Backend[[#This Row],[Converted data]]/1000</f>
        <v>#N/A</v>
      </c>
      <c r="AJ16" s="210" t="e">
        <f>_xlfn.XLOOKUP(_xlfn.CONCAT(Buildings_Water_Backend[[#This Row],[Level 1]:[Level 6]]),rng_EFConcat,rng_EF3TD)*Buildings_Water_Backend[[#This Row],[Converted data]]/1000</f>
        <v>#N/A</v>
      </c>
      <c r="AK16" s="210" t="e">
        <f>_xlfn.XLOOKUP(_xlfn.CONCAT(Buildings_Water_Backend[[#This Row],[Level 1]:[Level 6]]),rng_EFConcat,rng_EF3WTTTD)*Buildings_Water_Backend[[#This Row],[Converted data]]/1000</f>
        <v>#N/A</v>
      </c>
      <c r="AL16" s="220" t="e">
        <f>SUM(Buildings_Water_Backend[[#This Row],[Scope 1 (tCO2e)]:[Scope 3 WTT T&amp;D (tCO2e)]])</f>
        <v>#N/A</v>
      </c>
      <c r="AM16" s="220" t="e">
        <f>Buildings_Water_Backend[[#This Row],[Total (tCO2e)]]*(1-Buildings_Water_Backend[[#This Row],[RSD]])</f>
        <v>#N/A</v>
      </c>
      <c r="AN16" s="220" t="e">
        <f>Buildings_Water_Backend[[#This Row],[Total (tCO2e)]]*(1+Buildings_Water_Backend[[#This Row],[RSD]])</f>
        <v>#N/A</v>
      </c>
      <c r="AO16" s="210" t="e">
        <f>_xlfn.XLOOKUP(_xlfn.CONCAT(Buildings_Water_Backend[[#This Row],[Level 1]:[Level 6]]),rng_EFConcat,rng_EFOOS)*Buildings_Water_Backend[[#This Row],[Converted data]]/1000</f>
        <v>#N/A</v>
      </c>
      <c r="AP16" s="174">
        <f>Buildings_Water_Frontend[[#This Row],[Ease of collection]]</f>
        <v>0</v>
      </c>
      <c r="AQ16" s="174">
        <f>Buildings_Water_Frontend[[#This Row],[Completeness]]</f>
        <v>0</v>
      </c>
      <c r="AR16" s="174">
        <f>Buildings_Water_Frontend[[#This Row],[Notes]]</f>
        <v>0</v>
      </c>
    </row>
    <row r="17" spans="2:44" x14ac:dyDescent="0.3">
      <c r="B17" s="455"/>
      <c r="E17" s="346"/>
      <c r="F17" s="364"/>
      <c r="G17" s="336"/>
      <c r="H17" s="336"/>
      <c r="I17" s="334"/>
      <c r="J17" s="336"/>
      <c r="K17" s="336"/>
      <c r="L17" s="336"/>
      <c r="M17" s="337"/>
      <c r="N17" s="242">
        <f t="shared" si="1"/>
        <v>5</v>
      </c>
      <c r="Q17" s="212" t="str">
        <f t="shared" si="0"/>
        <v/>
      </c>
      <c r="R17" s="174" t="s">
        <v>265</v>
      </c>
      <c r="S17" s="174" t="s">
        <v>273</v>
      </c>
      <c r="T17" s="174" t="e">
        <f>_xlfn.XLOOKUP(Buildings_Water_Backend[[#This Row],[Info 1]],Buildings_SiteInfo[Site name],Buildings_SiteInfo[Site type])</f>
        <v>#N/A</v>
      </c>
      <c r="U17" s="174" t="s">
        <v>327</v>
      </c>
      <c r="V17" s="174">
        <f>Buildings_Water_Frontend[[#This Row],[Type]]</f>
        <v>0</v>
      </c>
      <c r="W17" s="174" t="e" cm="1">
        <f t="array" aca="1" ref="W17" ca="1">_xlfn.XLOOKUP(Buildings_Water_Backend[[#This Row],[Level 5]],rng_Level5Long,rng_Level6Long)</f>
        <v>#N/A</v>
      </c>
      <c r="X17" s="174">
        <f>Buildings_Water_Frontend[[#This Row],[Site Name]]</f>
        <v>0</v>
      </c>
      <c r="Y17" s="174">
        <f>Buildings_Water_Frontend[[#This Row],[Meter Reference]]</f>
        <v>0</v>
      </c>
      <c r="Z17" s="220">
        <f>Buildings_Water_Frontend[[#This Row],[Methodology]]</f>
        <v>0</v>
      </c>
      <c r="AA17" s="229" t="e" cm="1">
        <f t="array" ref="AA17">INDEX(_xlfn.SWITCH(Buildings_Water_Backend[[#This Row],[Methodology]],"Tier 1",rng_RSD1,"Tier 2",rng_RSD2,"Tier 3",rng_RSD3),MATCH(_xlfn.CONCAT(Buildings_Water_Backend[[#This Row],[Level 1]:[Level 6]]),rng_LevelsConcat,0))</f>
        <v>#N/A</v>
      </c>
      <c r="AB17" s="224">
        <f>Buildings_Water_Frontend[[#This Row],[Data]]</f>
        <v>0</v>
      </c>
      <c r="AC17" s="174">
        <f>Buildings_Water_Frontend[[#This Row],[Units]]</f>
        <v>0</v>
      </c>
      <c r="AD17" s="220" t="e">
        <f>IF(Buildings_Water_Backend[[#This Row],[Units]]=Buildings_Water_Backend[[#This Row],[Standard units]],Buildings_Water_Backend[[#This Row],[Data]],Buildings_Water_Backend[[#This Row],[Data]]*_xlfn.XLOOKUP(_xlfn.CONCAT(Buildings_Water_Backend[[#This Row],[Level 1]:[Level 6]]),rng_EFConcat,rng_EFConversion))</f>
        <v>#N/A</v>
      </c>
      <c r="AE17" s="174" t="e" cm="1">
        <f t="array" ref="AE17">_xlfn.XLOOKUP(_xlfn.CONCAT(Buildings_Water_Backend[[#This Row],[Level 1]:[Level 6]]),rng_LevelsConcat,rng_UnitsLong)</f>
        <v>#N/A</v>
      </c>
      <c r="AF17" s="210" t="e">
        <f>_xlfn.XLOOKUP(_xlfn.CONCAT(Buildings_Water_Backend[[#This Row],[Level 1]:[Level 6]]),rng_EFConcat,rng_EF1)*Buildings_Water_Backend[[#This Row],[Converted data]]/1000</f>
        <v>#N/A</v>
      </c>
      <c r="AG17" s="210" t="e">
        <f>_xlfn.XLOOKUP(_xlfn.CONCAT(Buildings_Water_Backend[[#This Row],[Level 1]:[Level 6]]),rng_EFConcat,rng_EF2)*Buildings_Water_Backend[[#This Row],[Converted data]]/1000</f>
        <v>#N/A</v>
      </c>
      <c r="AH17" s="210" t="e">
        <f>_xlfn.XLOOKUP(_xlfn.CONCAT(Buildings_Water_Backend[[#This Row],[Level 1]:[Level 6]]),rng_EFConcat,rng_EF3)*Buildings_Water_Backend[[#This Row],[Converted data]]/1000</f>
        <v>#N/A</v>
      </c>
      <c r="AI17" s="210" t="e">
        <f>_xlfn.XLOOKUP(_xlfn.CONCAT(Buildings_Water_Backend[[#This Row],[Level 1]:[Level 6]]),rng_EFConcat,rng_EF3WTT)*Buildings_Water_Backend[[#This Row],[Converted data]]/1000</f>
        <v>#N/A</v>
      </c>
      <c r="AJ17" s="210" t="e">
        <f>_xlfn.XLOOKUP(_xlfn.CONCAT(Buildings_Water_Backend[[#This Row],[Level 1]:[Level 6]]),rng_EFConcat,rng_EF3TD)*Buildings_Water_Backend[[#This Row],[Converted data]]/1000</f>
        <v>#N/A</v>
      </c>
      <c r="AK17" s="210" t="e">
        <f>_xlfn.XLOOKUP(_xlfn.CONCAT(Buildings_Water_Backend[[#This Row],[Level 1]:[Level 6]]),rng_EFConcat,rng_EF3WTTTD)*Buildings_Water_Backend[[#This Row],[Converted data]]/1000</f>
        <v>#N/A</v>
      </c>
      <c r="AL17" s="220" t="e">
        <f>SUM(Buildings_Water_Backend[[#This Row],[Scope 1 (tCO2e)]:[Scope 3 WTT T&amp;D (tCO2e)]])</f>
        <v>#N/A</v>
      </c>
      <c r="AM17" s="220" t="e">
        <f>Buildings_Water_Backend[[#This Row],[Total (tCO2e)]]*(1-Buildings_Water_Backend[[#This Row],[RSD]])</f>
        <v>#N/A</v>
      </c>
      <c r="AN17" s="220" t="e">
        <f>Buildings_Water_Backend[[#This Row],[Total (tCO2e)]]*(1+Buildings_Water_Backend[[#This Row],[RSD]])</f>
        <v>#N/A</v>
      </c>
      <c r="AO17" s="210" t="e">
        <f>_xlfn.XLOOKUP(_xlfn.CONCAT(Buildings_Water_Backend[[#This Row],[Level 1]:[Level 6]]),rng_EFConcat,rng_EFOOS)*Buildings_Water_Backend[[#This Row],[Converted data]]/1000</f>
        <v>#N/A</v>
      </c>
      <c r="AP17" s="174">
        <f>Buildings_Water_Frontend[[#This Row],[Ease of collection]]</f>
        <v>0</v>
      </c>
      <c r="AQ17" s="174">
        <f>Buildings_Water_Frontend[[#This Row],[Completeness]]</f>
        <v>0</v>
      </c>
      <c r="AR17" s="174">
        <f>Buildings_Water_Frontend[[#This Row],[Notes]]</f>
        <v>0</v>
      </c>
    </row>
    <row r="18" spans="2:44" x14ac:dyDescent="0.3">
      <c r="B18" s="455"/>
      <c r="E18" s="346"/>
      <c r="F18" s="364"/>
      <c r="G18" s="336"/>
      <c r="H18" s="336"/>
      <c r="I18" s="334"/>
      <c r="J18" s="336"/>
      <c r="K18" s="336"/>
      <c r="L18" s="336"/>
      <c r="M18" s="337"/>
      <c r="N18" s="242">
        <f t="shared" si="1"/>
        <v>5</v>
      </c>
      <c r="Q18" s="212" t="str">
        <f t="shared" si="0"/>
        <v/>
      </c>
      <c r="R18" s="174" t="s">
        <v>265</v>
      </c>
      <c r="S18" s="174" t="s">
        <v>273</v>
      </c>
      <c r="T18" s="174" t="e">
        <f>_xlfn.XLOOKUP(Buildings_Water_Backend[[#This Row],[Info 1]],Buildings_SiteInfo[Site name],Buildings_SiteInfo[Site type])</f>
        <v>#N/A</v>
      </c>
      <c r="U18" s="174" t="s">
        <v>327</v>
      </c>
      <c r="V18" s="174">
        <f>Buildings_Water_Frontend[[#This Row],[Type]]</f>
        <v>0</v>
      </c>
      <c r="W18" s="174" t="e" cm="1">
        <f t="array" aca="1" ref="W18" ca="1">_xlfn.XLOOKUP(Buildings_Water_Backend[[#This Row],[Level 5]],rng_Level5Long,rng_Level6Long)</f>
        <v>#N/A</v>
      </c>
      <c r="X18" s="174">
        <f>Buildings_Water_Frontend[[#This Row],[Site Name]]</f>
        <v>0</v>
      </c>
      <c r="Y18" s="174">
        <f>Buildings_Water_Frontend[[#This Row],[Meter Reference]]</f>
        <v>0</v>
      </c>
      <c r="Z18" s="220">
        <f>Buildings_Water_Frontend[[#This Row],[Methodology]]</f>
        <v>0</v>
      </c>
      <c r="AA18" s="229" t="e" cm="1">
        <f t="array" ref="AA18">INDEX(_xlfn.SWITCH(Buildings_Water_Backend[[#This Row],[Methodology]],"Tier 1",rng_RSD1,"Tier 2",rng_RSD2,"Tier 3",rng_RSD3),MATCH(_xlfn.CONCAT(Buildings_Water_Backend[[#This Row],[Level 1]:[Level 6]]),rng_LevelsConcat,0))</f>
        <v>#N/A</v>
      </c>
      <c r="AB18" s="224">
        <f>Buildings_Water_Frontend[[#This Row],[Data]]</f>
        <v>0</v>
      </c>
      <c r="AC18" s="174">
        <f>Buildings_Water_Frontend[[#This Row],[Units]]</f>
        <v>0</v>
      </c>
      <c r="AD18" s="220" t="e">
        <f>IF(Buildings_Water_Backend[[#This Row],[Units]]=Buildings_Water_Backend[[#This Row],[Standard units]],Buildings_Water_Backend[[#This Row],[Data]],Buildings_Water_Backend[[#This Row],[Data]]*_xlfn.XLOOKUP(_xlfn.CONCAT(Buildings_Water_Backend[[#This Row],[Level 1]:[Level 6]]),rng_EFConcat,rng_EFConversion))</f>
        <v>#N/A</v>
      </c>
      <c r="AE18" s="174" t="e" cm="1">
        <f t="array" ref="AE18">_xlfn.XLOOKUP(_xlfn.CONCAT(Buildings_Water_Backend[[#This Row],[Level 1]:[Level 6]]),rng_LevelsConcat,rng_UnitsLong)</f>
        <v>#N/A</v>
      </c>
      <c r="AF18" s="210" t="e">
        <f>_xlfn.XLOOKUP(_xlfn.CONCAT(Buildings_Water_Backend[[#This Row],[Level 1]:[Level 6]]),rng_EFConcat,rng_EF1)*Buildings_Water_Backend[[#This Row],[Converted data]]/1000</f>
        <v>#N/A</v>
      </c>
      <c r="AG18" s="210" t="e">
        <f>_xlfn.XLOOKUP(_xlfn.CONCAT(Buildings_Water_Backend[[#This Row],[Level 1]:[Level 6]]),rng_EFConcat,rng_EF2)*Buildings_Water_Backend[[#This Row],[Converted data]]/1000</f>
        <v>#N/A</v>
      </c>
      <c r="AH18" s="210" t="e">
        <f>_xlfn.XLOOKUP(_xlfn.CONCAT(Buildings_Water_Backend[[#This Row],[Level 1]:[Level 6]]),rng_EFConcat,rng_EF3)*Buildings_Water_Backend[[#This Row],[Converted data]]/1000</f>
        <v>#N/A</v>
      </c>
      <c r="AI18" s="210" t="e">
        <f>_xlfn.XLOOKUP(_xlfn.CONCAT(Buildings_Water_Backend[[#This Row],[Level 1]:[Level 6]]),rng_EFConcat,rng_EF3WTT)*Buildings_Water_Backend[[#This Row],[Converted data]]/1000</f>
        <v>#N/A</v>
      </c>
      <c r="AJ18" s="210" t="e">
        <f>_xlfn.XLOOKUP(_xlfn.CONCAT(Buildings_Water_Backend[[#This Row],[Level 1]:[Level 6]]),rng_EFConcat,rng_EF3TD)*Buildings_Water_Backend[[#This Row],[Converted data]]/1000</f>
        <v>#N/A</v>
      </c>
      <c r="AK18" s="210" t="e">
        <f>_xlfn.XLOOKUP(_xlfn.CONCAT(Buildings_Water_Backend[[#This Row],[Level 1]:[Level 6]]),rng_EFConcat,rng_EF3WTTTD)*Buildings_Water_Backend[[#This Row],[Converted data]]/1000</f>
        <v>#N/A</v>
      </c>
      <c r="AL18" s="220" t="e">
        <f>SUM(Buildings_Water_Backend[[#This Row],[Scope 1 (tCO2e)]:[Scope 3 WTT T&amp;D (tCO2e)]])</f>
        <v>#N/A</v>
      </c>
      <c r="AM18" s="220" t="e">
        <f>Buildings_Water_Backend[[#This Row],[Total (tCO2e)]]*(1-Buildings_Water_Backend[[#This Row],[RSD]])</f>
        <v>#N/A</v>
      </c>
      <c r="AN18" s="220" t="e">
        <f>Buildings_Water_Backend[[#This Row],[Total (tCO2e)]]*(1+Buildings_Water_Backend[[#This Row],[RSD]])</f>
        <v>#N/A</v>
      </c>
      <c r="AO18" s="210" t="e">
        <f>_xlfn.XLOOKUP(_xlfn.CONCAT(Buildings_Water_Backend[[#This Row],[Level 1]:[Level 6]]),rng_EFConcat,rng_EFOOS)*Buildings_Water_Backend[[#This Row],[Converted data]]/1000</f>
        <v>#N/A</v>
      </c>
      <c r="AP18" s="174">
        <f>Buildings_Water_Frontend[[#This Row],[Ease of collection]]</f>
        <v>0</v>
      </c>
      <c r="AQ18" s="174">
        <f>Buildings_Water_Frontend[[#This Row],[Completeness]]</f>
        <v>0</v>
      </c>
      <c r="AR18" s="174">
        <f>Buildings_Water_Frontend[[#This Row],[Notes]]</f>
        <v>0</v>
      </c>
    </row>
    <row r="19" spans="2:44" x14ac:dyDescent="0.3">
      <c r="B19" s="455"/>
      <c r="E19" s="346"/>
      <c r="F19" s="364"/>
      <c r="G19" s="336"/>
      <c r="H19" s="336"/>
      <c r="I19" s="334"/>
      <c r="J19" s="336"/>
      <c r="K19" s="336"/>
      <c r="L19" s="336"/>
      <c r="M19" s="337"/>
      <c r="N19" s="242">
        <f t="shared" si="1"/>
        <v>5</v>
      </c>
      <c r="Q19" s="212" t="str">
        <f t="shared" si="0"/>
        <v/>
      </c>
      <c r="R19" s="174" t="s">
        <v>265</v>
      </c>
      <c r="S19" s="174" t="s">
        <v>273</v>
      </c>
      <c r="T19" s="174" t="e">
        <f>_xlfn.XLOOKUP(Buildings_Water_Backend[[#This Row],[Info 1]],Buildings_SiteInfo[Site name],Buildings_SiteInfo[Site type])</f>
        <v>#N/A</v>
      </c>
      <c r="U19" s="174" t="s">
        <v>327</v>
      </c>
      <c r="V19" s="174">
        <f>Buildings_Water_Frontend[[#This Row],[Type]]</f>
        <v>0</v>
      </c>
      <c r="W19" s="174" t="e" cm="1">
        <f t="array" aca="1" ref="W19" ca="1">_xlfn.XLOOKUP(Buildings_Water_Backend[[#This Row],[Level 5]],rng_Level5Long,rng_Level6Long)</f>
        <v>#N/A</v>
      </c>
      <c r="X19" s="174">
        <f>Buildings_Water_Frontend[[#This Row],[Site Name]]</f>
        <v>0</v>
      </c>
      <c r="Y19" s="174">
        <f>Buildings_Water_Frontend[[#This Row],[Meter Reference]]</f>
        <v>0</v>
      </c>
      <c r="Z19" s="220">
        <f>Buildings_Water_Frontend[[#This Row],[Methodology]]</f>
        <v>0</v>
      </c>
      <c r="AA19" s="229" t="e" cm="1">
        <f t="array" ref="AA19">INDEX(_xlfn.SWITCH(Buildings_Water_Backend[[#This Row],[Methodology]],"Tier 1",rng_RSD1,"Tier 2",rng_RSD2,"Tier 3",rng_RSD3),MATCH(_xlfn.CONCAT(Buildings_Water_Backend[[#This Row],[Level 1]:[Level 6]]),rng_LevelsConcat,0))</f>
        <v>#N/A</v>
      </c>
      <c r="AB19" s="224">
        <f>Buildings_Water_Frontend[[#This Row],[Data]]</f>
        <v>0</v>
      </c>
      <c r="AC19" s="174">
        <f>Buildings_Water_Frontend[[#This Row],[Units]]</f>
        <v>0</v>
      </c>
      <c r="AD19" s="220" t="e">
        <f>IF(Buildings_Water_Backend[[#This Row],[Units]]=Buildings_Water_Backend[[#This Row],[Standard units]],Buildings_Water_Backend[[#This Row],[Data]],Buildings_Water_Backend[[#This Row],[Data]]*_xlfn.XLOOKUP(_xlfn.CONCAT(Buildings_Water_Backend[[#This Row],[Level 1]:[Level 6]]),rng_EFConcat,rng_EFConversion))</f>
        <v>#N/A</v>
      </c>
      <c r="AE19" s="174" t="e" cm="1">
        <f t="array" ref="AE19">_xlfn.XLOOKUP(_xlfn.CONCAT(Buildings_Water_Backend[[#This Row],[Level 1]:[Level 6]]),rng_LevelsConcat,rng_UnitsLong)</f>
        <v>#N/A</v>
      </c>
      <c r="AF19" s="210" t="e">
        <f>_xlfn.XLOOKUP(_xlfn.CONCAT(Buildings_Water_Backend[[#This Row],[Level 1]:[Level 6]]),rng_EFConcat,rng_EF1)*Buildings_Water_Backend[[#This Row],[Converted data]]/1000</f>
        <v>#N/A</v>
      </c>
      <c r="AG19" s="210" t="e">
        <f>_xlfn.XLOOKUP(_xlfn.CONCAT(Buildings_Water_Backend[[#This Row],[Level 1]:[Level 6]]),rng_EFConcat,rng_EF2)*Buildings_Water_Backend[[#This Row],[Converted data]]/1000</f>
        <v>#N/A</v>
      </c>
      <c r="AH19" s="210" t="e">
        <f>_xlfn.XLOOKUP(_xlfn.CONCAT(Buildings_Water_Backend[[#This Row],[Level 1]:[Level 6]]),rng_EFConcat,rng_EF3)*Buildings_Water_Backend[[#This Row],[Converted data]]/1000</f>
        <v>#N/A</v>
      </c>
      <c r="AI19" s="210" t="e">
        <f>_xlfn.XLOOKUP(_xlfn.CONCAT(Buildings_Water_Backend[[#This Row],[Level 1]:[Level 6]]),rng_EFConcat,rng_EF3WTT)*Buildings_Water_Backend[[#This Row],[Converted data]]/1000</f>
        <v>#N/A</v>
      </c>
      <c r="AJ19" s="210" t="e">
        <f>_xlfn.XLOOKUP(_xlfn.CONCAT(Buildings_Water_Backend[[#This Row],[Level 1]:[Level 6]]),rng_EFConcat,rng_EF3TD)*Buildings_Water_Backend[[#This Row],[Converted data]]/1000</f>
        <v>#N/A</v>
      </c>
      <c r="AK19" s="210" t="e">
        <f>_xlfn.XLOOKUP(_xlfn.CONCAT(Buildings_Water_Backend[[#This Row],[Level 1]:[Level 6]]),rng_EFConcat,rng_EF3WTTTD)*Buildings_Water_Backend[[#This Row],[Converted data]]/1000</f>
        <v>#N/A</v>
      </c>
      <c r="AL19" s="220" t="e">
        <f>SUM(Buildings_Water_Backend[[#This Row],[Scope 1 (tCO2e)]:[Scope 3 WTT T&amp;D (tCO2e)]])</f>
        <v>#N/A</v>
      </c>
      <c r="AM19" s="220" t="e">
        <f>Buildings_Water_Backend[[#This Row],[Total (tCO2e)]]*(1-Buildings_Water_Backend[[#This Row],[RSD]])</f>
        <v>#N/A</v>
      </c>
      <c r="AN19" s="220" t="e">
        <f>Buildings_Water_Backend[[#This Row],[Total (tCO2e)]]*(1+Buildings_Water_Backend[[#This Row],[RSD]])</f>
        <v>#N/A</v>
      </c>
      <c r="AO19" s="210" t="e">
        <f>_xlfn.XLOOKUP(_xlfn.CONCAT(Buildings_Water_Backend[[#This Row],[Level 1]:[Level 6]]),rng_EFConcat,rng_EFOOS)*Buildings_Water_Backend[[#This Row],[Converted data]]/1000</f>
        <v>#N/A</v>
      </c>
      <c r="AP19" s="174">
        <f>Buildings_Water_Frontend[[#This Row],[Ease of collection]]</f>
        <v>0</v>
      </c>
      <c r="AQ19" s="174">
        <f>Buildings_Water_Frontend[[#This Row],[Completeness]]</f>
        <v>0</v>
      </c>
      <c r="AR19" s="174">
        <f>Buildings_Water_Frontend[[#This Row],[Notes]]</f>
        <v>0</v>
      </c>
    </row>
    <row r="20" spans="2:44" x14ac:dyDescent="0.3">
      <c r="B20" s="455"/>
      <c r="E20" s="346"/>
      <c r="F20" s="364"/>
      <c r="G20" s="336"/>
      <c r="H20" s="336"/>
      <c r="I20" s="334"/>
      <c r="J20" s="336"/>
      <c r="K20" s="336"/>
      <c r="L20" s="336"/>
      <c r="M20" s="337"/>
      <c r="N20" s="242">
        <f t="shared" si="1"/>
        <v>5</v>
      </c>
      <c r="Q20" s="212" t="str">
        <f t="shared" si="0"/>
        <v/>
      </c>
      <c r="R20" s="174" t="s">
        <v>265</v>
      </c>
      <c r="S20" s="174" t="s">
        <v>273</v>
      </c>
      <c r="T20" s="174" t="e">
        <f>_xlfn.XLOOKUP(Buildings_Water_Backend[[#This Row],[Info 1]],Buildings_SiteInfo[Site name],Buildings_SiteInfo[Site type])</f>
        <v>#N/A</v>
      </c>
      <c r="U20" s="174" t="s">
        <v>327</v>
      </c>
      <c r="V20" s="174">
        <f>Buildings_Water_Frontend[[#This Row],[Type]]</f>
        <v>0</v>
      </c>
      <c r="W20" s="174" t="e" cm="1">
        <f t="array" aca="1" ref="W20" ca="1">_xlfn.XLOOKUP(Buildings_Water_Backend[[#This Row],[Level 5]],rng_Level5Long,rng_Level6Long)</f>
        <v>#N/A</v>
      </c>
      <c r="X20" s="174">
        <f>Buildings_Water_Frontend[[#This Row],[Site Name]]</f>
        <v>0</v>
      </c>
      <c r="Y20" s="174">
        <f>Buildings_Water_Frontend[[#This Row],[Meter Reference]]</f>
        <v>0</v>
      </c>
      <c r="Z20" s="220">
        <f>Buildings_Water_Frontend[[#This Row],[Methodology]]</f>
        <v>0</v>
      </c>
      <c r="AA20" s="229" t="e" cm="1">
        <f t="array" ref="AA20">INDEX(_xlfn.SWITCH(Buildings_Water_Backend[[#This Row],[Methodology]],"Tier 1",rng_RSD1,"Tier 2",rng_RSD2,"Tier 3",rng_RSD3),MATCH(_xlfn.CONCAT(Buildings_Water_Backend[[#This Row],[Level 1]:[Level 6]]),rng_LevelsConcat,0))</f>
        <v>#N/A</v>
      </c>
      <c r="AB20" s="224">
        <f>Buildings_Water_Frontend[[#This Row],[Data]]</f>
        <v>0</v>
      </c>
      <c r="AC20" s="174">
        <f>Buildings_Water_Frontend[[#This Row],[Units]]</f>
        <v>0</v>
      </c>
      <c r="AD20" s="220" t="e">
        <f>IF(Buildings_Water_Backend[[#This Row],[Units]]=Buildings_Water_Backend[[#This Row],[Standard units]],Buildings_Water_Backend[[#This Row],[Data]],Buildings_Water_Backend[[#This Row],[Data]]*_xlfn.XLOOKUP(_xlfn.CONCAT(Buildings_Water_Backend[[#This Row],[Level 1]:[Level 6]]),rng_EFConcat,rng_EFConversion))</f>
        <v>#N/A</v>
      </c>
      <c r="AE20" s="174" t="e" cm="1">
        <f t="array" ref="AE20">_xlfn.XLOOKUP(_xlfn.CONCAT(Buildings_Water_Backend[[#This Row],[Level 1]:[Level 6]]),rng_LevelsConcat,rng_UnitsLong)</f>
        <v>#N/A</v>
      </c>
      <c r="AF20" s="210" t="e">
        <f>_xlfn.XLOOKUP(_xlfn.CONCAT(Buildings_Water_Backend[[#This Row],[Level 1]:[Level 6]]),rng_EFConcat,rng_EF1)*Buildings_Water_Backend[[#This Row],[Converted data]]/1000</f>
        <v>#N/A</v>
      </c>
      <c r="AG20" s="210" t="e">
        <f>_xlfn.XLOOKUP(_xlfn.CONCAT(Buildings_Water_Backend[[#This Row],[Level 1]:[Level 6]]),rng_EFConcat,rng_EF2)*Buildings_Water_Backend[[#This Row],[Converted data]]/1000</f>
        <v>#N/A</v>
      </c>
      <c r="AH20" s="210" t="e">
        <f>_xlfn.XLOOKUP(_xlfn.CONCAT(Buildings_Water_Backend[[#This Row],[Level 1]:[Level 6]]),rng_EFConcat,rng_EF3)*Buildings_Water_Backend[[#This Row],[Converted data]]/1000</f>
        <v>#N/A</v>
      </c>
      <c r="AI20" s="210" t="e">
        <f>_xlfn.XLOOKUP(_xlfn.CONCAT(Buildings_Water_Backend[[#This Row],[Level 1]:[Level 6]]),rng_EFConcat,rng_EF3WTT)*Buildings_Water_Backend[[#This Row],[Converted data]]/1000</f>
        <v>#N/A</v>
      </c>
      <c r="AJ20" s="210" t="e">
        <f>_xlfn.XLOOKUP(_xlfn.CONCAT(Buildings_Water_Backend[[#This Row],[Level 1]:[Level 6]]),rng_EFConcat,rng_EF3TD)*Buildings_Water_Backend[[#This Row],[Converted data]]/1000</f>
        <v>#N/A</v>
      </c>
      <c r="AK20" s="210" t="e">
        <f>_xlfn.XLOOKUP(_xlfn.CONCAT(Buildings_Water_Backend[[#This Row],[Level 1]:[Level 6]]),rng_EFConcat,rng_EF3WTTTD)*Buildings_Water_Backend[[#This Row],[Converted data]]/1000</f>
        <v>#N/A</v>
      </c>
      <c r="AL20" s="220" t="e">
        <f>SUM(Buildings_Water_Backend[[#This Row],[Scope 1 (tCO2e)]:[Scope 3 WTT T&amp;D (tCO2e)]])</f>
        <v>#N/A</v>
      </c>
      <c r="AM20" s="220" t="e">
        <f>Buildings_Water_Backend[[#This Row],[Total (tCO2e)]]*(1-Buildings_Water_Backend[[#This Row],[RSD]])</f>
        <v>#N/A</v>
      </c>
      <c r="AN20" s="220" t="e">
        <f>Buildings_Water_Backend[[#This Row],[Total (tCO2e)]]*(1+Buildings_Water_Backend[[#This Row],[RSD]])</f>
        <v>#N/A</v>
      </c>
      <c r="AO20" s="210" t="e">
        <f>_xlfn.XLOOKUP(_xlfn.CONCAT(Buildings_Water_Backend[[#This Row],[Level 1]:[Level 6]]),rng_EFConcat,rng_EFOOS)*Buildings_Water_Backend[[#This Row],[Converted data]]/1000</f>
        <v>#N/A</v>
      </c>
      <c r="AP20" s="174">
        <f>Buildings_Water_Frontend[[#This Row],[Ease of collection]]</f>
        <v>0</v>
      </c>
      <c r="AQ20" s="174">
        <f>Buildings_Water_Frontend[[#This Row],[Completeness]]</f>
        <v>0</v>
      </c>
      <c r="AR20" s="174">
        <f>Buildings_Water_Frontend[[#This Row],[Notes]]</f>
        <v>0</v>
      </c>
    </row>
    <row r="21" spans="2:44" x14ac:dyDescent="0.3">
      <c r="B21" s="455"/>
      <c r="E21" s="346"/>
      <c r="F21" s="364"/>
      <c r="G21" s="336"/>
      <c r="H21" s="336"/>
      <c r="I21" s="334"/>
      <c r="J21" s="336"/>
      <c r="K21" s="336"/>
      <c r="L21" s="336"/>
      <c r="M21" s="337"/>
      <c r="N21" s="242">
        <f t="shared" si="1"/>
        <v>5</v>
      </c>
      <c r="Q21" s="212" t="str">
        <f t="shared" si="0"/>
        <v/>
      </c>
      <c r="R21" s="174" t="s">
        <v>265</v>
      </c>
      <c r="S21" s="174" t="s">
        <v>273</v>
      </c>
      <c r="T21" s="174" t="e">
        <f>_xlfn.XLOOKUP(Buildings_Water_Backend[[#This Row],[Info 1]],Buildings_SiteInfo[Site name],Buildings_SiteInfo[Site type])</f>
        <v>#N/A</v>
      </c>
      <c r="U21" s="174" t="s">
        <v>327</v>
      </c>
      <c r="V21" s="174">
        <f>Buildings_Water_Frontend[[#This Row],[Type]]</f>
        <v>0</v>
      </c>
      <c r="W21" s="174" t="e" cm="1">
        <f t="array" aca="1" ref="W21" ca="1">_xlfn.XLOOKUP(Buildings_Water_Backend[[#This Row],[Level 5]],rng_Level5Long,rng_Level6Long)</f>
        <v>#N/A</v>
      </c>
      <c r="X21" s="174">
        <f>Buildings_Water_Frontend[[#This Row],[Site Name]]</f>
        <v>0</v>
      </c>
      <c r="Y21" s="174">
        <f>Buildings_Water_Frontend[[#This Row],[Meter Reference]]</f>
        <v>0</v>
      </c>
      <c r="Z21" s="220">
        <f>Buildings_Water_Frontend[[#This Row],[Methodology]]</f>
        <v>0</v>
      </c>
      <c r="AA21" s="229" t="e" cm="1">
        <f t="array" ref="AA21">INDEX(_xlfn.SWITCH(Buildings_Water_Backend[[#This Row],[Methodology]],"Tier 1",rng_RSD1,"Tier 2",rng_RSD2,"Tier 3",rng_RSD3),MATCH(_xlfn.CONCAT(Buildings_Water_Backend[[#This Row],[Level 1]:[Level 6]]),rng_LevelsConcat,0))</f>
        <v>#N/A</v>
      </c>
      <c r="AB21" s="224">
        <f>Buildings_Water_Frontend[[#This Row],[Data]]</f>
        <v>0</v>
      </c>
      <c r="AC21" s="174">
        <f>Buildings_Water_Frontend[[#This Row],[Units]]</f>
        <v>0</v>
      </c>
      <c r="AD21" s="220" t="e">
        <f>IF(Buildings_Water_Backend[[#This Row],[Units]]=Buildings_Water_Backend[[#This Row],[Standard units]],Buildings_Water_Backend[[#This Row],[Data]],Buildings_Water_Backend[[#This Row],[Data]]*_xlfn.XLOOKUP(_xlfn.CONCAT(Buildings_Water_Backend[[#This Row],[Level 1]:[Level 6]]),rng_EFConcat,rng_EFConversion))</f>
        <v>#N/A</v>
      </c>
      <c r="AE21" s="174" t="e" cm="1">
        <f t="array" ref="AE21">_xlfn.XLOOKUP(_xlfn.CONCAT(Buildings_Water_Backend[[#This Row],[Level 1]:[Level 6]]),rng_LevelsConcat,rng_UnitsLong)</f>
        <v>#N/A</v>
      </c>
      <c r="AF21" s="210" t="e">
        <f>_xlfn.XLOOKUP(_xlfn.CONCAT(Buildings_Water_Backend[[#This Row],[Level 1]:[Level 6]]),rng_EFConcat,rng_EF1)*Buildings_Water_Backend[[#This Row],[Converted data]]/1000</f>
        <v>#N/A</v>
      </c>
      <c r="AG21" s="210" t="e">
        <f>_xlfn.XLOOKUP(_xlfn.CONCAT(Buildings_Water_Backend[[#This Row],[Level 1]:[Level 6]]),rng_EFConcat,rng_EF2)*Buildings_Water_Backend[[#This Row],[Converted data]]/1000</f>
        <v>#N/A</v>
      </c>
      <c r="AH21" s="210" t="e">
        <f>_xlfn.XLOOKUP(_xlfn.CONCAT(Buildings_Water_Backend[[#This Row],[Level 1]:[Level 6]]),rng_EFConcat,rng_EF3)*Buildings_Water_Backend[[#This Row],[Converted data]]/1000</f>
        <v>#N/A</v>
      </c>
      <c r="AI21" s="210" t="e">
        <f>_xlfn.XLOOKUP(_xlfn.CONCAT(Buildings_Water_Backend[[#This Row],[Level 1]:[Level 6]]),rng_EFConcat,rng_EF3WTT)*Buildings_Water_Backend[[#This Row],[Converted data]]/1000</f>
        <v>#N/A</v>
      </c>
      <c r="AJ21" s="210" t="e">
        <f>_xlfn.XLOOKUP(_xlfn.CONCAT(Buildings_Water_Backend[[#This Row],[Level 1]:[Level 6]]),rng_EFConcat,rng_EF3TD)*Buildings_Water_Backend[[#This Row],[Converted data]]/1000</f>
        <v>#N/A</v>
      </c>
      <c r="AK21" s="210" t="e">
        <f>_xlfn.XLOOKUP(_xlfn.CONCAT(Buildings_Water_Backend[[#This Row],[Level 1]:[Level 6]]),rng_EFConcat,rng_EF3WTTTD)*Buildings_Water_Backend[[#This Row],[Converted data]]/1000</f>
        <v>#N/A</v>
      </c>
      <c r="AL21" s="220" t="e">
        <f>SUM(Buildings_Water_Backend[[#This Row],[Scope 1 (tCO2e)]:[Scope 3 WTT T&amp;D (tCO2e)]])</f>
        <v>#N/A</v>
      </c>
      <c r="AM21" s="220" t="e">
        <f>Buildings_Water_Backend[[#This Row],[Total (tCO2e)]]*(1-Buildings_Water_Backend[[#This Row],[RSD]])</f>
        <v>#N/A</v>
      </c>
      <c r="AN21" s="220" t="e">
        <f>Buildings_Water_Backend[[#This Row],[Total (tCO2e)]]*(1+Buildings_Water_Backend[[#This Row],[RSD]])</f>
        <v>#N/A</v>
      </c>
      <c r="AO21" s="210" t="e">
        <f>_xlfn.XLOOKUP(_xlfn.CONCAT(Buildings_Water_Backend[[#This Row],[Level 1]:[Level 6]]),rng_EFConcat,rng_EFOOS)*Buildings_Water_Backend[[#This Row],[Converted data]]/1000</f>
        <v>#N/A</v>
      </c>
      <c r="AP21" s="174">
        <f>Buildings_Water_Frontend[[#This Row],[Ease of collection]]</f>
        <v>0</v>
      </c>
      <c r="AQ21" s="174">
        <f>Buildings_Water_Frontend[[#This Row],[Completeness]]</f>
        <v>0</v>
      </c>
      <c r="AR21" s="174">
        <f>Buildings_Water_Frontend[[#This Row],[Notes]]</f>
        <v>0</v>
      </c>
    </row>
    <row r="22" spans="2:44" x14ac:dyDescent="0.3">
      <c r="B22" s="455"/>
      <c r="E22" s="346"/>
      <c r="F22" s="364"/>
      <c r="G22" s="336"/>
      <c r="H22" s="336"/>
      <c r="I22" s="334"/>
      <c r="J22" s="336"/>
      <c r="K22" s="336"/>
      <c r="L22" s="336"/>
      <c r="M22" s="337"/>
      <c r="N22" s="242">
        <f t="shared" si="1"/>
        <v>5</v>
      </c>
      <c r="Q22" s="212" t="str">
        <f t="shared" si="0"/>
        <v/>
      </c>
      <c r="R22" s="174" t="s">
        <v>265</v>
      </c>
      <c r="S22" s="174" t="s">
        <v>273</v>
      </c>
      <c r="T22" s="174" t="e">
        <f>_xlfn.XLOOKUP(Buildings_Water_Backend[[#This Row],[Info 1]],Buildings_SiteInfo[Site name],Buildings_SiteInfo[Site type])</f>
        <v>#N/A</v>
      </c>
      <c r="U22" s="174" t="s">
        <v>327</v>
      </c>
      <c r="V22" s="174">
        <f>Buildings_Water_Frontend[[#This Row],[Type]]</f>
        <v>0</v>
      </c>
      <c r="W22" s="174" t="e" cm="1">
        <f t="array" aca="1" ref="W22" ca="1">_xlfn.XLOOKUP(Buildings_Water_Backend[[#This Row],[Level 5]],rng_Level5Long,rng_Level6Long)</f>
        <v>#N/A</v>
      </c>
      <c r="X22" s="174">
        <f>Buildings_Water_Frontend[[#This Row],[Site Name]]</f>
        <v>0</v>
      </c>
      <c r="Y22" s="174">
        <f>Buildings_Water_Frontend[[#This Row],[Meter Reference]]</f>
        <v>0</v>
      </c>
      <c r="Z22" s="220">
        <f>Buildings_Water_Frontend[[#This Row],[Methodology]]</f>
        <v>0</v>
      </c>
      <c r="AA22" s="229" t="e" cm="1">
        <f t="array" ref="AA22">INDEX(_xlfn.SWITCH(Buildings_Water_Backend[[#This Row],[Methodology]],"Tier 1",rng_RSD1,"Tier 2",rng_RSD2,"Tier 3",rng_RSD3),MATCH(_xlfn.CONCAT(Buildings_Water_Backend[[#This Row],[Level 1]:[Level 6]]),rng_LevelsConcat,0))</f>
        <v>#N/A</v>
      </c>
      <c r="AB22" s="224">
        <f>Buildings_Water_Frontend[[#This Row],[Data]]</f>
        <v>0</v>
      </c>
      <c r="AC22" s="174">
        <f>Buildings_Water_Frontend[[#This Row],[Units]]</f>
        <v>0</v>
      </c>
      <c r="AD22" s="220" t="e">
        <f>IF(Buildings_Water_Backend[[#This Row],[Units]]=Buildings_Water_Backend[[#This Row],[Standard units]],Buildings_Water_Backend[[#This Row],[Data]],Buildings_Water_Backend[[#This Row],[Data]]*_xlfn.XLOOKUP(_xlfn.CONCAT(Buildings_Water_Backend[[#This Row],[Level 1]:[Level 6]]),rng_EFConcat,rng_EFConversion))</f>
        <v>#N/A</v>
      </c>
      <c r="AE22" s="174" t="e" cm="1">
        <f t="array" ref="AE22">_xlfn.XLOOKUP(_xlfn.CONCAT(Buildings_Water_Backend[[#This Row],[Level 1]:[Level 6]]),rng_LevelsConcat,rng_UnitsLong)</f>
        <v>#N/A</v>
      </c>
      <c r="AF22" s="210" t="e">
        <f>_xlfn.XLOOKUP(_xlfn.CONCAT(Buildings_Water_Backend[[#This Row],[Level 1]:[Level 6]]),rng_EFConcat,rng_EF1)*Buildings_Water_Backend[[#This Row],[Converted data]]/1000</f>
        <v>#N/A</v>
      </c>
      <c r="AG22" s="210" t="e">
        <f>_xlfn.XLOOKUP(_xlfn.CONCAT(Buildings_Water_Backend[[#This Row],[Level 1]:[Level 6]]),rng_EFConcat,rng_EF2)*Buildings_Water_Backend[[#This Row],[Converted data]]/1000</f>
        <v>#N/A</v>
      </c>
      <c r="AH22" s="210" t="e">
        <f>_xlfn.XLOOKUP(_xlfn.CONCAT(Buildings_Water_Backend[[#This Row],[Level 1]:[Level 6]]),rng_EFConcat,rng_EF3)*Buildings_Water_Backend[[#This Row],[Converted data]]/1000</f>
        <v>#N/A</v>
      </c>
      <c r="AI22" s="210" t="e">
        <f>_xlfn.XLOOKUP(_xlfn.CONCAT(Buildings_Water_Backend[[#This Row],[Level 1]:[Level 6]]),rng_EFConcat,rng_EF3WTT)*Buildings_Water_Backend[[#This Row],[Converted data]]/1000</f>
        <v>#N/A</v>
      </c>
      <c r="AJ22" s="210" t="e">
        <f>_xlfn.XLOOKUP(_xlfn.CONCAT(Buildings_Water_Backend[[#This Row],[Level 1]:[Level 6]]),rng_EFConcat,rng_EF3TD)*Buildings_Water_Backend[[#This Row],[Converted data]]/1000</f>
        <v>#N/A</v>
      </c>
      <c r="AK22" s="210" t="e">
        <f>_xlfn.XLOOKUP(_xlfn.CONCAT(Buildings_Water_Backend[[#This Row],[Level 1]:[Level 6]]),rng_EFConcat,rng_EF3WTTTD)*Buildings_Water_Backend[[#This Row],[Converted data]]/1000</f>
        <v>#N/A</v>
      </c>
      <c r="AL22" s="220" t="e">
        <f>SUM(Buildings_Water_Backend[[#This Row],[Scope 1 (tCO2e)]:[Scope 3 WTT T&amp;D (tCO2e)]])</f>
        <v>#N/A</v>
      </c>
      <c r="AM22" s="220" t="e">
        <f>Buildings_Water_Backend[[#This Row],[Total (tCO2e)]]*(1-Buildings_Water_Backend[[#This Row],[RSD]])</f>
        <v>#N/A</v>
      </c>
      <c r="AN22" s="220" t="e">
        <f>Buildings_Water_Backend[[#This Row],[Total (tCO2e)]]*(1+Buildings_Water_Backend[[#This Row],[RSD]])</f>
        <v>#N/A</v>
      </c>
      <c r="AO22" s="210" t="e">
        <f>_xlfn.XLOOKUP(_xlfn.CONCAT(Buildings_Water_Backend[[#This Row],[Level 1]:[Level 6]]),rng_EFConcat,rng_EFOOS)*Buildings_Water_Backend[[#This Row],[Converted data]]/1000</f>
        <v>#N/A</v>
      </c>
      <c r="AP22" s="174">
        <f>Buildings_Water_Frontend[[#This Row],[Ease of collection]]</f>
        <v>0</v>
      </c>
      <c r="AQ22" s="174">
        <f>Buildings_Water_Frontend[[#This Row],[Completeness]]</f>
        <v>0</v>
      </c>
      <c r="AR22" s="174">
        <f>Buildings_Water_Frontend[[#This Row],[Notes]]</f>
        <v>0</v>
      </c>
    </row>
    <row r="23" spans="2:44" x14ac:dyDescent="0.3">
      <c r="B23" s="455"/>
      <c r="E23" s="346"/>
      <c r="F23" s="364"/>
      <c r="G23" s="336"/>
      <c r="H23" s="336"/>
      <c r="I23" s="334"/>
      <c r="J23" s="336"/>
      <c r="K23" s="336"/>
      <c r="L23" s="336"/>
      <c r="M23" s="337"/>
      <c r="N23" s="242">
        <f t="shared" si="1"/>
        <v>5</v>
      </c>
      <c r="Q23" s="212" t="str">
        <f t="shared" si="0"/>
        <v/>
      </c>
      <c r="R23" s="174" t="s">
        <v>265</v>
      </c>
      <c r="S23" s="174" t="s">
        <v>273</v>
      </c>
      <c r="T23" s="174" t="e">
        <f>_xlfn.XLOOKUP(Buildings_Water_Backend[[#This Row],[Info 1]],Buildings_SiteInfo[Site name],Buildings_SiteInfo[Site type])</f>
        <v>#N/A</v>
      </c>
      <c r="U23" s="174" t="s">
        <v>327</v>
      </c>
      <c r="V23" s="174">
        <f>Buildings_Water_Frontend[[#This Row],[Type]]</f>
        <v>0</v>
      </c>
      <c r="W23" s="174" t="e" cm="1">
        <f t="array" aca="1" ref="W23" ca="1">_xlfn.XLOOKUP(Buildings_Water_Backend[[#This Row],[Level 5]],rng_Level5Long,rng_Level6Long)</f>
        <v>#N/A</v>
      </c>
      <c r="X23" s="174">
        <f>Buildings_Water_Frontend[[#This Row],[Site Name]]</f>
        <v>0</v>
      </c>
      <c r="Y23" s="174">
        <f>Buildings_Water_Frontend[[#This Row],[Meter Reference]]</f>
        <v>0</v>
      </c>
      <c r="Z23" s="220">
        <f>Buildings_Water_Frontend[[#This Row],[Methodology]]</f>
        <v>0</v>
      </c>
      <c r="AA23" s="229" t="e" cm="1">
        <f t="array" ref="AA23">INDEX(_xlfn.SWITCH(Buildings_Water_Backend[[#This Row],[Methodology]],"Tier 1",rng_RSD1,"Tier 2",rng_RSD2,"Tier 3",rng_RSD3),MATCH(_xlfn.CONCAT(Buildings_Water_Backend[[#This Row],[Level 1]:[Level 6]]),rng_LevelsConcat,0))</f>
        <v>#N/A</v>
      </c>
      <c r="AB23" s="224">
        <f>Buildings_Water_Frontend[[#This Row],[Data]]</f>
        <v>0</v>
      </c>
      <c r="AC23" s="174">
        <f>Buildings_Water_Frontend[[#This Row],[Units]]</f>
        <v>0</v>
      </c>
      <c r="AD23" s="220" t="e">
        <f>IF(Buildings_Water_Backend[[#This Row],[Units]]=Buildings_Water_Backend[[#This Row],[Standard units]],Buildings_Water_Backend[[#This Row],[Data]],Buildings_Water_Backend[[#This Row],[Data]]*_xlfn.XLOOKUP(_xlfn.CONCAT(Buildings_Water_Backend[[#This Row],[Level 1]:[Level 6]]),rng_EFConcat,rng_EFConversion))</f>
        <v>#N/A</v>
      </c>
      <c r="AE23" s="174" t="e" cm="1">
        <f t="array" ref="AE23">_xlfn.XLOOKUP(_xlfn.CONCAT(Buildings_Water_Backend[[#This Row],[Level 1]:[Level 6]]),rng_LevelsConcat,rng_UnitsLong)</f>
        <v>#N/A</v>
      </c>
      <c r="AF23" s="210" t="e">
        <f>_xlfn.XLOOKUP(_xlfn.CONCAT(Buildings_Water_Backend[[#This Row],[Level 1]:[Level 6]]),rng_EFConcat,rng_EF1)*Buildings_Water_Backend[[#This Row],[Converted data]]/1000</f>
        <v>#N/A</v>
      </c>
      <c r="AG23" s="210" t="e">
        <f>_xlfn.XLOOKUP(_xlfn.CONCAT(Buildings_Water_Backend[[#This Row],[Level 1]:[Level 6]]),rng_EFConcat,rng_EF2)*Buildings_Water_Backend[[#This Row],[Converted data]]/1000</f>
        <v>#N/A</v>
      </c>
      <c r="AH23" s="210" t="e">
        <f>_xlfn.XLOOKUP(_xlfn.CONCAT(Buildings_Water_Backend[[#This Row],[Level 1]:[Level 6]]),rng_EFConcat,rng_EF3)*Buildings_Water_Backend[[#This Row],[Converted data]]/1000</f>
        <v>#N/A</v>
      </c>
      <c r="AI23" s="210" t="e">
        <f>_xlfn.XLOOKUP(_xlfn.CONCAT(Buildings_Water_Backend[[#This Row],[Level 1]:[Level 6]]),rng_EFConcat,rng_EF3WTT)*Buildings_Water_Backend[[#This Row],[Converted data]]/1000</f>
        <v>#N/A</v>
      </c>
      <c r="AJ23" s="210" t="e">
        <f>_xlfn.XLOOKUP(_xlfn.CONCAT(Buildings_Water_Backend[[#This Row],[Level 1]:[Level 6]]),rng_EFConcat,rng_EF3TD)*Buildings_Water_Backend[[#This Row],[Converted data]]/1000</f>
        <v>#N/A</v>
      </c>
      <c r="AK23" s="210" t="e">
        <f>_xlfn.XLOOKUP(_xlfn.CONCAT(Buildings_Water_Backend[[#This Row],[Level 1]:[Level 6]]),rng_EFConcat,rng_EF3WTTTD)*Buildings_Water_Backend[[#This Row],[Converted data]]/1000</f>
        <v>#N/A</v>
      </c>
      <c r="AL23" s="220" t="e">
        <f>SUM(Buildings_Water_Backend[[#This Row],[Scope 1 (tCO2e)]:[Scope 3 WTT T&amp;D (tCO2e)]])</f>
        <v>#N/A</v>
      </c>
      <c r="AM23" s="220" t="e">
        <f>Buildings_Water_Backend[[#This Row],[Total (tCO2e)]]*(1-Buildings_Water_Backend[[#This Row],[RSD]])</f>
        <v>#N/A</v>
      </c>
      <c r="AN23" s="220" t="e">
        <f>Buildings_Water_Backend[[#This Row],[Total (tCO2e)]]*(1+Buildings_Water_Backend[[#This Row],[RSD]])</f>
        <v>#N/A</v>
      </c>
      <c r="AO23" s="210" t="e">
        <f>_xlfn.XLOOKUP(_xlfn.CONCAT(Buildings_Water_Backend[[#This Row],[Level 1]:[Level 6]]),rng_EFConcat,rng_EFOOS)*Buildings_Water_Backend[[#This Row],[Converted data]]/1000</f>
        <v>#N/A</v>
      </c>
      <c r="AP23" s="174">
        <f>Buildings_Water_Frontend[[#This Row],[Ease of collection]]</f>
        <v>0</v>
      </c>
      <c r="AQ23" s="174">
        <f>Buildings_Water_Frontend[[#This Row],[Completeness]]</f>
        <v>0</v>
      </c>
      <c r="AR23" s="174">
        <f>Buildings_Water_Frontend[[#This Row],[Notes]]</f>
        <v>0</v>
      </c>
    </row>
    <row r="24" spans="2:44" x14ac:dyDescent="0.3">
      <c r="B24" s="455"/>
      <c r="E24" s="346"/>
      <c r="F24" s="364"/>
      <c r="G24" s="336"/>
      <c r="H24" s="336"/>
      <c r="I24" s="334"/>
      <c r="J24" s="336"/>
      <c r="K24" s="336"/>
      <c r="L24" s="336"/>
      <c r="M24" s="337"/>
      <c r="N24" s="242">
        <f t="shared" si="1"/>
        <v>5</v>
      </c>
      <c r="Q24" s="212" t="str">
        <f t="shared" si="0"/>
        <v/>
      </c>
      <c r="R24" s="174" t="s">
        <v>265</v>
      </c>
      <c r="S24" s="174" t="s">
        <v>273</v>
      </c>
      <c r="T24" s="174" t="e">
        <f>_xlfn.XLOOKUP(Buildings_Water_Backend[[#This Row],[Info 1]],Buildings_SiteInfo[Site name],Buildings_SiteInfo[Site type])</f>
        <v>#N/A</v>
      </c>
      <c r="U24" s="174" t="s">
        <v>327</v>
      </c>
      <c r="V24" s="174">
        <f>Buildings_Water_Frontend[[#This Row],[Type]]</f>
        <v>0</v>
      </c>
      <c r="W24" s="174" t="e" cm="1">
        <f t="array" aca="1" ref="W24" ca="1">_xlfn.XLOOKUP(Buildings_Water_Backend[[#This Row],[Level 5]],rng_Level5Long,rng_Level6Long)</f>
        <v>#N/A</v>
      </c>
      <c r="X24" s="174">
        <f>Buildings_Water_Frontend[[#This Row],[Site Name]]</f>
        <v>0</v>
      </c>
      <c r="Y24" s="174">
        <f>Buildings_Water_Frontend[[#This Row],[Meter Reference]]</f>
        <v>0</v>
      </c>
      <c r="Z24" s="220">
        <f>Buildings_Water_Frontend[[#This Row],[Methodology]]</f>
        <v>0</v>
      </c>
      <c r="AA24" s="229" t="e" cm="1">
        <f t="array" ref="AA24">INDEX(_xlfn.SWITCH(Buildings_Water_Backend[[#This Row],[Methodology]],"Tier 1",rng_RSD1,"Tier 2",rng_RSD2,"Tier 3",rng_RSD3),MATCH(_xlfn.CONCAT(Buildings_Water_Backend[[#This Row],[Level 1]:[Level 6]]),rng_LevelsConcat,0))</f>
        <v>#N/A</v>
      </c>
      <c r="AB24" s="224">
        <f>Buildings_Water_Frontend[[#This Row],[Data]]</f>
        <v>0</v>
      </c>
      <c r="AC24" s="174">
        <f>Buildings_Water_Frontend[[#This Row],[Units]]</f>
        <v>0</v>
      </c>
      <c r="AD24" s="220" t="e">
        <f>IF(Buildings_Water_Backend[[#This Row],[Units]]=Buildings_Water_Backend[[#This Row],[Standard units]],Buildings_Water_Backend[[#This Row],[Data]],Buildings_Water_Backend[[#This Row],[Data]]*_xlfn.XLOOKUP(_xlfn.CONCAT(Buildings_Water_Backend[[#This Row],[Level 1]:[Level 6]]),rng_EFConcat,rng_EFConversion))</f>
        <v>#N/A</v>
      </c>
      <c r="AE24" s="174" t="e" cm="1">
        <f t="array" ref="AE24">_xlfn.XLOOKUP(_xlfn.CONCAT(Buildings_Water_Backend[[#This Row],[Level 1]:[Level 6]]),rng_LevelsConcat,rng_UnitsLong)</f>
        <v>#N/A</v>
      </c>
      <c r="AF24" s="210" t="e">
        <f>_xlfn.XLOOKUP(_xlfn.CONCAT(Buildings_Water_Backend[[#This Row],[Level 1]:[Level 6]]),rng_EFConcat,rng_EF1)*Buildings_Water_Backend[[#This Row],[Converted data]]/1000</f>
        <v>#N/A</v>
      </c>
      <c r="AG24" s="210" t="e">
        <f>_xlfn.XLOOKUP(_xlfn.CONCAT(Buildings_Water_Backend[[#This Row],[Level 1]:[Level 6]]),rng_EFConcat,rng_EF2)*Buildings_Water_Backend[[#This Row],[Converted data]]/1000</f>
        <v>#N/A</v>
      </c>
      <c r="AH24" s="210" t="e">
        <f>_xlfn.XLOOKUP(_xlfn.CONCAT(Buildings_Water_Backend[[#This Row],[Level 1]:[Level 6]]),rng_EFConcat,rng_EF3)*Buildings_Water_Backend[[#This Row],[Converted data]]/1000</f>
        <v>#N/A</v>
      </c>
      <c r="AI24" s="210" t="e">
        <f>_xlfn.XLOOKUP(_xlfn.CONCAT(Buildings_Water_Backend[[#This Row],[Level 1]:[Level 6]]),rng_EFConcat,rng_EF3WTT)*Buildings_Water_Backend[[#This Row],[Converted data]]/1000</f>
        <v>#N/A</v>
      </c>
      <c r="AJ24" s="210" t="e">
        <f>_xlfn.XLOOKUP(_xlfn.CONCAT(Buildings_Water_Backend[[#This Row],[Level 1]:[Level 6]]),rng_EFConcat,rng_EF3TD)*Buildings_Water_Backend[[#This Row],[Converted data]]/1000</f>
        <v>#N/A</v>
      </c>
      <c r="AK24" s="210" t="e">
        <f>_xlfn.XLOOKUP(_xlfn.CONCAT(Buildings_Water_Backend[[#This Row],[Level 1]:[Level 6]]),rng_EFConcat,rng_EF3WTTTD)*Buildings_Water_Backend[[#This Row],[Converted data]]/1000</f>
        <v>#N/A</v>
      </c>
      <c r="AL24" s="220" t="e">
        <f>SUM(Buildings_Water_Backend[[#This Row],[Scope 1 (tCO2e)]:[Scope 3 WTT T&amp;D (tCO2e)]])</f>
        <v>#N/A</v>
      </c>
      <c r="AM24" s="220" t="e">
        <f>Buildings_Water_Backend[[#This Row],[Total (tCO2e)]]*(1-Buildings_Water_Backend[[#This Row],[RSD]])</f>
        <v>#N/A</v>
      </c>
      <c r="AN24" s="220" t="e">
        <f>Buildings_Water_Backend[[#This Row],[Total (tCO2e)]]*(1+Buildings_Water_Backend[[#This Row],[RSD]])</f>
        <v>#N/A</v>
      </c>
      <c r="AO24" s="210" t="e">
        <f>_xlfn.XLOOKUP(_xlfn.CONCAT(Buildings_Water_Backend[[#This Row],[Level 1]:[Level 6]]),rng_EFConcat,rng_EFOOS)*Buildings_Water_Backend[[#This Row],[Converted data]]/1000</f>
        <v>#N/A</v>
      </c>
      <c r="AP24" s="174">
        <f>Buildings_Water_Frontend[[#This Row],[Ease of collection]]</f>
        <v>0</v>
      </c>
      <c r="AQ24" s="174">
        <f>Buildings_Water_Frontend[[#This Row],[Completeness]]</f>
        <v>0</v>
      </c>
      <c r="AR24" s="174">
        <f>Buildings_Water_Frontend[[#This Row],[Notes]]</f>
        <v>0</v>
      </c>
    </row>
    <row r="25" spans="2:44" x14ac:dyDescent="0.3">
      <c r="B25" s="455"/>
      <c r="E25" s="346"/>
      <c r="F25" s="364"/>
      <c r="G25" s="336"/>
      <c r="H25" s="336"/>
      <c r="I25" s="334"/>
      <c r="J25" s="336"/>
      <c r="K25" s="336"/>
      <c r="L25" s="336"/>
      <c r="M25" s="337"/>
      <c r="N25" s="242">
        <f t="shared" si="1"/>
        <v>5</v>
      </c>
      <c r="Q25" s="212" t="str">
        <f t="shared" si="0"/>
        <v/>
      </c>
      <c r="R25" s="174" t="s">
        <v>265</v>
      </c>
      <c r="S25" s="174" t="s">
        <v>273</v>
      </c>
      <c r="T25" s="174" t="e">
        <f>_xlfn.XLOOKUP(Buildings_Water_Backend[[#This Row],[Info 1]],Buildings_SiteInfo[Site name],Buildings_SiteInfo[Site type])</f>
        <v>#N/A</v>
      </c>
      <c r="U25" s="174" t="s">
        <v>327</v>
      </c>
      <c r="V25" s="174">
        <f>Buildings_Water_Frontend[[#This Row],[Type]]</f>
        <v>0</v>
      </c>
      <c r="W25" s="174" t="e" cm="1">
        <f t="array" aca="1" ref="W25" ca="1">_xlfn.XLOOKUP(Buildings_Water_Backend[[#This Row],[Level 5]],rng_Level5Long,rng_Level6Long)</f>
        <v>#N/A</v>
      </c>
      <c r="X25" s="174">
        <f>Buildings_Water_Frontend[[#This Row],[Site Name]]</f>
        <v>0</v>
      </c>
      <c r="Y25" s="174">
        <f>Buildings_Water_Frontend[[#This Row],[Meter Reference]]</f>
        <v>0</v>
      </c>
      <c r="Z25" s="220">
        <f>Buildings_Water_Frontend[[#This Row],[Methodology]]</f>
        <v>0</v>
      </c>
      <c r="AA25" s="229" t="e" cm="1">
        <f t="array" ref="AA25">INDEX(_xlfn.SWITCH(Buildings_Water_Backend[[#This Row],[Methodology]],"Tier 1",rng_RSD1,"Tier 2",rng_RSD2,"Tier 3",rng_RSD3),MATCH(_xlfn.CONCAT(Buildings_Water_Backend[[#This Row],[Level 1]:[Level 6]]),rng_LevelsConcat,0))</f>
        <v>#N/A</v>
      </c>
      <c r="AB25" s="224">
        <f>Buildings_Water_Frontend[[#This Row],[Data]]</f>
        <v>0</v>
      </c>
      <c r="AC25" s="174">
        <f>Buildings_Water_Frontend[[#This Row],[Units]]</f>
        <v>0</v>
      </c>
      <c r="AD25" s="220" t="e">
        <f>IF(Buildings_Water_Backend[[#This Row],[Units]]=Buildings_Water_Backend[[#This Row],[Standard units]],Buildings_Water_Backend[[#This Row],[Data]],Buildings_Water_Backend[[#This Row],[Data]]*_xlfn.XLOOKUP(_xlfn.CONCAT(Buildings_Water_Backend[[#This Row],[Level 1]:[Level 6]]),rng_EFConcat,rng_EFConversion))</f>
        <v>#N/A</v>
      </c>
      <c r="AE25" s="174" t="e" cm="1">
        <f t="array" ref="AE25">_xlfn.XLOOKUP(_xlfn.CONCAT(Buildings_Water_Backend[[#This Row],[Level 1]:[Level 6]]),rng_LevelsConcat,rng_UnitsLong)</f>
        <v>#N/A</v>
      </c>
      <c r="AF25" s="210" t="e">
        <f>_xlfn.XLOOKUP(_xlfn.CONCAT(Buildings_Water_Backend[[#This Row],[Level 1]:[Level 6]]),rng_EFConcat,rng_EF1)*Buildings_Water_Backend[[#This Row],[Converted data]]/1000</f>
        <v>#N/A</v>
      </c>
      <c r="AG25" s="210" t="e">
        <f>_xlfn.XLOOKUP(_xlfn.CONCAT(Buildings_Water_Backend[[#This Row],[Level 1]:[Level 6]]),rng_EFConcat,rng_EF2)*Buildings_Water_Backend[[#This Row],[Converted data]]/1000</f>
        <v>#N/A</v>
      </c>
      <c r="AH25" s="210" t="e">
        <f>_xlfn.XLOOKUP(_xlfn.CONCAT(Buildings_Water_Backend[[#This Row],[Level 1]:[Level 6]]),rng_EFConcat,rng_EF3)*Buildings_Water_Backend[[#This Row],[Converted data]]/1000</f>
        <v>#N/A</v>
      </c>
      <c r="AI25" s="210" t="e">
        <f>_xlfn.XLOOKUP(_xlfn.CONCAT(Buildings_Water_Backend[[#This Row],[Level 1]:[Level 6]]),rng_EFConcat,rng_EF3WTT)*Buildings_Water_Backend[[#This Row],[Converted data]]/1000</f>
        <v>#N/A</v>
      </c>
      <c r="AJ25" s="210" t="e">
        <f>_xlfn.XLOOKUP(_xlfn.CONCAT(Buildings_Water_Backend[[#This Row],[Level 1]:[Level 6]]),rng_EFConcat,rng_EF3TD)*Buildings_Water_Backend[[#This Row],[Converted data]]/1000</f>
        <v>#N/A</v>
      </c>
      <c r="AK25" s="210" t="e">
        <f>_xlfn.XLOOKUP(_xlfn.CONCAT(Buildings_Water_Backend[[#This Row],[Level 1]:[Level 6]]),rng_EFConcat,rng_EF3WTTTD)*Buildings_Water_Backend[[#This Row],[Converted data]]/1000</f>
        <v>#N/A</v>
      </c>
      <c r="AL25" s="220" t="e">
        <f>SUM(Buildings_Water_Backend[[#This Row],[Scope 1 (tCO2e)]:[Scope 3 WTT T&amp;D (tCO2e)]])</f>
        <v>#N/A</v>
      </c>
      <c r="AM25" s="220" t="e">
        <f>Buildings_Water_Backend[[#This Row],[Total (tCO2e)]]*(1-Buildings_Water_Backend[[#This Row],[RSD]])</f>
        <v>#N/A</v>
      </c>
      <c r="AN25" s="220" t="e">
        <f>Buildings_Water_Backend[[#This Row],[Total (tCO2e)]]*(1+Buildings_Water_Backend[[#This Row],[RSD]])</f>
        <v>#N/A</v>
      </c>
      <c r="AO25" s="210" t="e">
        <f>_xlfn.XLOOKUP(_xlfn.CONCAT(Buildings_Water_Backend[[#This Row],[Level 1]:[Level 6]]),rng_EFConcat,rng_EFOOS)*Buildings_Water_Backend[[#This Row],[Converted data]]/1000</f>
        <v>#N/A</v>
      </c>
      <c r="AP25" s="174">
        <f>Buildings_Water_Frontend[[#This Row],[Ease of collection]]</f>
        <v>0</v>
      </c>
      <c r="AQ25" s="174">
        <f>Buildings_Water_Frontend[[#This Row],[Completeness]]</f>
        <v>0</v>
      </c>
      <c r="AR25" s="174">
        <f>Buildings_Water_Frontend[[#This Row],[Notes]]</f>
        <v>0</v>
      </c>
    </row>
    <row r="26" spans="2:44" x14ac:dyDescent="0.3">
      <c r="B26" s="455"/>
      <c r="E26" s="346"/>
      <c r="F26" s="364"/>
      <c r="G26" s="336"/>
      <c r="H26" s="336"/>
      <c r="I26" s="334"/>
      <c r="J26" s="336"/>
      <c r="K26" s="336"/>
      <c r="L26" s="336"/>
      <c r="M26" s="337"/>
      <c r="N26" s="242">
        <f t="shared" si="1"/>
        <v>5</v>
      </c>
      <c r="Q26" s="212" t="str">
        <f t="shared" si="0"/>
        <v/>
      </c>
      <c r="R26" s="174" t="s">
        <v>265</v>
      </c>
      <c r="S26" s="174" t="s">
        <v>273</v>
      </c>
      <c r="T26" s="174" t="e">
        <f>_xlfn.XLOOKUP(Buildings_Water_Backend[[#This Row],[Info 1]],Buildings_SiteInfo[Site name],Buildings_SiteInfo[Site type])</f>
        <v>#N/A</v>
      </c>
      <c r="U26" s="174" t="s">
        <v>327</v>
      </c>
      <c r="V26" s="174">
        <f>Buildings_Water_Frontend[[#This Row],[Type]]</f>
        <v>0</v>
      </c>
      <c r="W26" s="174" t="e" cm="1">
        <f t="array" aca="1" ref="W26" ca="1">_xlfn.XLOOKUP(Buildings_Water_Backend[[#This Row],[Level 5]],rng_Level5Long,rng_Level6Long)</f>
        <v>#N/A</v>
      </c>
      <c r="X26" s="174">
        <f>Buildings_Water_Frontend[[#This Row],[Site Name]]</f>
        <v>0</v>
      </c>
      <c r="Y26" s="174">
        <f>Buildings_Water_Frontend[[#This Row],[Meter Reference]]</f>
        <v>0</v>
      </c>
      <c r="Z26" s="220">
        <f>Buildings_Water_Frontend[[#This Row],[Methodology]]</f>
        <v>0</v>
      </c>
      <c r="AA26" s="229" t="e" cm="1">
        <f t="array" ref="AA26">INDEX(_xlfn.SWITCH(Buildings_Water_Backend[[#This Row],[Methodology]],"Tier 1",rng_RSD1,"Tier 2",rng_RSD2,"Tier 3",rng_RSD3),MATCH(_xlfn.CONCAT(Buildings_Water_Backend[[#This Row],[Level 1]:[Level 6]]),rng_LevelsConcat,0))</f>
        <v>#N/A</v>
      </c>
      <c r="AB26" s="224">
        <f>Buildings_Water_Frontend[[#This Row],[Data]]</f>
        <v>0</v>
      </c>
      <c r="AC26" s="174">
        <f>Buildings_Water_Frontend[[#This Row],[Units]]</f>
        <v>0</v>
      </c>
      <c r="AD26" s="220" t="e">
        <f>IF(Buildings_Water_Backend[[#This Row],[Units]]=Buildings_Water_Backend[[#This Row],[Standard units]],Buildings_Water_Backend[[#This Row],[Data]],Buildings_Water_Backend[[#This Row],[Data]]*_xlfn.XLOOKUP(_xlfn.CONCAT(Buildings_Water_Backend[[#This Row],[Level 1]:[Level 6]]),rng_EFConcat,rng_EFConversion))</f>
        <v>#N/A</v>
      </c>
      <c r="AE26" s="174" t="e" cm="1">
        <f t="array" ref="AE26">_xlfn.XLOOKUP(_xlfn.CONCAT(Buildings_Water_Backend[[#This Row],[Level 1]:[Level 6]]),rng_LevelsConcat,rng_UnitsLong)</f>
        <v>#N/A</v>
      </c>
      <c r="AF26" s="210" t="e">
        <f>_xlfn.XLOOKUP(_xlfn.CONCAT(Buildings_Water_Backend[[#This Row],[Level 1]:[Level 6]]),rng_EFConcat,rng_EF1)*Buildings_Water_Backend[[#This Row],[Converted data]]/1000</f>
        <v>#N/A</v>
      </c>
      <c r="AG26" s="210" t="e">
        <f>_xlfn.XLOOKUP(_xlfn.CONCAT(Buildings_Water_Backend[[#This Row],[Level 1]:[Level 6]]),rng_EFConcat,rng_EF2)*Buildings_Water_Backend[[#This Row],[Converted data]]/1000</f>
        <v>#N/A</v>
      </c>
      <c r="AH26" s="210" t="e">
        <f>_xlfn.XLOOKUP(_xlfn.CONCAT(Buildings_Water_Backend[[#This Row],[Level 1]:[Level 6]]),rng_EFConcat,rng_EF3)*Buildings_Water_Backend[[#This Row],[Converted data]]/1000</f>
        <v>#N/A</v>
      </c>
      <c r="AI26" s="210" t="e">
        <f>_xlfn.XLOOKUP(_xlfn.CONCAT(Buildings_Water_Backend[[#This Row],[Level 1]:[Level 6]]),rng_EFConcat,rng_EF3WTT)*Buildings_Water_Backend[[#This Row],[Converted data]]/1000</f>
        <v>#N/A</v>
      </c>
      <c r="AJ26" s="210" t="e">
        <f>_xlfn.XLOOKUP(_xlfn.CONCAT(Buildings_Water_Backend[[#This Row],[Level 1]:[Level 6]]),rng_EFConcat,rng_EF3TD)*Buildings_Water_Backend[[#This Row],[Converted data]]/1000</f>
        <v>#N/A</v>
      </c>
      <c r="AK26" s="210" t="e">
        <f>_xlfn.XLOOKUP(_xlfn.CONCAT(Buildings_Water_Backend[[#This Row],[Level 1]:[Level 6]]),rng_EFConcat,rng_EF3WTTTD)*Buildings_Water_Backend[[#This Row],[Converted data]]/1000</f>
        <v>#N/A</v>
      </c>
      <c r="AL26" s="220" t="e">
        <f>SUM(Buildings_Water_Backend[[#This Row],[Scope 1 (tCO2e)]:[Scope 3 WTT T&amp;D (tCO2e)]])</f>
        <v>#N/A</v>
      </c>
      <c r="AM26" s="220" t="e">
        <f>Buildings_Water_Backend[[#This Row],[Total (tCO2e)]]*(1-Buildings_Water_Backend[[#This Row],[RSD]])</f>
        <v>#N/A</v>
      </c>
      <c r="AN26" s="220" t="e">
        <f>Buildings_Water_Backend[[#This Row],[Total (tCO2e)]]*(1+Buildings_Water_Backend[[#This Row],[RSD]])</f>
        <v>#N/A</v>
      </c>
      <c r="AO26" s="210" t="e">
        <f>_xlfn.XLOOKUP(_xlfn.CONCAT(Buildings_Water_Backend[[#This Row],[Level 1]:[Level 6]]),rng_EFConcat,rng_EFOOS)*Buildings_Water_Backend[[#This Row],[Converted data]]/1000</f>
        <v>#N/A</v>
      </c>
      <c r="AP26" s="174">
        <f>Buildings_Water_Frontend[[#This Row],[Ease of collection]]</f>
        <v>0</v>
      </c>
      <c r="AQ26" s="174">
        <f>Buildings_Water_Frontend[[#This Row],[Completeness]]</f>
        <v>0</v>
      </c>
      <c r="AR26" s="174">
        <f>Buildings_Water_Frontend[[#This Row],[Notes]]</f>
        <v>0</v>
      </c>
    </row>
    <row r="27" spans="2:44" x14ac:dyDescent="0.3">
      <c r="B27" s="455"/>
      <c r="E27" s="346"/>
      <c r="F27" s="364"/>
      <c r="G27" s="336"/>
      <c r="H27" s="336"/>
      <c r="I27" s="334"/>
      <c r="J27" s="336"/>
      <c r="K27" s="336"/>
      <c r="L27" s="336"/>
      <c r="M27" s="337"/>
      <c r="N27" s="242">
        <f t="shared" si="1"/>
        <v>5</v>
      </c>
      <c r="Q27" s="212" t="str">
        <f t="shared" si="0"/>
        <v/>
      </c>
      <c r="R27" s="174" t="s">
        <v>265</v>
      </c>
      <c r="S27" s="174" t="s">
        <v>273</v>
      </c>
      <c r="T27" s="174" t="e">
        <f>_xlfn.XLOOKUP(Buildings_Water_Backend[[#This Row],[Info 1]],Buildings_SiteInfo[Site name],Buildings_SiteInfo[Site type])</f>
        <v>#N/A</v>
      </c>
      <c r="U27" s="174" t="s">
        <v>327</v>
      </c>
      <c r="V27" s="174">
        <f>Buildings_Water_Frontend[[#This Row],[Type]]</f>
        <v>0</v>
      </c>
      <c r="W27" s="174" t="e" cm="1">
        <f t="array" aca="1" ref="W27" ca="1">_xlfn.XLOOKUP(Buildings_Water_Backend[[#This Row],[Level 5]],rng_Level5Long,rng_Level6Long)</f>
        <v>#N/A</v>
      </c>
      <c r="X27" s="174">
        <f>Buildings_Water_Frontend[[#This Row],[Site Name]]</f>
        <v>0</v>
      </c>
      <c r="Y27" s="174">
        <f>Buildings_Water_Frontend[[#This Row],[Meter Reference]]</f>
        <v>0</v>
      </c>
      <c r="Z27" s="220">
        <f>Buildings_Water_Frontend[[#This Row],[Methodology]]</f>
        <v>0</v>
      </c>
      <c r="AA27" s="229" t="e" cm="1">
        <f t="array" ref="AA27">INDEX(_xlfn.SWITCH(Buildings_Water_Backend[[#This Row],[Methodology]],"Tier 1",rng_RSD1,"Tier 2",rng_RSD2,"Tier 3",rng_RSD3),MATCH(_xlfn.CONCAT(Buildings_Water_Backend[[#This Row],[Level 1]:[Level 6]]),rng_LevelsConcat,0))</f>
        <v>#N/A</v>
      </c>
      <c r="AB27" s="224">
        <f>Buildings_Water_Frontend[[#This Row],[Data]]</f>
        <v>0</v>
      </c>
      <c r="AC27" s="174">
        <f>Buildings_Water_Frontend[[#This Row],[Units]]</f>
        <v>0</v>
      </c>
      <c r="AD27" s="220" t="e">
        <f>IF(Buildings_Water_Backend[[#This Row],[Units]]=Buildings_Water_Backend[[#This Row],[Standard units]],Buildings_Water_Backend[[#This Row],[Data]],Buildings_Water_Backend[[#This Row],[Data]]*_xlfn.XLOOKUP(_xlfn.CONCAT(Buildings_Water_Backend[[#This Row],[Level 1]:[Level 6]]),rng_EFConcat,rng_EFConversion))</f>
        <v>#N/A</v>
      </c>
      <c r="AE27" s="174" t="e" cm="1">
        <f t="array" ref="AE27">_xlfn.XLOOKUP(_xlfn.CONCAT(Buildings_Water_Backend[[#This Row],[Level 1]:[Level 6]]),rng_LevelsConcat,rng_UnitsLong)</f>
        <v>#N/A</v>
      </c>
      <c r="AF27" s="210" t="e">
        <f>_xlfn.XLOOKUP(_xlfn.CONCAT(Buildings_Water_Backend[[#This Row],[Level 1]:[Level 6]]),rng_EFConcat,rng_EF1)*Buildings_Water_Backend[[#This Row],[Converted data]]/1000</f>
        <v>#N/A</v>
      </c>
      <c r="AG27" s="210" t="e">
        <f>_xlfn.XLOOKUP(_xlfn.CONCAT(Buildings_Water_Backend[[#This Row],[Level 1]:[Level 6]]),rng_EFConcat,rng_EF2)*Buildings_Water_Backend[[#This Row],[Converted data]]/1000</f>
        <v>#N/A</v>
      </c>
      <c r="AH27" s="210" t="e">
        <f>_xlfn.XLOOKUP(_xlfn.CONCAT(Buildings_Water_Backend[[#This Row],[Level 1]:[Level 6]]),rng_EFConcat,rng_EF3)*Buildings_Water_Backend[[#This Row],[Converted data]]/1000</f>
        <v>#N/A</v>
      </c>
      <c r="AI27" s="210" t="e">
        <f>_xlfn.XLOOKUP(_xlfn.CONCAT(Buildings_Water_Backend[[#This Row],[Level 1]:[Level 6]]),rng_EFConcat,rng_EF3WTT)*Buildings_Water_Backend[[#This Row],[Converted data]]/1000</f>
        <v>#N/A</v>
      </c>
      <c r="AJ27" s="210" t="e">
        <f>_xlfn.XLOOKUP(_xlfn.CONCAT(Buildings_Water_Backend[[#This Row],[Level 1]:[Level 6]]),rng_EFConcat,rng_EF3TD)*Buildings_Water_Backend[[#This Row],[Converted data]]/1000</f>
        <v>#N/A</v>
      </c>
      <c r="AK27" s="210" t="e">
        <f>_xlfn.XLOOKUP(_xlfn.CONCAT(Buildings_Water_Backend[[#This Row],[Level 1]:[Level 6]]),rng_EFConcat,rng_EF3WTTTD)*Buildings_Water_Backend[[#This Row],[Converted data]]/1000</f>
        <v>#N/A</v>
      </c>
      <c r="AL27" s="220" t="e">
        <f>SUM(Buildings_Water_Backend[[#This Row],[Scope 1 (tCO2e)]:[Scope 3 WTT T&amp;D (tCO2e)]])</f>
        <v>#N/A</v>
      </c>
      <c r="AM27" s="220" t="e">
        <f>Buildings_Water_Backend[[#This Row],[Total (tCO2e)]]*(1-Buildings_Water_Backend[[#This Row],[RSD]])</f>
        <v>#N/A</v>
      </c>
      <c r="AN27" s="220" t="e">
        <f>Buildings_Water_Backend[[#This Row],[Total (tCO2e)]]*(1+Buildings_Water_Backend[[#This Row],[RSD]])</f>
        <v>#N/A</v>
      </c>
      <c r="AO27" s="210" t="e">
        <f>_xlfn.XLOOKUP(_xlfn.CONCAT(Buildings_Water_Backend[[#This Row],[Level 1]:[Level 6]]),rng_EFConcat,rng_EFOOS)*Buildings_Water_Backend[[#This Row],[Converted data]]/1000</f>
        <v>#N/A</v>
      </c>
      <c r="AP27" s="174">
        <f>Buildings_Water_Frontend[[#This Row],[Ease of collection]]</f>
        <v>0</v>
      </c>
      <c r="AQ27" s="174">
        <f>Buildings_Water_Frontend[[#This Row],[Completeness]]</f>
        <v>0</v>
      </c>
      <c r="AR27" s="174">
        <f>Buildings_Water_Frontend[[#This Row],[Notes]]</f>
        <v>0</v>
      </c>
    </row>
    <row r="28" spans="2:44" x14ac:dyDescent="0.3">
      <c r="B28" s="455"/>
      <c r="E28" s="346"/>
      <c r="F28" s="364"/>
      <c r="G28" s="336"/>
      <c r="H28" s="336"/>
      <c r="I28" s="334"/>
      <c r="J28" s="336"/>
      <c r="K28" s="336"/>
      <c r="L28" s="336"/>
      <c r="M28" s="337"/>
      <c r="N28" s="242">
        <f t="shared" si="1"/>
        <v>5</v>
      </c>
      <c r="Q28" s="212" t="str">
        <f t="shared" si="0"/>
        <v/>
      </c>
      <c r="R28" s="174" t="s">
        <v>265</v>
      </c>
      <c r="S28" s="174" t="s">
        <v>273</v>
      </c>
      <c r="T28" s="174" t="e">
        <f>_xlfn.XLOOKUP(Buildings_Water_Backend[[#This Row],[Info 1]],Buildings_SiteInfo[Site name],Buildings_SiteInfo[Site type])</f>
        <v>#N/A</v>
      </c>
      <c r="U28" s="174" t="s">
        <v>327</v>
      </c>
      <c r="V28" s="174">
        <f>Buildings_Water_Frontend[[#This Row],[Type]]</f>
        <v>0</v>
      </c>
      <c r="W28" s="174" t="e" cm="1">
        <f t="array" aca="1" ref="W28" ca="1">_xlfn.XLOOKUP(Buildings_Water_Backend[[#This Row],[Level 5]],rng_Level5Long,rng_Level6Long)</f>
        <v>#N/A</v>
      </c>
      <c r="X28" s="174">
        <f>Buildings_Water_Frontend[[#This Row],[Site Name]]</f>
        <v>0</v>
      </c>
      <c r="Y28" s="174">
        <f>Buildings_Water_Frontend[[#This Row],[Meter Reference]]</f>
        <v>0</v>
      </c>
      <c r="Z28" s="220">
        <f>Buildings_Water_Frontend[[#This Row],[Methodology]]</f>
        <v>0</v>
      </c>
      <c r="AA28" s="229" t="e" cm="1">
        <f t="array" ref="AA28">INDEX(_xlfn.SWITCH(Buildings_Water_Backend[[#This Row],[Methodology]],"Tier 1",rng_RSD1,"Tier 2",rng_RSD2,"Tier 3",rng_RSD3),MATCH(_xlfn.CONCAT(Buildings_Water_Backend[[#This Row],[Level 1]:[Level 6]]),rng_LevelsConcat,0))</f>
        <v>#N/A</v>
      </c>
      <c r="AB28" s="224">
        <f>Buildings_Water_Frontend[[#This Row],[Data]]</f>
        <v>0</v>
      </c>
      <c r="AC28" s="174">
        <f>Buildings_Water_Frontend[[#This Row],[Units]]</f>
        <v>0</v>
      </c>
      <c r="AD28" s="220" t="e">
        <f>IF(Buildings_Water_Backend[[#This Row],[Units]]=Buildings_Water_Backend[[#This Row],[Standard units]],Buildings_Water_Backend[[#This Row],[Data]],Buildings_Water_Backend[[#This Row],[Data]]*_xlfn.XLOOKUP(_xlfn.CONCAT(Buildings_Water_Backend[[#This Row],[Level 1]:[Level 6]]),rng_EFConcat,rng_EFConversion))</f>
        <v>#N/A</v>
      </c>
      <c r="AE28" s="174" t="e" cm="1">
        <f t="array" ref="AE28">_xlfn.XLOOKUP(_xlfn.CONCAT(Buildings_Water_Backend[[#This Row],[Level 1]:[Level 6]]),rng_LevelsConcat,rng_UnitsLong)</f>
        <v>#N/A</v>
      </c>
      <c r="AF28" s="210" t="e">
        <f>_xlfn.XLOOKUP(_xlfn.CONCAT(Buildings_Water_Backend[[#This Row],[Level 1]:[Level 6]]),rng_EFConcat,rng_EF1)*Buildings_Water_Backend[[#This Row],[Converted data]]/1000</f>
        <v>#N/A</v>
      </c>
      <c r="AG28" s="210" t="e">
        <f>_xlfn.XLOOKUP(_xlfn.CONCAT(Buildings_Water_Backend[[#This Row],[Level 1]:[Level 6]]),rng_EFConcat,rng_EF2)*Buildings_Water_Backend[[#This Row],[Converted data]]/1000</f>
        <v>#N/A</v>
      </c>
      <c r="AH28" s="210" t="e">
        <f>_xlfn.XLOOKUP(_xlfn.CONCAT(Buildings_Water_Backend[[#This Row],[Level 1]:[Level 6]]),rng_EFConcat,rng_EF3)*Buildings_Water_Backend[[#This Row],[Converted data]]/1000</f>
        <v>#N/A</v>
      </c>
      <c r="AI28" s="210" t="e">
        <f>_xlfn.XLOOKUP(_xlfn.CONCAT(Buildings_Water_Backend[[#This Row],[Level 1]:[Level 6]]),rng_EFConcat,rng_EF3WTT)*Buildings_Water_Backend[[#This Row],[Converted data]]/1000</f>
        <v>#N/A</v>
      </c>
      <c r="AJ28" s="210" t="e">
        <f>_xlfn.XLOOKUP(_xlfn.CONCAT(Buildings_Water_Backend[[#This Row],[Level 1]:[Level 6]]),rng_EFConcat,rng_EF3TD)*Buildings_Water_Backend[[#This Row],[Converted data]]/1000</f>
        <v>#N/A</v>
      </c>
      <c r="AK28" s="210" t="e">
        <f>_xlfn.XLOOKUP(_xlfn.CONCAT(Buildings_Water_Backend[[#This Row],[Level 1]:[Level 6]]),rng_EFConcat,rng_EF3WTTTD)*Buildings_Water_Backend[[#This Row],[Converted data]]/1000</f>
        <v>#N/A</v>
      </c>
      <c r="AL28" s="220" t="e">
        <f>SUM(Buildings_Water_Backend[[#This Row],[Scope 1 (tCO2e)]:[Scope 3 WTT T&amp;D (tCO2e)]])</f>
        <v>#N/A</v>
      </c>
      <c r="AM28" s="220" t="e">
        <f>Buildings_Water_Backend[[#This Row],[Total (tCO2e)]]*(1-Buildings_Water_Backend[[#This Row],[RSD]])</f>
        <v>#N/A</v>
      </c>
      <c r="AN28" s="220" t="e">
        <f>Buildings_Water_Backend[[#This Row],[Total (tCO2e)]]*(1+Buildings_Water_Backend[[#This Row],[RSD]])</f>
        <v>#N/A</v>
      </c>
      <c r="AO28" s="210" t="e">
        <f>_xlfn.XLOOKUP(_xlfn.CONCAT(Buildings_Water_Backend[[#This Row],[Level 1]:[Level 6]]),rng_EFConcat,rng_EFOOS)*Buildings_Water_Backend[[#This Row],[Converted data]]/1000</f>
        <v>#N/A</v>
      </c>
      <c r="AP28" s="174">
        <f>Buildings_Water_Frontend[[#This Row],[Ease of collection]]</f>
        <v>0</v>
      </c>
      <c r="AQ28" s="174">
        <f>Buildings_Water_Frontend[[#This Row],[Completeness]]</f>
        <v>0</v>
      </c>
      <c r="AR28" s="174">
        <f>Buildings_Water_Frontend[[#This Row],[Notes]]</f>
        <v>0</v>
      </c>
    </row>
    <row r="29" spans="2:44" x14ac:dyDescent="0.3">
      <c r="B29" s="455"/>
      <c r="E29" s="346"/>
      <c r="F29" s="364"/>
      <c r="G29" s="336"/>
      <c r="H29" s="336"/>
      <c r="I29" s="334"/>
      <c r="J29" s="336"/>
      <c r="K29" s="336"/>
      <c r="L29" s="336"/>
      <c r="M29" s="337"/>
      <c r="N29" s="242">
        <f t="shared" si="1"/>
        <v>5</v>
      </c>
      <c r="Q29" s="212" t="str">
        <f t="shared" si="0"/>
        <v/>
      </c>
      <c r="R29" s="174" t="s">
        <v>265</v>
      </c>
      <c r="S29" s="174" t="s">
        <v>273</v>
      </c>
      <c r="T29" s="174" t="e">
        <f>_xlfn.XLOOKUP(Buildings_Water_Backend[[#This Row],[Info 1]],Buildings_SiteInfo[Site name],Buildings_SiteInfo[Site type])</f>
        <v>#N/A</v>
      </c>
      <c r="U29" s="174" t="s">
        <v>327</v>
      </c>
      <c r="V29" s="174">
        <f>Buildings_Water_Frontend[[#This Row],[Type]]</f>
        <v>0</v>
      </c>
      <c r="W29" s="174" t="e" cm="1">
        <f t="array" aca="1" ref="W29" ca="1">_xlfn.XLOOKUP(Buildings_Water_Backend[[#This Row],[Level 5]],rng_Level5Long,rng_Level6Long)</f>
        <v>#N/A</v>
      </c>
      <c r="X29" s="174">
        <f>Buildings_Water_Frontend[[#This Row],[Site Name]]</f>
        <v>0</v>
      </c>
      <c r="Y29" s="174">
        <f>Buildings_Water_Frontend[[#This Row],[Meter Reference]]</f>
        <v>0</v>
      </c>
      <c r="Z29" s="220">
        <f>Buildings_Water_Frontend[[#This Row],[Methodology]]</f>
        <v>0</v>
      </c>
      <c r="AA29" s="229" t="e" cm="1">
        <f t="array" ref="AA29">INDEX(_xlfn.SWITCH(Buildings_Water_Backend[[#This Row],[Methodology]],"Tier 1",rng_RSD1,"Tier 2",rng_RSD2,"Tier 3",rng_RSD3),MATCH(_xlfn.CONCAT(Buildings_Water_Backend[[#This Row],[Level 1]:[Level 6]]),rng_LevelsConcat,0))</f>
        <v>#N/A</v>
      </c>
      <c r="AB29" s="224">
        <f>Buildings_Water_Frontend[[#This Row],[Data]]</f>
        <v>0</v>
      </c>
      <c r="AC29" s="174">
        <f>Buildings_Water_Frontend[[#This Row],[Units]]</f>
        <v>0</v>
      </c>
      <c r="AD29" s="220" t="e">
        <f>IF(Buildings_Water_Backend[[#This Row],[Units]]=Buildings_Water_Backend[[#This Row],[Standard units]],Buildings_Water_Backend[[#This Row],[Data]],Buildings_Water_Backend[[#This Row],[Data]]*_xlfn.XLOOKUP(_xlfn.CONCAT(Buildings_Water_Backend[[#This Row],[Level 1]:[Level 6]]),rng_EFConcat,rng_EFConversion))</f>
        <v>#N/A</v>
      </c>
      <c r="AE29" s="174" t="e" cm="1">
        <f t="array" ref="AE29">_xlfn.XLOOKUP(_xlfn.CONCAT(Buildings_Water_Backend[[#This Row],[Level 1]:[Level 6]]),rng_LevelsConcat,rng_UnitsLong)</f>
        <v>#N/A</v>
      </c>
      <c r="AF29" s="210" t="e">
        <f>_xlfn.XLOOKUP(_xlfn.CONCAT(Buildings_Water_Backend[[#This Row],[Level 1]:[Level 6]]),rng_EFConcat,rng_EF1)*Buildings_Water_Backend[[#This Row],[Converted data]]/1000</f>
        <v>#N/A</v>
      </c>
      <c r="AG29" s="210" t="e">
        <f>_xlfn.XLOOKUP(_xlfn.CONCAT(Buildings_Water_Backend[[#This Row],[Level 1]:[Level 6]]),rng_EFConcat,rng_EF2)*Buildings_Water_Backend[[#This Row],[Converted data]]/1000</f>
        <v>#N/A</v>
      </c>
      <c r="AH29" s="210" t="e">
        <f>_xlfn.XLOOKUP(_xlfn.CONCAT(Buildings_Water_Backend[[#This Row],[Level 1]:[Level 6]]),rng_EFConcat,rng_EF3)*Buildings_Water_Backend[[#This Row],[Converted data]]/1000</f>
        <v>#N/A</v>
      </c>
      <c r="AI29" s="210" t="e">
        <f>_xlfn.XLOOKUP(_xlfn.CONCAT(Buildings_Water_Backend[[#This Row],[Level 1]:[Level 6]]),rng_EFConcat,rng_EF3WTT)*Buildings_Water_Backend[[#This Row],[Converted data]]/1000</f>
        <v>#N/A</v>
      </c>
      <c r="AJ29" s="210" t="e">
        <f>_xlfn.XLOOKUP(_xlfn.CONCAT(Buildings_Water_Backend[[#This Row],[Level 1]:[Level 6]]),rng_EFConcat,rng_EF3TD)*Buildings_Water_Backend[[#This Row],[Converted data]]/1000</f>
        <v>#N/A</v>
      </c>
      <c r="AK29" s="210" t="e">
        <f>_xlfn.XLOOKUP(_xlfn.CONCAT(Buildings_Water_Backend[[#This Row],[Level 1]:[Level 6]]),rng_EFConcat,rng_EF3WTTTD)*Buildings_Water_Backend[[#This Row],[Converted data]]/1000</f>
        <v>#N/A</v>
      </c>
      <c r="AL29" s="220" t="e">
        <f>SUM(Buildings_Water_Backend[[#This Row],[Scope 1 (tCO2e)]:[Scope 3 WTT T&amp;D (tCO2e)]])</f>
        <v>#N/A</v>
      </c>
      <c r="AM29" s="220" t="e">
        <f>Buildings_Water_Backend[[#This Row],[Total (tCO2e)]]*(1-Buildings_Water_Backend[[#This Row],[RSD]])</f>
        <v>#N/A</v>
      </c>
      <c r="AN29" s="220" t="e">
        <f>Buildings_Water_Backend[[#This Row],[Total (tCO2e)]]*(1+Buildings_Water_Backend[[#This Row],[RSD]])</f>
        <v>#N/A</v>
      </c>
      <c r="AO29" s="210" t="e">
        <f>_xlfn.XLOOKUP(_xlfn.CONCAT(Buildings_Water_Backend[[#This Row],[Level 1]:[Level 6]]),rng_EFConcat,rng_EFOOS)*Buildings_Water_Backend[[#This Row],[Converted data]]/1000</f>
        <v>#N/A</v>
      </c>
      <c r="AP29" s="174">
        <f>Buildings_Water_Frontend[[#This Row],[Ease of collection]]</f>
        <v>0</v>
      </c>
      <c r="AQ29" s="174">
        <f>Buildings_Water_Frontend[[#This Row],[Completeness]]</f>
        <v>0</v>
      </c>
      <c r="AR29" s="174">
        <f>Buildings_Water_Frontend[[#This Row],[Notes]]</f>
        <v>0</v>
      </c>
    </row>
    <row r="30" spans="2:44" x14ac:dyDescent="0.3">
      <c r="B30" s="289"/>
      <c r="E30" s="346"/>
      <c r="F30" s="364"/>
      <c r="G30" s="336"/>
      <c r="H30" s="336"/>
      <c r="I30" s="334"/>
      <c r="J30" s="336"/>
      <c r="K30" s="336"/>
      <c r="L30" s="336"/>
      <c r="M30" s="337"/>
      <c r="N30" s="242">
        <f t="shared" si="1"/>
        <v>5</v>
      </c>
      <c r="Q30" s="212" t="str">
        <f t="shared" si="0"/>
        <v/>
      </c>
      <c r="R30" s="174" t="s">
        <v>265</v>
      </c>
      <c r="S30" s="174" t="s">
        <v>273</v>
      </c>
      <c r="T30" s="174" t="e">
        <f>_xlfn.XLOOKUP(Buildings_Water_Backend[[#This Row],[Info 1]],Buildings_SiteInfo[Site name],Buildings_SiteInfo[Site type])</f>
        <v>#N/A</v>
      </c>
      <c r="U30" s="174" t="s">
        <v>327</v>
      </c>
      <c r="V30" s="174">
        <f>Buildings_Water_Frontend[[#This Row],[Type]]</f>
        <v>0</v>
      </c>
      <c r="W30" s="174" t="e" cm="1">
        <f t="array" aca="1" ref="W30" ca="1">_xlfn.XLOOKUP(Buildings_Water_Backend[[#This Row],[Level 5]],rng_Level5Long,rng_Level6Long)</f>
        <v>#N/A</v>
      </c>
      <c r="X30" s="174">
        <f>Buildings_Water_Frontend[[#This Row],[Site Name]]</f>
        <v>0</v>
      </c>
      <c r="Y30" s="174">
        <f>Buildings_Water_Frontend[[#This Row],[Meter Reference]]</f>
        <v>0</v>
      </c>
      <c r="Z30" s="220">
        <f>Buildings_Water_Frontend[[#This Row],[Methodology]]</f>
        <v>0</v>
      </c>
      <c r="AA30" s="229" t="e" cm="1">
        <f t="array" ref="AA30">INDEX(_xlfn.SWITCH(Buildings_Water_Backend[[#This Row],[Methodology]],"Tier 1",rng_RSD1,"Tier 2",rng_RSD2,"Tier 3",rng_RSD3),MATCH(_xlfn.CONCAT(Buildings_Water_Backend[[#This Row],[Level 1]:[Level 6]]),rng_LevelsConcat,0))</f>
        <v>#N/A</v>
      </c>
      <c r="AB30" s="224">
        <f>Buildings_Water_Frontend[[#This Row],[Data]]</f>
        <v>0</v>
      </c>
      <c r="AC30" s="174">
        <f>Buildings_Water_Frontend[[#This Row],[Units]]</f>
        <v>0</v>
      </c>
      <c r="AD30" s="220" t="e">
        <f>IF(Buildings_Water_Backend[[#This Row],[Units]]=Buildings_Water_Backend[[#This Row],[Standard units]],Buildings_Water_Backend[[#This Row],[Data]],Buildings_Water_Backend[[#This Row],[Data]]*_xlfn.XLOOKUP(_xlfn.CONCAT(Buildings_Water_Backend[[#This Row],[Level 1]:[Level 6]]),rng_EFConcat,rng_EFConversion))</f>
        <v>#N/A</v>
      </c>
      <c r="AE30" s="174" t="e" cm="1">
        <f t="array" ref="AE30">_xlfn.XLOOKUP(_xlfn.CONCAT(Buildings_Water_Backend[[#This Row],[Level 1]:[Level 6]]),rng_LevelsConcat,rng_UnitsLong)</f>
        <v>#N/A</v>
      </c>
      <c r="AF30" s="210" t="e">
        <f>_xlfn.XLOOKUP(_xlfn.CONCAT(Buildings_Water_Backend[[#This Row],[Level 1]:[Level 6]]),rng_EFConcat,rng_EF1)*Buildings_Water_Backend[[#This Row],[Converted data]]/1000</f>
        <v>#N/A</v>
      </c>
      <c r="AG30" s="210" t="e">
        <f>_xlfn.XLOOKUP(_xlfn.CONCAT(Buildings_Water_Backend[[#This Row],[Level 1]:[Level 6]]),rng_EFConcat,rng_EF2)*Buildings_Water_Backend[[#This Row],[Converted data]]/1000</f>
        <v>#N/A</v>
      </c>
      <c r="AH30" s="210" t="e">
        <f>_xlfn.XLOOKUP(_xlfn.CONCAT(Buildings_Water_Backend[[#This Row],[Level 1]:[Level 6]]),rng_EFConcat,rng_EF3)*Buildings_Water_Backend[[#This Row],[Converted data]]/1000</f>
        <v>#N/A</v>
      </c>
      <c r="AI30" s="210" t="e">
        <f>_xlfn.XLOOKUP(_xlfn.CONCAT(Buildings_Water_Backend[[#This Row],[Level 1]:[Level 6]]),rng_EFConcat,rng_EF3WTT)*Buildings_Water_Backend[[#This Row],[Converted data]]/1000</f>
        <v>#N/A</v>
      </c>
      <c r="AJ30" s="210" t="e">
        <f>_xlfn.XLOOKUP(_xlfn.CONCAT(Buildings_Water_Backend[[#This Row],[Level 1]:[Level 6]]),rng_EFConcat,rng_EF3TD)*Buildings_Water_Backend[[#This Row],[Converted data]]/1000</f>
        <v>#N/A</v>
      </c>
      <c r="AK30" s="210" t="e">
        <f>_xlfn.XLOOKUP(_xlfn.CONCAT(Buildings_Water_Backend[[#This Row],[Level 1]:[Level 6]]),rng_EFConcat,rng_EF3WTTTD)*Buildings_Water_Backend[[#This Row],[Converted data]]/1000</f>
        <v>#N/A</v>
      </c>
      <c r="AL30" s="220" t="e">
        <f>SUM(Buildings_Water_Backend[[#This Row],[Scope 1 (tCO2e)]:[Scope 3 WTT T&amp;D (tCO2e)]])</f>
        <v>#N/A</v>
      </c>
      <c r="AM30" s="220" t="e">
        <f>Buildings_Water_Backend[[#This Row],[Total (tCO2e)]]*(1-Buildings_Water_Backend[[#This Row],[RSD]])</f>
        <v>#N/A</v>
      </c>
      <c r="AN30" s="220" t="e">
        <f>Buildings_Water_Backend[[#This Row],[Total (tCO2e)]]*(1+Buildings_Water_Backend[[#This Row],[RSD]])</f>
        <v>#N/A</v>
      </c>
      <c r="AO30" s="210" t="e">
        <f>_xlfn.XLOOKUP(_xlfn.CONCAT(Buildings_Water_Backend[[#This Row],[Level 1]:[Level 6]]),rng_EFConcat,rng_EFOOS)*Buildings_Water_Backend[[#This Row],[Converted data]]/1000</f>
        <v>#N/A</v>
      </c>
      <c r="AP30" s="174">
        <f>Buildings_Water_Frontend[[#This Row],[Ease of collection]]</f>
        <v>0</v>
      </c>
      <c r="AQ30" s="174">
        <f>Buildings_Water_Frontend[[#This Row],[Completeness]]</f>
        <v>0</v>
      </c>
      <c r="AR30" s="174">
        <f>Buildings_Water_Frontend[[#This Row],[Notes]]</f>
        <v>0</v>
      </c>
    </row>
    <row r="31" spans="2:44" x14ac:dyDescent="0.3">
      <c r="B31" s="289"/>
      <c r="E31" s="346"/>
      <c r="F31" s="364"/>
      <c r="G31" s="336"/>
      <c r="H31" s="336"/>
      <c r="I31" s="334"/>
      <c r="J31" s="336"/>
      <c r="K31" s="336"/>
      <c r="L31" s="336"/>
      <c r="M31" s="337"/>
      <c r="N31" s="242">
        <f t="shared" si="1"/>
        <v>5</v>
      </c>
      <c r="Q31" s="212" t="str">
        <f t="shared" si="0"/>
        <v/>
      </c>
      <c r="R31" s="174" t="s">
        <v>265</v>
      </c>
      <c r="S31" s="174" t="s">
        <v>273</v>
      </c>
      <c r="T31" s="174" t="e">
        <f>_xlfn.XLOOKUP(Buildings_Water_Backend[[#This Row],[Info 1]],Buildings_SiteInfo[Site name],Buildings_SiteInfo[Site type])</f>
        <v>#N/A</v>
      </c>
      <c r="U31" s="174" t="s">
        <v>327</v>
      </c>
      <c r="V31" s="174">
        <f>Buildings_Water_Frontend[[#This Row],[Type]]</f>
        <v>0</v>
      </c>
      <c r="W31" s="174" t="e" cm="1">
        <f t="array" aca="1" ref="W31" ca="1">_xlfn.XLOOKUP(Buildings_Water_Backend[[#This Row],[Level 5]],rng_Level5Long,rng_Level6Long)</f>
        <v>#N/A</v>
      </c>
      <c r="X31" s="174">
        <f>Buildings_Water_Frontend[[#This Row],[Site Name]]</f>
        <v>0</v>
      </c>
      <c r="Y31" s="174">
        <f>Buildings_Water_Frontend[[#This Row],[Meter Reference]]</f>
        <v>0</v>
      </c>
      <c r="Z31" s="220">
        <f>Buildings_Water_Frontend[[#This Row],[Methodology]]</f>
        <v>0</v>
      </c>
      <c r="AA31" s="229" t="e" cm="1">
        <f t="array" ref="AA31">INDEX(_xlfn.SWITCH(Buildings_Water_Backend[[#This Row],[Methodology]],"Tier 1",rng_RSD1,"Tier 2",rng_RSD2,"Tier 3",rng_RSD3),MATCH(_xlfn.CONCAT(Buildings_Water_Backend[[#This Row],[Level 1]:[Level 6]]),rng_LevelsConcat,0))</f>
        <v>#N/A</v>
      </c>
      <c r="AB31" s="224">
        <f>Buildings_Water_Frontend[[#This Row],[Data]]</f>
        <v>0</v>
      </c>
      <c r="AC31" s="174">
        <f>Buildings_Water_Frontend[[#This Row],[Units]]</f>
        <v>0</v>
      </c>
      <c r="AD31" s="220" t="e">
        <f>IF(Buildings_Water_Backend[[#This Row],[Units]]=Buildings_Water_Backend[[#This Row],[Standard units]],Buildings_Water_Backend[[#This Row],[Data]],Buildings_Water_Backend[[#This Row],[Data]]*_xlfn.XLOOKUP(_xlfn.CONCAT(Buildings_Water_Backend[[#This Row],[Level 1]:[Level 6]]),rng_EFConcat,rng_EFConversion))</f>
        <v>#N/A</v>
      </c>
      <c r="AE31" s="174" t="e" cm="1">
        <f t="array" ref="AE31">_xlfn.XLOOKUP(_xlfn.CONCAT(Buildings_Water_Backend[[#This Row],[Level 1]:[Level 6]]),rng_LevelsConcat,rng_UnitsLong)</f>
        <v>#N/A</v>
      </c>
      <c r="AF31" s="210" t="e">
        <f>_xlfn.XLOOKUP(_xlfn.CONCAT(Buildings_Water_Backend[[#This Row],[Level 1]:[Level 6]]),rng_EFConcat,rng_EF1)*Buildings_Water_Backend[[#This Row],[Converted data]]/1000</f>
        <v>#N/A</v>
      </c>
      <c r="AG31" s="210" t="e">
        <f>_xlfn.XLOOKUP(_xlfn.CONCAT(Buildings_Water_Backend[[#This Row],[Level 1]:[Level 6]]),rng_EFConcat,rng_EF2)*Buildings_Water_Backend[[#This Row],[Converted data]]/1000</f>
        <v>#N/A</v>
      </c>
      <c r="AH31" s="210" t="e">
        <f>_xlfn.XLOOKUP(_xlfn.CONCAT(Buildings_Water_Backend[[#This Row],[Level 1]:[Level 6]]),rng_EFConcat,rng_EF3)*Buildings_Water_Backend[[#This Row],[Converted data]]/1000</f>
        <v>#N/A</v>
      </c>
      <c r="AI31" s="210" t="e">
        <f>_xlfn.XLOOKUP(_xlfn.CONCAT(Buildings_Water_Backend[[#This Row],[Level 1]:[Level 6]]),rng_EFConcat,rng_EF3WTT)*Buildings_Water_Backend[[#This Row],[Converted data]]/1000</f>
        <v>#N/A</v>
      </c>
      <c r="AJ31" s="210" t="e">
        <f>_xlfn.XLOOKUP(_xlfn.CONCAT(Buildings_Water_Backend[[#This Row],[Level 1]:[Level 6]]),rng_EFConcat,rng_EF3TD)*Buildings_Water_Backend[[#This Row],[Converted data]]/1000</f>
        <v>#N/A</v>
      </c>
      <c r="AK31" s="210" t="e">
        <f>_xlfn.XLOOKUP(_xlfn.CONCAT(Buildings_Water_Backend[[#This Row],[Level 1]:[Level 6]]),rng_EFConcat,rng_EF3WTTTD)*Buildings_Water_Backend[[#This Row],[Converted data]]/1000</f>
        <v>#N/A</v>
      </c>
      <c r="AL31" s="220" t="e">
        <f>SUM(Buildings_Water_Backend[[#This Row],[Scope 1 (tCO2e)]:[Scope 3 WTT T&amp;D (tCO2e)]])</f>
        <v>#N/A</v>
      </c>
      <c r="AM31" s="220" t="e">
        <f>Buildings_Water_Backend[[#This Row],[Total (tCO2e)]]*(1-Buildings_Water_Backend[[#This Row],[RSD]])</f>
        <v>#N/A</v>
      </c>
      <c r="AN31" s="220" t="e">
        <f>Buildings_Water_Backend[[#This Row],[Total (tCO2e)]]*(1+Buildings_Water_Backend[[#This Row],[RSD]])</f>
        <v>#N/A</v>
      </c>
      <c r="AO31" s="210" t="e">
        <f>_xlfn.XLOOKUP(_xlfn.CONCAT(Buildings_Water_Backend[[#This Row],[Level 1]:[Level 6]]),rng_EFConcat,rng_EFOOS)*Buildings_Water_Backend[[#This Row],[Converted data]]/1000</f>
        <v>#N/A</v>
      </c>
      <c r="AP31" s="174">
        <f>Buildings_Water_Frontend[[#This Row],[Ease of collection]]</f>
        <v>0</v>
      </c>
      <c r="AQ31" s="174">
        <f>Buildings_Water_Frontend[[#This Row],[Completeness]]</f>
        <v>0</v>
      </c>
      <c r="AR31" s="174">
        <f>Buildings_Water_Frontend[[#This Row],[Notes]]</f>
        <v>0</v>
      </c>
    </row>
    <row r="32" spans="2:44" x14ac:dyDescent="0.3">
      <c r="B32" s="289"/>
      <c r="E32" s="346"/>
      <c r="F32" s="364"/>
      <c r="G32" s="336"/>
      <c r="H32" s="336"/>
      <c r="I32" s="334"/>
      <c r="J32" s="336"/>
      <c r="K32" s="336"/>
      <c r="L32" s="336"/>
      <c r="M32" s="337"/>
      <c r="N32" s="242">
        <f t="shared" si="1"/>
        <v>5</v>
      </c>
      <c r="Q32" s="212" t="str">
        <f t="shared" si="0"/>
        <v/>
      </c>
      <c r="R32" s="174" t="s">
        <v>265</v>
      </c>
      <c r="S32" s="174" t="s">
        <v>273</v>
      </c>
      <c r="T32" s="174" t="e">
        <f>_xlfn.XLOOKUP(Buildings_Water_Backend[[#This Row],[Info 1]],Buildings_SiteInfo[Site name],Buildings_SiteInfo[Site type])</f>
        <v>#N/A</v>
      </c>
      <c r="U32" s="174" t="s">
        <v>327</v>
      </c>
      <c r="V32" s="174">
        <f>Buildings_Water_Frontend[[#This Row],[Type]]</f>
        <v>0</v>
      </c>
      <c r="W32" s="174" t="e" cm="1">
        <f t="array" aca="1" ref="W32" ca="1">_xlfn.XLOOKUP(Buildings_Water_Backend[[#This Row],[Level 5]],rng_Level5Long,rng_Level6Long)</f>
        <v>#N/A</v>
      </c>
      <c r="X32" s="174">
        <f>Buildings_Water_Frontend[[#This Row],[Site Name]]</f>
        <v>0</v>
      </c>
      <c r="Y32" s="174">
        <f>Buildings_Water_Frontend[[#This Row],[Meter Reference]]</f>
        <v>0</v>
      </c>
      <c r="Z32" s="220">
        <f>Buildings_Water_Frontend[[#This Row],[Methodology]]</f>
        <v>0</v>
      </c>
      <c r="AA32" s="229" t="e" cm="1">
        <f t="array" ref="AA32">INDEX(_xlfn.SWITCH(Buildings_Water_Backend[[#This Row],[Methodology]],"Tier 1",rng_RSD1,"Tier 2",rng_RSD2,"Tier 3",rng_RSD3),MATCH(_xlfn.CONCAT(Buildings_Water_Backend[[#This Row],[Level 1]:[Level 6]]),rng_LevelsConcat,0))</f>
        <v>#N/A</v>
      </c>
      <c r="AB32" s="224">
        <f>Buildings_Water_Frontend[[#This Row],[Data]]</f>
        <v>0</v>
      </c>
      <c r="AC32" s="174">
        <f>Buildings_Water_Frontend[[#This Row],[Units]]</f>
        <v>0</v>
      </c>
      <c r="AD32" s="220" t="e">
        <f>IF(Buildings_Water_Backend[[#This Row],[Units]]=Buildings_Water_Backend[[#This Row],[Standard units]],Buildings_Water_Backend[[#This Row],[Data]],Buildings_Water_Backend[[#This Row],[Data]]*_xlfn.XLOOKUP(_xlfn.CONCAT(Buildings_Water_Backend[[#This Row],[Level 1]:[Level 6]]),rng_EFConcat,rng_EFConversion))</f>
        <v>#N/A</v>
      </c>
      <c r="AE32" s="174" t="e" cm="1">
        <f t="array" ref="AE32">_xlfn.XLOOKUP(_xlfn.CONCAT(Buildings_Water_Backend[[#This Row],[Level 1]:[Level 6]]),rng_LevelsConcat,rng_UnitsLong)</f>
        <v>#N/A</v>
      </c>
      <c r="AF32" s="210" t="e">
        <f>_xlfn.XLOOKUP(_xlfn.CONCAT(Buildings_Water_Backend[[#This Row],[Level 1]:[Level 6]]),rng_EFConcat,rng_EF1)*Buildings_Water_Backend[[#This Row],[Converted data]]/1000</f>
        <v>#N/A</v>
      </c>
      <c r="AG32" s="210" t="e">
        <f>_xlfn.XLOOKUP(_xlfn.CONCAT(Buildings_Water_Backend[[#This Row],[Level 1]:[Level 6]]),rng_EFConcat,rng_EF2)*Buildings_Water_Backend[[#This Row],[Converted data]]/1000</f>
        <v>#N/A</v>
      </c>
      <c r="AH32" s="210" t="e">
        <f>_xlfn.XLOOKUP(_xlfn.CONCAT(Buildings_Water_Backend[[#This Row],[Level 1]:[Level 6]]),rng_EFConcat,rng_EF3)*Buildings_Water_Backend[[#This Row],[Converted data]]/1000</f>
        <v>#N/A</v>
      </c>
      <c r="AI32" s="210" t="e">
        <f>_xlfn.XLOOKUP(_xlfn.CONCAT(Buildings_Water_Backend[[#This Row],[Level 1]:[Level 6]]),rng_EFConcat,rng_EF3WTT)*Buildings_Water_Backend[[#This Row],[Converted data]]/1000</f>
        <v>#N/A</v>
      </c>
      <c r="AJ32" s="210" t="e">
        <f>_xlfn.XLOOKUP(_xlfn.CONCAT(Buildings_Water_Backend[[#This Row],[Level 1]:[Level 6]]),rng_EFConcat,rng_EF3TD)*Buildings_Water_Backend[[#This Row],[Converted data]]/1000</f>
        <v>#N/A</v>
      </c>
      <c r="AK32" s="210" t="e">
        <f>_xlfn.XLOOKUP(_xlfn.CONCAT(Buildings_Water_Backend[[#This Row],[Level 1]:[Level 6]]),rng_EFConcat,rng_EF3WTTTD)*Buildings_Water_Backend[[#This Row],[Converted data]]/1000</f>
        <v>#N/A</v>
      </c>
      <c r="AL32" s="220" t="e">
        <f>SUM(Buildings_Water_Backend[[#This Row],[Scope 1 (tCO2e)]:[Scope 3 WTT T&amp;D (tCO2e)]])</f>
        <v>#N/A</v>
      </c>
      <c r="AM32" s="220" t="e">
        <f>Buildings_Water_Backend[[#This Row],[Total (tCO2e)]]*(1-Buildings_Water_Backend[[#This Row],[RSD]])</f>
        <v>#N/A</v>
      </c>
      <c r="AN32" s="220" t="e">
        <f>Buildings_Water_Backend[[#This Row],[Total (tCO2e)]]*(1+Buildings_Water_Backend[[#This Row],[RSD]])</f>
        <v>#N/A</v>
      </c>
      <c r="AO32" s="210" t="e">
        <f>_xlfn.XLOOKUP(_xlfn.CONCAT(Buildings_Water_Backend[[#This Row],[Level 1]:[Level 6]]),rng_EFConcat,rng_EFOOS)*Buildings_Water_Backend[[#This Row],[Converted data]]/1000</f>
        <v>#N/A</v>
      </c>
      <c r="AP32" s="174">
        <f>Buildings_Water_Frontend[[#This Row],[Ease of collection]]</f>
        <v>0</v>
      </c>
      <c r="AQ32" s="174">
        <f>Buildings_Water_Frontend[[#This Row],[Completeness]]</f>
        <v>0</v>
      </c>
      <c r="AR32" s="174">
        <f>Buildings_Water_Frontend[[#This Row],[Notes]]</f>
        <v>0</v>
      </c>
    </row>
    <row r="33" spans="2:44" x14ac:dyDescent="0.3">
      <c r="B33" s="289"/>
      <c r="E33" s="346"/>
      <c r="F33" s="364"/>
      <c r="G33" s="336"/>
      <c r="H33" s="336"/>
      <c r="I33" s="334"/>
      <c r="J33" s="336"/>
      <c r="K33" s="336"/>
      <c r="L33" s="336"/>
      <c r="M33" s="337"/>
      <c r="N33" s="242">
        <f t="shared" si="1"/>
        <v>5</v>
      </c>
      <c r="Q33" s="212" t="str">
        <f t="shared" si="0"/>
        <v/>
      </c>
      <c r="R33" s="174" t="s">
        <v>265</v>
      </c>
      <c r="S33" s="174" t="s">
        <v>273</v>
      </c>
      <c r="T33" s="174" t="e">
        <f>_xlfn.XLOOKUP(Buildings_Water_Backend[[#This Row],[Info 1]],Buildings_SiteInfo[Site name],Buildings_SiteInfo[Site type])</f>
        <v>#N/A</v>
      </c>
      <c r="U33" s="174" t="s">
        <v>327</v>
      </c>
      <c r="V33" s="174">
        <f>Buildings_Water_Frontend[[#This Row],[Type]]</f>
        <v>0</v>
      </c>
      <c r="W33" s="174" t="e" cm="1">
        <f t="array" aca="1" ref="W33" ca="1">_xlfn.XLOOKUP(Buildings_Water_Backend[[#This Row],[Level 5]],rng_Level5Long,rng_Level6Long)</f>
        <v>#N/A</v>
      </c>
      <c r="X33" s="174">
        <f>Buildings_Water_Frontend[[#This Row],[Site Name]]</f>
        <v>0</v>
      </c>
      <c r="Y33" s="174">
        <f>Buildings_Water_Frontend[[#This Row],[Meter Reference]]</f>
        <v>0</v>
      </c>
      <c r="Z33" s="220">
        <f>Buildings_Water_Frontend[[#This Row],[Methodology]]</f>
        <v>0</v>
      </c>
      <c r="AA33" s="229" t="e" cm="1">
        <f t="array" ref="AA33">INDEX(_xlfn.SWITCH(Buildings_Water_Backend[[#This Row],[Methodology]],"Tier 1",rng_RSD1,"Tier 2",rng_RSD2,"Tier 3",rng_RSD3),MATCH(_xlfn.CONCAT(Buildings_Water_Backend[[#This Row],[Level 1]:[Level 6]]),rng_LevelsConcat,0))</f>
        <v>#N/A</v>
      </c>
      <c r="AB33" s="224">
        <f>Buildings_Water_Frontend[[#This Row],[Data]]</f>
        <v>0</v>
      </c>
      <c r="AC33" s="174">
        <f>Buildings_Water_Frontend[[#This Row],[Units]]</f>
        <v>0</v>
      </c>
      <c r="AD33" s="220" t="e">
        <f>IF(Buildings_Water_Backend[[#This Row],[Units]]=Buildings_Water_Backend[[#This Row],[Standard units]],Buildings_Water_Backend[[#This Row],[Data]],Buildings_Water_Backend[[#This Row],[Data]]*_xlfn.XLOOKUP(_xlfn.CONCAT(Buildings_Water_Backend[[#This Row],[Level 1]:[Level 6]]),rng_EFConcat,rng_EFConversion))</f>
        <v>#N/A</v>
      </c>
      <c r="AE33" s="174" t="e" cm="1">
        <f t="array" ref="AE33">_xlfn.XLOOKUP(_xlfn.CONCAT(Buildings_Water_Backend[[#This Row],[Level 1]:[Level 6]]),rng_LevelsConcat,rng_UnitsLong)</f>
        <v>#N/A</v>
      </c>
      <c r="AF33" s="210" t="e">
        <f>_xlfn.XLOOKUP(_xlfn.CONCAT(Buildings_Water_Backend[[#This Row],[Level 1]:[Level 6]]),rng_EFConcat,rng_EF1)*Buildings_Water_Backend[[#This Row],[Converted data]]/1000</f>
        <v>#N/A</v>
      </c>
      <c r="AG33" s="210" t="e">
        <f>_xlfn.XLOOKUP(_xlfn.CONCAT(Buildings_Water_Backend[[#This Row],[Level 1]:[Level 6]]),rng_EFConcat,rng_EF2)*Buildings_Water_Backend[[#This Row],[Converted data]]/1000</f>
        <v>#N/A</v>
      </c>
      <c r="AH33" s="210" t="e">
        <f>_xlfn.XLOOKUP(_xlfn.CONCAT(Buildings_Water_Backend[[#This Row],[Level 1]:[Level 6]]),rng_EFConcat,rng_EF3)*Buildings_Water_Backend[[#This Row],[Converted data]]/1000</f>
        <v>#N/A</v>
      </c>
      <c r="AI33" s="210" t="e">
        <f>_xlfn.XLOOKUP(_xlfn.CONCAT(Buildings_Water_Backend[[#This Row],[Level 1]:[Level 6]]),rng_EFConcat,rng_EF3WTT)*Buildings_Water_Backend[[#This Row],[Converted data]]/1000</f>
        <v>#N/A</v>
      </c>
      <c r="AJ33" s="210" t="e">
        <f>_xlfn.XLOOKUP(_xlfn.CONCAT(Buildings_Water_Backend[[#This Row],[Level 1]:[Level 6]]),rng_EFConcat,rng_EF3TD)*Buildings_Water_Backend[[#This Row],[Converted data]]/1000</f>
        <v>#N/A</v>
      </c>
      <c r="AK33" s="210" t="e">
        <f>_xlfn.XLOOKUP(_xlfn.CONCAT(Buildings_Water_Backend[[#This Row],[Level 1]:[Level 6]]),rng_EFConcat,rng_EF3WTTTD)*Buildings_Water_Backend[[#This Row],[Converted data]]/1000</f>
        <v>#N/A</v>
      </c>
      <c r="AL33" s="220" t="e">
        <f>SUM(Buildings_Water_Backend[[#This Row],[Scope 1 (tCO2e)]:[Scope 3 WTT T&amp;D (tCO2e)]])</f>
        <v>#N/A</v>
      </c>
      <c r="AM33" s="220" t="e">
        <f>Buildings_Water_Backend[[#This Row],[Total (tCO2e)]]*(1-Buildings_Water_Backend[[#This Row],[RSD]])</f>
        <v>#N/A</v>
      </c>
      <c r="AN33" s="220" t="e">
        <f>Buildings_Water_Backend[[#This Row],[Total (tCO2e)]]*(1+Buildings_Water_Backend[[#This Row],[RSD]])</f>
        <v>#N/A</v>
      </c>
      <c r="AO33" s="210" t="e">
        <f>_xlfn.XLOOKUP(_xlfn.CONCAT(Buildings_Water_Backend[[#This Row],[Level 1]:[Level 6]]),rng_EFConcat,rng_EFOOS)*Buildings_Water_Backend[[#This Row],[Converted data]]/1000</f>
        <v>#N/A</v>
      </c>
      <c r="AP33" s="174">
        <f>Buildings_Water_Frontend[[#This Row],[Ease of collection]]</f>
        <v>0</v>
      </c>
      <c r="AQ33" s="174">
        <f>Buildings_Water_Frontend[[#This Row],[Completeness]]</f>
        <v>0</v>
      </c>
      <c r="AR33" s="174">
        <f>Buildings_Water_Frontend[[#This Row],[Notes]]</f>
        <v>0</v>
      </c>
    </row>
    <row r="34" spans="2:44" x14ac:dyDescent="0.3">
      <c r="B34" s="289"/>
      <c r="E34" s="346"/>
      <c r="F34" s="364"/>
      <c r="G34" s="336"/>
      <c r="H34" s="336"/>
      <c r="I34" s="334"/>
      <c r="J34" s="336"/>
      <c r="K34" s="336"/>
      <c r="L34" s="336"/>
      <c r="M34" s="337"/>
      <c r="N34" s="242">
        <f t="shared" si="1"/>
        <v>5</v>
      </c>
      <c r="Q34" s="212" t="str">
        <f t="shared" si="0"/>
        <v/>
      </c>
      <c r="R34" s="174" t="s">
        <v>265</v>
      </c>
      <c r="S34" s="174" t="s">
        <v>273</v>
      </c>
      <c r="T34" s="174" t="e">
        <f>_xlfn.XLOOKUP(Buildings_Water_Backend[[#This Row],[Info 1]],Buildings_SiteInfo[Site name],Buildings_SiteInfo[Site type])</f>
        <v>#N/A</v>
      </c>
      <c r="U34" s="174" t="s">
        <v>327</v>
      </c>
      <c r="V34" s="174">
        <f>Buildings_Water_Frontend[[#This Row],[Type]]</f>
        <v>0</v>
      </c>
      <c r="W34" s="174" t="e" cm="1">
        <f t="array" aca="1" ref="W34" ca="1">_xlfn.XLOOKUP(Buildings_Water_Backend[[#This Row],[Level 5]],rng_Level5Long,rng_Level6Long)</f>
        <v>#N/A</v>
      </c>
      <c r="X34" s="174">
        <f>Buildings_Water_Frontend[[#This Row],[Site Name]]</f>
        <v>0</v>
      </c>
      <c r="Y34" s="174">
        <f>Buildings_Water_Frontend[[#This Row],[Meter Reference]]</f>
        <v>0</v>
      </c>
      <c r="Z34" s="220">
        <f>Buildings_Water_Frontend[[#This Row],[Methodology]]</f>
        <v>0</v>
      </c>
      <c r="AA34" s="229" t="e" cm="1">
        <f t="array" ref="AA34">INDEX(_xlfn.SWITCH(Buildings_Water_Backend[[#This Row],[Methodology]],"Tier 1",rng_RSD1,"Tier 2",rng_RSD2,"Tier 3",rng_RSD3),MATCH(_xlfn.CONCAT(Buildings_Water_Backend[[#This Row],[Level 1]:[Level 6]]),rng_LevelsConcat,0))</f>
        <v>#N/A</v>
      </c>
      <c r="AB34" s="224">
        <f>Buildings_Water_Frontend[[#This Row],[Data]]</f>
        <v>0</v>
      </c>
      <c r="AC34" s="174">
        <f>Buildings_Water_Frontend[[#This Row],[Units]]</f>
        <v>0</v>
      </c>
      <c r="AD34" s="220" t="e">
        <f>IF(Buildings_Water_Backend[[#This Row],[Units]]=Buildings_Water_Backend[[#This Row],[Standard units]],Buildings_Water_Backend[[#This Row],[Data]],Buildings_Water_Backend[[#This Row],[Data]]*_xlfn.XLOOKUP(_xlfn.CONCAT(Buildings_Water_Backend[[#This Row],[Level 1]:[Level 6]]),rng_EFConcat,rng_EFConversion))</f>
        <v>#N/A</v>
      </c>
      <c r="AE34" s="174" t="e" cm="1">
        <f t="array" ref="AE34">_xlfn.XLOOKUP(_xlfn.CONCAT(Buildings_Water_Backend[[#This Row],[Level 1]:[Level 6]]),rng_LevelsConcat,rng_UnitsLong)</f>
        <v>#N/A</v>
      </c>
      <c r="AF34" s="210" t="e">
        <f>_xlfn.XLOOKUP(_xlfn.CONCAT(Buildings_Water_Backend[[#This Row],[Level 1]:[Level 6]]),rng_EFConcat,rng_EF1)*Buildings_Water_Backend[[#This Row],[Converted data]]/1000</f>
        <v>#N/A</v>
      </c>
      <c r="AG34" s="210" t="e">
        <f>_xlfn.XLOOKUP(_xlfn.CONCAT(Buildings_Water_Backend[[#This Row],[Level 1]:[Level 6]]),rng_EFConcat,rng_EF2)*Buildings_Water_Backend[[#This Row],[Converted data]]/1000</f>
        <v>#N/A</v>
      </c>
      <c r="AH34" s="210" t="e">
        <f>_xlfn.XLOOKUP(_xlfn.CONCAT(Buildings_Water_Backend[[#This Row],[Level 1]:[Level 6]]),rng_EFConcat,rng_EF3)*Buildings_Water_Backend[[#This Row],[Converted data]]/1000</f>
        <v>#N/A</v>
      </c>
      <c r="AI34" s="210" t="e">
        <f>_xlfn.XLOOKUP(_xlfn.CONCAT(Buildings_Water_Backend[[#This Row],[Level 1]:[Level 6]]),rng_EFConcat,rng_EF3WTT)*Buildings_Water_Backend[[#This Row],[Converted data]]/1000</f>
        <v>#N/A</v>
      </c>
      <c r="AJ34" s="210" t="e">
        <f>_xlfn.XLOOKUP(_xlfn.CONCAT(Buildings_Water_Backend[[#This Row],[Level 1]:[Level 6]]),rng_EFConcat,rng_EF3TD)*Buildings_Water_Backend[[#This Row],[Converted data]]/1000</f>
        <v>#N/A</v>
      </c>
      <c r="AK34" s="210" t="e">
        <f>_xlfn.XLOOKUP(_xlfn.CONCAT(Buildings_Water_Backend[[#This Row],[Level 1]:[Level 6]]),rng_EFConcat,rng_EF3WTTTD)*Buildings_Water_Backend[[#This Row],[Converted data]]/1000</f>
        <v>#N/A</v>
      </c>
      <c r="AL34" s="220" t="e">
        <f>SUM(Buildings_Water_Backend[[#This Row],[Scope 1 (tCO2e)]:[Scope 3 WTT T&amp;D (tCO2e)]])</f>
        <v>#N/A</v>
      </c>
      <c r="AM34" s="220" t="e">
        <f>Buildings_Water_Backend[[#This Row],[Total (tCO2e)]]*(1-Buildings_Water_Backend[[#This Row],[RSD]])</f>
        <v>#N/A</v>
      </c>
      <c r="AN34" s="220" t="e">
        <f>Buildings_Water_Backend[[#This Row],[Total (tCO2e)]]*(1+Buildings_Water_Backend[[#This Row],[RSD]])</f>
        <v>#N/A</v>
      </c>
      <c r="AO34" s="210" t="e">
        <f>_xlfn.XLOOKUP(_xlfn.CONCAT(Buildings_Water_Backend[[#This Row],[Level 1]:[Level 6]]),rng_EFConcat,rng_EFOOS)*Buildings_Water_Backend[[#This Row],[Converted data]]/1000</f>
        <v>#N/A</v>
      </c>
      <c r="AP34" s="174">
        <f>Buildings_Water_Frontend[[#This Row],[Ease of collection]]</f>
        <v>0</v>
      </c>
      <c r="AQ34" s="174">
        <f>Buildings_Water_Frontend[[#This Row],[Completeness]]</f>
        <v>0</v>
      </c>
      <c r="AR34" s="174">
        <f>Buildings_Water_Frontend[[#This Row],[Notes]]</f>
        <v>0</v>
      </c>
    </row>
    <row r="35" spans="2:44" x14ac:dyDescent="0.3">
      <c r="B35" s="289"/>
      <c r="E35" s="346"/>
      <c r="F35" s="364"/>
      <c r="G35" s="336"/>
      <c r="H35" s="336"/>
      <c r="I35" s="334"/>
      <c r="J35" s="336"/>
      <c r="K35" s="336"/>
      <c r="L35" s="336"/>
      <c r="M35" s="337"/>
      <c r="N35" s="242">
        <f t="shared" si="1"/>
        <v>5</v>
      </c>
      <c r="Q35" s="212" t="str">
        <f t="shared" si="0"/>
        <v/>
      </c>
      <c r="R35" s="174" t="s">
        <v>265</v>
      </c>
      <c r="S35" s="174" t="s">
        <v>273</v>
      </c>
      <c r="T35" s="174" t="e">
        <f>_xlfn.XLOOKUP(Buildings_Water_Backend[[#This Row],[Info 1]],Buildings_SiteInfo[Site name],Buildings_SiteInfo[Site type])</f>
        <v>#N/A</v>
      </c>
      <c r="U35" s="174" t="s">
        <v>327</v>
      </c>
      <c r="V35" s="174">
        <f>Buildings_Water_Frontend[[#This Row],[Type]]</f>
        <v>0</v>
      </c>
      <c r="W35" s="174" t="e" cm="1">
        <f t="array" aca="1" ref="W35" ca="1">_xlfn.XLOOKUP(Buildings_Water_Backend[[#This Row],[Level 5]],rng_Level5Long,rng_Level6Long)</f>
        <v>#N/A</v>
      </c>
      <c r="X35" s="174">
        <f>Buildings_Water_Frontend[[#This Row],[Site Name]]</f>
        <v>0</v>
      </c>
      <c r="Y35" s="174">
        <f>Buildings_Water_Frontend[[#This Row],[Meter Reference]]</f>
        <v>0</v>
      </c>
      <c r="Z35" s="220">
        <f>Buildings_Water_Frontend[[#This Row],[Methodology]]</f>
        <v>0</v>
      </c>
      <c r="AA35" s="229" t="e" cm="1">
        <f t="array" ref="AA35">INDEX(_xlfn.SWITCH(Buildings_Water_Backend[[#This Row],[Methodology]],"Tier 1",rng_RSD1,"Tier 2",rng_RSD2,"Tier 3",rng_RSD3),MATCH(_xlfn.CONCAT(Buildings_Water_Backend[[#This Row],[Level 1]:[Level 6]]),rng_LevelsConcat,0))</f>
        <v>#N/A</v>
      </c>
      <c r="AB35" s="224">
        <f>Buildings_Water_Frontend[[#This Row],[Data]]</f>
        <v>0</v>
      </c>
      <c r="AC35" s="174">
        <f>Buildings_Water_Frontend[[#This Row],[Units]]</f>
        <v>0</v>
      </c>
      <c r="AD35" s="220" t="e">
        <f>IF(Buildings_Water_Backend[[#This Row],[Units]]=Buildings_Water_Backend[[#This Row],[Standard units]],Buildings_Water_Backend[[#This Row],[Data]],Buildings_Water_Backend[[#This Row],[Data]]*_xlfn.XLOOKUP(_xlfn.CONCAT(Buildings_Water_Backend[[#This Row],[Level 1]:[Level 6]]),rng_EFConcat,rng_EFConversion))</f>
        <v>#N/A</v>
      </c>
      <c r="AE35" s="174" t="e" cm="1">
        <f t="array" ref="AE35">_xlfn.XLOOKUP(_xlfn.CONCAT(Buildings_Water_Backend[[#This Row],[Level 1]:[Level 6]]),rng_LevelsConcat,rng_UnitsLong)</f>
        <v>#N/A</v>
      </c>
      <c r="AF35" s="210" t="e">
        <f>_xlfn.XLOOKUP(_xlfn.CONCAT(Buildings_Water_Backend[[#This Row],[Level 1]:[Level 6]]),rng_EFConcat,rng_EF1)*Buildings_Water_Backend[[#This Row],[Converted data]]/1000</f>
        <v>#N/A</v>
      </c>
      <c r="AG35" s="210" t="e">
        <f>_xlfn.XLOOKUP(_xlfn.CONCAT(Buildings_Water_Backend[[#This Row],[Level 1]:[Level 6]]),rng_EFConcat,rng_EF2)*Buildings_Water_Backend[[#This Row],[Converted data]]/1000</f>
        <v>#N/A</v>
      </c>
      <c r="AH35" s="210" t="e">
        <f>_xlfn.XLOOKUP(_xlfn.CONCAT(Buildings_Water_Backend[[#This Row],[Level 1]:[Level 6]]),rng_EFConcat,rng_EF3)*Buildings_Water_Backend[[#This Row],[Converted data]]/1000</f>
        <v>#N/A</v>
      </c>
      <c r="AI35" s="210" t="e">
        <f>_xlfn.XLOOKUP(_xlfn.CONCAT(Buildings_Water_Backend[[#This Row],[Level 1]:[Level 6]]),rng_EFConcat,rng_EF3WTT)*Buildings_Water_Backend[[#This Row],[Converted data]]/1000</f>
        <v>#N/A</v>
      </c>
      <c r="AJ35" s="210" t="e">
        <f>_xlfn.XLOOKUP(_xlfn.CONCAT(Buildings_Water_Backend[[#This Row],[Level 1]:[Level 6]]),rng_EFConcat,rng_EF3TD)*Buildings_Water_Backend[[#This Row],[Converted data]]/1000</f>
        <v>#N/A</v>
      </c>
      <c r="AK35" s="210" t="e">
        <f>_xlfn.XLOOKUP(_xlfn.CONCAT(Buildings_Water_Backend[[#This Row],[Level 1]:[Level 6]]),rng_EFConcat,rng_EF3WTTTD)*Buildings_Water_Backend[[#This Row],[Converted data]]/1000</f>
        <v>#N/A</v>
      </c>
      <c r="AL35" s="220" t="e">
        <f>SUM(Buildings_Water_Backend[[#This Row],[Scope 1 (tCO2e)]:[Scope 3 WTT T&amp;D (tCO2e)]])</f>
        <v>#N/A</v>
      </c>
      <c r="AM35" s="220" t="e">
        <f>Buildings_Water_Backend[[#This Row],[Total (tCO2e)]]*(1-Buildings_Water_Backend[[#This Row],[RSD]])</f>
        <v>#N/A</v>
      </c>
      <c r="AN35" s="220" t="e">
        <f>Buildings_Water_Backend[[#This Row],[Total (tCO2e)]]*(1+Buildings_Water_Backend[[#This Row],[RSD]])</f>
        <v>#N/A</v>
      </c>
      <c r="AO35" s="210" t="e">
        <f>_xlfn.XLOOKUP(_xlfn.CONCAT(Buildings_Water_Backend[[#This Row],[Level 1]:[Level 6]]),rng_EFConcat,rng_EFOOS)*Buildings_Water_Backend[[#This Row],[Converted data]]/1000</f>
        <v>#N/A</v>
      </c>
      <c r="AP35" s="174">
        <f>Buildings_Water_Frontend[[#This Row],[Ease of collection]]</f>
        <v>0</v>
      </c>
      <c r="AQ35" s="174">
        <f>Buildings_Water_Frontend[[#This Row],[Completeness]]</f>
        <v>0</v>
      </c>
      <c r="AR35" s="174">
        <f>Buildings_Water_Frontend[[#This Row],[Notes]]</f>
        <v>0</v>
      </c>
    </row>
    <row r="36" spans="2:44" x14ac:dyDescent="0.3">
      <c r="B36" s="289"/>
      <c r="E36" s="346"/>
      <c r="F36" s="364"/>
      <c r="G36" s="336"/>
      <c r="H36" s="336"/>
      <c r="I36" s="334"/>
      <c r="J36" s="336"/>
      <c r="K36" s="336"/>
      <c r="L36" s="336"/>
      <c r="M36" s="337"/>
      <c r="N36" s="242">
        <f t="shared" si="1"/>
        <v>5</v>
      </c>
      <c r="Q36" s="212" t="str">
        <f t="shared" si="0"/>
        <v/>
      </c>
      <c r="R36" s="174" t="s">
        <v>265</v>
      </c>
      <c r="S36" s="174" t="s">
        <v>273</v>
      </c>
      <c r="T36" s="174" t="e">
        <f>_xlfn.XLOOKUP(Buildings_Water_Backend[[#This Row],[Info 1]],Buildings_SiteInfo[Site name],Buildings_SiteInfo[Site type])</f>
        <v>#N/A</v>
      </c>
      <c r="U36" s="174" t="s">
        <v>327</v>
      </c>
      <c r="V36" s="174">
        <f>Buildings_Water_Frontend[[#This Row],[Type]]</f>
        <v>0</v>
      </c>
      <c r="W36" s="174" t="e" cm="1">
        <f t="array" aca="1" ref="W36" ca="1">_xlfn.XLOOKUP(Buildings_Water_Backend[[#This Row],[Level 5]],rng_Level5Long,rng_Level6Long)</f>
        <v>#N/A</v>
      </c>
      <c r="X36" s="174">
        <f>Buildings_Water_Frontend[[#This Row],[Site Name]]</f>
        <v>0</v>
      </c>
      <c r="Y36" s="174">
        <f>Buildings_Water_Frontend[[#This Row],[Meter Reference]]</f>
        <v>0</v>
      </c>
      <c r="Z36" s="220">
        <f>Buildings_Water_Frontend[[#This Row],[Methodology]]</f>
        <v>0</v>
      </c>
      <c r="AA36" s="229" t="e" cm="1">
        <f t="array" ref="AA36">INDEX(_xlfn.SWITCH(Buildings_Water_Backend[[#This Row],[Methodology]],"Tier 1",rng_RSD1,"Tier 2",rng_RSD2,"Tier 3",rng_RSD3),MATCH(_xlfn.CONCAT(Buildings_Water_Backend[[#This Row],[Level 1]:[Level 6]]),rng_LevelsConcat,0))</f>
        <v>#N/A</v>
      </c>
      <c r="AB36" s="224">
        <f>Buildings_Water_Frontend[[#This Row],[Data]]</f>
        <v>0</v>
      </c>
      <c r="AC36" s="174">
        <f>Buildings_Water_Frontend[[#This Row],[Units]]</f>
        <v>0</v>
      </c>
      <c r="AD36" s="220" t="e">
        <f>IF(Buildings_Water_Backend[[#This Row],[Units]]=Buildings_Water_Backend[[#This Row],[Standard units]],Buildings_Water_Backend[[#This Row],[Data]],Buildings_Water_Backend[[#This Row],[Data]]*_xlfn.XLOOKUP(_xlfn.CONCAT(Buildings_Water_Backend[[#This Row],[Level 1]:[Level 6]]),rng_EFConcat,rng_EFConversion))</f>
        <v>#N/A</v>
      </c>
      <c r="AE36" s="174" t="e" cm="1">
        <f t="array" ref="AE36">_xlfn.XLOOKUP(_xlfn.CONCAT(Buildings_Water_Backend[[#This Row],[Level 1]:[Level 6]]),rng_LevelsConcat,rng_UnitsLong)</f>
        <v>#N/A</v>
      </c>
      <c r="AF36" s="210" t="e">
        <f>_xlfn.XLOOKUP(_xlfn.CONCAT(Buildings_Water_Backend[[#This Row],[Level 1]:[Level 6]]),rng_EFConcat,rng_EF1)*Buildings_Water_Backend[[#This Row],[Converted data]]/1000</f>
        <v>#N/A</v>
      </c>
      <c r="AG36" s="210" t="e">
        <f>_xlfn.XLOOKUP(_xlfn.CONCAT(Buildings_Water_Backend[[#This Row],[Level 1]:[Level 6]]),rng_EFConcat,rng_EF2)*Buildings_Water_Backend[[#This Row],[Converted data]]/1000</f>
        <v>#N/A</v>
      </c>
      <c r="AH36" s="210" t="e">
        <f>_xlfn.XLOOKUP(_xlfn.CONCAT(Buildings_Water_Backend[[#This Row],[Level 1]:[Level 6]]),rng_EFConcat,rng_EF3)*Buildings_Water_Backend[[#This Row],[Converted data]]/1000</f>
        <v>#N/A</v>
      </c>
      <c r="AI36" s="210" t="e">
        <f>_xlfn.XLOOKUP(_xlfn.CONCAT(Buildings_Water_Backend[[#This Row],[Level 1]:[Level 6]]),rng_EFConcat,rng_EF3WTT)*Buildings_Water_Backend[[#This Row],[Converted data]]/1000</f>
        <v>#N/A</v>
      </c>
      <c r="AJ36" s="210" t="e">
        <f>_xlfn.XLOOKUP(_xlfn.CONCAT(Buildings_Water_Backend[[#This Row],[Level 1]:[Level 6]]),rng_EFConcat,rng_EF3TD)*Buildings_Water_Backend[[#This Row],[Converted data]]/1000</f>
        <v>#N/A</v>
      </c>
      <c r="AK36" s="210" t="e">
        <f>_xlfn.XLOOKUP(_xlfn.CONCAT(Buildings_Water_Backend[[#This Row],[Level 1]:[Level 6]]),rng_EFConcat,rng_EF3WTTTD)*Buildings_Water_Backend[[#This Row],[Converted data]]/1000</f>
        <v>#N/A</v>
      </c>
      <c r="AL36" s="220" t="e">
        <f>SUM(Buildings_Water_Backend[[#This Row],[Scope 1 (tCO2e)]:[Scope 3 WTT T&amp;D (tCO2e)]])</f>
        <v>#N/A</v>
      </c>
      <c r="AM36" s="220" t="e">
        <f>Buildings_Water_Backend[[#This Row],[Total (tCO2e)]]*(1-Buildings_Water_Backend[[#This Row],[RSD]])</f>
        <v>#N/A</v>
      </c>
      <c r="AN36" s="220" t="e">
        <f>Buildings_Water_Backend[[#This Row],[Total (tCO2e)]]*(1+Buildings_Water_Backend[[#This Row],[RSD]])</f>
        <v>#N/A</v>
      </c>
      <c r="AO36" s="210" t="e">
        <f>_xlfn.XLOOKUP(_xlfn.CONCAT(Buildings_Water_Backend[[#This Row],[Level 1]:[Level 6]]),rng_EFConcat,rng_EFOOS)*Buildings_Water_Backend[[#This Row],[Converted data]]/1000</f>
        <v>#N/A</v>
      </c>
      <c r="AP36" s="174">
        <f>Buildings_Water_Frontend[[#This Row],[Ease of collection]]</f>
        <v>0</v>
      </c>
      <c r="AQ36" s="174">
        <f>Buildings_Water_Frontend[[#This Row],[Completeness]]</f>
        <v>0</v>
      </c>
      <c r="AR36" s="174">
        <f>Buildings_Water_Frontend[[#This Row],[Notes]]</f>
        <v>0</v>
      </c>
    </row>
    <row r="37" spans="2:44" x14ac:dyDescent="0.3">
      <c r="B37" s="289"/>
      <c r="E37" s="346"/>
      <c r="F37" s="364"/>
      <c r="G37" s="336"/>
      <c r="H37" s="336"/>
      <c r="I37" s="334"/>
      <c r="J37" s="336"/>
      <c r="K37" s="336"/>
      <c r="L37" s="336"/>
      <c r="M37" s="337"/>
      <c r="N37" s="242">
        <f t="shared" si="1"/>
        <v>5</v>
      </c>
      <c r="Q37" s="212" t="str">
        <f t="shared" si="0"/>
        <v/>
      </c>
      <c r="R37" s="174" t="s">
        <v>265</v>
      </c>
      <c r="S37" s="174" t="s">
        <v>273</v>
      </c>
      <c r="T37" s="174" t="e">
        <f>_xlfn.XLOOKUP(Buildings_Water_Backend[[#This Row],[Info 1]],Buildings_SiteInfo[Site name],Buildings_SiteInfo[Site type])</f>
        <v>#N/A</v>
      </c>
      <c r="U37" s="174" t="s">
        <v>327</v>
      </c>
      <c r="V37" s="174">
        <f>Buildings_Water_Frontend[[#This Row],[Type]]</f>
        <v>0</v>
      </c>
      <c r="W37" s="174" t="e" cm="1">
        <f t="array" aca="1" ref="W37" ca="1">_xlfn.XLOOKUP(Buildings_Water_Backend[[#This Row],[Level 5]],rng_Level5Long,rng_Level6Long)</f>
        <v>#N/A</v>
      </c>
      <c r="X37" s="174">
        <f>Buildings_Water_Frontend[[#This Row],[Site Name]]</f>
        <v>0</v>
      </c>
      <c r="Y37" s="174">
        <f>Buildings_Water_Frontend[[#This Row],[Meter Reference]]</f>
        <v>0</v>
      </c>
      <c r="Z37" s="220">
        <f>Buildings_Water_Frontend[[#This Row],[Methodology]]</f>
        <v>0</v>
      </c>
      <c r="AA37" s="229" t="e" cm="1">
        <f t="array" ref="AA37">INDEX(_xlfn.SWITCH(Buildings_Water_Backend[[#This Row],[Methodology]],"Tier 1",rng_RSD1,"Tier 2",rng_RSD2,"Tier 3",rng_RSD3),MATCH(_xlfn.CONCAT(Buildings_Water_Backend[[#This Row],[Level 1]:[Level 6]]),rng_LevelsConcat,0))</f>
        <v>#N/A</v>
      </c>
      <c r="AB37" s="224">
        <f>Buildings_Water_Frontend[[#This Row],[Data]]</f>
        <v>0</v>
      </c>
      <c r="AC37" s="174">
        <f>Buildings_Water_Frontend[[#This Row],[Units]]</f>
        <v>0</v>
      </c>
      <c r="AD37" s="220" t="e">
        <f>IF(Buildings_Water_Backend[[#This Row],[Units]]=Buildings_Water_Backend[[#This Row],[Standard units]],Buildings_Water_Backend[[#This Row],[Data]],Buildings_Water_Backend[[#This Row],[Data]]*_xlfn.XLOOKUP(_xlfn.CONCAT(Buildings_Water_Backend[[#This Row],[Level 1]:[Level 6]]),rng_EFConcat,rng_EFConversion))</f>
        <v>#N/A</v>
      </c>
      <c r="AE37" s="174" t="e" cm="1">
        <f t="array" ref="AE37">_xlfn.XLOOKUP(_xlfn.CONCAT(Buildings_Water_Backend[[#This Row],[Level 1]:[Level 6]]),rng_LevelsConcat,rng_UnitsLong)</f>
        <v>#N/A</v>
      </c>
      <c r="AF37" s="210" t="e">
        <f>_xlfn.XLOOKUP(_xlfn.CONCAT(Buildings_Water_Backend[[#This Row],[Level 1]:[Level 6]]),rng_EFConcat,rng_EF1)*Buildings_Water_Backend[[#This Row],[Converted data]]/1000</f>
        <v>#N/A</v>
      </c>
      <c r="AG37" s="210" t="e">
        <f>_xlfn.XLOOKUP(_xlfn.CONCAT(Buildings_Water_Backend[[#This Row],[Level 1]:[Level 6]]),rng_EFConcat,rng_EF2)*Buildings_Water_Backend[[#This Row],[Converted data]]/1000</f>
        <v>#N/A</v>
      </c>
      <c r="AH37" s="210" t="e">
        <f>_xlfn.XLOOKUP(_xlfn.CONCAT(Buildings_Water_Backend[[#This Row],[Level 1]:[Level 6]]),rng_EFConcat,rng_EF3)*Buildings_Water_Backend[[#This Row],[Converted data]]/1000</f>
        <v>#N/A</v>
      </c>
      <c r="AI37" s="210" t="e">
        <f>_xlfn.XLOOKUP(_xlfn.CONCAT(Buildings_Water_Backend[[#This Row],[Level 1]:[Level 6]]),rng_EFConcat,rng_EF3WTT)*Buildings_Water_Backend[[#This Row],[Converted data]]/1000</f>
        <v>#N/A</v>
      </c>
      <c r="AJ37" s="210" t="e">
        <f>_xlfn.XLOOKUP(_xlfn.CONCAT(Buildings_Water_Backend[[#This Row],[Level 1]:[Level 6]]),rng_EFConcat,rng_EF3TD)*Buildings_Water_Backend[[#This Row],[Converted data]]/1000</f>
        <v>#N/A</v>
      </c>
      <c r="AK37" s="210" t="e">
        <f>_xlfn.XLOOKUP(_xlfn.CONCAT(Buildings_Water_Backend[[#This Row],[Level 1]:[Level 6]]),rng_EFConcat,rng_EF3WTTTD)*Buildings_Water_Backend[[#This Row],[Converted data]]/1000</f>
        <v>#N/A</v>
      </c>
      <c r="AL37" s="220" t="e">
        <f>SUM(Buildings_Water_Backend[[#This Row],[Scope 1 (tCO2e)]:[Scope 3 WTT T&amp;D (tCO2e)]])</f>
        <v>#N/A</v>
      </c>
      <c r="AM37" s="220" t="e">
        <f>Buildings_Water_Backend[[#This Row],[Total (tCO2e)]]*(1-Buildings_Water_Backend[[#This Row],[RSD]])</f>
        <v>#N/A</v>
      </c>
      <c r="AN37" s="220" t="e">
        <f>Buildings_Water_Backend[[#This Row],[Total (tCO2e)]]*(1+Buildings_Water_Backend[[#This Row],[RSD]])</f>
        <v>#N/A</v>
      </c>
      <c r="AO37" s="210" t="e">
        <f>_xlfn.XLOOKUP(_xlfn.CONCAT(Buildings_Water_Backend[[#This Row],[Level 1]:[Level 6]]),rng_EFConcat,rng_EFOOS)*Buildings_Water_Backend[[#This Row],[Converted data]]/1000</f>
        <v>#N/A</v>
      </c>
      <c r="AP37" s="174">
        <f>Buildings_Water_Frontend[[#This Row],[Ease of collection]]</f>
        <v>0</v>
      </c>
      <c r="AQ37" s="174">
        <f>Buildings_Water_Frontend[[#This Row],[Completeness]]</f>
        <v>0</v>
      </c>
      <c r="AR37" s="174">
        <f>Buildings_Water_Frontend[[#This Row],[Notes]]</f>
        <v>0</v>
      </c>
    </row>
    <row r="38" spans="2:44" x14ac:dyDescent="0.3">
      <c r="B38" s="289"/>
      <c r="E38" s="346"/>
      <c r="F38" s="364"/>
      <c r="G38" s="336"/>
      <c r="H38" s="336"/>
      <c r="I38" s="334"/>
      <c r="J38" s="336"/>
      <c r="K38" s="336"/>
      <c r="L38" s="336"/>
      <c r="M38" s="337"/>
      <c r="N38" s="242">
        <f t="shared" si="1"/>
        <v>5</v>
      </c>
      <c r="Q38" s="212" t="str">
        <f t="shared" si="0"/>
        <v/>
      </c>
      <c r="R38" s="174" t="s">
        <v>265</v>
      </c>
      <c r="S38" s="174" t="s">
        <v>273</v>
      </c>
      <c r="T38" s="174" t="e">
        <f>_xlfn.XLOOKUP(Buildings_Water_Backend[[#This Row],[Info 1]],Buildings_SiteInfo[Site name],Buildings_SiteInfo[Site type])</f>
        <v>#N/A</v>
      </c>
      <c r="U38" s="174" t="s">
        <v>327</v>
      </c>
      <c r="V38" s="174">
        <f>Buildings_Water_Frontend[[#This Row],[Type]]</f>
        <v>0</v>
      </c>
      <c r="W38" s="174" t="e" cm="1">
        <f t="array" aca="1" ref="W38" ca="1">_xlfn.XLOOKUP(Buildings_Water_Backend[[#This Row],[Level 5]],rng_Level5Long,rng_Level6Long)</f>
        <v>#N/A</v>
      </c>
      <c r="X38" s="174">
        <f>Buildings_Water_Frontend[[#This Row],[Site Name]]</f>
        <v>0</v>
      </c>
      <c r="Y38" s="174">
        <f>Buildings_Water_Frontend[[#This Row],[Meter Reference]]</f>
        <v>0</v>
      </c>
      <c r="Z38" s="220">
        <f>Buildings_Water_Frontend[[#This Row],[Methodology]]</f>
        <v>0</v>
      </c>
      <c r="AA38" s="229" t="e" cm="1">
        <f t="array" ref="AA38">INDEX(_xlfn.SWITCH(Buildings_Water_Backend[[#This Row],[Methodology]],"Tier 1",rng_RSD1,"Tier 2",rng_RSD2,"Tier 3",rng_RSD3),MATCH(_xlfn.CONCAT(Buildings_Water_Backend[[#This Row],[Level 1]:[Level 6]]),rng_LevelsConcat,0))</f>
        <v>#N/A</v>
      </c>
      <c r="AB38" s="224">
        <f>Buildings_Water_Frontend[[#This Row],[Data]]</f>
        <v>0</v>
      </c>
      <c r="AC38" s="174">
        <f>Buildings_Water_Frontend[[#This Row],[Units]]</f>
        <v>0</v>
      </c>
      <c r="AD38" s="220" t="e">
        <f>IF(Buildings_Water_Backend[[#This Row],[Units]]=Buildings_Water_Backend[[#This Row],[Standard units]],Buildings_Water_Backend[[#This Row],[Data]],Buildings_Water_Backend[[#This Row],[Data]]*_xlfn.XLOOKUP(_xlfn.CONCAT(Buildings_Water_Backend[[#This Row],[Level 1]:[Level 6]]),rng_EFConcat,rng_EFConversion))</f>
        <v>#N/A</v>
      </c>
      <c r="AE38" s="174" t="e" cm="1">
        <f t="array" ref="AE38">_xlfn.XLOOKUP(_xlfn.CONCAT(Buildings_Water_Backend[[#This Row],[Level 1]:[Level 6]]),rng_LevelsConcat,rng_UnitsLong)</f>
        <v>#N/A</v>
      </c>
      <c r="AF38" s="210" t="e">
        <f>_xlfn.XLOOKUP(_xlfn.CONCAT(Buildings_Water_Backend[[#This Row],[Level 1]:[Level 6]]),rng_EFConcat,rng_EF1)*Buildings_Water_Backend[[#This Row],[Converted data]]/1000</f>
        <v>#N/A</v>
      </c>
      <c r="AG38" s="210" t="e">
        <f>_xlfn.XLOOKUP(_xlfn.CONCAT(Buildings_Water_Backend[[#This Row],[Level 1]:[Level 6]]),rng_EFConcat,rng_EF2)*Buildings_Water_Backend[[#This Row],[Converted data]]/1000</f>
        <v>#N/A</v>
      </c>
      <c r="AH38" s="210" t="e">
        <f>_xlfn.XLOOKUP(_xlfn.CONCAT(Buildings_Water_Backend[[#This Row],[Level 1]:[Level 6]]),rng_EFConcat,rng_EF3)*Buildings_Water_Backend[[#This Row],[Converted data]]/1000</f>
        <v>#N/A</v>
      </c>
      <c r="AI38" s="210" t="e">
        <f>_xlfn.XLOOKUP(_xlfn.CONCAT(Buildings_Water_Backend[[#This Row],[Level 1]:[Level 6]]),rng_EFConcat,rng_EF3WTT)*Buildings_Water_Backend[[#This Row],[Converted data]]/1000</f>
        <v>#N/A</v>
      </c>
      <c r="AJ38" s="210" t="e">
        <f>_xlfn.XLOOKUP(_xlfn.CONCAT(Buildings_Water_Backend[[#This Row],[Level 1]:[Level 6]]),rng_EFConcat,rng_EF3TD)*Buildings_Water_Backend[[#This Row],[Converted data]]/1000</f>
        <v>#N/A</v>
      </c>
      <c r="AK38" s="210" t="e">
        <f>_xlfn.XLOOKUP(_xlfn.CONCAT(Buildings_Water_Backend[[#This Row],[Level 1]:[Level 6]]),rng_EFConcat,rng_EF3WTTTD)*Buildings_Water_Backend[[#This Row],[Converted data]]/1000</f>
        <v>#N/A</v>
      </c>
      <c r="AL38" s="220" t="e">
        <f>SUM(Buildings_Water_Backend[[#This Row],[Scope 1 (tCO2e)]:[Scope 3 WTT T&amp;D (tCO2e)]])</f>
        <v>#N/A</v>
      </c>
      <c r="AM38" s="220" t="e">
        <f>Buildings_Water_Backend[[#This Row],[Total (tCO2e)]]*(1-Buildings_Water_Backend[[#This Row],[RSD]])</f>
        <v>#N/A</v>
      </c>
      <c r="AN38" s="220" t="e">
        <f>Buildings_Water_Backend[[#This Row],[Total (tCO2e)]]*(1+Buildings_Water_Backend[[#This Row],[RSD]])</f>
        <v>#N/A</v>
      </c>
      <c r="AO38" s="210" t="e">
        <f>_xlfn.XLOOKUP(_xlfn.CONCAT(Buildings_Water_Backend[[#This Row],[Level 1]:[Level 6]]),rng_EFConcat,rng_EFOOS)*Buildings_Water_Backend[[#This Row],[Converted data]]/1000</f>
        <v>#N/A</v>
      </c>
      <c r="AP38" s="174">
        <f>Buildings_Water_Frontend[[#This Row],[Ease of collection]]</f>
        <v>0</v>
      </c>
      <c r="AQ38" s="174">
        <f>Buildings_Water_Frontend[[#This Row],[Completeness]]</f>
        <v>0</v>
      </c>
      <c r="AR38" s="174">
        <f>Buildings_Water_Frontend[[#This Row],[Notes]]</f>
        <v>0</v>
      </c>
    </row>
    <row r="39" spans="2:44" x14ac:dyDescent="0.3">
      <c r="B39" s="289"/>
      <c r="E39" s="346"/>
      <c r="F39" s="364"/>
      <c r="G39" s="336"/>
      <c r="H39" s="336"/>
      <c r="I39" s="334"/>
      <c r="J39" s="336"/>
      <c r="K39" s="336"/>
      <c r="L39" s="336"/>
      <c r="M39" s="337"/>
      <c r="N39" s="242">
        <f t="shared" si="1"/>
        <v>5</v>
      </c>
      <c r="Q39" s="212" t="str">
        <f t="shared" si="0"/>
        <v/>
      </c>
      <c r="R39" s="174" t="s">
        <v>265</v>
      </c>
      <c r="S39" s="174" t="s">
        <v>273</v>
      </c>
      <c r="T39" s="174" t="e">
        <f>_xlfn.XLOOKUP(Buildings_Water_Backend[[#This Row],[Info 1]],Buildings_SiteInfo[Site name],Buildings_SiteInfo[Site type])</f>
        <v>#N/A</v>
      </c>
      <c r="U39" s="174" t="s">
        <v>327</v>
      </c>
      <c r="V39" s="174">
        <f>Buildings_Water_Frontend[[#This Row],[Type]]</f>
        <v>0</v>
      </c>
      <c r="W39" s="174" t="e" cm="1">
        <f t="array" aca="1" ref="W39" ca="1">_xlfn.XLOOKUP(Buildings_Water_Backend[[#This Row],[Level 5]],rng_Level5Long,rng_Level6Long)</f>
        <v>#N/A</v>
      </c>
      <c r="X39" s="174">
        <f>Buildings_Water_Frontend[[#This Row],[Site Name]]</f>
        <v>0</v>
      </c>
      <c r="Y39" s="174">
        <f>Buildings_Water_Frontend[[#This Row],[Meter Reference]]</f>
        <v>0</v>
      </c>
      <c r="Z39" s="220">
        <f>Buildings_Water_Frontend[[#This Row],[Methodology]]</f>
        <v>0</v>
      </c>
      <c r="AA39" s="229" t="e" cm="1">
        <f t="array" ref="AA39">INDEX(_xlfn.SWITCH(Buildings_Water_Backend[[#This Row],[Methodology]],"Tier 1",rng_RSD1,"Tier 2",rng_RSD2,"Tier 3",rng_RSD3),MATCH(_xlfn.CONCAT(Buildings_Water_Backend[[#This Row],[Level 1]:[Level 6]]),rng_LevelsConcat,0))</f>
        <v>#N/A</v>
      </c>
      <c r="AB39" s="224">
        <f>Buildings_Water_Frontend[[#This Row],[Data]]</f>
        <v>0</v>
      </c>
      <c r="AC39" s="174">
        <f>Buildings_Water_Frontend[[#This Row],[Units]]</f>
        <v>0</v>
      </c>
      <c r="AD39" s="220" t="e">
        <f>IF(Buildings_Water_Backend[[#This Row],[Units]]=Buildings_Water_Backend[[#This Row],[Standard units]],Buildings_Water_Backend[[#This Row],[Data]],Buildings_Water_Backend[[#This Row],[Data]]*_xlfn.XLOOKUP(_xlfn.CONCAT(Buildings_Water_Backend[[#This Row],[Level 1]:[Level 6]]),rng_EFConcat,rng_EFConversion))</f>
        <v>#N/A</v>
      </c>
      <c r="AE39" s="174" t="e" cm="1">
        <f t="array" ref="AE39">_xlfn.XLOOKUP(_xlfn.CONCAT(Buildings_Water_Backend[[#This Row],[Level 1]:[Level 6]]),rng_LevelsConcat,rng_UnitsLong)</f>
        <v>#N/A</v>
      </c>
      <c r="AF39" s="210" t="e">
        <f>_xlfn.XLOOKUP(_xlfn.CONCAT(Buildings_Water_Backend[[#This Row],[Level 1]:[Level 6]]),rng_EFConcat,rng_EF1)*Buildings_Water_Backend[[#This Row],[Converted data]]/1000</f>
        <v>#N/A</v>
      </c>
      <c r="AG39" s="210" t="e">
        <f>_xlfn.XLOOKUP(_xlfn.CONCAT(Buildings_Water_Backend[[#This Row],[Level 1]:[Level 6]]),rng_EFConcat,rng_EF2)*Buildings_Water_Backend[[#This Row],[Converted data]]/1000</f>
        <v>#N/A</v>
      </c>
      <c r="AH39" s="210" t="e">
        <f>_xlfn.XLOOKUP(_xlfn.CONCAT(Buildings_Water_Backend[[#This Row],[Level 1]:[Level 6]]),rng_EFConcat,rng_EF3)*Buildings_Water_Backend[[#This Row],[Converted data]]/1000</f>
        <v>#N/A</v>
      </c>
      <c r="AI39" s="210" t="e">
        <f>_xlfn.XLOOKUP(_xlfn.CONCAT(Buildings_Water_Backend[[#This Row],[Level 1]:[Level 6]]),rng_EFConcat,rng_EF3WTT)*Buildings_Water_Backend[[#This Row],[Converted data]]/1000</f>
        <v>#N/A</v>
      </c>
      <c r="AJ39" s="210" t="e">
        <f>_xlfn.XLOOKUP(_xlfn.CONCAT(Buildings_Water_Backend[[#This Row],[Level 1]:[Level 6]]),rng_EFConcat,rng_EF3TD)*Buildings_Water_Backend[[#This Row],[Converted data]]/1000</f>
        <v>#N/A</v>
      </c>
      <c r="AK39" s="210" t="e">
        <f>_xlfn.XLOOKUP(_xlfn.CONCAT(Buildings_Water_Backend[[#This Row],[Level 1]:[Level 6]]),rng_EFConcat,rng_EF3WTTTD)*Buildings_Water_Backend[[#This Row],[Converted data]]/1000</f>
        <v>#N/A</v>
      </c>
      <c r="AL39" s="220" t="e">
        <f>SUM(Buildings_Water_Backend[[#This Row],[Scope 1 (tCO2e)]:[Scope 3 WTT T&amp;D (tCO2e)]])</f>
        <v>#N/A</v>
      </c>
      <c r="AM39" s="220" t="e">
        <f>Buildings_Water_Backend[[#This Row],[Total (tCO2e)]]*(1-Buildings_Water_Backend[[#This Row],[RSD]])</f>
        <v>#N/A</v>
      </c>
      <c r="AN39" s="220" t="e">
        <f>Buildings_Water_Backend[[#This Row],[Total (tCO2e)]]*(1+Buildings_Water_Backend[[#This Row],[RSD]])</f>
        <v>#N/A</v>
      </c>
      <c r="AO39" s="210" t="e">
        <f>_xlfn.XLOOKUP(_xlfn.CONCAT(Buildings_Water_Backend[[#This Row],[Level 1]:[Level 6]]),rng_EFConcat,rng_EFOOS)*Buildings_Water_Backend[[#This Row],[Converted data]]/1000</f>
        <v>#N/A</v>
      </c>
      <c r="AP39" s="174">
        <f>Buildings_Water_Frontend[[#This Row],[Ease of collection]]</f>
        <v>0</v>
      </c>
      <c r="AQ39" s="174">
        <f>Buildings_Water_Frontend[[#This Row],[Completeness]]</f>
        <v>0</v>
      </c>
      <c r="AR39" s="174">
        <f>Buildings_Water_Frontend[[#This Row],[Notes]]</f>
        <v>0</v>
      </c>
    </row>
    <row r="40" spans="2:44" x14ac:dyDescent="0.3">
      <c r="E40" s="346"/>
      <c r="F40" s="364"/>
      <c r="G40" s="336"/>
      <c r="H40" s="336"/>
      <c r="I40" s="334"/>
      <c r="J40" s="336"/>
      <c r="K40" s="336"/>
      <c r="L40" s="336"/>
      <c r="M40" s="337"/>
      <c r="N40" s="242">
        <f t="shared" si="1"/>
        <v>5</v>
      </c>
      <c r="Q40" s="212" t="str">
        <f t="shared" si="0"/>
        <v/>
      </c>
      <c r="R40" s="174" t="s">
        <v>265</v>
      </c>
      <c r="S40" s="174" t="s">
        <v>273</v>
      </c>
      <c r="T40" s="174" t="e">
        <f>_xlfn.XLOOKUP(Buildings_Water_Backend[[#This Row],[Info 1]],Buildings_SiteInfo[Site name],Buildings_SiteInfo[Site type])</f>
        <v>#N/A</v>
      </c>
      <c r="U40" s="174" t="s">
        <v>327</v>
      </c>
      <c r="V40" s="174">
        <f>Buildings_Water_Frontend[[#This Row],[Type]]</f>
        <v>0</v>
      </c>
      <c r="W40" s="174" t="e" cm="1">
        <f t="array" aca="1" ref="W40" ca="1">_xlfn.XLOOKUP(Buildings_Water_Backend[[#This Row],[Level 5]],rng_Level5Long,rng_Level6Long)</f>
        <v>#N/A</v>
      </c>
      <c r="X40" s="174">
        <f>Buildings_Water_Frontend[[#This Row],[Site Name]]</f>
        <v>0</v>
      </c>
      <c r="Y40" s="174">
        <f>Buildings_Water_Frontend[[#This Row],[Meter Reference]]</f>
        <v>0</v>
      </c>
      <c r="Z40" s="220">
        <f>Buildings_Water_Frontend[[#This Row],[Methodology]]</f>
        <v>0</v>
      </c>
      <c r="AA40" s="229" t="e" cm="1">
        <f t="array" ref="AA40">INDEX(_xlfn.SWITCH(Buildings_Water_Backend[[#This Row],[Methodology]],"Tier 1",rng_RSD1,"Tier 2",rng_RSD2,"Tier 3",rng_RSD3),MATCH(_xlfn.CONCAT(Buildings_Water_Backend[[#This Row],[Level 1]:[Level 6]]),rng_LevelsConcat,0))</f>
        <v>#N/A</v>
      </c>
      <c r="AB40" s="224">
        <f>Buildings_Water_Frontend[[#This Row],[Data]]</f>
        <v>0</v>
      </c>
      <c r="AC40" s="174">
        <f>Buildings_Water_Frontend[[#This Row],[Units]]</f>
        <v>0</v>
      </c>
      <c r="AD40" s="220" t="e">
        <f>IF(Buildings_Water_Backend[[#This Row],[Units]]=Buildings_Water_Backend[[#This Row],[Standard units]],Buildings_Water_Backend[[#This Row],[Data]],Buildings_Water_Backend[[#This Row],[Data]]*_xlfn.XLOOKUP(_xlfn.CONCAT(Buildings_Water_Backend[[#This Row],[Level 1]:[Level 6]]),rng_EFConcat,rng_EFConversion))</f>
        <v>#N/A</v>
      </c>
      <c r="AE40" s="174" t="e" cm="1">
        <f t="array" ref="AE40">_xlfn.XLOOKUP(_xlfn.CONCAT(Buildings_Water_Backend[[#This Row],[Level 1]:[Level 6]]),rng_LevelsConcat,rng_UnitsLong)</f>
        <v>#N/A</v>
      </c>
      <c r="AF40" s="210" t="e">
        <f>_xlfn.XLOOKUP(_xlfn.CONCAT(Buildings_Water_Backend[[#This Row],[Level 1]:[Level 6]]),rng_EFConcat,rng_EF1)*Buildings_Water_Backend[[#This Row],[Converted data]]/1000</f>
        <v>#N/A</v>
      </c>
      <c r="AG40" s="210" t="e">
        <f>_xlfn.XLOOKUP(_xlfn.CONCAT(Buildings_Water_Backend[[#This Row],[Level 1]:[Level 6]]),rng_EFConcat,rng_EF2)*Buildings_Water_Backend[[#This Row],[Converted data]]/1000</f>
        <v>#N/A</v>
      </c>
      <c r="AH40" s="210" t="e">
        <f>_xlfn.XLOOKUP(_xlfn.CONCAT(Buildings_Water_Backend[[#This Row],[Level 1]:[Level 6]]),rng_EFConcat,rng_EF3)*Buildings_Water_Backend[[#This Row],[Converted data]]/1000</f>
        <v>#N/A</v>
      </c>
      <c r="AI40" s="210" t="e">
        <f>_xlfn.XLOOKUP(_xlfn.CONCAT(Buildings_Water_Backend[[#This Row],[Level 1]:[Level 6]]),rng_EFConcat,rng_EF3WTT)*Buildings_Water_Backend[[#This Row],[Converted data]]/1000</f>
        <v>#N/A</v>
      </c>
      <c r="AJ40" s="210" t="e">
        <f>_xlfn.XLOOKUP(_xlfn.CONCAT(Buildings_Water_Backend[[#This Row],[Level 1]:[Level 6]]),rng_EFConcat,rng_EF3TD)*Buildings_Water_Backend[[#This Row],[Converted data]]/1000</f>
        <v>#N/A</v>
      </c>
      <c r="AK40" s="210" t="e">
        <f>_xlfn.XLOOKUP(_xlfn.CONCAT(Buildings_Water_Backend[[#This Row],[Level 1]:[Level 6]]),rng_EFConcat,rng_EF3WTTTD)*Buildings_Water_Backend[[#This Row],[Converted data]]/1000</f>
        <v>#N/A</v>
      </c>
      <c r="AL40" s="220" t="e">
        <f>SUM(Buildings_Water_Backend[[#This Row],[Scope 1 (tCO2e)]:[Scope 3 WTT T&amp;D (tCO2e)]])</f>
        <v>#N/A</v>
      </c>
      <c r="AM40" s="220" t="e">
        <f>Buildings_Water_Backend[[#This Row],[Total (tCO2e)]]*(1-Buildings_Water_Backend[[#This Row],[RSD]])</f>
        <v>#N/A</v>
      </c>
      <c r="AN40" s="220" t="e">
        <f>Buildings_Water_Backend[[#This Row],[Total (tCO2e)]]*(1+Buildings_Water_Backend[[#This Row],[RSD]])</f>
        <v>#N/A</v>
      </c>
      <c r="AO40" s="210" t="e">
        <f>_xlfn.XLOOKUP(_xlfn.CONCAT(Buildings_Water_Backend[[#This Row],[Level 1]:[Level 6]]),rng_EFConcat,rng_EFOOS)*Buildings_Water_Backend[[#This Row],[Converted data]]/1000</f>
        <v>#N/A</v>
      </c>
      <c r="AP40" s="174">
        <f>Buildings_Water_Frontend[[#This Row],[Ease of collection]]</f>
        <v>0</v>
      </c>
      <c r="AQ40" s="174">
        <f>Buildings_Water_Frontend[[#This Row],[Completeness]]</f>
        <v>0</v>
      </c>
      <c r="AR40" s="174">
        <f>Buildings_Water_Frontend[[#This Row],[Notes]]</f>
        <v>0</v>
      </c>
    </row>
    <row r="41" spans="2:44" x14ac:dyDescent="0.3">
      <c r="E41" s="346"/>
      <c r="F41" s="364"/>
      <c r="G41" s="336"/>
      <c r="H41" s="336"/>
      <c r="I41" s="334"/>
      <c r="J41" s="336"/>
      <c r="K41" s="336"/>
      <c r="L41" s="336"/>
      <c r="M41" s="337"/>
      <c r="N41" s="242">
        <f t="shared" si="1"/>
        <v>5</v>
      </c>
      <c r="Q41" s="212" t="str">
        <f t="shared" si="0"/>
        <v/>
      </c>
      <c r="R41" s="174" t="s">
        <v>265</v>
      </c>
      <c r="S41" s="174" t="s">
        <v>273</v>
      </c>
      <c r="T41" s="174" t="e">
        <f>_xlfn.XLOOKUP(Buildings_Water_Backend[[#This Row],[Info 1]],Buildings_SiteInfo[Site name],Buildings_SiteInfo[Site type])</f>
        <v>#N/A</v>
      </c>
      <c r="U41" s="174" t="s">
        <v>327</v>
      </c>
      <c r="V41" s="174">
        <f>Buildings_Water_Frontend[[#This Row],[Type]]</f>
        <v>0</v>
      </c>
      <c r="W41" s="174" t="e" cm="1">
        <f t="array" aca="1" ref="W41" ca="1">_xlfn.XLOOKUP(Buildings_Water_Backend[[#This Row],[Level 5]],rng_Level5Long,rng_Level6Long)</f>
        <v>#N/A</v>
      </c>
      <c r="X41" s="174">
        <f>Buildings_Water_Frontend[[#This Row],[Site Name]]</f>
        <v>0</v>
      </c>
      <c r="Y41" s="174">
        <f>Buildings_Water_Frontend[[#This Row],[Meter Reference]]</f>
        <v>0</v>
      </c>
      <c r="Z41" s="220">
        <f>Buildings_Water_Frontend[[#This Row],[Methodology]]</f>
        <v>0</v>
      </c>
      <c r="AA41" s="229" t="e" cm="1">
        <f t="array" ref="AA41">INDEX(_xlfn.SWITCH(Buildings_Water_Backend[[#This Row],[Methodology]],"Tier 1",rng_RSD1,"Tier 2",rng_RSD2,"Tier 3",rng_RSD3),MATCH(_xlfn.CONCAT(Buildings_Water_Backend[[#This Row],[Level 1]:[Level 6]]),rng_LevelsConcat,0))</f>
        <v>#N/A</v>
      </c>
      <c r="AB41" s="224">
        <f>Buildings_Water_Frontend[[#This Row],[Data]]</f>
        <v>0</v>
      </c>
      <c r="AC41" s="174">
        <f>Buildings_Water_Frontend[[#This Row],[Units]]</f>
        <v>0</v>
      </c>
      <c r="AD41" s="220" t="e">
        <f>IF(Buildings_Water_Backend[[#This Row],[Units]]=Buildings_Water_Backend[[#This Row],[Standard units]],Buildings_Water_Backend[[#This Row],[Data]],Buildings_Water_Backend[[#This Row],[Data]]*_xlfn.XLOOKUP(_xlfn.CONCAT(Buildings_Water_Backend[[#This Row],[Level 1]:[Level 6]]),rng_EFConcat,rng_EFConversion))</f>
        <v>#N/A</v>
      </c>
      <c r="AE41" s="174" t="e" cm="1">
        <f t="array" ref="AE41">_xlfn.XLOOKUP(_xlfn.CONCAT(Buildings_Water_Backend[[#This Row],[Level 1]:[Level 6]]),rng_LevelsConcat,rng_UnitsLong)</f>
        <v>#N/A</v>
      </c>
      <c r="AF41" s="210" t="e">
        <f>_xlfn.XLOOKUP(_xlfn.CONCAT(Buildings_Water_Backend[[#This Row],[Level 1]:[Level 6]]),rng_EFConcat,rng_EF1)*Buildings_Water_Backend[[#This Row],[Converted data]]/1000</f>
        <v>#N/A</v>
      </c>
      <c r="AG41" s="210" t="e">
        <f>_xlfn.XLOOKUP(_xlfn.CONCAT(Buildings_Water_Backend[[#This Row],[Level 1]:[Level 6]]),rng_EFConcat,rng_EF2)*Buildings_Water_Backend[[#This Row],[Converted data]]/1000</f>
        <v>#N/A</v>
      </c>
      <c r="AH41" s="210" t="e">
        <f>_xlfn.XLOOKUP(_xlfn.CONCAT(Buildings_Water_Backend[[#This Row],[Level 1]:[Level 6]]),rng_EFConcat,rng_EF3)*Buildings_Water_Backend[[#This Row],[Converted data]]/1000</f>
        <v>#N/A</v>
      </c>
      <c r="AI41" s="210" t="e">
        <f>_xlfn.XLOOKUP(_xlfn.CONCAT(Buildings_Water_Backend[[#This Row],[Level 1]:[Level 6]]),rng_EFConcat,rng_EF3WTT)*Buildings_Water_Backend[[#This Row],[Converted data]]/1000</f>
        <v>#N/A</v>
      </c>
      <c r="AJ41" s="210" t="e">
        <f>_xlfn.XLOOKUP(_xlfn.CONCAT(Buildings_Water_Backend[[#This Row],[Level 1]:[Level 6]]),rng_EFConcat,rng_EF3TD)*Buildings_Water_Backend[[#This Row],[Converted data]]/1000</f>
        <v>#N/A</v>
      </c>
      <c r="AK41" s="210" t="e">
        <f>_xlfn.XLOOKUP(_xlfn.CONCAT(Buildings_Water_Backend[[#This Row],[Level 1]:[Level 6]]),rng_EFConcat,rng_EF3WTTTD)*Buildings_Water_Backend[[#This Row],[Converted data]]/1000</f>
        <v>#N/A</v>
      </c>
      <c r="AL41" s="220" t="e">
        <f>SUM(Buildings_Water_Backend[[#This Row],[Scope 1 (tCO2e)]:[Scope 3 WTT T&amp;D (tCO2e)]])</f>
        <v>#N/A</v>
      </c>
      <c r="AM41" s="220" t="e">
        <f>Buildings_Water_Backend[[#This Row],[Total (tCO2e)]]*(1-Buildings_Water_Backend[[#This Row],[RSD]])</f>
        <v>#N/A</v>
      </c>
      <c r="AN41" s="220" t="e">
        <f>Buildings_Water_Backend[[#This Row],[Total (tCO2e)]]*(1+Buildings_Water_Backend[[#This Row],[RSD]])</f>
        <v>#N/A</v>
      </c>
      <c r="AO41" s="210" t="e">
        <f>_xlfn.XLOOKUP(_xlfn.CONCAT(Buildings_Water_Backend[[#This Row],[Level 1]:[Level 6]]),rng_EFConcat,rng_EFOOS)*Buildings_Water_Backend[[#This Row],[Converted data]]/1000</f>
        <v>#N/A</v>
      </c>
      <c r="AP41" s="174">
        <f>Buildings_Water_Frontend[[#This Row],[Ease of collection]]</f>
        <v>0</v>
      </c>
      <c r="AQ41" s="174">
        <f>Buildings_Water_Frontend[[#This Row],[Completeness]]</f>
        <v>0</v>
      </c>
      <c r="AR41" s="174">
        <f>Buildings_Water_Frontend[[#This Row],[Notes]]</f>
        <v>0</v>
      </c>
    </row>
    <row r="42" spans="2:44" x14ac:dyDescent="0.3">
      <c r="E42" s="346"/>
      <c r="F42" s="364"/>
      <c r="G42" s="336"/>
      <c r="H42" s="336"/>
      <c r="I42" s="334"/>
      <c r="J42" s="336"/>
      <c r="K42" s="336"/>
      <c r="L42" s="336"/>
      <c r="M42" s="337"/>
      <c r="N42" s="242">
        <f t="shared" si="1"/>
        <v>5</v>
      </c>
      <c r="Q42" s="212" t="str">
        <f t="shared" si="0"/>
        <v/>
      </c>
      <c r="R42" s="174" t="s">
        <v>265</v>
      </c>
      <c r="S42" s="174" t="s">
        <v>273</v>
      </c>
      <c r="T42" s="174" t="e">
        <f>_xlfn.XLOOKUP(Buildings_Water_Backend[[#This Row],[Info 1]],Buildings_SiteInfo[Site name],Buildings_SiteInfo[Site type])</f>
        <v>#N/A</v>
      </c>
      <c r="U42" s="174" t="s">
        <v>327</v>
      </c>
      <c r="V42" s="174">
        <f>Buildings_Water_Frontend[[#This Row],[Type]]</f>
        <v>0</v>
      </c>
      <c r="W42" s="174" t="e" cm="1">
        <f t="array" aca="1" ref="W42" ca="1">_xlfn.XLOOKUP(Buildings_Water_Backend[[#This Row],[Level 5]],rng_Level5Long,rng_Level6Long)</f>
        <v>#N/A</v>
      </c>
      <c r="X42" s="174">
        <f>Buildings_Water_Frontend[[#This Row],[Site Name]]</f>
        <v>0</v>
      </c>
      <c r="Y42" s="174">
        <f>Buildings_Water_Frontend[[#This Row],[Meter Reference]]</f>
        <v>0</v>
      </c>
      <c r="Z42" s="220">
        <f>Buildings_Water_Frontend[[#This Row],[Methodology]]</f>
        <v>0</v>
      </c>
      <c r="AA42" s="229" t="e" cm="1">
        <f t="array" ref="AA42">INDEX(_xlfn.SWITCH(Buildings_Water_Backend[[#This Row],[Methodology]],"Tier 1",rng_RSD1,"Tier 2",rng_RSD2,"Tier 3",rng_RSD3),MATCH(_xlfn.CONCAT(Buildings_Water_Backend[[#This Row],[Level 1]:[Level 6]]),rng_LevelsConcat,0))</f>
        <v>#N/A</v>
      </c>
      <c r="AB42" s="224">
        <f>Buildings_Water_Frontend[[#This Row],[Data]]</f>
        <v>0</v>
      </c>
      <c r="AC42" s="174">
        <f>Buildings_Water_Frontend[[#This Row],[Units]]</f>
        <v>0</v>
      </c>
      <c r="AD42" s="220" t="e">
        <f>IF(Buildings_Water_Backend[[#This Row],[Units]]=Buildings_Water_Backend[[#This Row],[Standard units]],Buildings_Water_Backend[[#This Row],[Data]],Buildings_Water_Backend[[#This Row],[Data]]*_xlfn.XLOOKUP(_xlfn.CONCAT(Buildings_Water_Backend[[#This Row],[Level 1]:[Level 6]]),rng_EFConcat,rng_EFConversion))</f>
        <v>#N/A</v>
      </c>
      <c r="AE42" s="174" t="e" cm="1">
        <f t="array" ref="AE42">_xlfn.XLOOKUP(_xlfn.CONCAT(Buildings_Water_Backend[[#This Row],[Level 1]:[Level 6]]),rng_LevelsConcat,rng_UnitsLong)</f>
        <v>#N/A</v>
      </c>
      <c r="AF42" s="210" t="e">
        <f>_xlfn.XLOOKUP(_xlfn.CONCAT(Buildings_Water_Backend[[#This Row],[Level 1]:[Level 6]]),rng_EFConcat,rng_EF1)*Buildings_Water_Backend[[#This Row],[Converted data]]/1000</f>
        <v>#N/A</v>
      </c>
      <c r="AG42" s="210" t="e">
        <f>_xlfn.XLOOKUP(_xlfn.CONCAT(Buildings_Water_Backend[[#This Row],[Level 1]:[Level 6]]),rng_EFConcat,rng_EF2)*Buildings_Water_Backend[[#This Row],[Converted data]]/1000</f>
        <v>#N/A</v>
      </c>
      <c r="AH42" s="210" t="e">
        <f>_xlfn.XLOOKUP(_xlfn.CONCAT(Buildings_Water_Backend[[#This Row],[Level 1]:[Level 6]]),rng_EFConcat,rng_EF3)*Buildings_Water_Backend[[#This Row],[Converted data]]/1000</f>
        <v>#N/A</v>
      </c>
      <c r="AI42" s="210" t="e">
        <f>_xlfn.XLOOKUP(_xlfn.CONCAT(Buildings_Water_Backend[[#This Row],[Level 1]:[Level 6]]),rng_EFConcat,rng_EF3WTT)*Buildings_Water_Backend[[#This Row],[Converted data]]/1000</f>
        <v>#N/A</v>
      </c>
      <c r="AJ42" s="210" t="e">
        <f>_xlfn.XLOOKUP(_xlfn.CONCAT(Buildings_Water_Backend[[#This Row],[Level 1]:[Level 6]]),rng_EFConcat,rng_EF3TD)*Buildings_Water_Backend[[#This Row],[Converted data]]/1000</f>
        <v>#N/A</v>
      </c>
      <c r="AK42" s="210" t="e">
        <f>_xlfn.XLOOKUP(_xlfn.CONCAT(Buildings_Water_Backend[[#This Row],[Level 1]:[Level 6]]),rng_EFConcat,rng_EF3WTTTD)*Buildings_Water_Backend[[#This Row],[Converted data]]/1000</f>
        <v>#N/A</v>
      </c>
      <c r="AL42" s="220" t="e">
        <f>SUM(Buildings_Water_Backend[[#This Row],[Scope 1 (tCO2e)]:[Scope 3 WTT T&amp;D (tCO2e)]])</f>
        <v>#N/A</v>
      </c>
      <c r="AM42" s="220" t="e">
        <f>Buildings_Water_Backend[[#This Row],[Total (tCO2e)]]*(1-Buildings_Water_Backend[[#This Row],[RSD]])</f>
        <v>#N/A</v>
      </c>
      <c r="AN42" s="220" t="e">
        <f>Buildings_Water_Backend[[#This Row],[Total (tCO2e)]]*(1+Buildings_Water_Backend[[#This Row],[RSD]])</f>
        <v>#N/A</v>
      </c>
      <c r="AO42" s="210" t="e">
        <f>_xlfn.XLOOKUP(_xlfn.CONCAT(Buildings_Water_Backend[[#This Row],[Level 1]:[Level 6]]),rng_EFConcat,rng_EFOOS)*Buildings_Water_Backend[[#This Row],[Converted data]]/1000</f>
        <v>#N/A</v>
      </c>
      <c r="AP42" s="174">
        <f>Buildings_Water_Frontend[[#This Row],[Ease of collection]]</f>
        <v>0</v>
      </c>
      <c r="AQ42" s="174">
        <f>Buildings_Water_Frontend[[#This Row],[Completeness]]</f>
        <v>0</v>
      </c>
      <c r="AR42" s="174">
        <f>Buildings_Water_Frontend[[#This Row],[Notes]]</f>
        <v>0</v>
      </c>
    </row>
    <row r="43" spans="2:44" x14ac:dyDescent="0.3">
      <c r="E43" s="346"/>
      <c r="F43" s="364"/>
      <c r="G43" s="336"/>
      <c r="H43" s="336"/>
      <c r="I43" s="334"/>
      <c r="J43" s="336"/>
      <c r="K43" s="336"/>
      <c r="L43" s="336"/>
      <c r="M43" s="337"/>
      <c r="N43" s="242">
        <f t="shared" si="1"/>
        <v>5</v>
      </c>
      <c r="Q43" s="212" t="str">
        <f t="shared" si="0"/>
        <v/>
      </c>
      <c r="R43" s="174" t="s">
        <v>265</v>
      </c>
      <c r="S43" s="174" t="s">
        <v>273</v>
      </c>
      <c r="T43" s="174" t="e">
        <f>_xlfn.XLOOKUP(Buildings_Water_Backend[[#This Row],[Info 1]],Buildings_SiteInfo[Site name],Buildings_SiteInfo[Site type])</f>
        <v>#N/A</v>
      </c>
      <c r="U43" s="174" t="s">
        <v>327</v>
      </c>
      <c r="V43" s="174">
        <f>Buildings_Water_Frontend[[#This Row],[Type]]</f>
        <v>0</v>
      </c>
      <c r="W43" s="174" t="e" cm="1">
        <f t="array" aca="1" ref="W43" ca="1">_xlfn.XLOOKUP(Buildings_Water_Backend[[#This Row],[Level 5]],rng_Level5Long,rng_Level6Long)</f>
        <v>#N/A</v>
      </c>
      <c r="X43" s="174">
        <f>Buildings_Water_Frontend[[#This Row],[Site Name]]</f>
        <v>0</v>
      </c>
      <c r="Y43" s="174">
        <f>Buildings_Water_Frontend[[#This Row],[Meter Reference]]</f>
        <v>0</v>
      </c>
      <c r="Z43" s="220">
        <f>Buildings_Water_Frontend[[#This Row],[Methodology]]</f>
        <v>0</v>
      </c>
      <c r="AA43" s="229" t="e" cm="1">
        <f t="array" ref="AA43">INDEX(_xlfn.SWITCH(Buildings_Water_Backend[[#This Row],[Methodology]],"Tier 1",rng_RSD1,"Tier 2",rng_RSD2,"Tier 3",rng_RSD3),MATCH(_xlfn.CONCAT(Buildings_Water_Backend[[#This Row],[Level 1]:[Level 6]]),rng_LevelsConcat,0))</f>
        <v>#N/A</v>
      </c>
      <c r="AB43" s="224">
        <f>Buildings_Water_Frontend[[#This Row],[Data]]</f>
        <v>0</v>
      </c>
      <c r="AC43" s="174">
        <f>Buildings_Water_Frontend[[#This Row],[Units]]</f>
        <v>0</v>
      </c>
      <c r="AD43" s="220" t="e">
        <f>IF(Buildings_Water_Backend[[#This Row],[Units]]=Buildings_Water_Backend[[#This Row],[Standard units]],Buildings_Water_Backend[[#This Row],[Data]],Buildings_Water_Backend[[#This Row],[Data]]*_xlfn.XLOOKUP(_xlfn.CONCAT(Buildings_Water_Backend[[#This Row],[Level 1]:[Level 6]]),rng_EFConcat,rng_EFConversion))</f>
        <v>#N/A</v>
      </c>
      <c r="AE43" s="174" t="e" cm="1">
        <f t="array" ref="AE43">_xlfn.XLOOKUP(_xlfn.CONCAT(Buildings_Water_Backend[[#This Row],[Level 1]:[Level 6]]),rng_LevelsConcat,rng_UnitsLong)</f>
        <v>#N/A</v>
      </c>
      <c r="AF43" s="210" t="e">
        <f>_xlfn.XLOOKUP(_xlfn.CONCAT(Buildings_Water_Backend[[#This Row],[Level 1]:[Level 6]]),rng_EFConcat,rng_EF1)*Buildings_Water_Backend[[#This Row],[Converted data]]/1000</f>
        <v>#N/A</v>
      </c>
      <c r="AG43" s="210" t="e">
        <f>_xlfn.XLOOKUP(_xlfn.CONCAT(Buildings_Water_Backend[[#This Row],[Level 1]:[Level 6]]),rng_EFConcat,rng_EF2)*Buildings_Water_Backend[[#This Row],[Converted data]]/1000</f>
        <v>#N/A</v>
      </c>
      <c r="AH43" s="210" t="e">
        <f>_xlfn.XLOOKUP(_xlfn.CONCAT(Buildings_Water_Backend[[#This Row],[Level 1]:[Level 6]]),rng_EFConcat,rng_EF3)*Buildings_Water_Backend[[#This Row],[Converted data]]/1000</f>
        <v>#N/A</v>
      </c>
      <c r="AI43" s="210" t="e">
        <f>_xlfn.XLOOKUP(_xlfn.CONCAT(Buildings_Water_Backend[[#This Row],[Level 1]:[Level 6]]),rng_EFConcat,rng_EF3WTT)*Buildings_Water_Backend[[#This Row],[Converted data]]/1000</f>
        <v>#N/A</v>
      </c>
      <c r="AJ43" s="210" t="e">
        <f>_xlfn.XLOOKUP(_xlfn.CONCAT(Buildings_Water_Backend[[#This Row],[Level 1]:[Level 6]]),rng_EFConcat,rng_EF3TD)*Buildings_Water_Backend[[#This Row],[Converted data]]/1000</f>
        <v>#N/A</v>
      </c>
      <c r="AK43" s="210" t="e">
        <f>_xlfn.XLOOKUP(_xlfn.CONCAT(Buildings_Water_Backend[[#This Row],[Level 1]:[Level 6]]),rng_EFConcat,rng_EF3WTTTD)*Buildings_Water_Backend[[#This Row],[Converted data]]/1000</f>
        <v>#N/A</v>
      </c>
      <c r="AL43" s="220" t="e">
        <f>SUM(Buildings_Water_Backend[[#This Row],[Scope 1 (tCO2e)]:[Scope 3 WTT T&amp;D (tCO2e)]])</f>
        <v>#N/A</v>
      </c>
      <c r="AM43" s="220" t="e">
        <f>Buildings_Water_Backend[[#This Row],[Total (tCO2e)]]*(1-Buildings_Water_Backend[[#This Row],[RSD]])</f>
        <v>#N/A</v>
      </c>
      <c r="AN43" s="220" t="e">
        <f>Buildings_Water_Backend[[#This Row],[Total (tCO2e)]]*(1+Buildings_Water_Backend[[#This Row],[RSD]])</f>
        <v>#N/A</v>
      </c>
      <c r="AO43" s="210" t="e">
        <f>_xlfn.XLOOKUP(_xlfn.CONCAT(Buildings_Water_Backend[[#This Row],[Level 1]:[Level 6]]),rng_EFConcat,rng_EFOOS)*Buildings_Water_Backend[[#This Row],[Converted data]]/1000</f>
        <v>#N/A</v>
      </c>
      <c r="AP43" s="174">
        <f>Buildings_Water_Frontend[[#This Row],[Ease of collection]]</f>
        <v>0</v>
      </c>
      <c r="AQ43" s="174">
        <f>Buildings_Water_Frontend[[#This Row],[Completeness]]</f>
        <v>0</v>
      </c>
      <c r="AR43" s="174">
        <f>Buildings_Water_Frontend[[#This Row],[Notes]]</f>
        <v>0</v>
      </c>
    </row>
    <row r="44" spans="2:44" x14ac:dyDescent="0.3">
      <c r="E44" s="346"/>
      <c r="F44" s="364"/>
      <c r="G44" s="336"/>
      <c r="H44" s="336"/>
      <c r="I44" s="334"/>
      <c r="J44" s="336"/>
      <c r="K44" s="336"/>
      <c r="L44" s="336"/>
      <c r="M44" s="337"/>
      <c r="N44" s="242">
        <f t="shared" si="1"/>
        <v>5</v>
      </c>
      <c r="Q44" s="212" t="str">
        <f t="shared" si="0"/>
        <v/>
      </c>
      <c r="R44" s="174" t="s">
        <v>265</v>
      </c>
      <c r="S44" s="174" t="s">
        <v>273</v>
      </c>
      <c r="T44" s="174" t="e">
        <f>_xlfn.XLOOKUP(Buildings_Water_Backend[[#This Row],[Info 1]],Buildings_SiteInfo[Site name],Buildings_SiteInfo[Site type])</f>
        <v>#N/A</v>
      </c>
      <c r="U44" s="174" t="s">
        <v>327</v>
      </c>
      <c r="V44" s="174">
        <f>Buildings_Water_Frontend[[#This Row],[Type]]</f>
        <v>0</v>
      </c>
      <c r="W44" s="174" t="e" cm="1">
        <f t="array" aca="1" ref="W44" ca="1">_xlfn.XLOOKUP(Buildings_Water_Backend[[#This Row],[Level 5]],rng_Level5Long,rng_Level6Long)</f>
        <v>#N/A</v>
      </c>
      <c r="X44" s="174">
        <f>Buildings_Water_Frontend[[#This Row],[Site Name]]</f>
        <v>0</v>
      </c>
      <c r="Y44" s="174">
        <f>Buildings_Water_Frontend[[#This Row],[Meter Reference]]</f>
        <v>0</v>
      </c>
      <c r="Z44" s="220">
        <f>Buildings_Water_Frontend[[#This Row],[Methodology]]</f>
        <v>0</v>
      </c>
      <c r="AA44" s="229" t="e" cm="1">
        <f t="array" ref="AA44">INDEX(_xlfn.SWITCH(Buildings_Water_Backend[[#This Row],[Methodology]],"Tier 1",rng_RSD1,"Tier 2",rng_RSD2,"Tier 3",rng_RSD3),MATCH(_xlfn.CONCAT(Buildings_Water_Backend[[#This Row],[Level 1]:[Level 6]]),rng_LevelsConcat,0))</f>
        <v>#N/A</v>
      </c>
      <c r="AB44" s="224">
        <f>Buildings_Water_Frontend[[#This Row],[Data]]</f>
        <v>0</v>
      </c>
      <c r="AC44" s="174">
        <f>Buildings_Water_Frontend[[#This Row],[Units]]</f>
        <v>0</v>
      </c>
      <c r="AD44" s="220" t="e">
        <f>IF(Buildings_Water_Backend[[#This Row],[Units]]=Buildings_Water_Backend[[#This Row],[Standard units]],Buildings_Water_Backend[[#This Row],[Data]],Buildings_Water_Backend[[#This Row],[Data]]*_xlfn.XLOOKUP(_xlfn.CONCAT(Buildings_Water_Backend[[#This Row],[Level 1]:[Level 6]]),rng_EFConcat,rng_EFConversion))</f>
        <v>#N/A</v>
      </c>
      <c r="AE44" s="174" t="e" cm="1">
        <f t="array" ref="AE44">_xlfn.XLOOKUP(_xlfn.CONCAT(Buildings_Water_Backend[[#This Row],[Level 1]:[Level 6]]),rng_LevelsConcat,rng_UnitsLong)</f>
        <v>#N/A</v>
      </c>
      <c r="AF44" s="210" t="e">
        <f>_xlfn.XLOOKUP(_xlfn.CONCAT(Buildings_Water_Backend[[#This Row],[Level 1]:[Level 6]]),rng_EFConcat,rng_EF1)*Buildings_Water_Backend[[#This Row],[Converted data]]/1000</f>
        <v>#N/A</v>
      </c>
      <c r="AG44" s="210" t="e">
        <f>_xlfn.XLOOKUP(_xlfn.CONCAT(Buildings_Water_Backend[[#This Row],[Level 1]:[Level 6]]),rng_EFConcat,rng_EF2)*Buildings_Water_Backend[[#This Row],[Converted data]]/1000</f>
        <v>#N/A</v>
      </c>
      <c r="AH44" s="210" t="e">
        <f>_xlfn.XLOOKUP(_xlfn.CONCAT(Buildings_Water_Backend[[#This Row],[Level 1]:[Level 6]]),rng_EFConcat,rng_EF3)*Buildings_Water_Backend[[#This Row],[Converted data]]/1000</f>
        <v>#N/A</v>
      </c>
      <c r="AI44" s="210" t="e">
        <f>_xlfn.XLOOKUP(_xlfn.CONCAT(Buildings_Water_Backend[[#This Row],[Level 1]:[Level 6]]),rng_EFConcat,rng_EF3WTT)*Buildings_Water_Backend[[#This Row],[Converted data]]/1000</f>
        <v>#N/A</v>
      </c>
      <c r="AJ44" s="210" t="e">
        <f>_xlfn.XLOOKUP(_xlfn.CONCAT(Buildings_Water_Backend[[#This Row],[Level 1]:[Level 6]]),rng_EFConcat,rng_EF3TD)*Buildings_Water_Backend[[#This Row],[Converted data]]/1000</f>
        <v>#N/A</v>
      </c>
      <c r="AK44" s="210" t="e">
        <f>_xlfn.XLOOKUP(_xlfn.CONCAT(Buildings_Water_Backend[[#This Row],[Level 1]:[Level 6]]),rng_EFConcat,rng_EF3WTTTD)*Buildings_Water_Backend[[#This Row],[Converted data]]/1000</f>
        <v>#N/A</v>
      </c>
      <c r="AL44" s="220" t="e">
        <f>SUM(Buildings_Water_Backend[[#This Row],[Scope 1 (tCO2e)]:[Scope 3 WTT T&amp;D (tCO2e)]])</f>
        <v>#N/A</v>
      </c>
      <c r="AM44" s="220" t="e">
        <f>Buildings_Water_Backend[[#This Row],[Total (tCO2e)]]*(1-Buildings_Water_Backend[[#This Row],[RSD]])</f>
        <v>#N/A</v>
      </c>
      <c r="AN44" s="220" t="e">
        <f>Buildings_Water_Backend[[#This Row],[Total (tCO2e)]]*(1+Buildings_Water_Backend[[#This Row],[RSD]])</f>
        <v>#N/A</v>
      </c>
      <c r="AO44" s="210" t="e">
        <f>_xlfn.XLOOKUP(_xlfn.CONCAT(Buildings_Water_Backend[[#This Row],[Level 1]:[Level 6]]),rng_EFConcat,rng_EFOOS)*Buildings_Water_Backend[[#This Row],[Converted data]]/1000</f>
        <v>#N/A</v>
      </c>
      <c r="AP44" s="174">
        <f>Buildings_Water_Frontend[[#This Row],[Ease of collection]]</f>
        <v>0</v>
      </c>
      <c r="AQ44" s="174">
        <f>Buildings_Water_Frontend[[#This Row],[Completeness]]</f>
        <v>0</v>
      </c>
      <c r="AR44" s="174">
        <f>Buildings_Water_Frontend[[#This Row],[Notes]]</f>
        <v>0</v>
      </c>
    </row>
    <row r="45" spans="2:44" x14ac:dyDescent="0.3">
      <c r="E45" s="346"/>
      <c r="F45" s="364"/>
      <c r="G45" s="336"/>
      <c r="H45" s="336"/>
      <c r="I45" s="334"/>
      <c r="J45" s="336"/>
      <c r="K45" s="336"/>
      <c r="L45" s="336"/>
      <c r="M45" s="337"/>
      <c r="N45" s="242">
        <f t="shared" si="1"/>
        <v>5</v>
      </c>
      <c r="Q45" s="212" t="str">
        <f t="shared" si="0"/>
        <v/>
      </c>
      <c r="R45" s="174" t="s">
        <v>265</v>
      </c>
      <c r="S45" s="174" t="s">
        <v>273</v>
      </c>
      <c r="T45" s="174" t="e">
        <f>_xlfn.XLOOKUP(Buildings_Water_Backend[[#This Row],[Info 1]],Buildings_SiteInfo[Site name],Buildings_SiteInfo[Site type])</f>
        <v>#N/A</v>
      </c>
      <c r="U45" s="174" t="s">
        <v>327</v>
      </c>
      <c r="V45" s="174">
        <f>Buildings_Water_Frontend[[#This Row],[Type]]</f>
        <v>0</v>
      </c>
      <c r="W45" s="174" t="e" cm="1">
        <f t="array" aca="1" ref="W45" ca="1">_xlfn.XLOOKUP(Buildings_Water_Backend[[#This Row],[Level 5]],rng_Level5Long,rng_Level6Long)</f>
        <v>#N/A</v>
      </c>
      <c r="X45" s="174">
        <f>Buildings_Water_Frontend[[#This Row],[Site Name]]</f>
        <v>0</v>
      </c>
      <c r="Y45" s="174">
        <f>Buildings_Water_Frontend[[#This Row],[Meter Reference]]</f>
        <v>0</v>
      </c>
      <c r="Z45" s="220">
        <f>Buildings_Water_Frontend[[#This Row],[Methodology]]</f>
        <v>0</v>
      </c>
      <c r="AA45" s="229" t="e" cm="1">
        <f t="array" ref="AA45">INDEX(_xlfn.SWITCH(Buildings_Water_Backend[[#This Row],[Methodology]],"Tier 1",rng_RSD1,"Tier 2",rng_RSD2,"Tier 3",rng_RSD3),MATCH(_xlfn.CONCAT(Buildings_Water_Backend[[#This Row],[Level 1]:[Level 6]]),rng_LevelsConcat,0))</f>
        <v>#N/A</v>
      </c>
      <c r="AB45" s="224">
        <f>Buildings_Water_Frontend[[#This Row],[Data]]</f>
        <v>0</v>
      </c>
      <c r="AC45" s="174">
        <f>Buildings_Water_Frontend[[#This Row],[Units]]</f>
        <v>0</v>
      </c>
      <c r="AD45" s="220" t="e">
        <f>IF(Buildings_Water_Backend[[#This Row],[Units]]=Buildings_Water_Backend[[#This Row],[Standard units]],Buildings_Water_Backend[[#This Row],[Data]],Buildings_Water_Backend[[#This Row],[Data]]*_xlfn.XLOOKUP(_xlfn.CONCAT(Buildings_Water_Backend[[#This Row],[Level 1]:[Level 6]]),rng_EFConcat,rng_EFConversion))</f>
        <v>#N/A</v>
      </c>
      <c r="AE45" s="174" t="e" cm="1">
        <f t="array" ref="AE45">_xlfn.XLOOKUP(_xlfn.CONCAT(Buildings_Water_Backend[[#This Row],[Level 1]:[Level 6]]),rng_LevelsConcat,rng_UnitsLong)</f>
        <v>#N/A</v>
      </c>
      <c r="AF45" s="210" t="e">
        <f>_xlfn.XLOOKUP(_xlfn.CONCAT(Buildings_Water_Backend[[#This Row],[Level 1]:[Level 6]]),rng_EFConcat,rng_EF1)*Buildings_Water_Backend[[#This Row],[Converted data]]/1000</f>
        <v>#N/A</v>
      </c>
      <c r="AG45" s="210" t="e">
        <f>_xlfn.XLOOKUP(_xlfn.CONCAT(Buildings_Water_Backend[[#This Row],[Level 1]:[Level 6]]),rng_EFConcat,rng_EF2)*Buildings_Water_Backend[[#This Row],[Converted data]]/1000</f>
        <v>#N/A</v>
      </c>
      <c r="AH45" s="210" t="e">
        <f>_xlfn.XLOOKUP(_xlfn.CONCAT(Buildings_Water_Backend[[#This Row],[Level 1]:[Level 6]]),rng_EFConcat,rng_EF3)*Buildings_Water_Backend[[#This Row],[Converted data]]/1000</f>
        <v>#N/A</v>
      </c>
      <c r="AI45" s="210" t="e">
        <f>_xlfn.XLOOKUP(_xlfn.CONCAT(Buildings_Water_Backend[[#This Row],[Level 1]:[Level 6]]),rng_EFConcat,rng_EF3WTT)*Buildings_Water_Backend[[#This Row],[Converted data]]/1000</f>
        <v>#N/A</v>
      </c>
      <c r="AJ45" s="210" t="e">
        <f>_xlfn.XLOOKUP(_xlfn.CONCAT(Buildings_Water_Backend[[#This Row],[Level 1]:[Level 6]]),rng_EFConcat,rng_EF3TD)*Buildings_Water_Backend[[#This Row],[Converted data]]/1000</f>
        <v>#N/A</v>
      </c>
      <c r="AK45" s="210" t="e">
        <f>_xlfn.XLOOKUP(_xlfn.CONCAT(Buildings_Water_Backend[[#This Row],[Level 1]:[Level 6]]),rng_EFConcat,rng_EF3WTTTD)*Buildings_Water_Backend[[#This Row],[Converted data]]/1000</f>
        <v>#N/A</v>
      </c>
      <c r="AL45" s="220" t="e">
        <f>SUM(Buildings_Water_Backend[[#This Row],[Scope 1 (tCO2e)]:[Scope 3 WTT T&amp;D (tCO2e)]])</f>
        <v>#N/A</v>
      </c>
      <c r="AM45" s="220" t="e">
        <f>Buildings_Water_Backend[[#This Row],[Total (tCO2e)]]*(1-Buildings_Water_Backend[[#This Row],[RSD]])</f>
        <v>#N/A</v>
      </c>
      <c r="AN45" s="220" t="e">
        <f>Buildings_Water_Backend[[#This Row],[Total (tCO2e)]]*(1+Buildings_Water_Backend[[#This Row],[RSD]])</f>
        <v>#N/A</v>
      </c>
      <c r="AO45" s="210" t="e">
        <f>_xlfn.XLOOKUP(_xlfn.CONCAT(Buildings_Water_Backend[[#This Row],[Level 1]:[Level 6]]),rng_EFConcat,rng_EFOOS)*Buildings_Water_Backend[[#This Row],[Converted data]]/1000</f>
        <v>#N/A</v>
      </c>
      <c r="AP45" s="174">
        <f>Buildings_Water_Frontend[[#This Row],[Ease of collection]]</f>
        <v>0</v>
      </c>
      <c r="AQ45" s="174">
        <f>Buildings_Water_Frontend[[#This Row],[Completeness]]</f>
        <v>0</v>
      </c>
      <c r="AR45" s="174">
        <f>Buildings_Water_Frontend[[#This Row],[Notes]]</f>
        <v>0</v>
      </c>
    </row>
    <row r="46" spans="2:44" x14ac:dyDescent="0.3">
      <c r="E46" s="346"/>
      <c r="F46" s="364"/>
      <c r="G46" s="336"/>
      <c r="H46" s="336"/>
      <c r="I46" s="334"/>
      <c r="J46" s="336"/>
      <c r="K46" s="336"/>
      <c r="L46" s="336"/>
      <c r="M46" s="337"/>
      <c r="N46" s="242">
        <f t="shared" si="1"/>
        <v>5</v>
      </c>
      <c r="Q46" s="212" t="str">
        <f t="shared" si="0"/>
        <v/>
      </c>
      <c r="R46" s="174" t="s">
        <v>265</v>
      </c>
      <c r="S46" s="174" t="s">
        <v>273</v>
      </c>
      <c r="T46" s="174" t="e">
        <f>_xlfn.XLOOKUP(Buildings_Water_Backend[[#This Row],[Info 1]],Buildings_SiteInfo[Site name],Buildings_SiteInfo[Site type])</f>
        <v>#N/A</v>
      </c>
      <c r="U46" s="174" t="s">
        <v>327</v>
      </c>
      <c r="V46" s="174">
        <f>Buildings_Water_Frontend[[#This Row],[Type]]</f>
        <v>0</v>
      </c>
      <c r="W46" s="174" t="e" cm="1">
        <f t="array" aca="1" ref="W46" ca="1">_xlfn.XLOOKUP(Buildings_Water_Backend[[#This Row],[Level 5]],rng_Level5Long,rng_Level6Long)</f>
        <v>#N/A</v>
      </c>
      <c r="X46" s="174">
        <f>Buildings_Water_Frontend[[#This Row],[Site Name]]</f>
        <v>0</v>
      </c>
      <c r="Y46" s="174">
        <f>Buildings_Water_Frontend[[#This Row],[Meter Reference]]</f>
        <v>0</v>
      </c>
      <c r="Z46" s="220">
        <f>Buildings_Water_Frontend[[#This Row],[Methodology]]</f>
        <v>0</v>
      </c>
      <c r="AA46" s="229" t="e" cm="1">
        <f t="array" ref="AA46">INDEX(_xlfn.SWITCH(Buildings_Water_Backend[[#This Row],[Methodology]],"Tier 1",rng_RSD1,"Tier 2",rng_RSD2,"Tier 3",rng_RSD3),MATCH(_xlfn.CONCAT(Buildings_Water_Backend[[#This Row],[Level 1]:[Level 6]]),rng_LevelsConcat,0))</f>
        <v>#N/A</v>
      </c>
      <c r="AB46" s="224">
        <f>Buildings_Water_Frontend[[#This Row],[Data]]</f>
        <v>0</v>
      </c>
      <c r="AC46" s="174">
        <f>Buildings_Water_Frontend[[#This Row],[Units]]</f>
        <v>0</v>
      </c>
      <c r="AD46" s="220" t="e">
        <f>IF(Buildings_Water_Backend[[#This Row],[Units]]=Buildings_Water_Backend[[#This Row],[Standard units]],Buildings_Water_Backend[[#This Row],[Data]],Buildings_Water_Backend[[#This Row],[Data]]*_xlfn.XLOOKUP(_xlfn.CONCAT(Buildings_Water_Backend[[#This Row],[Level 1]:[Level 6]]),rng_EFConcat,rng_EFConversion))</f>
        <v>#N/A</v>
      </c>
      <c r="AE46" s="174" t="e" cm="1">
        <f t="array" ref="AE46">_xlfn.XLOOKUP(_xlfn.CONCAT(Buildings_Water_Backend[[#This Row],[Level 1]:[Level 6]]),rng_LevelsConcat,rng_UnitsLong)</f>
        <v>#N/A</v>
      </c>
      <c r="AF46" s="210" t="e">
        <f>_xlfn.XLOOKUP(_xlfn.CONCAT(Buildings_Water_Backend[[#This Row],[Level 1]:[Level 6]]),rng_EFConcat,rng_EF1)*Buildings_Water_Backend[[#This Row],[Converted data]]/1000</f>
        <v>#N/A</v>
      </c>
      <c r="AG46" s="210" t="e">
        <f>_xlfn.XLOOKUP(_xlfn.CONCAT(Buildings_Water_Backend[[#This Row],[Level 1]:[Level 6]]),rng_EFConcat,rng_EF2)*Buildings_Water_Backend[[#This Row],[Converted data]]/1000</f>
        <v>#N/A</v>
      </c>
      <c r="AH46" s="210" t="e">
        <f>_xlfn.XLOOKUP(_xlfn.CONCAT(Buildings_Water_Backend[[#This Row],[Level 1]:[Level 6]]),rng_EFConcat,rng_EF3)*Buildings_Water_Backend[[#This Row],[Converted data]]/1000</f>
        <v>#N/A</v>
      </c>
      <c r="AI46" s="210" t="e">
        <f>_xlfn.XLOOKUP(_xlfn.CONCAT(Buildings_Water_Backend[[#This Row],[Level 1]:[Level 6]]),rng_EFConcat,rng_EF3WTT)*Buildings_Water_Backend[[#This Row],[Converted data]]/1000</f>
        <v>#N/A</v>
      </c>
      <c r="AJ46" s="210" t="e">
        <f>_xlfn.XLOOKUP(_xlfn.CONCAT(Buildings_Water_Backend[[#This Row],[Level 1]:[Level 6]]),rng_EFConcat,rng_EF3TD)*Buildings_Water_Backend[[#This Row],[Converted data]]/1000</f>
        <v>#N/A</v>
      </c>
      <c r="AK46" s="210" t="e">
        <f>_xlfn.XLOOKUP(_xlfn.CONCAT(Buildings_Water_Backend[[#This Row],[Level 1]:[Level 6]]),rng_EFConcat,rng_EF3WTTTD)*Buildings_Water_Backend[[#This Row],[Converted data]]/1000</f>
        <v>#N/A</v>
      </c>
      <c r="AL46" s="220" t="e">
        <f>SUM(Buildings_Water_Backend[[#This Row],[Scope 1 (tCO2e)]:[Scope 3 WTT T&amp;D (tCO2e)]])</f>
        <v>#N/A</v>
      </c>
      <c r="AM46" s="220" t="e">
        <f>Buildings_Water_Backend[[#This Row],[Total (tCO2e)]]*(1-Buildings_Water_Backend[[#This Row],[RSD]])</f>
        <v>#N/A</v>
      </c>
      <c r="AN46" s="220" t="e">
        <f>Buildings_Water_Backend[[#This Row],[Total (tCO2e)]]*(1+Buildings_Water_Backend[[#This Row],[RSD]])</f>
        <v>#N/A</v>
      </c>
      <c r="AO46" s="210" t="e">
        <f>_xlfn.XLOOKUP(_xlfn.CONCAT(Buildings_Water_Backend[[#This Row],[Level 1]:[Level 6]]),rng_EFConcat,rng_EFOOS)*Buildings_Water_Backend[[#This Row],[Converted data]]/1000</f>
        <v>#N/A</v>
      </c>
      <c r="AP46" s="174">
        <f>Buildings_Water_Frontend[[#This Row],[Ease of collection]]</f>
        <v>0</v>
      </c>
      <c r="AQ46" s="174">
        <f>Buildings_Water_Frontend[[#This Row],[Completeness]]</f>
        <v>0</v>
      </c>
      <c r="AR46" s="174">
        <f>Buildings_Water_Frontend[[#This Row],[Notes]]</f>
        <v>0</v>
      </c>
    </row>
    <row r="47" spans="2:44" x14ac:dyDescent="0.3">
      <c r="E47" s="346"/>
      <c r="F47" s="364"/>
      <c r="G47" s="336"/>
      <c r="H47" s="336"/>
      <c r="I47" s="334"/>
      <c r="J47" s="336"/>
      <c r="K47" s="336"/>
      <c r="L47" s="336"/>
      <c r="M47" s="337"/>
      <c r="N47" s="242">
        <f t="shared" si="1"/>
        <v>5</v>
      </c>
      <c r="Q47" s="212" t="str">
        <f t="shared" si="0"/>
        <v/>
      </c>
      <c r="R47" s="174" t="s">
        <v>265</v>
      </c>
      <c r="S47" s="174" t="s">
        <v>273</v>
      </c>
      <c r="T47" s="174" t="e">
        <f>_xlfn.XLOOKUP(Buildings_Water_Backend[[#This Row],[Info 1]],Buildings_SiteInfo[Site name],Buildings_SiteInfo[Site type])</f>
        <v>#N/A</v>
      </c>
      <c r="U47" s="174" t="s">
        <v>327</v>
      </c>
      <c r="V47" s="174">
        <f>Buildings_Water_Frontend[[#This Row],[Type]]</f>
        <v>0</v>
      </c>
      <c r="W47" s="174" t="e" cm="1">
        <f t="array" aca="1" ref="W47" ca="1">_xlfn.XLOOKUP(Buildings_Water_Backend[[#This Row],[Level 5]],rng_Level5Long,rng_Level6Long)</f>
        <v>#N/A</v>
      </c>
      <c r="X47" s="174">
        <f>Buildings_Water_Frontend[[#This Row],[Site Name]]</f>
        <v>0</v>
      </c>
      <c r="Y47" s="174">
        <f>Buildings_Water_Frontend[[#This Row],[Meter Reference]]</f>
        <v>0</v>
      </c>
      <c r="Z47" s="220">
        <f>Buildings_Water_Frontend[[#This Row],[Methodology]]</f>
        <v>0</v>
      </c>
      <c r="AA47" s="229" t="e" cm="1">
        <f t="array" ref="AA47">INDEX(_xlfn.SWITCH(Buildings_Water_Backend[[#This Row],[Methodology]],"Tier 1",rng_RSD1,"Tier 2",rng_RSD2,"Tier 3",rng_RSD3),MATCH(_xlfn.CONCAT(Buildings_Water_Backend[[#This Row],[Level 1]:[Level 6]]),rng_LevelsConcat,0))</f>
        <v>#N/A</v>
      </c>
      <c r="AB47" s="224">
        <f>Buildings_Water_Frontend[[#This Row],[Data]]</f>
        <v>0</v>
      </c>
      <c r="AC47" s="174">
        <f>Buildings_Water_Frontend[[#This Row],[Units]]</f>
        <v>0</v>
      </c>
      <c r="AD47" s="220" t="e">
        <f>IF(Buildings_Water_Backend[[#This Row],[Units]]=Buildings_Water_Backend[[#This Row],[Standard units]],Buildings_Water_Backend[[#This Row],[Data]],Buildings_Water_Backend[[#This Row],[Data]]*_xlfn.XLOOKUP(_xlfn.CONCAT(Buildings_Water_Backend[[#This Row],[Level 1]:[Level 6]]),rng_EFConcat,rng_EFConversion))</f>
        <v>#N/A</v>
      </c>
      <c r="AE47" s="174" t="e" cm="1">
        <f t="array" ref="AE47">_xlfn.XLOOKUP(_xlfn.CONCAT(Buildings_Water_Backend[[#This Row],[Level 1]:[Level 6]]),rng_LevelsConcat,rng_UnitsLong)</f>
        <v>#N/A</v>
      </c>
      <c r="AF47" s="210" t="e">
        <f>_xlfn.XLOOKUP(_xlfn.CONCAT(Buildings_Water_Backend[[#This Row],[Level 1]:[Level 6]]),rng_EFConcat,rng_EF1)*Buildings_Water_Backend[[#This Row],[Converted data]]/1000</f>
        <v>#N/A</v>
      </c>
      <c r="AG47" s="210" t="e">
        <f>_xlfn.XLOOKUP(_xlfn.CONCAT(Buildings_Water_Backend[[#This Row],[Level 1]:[Level 6]]),rng_EFConcat,rng_EF2)*Buildings_Water_Backend[[#This Row],[Converted data]]/1000</f>
        <v>#N/A</v>
      </c>
      <c r="AH47" s="210" t="e">
        <f>_xlfn.XLOOKUP(_xlfn.CONCAT(Buildings_Water_Backend[[#This Row],[Level 1]:[Level 6]]),rng_EFConcat,rng_EF3)*Buildings_Water_Backend[[#This Row],[Converted data]]/1000</f>
        <v>#N/A</v>
      </c>
      <c r="AI47" s="210" t="e">
        <f>_xlfn.XLOOKUP(_xlfn.CONCAT(Buildings_Water_Backend[[#This Row],[Level 1]:[Level 6]]),rng_EFConcat,rng_EF3WTT)*Buildings_Water_Backend[[#This Row],[Converted data]]/1000</f>
        <v>#N/A</v>
      </c>
      <c r="AJ47" s="210" t="e">
        <f>_xlfn.XLOOKUP(_xlfn.CONCAT(Buildings_Water_Backend[[#This Row],[Level 1]:[Level 6]]),rng_EFConcat,rng_EF3TD)*Buildings_Water_Backend[[#This Row],[Converted data]]/1000</f>
        <v>#N/A</v>
      </c>
      <c r="AK47" s="210" t="e">
        <f>_xlfn.XLOOKUP(_xlfn.CONCAT(Buildings_Water_Backend[[#This Row],[Level 1]:[Level 6]]),rng_EFConcat,rng_EF3WTTTD)*Buildings_Water_Backend[[#This Row],[Converted data]]/1000</f>
        <v>#N/A</v>
      </c>
      <c r="AL47" s="220" t="e">
        <f>SUM(Buildings_Water_Backend[[#This Row],[Scope 1 (tCO2e)]:[Scope 3 WTT T&amp;D (tCO2e)]])</f>
        <v>#N/A</v>
      </c>
      <c r="AM47" s="220" t="e">
        <f>Buildings_Water_Backend[[#This Row],[Total (tCO2e)]]*(1-Buildings_Water_Backend[[#This Row],[RSD]])</f>
        <v>#N/A</v>
      </c>
      <c r="AN47" s="220" t="e">
        <f>Buildings_Water_Backend[[#This Row],[Total (tCO2e)]]*(1+Buildings_Water_Backend[[#This Row],[RSD]])</f>
        <v>#N/A</v>
      </c>
      <c r="AO47" s="210" t="e">
        <f>_xlfn.XLOOKUP(_xlfn.CONCAT(Buildings_Water_Backend[[#This Row],[Level 1]:[Level 6]]),rng_EFConcat,rng_EFOOS)*Buildings_Water_Backend[[#This Row],[Converted data]]/1000</f>
        <v>#N/A</v>
      </c>
      <c r="AP47" s="174">
        <f>Buildings_Water_Frontend[[#This Row],[Ease of collection]]</f>
        <v>0</v>
      </c>
      <c r="AQ47" s="174">
        <f>Buildings_Water_Frontend[[#This Row],[Completeness]]</f>
        <v>0</v>
      </c>
      <c r="AR47" s="174">
        <f>Buildings_Water_Frontend[[#This Row],[Notes]]</f>
        <v>0</v>
      </c>
    </row>
    <row r="48" spans="2:44" x14ac:dyDescent="0.3">
      <c r="E48" s="346"/>
      <c r="F48" s="364"/>
      <c r="G48" s="336"/>
      <c r="H48" s="336"/>
      <c r="I48" s="334"/>
      <c r="J48" s="336"/>
      <c r="K48" s="336"/>
      <c r="L48" s="336"/>
      <c r="M48" s="337"/>
      <c r="N48" s="242">
        <f t="shared" si="1"/>
        <v>5</v>
      </c>
      <c r="Q48" s="212" t="str">
        <f t="shared" si="0"/>
        <v/>
      </c>
      <c r="R48" s="174" t="s">
        <v>265</v>
      </c>
      <c r="S48" s="174" t="s">
        <v>273</v>
      </c>
      <c r="T48" s="174" t="e">
        <f>_xlfn.XLOOKUP(Buildings_Water_Backend[[#This Row],[Info 1]],Buildings_SiteInfo[Site name],Buildings_SiteInfo[Site type])</f>
        <v>#N/A</v>
      </c>
      <c r="U48" s="174" t="s">
        <v>327</v>
      </c>
      <c r="V48" s="174">
        <f>Buildings_Water_Frontend[[#This Row],[Type]]</f>
        <v>0</v>
      </c>
      <c r="W48" s="174" t="e" cm="1">
        <f t="array" aca="1" ref="W48" ca="1">_xlfn.XLOOKUP(Buildings_Water_Backend[[#This Row],[Level 5]],rng_Level5Long,rng_Level6Long)</f>
        <v>#N/A</v>
      </c>
      <c r="X48" s="174">
        <f>Buildings_Water_Frontend[[#This Row],[Site Name]]</f>
        <v>0</v>
      </c>
      <c r="Y48" s="174">
        <f>Buildings_Water_Frontend[[#This Row],[Meter Reference]]</f>
        <v>0</v>
      </c>
      <c r="Z48" s="220">
        <f>Buildings_Water_Frontend[[#This Row],[Methodology]]</f>
        <v>0</v>
      </c>
      <c r="AA48" s="229" t="e" cm="1">
        <f t="array" ref="AA48">INDEX(_xlfn.SWITCH(Buildings_Water_Backend[[#This Row],[Methodology]],"Tier 1",rng_RSD1,"Tier 2",rng_RSD2,"Tier 3",rng_RSD3),MATCH(_xlfn.CONCAT(Buildings_Water_Backend[[#This Row],[Level 1]:[Level 6]]),rng_LevelsConcat,0))</f>
        <v>#N/A</v>
      </c>
      <c r="AB48" s="224">
        <f>Buildings_Water_Frontend[[#This Row],[Data]]</f>
        <v>0</v>
      </c>
      <c r="AC48" s="174">
        <f>Buildings_Water_Frontend[[#This Row],[Units]]</f>
        <v>0</v>
      </c>
      <c r="AD48" s="220" t="e">
        <f>IF(Buildings_Water_Backend[[#This Row],[Units]]=Buildings_Water_Backend[[#This Row],[Standard units]],Buildings_Water_Backend[[#This Row],[Data]],Buildings_Water_Backend[[#This Row],[Data]]*_xlfn.XLOOKUP(_xlfn.CONCAT(Buildings_Water_Backend[[#This Row],[Level 1]:[Level 6]]),rng_EFConcat,rng_EFConversion))</f>
        <v>#N/A</v>
      </c>
      <c r="AE48" s="174" t="e" cm="1">
        <f t="array" ref="AE48">_xlfn.XLOOKUP(_xlfn.CONCAT(Buildings_Water_Backend[[#This Row],[Level 1]:[Level 6]]),rng_LevelsConcat,rng_UnitsLong)</f>
        <v>#N/A</v>
      </c>
      <c r="AF48" s="210" t="e">
        <f>_xlfn.XLOOKUP(_xlfn.CONCAT(Buildings_Water_Backend[[#This Row],[Level 1]:[Level 6]]),rng_EFConcat,rng_EF1)*Buildings_Water_Backend[[#This Row],[Converted data]]/1000</f>
        <v>#N/A</v>
      </c>
      <c r="AG48" s="210" t="e">
        <f>_xlfn.XLOOKUP(_xlfn.CONCAT(Buildings_Water_Backend[[#This Row],[Level 1]:[Level 6]]),rng_EFConcat,rng_EF2)*Buildings_Water_Backend[[#This Row],[Converted data]]/1000</f>
        <v>#N/A</v>
      </c>
      <c r="AH48" s="210" t="e">
        <f>_xlfn.XLOOKUP(_xlfn.CONCAT(Buildings_Water_Backend[[#This Row],[Level 1]:[Level 6]]),rng_EFConcat,rng_EF3)*Buildings_Water_Backend[[#This Row],[Converted data]]/1000</f>
        <v>#N/A</v>
      </c>
      <c r="AI48" s="210" t="e">
        <f>_xlfn.XLOOKUP(_xlfn.CONCAT(Buildings_Water_Backend[[#This Row],[Level 1]:[Level 6]]),rng_EFConcat,rng_EF3WTT)*Buildings_Water_Backend[[#This Row],[Converted data]]/1000</f>
        <v>#N/A</v>
      </c>
      <c r="AJ48" s="210" t="e">
        <f>_xlfn.XLOOKUP(_xlfn.CONCAT(Buildings_Water_Backend[[#This Row],[Level 1]:[Level 6]]),rng_EFConcat,rng_EF3TD)*Buildings_Water_Backend[[#This Row],[Converted data]]/1000</f>
        <v>#N/A</v>
      </c>
      <c r="AK48" s="210" t="e">
        <f>_xlfn.XLOOKUP(_xlfn.CONCAT(Buildings_Water_Backend[[#This Row],[Level 1]:[Level 6]]),rng_EFConcat,rng_EF3WTTTD)*Buildings_Water_Backend[[#This Row],[Converted data]]/1000</f>
        <v>#N/A</v>
      </c>
      <c r="AL48" s="220" t="e">
        <f>SUM(Buildings_Water_Backend[[#This Row],[Scope 1 (tCO2e)]:[Scope 3 WTT T&amp;D (tCO2e)]])</f>
        <v>#N/A</v>
      </c>
      <c r="AM48" s="220" t="e">
        <f>Buildings_Water_Backend[[#This Row],[Total (tCO2e)]]*(1-Buildings_Water_Backend[[#This Row],[RSD]])</f>
        <v>#N/A</v>
      </c>
      <c r="AN48" s="220" t="e">
        <f>Buildings_Water_Backend[[#This Row],[Total (tCO2e)]]*(1+Buildings_Water_Backend[[#This Row],[RSD]])</f>
        <v>#N/A</v>
      </c>
      <c r="AO48" s="210" t="e">
        <f>_xlfn.XLOOKUP(_xlfn.CONCAT(Buildings_Water_Backend[[#This Row],[Level 1]:[Level 6]]),rng_EFConcat,rng_EFOOS)*Buildings_Water_Backend[[#This Row],[Converted data]]/1000</f>
        <v>#N/A</v>
      </c>
      <c r="AP48" s="174">
        <f>Buildings_Water_Frontend[[#This Row],[Ease of collection]]</f>
        <v>0</v>
      </c>
      <c r="AQ48" s="174">
        <f>Buildings_Water_Frontend[[#This Row],[Completeness]]</f>
        <v>0</v>
      </c>
      <c r="AR48" s="174">
        <f>Buildings_Water_Frontend[[#This Row],[Notes]]</f>
        <v>0</v>
      </c>
    </row>
    <row r="49" spans="5:44" x14ac:dyDescent="0.3">
      <c r="E49" s="346"/>
      <c r="F49" s="364"/>
      <c r="G49" s="336"/>
      <c r="H49" s="336"/>
      <c r="I49" s="334"/>
      <c r="J49" s="336"/>
      <c r="K49" s="336"/>
      <c r="L49" s="336"/>
      <c r="M49" s="337"/>
      <c r="N49" s="242">
        <f t="shared" si="1"/>
        <v>5</v>
      </c>
      <c r="Q49" s="212" t="str">
        <f t="shared" si="0"/>
        <v/>
      </c>
      <c r="R49" s="174" t="s">
        <v>265</v>
      </c>
      <c r="S49" s="174" t="s">
        <v>273</v>
      </c>
      <c r="T49" s="174" t="e">
        <f>_xlfn.XLOOKUP(Buildings_Water_Backend[[#This Row],[Info 1]],Buildings_SiteInfo[Site name],Buildings_SiteInfo[Site type])</f>
        <v>#N/A</v>
      </c>
      <c r="U49" s="174" t="s">
        <v>327</v>
      </c>
      <c r="V49" s="174">
        <f>Buildings_Water_Frontend[[#This Row],[Type]]</f>
        <v>0</v>
      </c>
      <c r="W49" s="174" t="e" cm="1">
        <f t="array" aca="1" ref="W49" ca="1">_xlfn.XLOOKUP(Buildings_Water_Backend[[#This Row],[Level 5]],rng_Level5Long,rng_Level6Long)</f>
        <v>#N/A</v>
      </c>
      <c r="X49" s="174">
        <f>Buildings_Water_Frontend[[#This Row],[Site Name]]</f>
        <v>0</v>
      </c>
      <c r="Y49" s="174">
        <f>Buildings_Water_Frontend[[#This Row],[Meter Reference]]</f>
        <v>0</v>
      </c>
      <c r="Z49" s="220">
        <f>Buildings_Water_Frontend[[#This Row],[Methodology]]</f>
        <v>0</v>
      </c>
      <c r="AA49" s="229" t="e" cm="1">
        <f t="array" ref="AA49">INDEX(_xlfn.SWITCH(Buildings_Water_Backend[[#This Row],[Methodology]],"Tier 1",rng_RSD1,"Tier 2",rng_RSD2,"Tier 3",rng_RSD3),MATCH(_xlfn.CONCAT(Buildings_Water_Backend[[#This Row],[Level 1]:[Level 6]]),rng_LevelsConcat,0))</f>
        <v>#N/A</v>
      </c>
      <c r="AB49" s="224">
        <f>Buildings_Water_Frontend[[#This Row],[Data]]</f>
        <v>0</v>
      </c>
      <c r="AC49" s="174">
        <f>Buildings_Water_Frontend[[#This Row],[Units]]</f>
        <v>0</v>
      </c>
      <c r="AD49" s="220" t="e">
        <f>IF(Buildings_Water_Backend[[#This Row],[Units]]=Buildings_Water_Backend[[#This Row],[Standard units]],Buildings_Water_Backend[[#This Row],[Data]],Buildings_Water_Backend[[#This Row],[Data]]*_xlfn.XLOOKUP(_xlfn.CONCAT(Buildings_Water_Backend[[#This Row],[Level 1]:[Level 6]]),rng_EFConcat,rng_EFConversion))</f>
        <v>#N/A</v>
      </c>
      <c r="AE49" s="174" t="e" cm="1">
        <f t="array" ref="AE49">_xlfn.XLOOKUP(_xlfn.CONCAT(Buildings_Water_Backend[[#This Row],[Level 1]:[Level 6]]),rng_LevelsConcat,rng_UnitsLong)</f>
        <v>#N/A</v>
      </c>
      <c r="AF49" s="210" t="e">
        <f>_xlfn.XLOOKUP(_xlfn.CONCAT(Buildings_Water_Backend[[#This Row],[Level 1]:[Level 6]]),rng_EFConcat,rng_EF1)*Buildings_Water_Backend[[#This Row],[Converted data]]/1000</f>
        <v>#N/A</v>
      </c>
      <c r="AG49" s="210" t="e">
        <f>_xlfn.XLOOKUP(_xlfn.CONCAT(Buildings_Water_Backend[[#This Row],[Level 1]:[Level 6]]),rng_EFConcat,rng_EF2)*Buildings_Water_Backend[[#This Row],[Converted data]]/1000</f>
        <v>#N/A</v>
      </c>
      <c r="AH49" s="210" t="e">
        <f>_xlfn.XLOOKUP(_xlfn.CONCAT(Buildings_Water_Backend[[#This Row],[Level 1]:[Level 6]]),rng_EFConcat,rng_EF3)*Buildings_Water_Backend[[#This Row],[Converted data]]/1000</f>
        <v>#N/A</v>
      </c>
      <c r="AI49" s="210" t="e">
        <f>_xlfn.XLOOKUP(_xlfn.CONCAT(Buildings_Water_Backend[[#This Row],[Level 1]:[Level 6]]),rng_EFConcat,rng_EF3WTT)*Buildings_Water_Backend[[#This Row],[Converted data]]/1000</f>
        <v>#N/A</v>
      </c>
      <c r="AJ49" s="210" t="e">
        <f>_xlfn.XLOOKUP(_xlfn.CONCAT(Buildings_Water_Backend[[#This Row],[Level 1]:[Level 6]]),rng_EFConcat,rng_EF3TD)*Buildings_Water_Backend[[#This Row],[Converted data]]/1000</f>
        <v>#N/A</v>
      </c>
      <c r="AK49" s="210" t="e">
        <f>_xlfn.XLOOKUP(_xlfn.CONCAT(Buildings_Water_Backend[[#This Row],[Level 1]:[Level 6]]),rng_EFConcat,rng_EF3WTTTD)*Buildings_Water_Backend[[#This Row],[Converted data]]/1000</f>
        <v>#N/A</v>
      </c>
      <c r="AL49" s="220" t="e">
        <f>SUM(Buildings_Water_Backend[[#This Row],[Scope 1 (tCO2e)]:[Scope 3 WTT T&amp;D (tCO2e)]])</f>
        <v>#N/A</v>
      </c>
      <c r="AM49" s="220" t="e">
        <f>Buildings_Water_Backend[[#This Row],[Total (tCO2e)]]*(1-Buildings_Water_Backend[[#This Row],[RSD]])</f>
        <v>#N/A</v>
      </c>
      <c r="AN49" s="220" t="e">
        <f>Buildings_Water_Backend[[#This Row],[Total (tCO2e)]]*(1+Buildings_Water_Backend[[#This Row],[RSD]])</f>
        <v>#N/A</v>
      </c>
      <c r="AO49" s="210" t="e">
        <f>_xlfn.XLOOKUP(_xlfn.CONCAT(Buildings_Water_Backend[[#This Row],[Level 1]:[Level 6]]),rng_EFConcat,rng_EFOOS)*Buildings_Water_Backend[[#This Row],[Converted data]]/1000</f>
        <v>#N/A</v>
      </c>
      <c r="AP49" s="174">
        <f>Buildings_Water_Frontend[[#This Row],[Ease of collection]]</f>
        <v>0</v>
      </c>
      <c r="AQ49" s="174">
        <f>Buildings_Water_Frontend[[#This Row],[Completeness]]</f>
        <v>0</v>
      </c>
      <c r="AR49" s="174">
        <f>Buildings_Water_Frontend[[#This Row],[Notes]]</f>
        <v>0</v>
      </c>
    </row>
    <row r="50" spans="5:44" x14ac:dyDescent="0.3">
      <c r="E50" s="346"/>
      <c r="F50" s="364"/>
      <c r="G50" s="336"/>
      <c r="H50" s="336"/>
      <c r="I50" s="334"/>
      <c r="J50" s="336"/>
      <c r="K50" s="336"/>
      <c r="L50" s="336"/>
      <c r="M50" s="337"/>
      <c r="N50" s="242">
        <f t="shared" si="1"/>
        <v>5</v>
      </c>
      <c r="Q50" s="212" t="str">
        <f t="shared" si="0"/>
        <v/>
      </c>
      <c r="R50" s="174" t="s">
        <v>265</v>
      </c>
      <c r="S50" s="174" t="s">
        <v>273</v>
      </c>
      <c r="T50" s="174" t="e">
        <f>_xlfn.XLOOKUP(Buildings_Water_Backend[[#This Row],[Info 1]],Buildings_SiteInfo[Site name],Buildings_SiteInfo[Site type])</f>
        <v>#N/A</v>
      </c>
      <c r="U50" s="174" t="s">
        <v>327</v>
      </c>
      <c r="V50" s="174">
        <f>Buildings_Water_Frontend[[#This Row],[Type]]</f>
        <v>0</v>
      </c>
      <c r="W50" s="174" t="e" cm="1">
        <f t="array" aca="1" ref="W50" ca="1">_xlfn.XLOOKUP(Buildings_Water_Backend[[#This Row],[Level 5]],rng_Level5Long,rng_Level6Long)</f>
        <v>#N/A</v>
      </c>
      <c r="X50" s="174">
        <f>Buildings_Water_Frontend[[#This Row],[Site Name]]</f>
        <v>0</v>
      </c>
      <c r="Y50" s="174">
        <f>Buildings_Water_Frontend[[#This Row],[Meter Reference]]</f>
        <v>0</v>
      </c>
      <c r="Z50" s="220">
        <f>Buildings_Water_Frontend[[#This Row],[Methodology]]</f>
        <v>0</v>
      </c>
      <c r="AA50" s="229" t="e" cm="1">
        <f t="array" ref="AA50">INDEX(_xlfn.SWITCH(Buildings_Water_Backend[[#This Row],[Methodology]],"Tier 1",rng_RSD1,"Tier 2",rng_RSD2,"Tier 3",rng_RSD3),MATCH(_xlfn.CONCAT(Buildings_Water_Backend[[#This Row],[Level 1]:[Level 6]]),rng_LevelsConcat,0))</f>
        <v>#N/A</v>
      </c>
      <c r="AB50" s="224">
        <f>Buildings_Water_Frontend[[#This Row],[Data]]</f>
        <v>0</v>
      </c>
      <c r="AC50" s="174">
        <f>Buildings_Water_Frontend[[#This Row],[Units]]</f>
        <v>0</v>
      </c>
      <c r="AD50" s="220" t="e">
        <f>IF(Buildings_Water_Backend[[#This Row],[Units]]=Buildings_Water_Backend[[#This Row],[Standard units]],Buildings_Water_Backend[[#This Row],[Data]],Buildings_Water_Backend[[#This Row],[Data]]*_xlfn.XLOOKUP(_xlfn.CONCAT(Buildings_Water_Backend[[#This Row],[Level 1]:[Level 6]]),rng_EFConcat,rng_EFConversion))</f>
        <v>#N/A</v>
      </c>
      <c r="AE50" s="174" t="e" cm="1">
        <f t="array" ref="AE50">_xlfn.XLOOKUP(_xlfn.CONCAT(Buildings_Water_Backend[[#This Row],[Level 1]:[Level 6]]),rng_LevelsConcat,rng_UnitsLong)</f>
        <v>#N/A</v>
      </c>
      <c r="AF50" s="210" t="e">
        <f>_xlfn.XLOOKUP(_xlfn.CONCAT(Buildings_Water_Backend[[#This Row],[Level 1]:[Level 6]]),rng_EFConcat,rng_EF1)*Buildings_Water_Backend[[#This Row],[Converted data]]/1000</f>
        <v>#N/A</v>
      </c>
      <c r="AG50" s="210" t="e">
        <f>_xlfn.XLOOKUP(_xlfn.CONCAT(Buildings_Water_Backend[[#This Row],[Level 1]:[Level 6]]),rng_EFConcat,rng_EF2)*Buildings_Water_Backend[[#This Row],[Converted data]]/1000</f>
        <v>#N/A</v>
      </c>
      <c r="AH50" s="210" t="e">
        <f>_xlfn.XLOOKUP(_xlfn.CONCAT(Buildings_Water_Backend[[#This Row],[Level 1]:[Level 6]]),rng_EFConcat,rng_EF3)*Buildings_Water_Backend[[#This Row],[Converted data]]/1000</f>
        <v>#N/A</v>
      </c>
      <c r="AI50" s="210" t="e">
        <f>_xlfn.XLOOKUP(_xlfn.CONCAT(Buildings_Water_Backend[[#This Row],[Level 1]:[Level 6]]),rng_EFConcat,rng_EF3WTT)*Buildings_Water_Backend[[#This Row],[Converted data]]/1000</f>
        <v>#N/A</v>
      </c>
      <c r="AJ50" s="210" t="e">
        <f>_xlfn.XLOOKUP(_xlfn.CONCAT(Buildings_Water_Backend[[#This Row],[Level 1]:[Level 6]]),rng_EFConcat,rng_EF3TD)*Buildings_Water_Backend[[#This Row],[Converted data]]/1000</f>
        <v>#N/A</v>
      </c>
      <c r="AK50" s="210" t="e">
        <f>_xlfn.XLOOKUP(_xlfn.CONCAT(Buildings_Water_Backend[[#This Row],[Level 1]:[Level 6]]),rng_EFConcat,rng_EF3WTTTD)*Buildings_Water_Backend[[#This Row],[Converted data]]/1000</f>
        <v>#N/A</v>
      </c>
      <c r="AL50" s="220" t="e">
        <f>SUM(Buildings_Water_Backend[[#This Row],[Scope 1 (tCO2e)]:[Scope 3 WTT T&amp;D (tCO2e)]])</f>
        <v>#N/A</v>
      </c>
      <c r="AM50" s="220" t="e">
        <f>Buildings_Water_Backend[[#This Row],[Total (tCO2e)]]*(1-Buildings_Water_Backend[[#This Row],[RSD]])</f>
        <v>#N/A</v>
      </c>
      <c r="AN50" s="220" t="e">
        <f>Buildings_Water_Backend[[#This Row],[Total (tCO2e)]]*(1+Buildings_Water_Backend[[#This Row],[RSD]])</f>
        <v>#N/A</v>
      </c>
      <c r="AO50" s="210" t="e">
        <f>_xlfn.XLOOKUP(_xlfn.CONCAT(Buildings_Water_Backend[[#This Row],[Level 1]:[Level 6]]),rng_EFConcat,rng_EFOOS)*Buildings_Water_Backend[[#This Row],[Converted data]]/1000</f>
        <v>#N/A</v>
      </c>
      <c r="AP50" s="174">
        <f>Buildings_Water_Frontend[[#This Row],[Ease of collection]]</f>
        <v>0</v>
      </c>
      <c r="AQ50" s="174">
        <f>Buildings_Water_Frontend[[#This Row],[Completeness]]</f>
        <v>0</v>
      </c>
      <c r="AR50" s="174">
        <f>Buildings_Water_Frontend[[#This Row],[Notes]]</f>
        <v>0</v>
      </c>
    </row>
    <row r="51" spans="5:44" x14ac:dyDescent="0.3">
      <c r="E51" s="346"/>
      <c r="F51" s="364"/>
      <c r="G51" s="336"/>
      <c r="H51" s="336"/>
      <c r="I51" s="334"/>
      <c r="J51" s="336"/>
      <c r="K51" s="336"/>
      <c r="L51" s="336"/>
      <c r="M51" s="337"/>
      <c r="N51" s="242">
        <f t="shared" si="1"/>
        <v>5</v>
      </c>
      <c r="Q51" s="212" t="str">
        <f t="shared" si="0"/>
        <v/>
      </c>
      <c r="R51" s="174" t="s">
        <v>265</v>
      </c>
      <c r="S51" s="174" t="s">
        <v>273</v>
      </c>
      <c r="T51" s="174" t="e">
        <f>_xlfn.XLOOKUP(Buildings_Water_Backend[[#This Row],[Info 1]],Buildings_SiteInfo[Site name],Buildings_SiteInfo[Site type])</f>
        <v>#N/A</v>
      </c>
      <c r="U51" s="174" t="s">
        <v>327</v>
      </c>
      <c r="V51" s="174">
        <f>Buildings_Water_Frontend[[#This Row],[Type]]</f>
        <v>0</v>
      </c>
      <c r="W51" s="174" t="e" cm="1">
        <f t="array" aca="1" ref="W51" ca="1">_xlfn.XLOOKUP(Buildings_Water_Backend[[#This Row],[Level 5]],rng_Level5Long,rng_Level6Long)</f>
        <v>#N/A</v>
      </c>
      <c r="X51" s="174">
        <f>Buildings_Water_Frontend[[#This Row],[Site Name]]</f>
        <v>0</v>
      </c>
      <c r="Y51" s="174">
        <f>Buildings_Water_Frontend[[#This Row],[Meter Reference]]</f>
        <v>0</v>
      </c>
      <c r="Z51" s="220">
        <f>Buildings_Water_Frontend[[#This Row],[Methodology]]</f>
        <v>0</v>
      </c>
      <c r="AA51" s="229" t="e" cm="1">
        <f t="array" ref="AA51">INDEX(_xlfn.SWITCH(Buildings_Water_Backend[[#This Row],[Methodology]],"Tier 1",rng_RSD1,"Tier 2",rng_RSD2,"Tier 3",rng_RSD3),MATCH(_xlfn.CONCAT(Buildings_Water_Backend[[#This Row],[Level 1]:[Level 6]]),rng_LevelsConcat,0))</f>
        <v>#N/A</v>
      </c>
      <c r="AB51" s="224">
        <f>Buildings_Water_Frontend[[#This Row],[Data]]</f>
        <v>0</v>
      </c>
      <c r="AC51" s="174">
        <f>Buildings_Water_Frontend[[#This Row],[Units]]</f>
        <v>0</v>
      </c>
      <c r="AD51" s="220" t="e">
        <f>IF(Buildings_Water_Backend[[#This Row],[Units]]=Buildings_Water_Backend[[#This Row],[Standard units]],Buildings_Water_Backend[[#This Row],[Data]],Buildings_Water_Backend[[#This Row],[Data]]*_xlfn.XLOOKUP(_xlfn.CONCAT(Buildings_Water_Backend[[#This Row],[Level 1]:[Level 6]]),rng_EFConcat,rng_EFConversion))</f>
        <v>#N/A</v>
      </c>
      <c r="AE51" s="174" t="e" cm="1">
        <f t="array" ref="AE51">_xlfn.XLOOKUP(_xlfn.CONCAT(Buildings_Water_Backend[[#This Row],[Level 1]:[Level 6]]),rng_LevelsConcat,rng_UnitsLong)</f>
        <v>#N/A</v>
      </c>
      <c r="AF51" s="210" t="e">
        <f>_xlfn.XLOOKUP(_xlfn.CONCAT(Buildings_Water_Backend[[#This Row],[Level 1]:[Level 6]]),rng_EFConcat,rng_EF1)*Buildings_Water_Backend[[#This Row],[Converted data]]/1000</f>
        <v>#N/A</v>
      </c>
      <c r="AG51" s="210" t="e">
        <f>_xlfn.XLOOKUP(_xlfn.CONCAT(Buildings_Water_Backend[[#This Row],[Level 1]:[Level 6]]),rng_EFConcat,rng_EF2)*Buildings_Water_Backend[[#This Row],[Converted data]]/1000</f>
        <v>#N/A</v>
      </c>
      <c r="AH51" s="210" t="e">
        <f>_xlfn.XLOOKUP(_xlfn.CONCAT(Buildings_Water_Backend[[#This Row],[Level 1]:[Level 6]]),rng_EFConcat,rng_EF3)*Buildings_Water_Backend[[#This Row],[Converted data]]/1000</f>
        <v>#N/A</v>
      </c>
      <c r="AI51" s="210" t="e">
        <f>_xlfn.XLOOKUP(_xlfn.CONCAT(Buildings_Water_Backend[[#This Row],[Level 1]:[Level 6]]),rng_EFConcat,rng_EF3WTT)*Buildings_Water_Backend[[#This Row],[Converted data]]/1000</f>
        <v>#N/A</v>
      </c>
      <c r="AJ51" s="210" t="e">
        <f>_xlfn.XLOOKUP(_xlfn.CONCAT(Buildings_Water_Backend[[#This Row],[Level 1]:[Level 6]]),rng_EFConcat,rng_EF3TD)*Buildings_Water_Backend[[#This Row],[Converted data]]/1000</f>
        <v>#N/A</v>
      </c>
      <c r="AK51" s="210" t="e">
        <f>_xlfn.XLOOKUP(_xlfn.CONCAT(Buildings_Water_Backend[[#This Row],[Level 1]:[Level 6]]),rng_EFConcat,rng_EF3WTTTD)*Buildings_Water_Backend[[#This Row],[Converted data]]/1000</f>
        <v>#N/A</v>
      </c>
      <c r="AL51" s="220" t="e">
        <f>SUM(Buildings_Water_Backend[[#This Row],[Scope 1 (tCO2e)]:[Scope 3 WTT T&amp;D (tCO2e)]])</f>
        <v>#N/A</v>
      </c>
      <c r="AM51" s="220" t="e">
        <f>Buildings_Water_Backend[[#This Row],[Total (tCO2e)]]*(1-Buildings_Water_Backend[[#This Row],[RSD]])</f>
        <v>#N/A</v>
      </c>
      <c r="AN51" s="220" t="e">
        <f>Buildings_Water_Backend[[#This Row],[Total (tCO2e)]]*(1+Buildings_Water_Backend[[#This Row],[RSD]])</f>
        <v>#N/A</v>
      </c>
      <c r="AO51" s="210" t="e">
        <f>_xlfn.XLOOKUP(_xlfn.CONCAT(Buildings_Water_Backend[[#This Row],[Level 1]:[Level 6]]),rng_EFConcat,rng_EFOOS)*Buildings_Water_Backend[[#This Row],[Converted data]]/1000</f>
        <v>#N/A</v>
      </c>
      <c r="AP51" s="174">
        <f>Buildings_Water_Frontend[[#This Row],[Ease of collection]]</f>
        <v>0</v>
      </c>
      <c r="AQ51" s="174">
        <f>Buildings_Water_Frontend[[#This Row],[Completeness]]</f>
        <v>0</v>
      </c>
      <c r="AR51" s="174">
        <f>Buildings_Water_Frontend[[#This Row],[Notes]]</f>
        <v>0</v>
      </c>
    </row>
    <row r="52" spans="5:44" x14ac:dyDescent="0.3">
      <c r="E52" s="346"/>
      <c r="F52" s="364"/>
      <c r="G52" s="336"/>
      <c r="H52" s="336"/>
      <c r="I52" s="334"/>
      <c r="J52" s="336"/>
      <c r="K52" s="336"/>
      <c r="L52" s="336"/>
      <c r="M52" s="337"/>
      <c r="N52" s="242">
        <f t="shared" si="1"/>
        <v>5</v>
      </c>
      <c r="Q52" s="212" t="str">
        <f t="shared" si="0"/>
        <v/>
      </c>
      <c r="R52" s="174" t="s">
        <v>265</v>
      </c>
      <c r="S52" s="174" t="s">
        <v>273</v>
      </c>
      <c r="T52" s="174" t="e">
        <f>_xlfn.XLOOKUP(Buildings_Water_Backend[[#This Row],[Info 1]],Buildings_SiteInfo[Site name],Buildings_SiteInfo[Site type])</f>
        <v>#N/A</v>
      </c>
      <c r="U52" s="174" t="s">
        <v>327</v>
      </c>
      <c r="V52" s="174">
        <f>Buildings_Water_Frontend[[#This Row],[Type]]</f>
        <v>0</v>
      </c>
      <c r="W52" s="174" t="e" cm="1">
        <f t="array" aca="1" ref="W52" ca="1">_xlfn.XLOOKUP(Buildings_Water_Backend[[#This Row],[Level 5]],rng_Level5Long,rng_Level6Long)</f>
        <v>#N/A</v>
      </c>
      <c r="X52" s="174">
        <f>Buildings_Water_Frontend[[#This Row],[Site Name]]</f>
        <v>0</v>
      </c>
      <c r="Y52" s="174">
        <f>Buildings_Water_Frontend[[#This Row],[Meter Reference]]</f>
        <v>0</v>
      </c>
      <c r="Z52" s="220">
        <f>Buildings_Water_Frontend[[#This Row],[Methodology]]</f>
        <v>0</v>
      </c>
      <c r="AA52" s="229" t="e" cm="1">
        <f t="array" ref="AA52">INDEX(_xlfn.SWITCH(Buildings_Water_Backend[[#This Row],[Methodology]],"Tier 1",rng_RSD1,"Tier 2",rng_RSD2,"Tier 3",rng_RSD3),MATCH(_xlfn.CONCAT(Buildings_Water_Backend[[#This Row],[Level 1]:[Level 6]]),rng_LevelsConcat,0))</f>
        <v>#N/A</v>
      </c>
      <c r="AB52" s="224">
        <f>Buildings_Water_Frontend[[#This Row],[Data]]</f>
        <v>0</v>
      </c>
      <c r="AC52" s="174">
        <f>Buildings_Water_Frontend[[#This Row],[Units]]</f>
        <v>0</v>
      </c>
      <c r="AD52" s="220" t="e">
        <f>IF(Buildings_Water_Backend[[#This Row],[Units]]=Buildings_Water_Backend[[#This Row],[Standard units]],Buildings_Water_Backend[[#This Row],[Data]],Buildings_Water_Backend[[#This Row],[Data]]*_xlfn.XLOOKUP(_xlfn.CONCAT(Buildings_Water_Backend[[#This Row],[Level 1]:[Level 6]]),rng_EFConcat,rng_EFConversion))</f>
        <v>#N/A</v>
      </c>
      <c r="AE52" s="174" t="e" cm="1">
        <f t="array" ref="AE52">_xlfn.XLOOKUP(_xlfn.CONCAT(Buildings_Water_Backend[[#This Row],[Level 1]:[Level 6]]),rng_LevelsConcat,rng_UnitsLong)</f>
        <v>#N/A</v>
      </c>
      <c r="AF52" s="210" t="e">
        <f>_xlfn.XLOOKUP(_xlfn.CONCAT(Buildings_Water_Backend[[#This Row],[Level 1]:[Level 6]]),rng_EFConcat,rng_EF1)*Buildings_Water_Backend[[#This Row],[Converted data]]/1000</f>
        <v>#N/A</v>
      </c>
      <c r="AG52" s="210" t="e">
        <f>_xlfn.XLOOKUP(_xlfn.CONCAT(Buildings_Water_Backend[[#This Row],[Level 1]:[Level 6]]),rng_EFConcat,rng_EF2)*Buildings_Water_Backend[[#This Row],[Converted data]]/1000</f>
        <v>#N/A</v>
      </c>
      <c r="AH52" s="210" t="e">
        <f>_xlfn.XLOOKUP(_xlfn.CONCAT(Buildings_Water_Backend[[#This Row],[Level 1]:[Level 6]]),rng_EFConcat,rng_EF3)*Buildings_Water_Backend[[#This Row],[Converted data]]/1000</f>
        <v>#N/A</v>
      </c>
      <c r="AI52" s="210" t="e">
        <f>_xlfn.XLOOKUP(_xlfn.CONCAT(Buildings_Water_Backend[[#This Row],[Level 1]:[Level 6]]),rng_EFConcat,rng_EF3WTT)*Buildings_Water_Backend[[#This Row],[Converted data]]/1000</f>
        <v>#N/A</v>
      </c>
      <c r="AJ52" s="210" t="e">
        <f>_xlfn.XLOOKUP(_xlfn.CONCAT(Buildings_Water_Backend[[#This Row],[Level 1]:[Level 6]]),rng_EFConcat,rng_EF3TD)*Buildings_Water_Backend[[#This Row],[Converted data]]/1000</f>
        <v>#N/A</v>
      </c>
      <c r="AK52" s="210" t="e">
        <f>_xlfn.XLOOKUP(_xlfn.CONCAT(Buildings_Water_Backend[[#This Row],[Level 1]:[Level 6]]),rng_EFConcat,rng_EF3WTTTD)*Buildings_Water_Backend[[#This Row],[Converted data]]/1000</f>
        <v>#N/A</v>
      </c>
      <c r="AL52" s="220" t="e">
        <f>SUM(Buildings_Water_Backend[[#This Row],[Scope 1 (tCO2e)]:[Scope 3 WTT T&amp;D (tCO2e)]])</f>
        <v>#N/A</v>
      </c>
      <c r="AM52" s="220" t="e">
        <f>Buildings_Water_Backend[[#This Row],[Total (tCO2e)]]*(1-Buildings_Water_Backend[[#This Row],[RSD]])</f>
        <v>#N/A</v>
      </c>
      <c r="AN52" s="220" t="e">
        <f>Buildings_Water_Backend[[#This Row],[Total (tCO2e)]]*(1+Buildings_Water_Backend[[#This Row],[RSD]])</f>
        <v>#N/A</v>
      </c>
      <c r="AO52" s="210" t="e">
        <f>_xlfn.XLOOKUP(_xlfn.CONCAT(Buildings_Water_Backend[[#This Row],[Level 1]:[Level 6]]),rng_EFConcat,rng_EFOOS)*Buildings_Water_Backend[[#This Row],[Converted data]]/1000</f>
        <v>#N/A</v>
      </c>
      <c r="AP52" s="174">
        <f>Buildings_Water_Frontend[[#This Row],[Ease of collection]]</f>
        <v>0</v>
      </c>
      <c r="AQ52" s="174">
        <f>Buildings_Water_Frontend[[#This Row],[Completeness]]</f>
        <v>0</v>
      </c>
      <c r="AR52" s="174">
        <f>Buildings_Water_Frontend[[#This Row],[Notes]]</f>
        <v>0</v>
      </c>
    </row>
    <row r="53" spans="5:44" x14ac:dyDescent="0.3">
      <c r="E53" s="346"/>
      <c r="F53" s="364"/>
      <c r="G53" s="336"/>
      <c r="H53" s="336"/>
      <c r="I53" s="334"/>
      <c r="J53" s="336"/>
      <c r="K53" s="336"/>
      <c r="L53" s="336"/>
      <c r="M53" s="337"/>
      <c r="N53" s="242">
        <f t="shared" si="1"/>
        <v>5</v>
      </c>
      <c r="Q53" s="212" t="str">
        <f t="shared" si="0"/>
        <v/>
      </c>
      <c r="R53" s="174" t="s">
        <v>265</v>
      </c>
      <c r="S53" s="174" t="s">
        <v>273</v>
      </c>
      <c r="T53" s="174" t="e">
        <f>_xlfn.XLOOKUP(Buildings_Water_Backend[[#This Row],[Info 1]],Buildings_SiteInfo[Site name],Buildings_SiteInfo[Site type])</f>
        <v>#N/A</v>
      </c>
      <c r="U53" s="174" t="s">
        <v>327</v>
      </c>
      <c r="V53" s="174">
        <f>Buildings_Water_Frontend[[#This Row],[Type]]</f>
        <v>0</v>
      </c>
      <c r="W53" s="174" t="e" cm="1">
        <f t="array" aca="1" ref="W53" ca="1">_xlfn.XLOOKUP(Buildings_Water_Backend[[#This Row],[Level 5]],rng_Level5Long,rng_Level6Long)</f>
        <v>#N/A</v>
      </c>
      <c r="X53" s="174">
        <f>Buildings_Water_Frontend[[#This Row],[Site Name]]</f>
        <v>0</v>
      </c>
      <c r="Y53" s="174">
        <f>Buildings_Water_Frontend[[#This Row],[Meter Reference]]</f>
        <v>0</v>
      </c>
      <c r="Z53" s="220">
        <f>Buildings_Water_Frontend[[#This Row],[Methodology]]</f>
        <v>0</v>
      </c>
      <c r="AA53" s="229" t="e" cm="1">
        <f t="array" ref="AA53">INDEX(_xlfn.SWITCH(Buildings_Water_Backend[[#This Row],[Methodology]],"Tier 1",rng_RSD1,"Tier 2",rng_RSD2,"Tier 3",rng_RSD3),MATCH(_xlfn.CONCAT(Buildings_Water_Backend[[#This Row],[Level 1]:[Level 6]]),rng_LevelsConcat,0))</f>
        <v>#N/A</v>
      </c>
      <c r="AB53" s="224">
        <f>Buildings_Water_Frontend[[#This Row],[Data]]</f>
        <v>0</v>
      </c>
      <c r="AC53" s="174">
        <f>Buildings_Water_Frontend[[#This Row],[Units]]</f>
        <v>0</v>
      </c>
      <c r="AD53" s="220" t="e">
        <f>IF(Buildings_Water_Backend[[#This Row],[Units]]=Buildings_Water_Backend[[#This Row],[Standard units]],Buildings_Water_Backend[[#This Row],[Data]],Buildings_Water_Backend[[#This Row],[Data]]*_xlfn.XLOOKUP(_xlfn.CONCAT(Buildings_Water_Backend[[#This Row],[Level 1]:[Level 6]]),rng_EFConcat,rng_EFConversion))</f>
        <v>#N/A</v>
      </c>
      <c r="AE53" s="174" t="e" cm="1">
        <f t="array" ref="AE53">_xlfn.XLOOKUP(_xlfn.CONCAT(Buildings_Water_Backend[[#This Row],[Level 1]:[Level 6]]),rng_LevelsConcat,rng_UnitsLong)</f>
        <v>#N/A</v>
      </c>
      <c r="AF53" s="210" t="e">
        <f>_xlfn.XLOOKUP(_xlfn.CONCAT(Buildings_Water_Backend[[#This Row],[Level 1]:[Level 6]]),rng_EFConcat,rng_EF1)*Buildings_Water_Backend[[#This Row],[Converted data]]/1000</f>
        <v>#N/A</v>
      </c>
      <c r="AG53" s="210" t="e">
        <f>_xlfn.XLOOKUP(_xlfn.CONCAT(Buildings_Water_Backend[[#This Row],[Level 1]:[Level 6]]),rng_EFConcat,rng_EF2)*Buildings_Water_Backend[[#This Row],[Converted data]]/1000</f>
        <v>#N/A</v>
      </c>
      <c r="AH53" s="210" t="e">
        <f>_xlfn.XLOOKUP(_xlfn.CONCAT(Buildings_Water_Backend[[#This Row],[Level 1]:[Level 6]]),rng_EFConcat,rng_EF3)*Buildings_Water_Backend[[#This Row],[Converted data]]/1000</f>
        <v>#N/A</v>
      </c>
      <c r="AI53" s="210" t="e">
        <f>_xlfn.XLOOKUP(_xlfn.CONCAT(Buildings_Water_Backend[[#This Row],[Level 1]:[Level 6]]),rng_EFConcat,rng_EF3WTT)*Buildings_Water_Backend[[#This Row],[Converted data]]/1000</f>
        <v>#N/A</v>
      </c>
      <c r="AJ53" s="210" t="e">
        <f>_xlfn.XLOOKUP(_xlfn.CONCAT(Buildings_Water_Backend[[#This Row],[Level 1]:[Level 6]]),rng_EFConcat,rng_EF3TD)*Buildings_Water_Backend[[#This Row],[Converted data]]/1000</f>
        <v>#N/A</v>
      </c>
      <c r="AK53" s="210" t="e">
        <f>_xlfn.XLOOKUP(_xlfn.CONCAT(Buildings_Water_Backend[[#This Row],[Level 1]:[Level 6]]),rng_EFConcat,rng_EF3WTTTD)*Buildings_Water_Backend[[#This Row],[Converted data]]/1000</f>
        <v>#N/A</v>
      </c>
      <c r="AL53" s="220" t="e">
        <f>SUM(Buildings_Water_Backend[[#This Row],[Scope 1 (tCO2e)]:[Scope 3 WTT T&amp;D (tCO2e)]])</f>
        <v>#N/A</v>
      </c>
      <c r="AM53" s="220" t="e">
        <f>Buildings_Water_Backend[[#This Row],[Total (tCO2e)]]*(1-Buildings_Water_Backend[[#This Row],[RSD]])</f>
        <v>#N/A</v>
      </c>
      <c r="AN53" s="220" t="e">
        <f>Buildings_Water_Backend[[#This Row],[Total (tCO2e)]]*(1+Buildings_Water_Backend[[#This Row],[RSD]])</f>
        <v>#N/A</v>
      </c>
      <c r="AO53" s="210" t="e">
        <f>_xlfn.XLOOKUP(_xlfn.CONCAT(Buildings_Water_Backend[[#This Row],[Level 1]:[Level 6]]),rng_EFConcat,rng_EFOOS)*Buildings_Water_Backend[[#This Row],[Converted data]]/1000</f>
        <v>#N/A</v>
      </c>
      <c r="AP53" s="174">
        <f>Buildings_Water_Frontend[[#This Row],[Ease of collection]]</f>
        <v>0</v>
      </c>
      <c r="AQ53" s="174">
        <f>Buildings_Water_Frontend[[#This Row],[Completeness]]</f>
        <v>0</v>
      </c>
      <c r="AR53" s="174">
        <f>Buildings_Water_Frontend[[#This Row],[Notes]]</f>
        <v>0</v>
      </c>
    </row>
    <row r="54" spans="5:44" x14ac:dyDescent="0.3">
      <c r="E54" s="346"/>
      <c r="F54" s="364"/>
      <c r="G54" s="336"/>
      <c r="H54" s="336"/>
      <c r="I54" s="334"/>
      <c r="J54" s="336"/>
      <c r="K54" s="336"/>
      <c r="L54" s="336"/>
      <c r="M54" s="337"/>
      <c r="N54" s="242">
        <f t="shared" si="1"/>
        <v>5</v>
      </c>
      <c r="Q54" s="212" t="str">
        <f t="shared" si="0"/>
        <v/>
      </c>
      <c r="R54" s="174" t="s">
        <v>265</v>
      </c>
      <c r="S54" s="174" t="s">
        <v>273</v>
      </c>
      <c r="T54" s="174" t="e">
        <f>_xlfn.XLOOKUP(Buildings_Water_Backend[[#This Row],[Info 1]],Buildings_SiteInfo[Site name],Buildings_SiteInfo[Site type])</f>
        <v>#N/A</v>
      </c>
      <c r="U54" s="174" t="s">
        <v>327</v>
      </c>
      <c r="V54" s="174">
        <f>Buildings_Water_Frontend[[#This Row],[Type]]</f>
        <v>0</v>
      </c>
      <c r="W54" s="174" t="e" cm="1">
        <f t="array" aca="1" ref="W54" ca="1">_xlfn.XLOOKUP(Buildings_Water_Backend[[#This Row],[Level 5]],rng_Level5Long,rng_Level6Long)</f>
        <v>#N/A</v>
      </c>
      <c r="X54" s="174">
        <f>Buildings_Water_Frontend[[#This Row],[Site Name]]</f>
        <v>0</v>
      </c>
      <c r="Y54" s="174">
        <f>Buildings_Water_Frontend[[#This Row],[Meter Reference]]</f>
        <v>0</v>
      </c>
      <c r="Z54" s="220">
        <f>Buildings_Water_Frontend[[#This Row],[Methodology]]</f>
        <v>0</v>
      </c>
      <c r="AA54" s="229" t="e" cm="1">
        <f t="array" ref="AA54">INDEX(_xlfn.SWITCH(Buildings_Water_Backend[[#This Row],[Methodology]],"Tier 1",rng_RSD1,"Tier 2",rng_RSD2,"Tier 3",rng_RSD3),MATCH(_xlfn.CONCAT(Buildings_Water_Backend[[#This Row],[Level 1]:[Level 6]]),rng_LevelsConcat,0))</f>
        <v>#N/A</v>
      </c>
      <c r="AB54" s="224">
        <f>Buildings_Water_Frontend[[#This Row],[Data]]</f>
        <v>0</v>
      </c>
      <c r="AC54" s="174">
        <f>Buildings_Water_Frontend[[#This Row],[Units]]</f>
        <v>0</v>
      </c>
      <c r="AD54" s="220" t="e">
        <f>IF(Buildings_Water_Backend[[#This Row],[Units]]=Buildings_Water_Backend[[#This Row],[Standard units]],Buildings_Water_Backend[[#This Row],[Data]],Buildings_Water_Backend[[#This Row],[Data]]*_xlfn.XLOOKUP(_xlfn.CONCAT(Buildings_Water_Backend[[#This Row],[Level 1]:[Level 6]]),rng_EFConcat,rng_EFConversion))</f>
        <v>#N/A</v>
      </c>
      <c r="AE54" s="174" t="e" cm="1">
        <f t="array" ref="AE54">_xlfn.XLOOKUP(_xlfn.CONCAT(Buildings_Water_Backend[[#This Row],[Level 1]:[Level 6]]),rng_LevelsConcat,rng_UnitsLong)</f>
        <v>#N/A</v>
      </c>
      <c r="AF54" s="210" t="e">
        <f>_xlfn.XLOOKUP(_xlfn.CONCAT(Buildings_Water_Backend[[#This Row],[Level 1]:[Level 6]]),rng_EFConcat,rng_EF1)*Buildings_Water_Backend[[#This Row],[Converted data]]/1000</f>
        <v>#N/A</v>
      </c>
      <c r="AG54" s="210" t="e">
        <f>_xlfn.XLOOKUP(_xlfn.CONCAT(Buildings_Water_Backend[[#This Row],[Level 1]:[Level 6]]),rng_EFConcat,rng_EF2)*Buildings_Water_Backend[[#This Row],[Converted data]]/1000</f>
        <v>#N/A</v>
      </c>
      <c r="AH54" s="210" t="e">
        <f>_xlfn.XLOOKUP(_xlfn.CONCAT(Buildings_Water_Backend[[#This Row],[Level 1]:[Level 6]]),rng_EFConcat,rng_EF3)*Buildings_Water_Backend[[#This Row],[Converted data]]/1000</f>
        <v>#N/A</v>
      </c>
      <c r="AI54" s="210" t="e">
        <f>_xlfn.XLOOKUP(_xlfn.CONCAT(Buildings_Water_Backend[[#This Row],[Level 1]:[Level 6]]),rng_EFConcat,rng_EF3WTT)*Buildings_Water_Backend[[#This Row],[Converted data]]/1000</f>
        <v>#N/A</v>
      </c>
      <c r="AJ54" s="210" t="e">
        <f>_xlfn.XLOOKUP(_xlfn.CONCAT(Buildings_Water_Backend[[#This Row],[Level 1]:[Level 6]]),rng_EFConcat,rng_EF3TD)*Buildings_Water_Backend[[#This Row],[Converted data]]/1000</f>
        <v>#N/A</v>
      </c>
      <c r="AK54" s="210" t="e">
        <f>_xlfn.XLOOKUP(_xlfn.CONCAT(Buildings_Water_Backend[[#This Row],[Level 1]:[Level 6]]),rng_EFConcat,rng_EF3WTTTD)*Buildings_Water_Backend[[#This Row],[Converted data]]/1000</f>
        <v>#N/A</v>
      </c>
      <c r="AL54" s="220" t="e">
        <f>SUM(Buildings_Water_Backend[[#This Row],[Scope 1 (tCO2e)]:[Scope 3 WTT T&amp;D (tCO2e)]])</f>
        <v>#N/A</v>
      </c>
      <c r="AM54" s="220" t="e">
        <f>Buildings_Water_Backend[[#This Row],[Total (tCO2e)]]*(1-Buildings_Water_Backend[[#This Row],[RSD]])</f>
        <v>#N/A</v>
      </c>
      <c r="AN54" s="220" t="e">
        <f>Buildings_Water_Backend[[#This Row],[Total (tCO2e)]]*(1+Buildings_Water_Backend[[#This Row],[RSD]])</f>
        <v>#N/A</v>
      </c>
      <c r="AO54" s="210" t="e">
        <f>_xlfn.XLOOKUP(_xlfn.CONCAT(Buildings_Water_Backend[[#This Row],[Level 1]:[Level 6]]),rng_EFConcat,rng_EFOOS)*Buildings_Water_Backend[[#This Row],[Converted data]]/1000</f>
        <v>#N/A</v>
      </c>
      <c r="AP54" s="174">
        <f>Buildings_Water_Frontend[[#This Row],[Ease of collection]]</f>
        <v>0</v>
      </c>
      <c r="AQ54" s="174">
        <f>Buildings_Water_Frontend[[#This Row],[Completeness]]</f>
        <v>0</v>
      </c>
      <c r="AR54" s="174">
        <f>Buildings_Water_Frontend[[#This Row],[Notes]]</f>
        <v>0</v>
      </c>
    </row>
    <row r="55" spans="5:44" x14ac:dyDescent="0.3">
      <c r="E55" s="346"/>
      <c r="F55" s="364"/>
      <c r="G55" s="336"/>
      <c r="H55" s="336"/>
      <c r="I55" s="334"/>
      <c r="J55" s="336"/>
      <c r="K55" s="336"/>
      <c r="L55" s="336"/>
      <c r="M55" s="337"/>
      <c r="N55" s="242">
        <f t="shared" si="1"/>
        <v>5</v>
      </c>
      <c r="Q55" s="212" t="str">
        <f t="shared" si="0"/>
        <v/>
      </c>
      <c r="R55" s="174" t="s">
        <v>265</v>
      </c>
      <c r="S55" s="174" t="s">
        <v>273</v>
      </c>
      <c r="T55" s="174" t="e">
        <f>_xlfn.XLOOKUP(Buildings_Water_Backend[[#This Row],[Info 1]],Buildings_SiteInfo[Site name],Buildings_SiteInfo[Site type])</f>
        <v>#N/A</v>
      </c>
      <c r="U55" s="174" t="s">
        <v>327</v>
      </c>
      <c r="V55" s="174">
        <f>Buildings_Water_Frontend[[#This Row],[Type]]</f>
        <v>0</v>
      </c>
      <c r="W55" s="174" t="e" cm="1">
        <f t="array" aca="1" ref="W55" ca="1">_xlfn.XLOOKUP(Buildings_Water_Backend[[#This Row],[Level 5]],rng_Level5Long,rng_Level6Long)</f>
        <v>#N/A</v>
      </c>
      <c r="X55" s="174">
        <f>Buildings_Water_Frontend[[#This Row],[Site Name]]</f>
        <v>0</v>
      </c>
      <c r="Y55" s="174">
        <f>Buildings_Water_Frontend[[#This Row],[Meter Reference]]</f>
        <v>0</v>
      </c>
      <c r="Z55" s="220">
        <f>Buildings_Water_Frontend[[#This Row],[Methodology]]</f>
        <v>0</v>
      </c>
      <c r="AA55" s="229" t="e" cm="1">
        <f t="array" ref="AA55">INDEX(_xlfn.SWITCH(Buildings_Water_Backend[[#This Row],[Methodology]],"Tier 1",rng_RSD1,"Tier 2",rng_RSD2,"Tier 3",rng_RSD3),MATCH(_xlfn.CONCAT(Buildings_Water_Backend[[#This Row],[Level 1]:[Level 6]]),rng_LevelsConcat,0))</f>
        <v>#N/A</v>
      </c>
      <c r="AB55" s="224">
        <f>Buildings_Water_Frontend[[#This Row],[Data]]</f>
        <v>0</v>
      </c>
      <c r="AC55" s="174">
        <f>Buildings_Water_Frontend[[#This Row],[Units]]</f>
        <v>0</v>
      </c>
      <c r="AD55" s="220" t="e">
        <f>IF(Buildings_Water_Backend[[#This Row],[Units]]=Buildings_Water_Backend[[#This Row],[Standard units]],Buildings_Water_Backend[[#This Row],[Data]],Buildings_Water_Backend[[#This Row],[Data]]*_xlfn.XLOOKUP(_xlfn.CONCAT(Buildings_Water_Backend[[#This Row],[Level 1]:[Level 6]]),rng_EFConcat,rng_EFConversion))</f>
        <v>#N/A</v>
      </c>
      <c r="AE55" s="174" t="e" cm="1">
        <f t="array" ref="AE55">_xlfn.XLOOKUP(_xlfn.CONCAT(Buildings_Water_Backend[[#This Row],[Level 1]:[Level 6]]),rng_LevelsConcat,rng_UnitsLong)</f>
        <v>#N/A</v>
      </c>
      <c r="AF55" s="210" t="e">
        <f>_xlfn.XLOOKUP(_xlfn.CONCAT(Buildings_Water_Backend[[#This Row],[Level 1]:[Level 6]]),rng_EFConcat,rng_EF1)*Buildings_Water_Backend[[#This Row],[Converted data]]/1000</f>
        <v>#N/A</v>
      </c>
      <c r="AG55" s="210" t="e">
        <f>_xlfn.XLOOKUP(_xlfn.CONCAT(Buildings_Water_Backend[[#This Row],[Level 1]:[Level 6]]),rng_EFConcat,rng_EF2)*Buildings_Water_Backend[[#This Row],[Converted data]]/1000</f>
        <v>#N/A</v>
      </c>
      <c r="AH55" s="210" t="e">
        <f>_xlfn.XLOOKUP(_xlfn.CONCAT(Buildings_Water_Backend[[#This Row],[Level 1]:[Level 6]]),rng_EFConcat,rng_EF3)*Buildings_Water_Backend[[#This Row],[Converted data]]/1000</f>
        <v>#N/A</v>
      </c>
      <c r="AI55" s="210" t="e">
        <f>_xlfn.XLOOKUP(_xlfn.CONCAT(Buildings_Water_Backend[[#This Row],[Level 1]:[Level 6]]),rng_EFConcat,rng_EF3WTT)*Buildings_Water_Backend[[#This Row],[Converted data]]/1000</f>
        <v>#N/A</v>
      </c>
      <c r="AJ55" s="210" t="e">
        <f>_xlfn.XLOOKUP(_xlfn.CONCAT(Buildings_Water_Backend[[#This Row],[Level 1]:[Level 6]]),rng_EFConcat,rng_EF3TD)*Buildings_Water_Backend[[#This Row],[Converted data]]/1000</f>
        <v>#N/A</v>
      </c>
      <c r="AK55" s="210" t="e">
        <f>_xlfn.XLOOKUP(_xlfn.CONCAT(Buildings_Water_Backend[[#This Row],[Level 1]:[Level 6]]),rng_EFConcat,rng_EF3WTTTD)*Buildings_Water_Backend[[#This Row],[Converted data]]/1000</f>
        <v>#N/A</v>
      </c>
      <c r="AL55" s="220" t="e">
        <f>SUM(Buildings_Water_Backend[[#This Row],[Scope 1 (tCO2e)]:[Scope 3 WTT T&amp;D (tCO2e)]])</f>
        <v>#N/A</v>
      </c>
      <c r="AM55" s="220" t="e">
        <f>Buildings_Water_Backend[[#This Row],[Total (tCO2e)]]*(1-Buildings_Water_Backend[[#This Row],[RSD]])</f>
        <v>#N/A</v>
      </c>
      <c r="AN55" s="220" t="e">
        <f>Buildings_Water_Backend[[#This Row],[Total (tCO2e)]]*(1+Buildings_Water_Backend[[#This Row],[RSD]])</f>
        <v>#N/A</v>
      </c>
      <c r="AO55" s="210" t="e">
        <f>_xlfn.XLOOKUP(_xlfn.CONCAT(Buildings_Water_Backend[[#This Row],[Level 1]:[Level 6]]),rng_EFConcat,rng_EFOOS)*Buildings_Water_Backend[[#This Row],[Converted data]]/1000</f>
        <v>#N/A</v>
      </c>
      <c r="AP55" s="174">
        <f>Buildings_Water_Frontend[[#This Row],[Ease of collection]]</f>
        <v>0</v>
      </c>
      <c r="AQ55" s="174">
        <f>Buildings_Water_Frontend[[#This Row],[Completeness]]</f>
        <v>0</v>
      </c>
      <c r="AR55" s="174">
        <f>Buildings_Water_Frontend[[#This Row],[Notes]]</f>
        <v>0</v>
      </c>
    </row>
    <row r="56" spans="5:44" x14ac:dyDescent="0.3">
      <c r="E56" s="346"/>
      <c r="F56" s="364"/>
      <c r="G56" s="336"/>
      <c r="H56" s="336"/>
      <c r="I56" s="334"/>
      <c r="J56" s="336"/>
      <c r="K56" s="336"/>
      <c r="L56" s="336"/>
      <c r="M56" s="337"/>
      <c r="N56" s="242">
        <f t="shared" si="1"/>
        <v>5</v>
      </c>
      <c r="Q56" s="212" t="str">
        <f t="shared" si="0"/>
        <v/>
      </c>
      <c r="R56" s="174" t="s">
        <v>265</v>
      </c>
      <c r="S56" s="174" t="s">
        <v>273</v>
      </c>
      <c r="T56" s="174" t="e">
        <f>_xlfn.XLOOKUP(Buildings_Water_Backend[[#This Row],[Info 1]],Buildings_SiteInfo[Site name],Buildings_SiteInfo[Site type])</f>
        <v>#N/A</v>
      </c>
      <c r="U56" s="174" t="s">
        <v>327</v>
      </c>
      <c r="V56" s="174">
        <f>Buildings_Water_Frontend[[#This Row],[Type]]</f>
        <v>0</v>
      </c>
      <c r="W56" s="174" t="e" cm="1">
        <f t="array" aca="1" ref="W56" ca="1">_xlfn.XLOOKUP(Buildings_Water_Backend[[#This Row],[Level 5]],rng_Level5Long,rng_Level6Long)</f>
        <v>#N/A</v>
      </c>
      <c r="X56" s="174">
        <f>Buildings_Water_Frontend[[#This Row],[Site Name]]</f>
        <v>0</v>
      </c>
      <c r="Y56" s="174">
        <f>Buildings_Water_Frontend[[#This Row],[Meter Reference]]</f>
        <v>0</v>
      </c>
      <c r="Z56" s="220">
        <f>Buildings_Water_Frontend[[#This Row],[Methodology]]</f>
        <v>0</v>
      </c>
      <c r="AA56" s="229" t="e" cm="1">
        <f t="array" ref="AA56">INDEX(_xlfn.SWITCH(Buildings_Water_Backend[[#This Row],[Methodology]],"Tier 1",rng_RSD1,"Tier 2",rng_RSD2,"Tier 3",rng_RSD3),MATCH(_xlfn.CONCAT(Buildings_Water_Backend[[#This Row],[Level 1]:[Level 6]]),rng_LevelsConcat,0))</f>
        <v>#N/A</v>
      </c>
      <c r="AB56" s="224">
        <f>Buildings_Water_Frontend[[#This Row],[Data]]</f>
        <v>0</v>
      </c>
      <c r="AC56" s="174">
        <f>Buildings_Water_Frontend[[#This Row],[Units]]</f>
        <v>0</v>
      </c>
      <c r="AD56" s="220" t="e">
        <f>IF(Buildings_Water_Backend[[#This Row],[Units]]=Buildings_Water_Backend[[#This Row],[Standard units]],Buildings_Water_Backend[[#This Row],[Data]],Buildings_Water_Backend[[#This Row],[Data]]*_xlfn.XLOOKUP(_xlfn.CONCAT(Buildings_Water_Backend[[#This Row],[Level 1]:[Level 6]]),rng_EFConcat,rng_EFConversion))</f>
        <v>#N/A</v>
      </c>
      <c r="AE56" s="174" t="e" cm="1">
        <f t="array" ref="AE56">_xlfn.XLOOKUP(_xlfn.CONCAT(Buildings_Water_Backend[[#This Row],[Level 1]:[Level 6]]),rng_LevelsConcat,rng_UnitsLong)</f>
        <v>#N/A</v>
      </c>
      <c r="AF56" s="210" t="e">
        <f>_xlfn.XLOOKUP(_xlfn.CONCAT(Buildings_Water_Backend[[#This Row],[Level 1]:[Level 6]]),rng_EFConcat,rng_EF1)*Buildings_Water_Backend[[#This Row],[Converted data]]/1000</f>
        <v>#N/A</v>
      </c>
      <c r="AG56" s="210" t="e">
        <f>_xlfn.XLOOKUP(_xlfn.CONCAT(Buildings_Water_Backend[[#This Row],[Level 1]:[Level 6]]),rng_EFConcat,rng_EF2)*Buildings_Water_Backend[[#This Row],[Converted data]]/1000</f>
        <v>#N/A</v>
      </c>
      <c r="AH56" s="210" t="e">
        <f>_xlfn.XLOOKUP(_xlfn.CONCAT(Buildings_Water_Backend[[#This Row],[Level 1]:[Level 6]]),rng_EFConcat,rng_EF3)*Buildings_Water_Backend[[#This Row],[Converted data]]/1000</f>
        <v>#N/A</v>
      </c>
      <c r="AI56" s="210" t="e">
        <f>_xlfn.XLOOKUP(_xlfn.CONCAT(Buildings_Water_Backend[[#This Row],[Level 1]:[Level 6]]),rng_EFConcat,rng_EF3WTT)*Buildings_Water_Backend[[#This Row],[Converted data]]/1000</f>
        <v>#N/A</v>
      </c>
      <c r="AJ56" s="210" t="e">
        <f>_xlfn.XLOOKUP(_xlfn.CONCAT(Buildings_Water_Backend[[#This Row],[Level 1]:[Level 6]]),rng_EFConcat,rng_EF3TD)*Buildings_Water_Backend[[#This Row],[Converted data]]/1000</f>
        <v>#N/A</v>
      </c>
      <c r="AK56" s="210" t="e">
        <f>_xlfn.XLOOKUP(_xlfn.CONCAT(Buildings_Water_Backend[[#This Row],[Level 1]:[Level 6]]),rng_EFConcat,rng_EF3WTTTD)*Buildings_Water_Backend[[#This Row],[Converted data]]/1000</f>
        <v>#N/A</v>
      </c>
      <c r="AL56" s="220" t="e">
        <f>SUM(Buildings_Water_Backend[[#This Row],[Scope 1 (tCO2e)]:[Scope 3 WTT T&amp;D (tCO2e)]])</f>
        <v>#N/A</v>
      </c>
      <c r="AM56" s="220" t="e">
        <f>Buildings_Water_Backend[[#This Row],[Total (tCO2e)]]*(1-Buildings_Water_Backend[[#This Row],[RSD]])</f>
        <v>#N/A</v>
      </c>
      <c r="AN56" s="220" t="e">
        <f>Buildings_Water_Backend[[#This Row],[Total (tCO2e)]]*(1+Buildings_Water_Backend[[#This Row],[RSD]])</f>
        <v>#N/A</v>
      </c>
      <c r="AO56" s="210" t="e">
        <f>_xlfn.XLOOKUP(_xlfn.CONCAT(Buildings_Water_Backend[[#This Row],[Level 1]:[Level 6]]),rng_EFConcat,rng_EFOOS)*Buildings_Water_Backend[[#This Row],[Converted data]]/1000</f>
        <v>#N/A</v>
      </c>
      <c r="AP56" s="174">
        <f>Buildings_Water_Frontend[[#This Row],[Ease of collection]]</f>
        <v>0</v>
      </c>
      <c r="AQ56" s="174">
        <f>Buildings_Water_Frontend[[#This Row],[Completeness]]</f>
        <v>0</v>
      </c>
      <c r="AR56" s="174">
        <f>Buildings_Water_Frontend[[#This Row],[Notes]]</f>
        <v>0</v>
      </c>
    </row>
    <row r="57" spans="5:44" x14ac:dyDescent="0.3">
      <c r="E57" s="346"/>
      <c r="F57" s="364"/>
      <c r="G57" s="336"/>
      <c r="H57" s="336"/>
      <c r="I57" s="334"/>
      <c r="J57" s="336"/>
      <c r="K57" s="336"/>
      <c r="L57" s="336"/>
      <c r="M57" s="337"/>
      <c r="N57" s="242">
        <f t="shared" si="1"/>
        <v>5</v>
      </c>
      <c r="Q57" s="212" t="str">
        <f t="shared" si="0"/>
        <v/>
      </c>
      <c r="R57" s="174" t="s">
        <v>265</v>
      </c>
      <c r="S57" s="174" t="s">
        <v>273</v>
      </c>
      <c r="T57" s="174" t="e">
        <f>_xlfn.XLOOKUP(Buildings_Water_Backend[[#This Row],[Info 1]],Buildings_SiteInfo[Site name],Buildings_SiteInfo[Site type])</f>
        <v>#N/A</v>
      </c>
      <c r="U57" s="174" t="s">
        <v>327</v>
      </c>
      <c r="V57" s="174">
        <f>Buildings_Water_Frontend[[#This Row],[Type]]</f>
        <v>0</v>
      </c>
      <c r="W57" s="174" t="e" cm="1">
        <f t="array" aca="1" ref="W57" ca="1">_xlfn.XLOOKUP(Buildings_Water_Backend[[#This Row],[Level 5]],rng_Level5Long,rng_Level6Long)</f>
        <v>#N/A</v>
      </c>
      <c r="X57" s="174">
        <f>Buildings_Water_Frontend[[#This Row],[Site Name]]</f>
        <v>0</v>
      </c>
      <c r="Y57" s="174">
        <f>Buildings_Water_Frontend[[#This Row],[Meter Reference]]</f>
        <v>0</v>
      </c>
      <c r="Z57" s="220">
        <f>Buildings_Water_Frontend[[#This Row],[Methodology]]</f>
        <v>0</v>
      </c>
      <c r="AA57" s="229" t="e" cm="1">
        <f t="array" ref="AA57">INDEX(_xlfn.SWITCH(Buildings_Water_Backend[[#This Row],[Methodology]],"Tier 1",rng_RSD1,"Tier 2",rng_RSD2,"Tier 3",rng_RSD3),MATCH(_xlfn.CONCAT(Buildings_Water_Backend[[#This Row],[Level 1]:[Level 6]]),rng_LevelsConcat,0))</f>
        <v>#N/A</v>
      </c>
      <c r="AB57" s="224">
        <f>Buildings_Water_Frontend[[#This Row],[Data]]</f>
        <v>0</v>
      </c>
      <c r="AC57" s="174">
        <f>Buildings_Water_Frontend[[#This Row],[Units]]</f>
        <v>0</v>
      </c>
      <c r="AD57" s="220" t="e">
        <f>IF(Buildings_Water_Backend[[#This Row],[Units]]=Buildings_Water_Backend[[#This Row],[Standard units]],Buildings_Water_Backend[[#This Row],[Data]],Buildings_Water_Backend[[#This Row],[Data]]*_xlfn.XLOOKUP(_xlfn.CONCAT(Buildings_Water_Backend[[#This Row],[Level 1]:[Level 6]]),rng_EFConcat,rng_EFConversion))</f>
        <v>#N/A</v>
      </c>
      <c r="AE57" s="174" t="e" cm="1">
        <f t="array" ref="AE57">_xlfn.XLOOKUP(_xlfn.CONCAT(Buildings_Water_Backend[[#This Row],[Level 1]:[Level 6]]),rng_LevelsConcat,rng_UnitsLong)</f>
        <v>#N/A</v>
      </c>
      <c r="AF57" s="210" t="e">
        <f>_xlfn.XLOOKUP(_xlfn.CONCAT(Buildings_Water_Backend[[#This Row],[Level 1]:[Level 6]]),rng_EFConcat,rng_EF1)*Buildings_Water_Backend[[#This Row],[Converted data]]/1000</f>
        <v>#N/A</v>
      </c>
      <c r="AG57" s="210" t="e">
        <f>_xlfn.XLOOKUP(_xlfn.CONCAT(Buildings_Water_Backend[[#This Row],[Level 1]:[Level 6]]),rng_EFConcat,rng_EF2)*Buildings_Water_Backend[[#This Row],[Converted data]]/1000</f>
        <v>#N/A</v>
      </c>
      <c r="AH57" s="210" t="e">
        <f>_xlfn.XLOOKUP(_xlfn.CONCAT(Buildings_Water_Backend[[#This Row],[Level 1]:[Level 6]]),rng_EFConcat,rng_EF3)*Buildings_Water_Backend[[#This Row],[Converted data]]/1000</f>
        <v>#N/A</v>
      </c>
      <c r="AI57" s="210" t="e">
        <f>_xlfn.XLOOKUP(_xlfn.CONCAT(Buildings_Water_Backend[[#This Row],[Level 1]:[Level 6]]),rng_EFConcat,rng_EF3WTT)*Buildings_Water_Backend[[#This Row],[Converted data]]/1000</f>
        <v>#N/A</v>
      </c>
      <c r="AJ57" s="210" t="e">
        <f>_xlfn.XLOOKUP(_xlfn.CONCAT(Buildings_Water_Backend[[#This Row],[Level 1]:[Level 6]]),rng_EFConcat,rng_EF3TD)*Buildings_Water_Backend[[#This Row],[Converted data]]/1000</f>
        <v>#N/A</v>
      </c>
      <c r="AK57" s="210" t="e">
        <f>_xlfn.XLOOKUP(_xlfn.CONCAT(Buildings_Water_Backend[[#This Row],[Level 1]:[Level 6]]),rng_EFConcat,rng_EF3WTTTD)*Buildings_Water_Backend[[#This Row],[Converted data]]/1000</f>
        <v>#N/A</v>
      </c>
      <c r="AL57" s="220" t="e">
        <f>SUM(Buildings_Water_Backend[[#This Row],[Scope 1 (tCO2e)]:[Scope 3 WTT T&amp;D (tCO2e)]])</f>
        <v>#N/A</v>
      </c>
      <c r="AM57" s="220" t="e">
        <f>Buildings_Water_Backend[[#This Row],[Total (tCO2e)]]*(1-Buildings_Water_Backend[[#This Row],[RSD]])</f>
        <v>#N/A</v>
      </c>
      <c r="AN57" s="220" t="e">
        <f>Buildings_Water_Backend[[#This Row],[Total (tCO2e)]]*(1+Buildings_Water_Backend[[#This Row],[RSD]])</f>
        <v>#N/A</v>
      </c>
      <c r="AO57" s="210" t="e">
        <f>_xlfn.XLOOKUP(_xlfn.CONCAT(Buildings_Water_Backend[[#This Row],[Level 1]:[Level 6]]),rng_EFConcat,rng_EFOOS)*Buildings_Water_Backend[[#This Row],[Converted data]]/1000</f>
        <v>#N/A</v>
      </c>
      <c r="AP57" s="174">
        <f>Buildings_Water_Frontend[[#This Row],[Ease of collection]]</f>
        <v>0</v>
      </c>
      <c r="AQ57" s="174">
        <f>Buildings_Water_Frontend[[#This Row],[Completeness]]</f>
        <v>0</v>
      </c>
      <c r="AR57" s="174">
        <f>Buildings_Water_Frontend[[#This Row],[Notes]]</f>
        <v>0</v>
      </c>
    </row>
    <row r="58" spans="5:44" x14ac:dyDescent="0.3">
      <c r="E58" s="346"/>
      <c r="F58" s="364"/>
      <c r="G58" s="336"/>
      <c r="H58" s="336"/>
      <c r="I58" s="334"/>
      <c r="J58" s="336"/>
      <c r="K58" s="336"/>
      <c r="L58" s="336"/>
      <c r="M58" s="337"/>
      <c r="N58" s="242">
        <f t="shared" si="1"/>
        <v>5</v>
      </c>
      <c r="Q58" s="212" t="str">
        <f t="shared" si="0"/>
        <v/>
      </c>
      <c r="R58" s="174" t="s">
        <v>265</v>
      </c>
      <c r="S58" s="174" t="s">
        <v>273</v>
      </c>
      <c r="T58" s="174" t="e">
        <f>_xlfn.XLOOKUP(Buildings_Water_Backend[[#This Row],[Info 1]],Buildings_SiteInfo[Site name],Buildings_SiteInfo[Site type])</f>
        <v>#N/A</v>
      </c>
      <c r="U58" s="174" t="s">
        <v>327</v>
      </c>
      <c r="V58" s="174">
        <f>Buildings_Water_Frontend[[#This Row],[Type]]</f>
        <v>0</v>
      </c>
      <c r="W58" s="174" t="e" cm="1">
        <f t="array" aca="1" ref="W58" ca="1">_xlfn.XLOOKUP(Buildings_Water_Backend[[#This Row],[Level 5]],rng_Level5Long,rng_Level6Long)</f>
        <v>#N/A</v>
      </c>
      <c r="X58" s="174">
        <f>Buildings_Water_Frontend[[#This Row],[Site Name]]</f>
        <v>0</v>
      </c>
      <c r="Y58" s="174">
        <f>Buildings_Water_Frontend[[#This Row],[Meter Reference]]</f>
        <v>0</v>
      </c>
      <c r="Z58" s="220">
        <f>Buildings_Water_Frontend[[#This Row],[Methodology]]</f>
        <v>0</v>
      </c>
      <c r="AA58" s="229" t="e" cm="1">
        <f t="array" ref="AA58">INDEX(_xlfn.SWITCH(Buildings_Water_Backend[[#This Row],[Methodology]],"Tier 1",rng_RSD1,"Tier 2",rng_RSD2,"Tier 3",rng_RSD3),MATCH(_xlfn.CONCAT(Buildings_Water_Backend[[#This Row],[Level 1]:[Level 6]]),rng_LevelsConcat,0))</f>
        <v>#N/A</v>
      </c>
      <c r="AB58" s="224">
        <f>Buildings_Water_Frontend[[#This Row],[Data]]</f>
        <v>0</v>
      </c>
      <c r="AC58" s="174">
        <f>Buildings_Water_Frontend[[#This Row],[Units]]</f>
        <v>0</v>
      </c>
      <c r="AD58" s="220" t="e">
        <f>IF(Buildings_Water_Backend[[#This Row],[Units]]=Buildings_Water_Backend[[#This Row],[Standard units]],Buildings_Water_Backend[[#This Row],[Data]],Buildings_Water_Backend[[#This Row],[Data]]*_xlfn.XLOOKUP(_xlfn.CONCAT(Buildings_Water_Backend[[#This Row],[Level 1]:[Level 6]]),rng_EFConcat,rng_EFConversion))</f>
        <v>#N/A</v>
      </c>
      <c r="AE58" s="174" t="e" cm="1">
        <f t="array" ref="AE58">_xlfn.XLOOKUP(_xlfn.CONCAT(Buildings_Water_Backend[[#This Row],[Level 1]:[Level 6]]),rng_LevelsConcat,rng_UnitsLong)</f>
        <v>#N/A</v>
      </c>
      <c r="AF58" s="210" t="e">
        <f>_xlfn.XLOOKUP(_xlfn.CONCAT(Buildings_Water_Backend[[#This Row],[Level 1]:[Level 6]]),rng_EFConcat,rng_EF1)*Buildings_Water_Backend[[#This Row],[Converted data]]/1000</f>
        <v>#N/A</v>
      </c>
      <c r="AG58" s="210" t="e">
        <f>_xlfn.XLOOKUP(_xlfn.CONCAT(Buildings_Water_Backend[[#This Row],[Level 1]:[Level 6]]),rng_EFConcat,rng_EF2)*Buildings_Water_Backend[[#This Row],[Converted data]]/1000</f>
        <v>#N/A</v>
      </c>
      <c r="AH58" s="210" t="e">
        <f>_xlfn.XLOOKUP(_xlfn.CONCAT(Buildings_Water_Backend[[#This Row],[Level 1]:[Level 6]]),rng_EFConcat,rng_EF3)*Buildings_Water_Backend[[#This Row],[Converted data]]/1000</f>
        <v>#N/A</v>
      </c>
      <c r="AI58" s="210" t="e">
        <f>_xlfn.XLOOKUP(_xlfn.CONCAT(Buildings_Water_Backend[[#This Row],[Level 1]:[Level 6]]),rng_EFConcat,rng_EF3WTT)*Buildings_Water_Backend[[#This Row],[Converted data]]/1000</f>
        <v>#N/A</v>
      </c>
      <c r="AJ58" s="210" t="e">
        <f>_xlfn.XLOOKUP(_xlfn.CONCAT(Buildings_Water_Backend[[#This Row],[Level 1]:[Level 6]]),rng_EFConcat,rng_EF3TD)*Buildings_Water_Backend[[#This Row],[Converted data]]/1000</f>
        <v>#N/A</v>
      </c>
      <c r="AK58" s="210" t="e">
        <f>_xlfn.XLOOKUP(_xlfn.CONCAT(Buildings_Water_Backend[[#This Row],[Level 1]:[Level 6]]),rng_EFConcat,rng_EF3WTTTD)*Buildings_Water_Backend[[#This Row],[Converted data]]/1000</f>
        <v>#N/A</v>
      </c>
      <c r="AL58" s="220" t="e">
        <f>SUM(Buildings_Water_Backend[[#This Row],[Scope 1 (tCO2e)]:[Scope 3 WTT T&amp;D (tCO2e)]])</f>
        <v>#N/A</v>
      </c>
      <c r="AM58" s="220" t="e">
        <f>Buildings_Water_Backend[[#This Row],[Total (tCO2e)]]*(1-Buildings_Water_Backend[[#This Row],[RSD]])</f>
        <v>#N/A</v>
      </c>
      <c r="AN58" s="220" t="e">
        <f>Buildings_Water_Backend[[#This Row],[Total (tCO2e)]]*(1+Buildings_Water_Backend[[#This Row],[RSD]])</f>
        <v>#N/A</v>
      </c>
      <c r="AO58" s="210" t="e">
        <f>_xlfn.XLOOKUP(_xlfn.CONCAT(Buildings_Water_Backend[[#This Row],[Level 1]:[Level 6]]),rng_EFConcat,rng_EFOOS)*Buildings_Water_Backend[[#This Row],[Converted data]]/1000</f>
        <v>#N/A</v>
      </c>
      <c r="AP58" s="174">
        <f>Buildings_Water_Frontend[[#This Row],[Ease of collection]]</f>
        <v>0</v>
      </c>
      <c r="AQ58" s="174">
        <f>Buildings_Water_Frontend[[#This Row],[Completeness]]</f>
        <v>0</v>
      </c>
      <c r="AR58" s="174">
        <f>Buildings_Water_Frontend[[#This Row],[Notes]]</f>
        <v>0</v>
      </c>
    </row>
    <row r="59" spans="5:44" x14ac:dyDescent="0.3">
      <c r="E59" s="346"/>
      <c r="F59" s="364"/>
      <c r="G59" s="336"/>
      <c r="H59" s="336"/>
      <c r="I59" s="334"/>
      <c r="J59" s="336"/>
      <c r="K59" s="336"/>
      <c r="L59" s="336"/>
      <c r="M59" s="337"/>
      <c r="N59" s="242">
        <f t="shared" si="1"/>
        <v>5</v>
      </c>
      <c r="Q59" s="212" t="str">
        <f t="shared" si="0"/>
        <v/>
      </c>
      <c r="R59" s="174" t="s">
        <v>265</v>
      </c>
      <c r="S59" s="174" t="s">
        <v>273</v>
      </c>
      <c r="T59" s="174" t="e">
        <f>_xlfn.XLOOKUP(Buildings_Water_Backend[[#This Row],[Info 1]],Buildings_SiteInfo[Site name],Buildings_SiteInfo[Site type])</f>
        <v>#N/A</v>
      </c>
      <c r="U59" s="174" t="s">
        <v>327</v>
      </c>
      <c r="V59" s="174">
        <f>Buildings_Water_Frontend[[#This Row],[Type]]</f>
        <v>0</v>
      </c>
      <c r="W59" s="174" t="e" cm="1">
        <f t="array" aca="1" ref="W59" ca="1">_xlfn.XLOOKUP(Buildings_Water_Backend[[#This Row],[Level 5]],rng_Level5Long,rng_Level6Long)</f>
        <v>#N/A</v>
      </c>
      <c r="X59" s="174">
        <f>Buildings_Water_Frontend[[#This Row],[Site Name]]</f>
        <v>0</v>
      </c>
      <c r="Y59" s="174">
        <f>Buildings_Water_Frontend[[#This Row],[Meter Reference]]</f>
        <v>0</v>
      </c>
      <c r="Z59" s="220">
        <f>Buildings_Water_Frontend[[#This Row],[Methodology]]</f>
        <v>0</v>
      </c>
      <c r="AA59" s="229" t="e" cm="1">
        <f t="array" ref="AA59">INDEX(_xlfn.SWITCH(Buildings_Water_Backend[[#This Row],[Methodology]],"Tier 1",rng_RSD1,"Tier 2",rng_RSD2,"Tier 3",rng_RSD3),MATCH(_xlfn.CONCAT(Buildings_Water_Backend[[#This Row],[Level 1]:[Level 6]]),rng_LevelsConcat,0))</f>
        <v>#N/A</v>
      </c>
      <c r="AB59" s="224">
        <f>Buildings_Water_Frontend[[#This Row],[Data]]</f>
        <v>0</v>
      </c>
      <c r="AC59" s="174">
        <f>Buildings_Water_Frontend[[#This Row],[Units]]</f>
        <v>0</v>
      </c>
      <c r="AD59" s="220" t="e">
        <f>IF(Buildings_Water_Backend[[#This Row],[Units]]=Buildings_Water_Backend[[#This Row],[Standard units]],Buildings_Water_Backend[[#This Row],[Data]],Buildings_Water_Backend[[#This Row],[Data]]*_xlfn.XLOOKUP(_xlfn.CONCAT(Buildings_Water_Backend[[#This Row],[Level 1]:[Level 6]]),rng_EFConcat,rng_EFConversion))</f>
        <v>#N/A</v>
      </c>
      <c r="AE59" s="174" t="e" cm="1">
        <f t="array" ref="AE59">_xlfn.XLOOKUP(_xlfn.CONCAT(Buildings_Water_Backend[[#This Row],[Level 1]:[Level 6]]),rng_LevelsConcat,rng_UnitsLong)</f>
        <v>#N/A</v>
      </c>
      <c r="AF59" s="210" t="e">
        <f>_xlfn.XLOOKUP(_xlfn.CONCAT(Buildings_Water_Backend[[#This Row],[Level 1]:[Level 6]]),rng_EFConcat,rng_EF1)*Buildings_Water_Backend[[#This Row],[Converted data]]/1000</f>
        <v>#N/A</v>
      </c>
      <c r="AG59" s="210" t="e">
        <f>_xlfn.XLOOKUP(_xlfn.CONCAT(Buildings_Water_Backend[[#This Row],[Level 1]:[Level 6]]),rng_EFConcat,rng_EF2)*Buildings_Water_Backend[[#This Row],[Converted data]]/1000</f>
        <v>#N/A</v>
      </c>
      <c r="AH59" s="210" t="e">
        <f>_xlfn.XLOOKUP(_xlfn.CONCAT(Buildings_Water_Backend[[#This Row],[Level 1]:[Level 6]]),rng_EFConcat,rng_EF3)*Buildings_Water_Backend[[#This Row],[Converted data]]/1000</f>
        <v>#N/A</v>
      </c>
      <c r="AI59" s="210" t="e">
        <f>_xlfn.XLOOKUP(_xlfn.CONCAT(Buildings_Water_Backend[[#This Row],[Level 1]:[Level 6]]),rng_EFConcat,rng_EF3WTT)*Buildings_Water_Backend[[#This Row],[Converted data]]/1000</f>
        <v>#N/A</v>
      </c>
      <c r="AJ59" s="210" t="e">
        <f>_xlfn.XLOOKUP(_xlfn.CONCAT(Buildings_Water_Backend[[#This Row],[Level 1]:[Level 6]]),rng_EFConcat,rng_EF3TD)*Buildings_Water_Backend[[#This Row],[Converted data]]/1000</f>
        <v>#N/A</v>
      </c>
      <c r="AK59" s="210" t="e">
        <f>_xlfn.XLOOKUP(_xlfn.CONCAT(Buildings_Water_Backend[[#This Row],[Level 1]:[Level 6]]),rng_EFConcat,rng_EF3WTTTD)*Buildings_Water_Backend[[#This Row],[Converted data]]/1000</f>
        <v>#N/A</v>
      </c>
      <c r="AL59" s="220" t="e">
        <f>SUM(Buildings_Water_Backend[[#This Row],[Scope 1 (tCO2e)]:[Scope 3 WTT T&amp;D (tCO2e)]])</f>
        <v>#N/A</v>
      </c>
      <c r="AM59" s="220" t="e">
        <f>Buildings_Water_Backend[[#This Row],[Total (tCO2e)]]*(1-Buildings_Water_Backend[[#This Row],[RSD]])</f>
        <v>#N/A</v>
      </c>
      <c r="AN59" s="220" t="e">
        <f>Buildings_Water_Backend[[#This Row],[Total (tCO2e)]]*(1+Buildings_Water_Backend[[#This Row],[RSD]])</f>
        <v>#N/A</v>
      </c>
      <c r="AO59" s="210" t="e">
        <f>_xlfn.XLOOKUP(_xlfn.CONCAT(Buildings_Water_Backend[[#This Row],[Level 1]:[Level 6]]),rng_EFConcat,rng_EFOOS)*Buildings_Water_Backend[[#This Row],[Converted data]]/1000</f>
        <v>#N/A</v>
      </c>
      <c r="AP59" s="174">
        <f>Buildings_Water_Frontend[[#This Row],[Ease of collection]]</f>
        <v>0</v>
      </c>
      <c r="AQ59" s="174">
        <f>Buildings_Water_Frontend[[#This Row],[Completeness]]</f>
        <v>0</v>
      </c>
      <c r="AR59" s="174">
        <f>Buildings_Water_Frontend[[#This Row],[Notes]]</f>
        <v>0</v>
      </c>
    </row>
    <row r="60" spans="5:44" x14ac:dyDescent="0.3">
      <c r="E60" s="346"/>
      <c r="F60" s="364"/>
      <c r="G60" s="336"/>
      <c r="H60" s="336"/>
      <c r="I60" s="334"/>
      <c r="J60" s="336"/>
      <c r="K60" s="336"/>
      <c r="L60" s="336"/>
      <c r="M60" s="337"/>
      <c r="N60" s="242">
        <f t="shared" si="1"/>
        <v>5</v>
      </c>
      <c r="Q60" s="212" t="str">
        <f t="shared" si="0"/>
        <v/>
      </c>
      <c r="R60" s="174" t="s">
        <v>265</v>
      </c>
      <c r="S60" s="174" t="s">
        <v>273</v>
      </c>
      <c r="T60" s="174" t="e">
        <f>_xlfn.XLOOKUP(Buildings_Water_Backend[[#This Row],[Info 1]],Buildings_SiteInfo[Site name],Buildings_SiteInfo[Site type])</f>
        <v>#N/A</v>
      </c>
      <c r="U60" s="174" t="s">
        <v>327</v>
      </c>
      <c r="V60" s="174">
        <f>Buildings_Water_Frontend[[#This Row],[Type]]</f>
        <v>0</v>
      </c>
      <c r="W60" s="174" t="e" cm="1">
        <f t="array" aca="1" ref="W60" ca="1">_xlfn.XLOOKUP(Buildings_Water_Backend[[#This Row],[Level 5]],rng_Level5Long,rng_Level6Long)</f>
        <v>#N/A</v>
      </c>
      <c r="X60" s="174">
        <f>Buildings_Water_Frontend[[#This Row],[Site Name]]</f>
        <v>0</v>
      </c>
      <c r="Y60" s="174">
        <f>Buildings_Water_Frontend[[#This Row],[Meter Reference]]</f>
        <v>0</v>
      </c>
      <c r="Z60" s="220">
        <f>Buildings_Water_Frontend[[#This Row],[Methodology]]</f>
        <v>0</v>
      </c>
      <c r="AA60" s="229" t="e" cm="1">
        <f t="array" ref="AA60">INDEX(_xlfn.SWITCH(Buildings_Water_Backend[[#This Row],[Methodology]],"Tier 1",rng_RSD1,"Tier 2",rng_RSD2,"Tier 3",rng_RSD3),MATCH(_xlfn.CONCAT(Buildings_Water_Backend[[#This Row],[Level 1]:[Level 6]]),rng_LevelsConcat,0))</f>
        <v>#N/A</v>
      </c>
      <c r="AB60" s="224">
        <f>Buildings_Water_Frontend[[#This Row],[Data]]</f>
        <v>0</v>
      </c>
      <c r="AC60" s="174">
        <f>Buildings_Water_Frontend[[#This Row],[Units]]</f>
        <v>0</v>
      </c>
      <c r="AD60" s="220" t="e">
        <f>IF(Buildings_Water_Backend[[#This Row],[Units]]=Buildings_Water_Backend[[#This Row],[Standard units]],Buildings_Water_Backend[[#This Row],[Data]],Buildings_Water_Backend[[#This Row],[Data]]*_xlfn.XLOOKUP(_xlfn.CONCAT(Buildings_Water_Backend[[#This Row],[Level 1]:[Level 6]]),rng_EFConcat,rng_EFConversion))</f>
        <v>#N/A</v>
      </c>
      <c r="AE60" s="174" t="e" cm="1">
        <f t="array" ref="AE60">_xlfn.XLOOKUP(_xlfn.CONCAT(Buildings_Water_Backend[[#This Row],[Level 1]:[Level 6]]),rng_LevelsConcat,rng_UnitsLong)</f>
        <v>#N/A</v>
      </c>
      <c r="AF60" s="210" t="e">
        <f>_xlfn.XLOOKUP(_xlfn.CONCAT(Buildings_Water_Backend[[#This Row],[Level 1]:[Level 6]]),rng_EFConcat,rng_EF1)*Buildings_Water_Backend[[#This Row],[Converted data]]/1000</f>
        <v>#N/A</v>
      </c>
      <c r="AG60" s="210" t="e">
        <f>_xlfn.XLOOKUP(_xlfn.CONCAT(Buildings_Water_Backend[[#This Row],[Level 1]:[Level 6]]),rng_EFConcat,rng_EF2)*Buildings_Water_Backend[[#This Row],[Converted data]]/1000</f>
        <v>#N/A</v>
      </c>
      <c r="AH60" s="210" t="e">
        <f>_xlfn.XLOOKUP(_xlfn.CONCAT(Buildings_Water_Backend[[#This Row],[Level 1]:[Level 6]]),rng_EFConcat,rng_EF3)*Buildings_Water_Backend[[#This Row],[Converted data]]/1000</f>
        <v>#N/A</v>
      </c>
      <c r="AI60" s="210" t="e">
        <f>_xlfn.XLOOKUP(_xlfn.CONCAT(Buildings_Water_Backend[[#This Row],[Level 1]:[Level 6]]),rng_EFConcat,rng_EF3WTT)*Buildings_Water_Backend[[#This Row],[Converted data]]/1000</f>
        <v>#N/A</v>
      </c>
      <c r="AJ60" s="210" t="e">
        <f>_xlfn.XLOOKUP(_xlfn.CONCAT(Buildings_Water_Backend[[#This Row],[Level 1]:[Level 6]]),rng_EFConcat,rng_EF3TD)*Buildings_Water_Backend[[#This Row],[Converted data]]/1000</f>
        <v>#N/A</v>
      </c>
      <c r="AK60" s="210" t="e">
        <f>_xlfn.XLOOKUP(_xlfn.CONCAT(Buildings_Water_Backend[[#This Row],[Level 1]:[Level 6]]),rng_EFConcat,rng_EF3WTTTD)*Buildings_Water_Backend[[#This Row],[Converted data]]/1000</f>
        <v>#N/A</v>
      </c>
      <c r="AL60" s="220" t="e">
        <f>SUM(Buildings_Water_Backend[[#This Row],[Scope 1 (tCO2e)]:[Scope 3 WTT T&amp;D (tCO2e)]])</f>
        <v>#N/A</v>
      </c>
      <c r="AM60" s="220" t="e">
        <f>Buildings_Water_Backend[[#This Row],[Total (tCO2e)]]*(1-Buildings_Water_Backend[[#This Row],[RSD]])</f>
        <v>#N/A</v>
      </c>
      <c r="AN60" s="220" t="e">
        <f>Buildings_Water_Backend[[#This Row],[Total (tCO2e)]]*(1+Buildings_Water_Backend[[#This Row],[RSD]])</f>
        <v>#N/A</v>
      </c>
      <c r="AO60" s="210" t="e">
        <f>_xlfn.XLOOKUP(_xlfn.CONCAT(Buildings_Water_Backend[[#This Row],[Level 1]:[Level 6]]),rng_EFConcat,rng_EFOOS)*Buildings_Water_Backend[[#This Row],[Converted data]]/1000</f>
        <v>#N/A</v>
      </c>
      <c r="AP60" s="174">
        <f>Buildings_Water_Frontend[[#This Row],[Ease of collection]]</f>
        <v>0</v>
      </c>
      <c r="AQ60" s="174">
        <f>Buildings_Water_Frontend[[#This Row],[Completeness]]</f>
        <v>0</v>
      </c>
      <c r="AR60" s="174">
        <f>Buildings_Water_Frontend[[#This Row],[Notes]]</f>
        <v>0</v>
      </c>
    </row>
    <row r="61" spans="5:44" x14ac:dyDescent="0.3">
      <c r="E61" s="346"/>
      <c r="F61" s="364"/>
      <c r="G61" s="336"/>
      <c r="H61" s="336"/>
      <c r="I61" s="334"/>
      <c r="J61" s="336"/>
      <c r="K61" s="336"/>
      <c r="L61" s="336"/>
      <c r="M61" s="337"/>
      <c r="N61" s="242">
        <f t="shared" si="1"/>
        <v>5</v>
      </c>
      <c r="Q61" s="212" t="str">
        <f t="shared" si="0"/>
        <v/>
      </c>
      <c r="R61" s="174" t="s">
        <v>265</v>
      </c>
      <c r="S61" s="174" t="s">
        <v>273</v>
      </c>
      <c r="T61" s="174" t="e">
        <f>_xlfn.XLOOKUP(Buildings_Water_Backend[[#This Row],[Info 1]],Buildings_SiteInfo[Site name],Buildings_SiteInfo[Site type])</f>
        <v>#N/A</v>
      </c>
      <c r="U61" s="174" t="s">
        <v>327</v>
      </c>
      <c r="V61" s="174">
        <f>Buildings_Water_Frontend[[#This Row],[Type]]</f>
        <v>0</v>
      </c>
      <c r="W61" s="174" t="e" cm="1">
        <f t="array" aca="1" ref="W61" ca="1">_xlfn.XLOOKUP(Buildings_Water_Backend[[#This Row],[Level 5]],rng_Level5Long,rng_Level6Long)</f>
        <v>#N/A</v>
      </c>
      <c r="X61" s="174">
        <f>Buildings_Water_Frontend[[#This Row],[Site Name]]</f>
        <v>0</v>
      </c>
      <c r="Y61" s="174">
        <f>Buildings_Water_Frontend[[#This Row],[Meter Reference]]</f>
        <v>0</v>
      </c>
      <c r="Z61" s="220">
        <f>Buildings_Water_Frontend[[#This Row],[Methodology]]</f>
        <v>0</v>
      </c>
      <c r="AA61" s="229" t="e" cm="1">
        <f t="array" ref="AA61">INDEX(_xlfn.SWITCH(Buildings_Water_Backend[[#This Row],[Methodology]],"Tier 1",rng_RSD1,"Tier 2",rng_RSD2,"Tier 3",rng_RSD3),MATCH(_xlfn.CONCAT(Buildings_Water_Backend[[#This Row],[Level 1]:[Level 6]]),rng_LevelsConcat,0))</f>
        <v>#N/A</v>
      </c>
      <c r="AB61" s="224">
        <f>Buildings_Water_Frontend[[#This Row],[Data]]</f>
        <v>0</v>
      </c>
      <c r="AC61" s="174">
        <f>Buildings_Water_Frontend[[#This Row],[Units]]</f>
        <v>0</v>
      </c>
      <c r="AD61" s="220" t="e">
        <f>IF(Buildings_Water_Backend[[#This Row],[Units]]=Buildings_Water_Backend[[#This Row],[Standard units]],Buildings_Water_Backend[[#This Row],[Data]],Buildings_Water_Backend[[#This Row],[Data]]*_xlfn.XLOOKUP(_xlfn.CONCAT(Buildings_Water_Backend[[#This Row],[Level 1]:[Level 6]]),rng_EFConcat,rng_EFConversion))</f>
        <v>#N/A</v>
      </c>
      <c r="AE61" s="174" t="e" cm="1">
        <f t="array" ref="AE61">_xlfn.XLOOKUP(_xlfn.CONCAT(Buildings_Water_Backend[[#This Row],[Level 1]:[Level 6]]),rng_LevelsConcat,rng_UnitsLong)</f>
        <v>#N/A</v>
      </c>
      <c r="AF61" s="210" t="e">
        <f>_xlfn.XLOOKUP(_xlfn.CONCAT(Buildings_Water_Backend[[#This Row],[Level 1]:[Level 6]]),rng_EFConcat,rng_EF1)*Buildings_Water_Backend[[#This Row],[Converted data]]/1000</f>
        <v>#N/A</v>
      </c>
      <c r="AG61" s="210" t="e">
        <f>_xlfn.XLOOKUP(_xlfn.CONCAT(Buildings_Water_Backend[[#This Row],[Level 1]:[Level 6]]),rng_EFConcat,rng_EF2)*Buildings_Water_Backend[[#This Row],[Converted data]]/1000</f>
        <v>#N/A</v>
      </c>
      <c r="AH61" s="210" t="e">
        <f>_xlfn.XLOOKUP(_xlfn.CONCAT(Buildings_Water_Backend[[#This Row],[Level 1]:[Level 6]]),rng_EFConcat,rng_EF3)*Buildings_Water_Backend[[#This Row],[Converted data]]/1000</f>
        <v>#N/A</v>
      </c>
      <c r="AI61" s="210" t="e">
        <f>_xlfn.XLOOKUP(_xlfn.CONCAT(Buildings_Water_Backend[[#This Row],[Level 1]:[Level 6]]),rng_EFConcat,rng_EF3WTT)*Buildings_Water_Backend[[#This Row],[Converted data]]/1000</f>
        <v>#N/A</v>
      </c>
      <c r="AJ61" s="210" t="e">
        <f>_xlfn.XLOOKUP(_xlfn.CONCAT(Buildings_Water_Backend[[#This Row],[Level 1]:[Level 6]]),rng_EFConcat,rng_EF3TD)*Buildings_Water_Backend[[#This Row],[Converted data]]/1000</f>
        <v>#N/A</v>
      </c>
      <c r="AK61" s="210" t="e">
        <f>_xlfn.XLOOKUP(_xlfn.CONCAT(Buildings_Water_Backend[[#This Row],[Level 1]:[Level 6]]),rng_EFConcat,rng_EF3WTTTD)*Buildings_Water_Backend[[#This Row],[Converted data]]/1000</f>
        <v>#N/A</v>
      </c>
      <c r="AL61" s="220" t="e">
        <f>SUM(Buildings_Water_Backend[[#This Row],[Scope 1 (tCO2e)]:[Scope 3 WTT T&amp;D (tCO2e)]])</f>
        <v>#N/A</v>
      </c>
      <c r="AM61" s="220" t="e">
        <f>Buildings_Water_Backend[[#This Row],[Total (tCO2e)]]*(1-Buildings_Water_Backend[[#This Row],[RSD]])</f>
        <v>#N/A</v>
      </c>
      <c r="AN61" s="220" t="e">
        <f>Buildings_Water_Backend[[#This Row],[Total (tCO2e)]]*(1+Buildings_Water_Backend[[#This Row],[RSD]])</f>
        <v>#N/A</v>
      </c>
      <c r="AO61" s="210" t="e">
        <f>_xlfn.XLOOKUP(_xlfn.CONCAT(Buildings_Water_Backend[[#This Row],[Level 1]:[Level 6]]),rng_EFConcat,rng_EFOOS)*Buildings_Water_Backend[[#This Row],[Converted data]]/1000</f>
        <v>#N/A</v>
      </c>
      <c r="AP61" s="174">
        <f>Buildings_Water_Frontend[[#This Row],[Ease of collection]]</f>
        <v>0</v>
      </c>
      <c r="AQ61" s="174">
        <f>Buildings_Water_Frontend[[#This Row],[Completeness]]</f>
        <v>0</v>
      </c>
      <c r="AR61" s="174">
        <f>Buildings_Water_Frontend[[#This Row],[Notes]]</f>
        <v>0</v>
      </c>
    </row>
    <row r="62" spans="5:44" x14ac:dyDescent="0.3">
      <c r="E62" s="346"/>
      <c r="F62" s="364"/>
      <c r="G62" s="336"/>
      <c r="H62" s="336"/>
      <c r="I62" s="334"/>
      <c r="J62" s="336"/>
      <c r="K62" s="336"/>
      <c r="L62" s="336"/>
      <c r="M62" s="337"/>
      <c r="N62" s="242">
        <f t="shared" si="1"/>
        <v>5</v>
      </c>
      <c r="Q62" s="212" t="str">
        <f t="shared" si="0"/>
        <v/>
      </c>
      <c r="R62" s="174" t="s">
        <v>265</v>
      </c>
      <c r="S62" s="174" t="s">
        <v>273</v>
      </c>
      <c r="T62" s="174" t="e">
        <f>_xlfn.XLOOKUP(Buildings_Water_Backend[[#This Row],[Info 1]],Buildings_SiteInfo[Site name],Buildings_SiteInfo[Site type])</f>
        <v>#N/A</v>
      </c>
      <c r="U62" s="174" t="s">
        <v>327</v>
      </c>
      <c r="V62" s="174">
        <f>Buildings_Water_Frontend[[#This Row],[Type]]</f>
        <v>0</v>
      </c>
      <c r="W62" s="174" t="e" cm="1">
        <f t="array" aca="1" ref="W62" ca="1">_xlfn.XLOOKUP(Buildings_Water_Backend[[#This Row],[Level 5]],rng_Level5Long,rng_Level6Long)</f>
        <v>#N/A</v>
      </c>
      <c r="X62" s="174">
        <f>Buildings_Water_Frontend[[#This Row],[Site Name]]</f>
        <v>0</v>
      </c>
      <c r="Y62" s="174">
        <f>Buildings_Water_Frontend[[#This Row],[Meter Reference]]</f>
        <v>0</v>
      </c>
      <c r="Z62" s="220">
        <f>Buildings_Water_Frontend[[#This Row],[Methodology]]</f>
        <v>0</v>
      </c>
      <c r="AA62" s="229" t="e" cm="1">
        <f t="array" ref="AA62">INDEX(_xlfn.SWITCH(Buildings_Water_Backend[[#This Row],[Methodology]],"Tier 1",rng_RSD1,"Tier 2",rng_RSD2,"Tier 3",rng_RSD3),MATCH(_xlfn.CONCAT(Buildings_Water_Backend[[#This Row],[Level 1]:[Level 6]]),rng_LevelsConcat,0))</f>
        <v>#N/A</v>
      </c>
      <c r="AB62" s="224">
        <f>Buildings_Water_Frontend[[#This Row],[Data]]</f>
        <v>0</v>
      </c>
      <c r="AC62" s="174">
        <f>Buildings_Water_Frontend[[#This Row],[Units]]</f>
        <v>0</v>
      </c>
      <c r="AD62" s="220" t="e">
        <f>IF(Buildings_Water_Backend[[#This Row],[Units]]=Buildings_Water_Backend[[#This Row],[Standard units]],Buildings_Water_Backend[[#This Row],[Data]],Buildings_Water_Backend[[#This Row],[Data]]*_xlfn.XLOOKUP(_xlfn.CONCAT(Buildings_Water_Backend[[#This Row],[Level 1]:[Level 6]]),rng_EFConcat,rng_EFConversion))</f>
        <v>#N/A</v>
      </c>
      <c r="AE62" s="174" t="e" cm="1">
        <f t="array" ref="AE62">_xlfn.XLOOKUP(_xlfn.CONCAT(Buildings_Water_Backend[[#This Row],[Level 1]:[Level 6]]),rng_LevelsConcat,rng_UnitsLong)</f>
        <v>#N/A</v>
      </c>
      <c r="AF62" s="210" t="e">
        <f>_xlfn.XLOOKUP(_xlfn.CONCAT(Buildings_Water_Backend[[#This Row],[Level 1]:[Level 6]]),rng_EFConcat,rng_EF1)*Buildings_Water_Backend[[#This Row],[Converted data]]/1000</f>
        <v>#N/A</v>
      </c>
      <c r="AG62" s="210" t="e">
        <f>_xlfn.XLOOKUP(_xlfn.CONCAT(Buildings_Water_Backend[[#This Row],[Level 1]:[Level 6]]),rng_EFConcat,rng_EF2)*Buildings_Water_Backend[[#This Row],[Converted data]]/1000</f>
        <v>#N/A</v>
      </c>
      <c r="AH62" s="210" t="e">
        <f>_xlfn.XLOOKUP(_xlfn.CONCAT(Buildings_Water_Backend[[#This Row],[Level 1]:[Level 6]]),rng_EFConcat,rng_EF3)*Buildings_Water_Backend[[#This Row],[Converted data]]/1000</f>
        <v>#N/A</v>
      </c>
      <c r="AI62" s="210" t="e">
        <f>_xlfn.XLOOKUP(_xlfn.CONCAT(Buildings_Water_Backend[[#This Row],[Level 1]:[Level 6]]),rng_EFConcat,rng_EF3WTT)*Buildings_Water_Backend[[#This Row],[Converted data]]/1000</f>
        <v>#N/A</v>
      </c>
      <c r="AJ62" s="210" t="e">
        <f>_xlfn.XLOOKUP(_xlfn.CONCAT(Buildings_Water_Backend[[#This Row],[Level 1]:[Level 6]]),rng_EFConcat,rng_EF3TD)*Buildings_Water_Backend[[#This Row],[Converted data]]/1000</f>
        <v>#N/A</v>
      </c>
      <c r="AK62" s="210" t="e">
        <f>_xlfn.XLOOKUP(_xlfn.CONCAT(Buildings_Water_Backend[[#This Row],[Level 1]:[Level 6]]),rng_EFConcat,rng_EF3WTTTD)*Buildings_Water_Backend[[#This Row],[Converted data]]/1000</f>
        <v>#N/A</v>
      </c>
      <c r="AL62" s="220" t="e">
        <f>SUM(Buildings_Water_Backend[[#This Row],[Scope 1 (tCO2e)]:[Scope 3 WTT T&amp;D (tCO2e)]])</f>
        <v>#N/A</v>
      </c>
      <c r="AM62" s="220" t="e">
        <f>Buildings_Water_Backend[[#This Row],[Total (tCO2e)]]*(1-Buildings_Water_Backend[[#This Row],[RSD]])</f>
        <v>#N/A</v>
      </c>
      <c r="AN62" s="220" t="e">
        <f>Buildings_Water_Backend[[#This Row],[Total (tCO2e)]]*(1+Buildings_Water_Backend[[#This Row],[RSD]])</f>
        <v>#N/A</v>
      </c>
      <c r="AO62" s="210" t="e">
        <f>_xlfn.XLOOKUP(_xlfn.CONCAT(Buildings_Water_Backend[[#This Row],[Level 1]:[Level 6]]),rng_EFConcat,rng_EFOOS)*Buildings_Water_Backend[[#This Row],[Converted data]]/1000</f>
        <v>#N/A</v>
      </c>
      <c r="AP62" s="174">
        <f>Buildings_Water_Frontend[[#This Row],[Ease of collection]]</f>
        <v>0</v>
      </c>
      <c r="AQ62" s="174">
        <f>Buildings_Water_Frontend[[#This Row],[Completeness]]</f>
        <v>0</v>
      </c>
      <c r="AR62" s="174">
        <f>Buildings_Water_Frontend[[#This Row],[Notes]]</f>
        <v>0</v>
      </c>
    </row>
    <row r="63" spans="5:44" x14ac:dyDescent="0.3">
      <c r="E63" s="346"/>
      <c r="F63" s="364"/>
      <c r="G63" s="336"/>
      <c r="H63" s="336"/>
      <c r="I63" s="334"/>
      <c r="J63" s="336"/>
      <c r="K63" s="336"/>
      <c r="L63" s="336"/>
      <c r="M63" s="337"/>
      <c r="N63" s="242">
        <f t="shared" si="1"/>
        <v>5</v>
      </c>
      <c r="Q63" s="212" t="str">
        <f t="shared" si="0"/>
        <v/>
      </c>
      <c r="R63" s="174" t="s">
        <v>265</v>
      </c>
      <c r="S63" s="174" t="s">
        <v>273</v>
      </c>
      <c r="T63" s="174" t="e">
        <f>_xlfn.XLOOKUP(Buildings_Water_Backend[[#This Row],[Info 1]],Buildings_SiteInfo[Site name],Buildings_SiteInfo[Site type])</f>
        <v>#N/A</v>
      </c>
      <c r="U63" s="174" t="s">
        <v>327</v>
      </c>
      <c r="V63" s="174">
        <f>Buildings_Water_Frontend[[#This Row],[Type]]</f>
        <v>0</v>
      </c>
      <c r="W63" s="174" t="e" cm="1">
        <f t="array" aca="1" ref="W63" ca="1">_xlfn.XLOOKUP(Buildings_Water_Backend[[#This Row],[Level 5]],rng_Level5Long,rng_Level6Long)</f>
        <v>#N/A</v>
      </c>
      <c r="X63" s="174">
        <f>Buildings_Water_Frontend[[#This Row],[Site Name]]</f>
        <v>0</v>
      </c>
      <c r="Y63" s="174">
        <f>Buildings_Water_Frontend[[#This Row],[Meter Reference]]</f>
        <v>0</v>
      </c>
      <c r="Z63" s="220">
        <f>Buildings_Water_Frontend[[#This Row],[Methodology]]</f>
        <v>0</v>
      </c>
      <c r="AA63" s="229" t="e" cm="1">
        <f t="array" ref="AA63">INDEX(_xlfn.SWITCH(Buildings_Water_Backend[[#This Row],[Methodology]],"Tier 1",rng_RSD1,"Tier 2",rng_RSD2,"Tier 3",rng_RSD3),MATCH(_xlfn.CONCAT(Buildings_Water_Backend[[#This Row],[Level 1]:[Level 6]]),rng_LevelsConcat,0))</f>
        <v>#N/A</v>
      </c>
      <c r="AB63" s="224">
        <f>Buildings_Water_Frontend[[#This Row],[Data]]</f>
        <v>0</v>
      </c>
      <c r="AC63" s="174">
        <f>Buildings_Water_Frontend[[#This Row],[Units]]</f>
        <v>0</v>
      </c>
      <c r="AD63" s="220" t="e">
        <f>IF(Buildings_Water_Backend[[#This Row],[Units]]=Buildings_Water_Backend[[#This Row],[Standard units]],Buildings_Water_Backend[[#This Row],[Data]],Buildings_Water_Backend[[#This Row],[Data]]*_xlfn.XLOOKUP(_xlfn.CONCAT(Buildings_Water_Backend[[#This Row],[Level 1]:[Level 6]]),rng_EFConcat,rng_EFConversion))</f>
        <v>#N/A</v>
      </c>
      <c r="AE63" s="174" t="e" cm="1">
        <f t="array" ref="AE63">_xlfn.XLOOKUP(_xlfn.CONCAT(Buildings_Water_Backend[[#This Row],[Level 1]:[Level 6]]),rng_LevelsConcat,rng_UnitsLong)</f>
        <v>#N/A</v>
      </c>
      <c r="AF63" s="210" t="e">
        <f>_xlfn.XLOOKUP(_xlfn.CONCAT(Buildings_Water_Backend[[#This Row],[Level 1]:[Level 6]]),rng_EFConcat,rng_EF1)*Buildings_Water_Backend[[#This Row],[Converted data]]/1000</f>
        <v>#N/A</v>
      </c>
      <c r="AG63" s="210" t="e">
        <f>_xlfn.XLOOKUP(_xlfn.CONCAT(Buildings_Water_Backend[[#This Row],[Level 1]:[Level 6]]),rng_EFConcat,rng_EF2)*Buildings_Water_Backend[[#This Row],[Converted data]]/1000</f>
        <v>#N/A</v>
      </c>
      <c r="AH63" s="210" t="e">
        <f>_xlfn.XLOOKUP(_xlfn.CONCAT(Buildings_Water_Backend[[#This Row],[Level 1]:[Level 6]]),rng_EFConcat,rng_EF3)*Buildings_Water_Backend[[#This Row],[Converted data]]/1000</f>
        <v>#N/A</v>
      </c>
      <c r="AI63" s="210" t="e">
        <f>_xlfn.XLOOKUP(_xlfn.CONCAT(Buildings_Water_Backend[[#This Row],[Level 1]:[Level 6]]),rng_EFConcat,rng_EF3WTT)*Buildings_Water_Backend[[#This Row],[Converted data]]/1000</f>
        <v>#N/A</v>
      </c>
      <c r="AJ63" s="210" t="e">
        <f>_xlfn.XLOOKUP(_xlfn.CONCAT(Buildings_Water_Backend[[#This Row],[Level 1]:[Level 6]]),rng_EFConcat,rng_EF3TD)*Buildings_Water_Backend[[#This Row],[Converted data]]/1000</f>
        <v>#N/A</v>
      </c>
      <c r="AK63" s="210" t="e">
        <f>_xlfn.XLOOKUP(_xlfn.CONCAT(Buildings_Water_Backend[[#This Row],[Level 1]:[Level 6]]),rng_EFConcat,rng_EF3WTTTD)*Buildings_Water_Backend[[#This Row],[Converted data]]/1000</f>
        <v>#N/A</v>
      </c>
      <c r="AL63" s="220" t="e">
        <f>SUM(Buildings_Water_Backend[[#This Row],[Scope 1 (tCO2e)]:[Scope 3 WTT T&amp;D (tCO2e)]])</f>
        <v>#N/A</v>
      </c>
      <c r="AM63" s="220" t="e">
        <f>Buildings_Water_Backend[[#This Row],[Total (tCO2e)]]*(1-Buildings_Water_Backend[[#This Row],[RSD]])</f>
        <v>#N/A</v>
      </c>
      <c r="AN63" s="220" t="e">
        <f>Buildings_Water_Backend[[#This Row],[Total (tCO2e)]]*(1+Buildings_Water_Backend[[#This Row],[RSD]])</f>
        <v>#N/A</v>
      </c>
      <c r="AO63" s="210" t="e">
        <f>_xlfn.XLOOKUP(_xlfn.CONCAT(Buildings_Water_Backend[[#This Row],[Level 1]:[Level 6]]),rng_EFConcat,rng_EFOOS)*Buildings_Water_Backend[[#This Row],[Converted data]]/1000</f>
        <v>#N/A</v>
      </c>
      <c r="AP63" s="174">
        <f>Buildings_Water_Frontend[[#This Row],[Ease of collection]]</f>
        <v>0</v>
      </c>
      <c r="AQ63" s="174">
        <f>Buildings_Water_Frontend[[#This Row],[Completeness]]</f>
        <v>0</v>
      </c>
      <c r="AR63" s="174">
        <f>Buildings_Water_Frontend[[#This Row],[Notes]]</f>
        <v>0</v>
      </c>
    </row>
    <row r="64" spans="5:44" x14ac:dyDescent="0.3">
      <c r="E64" s="346"/>
      <c r="F64" s="364"/>
      <c r="G64" s="336"/>
      <c r="H64" s="336"/>
      <c r="I64" s="334"/>
      <c r="J64" s="336"/>
      <c r="K64" s="336"/>
      <c r="L64" s="336"/>
      <c r="M64" s="337"/>
      <c r="N64" s="242">
        <f t="shared" si="1"/>
        <v>5</v>
      </c>
      <c r="Q64" s="212" t="str">
        <f t="shared" si="0"/>
        <v/>
      </c>
      <c r="R64" s="174" t="s">
        <v>265</v>
      </c>
      <c r="S64" s="174" t="s">
        <v>273</v>
      </c>
      <c r="T64" s="174" t="e">
        <f>_xlfn.XLOOKUP(Buildings_Water_Backend[[#This Row],[Info 1]],Buildings_SiteInfo[Site name],Buildings_SiteInfo[Site type])</f>
        <v>#N/A</v>
      </c>
      <c r="U64" s="174" t="s">
        <v>327</v>
      </c>
      <c r="V64" s="174">
        <f>Buildings_Water_Frontend[[#This Row],[Type]]</f>
        <v>0</v>
      </c>
      <c r="W64" s="174" t="e" cm="1">
        <f t="array" aca="1" ref="W64" ca="1">_xlfn.XLOOKUP(Buildings_Water_Backend[[#This Row],[Level 5]],rng_Level5Long,rng_Level6Long)</f>
        <v>#N/A</v>
      </c>
      <c r="X64" s="174">
        <f>Buildings_Water_Frontend[[#This Row],[Site Name]]</f>
        <v>0</v>
      </c>
      <c r="Y64" s="174">
        <f>Buildings_Water_Frontend[[#This Row],[Meter Reference]]</f>
        <v>0</v>
      </c>
      <c r="Z64" s="220">
        <f>Buildings_Water_Frontend[[#This Row],[Methodology]]</f>
        <v>0</v>
      </c>
      <c r="AA64" s="229" t="e" cm="1">
        <f t="array" ref="AA64">INDEX(_xlfn.SWITCH(Buildings_Water_Backend[[#This Row],[Methodology]],"Tier 1",rng_RSD1,"Tier 2",rng_RSD2,"Tier 3",rng_RSD3),MATCH(_xlfn.CONCAT(Buildings_Water_Backend[[#This Row],[Level 1]:[Level 6]]),rng_LevelsConcat,0))</f>
        <v>#N/A</v>
      </c>
      <c r="AB64" s="224">
        <f>Buildings_Water_Frontend[[#This Row],[Data]]</f>
        <v>0</v>
      </c>
      <c r="AC64" s="174">
        <f>Buildings_Water_Frontend[[#This Row],[Units]]</f>
        <v>0</v>
      </c>
      <c r="AD64" s="220" t="e">
        <f>IF(Buildings_Water_Backend[[#This Row],[Units]]=Buildings_Water_Backend[[#This Row],[Standard units]],Buildings_Water_Backend[[#This Row],[Data]],Buildings_Water_Backend[[#This Row],[Data]]*_xlfn.XLOOKUP(_xlfn.CONCAT(Buildings_Water_Backend[[#This Row],[Level 1]:[Level 6]]),rng_EFConcat,rng_EFConversion))</f>
        <v>#N/A</v>
      </c>
      <c r="AE64" s="174" t="e" cm="1">
        <f t="array" ref="AE64">_xlfn.XLOOKUP(_xlfn.CONCAT(Buildings_Water_Backend[[#This Row],[Level 1]:[Level 6]]),rng_LevelsConcat,rng_UnitsLong)</f>
        <v>#N/A</v>
      </c>
      <c r="AF64" s="210" t="e">
        <f>_xlfn.XLOOKUP(_xlfn.CONCAT(Buildings_Water_Backend[[#This Row],[Level 1]:[Level 6]]),rng_EFConcat,rng_EF1)*Buildings_Water_Backend[[#This Row],[Converted data]]/1000</f>
        <v>#N/A</v>
      </c>
      <c r="AG64" s="210" t="e">
        <f>_xlfn.XLOOKUP(_xlfn.CONCAT(Buildings_Water_Backend[[#This Row],[Level 1]:[Level 6]]),rng_EFConcat,rng_EF2)*Buildings_Water_Backend[[#This Row],[Converted data]]/1000</f>
        <v>#N/A</v>
      </c>
      <c r="AH64" s="210" t="e">
        <f>_xlfn.XLOOKUP(_xlfn.CONCAT(Buildings_Water_Backend[[#This Row],[Level 1]:[Level 6]]),rng_EFConcat,rng_EF3)*Buildings_Water_Backend[[#This Row],[Converted data]]/1000</f>
        <v>#N/A</v>
      </c>
      <c r="AI64" s="210" t="e">
        <f>_xlfn.XLOOKUP(_xlfn.CONCAT(Buildings_Water_Backend[[#This Row],[Level 1]:[Level 6]]),rng_EFConcat,rng_EF3WTT)*Buildings_Water_Backend[[#This Row],[Converted data]]/1000</f>
        <v>#N/A</v>
      </c>
      <c r="AJ64" s="210" t="e">
        <f>_xlfn.XLOOKUP(_xlfn.CONCAT(Buildings_Water_Backend[[#This Row],[Level 1]:[Level 6]]),rng_EFConcat,rng_EF3TD)*Buildings_Water_Backend[[#This Row],[Converted data]]/1000</f>
        <v>#N/A</v>
      </c>
      <c r="AK64" s="210" t="e">
        <f>_xlfn.XLOOKUP(_xlfn.CONCAT(Buildings_Water_Backend[[#This Row],[Level 1]:[Level 6]]),rng_EFConcat,rng_EF3WTTTD)*Buildings_Water_Backend[[#This Row],[Converted data]]/1000</f>
        <v>#N/A</v>
      </c>
      <c r="AL64" s="220" t="e">
        <f>SUM(Buildings_Water_Backend[[#This Row],[Scope 1 (tCO2e)]:[Scope 3 WTT T&amp;D (tCO2e)]])</f>
        <v>#N/A</v>
      </c>
      <c r="AM64" s="220" t="e">
        <f>Buildings_Water_Backend[[#This Row],[Total (tCO2e)]]*(1-Buildings_Water_Backend[[#This Row],[RSD]])</f>
        <v>#N/A</v>
      </c>
      <c r="AN64" s="220" t="e">
        <f>Buildings_Water_Backend[[#This Row],[Total (tCO2e)]]*(1+Buildings_Water_Backend[[#This Row],[RSD]])</f>
        <v>#N/A</v>
      </c>
      <c r="AO64" s="210" t="e">
        <f>_xlfn.XLOOKUP(_xlfn.CONCAT(Buildings_Water_Backend[[#This Row],[Level 1]:[Level 6]]),rng_EFConcat,rng_EFOOS)*Buildings_Water_Backend[[#This Row],[Converted data]]/1000</f>
        <v>#N/A</v>
      </c>
      <c r="AP64" s="174">
        <f>Buildings_Water_Frontend[[#This Row],[Ease of collection]]</f>
        <v>0</v>
      </c>
      <c r="AQ64" s="174">
        <f>Buildings_Water_Frontend[[#This Row],[Completeness]]</f>
        <v>0</v>
      </c>
      <c r="AR64" s="174">
        <f>Buildings_Water_Frontend[[#This Row],[Notes]]</f>
        <v>0</v>
      </c>
    </row>
    <row r="65" spans="5:44" x14ac:dyDescent="0.3">
      <c r="E65" s="346"/>
      <c r="F65" s="364"/>
      <c r="G65" s="336"/>
      <c r="H65" s="336"/>
      <c r="I65" s="334"/>
      <c r="J65" s="336"/>
      <c r="K65" s="336"/>
      <c r="L65" s="336"/>
      <c r="M65" s="337"/>
      <c r="N65" s="242">
        <f t="shared" si="1"/>
        <v>5</v>
      </c>
      <c r="Q65" s="212" t="str">
        <f t="shared" si="0"/>
        <v/>
      </c>
      <c r="R65" s="174" t="s">
        <v>265</v>
      </c>
      <c r="S65" s="174" t="s">
        <v>273</v>
      </c>
      <c r="T65" s="174" t="e">
        <f>_xlfn.XLOOKUP(Buildings_Water_Backend[[#This Row],[Info 1]],Buildings_SiteInfo[Site name],Buildings_SiteInfo[Site type])</f>
        <v>#N/A</v>
      </c>
      <c r="U65" s="174" t="s">
        <v>327</v>
      </c>
      <c r="V65" s="174">
        <f>Buildings_Water_Frontend[[#This Row],[Type]]</f>
        <v>0</v>
      </c>
      <c r="W65" s="174" t="e" cm="1">
        <f t="array" aca="1" ref="W65" ca="1">_xlfn.XLOOKUP(Buildings_Water_Backend[[#This Row],[Level 5]],rng_Level5Long,rng_Level6Long)</f>
        <v>#N/A</v>
      </c>
      <c r="X65" s="174">
        <f>Buildings_Water_Frontend[[#This Row],[Site Name]]</f>
        <v>0</v>
      </c>
      <c r="Y65" s="174">
        <f>Buildings_Water_Frontend[[#This Row],[Meter Reference]]</f>
        <v>0</v>
      </c>
      <c r="Z65" s="220">
        <f>Buildings_Water_Frontend[[#This Row],[Methodology]]</f>
        <v>0</v>
      </c>
      <c r="AA65" s="229" t="e" cm="1">
        <f t="array" ref="AA65">INDEX(_xlfn.SWITCH(Buildings_Water_Backend[[#This Row],[Methodology]],"Tier 1",rng_RSD1,"Tier 2",rng_RSD2,"Tier 3",rng_RSD3),MATCH(_xlfn.CONCAT(Buildings_Water_Backend[[#This Row],[Level 1]:[Level 6]]),rng_LevelsConcat,0))</f>
        <v>#N/A</v>
      </c>
      <c r="AB65" s="224">
        <f>Buildings_Water_Frontend[[#This Row],[Data]]</f>
        <v>0</v>
      </c>
      <c r="AC65" s="174">
        <f>Buildings_Water_Frontend[[#This Row],[Units]]</f>
        <v>0</v>
      </c>
      <c r="AD65" s="220" t="e">
        <f>IF(Buildings_Water_Backend[[#This Row],[Units]]=Buildings_Water_Backend[[#This Row],[Standard units]],Buildings_Water_Backend[[#This Row],[Data]],Buildings_Water_Backend[[#This Row],[Data]]*_xlfn.XLOOKUP(_xlfn.CONCAT(Buildings_Water_Backend[[#This Row],[Level 1]:[Level 6]]),rng_EFConcat,rng_EFConversion))</f>
        <v>#N/A</v>
      </c>
      <c r="AE65" s="174" t="e" cm="1">
        <f t="array" ref="AE65">_xlfn.XLOOKUP(_xlfn.CONCAT(Buildings_Water_Backend[[#This Row],[Level 1]:[Level 6]]),rng_LevelsConcat,rng_UnitsLong)</f>
        <v>#N/A</v>
      </c>
      <c r="AF65" s="210" t="e">
        <f>_xlfn.XLOOKUP(_xlfn.CONCAT(Buildings_Water_Backend[[#This Row],[Level 1]:[Level 6]]),rng_EFConcat,rng_EF1)*Buildings_Water_Backend[[#This Row],[Converted data]]/1000</f>
        <v>#N/A</v>
      </c>
      <c r="AG65" s="210" t="e">
        <f>_xlfn.XLOOKUP(_xlfn.CONCAT(Buildings_Water_Backend[[#This Row],[Level 1]:[Level 6]]),rng_EFConcat,rng_EF2)*Buildings_Water_Backend[[#This Row],[Converted data]]/1000</f>
        <v>#N/A</v>
      </c>
      <c r="AH65" s="210" t="e">
        <f>_xlfn.XLOOKUP(_xlfn.CONCAT(Buildings_Water_Backend[[#This Row],[Level 1]:[Level 6]]),rng_EFConcat,rng_EF3)*Buildings_Water_Backend[[#This Row],[Converted data]]/1000</f>
        <v>#N/A</v>
      </c>
      <c r="AI65" s="210" t="e">
        <f>_xlfn.XLOOKUP(_xlfn.CONCAT(Buildings_Water_Backend[[#This Row],[Level 1]:[Level 6]]),rng_EFConcat,rng_EF3WTT)*Buildings_Water_Backend[[#This Row],[Converted data]]/1000</f>
        <v>#N/A</v>
      </c>
      <c r="AJ65" s="210" t="e">
        <f>_xlfn.XLOOKUP(_xlfn.CONCAT(Buildings_Water_Backend[[#This Row],[Level 1]:[Level 6]]),rng_EFConcat,rng_EF3TD)*Buildings_Water_Backend[[#This Row],[Converted data]]/1000</f>
        <v>#N/A</v>
      </c>
      <c r="AK65" s="210" t="e">
        <f>_xlfn.XLOOKUP(_xlfn.CONCAT(Buildings_Water_Backend[[#This Row],[Level 1]:[Level 6]]),rng_EFConcat,rng_EF3WTTTD)*Buildings_Water_Backend[[#This Row],[Converted data]]/1000</f>
        <v>#N/A</v>
      </c>
      <c r="AL65" s="220" t="e">
        <f>SUM(Buildings_Water_Backend[[#This Row],[Scope 1 (tCO2e)]:[Scope 3 WTT T&amp;D (tCO2e)]])</f>
        <v>#N/A</v>
      </c>
      <c r="AM65" s="220" t="e">
        <f>Buildings_Water_Backend[[#This Row],[Total (tCO2e)]]*(1-Buildings_Water_Backend[[#This Row],[RSD]])</f>
        <v>#N/A</v>
      </c>
      <c r="AN65" s="220" t="e">
        <f>Buildings_Water_Backend[[#This Row],[Total (tCO2e)]]*(1+Buildings_Water_Backend[[#This Row],[RSD]])</f>
        <v>#N/A</v>
      </c>
      <c r="AO65" s="210" t="e">
        <f>_xlfn.XLOOKUP(_xlfn.CONCAT(Buildings_Water_Backend[[#This Row],[Level 1]:[Level 6]]),rng_EFConcat,rng_EFOOS)*Buildings_Water_Backend[[#This Row],[Converted data]]/1000</f>
        <v>#N/A</v>
      </c>
      <c r="AP65" s="174">
        <f>Buildings_Water_Frontend[[#This Row],[Ease of collection]]</f>
        <v>0</v>
      </c>
      <c r="AQ65" s="174">
        <f>Buildings_Water_Frontend[[#This Row],[Completeness]]</f>
        <v>0</v>
      </c>
      <c r="AR65" s="174">
        <f>Buildings_Water_Frontend[[#This Row],[Notes]]</f>
        <v>0</v>
      </c>
    </row>
    <row r="66" spans="5:44" x14ac:dyDescent="0.3">
      <c r="E66" s="346"/>
      <c r="F66" s="364"/>
      <c r="G66" s="336"/>
      <c r="H66" s="336"/>
      <c r="I66" s="334"/>
      <c r="J66" s="336"/>
      <c r="K66" s="336"/>
      <c r="L66" s="336"/>
      <c r="M66" s="337"/>
      <c r="N66" s="242">
        <f t="shared" si="1"/>
        <v>5</v>
      </c>
      <c r="Q66" s="212" t="str">
        <f t="shared" si="0"/>
        <v/>
      </c>
      <c r="R66" s="174" t="s">
        <v>265</v>
      </c>
      <c r="S66" s="174" t="s">
        <v>273</v>
      </c>
      <c r="T66" s="174" t="e">
        <f>_xlfn.XLOOKUP(Buildings_Water_Backend[[#This Row],[Info 1]],Buildings_SiteInfo[Site name],Buildings_SiteInfo[Site type])</f>
        <v>#N/A</v>
      </c>
      <c r="U66" s="174" t="s">
        <v>327</v>
      </c>
      <c r="V66" s="174">
        <f>Buildings_Water_Frontend[[#This Row],[Type]]</f>
        <v>0</v>
      </c>
      <c r="W66" s="174" t="e" cm="1">
        <f t="array" aca="1" ref="W66" ca="1">_xlfn.XLOOKUP(Buildings_Water_Backend[[#This Row],[Level 5]],rng_Level5Long,rng_Level6Long)</f>
        <v>#N/A</v>
      </c>
      <c r="X66" s="174">
        <f>Buildings_Water_Frontend[[#This Row],[Site Name]]</f>
        <v>0</v>
      </c>
      <c r="Y66" s="174">
        <f>Buildings_Water_Frontend[[#This Row],[Meter Reference]]</f>
        <v>0</v>
      </c>
      <c r="Z66" s="220">
        <f>Buildings_Water_Frontend[[#This Row],[Methodology]]</f>
        <v>0</v>
      </c>
      <c r="AA66" s="229" t="e" cm="1">
        <f t="array" ref="AA66">INDEX(_xlfn.SWITCH(Buildings_Water_Backend[[#This Row],[Methodology]],"Tier 1",rng_RSD1,"Tier 2",rng_RSD2,"Tier 3",rng_RSD3),MATCH(_xlfn.CONCAT(Buildings_Water_Backend[[#This Row],[Level 1]:[Level 6]]),rng_LevelsConcat,0))</f>
        <v>#N/A</v>
      </c>
      <c r="AB66" s="224">
        <f>Buildings_Water_Frontend[[#This Row],[Data]]</f>
        <v>0</v>
      </c>
      <c r="AC66" s="174">
        <f>Buildings_Water_Frontend[[#This Row],[Units]]</f>
        <v>0</v>
      </c>
      <c r="AD66" s="220" t="e">
        <f>IF(Buildings_Water_Backend[[#This Row],[Units]]=Buildings_Water_Backend[[#This Row],[Standard units]],Buildings_Water_Backend[[#This Row],[Data]],Buildings_Water_Backend[[#This Row],[Data]]*_xlfn.XLOOKUP(_xlfn.CONCAT(Buildings_Water_Backend[[#This Row],[Level 1]:[Level 6]]),rng_EFConcat,rng_EFConversion))</f>
        <v>#N/A</v>
      </c>
      <c r="AE66" s="174" t="e" cm="1">
        <f t="array" ref="AE66">_xlfn.XLOOKUP(_xlfn.CONCAT(Buildings_Water_Backend[[#This Row],[Level 1]:[Level 6]]),rng_LevelsConcat,rng_UnitsLong)</f>
        <v>#N/A</v>
      </c>
      <c r="AF66" s="210" t="e">
        <f>_xlfn.XLOOKUP(_xlfn.CONCAT(Buildings_Water_Backend[[#This Row],[Level 1]:[Level 6]]),rng_EFConcat,rng_EF1)*Buildings_Water_Backend[[#This Row],[Converted data]]/1000</f>
        <v>#N/A</v>
      </c>
      <c r="AG66" s="210" t="e">
        <f>_xlfn.XLOOKUP(_xlfn.CONCAT(Buildings_Water_Backend[[#This Row],[Level 1]:[Level 6]]),rng_EFConcat,rng_EF2)*Buildings_Water_Backend[[#This Row],[Converted data]]/1000</f>
        <v>#N/A</v>
      </c>
      <c r="AH66" s="210" t="e">
        <f>_xlfn.XLOOKUP(_xlfn.CONCAT(Buildings_Water_Backend[[#This Row],[Level 1]:[Level 6]]),rng_EFConcat,rng_EF3)*Buildings_Water_Backend[[#This Row],[Converted data]]/1000</f>
        <v>#N/A</v>
      </c>
      <c r="AI66" s="210" t="e">
        <f>_xlfn.XLOOKUP(_xlfn.CONCAT(Buildings_Water_Backend[[#This Row],[Level 1]:[Level 6]]),rng_EFConcat,rng_EF3WTT)*Buildings_Water_Backend[[#This Row],[Converted data]]/1000</f>
        <v>#N/A</v>
      </c>
      <c r="AJ66" s="210" t="e">
        <f>_xlfn.XLOOKUP(_xlfn.CONCAT(Buildings_Water_Backend[[#This Row],[Level 1]:[Level 6]]),rng_EFConcat,rng_EF3TD)*Buildings_Water_Backend[[#This Row],[Converted data]]/1000</f>
        <v>#N/A</v>
      </c>
      <c r="AK66" s="210" t="e">
        <f>_xlfn.XLOOKUP(_xlfn.CONCAT(Buildings_Water_Backend[[#This Row],[Level 1]:[Level 6]]),rng_EFConcat,rng_EF3WTTTD)*Buildings_Water_Backend[[#This Row],[Converted data]]/1000</f>
        <v>#N/A</v>
      </c>
      <c r="AL66" s="220" t="e">
        <f>SUM(Buildings_Water_Backend[[#This Row],[Scope 1 (tCO2e)]:[Scope 3 WTT T&amp;D (tCO2e)]])</f>
        <v>#N/A</v>
      </c>
      <c r="AM66" s="220" t="e">
        <f>Buildings_Water_Backend[[#This Row],[Total (tCO2e)]]*(1-Buildings_Water_Backend[[#This Row],[RSD]])</f>
        <v>#N/A</v>
      </c>
      <c r="AN66" s="220" t="e">
        <f>Buildings_Water_Backend[[#This Row],[Total (tCO2e)]]*(1+Buildings_Water_Backend[[#This Row],[RSD]])</f>
        <v>#N/A</v>
      </c>
      <c r="AO66" s="210" t="e">
        <f>_xlfn.XLOOKUP(_xlfn.CONCAT(Buildings_Water_Backend[[#This Row],[Level 1]:[Level 6]]),rng_EFConcat,rng_EFOOS)*Buildings_Water_Backend[[#This Row],[Converted data]]/1000</f>
        <v>#N/A</v>
      </c>
      <c r="AP66" s="174">
        <f>Buildings_Water_Frontend[[#This Row],[Ease of collection]]</f>
        <v>0</v>
      </c>
      <c r="AQ66" s="174">
        <f>Buildings_Water_Frontend[[#This Row],[Completeness]]</f>
        <v>0</v>
      </c>
      <c r="AR66" s="174">
        <f>Buildings_Water_Frontend[[#This Row],[Notes]]</f>
        <v>0</v>
      </c>
    </row>
    <row r="67" spans="5:44" x14ac:dyDescent="0.3">
      <c r="E67" s="346"/>
      <c r="F67" s="364"/>
      <c r="G67" s="336"/>
      <c r="H67" s="336"/>
      <c r="I67" s="334"/>
      <c r="J67" s="336"/>
      <c r="K67" s="336"/>
      <c r="L67" s="336"/>
      <c r="M67" s="337"/>
      <c r="N67" s="242">
        <f t="shared" si="1"/>
        <v>5</v>
      </c>
      <c r="Q67" s="212" t="str">
        <f t="shared" si="0"/>
        <v/>
      </c>
      <c r="R67" s="174" t="s">
        <v>265</v>
      </c>
      <c r="S67" s="174" t="s">
        <v>273</v>
      </c>
      <c r="T67" s="174" t="e">
        <f>_xlfn.XLOOKUP(Buildings_Water_Backend[[#This Row],[Info 1]],Buildings_SiteInfo[Site name],Buildings_SiteInfo[Site type])</f>
        <v>#N/A</v>
      </c>
      <c r="U67" s="174" t="s">
        <v>327</v>
      </c>
      <c r="V67" s="174">
        <f>Buildings_Water_Frontend[[#This Row],[Type]]</f>
        <v>0</v>
      </c>
      <c r="W67" s="174" t="e" cm="1">
        <f t="array" aca="1" ref="W67" ca="1">_xlfn.XLOOKUP(Buildings_Water_Backend[[#This Row],[Level 5]],rng_Level5Long,rng_Level6Long)</f>
        <v>#N/A</v>
      </c>
      <c r="X67" s="174">
        <f>Buildings_Water_Frontend[[#This Row],[Site Name]]</f>
        <v>0</v>
      </c>
      <c r="Y67" s="174">
        <f>Buildings_Water_Frontend[[#This Row],[Meter Reference]]</f>
        <v>0</v>
      </c>
      <c r="Z67" s="220">
        <f>Buildings_Water_Frontend[[#This Row],[Methodology]]</f>
        <v>0</v>
      </c>
      <c r="AA67" s="229" t="e" cm="1">
        <f t="array" ref="AA67">INDEX(_xlfn.SWITCH(Buildings_Water_Backend[[#This Row],[Methodology]],"Tier 1",rng_RSD1,"Tier 2",rng_RSD2,"Tier 3",rng_RSD3),MATCH(_xlfn.CONCAT(Buildings_Water_Backend[[#This Row],[Level 1]:[Level 6]]),rng_LevelsConcat,0))</f>
        <v>#N/A</v>
      </c>
      <c r="AB67" s="224">
        <f>Buildings_Water_Frontend[[#This Row],[Data]]</f>
        <v>0</v>
      </c>
      <c r="AC67" s="174">
        <f>Buildings_Water_Frontend[[#This Row],[Units]]</f>
        <v>0</v>
      </c>
      <c r="AD67" s="220" t="e">
        <f>IF(Buildings_Water_Backend[[#This Row],[Units]]=Buildings_Water_Backend[[#This Row],[Standard units]],Buildings_Water_Backend[[#This Row],[Data]],Buildings_Water_Backend[[#This Row],[Data]]*_xlfn.XLOOKUP(_xlfn.CONCAT(Buildings_Water_Backend[[#This Row],[Level 1]:[Level 6]]),rng_EFConcat,rng_EFConversion))</f>
        <v>#N/A</v>
      </c>
      <c r="AE67" s="174" t="e" cm="1">
        <f t="array" ref="AE67">_xlfn.XLOOKUP(_xlfn.CONCAT(Buildings_Water_Backend[[#This Row],[Level 1]:[Level 6]]),rng_LevelsConcat,rng_UnitsLong)</f>
        <v>#N/A</v>
      </c>
      <c r="AF67" s="210" t="e">
        <f>_xlfn.XLOOKUP(_xlfn.CONCAT(Buildings_Water_Backend[[#This Row],[Level 1]:[Level 6]]),rng_EFConcat,rng_EF1)*Buildings_Water_Backend[[#This Row],[Converted data]]/1000</f>
        <v>#N/A</v>
      </c>
      <c r="AG67" s="210" t="e">
        <f>_xlfn.XLOOKUP(_xlfn.CONCAT(Buildings_Water_Backend[[#This Row],[Level 1]:[Level 6]]),rng_EFConcat,rng_EF2)*Buildings_Water_Backend[[#This Row],[Converted data]]/1000</f>
        <v>#N/A</v>
      </c>
      <c r="AH67" s="210" t="e">
        <f>_xlfn.XLOOKUP(_xlfn.CONCAT(Buildings_Water_Backend[[#This Row],[Level 1]:[Level 6]]),rng_EFConcat,rng_EF3)*Buildings_Water_Backend[[#This Row],[Converted data]]/1000</f>
        <v>#N/A</v>
      </c>
      <c r="AI67" s="210" t="e">
        <f>_xlfn.XLOOKUP(_xlfn.CONCAT(Buildings_Water_Backend[[#This Row],[Level 1]:[Level 6]]),rng_EFConcat,rng_EF3WTT)*Buildings_Water_Backend[[#This Row],[Converted data]]/1000</f>
        <v>#N/A</v>
      </c>
      <c r="AJ67" s="210" t="e">
        <f>_xlfn.XLOOKUP(_xlfn.CONCAT(Buildings_Water_Backend[[#This Row],[Level 1]:[Level 6]]),rng_EFConcat,rng_EF3TD)*Buildings_Water_Backend[[#This Row],[Converted data]]/1000</f>
        <v>#N/A</v>
      </c>
      <c r="AK67" s="210" t="e">
        <f>_xlfn.XLOOKUP(_xlfn.CONCAT(Buildings_Water_Backend[[#This Row],[Level 1]:[Level 6]]),rng_EFConcat,rng_EF3WTTTD)*Buildings_Water_Backend[[#This Row],[Converted data]]/1000</f>
        <v>#N/A</v>
      </c>
      <c r="AL67" s="220" t="e">
        <f>SUM(Buildings_Water_Backend[[#This Row],[Scope 1 (tCO2e)]:[Scope 3 WTT T&amp;D (tCO2e)]])</f>
        <v>#N/A</v>
      </c>
      <c r="AM67" s="220" t="e">
        <f>Buildings_Water_Backend[[#This Row],[Total (tCO2e)]]*(1-Buildings_Water_Backend[[#This Row],[RSD]])</f>
        <v>#N/A</v>
      </c>
      <c r="AN67" s="220" t="e">
        <f>Buildings_Water_Backend[[#This Row],[Total (tCO2e)]]*(1+Buildings_Water_Backend[[#This Row],[RSD]])</f>
        <v>#N/A</v>
      </c>
      <c r="AO67" s="210" t="e">
        <f>_xlfn.XLOOKUP(_xlfn.CONCAT(Buildings_Water_Backend[[#This Row],[Level 1]:[Level 6]]),rng_EFConcat,rng_EFOOS)*Buildings_Water_Backend[[#This Row],[Converted data]]/1000</f>
        <v>#N/A</v>
      </c>
      <c r="AP67" s="174">
        <f>Buildings_Water_Frontend[[#This Row],[Ease of collection]]</f>
        <v>0</v>
      </c>
      <c r="AQ67" s="174">
        <f>Buildings_Water_Frontend[[#This Row],[Completeness]]</f>
        <v>0</v>
      </c>
      <c r="AR67" s="174">
        <f>Buildings_Water_Frontend[[#This Row],[Notes]]</f>
        <v>0</v>
      </c>
    </row>
    <row r="68" spans="5:44" x14ac:dyDescent="0.3">
      <c r="E68" s="346"/>
      <c r="F68" s="364"/>
      <c r="G68" s="336"/>
      <c r="H68" s="336"/>
      <c r="I68" s="334"/>
      <c r="J68" s="336"/>
      <c r="K68" s="336"/>
      <c r="L68" s="336"/>
      <c r="M68" s="337"/>
      <c r="N68" s="242">
        <f t="shared" si="1"/>
        <v>5</v>
      </c>
      <c r="Q68" s="212" t="str">
        <f t="shared" si="0"/>
        <v/>
      </c>
      <c r="R68" s="174" t="s">
        <v>265</v>
      </c>
      <c r="S68" s="174" t="s">
        <v>273</v>
      </c>
      <c r="T68" s="174" t="e">
        <f>_xlfn.XLOOKUP(Buildings_Water_Backend[[#This Row],[Info 1]],Buildings_SiteInfo[Site name],Buildings_SiteInfo[Site type])</f>
        <v>#N/A</v>
      </c>
      <c r="U68" s="174" t="s">
        <v>327</v>
      </c>
      <c r="V68" s="174">
        <f>Buildings_Water_Frontend[[#This Row],[Type]]</f>
        <v>0</v>
      </c>
      <c r="W68" s="174" t="e" cm="1">
        <f t="array" aca="1" ref="W68" ca="1">_xlfn.XLOOKUP(Buildings_Water_Backend[[#This Row],[Level 5]],rng_Level5Long,rng_Level6Long)</f>
        <v>#N/A</v>
      </c>
      <c r="X68" s="174">
        <f>Buildings_Water_Frontend[[#This Row],[Site Name]]</f>
        <v>0</v>
      </c>
      <c r="Y68" s="174">
        <f>Buildings_Water_Frontend[[#This Row],[Meter Reference]]</f>
        <v>0</v>
      </c>
      <c r="Z68" s="220">
        <f>Buildings_Water_Frontend[[#This Row],[Methodology]]</f>
        <v>0</v>
      </c>
      <c r="AA68" s="229" t="e" cm="1">
        <f t="array" ref="AA68">INDEX(_xlfn.SWITCH(Buildings_Water_Backend[[#This Row],[Methodology]],"Tier 1",rng_RSD1,"Tier 2",rng_RSD2,"Tier 3",rng_RSD3),MATCH(_xlfn.CONCAT(Buildings_Water_Backend[[#This Row],[Level 1]:[Level 6]]),rng_LevelsConcat,0))</f>
        <v>#N/A</v>
      </c>
      <c r="AB68" s="224">
        <f>Buildings_Water_Frontend[[#This Row],[Data]]</f>
        <v>0</v>
      </c>
      <c r="AC68" s="174">
        <f>Buildings_Water_Frontend[[#This Row],[Units]]</f>
        <v>0</v>
      </c>
      <c r="AD68" s="220" t="e">
        <f>IF(Buildings_Water_Backend[[#This Row],[Units]]=Buildings_Water_Backend[[#This Row],[Standard units]],Buildings_Water_Backend[[#This Row],[Data]],Buildings_Water_Backend[[#This Row],[Data]]*_xlfn.XLOOKUP(_xlfn.CONCAT(Buildings_Water_Backend[[#This Row],[Level 1]:[Level 6]]),rng_EFConcat,rng_EFConversion))</f>
        <v>#N/A</v>
      </c>
      <c r="AE68" s="174" t="e" cm="1">
        <f t="array" ref="AE68">_xlfn.XLOOKUP(_xlfn.CONCAT(Buildings_Water_Backend[[#This Row],[Level 1]:[Level 6]]),rng_LevelsConcat,rng_UnitsLong)</f>
        <v>#N/A</v>
      </c>
      <c r="AF68" s="210" t="e">
        <f>_xlfn.XLOOKUP(_xlfn.CONCAT(Buildings_Water_Backend[[#This Row],[Level 1]:[Level 6]]),rng_EFConcat,rng_EF1)*Buildings_Water_Backend[[#This Row],[Converted data]]/1000</f>
        <v>#N/A</v>
      </c>
      <c r="AG68" s="210" t="e">
        <f>_xlfn.XLOOKUP(_xlfn.CONCAT(Buildings_Water_Backend[[#This Row],[Level 1]:[Level 6]]),rng_EFConcat,rng_EF2)*Buildings_Water_Backend[[#This Row],[Converted data]]/1000</f>
        <v>#N/A</v>
      </c>
      <c r="AH68" s="210" t="e">
        <f>_xlfn.XLOOKUP(_xlfn.CONCAT(Buildings_Water_Backend[[#This Row],[Level 1]:[Level 6]]),rng_EFConcat,rng_EF3)*Buildings_Water_Backend[[#This Row],[Converted data]]/1000</f>
        <v>#N/A</v>
      </c>
      <c r="AI68" s="210" t="e">
        <f>_xlfn.XLOOKUP(_xlfn.CONCAT(Buildings_Water_Backend[[#This Row],[Level 1]:[Level 6]]),rng_EFConcat,rng_EF3WTT)*Buildings_Water_Backend[[#This Row],[Converted data]]/1000</f>
        <v>#N/A</v>
      </c>
      <c r="AJ68" s="210" t="e">
        <f>_xlfn.XLOOKUP(_xlfn.CONCAT(Buildings_Water_Backend[[#This Row],[Level 1]:[Level 6]]),rng_EFConcat,rng_EF3TD)*Buildings_Water_Backend[[#This Row],[Converted data]]/1000</f>
        <v>#N/A</v>
      </c>
      <c r="AK68" s="210" t="e">
        <f>_xlfn.XLOOKUP(_xlfn.CONCAT(Buildings_Water_Backend[[#This Row],[Level 1]:[Level 6]]),rng_EFConcat,rng_EF3WTTTD)*Buildings_Water_Backend[[#This Row],[Converted data]]/1000</f>
        <v>#N/A</v>
      </c>
      <c r="AL68" s="220" t="e">
        <f>SUM(Buildings_Water_Backend[[#This Row],[Scope 1 (tCO2e)]:[Scope 3 WTT T&amp;D (tCO2e)]])</f>
        <v>#N/A</v>
      </c>
      <c r="AM68" s="220" t="e">
        <f>Buildings_Water_Backend[[#This Row],[Total (tCO2e)]]*(1-Buildings_Water_Backend[[#This Row],[RSD]])</f>
        <v>#N/A</v>
      </c>
      <c r="AN68" s="220" t="e">
        <f>Buildings_Water_Backend[[#This Row],[Total (tCO2e)]]*(1+Buildings_Water_Backend[[#This Row],[RSD]])</f>
        <v>#N/A</v>
      </c>
      <c r="AO68" s="210" t="e">
        <f>_xlfn.XLOOKUP(_xlfn.CONCAT(Buildings_Water_Backend[[#This Row],[Level 1]:[Level 6]]),rng_EFConcat,rng_EFOOS)*Buildings_Water_Backend[[#This Row],[Converted data]]/1000</f>
        <v>#N/A</v>
      </c>
      <c r="AP68" s="174">
        <f>Buildings_Water_Frontend[[#This Row],[Ease of collection]]</f>
        <v>0</v>
      </c>
      <c r="AQ68" s="174">
        <f>Buildings_Water_Frontend[[#This Row],[Completeness]]</f>
        <v>0</v>
      </c>
      <c r="AR68" s="174">
        <f>Buildings_Water_Frontend[[#This Row],[Notes]]</f>
        <v>0</v>
      </c>
    </row>
    <row r="69" spans="5:44" x14ac:dyDescent="0.3">
      <c r="E69" s="346"/>
      <c r="F69" s="364"/>
      <c r="G69" s="336"/>
      <c r="H69" s="336"/>
      <c r="I69" s="334"/>
      <c r="J69" s="336"/>
      <c r="K69" s="336"/>
      <c r="L69" s="336"/>
      <c r="M69" s="337"/>
      <c r="N69" s="242">
        <f t="shared" si="1"/>
        <v>5</v>
      </c>
      <c r="Q69" s="212" t="str">
        <f t="shared" si="0"/>
        <v/>
      </c>
      <c r="R69" s="174" t="s">
        <v>265</v>
      </c>
      <c r="S69" s="174" t="s">
        <v>273</v>
      </c>
      <c r="T69" s="174" t="e">
        <f>_xlfn.XLOOKUP(Buildings_Water_Backend[[#This Row],[Info 1]],Buildings_SiteInfo[Site name],Buildings_SiteInfo[Site type])</f>
        <v>#N/A</v>
      </c>
      <c r="U69" s="174" t="s">
        <v>327</v>
      </c>
      <c r="V69" s="174">
        <f>Buildings_Water_Frontend[[#This Row],[Type]]</f>
        <v>0</v>
      </c>
      <c r="W69" s="174" t="e" cm="1">
        <f t="array" aca="1" ref="W69" ca="1">_xlfn.XLOOKUP(Buildings_Water_Backend[[#This Row],[Level 5]],rng_Level5Long,rng_Level6Long)</f>
        <v>#N/A</v>
      </c>
      <c r="X69" s="174">
        <f>Buildings_Water_Frontend[[#This Row],[Site Name]]</f>
        <v>0</v>
      </c>
      <c r="Y69" s="174">
        <f>Buildings_Water_Frontend[[#This Row],[Meter Reference]]</f>
        <v>0</v>
      </c>
      <c r="Z69" s="220">
        <f>Buildings_Water_Frontend[[#This Row],[Methodology]]</f>
        <v>0</v>
      </c>
      <c r="AA69" s="229" t="e" cm="1">
        <f t="array" ref="AA69">INDEX(_xlfn.SWITCH(Buildings_Water_Backend[[#This Row],[Methodology]],"Tier 1",rng_RSD1,"Tier 2",rng_RSD2,"Tier 3",rng_RSD3),MATCH(_xlfn.CONCAT(Buildings_Water_Backend[[#This Row],[Level 1]:[Level 6]]),rng_LevelsConcat,0))</f>
        <v>#N/A</v>
      </c>
      <c r="AB69" s="224">
        <f>Buildings_Water_Frontend[[#This Row],[Data]]</f>
        <v>0</v>
      </c>
      <c r="AC69" s="174">
        <f>Buildings_Water_Frontend[[#This Row],[Units]]</f>
        <v>0</v>
      </c>
      <c r="AD69" s="220" t="e">
        <f>IF(Buildings_Water_Backend[[#This Row],[Units]]=Buildings_Water_Backend[[#This Row],[Standard units]],Buildings_Water_Backend[[#This Row],[Data]],Buildings_Water_Backend[[#This Row],[Data]]*_xlfn.XLOOKUP(_xlfn.CONCAT(Buildings_Water_Backend[[#This Row],[Level 1]:[Level 6]]),rng_EFConcat,rng_EFConversion))</f>
        <v>#N/A</v>
      </c>
      <c r="AE69" s="174" t="e" cm="1">
        <f t="array" ref="AE69">_xlfn.XLOOKUP(_xlfn.CONCAT(Buildings_Water_Backend[[#This Row],[Level 1]:[Level 6]]),rng_LevelsConcat,rng_UnitsLong)</f>
        <v>#N/A</v>
      </c>
      <c r="AF69" s="210" t="e">
        <f>_xlfn.XLOOKUP(_xlfn.CONCAT(Buildings_Water_Backend[[#This Row],[Level 1]:[Level 6]]),rng_EFConcat,rng_EF1)*Buildings_Water_Backend[[#This Row],[Converted data]]/1000</f>
        <v>#N/A</v>
      </c>
      <c r="AG69" s="210" t="e">
        <f>_xlfn.XLOOKUP(_xlfn.CONCAT(Buildings_Water_Backend[[#This Row],[Level 1]:[Level 6]]),rng_EFConcat,rng_EF2)*Buildings_Water_Backend[[#This Row],[Converted data]]/1000</f>
        <v>#N/A</v>
      </c>
      <c r="AH69" s="210" t="e">
        <f>_xlfn.XLOOKUP(_xlfn.CONCAT(Buildings_Water_Backend[[#This Row],[Level 1]:[Level 6]]),rng_EFConcat,rng_EF3)*Buildings_Water_Backend[[#This Row],[Converted data]]/1000</f>
        <v>#N/A</v>
      </c>
      <c r="AI69" s="210" t="e">
        <f>_xlfn.XLOOKUP(_xlfn.CONCAT(Buildings_Water_Backend[[#This Row],[Level 1]:[Level 6]]),rng_EFConcat,rng_EF3WTT)*Buildings_Water_Backend[[#This Row],[Converted data]]/1000</f>
        <v>#N/A</v>
      </c>
      <c r="AJ69" s="210" t="e">
        <f>_xlfn.XLOOKUP(_xlfn.CONCAT(Buildings_Water_Backend[[#This Row],[Level 1]:[Level 6]]),rng_EFConcat,rng_EF3TD)*Buildings_Water_Backend[[#This Row],[Converted data]]/1000</f>
        <v>#N/A</v>
      </c>
      <c r="AK69" s="210" t="e">
        <f>_xlfn.XLOOKUP(_xlfn.CONCAT(Buildings_Water_Backend[[#This Row],[Level 1]:[Level 6]]),rng_EFConcat,rng_EF3WTTTD)*Buildings_Water_Backend[[#This Row],[Converted data]]/1000</f>
        <v>#N/A</v>
      </c>
      <c r="AL69" s="220" t="e">
        <f>SUM(Buildings_Water_Backend[[#This Row],[Scope 1 (tCO2e)]:[Scope 3 WTT T&amp;D (tCO2e)]])</f>
        <v>#N/A</v>
      </c>
      <c r="AM69" s="220" t="e">
        <f>Buildings_Water_Backend[[#This Row],[Total (tCO2e)]]*(1-Buildings_Water_Backend[[#This Row],[RSD]])</f>
        <v>#N/A</v>
      </c>
      <c r="AN69" s="220" t="e">
        <f>Buildings_Water_Backend[[#This Row],[Total (tCO2e)]]*(1+Buildings_Water_Backend[[#This Row],[RSD]])</f>
        <v>#N/A</v>
      </c>
      <c r="AO69" s="210" t="e">
        <f>_xlfn.XLOOKUP(_xlfn.CONCAT(Buildings_Water_Backend[[#This Row],[Level 1]:[Level 6]]),rng_EFConcat,rng_EFOOS)*Buildings_Water_Backend[[#This Row],[Converted data]]/1000</f>
        <v>#N/A</v>
      </c>
      <c r="AP69" s="174">
        <f>Buildings_Water_Frontend[[#This Row],[Ease of collection]]</f>
        <v>0</v>
      </c>
      <c r="AQ69" s="174">
        <f>Buildings_Water_Frontend[[#This Row],[Completeness]]</f>
        <v>0</v>
      </c>
      <c r="AR69" s="174">
        <f>Buildings_Water_Frontend[[#This Row],[Notes]]</f>
        <v>0</v>
      </c>
    </row>
    <row r="70" spans="5:44" x14ac:dyDescent="0.3">
      <c r="E70" s="346"/>
      <c r="F70" s="364"/>
      <c r="G70" s="336"/>
      <c r="H70" s="336"/>
      <c r="I70" s="334"/>
      <c r="J70" s="336"/>
      <c r="K70" s="336"/>
      <c r="L70" s="336"/>
      <c r="M70" s="337"/>
      <c r="N70" s="242">
        <f t="shared" si="1"/>
        <v>5</v>
      </c>
      <c r="Q70" s="212" t="str">
        <f t="shared" si="0"/>
        <v/>
      </c>
      <c r="R70" s="174" t="s">
        <v>265</v>
      </c>
      <c r="S70" s="174" t="s">
        <v>273</v>
      </c>
      <c r="T70" s="174" t="e">
        <f>_xlfn.XLOOKUP(Buildings_Water_Backend[[#This Row],[Info 1]],Buildings_SiteInfo[Site name],Buildings_SiteInfo[Site type])</f>
        <v>#N/A</v>
      </c>
      <c r="U70" s="174" t="s">
        <v>327</v>
      </c>
      <c r="V70" s="174">
        <f>Buildings_Water_Frontend[[#This Row],[Type]]</f>
        <v>0</v>
      </c>
      <c r="W70" s="174" t="e" cm="1">
        <f t="array" aca="1" ref="W70" ca="1">_xlfn.XLOOKUP(Buildings_Water_Backend[[#This Row],[Level 5]],rng_Level5Long,rng_Level6Long)</f>
        <v>#N/A</v>
      </c>
      <c r="X70" s="174">
        <f>Buildings_Water_Frontend[[#This Row],[Site Name]]</f>
        <v>0</v>
      </c>
      <c r="Y70" s="174">
        <f>Buildings_Water_Frontend[[#This Row],[Meter Reference]]</f>
        <v>0</v>
      </c>
      <c r="Z70" s="220">
        <f>Buildings_Water_Frontend[[#This Row],[Methodology]]</f>
        <v>0</v>
      </c>
      <c r="AA70" s="229" t="e" cm="1">
        <f t="array" ref="AA70">INDEX(_xlfn.SWITCH(Buildings_Water_Backend[[#This Row],[Methodology]],"Tier 1",rng_RSD1,"Tier 2",rng_RSD2,"Tier 3",rng_RSD3),MATCH(_xlfn.CONCAT(Buildings_Water_Backend[[#This Row],[Level 1]:[Level 6]]),rng_LevelsConcat,0))</f>
        <v>#N/A</v>
      </c>
      <c r="AB70" s="224">
        <f>Buildings_Water_Frontend[[#This Row],[Data]]</f>
        <v>0</v>
      </c>
      <c r="AC70" s="174">
        <f>Buildings_Water_Frontend[[#This Row],[Units]]</f>
        <v>0</v>
      </c>
      <c r="AD70" s="220" t="e">
        <f>IF(Buildings_Water_Backend[[#This Row],[Units]]=Buildings_Water_Backend[[#This Row],[Standard units]],Buildings_Water_Backend[[#This Row],[Data]],Buildings_Water_Backend[[#This Row],[Data]]*_xlfn.XLOOKUP(_xlfn.CONCAT(Buildings_Water_Backend[[#This Row],[Level 1]:[Level 6]]),rng_EFConcat,rng_EFConversion))</f>
        <v>#N/A</v>
      </c>
      <c r="AE70" s="174" t="e" cm="1">
        <f t="array" ref="AE70">_xlfn.XLOOKUP(_xlfn.CONCAT(Buildings_Water_Backend[[#This Row],[Level 1]:[Level 6]]),rng_LevelsConcat,rng_UnitsLong)</f>
        <v>#N/A</v>
      </c>
      <c r="AF70" s="210" t="e">
        <f>_xlfn.XLOOKUP(_xlfn.CONCAT(Buildings_Water_Backend[[#This Row],[Level 1]:[Level 6]]),rng_EFConcat,rng_EF1)*Buildings_Water_Backend[[#This Row],[Converted data]]/1000</f>
        <v>#N/A</v>
      </c>
      <c r="AG70" s="210" t="e">
        <f>_xlfn.XLOOKUP(_xlfn.CONCAT(Buildings_Water_Backend[[#This Row],[Level 1]:[Level 6]]),rng_EFConcat,rng_EF2)*Buildings_Water_Backend[[#This Row],[Converted data]]/1000</f>
        <v>#N/A</v>
      </c>
      <c r="AH70" s="210" t="e">
        <f>_xlfn.XLOOKUP(_xlfn.CONCAT(Buildings_Water_Backend[[#This Row],[Level 1]:[Level 6]]),rng_EFConcat,rng_EF3)*Buildings_Water_Backend[[#This Row],[Converted data]]/1000</f>
        <v>#N/A</v>
      </c>
      <c r="AI70" s="210" t="e">
        <f>_xlfn.XLOOKUP(_xlfn.CONCAT(Buildings_Water_Backend[[#This Row],[Level 1]:[Level 6]]),rng_EFConcat,rng_EF3WTT)*Buildings_Water_Backend[[#This Row],[Converted data]]/1000</f>
        <v>#N/A</v>
      </c>
      <c r="AJ70" s="210" t="e">
        <f>_xlfn.XLOOKUP(_xlfn.CONCAT(Buildings_Water_Backend[[#This Row],[Level 1]:[Level 6]]),rng_EFConcat,rng_EF3TD)*Buildings_Water_Backend[[#This Row],[Converted data]]/1000</f>
        <v>#N/A</v>
      </c>
      <c r="AK70" s="210" t="e">
        <f>_xlfn.XLOOKUP(_xlfn.CONCAT(Buildings_Water_Backend[[#This Row],[Level 1]:[Level 6]]),rng_EFConcat,rng_EF3WTTTD)*Buildings_Water_Backend[[#This Row],[Converted data]]/1000</f>
        <v>#N/A</v>
      </c>
      <c r="AL70" s="220" t="e">
        <f>SUM(Buildings_Water_Backend[[#This Row],[Scope 1 (tCO2e)]:[Scope 3 WTT T&amp;D (tCO2e)]])</f>
        <v>#N/A</v>
      </c>
      <c r="AM70" s="220" t="e">
        <f>Buildings_Water_Backend[[#This Row],[Total (tCO2e)]]*(1-Buildings_Water_Backend[[#This Row],[RSD]])</f>
        <v>#N/A</v>
      </c>
      <c r="AN70" s="220" t="e">
        <f>Buildings_Water_Backend[[#This Row],[Total (tCO2e)]]*(1+Buildings_Water_Backend[[#This Row],[RSD]])</f>
        <v>#N/A</v>
      </c>
      <c r="AO70" s="210" t="e">
        <f>_xlfn.XLOOKUP(_xlfn.CONCAT(Buildings_Water_Backend[[#This Row],[Level 1]:[Level 6]]),rng_EFConcat,rng_EFOOS)*Buildings_Water_Backend[[#This Row],[Converted data]]/1000</f>
        <v>#N/A</v>
      </c>
      <c r="AP70" s="174">
        <f>Buildings_Water_Frontend[[#This Row],[Ease of collection]]</f>
        <v>0</v>
      </c>
      <c r="AQ70" s="174">
        <f>Buildings_Water_Frontend[[#This Row],[Completeness]]</f>
        <v>0</v>
      </c>
      <c r="AR70" s="174">
        <f>Buildings_Water_Frontend[[#This Row],[Notes]]</f>
        <v>0</v>
      </c>
    </row>
    <row r="71" spans="5:44" x14ac:dyDescent="0.3">
      <c r="E71" s="346"/>
      <c r="F71" s="364"/>
      <c r="G71" s="336"/>
      <c r="H71" s="336"/>
      <c r="I71" s="334"/>
      <c r="J71" s="336"/>
      <c r="K71" s="336"/>
      <c r="L71" s="336"/>
      <c r="M71" s="337"/>
      <c r="N71" s="242">
        <f t="shared" si="1"/>
        <v>5</v>
      </c>
      <c r="Q71" s="212" t="str">
        <f t="shared" si="0"/>
        <v/>
      </c>
      <c r="R71" s="174" t="s">
        <v>265</v>
      </c>
      <c r="S71" s="174" t="s">
        <v>273</v>
      </c>
      <c r="T71" s="174" t="e">
        <f>_xlfn.XLOOKUP(Buildings_Water_Backend[[#This Row],[Info 1]],Buildings_SiteInfo[Site name],Buildings_SiteInfo[Site type])</f>
        <v>#N/A</v>
      </c>
      <c r="U71" s="174" t="s">
        <v>327</v>
      </c>
      <c r="V71" s="174">
        <f>Buildings_Water_Frontend[[#This Row],[Type]]</f>
        <v>0</v>
      </c>
      <c r="W71" s="174" t="e" cm="1">
        <f t="array" aca="1" ref="W71" ca="1">_xlfn.XLOOKUP(Buildings_Water_Backend[[#This Row],[Level 5]],rng_Level5Long,rng_Level6Long)</f>
        <v>#N/A</v>
      </c>
      <c r="X71" s="174">
        <f>Buildings_Water_Frontend[[#This Row],[Site Name]]</f>
        <v>0</v>
      </c>
      <c r="Y71" s="174">
        <f>Buildings_Water_Frontend[[#This Row],[Meter Reference]]</f>
        <v>0</v>
      </c>
      <c r="Z71" s="220">
        <f>Buildings_Water_Frontend[[#This Row],[Methodology]]</f>
        <v>0</v>
      </c>
      <c r="AA71" s="229" t="e" cm="1">
        <f t="array" ref="AA71">INDEX(_xlfn.SWITCH(Buildings_Water_Backend[[#This Row],[Methodology]],"Tier 1",rng_RSD1,"Tier 2",rng_RSD2,"Tier 3",rng_RSD3),MATCH(_xlfn.CONCAT(Buildings_Water_Backend[[#This Row],[Level 1]:[Level 6]]),rng_LevelsConcat,0))</f>
        <v>#N/A</v>
      </c>
      <c r="AB71" s="224">
        <f>Buildings_Water_Frontend[[#This Row],[Data]]</f>
        <v>0</v>
      </c>
      <c r="AC71" s="174">
        <f>Buildings_Water_Frontend[[#This Row],[Units]]</f>
        <v>0</v>
      </c>
      <c r="AD71" s="220" t="e">
        <f>IF(Buildings_Water_Backend[[#This Row],[Units]]=Buildings_Water_Backend[[#This Row],[Standard units]],Buildings_Water_Backend[[#This Row],[Data]],Buildings_Water_Backend[[#This Row],[Data]]*_xlfn.XLOOKUP(_xlfn.CONCAT(Buildings_Water_Backend[[#This Row],[Level 1]:[Level 6]]),rng_EFConcat,rng_EFConversion))</f>
        <v>#N/A</v>
      </c>
      <c r="AE71" s="174" t="e" cm="1">
        <f t="array" ref="AE71">_xlfn.XLOOKUP(_xlfn.CONCAT(Buildings_Water_Backend[[#This Row],[Level 1]:[Level 6]]),rng_LevelsConcat,rng_UnitsLong)</f>
        <v>#N/A</v>
      </c>
      <c r="AF71" s="210" t="e">
        <f>_xlfn.XLOOKUP(_xlfn.CONCAT(Buildings_Water_Backend[[#This Row],[Level 1]:[Level 6]]),rng_EFConcat,rng_EF1)*Buildings_Water_Backend[[#This Row],[Converted data]]/1000</f>
        <v>#N/A</v>
      </c>
      <c r="AG71" s="210" t="e">
        <f>_xlfn.XLOOKUP(_xlfn.CONCAT(Buildings_Water_Backend[[#This Row],[Level 1]:[Level 6]]),rng_EFConcat,rng_EF2)*Buildings_Water_Backend[[#This Row],[Converted data]]/1000</f>
        <v>#N/A</v>
      </c>
      <c r="AH71" s="210" t="e">
        <f>_xlfn.XLOOKUP(_xlfn.CONCAT(Buildings_Water_Backend[[#This Row],[Level 1]:[Level 6]]),rng_EFConcat,rng_EF3)*Buildings_Water_Backend[[#This Row],[Converted data]]/1000</f>
        <v>#N/A</v>
      </c>
      <c r="AI71" s="210" t="e">
        <f>_xlfn.XLOOKUP(_xlfn.CONCAT(Buildings_Water_Backend[[#This Row],[Level 1]:[Level 6]]),rng_EFConcat,rng_EF3WTT)*Buildings_Water_Backend[[#This Row],[Converted data]]/1000</f>
        <v>#N/A</v>
      </c>
      <c r="AJ71" s="210" t="e">
        <f>_xlfn.XLOOKUP(_xlfn.CONCAT(Buildings_Water_Backend[[#This Row],[Level 1]:[Level 6]]),rng_EFConcat,rng_EF3TD)*Buildings_Water_Backend[[#This Row],[Converted data]]/1000</f>
        <v>#N/A</v>
      </c>
      <c r="AK71" s="210" t="e">
        <f>_xlfn.XLOOKUP(_xlfn.CONCAT(Buildings_Water_Backend[[#This Row],[Level 1]:[Level 6]]),rng_EFConcat,rng_EF3WTTTD)*Buildings_Water_Backend[[#This Row],[Converted data]]/1000</f>
        <v>#N/A</v>
      </c>
      <c r="AL71" s="220" t="e">
        <f>SUM(Buildings_Water_Backend[[#This Row],[Scope 1 (tCO2e)]:[Scope 3 WTT T&amp;D (tCO2e)]])</f>
        <v>#N/A</v>
      </c>
      <c r="AM71" s="220" t="e">
        <f>Buildings_Water_Backend[[#This Row],[Total (tCO2e)]]*(1-Buildings_Water_Backend[[#This Row],[RSD]])</f>
        <v>#N/A</v>
      </c>
      <c r="AN71" s="220" t="e">
        <f>Buildings_Water_Backend[[#This Row],[Total (tCO2e)]]*(1+Buildings_Water_Backend[[#This Row],[RSD]])</f>
        <v>#N/A</v>
      </c>
      <c r="AO71" s="210" t="e">
        <f>_xlfn.XLOOKUP(_xlfn.CONCAT(Buildings_Water_Backend[[#This Row],[Level 1]:[Level 6]]),rng_EFConcat,rng_EFOOS)*Buildings_Water_Backend[[#This Row],[Converted data]]/1000</f>
        <v>#N/A</v>
      </c>
      <c r="AP71" s="174">
        <f>Buildings_Water_Frontend[[#This Row],[Ease of collection]]</f>
        <v>0</v>
      </c>
      <c r="AQ71" s="174">
        <f>Buildings_Water_Frontend[[#This Row],[Completeness]]</f>
        <v>0</v>
      </c>
      <c r="AR71" s="174">
        <f>Buildings_Water_Frontend[[#This Row],[Notes]]</f>
        <v>0</v>
      </c>
    </row>
    <row r="72" spans="5:44" x14ac:dyDescent="0.3">
      <c r="E72" s="346"/>
      <c r="F72" s="364"/>
      <c r="G72" s="336"/>
      <c r="H72" s="336"/>
      <c r="I72" s="334"/>
      <c r="J72" s="336"/>
      <c r="K72" s="336"/>
      <c r="L72" s="336"/>
      <c r="M72" s="337"/>
      <c r="N72" s="242">
        <f t="shared" si="1"/>
        <v>5</v>
      </c>
      <c r="Q72" s="212" t="str">
        <f t="shared" si="0"/>
        <v/>
      </c>
      <c r="R72" s="174" t="s">
        <v>265</v>
      </c>
      <c r="S72" s="174" t="s">
        <v>273</v>
      </c>
      <c r="T72" s="174" t="e">
        <f>_xlfn.XLOOKUP(Buildings_Water_Backend[[#This Row],[Info 1]],Buildings_SiteInfo[Site name],Buildings_SiteInfo[Site type])</f>
        <v>#N/A</v>
      </c>
      <c r="U72" s="174" t="s">
        <v>327</v>
      </c>
      <c r="V72" s="174">
        <f>Buildings_Water_Frontend[[#This Row],[Type]]</f>
        <v>0</v>
      </c>
      <c r="W72" s="174" t="e" cm="1">
        <f t="array" aca="1" ref="W72" ca="1">_xlfn.XLOOKUP(Buildings_Water_Backend[[#This Row],[Level 5]],rng_Level5Long,rng_Level6Long)</f>
        <v>#N/A</v>
      </c>
      <c r="X72" s="174">
        <f>Buildings_Water_Frontend[[#This Row],[Site Name]]</f>
        <v>0</v>
      </c>
      <c r="Y72" s="174">
        <f>Buildings_Water_Frontend[[#This Row],[Meter Reference]]</f>
        <v>0</v>
      </c>
      <c r="Z72" s="220">
        <f>Buildings_Water_Frontend[[#This Row],[Methodology]]</f>
        <v>0</v>
      </c>
      <c r="AA72" s="229" t="e" cm="1">
        <f t="array" ref="AA72">INDEX(_xlfn.SWITCH(Buildings_Water_Backend[[#This Row],[Methodology]],"Tier 1",rng_RSD1,"Tier 2",rng_RSD2,"Tier 3",rng_RSD3),MATCH(_xlfn.CONCAT(Buildings_Water_Backend[[#This Row],[Level 1]:[Level 6]]),rng_LevelsConcat,0))</f>
        <v>#N/A</v>
      </c>
      <c r="AB72" s="224">
        <f>Buildings_Water_Frontend[[#This Row],[Data]]</f>
        <v>0</v>
      </c>
      <c r="AC72" s="174">
        <f>Buildings_Water_Frontend[[#This Row],[Units]]</f>
        <v>0</v>
      </c>
      <c r="AD72" s="220" t="e">
        <f>IF(Buildings_Water_Backend[[#This Row],[Units]]=Buildings_Water_Backend[[#This Row],[Standard units]],Buildings_Water_Backend[[#This Row],[Data]],Buildings_Water_Backend[[#This Row],[Data]]*_xlfn.XLOOKUP(_xlfn.CONCAT(Buildings_Water_Backend[[#This Row],[Level 1]:[Level 6]]),rng_EFConcat,rng_EFConversion))</f>
        <v>#N/A</v>
      </c>
      <c r="AE72" s="174" t="e" cm="1">
        <f t="array" ref="AE72">_xlfn.XLOOKUP(_xlfn.CONCAT(Buildings_Water_Backend[[#This Row],[Level 1]:[Level 6]]),rng_LevelsConcat,rng_UnitsLong)</f>
        <v>#N/A</v>
      </c>
      <c r="AF72" s="210" t="e">
        <f>_xlfn.XLOOKUP(_xlfn.CONCAT(Buildings_Water_Backend[[#This Row],[Level 1]:[Level 6]]),rng_EFConcat,rng_EF1)*Buildings_Water_Backend[[#This Row],[Converted data]]/1000</f>
        <v>#N/A</v>
      </c>
      <c r="AG72" s="210" t="e">
        <f>_xlfn.XLOOKUP(_xlfn.CONCAT(Buildings_Water_Backend[[#This Row],[Level 1]:[Level 6]]),rng_EFConcat,rng_EF2)*Buildings_Water_Backend[[#This Row],[Converted data]]/1000</f>
        <v>#N/A</v>
      </c>
      <c r="AH72" s="210" t="e">
        <f>_xlfn.XLOOKUP(_xlfn.CONCAT(Buildings_Water_Backend[[#This Row],[Level 1]:[Level 6]]),rng_EFConcat,rng_EF3)*Buildings_Water_Backend[[#This Row],[Converted data]]/1000</f>
        <v>#N/A</v>
      </c>
      <c r="AI72" s="210" t="e">
        <f>_xlfn.XLOOKUP(_xlfn.CONCAT(Buildings_Water_Backend[[#This Row],[Level 1]:[Level 6]]),rng_EFConcat,rng_EF3WTT)*Buildings_Water_Backend[[#This Row],[Converted data]]/1000</f>
        <v>#N/A</v>
      </c>
      <c r="AJ72" s="210" t="e">
        <f>_xlfn.XLOOKUP(_xlfn.CONCAT(Buildings_Water_Backend[[#This Row],[Level 1]:[Level 6]]),rng_EFConcat,rng_EF3TD)*Buildings_Water_Backend[[#This Row],[Converted data]]/1000</f>
        <v>#N/A</v>
      </c>
      <c r="AK72" s="210" t="e">
        <f>_xlfn.XLOOKUP(_xlfn.CONCAT(Buildings_Water_Backend[[#This Row],[Level 1]:[Level 6]]),rng_EFConcat,rng_EF3WTTTD)*Buildings_Water_Backend[[#This Row],[Converted data]]/1000</f>
        <v>#N/A</v>
      </c>
      <c r="AL72" s="220" t="e">
        <f>SUM(Buildings_Water_Backend[[#This Row],[Scope 1 (tCO2e)]:[Scope 3 WTT T&amp;D (tCO2e)]])</f>
        <v>#N/A</v>
      </c>
      <c r="AM72" s="220" t="e">
        <f>Buildings_Water_Backend[[#This Row],[Total (tCO2e)]]*(1-Buildings_Water_Backend[[#This Row],[RSD]])</f>
        <v>#N/A</v>
      </c>
      <c r="AN72" s="220" t="e">
        <f>Buildings_Water_Backend[[#This Row],[Total (tCO2e)]]*(1+Buildings_Water_Backend[[#This Row],[RSD]])</f>
        <v>#N/A</v>
      </c>
      <c r="AO72" s="210" t="e">
        <f>_xlfn.XLOOKUP(_xlfn.CONCAT(Buildings_Water_Backend[[#This Row],[Level 1]:[Level 6]]),rng_EFConcat,rng_EFOOS)*Buildings_Water_Backend[[#This Row],[Converted data]]/1000</f>
        <v>#N/A</v>
      </c>
      <c r="AP72" s="174">
        <f>Buildings_Water_Frontend[[#This Row],[Ease of collection]]</f>
        <v>0</v>
      </c>
      <c r="AQ72" s="174">
        <f>Buildings_Water_Frontend[[#This Row],[Completeness]]</f>
        <v>0</v>
      </c>
      <c r="AR72" s="174">
        <f>Buildings_Water_Frontend[[#This Row],[Notes]]</f>
        <v>0</v>
      </c>
    </row>
    <row r="73" spans="5:44" x14ac:dyDescent="0.3">
      <c r="E73" s="346"/>
      <c r="F73" s="364"/>
      <c r="G73" s="336"/>
      <c r="H73" s="336"/>
      <c r="I73" s="334"/>
      <c r="J73" s="336"/>
      <c r="K73" s="336"/>
      <c r="L73" s="336"/>
      <c r="M73" s="337"/>
      <c r="N73" s="242">
        <f t="shared" si="1"/>
        <v>5</v>
      </c>
      <c r="Q73" s="212" t="str">
        <f t="shared" si="0"/>
        <v/>
      </c>
      <c r="R73" s="174" t="s">
        <v>265</v>
      </c>
      <c r="S73" s="174" t="s">
        <v>273</v>
      </c>
      <c r="T73" s="174" t="e">
        <f>_xlfn.XLOOKUP(Buildings_Water_Backend[[#This Row],[Info 1]],Buildings_SiteInfo[Site name],Buildings_SiteInfo[Site type])</f>
        <v>#N/A</v>
      </c>
      <c r="U73" s="174" t="s">
        <v>327</v>
      </c>
      <c r="V73" s="174">
        <f>Buildings_Water_Frontend[[#This Row],[Type]]</f>
        <v>0</v>
      </c>
      <c r="W73" s="174" t="e" cm="1">
        <f t="array" aca="1" ref="W73" ca="1">_xlfn.XLOOKUP(Buildings_Water_Backend[[#This Row],[Level 5]],rng_Level5Long,rng_Level6Long)</f>
        <v>#N/A</v>
      </c>
      <c r="X73" s="174">
        <f>Buildings_Water_Frontend[[#This Row],[Site Name]]</f>
        <v>0</v>
      </c>
      <c r="Y73" s="174">
        <f>Buildings_Water_Frontend[[#This Row],[Meter Reference]]</f>
        <v>0</v>
      </c>
      <c r="Z73" s="220">
        <f>Buildings_Water_Frontend[[#This Row],[Methodology]]</f>
        <v>0</v>
      </c>
      <c r="AA73" s="229" t="e" cm="1">
        <f t="array" ref="AA73">INDEX(_xlfn.SWITCH(Buildings_Water_Backend[[#This Row],[Methodology]],"Tier 1",rng_RSD1,"Tier 2",rng_RSD2,"Tier 3",rng_RSD3),MATCH(_xlfn.CONCAT(Buildings_Water_Backend[[#This Row],[Level 1]:[Level 6]]),rng_LevelsConcat,0))</f>
        <v>#N/A</v>
      </c>
      <c r="AB73" s="224">
        <f>Buildings_Water_Frontend[[#This Row],[Data]]</f>
        <v>0</v>
      </c>
      <c r="AC73" s="174">
        <f>Buildings_Water_Frontend[[#This Row],[Units]]</f>
        <v>0</v>
      </c>
      <c r="AD73" s="220" t="e">
        <f>IF(Buildings_Water_Backend[[#This Row],[Units]]=Buildings_Water_Backend[[#This Row],[Standard units]],Buildings_Water_Backend[[#This Row],[Data]],Buildings_Water_Backend[[#This Row],[Data]]*_xlfn.XLOOKUP(_xlfn.CONCAT(Buildings_Water_Backend[[#This Row],[Level 1]:[Level 6]]),rng_EFConcat,rng_EFConversion))</f>
        <v>#N/A</v>
      </c>
      <c r="AE73" s="174" t="e" cm="1">
        <f t="array" ref="AE73">_xlfn.XLOOKUP(_xlfn.CONCAT(Buildings_Water_Backend[[#This Row],[Level 1]:[Level 6]]),rng_LevelsConcat,rng_UnitsLong)</f>
        <v>#N/A</v>
      </c>
      <c r="AF73" s="210" t="e">
        <f>_xlfn.XLOOKUP(_xlfn.CONCAT(Buildings_Water_Backend[[#This Row],[Level 1]:[Level 6]]),rng_EFConcat,rng_EF1)*Buildings_Water_Backend[[#This Row],[Converted data]]/1000</f>
        <v>#N/A</v>
      </c>
      <c r="AG73" s="210" t="e">
        <f>_xlfn.XLOOKUP(_xlfn.CONCAT(Buildings_Water_Backend[[#This Row],[Level 1]:[Level 6]]),rng_EFConcat,rng_EF2)*Buildings_Water_Backend[[#This Row],[Converted data]]/1000</f>
        <v>#N/A</v>
      </c>
      <c r="AH73" s="210" t="e">
        <f>_xlfn.XLOOKUP(_xlfn.CONCAT(Buildings_Water_Backend[[#This Row],[Level 1]:[Level 6]]),rng_EFConcat,rng_EF3)*Buildings_Water_Backend[[#This Row],[Converted data]]/1000</f>
        <v>#N/A</v>
      </c>
      <c r="AI73" s="210" t="e">
        <f>_xlfn.XLOOKUP(_xlfn.CONCAT(Buildings_Water_Backend[[#This Row],[Level 1]:[Level 6]]),rng_EFConcat,rng_EF3WTT)*Buildings_Water_Backend[[#This Row],[Converted data]]/1000</f>
        <v>#N/A</v>
      </c>
      <c r="AJ73" s="210" t="e">
        <f>_xlfn.XLOOKUP(_xlfn.CONCAT(Buildings_Water_Backend[[#This Row],[Level 1]:[Level 6]]),rng_EFConcat,rng_EF3TD)*Buildings_Water_Backend[[#This Row],[Converted data]]/1000</f>
        <v>#N/A</v>
      </c>
      <c r="AK73" s="210" t="e">
        <f>_xlfn.XLOOKUP(_xlfn.CONCAT(Buildings_Water_Backend[[#This Row],[Level 1]:[Level 6]]),rng_EFConcat,rng_EF3WTTTD)*Buildings_Water_Backend[[#This Row],[Converted data]]/1000</f>
        <v>#N/A</v>
      </c>
      <c r="AL73" s="220" t="e">
        <f>SUM(Buildings_Water_Backend[[#This Row],[Scope 1 (tCO2e)]:[Scope 3 WTT T&amp;D (tCO2e)]])</f>
        <v>#N/A</v>
      </c>
      <c r="AM73" s="220" t="e">
        <f>Buildings_Water_Backend[[#This Row],[Total (tCO2e)]]*(1-Buildings_Water_Backend[[#This Row],[RSD]])</f>
        <v>#N/A</v>
      </c>
      <c r="AN73" s="220" t="e">
        <f>Buildings_Water_Backend[[#This Row],[Total (tCO2e)]]*(1+Buildings_Water_Backend[[#This Row],[RSD]])</f>
        <v>#N/A</v>
      </c>
      <c r="AO73" s="210" t="e">
        <f>_xlfn.XLOOKUP(_xlfn.CONCAT(Buildings_Water_Backend[[#This Row],[Level 1]:[Level 6]]),rng_EFConcat,rng_EFOOS)*Buildings_Water_Backend[[#This Row],[Converted data]]/1000</f>
        <v>#N/A</v>
      </c>
      <c r="AP73" s="174">
        <f>Buildings_Water_Frontend[[#This Row],[Ease of collection]]</f>
        <v>0</v>
      </c>
      <c r="AQ73" s="174">
        <f>Buildings_Water_Frontend[[#This Row],[Completeness]]</f>
        <v>0</v>
      </c>
      <c r="AR73" s="174">
        <f>Buildings_Water_Frontend[[#This Row],[Notes]]</f>
        <v>0</v>
      </c>
    </row>
    <row r="74" spans="5:44" x14ac:dyDescent="0.3">
      <c r="E74" s="346"/>
      <c r="F74" s="364"/>
      <c r="G74" s="336"/>
      <c r="H74" s="336"/>
      <c r="I74" s="334"/>
      <c r="J74" s="336"/>
      <c r="K74" s="336"/>
      <c r="L74" s="336"/>
      <c r="M74" s="337"/>
      <c r="N74" s="242">
        <f t="shared" si="1"/>
        <v>5</v>
      </c>
      <c r="Q74" s="212" t="str">
        <f t="shared" si="0"/>
        <v/>
      </c>
      <c r="R74" s="174" t="s">
        <v>265</v>
      </c>
      <c r="S74" s="174" t="s">
        <v>273</v>
      </c>
      <c r="T74" s="174" t="e">
        <f>_xlfn.XLOOKUP(Buildings_Water_Backend[[#This Row],[Info 1]],Buildings_SiteInfo[Site name],Buildings_SiteInfo[Site type])</f>
        <v>#N/A</v>
      </c>
      <c r="U74" s="174" t="s">
        <v>327</v>
      </c>
      <c r="V74" s="174">
        <f>Buildings_Water_Frontend[[#This Row],[Type]]</f>
        <v>0</v>
      </c>
      <c r="W74" s="174" t="e" cm="1">
        <f t="array" aca="1" ref="W74" ca="1">_xlfn.XLOOKUP(Buildings_Water_Backend[[#This Row],[Level 5]],rng_Level5Long,rng_Level6Long)</f>
        <v>#N/A</v>
      </c>
      <c r="X74" s="174">
        <f>Buildings_Water_Frontend[[#This Row],[Site Name]]</f>
        <v>0</v>
      </c>
      <c r="Y74" s="174">
        <f>Buildings_Water_Frontend[[#This Row],[Meter Reference]]</f>
        <v>0</v>
      </c>
      <c r="Z74" s="220">
        <f>Buildings_Water_Frontend[[#This Row],[Methodology]]</f>
        <v>0</v>
      </c>
      <c r="AA74" s="229" t="e" cm="1">
        <f t="array" ref="AA74">INDEX(_xlfn.SWITCH(Buildings_Water_Backend[[#This Row],[Methodology]],"Tier 1",rng_RSD1,"Tier 2",rng_RSD2,"Tier 3",rng_RSD3),MATCH(_xlfn.CONCAT(Buildings_Water_Backend[[#This Row],[Level 1]:[Level 6]]),rng_LevelsConcat,0))</f>
        <v>#N/A</v>
      </c>
      <c r="AB74" s="224">
        <f>Buildings_Water_Frontend[[#This Row],[Data]]</f>
        <v>0</v>
      </c>
      <c r="AC74" s="174">
        <f>Buildings_Water_Frontend[[#This Row],[Units]]</f>
        <v>0</v>
      </c>
      <c r="AD74" s="220" t="e">
        <f>IF(Buildings_Water_Backend[[#This Row],[Units]]=Buildings_Water_Backend[[#This Row],[Standard units]],Buildings_Water_Backend[[#This Row],[Data]],Buildings_Water_Backend[[#This Row],[Data]]*_xlfn.XLOOKUP(_xlfn.CONCAT(Buildings_Water_Backend[[#This Row],[Level 1]:[Level 6]]),rng_EFConcat,rng_EFConversion))</f>
        <v>#N/A</v>
      </c>
      <c r="AE74" s="174" t="e" cm="1">
        <f t="array" ref="AE74">_xlfn.XLOOKUP(_xlfn.CONCAT(Buildings_Water_Backend[[#This Row],[Level 1]:[Level 6]]),rng_LevelsConcat,rng_UnitsLong)</f>
        <v>#N/A</v>
      </c>
      <c r="AF74" s="210" t="e">
        <f>_xlfn.XLOOKUP(_xlfn.CONCAT(Buildings_Water_Backend[[#This Row],[Level 1]:[Level 6]]),rng_EFConcat,rng_EF1)*Buildings_Water_Backend[[#This Row],[Converted data]]/1000</f>
        <v>#N/A</v>
      </c>
      <c r="AG74" s="210" t="e">
        <f>_xlfn.XLOOKUP(_xlfn.CONCAT(Buildings_Water_Backend[[#This Row],[Level 1]:[Level 6]]),rng_EFConcat,rng_EF2)*Buildings_Water_Backend[[#This Row],[Converted data]]/1000</f>
        <v>#N/A</v>
      </c>
      <c r="AH74" s="210" t="e">
        <f>_xlfn.XLOOKUP(_xlfn.CONCAT(Buildings_Water_Backend[[#This Row],[Level 1]:[Level 6]]),rng_EFConcat,rng_EF3)*Buildings_Water_Backend[[#This Row],[Converted data]]/1000</f>
        <v>#N/A</v>
      </c>
      <c r="AI74" s="210" t="e">
        <f>_xlfn.XLOOKUP(_xlfn.CONCAT(Buildings_Water_Backend[[#This Row],[Level 1]:[Level 6]]),rng_EFConcat,rng_EF3WTT)*Buildings_Water_Backend[[#This Row],[Converted data]]/1000</f>
        <v>#N/A</v>
      </c>
      <c r="AJ74" s="210" t="e">
        <f>_xlfn.XLOOKUP(_xlfn.CONCAT(Buildings_Water_Backend[[#This Row],[Level 1]:[Level 6]]),rng_EFConcat,rng_EF3TD)*Buildings_Water_Backend[[#This Row],[Converted data]]/1000</f>
        <v>#N/A</v>
      </c>
      <c r="AK74" s="210" t="e">
        <f>_xlfn.XLOOKUP(_xlfn.CONCAT(Buildings_Water_Backend[[#This Row],[Level 1]:[Level 6]]),rng_EFConcat,rng_EF3WTTTD)*Buildings_Water_Backend[[#This Row],[Converted data]]/1000</f>
        <v>#N/A</v>
      </c>
      <c r="AL74" s="220" t="e">
        <f>SUM(Buildings_Water_Backend[[#This Row],[Scope 1 (tCO2e)]:[Scope 3 WTT T&amp;D (tCO2e)]])</f>
        <v>#N/A</v>
      </c>
      <c r="AM74" s="220" t="e">
        <f>Buildings_Water_Backend[[#This Row],[Total (tCO2e)]]*(1-Buildings_Water_Backend[[#This Row],[RSD]])</f>
        <v>#N/A</v>
      </c>
      <c r="AN74" s="220" t="e">
        <f>Buildings_Water_Backend[[#This Row],[Total (tCO2e)]]*(1+Buildings_Water_Backend[[#This Row],[RSD]])</f>
        <v>#N/A</v>
      </c>
      <c r="AO74" s="210" t="e">
        <f>_xlfn.XLOOKUP(_xlfn.CONCAT(Buildings_Water_Backend[[#This Row],[Level 1]:[Level 6]]),rng_EFConcat,rng_EFOOS)*Buildings_Water_Backend[[#This Row],[Converted data]]/1000</f>
        <v>#N/A</v>
      </c>
      <c r="AP74" s="174">
        <f>Buildings_Water_Frontend[[#This Row],[Ease of collection]]</f>
        <v>0</v>
      </c>
      <c r="AQ74" s="174">
        <f>Buildings_Water_Frontend[[#This Row],[Completeness]]</f>
        <v>0</v>
      </c>
      <c r="AR74" s="174">
        <f>Buildings_Water_Frontend[[#This Row],[Notes]]</f>
        <v>0</v>
      </c>
    </row>
    <row r="75" spans="5:44" x14ac:dyDescent="0.3">
      <c r="E75" s="346"/>
      <c r="F75" s="364"/>
      <c r="G75" s="336"/>
      <c r="H75" s="336"/>
      <c r="I75" s="334"/>
      <c r="J75" s="336"/>
      <c r="K75" s="336"/>
      <c r="L75" s="336"/>
      <c r="M75" s="337"/>
      <c r="N75" s="242">
        <f t="shared" si="1"/>
        <v>5</v>
      </c>
      <c r="Q75" s="212" t="str">
        <f t="shared" si="0"/>
        <v/>
      </c>
      <c r="R75" s="174" t="s">
        <v>265</v>
      </c>
      <c r="S75" s="174" t="s">
        <v>273</v>
      </c>
      <c r="T75" s="174" t="e">
        <f>_xlfn.XLOOKUP(Buildings_Water_Backend[[#This Row],[Info 1]],Buildings_SiteInfo[Site name],Buildings_SiteInfo[Site type])</f>
        <v>#N/A</v>
      </c>
      <c r="U75" s="174" t="s">
        <v>327</v>
      </c>
      <c r="V75" s="174">
        <f>Buildings_Water_Frontend[[#This Row],[Type]]</f>
        <v>0</v>
      </c>
      <c r="W75" s="174" t="e" cm="1">
        <f t="array" aca="1" ref="W75" ca="1">_xlfn.XLOOKUP(Buildings_Water_Backend[[#This Row],[Level 5]],rng_Level5Long,rng_Level6Long)</f>
        <v>#N/A</v>
      </c>
      <c r="X75" s="174">
        <f>Buildings_Water_Frontend[[#This Row],[Site Name]]</f>
        <v>0</v>
      </c>
      <c r="Y75" s="174">
        <f>Buildings_Water_Frontend[[#This Row],[Meter Reference]]</f>
        <v>0</v>
      </c>
      <c r="Z75" s="220">
        <f>Buildings_Water_Frontend[[#This Row],[Methodology]]</f>
        <v>0</v>
      </c>
      <c r="AA75" s="229" t="e" cm="1">
        <f t="array" ref="AA75">INDEX(_xlfn.SWITCH(Buildings_Water_Backend[[#This Row],[Methodology]],"Tier 1",rng_RSD1,"Tier 2",rng_RSD2,"Tier 3",rng_RSD3),MATCH(_xlfn.CONCAT(Buildings_Water_Backend[[#This Row],[Level 1]:[Level 6]]),rng_LevelsConcat,0))</f>
        <v>#N/A</v>
      </c>
      <c r="AB75" s="224">
        <f>Buildings_Water_Frontend[[#This Row],[Data]]</f>
        <v>0</v>
      </c>
      <c r="AC75" s="174">
        <f>Buildings_Water_Frontend[[#This Row],[Units]]</f>
        <v>0</v>
      </c>
      <c r="AD75" s="220" t="e">
        <f>IF(Buildings_Water_Backend[[#This Row],[Units]]=Buildings_Water_Backend[[#This Row],[Standard units]],Buildings_Water_Backend[[#This Row],[Data]],Buildings_Water_Backend[[#This Row],[Data]]*_xlfn.XLOOKUP(_xlfn.CONCAT(Buildings_Water_Backend[[#This Row],[Level 1]:[Level 6]]),rng_EFConcat,rng_EFConversion))</f>
        <v>#N/A</v>
      </c>
      <c r="AE75" s="174" t="e" cm="1">
        <f t="array" ref="AE75">_xlfn.XLOOKUP(_xlfn.CONCAT(Buildings_Water_Backend[[#This Row],[Level 1]:[Level 6]]),rng_LevelsConcat,rng_UnitsLong)</f>
        <v>#N/A</v>
      </c>
      <c r="AF75" s="210" t="e">
        <f>_xlfn.XLOOKUP(_xlfn.CONCAT(Buildings_Water_Backend[[#This Row],[Level 1]:[Level 6]]),rng_EFConcat,rng_EF1)*Buildings_Water_Backend[[#This Row],[Converted data]]/1000</f>
        <v>#N/A</v>
      </c>
      <c r="AG75" s="210" t="e">
        <f>_xlfn.XLOOKUP(_xlfn.CONCAT(Buildings_Water_Backend[[#This Row],[Level 1]:[Level 6]]),rng_EFConcat,rng_EF2)*Buildings_Water_Backend[[#This Row],[Converted data]]/1000</f>
        <v>#N/A</v>
      </c>
      <c r="AH75" s="210" t="e">
        <f>_xlfn.XLOOKUP(_xlfn.CONCAT(Buildings_Water_Backend[[#This Row],[Level 1]:[Level 6]]),rng_EFConcat,rng_EF3)*Buildings_Water_Backend[[#This Row],[Converted data]]/1000</f>
        <v>#N/A</v>
      </c>
      <c r="AI75" s="210" t="e">
        <f>_xlfn.XLOOKUP(_xlfn.CONCAT(Buildings_Water_Backend[[#This Row],[Level 1]:[Level 6]]),rng_EFConcat,rng_EF3WTT)*Buildings_Water_Backend[[#This Row],[Converted data]]/1000</f>
        <v>#N/A</v>
      </c>
      <c r="AJ75" s="210" t="e">
        <f>_xlfn.XLOOKUP(_xlfn.CONCAT(Buildings_Water_Backend[[#This Row],[Level 1]:[Level 6]]),rng_EFConcat,rng_EF3TD)*Buildings_Water_Backend[[#This Row],[Converted data]]/1000</f>
        <v>#N/A</v>
      </c>
      <c r="AK75" s="210" t="e">
        <f>_xlfn.XLOOKUP(_xlfn.CONCAT(Buildings_Water_Backend[[#This Row],[Level 1]:[Level 6]]),rng_EFConcat,rng_EF3WTTTD)*Buildings_Water_Backend[[#This Row],[Converted data]]/1000</f>
        <v>#N/A</v>
      </c>
      <c r="AL75" s="220" t="e">
        <f>SUM(Buildings_Water_Backend[[#This Row],[Scope 1 (tCO2e)]:[Scope 3 WTT T&amp;D (tCO2e)]])</f>
        <v>#N/A</v>
      </c>
      <c r="AM75" s="220" t="e">
        <f>Buildings_Water_Backend[[#This Row],[Total (tCO2e)]]*(1-Buildings_Water_Backend[[#This Row],[RSD]])</f>
        <v>#N/A</v>
      </c>
      <c r="AN75" s="220" t="e">
        <f>Buildings_Water_Backend[[#This Row],[Total (tCO2e)]]*(1+Buildings_Water_Backend[[#This Row],[RSD]])</f>
        <v>#N/A</v>
      </c>
      <c r="AO75" s="210" t="e">
        <f>_xlfn.XLOOKUP(_xlfn.CONCAT(Buildings_Water_Backend[[#This Row],[Level 1]:[Level 6]]),rng_EFConcat,rng_EFOOS)*Buildings_Water_Backend[[#This Row],[Converted data]]/1000</f>
        <v>#N/A</v>
      </c>
      <c r="AP75" s="174">
        <f>Buildings_Water_Frontend[[#This Row],[Ease of collection]]</f>
        <v>0</v>
      </c>
      <c r="AQ75" s="174">
        <f>Buildings_Water_Frontend[[#This Row],[Completeness]]</f>
        <v>0</v>
      </c>
      <c r="AR75" s="174">
        <f>Buildings_Water_Frontend[[#This Row],[Notes]]</f>
        <v>0</v>
      </c>
    </row>
    <row r="76" spans="5:44" x14ac:dyDescent="0.3">
      <c r="E76" s="346"/>
      <c r="F76" s="364"/>
      <c r="G76" s="336"/>
      <c r="H76" s="336"/>
      <c r="I76" s="334"/>
      <c r="J76" s="336"/>
      <c r="K76" s="336"/>
      <c r="L76" s="336"/>
      <c r="M76" s="337"/>
      <c r="N76" s="242">
        <f t="shared" si="1"/>
        <v>5</v>
      </c>
      <c r="Q76" s="212" t="str">
        <f t="shared" si="0"/>
        <v/>
      </c>
      <c r="R76" s="174" t="s">
        <v>265</v>
      </c>
      <c r="S76" s="174" t="s">
        <v>273</v>
      </c>
      <c r="T76" s="174" t="e">
        <f>_xlfn.XLOOKUP(Buildings_Water_Backend[[#This Row],[Info 1]],Buildings_SiteInfo[Site name],Buildings_SiteInfo[Site type])</f>
        <v>#N/A</v>
      </c>
      <c r="U76" s="174" t="s">
        <v>327</v>
      </c>
      <c r="V76" s="174">
        <f>Buildings_Water_Frontend[[#This Row],[Type]]</f>
        <v>0</v>
      </c>
      <c r="W76" s="174" t="e" cm="1">
        <f t="array" aca="1" ref="W76" ca="1">_xlfn.XLOOKUP(Buildings_Water_Backend[[#This Row],[Level 5]],rng_Level5Long,rng_Level6Long)</f>
        <v>#N/A</v>
      </c>
      <c r="X76" s="174">
        <f>Buildings_Water_Frontend[[#This Row],[Site Name]]</f>
        <v>0</v>
      </c>
      <c r="Y76" s="174">
        <f>Buildings_Water_Frontend[[#This Row],[Meter Reference]]</f>
        <v>0</v>
      </c>
      <c r="Z76" s="220">
        <f>Buildings_Water_Frontend[[#This Row],[Methodology]]</f>
        <v>0</v>
      </c>
      <c r="AA76" s="229" t="e" cm="1">
        <f t="array" ref="AA76">INDEX(_xlfn.SWITCH(Buildings_Water_Backend[[#This Row],[Methodology]],"Tier 1",rng_RSD1,"Tier 2",rng_RSD2,"Tier 3",rng_RSD3),MATCH(_xlfn.CONCAT(Buildings_Water_Backend[[#This Row],[Level 1]:[Level 6]]),rng_LevelsConcat,0))</f>
        <v>#N/A</v>
      </c>
      <c r="AB76" s="224">
        <f>Buildings_Water_Frontend[[#This Row],[Data]]</f>
        <v>0</v>
      </c>
      <c r="AC76" s="174">
        <f>Buildings_Water_Frontend[[#This Row],[Units]]</f>
        <v>0</v>
      </c>
      <c r="AD76" s="220" t="e">
        <f>IF(Buildings_Water_Backend[[#This Row],[Units]]=Buildings_Water_Backend[[#This Row],[Standard units]],Buildings_Water_Backend[[#This Row],[Data]],Buildings_Water_Backend[[#This Row],[Data]]*_xlfn.XLOOKUP(_xlfn.CONCAT(Buildings_Water_Backend[[#This Row],[Level 1]:[Level 6]]),rng_EFConcat,rng_EFConversion))</f>
        <v>#N/A</v>
      </c>
      <c r="AE76" s="174" t="e" cm="1">
        <f t="array" ref="AE76">_xlfn.XLOOKUP(_xlfn.CONCAT(Buildings_Water_Backend[[#This Row],[Level 1]:[Level 6]]),rng_LevelsConcat,rng_UnitsLong)</f>
        <v>#N/A</v>
      </c>
      <c r="AF76" s="210" t="e">
        <f>_xlfn.XLOOKUP(_xlfn.CONCAT(Buildings_Water_Backend[[#This Row],[Level 1]:[Level 6]]),rng_EFConcat,rng_EF1)*Buildings_Water_Backend[[#This Row],[Converted data]]/1000</f>
        <v>#N/A</v>
      </c>
      <c r="AG76" s="210" t="e">
        <f>_xlfn.XLOOKUP(_xlfn.CONCAT(Buildings_Water_Backend[[#This Row],[Level 1]:[Level 6]]),rng_EFConcat,rng_EF2)*Buildings_Water_Backend[[#This Row],[Converted data]]/1000</f>
        <v>#N/A</v>
      </c>
      <c r="AH76" s="210" t="e">
        <f>_xlfn.XLOOKUP(_xlfn.CONCAT(Buildings_Water_Backend[[#This Row],[Level 1]:[Level 6]]),rng_EFConcat,rng_EF3)*Buildings_Water_Backend[[#This Row],[Converted data]]/1000</f>
        <v>#N/A</v>
      </c>
      <c r="AI76" s="210" t="e">
        <f>_xlfn.XLOOKUP(_xlfn.CONCAT(Buildings_Water_Backend[[#This Row],[Level 1]:[Level 6]]),rng_EFConcat,rng_EF3WTT)*Buildings_Water_Backend[[#This Row],[Converted data]]/1000</f>
        <v>#N/A</v>
      </c>
      <c r="AJ76" s="210" t="e">
        <f>_xlfn.XLOOKUP(_xlfn.CONCAT(Buildings_Water_Backend[[#This Row],[Level 1]:[Level 6]]),rng_EFConcat,rng_EF3TD)*Buildings_Water_Backend[[#This Row],[Converted data]]/1000</f>
        <v>#N/A</v>
      </c>
      <c r="AK76" s="210" t="e">
        <f>_xlfn.XLOOKUP(_xlfn.CONCAT(Buildings_Water_Backend[[#This Row],[Level 1]:[Level 6]]),rng_EFConcat,rng_EF3WTTTD)*Buildings_Water_Backend[[#This Row],[Converted data]]/1000</f>
        <v>#N/A</v>
      </c>
      <c r="AL76" s="220" t="e">
        <f>SUM(Buildings_Water_Backend[[#This Row],[Scope 1 (tCO2e)]:[Scope 3 WTT T&amp;D (tCO2e)]])</f>
        <v>#N/A</v>
      </c>
      <c r="AM76" s="220" t="e">
        <f>Buildings_Water_Backend[[#This Row],[Total (tCO2e)]]*(1-Buildings_Water_Backend[[#This Row],[RSD]])</f>
        <v>#N/A</v>
      </c>
      <c r="AN76" s="220" t="e">
        <f>Buildings_Water_Backend[[#This Row],[Total (tCO2e)]]*(1+Buildings_Water_Backend[[#This Row],[RSD]])</f>
        <v>#N/A</v>
      </c>
      <c r="AO76" s="210" t="e">
        <f>_xlfn.XLOOKUP(_xlfn.CONCAT(Buildings_Water_Backend[[#This Row],[Level 1]:[Level 6]]),rng_EFConcat,rng_EFOOS)*Buildings_Water_Backend[[#This Row],[Converted data]]/1000</f>
        <v>#N/A</v>
      </c>
      <c r="AP76" s="174">
        <f>Buildings_Water_Frontend[[#This Row],[Ease of collection]]</f>
        <v>0</v>
      </c>
      <c r="AQ76" s="174">
        <f>Buildings_Water_Frontend[[#This Row],[Completeness]]</f>
        <v>0</v>
      </c>
      <c r="AR76" s="174">
        <f>Buildings_Water_Frontend[[#This Row],[Notes]]</f>
        <v>0</v>
      </c>
    </row>
    <row r="77" spans="5:44" x14ac:dyDescent="0.3">
      <c r="E77" s="346"/>
      <c r="F77" s="364"/>
      <c r="G77" s="336"/>
      <c r="H77" s="336"/>
      <c r="I77" s="334"/>
      <c r="J77" s="336"/>
      <c r="K77" s="336"/>
      <c r="L77" s="336"/>
      <c r="M77" s="337"/>
      <c r="N77" s="242">
        <f t="shared" si="1"/>
        <v>5</v>
      </c>
      <c r="Q77" s="212" t="str">
        <f t="shared" si="0"/>
        <v/>
      </c>
      <c r="R77" s="174" t="s">
        <v>265</v>
      </c>
      <c r="S77" s="174" t="s">
        <v>273</v>
      </c>
      <c r="T77" s="174" t="e">
        <f>_xlfn.XLOOKUP(Buildings_Water_Backend[[#This Row],[Info 1]],Buildings_SiteInfo[Site name],Buildings_SiteInfo[Site type])</f>
        <v>#N/A</v>
      </c>
      <c r="U77" s="174" t="s">
        <v>327</v>
      </c>
      <c r="V77" s="174">
        <f>Buildings_Water_Frontend[[#This Row],[Type]]</f>
        <v>0</v>
      </c>
      <c r="W77" s="174" t="e" cm="1">
        <f t="array" aca="1" ref="W77" ca="1">_xlfn.XLOOKUP(Buildings_Water_Backend[[#This Row],[Level 5]],rng_Level5Long,rng_Level6Long)</f>
        <v>#N/A</v>
      </c>
      <c r="X77" s="174">
        <f>Buildings_Water_Frontend[[#This Row],[Site Name]]</f>
        <v>0</v>
      </c>
      <c r="Y77" s="174">
        <f>Buildings_Water_Frontend[[#This Row],[Meter Reference]]</f>
        <v>0</v>
      </c>
      <c r="Z77" s="220">
        <f>Buildings_Water_Frontend[[#This Row],[Methodology]]</f>
        <v>0</v>
      </c>
      <c r="AA77" s="229" t="e" cm="1">
        <f t="array" ref="AA77">INDEX(_xlfn.SWITCH(Buildings_Water_Backend[[#This Row],[Methodology]],"Tier 1",rng_RSD1,"Tier 2",rng_RSD2,"Tier 3",rng_RSD3),MATCH(_xlfn.CONCAT(Buildings_Water_Backend[[#This Row],[Level 1]:[Level 6]]),rng_LevelsConcat,0))</f>
        <v>#N/A</v>
      </c>
      <c r="AB77" s="224">
        <f>Buildings_Water_Frontend[[#This Row],[Data]]</f>
        <v>0</v>
      </c>
      <c r="AC77" s="174">
        <f>Buildings_Water_Frontend[[#This Row],[Units]]</f>
        <v>0</v>
      </c>
      <c r="AD77" s="220" t="e">
        <f>IF(Buildings_Water_Backend[[#This Row],[Units]]=Buildings_Water_Backend[[#This Row],[Standard units]],Buildings_Water_Backend[[#This Row],[Data]],Buildings_Water_Backend[[#This Row],[Data]]*_xlfn.XLOOKUP(_xlfn.CONCAT(Buildings_Water_Backend[[#This Row],[Level 1]:[Level 6]]),rng_EFConcat,rng_EFConversion))</f>
        <v>#N/A</v>
      </c>
      <c r="AE77" s="174" t="e" cm="1">
        <f t="array" ref="AE77">_xlfn.XLOOKUP(_xlfn.CONCAT(Buildings_Water_Backend[[#This Row],[Level 1]:[Level 6]]),rng_LevelsConcat,rng_UnitsLong)</f>
        <v>#N/A</v>
      </c>
      <c r="AF77" s="210" t="e">
        <f>_xlfn.XLOOKUP(_xlfn.CONCAT(Buildings_Water_Backend[[#This Row],[Level 1]:[Level 6]]),rng_EFConcat,rng_EF1)*Buildings_Water_Backend[[#This Row],[Converted data]]/1000</f>
        <v>#N/A</v>
      </c>
      <c r="AG77" s="210" t="e">
        <f>_xlfn.XLOOKUP(_xlfn.CONCAT(Buildings_Water_Backend[[#This Row],[Level 1]:[Level 6]]),rng_EFConcat,rng_EF2)*Buildings_Water_Backend[[#This Row],[Converted data]]/1000</f>
        <v>#N/A</v>
      </c>
      <c r="AH77" s="210" t="e">
        <f>_xlfn.XLOOKUP(_xlfn.CONCAT(Buildings_Water_Backend[[#This Row],[Level 1]:[Level 6]]),rng_EFConcat,rng_EF3)*Buildings_Water_Backend[[#This Row],[Converted data]]/1000</f>
        <v>#N/A</v>
      </c>
      <c r="AI77" s="210" t="e">
        <f>_xlfn.XLOOKUP(_xlfn.CONCAT(Buildings_Water_Backend[[#This Row],[Level 1]:[Level 6]]),rng_EFConcat,rng_EF3WTT)*Buildings_Water_Backend[[#This Row],[Converted data]]/1000</f>
        <v>#N/A</v>
      </c>
      <c r="AJ77" s="210" t="e">
        <f>_xlfn.XLOOKUP(_xlfn.CONCAT(Buildings_Water_Backend[[#This Row],[Level 1]:[Level 6]]),rng_EFConcat,rng_EF3TD)*Buildings_Water_Backend[[#This Row],[Converted data]]/1000</f>
        <v>#N/A</v>
      </c>
      <c r="AK77" s="210" t="e">
        <f>_xlfn.XLOOKUP(_xlfn.CONCAT(Buildings_Water_Backend[[#This Row],[Level 1]:[Level 6]]),rng_EFConcat,rng_EF3WTTTD)*Buildings_Water_Backend[[#This Row],[Converted data]]/1000</f>
        <v>#N/A</v>
      </c>
      <c r="AL77" s="220" t="e">
        <f>SUM(Buildings_Water_Backend[[#This Row],[Scope 1 (tCO2e)]:[Scope 3 WTT T&amp;D (tCO2e)]])</f>
        <v>#N/A</v>
      </c>
      <c r="AM77" s="220" t="e">
        <f>Buildings_Water_Backend[[#This Row],[Total (tCO2e)]]*(1-Buildings_Water_Backend[[#This Row],[RSD]])</f>
        <v>#N/A</v>
      </c>
      <c r="AN77" s="220" t="e">
        <f>Buildings_Water_Backend[[#This Row],[Total (tCO2e)]]*(1+Buildings_Water_Backend[[#This Row],[RSD]])</f>
        <v>#N/A</v>
      </c>
      <c r="AO77" s="210" t="e">
        <f>_xlfn.XLOOKUP(_xlfn.CONCAT(Buildings_Water_Backend[[#This Row],[Level 1]:[Level 6]]),rng_EFConcat,rng_EFOOS)*Buildings_Water_Backend[[#This Row],[Converted data]]/1000</f>
        <v>#N/A</v>
      </c>
      <c r="AP77" s="174">
        <f>Buildings_Water_Frontend[[#This Row],[Ease of collection]]</f>
        <v>0</v>
      </c>
      <c r="AQ77" s="174">
        <f>Buildings_Water_Frontend[[#This Row],[Completeness]]</f>
        <v>0</v>
      </c>
      <c r="AR77" s="174">
        <f>Buildings_Water_Frontend[[#This Row],[Notes]]</f>
        <v>0</v>
      </c>
    </row>
    <row r="78" spans="5:44" x14ac:dyDescent="0.3">
      <c r="E78" s="346"/>
      <c r="F78" s="364"/>
      <c r="G78" s="336"/>
      <c r="H78" s="336"/>
      <c r="I78" s="334"/>
      <c r="J78" s="336"/>
      <c r="K78" s="336"/>
      <c r="L78" s="336"/>
      <c r="M78" s="337"/>
      <c r="N78" s="242">
        <f t="shared" si="1"/>
        <v>5</v>
      </c>
      <c r="Q78" s="212" t="str">
        <f t="shared" si="0"/>
        <v/>
      </c>
      <c r="R78" s="174" t="s">
        <v>265</v>
      </c>
      <c r="S78" s="174" t="s">
        <v>273</v>
      </c>
      <c r="T78" s="174" t="e">
        <f>_xlfn.XLOOKUP(Buildings_Water_Backend[[#This Row],[Info 1]],Buildings_SiteInfo[Site name],Buildings_SiteInfo[Site type])</f>
        <v>#N/A</v>
      </c>
      <c r="U78" s="174" t="s">
        <v>327</v>
      </c>
      <c r="V78" s="174">
        <f>Buildings_Water_Frontend[[#This Row],[Type]]</f>
        <v>0</v>
      </c>
      <c r="W78" s="174" t="e" cm="1">
        <f t="array" aca="1" ref="W78" ca="1">_xlfn.XLOOKUP(Buildings_Water_Backend[[#This Row],[Level 5]],rng_Level5Long,rng_Level6Long)</f>
        <v>#N/A</v>
      </c>
      <c r="X78" s="174">
        <f>Buildings_Water_Frontend[[#This Row],[Site Name]]</f>
        <v>0</v>
      </c>
      <c r="Y78" s="174">
        <f>Buildings_Water_Frontend[[#This Row],[Meter Reference]]</f>
        <v>0</v>
      </c>
      <c r="Z78" s="220">
        <f>Buildings_Water_Frontend[[#This Row],[Methodology]]</f>
        <v>0</v>
      </c>
      <c r="AA78" s="229" t="e" cm="1">
        <f t="array" ref="AA78">INDEX(_xlfn.SWITCH(Buildings_Water_Backend[[#This Row],[Methodology]],"Tier 1",rng_RSD1,"Tier 2",rng_RSD2,"Tier 3",rng_RSD3),MATCH(_xlfn.CONCAT(Buildings_Water_Backend[[#This Row],[Level 1]:[Level 6]]),rng_LevelsConcat,0))</f>
        <v>#N/A</v>
      </c>
      <c r="AB78" s="224">
        <f>Buildings_Water_Frontend[[#This Row],[Data]]</f>
        <v>0</v>
      </c>
      <c r="AC78" s="174">
        <f>Buildings_Water_Frontend[[#This Row],[Units]]</f>
        <v>0</v>
      </c>
      <c r="AD78" s="220" t="e">
        <f>IF(Buildings_Water_Backend[[#This Row],[Units]]=Buildings_Water_Backend[[#This Row],[Standard units]],Buildings_Water_Backend[[#This Row],[Data]],Buildings_Water_Backend[[#This Row],[Data]]*_xlfn.XLOOKUP(_xlfn.CONCAT(Buildings_Water_Backend[[#This Row],[Level 1]:[Level 6]]),rng_EFConcat,rng_EFConversion))</f>
        <v>#N/A</v>
      </c>
      <c r="AE78" s="174" t="e" cm="1">
        <f t="array" ref="AE78">_xlfn.XLOOKUP(_xlfn.CONCAT(Buildings_Water_Backend[[#This Row],[Level 1]:[Level 6]]),rng_LevelsConcat,rng_UnitsLong)</f>
        <v>#N/A</v>
      </c>
      <c r="AF78" s="210" t="e">
        <f>_xlfn.XLOOKUP(_xlfn.CONCAT(Buildings_Water_Backend[[#This Row],[Level 1]:[Level 6]]),rng_EFConcat,rng_EF1)*Buildings_Water_Backend[[#This Row],[Converted data]]/1000</f>
        <v>#N/A</v>
      </c>
      <c r="AG78" s="210" t="e">
        <f>_xlfn.XLOOKUP(_xlfn.CONCAT(Buildings_Water_Backend[[#This Row],[Level 1]:[Level 6]]),rng_EFConcat,rng_EF2)*Buildings_Water_Backend[[#This Row],[Converted data]]/1000</f>
        <v>#N/A</v>
      </c>
      <c r="AH78" s="210" t="e">
        <f>_xlfn.XLOOKUP(_xlfn.CONCAT(Buildings_Water_Backend[[#This Row],[Level 1]:[Level 6]]),rng_EFConcat,rng_EF3)*Buildings_Water_Backend[[#This Row],[Converted data]]/1000</f>
        <v>#N/A</v>
      </c>
      <c r="AI78" s="210" t="e">
        <f>_xlfn.XLOOKUP(_xlfn.CONCAT(Buildings_Water_Backend[[#This Row],[Level 1]:[Level 6]]),rng_EFConcat,rng_EF3WTT)*Buildings_Water_Backend[[#This Row],[Converted data]]/1000</f>
        <v>#N/A</v>
      </c>
      <c r="AJ78" s="210" t="e">
        <f>_xlfn.XLOOKUP(_xlfn.CONCAT(Buildings_Water_Backend[[#This Row],[Level 1]:[Level 6]]),rng_EFConcat,rng_EF3TD)*Buildings_Water_Backend[[#This Row],[Converted data]]/1000</f>
        <v>#N/A</v>
      </c>
      <c r="AK78" s="210" t="e">
        <f>_xlfn.XLOOKUP(_xlfn.CONCAT(Buildings_Water_Backend[[#This Row],[Level 1]:[Level 6]]),rng_EFConcat,rng_EF3WTTTD)*Buildings_Water_Backend[[#This Row],[Converted data]]/1000</f>
        <v>#N/A</v>
      </c>
      <c r="AL78" s="220" t="e">
        <f>SUM(Buildings_Water_Backend[[#This Row],[Scope 1 (tCO2e)]:[Scope 3 WTT T&amp;D (tCO2e)]])</f>
        <v>#N/A</v>
      </c>
      <c r="AM78" s="220" t="e">
        <f>Buildings_Water_Backend[[#This Row],[Total (tCO2e)]]*(1-Buildings_Water_Backend[[#This Row],[RSD]])</f>
        <v>#N/A</v>
      </c>
      <c r="AN78" s="220" t="e">
        <f>Buildings_Water_Backend[[#This Row],[Total (tCO2e)]]*(1+Buildings_Water_Backend[[#This Row],[RSD]])</f>
        <v>#N/A</v>
      </c>
      <c r="AO78" s="210" t="e">
        <f>_xlfn.XLOOKUP(_xlfn.CONCAT(Buildings_Water_Backend[[#This Row],[Level 1]:[Level 6]]),rng_EFConcat,rng_EFOOS)*Buildings_Water_Backend[[#This Row],[Converted data]]/1000</f>
        <v>#N/A</v>
      </c>
      <c r="AP78" s="174">
        <f>Buildings_Water_Frontend[[#This Row],[Ease of collection]]</f>
        <v>0</v>
      </c>
      <c r="AQ78" s="174">
        <f>Buildings_Water_Frontend[[#This Row],[Completeness]]</f>
        <v>0</v>
      </c>
      <c r="AR78" s="174">
        <f>Buildings_Water_Frontend[[#This Row],[Notes]]</f>
        <v>0</v>
      </c>
    </row>
    <row r="79" spans="5:44" x14ac:dyDescent="0.3">
      <c r="E79" s="346"/>
      <c r="F79" s="364"/>
      <c r="G79" s="336"/>
      <c r="H79" s="336"/>
      <c r="I79" s="334"/>
      <c r="J79" s="336"/>
      <c r="K79" s="336"/>
      <c r="L79" s="336"/>
      <c r="M79" s="337"/>
      <c r="N79" s="242">
        <f t="shared" si="1"/>
        <v>5</v>
      </c>
      <c r="Q79" s="212" t="str">
        <f t="shared" ref="Q79:Q142" si="2">IF(N79=0,SUBSTITUTE(2025&amp;TRIM(cl_org_name_select)&amp;TRIM($E$12)&amp;(ROW(N79)-ROW($N$15))," ",""),"")</f>
        <v/>
      </c>
      <c r="R79" s="174" t="s">
        <v>265</v>
      </c>
      <c r="S79" s="174" t="s">
        <v>273</v>
      </c>
      <c r="T79" s="174" t="e">
        <f>_xlfn.XLOOKUP(Buildings_Water_Backend[[#This Row],[Info 1]],Buildings_SiteInfo[Site name],Buildings_SiteInfo[Site type])</f>
        <v>#N/A</v>
      </c>
      <c r="U79" s="174" t="s">
        <v>327</v>
      </c>
      <c r="V79" s="174">
        <f>Buildings_Water_Frontend[[#This Row],[Type]]</f>
        <v>0</v>
      </c>
      <c r="W79" s="174" t="e" cm="1">
        <f t="array" aca="1" ref="W79" ca="1">_xlfn.XLOOKUP(Buildings_Water_Backend[[#This Row],[Level 5]],rng_Level5Long,rng_Level6Long)</f>
        <v>#N/A</v>
      </c>
      <c r="X79" s="174">
        <f>Buildings_Water_Frontend[[#This Row],[Site Name]]</f>
        <v>0</v>
      </c>
      <c r="Y79" s="174">
        <f>Buildings_Water_Frontend[[#This Row],[Meter Reference]]</f>
        <v>0</v>
      </c>
      <c r="Z79" s="220">
        <f>Buildings_Water_Frontend[[#This Row],[Methodology]]</f>
        <v>0</v>
      </c>
      <c r="AA79" s="229" t="e" cm="1">
        <f t="array" ref="AA79">INDEX(_xlfn.SWITCH(Buildings_Water_Backend[[#This Row],[Methodology]],"Tier 1",rng_RSD1,"Tier 2",rng_RSD2,"Tier 3",rng_RSD3),MATCH(_xlfn.CONCAT(Buildings_Water_Backend[[#This Row],[Level 1]:[Level 6]]),rng_LevelsConcat,0))</f>
        <v>#N/A</v>
      </c>
      <c r="AB79" s="224">
        <f>Buildings_Water_Frontend[[#This Row],[Data]]</f>
        <v>0</v>
      </c>
      <c r="AC79" s="174">
        <f>Buildings_Water_Frontend[[#This Row],[Units]]</f>
        <v>0</v>
      </c>
      <c r="AD79" s="220" t="e">
        <f>IF(Buildings_Water_Backend[[#This Row],[Units]]=Buildings_Water_Backend[[#This Row],[Standard units]],Buildings_Water_Backend[[#This Row],[Data]],Buildings_Water_Backend[[#This Row],[Data]]*_xlfn.XLOOKUP(_xlfn.CONCAT(Buildings_Water_Backend[[#This Row],[Level 1]:[Level 6]]),rng_EFConcat,rng_EFConversion))</f>
        <v>#N/A</v>
      </c>
      <c r="AE79" s="174" t="e" cm="1">
        <f t="array" ref="AE79">_xlfn.XLOOKUP(_xlfn.CONCAT(Buildings_Water_Backend[[#This Row],[Level 1]:[Level 6]]),rng_LevelsConcat,rng_UnitsLong)</f>
        <v>#N/A</v>
      </c>
      <c r="AF79" s="210" t="e">
        <f>_xlfn.XLOOKUP(_xlfn.CONCAT(Buildings_Water_Backend[[#This Row],[Level 1]:[Level 6]]),rng_EFConcat,rng_EF1)*Buildings_Water_Backend[[#This Row],[Converted data]]/1000</f>
        <v>#N/A</v>
      </c>
      <c r="AG79" s="210" t="e">
        <f>_xlfn.XLOOKUP(_xlfn.CONCAT(Buildings_Water_Backend[[#This Row],[Level 1]:[Level 6]]),rng_EFConcat,rng_EF2)*Buildings_Water_Backend[[#This Row],[Converted data]]/1000</f>
        <v>#N/A</v>
      </c>
      <c r="AH79" s="210" t="e">
        <f>_xlfn.XLOOKUP(_xlfn.CONCAT(Buildings_Water_Backend[[#This Row],[Level 1]:[Level 6]]),rng_EFConcat,rng_EF3)*Buildings_Water_Backend[[#This Row],[Converted data]]/1000</f>
        <v>#N/A</v>
      </c>
      <c r="AI79" s="210" t="e">
        <f>_xlfn.XLOOKUP(_xlfn.CONCAT(Buildings_Water_Backend[[#This Row],[Level 1]:[Level 6]]),rng_EFConcat,rng_EF3WTT)*Buildings_Water_Backend[[#This Row],[Converted data]]/1000</f>
        <v>#N/A</v>
      </c>
      <c r="AJ79" s="210" t="e">
        <f>_xlfn.XLOOKUP(_xlfn.CONCAT(Buildings_Water_Backend[[#This Row],[Level 1]:[Level 6]]),rng_EFConcat,rng_EF3TD)*Buildings_Water_Backend[[#This Row],[Converted data]]/1000</f>
        <v>#N/A</v>
      </c>
      <c r="AK79" s="210" t="e">
        <f>_xlfn.XLOOKUP(_xlfn.CONCAT(Buildings_Water_Backend[[#This Row],[Level 1]:[Level 6]]),rng_EFConcat,rng_EF3WTTTD)*Buildings_Water_Backend[[#This Row],[Converted data]]/1000</f>
        <v>#N/A</v>
      </c>
      <c r="AL79" s="220" t="e">
        <f>SUM(Buildings_Water_Backend[[#This Row],[Scope 1 (tCO2e)]:[Scope 3 WTT T&amp;D (tCO2e)]])</f>
        <v>#N/A</v>
      </c>
      <c r="AM79" s="220" t="e">
        <f>Buildings_Water_Backend[[#This Row],[Total (tCO2e)]]*(1-Buildings_Water_Backend[[#This Row],[RSD]])</f>
        <v>#N/A</v>
      </c>
      <c r="AN79" s="220" t="e">
        <f>Buildings_Water_Backend[[#This Row],[Total (tCO2e)]]*(1+Buildings_Water_Backend[[#This Row],[RSD]])</f>
        <v>#N/A</v>
      </c>
      <c r="AO79" s="210" t="e">
        <f>_xlfn.XLOOKUP(_xlfn.CONCAT(Buildings_Water_Backend[[#This Row],[Level 1]:[Level 6]]),rng_EFConcat,rng_EFOOS)*Buildings_Water_Backend[[#This Row],[Converted data]]/1000</f>
        <v>#N/A</v>
      </c>
      <c r="AP79" s="174">
        <f>Buildings_Water_Frontend[[#This Row],[Ease of collection]]</f>
        <v>0</v>
      </c>
      <c r="AQ79" s="174">
        <f>Buildings_Water_Frontend[[#This Row],[Completeness]]</f>
        <v>0</v>
      </c>
      <c r="AR79" s="174">
        <f>Buildings_Water_Frontend[[#This Row],[Notes]]</f>
        <v>0</v>
      </c>
    </row>
    <row r="80" spans="5:44" x14ac:dyDescent="0.3">
      <c r="E80" s="346"/>
      <c r="F80" s="364"/>
      <c r="G80" s="336"/>
      <c r="H80" s="336"/>
      <c r="I80" s="334"/>
      <c r="J80" s="336"/>
      <c r="K80" s="336"/>
      <c r="L80" s="336"/>
      <c r="M80" s="337"/>
      <c r="N80" s="242">
        <f t="shared" ref="N80:N143" si="3">ISBLANK(E80)+ISBLANK(G80)+ISBLANK(H80)+ISBLANK(I80)+ISBLANK(J80)</f>
        <v>5</v>
      </c>
      <c r="Q80" s="212" t="str">
        <f t="shared" si="2"/>
        <v/>
      </c>
      <c r="R80" s="174" t="s">
        <v>265</v>
      </c>
      <c r="S80" s="174" t="s">
        <v>273</v>
      </c>
      <c r="T80" s="174" t="e">
        <f>_xlfn.XLOOKUP(Buildings_Water_Backend[[#This Row],[Info 1]],Buildings_SiteInfo[Site name],Buildings_SiteInfo[Site type])</f>
        <v>#N/A</v>
      </c>
      <c r="U80" s="174" t="s">
        <v>327</v>
      </c>
      <c r="V80" s="174">
        <f>Buildings_Water_Frontend[[#This Row],[Type]]</f>
        <v>0</v>
      </c>
      <c r="W80" s="174" t="e" cm="1">
        <f t="array" aca="1" ref="W80" ca="1">_xlfn.XLOOKUP(Buildings_Water_Backend[[#This Row],[Level 5]],rng_Level5Long,rng_Level6Long)</f>
        <v>#N/A</v>
      </c>
      <c r="X80" s="174">
        <f>Buildings_Water_Frontend[[#This Row],[Site Name]]</f>
        <v>0</v>
      </c>
      <c r="Y80" s="174">
        <f>Buildings_Water_Frontend[[#This Row],[Meter Reference]]</f>
        <v>0</v>
      </c>
      <c r="Z80" s="220">
        <f>Buildings_Water_Frontend[[#This Row],[Methodology]]</f>
        <v>0</v>
      </c>
      <c r="AA80" s="229" t="e" cm="1">
        <f t="array" ref="AA80">INDEX(_xlfn.SWITCH(Buildings_Water_Backend[[#This Row],[Methodology]],"Tier 1",rng_RSD1,"Tier 2",rng_RSD2,"Tier 3",rng_RSD3),MATCH(_xlfn.CONCAT(Buildings_Water_Backend[[#This Row],[Level 1]:[Level 6]]),rng_LevelsConcat,0))</f>
        <v>#N/A</v>
      </c>
      <c r="AB80" s="224">
        <f>Buildings_Water_Frontend[[#This Row],[Data]]</f>
        <v>0</v>
      </c>
      <c r="AC80" s="174">
        <f>Buildings_Water_Frontend[[#This Row],[Units]]</f>
        <v>0</v>
      </c>
      <c r="AD80" s="220" t="e">
        <f>IF(Buildings_Water_Backend[[#This Row],[Units]]=Buildings_Water_Backend[[#This Row],[Standard units]],Buildings_Water_Backend[[#This Row],[Data]],Buildings_Water_Backend[[#This Row],[Data]]*_xlfn.XLOOKUP(_xlfn.CONCAT(Buildings_Water_Backend[[#This Row],[Level 1]:[Level 6]]),rng_EFConcat,rng_EFConversion))</f>
        <v>#N/A</v>
      </c>
      <c r="AE80" s="174" t="e" cm="1">
        <f t="array" ref="AE80">_xlfn.XLOOKUP(_xlfn.CONCAT(Buildings_Water_Backend[[#This Row],[Level 1]:[Level 6]]),rng_LevelsConcat,rng_UnitsLong)</f>
        <v>#N/A</v>
      </c>
      <c r="AF80" s="210" t="e">
        <f>_xlfn.XLOOKUP(_xlfn.CONCAT(Buildings_Water_Backend[[#This Row],[Level 1]:[Level 6]]),rng_EFConcat,rng_EF1)*Buildings_Water_Backend[[#This Row],[Converted data]]/1000</f>
        <v>#N/A</v>
      </c>
      <c r="AG80" s="210" t="e">
        <f>_xlfn.XLOOKUP(_xlfn.CONCAT(Buildings_Water_Backend[[#This Row],[Level 1]:[Level 6]]),rng_EFConcat,rng_EF2)*Buildings_Water_Backend[[#This Row],[Converted data]]/1000</f>
        <v>#N/A</v>
      </c>
      <c r="AH80" s="210" t="e">
        <f>_xlfn.XLOOKUP(_xlfn.CONCAT(Buildings_Water_Backend[[#This Row],[Level 1]:[Level 6]]),rng_EFConcat,rng_EF3)*Buildings_Water_Backend[[#This Row],[Converted data]]/1000</f>
        <v>#N/A</v>
      </c>
      <c r="AI80" s="210" t="e">
        <f>_xlfn.XLOOKUP(_xlfn.CONCAT(Buildings_Water_Backend[[#This Row],[Level 1]:[Level 6]]),rng_EFConcat,rng_EF3WTT)*Buildings_Water_Backend[[#This Row],[Converted data]]/1000</f>
        <v>#N/A</v>
      </c>
      <c r="AJ80" s="210" t="e">
        <f>_xlfn.XLOOKUP(_xlfn.CONCAT(Buildings_Water_Backend[[#This Row],[Level 1]:[Level 6]]),rng_EFConcat,rng_EF3TD)*Buildings_Water_Backend[[#This Row],[Converted data]]/1000</f>
        <v>#N/A</v>
      </c>
      <c r="AK80" s="210" t="e">
        <f>_xlfn.XLOOKUP(_xlfn.CONCAT(Buildings_Water_Backend[[#This Row],[Level 1]:[Level 6]]),rng_EFConcat,rng_EF3WTTTD)*Buildings_Water_Backend[[#This Row],[Converted data]]/1000</f>
        <v>#N/A</v>
      </c>
      <c r="AL80" s="220" t="e">
        <f>SUM(Buildings_Water_Backend[[#This Row],[Scope 1 (tCO2e)]:[Scope 3 WTT T&amp;D (tCO2e)]])</f>
        <v>#N/A</v>
      </c>
      <c r="AM80" s="220" t="e">
        <f>Buildings_Water_Backend[[#This Row],[Total (tCO2e)]]*(1-Buildings_Water_Backend[[#This Row],[RSD]])</f>
        <v>#N/A</v>
      </c>
      <c r="AN80" s="220" t="e">
        <f>Buildings_Water_Backend[[#This Row],[Total (tCO2e)]]*(1+Buildings_Water_Backend[[#This Row],[RSD]])</f>
        <v>#N/A</v>
      </c>
      <c r="AO80" s="210" t="e">
        <f>_xlfn.XLOOKUP(_xlfn.CONCAT(Buildings_Water_Backend[[#This Row],[Level 1]:[Level 6]]),rng_EFConcat,rng_EFOOS)*Buildings_Water_Backend[[#This Row],[Converted data]]/1000</f>
        <v>#N/A</v>
      </c>
      <c r="AP80" s="174">
        <f>Buildings_Water_Frontend[[#This Row],[Ease of collection]]</f>
        <v>0</v>
      </c>
      <c r="AQ80" s="174">
        <f>Buildings_Water_Frontend[[#This Row],[Completeness]]</f>
        <v>0</v>
      </c>
      <c r="AR80" s="174">
        <f>Buildings_Water_Frontend[[#This Row],[Notes]]</f>
        <v>0</v>
      </c>
    </row>
    <row r="81" spans="5:44" x14ac:dyDescent="0.3">
      <c r="E81" s="346"/>
      <c r="F81" s="364"/>
      <c r="G81" s="336"/>
      <c r="H81" s="336"/>
      <c r="I81" s="334"/>
      <c r="J81" s="336"/>
      <c r="K81" s="336"/>
      <c r="L81" s="336"/>
      <c r="M81" s="337"/>
      <c r="N81" s="242">
        <f t="shared" si="3"/>
        <v>5</v>
      </c>
      <c r="Q81" s="212" t="str">
        <f t="shared" si="2"/>
        <v/>
      </c>
      <c r="R81" s="174" t="s">
        <v>265</v>
      </c>
      <c r="S81" s="174" t="s">
        <v>273</v>
      </c>
      <c r="T81" s="174" t="e">
        <f>_xlfn.XLOOKUP(Buildings_Water_Backend[[#This Row],[Info 1]],Buildings_SiteInfo[Site name],Buildings_SiteInfo[Site type])</f>
        <v>#N/A</v>
      </c>
      <c r="U81" s="174" t="s">
        <v>327</v>
      </c>
      <c r="V81" s="174">
        <f>Buildings_Water_Frontend[[#This Row],[Type]]</f>
        <v>0</v>
      </c>
      <c r="W81" s="174" t="e" cm="1">
        <f t="array" aca="1" ref="W81" ca="1">_xlfn.XLOOKUP(Buildings_Water_Backend[[#This Row],[Level 5]],rng_Level5Long,rng_Level6Long)</f>
        <v>#N/A</v>
      </c>
      <c r="X81" s="174">
        <f>Buildings_Water_Frontend[[#This Row],[Site Name]]</f>
        <v>0</v>
      </c>
      <c r="Y81" s="174">
        <f>Buildings_Water_Frontend[[#This Row],[Meter Reference]]</f>
        <v>0</v>
      </c>
      <c r="Z81" s="220">
        <f>Buildings_Water_Frontend[[#This Row],[Methodology]]</f>
        <v>0</v>
      </c>
      <c r="AA81" s="229" t="e" cm="1">
        <f t="array" ref="AA81">INDEX(_xlfn.SWITCH(Buildings_Water_Backend[[#This Row],[Methodology]],"Tier 1",rng_RSD1,"Tier 2",rng_RSD2,"Tier 3",rng_RSD3),MATCH(_xlfn.CONCAT(Buildings_Water_Backend[[#This Row],[Level 1]:[Level 6]]),rng_LevelsConcat,0))</f>
        <v>#N/A</v>
      </c>
      <c r="AB81" s="224">
        <f>Buildings_Water_Frontend[[#This Row],[Data]]</f>
        <v>0</v>
      </c>
      <c r="AC81" s="174">
        <f>Buildings_Water_Frontend[[#This Row],[Units]]</f>
        <v>0</v>
      </c>
      <c r="AD81" s="220" t="e">
        <f>IF(Buildings_Water_Backend[[#This Row],[Units]]=Buildings_Water_Backend[[#This Row],[Standard units]],Buildings_Water_Backend[[#This Row],[Data]],Buildings_Water_Backend[[#This Row],[Data]]*_xlfn.XLOOKUP(_xlfn.CONCAT(Buildings_Water_Backend[[#This Row],[Level 1]:[Level 6]]),rng_EFConcat,rng_EFConversion))</f>
        <v>#N/A</v>
      </c>
      <c r="AE81" s="174" t="e" cm="1">
        <f t="array" ref="AE81">_xlfn.XLOOKUP(_xlfn.CONCAT(Buildings_Water_Backend[[#This Row],[Level 1]:[Level 6]]),rng_LevelsConcat,rng_UnitsLong)</f>
        <v>#N/A</v>
      </c>
      <c r="AF81" s="210" t="e">
        <f>_xlfn.XLOOKUP(_xlfn.CONCAT(Buildings_Water_Backend[[#This Row],[Level 1]:[Level 6]]),rng_EFConcat,rng_EF1)*Buildings_Water_Backend[[#This Row],[Converted data]]/1000</f>
        <v>#N/A</v>
      </c>
      <c r="AG81" s="210" t="e">
        <f>_xlfn.XLOOKUP(_xlfn.CONCAT(Buildings_Water_Backend[[#This Row],[Level 1]:[Level 6]]),rng_EFConcat,rng_EF2)*Buildings_Water_Backend[[#This Row],[Converted data]]/1000</f>
        <v>#N/A</v>
      </c>
      <c r="AH81" s="210" t="e">
        <f>_xlfn.XLOOKUP(_xlfn.CONCAT(Buildings_Water_Backend[[#This Row],[Level 1]:[Level 6]]),rng_EFConcat,rng_EF3)*Buildings_Water_Backend[[#This Row],[Converted data]]/1000</f>
        <v>#N/A</v>
      </c>
      <c r="AI81" s="210" t="e">
        <f>_xlfn.XLOOKUP(_xlfn.CONCAT(Buildings_Water_Backend[[#This Row],[Level 1]:[Level 6]]),rng_EFConcat,rng_EF3WTT)*Buildings_Water_Backend[[#This Row],[Converted data]]/1000</f>
        <v>#N/A</v>
      </c>
      <c r="AJ81" s="210" t="e">
        <f>_xlfn.XLOOKUP(_xlfn.CONCAT(Buildings_Water_Backend[[#This Row],[Level 1]:[Level 6]]),rng_EFConcat,rng_EF3TD)*Buildings_Water_Backend[[#This Row],[Converted data]]/1000</f>
        <v>#N/A</v>
      </c>
      <c r="AK81" s="210" t="e">
        <f>_xlfn.XLOOKUP(_xlfn.CONCAT(Buildings_Water_Backend[[#This Row],[Level 1]:[Level 6]]),rng_EFConcat,rng_EF3WTTTD)*Buildings_Water_Backend[[#This Row],[Converted data]]/1000</f>
        <v>#N/A</v>
      </c>
      <c r="AL81" s="220" t="e">
        <f>SUM(Buildings_Water_Backend[[#This Row],[Scope 1 (tCO2e)]:[Scope 3 WTT T&amp;D (tCO2e)]])</f>
        <v>#N/A</v>
      </c>
      <c r="AM81" s="220" t="e">
        <f>Buildings_Water_Backend[[#This Row],[Total (tCO2e)]]*(1-Buildings_Water_Backend[[#This Row],[RSD]])</f>
        <v>#N/A</v>
      </c>
      <c r="AN81" s="220" t="e">
        <f>Buildings_Water_Backend[[#This Row],[Total (tCO2e)]]*(1+Buildings_Water_Backend[[#This Row],[RSD]])</f>
        <v>#N/A</v>
      </c>
      <c r="AO81" s="210" t="e">
        <f>_xlfn.XLOOKUP(_xlfn.CONCAT(Buildings_Water_Backend[[#This Row],[Level 1]:[Level 6]]),rng_EFConcat,rng_EFOOS)*Buildings_Water_Backend[[#This Row],[Converted data]]/1000</f>
        <v>#N/A</v>
      </c>
      <c r="AP81" s="174">
        <f>Buildings_Water_Frontend[[#This Row],[Ease of collection]]</f>
        <v>0</v>
      </c>
      <c r="AQ81" s="174">
        <f>Buildings_Water_Frontend[[#This Row],[Completeness]]</f>
        <v>0</v>
      </c>
      <c r="AR81" s="174">
        <f>Buildings_Water_Frontend[[#This Row],[Notes]]</f>
        <v>0</v>
      </c>
    </row>
    <row r="82" spans="5:44" x14ac:dyDescent="0.3">
      <c r="E82" s="346"/>
      <c r="F82" s="364"/>
      <c r="G82" s="336"/>
      <c r="H82" s="336"/>
      <c r="I82" s="334"/>
      <c r="J82" s="336"/>
      <c r="K82" s="336"/>
      <c r="L82" s="336"/>
      <c r="M82" s="337"/>
      <c r="N82" s="242">
        <f t="shared" si="3"/>
        <v>5</v>
      </c>
      <c r="Q82" s="212" t="str">
        <f t="shared" si="2"/>
        <v/>
      </c>
      <c r="R82" s="174" t="s">
        <v>265</v>
      </c>
      <c r="S82" s="174" t="s">
        <v>273</v>
      </c>
      <c r="T82" s="174" t="e">
        <f>_xlfn.XLOOKUP(Buildings_Water_Backend[[#This Row],[Info 1]],Buildings_SiteInfo[Site name],Buildings_SiteInfo[Site type])</f>
        <v>#N/A</v>
      </c>
      <c r="U82" s="174" t="s">
        <v>327</v>
      </c>
      <c r="V82" s="174">
        <f>Buildings_Water_Frontend[[#This Row],[Type]]</f>
        <v>0</v>
      </c>
      <c r="W82" s="174" t="e" cm="1">
        <f t="array" aca="1" ref="W82" ca="1">_xlfn.XLOOKUP(Buildings_Water_Backend[[#This Row],[Level 5]],rng_Level5Long,rng_Level6Long)</f>
        <v>#N/A</v>
      </c>
      <c r="X82" s="174">
        <f>Buildings_Water_Frontend[[#This Row],[Site Name]]</f>
        <v>0</v>
      </c>
      <c r="Y82" s="174">
        <f>Buildings_Water_Frontend[[#This Row],[Meter Reference]]</f>
        <v>0</v>
      </c>
      <c r="Z82" s="220">
        <f>Buildings_Water_Frontend[[#This Row],[Methodology]]</f>
        <v>0</v>
      </c>
      <c r="AA82" s="229" t="e" cm="1">
        <f t="array" ref="AA82">INDEX(_xlfn.SWITCH(Buildings_Water_Backend[[#This Row],[Methodology]],"Tier 1",rng_RSD1,"Tier 2",rng_RSD2,"Tier 3",rng_RSD3),MATCH(_xlfn.CONCAT(Buildings_Water_Backend[[#This Row],[Level 1]:[Level 6]]),rng_LevelsConcat,0))</f>
        <v>#N/A</v>
      </c>
      <c r="AB82" s="224">
        <f>Buildings_Water_Frontend[[#This Row],[Data]]</f>
        <v>0</v>
      </c>
      <c r="AC82" s="174">
        <f>Buildings_Water_Frontend[[#This Row],[Units]]</f>
        <v>0</v>
      </c>
      <c r="AD82" s="220" t="e">
        <f>IF(Buildings_Water_Backend[[#This Row],[Units]]=Buildings_Water_Backend[[#This Row],[Standard units]],Buildings_Water_Backend[[#This Row],[Data]],Buildings_Water_Backend[[#This Row],[Data]]*_xlfn.XLOOKUP(_xlfn.CONCAT(Buildings_Water_Backend[[#This Row],[Level 1]:[Level 6]]),rng_EFConcat,rng_EFConversion))</f>
        <v>#N/A</v>
      </c>
      <c r="AE82" s="174" t="e" cm="1">
        <f t="array" ref="AE82">_xlfn.XLOOKUP(_xlfn.CONCAT(Buildings_Water_Backend[[#This Row],[Level 1]:[Level 6]]),rng_LevelsConcat,rng_UnitsLong)</f>
        <v>#N/A</v>
      </c>
      <c r="AF82" s="210" t="e">
        <f>_xlfn.XLOOKUP(_xlfn.CONCAT(Buildings_Water_Backend[[#This Row],[Level 1]:[Level 6]]),rng_EFConcat,rng_EF1)*Buildings_Water_Backend[[#This Row],[Converted data]]/1000</f>
        <v>#N/A</v>
      </c>
      <c r="AG82" s="210" t="e">
        <f>_xlfn.XLOOKUP(_xlfn.CONCAT(Buildings_Water_Backend[[#This Row],[Level 1]:[Level 6]]),rng_EFConcat,rng_EF2)*Buildings_Water_Backend[[#This Row],[Converted data]]/1000</f>
        <v>#N/A</v>
      </c>
      <c r="AH82" s="210" t="e">
        <f>_xlfn.XLOOKUP(_xlfn.CONCAT(Buildings_Water_Backend[[#This Row],[Level 1]:[Level 6]]),rng_EFConcat,rng_EF3)*Buildings_Water_Backend[[#This Row],[Converted data]]/1000</f>
        <v>#N/A</v>
      </c>
      <c r="AI82" s="210" t="e">
        <f>_xlfn.XLOOKUP(_xlfn.CONCAT(Buildings_Water_Backend[[#This Row],[Level 1]:[Level 6]]),rng_EFConcat,rng_EF3WTT)*Buildings_Water_Backend[[#This Row],[Converted data]]/1000</f>
        <v>#N/A</v>
      </c>
      <c r="AJ82" s="210" t="e">
        <f>_xlfn.XLOOKUP(_xlfn.CONCAT(Buildings_Water_Backend[[#This Row],[Level 1]:[Level 6]]),rng_EFConcat,rng_EF3TD)*Buildings_Water_Backend[[#This Row],[Converted data]]/1000</f>
        <v>#N/A</v>
      </c>
      <c r="AK82" s="210" t="e">
        <f>_xlfn.XLOOKUP(_xlfn.CONCAT(Buildings_Water_Backend[[#This Row],[Level 1]:[Level 6]]),rng_EFConcat,rng_EF3WTTTD)*Buildings_Water_Backend[[#This Row],[Converted data]]/1000</f>
        <v>#N/A</v>
      </c>
      <c r="AL82" s="220" t="e">
        <f>SUM(Buildings_Water_Backend[[#This Row],[Scope 1 (tCO2e)]:[Scope 3 WTT T&amp;D (tCO2e)]])</f>
        <v>#N/A</v>
      </c>
      <c r="AM82" s="220" t="e">
        <f>Buildings_Water_Backend[[#This Row],[Total (tCO2e)]]*(1-Buildings_Water_Backend[[#This Row],[RSD]])</f>
        <v>#N/A</v>
      </c>
      <c r="AN82" s="220" t="e">
        <f>Buildings_Water_Backend[[#This Row],[Total (tCO2e)]]*(1+Buildings_Water_Backend[[#This Row],[RSD]])</f>
        <v>#N/A</v>
      </c>
      <c r="AO82" s="210" t="e">
        <f>_xlfn.XLOOKUP(_xlfn.CONCAT(Buildings_Water_Backend[[#This Row],[Level 1]:[Level 6]]),rng_EFConcat,rng_EFOOS)*Buildings_Water_Backend[[#This Row],[Converted data]]/1000</f>
        <v>#N/A</v>
      </c>
      <c r="AP82" s="174">
        <f>Buildings_Water_Frontend[[#This Row],[Ease of collection]]</f>
        <v>0</v>
      </c>
      <c r="AQ82" s="174">
        <f>Buildings_Water_Frontend[[#This Row],[Completeness]]</f>
        <v>0</v>
      </c>
      <c r="AR82" s="174">
        <f>Buildings_Water_Frontend[[#This Row],[Notes]]</f>
        <v>0</v>
      </c>
    </row>
    <row r="83" spans="5:44" x14ac:dyDescent="0.3">
      <c r="E83" s="346"/>
      <c r="F83" s="364"/>
      <c r="G83" s="336"/>
      <c r="H83" s="336"/>
      <c r="I83" s="334"/>
      <c r="J83" s="336"/>
      <c r="K83" s="336"/>
      <c r="L83" s="336"/>
      <c r="M83" s="337"/>
      <c r="N83" s="242">
        <f t="shared" si="3"/>
        <v>5</v>
      </c>
      <c r="Q83" s="212" t="str">
        <f t="shared" si="2"/>
        <v/>
      </c>
      <c r="R83" s="174" t="s">
        <v>265</v>
      </c>
      <c r="S83" s="174" t="s">
        <v>273</v>
      </c>
      <c r="T83" s="174" t="e">
        <f>_xlfn.XLOOKUP(Buildings_Water_Backend[[#This Row],[Info 1]],Buildings_SiteInfo[Site name],Buildings_SiteInfo[Site type])</f>
        <v>#N/A</v>
      </c>
      <c r="U83" s="174" t="s">
        <v>327</v>
      </c>
      <c r="V83" s="174">
        <f>Buildings_Water_Frontend[[#This Row],[Type]]</f>
        <v>0</v>
      </c>
      <c r="W83" s="174" t="e" cm="1">
        <f t="array" aca="1" ref="W83" ca="1">_xlfn.XLOOKUP(Buildings_Water_Backend[[#This Row],[Level 5]],rng_Level5Long,rng_Level6Long)</f>
        <v>#N/A</v>
      </c>
      <c r="X83" s="174">
        <f>Buildings_Water_Frontend[[#This Row],[Site Name]]</f>
        <v>0</v>
      </c>
      <c r="Y83" s="174">
        <f>Buildings_Water_Frontend[[#This Row],[Meter Reference]]</f>
        <v>0</v>
      </c>
      <c r="Z83" s="220">
        <f>Buildings_Water_Frontend[[#This Row],[Methodology]]</f>
        <v>0</v>
      </c>
      <c r="AA83" s="229" t="e" cm="1">
        <f t="array" ref="AA83">INDEX(_xlfn.SWITCH(Buildings_Water_Backend[[#This Row],[Methodology]],"Tier 1",rng_RSD1,"Tier 2",rng_RSD2,"Tier 3",rng_RSD3),MATCH(_xlfn.CONCAT(Buildings_Water_Backend[[#This Row],[Level 1]:[Level 6]]),rng_LevelsConcat,0))</f>
        <v>#N/A</v>
      </c>
      <c r="AB83" s="224">
        <f>Buildings_Water_Frontend[[#This Row],[Data]]</f>
        <v>0</v>
      </c>
      <c r="AC83" s="174">
        <f>Buildings_Water_Frontend[[#This Row],[Units]]</f>
        <v>0</v>
      </c>
      <c r="AD83" s="220" t="e">
        <f>IF(Buildings_Water_Backend[[#This Row],[Units]]=Buildings_Water_Backend[[#This Row],[Standard units]],Buildings_Water_Backend[[#This Row],[Data]],Buildings_Water_Backend[[#This Row],[Data]]*_xlfn.XLOOKUP(_xlfn.CONCAT(Buildings_Water_Backend[[#This Row],[Level 1]:[Level 6]]),rng_EFConcat,rng_EFConversion))</f>
        <v>#N/A</v>
      </c>
      <c r="AE83" s="174" t="e" cm="1">
        <f t="array" ref="AE83">_xlfn.XLOOKUP(_xlfn.CONCAT(Buildings_Water_Backend[[#This Row],[Level 1]:[Level 6]]),rng_LevelsConcat,rng_UnitsLong)</f>
        <v>#N/A</v>
      </c>
      <c r="AF83" s="210" t="e">
        <f>_xlfn.XLOOKUP(_xlfn.CONCAT(Buildings_Water_Backend[[#This Row],[Level 1]:[Level 6]]),rng_EFConcat,rng_EF1)*Buildings_Water_Backend[[#This Row],[Converted data]]/1000</f>
        <v>#N/A</v>
      </c>
      <c r="AG83" s="210" t="e">
        <f>_xlfn.XLOOKUP(_xlfn.CONCAT(Buildings_Water_Backend[[#This Row],[Level 1]:[Level 6]]),rng_EFConcat,rng_EF2)*Buildings_Water_Backend[[#This Row],[Converted data]]/1000</f>
        <v>#N/A</v>
      </c>
      <c r="AH83" s="210" t="e">
        <f>_xlfn.XLOOKUP(_xlfn.CONCAT(Buildings_Water_Backend[[#This Row],[Level 1]:[Level 6]]),rng_EFConcat,rng_EF3)*Buildings_Water_Backend[[#This Row],[Converted data]]/1000</f>
        <v>#N/A</v>
      </c>
      <c r="AI83" s="210" t="e">
        <f>_xlfn.XLOOKUP(_xlfn.CONCAT(Buildings_Water_Backend[[#This Row],[Level 1]:[Level 6]]),rng_EFConcat,rng_EF3WTT)*Buildings_Water_Backend[[#This Row],[Converted data]]/1000</f>
        <v>#N/A</v>
      </c>
      <c r="AJ83" s="210" t="e">
        <f>_xlfn.XLOOKUP(_xlfn.CONCAT(Buildings_Water_Backend[[#This Row],[Level 1]:[Level 6]]),rng_EFConcat,rng_EF3TD)*Buildings_Water_Backend[[#This Row],[Converted data]]/1000</f>
        <v>#N/A</v>
      </c>
      <c r="AK83" s="210" t="e">
        <f>_xlfn.XLOOKUP(_xlfn.CONCAT(Buildings_Water_Backend[[#This Row],[Level 1]:[Level 6]]),rng_EFConcat,rng_EF3WTTTD)*Buildings_Water_Backend[[#This Row],[Converted data]]/1000</f>
        <v>#N/A</v>
      </c>
      <c r="AL83" s="220" t="e">
        <f>SUM(Buildings_Water_Backend[[#This Row],[Scope 1 (tCO2e)]:[Scope 3 WTT T&amp;D (tCO2e)]])</f>
        <v>#N/A</v>
      </c>
      <c r="AM83" s="220" t="e">
        <f>Buildings_Water_Backend[[#This Row],[Total (tCO2e)]]*(1-Buildings_Water_Backend[[#This Row],[RSD]])</f>
        <v>#N/A</v>
      </c>
      <c r="AN83" s="220" t="e">
        <f>Buildings_Water_Backend[[#This Row],[Total (tCO2e)]]*(1+Buildings_Water_Backend[[#This Row],[RSD]])</f>
        <v>#N/A</v>
      </c>
      <c r="AO83" s="210" t="e">
        <f>_xlfn.XLOOKUP(_xlfn.CONCAT(Buildings_Water_Backend[[#This Row],[Level 1]:[Level 6]]),rng_EFConcat,rng_EFOOS)*Buildings_Water_Backend[[#This Row],[Converted data]]/1000</f>
        <v>#N/A</v>
      </c>
      <c r="AP83" s="174">
        <f>Buildings_Water_Frontend[[#This Row],[Ease of collection]]</f>
        <v>0</v>
      </c>
      <c r="AQ83" s="174">
        <f>Buildings_Water_Frontend[[#This Row],[Completeness]]</f>
        <v>0</v>
      </c>
      <c r="AR83" s="174">
        <f>Buildings_Water_Frontend[[#This Row],[Notes]]</f>
        <v>0</v>
      </c>
    </row>
    <row r="84" spans="5:44" x14ac:dyDescent="0.3">
      <c r="E84" s="346"/>
      <c r="F84" s="364"/>
      <c r="G84" s="336"/>
      <c r="H84" s="336"/>
      <c r="I84" s="334"/>
      <c r="J84" s="336"/>
      <c r="K84" s="336"/>
      <c r="L84" s="336"/>
      <c r="M84" s="337"/>
      <c r="N84" s="242">
        <f t="shared" si="3"/>
        <v>5</v>
      </c>
      <c r="Q84" s="212" t="str">
        <f t="shared" si="2"/>
        <v/>
      </c>
      <c r="R84" s="174" t="s">
        <v>265</v>
      </c>
      <c r="S84" s="174" t="s">
        <v>273</v>
      </c>
      <c r="T84" s="174" t="e">
        <f>_xlfn.XLOOKUP(Buildings_Water_Backend[[#This Row],[Info 1]],Buildings_SiteInfo[Site name],Buildings_SiteInfo[Site type])</f>
        <v>#N/A</v>
      </c>
      <c r="U84" s="174" t="s">
        <v>327</v>
      </c>
      <c r="V84" s="174">
        <f>Buildings_Water_Frontend[[#This Row],[Type]]</f>
        <v>0</v>
      </c>
      <c r="W84" s="174" t="e" cm="1">
        <f t="array" aca="1" ref="W84" ca="1">_xlfn.XLOOKUP(Buildings_Water_Backend[[#This Row],[Level 5]],rng_Level5Long,rng_Level6Long)</f>
        <v>#N/A</v>
      </c>
      <c r="X84" s="174">
        <f>Buildings_Water_Frontend[[#This Row],[Site Name]]</f>
        <v>0</v>
      </c>
      <c r="Y84" s="174">
        <f>Buildings_Water_Frontend[[#This Row],[Meter Reference]]</f>
        <v>0</v>
      </c>
      <c r="Z84" s="220">
        <f>Buildings_Water_Frontend[[#This Row],[Methodology]]</f>
        <v>0</v>
      </c>
      <c r="AA84" s="229" t="e" cm="1">
        <f t="array" ref="AA84">INDEX(_xlfn.SWITCH(Buildings_Water_Backend[[#This Row],[Methodology]],"Tier 1",rng_RSD1,"Tier 2",rng_RSD2,"Tier 3",rng_RSD3),MATCH(_xlfn.CONCAT(Buildings_Water_Backend[[#This Row],[Level 1]:[Level 6]]),rng_LevelsConcat,0))</f>
        <v>#N/A</v>
      </c>
      <c r="AB84" s="224">
        <f>Buildings_Water_Frontend[[#This Row],[Data]]</f>
        <v>0</v>
      </c>
      <c r="AC84" s="174">
        <f>Buildings_Water_Frontend[[#This Row],[Units]]</f>
        <v>0</v>
      </c>
      <c r="AD84" s="220" t="e">
        <f>IF(Buildings_Water_Backend[[#This Row],[Units]]=Buildings_Water_Backend[[#This Row],[Standard units]],Buildings_Water_Backend[[#This Row],[Data]],Buildings_Water_Backend[[#This Row],[Data]]*_xlfn.XLOOKUP(_xlfn.CONCAT(Buildings_Water_Backend[[#This Row],[Level 1]:[Level 6]]),rng_EFConcat,rng_EFConversion))</f>
        <v>#N/A</v>
      </c>
      <c r="AE84" s="174" t="e" cm="1">
        <f t="array" ref="AE84">_xlfn.XLOOKUP(_xlfn.CONCAT(Buildings_Water_Backend[[#This Row],[Level 1]:[Level 6]]),rng_LevelsConcat,rng_UnitsLong)</f>
        <v>#N/A</v>
      </c>
      <c r="AF84" s="210" t="e">
        <f>_xlfn.XLOOKUP(_xlfn.CONCAT(Buildings_Water_Backend[[#This Row],[Level 1]:[Level 6]]),rng_EFConcat,rng_EF1)*Buildings_Water_Backend[[#This Row],[Converted data]]/1000</f>
        <v>#N/A</v>
      </c>
      <c r="AG84" s="210" t="e">
        <f>_xlfn.XLOOKUP(_xlfn.CONCAT(Buildings_Water_Backend[[#This Row],[Level 1]:[Level 6]]),rng_EFConcat,rng_EF2)*Buildings_Water_Backend[[#This Row],[Converted data]]/1000</f>
        <v>#N/A</v>
      </c>
      <c r="AH84" s="210" t="e">
        <f>_xlfn.XLOOKUP(_xlfn.CONCAT(Buildings_Water_Backend[[#This Row],[Level 1]:[Level 6]]),rng_EFConcat,rng_EF3)*Buildings_Water_Backend[[#This Row],[Converted data]]/1000</f>
        <v>#N/A</v>
      </c>
      <c r="AI84" s="210" t="e">
        <f>_xlfn.XLOOKUP(_xlfn.CONCAT(Buildings_Water_Backend[[#This Row],[Level 1]:[Level 6]]),rng_EFConcat,rng_EF3WTT)*Buildings_Water_Backend[[#This Row],[Converted data]]/1000</f>
        <v>#N/A</v>
      </c>
      <c r="AJ84" s="210" t="e">
        <f>_xlfn.XLOOKUP(_xlfn.CONCAT(Buildings_Water_Backend[[#This Row],[Level 1]:[Level 6]]),rng_EFConcat,rng_EF3TD)*Buildings_Water_Backend[[#This Row],[Converted data]]/1000</f>
        <v>#N/A</v>
      </c>
      <c r="AK84" s="210" t="e">
        <f>_xlfn.XLOOKUP(_xlfn.CONCAT(Buildings_Water_Backend[[#This Row],[Level 1]:[Level 6]]),rng_EFConcat,rng_EF3WTTTD)*Buildings_Water_Backend[[#This Row],[Converted data]]/1000</f>
        <v>#N/A</v>
      </c>
      <c r="AL84" s="220" t="e">
        <f>SUM(Buildings_Water_Backend[[#This Row],[Scope 1 (tCO2e)]:[Scope 3 WTT T&amp;D (tCO2e)]])</f>
        <v>#N/A</v>
      </c>
      <c r="AM84" s="220" t="e">
        <f>Buildings_Water_Backend[[#This Row],[Total (tCO2e)]]*(1-Buildings_Water_Backend[[#This Row],[RSD]])</f>
        <v>#N/A</v>
      </c>
      <c r="AN84" s="220" t="e">
        <f>Buildings_Water_Backend[[#This Row],[Total (tCO2e)]]*(1+Buildings_Water_Backend[[#This Row],[RSD]])</f>
        <v>#N/A</v>
      </c>
      <c r="AO84" s="210" t="e">
        <f>_xlfn.XLOOKUP(_xlfn.CONCAT(Buildings_Water_Backend[[#This Row],[Level 1]:[Level 6]]),rng_EFConcat,rng_EFOOS)*Buildings_Water_Backend[[#This Row],[Converted data]]/1000</f>
        <v>#N/A</v>
      </c>
      <c r="AP84" s="174">
        <f>Buildings_Water_Frontend[[#This Row],[Ease of collection]]</f>
        <v>0</v>
      </c>
      <c r="AQ84" s="174">
        <f>Buildings_Water_Frontend[[#This Row],[Completeness]]</f>
        <v>0</v>
      </c>
      <c r="AR84" s="174">
        <f>Buildings_Water_Frontend[[#This Row],[Notes]]</f>
        <v>0</v>
      </c>
    </row>
    <row r="85" spans="5:44" x14ac:dyDescent="0.3">
      <c r="E85" s="346"/>
      <c r="F85" s="364"/>
      <c r="G85" s="336"/>
      <c r="H85" s="336"/>
      <c r="I85" s="334"/>
      <c r="J85" s="336"/>
      <c r="K85" s="336"/>
      <c r="L85" s="336"/>
      <c r="M85" s="337"/>
      <c r="N85" s="242">
        <f t="shared" si="3"/>
        <v>5</v>
      </c>
      <c r="Q85" s="212" t="str">
        <f t="shared" si="2"/>
        <v/>
      </c>
      <c r="R85" s="174" t="s">
        <v>265</v>
      </c>
      <c r="S85" s="174" t="s">
        <v>273</v>
      </c>
      <c r="T85" s="174" t="e">
        <f>_xlfn.XLOOKUP(Buildings_Water_Backend[[#This Row],[Info 1]],Buildings_SiteInfo[Site name],Buildings_SiteInfo[Site type])</f>
        <v>#N/A</v>
      </c>
      <c r="U85" s="174" t="s">
        <v>327</v>
      </c>
      <c r="V85" s="174">
        <f>Buildings_Water_Frontend[[#This Row],[Type]]</f>
        <v>0</v>
      </c>
      <c r="W85" s="174" t="e" cm="1">
        <f t="array" aca="1" ref="W85" ca="1">_xlfn.XLOOKUP(Buildings_Water_Backend[[#This Row],[Level 5]],rng_Level5Long,rng_Level6Long)</f>
        <v>#N/A</v>
      </c>
      <c r="X85" s="174">
        <f>Buildings_Water_Frontend[[#This Row],[Site Name]]</f>
        <v>0</v>
      </c>
      <c r="Y85" s="174">
        <f>Buildings_Water_Frontend[[#This Row],[Meter Reference]]</f>
        <v>0</v>
      </c>
      <c r="Z85" s="220">
        <f>Buildings_Water_Frontend[[#This Row],[Methodology]]</f>
        <v>0</v>
      </c>
      <c r="AA85" s="229" t="e" cm="1">
        <f t="array" ref="AA85">INDEX(_xlfn.SWITCH(Buildings_Water_Backend[[#This Row],[Methodology]],"Tier 1",rng_RSD1,"Tier 2",rng_RSD2,"Tier 3",rng_RSD3),MATCH(_xlfn.CONCAT(Buildings_Water_Backend[[#This Row],[Level 1]:[Level 6]]),rng_LevelsConcat,0))</f>
        <v>#N/A</v>
      </c>
      <c r="AB85" s="224">
        <f>Buildings_Water_Frontend[[#This Row],[Data]]</f>
        <v>0</v>
      </c>
      <c r="AC85" s="174">
        <f>Buildings_Water_Frontend[[#This Row],[Units]]</f>
        <v>0</v>
      </c>
      <c r="AD85" s="220" t="e">
        <f>IF(Buildings_Water_Backend[[#This Row],[Units]]=Buildings_Water_Backend[[#This Row],[Standard units]],Buildings_Water_Backend[[#This Row],[Data]],Buildings_Water_Backend[[#This Row],[Data]]*_xlfn.XLOOKUP(_xlfn.CONCAT(Buildings_Water_Backend[[#This Row],[Level 1]:[Level 6]]),rng_EFConcat,rng_EFConversion))</f>
        <v>#N/A</v>
      </c>
      <c r="AE85" s="174" t="e" cm="1">
        <f t="array" ref="AE85">_xlfn.XLOOKUP(_xlfn.CONCAT(Buildings_Water_Backend[[#This Row],[Level 1]:[Level 6]]),rng_LevelsConcat,rng_UnitsLong)</f>
        <v>#N/A</v>
      </c>
      <c r="AF85" s="210" t="e">
        <f>_xlfn.XLOOKUP(_xlfn.CONCAT(Buildings_Water_Backend[[#This Row],[Level 1]:[Level 6]]),rng_EFConcat,rng_EF1)*Buildings_Water_Backend[[#This Row],[Converted data]]/1000</f>
        <v>#N/A</v>
      </c>
      <c r="AG85" s="210" t="e">
        <f>_xlfn.XLOOKUP(_xlfn.CONCAT(Buildings_Water_Backend[[#This Row],[Level 1]:[Level 6]]),rng_EFConcat,rng_EF2)*Buildings_Water_Backend[[#This Row],[Converted data]]/1000</f>
        <v>#N/A</v>
      </c>
      <c r="AH85" s="210" t="e">
        <f>_xlfn.XLOOKUP(_xlfn.CONCAT(Buildings_Water_Backend[[#This Row],[Level 1]:[Level 6]]),rng_EFConcat,rng_EF3)*Buildings_Water_Backend[[#This Row],[Converted data]]/1000</f>
        <v>#N/A</v>
      </c>
      <c r="AI85" s="210" t="e">
        <f>_xlfn.XLOOKUP(_xlfn.CONCAT(Buildings_Water_Backend[[#This Row],[Level 1]:[Level 6]]),rng_EFConcat,rng_EF3WTT)*Buildings_Water_Backend[[#This Row],[Converted data]]/1000</f>
        <v>#N/A</v>
      </c>
      <c r="AJ85" s="210" t="e">
        <f>_xlfn.XLOOKUP(_xlfn.CONCAT(Buildings_Water_Backend[[#This Row],[Level 1]:[Level 6]]),rng_EFConcat,rng_EF3TD)*Buildings_Water_Backend[[#This Row],[Converted data]]/1000</f>
        <v>#N/A</v>
      </c>
      <c r="AK85" s="210" t="e">
        <f>_xlfn.XLOOKUP(_xlfn.CONCAT(Buildings_Water_Backend[[#This Row],[Level 1]:[Level 6]]),rng_EFConcat,rng_EF3WTTTD)*Buildings_Water_Backend[[#This Row],[Converted data]]/1000</f>
        <v>#N/A</v>
      </c>
      <c r="AL85" s="220" t="e">
        <f>SUM(Buildings_Water_Backend[[#This Row],[Scope 1 (tCO2e)]:[Scope 3 WTT T&amp;D (tCO2e)]])</f>
        <v>#N/A</v>
      </c>
      <c r="AM85" s="220" t="e">
        <f>Buildings_Water_Backend[[#This Row],[Total (tCO2e)]]*(1-Buildings_Water_Backend[[#This Row],[RSD]])</f>
        <v>#N/A</v>
      </c>
      <c r="AN85" s="220" t="e">
        <f>Buildings_Water_Backend[[#This Row],[Total (tCO2e)]]*(1+Buildings_Water_Backend[[#This Row],[RSD]])</f>
        <v>#N/A</v>
      </c>
      <c r="AO85" s="210" t="e">
        <f>_xlfn.XLOOKUP(_xlfn.CONCAT(Buildings_Water_Backend[[#This Row],[Level 1]:[Level 6]]),rng_EFConcat,rng_EFOOS)*Buildings_Water_Backend[[#This Row],[Converted data]]/1000</f>
        <v>#N/A</v>
      </c>
      <c r="AP85" s="174">
        <f>Buildings_Water_Frontend[[#This Row],[Ease of collection]]</f>
        <v>0</v>
      </c>
      <c r="AQ85" s="174">
        <f>Buildings_Water_Frontend[[#This Row],[Completeness]]</f>
        <v>0</v>
      </c>
      <c r="AR85" s="174">
        <f>Buildings_Water_Frontend[[#This Row],[Notes]]</f>
        <v>0</v>
      </c>
    </row>
    <row r="86" spans="5:44" x14ac:dyDescent="0.3">
      <c r="E86" s="346"/>
      <c r="F86" s="364"/>
      <c r="G86" s="336"/>
      <c r="H86" s="336"/>
      <c r="I86" s="334"/>
      <c r="J86" s="336"/>
      <c r="K86" s="336"/>
      <c r="L86" s="336"/>
      <c r="M86" s="337"/>
      <c r="N86" s="242">
        <f t="shared" si="3"/>
        <v>5</v>
      </c>
      <c r="Q86" s="212" t="str">
        <f t="shared" si="2"/>
        <v/>
      </c>
      <c r="R86" s="174" t="s">
        <v>265</v>
      </c>
      <c r="S86" s="174" t="s">
        <v>273</v>
      </c>
      <c r="T86" s="174" t="e">
        <f>_xlfn.XLOOKUP(Buildings_Water_Backend[[#This Row],[Info 1]],Buildings_SiteInfo[Site name],Buildings_SiteInfo[Site type])</f>
        <v>#N/A</v>
      </c>
      <c r="U86" s="174" t="s">
        <v>327</v>
      </c>
      <c r="V86" s="174">
        <f>Buildings_Water_Frontend[[#This Row],[Type]]</f>
        <v>0</v>
      </c>
      <c r="W86" s="174" t="e" cm="1">
        <f t="array" aca="1" ref="W86" ca="1">_xlfn.XLOOKUP(Buildings_Water_Backend[[#This Row],[Level 5]],rng_Level5Long,rng_Level6Long)</f>
        <v>#N/A</v>
      </c>
      <c r="X86" s="174">
        <f>Buildings_Water_Frontend[[#This Row],[Site Name]]</f>
        <v>0</v>
      </c>
      <c r="Y86" s="174">
        <f>Buildings_Water_Frontend[[#This Row],[Meter Reference]]</f>
        <v>0</v>
      </c>
      <c r="Z86" s="220">
        <f>Buildings_Water_Frontend[[#This Row],[Methodology]]</f>
        <v>0</v>
      </c>
      <c r="AA86" s="229" t="e" cm="1">
        <f t="array" ref="AA86">INDEX(_xlfn.SWITCH(Buildings_Water_Backend[[#This Row],[Methodology]],"Tier 1",rng_RSD1,"Tier 2",rng_RSD2,"Tier 3",rng_RSD3),MATCH(_xlfn.CONCAT(Buildings_Water_Backend[[#This Row],[Level 1]:[Level 6]]),rng_LevelsConcat,0))</f>
        <v>#N/A</v>
      </c>
      <c r="AB86" s="224">
        <f>Buildings_Water_Frontend[[#This Row],[Data]]</f>
        <v>0</v>
      </c>
      <c r="AC86" s="174">
        <f>Buildings_Water_Frontend[[#This Row],[Units]]</f>
        <v>0</v>
      </c>
      <c r="AD86" s="220" t="e">
        <f>IF(Buildings_Water_Backend[[#This Row],[Units]]=Buildings_Water_Backend[[#This Row],[Standard units]],Buildings_Water_Backend[[#This Row],[Data]],Buildings_Water_Backend[[#This Row],[Data]]*_xlfn.XLOOKUP(_xlfn.CONCAT(Buildings_Water_Backend[[#This Row],[Level 1]:[Level 6]]),rng_EFConcat,rng_EFConversion))</f>
        <v>#N/A</v>
      </c>
      <c r="AE86" s="174" t="e" cm="1">
        <f t="array" ref="AE86">_xlfn.XLOOKUP(_xlfn.CONCAT(Buildings_Water_Backend[[#This Row],[Level 1]:[Level 6]]),rng_LevelsConcat,rng_UnitsLong)</f>
        <v>#N/A</v>
      </c>
      <c r="AF86" s="210" t="e">
        <f>_xlfn.XLOOKUP(_xlfn.CONCAT(Buildings_Water_Backend[[#This Row],[Level 1]:[Level 6]]),rng_EFConcat,rng_EF1)*Buildings_Water_Backend[[#This Row],[Converted data]]/1000</f>
        <v>#N/A</v>
      </c>
      <c r="AG86" s="210" t="e">
        <f>_xlfn.XLOOKUP(_xlfn.CONCAT(Buildings_Water_Backend[[#This Row],[Level 1]:[Level 6]]),rng_EFConcat,rng_EF2)*Buildings_Water_Backend[[#This Row],[Converted data]]/1000</f>
        <v>#N/A</v>
      </c>
      <c r="AH86" s="210" t="e">
        <f>_xlfn.XLOOKUP(_xlfn.CONCAT(Buildings_Water_Backend[[#This Row],[Level 1]:[Level 6]]),rng_EFConcat,rng_EF3)*Buildings_Water_Backend[[#This Row],[Converted data]]/1000</f>
        <v>#N/A</v>
      </c>
      <c r="AI86" s="210" t="e">
        <f>_xlfn.XLOOKUP(_xlfn.CONCAT(Buildings_Water_Backend[[#This Row],[Level 1]:[Level 6]]),rng_EFConcat,rng_EF3WTT)*Buildings_Water_Backend[[#This Row],[Converted data]]/1000</f>
        <v>#N/A</v>
      </c>
      <c r="AJ86" s="210" t="e">
        <f>_xlfn.XLOOKUP(_xlfn.CONCAT(Buildings_Water_Backend[[#This Row],[Level 1]:[Level 6]]),rng_EFConcat,rng_EF3TD)*Buildings_Water_Backend[[#This Row],[Converted data]]/1000</f>
        <v>#N/A</v>
      </c>
      <c r="AK86" s="210" t="e">
        <f>_xlfn.XLOOKUP(_xlfn.CONCAT(Buildings_Water_Backend[[#This Row],[Level 1]:[Level 6]]),rng_EFConcat,rng_EF3WTTTD)*Buildings_Water_Backend[[#This Row],[Converted data]]/1000</f>
        <v>#N/A</v>
      </c>
      <c r="AL86" s="220" t="e">
        <f>SUM(Buildings_Water_Backend[[#This Row],[Scope 1 (tCO2e)]:[Scope 3 WTT T&amp;D (tCO2e)]])</f>
        <v>#N/A</v>
      </c>
      <c r="AM86" s="220" t="e">
        <f>Buildings_Water_Backend[[#This Row],[Total (tCO2e)]]*(1-Buildings_Water_Backend[[#This Row],[RSD]])</f>
        <v>#N/A</v>
      </c>
      <c r="AN86" s="220" t="e">
        <f>Buildings_Water_Backend[[#This Row],[Total (tCO2e)]]*(1+Buildings_Water_Backend[[#This Row],[RSD]])</f>
        <v>#N/A</v>
      </c>
      <c r="AO86" s="210" t="e">
        <f>_xlfn.XLOOKUP(_xlfn.CONCAT(Buildings_Water_Backend[[#This Row],[Level 1]:[Level 6]]),rng_EFConcat,rng_EFOOS)*Buildings_Water_Backend[[#This Row],[Converted data]]/1000</f>
        <v>#N/A</v>
      </c>
      <c r="AP86" s="174">
        <f>Buildings_Water_Frontend[[#This Row],[Ease of collection]]</f>
        <v>0</v>
      </c>
      <c r="AQ86" s="174">
        <f>Buildings_Water_Frontend[[#This Row],[Completeness]]</f>
        <v>0</v>
      </c>
      <c r="AR86" s="174">
        <f>Buildings_Water_Frontend[[#This Row],[Notes]]</f>
        <v>0</v>
      </c>
    </row>
    <row r="87" spans="5:44" x14ac:dyDescent="0.3">
      <c r="E87" s="346"/>
      <c r="F87" s="364"/>
      <c r="G87" s="336"/>
      <c r="H87" s="336"/>
      <c r="I87" s="334"/>
      <c r="J87" s="336"/>
      <c r="K87" s="336"/>
      <c r="L87" s="336"/>
      <c r="M87" s="337"/>
      <c r="N87" s="242">
        <f t="shared" si="3"/>
        <v>5</v>
      </c>
      <c r="Q87" s="212" t="str">
        <f t="shared" si="2"/>
        <v/>
      </c>
      <c r="R87" s="174" t="s">
        <v>265</v>
      </c>
      <c r="S87" s="174" t="s">
        <v>273</v>
      </c>
      <c r="T87" s="174" t="e">
        <f>_xlfn.XLOOKUP(Buildings_Water_Backend[[#This Row],[Info 1]],Buildings_SiteInfo[Site name],Buildings_SiteInfo[Site type])</f>
        <v>#N/A</v>
      </c>
      <c r="U87" s="174" t="s">
        <v>327</v>
      </c>
      <c r="V87" s="174">
        <f>Buildings_Water_Frontend[[#This Row],[Type]]</f>
        <v>0</v>
      </c>
      <c r="W87" s="174" t="e" cm="1">
        <f t="array" aca="1" ref="W87" ca="1">_xlfn.XLOOKUP(Buildings_Water_Backend[[#This Row],[Level 5]],rng_Level5Long,rng_Level6Long)</f>
        <v>#N/A</v>
      </c>
      <c r="X87" s="174">
        <f>Buildings_Water_Frontend[[#This Row],[Site Name]]</f>
        <v>0</v>
      </c>
      <c r="Y87" s="174">
        <f>Buildings_Water_Frontend[[#This Row],[Meter Reference]]</f>
        <v>0</v>
      </c>
      <c r="Z87" s="220">
        <f>Buildings_Water_Frontend[[#This Row],[Methodology]]</f>
        <v>0</v>
      </c>
      <c r="AA87" s="229" t="e" cm="1">
        <f t="array" ref="AA87">INDEX(_xlfn.SWITCH(Buildings_Water_Backend[[#This Row],[Methodology]],"Tier 1",rng_RSD1,"Tier 2",rng_RSD2,"Tier 3",rng_RSD3),MATCH(_xlfn.CONCAT(Buildings_Water_Backend[[#This Row],[Level 1]:[Level 6]]),rng_LevelsConcat,0))</f>
        <v>#N/A</v>
      </c>
      <c r="AB87" s="224">
        <f>Buildings_Water_Frontend[[#This Row],[Data]]</f>
        <v>0</v>
      </c>
      <c r="AC87" s="174">
        <f>Buildings_Water_Frontend[[#This Row],[Units]]</f>
        <v>0</v>
      </c>
      <c r="AD87" s="220" t="e">
        <f>IF(Buildings_Water_Backend[[#This Row],[Units]]=Buildings_Water_Backend[[#This Row],[Standard units]],Buildings_Water_Backend[[#This Row],[Data]],Buildings_Water_Backend[[#This Row],[Data]]*_xlfn.XLOOKUP(_xlfn.CONCAT(Buildings_Water_Backend[[#This Row],[Level 1]:[Level 6]]),rng_EFConcat,rng_EFConversion))</f>
        <v>#N/A</v>
      </c>
      <c r="AE87" s="174" t="e" cm="1">
        <f t="array" ref="AE87">_xlfn.XLOOKUP(_xlfn.CONCAT(Buildings_Water_Backend[[#This Row],[Level 1]:[Level 6]]),rng_LevelsConcat,rng_UnitsLong)</f>
        <v>#N/A</v>
      </c>
      <c r="AF87" s="210" t="e">
        <f>_xlfn.XLOOKUP(_xlfn.CONCAT(Buildings_Water_Backend[[#This Row],[Level 1]:[Level 6]]),rng_EFConcat,rng_EF1)*Buildings_Water_Backend[[#This Row],[Converted data]]/1000</f>
        <v>#N/A</v>
      </c>
      <c r="AG87" s="210" t="e">
        <f>_xlfn.XLOOKUP(_xlfn.CONCAT(Buildings_Water_Backend[[#This Row],[Level 1]:[Level 6]]),rng_EFConcat,rng_EF2)*Buildings_Water_Backend[[#This Row],[Converted data]]/1000</f>
        <v>#N/A</v>
      </c>
      <c r="AH87" s="210" t="e">
        <f>_xlfn.XLOOKUP(_xlfn.CONCAT(Buildings_Water_Backend[[#This Row],[Level 1]:[Level 6]]),rng_EFConcat,rng_EF3)*Buildings_Water_Backend[[#This Row],[Converted data]]/1000</f>
        <v>#N/A</v>
      </c>
      <c r="AI87" s="210" t="e">
        <f>_xlfn.XLOOKUP(_xlfn.CONCAT(Buildings_Water_Backend[[#This Row],[Level 1]:[Level 6]]),rng_EFConcat,rng_EF3WTT)*Buildings_Water_Backend[[#This Row],[Converted data]]/1000</f>
        <v>#N/A</v>
      </c>
      <c r="AJ87" s="210" t="e">
        <f>_xlfn.XLOOKUP(_xlfn.CONCAT(Buildings_Water_Backend[[#This Row],[Level 1]:[Level 6]]),rng_EFConcat,rng_EF3TD)*Buildings_Water_Backend[[#This Row],[Converted data]]/1000</f>
        <v>#N/A</v>
      </c>
      <c r="AK87" s="210" t="e">
        <f>_xlfn.XLOOKUP(_xlfn.CONCAT(Buildings_Water_Backend[[#This Row],[Level 1]:[Level 6]]),rng_EFConcat,rng_EF3WTTTD)*Buildings_Water_Backend[[#This Row],[Converted data]]/1000</f>
        <v>#N/A</v>
      </c>
      <c r="AL87" s="220" t="e">
        <f>SUM(Buildings_Water_Backend[[#This Row],[Scope 1 (tCO2e)]:[Scope 3 WTT T&amp;D (tCO2e)]])</f>
        <v>#N/A</v>
      </c>
      <c r="AM87" s="220" t="e">
        <f>Buildings_Water_Backend[[#This Row],[Total (tCO2e)]]*(1-Buildings_Water_Backend[[#This Row],[RSD]])</f>
        <v>#N/A</v>
      </c>
      <c r="AN87" s="220" t="e">
        <f>Buildings_Water_Backend[[#This Row],[Total (tCO2e)]]*(1+Buildings_Water_Backend[[#This Row],[RSD]])</f>
        <v>#N/A</v>
      </c>
      <c r="AO87" s="210" t="e">
        <f>_xlfn.XLOOKUP(_xlfn.CONCAT(Buildings_Water_Backend[[#This Row],[Level 1]:[Level 6]]),rng_EFConcat,rng_EFOOS)*Buildings_Water_Backend[[#This Row],[Converted data]]/1000</f>
        <v>#N/A</v>
      </c>
      <c r="AP87" s="174">
        <f>Buildings_Water_Frontend[[#This Row],[Ease of collection]]</f>
        <v>0</v>
      </c>
      <c r="AQ87" s="174">
        <f>Buildings_Water_Frontend[[#This Row],[Completeness]]</f>
        <v>0</v>
      </c>
      <c r="AR87" s="174">
        <f>Buildings_Water_Frontend[[#This Row],[Notes]]</f>
        <v>0</v>
      </c>
    </row>
    <row r="88" spans="5:44" x14ac:dyDescent="0.3">
      <c r="E88" s="346"/>
      <c r="F88" s="364"/>
      <c r="G88" s="336"/>
      <c r="H88" s="336"/>
      <c r="I88" s="334"/>
      <c r="J88" s="336"/>
      <c r="K88" s="336"/>
      <c r="L88" s="336"/>
      <c r="M88" s="337"/>
      <c r="N88" s="242">
        <f t="shared" si="3"/>
        <v>5</v>
      </c>
      <c r="Q88" s="212" t="str">
        <f t="shared" si="2"/>
        <v/>
      </c>
      <c r="R88" s="174" t="s">
        <v>265</v>
      </c>
      <c r="S88" s="174" t="s">
        <v>273</v>
      </c>
      <c r="T88" s="174" t="e">
        <f>_xlfn.XLOOKUP(Buildings_Water_Backend[[#This Row],[Info 1]],Buildings_SiteInfo[Site name],Buildings_SiteInfo[Site type])</f>
        <v>#N/A</v>
      </c>
      <c r="U88" s="174" t="s">
        <v>327</v>
      </c>
      <c r="V88" s="174">
        <f>Buildings_Water_Frontend[[#This Row],[Type]]</f>
        <v>0</v>
      </c>
      <c r="W88" s="174" t="e" cm="1">
        <f t="array" aca="1" ref="W88" ca="1">_xlfn.XLOOKUP(Buildings_Water_Backend[[#This Row],[Level 5]],rng_Level5Long,rng_Level6Long)</f>
        <v>#N/A</v>
      </c>
      <c r="X88" s="174">
        <f>Buildings_Water_Frontend[[#This Row],[Site Name]]</f>
        <v>0</v>
      </c>
      <c r="Y88" s="174">
        <f>Buildings_Water_Frontend[[#This Row],[Meter Reference]]</f>
        <v>0</v>
      </c>
      <c r="Z88" s="220">
        <f>Buildings_Water_Frontend[[#This Row],[Methodology]]</f>
        <v>0</v>
      </c>
      <c r="AA88" s="229" t="e" cm="1">
        <f t="array" ref="AA88">INDEX(_xlfn.SWITCH(Buildings_Water_Backend[[#This Row],[Methodology]],"Tier 1",rng_RSD1,"Tier 2",rng_RSD2,"Tier 3",rng_RSD3),MATCH(_xlfn.CONCAT(Buildings_Water_Backend[[#This Row],[Level 1]:[Level 6]]),rng_LevelsConcat,0))</f>
        <v>#N/A</v>
      </c>
      <c r="AB88" s="224">
        <f>Buildings_Water_Frontend[[#This Row],[Data]]</f>
        <v>0</v>
      </c>
      <c r="AC88" s="174">
        <f>Buildings_Water_Frontend[[#This Row],[Units]]</f>
        <v>0</v>
      </c>
      <c r="AD88" s="220" t="e">
        <f>IF(Buildings_Water_Backend[[#This Row],[Units]]=Buildings_Water_Backend[[#This Row],[Standard units]],Buildings_Water_Backend[[#This Row],[Data]],Buildings_Water_Backend[[#This Row],[Data]]*_xlfn.XLOOKUP(_xlfn.CONCAT(Buildings_Water_Backend[[#This Row],[Level 1]:[Level 6]]),rng_EFConcat,rng_EFConversion))</f>
        <v>#N/A</v>
      </c>
      <c r="AE88" s="174" t="e" cm="1">
        <f t="array" ref="AE88">_xlfn.XLOOKUP(_xlfn.CONCAT(Buildings_Water_Backend[[#This Row],[Level 1]:[Level 6]]),rng_LevelsConcat,rng_UnitsLong)</f>
        <v>#N/A</v>
      </c>
      <c r="AF88" s="210" t="e">
        <f>_xlfn.XLOOKUP(_xlfn.CONCAT(Buildings_Water_Backend[[#This Row],[Level 1]:[Level 6]]),rng_EFConcat,rng_EF1)*Buildings_Water_Backend[[#This Row],[Converted data]]/1000</f>
        <v>#N/A</v>
      </c>
      <c r="AG88" s="210" t="e">
        <f>_xlfn.XLOOKUP(_xlfn.CONCAT(Buildings_Water_Backend[[#This Row],[Level 1]:[Level 6]]),rng_EFConcat,rng_EF2)*Buildings_Water_Backend[[#This Row],[Converted data]]/1000</f>
        <v>#N/A</v>
      </c>
      <c r="AH88" s="210" t="e">
        <f>_xlfn.XLOOKUP(_xlfn.CONCAT(Buildings_Water_Backend[[#This Row],[Level 1]:[Level 6]]),rng_EFConcat,rng_EF3)*Buildings_Water_Backend[[#This Row],[Converted data]]/1000</f>
        <v>#N/A</v>
      </c>
      <c r="AI88" s="210" t="e">
        <f>_xlfn.XLOOKUP(_xlfn.CONCAT(Buildings_Water_Backend[[#This Row],[Level 1]:[Level 6]]),rng_EFConcat,rng_EF3WTT)*Buildings_Water_Backend[[#This Row],[Converted data]]/1000</f>
        <v>#N/A</v>
      </c>
      <c r="AJ88" s="210" t="e">
        <f>_xlfn.XLOOKUP(_xlfn.CONCAT(Buildings_Water_Backend[[#This Row],[Level 1]:[Level 6]]),rng_EFConcat,rng_EF3TD)*Buildings_Water_Backend[[#This Row],[Converted data]]/1000</f>
        <v>#N/A</v>
      </c>
      <c r="AK88" s="210" t="e">
        <f>_xlfn.XLOOKUP(_xlfn.CONCAT(Buildings_Water_Backend[[#This Row],[Level 1]:[Level 6]]),rng_EFConcat,rng_EF3WTTTD)*Buildings_Water_Backend[[#This Row],[Converted data]]/1000</f>
        <v>#N/A</v>
      </c>
      <c r="AL88" s="220" t="e">
        <f>SUM(Buildings_Water_Backend[[#This Row],[Scope 1 (tCO2e)]:[Scope 3 WTT T&amp;D (tCO2e)]])</f>
        <v>#N/A</v>
      </c>
      <c r="AM88" s="220" t="e">
        <f>Buildings_Water_Backend[[#This Row],[Total (tCO2e)]]*(1-Buildings_Water_Backend[[#This Row],[RSD]])</f>
        <v>#N/A</v>
      </c>
      <c r="AN88" s="220" t="e">
        <f>Buildings_Water_Backend[[#This Row],[Total (tCO2e)]]*(1+Buildings_Water_Backend[[#This Row],[RSD]])</f>
        <v>#N/A</v>
      </c>
      <c r="AO88" s="210" t="e">
        <f>_xlfn.XLOOKUP(_xlfn.CONCAT(Buildings_Water_Backend[[#This Row],[Level 1]:[Level 6]]),rng_EFConcat,rng_EFOOS)*Buildings_Water_Backend[[#This Row],[Converted data]]/1000</f>
        <v>#N/A</v>
      </c>
      <c r="AP88" s="174">
        <f>Buildings_Water_Frontend[[#This Row],[Ease of collection]]</f>
        <v>0</v>
      </c>
      <c r="AQ88" s="174">
        <f>Buildings_Water_Frontend[[#This Row],[Completeness]]</f>
        <v>0</v>
      </c>
      <c r="AR88" s="174">
        <f>Buildings_Water_Frontend[[#This Row],[Notes]]</f>
        <v>0</v>
      </c>
    </row>
    <row r="89" spans="5:44" x14ac:dyDescent="0.3">
      <c r="E89" s="346"/>
      <c r="F89" s="364"/>
      <c r="G89" s="336"/>
      <c r="H89" s="336"/>
      <c r="I89" s="334"/>
      <c r="J89" s="336"/>
      <c r="K89" s="336"/>
      <c r="L89" s="336"/>
      <c r="M89" s="337"/>
      <c r="N89" s="242">
        <f t="shared" si="3"/>
        <v>5</v>
      </c>
      <c r="Q89" s="212" t="str">
        <f t="shared" si="2"/>
        <v/>
      </c>
      <c r="R89" s="174" t="s">
        <v>265</v>
      </c>
      <c r="S89" s="174" t="s">
        <v>273</v>
      </c>
      <c r="T89" s="174" t="e">
        <f>_xlfn.XLOOKUP(Buildings_Water_Backend[[#This Row],[Info 1]],Buildings_SiteInfo[Site name],Buildings_SiteInfo[Site type])</f>
        <v>#N/A</v>
      </c>
      <c r="U89" s="174" t="s">
        <v>327</v>
      </c>
      <c r="V89" s="174">
        <f>Buildings_Water_Frontend[[#This Row],[Type]]</f>
        <v>0</v>
      </c>
      <c r="W89" s="174" t="e" cm="1">
        <f t="array" aca="1" ref="W89" ca="1">_xlfn.XLOOKUP(Buildings_Water_Backend[[#This Row],[Level 5]],rng_Level5Long,rng_Level6Long)</f>
        <v>#N/A</v>
      </c>
      <c r="X89" s="174">
        <f>Buildings_Water_Frontend[[#This Row],[Site Name]]</f>
        <v>0</v>
      </c>
      <c r="Y89" s="174">
        <f>Buildings_Water_Frontend[[#This Row],[Meter Reference]]</f>
        <v>0</v>
      </c>
      <c r="Z89" s="220">
        <f>Buildings_Water_Frontend[[#This Row],[Methodology]]</f>
        <v>0</v>
      </c>
      <c r="AA89" s="229" t="e" cm="1">
        <f t="array" ref="AA89">INDEX(_xlfn.SWITCH(Buildings_Water_Backend[[#This Row],[Methodology]],"Tier 1",rng_RSD1,"Tier 2",rng_RSD2,"Tier 3",rng_RSD3),MATCH(_xlfn.CONCAT(Buildings_Water_Backend[[#This Row],[Level 1]:[Level 6]]),rng_LevelsConcat,0))</f>
        <v>#N/A</v>
      </c>
      <c r="AB89" s="224">
        <f>Buildings_Water_Frontend[[#This Row],[Data]]</f>
        <v>0</v>
      </c>
      <c r="AC89" s="174">
        <f>Buildings_Water_Frontend[[#This Row],[Units]]</f>
        <v>0</v>
      </c>
      <c r="AD89" s="220" t="e">
        <f>IF(Buildings_Water_Backend[[#This Row],[Units]]=Buildings_Water_Backend[[#This Row],[Standard units]],Buildings_Water_Backend[[#This Row],[Data]],Buildings_Water_Backend[[#This Row],[Data]]*_xlfn.XLOOKUP(_xlfn.CONCAT(Buildings_Water_Backend[[#This Row],[Level 1]:[Level 6]]),rng_EFConcat,rng_EFConversion))</f>
        <v>#N/A</v>
      </c>
      <c r="AE89" s="174" t="e" cm="1">
        <f t="array" ref="AE89">_xlfn.XLOOKUP(_xlfn.CONCAT(Buildings_Water_Backend[[#This Row],[Level 1]:[Level 6]]),rng_LevelsConcat,rng_UnitsLong)</f>
        <v>#N/A</v>
      </c>
      <c r="AF89" s="210" t="e">
        <f>_xlfn.XLOOKUP(_xlfn.CONCAT(Buildings_Water_Backend[[#This Row],[Level 1]:[Level 6]]),rng_EFConcat,rng_EF1)*Buildings_Water_Backend[[#This Row],[Converted data]]/1000</f>
        <v>#N/A</v>
      </c>
      <c r="AG89" s="210" t="e">
        <f>_xlfn.XLOOKUP(_xlfn.CONCAT(Buildings_Water_Backend[[#This Row],[Level 1]:[Level 6]]),rng_EFConcat,rng_EF2)*Buildings_Water_Backend[[#This Row],[Converted data]]/1000</f>
        <v>#N/A</v>
      </c>
      <c r="AH89" s="210" t="e">
        <f>_xlfn.XLOOKUP(_xlfn.CONCAT(Buildings_Water_Backend[[#This Row],[Level 1]:[Level 6]]),rng_EFConcat,rng_EF3)*Buildings_Water_Backend[[#This Row],[Converted data]]/1000</f>
        <v>#N/A</v>
      </c>
      <c r="AI89" s="210" t="e">
        <f>_xlfn.XLOOKUP(_xlfn.CONCAT(Buildings_Water_Backend[[#This Row],[Level 1]:[Level 6]]),rng_EFConcat,rng_EF3WTT)*Buildings_Water_Backend[[#This Row],[Converted data]]/1000</f>
        <v>#N/A</v>
      </c>
      <c r="AJ89" s="210" t="e">
        <f>_xlfn.XLOOKUP(_xlfn.CONCAT(Buildings_Water_Backend[[#This Row],[Level 1]:[Level 6]]),rng_EFConcat,rng_EF3TD)*Buildings_Water_Backend[[#This Row],[Converted data]]/1000</f>
        <v>#N/A</v>
      </c>
      <c r="AK89" s="210" t="e">
        <f>_xlfn.XLOOKUP(_xlfn.CONCAT(Buildings_Water_Backend[[#This Row],[Level 1]:[Level 6]]),rng_EFConcat,rng_EF3WTTTD)*Buildings_Water_Backend[[#This Row],[Converted data]]/1000</f>
        <v>#N/A</v>
      </c>
      <c r="AL89" s="220" t="e">
        <f>SUM(Buildings_Water_Backend[[#This Row],[Scope 1 (tCO2e)]:[Scope 3 WTT T&amp;D (tCO2e)]])</f>
        <v>#N/A</v>
      </c>
      <c r="AM89" s="220" t="e">
        <f>Buildings_Water_Backend[[#This Row],[Total (tCO2e)]]*(1-Buildings_Water_Backend[[#This Row],[RSD]])</f>
        <v>#N/A</v>
      </c>
      <c r="AN89" s="220" t="e">
        <f>Buildings_Water_Backend[[#This Row],[Total (tCO2e)]]*(1+Buildings_Water_Backend[[#This Row],[RSD]])</f>
        <v>#N/A</v>
      </c>
      <c r="AO89" s="210" t="e">
        <f>_xlfn.XLOOKUP(_xlfn.CONCAT(Buildings_Water_Backend[[#This Row],[Level 1]:[Level 6]]),rng_EFConcat,rng_EFOOS)*Buildings_Water_Backend[[#This Row],[Converted data]]/1000</f>
        <v>#N/A</v>
      </c>
      <c r="AP89" s="174">
        <f>Buildings_Water_Frontend[[#This Row],[Ease of collection]]</f>
        <v>0</v>
      </c>
      <c r="AQ89" s="174">
        <f>Buildings_Water_Frontend[[#This Row],[Completeness]]</f>
        <v>0</v>
      </c>
      <c r="AR89" s="174">
        <f>Buildings_Water_Frontend[[#This Row],[Notes]]</f>
        <v>0</v>
      </c>
    </row>
    <row r="90" spans="5:44" x14ac:dyDescent="0.3">
      <c r="E90" s="346"/>
      <c r="F90" s="364"/>
      <c r="G90" s="336"/>
      <c r="H90" s="336"/>
      <c r="I90" s="334"/>
      <c r="J90" s="336"/>
      <c r="K90" s="336"/>
      <c r="L90" s="336"/>
      <c r="M90" s="337"/>
      <c r="N90" s="242">
        <f t="shared" si="3"/>
        <v>5</v>
      </c>
      <c r="Q90" s="212" t="str">
        <f t="shared" si="2"/>
        <v/>
      </c>
      <c r="R90" s="174" t="s">
        <v>265</v>
      </c>
      <c r="S90" s="174" t="s">
        <v>273</v>
      </c>
      <c r="T90" s="174" t="e">
        <f>_xlfn.XLOOKUP(Buildings_Water_Backend[[#This Row],[Info 1]],Buildings_SiteInfo[Site name],Buildings_SiteInfo[Site type])</f>
        <v>#N/A</v>
      </c>
      <c r="U90" s="174" t="s">
        <v>327</v>
      </c>
      <c r="V90" s="174">
        <f>Buildings_Water_Frontend[[#This Row],[Type]]</f>
        <v>0</v>
      </c>
      <c r="W90" s="174" t="e" cm="1">
        <f t="array" aca="1" ref="W90" ca="1">_xlfn.XLOOKUP(Buildings_Water_Backend[[#This Row],[Level 5]],rng_Level5Long,rng_Level6Long)</f>
        <v>#N/A</v>
      </c>
      <c r="X90" s="174">
        <f>Buildings_Water_Frontend[[#This Row],[Site Name]]</f>
        <v>0</v>
      </c>
      <c r="Y90" s="174">
        <f>Buildings_Water_Frontend[[#This Row],[Meter Reference]]</f>
        <v>0</v>
      </c>
      <c r="Z90" s="220">
        <f>Buildings_Water_Frontend[[#This Row],[Methodology]]</f>
        <v>0</v>
      </c>
      <c r="AA90" s="229" t="e" cm="1">
        <f t="array" ref="AA90">INDEX(_xlfn.SWITCH(Buildings_Water_Backend[[#This Row],[Methodology]],"Tier 1",rng_RSD1,"Tier 2",rng_RSD2,"Tier 3",rng_RSD3),MATCH(_xlfn.CONCAT(Buildings_Water_Backend[[#This Row],[Level 1]:[Level 6]]),rng_LevelsConcat,0))</f>
        <v>#N/A</v>
      </c>
      <c r="AB90" s="224">
        <f>Buildings_Water_Frontend[[#This Row],[Data]]</f>
        <v>0</v>
      </c>
      <c r="AC90" s="174">
        <f>Buildings_Water_Frontend[[#This Row],[Units]]</f>
        <v>0</v>
      </c>
      <c r="AD90" s="220" t="e">
        <f>IF(Buildings_Water_Backend[[#This Row],[Units]]=Buildings_Water_Backend[[#This Row],[Standard units]],Buildings_Water_Backend[[#This Row],[Data]],Buildings_Water_Backend[[#This Row],[Data]]*_xlfn.XLOOKUP(_xlfn.CONCAT(Buildings_Water_Backend[[#This Row],[Level 1]:[Level 6]]),rng_EFConcat,rng_EFConversion))</f>
        <v>#N/A</v>
      </c>
      <c r="AE90" s="174" t="e" cm="1">
        <f t="array" ref="AE90">_xlfn.XLOOKUP(_xlfn.CONCAT(Buildings_Water_Backend[[#This Row],[Level 1]:[Level 6]]),rng_LevelsConcat,rng_UnitsLong)</f>
        <v>#N/A</v>
      </c>
      <c r="AF90" s="210" t="e">
        <f>_xlfn.XLOOKUP(_xlfn.CONCAT(Buildings_Water_Backend[[#This Row],[Level 1]:[Level 6]]),rng_EFConcat,rng_EF1)*Buildings_Water_Backend[[#This Row],[Converted data]]/1000</f>
        <v>#N/A</v>
      </c>
      <c r="AG90" s="210" t="e">
        <f>_xlfn.XLOOKUP(_xlfn.CONCAT(Buildings_Water_Backend[[#This Row],[Level 1]:[Level 6]]),rng_EFConcat,rng_EF2)*Buildings_Water_Backend[[#This Row],[Converted data]]/1000</f>
        <v>#N/A</v>
      </c>
      <c r="AH90" s="210" t="e">
        <f>_xlfn.XLOOKUP(_xlfn.CONCAT(Buildings_Water_Backend[[#This Row],[Level 1]:[Level 6]]),rng_EFConcat,rng_EF3)*Buildings_Water_Backend[[#This Row],[Converted data]]/1000</f>
        <v>#N/A</v>
      </c>
      <c r="AI90" s="210" t="e">
        <f>_xlfn.XLOOKUP(_xlfn.CONCAT(Buildings_Water_Backend[[#This Row],[Level 1]:[Level 6]]),rng_EFConcat,rng_EF3WTT)*Buildings_Water_Backend[[#This Row],[Converted data]]/1000</f>
        <v>#N/A</v>
      </c>
      <c r="AJ90" s="210" t="e">
        <f>_xlfn.XLOOKUP(_xlfn.CONCAT(Buildings_Water_Backend[[#This Row],[Level 1]:[Level 6]]),rng_EFConcat,rng_EF3TD)*Buildings_Water_Backend[[#This Row],[Converted data]]/1000</f>
        <v>#N/A</v>
      </c>
      <c r="AK90" s="210" t="e">
        <f>_xlfn.XLOOKUP(_xlfn.CONCAT(Buildings_Water_Backend[[#This Row],[Level 1]:[Level 6]]),rng_EFConcat,rng_EF3WTTTD)*Buildings_Water_Backend[[#This Row],[Converted data]]/1000</f>
        <v>#N/A</v>
      </c>
      <c r="AL90" s="220" t="e">
        <f>SUM(Buildings_Water_Backend[[#This Row],[Scope 1 (tCO2e)]:[Scope 3 WTT T&amp;D (tCO2e)]])</f>
        <v>#N/A</v>
      </c>
      <c r="AM90" s="220" t="e">
        <f>Buildings_Water_Backend[[#This Row],[Total (tCO2e)]]*(1-Buildings_Water_Backend[[#This Row],[RSD]])</f>
        <v>#N/A</v>
      </c>
      <c r="AN90" s="220" t="e">
        <f>Buildings_Water_Backend[[#This Row],[Total (tCO2e)]]*(1+Buildings_Water_Backend[[#This Row],[RSD]])</f>
        <v>#N/A</v>
      </c>
      <c r="AO90" s="210" t="e">
        <f>_xlfn.XLOOKUP(_xlfn.CONCAT(Buildings_Water_Backend[[#This Row],[Level 1]:[Level 6]]),rng_EFConcat,rng_EFOOS)*Buildings_Water_Backend[[#This Row],[Converted data]]/1000</f>
        <v>#N/A</v>
      </c>
      <c r="AP90" s="174">
        <f>Buildings_Water_Frontend[[#This Row],[Ease of collection]]</f>
        <v>0</v>
      </c>
      <c r="AQ90" s="174">
        <f>Buildings_Water_Frontend[[#This Row],[Completeness]]</f>
        <v>0</v>
      </c>
      <c r="AR90" s="174">
        <f>Buildings_Water_Frontend[[#This Row],[Notes]]</f>
        <v>0</v>
      </c>
    </row>
    <row r="91" spans="5:44" x14ac:dyDescent="0.3">
      <c r="E91" s="346"/>
      <c r="F91" s="364"/>
      <c r="G91" s="336"/>
      <c r="H91" s="336"/>
      <c r="I91" s="334"/>
      <c r="J91" s="336"/>
      <c r="K91" s="336"/>
      <c r="L91" s="336"/>
      <c r="M91" s="337"/>
      <c r="N91" s="242">
        <f t="shared" si="3"/>
        <v>5</v>
      </c>
      <c r="Q91" s="212" t="str">
        <f t="shared" si="2"/>
        <v/>
      </c>
      <c r="R91" s="174" t="s">
        <v>265</v>
      </c>
      <c r="S91" s="174" t="s">
        <v>273</v>
      </c>
      <c r="T91" s="174" t="e">
        <f>_xlfn.XLOOKUP(Buildings_Water_Backend[[#This Row],[Info 1]],Buildings_SiteInfo[Site name],Buildings_SiteInfo[Site type])</f>
        <v>#N/A</v>
      </c>
      <c r="U91" s="174" t="s">
        <v>327</v>
      </c>
      <c r="V91" s="174">
        <f>Buildings_Water_Frontend[[#This Row],[Type]]</f>
        <v>0</v>
      </c>
      <c r="W91" s="174" t="e" cm="1">
        <f t="array" aca="1" ref="W91" ca="1">_xlfn.XLOOKUP(Buildings_Water_Backend[[#This Row],[Level 5]],rng_Level5Long,rng_Level6Long)</f>
        <v>#N/A</v>
      </c>
      <c r="X91" s="174">
        <f>Buildings_Water_Frontend[[#This Row],[Site Name]]</f>
        <v>0</v>
      </c>
      <c r="Y91" s="174">
        <f>Buildings_Water_Frontend[[#This Row],[Meter Reference]]</f>
        <v>0</v>
      </c>
      <c r="Z91" s="220">
        <f>Buildings_Water_Frontend[[#This Row],[Methodology]]</f>
        <v>0</v>
      </c>
      <c r="AA91" s="229" t="e" cm="1">
        <f t="array" ref="AA91">INDEX(_xlfn.SWITCH(Buildings_Water_Backend[[#This Row],[Methodology]],"Tier 1",rng_RSD1,"Tier 2",rng_RSD2,"Tier 3",rng_RSD3),MATCH(_xlfn.CONCAT(Buildings_Water_Backend[[#This Row],[Level 1]:[Level 6]]),rng_LevelsConcat,0))</f>
        <v>#N/A</v>
      </c>
      <c r="AB91" s="224">
        <f>Buildings_Water_Frontend[[#This Row],[Data]]</f>
        <v>0</v>
      </c>
      <c r="AC91" s="174">
        <f>Buildings_Water_Frontend[[#This Row],[Units]]</f>
        <v>0</v>
      </c>
      <c r="AD91" s="220" t="e">
        <f>IF(Buildings_Water_Backend[[#This Row],[Units]]=Buildings_Water_Backend[[#This Row],[Standard units]],Buildings_Water_Backend[[#This Row],[Data]],Buildings_Water_Backend[[#This Row],[Data]]*_xlfn.XLOOKUP(_xlfn.CONCAT(Buildings_Water_Backend[[#This Row],[Level 1]:[Level 6]]),rng_EFConcat,rng_EFConversion))</f>
        <v>#N/A</v>
      </c>
      <c r="AE91" s="174" t="e" cm="1">
        <f t="array" ref="AE91">_xlfn.XLOOKUP(_xlfn.CONCAT(Buildings_Water_Backend[[#This Row],[Level 1]:[Level 6]]),rng_LevelsConcat,rng_UnitsLong)</f>
        <v>#N/A</v>
      </c>
      <c r="AF91" s="210" t="e">
        <f>_xlfn.XLOOKUP(_xlfn.CONCAT(Buildings_Water_Backend[[#This Row],[Level 1]:[Level 6]]),rng_EFConcat,rng_EF1)*Buildings_Water_Backend[[#This Row],[Converted data]]/1000</f>
        <v>#N/A</v>
      </c>
      <c r="AG91" s="210" t="e">
        <f>_xlfn.XLOOKUP(_xlfn.CONCAT(Buildings_Water_Backend[[#This Row],[Level 1]:[Level 6]]),rng_EFConcat,rng_EF2)*Buildings_Water_Backend[[#This Row],[Converted data]]/1000</f>
        <v>#N/A</v>
      </c>
      <c r="AH91" s="210" t="e">
        <f>_xlfn.XLOOKUP(_xlfn.CONCAT(Buildings_Water_Backend[[#This Row],[Level 1]:[Level 6]]),rng_EFConcat,rng_EF3)*Buildings_Water_Backend[[#This Row],[Converted data]]/1000</f>
        <v>#N/A</v>
      </c>
      <c r="AI91" s="210" t="e">
        <f>_xlfn.XLOOKUP(_xlfn.CONCAT(Buildings_Water_Backend[[#This Row],[Level 1]:[Level 6]]),rng_EFConcat,rng_EF3WTT)*Buildings_Water_Backend[[#This Row],[Converted data]]/1000</f>
        <v>#N/A</v>
      </c>
      <c r="AJ91" s="210" t="e">
        <f>_xlfn.XLOOKUP(_xlfn.CONCAT(Buildings_Water_Backend[[#This Row],[Level 1]:[Level 6]]),rng_EFConcat,rng_EF3TD)*Buildings_Water_Backend[[#This Row],[Converted data]]/1000</f>
        <v>#N/A</v>
      </c>
      <c r="AK91" s="210" t="e">
        <f>_xlfn.XLOOKUP(_xlfn.CONCAT(Buildings_Water_Backend[[#This Row],[Level 1]:[Level 6]]),rng_EFConcat,rng_EF3WTTTD)*Buildings_Water_Backend[[#This Row],[Converted data]]/1000</f>
        <v>#N/A</v>
      </c>
      <c r="AL91" s="220" t="e">
        <f>SUM(Buildings_Water_Backend[[#This Row],[Scope 1 (tCO2e)]:[Scope 3 WTT T&amp;D (tCO2e)]])</f>
        <v>#N/A</v>
      </c>
      <c r="AM91" s="220" t="e">
        <f>Buildings_Water_Backend[[#This Row],[Total (tCO2e)]]*(1-Buildings_Water_Backend[[#This Row],[RSD]])</f>
        <v>#N/A</v>
      </c>
      <c r="AN91" s="220" t="e">
        <f>Buildings_Water_Backend[[#This Row],[Total (tCO2e)]]*(1+Buildings_Water_Backend[[#This Row],[RSD]])</f>
        <v>#N/A</v>
      </c>
      <c r="AO91" s="210" t="e">
        <f>_xlfn.XLOOKUP(_xlfn.CONCAT(Buildings_Water_Backend[[#This Row],[Level 1]:[Level 6]]),rng_EFConcat,rng_EFOOS)*Buildings_Water_Backend[[#This Row],[Converted data]]/1000</f>
        <v>#N/A</v>
      </c>
      <c r="AP91" s="174">
        <f>Buildings_Water_Frontend[[#This Row],[Ease of collection]]</f>
        <v>0</v>
      </c>
      <c r="AQ91" s="174">
        <f>Buildings_Water_Frontend[[#This Row],[Completeness]]</f>
        <v>0</v>
      </c>
      <c r="AR91" s="174">
        <f>Buildings_Water_Frontend[[#This Row],[Notes]]</f>
        <v>0</v>
      </c>
    </row>
    <row r="92" spans="5:44" x14ac:dyDescent="0.3">
      <c r="E92" s="346"/>
      <c r="F92" s="364"/>
      <c r="G92" s="336"/>
      <c r="H92" s="336"/>
      <c r="I92" s="334"/>
      <c r="J92" s="336"/>
      <c r="K92" s="336"/>
      <c r="L92" s="336"/>
      <c r="M92" s="337"/>
      <c r="N92" s="242">
        <f t="shared" si="3"/>
        <v>5</v>
      </c>
      <c r="Q92" s="212" t="str">
        <f t="shared" si="2"/>
        <v/>
      </c>
      <c r="R92" s="174" t="s">
        <v>265</v>
      </c>
      <c r="S92" s="174" t="s">
        <v>273</v>
      </c>
      <c r="T92" s="174" t="e">
        <f>_xlfn.XLOOKUP(Buildings_Water_Backend[[#This Row],[Info 1]],Buildings_SiteInfo[Site name],Buildings_SiteInfo[Site type])</f>
        <v>#N/A</v>
      </c>
      <c r="U92" s="174" t="s">
        <v>327</v>
      </c>
      <c r="V92" s="174">
        <f>Buildings_Water_Frontend[[#This Row],[Type]]</f>
        <v>0</v>
      </c>
      <c r="W92" s="174" t="e" cm="1">
        <f t="array" aca="1" ref="W92" ca="1">_xlfn.XLOOKUP(Buildings_Water_Backend[[#This Row],[Level 5]],rng_Level5Long,rng_Level6Long)</f>
        <v>#N/A</v>
      </c>
      <c r="X92" s="174">
        <f>Buildings_Water_Frontend[[#This Row],[Site Name]]</f>
        <v>0</v>
      </c>
      <c r="Y92" s="174">
        <f>Buildings_Water_Frontend[[#This Row],[Meter Reference]]</f>
        <v>0</v>
      </c>
      <c r="Z92" s="220">
        <f>Buildings_Water_Frontend[[#This Row],[Methodology]]</f>
        <v>0</v>
      </c>
      <c r="AA92" s="229" t="e" cm="1">
        <f t="array" ref="AA92">INDEX(_xlfn.SWITCH(Buildings_Water_Backend[[#This Row],[Methodology]],"Tier 1",rng_RSD1,"Tier 2",rng_RSD2,"Tier 3",rng_RSD3),MATCH(_xlfn.CONCAT(Buildings_Water_Backend[[#This Row],[Level 1]:[Level 6]]),rng_LevelsConcat,0))</f>
        <v>#N/A</v>
      </c>
      <c r="AB92" s="224">
        <f>Buildings_Water_Frontend[[#This Row],[Data]]</f>
        <v>0</v>
      </c>
      <c r="AC92" s="174">
        <f>Buildings_Water_Frontend[[#This Row],[Units]]</f>
        <v>0</v>
      </c>
      <c r="AD92" s="220" t="e">
        <f>IF(Buildings_Water_Backend[[#This Row],[Units]]=Buildings_Water_Backend[[#This Row],[Standard units]],Buildings_Water_Backend[[#This Row],[Data]],Buildings_Water_Backend[[#This Row],[Data]]*_xlfn.XLOOKUP(_xlfn.CONCAT(Buildings_Water_Backend[[#This Row],[Level 1]:[Level 6]]),rng_EFConcat,rng_EFConversion))</f>
        <v>#N/A</v>
      </c>
      <c r="AE92" s="174" t="e" cm="1">
        <f t="array" ref="AE92">_xlfn.XLOOKUP(_xlfn.CONCAT(Buildings_Water_Backend[[#This Row],[Level 1]:[Level 6]]),rng_LevelsConcat,rng_UnitsLong)</f>
        <v>#N/A</v>
      </c>
      <c r="AF92" s="210" t="e">
        <f>_xlfn.XLOOKUP(_xlfn.CONCAT(Buildings_Water_Backend[[#This Row],[Level 1]:[Level 6]]),rng_EFConcat,rng_EF1)*Buildings_Water_Backend[[#This Row],[Converted data]]/1000</f>
        <v>#N/A</v>
      </c>
      <c r="AG92" s="210" t="e">
        <f>_xlfn.XLOOKUP(_xlfn.CONCAT(Buildings_Water_Backend[[#This Row],[Level 1]:[Level 6]]),rng_EFConcat,rng_EF2)*Buildings_Water_Backend[[#This Row],[Converted data]]/1000</f>
        <v>#N/A</v>
      </c>
      <c r="AH92" s="210" t="e">
        <f>_xlfn.XLOOKUP(_xlfn.CONCAT(Buildings_Water_Backend[[#This Row],[Level 1]:[Level 6]]),rng_EFConcat,rng_EF3)*Buildings_Water_Backend[[#This Row],[Converted data]]/1000</f>
        <v>#N/A</v>
      </c>
      <c r="AI92" s="210" t="e">
        <f>_xlfn.XLOOKUP(_xlfn.CONCAT(Buildings_Water_Backend[[#This Row],[Level 1]:[Level 6]]),rng_EFConcat,rng_EF3WTT)*Buildings_Water_Backend[[#This Row],[Converted data]]/1000</f>
        <v>#N/A</v>
      </c>
      <c r="AJ92" s="210" t="e">
        <f>_xlfn.XLOOKUP(_xlfn.CONCAT(Buildings_Water_Backend[[#This Row],[Level 1]:[Level 6]]),rng_EFConcat,rng_EF3TD)*Buildings_Water_Backend[[#This Row],[Converted data]]/1000</f>
        <v>#N/A</v>
      </c>
      <c r="AK92" s="210" t="e">
        <f>_xlfn.XLOOKUP(_xlfn.CONCAT(Buildings_Water_Backend[[#This Row],[Level 1]:[Level 6]]),rng_EFConcat,rng_EF3WTTTD)*Buildings_Water_Backend[[#This Row],[Converted data]]/1000</f>
        <v>#N/A</v>
      </c>
      <c r="AL92" s="220" t="e">
        <f>SUM(Buildings_Water_Backend[[#This Row],[Scope 1 (tCO2e)]:[Scope 3 WTT T&amp;D (tCO2e)]])</f>
        <v>#N/A</v>
      </c>
      <c r="AM92" s="220" t="e">
        <f>Buildings_Water_Backend[[#This Row],[Total (tCO2e)]]*(1-Buildings_Water_Backend[[#This Row],[RSD]])</f>
        <v>#N/A</v>
      </c>
      <c r="AN92" s="220" t="e">
        <f>Buildings_Water_Backend[[#This Row],[Total (tCO2e)]]*(1+Buildings_Water_Backend[[#This Row],[RSD]])</f>
        <v>#N/A</v>
      </c>
      <c r="AO92" s="210" t="e">
        <f>_xlfn.XLOOKUP(_xlfn.CONCAT(Buildings_Water_Backend[[#This Row],[Level 1]:[Level 6]]),rng_EFConcat,rng_EFOOS)*Buildings_Water_Backend[[#This Row],[Converted data]]/1000</f>
        <v>#N/A</v>
      </c>
      <c r="AP92" s="174">
        <f>Buildings_Water_Frontend[[#This Row],[Ease of collection]]</f>
        <v>0</v>
      </c>
      <c r="AQ92" s="174">
        <f>Buildings_Water_Frontend[[#This Row],[Completeness]]</f>
        <v>0</v>
      </c>
      <c r="AR92" s="174">
        <f>Buildings_Water_Frontend[[#This Row],[Notes]]</f>
        <v>0</v>
      </c>
    </row>
    <row r="93" spans="5:44" x14ac:dyDescent="0.3">
      <c r="E93" s="346"/>
      <c r="F93" s="364"/>
      <c r="G93" s="336"/>
      <c r="H93" s="336"/>
      <c r="I93" s="334"/>
      <c r="J93" s="336"/>
      <c r="K93" s="336"/>
      <c r="L93" s="336"/>
      <c r="M93" s="337"/>
      <c r="N93" s="242">
        <f t="shared" si="3"/>
        <v>5</v>
      </c>
      <c r="Q93" s="212" t="str">
        <f t="shared" si="2"/>
        <v/>
      </c>
      <c r="R93" s="174" t="s">
        <v>265</v>
      </c>
      <c r="S93" s="174" t="s">
        <v>273</v>
      </c>
      <c r="T93" s="174" t="e">
        <f>_xlfn.XLOOKUP(Buildings_Water_Backend[[#This Row],[Info 1]],Buildings_SiteInfo[Site name],Buildings_SiteInfo[Site type])</f>
        <v>#N/A</v>
      </c>
      <c r="U93" s="174" t="s">
        <v>327</v>
      </c>
      <c r="V93" s="174">
        <f>Buildings_Water_Frontend[[#This Row],[Type]]</f>
        <v>0</v>
      </c>
      <c r="W93" s="174" t="e" cm="1">
        <f t="array" aca="1" ref="W93" ca="1">_xlfn.XLOOKUP(Buildings_Water_Backend[[#This Row],[Level 5]],rng_Level5Long,rng_Level6Long)</f>
        <v>#N/A</v>
      </c>
      <c r="X93" s="174">
        <f>Buildings_Water_Frontend[[#This Row],[Site Name]]</f>
        <v>0</v>
      </c>
      <c r="Y93" s="174">
        <f>Buildings_Water_Frontend[[#This Row],[Meter Reference]]</f>
        <v>0</v>
      </c>
      <c r="Z93" s="220">
        <f>Buildings_Water_Frontend[[#This Row],[Methodology]]</f>
        <v>0</v>
      </c>
      <c r="AA93" s="229" t="e" cm="1">
        <f t="array" ref="AA93">INDEX(_xlfn.SWITCH(Buildings_Water_Backend[[#This Row],[Methodology]],"Tier 1",rng_RSD1,"Tier 2",rng_RSD2,"Tier 3",rng_RSD3),MATCH(_xlfn.CONCAT(Buildings_Water_Backend[[#This Row],[Level 1]:[Level 6]]),rng_LevelsConcat,0))</f>
        <v>#N/A</v>
      </c>
      <c r="AB93" s="224">
        <f>Buildings_Water_Frontend[[#This Row],[Data]]</f>
        <v>0</v>
      </c>
      <c r="AC93" s="174">
        <f>Buildings_Water_Frontend[[#This Row],[Units]]</f>
        <v>0</v>
      </c>
      <c r="AD93" s="220" t="e">
        <f>IF(Buildings_Water_Backend[[#This Row],[Units]]=Buildings_Water_Backend[[#This Row],[Standard units]],Buildings_Water_Backend[[#This Row],[Data]],Buildings_Water_Backend[[#This Row],[Data]]*_xlfn.XLOOKUP(_xlfn.CONCAT(Buildings_Water_Backend[[#This Row],[Level 1]:[Level 6]]),rng_EFConcat,rng_EFConversion))</f>
        <v>#N/A</v>
      </c>
      <c r="AE93" s="174" t="e" cm="1">
        <f t="array" ref="AE93">_xlfn.XLOOKUP(_xlfn.CONCAT(Buildings_Water_Backend[[#This Row],[Level 1]:[Level 6]]),rng_LevelsConcat,rng_UnitsLong)</f>
        <v>#N/A</v>
      </c>
      <c r="AF93" s="210" t="e">
        <f>_xlfn.XLOOKUP(_xlfn.CONCAT(Buildings_Water_Backend[[#This Row],[Level 1]:[Level 6]]),rng_EFConcat,rng_EF1)*Buildings_Water_Backend[[#This Row],[Converted data]]/1000</f>
        <v>#N/A</v>
      </c>
      <c r="AG93" s="210" t="e">
        <f>_xlfn.XLOOKUP(_xlfn.CONCAT(Buildings_Water_Backend[[#This Row],[Level 1]:[Level 6]]),rng_EFConcat,rng_EF2)*Buildings_Water_Backend[[#This Row],[Converted data]]/1000</f>
        <v>#N/A</v>
      </c>
      <c r="AH93" s="210" t="e">
        <f>_xlfn.XLOOKUP(_xlfn.CONCAT(Buildings_Water_Backend[[#This Row],[Level 1]:[Level 6]]),rng_EFConcat,rng_EF3)*Buildings_Water_Backend[[#This Row],[Converted data]]/1000</f>
        <v>#N/A</v>
      </c>
      <c r="AI93" s="210" t="e">
        <f>_xlfn.XLOOKUP(_xlfn.CONCAT(Buildings_Water_Backend[[#This Row],[Level 1]:[Level 6]]),rng_EFConcat,rng_EF3WTT)*Buildings_Water_Backend[[#This Row],[Converted data]]/1000</f>
        <v>#N/A</v>
      </c>
      <c r="AJ93" s="210" t="e">
        <f>_xlfn.XLOOKUP(_xlfn.CONCAT(Buildings_Water_Backend[[#This Row],[Level 1]:[Level 6]]),rng_EFConcat,rng_EF3TD)*Buildings_Water_Backend[[#This Row],[Converted data]]/1000</f>
        <v>#N/A</v>
      </c>
      <c r="AK93" s="210" t="e">
        <f>_xlfn.XLOOKUP(_xlfn.CONCAT(Buildings_Water_Backend[[#This Row],[Level 1]:[Level 6]]),rng_EFConcat,rng_EF3WTTTD)*Buildings_Water_Backend[[#This Row],[Converted data]]/1000</f>
        <v>#N/A</v>
      </c>
      <c r="AL93" s="220" t="e">
        <f>SUM(Buildings_Water_Backend[[#This Row],[Scope 1 (tCO2e)]:[Scope 3 WTT T&amp;D (tCO2e)]])</f>
        <v>#N/A</v>
      </c>
      <c r="AM93" s="220" t="e">
        <f>Buildings_Water_Backend[[#This Row],[Total (tCO2e)]]*(1-Buildings_Water_Backend[[#This Row],[RSD]])</f>
        <v>#N/A</v>
      </c>
      <c r="AN93" s="220" t="e">
        <f>Buildings_Water_Backend[[#This Row],[Total (tCO2e)]]*(1+Buildings_Water_Backend[[#This Row],[RSD]])</f>
        <v>#N/A</v>
      </c>
      <c r="AO93" s="210" t="e">
        <f>_xlfn.XLOOKUP(_xlfn.CONCAT(Buildings_Water_Backend[[#This Row],[Level 1]:[Level 6]]),rng_EFConcat,rng_EFOOS)*Buildings_Water_Backend[[#This Row],[Converted data]]/1000</f>
        <v>#N/A</v>
      </c>
      <c r="AP93" s="174">
        <f>Buildings_Water_Frontend[[#This Row],[Ease of collection]]</f>
        <v>0</v>
      </c>
      <c r="AQ93" s="174">
        <f>Buildings_Water_Frontend[[#This Row],[Completeness]]</f>
        <v>0</v>
      </c>
      <c r="AR93" s="174">
        <f>Buildings_Water_Frontend[[#This Row],[Notes]]</f>
        <v>0</v>
      </c>
    </row>
    <row r="94" spans="5:44" x14ac:dyDescent="0.3">
      <c r="E94" s="346"/>
      <c r="F94" s="364"/>
      <c r="G94" s="336"/>
      <c r="H94" s="336"/>
      <c r="I94" s="334"/>
      <c r="J94" s="336"/>
      <c r="K94" s="336"/>
      <c r="L94" s="336"/>
      <c r="M94" s="337"/>
      <c r="N94" s="242">
        <f t="shared" si="3"/>
        <v>5</v>
      </c>
      <c r="Q94" s="212" t="str">
        <f t="shared" si="2"/>
        <v/>
      </c>
      <c r="R94" s="174" t="s">
        <v>265</v>
      </c>
      <c r="S94" s="174" t="s">
        <v>273</v>
      </c>
      <c r="T94" s="174" t="e">
        <f>_xlfn.XLOOKUP(Buildings_Water_Backend[[#This Row],[Info 1]],Buildings_SiteInfo[Site name],Buildings_SiteInfo[Site type])</f>
        <v>#N/A</v>
      </c>
      <c r="U94" s="174" t="s">
        <v>327</v>
      </c>
      <c r="V94" s="174">
        <f>Buildings_Water_Frontend[[#This Row],[Type]]</f>
        <v>0</v>
      </c>
      <c r="W94" s="174" t="e" cm="1">
        <f t="array" aca="1" ref="W94" ca="1">_xlfn.XLOOKUP(Buildings_Water_Backend[[#This Row],[Level 5]],rng_Level5Long,rng_Level6Long)</f>
        <v>#N/A</v>
      </c>
      <c r="X94" s="174">
        <f>Buildings_Water_Frontend[[#This Row],[Site Name]]</f>
        <v>0</v>
      </c>
      <c r="Y94" s="174">
        <f>Buildings_Water_Frontend[[#This Row],[Meter Reference]]</f>
        <v>0</v>
      </c>
      <c r="Z94" s="220">
        <f>Buildings_Water_Frontend[[#This Row],[Methodology]]</f>
        <v>0</v>
      </c>
      <c r="AA94" s="229" t="e" cm="1">
        <f t="array" ref="AA94">INDEX(_xlfn.SWITCH(Buildings_Water_Backend[[#This Row],[Methodology]],"Tier 1",rng_RSD1,"Tier 2",rng_RSD2,"Tier 3",rng_RSD3),MATCH(_xlfn.CONCAT(Buildings_Water_Backend[[#This Row],[Level 1]:[Level 6]]),rng_LevelsConcat,0))</f>
        <v>#N/A</v>
      </c>
      <c r="AB94" s="224">
        <f>Buildings_Water_Frontend[[#This Row],[Data]]</f>
        <v>0</v>
      </c>
      <c r="AC94" s="174">
        <f>Buildings_Water_Frontend[[#This Row],[Units]]</f>
        <v>0</v>
      </c>
      <c r="AD94" s="220" t="e">
        <f>IF(Buildings_Water_Backend[[#This Row],[Units]]=Buildings_Water_Backend[[#This Row],[Standard units]],Buildings_Water_Backend[[#This Row],[Data]],Buildings_Water_Backend[[#This Row],[Data]]*_xlfn.XLOOKUP(_xlfn.CONCAT(Buildings_Water_Backend[[#This Row],[Level 1]:[Level 6]]),rng_EFConcat,rng_EFConversion))</f>
        <v>#N/A</v>
      </c>
      <c r="AE94" s="174" t="e" cm="1">
        <f t="array" ref="AE94">_xlfn.XLOOKUP(_xlfn.CONCAT(Buildings_Water_Backend[[#This Row],[Level 1]:[Level 6]]),rng_LevelsConcat,rng_UnitsLong)</f>
        <v>#N/A</v>
      </c>
      <c r="AF94" s="210" t="e">
        <f>_xlfn.XLOOKUP(_xlfn.CONCAT(Buildings_Water_Backend[[#This Row],[Level 1]:[Level 6]]),rng_EFConcat,rng_EF1)*Buildings_Water_Backend[[#This Row],[Converted data]]/1000</f>
        <v>#N/A</v>
      </c>
      <c r="AG94" s="210" t="e">
        <f>_xlfn.XLOOKUP(_xlfn.CONCAT(Buildings_Water_Backend[[#This Row],[Level 1]:[Level 6]]),rng_EFConcat,rng_EF2)*Buildings_Water_Backend[[#This Row],[Converted data]]/1000</f>
        <v>#N/A</v>
      </c>
      <c r="AH94" s="210" t="e">
        <f>_xlfn.XLOOKUP(_xlfn.CONCAT(Buildings_Water_Backend[[#This Row],[Level 1]:[Level 6]]),rng_EFConcat,rng_EF3)*Buildings_Water_Backend[[#This Row],[Converted data]]/1000</f>
        <v>#N/A</v>
      </c>
      <c r="AI94" s="210" t="e">
        <f>_xlfn.XLOOKUP(_xlfn.CONCAT(Buildings_Water_Backend[[#This Row],[Level 1]:[Level 6]]),rng_EFConcat,rng_EF3WTT)*Buildings_Water_Backend[[#This Row],[Converted data]]/1000</f>
        <v>#N/A</v>
      </c>
      <c r="AJ94" s="210" t="e">
        <f>_xlfn.XLOOKUP(_xlfn.CONCAT(Buildings_Water_Backend[[#This Row],[Level 1]:[Level 6]]),rng_EFConcat,rng_EF3TD)*Buildings_Water_Backend[[#This Row],[Converted data]]/1000</f>
        <v>#N/A</v>
      </c>
      <c r="AK94" s="210" t="e">
        <f>_xlfn.XLOOKUP(_xlfn.CONCAT(Buildings_Water_Backend[[#This Row],[Level 1]:[Level 6]]),rng_EFConcat,rng_EF3WTTTD)*Buildings_Water_Backend[[#This Row],[Converted data]]/1000</f>
        <v>#N/A</v>
      </c>
      <c r="AL94" s="220" t="e">
        <f>SUM(Buildings_Water_Backend[[#This Row],[Scope 1 (tCO2e)]:[Scope 3 WTT T&amp;D (tCO2e)]])</f>
        <v>#N/A</v>
      </c>
      <c r="AM94" s="220" t="e">
        <f>Buildings_Water_Backend[[#This Row],[Total (tCO2e)]]*(1-Buildings_Water_Backend[[#This Row],[RSD]])</f>
        <v>#N/A</v>
      </c>
      <c r="AN94" s="220" t="e">
        <f>Buildings_Water_Backend[[#This Row],[Total (tCO2e)]]*(1+Buildings_Water_Backend[[#This Row],[RSD]])</f>
        <v>#N/A</v>
      </c>
      <c r="AO94" s="210" t="e">
        <f>_xlfn.XLOOKUP(_xlfn.CONCAT(Buildings_Water_Backend[[#This Row],[Level 1]:[Level 6]]),rng_EFConcat,rng_EFOOS)*Buildings_Water_Backend[[#This Row],[Converted data]]/1000</f>
        <v>#N/A</v>
      </c>
      <c r="AP94" s="174">
        <f>Buildings_Water_Frontend[[#This Row],[Ease of collection]]</f>
        <v>0</v>
      </c>
      <c r="AQ94" s="174">
        <f>Buildings_Water_Frontend[[#This Row],[Completeness]]</f>
        <v>0</v>
      </c>
      <c r="AR94" s="174">
        <f>Buildings_Water_Frontend[[#This Row],[Notes]]</f>
        <v>0</v>
      </c>
    </row>
    <row r="95" spans="5:44" x14ac:dyDescent="0.3">
      <c r="E95" s="346"/>
      <c r="F95" s="364"/>
      <c r="G95" s="336"/>
      <c r="H95" s="336"/>
      <c r="I95" s="334"/>
      <c r="J95" s="336"/>
      <c r="K95" s="336"/>
      <c r="L95" s="336"/>
      <c r="M95" s="337"/>
      <c r="N95" s="242">
        <f t="shared" si="3"/>
        <v>5</v>
      </c>
      <c r="Q95" s="212" t="str">
        <f t="shared" si="2"/>
        <v/>
      </c>
      <c r="R95" s="174" t="s">
        <v>265</v>
      </c>
      <c r="S95" s="174" t="s">
        <v>273</v>
      </c>
      <c r="T95" s="174" t="e">
        <f>_xlfn.XLOOKUP(Buildings_Water_Backend[[#This Row],[Info 1]],Buildings_SiteInfo[Site name],Buildings_SiteInfo[Site type])</f>
        <v>#N/A</v>
      </c>
      <c r="U95" s="174" t="s">
        <v>327</v>
      </c>
      <c r="V95" s="174">
        <f>Buildings_Water_Frontend[[#This Row],[Type]]</f>
        <v>0</v>
      </c>
      <c r="W95" s="174" t="e" cm="1">
        <f t="array" aca="1" ref="W95" ca="1">_xlfn.XLOOKUP(Buildings_Water_Backend[[#This Row],[Level 5]],rng_Level5Long,rng_Level6Long)</f>
        <v>#N/A</v>
      </c>
      <c r="X95" s="174">
        <f>Buildings_Water_Frontend[[#This Row],[Site Name]]</f>
        <v>0</v>
      </c>
      <c r="Y95" s="174">
        <f>Buildings_Water_Frontend[[#This Row],[Meter Reference]]</f>
        <v>0</v>
      </c>
      <c r="Z95" s="220">
        <f>Buildings_Water_Frontend[[#This Row],[Methodology]]</f>
        <v>0</v>
      </c>
      <c r="AA95" s="229" t="e" cm="1">
        <f t="array" ref="AA95">INDEX(_xlfn.SWITCH(Buildings_Water_Backend[[#This Row],[Methodology]],"Tier 1",rng_RSD1,"Tier 2",rng_RSD2,"Tier 3",rng_RSD3),MATCH(_xlfn.CONCAT(Buildings_Water_Backend[[#This Row],[Level 1]:[Level 6]]),rng_LevelsConcat,0))</f>
        <v>#N/A</v>
      </c>
      <c r="AB95" s="224">
        <f>Buildings_Water_Frontend[[#This Row],[Data]]</f>
        <v>0</v>
      </c>
      <c r="AC95" s="174">
        <f>Buildings_Water_Frontend[[#This Row],[Units]]</f>
        <v>0</v>
      </c>
      <c r="AD95" s="220" t="e">
        <f>IF(Buildings_Water_Backend[[#This Row],[Units]]=Buildings_Water_Backend[[#This Row],[Standard units]],Buildings_Water_Backend[[#This Row],[Data]],Buildings_Water_Backend[[#This Row],[Data]]*_xlfn.XLOOKUP(_xlfn.CONCAT(Buildings_Water_Backend[[#This Row],[Level 1]:[Level 6]]),rng_EFConcat,rng_EFConversion))</f>
        <v>#N/A</v>
      </c>
      <c r="AE95" s="174" t="e" cm="1">
        <f t="array" ref="AE95">_xlfn.XLOOKUP(_xlfn.CONCAT(Buildings_Water_Backend[[#This Row],[Level 1]:[Level 6]]),rng_LevelsConcat,rng_UnitsLong)</f>
        <v>#N/A</v>
      </c>
      <c r="AF95" s="210" t="e">
        <f>_xlfn.XLOOKUP(_xlfn.CONCAT(Buildings_Water_Backend[[#This Row],[Level 1]:[Level 6]]),rng_EFConcat,rng_EF1)*Buildings_Water_Backend[[#This Row],[Converted data]]/1000</f>
        <v>#N/A</v>
      </c>
      <c r="AG95" s="210" t="e">
        <f>_xlfn.XLOOKUP(_xlfn.CONCAT(Buildings_Water_Backend[[#This Row],[Level 1]:[Level 6]]),rng_EFConcat,rng_EF2)*Buildings_Water_Backend[[#This Row],[Converted data]]/1000</f>
        <v>#N/A</v>
      </c>
      <c r="AH95" s="210" t="e">
        <f>_xlfn.XLOOKUP(_xlfn.CONCAT(Buildings_Water_Backend[[#This Row],[Level 1]:[Level 6]]),rng_EFConcat,rng_EF3)*Buildings_Water_Backend[[#This Row],[Converted data]]/1000</f>
        <v>#N/A</v>
      </c>
      <c r="AI95" s="210" t="e">
        <f>_xlfn.XLOOKUP(_xlfn.CONCAT(Buildings_Water_Backend[[#This Row],[Level 1]:[Level 6]]),rng_EFConcat,rng_EF3WTT)*Buildings_Water_Backend[[#This Row],[Converted data]]/1000</f>
        <v>#N/A</v>
      </c>
      <c r="AJ95" s="210" t="e">
        <f>_xlfn.XLOOKUP(_xlfn.CONCAT(Buildings_Water_Backend[[#This Row],[Level 1]:[Level 6]]),rng_EFConcat,rng_EF3TD)*Buildings_Water_Backend[[#This Row],[Converted data]]/1000</f>
        <v>#N/A</v>
      </c>
      <c r="AK95" s="210" t="e">
        <f>_xlfn.XLOOKUP(_xlfn.CONCAT(Buildings_Water_Backend[[#This Row],[Level 1]:[Level 6]]),rng_EFConcat,rng_EF3WTTTD)*Buildings_Water_Backend[[#This Row],[Converted data]]/1000</f>
        <v>#N/A</v>
      </c>
      <c r="AL95" s="220" t="e">
        <f>SUM(Buildings_Water_Backend[[#This Row],[Scope 1 (tCO2e)]:[Scope 3 WTT T&amp;D (tCO2e)]])</f>
        <v>#N/A</v>
      </c>
      <c r="AM95" s="220" t="e">
        <f>Buildings_Water_Backend[[#This Row],[Total (tCO2e)]]*(1-Buildings_Water_Backend[[#This Row],[RSD]])</f>
        <v>#N/A</v>
      </c>
      <c r="AN95" s="220" t="e">
        <f>Buildings_Water_Backend[[#This Row],[Total (tCO2e)]]*(1+Buildings_Water_Backend[[#This Row],[RSD]])</f>
        <v>#N/A</v>
      </c>
      <c r="AO95" s="210" t="e">
        <f>_xlfn.XLOOKUP(_xlfn.CONCAT(Buildings_Water_Backend[[#This Row],[Level 1]:[Level 6]]),rng_EFConcat,rng_EFOOS)*Buildings_Water_Backend[[#This Row],[Converted data]]/1000</f>
        <v>#N/A</v>
      </c>
      <c r="AP95" s="174">
        <f>Buildings_Water_Frontend[[#This Row],[Ease of collection]]</f>
        <v>0</v>
      </c>
      <c r="AQ95" s="174">
        <f>Buildings_Water_Frontend[[#This Row],[Completeness]]</f>
        <v>0</v>
      </c>
      <c r="AR95" s="174">
        <f>Buildings_Water_Frontend[[#This Row],[Notes]]</f>
        <v>0</v>
      </c>
    </row>
    <row r="96" spans="5:44" x14ac:dyDescent="0.3">
      <c r="E96" s="346"/>
      <c r="F96" s="364"/>
      <c r="G96" s="336"/>
      <c r="H96" s="336"/>
      <c r="I96" s="334"/>
      <c r="J96" s="336"/>
      <c r="K96" s="336"/>
      <c r="L96" s="336"/>
      <c r="M96" s="337"/>
      <c r="N96" s="242">
        <f t="shared" si="3"/>
        <v>5</v>
      </c>
      <c r="Q96" s="212" t="str">
        <f t="shared" si="2"/>
        <v/>
      </c>
      <c r="R96" s="174" t="s">
        <v>265</v>
      </c>
      <c r="S96" s="174" t="s">
        <v>273</v>
      </c>
      <c r="T96" s="174" t="e">
        <f>_xlfn.XLOOKUP(Buildings_Water_Backend[[#This Row],[Info 1]],Buildings_SiteInfo[Site name],Buildings_SiteInfo[Site type])</f>
        <v>#N/A</v>
      </c>
      <c r="U96" s="174" t="s">
        <v>327</v>
      </c>
      <c r="V96" s="174">
        <f>Buildings_Water_Frontend[[#This Row],[Type]]</f>
        <v>0</v>
      </c>
      <c r="W96" s="174" t="e" cm="1">
        <f t="array" aca="1" ref="W96" ca="1">_xlfn.XLOOKUP(Buildings_Water_Backend[[#This Row],[Level 5]],rng_Level5Long,rng_Level6Long)</f>
        <v>#N/A</v>
      </c>
      <c r="X96" s="174">
        <f>Buildings_Water_Frontend[[#This Row],[Site Name]]</f>
        <v>0</v>
      </c>
      <c r="Y96" s="174">
        <f>Buildings_Water_Frontend[[#This Row],[Meter Reference]]</f>
        <v>0</v>
      </c>
      <c r="Z96" s="220">
        <f>Buildings_Water_Frontend[[#This Row],[Methodology]]</f>
        <v>0</v>
      </c>
      <c r="AA96" s="229" t="e" cm="1">
        <f t="array" ref="AA96">INDEX(_xlfn.SWITCH(Buildings_Water_Backend[[#This Row],[Methodology]],"Tier 1",rng_RSD1,"Tier 2",rng_RSD2,"Tier 3",rng_RSD3),MATCH(_xlfn.CONCAT(Buildings_Water_Backend[[#This Row],[Level 1]:[Level 6]]),rng_LevelsConcat,0))</f>
        <v>#N/A</v>
      </c>
      <c r="AB96" s="224">
        <f>Buildings_Water_Frontend[[#This Row],[Data]]</f>
        <v>0</v>
      </c>
      <c r="AC96" s="174">
        <f>Buildings_Water_Frontend[[#This Row],[Units]]</f>
        <v>0</v>
      </c>
      <c r="AD96" s="220" t="e">
        <f>IF(Buildings_Water_Backend[[#This Row],[Units]]=Buildings_Water_Backend[[#This Row],[Standard units]],Buildings_Water_Backend[[#This Row],[Data]],Buildings_Water_Backend[[#This Row],[Data]]*_xlfn.XLOOKUP(_xlfn.CONCAT(Buildings_Water_Backend[[#This Row],[Level 1]:[Level 6]]),rng_EFConcat,rng_EFConversion))</f>
        <v>#N/A</v>
      </c>
      <c r="AE96" s="174" t="e" cm="1">
        <f t="array" ref="AE96">_xlfn.XLOOKUP(_xlfn.CONCAT(Buildings_Water_Backend[[#This Row],[Level 1]:[Level 6]]),rng_LevelsConcat,rng_UnitsLong)</f>
        <v>#N/A</v>
      </c>
      <c r="AF96" s="210" t="e">
        <f>_xlfn.XLOOKUP(_xlfn.CONCAT(Buildings_Water_Backend[[#This Row],[Level 1]:[Level 6]]),rng_EFConcat,rng_EF1)*Buildings_Water_Backend[[#This Row],[Converted data]]/1000</f>
        <v>#N/A</v>
      </c>
      <c r="AG96" s="210" t="e">
        <f>_xlfn.XLOOKUP(_xlfn.CONCAT(Buildings_Water_Backend[[#This Row],[Level 1]:[Level 6]]),rng_EFConcat,rng_EF2)*Buildings_Water_Backend[[#This Row],[Converted data]]/1000</f>
        <v>#N/A</v>
      </c>
      <c r="AH96" s="210" t="e">
        <f>_xlfn.XLOOKUP(_xlfn.CONCAT(Buildings_Water_Backend[[#This Row],[Level 1]:[Level 6]]),rng_EFConcat,rng_EF3)*Buildings_Water_Backend[[#This Row],[Converted data]]/1000</f>
        <v>#N/A</v>
      </c>
      <c r="AI96" s="210" t="e">
        <f>_xlfn.XLOOKUP(_xlfn.CONCAT(Buildings_Water_Backend[[#This Row],[Level 1]:[Level 6]]),rng_EFConcat,rng_EF3WTT)*Buildings_Water_Backend[[#This Row],[Converted data]]/1000</f>
        <v>#N/A</v>
      </c>
      <c r="AJ96" s="210" t="e">
        <f>_xlfn.XLOOKUP(_xlfn.CONCAT(Buildings_Water_Backend[[#This Row],[Level 1]:[Level 6]]),rng_EFConcat,rng_EF3TD)*Buildings_Water_Backend[[#This Row],[Converted data]]/1000</f>
        <v>#N/A</v>
      </c>
      <c r="AK96" s="210" t="e">
        <f>_xlfn.XLOOKUP(_xlfn.CONCAT(Buildings_Water_Backend[[#This Row],[Level 1]:[Level 6]]),rng_EFConcat,rng_EF3WTTTD)*Buildings_Water_Backend[[#This Row],[Converted data]]/1000</f>
        <v>#N/A</v>
      </c>
      <c r="AL96" s="220" t="e">
        <f>SUM(Buildings_Water_Backend[[#This Row],[Scope 1 (tCO2e)]:[Scope 3 WTT T&amp;D (tCO2e)]])</f>
        <v>#N/A</v>
      </c>
      <c r="AM96" s="220" t="e">
        <f>Buildings_Water_Backend[[#This Row],[Total (tCO2e)]]*(1-Buildings_Water_Backend[[#This Row],[RSD]])</f>
        <v>#N/A</v>
      </c>
      <c r="AN96" s="220" t="e">
        <f>Buildings_Water_Backend[[#This Row],[Total (tCO2e)]]*(1+Buildings_Water_Backend[[#This Row],[RSD]])</f>
        <v>#N/A</v>
      </c>
      <c r="AO96" s="210" t="e">
        <f>_xlfn.XLOOKUP(_xlfn.CONCAT(Buildings_Water_Backend[[#This Row],[Level 1]:[Level 6]]),rng_EFConcat,rng_EFOOS)*Buildings_Water_Backend[[#This Row],[Converted data]]/1000</f>
        <v>#N/A</v>
      </c>
      <c r="AP96" s="174">
        <f>Buildings_Water_Frontend[[#This Row],[Ease of collection]]</f>
        <v>0</v>
      </c>
      <c r="AQ96" s="174">
        <f>Buildings_Water_Frontend[[#This Row],[Completeness]]</f>
        <v>0</v>
      </c>
      <c r="AR96" s="174">
        <f>Buildings_Water_Frontend[[#This Row],[Notes]]</f>
        <v>0</v>
      </c>
    </row>
    <row r="97" spans="5:44" x14ac:dyDescent="0.3">
      <c r="E97" s="346"/>
      <c r="F97" s="364"/>
      <c r="G97" s="336"/>
      <c r="H97" s="336"/>
      <c r="I97" s="334"/>
      <c r="J97" s="336"/>
      <c r="K97" s="336"/>
      <c r="L97" s="336"/>
      <c r="M97" s="337"/>
      <c r="N97" s="242">
        <f t="shared" si="3"/>
        <v>5</v>
      </c>
      <c r="Q97" s="212" t="str">
        <f t="shared" si="2"/>
        <v/>
      </c>
      <c r="R97" s="174" t="s">
        <v>265</v>
      </c>
      <c r="S97" s="174" t="s">
        <v>273</v>
      </c>
      <c r="T97" s="174" t="e">
        <f>_xlfn.XLOOKUP(Buildings_Water_Backend[[#This Row],[Info 1]],Buildings_SiteInfo[Site name],Buildings_SiteInfo[Site type])</f>
        <v>#N/A</v>
      </c>
      <c r="U97" s="174" t="s">
        <v>327</v>
      </c>
      <c r="V97" s="174">
        <f>Buildings_Water_Frontend[[#This Row],[Type]]</f>
        <v>0</v>
      </c>
      <c r="W97" s="174" t="e" cm="1">
        <f t="array" aca="1" ref="W97" ca="1">_xlfn.XLOOKUP(Buildings_Water_Backend[[#This Row],[Level 5]],rng_Level5Long,rng_Level6Long)</f>
        <v>#N/A</v>
      </c>
      <c r="X97" s="174">
        <f>Buildings_Water_Frontend[[#This Row],[Site Name]]</f>
        <v>0</v>
      </c>
      <c r="Y97" s="174">
        <f>Buildings_Water_Frontend[[#This Row],[Meter Reference]]</f>
        <v>0</v>
      </c>
      <c r="Z97" s="220">
        <f>Buildings_Water_Frontend[[#This Row],[Methodology]]</f>
        <v>0</v>
      </c>
      <c r="AA97" s="229" t="e" cm="1">
        <f t="array" ref="AA97">INDEX(_xlfn.SWITCH(Buildings_Water_Backend[[#This Row],[Methodology]],"Tier 1",rng_RSD1,"Tier 2",rng_RSD2,"Tier 3",rng_RSD3),MATCH(_xlfn.CONCAT(Buildings_Water_Backend[[#This Row],[Level 1]:[Level 6]]),rng_LevelsConcat,0))</f>
        <v>#N/A</v>
      </c>
      <c r="AB97" s="224">
        <f>Buildings_Water_Frontend[[#This Row],[Data]]</f>
        <v>0</v>
      </c>
      <c r="AC97" s="174">
        <f>Buildings_Water_Frontend[[#This Row],[Units]]</f>
        <v>0</v>
      </c>
      <c r="AD97" s="220" t="e">
        <f>IF(Buildings_Water_Backend[[#This Row],[Units]]=Buildings_Water_Backend[[#This Row],[Standard units]],Buildings_Water_Backend[[#This Row],[Data]],Buildings_Water_Backend[[#This Row],[Data]]*_xlfn.XLOOKUP(_xlfn.CONCAT(Buildings_Water_Backend[[#This Row],[Level 1]:[Level 6]]),rng_EFConcat,rng_EFConversion))</f>
        <v>#N/A</v>
      </c>
      <c r="AE97" s="174" t="e" cm="1">
        <f t="array" ref="AE97">_xlfn.XLOOKUP(_xlfn.CONCAT(Buildings_Water_Backend[[#This Row],[Level 1]:[Level 6]]),rng_LevelsConcat,rng_UnitsLong)</f>
        <v>#N/A</v>
      </c>
      <c r="AF97" s="210" t="e">
        <f>_xlfn.XLOOKUP(_xlfn.CONCAT(Buildings_Water_Backend[[#This Row],[Level 1]:[Level 6]]),rng_EFConcat,rng_EF1)*Buildings_Water_Backend[[#This Row],[Converted data]]/1000</f>
        <v>#N/A</v>
      </c>
      <c r="AG97" s="210" t="e">
        <f>_xlfn.XLOOKUP(_xlfn.CONCAT(Buildings_Water_Backend[[#This Row],[Level 1]:[Level 6]]),rng_EFConcat,rng_EF2)*Buildings_Water_Backend[[#This Row],[Converted data]]/1000</f>
        <v>#N/A</v>
      </c>
      <c r="AH97" s="210" t="e">
        <f>_xlfn.XLOOKUP(_xlfn.CONCAT(Buildings_Water_Backend[[#This Row],[Level 1]:[Level 6]]),rng_EFConcat,rng_EF3)*Buildings_Water_Backend[[#This Row],[Converted data]]/1000</f>
        <v>#N/A</v>
      </c>
      <c r="AI97" s="210" t="e">
        <f>_xlfn.XLOOKUP(_xlfn.CONCAT(Buildings_Water_Backend[[#This Row],[Level 1]:[Level 6]]),rng_EFConcat,rng_EF3WTT)*Buildings_Water_Backend[[#This Row],[Converted data]]/1000</f>
        <v>#N/A</v>
      </c>
      <c r="AJ97" s="210" t="e">
        <f>_xlfn.XLOOKUP(_xlfn.CONCAT(Buildings_Water_Backend[[#This Row],[Level 1]:[Level 6]]),rng_EFConcat,rng_EF3TD)*Buildings_Water_Backend[[#This Row],[Converted data]]/1000</f>
        <v>#N/A</v>
      </c>
      <c r="AK97" s="210" t="e">
        <f>_xlfn.XLOOKUP(_xlfn.CONCAT(Buildings_Water_Backend[[#This Row],[Level 1]:[Level 6]]),rng_EFConcat,rng_EF3WTTTD)*Buildings_Water_Backend[[#This Row],[Converted data]]/1000</f>
        <v>#N/A</v>
      </c>
      <c r="AL97" s="220" t="e">
        <f>SUM(Buildings_Water_Backend[[#This Row],[Scope 1 (tCO2e)]:[Scope 3 WTT T&amp;D (tCO2e)]])</f>
        <v>#N/A</v>
      </c>
      <c r="AM97" s="220" t="e">
        <f>Buildings_Water_Backend[[#This Row],[Total (tCO2e)]]*(1-Buildings_Water_Backend[[#This Row],[RSD]])</f>
        <v>#N/A</v>
      </c>
      <c r="AN97" s="220" t="e">
        <f>Buildings_Water_Backend[[#This Row],[Total (tCO2e)]]*(1+Buildings_Water_Backend[[#This Row],[RSD]])</f>
        <v>#N/A</v>
      </c>
      <c r="AO97" s="210" t="e">
        <f>_xlfn.XLOOKUP(_xlfn.CONCAT(Buildings_Water_Backend[[#This Row],[Level 1]:[Level 6]]),rng_EFConcat,rng_EFOOS)*Buildings_Water_Backend[[#This Row],[Converted data]]/1000</f>
        <v>#N/A</v>
      </c>
      <c r="AP97" s="174">
        <f>Buildings_Water_Frontend[[#This Row],[Ease of collection]]</f>
        <v>0</v>
      </c>
      <c r="AQ97" s="174">
        <f>Buildings_Water_Frontend[[#This Row],[Completeness]]</f>
        <v>0</v>
      </c>
      <c r="AR97" s="174">
        <f>Buildings_Water_Frontend[[#This Row],[Notes]]</f>
        <v>0</v>
      </c>
    </row>
    <row r="98" spans="5:44" x14ac:dyDescent="0.3">
      <c r="E98" s="346"/>
      <c r="F98" s="364"/>
      <c r="G98" s="336"/>
      <c r="H98" s="336"/>
      <c r="I98" s="334"/>
      <c r="J98" s="336"/>
      <c r="K98" s="336"/>
      <c r="L98" s="336"/>
      <c r="M98" s="337"/>
      <c r="N98" s="242">
        <f t="shared" si="3"/>
        <v>5</v>
      </c>
      <c r="Q98" s="212" t="str">
        <f t="shared" si="2"/>
        <v/>
      </c>
      <c r="R98" s="174" t="s">
        <v>265</v>
      </c>
      <c r="S98" s="174" t="s">
        <v>273</v>
      </c>
      <c r="T98" s="174" t="e">
        <f>_xlfn.XLOOKUP(Buildings_Water_Backend[[#This Row],[Info 1]],Buildings_SiteInfo[Site name],Buildings_SiteInfo[Site type])</f>
        <v>#N/A</v>
      </c>
      <c r="U98" s="174" t="s">
        <v>327</v>
      </c>
      <c r="V98" s="174">
        <f>Buildings_Water_Frontend[[#This Row],[Type]]</f>
        <v>0</v>
      </c>
      <c r="W98" s="174" t="e" cm="1">
        <f t="array" aca="1" ref="W98" ca="1">_xlfn.XLOOKUP(Buildings_Water_Backend[[#This Row],[Level 5]],rng_Level5Long,rng_Level6Long)</f>
        <v>#N/A</v>
      </c>
      <c r="X98" s="174">
        <f>Buildings_Water_Frontend[[#This Row],[Site Name]]</f>
        <v>0</v>
      </c>
      <c r="Y98" s="174">
        <f>Buildings_Water_Frontend[[#This Row],[Meter Reference]]</f>
        <v>0</v>
      </c>
      <c r="Z98" s="220">
        <f>Buildings_Water_Frontend[[#This Row],[Methodology]]</f>
        <v>0</v>
      </c>
      <c r="AA98" s="229" t="e" cm="1">
        <f t="array" ref="AA98">INDEX(_xlfn.SWITCH(Buildings_Water_Backend[[#This Row],[Methodology]],"Tier 1",rng_RSD1,"Tier 2",rng_RSD2,"Tier 3",rng_RSD3),MATCH(_xlfn.CONCAT(Buildings_Water_Backend[[#This Row],[Level 1]:[Level 6]]),rng_LevelsConcat,0))</f>
        <v>#N/A</v>
      </c>
      <c r="AB98" s="224">
        <f>Buildings_Water_Frontend[[#This Row],[Data]]</f>
        <v>0</v>
      </c>
      <c r="AC98" s="174">
        <f>Buildings_Water_Frontend[[#This Row],[Units]]</f>
        <v>0</v>
      </c>
      <c r="AD98" s="220" t="e">
        <f>IF(Buildings_Water_Backend[[#This Row],[Units]]=Buildings_Water_Backend[[#This Row],[Standard units]],Buildings_Water_Backend[[#This Row],[Data]],Buildings_Water_Backend[[#This Row],[Data]]*_xlfn.XLOOKUP(_xlfn.CONCAT(Buildings_Water_Backend[[#This Row],[Level 1]:[Level 6]]),rng_EFConcat,rng_EFConversion))</f>
        <v>#N/A</v>
      </c>
      <c r="AE98" s="174" t="e" cm="1">
        <f t="array" ref="AE98">_xlfn.XLOOKUP(_xlfn.CONCAT(Buildings_Water_Backend[[#This Row],[Level 1]:[Level 6]]),rng_LevelsConcat,rng_UnitsLong)</f>
        <v>#N/A</v>
      </c>
      <c r="AF98" s="210" t="e">
        <f>_xlfn.XLOOKUP(_xlfn.CONCAT(Buildings_Water_Backend[[#This Row],[Level 1]:[Level 6]]),rng_EFConcat,rng_EF1)*Buildings_Water_Backend[[#This Row],[Converted data]]/1000</f>
        <v>#N/A</v>
      </c>
      <c r="AG98" s="210" t="e">
        <f>_xlfn.XLOOKUP(_xlfn.CONCAT(Buildings_Water_Backend[[#This Row],[Level 1]:[Level 6]]),rng_EFConcat,rng_EF2)*Buildings_Water_Backend[[#This Row],[Converted data]]/1000</f>
        <v>#N/A</v>
      </c>
      <c r="AH98" s="210" t="e">
        <f>_xlfn.XLOOKUP(_xlfn.CONCAT(Buildings_Water_Backend[[#This Row],[Level 1]:[Level 6]]),rng_EFConcat,rng_EF3)*Buildings_Water_Backend[[#This Row],[Converted data]]/1000</f>
        <v>#N/A</v>
      </c>
      <c r="AI98" s="210" t="e">
        <f>_xlfn.XLOOKUP(_xlfn.CONCAT(Buildings_Water_Backend[[#This Row],[Level 1]:[Level 6]]),rng_EFConcat,rng_EF3WTT)*Buildings_Water_Backend[[#This Row],[Converted data]]/1000</f>
        <v>#N/A</v>
      </c>
      <c r="AJ98" s="210" t="e">
        <f>_xlfn.XLOOKUP(_xlfn.CONCAT(Buildings_Water_Backend[[#This Row],[Level 1]:[Level 6]]),rng_EFConcat,rng_EF3TD)*Buildings_Water_Backend[[#This Row],[Converted data]]/1000</f>
        <v>#N/A</v>
      </c>
      <c r="AK98" s="210" t="e">
        <f>_xlfn.XLOOKUP(_xlfn.CONCAT(Buildings_Water_Backend[[#This Row],[Level 1]:[Level 6]]),rng_EFConcat,rng_EF3WTTTD)*Buildings_Water_Backend[[#This Row],[Converted data]]/1000</f>
        <v>#N/A</v>
      </c>
      <c r="AL98" s="220" t="e">
        <f>SUM(Buildings_Water_Backend[[#This Row],[Scope 1 (tCO2e)]:[Scope 3 WTT T&amp;D (tCO2e)]])</f>
        <v>#N/A</v>
      </c>
      <c r="AM98" s="220" t="e">
        <f>Buildings_Water_Backend[[#This Row],[Total (tCO2e)]]*(1-Buildings_Water_Backend[[#This Row],[RSD]])</f>
        <v>#N/A</v>
      </c>
      <c r="AN98" s="220" t="e">
        <f>Buildings_Water_Backend[[#This Row],[Total (tCO2e)]]*(1+Buildings_Water_Backend[[#This Row],[RSD]])</f>
        <v>#N/A</v>
      </c>
      <c r="AO98" s="210" t="e">
        <f>_xlfn.XLOOKUP(_xlfn.CONCAT(Buildings_Water_Backend[[#This Row],[Level 1]:[Level 6]]),rng_EFConcat,rng_EFOOS)*Buildings_Water_Backend[[#This Row],[Converted data]]/1000</f>
        <v>#N/A</v>
      </c>
      <c r="AP98" s="174">
        <f>Buildings_Water_Frontend[[#This Row],[Ease of collection]]</f>
        <v>0</v>
      </c>
      <c r="AQ98" s="174">
        <f>Buildings_Water_Frontend[[#This Row],[Completeness]]</f>
        <v>0</v>
      </c>
      <c r="AR98" s="174">
        <f>Buildings_Water_Frontend[[#This Row],[Notes]]</f>
        <v>0</v>
      </c>
    </row>
    <row r="99" spans="5:44" x14ac:dyDescent="0.3">
      <c r="E99" s="346"/>
      <c r="F99" s="364"/>
      <c r="G99" s="336"/>
      <c r="H99" s="336"/>
      <c r="I99" s="334"/>
      <c r="J99" s="336"/>
      <c r="K99" s="336"/>
      <c r="L99" s="336"/>
      <c r="M99" s="337"/>
      <c r="N99" s="242">
        <f t="shared" si="3"/>
        <v>5</v>
      </c>
      <c r="Q99" s="212" t="str">
        <f t="shared" si="2"/>
        <v/>
      </c>
      <c r="R99" s="174" t="s">
        <v>265</v>
      </c>
      <c r="S99" s="174" t="s">
        <v>273</v>
      </c>
      <c r="T99" s="174" t="e">
        <f>_xlfn.XLOOKUP(Buildings_Water_Backend[[#This Row],[Info 1]],Buildings_SiteInfo[Site name],Buildings_SiteInfo[Site type])</f>
        <v>#N/A</v>
      </c>
      <c r="U99" s="174" t="s">
        <v>327</v>
      </c>
      <c r="V99" s="174">
        <f>Buildings_Water_Frontend[[#This Row],[Type]]</f>
        <v>0</v>
      </c>
      <c r="W99" s="174" t="e" cm="1">
        <f t="array" aca="1" ref="W99" ca="1">_xlfn.XLOOKUP(Buildings_Water_Backend[[#This Row],[Level 5]],rng_Level5Long,rng_Level6Long)</f>
        <v>#N/A</v>
      </c>
      <c r="X99" s="174">
        <f>Buildings_Water_Frontend[[#This Row],[Site Name]]</f>
        <v>0</v>
      </c>
      <c r="Y99" s="174">
        <f>Buildings_Water_Frontend[[#This Row],[Meter Reference]]</f>
        <v>0</v>
      </c>
      <c r="Z99" s="220">
        <f>Buildings_Water_Frontend[[#This Row],[Methodology]]</f>
        <v>0</v>
      </c>
      <c r="AA99" s="229" t="e" cm="1">
        <f t="array" ref="AA99">INDEX(_xlfn.SWITCH(Buildings_Water_Backend[[#This Row],[Methodology]],"Tier 1",rng_RSD1,"Tier 2",rng_RSD2,"Tier 3",rng_RSD3),MATCH(_xlfn.CONCAT(Buildings_Water_Backend[[#This Row],[Level 1]:[Level 6]]),rng_LevelsConcat,0))</f>
        <v>#N/A</v>
      </c>
      <c r="AB99" s="224">
        <f>Buildings_Water_Frontend[[#This Row],[Data]]</f>
        <v>0</v>
      </c>
      <c r="AC99" s="174">
        <f>Buildings_Water_Frontend[[#This Row],[Units]]</f>
        <v>0</v>
      </c>
      <c r="AD99" s="220" t="e">
        <f>IF(Buildings_Water_Backend[[#This Row],[Units]]=Buildings_Water_Backend[[#This Row],[Standard units]],Buildings_Water_Backend[[#This Row],[Data]],Buildings_Water_Backend[[#This Row],[Data]]*_xlfn.XLOOKUP(_xlfn.CONCAT(Buildings_Water_Backend[[#This Row],[Level 1]:[Level 6]]),rng_EFConcat,rng_EFConversion))</f>
        <v>#N/A</v>
      </c>
      <c r="AE99" s="174" t="e" cm="1">
        <f t="array" ref="AE99">_xlfn.XLOOKUP(_xlfn.CONCAT(Buildings_Water_Backend[[#This Row],[Level 1]:[Level 6]]),rng_LevelsConcat,rng_UnitsLong)</f>
        <v>#N/A</v>
      </c>
      <c r="AF99" s="210" t="e">
        <f>_xlfn.XLOOKUP(_xlfn.CONCAT(Buildings_Water_Backend[[#This Row],[Level 1]:[Level 6]]),rng_EFConcat,rng_EF1)*Buildings_Water_Backend[[#This Row],[Converted data]]/1000</f>
        <v>#N/A</v>
      </c>
      <c r="AG99" s="210" t="e">
        <f>_xlfn.XLOOKUP(_xlfn.CONCAT(Buildings_Water_Backend[[#This Row],[Level 1]:[Level 6]]),rng_EFConcat,rng_EF2)*Buildings_Water_Backend[[#This Row],[Converted data]]/1000</f>
        <v>#N/A</v>
      </c>
      <c r="AH99" s="210" t="e">
        <f>_xlfn.XLOOKUP(_xlfn.CONCAT(Buildings_Water_Backend[[#This Row],[Level 1]:[Level 6]]),rng_EFConcat,rng_EF3)*Buildings_Water_Backend[[#This Row],[Converted data]]/1000</f>
        <v>#N/A</v>
      </c>
      <c r="AI99" s="210" t="e">
        <f>_xlfn.XLOOKUP(_xlfn.CONCAT(Buildings_Water_Backend[[#This Row],[Level 1]:[Level 6]]),rng_EFConcat,rng_EF3WTT)*Buildings_Water_Backend[[#This Row],[Converted data]]/1000</f>
        <v>#N/A</v>
      </c>
      <c r="AJ99" s="210" t="e">
        <f>_xlfn.XLOOKUP(_xlfn.CONCAT(Buildings_Water_Backend[[#This Row],[Level 1]:[Level 6]]),rng_EFConcat,rng_EF3TD)*Buildings_Water_Backend[[#This Row],[Converted data]]/1000</f>
        <v>#N/A</v>
      </c>
      <c r="AK99" s="210" t="e">
        <f>_xlfn.XLOOKUP(_xlfn.CONCAT(Buildings_Water_Backend[[#This Row],[Level 1]:[Level 6]]),rng_EFConcat,rng_EF3WTTTD)*Buildings_Water_Backend[[#This Row],[Converted data]]/1000</f>
        <v>#N/A</v>
      </c>
      <c r="AL99" s="220" t="e">
        <f>SUM(Buildings_Water_Backend[[#This Row],[Scope 1 (tCO2e)]:[Scope 3 WTT T&amp;D (tCO2e)]])</f>
        <v>#N/A</v>
      </c>
      <c r="AM99" s="220" t="e">
        <f>Buildings_Water_Backend[[#This Row],[Total (tCO2e)]]*(1-Buildings_Water_Backend[[#This Row],[RSD]])</f>
        <v>#N/A</v>
      </c>
      <c r="AN99" s="220" t="e">
        <f>Buildings_Water_Backend[[#This Row],[Total (tCO2e)]]*(1+Buildings_Water_Backend[[#This Row],[RSD]])</f>
        <v>#N/A</v>
      </c>
      <c r="AO99" s="210" t="e">
        <f>_xlfn.XLOOKUP(_xlfn.CONCAT(Buildings_Water_Backend[[#This Row],[Level 1]:[Level 6]]),rng_EFConcat,rng_EFOOS)*Buildings_Water_Backend[[#This Row],[Converted data]]/1000</f>
        <v>#N/A</v>
      </c>
      <c r="AP99" s="174">
        <f>Buildings_Water_Frontend[[#This Row],[Ease of collection]]</f>
        <v>0</v>
      </c>
      <c r="AQ99" s="174">
        <f>Buildings_Water_Frontend[[#This Row],[Completeness]]</f>
        <v>0</v>
      </c>
      <c r="AR99" s="174">
        <f>Buildings_Water_Frontend[[#This Row],[Notes]]</f>
        <v>0</v>
      </c>
    </row>
    <row r="100" spans="5:44" x14ac:dyDescent="0.3">
      <c r="E100" s="346"/>
      <c r="F100" s="364"/>
      <c r="G100" s="336"/>
      <c r="H100" s="336"/>
      <c r="I100" s="334"/>
      <c r="J100" s="336"/>
      <c r="K100" s="336"/>
      <c r="L100" s="336"/>
      <c r="M100" s="337"/>
      <c r="N100" s="242">
        <f t="shared" si="3"/>
        <v>5</v>
      </c>
      <c r="Q100" s="212" t="str">
        <f t="shared" si="2"/>
        <v/>
      </c>
      <c r="R100" s="174" t="s">
        <v>265</v>
      </c>
      <c r="S100" s="174" t="s">
        <v>273</v>
      </c>
      <c r="T100" s="174" t="e">
        <f>_xlfn.XLOOKUP(Buildings_Water_Backend[[#This Row],[Info 1]],Buildings_SiteInfo[Site name],Buildings_SiteInfo[Site type])</f>
        <v>#N/A</v>
      </c>
      <c r="U100" s="174" t="s">
        <v>327</v>
      </c>
      <c r="V100" s="174">
        <f>Buildings_Water_Frontend[[#This Row],[Type]]</f>
        <v>0</v>
      </c>
      <c r="W100" s="174" t="e" cm="1">
        <f t="array" aca="1" ref="W100" ca="1">_xlfn.XLOOKUP(Buildings_Water_Backend[[#This Row],[Level 5]],rng_Level5Long,rng_Level6Long)</f>
        <v>#N/A</v>
      </c>
      <c r="X100" s="174">
        <f>Buildings_Water_Frontend[[#This Row],[Site Name]]</f>
        <v>0</v>
      </c>
      <c r="Y100" s="174">
        <f>Buildings_Water_Frontend[[#This Row],[Meter Reference]]</f>
        <v>0</v>
      </c>
      <c r="Z100" s="220">
        <f>Buildings_Water_Frontend[[#This Row],[Methodology]]</f>
        <v>0</v>
      </c>
      <c r="AA100" s="229" t="e" cm="1">
        <f t="array" ref="AA100">INDEX(_xlfn.SWITCH(Buildings_Water_Backend[[#This Row],[Methodology]],"Tier 1",rng_RSD1,"Tier 2",rng_RSD2,"Tier 3",rng_RSD3),MATCH(_xlfn.CONCAT(Buildings_Water_Backend[[#This Row],[Level 1]:[Level 6]]),rng_LevelsConcat,0))</f>
        <v>#N/A</v>
      </c>
      <c r="AB100" s="224">
        <f>Buildings_Water_Frontend[[#This Row],[Data]]</f>
        <v>0</v>
      </c>
      <c r="AC100" s="174">
        <f>Buildings_Water_Frontend[[#This Row],[Units]]</f>
        <v>0</v>
      </c>
      <c r="AD100" s="220" t="e">
        <f>IF(Buildings_Water_Backend[[#This Row],[Units]]=Buildings_Water_Backend[[#This Row],[Standard units]],Buildings_Water_Backend[[#This Row],[Data]],Buildings_Water_Backend[[#This Row],[Data]]*_xlfn.XLOOKUP(_xlfn.CONCAT(Buildings_Water_Backend[[#This Row],[Level 1]:[Level 6]]),rng_EFConcat,rng_EFConversion))</f>
        <v>#N/A</v>
      </c>
      <c r="AE100" s="174" t="e" cm="1">
        <f t="array" ref="AE100">_xlfn.XLOOKUP(_xlfn.CONCAT(Buildings_Water_Backend[[#This Row],[Level 1]:[Level 6]]),rng_LevelsConcat,rng_UnitsLong)</f>
        <v>#N/A</v>
      </c>
      <c r="AF100" s="210" t="e">
        <f>_xlfn.XLOOKUP(_xlfn.CONCAT(Buildings_Water_Backend[[#This Row],[Level 1]:[Level 6]]),rng_EFConcat,rng_EF1)*Buildings_Water_Backend[[#This Row],[Converted data]]/1000</f>
        <v>#N/A</v>
      </c>
      <c r="AG100" s="210" t="e">
        <f>_xlfn.XLOOKUP(_xlfn.CONCAT(Buildings_Water_Backend[[#This Row],[Level 1]:[Level 6]]),rng_EFConcat,rng_EF2)*Buildings_Water_Backend[[#This Row],[Converted data]]/1000</f>
        <v>#N/A</v>
      </c>
      <c r="AH100" s="210" t="e">
        <f>_xlfn.XLOOKUP(_xlfn.CONCAT(Buildings_Water_Backend[[#This Row],[Level 1]:[Level 6]]),rng_EFConcat,rng_EF3)*Buildings_Water_Backend[[#This Row],[Converted data]]/1000</f>
        <v>#N/A</v>
      </c>
      <c r="AI100" s="210" t="e">
        <f>_xlfn.XLOOKUP(_xlfn.CONCAT(Buildings_Water_Backend[[#This Row],[Level 1]:[Level 6]]),rng_EFConcat,rng_EF3WTT)*Buildings_Water_Backend[[#This Row],[Converted data]]/1000</f>
        <v>#N/A</v>
      </c>
      <c r="AJ100" s="210" t="e">
        <f>_xlfn.XLOOKUP(_xlfn.CONCAT(Buildings_Water_Backend[[#This Row],[Level 1]:[Level 6]]),rng_EFConcat,rng_EF3TD)*Buildings_Water_Backend[[#This Row],[Converted data]]/1000</f>
        <v>#N/A</v>
      </c>
      <c r="AK100" s="210" t="e">
        <f>_xlfn.XLOOKUP(_xlfn.CONCAT(Buildings_Water_Backend[[#This Row],[Level 1]:[Level 6]]),rng_EFConcat,rng_EF3WTTTD)*Buildings_Water_Backend[[#This Row],[Converted data]]/1000</f>
        <v>#N/A</v>
      </c>
      <c r="AL100" s="220" t="e">
        <f>SUM(Buildings_Water_Backend[[#This Row],[Scope 1 (tCO2e)]:[Scope 3 WTT T&amp;D (tCO2e)]])</f>
        <v>#N/A</v>
      </c>
      <c r="AM100" s="220" t="e">
        <f>Buildings_Water_Backend[[#This Row],[Total (tCO2e)]]*(1-Buildings_Water_Backend[[#This Row],[RSD]])</f>
        <v>#N/A</v>
      </c>
      <c r="AN100" s="220" t="e">
        <f>Buildings_Water_Backend[[#This Row],[Total (tCO2e)]]*(1+Buildings_Water_Backend[[#This Row],[RSD]])</f>
        <v>#N/A</v>
      </c>
      <c r="AO100" s="210" t="e">
        <f>_xlfn.XLOOKUP(_xlfn.CONCAT(Buildings_Water_Backend[[#This Row],[Level 1]:[Level 6]]),rng_EFConcat,rng_EFOOS)*Buildings_Water_Backend[[#This Row],[Converted data]]/1000</f>
        <v>#N/A</v>
      </c>
      <c r="AP100" s="174">
        <f>Buildings_Water_Frontend[[#This Row],[Ease of collection]]</f>
        <v>0</v>
      </c>
      <c r="AQ100" s="174">
        <f>Buildings_Water_Frontend[[#This Row],[Completeness]]</f>
        <v>0</v>
      </c>
      <c r="AR100" s="174">
        <f>Buildings_Water_Frontend[[#This Row],[Notes]]</f>
        <v>0</v>
      </c>
    </row>
    <row r="101" spans="5:44" x14ac:dyDescent="0.3">
      <c r="E101" s="346"/>
      <c r="F101" s="364"/>
      <c r="G101" s="336"/>
      <c r="H101" s="336"/>
      <c r="I101" s="334"/>
      <c r="J101" s="336"/>
      <c r="K101" s="336"/>
      <c r="L101" s="336"/>
      <c r="M101" s="337"/>
      <c r="N101" s="242">
        <f t="shared" si="3"/>
        <v>5</v>
      </c>
      <c r="Q101" s="212" t="str">
        <f t="shared" si="2"/>
        <v/>
      </c>
      <c r="R101" s="174" t="s">
        <v>265</v>
      </c>
      <c r="S101" s="174" t="s">
        <v>273</v>
      </c>
      <c r="T101" s="174" t="e">
        <f>_xlfn.XLOOKUP(Buildings_Water_Backend[[#This Row],[Info 1]],Buildings_SiteInfo[Site name],Buildings_SiteInfo[Site type])</f>
        <v>#N/A</v>
      </c>
      <c r="U101" s="174" t="s">
        <v>327</v>
      </c>
      <c r="V101" s="174">
        <f>Buildings_Water_Frontend[[#This Row],[Type]]</f>
        <v>0</v>
      </c>
      <c r="W101" s="174" t="e" cm="1">
        <f t="array" aca="1" ref="W101" ca="1">_xlfn.XLOOKUP(Buildings_Water_Backend[[#This Row],[Level 5]],rng_Level5Long,rng_Level6Long)</f>
        <v>#N/A</v>
      </c>
      <c r="X101" s="174">
        <f>Buildings_Water_Frontend[[#This Row],[Site Name]]</f>
        <v>0</v>
      </c>
      <c r="Y101" s="174">
        <f>Buildings_Water_Frontend[[#This Row],[Meter Reference]]</f>
        <v>0</v>
      </c>
      <c r="Z101" s="220">
        <f>Buildings_Water_Frontend[[#This Row],[Methodology]]</f>
        <v>0</v>
      </c>
      <c r="AA101" s="229" t="e" cm="1">
        <f t="array" ref="AA101">INDEX(_xlfn.SWITCH(Buildings_Water_Backend[[#This Row],[Methodology]],"Tier 1",rng_RSD1,"Tier 2",rng_RSD2,"Tier 3",rng_RSD3),MATCH(_xlfn.CONCAT(Buildings_Water_Backend[[#This Row],[Level 1]:[Level 6]]),rng_LevelsConcat,0))</f>
        <v>#N/A</v>
      </c>
      <c r="AB101" s="224">
        <f>Buildings_Water_Frontend[[#This Row],[Data]]</f>
        <v>0</v>
      </c>
      <c r="AC101" s="174">
        <f>Buildings_Water_Frontend[[#This Row],[Units]]</f>
        <v>0</v>
      </c>
      <c r="AD101" s="220" t="e">
        <f>IF(Buildings_Water_Backend[[#This Row],[Units]]=Buildings_Water_Backend[[#This Row],[Standard units]],Buildings_Water_Backend[[#This Row],[Data]],Buildings_Water_Backend[[#This Row],[Data]]*_xlfn.XLOOKUP(_xlfn.CONCAT(Buildings_Water_Backend[[#This Row],[Level 1]:[Level 6]]),rng_EFConcat,rng_EFConversion))</f>
        <v>#N/A</v>
      </c>
      <c r="AE101" s="174" t="e" cm="1">
        <f t="array" ref="AE101">_xlfn.XLOOKUP(_xlfn.CONCAT(Buildings_Water_Backend[[#This Row],[Level 1]:[Level 6]]),rng_LevelsConcat,rng_UnitsLong)</f>
        <v>#N/A</v>
      </c>
      <c r="AF101" s="210" t="e">
        <f>_xlfn.XLOOKUP(_xlfn.CONCAT(Buildings_Water_Backend[[#This Row],[Level 1]:[Level 6]]),rng_EFConcat,rng_EF1)*Buildings_Water_Backend[[#This Row],[Converted data]]/1000</f>
        <v>#N/A</v>
      </c>
      <c r="AG101" s="210" t="e">
        <f>_xlfn.XLOOKUP(_xlfn.CONCAT(Buildings_Water_Backend[[#This Row],[Level 1]:[Level 6]]),rng_EFConcat,rng_EF2)*Buildings_Water_Backend[[#This Row],[Converted data]]/1000</f>
        <v>#N/A</v>
      </c>
      <c r="AH101" s="210" t="e">
        <f>_xlfn.XLOOKUP(_xlfn.CONCAT(Buildings_Water_Backend[[#This Row],[Level 1]:[Level 6]]),rng_EFConcat,rng_EF3)*Buildings_Water_Backend[[#This Row],[Converted data]]/1000</f>
        <v>#N/A</v>
      </c>
      <c r="AI101" s="210" t="e">
        <f>_xlfn.XLOOKUP(_xlfn.CONCAT(Buildings_Water_Backend[[#This Row],[Level 1]:[Level 6]]),rng_EFConcat,rng_EF3WTT)*Buildings_Water_Backend[[#This Row],[Converted data]]/1000</f>
        <v>#N/A</v>
      </c>
      <c r="AJ101" s="210" t="e">
        <f>_xlfn.XLOOKUP(_xlfn.CONCAT(Buildings_Water_Backend[[#This Row],[Level 1]:[Level 6]]),rng_EFConcat,rng_EF3TD)*Buildings_Water_Backend[[#This Row],[Converted data]]/1000</f>
        <v>#N/A</v>
      </c>
      <c r="AK101" s="210" t="e">
        <f>_xlfn.XLOOKUP(_xlfn.CONCAT(Buildings_Water_Backend[[#This Row],[Level 1]:[Level 6]]),rng_EFConcat,rng_EF3WTTTD)*Buildings_Water_Backend[[#This Row],[Converted data]]/1000</f>
        <v>#N/A</v>
      </c>
      <c r="AL101" s="220" t="e">
        <f>SUM(Buildings_Water_Backend[[#This Row],[Scope 1 (tCO2e)]:[Scope 3 WTT T&amp;D (tCO2e)]])</f>
        <v>#N/A</v>
      </c>
      <c r="AM101" s="220" t="e">
        <f>Buildings_Water_Backend[[#This Row],[Total (tCO2e)]]*(1-Buildings_Water_Backend[[#This Row],[RSD]])</f>
        <v>#N/A</v>
      </c>
      <c r="AN101" s="220" t="e">
        <f>Buildings_Water_Backend[[#This Row],[Total (tCO2e)]]*(1+Buildings_Water_Backend[[#This Row],[RSD]])</f>
        <v>#N/A</v>
      </c>
      <c r="AO101" s="210" t="e">
        <f>_xlfn.XLOOKUP(_xlfn.CONCAT(Buildings_Water_Backend[[#This Row],[Level 1]:[Level 6]]),rng_EFConcat,rng_EFOOS)*Buildings_Water_Backend[[#This Row],[Converted data]]/1000</f>
        <v>#N/A</v>
      </c>
      <c r="AP101" s="174">
        <f>Buildings_Water_Frontend[[#This Row],[Ease of collection]]</f>
        <v>0</v>
      </c>
      <c r="AQ101" s="174">
        <f>Buildings_Water_Frontend[[#This Row],[Completeness]]</f>
        <v>0</v>
      </c>
      <c r="AR101" s="174">
        <f>Buildings_Water_Frontend[[#This Row],[Notes]]</f>
        <v>0</v>
      </c>
    </row>
    <row r="102" spans="5:44" x14ac:dyDescent="0.3">
      <c r="E102" s="346"/>
      <c r="F102" s="364"/>
      <c r="G102" s="336"/>
      <c r="H102" s="336"/>
      <c r="I102" s="334"/>
      <c r="J102" s="336"/>
      <c r="K102" s="336"/>
      <c r="L102" s="336"/>
      <c r="M102" s="337"/>
      <c r="N102" s="242">
        <f t="shared" si="3"/>
        <v>5</v>
      </c>
      <c r="Q102" s="212" t="str">
        <f t="shared" si="2"/>
        <v/>
      </c>
      <c r="R102" s="174" t="s">
        <v>265</v>
      </c>
      <c r="S102" s="174" t="s">
        <v>273</v>
      </c>
      <c r="T102" s="174" t="e">
        <f>_xlfn.XLOOKUP(Buildings_Water_Backend[[#This Row],[Info 1]],Buildings_SiteInfo[Site name],Buildings_SiteInfo[Site type])</f>
        <v>#N/A</v>
      </c>
      <c r="U102" s="174" t="s">
        <v>327</v>
      </c>
      <c r="V102" s="174">
        <f>Buildings_Water_Frontend[[#This Row],[Type]]</f>
        <v>0</v>
      </c>
      <c r="W102" s="174" t="e" cm="1">
        <f t="array" aca="1" ref="W102" ca="1">_xlfn.XLOOKUP(Buildings_Water_Backend[[#This Row],[Level 5]],rng_Level5Long,rng_Level6Long)</f>
        <v>#N/A</v>
      </c>
      <c r="X102" s="174">
        <f>Buildings_Water_Frontend[[#This Row],[Site Name]]</f>
        <v>0</v>
      </c>
      <c r="Y102" s="174">
        <f>Buildings_Water_Frontend[[#This Row],[Meter Reference]]</f>
        <v>0</v>
      </c>
      <c r="Z102" s="220">
        <f>Buildings_Water_Frontend[[#This Row],[Methodology]]</f>
        <v>0</v>
      </c>
      <c r="AA102" s="229" t="e" cm="1">
        <f t="array" ref="AA102">INDEX(_xlfn.SWITCH(Buildings_Water_Backend[[#This Row],[Methodology]],"Tier 1",rng_RSD1,"Tier 2",rng_RSD2,"Tier 3",rng_RSD3),MATCH(_xlfn.CONCAT(Buildings_Water_Backend[[#This Row],[Level 1]:[Level 6]]),rng_LevelsConcat,0))</f>
        <v>#N/A</v>
      </c>
      <c r="AB102" s="224">
        <f>Buildings_Water_Frontend[[#This Row],[Data]]</f>
        <v>0</v>
      </c>
      <c r="AC102" s="174">
        <f>Buildings_Water_Frontend[[#This Row],[Units]]</f>
        <v>0</v>
      </c>
      <c r="AD102" s="220" t="e">
        <f>IF(Buildings_Water_Backend[[#This Row],[Units]]=Buildings_Water_Backend[[#This Row],[Standard units]],Buildings_Water_Backend[[#This Row],[Data]],Buildings_Water_Backend[[#This Row],[Data]]*_xlfn.XLOOKUP(_xlfn.CONCAT(Buildings_Water_Backend[[#This Row],[Level 1]:[Level 6]]),rng_EFConcat,rng_EFConversion))</f>
        <v>#N/A</v>
      </c>
      <c r="AE102" s="174" t="e" cm="1">
        <f t="array" ref="AE102">_xlfn.XLOOKUP(_xlfn.CONCAT(Buildings_Water_Backend[[#This Row],[Level 1]:[Level 6]]),rng_LevelsConcat,rng_UnitsLong)</f>
        <v>#N/A</v>
      </c>
      <c r="AF102" s="210" t="e">
        <f>_xlfn.XLOOKUP(_xlfn.CONCAT(Buildings_Water_Backend[[#This Row],[Level 1]:[Level 6]]),rng_EFConcat,rng_EF1)*Buildings_Water_Backend[[#This Row],[Converted data]]/1000</f>
        <v>#N/A</v>
      </c>
      <c r="AG102" s="210" t="e">
        <f>_xlfn.XLOOKUP(_xlfn.CONCAT(Buildings_Water_Backend[[#This Row],[Level 1]:[Level 6]]),rng_EFConcat,rng_EF2)*Buildings_Water_Backend[[#This Row],[Converted data]]/1000</f>
        <v>#N/A</v>
      </c>
      <c r="AH102" s="210" t="e">
        <f>_xlfn.XLOOKUP(_xlfn.CONCAT(Buildings_Water_Backend[[#This Row],[Level 1]:[Level 6]]),rng_EFConcat,rng_EF3)*Buildings_Water_Backend[[#This Row],[Converted data]]/1000</f>
        <v>#N/A</v>
      </c>
      <c r="AI102" s="210" t="e">
        <f>_xlfn.XLOOKUP(_xlfn.CONCAT(Buildings_Water_Backend[[#This Row],[Level 1]:[Level 6]]),rng_EFConcat,rng_EF3WTT)*Buildings_Water_Backend[[#This Row],[Converted data]]/1000</f>
        <v>#N/A</v>
      </c>
      <c r="AJ102" s="210" t="e">
        <f>_xlfn.XLOOKUP(_xlfn.CONCAT(Buildings_Water_Backend[[#This Row],[Level 1]:[Level 6]]),rng_EFConcat,rng_EF3TD)*Buildings_Water_Backend[[#This Row],[Converted data]]/1000</f>
        <v>#N/A</v>
      </c>
      <c r="AK102" s="210" t="e">
        <f>_xlfn.XLOOKUP(_xlfn.CONCAT(Buildings_Water_Backend[[#This Row],[Level 1]:[Level 6]]),rng_EFConcat,rng_EF3WTTTD)*Buildings_Water_Backend[[#This Row],[Converted data]]/1000</f>
        <v>#N/A</v>
      </c>
      <c r="AL102" s="220" t="e">
        <f>SUM(Buildings_Water_Backend[[#This Row],[Scope 1 (tCO2e)]:[Scope 3 WTT T&amp;D (tCO2e)]])</f>
        <v>#N/A</v>
      </c>
      <c r="AM102" s="220" t="e">
        <f>Buildings_Water_Backend[[#This Row],[Total (tCO2e)]]*(1-Buildings_Water_Backend[[#This Row],[RSD]])</f>
        <v>#N/A</v>
      </c>
      <c r="AN102" s="220" t="e">
        <f>Buildings_Water_Backend[[#This Row],[Total (tCO2e)]]*(1+Buildings_Water_Backend[[#This Row],[RSD]])</f>
        <v>#N/A</v>
      </c>
      <c r="AO102" s="210" t="e">
        <f>_xlfn.XLOOKUP(_xlfn.CONCAT(Buildings_Water_Backend[[#This Row],[Level 1]:[Level 6]]),rng_EFConcat,rng_EFOOS)*Buildings_Water_Backend[[#This Row],[Converted data]]/1000</f>
        <v>#N/A</v>
      </c>
      <c r="AP102" s="174">
        <f>Buildings_Water_Frontend[[#This Row],[Ease of collection]]</f>
        <v>0</v>
      </c>
      <c r="AQ102" s="174">
        <f>Buildings_Water_Frontend[[#This Row],[Completeness]]</f>
        <v>0</v>
      </c>
      <c r="AR102" s="174">
        <f>Buildings_Water_Frontend[[#This Row],[Notes]]</f>
        <v>0</v>
      </c>
    </row>
    <row r="103" spans="5:44" x14ac:dyDescent="0.3">
      <c r="E103" s="346"/>
      <c r="F103" s="364"/>
      <c r="G103" s="336"/>
      <c r="H103" s="336"/>
      <c r="I103" s="334"/>
      <c r="J103" s="336"/>
      <c r="K103" s="336"/>
      <c r="L103" s="336"/>
      <c r="M103" s="337"/>
      <c r="N103" s="242">
        <f t="shared" si="3"/>
        <v>5</v>
      </c>
      <c r="Q103" s="212" t="str">
        <f t="shared" si="2"/>
        <v/>
      </c>
      <c r="R103" s="174" t="s">
        <v>265</v>
      </c>
      <c r="S103" s="174" t="s">
        <v>273</v>
      </c>
      <c r="T103" s="174" t="e">
        <f>_xlfn.XLOOKUP(Buildings_Water_Backend[[#This Row],[Info 1]],Buildings_SiteInfo[Site name],Buildings_SiteInfo[Site type])</f>
        <v>#N/A</v>
      </c>
      <c r="U103" s="174" t="s">
        <v>327</v>
      </c>
      <c r="V103" s="174">
        <f>Buildings_Water_Frontend[[#This Row],[Type]]</f>
        <v>0</v>
      </c>
      <c r="W103" s="174" t="e" cm="1">
        <f t="array" aca="1" ref="W103" ca="1">_xlfn.XLOOKUP(Buildings_Water_Backend[[#This Row],[Level 5]],rng_Level5Long,rng_Level6Long)</f>
        <v>#N/A</v>
      </c>
      <c r="X103" s="174">
        <f>Buildings_Water_Frontend[[#This Row],[Site Name]]</f>
        <v>0</v>
      </c>
      <c r="Y103" s="174">
        <f>Buildings_Water_Frontend[[#This Row],[Meter Reference]]</f>
        <v>0</v>
      </c>
      <c r="Z103" s="220">
        <f>Buildings_Water_Frontend[[#This Row],[Methodology]]</f>
        <v>0</v>
      </c>
      <c r="AA103" s="229" t="e" cm="1">
        <f t="array" ref="AA103">INDEX(_xlfn.SWITCH(Buildings_Water_Backend[[#This Row],[Methodology]],"Tier 1",rng_RSD1,"Tier 2",rng_RSD2,"Tier 3",rng_RSD3),MATCH(_xlfn.CONCAT(Buildings_Water_Backend[[#This Row],[Level 1]:[Level 6]]),rng_LevelsConcat,0))</f>
        <v>#N/A</v>
      </c>
      <c r="AB103" s="224">
        <f>Buildings_Water_Frontend[[#This Row],[Data]]</f>
        <v>0</v>
      </c>
      <c r="AC103" s="174">
        <f>Buildings_Water_Frontend[[#This Row],[Units]]</f>
        <v>0</v>
      </c>
      <c r="AD103" s="220" t="e">
        <f>IF(Buildings_Water_Backend[[#This Row],[Units]]=Buildings_Water_Backend[[#This Row],[Standard units]],Buildings_Water_Backend[[#This Row],[Data]],Buildings_Water_Backend[[#This Row],[Data]]*_xlfn.XLOOKUP(_xlfn.CONCAT(Buildings_Water_Backend[[#This Row],[Level 1]:[Level 6]]),rng_EFConcat,rng_EFConversion))</f>
        <v>#N/A</v>
      </c>
      <c r="AE103" s="174" t="e" cm="1">
        <f t="array" ref="AE103">_xlfn.XLOOKUP(_xlfn.CONCAT(Buildings_Water_Backend[[#This Row],[Level 1]:[Level 6]]),rng_LevelsConcat,rng_UnitsLong)</f>
        <v>#N/A</v>
      </c>
      <c r="AF103" s="210" t="e">
        <f>_xlfn.XLOOKUP(_xlfn.CONCAT(Buildings_Water_Backend[[#This Row],[Level 1]:[Level 6]]),rng_EFConcat,rng_EF1)*Buildings_Water_Backend[[#This Row],[Converted data]]/1000</f>
        <v>#N/A</v>
      </c>
      <c r="AG103" s="210" t="e">
        <f>_xlfn.XLOOKUP(_xlfn.CONCAT(Buildings_Water_Backend[[#This Row],[Level 1]:[Level 6]]),rng_EFConcat,rng_EF2)*Buildings_Water_Backend[[#This Row],[Converted data]]/1000</f>
        <v>#N/A</v>
      </c>
      <c r="AH103" s="210" t="e">
        <f>_xlfn.XLOOKUP(_xlfn.CONCAT(Buildings_Water_Backend[[#This Row],[Level 1]:[Level 6]]),rng_EFConcat,rng_EF3)*Buildings_Water_Backend[[#This Row],[Converted data]]/1000</f>
        <v>#N/A</v>
      </c>
      <c r="AI103" s="210" t="e">
        <f>_xlfn.XLOOKUP(_xlfn.CONCAT(Buildings_Water_Backend[[#This Row],[Level 1]:[Level 6]]),rng_EFConcat,rng_EF3WTT)*Buildings_Water_Backend[[#This Row],[Converted data]]/1000</f>
        <v>#N/A</v>
      </c>
      <c r="AJ103" s="210" t="e">
        <f>_xlfn.XLOOKUP(_xlfn.CONCAT(Buildings_Water_Backend[[#This Row],[Level 1]:[Level 6]]),rng_EFConcat,rng_EF3TD)*Buildings_Water_Backend[[#This Row],[Converted data]]/1000</f>
        <v>#N/A</v>
      </c>
      <c r="AK103" s="210" t="e">
        <f>_xlfn.XLOOKUP(_xlfn.CONCAT(Buildings_Water_Backend[[#This Row],[Level 1]:[Level 6]]),rng_EFConcat,rng_EF3WTTTD)*Buildings_Water_Backend[[#This Row],[Converted data]]/1000</f>
        <v>#N/A</v>
      </c>
      <c r="AL103" s="220" t="e">
        <f>SUM(Buildings_Water_Backend[[#This Row],[Scope 1 (tCO2e)]:[Scope 3 WTT T&amp;D (tCO2e)]])</f>
        <v>#N/A</v>
      </c>
      <c r="AM103" s="220" t="e">
        <f>Buildings_Water_Backend[[#This Row],[Total (tCO2e)]]*(1-Buildings_Water_Backend[[#This Row],[RSD]])</f>
        <v>#N/A</v>
      </c>
      <c r="AN103" s="220" t="e">
        <f>Buildings_Water_Backend[[#This Row],[Total (tCO2e)]]*(1+Buildings_Water_Backend[[#This Row],[RSD]])</f>
        <v>#N/A</v>
      </c>
      <c r="AO103" s="210" t="e">
        <f>_xlfn.XLOOKUP(_xlfn.CONCAT(Buildings_Water_Backend[[#This Row],[Level 1]:[Level 6]]),rng_EFConcat,rng_EFOOS)*Buildings_Water_Backend[[#This Row],[Converted data]]/1000</f>
        <v>#N/A</v>
      </c>
      <c r="AP103" s="174">
        <f>Buildings_Water_Frontend[[#This Row],[Ease of collection]]</f>
        <v>0</v>
      </c>
      <c r="AQ103" s="174">
        <f>Buildings_Water_Frontend[[#This Row],[Completeness]]</f>
        <v>0</v>
      </c>
      <c r="AR103" s="174">
        <f>Buildings_Water_Frontend[[#This Row],[Notes]]</f>
        <v>0</v>
      </c>
    </row>
    <row r="104" spans="5:44" x14ac:dyDescent="0.3">
      <c r="E104" s="346"/>
      <c r="F104" s="364"/>
      <c r="G104" s="336"/>
      <c r="H104" s="336"/>
      <c r="I104" s="334"/>
      <c r="J104" s="336"/>
      <c r="K104" s="336"/>
      <c r="L104" s="336"/>
      <c r="M104" s="337"/>
      <c r="N104" s="242">
        <f t="shared" si="3"/>
        <v>5</v>
      </c>
      <c r="Q104" s="212" t="str">
        <f t="shared" si="2"/>
        <v/>
      </c>
      <c r="R104" s="174" t="s">
        <v>265</v>
      </c>
      <c r="S104" s="174" t="s">
        <v>273</v>
      </c>
      <c r="T104" s="174" t="e">
        <f>_xlfn.XLOOKUP(Buildings_Water_Backend[[#This Row],[Info 1]],Buildings_SiteInfo[Site name],Buildings_SiteInfo[Site type])</f>
        <v>#N/A</v>
      </c>
      <c r="U104" s="174" t="s">
        <v>327</v>
      </c>
      <c r="V104" s="174">
        <f>Buildings_Water_Frontend[[#This Row],[Type]]</f>
        <v>0</v>
      </c>
      <c r="W104" s="174" t="e" cm="1">
        <f t="array" aca="1" ref="W104" ca="1">_xlfn.XLOOKUP(Buildings_Water_Backend[[#This Row],[Level 5]],rng_Level5Long,rng_Level6Long)</f>
        <v>#N/A</v>
      </c>
      <c r="X104" s="174">
        <f>Buildings_Water_Frontend[[#This Row],[Site Name]]</f>
        <v>0</v>
      </c>
      <c r="Y104" s="174">
        <f>Buildings_Water_Frontend[[#This Row],[Meter Reference]]</f>
        <v>0</v>
      </c>
      <c r="Z104" s="220">
        <f>Buildings_Water_Frontend[[#This Row],[Methodology]]</f>
        <v>0</v>
      </c>
      <c r="AA104" s="229" t="e" cm="1">
        <f t="array" ref="AA104">INDEX(_xlfn.SWITCH(Buildings_Water_Backend[[#This Row],[Methodology]],"Tier 1",rng_RSD1,"Tier 2",rng_RSD2,"Tier 3",rng_RSD3),MATCH(_xlfn.CONCAT(Buildings_Water_Backend[[#This Row],[Level 1]:[Level 6]]),rng_LevelsConcat,0))</f>
        <v>#N/A</v>
      </c>
      <c r="AB104" s="224">
        <f>Buildings_Water_Frontend[[#This Row],[Data]]</f>
        <v>0</v>
      </c>
      <c r="AC104" s="174">
        <f>Buildings_Water_Frontend[[#This Row],[Units]]</f>
        <v>0</v>
      </c>
      <c r="AD104" s="220" t="e">
        <f>IF(Buildings_Water_Backend[[#This Row],[Units]]=Buildings_Water_Backend[[#This Row],[Standard units]],Buildings_Water_Backend[[#This Row],[Data]],Buildings_Water_Backend[[#This Row],[Data]]*_xlfn.XLOOKUP(_xlfn.CONCAT(Buildings_Water_Backend[[#This Row],[Level 1]:[Level 6]]),rng_EFConcat,rng_EFConversion))</f>
        <v>#N/A</v>
      </c>
      <c r="AE104" s="174" t="e" cm="1">
        <f t="array" ref="AE104">_xlfn.XLOOKUP(_xlfn.CONCAT(Buildings_Water_Backend[[#This Row],[Level 1]:[Level 6]]),rng_LevelsConcat,rng_UnitsLong)</f>
        <v>#N/A</v>
      </c>
      <c r="AF104" s="210" t="e">
        <f>_xlfn.XLOOKUP(_xlfn.CONCAT(Buildings_Water_Backend[[#This Row],[Level 1]:[Level 6]]),rng_EFConcat,rng_EF1)*Buildings_Water_Backend[[#This Row],[Converted data]]/1000</f>
        <v>#N/A</v>
      </c>
      <c r="AG104" s="210" t="e">
        <f>_xlfn.XLOOKUP(_xlfn.CONCAT(Buildings_Water_Backend[[#This Row],[Level 1]:[Level 6]]),rng_EFConcat,rng_EF2)*Buildings_Water_Backend[[#This Row],[Converted data]]/1000</f>
        <v>#N/A</v>
      </c>
      <c r="AH104" s="210" t="e">
        <f>_xlfn.XLOOKUP(_xlfn.CONCAT(Buildings_Water_Backend[[#This Row],[Level 1]:[Level 6]]),rng_EFConcat,rng_EF3)*Buildings_Water_Backend[[#This Row],[Converted data]]/1000</f>
        <v>#N/A</v>
      </c>
      <c r="AI104" s="210" t="e">
        <f>_xlfn.XLOOKUP(_xlfn.CONCAT(Buildings_Water_Backend[[#This Row],[Level 1]:[Level 6]]),rng_EFConcat,rng_EF3WTT)*Buildings_Water_Backend[[#This Row],[Converted data]]/1000</f>
        <v>#N/A</v>
      </c>
      <c r="AJ104" s="210" t="e">
        <f>_xlfn.XLOOKUP(_xlfn.CONCAT(Buildings_Water_Backend[[#This Row],[Level 1]:[Level 6]]),rng_EFConcat,rng_EF3TD)*Buildings_Water_Backend[[#This Row],[Converted data]]/1000</f>
        <v>#N/A</v>
      </c>
      <c r="AK104" s="210" t="e">
        <f>_xlfn.XLOOKUP(_xlfn.CONCAT(Buildings_Water_Backend[[#This Row],[Level 1]:[Level 6]]),rng_EFConcat,rng_EF3WTTTD)*Buildings_Water_Backend[[#This Row],[Converted data]]/1000</f>
        <v>#N/A</v>
      </c>
      <c r="AL104" s="220" t="e">
        <f>SUM(Buildings_Water_Backend[[#This Row],[Scope 1 (tCO2e)]:[Scope 3 WTT T&amp;D (tCO2e)]])</f>
        <v>#N/A</v>
      </c>
      <c r="AM104" s="220" t="e">
        <f>Buildings_Water_Backend[[#This Row],[Total (tCO2e)]]*(1-Buildings_Water_Backend[[#This Row],[RSD]])</f>
        <v>#N/A</v>
      </c>
      <c r="AN104" s="220" t="e">
        <f>Buildings_Water_Backend[[#This Row],[Total (tCO2e)]]*(1+Buildings_Water_Backend[[#This Row],[RSD]])</f>
        <v>#N/A</v>
      </c>
      <c r="AO104" s="210" t="e">
        <f>_xlfn.XLOOKUP(_xlfn.CONCAT(Buildings_Water_Backend[[#This Row],[Level 1]:[Level 6]]),rng_EFConcat,rng_EFOOS)*Buildings_Water_Backend[[#This Row],[Converted data]]/1000</f>
        <v>#N/A</v>
      </c>
      <c r="AP104" s="174">
        <f>Buildings_Water_Frontend[[#This Row],[Ease of collection]]</f>
        <v>0</v>
      </c>
      <c r="AQ104" s="174">
        <f>Buildings_Water_Frontend[[#This Row],[Completeness]]</f>
        <v>0</v>
      </c>
      <c r="AR104" s="174">
        <f>Buildings_Water_Frontend[[#This Row],[Notes]]</f>
        <v>0</v>
      </c>
    </row>
    <row r="105" spans="5:44" x14ac:dyDescent="0.3">
      <c r="E105" s="346"/>
      <c r="F105" s="364"/>
      <c r="G105" s="336"/>
      <c r="H105" s="336"/>
      <c r="I105" s="334"/>
      <c r="J105" s="336"/>
      <c r="K105" s="336"/>
      <c r="L105" s="336"/>
      <c r="M105" s="337"/>
      <c r="N105" s="242">
        <f t="shared" si="3"/>
        <v>5</v>
      </c>
      <c r="Q105" s="212" t="str">
        <f t="shared" si="2"/>
        <v/>
      </c>
      <c r="R105" s="174" t="s">
        <v>265</v>
      </c>
      <c r="S105" s="174" t="s">
        <v>273</v>
      </c>
      <c r="T105" s="174" t="e">
        <f>_xlfn.XLOOKUP(Buildings_Water_Backend[[#This Row],[Info 1]],Buildings_SiteInfo[Site name],Buildings_SiteInfo[Site type])</f>
        <v>#N/A</v>
      </c>
      <c r="U105" s="174" t="s">
        <v>327</v>
      </c>
      <c r="V105" s="174">
        <f>Buildings_Water_Frontend[[#This Row],[Type]]</f>
        <v>0</v>
      </c>
      <c r="W105" s="174" t="e" cm="1">
        <f t="array" aca="1" ref="W105" ca="1">_xlfn.XLOOKUP(Buildings_Water_Backend[[#This Row],[Level 5]],rng_Level5Long,rng_Level6Long)</f>
        <v>#N/A</v>
      </c>
      <c r="X105" s="174">
        <f>Buildings_Water_Frontend[[#This Row],[Site Name]]</f>
        <v>0</v>
      </c>
      <c r="Y105" s="174">
        <f>Buildings_Water_Frontend[[#This Row],[Meter Reference]]</f>
        <v>0</v>
      </c>
      <c r="Z105" s="220">
        <f>Buildings_Water_Frontend[[#This Row],[Methodology]]</f>
        <v>0</v>
      </c>
      <c r="AA105" s="229" t="e" cm="1">
        <f t="array" ref="AA105">INDEX(_xlfn.SWITCH(Buildings_Water_Backend[[#This Row],[Methodology]],"Tier 1",rng_RSD1,"Tier 2",rng_RSD2,"Tier 3",rng_RSD3),MATCH(_xlfn.CONCAT(Buildings_Water_Backend[[#This Row],[Level 1]:[Level 6]]),rng_LevelsConcat,0))</f>
        <v>#N/A</v>
      </c>
      <c r="AB105" s="224">
        <f>Buildings_Water_Frontend[[#This Row],[Data]]</f>
        <v>0</v>
      </c>
      <c r="AC105" s="174">
        <f>Buildings_Water_Frontend[[#This Row],[Units]]</f>
        <v>0</v>
      </c>
      <c r="AD105" s="220" t="e">
        <f>IF(Buildings_Water_Backend[[#This Row],[Units]]=Buildings_Water_Backend[[#This Row],[Standard units]],Buildings_Water_Backend[[#This Row],[Data]],Buildings_Water_Backend[[#This Row],[Data]]*_xlfn.XLOOKUP(_xlfn.CONCAT(Buildings_Water_Backend[[#This Row],[Level 1]:[Level 6]]),rng_EFConcat,rng_EFConversion))</f>
        <v>#N/A</v>
      </c>
      <c r="AE105" s="174" t="e" cm="1">
        <f t="array" ref="AE105">_xlfn.XLOOKUP(_xlfn.CONCAT(Buildings_Water_Backend[[#This Row],[Level 1]:[Level 6]]),rng_LevelsConcat,rng_UnitsLong)</f>
        <v>#N/A</v>
      </c>
      <c r="AF105" s="210" t="e">
        <f>_xlfn.XLOOKUP(_xlfn.CONCAT(Buildings_Water_Backend[[#This Row],[Level 1]:[Level 6]]),rng_EFConcat,rng_EF1)*Buildings_Water_Backend[[#This Row],[Converted data]]/1000</f>
        <v>#N/A</v>
      </c>
      <c r="AG105" s="210" t="e">
        <f>_xlfn.XLOOKUP(_xlfn.CONCAT(Buildings_Water_Backend[[#This Row],[Level 1]:[Level 6]]),rng_EFConcat,rng_EF2)*Buildings_Water_Backend[[#This Row],[Converted data]]/1000</f>
        <v>#N/A</v>
      </c>
      <c r="AH105" s="210" t="e">
        <f>_xlfn.XLOOKUP(_xlfn.CONCAT(Buildings_Water_Backend[[#This Row],[Level 1]:[Level 6]]),rng_EFConcat,rng_EF3)*Buildings_Water_Backend[[#This Row],[Converted data]]/1000</f>
        <v>#N/A</v>
      </c>
      <c r="AI105" s="210" t="e">
        <f>_xlfn.XLOOKUP(_xlfn.CONCAT(Buildings_Water_Backend[[#This Row],[Level 1]:[Level 6]]),rng_EFConcat,rng_EF3WTT)*Buildings_Water_Backend[[#This Row],[Converted data]]/1000</f>
        <v>#N/A</v>
      </c>
      <c r="AJ105" s="210" t="e">
        <f>_xlfn.XLOOKUP(_xlfn.CONCAT(Buildings_Water_Backend[[#This Row],[Level 1]:[Level 6]]),rng_EFConcat,rng_EF3TD)*Buildings_Water_Backend[[#This Row],[Converted data]]/1000</f>
        <v>#N/A</v>
      </c>
      <c r="AK105" s="210" t="e">
        <f>_xlfn.XLOOKUP(_xlfn.CONCAT(Buildings_Water_Backend[[#This Row],[Level 1]:[Level 6]]),rng_EFConcat,rng_EF3WTTTD)*Buildings_Water_Backend[[#This Row],[Converted data]]/1000</f>
        <v>#N/A</v>
      </c>
      <c r="AL105" s="220" t="e">
        <f>SUM(Buildings_Water_Backend[[#This Row],[Scope 1 (tCO2e)]:[Scope 3 WTT T&amp;D (tCO2e)]])</f>
        <v>#N/A</v>
      </c>
      <c r="AM105" s="220" t="e">
        <f>Buildings_Water_Backend[[#This Row],[Total (tCO2e)]]*(1-Buildings_Water_Backend[[#This Row],[RSD]])</f>
        <v>#N/A</v>
      </c>
      <c r="AN105" s="220" t="e">
        <f>Buildings_Water_Backend[[#This Row],[Total (tCO2e)]]*(1+Buildings_Water_Backend[[#This Row],[RSD]])</f>
        <v>#N/A</v>
      </c>
      <c r="AO105" s="210" t="e">
        <f>_xlfn.XLOOKUP(_xlfn.CONCAT(Buildings_Water_Backend[[#This Row],[Level 1]:[Level 6]]),rng_EFConcat,rng_EFOOS)*Buildings_Water_Backend[[#This Row],[Converted data]]/1000</f>
        <v>#N/A</v>
      </c>
      <c r="AP105" s="174">
        <f>Buildings_Water_Frontend[[#This Row],[Ease of collection]]</f>
        <v>0</v>
      </c>
      <c r="AQ105" s="174">
        <f>Buildings_Water_Frontend[[#This Row],[Completeness]]</f>
        <v>0</v>
      </c>
      <c r="AR105" s="174">
        <f>Buildings_Water_Frontend[[#This Row],[Notes]]</f>
        <v>0</v>
      </c>
    </row>
    <row r="106" spans="5:44" x14ac:dyDescent="0.3">
      <c r="E106" s="346"/>
      <c r="F106" s="364"/>
      <c r="G106" s="336"/>
      <c r="H106" s="336"/>
      <c r="I106" s="334"/>
      <c r="J106" s="336"/>
      <c r="K106" s="336"/>
      <c r="L106" s="336"/>
      <c r="M106" s="337"/>
      <c r="N106" s="242">
        <f t="shared" si="3"/>
        <v>5</v>
      </c>
      <c r="Q106" s="212" t="str">
        <f t="shared" si="2"/>
        <v/>
      </c>
      <c r="R106" s="174" t="s">
        <v>265</v>
      </c>
      <c r="S106" s="174" t="s">
        <v>273</v>
      </c>
      <c r="T106" s="174" t="e">
        <f>_xlfn.XLOOKUP(Buildings_Water_Backend[[#This Row],[Info 1]],Buildings_SiteInfo[Site name],Buildings_SiteInfo[Site type])</f>
        <v>#N/A</v>
      </c>
      <c r="U106" s="174" t="s">
        <v>327</v>
      </c>
      <c r="V106" s="174">
        <f>Buildings_Water_Frontend[[#This Row],[Type]]</f>
        <v>0</v>
      </c>
      <c r="W106" s="174" t="e" cm="1">
        <f t="array" aca="1" ref="W106" ca="1">_xlfn.XLOOKUP(Buildings_Water_Backend[[#This Row],[Level 5]],rng_Level5Long,rng_Level6Long)</f>
        <v>#N/A</v>
      </c>
      <c r="X106" s="174">
        <f>Buildings_Water_Frontend[[#This Row],[Site Name]]</f>
        <v>0</v>
      </c>
      <c r="Y106" s="174">
        <f>Buildings_Water_Frontend[[#This Row],[Meter Reference]]</f>
        <v>0</v>
      </c>
      <c r="Z106" s="220">
        <f>Buildings_Water_Frontend[[#This Row],[Methodology]]</f>
        <v>0</v>
      </c>
      <c r="AA106" s="229" t="e" cm="1">
        <f t="array" ref="AA106">INDEX(_xlfn.SWITCH(Buildings_Water_Backend[[#This Row],[Methodology]],"Tier 1",rng_RSD1,"Tier 2",rng_RSD2,"Tier 3",rng_RSD3),MATCH(_xlfn.CONCAT(Buildings_Water_Backend[[#This Row],[Level 1]:[Level 6]]),rng_LevelsConcat,0))</f>
        <v>#N/A</v>
      </c>
      <c r="AB106" s="224">
        <f>Buildings_Water_Frontend[[#This Row],[Data]]</f>
        <v>0</v>
      </c>
      <c r="AC106" s="174">
        <f>Buildings_Water_Frontend[[#This Row],[Units]]</f>
        <v>0</v>
      </c>
      <c r="AD106" s="220" t="e">
        <f>IF(Buildings_Water_Backend[[#This Row],[Units]]=Buildings_Water_Backend[[#This Row],[Standard units]],Buildings_Water_Backend[[#This Row],[Data]],Buildings_Water_Backend[[#This Row],[Data]]*_xlfn.XLOOKUP(_xlfn.CONCAT(Buildings_Water_Backend[[#This Row],[Level 1]:[Level 6]]),rng_EFConcat,rng_EFConversion))</f>
        <v>#N/A</v>
      </c>
      <c r="AE106" s="174" t="e" cm="1">
        <f t="array" ref="AE106">_xlfn.XLOOKUP(_xlfn.CONCAT(Buildings_Water_Backend[[#This Row],[Level 1]:[Level 6]]),rng_LevelsConcat,rng_UnitsLong)</f>
        <v>#N/A</v>
      </c>
      <c r="AF106" s="210" t="e">
        <f>_xlfn.XLOOKUP(_xlfn.CONCAT(Buildings_Water_Backend[[#This Row],[Level 1]:[Level 6]]),rng_EFConcat,rng_EF1)*Buildings_Water_Backend[[#This Row],[Converted data]]/1000</f>
        <v>#N/A</v>
      </c>
      <c r="AG106" s="210" t="e">
        <f>_xlfn.XLOOKUP(_xlfn.CONCAT(Buildings_Water_Backend[[#This Row],[Level 1]:[Level 6]]),rng_EFConcat,rng_EF2)*Buildings_Water_Backend[[#This Row],[Converted data]]/1000</f>
        <v>#N/A</v>
      </c>
      <c r="AH106" s="210" t="e">
        <f>_xlfn.XLOOKUP(_xlfn.CONCAT(Buildings_Water_Backend[[#This Row],[Level 1]:[Level 6]]),rng_EFConcat,rng_EF3)*Buildings_Water_Backend[[#This Row],[Converted data]]/1000</f>
        <v>#N/A</v>
      </c>
      <c r="AI106" s="210" t="e">
        <f>_xlfn.XLOOKUP(_xlfn.CONCAT(Buildings_Water_Backend[[#This Row],[Level 1]:[Level 6]]),rng_EFConcat,rng_EF3WTT)*Buildings_Water_Backend[[#This Row],[Converted data]]/1000</f>
        <v>#N/A</v>
      </c>
      <c r="AJ106" s="210" t="e">
        <f>_xlfn.XLOOKUP(_xlfn.CONCAT(Buildings_Water_Backend[[#This Row],[Level 1]:[Level 6]]),rng_EFConcat,rng_EF3TD)*Buildings_Water_Backend[[#This Row],[Converted data]]/1000</f>
        <v>#N/A</v>
      </c>
      <c r="AK106" s="210" t="e">
        <f>_xlfn.XLOOKUP(_xlfn.CONCAT(Buildings_Water_Backend[[#This Row],[Level 1]:[Level 6]]),rng_EFConcat,rng_EF3WTTTD)*Buildings_Water_Backend[[#This Row],[Converted data]]/1000</f>
        <v>#N/A</v>
      </c>
      <c r="AL106" s="220" t="e">
        <f>SUM(Buildings_Water_Backend[[#This Row],[Scope 1 (tCO2e)]:[Scope 3 WTT T&amp;D (tCO2e)]])</f>
        <v>#N/A</v>
      </c>
      <c r="AM106" s="220" t="e">
        <f>Buildings_Water_Backend[[#This Row],[Total (tCO2e)]]*(1-Buildings_Water_Backend[[#This Row],[RSD]])</f>
        <v>#N/A</v>
      </c>
      <c r="AN106" s="220" t="e">
        <f>Buildings_Water_Backend[[#This Row],[Total (tCO2e)]]*(1+Buildings_Water_Backend[[#This Row],[RSD]])</f>
        <v>#N/A</v>
      </c>
      <c r="AO106" s="210" t="e">
        <f>_xlfn.XLOOKUP(_xlfn.CONCAT(Buildings_Water_Backend[[#This Row],[Level 1]:[Level 6]]),rng_EFConcat,rng_EFOOS)*Buildings_Water_Backend[[#This Row],[Converted data]]/1000</f>
        <v>#N/A</v>
      </c>
      <c r="AP106" s="174">
        <f>Buildings_Water_Frontend[[#This Row],[Ease of collection]]</f>
        <v>0</v>
      </c>
      <c r="AQ106" s="174">
        <f>Buildings_Water_Frontend[[#This Row],[Completeness]]</f>
        <v>0</v>
      </c>
      <c r="AR106" s="174">
        <f>Buildings_Water_Frontend[[#This Row],[Notes]]</f>
        <v>0</v>
      </c>
    </row>
    <row r="107" spans="5:44" x14ac:dyDescent="0.3">
      <c r="E107" s="346"/>
      <c r="F107" s="364"/>
      <c r="G107" s="336"/>
      <c r="H107" s="336"/>
      <c r="I107" s="334"/>
      <c r="J107" s="336"/>
      <c r="K107" s="336"/>
      <c r="L107" s="336"/>
      <c r="M107" s="337"/>
      <c r="N107" s="242">
        <f t="shared" si="3"/>
        <v>5</v>
      </c>
      <c r="Q107" s="212" t="str">
        <f t="shared" si="2"/>
        <v/>
      </c>
      <c r="R107" s="174" t="s">
        <v>265</v>
      </c>
      <c r="S107" s="174" t="s">
        <v>273</v>
      </c>
      <c r="T107" s="174" t="e">
        <f>_xlfn.XLOOKUP(Buildings_Water_Backend[[#This Row],[Info 1]],Buildings_SiteInfo[Site name],Buildings_SiteInfo[Site type])</f>
        <v>#N/A</v>
      </c>
      <c r="U107" s="174" t="s">
        <v>327</v>
      </c>
      <c r="V107" s="174">
        <f>Buildings_Water_Frontend[[#This Row],[Type]]</f>
        <v>0</v>
      </c>
      <c r="W107" s="174" t="e" cm="1">
        <f t="array" aca="1" ref="W107" ca="1">_xlfn.XLOOKUP(Buildings_Water_Backend[[#This Row],[Level 5]],rng_Level5Long,rng_Level6Long)</f>
        <v>#N/A</v>
      </c>
      <c r="X107" s="174">
        <f>Buildings_Water_Frontend[[#This Row],[Site Name]]</f>
        <v>0</v>
      </c>
      <c r="Y107" s="174">
        <f>Buildings_Water_Frontend[[#This Row],[Meter Reference]]</f>
        <v>0</v>
      </c>
      <c r="Z107" s="220">
        <f>Buildings_Water_Frontend[[#This Row],[Methodology]]</f>
        <v>0</v>
      </c>
      <c r="AA107" s="229" t="e" cm="1">
        <f t="array" ref="AA107">INDEX(_xlfn.SWITCH(Buildings_Water_Backend[[#This Row],[Methodology]],"Tier 1",rng_RSD1,"Tier 2",rng_RSD2,"Tier 3",rng_RSD3),MATCH(_xlfn.CONCAT(Buildings_Water_Backend[[#This Row],[Level 1]:[Level 6]]),rng_LevelsConcat,0))</f>
        <v>#N/A</v>
      </c>
      <c r="AB107" s="224">
        <f>Buildings_Water_Frontend[[#This Row],[Data]]</f>
        <v>0</v>
      </c>
      <c r="AC107" s="174">
        <f>Buildings_Water_Frontend[[#This Row],[Units]]</f>
        <v>0</v>
      </c>
      <c r="AD107" s="220" t="e">
        <f>IF(Buildings_Water_Backend[[#This Row],[Units]]=Buildings_Water_Backend[[#This Row],[Standard units]],Buildings_Water_Backend[[#This Row],[Data]],Buildings_Water_Backend[[#This Row],[Data]]*_xlfn.XLOOKUP(_xlfn.CONCAT(Buildings_Water_Backend[[#This Row],[Level 1]:[Level 6]]),rng_EFConcat,rng_EFConversion))</f>
        <v>#N/A</v>
      </c>
      <c r="AE107" s="174" t="e" cm="1">
        <f t="array" ref="AE107">_xlfn.XLOOKUP(_xlfn.CONCAT(Buildings_Water_Backend[[#This Row],[Level 1]:[Level 6]]),rng_LevelsConcat,rng_UnitsLong)</f>
        <v>#N/A</v>
      </c>
      <c r="AF107" s="210" t="e">
        <f>_xlfn.XLOOKUP(_xlfn.CONCAT(Buildings_Water_Backend[[#This Row],[Level 1]:[Level 6]]),rng_EFConcat,rng_EF1)*Buildings_Water_Backend[[#This Row],[Converted data]]/1000</f>
        <v>#N/A</v>
      </c>
      <c r="AG107" s="210" t="e">
        <f>_xlfn.XLOOKUP(_xlfn.CONCAT(Buildings_Water_Backend[[#This Row],[Level 1]:[Level 6]]),rng_EFConcat,rng_EF2)*Buildings_Water_Backend[[#This Row],[Converted data]]/1000</f>
        <v>#N/A</v>
      </c>
      <c r="AH107" s="210" t="e">
        <f>_xlfn.XLOOKUP(_xlfn.CONCAT(Buildings_Water_Backend[[#This Row],[Level 1]:[Level 6]]),rng_EFConcat,rng_EF3)*Buildings_Water_Backend[[#This Row],[Converted data]]/1000</f>
        <v>#N/A</v>
      </c>
      <c r="AI107" s="210" t="e">
        <f>_xlfn.XLOOKUP(_xlfn.CONCAT(Buildings_Water_Backend[[#This Row],[Level 1]:[Level 6]]),rng_EFConcat,rng_EF3WTT)*Buildings_Water_Backend[[#This Row],[Converted data]]/1000</f>
        <v>#N/A</v>
      </c>
      <c r="AJ107" s="210" t="e">
        <f>_xlfn.XLOOKUP(_xlfn.CONCAT(Buildings_Water_Backend[[#This Row],[Level 1]:[Level 6]]),rng_EFConcat,rng_EF3TD)*Buildings_Water_Backend[[#This Row],[Converted data]]/1000</f>
        <v>#N/A</v>
      </c>
      <c r="AK107" s="210" t="e">
        <f>_xlfn.XLOOKUP(_xlfn.CONCAT(Buildings_Water_Backend[[#This Row],[Level 1]:[Level 6]]),rng_EFConcat,rng_EF3WTTTD)*Buildings_Water_Backend[[#This Row],[Converted data]]/1000</f>
        <v>#N/A</v>
      </c>
      <c r="AL107" s="220" t="e">
        <f>SUM(Buildings_Water_Backend[[#This Row],[Scope 1 (tCO2e)]:[Scope 3 WTT T&amp;D (tCO2e)]])</f>
        <v>#N/A</v>
      </c>
      <c r="AM107" s="220" t="e">
        <f>Buildings_Water_Backend[[#This Row],[Total (tCO2e)]]*(1-Buildings_Water_Backend[[#This Row],[RSD]])</f>
        <v>#N/A</v>
      </c>
      <c r="AN107" s="220" t="e">
        <f>Buildings_Water_Backend[[#This Row],[Total (tCO2e)]]*(1+Buildings_Water_Backend[[#This Row],[RSD]])</f>
        <v>#N/A</v>
      </c>
      <c r="AO107" s="210" t="e">
        <f>_xlfn.XLOOKUP(_xlfn.CONCAT(Buildings_Water_Backend[[#This Row],[Level 1]:[Level 6]]),rng_EFConcat,rng_EFOOS)*Buildings_Water_Backend[[#This Row],[Converted data]]/1000</f>
        <v>#N/A</v>
      </c>
      <c r="AP107" s="174">
        <f>Buildings_Water_Frontend[[#This Row],[Ease of collection]]</f>
        <v>0</v>
      </c>
      <c r="AQ107" s="174">
        <f>Buildings_Water_Frontend[[#This Row],[Completeness]]</f>
        <v>0</v>
      </c>
      <c r="AR107" s="174">
        <f>Buildings_Water_Frontend[[#This Row],[Notes]]</f>
        <v>0</v>
      </c>
    </row>
    <row r="108" spans="5:44" x14ac:dyDescent="0.3">
      <c r="E108" s="346"/>
      <c r="F108" s="364"/>
      <c r="G108" s="336"/>
      <c r="H108" s="336"/>
      <c r="I108" s="334"/>
      <c r="J108" s="336"/>
      <c r="K108" s="336"/>
      <c r="L108" s="336"/>
      <c r="M108" s="337"/>
      <c r="N108" s="242">
        <f t="shared" si="3"/>
        <v>5</v>
      </c>
      <c r="Q108" s="212" t="str">
        <f t="shared" si="2"/>
        <v/>
      </c>
      <c r="R108" s="174" t="s">
        <v>265</v>
      </c>
      <c r="S108" s="174" t="s">
        <v>273</v>
      </c>
      <c r="T108" s="174" t="e">
        <f>_xlfn.XLOOKUP(Buildings_Water_Backend[[#This Row],[Info 1]],Buildings_SiteInfo[Site name],Buildings_SiteInfo[Site type])</f>
        <v>#N/A</v>
      </c>
      <c r="U108" s="174" t="s">
        <v>327</v>
      </c>
      <c r="V108" s="174">
        <f>Buildings_Water_Frontend[[#This Row],[Type]]</f>
        <v>0</v>
      </c>
      <c r="W108" s="174" t="e" cm="1">
        <f t="array" aca="1" ref="W108" ca="1">_xlfn.XLOOKUP(Buildings_Water_Backend[[#This Row],[Level 5]],rng_Level5Long,rng_Level6Long)</f>
        <v>#N/A</v>
      </c>
      <c r="X108" s="174">
        <f>Buildings_Water_Frontend[[#This Row],[Site Name]]</f>
        <v>0</v>
      </c>
      <c r="Y108" s="174">
        <f>Buildings_Water_Frontend[[#This Row],[Meter Reference]]</f>
        <v>0</v>
      </c>
      <c r="Z108" s="220">
        <f>Buildings_Water_Frontend[[#This Row],[Methodology]]</f>
        <v>0</v>
      </c>
      <c r="AA108" s="229" t="e" cm="1">
        <f t="array" ref="AA108">INDEX(_xlfn.SWITCH(Buildings_Water_Backend[[#This Row],[Methodology]],"Tier 1",rng_RSD1,"Tier 2",rng_RSD2,"Tier 3",rng_RSD3),MATCH(_xlfn.CONCAT(Buildings_Water_Backend[[#This Row],[Level 1]:[Level 6]]),rng_LevelsConcat,0))</f>
        <v>#N/A</v>
      </c>
      <c r="AB108" s="224">
        <f>Buildings_Water_Frontend[[#This Row],[Data]]</f>
        <v>0</v>
      </c>
      <c r="AC108" s="174">
        <f>Buildings_Water_Frontend[[#This Row],[Units]]</f>
        <v>0</v>
      </c>
      <c r="AD108" s="220" t="e">
        <f>IF(Buildings_Water_Backend[[#This Row],[Units]]=Buildings_Water_Backend[[#This Row],[Standard units]],Buildings_Water_Backend[[#This Row],[Data]],Buildings_Water_Backend[[#This Row],[Data]]*_xlfn.XLOOKUP(_xlfn.CONCAT(Buildings_Water_Backend[[#This Row],[Level 1]:[Level 6]]),rng_EFConcat,rng_EFConversion))</f>
        <v>#N/A</v>
      </c>
      <c r="AE108" s="174" t="e" cm="1">
        <f t="array" ref="AE108">_xlfn.XLOOKUP(_xlfn.CONCAT(Buildings_Water_Backend[[#This Row],[Level 1]:[Level 6]]),rng_LevelsConcat,rng_UnitsLong)</f>
        <v>#N/A</v>
      </c>
      <c r="AF108" s="210" t="e">
        <f>_xlfn.XLOOKUP(_xlfn.CONCAT(Buildings_Water_Backend[[#This Row],[Level 1]:[Level 6]]),rng_EFConcat,rng_EF1)*Buildings_Water_Backend[[#This Row],[Converted data]]/1000</f>
        <v>#N/A</v>
      </c>
      <c r="AG108" s="210" t="e">
        <f>_xlfn.XLOOKUP(_xlfn.CONCAT(Buildings_Water_Backend[[#This Row],[Level 1]:[Level 6]]),rng_EFConcat,rng_EF2)*Buildings_Water_Backend[[#This Row],[Converted data]]/1000</f>
        <v>#N/A</v>
      </c>
      <c r="AH108" s="210" t="e">
        <f>_xlfn.XLOOKUP(_xlfn.CONCAT(Buildings_Water_Backend[[#This Row],[Level 1]:[Level 6]]),rng_EFConcat,rng_EF3)*Buildings_Water_Backend[[#This Row],[Converted data]]/1000</f>
        <v>#N/A</v>
      </c>
      <c r="AI108" s="210" t="e">
        <f>_xlfn.XLOOKUP(_xlfn.CONCAT(Buildings_Water_Backend[[#This Row],[Level 1]:[Level 6]]),rng_EFConcat,rng_EF3WTT)*Buildings_Water_Backend[[#This Row],[Converted data]]/1000</f>
        <v>#N/A</v>
      </c>
      <c r="AJ108" s="210" t="e">
        <f>_xlfn.XLOOKUP(_xlfn.CONCAT(Buildings_Water_Backend[[#This Row],[Level 1]:[Level 6]]),rng_EFConcat,rng_EF3TD)*Buildings_Water_Backend[[#This Row],[Converted data]]/1000</f>
        <v>#N/A</v>
      </c>
      <c r="AK108" s="210" t="e">
        <f>_xlfn.XLOOKUP(_xlfn.CONCAT(Buildings_Water_Backend[[#This Row],[Level 1]:[Level 6]]),rng_EFConcat,rng_EF3WTTTD)*Buildings_Water_Backend[[#This Row],[Converted data]]/1000</f>
        <v>#N/A</v>
      </c>
      <c r="AL108" s="220" t="e">
        <f>SUM(Buildings_Water_Backend[[#This Row],[Scope 1 (tCO2e)]:[Scope 3 WTT T&amp;D (tCO2e)]])</f>
        <v>#N/A</v>
      </c>
      <c r="AM108" s="220" t="e">
        <f>Buildings_Water_Backend[[#This Row],[Total (tCO2e)]]*(1-Buildings_Water_Backend[[#This Row],[RSD]])</f>
        <v>#N/A</v>
      </c>
      <c r="AN108" s="220" t="e">
        <f>Buildings_Water_Backend[[#This Row],[Total (tCO2e)]]*(1+Buildings_Water_Backend[[#This Row],[RSD]])</f>
        <v>#N/A</v>
      </c>
      <c r="AO108" s="210" t="e">
        <f>_xlfn.XLOOKUP(_xlfn.CONCAT(Buildings_Water_Backend[[#This Row],[Level 1]:[Level 6]]),rng_EFConcat,rng_EFOOS)*Buildings_Water_Backend[[#This Row],[Converted data]]/1000</f>
        <v>#N/A</v>
      </c>
      <c r="AP108" s="174">
        <f>Buildings_Water_Frontend[[#This Row],[Ease of collection]]</f>
        <v>0</v>
      </c>
      <c r="AQ108" s="174">
        <f>Buildings_Water_Frontend[[#This Row],[Completeness]]</f>
        <v>0</v>
      </c>
      <c r="AR108" s="174">
        <f>Buildings_Water_Frontend[[#This Row],[Notes]]</f>
        <v>0</v>
      </c>
    </row>
    <row r="109" spans="5:44" x14ac:dyDescent="0.3">
      <c r="E109" s="346"/>
      <c r="F109" s="364"/>
      <c r="G109" s="336"/>
      <c r="H109" s="336"/>
      <c r="I109" s="334"/>
      <c r="J109" s="336"/>
      <c r="K109" s="336"/>
      <c r="L109" s="336"/>
      <c r="M109" s="337"/>
      <c r="N109" s="242">
        <f t="shared" si="3"/>
        <v>5</v>
      </c>
      <c r="Q109" s="212" t="str">
        <f t="shared" si="2"/>
        <v/>
      </c>
      <c r="R109" s="174" t="s">
        <v>265</v>
      </c>
      <c r="S109" s="174" t="s">
        <v>273</v>
      </c>
      <c r="T109" s="174" t="e">
        <f>_xlfn.XLOOKUP(Buildings_Water_Backend[[#This Row],[Info 1]],Buildings_SiteInfo[Site name],Buildings_SiteInfo[Site type])</f>
        <v>#N/A</v>
      </c>
      <c r="U109" s="174" t="s">
        <v>327</v>
      </c>
      <c r="V109" s="174">
        <f>Buildings_Water_Frontend[[#This Row],[Type]]</f>
        <v>0</v>
      </c>
      <c r="W109" s="174" t="e" cm="1">
        <f t="array" aca="1" ref="W109" ca="1">_xlfn.XLOOKUP(Buildings_Water_Backend[[#This Row],[Level 5]],rng_Level5Long,rng_Level6Long)</f>
        <v>#N/A</v>
      </c>
      <c r="X109" s="174">
        <f>Buildings_Water_Frontend[[#This Row],[Site Name]]</f>
        <v>0</v>
      </c>
      <c r="Y109" s="174">
        <f>Buildings_Water_Frontend[[#This Row],[Meter Reference]]</f>
        <v>0</v>
      </c>
      <c r="Z109" s="220">
        <f>Buildings_Water_Frontend[[#This Row],[Methodology]]</f>
        <v>0</v>
      </c>
      <c r="AA109" s="229" t="e" cm="1">
        <f t="array" ref="AA109">INDEX(_xlfn.SWITCH(Buildings_Water_Backend[[#This Row],[Methodology]],"Tier 1",rng_RSD1,"Tier 2",rng_RSD2,"Tier 3",rng_RSD3),MATCH(_xlfn.CONCAT(Buildings_Water_Backend[[#This Row],[Level 1]:[Level 6]]),rng_LevelsConcat,0))</f>
        <v>#N/A</v>
      </c>
      <c r="AB109" s="224">
        <f>Buildings_Water_Frontend[[#This Row],[Data]]</f>
        <v>0</v>
      </c>
      <c r="AC109" s="174">
        <f>Buildings_Water_Frontend[[#This Row],[Units]]</f>
        <v>0</v>
      </c>
      <c r="AD109" s="220" t="e">
        <f>IF(Buildings_Water_Backend[[#This Row],[Units]]=Buildings_Water_Backend[[#This Row],[Standard units]],Buildings_Water_Backend[[#This Row],[Data]],Buildings_Water_Backend[[#This Row],[Data]]*_xlfn.XLOOKUP(_xlfn.CONCAT(Buildings_Water_Backend[[#This Row],[Level 1]:[Level 6]]),rng_EFConcat,rng_EFConversion))</f>
        <v>#N/A</v>
      </c>
      <c r="AE109" s="174" t="e" cm="1">
        <f t="array" ref="AE109">_xlfn.XLOOKUP(_xlfn.CONCAT(Buildings_Water_Backend[[#This Row],[Level 1]:[Level 6]]),rng_LevelsConcat,rng_UnitsLong)</f>
        <v>#N/A</v>
      </c>
      <c r="AF109" s="210" t="e">
        <f>_xlfn.XLOOKUP(_xlfn.CONCAT(Buildings_Water_Backend[[#This Row],[Level 1]:[Level 6]]),rng_EFConcat,rng_EF1)*Buildings_Water_Backend[[#This Row],[Converted data]]/1000</f>
        <v>#N/A</v>
      </c>
      <c r="AG109" s="210" t="e">
        <f>_xlfn.XLOOKUP(_xlfn.CONCAT(Buildings_Water_Backend[[#This Row],[Level 1]:[Level 6]]),rng_EFConcat,rng_EF2)*Buildings_Water_Backend[[#This Row],[Converted data]]/1000</f>
        <v>#N/A</v>
      </c>
      <c r="AH109" s="210" t="e">
        <f>_xlfn.XLOOKUP(_xlfn.CONCAT(Buildings_Water_Backend[[#This Row],[Level 1]:[Level 6]]),rng_EFConcat,rng_EF3)*Buildings_Water_Backend[[#This Row],[Converted data]]/1000</f>
        <v>#N/A</v>
      </c>
      <c r="AI109" s="210" t="e">
        <f>_xlfn.XLOOKUP(_xlfn.CONCAT(Buildings_Water_Backend[[#This Row],[Level 1]:[Level 6]]),rng_EFConcat,rng_EF3WTT)*Buildings_Water_Backend[[#This Row],[Converted data]]/1000</f>
        <v>#N/A</v>
      </c>
      <c r="AJ109" s="210" t="e">
        <f>_xlfn.XLOOKUP(_xlfn.CONCAT(Buildings_Water_Backend[[#This Row],[Level 1]:[Level 6]]),rng_EFConcat,rng_EF3TD)*Buildings_Water_Backend[[#This Row],[Converted data]]/1000</f>
        <v>#N/A</v>
      </c>
      <c r="AK109" s="210" t="e">
        <f>_xlfn.XLOOKUP(_xlfn.CONCAT(Buildings_Water_Backend[[#This Row],[Level 1]:[Level 6]]),rng_EFConcat,rng_EF3WTTTD)*Buildings_Water_Backend[[#This Row],[Converted data]]/1000</f>
        <v>#N/A</v>
      </c>
      <c r="AL109" s="220" t="e">
        <f>SUM(Buildings_Water_Backend[[#This Row],[Scope 1 (tCO2e)]:[Scope 3 WTT T&amp;D (tCO2e)]])</f>
        <v>#N/A</v>
      </c>
      <c r="AM109" s="220" t="e">
        <f>Buildings_Water_Backend[[#This Row],[Total (tCO2e)]]*(1-Buildings_Water_Backend[[#This Row],[RSD]])</f>
        <v>#N/A</v>
      </c>
      <c r="AN109" s="220" t="e">
        <f>Buildings_Water_Backend[[#This Row],[Total (tCO2e)]]*(1+Buildings_Water_Backend[[#This Row],[RSD]])</f>
        <v>#N/A</v>
      </c>
      <c r="AO109" s="210" t="e">
        <f>_xlfn.XLOOKUP(_xlfn.CONCAT(Buildings_Water_Backend[[#This Row],[Level 1]:[Level 6]]),rng_EFConcat,rng_EFOOS)*Buildings_Water_Backend[[#This Row],[Converted data]]/1000</f>
        <v>#N/A</v>
      </c>
      <c r="AP109" s="174">
        <f>Buildings_Water_Frontend[[#This Row],[Ease of collection]]</f>
        <v>0</v>
      </c>
      <c r="AQ109" s="174">
        <f>Buildings_Water_Frontend[[#This Row],[Completeness]]</f>
        <v>0</v>
      </c>
      <c r="AR109" s="174">
        <f>Buildings_Water_Frontend[[#This Row],[Notes]]</f>
        <v>0</v>
      </c>
    </row>
    <row r="110" spans="5:44" x14ac:dyDescent="0.3">
      <c r="E110" s="346"/>
      <c r="F110" s="364"/>
      <c r="G110" s="336"/>
      <c r="H110" s="336"/>
      <c r="I110" s="334"/>
      <c r="J110" s="336"/>
      <c r="K110" s="336"/>
      <c r="L110" s="336"/>
      <c r="M110" s="337"/>
      <c r="N110" s="242">
        <f t="shared" si="3"/>
        <v>5</v>
      </c>
      <c r="Q110" s="212" t="str">
        <f t="shared" si="2"/>
        <v/>
      </c>
      <c r="R110" s="174" t="s">
        <v>265</v>
      </c>
      <c r="S110" s="174" t="s">
        <v>273</v>
      </c>
      <c r="T110" s="174" t="e">
        <f>_xlfn.XLOOKUP(Buildings_Water_Backend[[#This Row],[Info 1]],Buildings_SiteInfo[Site name],Buildings_SiteInfo[Site type])</f>
        <v>#N/A</v>
      </c>
      <c r="U110" s="174" t="s">
        <v>327</v>
      </c>
      <c r="V110" s="174">
        <f>Buildings_Water_Frontend[[#This Row],[Type]]</f>
        <v>0</v>
      </c>
      <c r="W110" s="174" t="e" cm="1">
        <f t="array" aca="1" ref="W110" ca="1">_xlfn.XLOOKUP(Buildings_Water_Backend[[#This Row],[Level 5]],rng_Level5Long,rng_Level6Long)</f>
        <v>#N/A</v>
      </c>
      <c r="X110" s="174">
        <f>Buildings_Water_Frontend[[#This Row],[Site Name]]</f>
        <v>0</v>
      </c>
      <c r="Y110" s="174">
        <f>Buildings_Water_Frontend[[#This Row],[Meter Reference]]</f>
        <v>0</v>
      </c>
      <c r="Z110" s="220">
        <f>Buildings_Water_Frontend[[#This Row],[Methodology]]</f>
        <v>0</v>
      </c>
      <c r="AA110" s="229" t="e" cm="1">
        <f t="array" ref="AA110">INDEX(_xlfn.SWITCH(Buildings_Water_Backend[[#This Row],[Methodology]],"Tier 1",rng_RSD1,"Tier 2",rng_RSD2,"Tier 3",rng_RSD3),MATCH(_xlfn.CONCAT(Buildings_Water_Backend[[#This Row],[Level 1]:[Level 6]]),rng_LevelsConcat,0))</f>
        <v>#N/A</v>
      </c>
      <c r="AB110" s="224">
        <f>Buildings_Water_Frontend[[#This Row],[Data]]</f>
        <v>0</v>
      </c>
      <c r="AC110" s="174">
        <f>Buildings_Water_Frontend[[#This Row],[Units]]</f>
        <v>0</v>
      </c>
      <c r="AD110" s="220" t="e">
        <f>IF(Buildings_Water_Backend[[#This Row],[Units]]=Buildings_Water_Backend[[#This Row],[Standard units]],Buildings_Water_Backend[[#This Row],[Data]],Buildings_Water_Backend[[#This Row],[Data]]*_xlfn.XLOOKUP(_xlfn.CONCAT(Buildings_Water_Backend[[#This Row],[Level 1]:[Level 6]]),rng_EFConcat,rng_EFConversion))</f>
        <v>#N/A</v>
      </c>
      <c r="AE110" s="174" t="e" cm="1">
        <f t="array" ref="AE110">_xlfn.XLOOKUP(_xlfn.CONCAT(Buildings_Water_Backend[[#This Row],[Level 1]:[Level 6]]),rng_LevelsConcat,rng_UnitsLong)</f>
        <v>#N/A</v>
      </c>
      <c r="AF110" s="210" t="e">
        <f>_xlfn.XLOOKUP(_xlfn.CONCAT(Buildings_Water_Backend[[#This Row],[Level 1]:[Level 6]]),rng_EFConcat,rng_EF1)*Buildings_Water_Backend[[#This Row],[Converted data]]/1000</f>
        <v>#N/A</v>
      </c>
      <c r="AG110" s="210" t="e">
        <f>_xlfn.XLOOKUP(_xlfn.CONCAT(Buildings_Water_Backend[[#This Row],[Level 1]:[Level 6]]),rng_EFConcat,rng_EF2)*Buildings_Water_Backend[[#This Row],[Converted data]]/1000</f>
        <v>#N/A</v>
      </c>
      <c r="AH110" s="210" t="e">
        <f>_xlfn.XLOOKUP(_xlfn.CONCAT(Buildings_Water_Backend[[#This Row],[Level 1]:[Level 6]]),rng_EFConcat,rng_EF3)*Buildings_Water_Backend[[#This Row],[Converted data]]/1000</f>
        <v>#N/A</v>
      </c>
      <c r="AI110" s="210" t="e">
        <f>_xlfn.XLOOKUP(_xlfn.CONCAT(Buildings_Water_Backend[[#This Row],[Level 1]:[Level 6]]),rng_EFConcat,rng_EF3WTT)*Buildings_Water_Backend[[#This Row],[Converted data]]/1000</f>
        <v>#N/A</v>
      </c>
      <c r="AJ110" s="210" t="e">
        <f>_xlfn.XLOOKUP(_xlfn.CONCAT(Buildings_Water_Backend[[#This Row],[Level 1]:[Level 6]]),rng_EFConcat,rng_EF3TD)*Buildings_Water_Backend[[#This Row],[Converted data]]/1000</f>
        <v>#N/A</v>
      </c>
      <c r="AK110" s="210" t="e">
        <f>_xlfn.XLOOKUP(_xlfn.CONCAT(Buildings_Water_Backend[[#This Row],[Level 1]:[Level 6]]),rng_EFConcat,rng_EF3WTTTD)*Buildings_Water_Backend[[#This Row],[Converted data]]/1000</f>
        <v>#N/A</v>
      </c>
      <c r="AL110" s="220" t="e">
        <f>SUM(Buildings_Water_Backend[[#This Row],[Scope 1 (tCO2e)]:[Scope 3 WTT T&amp;D (tCO2e)]])</f>
        <v>#N/A</v>
      </c>
      <c r="AM110" s="220" t="e">
        <f>Buildings_Water_Backend[[#This Row],[Total (tCO2e)]]*(1-Buildings_Water_Backend[[#This Row],[RSD]])</f>
        <v>#N/A</v>
      </c>
      <c r="AN110" s="220" t="e">
        <f>Buildings_Water_Backend[[#This Row],[Total (tCO2e)]]*(1+Buildings_Water_Backend[[#This Row],[RSD]])</f>
        <v>#N/A</v>
      </c>
      <c r="AO110" s="210" t="e">
        <f>_xlfn.XLOOKUP(_xlfn.CONCAT(Buildings_Water_Backend[[#This Row],[Level 1]:[Level 6]]),rng_EFConcat,rng_EFOOS)*Buildings_Water_Backend[[#This Row],[Converted data]]/1000</f>
        <v>#N/A</v>
      </c>
      <c r="AP110" s="174">
        <f>Buildings_Water_Frontend[[#This Row],[Ease of collection]]</f>
        <v>0</v>
      </c>
      <c r="AQ110" s="174">
        <f>Buildings_Water_Frontend[[#This Row],[Completeness]]</f>
        <v>0</v>
      </c>
      <c r="AR110" s="174">
        <f>Buildings_Water_Frontend[[#This Row],[Notes]]</f>
        <v>0</v>
      </c>
    </row>
    <row r="111" spans="5:44" x14ac:dyDescent="0.3">
      <c r="E111" s="346"/>
      <c r="F111" s="364"/>
      <c r="G111" s="336"/>
      <c r="H111" s="336"/>
      <c r="I111" s="334"/>
      <c r="J111" s="336"/>
      <c r="K111" s="336"/>
      <c r="L111" s="336"/>
      <c r="M111" s="337"/>
      <c r="N111" s="242">
        <f t="shared" si="3"/>
        <v>5</v>
      </c>
      <c r="Q111" s="212" t="str">
        <f t="shared" si="2"/>
        <v/>
      </c>
      <c r="R111" s="174" t="s">
        <v>265</v>
      </c>
      <c r="S111" s="174" t="s">
        <v>273</v>
      </c>
      <c r="T111" s="174" t="e">
        <f>_xlfn.XLOOKUP(Buildings_Water_Backend[[#This Row],[Info 1]],Buildings_SiteInfo[Site name],Buildings_SiteInfo[Site type])</f>
        <v>#N/A</v>
      </c>
      <c r="U111" s="174" t="s">
        <v>327</v>
      </c>
      <c r="V111" s="174">
        <f>Buildings_Water_Frontend[[#This Row],[Type]]</f>
        <v>0</v>
      </c>
      <c r="W111" s="174" t="e" cm="1">
        <f t="array" aca="1" ref="W111" ca="1">_xlfn.XLOOKUP(Buildings_Water_Backend[[#This Row],[Level 5]],rng_Level5Long,rng_Level6Long)</f>
        <v>#N/A</v>
      </c>
      <c r="X111" s="174">
        <f>Buildings_Water_Frontend[[#This Row],[Site Name]]</f>
        <v>0</v>
      </c>
      <c r="Y111" s="174">
        <f>Buildings_Water_Frontend[[#This Row],[Meter Reference]]</f>
        <v>0</v>
      </c>
      <c r="Z111" s="220">
        <f>Buildings_Water_Frontend[[#This Row],[Methodology]]</f>
        <v>0</v>
      </c>
      <c r="AA111" s="229" t="e" cm="1">
        <f t="array" ref="AA111">INDEX(_xlfn.SWITCH(Buildings_Water_Backend[[#This Row],[Methodology]],"Tier 1",rng_RSD1,"Tier 2",rng_RSD2,"Tier 3",rng_RSD3),MATCH(_xlfn.CONCAT(Buildings_Water_Backend[[#This Row],[Level 1]:[Level 6]]),rng_LevelsConcat,0))</f>
        <v>#N/A</v>
      </c>
      <c r="AB111" s="224">
        <f>Buildings_Water_Frontend[[#This Row],[Data]]</f>
        <v>0</v>
      </c>
      <c r="AC111" s="174">
        <f>Buildings_Water_Frontend[[#This Row],[Units]]</f>
        <v>0</v>
      </c>
      <c r="AD111" s="220" t="e">
        <f>IF(Buildings_Water_Backend[[#This Row],[Units]]=Buildings_Water_Backend[[#This Row],[Standard units]],Buildings_Water_Backend[[#This Row],[Data]],Buildings_Water_Backend[[#This Row],[Data]]*_xlfn.XLOOKUP(_xlfn.CONCAT(Buildings_Water_Backend[[#This Row],[Level 1]:[Level 6]]),rng_EFConcat,rng_EFConversion))</f>
        <v>#N/A</v>
      </c>
      <c r="AE111" s="174" t="e" cm="1">
        <f t="array" ref="AE111">_xlfn.XLOOKUP(_xlfn.CONCAT(Buildings_Water_Backend[[#This Row],[Level 1]:[Level 6]]),rng_LevelsConcat,rng_UnitsLong)</f>
        <v>#N/A</v>
      </c>
      <c r="AF111" s="210" t="e">
        <f>_xlfn.XLOOKUP(_xlfn.CONCAT(Buildings_Water_Backend[[#This Row],[Level 1]:[Level 6]]),rng_EFConcat,rng_EF1)*Buildings_Water_Backend[[#This Row],[Converted data]]/1000</f>
        <v>#N/A</v>
      </c>
      <c r="AG111" s="210" t="e">
        <f>_xlfn.XLOOKUP(_xlfn.CONCAT(Buildings_Water_Backend[[#This Row],[Level 1]:[Level 6]]),rng_EFConcat,rng_EF2)*Buildings_Water_Backend[[#This Row],[Converted data]]/1000</f>
        <v>#N/A</v>
      </c>
      <c r="AH111" s="210" t="e">
        <f>_xlfn.XLOOKUP(_xlfn.CONCAT(Buildings_Water_Backend[[#This Row],[Level 1]:[Level 6]]),rng_EFConcat,rng_EF3)*Buildings_Water_Backend[[#This Row],[Converted data]]/1000</f>
        <v>#N/A</v>
      </c>
      <c r="AI111" s="210" t="e">
        <f>_xlfn.XLOOKUP(_xlfn.CONCAT(Buildings_Water_Backend[[#This Row],[Level 1]:[Level 6]]),rng_EFConcat,rng_EF3WTT)*Buildings_Water_Backend[[#This Row],[Converted data]]/1000</f>
        <v>#N/A</v>
      </c>
      <c r="AJ111" s="210" t="e">
        <f>_xlfn.XLOOKUP(_xlfn.CONCAT(Buildings_Water_Backend[[#This Row],[Level 1]:[Level 6]]),rng_EFConcat,rng_EF3TD)*Buildings_Water_Backend[[#This Row],[Converted data]]/1000</f>
        <v>#N/A</v>
      </c>
      <c r="AK111" s="210" t="e">
        <f>_xlfn.XLOOKUP(_xlfn.CONCAT(Buildings_Water_Backend[[#This Row],[Level 1]:[Level 6]]),rng_EFConcat,rng_EF3WTTTD)*Buildings_Water_Backend[[#This Row],[Converted data]]/1000</f>
        <v>#N/A</v>
      </c>
      <c r="AL111" s="220" t="e">
        <f>SUM(Buildings_Water_Backend[[#This Row],[Scope 1 (tCO2e)]:[Scope 3 WTT T&amp;D (tCO2e)]])</f>
        <v>#N/A</v>
      </c>
      <c r="AM111" s="220" t="e">
        <f>Buildings_Water_Backend[[#This Row],[Total (tCO2e)]]*(1-Buildings_Water_Backend[[#This Row],[RSD]])</f>
        <v>#N/A</v>
      </c>
      <c r="AN111" s="220" t="e">
        <f>Buildings_Water_Backend[[#This Row],[Total (tCO2e)]]*(1+Buildings_Water_Backend[[#This Row],[RSD]])</f>
        <v>#N/A</v>
      </c>
      <c r="AO111" s="210" t="e">
        <f>_xlfn.XLOOKUP(_xlfn.CONCAT(Buildings_Water_Backend[[#This Row],[Level 1]:[Level 6]]),rng_EFConcat,rng_EFOOS)*Buildings_Water_Backend[[#This Row],[Converted data]]/1000</f>
        <v>#N/A</v>
      </c>
      <c r="AP111" s="174">
        <f>Buildings_Water_Frontend[[#This Row],[Ease of collection]]</f>
        <v>0</v>
      </c>
      <c r="AQ111" s="174">
        <f>Buildings_Water_Frontend[[#This Row],[Completeness]]</f>
        <v>0</v>
      </c>
      <c r="AR111" s="174">
        <f>Buildings_Water_Frontend[[#This Row],[Notes]]</f>
        <v>0</v>
      </c>
    </row>
    <row r="112" spans="5:44" x14ac:dyDescent="0.3">
      <c r="E112" s="346"/>
      <c r="F112" s="364"/>
      <c r="G112" s="336"/>
      <c r="H112" s="336"/>
      <c r="I112" s="334"/>
      <c r="J112" s="336"/>
      <c r="K112" s="336"/>
      <c r="L112" s="336"/>
      <c r="M112" s="337"/>
      <c r="N112" s="242">
        <f t="shared" si="3"/>
        <v>5</v>
      </c>
      <c r="Q112" s="212" t="str">
        <f t="shared" si="2"/>
        <v/>
      </c>
      <c r="R112" s="174" t="s">
        <v>265</v>
      </c>
      <c r="S112" s="174" t="s">
        <v>273</v>
      </c>
      <c r="T112" s="174" t="e">
        <f>_xlfn.XLOOKUP(Buildings_Water_Backend[[#This Row],[Info 1]],Buildings_SiteInfo[Site name],Buildings_SiteInfo[Site type])</f>
        <v>#N/A</v>
      </c>
      <c r="U112" s="174" t="s">
        <v>327</v>
      </c>
      <c r="V112" s="174">
        <f>Buildings_Water_Frontend[[#This Row],[Type]]</f>
        <v>0</v>
      </c>
      <c r="W112" s="174" t="e" cm="1">
        <f t="array" aca="1" ref="W112" ca="1">_xlfn.XLOOKUP(Buildings_Water_Backend[[#This Row],[Level 5]],rng_Level5Long,rng_Level6Long)</f>
        <v>#N/A</v>
      </c>
      <c r="X112" s="174">
        <f>Buildings_Water_Frontend[[#This Row],[Site Name]]</f>
        <v>0</v>
      </c>
      <c r="Y112" s="174">
        <f>Buildings_Water_Frontend[[#This Row],[Meter Reference]]</f>
        <v>0</v>
      </c>
      <c r="Z112" s="220">
        <f>Buildings_Water_Frontend[[#This Row],[Methodology]]</f>
        <v>0</v>
      </c>
      <c r="AA112" s="229" t="e" cm="1">
        <f t="array" ref="AA112">INDEX(_xlfn.SWITCH(Buildings_Water_Backend[[#This Row],[Methodology]],"Tier 1",rng_RSD1,"Tier 2",rng_RSD2,"Tier 3",rng_RSD3),MATCH(_xlfn.CONCAT(Buildings_Water_Backend[[#This Row],[Level 1]:[Level 6]]),rng_LevelsConcat,0))</f>
        <v>#N/A</v>
      </c>
      <c r="AB112" s="224">
        <f>Buildings_Water_Frontend[[#This Row],[Data]]</f>
        <v>0</v>
      </c>
      <c r="AC112" s="174">
        <f>Buildings_Water_Frontend[[#This Row],[Units]]</f>
        <v>0</v>
      </c>
      <c r="AD112" s="220" t="e">
        <f>IF(Buildings_Water_Backend[[#This Row],[Units]]=Buildings_Water_Backend[[#This Row],[Standard units]],Buildings_Water_Backend[[#This Row],[Data]],Buildings_Water_Backend[[#This Row],[Data]]*_xlfn.XLOOKUP(_xlfn.CONCAT(Buildings_Water_Backend[[#This Row],[Level 1]:[Level 6]]),rng_EFConcat,rng_EFConversion))</f>
        <v>#N/A</v>
      </c>
      <c r="AE112" s="174" t="e" cm="1">
        <f t="array" ref="AE112">_xlfn.XLOOKUP(_xlfn.CONCAT(Buildings_Water_Backend[[#This Row],[Level 1]:[Level 6]]),rng_LevelsConcat,rng_UnitsLong)</f>
        <v>#N/A</v>
      </c>
      <c r="AF112" s="210" t="e">
        <f>_xlfn.XLOOKUP(_xlfn.CONCAT(Buildings_Water_Backend[[#This Row],[Level 1]:[Level 6]]),rng_EFConcat,rng_EF1)*Buildings_Water_Backend[[#This Row],[Converted data]]/1000</f>
        <v>#N/A</v>
      </c>
      <c r="AG112" s="210" t="e">
        <f>_xlfn.XLOOKUP(_xlfn.CONCAT(Buildings_Water_Backend[[#This Row],[Level 1]:[Level 6]]),rng_EFConcat,rng_EF2)*Buildings_Water_Backend[[#This Row],[Converted data]]/1000</f>
        <v>#N/A</v>
      </c>
      <c r="AH112" s="210" t="e">
        <f>_xlfn.XLOOKUP(_xlfn.CONCAT(Buildings_Water_Backend[[#This Row],[Level 1]:[Level 6]]),rng_EFConcat,rng_EF3)*Buildings_Water_Backend[[#This Row],[Converted data]]/1000</f>
        <v>#N/A</v>
      </c>
      <c r="AI112" s="210" t="e">
        <f>_xlfn.XLOOKUP(_xlfn.CONCAT(Buildings_Water_Backend[[#This Row],[Level 1]:[Level 6]]),rng_EFConcat,rng_EF3WTT)*Buildings_Water_Backend[[#This Row],[Converted data]]/1000</f>
        <v>#N/A</v>
      </c>
      <c r="AJ112" s="210" t="e">
        <f>_xlfn.XLOOKUP(_xlfn.CONCAT(Buildings_Water_Backend[[#This Row],[Level 1]:[Level 6]]),rng_EFConcat,rng_EF3TD)*Buildings_Water_Backend[[#This Row],[Converted data]]/1000</f>
        <v>#N/A</v>
      </c>
      <c r="AK112" s="210" t="e">
        <f>_xlfn.XLOOKUP(_xlfn.CONCAT(Buildings_Water_Backend[[#This Row],[Level 1]:[Level 6]]),rng_EFConcat,rng_EF3WTTTD)*Buildings_Water_Backend[[#This Row],[Converted data]]/1000</f>
        <v>#N/A</v>
      </c>
      <c r="AL112" s="220" t="e">
        <f>SUM(Buildings_Water_Backend[[#This Row],[Scope 1 (tCO2e)]:[Scope 3 WTT T&amp;D (tCO2e)]])</f>
        <v>#N/A</v>
      </c>
      <c r="AM112" s="220" t="e">
        <f>Buildings_Water_Backend[[#This Row],[Total (tCO2e)]]*(1-Buildings_Water_Backend[[#This Row],[RSD]])</f>
        <v>#N/A</v>
      </c>
      <c r="AN112" s="220" t="e">
        <f>Buildings_Water_Backend[[#This Row],[Total (tCO2e)]]*(1+Buildings_Water_Backend[[#This Row],[RSD]])</f>
        <v>#N/A</v>
      </c>
      <c r="AO112" s="210" t="e">
        <f>_xlfn.XLOOKUP(_xlfn.CONCAT(Buildings_Water_Backend[[#This Row],[Level 1]:[Level 6]]),rng_EFConcat,rng_EFOOS)*Buildings_Water_Backend[[#This Row],[Converted data]]/1000</f>
        <v>#N/A</v>
      </c>
      <c r="AP112" s="174">
        <f>Buildings_Water_Frontend[[#This Row],[Ease of collection]]</f>
        <v>0</v>
      </c>
      <c r="AQ112" s="174">
        <f>Buildings_Water_Frontend[[#This Row],[Completeness]]</f>
        <v>0</v>
      </c>
      <c r="AR112" s="174">
        <f>Buildings_Water_Frontend[[#This Row],[Notes]]</f>
        <v>0</v>
      </c>
    </row>
    <row r="113" spans="5:44" x14ac:dyDescent="0.3">
      <c r="E113" s="346"/>
      <c r="F113" s="364"/>
      <c r="G113" s="336"/>
      <c r="H113" s="336"/>
      <c r="I113" s="334"/>
      <c r="J113" s="336"/>
      <c r="K113" s="336"/>
      <c r="L113" s="336"/>
      <c r="M113" s="337"/>
      <c r="N113" s="242">
        <f t="shared" si="3"/>
        <v>5</v>
      </c>
      <c r="Q113" s="212" t="str">
        <f t="shared" si="2"/>
        <v/>
      </c>
      <c r="R113" s="174" t="s">
        <v>265</v>
      </c>
      <c r="S113" s="174" t="s">
        <v>273</v>
      </c>
      <c r="T113" s="174" t="e">
        <f>_xlfn.XLOOKUP(Buildings_Water_Backend[[#This Row],[Info 1]],Buildings_SiteInfo[Site name],Buildings_SiteInfo[Site type])</f>
        <v>#N/A</v>
      </c>
      <c r="U113" s="174" t="s">
        <v>327</v>
      </c>
      <c r="V113" s="174">
        <f>Buildings_Water_Frontend[[#This Row],[Type]]</f>
        <v>0</v>
      </c>
      <c r="W113" s="174" t="e" cm="1">
        <f t="array" aca="1" ref="W113" ca="1">_xlfn.XLOOKUP(Buildings_Water_Backend[[#This Row],[Level 5]],rng_Level5Long,rng_Level6Long)</f>
        <v>#N/A</v>
      </c>
      <c r="X113" s="174">
        <f>Buildings_Water_Frontend[[#This Row],[Site Name]]</f>
        <v>0</v>
      </c>
      <c r="Y113" s="174">
        <f>Buildings_Water_Frontend[[#This Row],[Meter Reference]]</f>
        <v>0</v>
      </c>
      <c r="Z113" s="220">
        <f>Buildings_Water_Frontend[[#This Row],[Methodology]]</f>
        <v>0</v>
      </c>
      <c r="AA113" s="229" t="e" cm="1">
        <f t="array" ref="AA113">INDEX(_xlfn.SWITCH(Buildings_Water_Backend[[#This Row],[Methodology]],"Tier 1",rng_RSD1,"Tier 2",rng_RSD2,"Tier 3",rng_RSD3),MATCH(_xlfn.CONCAT(Buildings_Water_Backend[[#This Row],[Level 1]:[Level 6]]),rng_LevelsConcat,0))</f>
        <v>#N/A</v>
      </c>
      <c r="AB113" s="224">
        <f>Buildings_Water_Frontend[[#This Row],[Data]]</f>
        <v>0</v>
      </c>
      <c r="AC113" s="174">
        <f>Buildings_Water_Frontend[[#This Row],[Units]]</f>
        <v>0</v>
      </c>
      <c r="AD113" s="220" t="e">
        <f>IF(Buildings_Water_Backend[[#This Row],[Units]]=Buildings_Water_Backend[[#This Row],[Standard units]],Buildings_Water_Backend[[#This Row],[Data]],Buildings_Water_Backend[[#This Row],[Data]]*_xlfn.XLOOKUP(_xlfn.CONCAT(Buildings_Water_Backend[[#This Row],[Level 1]:[Level 6]]),rng_EFConcat,rng_EFConversion))</f>
        <v>#N/A</v>
      </c>
      <c r="AE113" s="174" t="e" cm="1">
        <f t="array" ref="AE113">_xlfn.XLOOKUP(_xlfn.CONCAT(Buildings_Water_Backend[[#This Row],[Level 1]:[Level 6]]),rng_LevelsConcat,rng_UnitsLong)</f>
        <v>#N/A</v>
      </c>
      <c r="AF113" s="210" t="e">
        <f>_xlfn.XLOOKUP(_xlfn.CONCAT(Buildings_Water_Backend[[#This Row],[Level 1]:[Level 6]]),rng_EFConcat,rng_EF1)*Buildings_Water_Backend[[#This Row],[Converted data]]/1000</f>
        <v>#N/A</v>
      </c>
      <c r="AG113" s="210" t="e">
        <f>_xlfn.XLOOKUP(_xlfn.CONCAT(Buildings_Water_Backend[[#This Row],[Level 1]:[Level 6]]),rng_EFConcat,rng_EF2)*Buildings_Water_Backend[[#This Row],[Converted data]]/1000</f>
        <v>#N/A</v>
      </c>
      <c r="AH113" s="210" t="e">
        <f>_xlfn.XLOOKUP(_xlfn.CONCAT(Buildings_Water_Backend[[#This Row],[Level 1]:[Level 6]]),rng_EFConcat,rng_EF3)*Buildings_Water_Backend[[#This Row],[Converted data]]/1000</f>
        <v>#N/A</v>
      </c>
      <c r="AI113" s="210" t="e">
        <f>_xlfn.XLOOKUP(_xlfn.CONCAT(Buildings_Water_Backend[[#This Row],[Level 1]:[Level 6]]),rng_EFConcat,rng_EF3WTT)*Buildings_Water_Backend[[#This Row],[Converted data]]/1000</f>
        <v>#N/A</v>
      </c>
      <c r="AJ113" s="210" t="e">
        <f>_xlfn.XLOOKUP(_xlfn.CONCAT(Buildings_Water_Backend[[#This Row],[Level 1]:[Level 6]]),rng_EFConcat,rng_EF3TD)*Buildings_Water_Backend[[#This Row],[Converted data]]/1000</f>
        <v>#N/A</v>
      </c>
      <c r="AK113" s="210" t="e">
        <f>_xlfn.XLOOKUP(_xlfn.CONCAT(Buildings_Water_Backend[[#This Row],[Level 1]:[Level 6]]),rng_EFConcat,rng_EF3WTTTD)*Buildings_Water_Backend[[#This Row],[Converted data]]/1000</f>
        <v>#N/A</v>
      </c>
      <c r="AL113" s="220" t="e">
        <f>SUM(Buildings_Water_Backend[[#This Row],[Scope 1 (tCO2e)]:[Scope 3 WTT T&amp;D (tCO2e)]])</f>
        <v>#N/A</v>
      </c>
      <c r="AM113" s="220" t="e">
        <f>Buildings_Water_Backend[[#This Row],[Total (tCO2e)]]*(1-Buildings_Water_Backend[[#This Row],[RSD]])</f>
        <v>#N/A</v>
      </c>
      <c r="AN113" s="220" t="e">
        <f>Buildings_Water_Backend[[#This Row],[Total (tCO2e)]]*(1+Buildings_Water_Backend[[#This Row],[RSD]])</f>
        <v>#N/A</v>
      </c>
      <c r="AO113" s="210" t="e">
        <f>_xlfn.XLOOKUP(_xlfn.CONCAT(Buildings_Water_Backend[[#This Row],[Level 1]:[Level 6]]),rng_EFConcat,rng_EFOOS)*Buildings_Water_Backend[[#This Row],[Converted data]]/1000</f>
        <v>#N/A</v>
      </c>
      <c r="AP113" s="174">
        <f>Buildings_Water_Frontend[[#This Row],[Ease of collection]]</f>
        <v>0</v>
      </c>
      <c r="AQ113" s="174">
        <f>Buildings_Water_Frontend[[#This Row],[Completeness]]</f>
        <v>0</v>
      </c>
      <c r="AR113" s="174">
        <f>Buildings_Water_Frontend[[#This Row],[Notes]]</f>
        <v>0</v>
      </c>
    </row>
    <row r="114" spans="5:44" x14ac:dyDescent="0.3">
      <c r="E114" s="346"/>
      <c r="F114" s="364"/>
      <c r="G114" s="336"/>
      <c r="H114" s="336"/>
      <c r="I114" s="334"/>
      <c r="J114" s="336"/>
      <c r="K114" s="336"/>
      <c r="L114" s="336"/>
      <c r="M114" s="337"/>
      <c r="N114" s="242">
        <f t="shared" si="3"/>
        <v>5</v>
      </c>
      <c r="Q114" s="212" t="str">
        <f t="shared" si="2"/>
        <v/>
      </c>
      <c r="R114" s="174" t="s">
        <v>265</v>
      </c>
      <c r="S114" s="174" t="s">
        <v>273</v>
      </c>
      <c r="T114" s="174" t="e">
        <f>_xlfn.XLOOKUP(Buildings_Water_Backend[[#This Row],[Info 1]],Buildings_SiteInfo[Site name],Buildings_SiteInfo[Site type])</f>
        <v>#N/A</v>
      </c>
      <c r="U114" s="174" t="s">
        <v>327</v>
      </c>
      <c r="V114" s="174">
        <f>Buildings_Water_Frontend[[#This Row],[Type]]</f>
        <v>0</v>
      </c>
      <c r="W114" s="174" t="e" cm="1">
        <f t="array" aca="1" ref="W114" ca="1">_xlfn.XLOOKUP(Buildings_Water_Backend[[#This Row],[Level 5]],rng_Level5Long,rng_Level6Long)</f>
        <v>#N/A</v>
      </c>
      <c r="X114" s="174">
        <f>Buildings_Water_Frontend[[#This Row],[Site Name]]</f>
        <v>0</v>
      </c>
      <c r="Y114" s="174">
        <f>Buildings_Water_Frontend[[#This Row],[Meter Reference]]</f>
        <v>0</v>
      </c>
      <c r="Z114" s="220">
        <f>Buildings_Water_Frontend[[#This Row],[Methodology]]</f>
        <v>0</v>
      </c>
      <c r="AA114" s="229" t="e" cm="1">
        <f t="array" ref="AA114">INDEX(_xlfn.SWITCH(Buildings_Water_Backend[[#This Row],[Methodology]],"Tier 1",rng_RSD1,"Tier 2",rng_RSD2,"Tier 3",rng_RSD3),MATCH(_xlfn.CONCAT(Buildings_Water_Backend[[#This Row],[Level 1]:[Level 6]]),rng_LevelsConcat,0))</f>
        <v>#N/A</v>
      </c>
      <c r="AB114" s="224">
        <f>Buildings_Water_Frontend[[#This Row],[Data]]</f>
        <v>0</v>
      </c>
      <c r="AC114" s="174">
        <f>Buildings_Water_Frontend[[#This Row],[Units]]</f>
        <v>0</v>
      </c>
      <c r="AD114" s="220" t="e">
        <f>IF(Buildings_Water_Backend[[#This Row],[Units]]=Buildings_Water_Backend[[#This Row],[Standard units]],Buildings_Water_Backend[[#This Row],[Data]],Buildings_Water_Backend[[#This Row],[Data]]*_xlfn.XLOOKUP(_xlfn.CONCAT(Buildings_Water_Backend[[#This Row],[Level 1]:[Level 6]]),rng_EFConcat,rng_EFConversion))</f>
        <v>#N/A</v>
      </c>
      <c r="AE114" s="174" t="e" cm="1">
        <f t="array" ref="AE114">_xlfn.XLOOKUP(_xlfn.CONCAT(Buildings_Water_Backend[[#This Row],[Level 1]:[Level 6]]),rng_LevelsConcat,rng_UnitsLong)</f>
        <v>#N/A</v>
      </c>
      <c r="AF114" s="210" t="e">
        <f>_xlfn.XLOOKUP(_xlfn.CONCAT(Buildings_Water_Backend[[#This Row],[Level 1]:[Level 6]]),rng_EFConcat,rng_EF1)*Buildings_Water_Backend[[#This Row],[Converted data]]/1000</f>
        <v>#N/A</v>
      </c>
      <c r="AG114" s="210" t="e">
        <f>_xlfn.XLOOKUP(_xlfn.CONCAT(Buildings_Water_Backend[[#This Row],[Level 1]:[Level 6]]),rng_EFConcat,rng_EF2)*Buildings_Water_Backend[[#This Row],[Converted data]]/1000</f>
        <v>#N/A</v>
      </c>
      <c r="AH114" s="210" t="e">
        <f>_xlfn.XLOOKUP(_xlfn.CONCAT(Buildings_Water_Backend[[#This Row],[Level 1]:[Level 6]]),rng_EFConcat,rng_EF3)*Buildings_Water_Backend[[#This Row],[Converted data]]/1000</f>
        <v>#N/A</v>
      </c>
      <c r="AI114" s="210" t="e">
        <f>_xlfn.XLOOKUP(_xlfn.CONCAT(Buildings_Water_Backend[[#This Row],[Level 1]:[Level 6]]),rng_EFConcat,rng_EF3WTT)*Buildings_Water_Backend[[#This Row],[Converted data]]/1000</f>
        <v>#N/A</v>
      </c>
      <c r="AJ114" s="210" t="e">
        <f>_xlfn.XLOOKUP(_xlfn.CONCAT(Buildings_Water_Backend[[#This Row],[Level 1]:[Level 6]]),rng_EFConcat,rng_EF3TD)*Buildings_Water_Backend[[#This Row],[Converted data]]/1000</f>
        <v>#N/A</v>
      </c>
      <c r="AK114" s="210" t="e">
        <f>_xlfn.XLOOKUP(_xlfn.CONCAT(Buildings_Water_Backend[[#This Row],[Level 1]:[Level 6]]),rng_EFConcat,rng_EF3WTTTD)*Buildings_Water_Backend[[#This Row],[Converted data]]/1000</f>
        <v>#N/A</v>
      </c>
      <c r="AL114" s="220" t="e">
        <f>SUM(Buildings_Water_Backend[[#This Row],[Scope 1 (tCO2e)]:[Scope 3 WTT T&amp;D (tCO2e)]])</f>
        <v>#N/A</v>
      </c>
      <c r="AM114" s="220" t="e">
        <f>Buildings_Water_Backend[[#This Row],[Total (tCO2e)]]*(1-Buildings_Water_Backend[[#This Row],[RSD]])</f>
        <v>#N/A</v>
      </c>
      <c r="AN114" s="220" t="e">
        <f>Buildings_Water_Backend[[#This Row],[Total (tCO2e)]]*(1+Buildings_Water_Backend[[#This Row],[RSD]])</f>
        <v>#N/A</v>
      </c>
      <c r="AO114" s="210" t="e">
        <f>_xlfn.XLOOKUP(_xlfn.CONCAT(Buildings_Water_Backend[[#This Row],[Level 1]:[Level 6]]),rng_EFConcat,rng_EFOOS)*Buildings_Water_Backend[[#This Row],[Converted data]]/1000</f>
        <v>#N/A</v>
      </c>
      <c r="AP114" s="174">
        <f>Buildings_Water_Frontend[[#This Row],[Ease of collection]]</f>
        <v>0</v>
      </c>
      <c r="AQ114" s="174">
        <f>Buildings_Water_Frontend[[#This Row],[Completeness]]</f>
        <v>0</v>
      </c>
      <c r="AR114" s="174">
        <f>Buildings_Water_Frontend[[#This Row],[Notes]]</f>
        <v>0</v>
      </c>
    </row>
    <row r="115" spans="5:44" x14ac:dyDescent="0.3">
      <c r="E115" s="346"/>
      <c r="F115" s="364"/>
      <c r="G115" s="336"/>
      <c r="H115" s="336"/>
      <c r="I115" s="334"/>
      <c r="J115" s="336"/>
      <c r="K115" s="336"/>
      <c r="L115" s="336"/>
      <c r="M115" s="337"/>
      <c r="N115" s="242">
        <f t="shared" si="3"/>
        <v>5</v>
      </c>
      <c r="Q115" s="212" t="str">
        <f t="shared" si="2"/>
        <v/>
      </c>
      <c r="R115" s="174" t="s">
        <v>265</v>
      </c>
      <c r="S115" s="174" t="s">
        <v>273</v>
      </c>
      <c r="T115" s="174" t="e">
        <f>_xlfn.XLOOKUP(Buildings_Water_Backend[[#This Row],[Info 1]],Buildings_SiteInfo[Site name],Buildings_SiteInfo[Site type])</f>
        <v>#N/A</v>
      </c>
      <c r="U115" s="174" t="s">
        <v>327</v>
      </c>
      <c r="V115" s="174">
        <f>Buildings_Water_Frontend[[#This Row],[Type]]</f>
        <v>0</v>
      </c>
      <c r="W115" s="174" t="e" cm="1">
        <f t="array" aca="1" ref="W115" ca="1">_xlfn.XLOOKUP(Buildings_Water_Backend[[#This Row],[Level 5]],rng_Level5Long,rng_Level6Long)</f>
        <v>#N/A</v>
      </c>
      <c r="X115" s="174">
        <f>Buildings_Water_Frontend[[#This Row],[Site Name]]</f>
        <v>0</v>
      </c>
      <c r="Y115" s="174">
        <f>Buildings_Water_Frontend[[#This Row],[Meter Reference]]</f>
        <v>0</v>
      </c>
      <c r="Z115" s="220">
        <f>Buildings_Water_Frontend[[#This Row],[Methodology]]</f>
        <v>0</v>
      </c>
      <c r="AA115" s="229" t="e" cm="1">
        <f t="array" ref="AA115">INDEX(_xlfn.SWITCH(Buildings_Water_Backend[[#This Row],[Methodology]],"Tier 1",rng_RSD1,"Tier 2",rng_RSD2,"Tier 3",rng_RSD3),MATCH(_xlfn.CONCAT(Buildings_Water_Backend[[#This Row],[Level 1]:[Level 6]]),rng_LevelsConcat,0))</f>
        <v>#N/A</v>
      </c>
      <c r="AB115" s="224">
        <f>Buildings_Water_Frontend[[#This Row],[Data]]</f>
        <v>0</v>
      </c>
      <c r="AC115" s="174">
        <f>Buildings_Water_Frontend[[#This Row],[Units]]</f>
        <v>0</v>
      </c>
      <c r="AD115" s="220" t="e">
        <f>IF(Buildings_Water_Backend[[#This Row],[Units]]=Buildings_Water_Backend[[#This Row],[Standard units]],Buildings_Water_Backend[[#This Row],[Data]],Buildings_Water_Backend[[#This Row],[Data]]*_xlfn.XLOOKUP(_xlfn.CONCAT(Buildings_Water_Backend[[#This Row],[Level 1]:[Level 6]]),rng_EFConcat,rng_EFConversion))</f>
        <v>#N/A</v>
      </c>
      <c r="AE115" s="174" t="e" cm="1">
        <f t="array" ref="AE115">_xlfn.XLOOKUP(_xlfn.CONCAT(Buildings_Water_Backend[[#This Row],[Level 1]:[Level 6]]),rng_LevelsConcat,rng_UnitsLong)</f>
        <v>#N/A</v>
      </c>
      <c r="AF115" s="210" t="e">
        <f>_xlfn.XLOOKUP(_xlfn.CONCAT(Buildings_Water_Backend[[#This Row],[Level 1]:[Level 6]]),rng_EFConcat,rng_EF1)*Buildings_Water_Backend[[#This Row],[Converted data]]/1000</f>
        <v>#N/A</v>
      </c>
      <c r="AG115" s="210" t="e">
        <f>_xlfn.XLOOKUP(_xlfn.CONCAT(Buildings_Water_Backend[[#This Row],[Level 1]:[Level 6]]),rng_EFConcat,rng_EF2)*Buildings_Water_Backend[[#This Row],[Converted data]]/1000</f>
        <v>#N/A</v>
      </c>
      <c r="AH115" s="210" t="e">
        <f>_xlfn.XLOOKUP(_xlfn.CONCAT(Buildings_Water_Backend[[#This Row],[Level 1]:[Level 6]]),rng_EFConcat,rng_EF3)*Buildings_Water_Backend[[#This Row],[Converted data]]/1000</f>
        <v>#N/A</v>
      </c>
      <c r="AI115" s="210" t="e">
        <f>_xlfn.XLOOKUP(_xlfn.CONCAT(Buildings_Water_Backend[[#This Row],[Level 1]:[Level 6]]),rng_EFConcat,rng_EF3WTT)*Buildings_Water_Backend[[#This Row],[Converted data]]/1000</f>
        <v>#N/A</v>
      </c>
      <c r="AJ115" s="210" t="e">
        <f>_xlfn.XLOOKUP(_xlfn.CONCAT(Buildings_Water_Backend[[#This Row],[Level 1]:[Level 6]]),rng_EFConcat,rng_EF3TD)*Buildings_Water_Backend[[#This Row],[Converted data]]/1000</f>
        <v>#N/A</v>
      </c>
      <c r="AK115" s="210" t="e">
        <f>_xlfn.XLOOKUP(_xlfn.CONCAT(Buildings_Water_Backend[[#This Row],[Level 1]:[Level 6]]),rng_EFConcat,rng_EF3WTTTD)*Buildings_Water_Backend[[#This Row],[Converted data]]/1000</f>
        <v>#N/A</v>
      </c>
      <c r="AL115" s="220" t="e">
        <f>SUM(Buildings_Water_Backend[[#This Row],[Scope 1 (tCO2e)]:[Scope 3 WTT T&amp;D (tCO2e)]])</f>
        <v>#N/A</v>
      </c>
      <c r="AM115" s="220" t="e">
        <f>Buildings_Water_Backend[[#This Row],[Total (tCO2e)]]*(1-Buildings_Water_Backend[[#This Row],[RSD]])</f>
        <v>#N/A</v>
      </c>
      <c r="AN115" s="220" t="e">
        <f>Buildings_Water_Backend[[#This Row],[Total (tCO2e)]]*(1+Buildings_Water_Backend[[#This Row],[RSD]])</f>
        <v>#N/A</v>
      </c>
      <c r="AO115" s="210" t="e">
        <f>_xlfn.XLOOKUP(_xlfn.CONCAT(Buildings_Water_Backend[[#This Row],[Level 1]:[Level 6]]),rng_EFConcat,rng_EFOOS)*Buildings_Water_Backend[[#This Row],[Converted data]]/1000</f>
        <v>#N/A</v>
      </c>
      <c r="AP115" s="174">
        <f>Buildings_Water_Frontend[[#This Row],[Ease of collection]]</f>
        <v>0</v>
      </c>
      <c r="AQ115" s="174">
        <f>Buildings_Water_Frontend[[#This Row],[Completeness]]</f>
        <v>0</v>
      </c>
      <c r="AR115" s="174">
        <f>Buildings_Water_Frontend[[#This Row],[Notes]]</f>
        <v>0</v>
      </c>
    </row>
    <row r="116" spans="5:44" x14ac:dyDescent="0.3">
      <c r="E116" s="346"/>
      <c r="F116" s="364"/>
      <c r="G116" s="336"/>
      <c r="H116" s="336"/>
      <c r="I116" s="334"/>
      <c r="J116" s="336"/>
      <c r="K116" s="336"/>
      <c r="L116" s="336"/>
      <c r="M116" s="337"/>
      <c r="N116" s="242">
        <f t="shared" si="3"/>
        <v>5</v>
      </c>
      <c r="Q116" s="212" t="str">
        <f t="shared" si="2"/>
        <v/>
      </c>
      <c r="R116" s="174" t="s">
        <v>265</v>
      </c>
      <c r="S116" s="174" t="s">
        <v>273</v>
      </c>
      <c r="T116" s="174" t="e">
        <f>_xlfn.XLOOKUP(Buildings_Water_Backend[[#This Row],[Info 1]],Buildings_SiteInfo[Site name],Buildings_SiteInfo[Site type])</f>
        <v>#N/A</v>
      </c>
      <c r="U116" s="174" t="s">
        <v>327</v>
      </c>
      <c r="V116" s="174">
        <f>Buildings_Water_Frontend[[#This Row],[Type]]</f>
        <v>0</v>
      </c>
      <c r="W116" s="174" t="e" cm="1">
        <f t="array" aca="1" ref="W116" ca="1">_xlfn.XLOOKUP(Buildings_Water_Backend[[#This Row],[Level 5]],rng_Level5Long,rng_Level6Long)</f>
        <v>#N/A</v>
      </c>
      <c r="X116" s="174">
        <f>Buildings_Water_Frontend[[#This Row],[Site Name]]</f>
        <v>0</v>
      </c>
      <c r="Y116" s="174">
        <f>Buildings_Water_Frontend[[#This Row],[Meter Reference]]</f>
        <v>0</v>
      </c>
      <c r="Z116" s="220">
        <f>Buildings_Water_Frontend[[#This Row],[Methodology]]</f>
        <v>0</v>
      </c>
      <c r="AA116" s="229" t="e" cm="1">
        <f t="array" ref="AA116">INDEX(_xlfn.SWITCH(Buildings_Water_Backend[[#This Row],[Methodology]],"Tier 1",rng_RSD1,"Tier 2",rng_RSD2,"Tier 3",rng_RSD3),MATCH(_xlfn.CONCAT(Buildings_Water_Backend[[#This Row],[Level 1]:[Level 6]]),rng_LevelsConcat,0))</f>
        <v>#N/A</v>
      </c>
      <c r="AB116" s="224">
        <f>Buildings_Water_Frontend[[#This Row],[Data]]</f>
        <v>0</v>
      </c>
      <c r="AC116" s="174">
        <f>Buildings_Water_Frontend[[#This Row],[Units]]</f>
        <v>0</v>
      </c>
      <c r="AD116" s="220" t="e">
        <f>IF(Buildings_Water_Backend[[#This Row],[Units]]=Buildings_Water_Backend[[#This Row],[Standard units]],Buildings_Water_Backend[[#This Row],[Data]],Buildings_Water_Backend[[#This Row],[Data]]*_xlfn.XLOOKUP(_xlfn.CONCAT(Buildings_Water_Backend[[#This Row],[Level 1]:[Level 6]]),rng_EFConcat,rng_EFConversion))</f>
        <v>#N/A</v>
      </c>
      <c r="AE116" s="174" t="e" cm="1">
        <f t="array" ref="AE116">_xlfn.XLOOKUP(_xlfn.CONCAT(Buildings_Water_Backend[[#This Row],[Level 1]:[Level 6]]),rng_LevelsConcat,rng_UnitsLong)</f>
        <v>#N/A</v>
      </c>
      <c r="AF116" s="210" t="e">
        <f>_xlfn.XLOOKUP(_xlfn.CONCAT(Buildings_Water_Backend[[#This Row],[Level 1]:[Level 6]]),rng_EFConcat,rng_EF1)*Buildings_Water_Backend[[#This Row],[Converted data]]/1000</f>
        <v>#N/A</v>
      </c>
      <c r="AG116" s="210" t="e">
        <f>_xlfn.XLOOKUP(_xlfn.CONCAT(Buildings_Water_Backend[[#This Row],[Level 1]:[Level 6]]),rng_EFConcat,rng_EF2)*Buildings_Water_Backend[[#This Row],[Converted data]]/1000</f>
        <v>#N/A</v>
      </c>
      <c r="AH116" s="210" t="e">
        <f>_xlfn.XLOOKUP(_xlfn.CONCAT(Buildings_Water_Backend[[#This Row],[Level 1]:[Level 6]]),rng_EFConcat,rng_EF3)*Buildings_Water_Backend[[#This Row],[Converted data]]/1000</f>
        <v>#N/A</v>
      </c>
      <c r="AI116" s="210" t="e">
        <f>_xlfn.XLOOKUP(_xlfn.CONCAT(Buildings_Water_Backend[[#This Row],[Level 1]:[Level 6]]),rng_EFConcat,rng_EF3WTT)*Buildings_Water_Backend[[#This Row],[Converted data]]/1000</f>
        <v>#N/A</v>
      </c>
      <c r="AJ116" s="210" t="e">
        <f>_xlfn.XLOOKUP(_xlfn.CONCAT(Buildings_Water_Backend[[#This Row],[Level 1]:[Level 6]]),rng_EFConcat,rng_EF3TD)*Buildings_Water_Backend[[#This Row],[Converted data]]/1000</f>
        <v>#N/A</v>
      </c>
      <c r="AK116" s="210" t="e">
        <f>_xlfn.XLOOKUP(_xlfn.CONCAT(Buildings_Water_Backend[[#This Row],[Level 1]:[Level 6]]),rng_EFConcat,rng_EF3WTTTD)*Buildings_Water_Backend[[#This Row],[Converted data]]/1000</f>
        <v>#N/A</v>
      </c>
      <c r="AL116" s="220" t="e">
        <f>SUM(Buildings_Water_Backend[[#This Row],[Scope 1 (tCO2e)]:[Scope 3 WTT T&amp;D (tCO2e)]])</f>
        <v>#N/A</v>
      </c>
      <c r="AM116" s="220" t="e">
        <f>Buildings_Water_Backend[[#This Row],[Total (tCO2e)]]*(1-Buildings_Water_Backend[[#This Row],[RSD]])</f>
        <v>#N/A</v>
      </c>
      <c r="AN116" s="220" t="e">
        <f>Buildings_Water_Backend[[#This Row],[Total (tCO2e)]]*(1+Buildings_Water_Backend[[#This Row],[RSD]])</f>
        <v>#N/A</v>
      </c>
      <c r="AO116" s="210" t="e">
        <f>_xlfn.XLOOKUP(_xlfn.CONCAT(Buildings_Water_Backend[[#This Row],[Level 1]:[Level 6]]),rng_EFConcat,rng_EFOOS)*Buildings_Water_Backend[[#This Row],[Converted data]]/1000</f>
        <v>#N/A</v>
      </c>
      <c r="AP116" s="174">
        <f>Buildings_Water_Frontend[[#This Row],[Ease of collection]]</f>
        <v>0</v>
      </c>
      <c r="AQ116" s="174">
        <f>Buildings_Water_Frontend[[#This Row],[Completeness]]</f>
        <v>0</v>
      </c>
      <c r="AR116" s="174">
        <f>Buildings_Water_Frontend[[#This Row],[Notes]]</f>
        <v>0</v>
      </c>
    </row>
    <row r="117" spans="5:44" x14ac:dyDescent="0.3">
      <c r="E117" s="346"/>
      <c r="F117" s="364"/>
      <c r="G117" s="336"/>
      <c r="H117" s="336"/>
      <c r="I117" s="334"/>
      <c r="J117" s="336"/>
      <c r="K117" s="336"/>
      <c r="L117" s="336"/>
      <c r="M117" s="337"/>
      <c r="N117" s="242">
        <f t="shared" si="3"/>
        <v>5</v>
      </c>
      <c r="Q117" s="212" t="str">
        <f t="shared" si="2"/>
        <v/>
      </c>
      <c r="R117" s="174" t="s">
        <v>265</v>
      </c>
      <c r="S117" s="174" t="s">
        <v>273</v>
      </c>
      <c r="T117" s="174" t="e">
        <f>_xlfn.XLOOKUP(Buildings_Water_Backend[[#This Row],[Info 1]],Buildings_SiteInfo[Site name],Buildings_SiteInfo[Site type])</f>
        <v>#N/A</v>
      </c>
      <c r="U117" s="174" t="s">
        <v>327</v>
      </c>
      <c r="V117" s="174">
        <f>Buildings_Water_Frontend[[#This Row],[Type]]</f>
        <v>0</v>
      </c>
      <c r="W117" s="174" t="e" cm="1">
        <f t="array" aca="1" ref="W117" ca="1">_xlfn.XLOOKUP(Buildings_Water_Backend[[#This Row],[Level 5]],rng_Level5Long,rng_Level6Long)</f>
        <v>#N/A</v>
      </c>
      <c r="X117" s="174">
        <f>Buildings_Water_Frontend[[#This Row],[Site Name]]</f>
        <v>0</v>
      </c>
      <c r="Y117" s="174">
        <f>Buildings_Water_Frontend[[#This Row],[Meter Reference]]</f>
        <v>0</v>
      </c>
      <c r="Z117" s="220">
        <f>Buildings_Water_Frontend[[#This Row],[Methodology]]</f>
        <v>0</v>
      </c>
      <c r="AA117" s="229" t="e" cm="1">
        <f t="array" ref="AA117">INDEX(_xlfn.SWITCH(Buildings_Water_Backend[[#This Row],[Methodology]],"Tier 1",rng_RSD1,"Tier 2",rng_RSD2,"Tier 3",rng_RSD3),MATCH(_xlfn.CONCAT(Buildings_Water_Backend[[#This Row],[Level 1]:[Level 6]]),rng_LevelsConcat,0))</f>
        <v>#N/A</v>
      </c>
      <c r="AB117" s="224">
        <f>Buildings_Water_Frontend[[#This Row],[Data]]</f>
        <v>0</v>
      </c>
      <c r="AC117" s="174">
        <f>Buildings_Water_Frontend[[#This Row],[Units]]</f>
        <v>0</v>
      </c>
      <c r="AD117" s="220" t="e">
        <f>IF(Buildings_Water_Backend[[#This Row],[Units]]=Buildings_Water_Backend[[#This Row],[Standard units]],Buildings_Water_Backend[[#This Row],[Data]],Buildings_Water_Backend[[#This Row],[Data]]*_xlfn.XLOOKUP(_xlfn.CONCAT(Buildings_Water_Backend[[#This Row],[Level 1]:[Level 6]]),rng_EFConcat,rng_EFConversion))</f>
        <v>#N/A</v>
      </c>
      <c r="AE117" s="174" t="e" cm="1">
        <f t="array" ref="AE117">_xlfn.XLOOKUP(_xlfn.CONCAT(Buildings_Water_Backend[[#This Row],[Level 1]:[Level 6]]),rng_LevelsConcat,rng_UnitsLong)</f>
        <v>#N/A</v>
      </c>
      <c r="AF117" s="210" t="e">
        <f>_xlfn.XLOOKUP(_xlfn.CONCAT(Buildings_Water_Backend[[#This Row],[Level 1]:[Level 6]]),rng_EFConcat,rng_EF1)*Buildings_Water_Backend[[#This Row],[Converted data]]/1000</f>
        <v>#N/A</v>
      </c>
      <c r="AG117" s="210" t="e">
        <f>_xlfn.XLOOKUP(_xlfn.CONCAT(Buildings_Water_Backend[[#This Row],[Level 1]:[Level 6]]),rng_EFConcat,rng_EF2)*Buildings_Water_Backend[[#This Row],[Converted data]]/1000</f>
        <v>#N/A</v>
      </c>
      <c r="AH117" s="210" t="e">
        <f>_xlfn.XLOOKUP(_xlfn.CONCAT(Buildings_Water_Backend[[#This Row],[Level 1]:[Level 6]]),rng_EFConcat,rng_EF3)*Buildings_Water_Backend[[#This Row],[Converted data]]/1000</f>
        <v>#N/A</v>
      </c>
      <c r="AI117" s="210" t="e">
        <f>_xlfn.XLOOKUP(_xlfn.CONCAT(Buildings_Water_Backend[[#This Row],[Level 1]:[Level 6]]),rng_EFConcat,rng_EF3WTT)*Buildings_Water_Backend[[#This Row],[Converted data]]/1000</f>
        <v>#N/A</v>
      </c>
      <c r="AJ117" s="210" t="e">
        <f>_xlfn.XLOOKUP(_xlfn.CONCAT(Buildings_Water_Backend[[#This Row],[Level 1]:[Level 6]]),rng_EFConcat,rng_EF3TD)*Buildings_Water_Backend[[#This Row],[Converted data]]/1000</f>
        <v>#N/A</v>
      </c>
      <c r="AK117" s="210" t="e">
        <f>_xlfn.XLOOKUP(_xlfn.CONCAT(Buildings_Water_Backend[[#This Row],[Level 1]:[Level 6]]),rng_EFConcat,rng_EF3WTTTD)*Buildings_Water_Backend[[#This Row],[Converted data]]/1000</f>
        <v>#N/A</v>
      </c>
      <c r="AL117" s="220" t="e">
        <f>SUM(Buildings_Water_Backend[[#This Row],[Scope 1 (tCO2e)]:[Scope 3 WTT T&amp;D (tCO2e)]])</f>
        <v>#N/A</v>
      </c>
      <c r="AM117" s="220" t="e">
        <f>Buildings_Water_Backend[[#This Row],[Total (tCO2e)]]*(1-Buildings_Water_Backend[[#This Row],[RSD]])</f>
        <v>#N/A</v>
      </c>
      <c r="AN117" s="220" t="e">
        <f>Buildings_Water_Backend[[#This Row],[Total (tCO2e)]]*(1+Buildings_Water_Backend[[#This Row],[RSD]])</f>
        <v>#N/A</v>
      </c>
      <c r="AO117" s="210" t="e">
        <f>_xlfn.XLOOKUP(_xlfn.CONCAT(Buildings_Water_Backend[[#This Row],[Level 1]:[Level 6]]),rng_EFConcat,rng_EFOOS)*Buildings_Water_Backend[[#This Row],[Converted data]]/1000</f>
        <v>#N/A</v>
      </c>
      <c r="AP117" s="174">
        <f>Buildings_Water_Frontend[[#This Row],[Ease of collection]]</f>
        <v>0</v>
      </c>
      <c r="AQ117" s="174">
        <f>Buildings_Water_Frontend[[#This Row],[Completeness]]</f>
        <v>0</v>
      </c>
      <c r="AR117" s="174">
        <f>Buildings_Water_Frontend[[#This Row],[Notes]]</f>
        <v>0</v>
      </c>
    </row>
    <row r="118" spans="5:44" x14ac:dyDescent="0.3">
      <c r="E118" s="346"/>
      <c r="F118" s="364"/>
      <c r="G118" s="336"/>
      <c r="H118" s="336"/>
      <c r="I118" s="334"/>
      <c r="J118" s="336"/>
      <c r="K118" s="336"/>
      <c r="L118" s="336"/>
      <c r="M118" s="337"/>
      <c r="N118" s="242">
        <f t="shared" si="3"/>
        <v>5</v>
      </c>
      <c r="Q118" s="212" t="str">
        <f t="shared" si="2"/>
        <v/>
      </c>
      <c r="R118" s="174" t="s">
        <v>265</v>
      </c>
      <c r="S118" s="174" t="s">
        <v>273</v>
      </c>
      <c r="T118" s="174" t="e">
        <f>_xlfn.XLOOKUP(Buildings_Water_Backend[[#This Row],[Info 1]],Buildings_SiteInfo[Site name],Buildings_SiteInfo[Site type])</f>
        <v>#N/A</v>
      </c>
      <c r="U118" s="174" t="s">
        <v>327</v>
      </c>
      <c r="V118" s="174">
        <f>Buildings_Water_Frontend[[#This Row],[Type]]</f>
        <v>0</v>
      </c>
      <c r="W118" s="174" t="e" cm="1">
        <f t="array" aca="1" ref="W118" ca="1">_xlfn.XLOOKUP(Buildings_Water_Backend[[#This Row],[Level 5]],rng_Level5Long,rng_Level6Long)</f>
        <v>#N/A</v>
      </c>
      <c r="X118" s="174">
        <f>Buildings_Water_Frontend[[#This Row],[Site Name]]</f>
        <v>0</v>
      </c>
      <c r="Y118" s="174">
        <f>Buildings_Water_Frontend[[#This Row],[Meter Reference]]</f>
        <v>0</v>
      </c>
      <c r="Z118" s="220">
        <f>Buildings_Water_Frontend[[#This Row],[Methodology]]</f>
        <v>0</v>
      </c>
      <c r="AA118" s="229" t="e" cm="1">
        <f t="array" ref="AA118">INDEX(_xlfn.SWITCH(Buildings_Water_Backend[[#This Row],[Methodology]],"Tier 1",rng_RSD1,"Tier 2",rng_RSD2,"Tier 3",rng_RSD3),MATCH(_xlfn.CONCAT(Buildings_Water_Backend[[#This Row],[Level 1]:[Level 6]]),rng_LevelsConcat,0))</f>
        <v>#N/A</v>
      </c>
      <c r="AB118" s="224">
        <f>Buildings_Water_Frontend[[#This Row],[Data]]</f>
        <v>0</v>
      </c>
      <c r="AC118" s="174">
        <f>Buildings_Water_Frontend[[#This Row],[Units]]</f>
        <v>0</v>
      </c>
      <c r="AD118" s="220" t="e">
        <f>IF(Buildings_Water_Backend[[#This Row],[Units]]=Buildings_Water_Backend[[#This Row],[Standard units]],Buildings_Water_Backend[[#This Row],[Data]],Buildings_Water_Backend[[#This Row],[Data]]*_xlfn.XLOOKUP(_xlfn.CONCAT(Buildings_Water_Backend[[#This Row],[Level 1]:[Level 6]]),rng_EFConcat,rng_EFConversion))</f>
        <v>#N/A</v>
      </c>
      <c r="AE118" s="174" t="e" cm="1">
        <f t="array" ref="AE118">_xlfn.XLOOKUP(_xlfn.CONCAT(Buildings_Water_Backend[[#This Row],[Level 1]:[Level 6]]),rng_LevelsConcat,rng_UnitsLong)</f>
        <v>#N/A</v>
      </c>
      <c r="AF118" s="210" t="e">
        <f>_xlfn.XLOOKUP(_xlfn.CONCAT(Buildings_Water_Backend[[#This Row],[Level 1]:[Level 6]]),rng_EFConcat,rng_EF1)*Buildings_Water_Backend[[#This Row],[Converted data]]/1000</f>
        <v>#N/A</v>
      </c>
      <c r="AG118" s="210" t="e">
        <f>_xlfn.XLOOKUP(_xlfn.CONCAT(Buildings_Water_Backend[[#This Row],[Level 1]:[Level 6]]),rng_EFConcat,rng_EF2)*Buildings_Water_Backend[[#This Row],[Converted data]]/1000</f>
        <v>#N/A</v>
      </c>
      <c r="AH118" s="210" t="e">
        <f>_xlfn.XLOOKUP(_xlfn.CONCAT(Buildings_Water_Backend[[#This Row],[Level 1]:[Level 6]]),rng_EFConcat,rng_EF3)*Buildings_Water_Backend[[#This Row],[Converted data]]/1000</f>
        <v>#N/A</v>
      </c>
      <c r="AI118" s="210" t="e">
        <f>_xlfn.XLOOKUP(_xlfn.CONCAT(Buildings_Water_Backend[[#This Row],[Level 1]:[Level 6]]),rng_EFConcat,rng_EF3WTT)*Buildings_Water_Backend[[#This Row],[Converted data]]/1000</f>
        <v>#N/A</v>
      </c>
      <c r="AJ118" s="210" t="e">
        <f>_xlfn.XLOOKUP(_xlfn.CONCAT(Buildings_Water_Backend[[#This Row],[Level 1]:[Level 6]]),rng_EFConcat,rng_EF3TD)*Buildings_Water_Backend[[#This Row],[Converted data]]/1000</f>
        <v>#N/A</v>
      </c>
      <c r="AK118" s="210" t="e">
        <f>_xlfn.XLOOKUP(_xlfn.CONCAT(Buildings_Water_Backend[[#This Row],[Level 1]:[Level 6]]),rng_EFConcat,rng_EF3WTTTD)*Buildings_Water_Backend[[#This Row],[Converted data]]/1000</f>
        <v>#N/A</v>
      </c>
      <c r="AL118" s="220" t="e">
        <f>SUM(Buildings_Water_Backend[[#This Row],[Scope 1 (tCO2e)]:[Scope 3 WTT T&amp;D (tCO2e)]])</f>
        <v>#N/A</v>
      </c>
      <c r="AM118" s="220" t="e">
        <f>Buildings_Water_Backend[[#This Row],[Total (tCO2e)]]*(1-Buildings_Water_Backend[[#This Row],[RSD]])</f>
        <v>#N/A</v>
      </c>
      <c r="AN118" s="220" t="e">
        <f>Buildings_Water_Backend[[#This Row],[Total (tCO2e)]]*(1+Buildings_Water_Backend[[#This Row],[RSD]])</f>
        <v>#N/A</v>
      </c>
      <c r="AO118" s="210" t="e">
        <f>_xlfn.XLOOKUP(_xlfn.CONCAT(Buildings_Water_Backend[[#This Row],[Level 1]:[Level 6]]),rng_EFConcat,rng_EFOOS)*Buildings_Water_Backend[[#This Row],[Converted data]]/1000</f>
        <v>#N/A</v>
      </c>
      <c r="AP118" s="174">
        <f>Buildings_Water_Frontend[[#This Row],[Ease of collection]]</f>
        <v>0</v>
      </c>
      <c r="AQ118" s="174">
        <f>Buildings_Water_Frontend[[#This Row],[Completeness]]</f>
        <v>0</v>
      </c>
      <c r="AR118" s="174">
        <f>Buildings_Water_Frontend[[#This Row],[Notes]]</f>
        <v>0</v>
      </c>
    </row>
    <row r="119" spans="5:44" x14ac:dyDescent="0.3">
      <c r="E119" s="346"/>
      <c r="F119" s="364"/>
      <c r="G119" s="336"/>
      <c r="H119" s="336"/>
      <c r="I119" s="334"/>
      <c r="J119" s="336"/>
      <c r="K119" s="336"/>
      <c r="L119" s="336"/>
      <c r="M119" s="337"/>
      <c r="N119" s="242">
        <f t="shared" si="3"/>
        <v>5</v>
      </c>
      <c r="Q119" s="212" t="str">
        <f t="shared" si="2"/>
        <v/>
      </c>
      <c r="R119" s="174" t="s">
        <v>265</v>
      </c>
      <c r="S119" s="174" t="s">
        <v>273</v>
      </c>
      <c r="T119" s="174" t="e">
        <f>_xlfn.XLOOKUP(Buildings_Water_Backend[[#This Row],[Info 1]],Buildings_SiteInfo[Site name],Buildings_SiteInfo[Site type])</f>
        <v>#N/A</v>
      </c>
      <c r="U119" s="174" t="s">
        <v>327</v>
      </c>
      <c r="V119" s="174">
        <f>Buildings_Water_Frontend[[#This Row],[Type]]</f>
        <v>0</v>
      </c>
      <c r="W119" s="174" t="e" cm="1">
        <f t="array" aca="1" ref="W119" ca="1">_xlfn.XLOOKUP(Buildings_Water_Backend[[#This Row],[Level 5]],rng_Level5Long,rng_Level6Long)</f>
        <v>#N/A</v>
      </c>
      <c r="X119" s="174">
        <f>Buildings_Water_Frontend[[#This Row],[Site Name]]</f>
        <v>0</v>
      </c>
      <c r="Y119" s="174">
        <f>Buildings_Water_Frontend[[#This Row],[Meter Reference]]</f>
        <v>0</v>
      </c>
      <c r="Z119" s="220">
        <f>Buildings_Water_Frontend[[#This Row],[Methodology]]</f>
        <v>0</v>
      </c>
      <c r="AA119" s="229" t="e" cm="1">
        <f t="array" ref="AA119">INDEX(_xlfn.SWITCH(Buildings_Water_Backend[[#This Row],[Methodology]],"Tier 1",rng_RSD1,"Tier 2",rng_RSD2,"Tier 3",rng_RSD3),MATCH(_xlfn.CONCAT(Buildings_Water_Backend[[#This Row],[Level 1]:[Level 6]]),rng_LevelsConcat,0))</f>
        <v>#N/A</v>
      </c>
      <c r="AB119" s="224">
        <f>Buildings_Water_Frontend[[#This Row],[Data]]</f>
        <v>0</v>
      </c>
      <c r="AC119" s="174">
        <f>Buildings_Water_Frontend[[#This Row],[Units]]</f>
        <v>0</v>
      </c>
      <c r="AD119" s="220" t="e">
        <f>IF(Buildings_Water_Backend[[#This Row],[Units]]=Buildings_Water_Backend[[#This Row],[Standard units]],Buildings_Water_Backend[[#This Row],[Data]],Buildings_Water_Backend[[#This Row],[Data]]*_xlfn.XLOOKUP(_xlfn.CONCAT(Buildings_Water_Backend[[#This Row],[Level 1]:[Level 6]]),rng_EFConcat,rng_EFConversion))</f>
        <v>#N/A</v>
      </c>
      <c r="AE119" s="174" t="e" cm="1">
        <f t="array" ref="AE119">_xlfn.XLOOKUP(_xlfn.CONCAT(Buildings_Water_Backend[[#This Row],[Level 1]:[Level 6]]),rng_LevelsConcat,rng_UnitsLong)</f>
        <v>#N/A</v>
      </c>
      <c r="AF119" s="210" t="e">
        <f>_xlfn.XLOOKUP(_xlfn.CONCAT(Buildings_Water_Backend[[#This Row],[Level 1]:[Level 6]]),rng_EFConcat,rng_EF1)*Buildings_Water_Backend[[#This Row],[Converted data]]/1000</f>
        <v>#N/A</v>
      </c>
      <c r="AG119" s="210" t="e">
        <f>_xlfn.XLOOKUP(_xlfn.CONCAT(Buildings_Water_Backend[[#This Row],[Level 1]:[Level 6]]),rng_EFConcat,rng_EF2)*Buildings_Water_Backend[[#This Row],[Converted data]]/1000</f>
        <v>#N/A</v>
      </c>
      <c r="AH119" s="210" t="e">
        <f>_xlfn.XLOOKUP(_xlfn.CONCAT(Buildings_Water_Backend[[#This Row],[Level 1]:[Level 6]]),rng_EFConcat,rng_EF3)*Buildings_Water_Backend[[#This Row],[Converted data]]/1000</f>
        <v>#N/A</v>
      </c>
      <c r="AI119" s="210" t="e">
        <f>_xlfn.XLOOKUP(_xlfn.CONCAT(Buildings_Water_Backend[[#This Row],[Level 1]:[Level 6]]),rng_EFConcat,rng_EF3WTT)*Buildings_Water_Backend[[#This Row],[Converted data]]/1000</f>
        <v>#N/A</v>
      </c>
      <c r="AJ119" s="210" t="e">
        <f>_xlfn.XLOOKUP(_xlfn.CONCAT(Buildings_Water_Backend[[#This Row],[Level 1]:[Level 6]]),rng_EFConcat,rng_EF3TD)*Buildings_Water_Backend[[#This Row],[Converted data]]/1000</f>
        <v>#N/A</v>
      </c>
      <c r="AK119" s="210" t="e">
        <f>_xlfn.XLOOKUP(_xlfn.CONCAT(Buildings_Water_Backend[[#This Row],[Level 1]:[Level 6]]),rng_EFConcat,rng_EF3WTTTD)*Buildings_Water_Backend[[#This Row],[Converted data]]/1000</f>
        <v>#N/A</v>
      </c>
      <c r="AL119" s="220" t="e">
        <f>SUM(Buildings_Water_Backend[[#This Row],[Scope 1 (tCO2e)]:[Scope 3 WTT T&amp;D (tCO2e)]])</f>
        <v>#N/A</v>
      </c>
      <c r="AM119" s="220" t="e">
        <f>Buildings_Water_Backend[[#This Row],[Total (tCO2e)]]*(1-Buildings_Water_Backend[[#This Row],[RSD]])</f>
        <v>#N/A</v>
      </c>
      <c r="AN119" s="220" t="e">
        <f>Buildings_Water_Backend[[#This Row],[Total (tCO2e)]]*(1+Buildings_Water_Backend[[#This Row],[RSD]])</f>
        <v>#N/A</v>
      </c>
      <c r="AO119" s="210" t="e">
        <f>_xlfn.XLOOKUP(_xlfn.CONCAT(Buildings_Water_Backend[[#This Row],[Level 1]:[Level 6]]),rng_EFConcat,rng_EFOOS)*Buildings_Water_Backend[[#This Row],[Converted data]]/1000</f>
        <v>#N/A</v>
      </c>
      <c r="AP119" s="174">
        <f>Buildings_Water_Frontend[[#This Row],[Ease of collection]]</f>
        <v>0</v>
      </c>
      <c r="AQ119" s="174">
        <f>Buildings_Water_Frontend[[#This Row],[Completeness]]</f>
        <v>0</v>
      </c>
      <c r="AR119" s="174">
        <f>Buildings_Water_Frontend[[#This Row],[Notes]]</f>
        <v>0</v>
      </c>
    </row>
    <row r="120" spans="5:44" x14ac:dyDescent="0.3">
      <c r="E120" s="346"/>
      <c r="F120" s="364"/>
      <c r="G120" s="336"/>
      <c r="H120" s="336"/>
      <c r="I120" s="334"/>
      <c r="J120" s="336"/>
      <c r="K120" s="336"/>
      <c r="L120" s="336"/>
      <c r="M120" s="337"/>
      <c r="N120" s="242">
        <f t="shared" si="3"/>
        <v>5</v>
      </c>
      <c r="Q120" s="212" t="str">
        <f t="shared" si="2"/>
        <v/>
      </c>
      <c r="R120" s="174" t="s">
        <v>265</v>
      </c>
      <c r="S120" s="174" t="s">
        <v>273</v>
      </c>
      <c r="T120" s="174" t="e">
        <f>_xlfn.XLOOKUP(Buildings_Water_Backend[[#This Row],[Info 1]],Buildings_SiteInfo[Site name],Buildings_SiteInfo[Site type])</f>
        <v>#N/A</v>
      </c>
      <c r="U120" s="174" t="s">
        <v>327</v>
      </c>
      <c r="V120" s="174">
        <f>Buildings_Water_Frontend[[#This Row],[Type]]</f>
        <v>0</v>
      </c>
      <c r="W120" s="174" t="e" cm="1">
        <f t="array" aca="1" ref="W120" ca="1">_xlfn.XLOOKUP(Buildings_Water_Backend[[#This Row],[Level 5]],rng_Level5Long,rng_Level6Long)</f>
        <v>#N/A</v>
      </c>
      <c r="X120" s="174">
        <f>Buildings_Water_Frontend[[#This Row],[Site Name]]</f>
        <v>0</v>
      </c>
      <c r="Y120" s="174">
        <f>Buildings_Water_Frontend[[#This Row],[Meter Reference]]</f>
        <v>0</v>
      </c>
      <c r="Z120" s="220">
        <f>Buildings_Water_Frontend[[#This Row],[Methodology]]</f>
        <v>0</v>
      </c>
      <c r="AA120" s="229" t="e" cm="1">
        <f t="array" ref="AA120">INDEX(_xlfn.SWITCH(Buildings_Water_Backend[[#This Row],[Methodology]],"Tier 1",rng_RSD1,"Tier 2",rng_RSD2,"Tier 3",rng_RSD3),MATCH(_xlfn.CONCAT(Buildings_Water_Backend[[#This Row],[Level 1]:[Level 6]]),rng_LevelsConcat,0))</f>
        <v>#N/A</v>
      </c>
      <c r="AB120" s="224">
        <f>Buildings_Water_Frontend[[#This Row],[Data]]</f>
        <v>0</v>
      </c>
      <c r="AC120" s="174">
        <f>Buildings_Water_Frontend[[#This Row],[Units]]</f>
        <v>0</v>
      </c>
      <c r="AD120" s="220" t="e">
        <f>IF(Buildings_Water_Backend[[#This Row],[Units]]=Buildings_Water_Backend[[#This Row],[Standard units]],Buildings_Water_Backend[[#This Row],[Data]],Buildings_Water_Backend[[#This Row],[Data]]*_xlfn.XLOOKUP(_xlfn.CONCAT(Buildings_Water_Backend[[#This Row],[Level 1]:[Level 6]]),rng_EFConcat,rng_EFConversion))</f>
        <v>#N/A</v>
      </c>
      <c r="AE120" s="174" t="e" cm="1">
        <f t="array" ref="AE120">_xlfn.XLOOKUP(_xlfn.CONCAT(Buildings_Water_Backend[[#This Row],[Level 1]:[Level 6]]),rng_LevelsConcat,rng_UnitsLong)</f>
        <v>#N/A</v>
      </c>
      <c r="AF120" s="210" t="e">
        <f>_xlfn.XLOOKUP(_xlfn.CONCAT(Buildings_Water_Backend[[#This Row],[Level 1]:[Level 6]]),rng_EFConcat,rng_EF1)*Buildings_Water_Backend[[#This Row],[Converted data]]/1000</f>
        <v>#N/A</v>
      </c>
      <c r="AG120" s="210" t="e">
        <f>_xlfn.XLOOKUP(_xlfn.CONCAT(Buildings_Water_Backend[[#This Row],[Level 1]:[Level 6]]),rng_EFConcat,rng_EF2)*Buildings_Water_Backend[[#This Row],[Converted data]]/1000</f>
        <v>#N/A</v>
      </c>
      <c r="AH120" s="210" t="e">
        <f>_xlfn.XLOOKUP(_xlfn.CONCAT(Buildings_Water_Backend[[#This Row],[Level 1]:[Level 6]]),rng_EFConcat,rng_EF3)*Buildings_Water_Backend[[#This Row],[Converted data]]/1000</f>
        <v>#N/A</v>
      </c>
      <c r="AI120" s="210" t="e">
        <f>_xlfn.XLOOKUP(_xlfn.CONCAT(Buildings_Water_Backend[[#This Row],[Level 1]:[Level 6]]),rng_EFConcat,rng_EF3WTT)*Buildings_Water_Backend[[#This Row],[Converted data]]/1000</f>
        <v>#N/A</v>
      </c>
      <c r="AJ120" s="210" t="e">
        <f>_xlfn.XLOOKUP(_xlfn.CONCAT(Buildings_Water_Backend[[#This Row],[Level 1]:[Level 6]]),rng_EFConcat,rng_EF3TD)*Buildings_Water_Backend[[#This Row],[Converted data]]/1000</f>
        <v>#N/A</v>
      </c>
      <c r="AK120" s="210" t="e">
        <f>_xlfn.XLOOKUP(_xlfn.CONCAT(Buildings_Water_Backend[[#This Row],[Level 1]:[Level 6]]),rng_EFConcat,rng_EF3WTTTD)*Buildings_Water_Backend[[#This Row],[Converted data]]/1000</f>
        <v>#N/A</v>
      </c>
      <c r="AL120" s="220" t="e">
        <f>SUM(Buildings_Water_Backend[[#This Row],[Scope 1 (tCO2e)]:[Scope 3 WTT T&amp;D (tCO2e)]])</f>
        <v>#N/A</v>
      </c>
      <c r="AM120" s="220" t="e">
        <f>Buildings_Water_Backend[[#This Row],[Total (tCO2e)]]*(1-Buildings_Water_Backend[[#This Row],[RSD]])</f>
        <v>#N/A</v>
      </c>
      <c r="AN120" s="220" t="e">
        <f>Buildings_Water_Backend[[#This Row],[Total (tCO2e)]]*(1+Buildings_Water_Backend[[#This Row],[RSD]])</f>
        <v>#N/A</v>
      </c>
      <c r="AO120" s="210" t="e">
        <f>_xlfn.XLOOKUP(_xlfn.CONCAT(Buildings_Water_Backend[[#This Row],[Level 1]:[Level 6]]),rng_EFConcat,rng_EFOOS)*Buildings_Water_Backend[[#This Row],[Converted data]]/1000</f>
        <v>#N/A</v>
      </c>
      <c r="AP120" s="174">
        <f>Buildings_Water_Frontend[[#This Row],[Ease of collection]]</f>
        <v>0</v>
      </c>
      <c r="AQ120" s="174">
        <f>Buildings_Water_Frontend[[#This Row],[Completeness]]</f>
        <v>0</v>
      </c>
      <c r="AR120" s="174">
        <f>Buildings_Water_Frontend[[#This Row],[Notes]]</f>
        <v>0</v>
      </c>
    </row>
    <row r="121" spans="5:44" x14ac:dyDescent="0.3">
      <c r="E121" s="346"/>
      <c r="F121" s="364"/>
      <c r="G121" s="336"/>
      <c r="H121" s="336"/>
      <c r="I121" s="334"/>
      <c r="J121" s="336"/>
      <c r="K121" s="336"/>
      <c r="L121" s="336"/>
      <c r="M121" s="337"/>
      <c r="N121" s="242">
        <f t="shared" si="3"/>
        <v>5</v>
      </c>
      <c r="Q121" s="212" t="str">
        <f t="shared" si="2"/>
        <v/>
      </c>
      <c r="R121" s="174" t="s">
        <v>265</v>
      </c>
      <c r="S121" s="174" t="s">
        <v>273</v>
      </c>
      <c r="T121" s="174" t="e">
        <f>_xlfn.XLOOKUP(Buildings_Water_Backend[[#This Row],[Info 1]],Buildings_SiteInfo[Site name],Buildings_SiteInfo[Site type])</f>
        <v>#N/A</v>
      </c>
      <c r="U121" s="174" t="s">
        <v>327</v>
      </c>
      <c r="V121" s="174">
        <f>Buildings_Water_Frontend[[#This Row],[Type]]</f>
        <v>0</v>
      </c>
      <c r="W121" s="174" t="e" cm="1">
        <f t="array" aca="1" ref="W121" ca="1">_xlfn.XLOOKUP(Buildings_Water_Backend[[#This Row],[Level 5]],rng_Level5Long,rng_Level6Long)</f>
        <v>#N/A</v>
      </c>
      <c r="X121" s="174">
        <f>Buildings_Water_Frontend[[#This Row],[Site Name]]</f>
        <v>0</v>
      </c>
      <c r="Y121" s="174">
        <f>Buildings_Water_Frontend[[#This Row],[Meter Reference]]</f>
        <v>0</v>
      </c>
      <c r="Z121" s="220">
        <f>Buildings_Water_Frontend[[#This Row],[Methodology]]</f>
        <v>0</v>
      </c>
      <c r="AA121" s="229" t="e" cm="1">
        <f t="array" ref="AA121">INDEX(_xlfn.SWITCH(Buildings_Water_Backend[[#This Row],[Methodology]],"Tier 1",rng_RSD1,"Tier 2",rng_RSD2,"Tier 3",rng_RSD3),MATCH(_xlfn.CONCAT(Buildings_Water_Backend[[#This Row],[Level 1]:[Level 6]]),rng_LevelsConcat,0))</f>
        <v>#N/A</v>
      </c>
      <c r="AB121" s="224">
        <f>Buildings_Water_Frontend[[#This Row],[Data]]</f>
        <v>0</v>
      </c>
      <c r="AC121" s="174">
        <f>Buildings_Water_Frontend[[#This Row],[Units]]</f>
        <v>0</v>
      </c>
      <c r="AD121" s="220" t="e">
        <f>IF(Buildings_Water_Backend[[#This Row],[Units]]=Buildings_Water_Backend[[#This Row],[Standard units]],Buildings_Water_Backend[[#This Row],[Data]],Buildings_Water_Backend[[#This Row],[Data]]*_xlfn.XLOOKUP(_xlfn.CONCAT(Buildings_Water_Backend[[#This Row],[Level 1]:[Level 6]]),rng_EFConcat,rng_EFConversion))</f>
        <v>#N/A</v>
      </c>
      <c r="AE121" s="174" t="e" cm="1">
        <f t="array" ref="AE121">_xlfn.XLOOKUP(_xlfn.CONCAT(Buildings_Water_Backend[[#This Row],[Level 1]:[Level 6]]),rng_LevelsConcat,rng_UnitsLong)</f>
        <v>#N/A</v>
      </c>
      <c r="AF121" s="210" t="e">
        <f>_xlfn.XLOOKUP(_xlfn.CONCAT(Buildings_Water_Backend[[#This Row],[Level 1]:[Level 6]]),rng_EFConcat,rng_EF1)*Buildings_Water_Backend[[#This Row],[Converted data]]/1000</f>
        <v>#N/A</v>
      </c>
      <c r="AG121" s="210" t="e">
        <f>_xlfn.XLOOKUP(_xlfn.CONCAT(Buildings_Water_Backend[[#This Row],[Level 1]:[Level 6]]),rng_EFConcat,rng_EF2)*Buildings_Water_Backend[[#This Row],[Converted data]]/1000</f>
        <v>#N/A</v>
      </c>
      <c r="AH121" s="210" t="e">
        <f>_xlfn.XLOOKUP(_xlfn.CONCAT(Buildings_Water_Backend[[#This Row],[Level 1]:[Level 6]]),rng_EFConcat,rng_EF3)*Buildings_Water_Backend[[#This Row],[Converted data]]/1000</f>
        <v>#N/A</v>
      </c>
      <c r="AI121" s="210" t="e">
        <f>_xlfn.XLOOKUP(_xlfn.CONCAT(Buildings_Water_Backend[[#This Row],[Level 1]:[Level 6]]),rng_EFConcat,rng_EF3WTT)*Buildings_Water_Backend[[#This Row],[Converted data]]/1000</f>
        <v>#N/A</v>
      </c>
      <c r="AJ121" s="210" t="e">
        <f>_xlfn.XLOOKUP(_xlfn.CONCAT(Buildings_Water_Backend[[#This Row],[Level 1]:[Level 6]]),rng_EFConcat,rng_EF3TD)*Buildings_Water_Backend[[#This Row],[Converted data]]/1000</f>
        <v>#N/A</v>
      </c>
      <c r="AK121" s="210" t="e">
        <f>_xlfn.XLOOKUP(_xlfn.CONCAT(Buildings_Water_Backend[[#This Row],[Level 1]:[Level 6]]),rng_EFConcat,rng_EF3WTTTD)*Buildings_Water_Backend[[#This Row],[Converted data]]/1000</f>
        <v>#N/A</v>
      </c>
      <c r="AL121" s="220" t="e">
        <f>SUM(Buildings_Water_Backend[[#This Row],[Scope 1 (tCO2e)]:[Scope 3 WTT T&amp;D (tCO2e)]])</f>
        <v>#N/A</v>
      </c>
      <c r="AM121" s="220" t="e">
        <f>Buildings_Water_Backend[[#This Row],[Total (tCO2e)]]*(1-Buildings_Water_Backend[[#This Row],[RSD]])</f>
        <v>#N/A</v>
      </c>
      <c r="AN121" s="220" t="e">
        <f>Buildings_Water_Backend[[#This Row],[Total (tCO2e)]]*(1+Buildings_Water_Backend[[#This Row],[RSD]])</f>
        <v>#N/A</v>
      </c>
      <c r="AO121" s="210" t="e">
        <f>_xlfn.XLOOKUP(_xlfn.CONCAT(Buildings_Water_Backend[[#This Row],[Level 1]:[Level 6]]),rng_EFConcat,rng_EFOOS)*Buildings_Water_Backend[[#This Row],[Converted data]]/1000</f>
        <v>#N/A</v>
      </c>
      <c r="AP121" s="174">
        <f>Buildings_Water_Frontend[[#This Row],[Ease of collection]]</f>
        <v>0</v>
      </c>
      <c r="AQ121" s="174">
        <f>Buildings_Water_Frontend[[#This Row],[Completeness]]</f>
        <v>0</v>
      </c>
      <c r="AR121" s="174">
        <f>Buildings_Water_Frontend[[#This Row],[Notes]]</f>
        <v>0</v>
      </c>
    </row>
    <row r="122" spans="5:44" x14ac:dyDescent="0.3">
      <c r="E122" s="346"/>
      <c r="F122" s="364"/>
      <c r="G122" s="336"/>
      <c r="H122" s="336"/>
      <c r="I122" s="334"/>
      <c r="J122" s="336"/>
      <c r="K122" s="336"/>
      <c r="L122" s="336"/>
      <c r="M122" s="337"/>
      <c r="N122" s="242">
        <f t="shared" si="3"/>
        <v>5</v>
      </c>
      <c r="Q122" s="212" t="str">
        <f t="shared" si="2"/>
        <v/>
      </c>
      <c r="R122" s="174" t="s">
        <v>265</v>
      </c>
      <c r="S122" s="174" t="s">
        <v>273</v>
      </c>
      <c r="T122" s="174" t="e">
        <f>_xlfn.XLOOKUP(Buildings_Water_Backend[[#This Row],[Info 1]],Buildings_SiteInfo[Site name],Buildings_SiteInfo[Site type])</f>
        <v>#N/A</v>
      </c>
      <c r="U122" s="174" t="s">
        <v>327</v>
      </c>
      <c r="V122" s="174">
        <f>Buildings_Water_Frontend[[#This Row],[Type]]</f>
        <v>0</v>
      </c>
      <c r="W122" s="174" t="e" cm="1">
        <f t="array" aca="1" ref="W122" ca="1">_xlfn.XLOOKUP(Buildings_Water_Backend[[#This Row],[Level 5]],rng_Level5Long,rng_Level6Long)</f>
        <v>#N/A</v>
      </c>
      <c r="X122" s="174">
        <f>Buildings_Water_Frontend[[#This Row],[Site Name]]</f>
        <v>0</v>
      </c>
      <c r="Y122" s="174">
        <f>Buildings_Water_Frontend[[#This Row],[Meter Reference]]</f>
        <v>0</v>
      </c>
      <c r="Z122" s="220">
        <f>Buildings_Water_Frontend[[#This Row],[Methodology]]</f>
        <v>0</v>
      </c>
      <c r="AA122" s="229" t="e" cm="1">
        <f t="array" ref="AA122">INDEX(_xlfn.SWITCH(Buildings_Water_Backend[[#This Row],[Methodology]],"Tier 1",rng_RSD1,"Tier 2",rng_RSD2,"Tier 3",rng_RSD3),MATCH(_xlfn.CONCAT(Buildings_Water_Backend[[#This Row],[Level 1]:[Level 6]]),rng_LevelsConcat,0))</f>
        <v>#N/A</v>
      </c>
      <c r="AB122" s="224">
        <f>Buildings_Water_Frontend[[#This Row],[Data]]</f>
        <v>0</v>
      </c>
      <c r="AC122" s="174">
        <f>Buildings_Water_Frontend[[#This Row],[Units]]</f>
        <v>0</v>
      </c>
      <c r="AD122" s="220" t="e">
        <f>IF(Buildings_Water_Backend[[#This Row],[Units]]=Buildings_Water_Backend[[#This Row],[Standard units]],Buildings_Water_Backend[[#This Row],[Data]],Buildings_Water_Backend[[#This Row],[Data]]*_xlfn.XLOOKUP(_xlfn.CONCAT(Buildings_Water_Backend[[#This Row],[Level 1]:[Level 6]]),rng_EFConcat,rng_EFConversion))</f>
        <v>#N/A</v>
      </c>
      <c r="AE122" s="174" t="e" cm="1">
        <f t="array" ref="AE122">_xlfn.XLOOKUP(_xlfn.CONCAT(Buildings_Water_Backend[[#This Row],[Level 1]:[Level 6]]),rng_LevelsConcat,rng_UnitsLong)</f>
        <v>#N/A</v>
      </c>
      <c r="AF122" s="210" t="e">
        <f>_xlfn.XLOOKUP(_xlfn.CONCAT(Buildings_Water_Backend[[#This Row],[Level 1]:[Level 6]]),rng_EFConcat,rng_EF1)*Buildings_Water_Backend[[#This Row],[Converted data]]/1000</f>
        <v>#N/A</v>
      </c>
      <c r="AG122" s="210" t="e">
        <f>_xlfn.XLOOKUP(_xlfn.CONCAT(Buildings_Water_Backend[[#This Row],[Level 1]:[Level 6]]),rng_EFConcat,rng_EF2)*Buildings_Water_Backend[[#This Row],[Converted data]]/1000</f>
        <v>#N/A</v>
      </c>
      <c r="AH122" s="210" t="e">
        <f>_xlfn.XLOOKUP(_xlfn.CONCAT(Buildings_Water_Backend[[#This Row],[Level 1]:[Level 6]]),rng_EFConcat,rng_EF3)*Buildings_Water_Backend[[#This Row],[Converted data]]/1000</f>
        <v>#N/A</v>
      </c>
      <c r="AI122" s="210" t="e">
        <f>_xlfn.XLOOKUP(_xlfn.CONCAT(Buildings_Water_Backend[[#This Row],[Level 1]:[Level 6]]),rng_EFConcat,rng_EF3WTT)*Buildings_Water_Backend[[#This Row],[Converted data]]/1000</f>
        <v>#N/A</v>
      </c>
      <c r="AJ122" s="210" t="e">
        <f>_xlfn.XLOOKUP(_xlfn.CONCAT(Buildings_Water_Backend[[#This Row],[Level 1]:[Level 6]]),rng_EFConcat,rng_EF3TD)*Buildings_Water_Backend[[#This Row],[Converted data]]/1000</f>
        <v>#N/A</v>
      </c>
      <c r="AK122" s="210" t="e">
        <f>_xlfn.XLOOKUP(_xlfn.CONCAT(Buildings_Water_Backend[[#This Row],[Level 1]:[Level 6]]),rng_EFConcat,rng_EF3WTTTD)*Buildings_Water_Backend[[#This Row],[Converted data]]/1000</f>
        <v>#N/A</v>
      </c>
      <c r="AL122" s="220" t="e">
        <f>SUM(Buildings_Water_Backend[[#This Row],[Scope 1 (tCO2e)]:[Scope 3 WTT T&amp;D (tCO2e)]])</f>
        <v>#N/A</v>
      </c>
      <c r="AM122" s="220" t="e">
        <f>Buildings_Water_Backend[[#This Row],[Total (tCO2e)]]*(1-Buildings_Water_Backend[[#This Row],[RSD]])</f>
        <v>#N/A</v>
      </c>
      <c r="AN122" s="220" t="e">
        <f>Buildings_Water_Backend[[#This Row],[Total (tCO2e)]]*(1+Buildings_Water_Backend[[#This Row],[RSD]])</f>
        <v>#N/A</v>
      </c>
      <c r="AO122" s="210" t="e">
        <f>_xlfn.XLOOKUP(_xlfn.CONCAT(Buildings_Water_Backend[[#This Row],[Level 1]:[Level 6]]),rng_EFConcat,rng_EFOOS)*Buildings_Water_Backend[[#This Row],[Converted data]]/1000</f>
        <v>#N/A</v>
      </c>
      <c r="AP122" s="174">
        <f>Buildings_Water_Frontend[[#This Row],[Ease of collection]]</f>
        <v>0</v>
      </c>
      <c r="AQ122" s="174">
        <f>Buildings_Water_Frontend[[#This Row],[Completeness]]</f>
        <v>0</v>
      </c>
      <c r="AR122" s="174">
        <f>Buildings_Water_Frontend[[#This Row],[Notes]]</f>
        <v>0</v>
      </c>
    </row>
    <row r="123" spans="5:44" x14ac:dyDescent="0.3">
      <c r="E123" s="346"/>
      <c r="F123" s="364"/>
      <c r="G123" s="336"/>
      <c r="H123" s="336"/>
      <c r="I123" s="334"/>
      <c r="J123" s="336"/>
      <c r="K123" s="336"/>
      <c r="L123" s="336"/>
      <c r="M123" s="337"/>
      <c r="N123" s="242">
        <f t="shared" si="3"/>
        <v>5</v>
      </c>
      <c r="Q123" s="212" t="str">
        <f t="shared" si="2"/>
        <v/>
      </c>
      <c r="R123" s="174" t="s">
        <v>265</v>
      </c>
      <c r="S123" s="174" t="s">
        <v>273</v>
      </c>
      <c r="T123" s="174" t="e">
        <f>_xlfn.XLOOKUP(Buildings_Water_Backend[[#This Row],[Info 1]],Buildings_SiteInfo[Site name],Buildings_SiteInfo[Site type])</f>
        <v>#N/A</v>
      </c>
      <c r="U123" s="174" t="s">
        <v>327</v>
      </c>
      <c r="V123" s="174">
        <f>Buildings_Water_Frontend[[#This Row],[Type]]</f>
        <v>0</v>
      </c>
      <c r="W123" s="174" t="e" cm="1">
        <f t="array" aca="1" ref="W123" ca="1">_xlfn.XLOOKUP(Buildings_Water_Backend[[#This Row],[Level 5]],rng_Level5Long,rng_Level6Long)</f>
        <v>#N/A</v>
      </c>
      <c r="X123" s="174">
        <f>Buildings_Water_Frontend[[#This Row],[Site Name]]</f>
        <v>0</v>
      </c>
      <c r="Y123" s="174">
        <f>Buildings_Water_Frontend[[#This Row],[Meter Reference]]</f>
        <v>0</v>
      </c>
      <c r="Z123" s="220">
        <f>Buildings_Water_Frontend[[#This Row],[Methodology]]</f>
        <v>0</v>
      </c>
      <c r="AA123" s="229" t="e" cm="1">
        <f t="array" ref="AA123">INDEX(_xlfn.SWITCH(Buildings_Water_Backend[[#This Row],[Methodology]],"Tier 1",rng_RSD1,"Tier 2",rng_RSD2,"Tier 3",rng_RSD3),MATCH(_xlfn.CONCAT(Buildings_Water_Backend[[#This Row],[Level 1]:[Level 6]]),rng_LevelsConcat,0))</f>
        <v>#N/A</v>
      </c>
      <c r="AB123" s="224">
        <f>Buildings_Water_Frontend[[#This Row],[Data]]</f>
        <v>0</v>
      </c>
      <c r="AC123" s="174">
        <f>Buildings_Water_Frontend[[#This Row],[Units]]</f>
        <v>0</v>
      </c>
      <c r="AD123" s="220" t="e">
        <f>IF(Buildings_Water_Backend[[#This Row],[Units]]=Buildings_Water_Backend[[#This Row],[Standard units]],Buildings_Water_Backend[[#This Row],[Data]],Buildings_Water_Backend[[#This Row],[Data]]*_xlfn.XLOOKUP(_xlfn.CONCAT(Buildings_Water_Backend[[#This Row],[Level 1]:[Level 6]]),rng_EFConcat,rng_EFConversion))</f>
        <v>#N/A</v>
      </c>
      <c r="AE123" s="174" t="e" cm="1">
        <f t="array" ref="AE123">_xlfn.XLOOKUP(_xlfn.CONCAT(Buildings_Water_Backend[[#This Row],[Level 1]:[Level 6]]),rng_LevelsConcat,rng_UnitsLong)</f>
        <v>#N/A</v>
      </c>
      <c r="AF123" s="210" t="e">
        <f>_xlfn.XLOOKUP(_xlfn.CONCAT(Buildings_Water_Backend[[#This Row],[Level 1]:[Level 6]]),rng_EFConcat,rng_EF1)*Buildings_Water_Backend[[#This Row],[Converted data]]/1000</f>
        <v>#N/A</v>
      </c>
      <c r="AG123" s="210" t="e">
        <f>_xlfn.XLOOKUP(_xlfn.CONCAT(Buildings_Water_Backend[[#This Row],[Level 1]:[Level 6]]),rng_EFConcat,rng_EF2)*Buildings_Water_Backend[[#This Row],[Converted data]]/1000</f>
        <v>#N/A</v>
      </c>
      <c r="AH123" s="210" t="e">
        <f>_xlfn.XLOOKUP(_xlfn.CONCAT(Buildings_Water_Backend[[#This Row],[Level 1]:[Level 6]]),rng_EFConcat,rng_EF3)*Buildings_Water_Backend[[#This Row],[Converted data]]/1000</f>
        <v>#N/A</v>
      </c>
      <c r="AI123" s="210" t="e">
        <f>_xlfn.XLOOKUP(_xlfn.CONCAT(Buildings_Water_Backend[[#This Row],[Level 1]:[Level 6]]),rng_EFConcat,rng_EF3WTT)*Buildings_Water_Backend[[#This Row],[Converted data]]/1000</f>
        <v>#N/A</v>
      </c>
      <c r="AJ123" s="210" t="e">
        <f>_xlfn.XLOOKUP(_xlfn.CONCAT(Buildings_Water_Backend[[#This Row],[Level 1]:[Level 6]]),rng_EFConcat,rng_EF3TD)*Buildings_Water_Backend[[#This Row],[Converted data]]/1000</f>
        <v>#N/A</v>
      </c>
      <c r="AK123" s="210" t="e">
        <f>_xlfn.XLOOKUP(_xlfn.CONCAT(Buildings_Water_Backend[[#This Row],[Level 1]:[Level 6]]),rng_EFConcat,rng_EF3WTTTD)*Buildings_Water_Backend[[#This Row],[Converted data]]/1000</f>
        <v>#N/A</v>
      </c>
      <c r="AL123" s="220" t="e">
        <f>SUM(Buildings_Water_Backend[[#This Row],[Scope 1 (tCO2e)]:[Scope 3 WTT T&amp;D (tCO2e)]])</f>
        <v>#N/A</v>
      </c>
      <c r="AM123" s="220" t="e">
        <f>Buildings_Water_Backend[[#This Row],[Total (tCO2e)]]*(1-Buildings_Water_Backend[[#This Row],[RSD]])</f>
        <v>#N/A</v>
      </c>
      <c r="AN123" s="220" t="e">
        <f>Buildings_Water_Backend[[#This Row],[Total (tCO2e)]]*(1+Buildings_Water_Backend[[#This Row],[RSD]])</f>
        <v>#N/A</v>
      </c>
      <c r="AO123" s="210" t="e">
        <f>_xlfn.XLOOKUP(_xlfn.CONCAT(Buildings_Water_Backend[[#This Row],[Level 1]:[Level 6]]),rng_EFConcat,rng_EFOOS)*Buildings_Water_Backend[[#This Row],[Converted data]]/1000</f>
        <v>#N/A</v>
      </c>
      <c r="AP123" s="174">
        <f>Buildings_Water_Frontend[[#This Row],[Ease of collection]]</f>
        <v>0</v>
      </c>
      <c r="AQ123" s="174">
        <f>Buildings_Water_Frontend[[#This Row],[Completeness]]</f>
        <v>0</v>
      </c>
      <c r="AR123" s="174">
        <f>Buildings_Water_Frontend[[#This Row],[Notes]]</f>
        <v>0</v>
      </c>
    </row>
    <row r="124" spans="5:44" x14ac:dyDescent="0.3">
      <c r="E124" s="346"/>
      <c r="F124" s="364"/>
      <c r="G124" s="336"/>
      <c r="H124" s="336"/>
      <c r="I124" s="334"/>
      <c r="J124" s="336"/>
      <c r="K124" s="336"/>
      <c r="L124" s="336"/>
      <c r="M124" s="337"/>
      <c r="N124" s="242">
        <f t="shared" si="3"/>
        <v>5</v>
      </c>
      <c r="Q124" s="212" t="str">
        <f t="shared" si="2"/>
        <v/>
      </c>
      <c r="R124" s="174" t="s">
        <v>265</v>
      </c>
      <c r="S124" s="174" t="s">
        <v>273</v>
      </c>
      <c r="T124" s="174" t="e">
        <f>_xlfn.XLOOKUP(Buildings_Water_Backend[[#This Row],[Info 1]],Buildings_SiteInfo[Site name],Buildings_SiteInfo[Site type])</f>
        <v>#N/A</v>
      </c>
      <c r="U124" s="174" t="s">
        <v>327</v>
      </c>
      <c r="V124" s="174">
        <f>Buildings_Water_Frontend[[#This Row],[Type]]</f>
        <v>0</v>
      </c>
      <c r="W124" s="174" t="e" cm="1">
        <f t="array" aca="1" ref="W124" ca="1">_xlfn.XLOOKUP(Buildings_Water_Backend[[#This Row],[Level 5]],rng_Level5Long,rng_Level6Long)</f>
        <v>#N/A</v>
      </c>
      <c r="X124" s="174">
        <f>Buildings_Water_Frontend[[#This Row],[Site Name]]</f>
        <v>0</v>
      </c>
      <c r="Y124" s="174">
        <f>Buildings_Water_Frontend[[#This Row],[Meter Reference]]</f>
        <v>0</v>
      </c>
      <c r="Z124" s="220">
        <f>Buildings_Water_Frontend[[#This Row],[Methodology]]</f>
        <v>0</v>
      </c>
      <c r="AA124" s="229" t="e" cm="1">
        <f t="array" ref="AA124">INDEX(_xlfn.SWITCH(Buildings_Water_Backend[[#This Row],[Methodology]],"Tier 1",rng_RSD1,"Tier 2",rng_RSD2,"Tier 3",rng_RSD3),MATCH(_xlfn.CONCAT(Buildings_Water_Backend[[#This Row],[Level 1]:[Level 6]]),rng_LevelsConcat,0))</f>
        <v>#N/A</v>
      </c>
      <c r="AB124" s="224">
        <f>Buildings_Water_Frontend[[#This Row],[Data]]</f>
        <v>0</v>
      </c>
      <c r="AC124" s="174">
        <f>Buildings_Water_Frontend[[#This Row],[Units]]</f>
        <v>0</v>
      </c>
      <c r="AD124" s="220" t="e">
        <f>IF(Buildings_Water_Backend[[#This Row],[Units]]=Buildings_Water_Backend[[#This Row],[Standard units]],Buildings_Water_Backend[[#This Row],[Data]],Buildings_Water_Backend[[#This Row],[Data]]*_xlfn.XLOOKUP(_xlfn.CONCAT(Buildings_Water_Backend[[#This Row],[Level 1]:[Level 6]]),rng_EFConcat,rng_EFConversion))</f>
        <v>#N/A</v>
      </c>
      <c r="AE124" s="174" t="e" cm="1">
        <f t="array" ref="AE124">_xlfn.XLOOKUP(_xlfn.CONCAT(Buildings_Water_Backend[[#This Row],[Level 1]:[Level 6]]),rng_LevelsConcat,rng_UnitsLong)</f>
        <v>#N/A</v>
      </c>
      <c r="AF124" s="210" t="e">
        <f>_xlfn.XLOOKUP(_xlfn.CONCAT(Buildings_Water_Backend[[#This Row],[Level 1]:[Level 6]]),rng_EFConcat,rng_EF1)*Buildings_Water_Backend[[#This Row],[Converted data]]/1000</f>
        <v>#N/A</v>
      </c>
      <c r="AG124" s="210" t="e">
        <f>_xlfn.XLOOKUP(_xlfn.CONCAT(Buildings_Water_Backend[[#This Row],[Level 1]:[Level 6]]),rng_EFConcat,rng_EF2)*Buildings_Water_Backend[[#This Row],[Converted data]]/1000</f>
        <v>#N/A</v>
      </c>
      <c r="AH124" s="210" t="e">
        <f>_xlfn.XLOOKUP(_xlfn.CONCAT(Buildings_Water_Backend[[#This Row],[Level 1]:[Level 6]]),rng_EFConcat,rng_EF3)*Buildings_Water_Backend[[#This Row],[Converted data]]/1000</f>
        <v>#N/A</v>
      </c>
      <c r="AI124" s="210" t="e">
        <f>_xlfn.XLOOKUP(_xlfn.CONCAT(Buildings_Water_Backend[[#This Row],[Level 1]:[Level 6]]),rng_EFConcat,rng_EF3WTT)*Buildings_Water_Backend[[#This Row],[Converted data]]/1000</f>
        <v>#N/A</v>
      </c>
      <c r="AJ124" s="210" t="e">
        <f>_xlfn.XLOOKUP(_xlfn.CONCAT(Buildings_Water_Backend[[#This Row],[Level 1]:[Level 6]]),rng_EFConcat,rng_EF3TD)*Buildings_Water_Backend[[#This Row],[Converted data]]/1000</f>
        <v>#N/A</v>
      </c>
      <c r="AK124" s="210" t="e">
        <f>_xlfn.XLOOKUP(_xlfn.CONCAT(Buildings_Water_Backend[[#This Row],[Level 1]:[Level 6]]),rng_EFConcat,rng_EF3WTTTD)*Buildings_Water_Backend[[#This Row],[Converted data]]/1000</f>
        <v>#N/A</v>
      </c>
      <c r="AL124" s="220" t="e">
        <f>SUM(Buildings_Water_Backend[[#This Row],[Scope 1 (tCO2e)]:[Scope 3 WTT T&amp;D (tCO2e)]])</f>
        <v>#N/A</v>
      </c>
      <c r="AM124" s="220" t="e">
        <f>Buildings_Water_Backend[[#This Row],[Total (tCO2e)]]*(1-Buildings_Water_Backend[[#This Row],[RSD]])</f>
        <v>#N/A</v>
      </c>
      <c r="AN124" s="220" t="e">
        <f>Buildings_Water_Backend[[#This Row],[Total (tCO2e)]]*(1+Buildings_Water_Backend[[#This Row],[RSD]])</f>
        <v>#N/A</v>
      </c>
      <c r="AO124" s="210" t="e">
        <f>_xlfn.XLOOKUP(_xlfn.CONCAT(Buildings_Water_Backend[[#This Row],[Level 1]:[Level 6]]),rng_EFConcat,rng_EFOOS)*Buildings_Water_Backend[[#This Row],[Converted data]]/1000</f>
        <v>#N/A</v>
      </c>
      <c r="AP124" s="174">
        <f>Buildings_Water_Frontend[[#This Row],[Ease of collection]]</f>
        <v>0</v>
      </c>
      <c r="AQ124" s="174">
        <f>Buildings_Water_Frontend[[#This Row],[Completeness]]</f>
        <v>0</v>
      </c>
      <c r="AR124" s="174">
        <f>Buildings_Water_Frontend[[#This Row],[Notes]]</f>
        <v>0</v>
      </c>
    </row>
    <row r="125" spans="5:44" x14ac:dyDescent="0.3">
      <c r="E125" s="346"/>
      <c r="F125" s="364"/>
      <c r="G125" s="336"/>
      <c r="H125" s="336"/>
      <c r="I125" s="334"/>
      <c r="J125" s="336"/>
      <c r="K125" s="336"/>
      <c r="L125" s="336"/>
      <c r="M125" s="337"/>
      <c r="N125" s="242">
        <f t="shared" si="3"/>
        <v>5</v>
      </c>
      <c r="Q125" s="212" t="str">
        <f t="shared" si="2"/>
        <v/>
      </c>
      <c r="R125" s="174" t="s">
        <v>265</v>
      </c>
      <c r="S125" s="174" t="s">
        <v>273</v>
      </c>
      <c r="T125" s="174" t="e">
        <f>_xlfn.XLOOKUP(Buildings_Water_Backend[[#This Row],[Info 1]],Buildings_SiteInfo[Site name],Buildings_SiteInfo[Site type])</f>
        <v>#N/A</v>
      </c>
      <c r="U125" s="174" t="s">
        <v>327</v>
      </c>
      <c r="V125" s="174">
        <f>Buildings_Water_Frontend[[#This Row],[Type]]</f>
        <v>0</v>
      </c>
      <c r="W125" s="174" t="e" cm="1">
        <f t="array" aca="1" ref="W125" ca="1">_xlfn.XLOOKUP(Buildings_Water_Backend[[#This Row],[Level 5]],rng_Level5Long,rng_Level6Long)</f>
        <v>#N/A</v>
      </c>
      <c r="X125" s="174">
        <f>Buildings_Water_Frontend[[#This Row],[Site Name]]</f>
        <v>0</v>
      </c>
      <c r="Y125" s="174">
        <f>Buildings_Water_Frontend[[#This Row],[Meter Reference]]</f>
        <v>0</v>
      </c>
      <c r="Z125" s="220">
        <f>Buildings_Water_Frontend[[#This Row],[Methodology]]</f>
        <v>0</v>
      </c>
      <c r="AA125" s="229" t="e" cm="1">
        <f t="array" ref="AA125">INDEX(_xlfn.SWITCH(Buildings_Water_Backend[[#This Row],[Methodology]],"Tier 1",rng_RSD1,"Tier 2",rng_RSD2,"Tier 3",rng_RSD3),MATCH(_xlfn.CONCAT(Buildings_Water_Backend[[#This Row],[Level 1]:[Level 6]]),rng_LevelsConcat,0))</f>
        <v>#N/A</v>
      </c>
      <c r="AB125" s="224">
        <f>Buildings_Water_Frontend[[#This Row],[Data]]</f>
        <v>0</v>
      </c>
      <c r="AC125" s="174">
        <f>Buildings_Water_Frontend[[#This Row],[Units]]</f>
        <v>0</v>
      </c>
      <c r="AD125" s="220" t="e">
        <f>IF(Buildings_Water_Backend[[#This Row],[Units]]=Buildings_Water_Backend[[#This Row],[Standard units]],Buildings_Water_Backend[[#This Row],[Data]],Buildings_Water_Backend[[#This Row],[Data]]*_xlfn.XLOOKUP(_xlfn.CONCAT(Buildings_Water_Backend[[#This Row],[Level 1]:[Level 6]]),rng_EFConcat,rng_EFConversion))</f>
        <v>#N/A</v>
      </c>
      <c r="AE125" s="174" t="e" cm="1">
        <f t="array" ref="AE125">_xlfn.XLOOKUP(_xlfn.CONCAT(Buildings_Water_Backend[[#This Row],[Level 1]:[Level 6]]),rng_LevelsConcat,rng_UnitsLong)</f>
        <v>#N/A</v>
      </c>
      <c r="AF125" s="210" t="e">
        <f>_xlfn.XLOOKUP(_xlfn.CONCAT(Buildings_Water_Backend[[#This Row],[Level 1]:[Level 6]]),rng_EFConcat,rng_EF1)*Buildings_Water_Backend[[#This Row],[Converted data]]/1000</f>
        <v>#N/A</v>
      </c>
      <c r="AG125" s="210" t="e">
        <f>_xlfn.XLOOKUP(_xlfn.CONCAT(Buildings_Water_Backend[[#This Row],[Level 1]:[Level 6]]),rng_EFConcat,rng_EF2)*Buildings_Water_Backend[[#This Row],[Converted data]]/1000</f>
        <v>#N/A</v>
      </c>
      <c r="AH125" s="210" t="e">
        <f>_xlfn.XLOOKUP(_xlfn.CONCAT(Buildings_Water_Backend[[#This Row],[Level 1]:[Level 6]]),rng_EFConcat,rng_EF3)*Buildings_Water_Backend[[#This Row],[Converted data]]/1000</f>
        <v>#N/A</v>
      </c>
      <c r="AI125" s="210" t="e">
        <f>_xlfn.XLOOKUP(_xlfn.CONCAT(Buildings_Water_Backend[[#This Row],[Level 1]:[Level 6]]),rng_EFConcat,rng_EF3WTT)*Buildings_Water_Backend[[#This Row],[Converted data]]/1000</f>
        <v>#N/A</v>
      </c>
      <c r="AJ125" s="210" t="e">
        <f>_xlfn.XLOOKUP(_xlfn.CONCAT(Buildings_Water_Backend[[#This Row],[Level 1]:[Level 6]]),rng_EFConcat,rng_EF3TD)*Buildings_Water_Backend[[#This Row],[Converted data]]/1000</f>
        <v>#N/A</v>
      </c>
      <c r="AK125" s="210" t="e">
        <f>_xlfn.XLOOKUP(_xlfn.CONCAT(Buildings_Water_Backend[[#This Row],[Level 1]:[Level 6]]),rng_EFConcat,rng_EF3WTTTD)*Buildings_Water_Backend[[#This Row],[Converted data]]/1000</f>
        <v>#N/A</v>
      </c>
      <c r="AL125" s="220" t="e">
        <f>SUM(Buildings_Water_Backend[[#This Row],[Scope 1 (tCO2e)]:[Scope 3 WTT T&amp;D (tCO2e)]])</f>
        <v>#N/A</v>
      </c>
      <c r="AM125" s="220" t="e">
        <f>Buildings_Water_Backend[[#This Row],[Total (tCO2e)]]*(1-Buildings_Water_Backend[[#This Row],[RSD]])</f>
        <v>#N/A</v>
      </c>
      <c r="AN125" s="220" t="e">
        <f>Buildings_Water_Backend[[#This Row],[Total (tCO2e)]]*(1+Buildings_Water_Backend[[#This Row],[RSD]])</f>
        <v>#N/A</v>
      </c>
      <c r="AO125" s="210" t="e">
        <f>_xlfn.XLOOKUP(_xlfn.CONCAT(Buildings_Water_Backend[[#This Row],[Level 1]:[Level 6]]),rng_EFConcat,rng_EFOOS)*Buildings_Water_Backend[[#This Row],[Converted data]]/1000</f>
        <v>#N/A</v>
      </c>
      <c r="AP125" s="174">
        <f>Buildings_Water_Frontend[[#This Row],[Ease of collection]]</f>
        <v>0</v>
      </c>
      <c r="AQ125" s="174">
        <f>Buildings_Water_Frontend[[#This Row],[Completeness]]</f>
        <v>0</v>
      </c>
      <c r="AR125" s="174">
        <f>Buildings_Water_Frontend[[#This Row],[Notes]]</f>
        <v>0</v>
      </c>
    </row>
    <row r="126" spans="5:44" x14ac:dyDescent="0.3">
      <c r="E126" s="346"/>
      <c r="F126" s="364"/>
      <c r="G126" s="336"/>
      <c r="H126" s="336"/>
      <c r="I126" s="334"/>
      <c r="J126" s="336"/>
      <c r="K126" s="336"/>
      <c r="L126" s="336"/>
      <c r="M126" s="337"/>
      <c r="N126" s="242">
        <f t="shared" si="3"/>
        <v>5</v>
      </c>
      <c r="Q126" s="212" t="str">
        <f t="shared" si="2"/>
        <v/>
      </c>
      <c r="R126" s="174" t="s">
        <v>265</v>
      </c>
      <c r="S126" s="174" t="s">
        <v>273</v>
      </c>
      <c r="T126" s="174" t="e">
        <f>_xlfn.XLOOKUP(Buildings_Water_Backend[[#This Row],[Info 1]],Buildings_SiteInfo[Site name],Buildings_SiteInfo[Site type])</f>
        <v>#N/A</v>
      </c>
      <c r="U126" s="174" t="s">
        <v>327</v>
      </c>
      <c r="V126" s="174">
        <f>Buildings_Water_Frontend[[#This Row],[Type]]</f>
        <v>0</v>
      </c>
      <c r="W126" s="174" t="e" cm="1">
        <f t="array" aca="1" ref="W126" ca="1">_xlfn.XLOOKUP(Buildings_Water_Backend[[#This Row],[Level 5]],rng_Level5Long,rng_Level6Long)</f>
        <v>#N/A</v>
      </c>
      <c r="X126" s="174">
        <f>Buildings_Water_Frontend[[#This Row],[Site Name]]</f>
        <v>0</v>
      </c>
      <c r="Y126" s="174">
        <f>Buildings_Water_Frontend[[#This Row],[Meter Reference]]</f>
        <v>0</v>
      </c>
      <c r="Z126" s="220">
        <f>Buildings_Water_Frontend[[#This Row],[Methodology]]</f>
        <v>0</v>
      </c>
      <c r="AA126" s="229" t="e" cm="1">
        <f t="array" ref="AA126">INDEX(_xlfn.SWITCH(Buildings_Water_Backend[[#This Row],[Methodology]],"Tier 1",rng_RSD1,"Tier 2",rng_RSD2,"Tier 3",rng_RSD3),MATCH(_xlfn.CONCAT(Buildings_Water_Backend[[#This Row],[Level 1]:[Level 6]]),rng_LevelsConcat,0))</f>
        <v>#N/A</v>
      </c>
      <c r="AB126" s="224">
        <f>Buildings_Water_Frontend[[#This Row],[Data]]</f>
        <v>0</v>
      </c>
      <c r="AC126" s="174">
        <f>Buildings_Water_Frontend[[#This Row],[Units]]</f>
        <v>0</v>
      </c>
      <c r="AD126" s="220" t="e">
        <f>IF(Buildings_Water_Backend[[#This Row],[Units]]=Buildings_Water_Backend[[#This Row],[Standard units]],Buildings_Water_Backend[[#This Row],[Data]],Buildings_Water_Backend[[#This Row],[Data]]*_xlfn.XLOOKUP(_xlfn.CONCAT(Buildings_Water_Backend[[#This Row],[Level 1]:[Level 6]]),rng_EFConcat,rng_EFConversion))</f>
        <v>#N/A</v>
      </c>
      <c r="AE126" s="174" t="e" cm="1">
        <f t="array" ref="AE126">_xlfn.XLOOKUP(_xlfn.CONCAT(Buildings_Water_Backend[[#This Row],[Level 1]:[Level 6]]),rng_LevelsConcat,rng_UnitsLong)</f>
        <v>#N/A</v>
      </c>
      <c r="AF126" s="210" t="e">
        <f>_xlfn.XLOOKUP(_xlfn.CONCAT(Buildings_Water_Backend[[#This Row],[Level 1]:[Level 6]]),rng_EFConcat,rng_EF1)*Buildings_Water_Backend[[#This Row],[Converted data]]/1000</f>
        <v>#N/A</v>
      </c>
      <c r="AG126" s="210" t="e">
        <f>_xlfn.XLOOKUP(_xlfn.CONCAT(Buildings_Water_Backend[[#This Row],[Level 1]:[Level 6]]),rng_EFConcat,rng_EF2)*Buildings_Water_Backend[[#This Row],[Converted data]]/1000</f>
        <v>#N/A</v>
      </c>
      <c r="AH126" s="210" t="e">
        <f>_xlfn.XLOOKUP(_xlfn.CONCAT(Buildings_Water_Backend[[#This Row],[Level 1]:[Level 6]]),rng_EFConcat,rng_EF3)*Buildings_Water_Backend[[#This Row],[Converted data]]/1000</f>
        <v>#N/A</v>
      </c>
      <c r="AI126" s="210" t="e">
        <f>_xlfn.XLOOKUP(_xlfn.CONCAT(Buildings_Water_Backend[[#This Row],[Level 1]:[Level 6]]),rng_EFConcat,rng_EF3WTT)*Buildings_Water_Backend[[#This Row],[Converted data]]/1000</f>
        <v>#N/A</v>
      </c>
      <c r="AJ126" s="210" t="e">
        <f>_xlfn.XLOOKUP(_xlfn.CONCAT(Buildings_Water_Backend[[#This Row],[Level 1]:[Level 6]]),rng_EFConcat,rng_EF3TD)*Buildings_Water_Backend[[#This Row],[Converted data]]/1000</f>
        <v>#N/A</v>
      </c>
      <c r="AK126" s="210" t="e">
        <f>_xlfn.XLOOKUP(_xlfn.CONCAT(Buildings_Water_Backend[[#This Row],[Level 1]:[Level 6]]),rng_EFConcat,rng_EF3WTTTD)*Buildings_Water_Backend[[#This Row],[Converted data]]/1000</f>
        <v>#N/A</v>
      </c>
      <c r="AL126" s="220" t="e">
        <f>SUM(Buildings_Water_Backend[[#This Row],[Scope 1 (tCO2e)]:[Scope 3 WTT T&amp;D (tCO2e)]])</f>
        <v>#N/A</v>
      </c>
      <c r="AM126" s="220" t="e">
        <f>Buildings_Water_Backend[[#This Row],[Total (tCO2e)]]*(1-Buildings_Water_Backend[[#This Row],[RSD]])</f>
        <v>#N/A</v>
      </c>
      <c r="AN126" s="220" t="e">
        <f>Buildings_Water_Backend[[#This Row],[Total (tCO2e)]]*(1+Buildings_Water_Backend[[#This Row],[RSD]])</f>
        <v>#N/A</v>
      </c>
      <c r="AO126" s="210" t="e">
        <f>_xlfn.XLOOKUP(_xlfn.CONCAT(Buildings_Water_Backend[[#This Row],[Level 1]:[Level 6]]),rng_EFConcat,rng_EFOOS)*Buildings_Water_Backend[[#This Row],[Converted data]]/1000</f>
        <v>#N/A</v>
      </c>
      <c r="AP126" s="174">
        <f>Buildings_Water_Frontend[[#This Row],[Ease of collection]]</f>
        <v>0</v>
      </c>
      <c r="AQ126" s="174">
        <f>Buildings_Water_Frontend[[#This Row],[Completeness]]</f>
        <v>0</v>
      </c>
      <c r="AR126" s="174">
        <f>Buildings_Water_Frontend[[#This Row],[Notes]]</f>
        <v>0</v>
      </c>
    </row>
    <row r="127" spans="5:44" x14ac:dyDescent="0.3">
      <c r="E127" s="346"/>
      <c r="F127" s="364"/>
      <c r="G127" s="336"/>
      <c r="H127" s="336"/>
      <c r="I127" s="334"/>
      <c r="J127" s="336"/>
      <c r="K127" s="336"/>
      <c r="L127" s="336"/>
      <c r="M127" s="337"/>
      <c r="N127" s="242">
        <f t="shared" si="3"/>
        <v>5</v>
      </c>
      <c r="Q127" s="212" t="str">
        <f t="shared" si="2"/>
        <v/>
      </c>
      <c r="R127" s="174" t="s">
        <v>265</v>
      </c>
      <c r="S127" s="174" t="s">
        <v>273</v>
      </c>
      <c r="T127" s="174" t="e">
        <f>_xlfn.XLOOKUP(Buildings_Water_Backend[[#This Row],[Info 1]],Buildings_SiteInfo[Site name],Buildings_SiteInfo[Site type])</f>
        <v>#N/A</v>
      </c>
      <c r="U127" s="174" t="s">
        <v>327</v>
      </c>
      <c r="V127" s="174">
        <f>Buildings_Water_Frontend[[#This Row],[Type]]</f>
        <v>0</v>
      </c>
      <c r="W127" s="174" t="e" cm="1">
        <f t="array" aca="1" ref="W127" ca="1">_xlfn.XLOOKUP(Buildings_Water_Backend[[#This Row],[Level 5]],rng_Level5Long,rng_Level6Long)</f>
        <v>#N/A</v>
      </c>
      <c r="X127" s="174">
        <f>Buildings_Water_Frontend[[#This Row],[Site Name]]</f>
        <v>0</v>
      </c>
      <c r="Y127" s="174">
        <f>Buildings_Water_Frontend[[#This Row],[Meter Reference]]</f>
        <v>0</v>
      </c>
      <c r="Z127" s="220">
        <f>Buildings_Water_Frontend[[#This Row],[Methodology]]</f>
        <v>0</v>
      </c>
      <c r="AA127" s="229" t="e" cm="1">
        <f t="array" ref="AA127">INDEX(_xlfn.SWITCH(Buildings_Water_Backend[[#This Row],[Methodology]],"Tier 1",rng_RSD1,"Tier 2",rng_RSD2,"Tier 3",rng_RSD3),MATCH(_xlfn.CONCAT(Buildings_Water_Backend[[#This Row],[Level 1]:[Level 6]]),rng_LevelsConcat,0))</f>
        <v>#N/A</v>
      </c>
      <c r="AB127" s="224">
        <f>Buildings_Water_Frontend[[#This Row],[Data]]</f>
        <v>0</v>
      </c>
      <c r="AC127" s="174">
        <f>Buildings_Water_Frontend[[#This Row],[Units]]</f>
        <v>0</v>
      </c>
      <c r="AD127" s="220" t="e">
        <f>IF(Buildings_Water_Backend[[#This Row],[Units]]=Buildings_Water_Backend[[#This Row],[Standard units]],Buildings_Water_Backend[[#This Row],[Data]],Buildings_Water_Backend[[#This Row],[Data]]*_xlfn.XLOOKUP(_xlfn.CONCAT(Buildings_Water_Backend[[#This Row],[Level 1]:[Level 6]]),rng_EFConcat,rng_EFConversion))</f>
        <v>#N/A</v>
      </c>
      <c r="AE127" s="174" t="e" cm="1">
        <f t="array" ref="AE127">_xlfn.XLOOKUP(_xlfn.CONCAT(Buildings_Water_Backend[[#This Row],[Level 1]:[Level 6]]),rng_LevelsConcat,rng_UnitsLong)</f>
        <v>#N/A</v>
      </c>
      <c r="AF127" s="210" t="e">
        <f>_xlfn.XLOOKUP(_xlfn.CONCAT(Buildings_Water_Backend[[#This Row],[Level 1]:[Level 6]]),rng_EFConcat,rng_EF1)*Buildings_Water_Backend[[#This Row],[Converted data]]/1000</f>
        <v>#N/A</v>
      </c>
      <c r="AG127" s="210" t="e">
        <f>_xlfn.XLOOKUP(_xlfn.CONCAT(Buildings_Water_Backend[[#This Row],[Level 1]:[Level 6]]),rng_EFConcat,rng_EF2)*Buildings_Water_Backend[[#This Row],[Converted data]]/1000</f>
        <v>#N/A</v>
      </c>
      <c r="AH127" s="210" t="e">
        <f>_xlfn.XLOOKUP(_xlfn.CONCAT(Buildings_Water_Backend[[#This Row],[Level 1]:[Level 6]]),rng_EFConcat,rng_EF3)*Buildings_Water_Backend[[#This Row],[Converted data]]/1000</f>
        <v>#N/A</v>
      </c>
      <c r="AI127" s="210" t="e">
        <f>_xlfn.XLOOKUP(_xlfn.CONCAT(Buildings_Water_Backend[[#This Row],[Level 1]:[Level 6]]),rng_EFConcat,rng_EF3WTT)*Buildings_Water_Backend[[#This Row],[Converted data]]/1000</f>
        <v>#N/A</v>
      </c>
      <c r="AJ127" s="210" t="e">
        <f>_xlfn.XLOOKUP(_xlfn.CONCAT(Buildings_Water_Backend[[#This Row],[Level 1]:[Level 6]]),rng_EFConcat,rng_EF3TD)*Buildings_Water_Backend[[#This Row],[Converted data]]/1000</f>
        <v>#N/A</v>
      </c>
      <c r="AK127" s="210" t="e">
        <f>_xlfn.XLOOKUP(_xlfn.CONCAT(Buildings_Water_Backend[[#This Row],[Level 1]:[Level 6]]),rng_EFConcat,rng_EF3WTTTD)*Buildings_Water_Backend[[#This Row],[Converted data]]/1000</f>
        <v>#N/A</v>
      </c>
      <c r="AL127" s="220" t="e">
        <f>SUM(Buildings_Water_Backend[[#This Row],[Scope 1 (tCO2e)]:[Scope 3 WTT T&amp;D (tCO2e)]])</f>
        <v>#N/A</v>
      </c>
      <c r="AM127" s="220" t="e">
        <f>Buildings_Water_Backend[[#This Row],[Total (tCO2e)]]*(1-Buildings_Water_Backend[[#This Row],[RSD]])</f>
        <v>#N/A</v>
      </c>
      <c r="AN127" s="220" t="e">
        <f>Buildings_Water_Backend[[#This Row],[Total (tCO2e)]]*(1+Buildings_Water_Backend[[#This Row],[RSD]])</f>
        <v>#N/A</v>
      </c>
      <c r="AO127" s="210" t="e">
        <f>_xlfn.XLOOKUP(_xlfn.CONCAT(Buildings_Water_Backend[[#This Row],[Level 1]:[Level 6]]),rng_EFConcat,rng_EFOOS)*Buildings_Water_Backend[[#This Row],[Converted data]]/1000</f>
        <v>#N/A</v>
      </c>
      <c r="AP127" s="174">
        <f>Buildings_Water_Frontend[[#This Row],[Ease of collection]]</f>
        <v>0</v>
      </c>
      <c r="AQ127" s="174">
        <f>Buildings_Water_Frontend[[#This Row],[Completeness]]</f>
        <v>0</v>
      </c>
      <c r="AR127" s="174">
        <f>Buildings_Water_Frontend[[#This Row],[Notes]]</f>
        <v>0</v>
      </c>
    </row>
    <row r="128" spans="5:44" x14ac:dyDescent="0.3">
      <c r="E128" s="346"/>
      <c r="F128" s="364"/>
      <c r="G128" s="336"/>
      <c r="H128" s="336"/>
      <c r="I128" s="334"/>
      <c r="J128" s="336"/>
      <c r="K128" s="336"/>
      <c r="L128" s="336"/>
      <c r="M128" s="337"/>
      <c r="N128" s="242">
        <f t="shared" si="3"/>
        <v>5</v>
      </c>
      <c r="Q128" s="212" t="str">
        <f t="shared" si="2"/>
        <v/>
      </c>
      <c r="R128" s="174" t="s">
        <v>265</v>
      </c>
      <c r="S128" s="174" t="s">
        <v>273</v>
      </c>
      <c r="T128" s="174" t="e">
        <f>_xlfn.XLOOKUP(Buildings_Water_Backend[[#This Row],[Info 1]],Buildings_SiteInfo[Site name],Buildings_SiteInfo[Site type])</f>
        <v>#N/A</v>
      </c>
      <c r="U128" s="174" t="s">
        <v>327</v>
      </c>
      <c r="V128" s="174">
        <f>Buildings_Water_Frontend[[#This Row],[Type]]</f>
        <v>0</v>
      </c>
      <c r="W128" s="174" t="e" cm="1">
        <f t="array" aca="1" ref="W128" ca="1">_xlfn.XLOOKUP(Buildings_Water_Backend[[#This Row],[Level 5]],rng_Level5Long,rng_Level6Long)</f>
        <v>#N/A</v>
      </c>
      <c r="X128" s="174">
        <f>Buildings_Water_Frontend[[#This Row],[Site Name]]</f>
        <v>0</v>
      </c>
      <c r="Y128" s="174">
        <f>Buildings_Water_Frontend[[#This Row],[Meter Reference]]</f>
        <v>0</v>
      </c>
      <c r="Z128" s="220">
        <f>Buildings_Water_Frontend[[#This Row],[Methodology]]</f>
        <v>0</v>
      </c>
      <c r="AA128" s="229" t="e" cm="1">
        <f t="array" ref="AA128">INDEX(_xlfn.SWITCH(Buildings_Water_Backend[[#This Row],[Methodology]],"Tier 1",rng_RSD1,"Tier 2",rng_RSD2,"Tier 3",rng_RSD3),MATCH(_xlfn.CONCAT(Buildings_Water_Backend[[#This Row],[Level 1]:[Level 6]]),rng_LevelsConcat,0))</f>
        <v>#N/A</v>
      </c>
      <c r="AB128" s="224">
        <f>Buildings_Water_Frontend[[#This Row],[Data]]</f>
        <v>0</v>
      </c>
      <c r="AC128" s="174">
        <f>Buildings_Water_Frontend[[#This Row],[Units]]</f>
        <v>0</v>
      </c>
      <c r="AD128" s="220" t="e">
        <f>IF(Buildings_Water_Backend[[#This Row],[Units]]=Buildings_Water_Backend[[#This Row],[Standard units]],Buildings_Water_Backend[[#This Row],[Data]],Buildings_Water_Backend[[#This Row],[Data]]*_xlfn.XLOOKUP(_xlfn.CONCAT(Buildings_Water_Backend[[#This Row],[Level 1]:[Level 6]]),rng_EFConcat,rng_EFConversion))</f>
        <v>#N/A</v>
      </c>
      <c r="AE128" s="174" t="e" cm="1">
        <f t="array" ref="AE128">_xlfn.XLOOKUP(_xlfn.CONCAT(Buildings_Water_Backend[[#This Row],[Level 1]:[Level 6]]),rng_LevelsConcat,rng_UnitsLong)</f>
        <v>#N/A</v>
      </c>
      <c r="AF128" s="210" t="e">
        <f>_xlfn.XLOOKUP(_xlfn.CONCAT(Buildings_Water_Backend[[#This Row],[Level 1]:[Level 6]]),rng_EFConcat,rng_EF1)*Buildings_Water_Backend[[#This Row],[Converted data]]/1000</f>
        <v>#N/A</v>
      </c>
      <c r="AG128" s="210" t="e">
        <f>_xlfn.XLOOKUP(_xlfn.CONCAT(Buildings_Water_Backend[[#This Row],[Level 1]:[Level 6]]),rng_EFConcat,rng_EF2)*Buildings_Water_Backend[[#This Row],[Converted data]]/1000</f>
        <v>#N/A</v>
      </c>
      <c r="AH128" s="210" t="e">
        <f>_xlfn.XLOOKUP(_xlfn.CONCAT(Buildings_Water_Backend[[#This Row],[Level 1]:[Level 6]]),rng_EFConcat,rng_EF3)*Buildings_Water_Backend[[#This Row],[Converted data]]/1000</f>
        <v>#N/A</v>
      </c>
      <c r="AI128" s="210" t="e">
        <f>_xlfn.XLOOKUP(_xlfn.CONCAT(Buildings_Water_Backend[[#This Row],[Level 1]:[Level 6]]),rng_EFConcat,rng_EF3WTT)*Buildings_Water_Backend[[#This Row],[Converted data]]/1000</f>
        <v>#N/A</v>
      </c>
      <c r="AJ128" s="210" t="e">
        <f>_xlfn.XLOOKUP(_xlfn.CONCAT(Buildings_Water_Backend[[#This Row],[Level 1]:[Level 6]]),rng_EFConcat,rng_EF3TD)*Buildings_Water_Backend[[#This Row],[Converted data]]/1000</f>
        <v>#N/A</v>
      </c>
      <c r="AK128" s="210" t="e">
        <f>_xlfn.XLOOKUP(_xlfn.CONCAT(Buildings_Water_Backend[[#This Row],[Level 1]:[Level 6]]),rng_EFConcat,rng_EF3WTTTD)*Buildings_Water_Backend[[#This Row],[Converted data]]/1000</f>
        <v>#N/A</v>
      </c>
      <c r="AL128" s="220" t="e">
        <f>SUM(Buildings_Water_Backend[[#This Row],[Scope 1 (tCO2e)]:[Scope 3 WTT T&amp;D (tCO2e)]])</f>
        <v>#N/A</v>
      </c>
      <c r="AM128" s="220" t="e">
        <f>Buildings_Water_Backend[[#This Row],[Total (tCO2e)]]*(1-Buildings_Water_Backend[[#This Row],[RSD]])</f>
        <v>#N/A</v>
      </c>
      <c r="AN128" s="220" t="e">
        <f>Buildings_Water_Backend[[#This Row],[Total (tCO2e)]]*(1+Buildings_Water_Backend[[#This Row],[RSD]])</f>
        <v>#N/A</v>
      </c>
      <c r="AO128" s="210" t="e">
        <f>_xlfn.XLOOKUP(_xlfn.CONCAT(Buildings_Water_Backend[[#This Row],[Level 1]:[Level 6]]),rng_EFConcat,rng_EFOOS)*Buildings_Water_Backend[[#This Row],[Converted data]]/1000</f>
        <v>#N/A</v>
      </c>
      <c r="AP128" s="174">
        <f>Buildings_Water_Frontend[[#This Row],[Ease of collection]]</f>
        <v>0</v>
      </c>
      <c r="AQ128" s="174">
        <f>Buildings_Water_Frontend[[#This Row],[Completeness]]</f>
        <v>0</v>
      </c>
      <c r="AR128" s="174">
        <f>Buildings_Water_Frontend[[#This Row],[Notes]]</f>
        <v>0</v>
      </c>
    </row>
    <row r="129" spans="5:44" x14ac:dyDescent="0.3">
      <c r="E129" s="346"/>
      <c r="F129" s="364"/>
      <c r="G129" s="336"/>
      <c r="H129" s="336"/>
      <c r="I129" s="334"/>
      <c r="J129" s="336"/>
      <c r="K129" s="336"/>
      <c r="L129" s="336"/>
      <c r="M129" s="337"/>
      <c r="N129" s="242">
        <f t="shared" si="3"/>
        <v>5</v>
      </c>
      <c r="Q129" s="212" t="str">
        <f t="shared" si="2"/>
        <v/>
      </c>
      <c r="R129" s="174" t="s">
        <v>265</v>
      </c>
      <c r="S129" s="174" t="s">
        <v>273</v>
      </c>
      <c r="T129" s="174" t="e">
        <f>_xlfn.XLOOKUP(Buildings_Water_Backend[[#This Row],[Info 1]],Buildings_SiteInfo[Site name],Buildings_SiteInfo[Site type])</f>
        <v>#N/A</v>
      </c>
      <c r="U129" s="174" t="s">
        <v>327</v>
      </c>
      <c r="V129" s="174">
        <f>Buildings_Water_Frontend[[#This Row],[Type]]</f>
        <v>0</v>
      </c>
      <c r="W129" s="174" t="e" cm="1">
        <f t="array" aca="1" ref="W129" ca="1">_xlfn.XLOOKUP(Buildings_Water_Backend[[#This Row],[Level 5]],rng_Level5Long,rng_Level6Long)</f>
        <v>#N/A</v>
      </c>
      <c r="X129" s="174">
        <f>Buildings_Water_Frontend[[#This Row],[Site Name]]</f>
        <v>0</v>
      </c>
      <c r="Y129" s="174">
        <f>Buildings_Water_Frontend[[#This Row],[Meter Reference]]</f>
        <v>0</v>
      </c>
      <c r="Z129" s="220">
        <f>Buildings_Water_Frontend[[#This Row],[Methodology]]</f>
        <v>0</v>
      </c>
      <c r="AA129" s="229" t="e" cm="1">
        <f t="array" ref="AA129">INDEX(_xlfn.SWITCH(Buildings_Water_Backend[[#This Row],[Methodology]],"Tier 1",rng_RSD1,"Tier 2",rng_RSD2,"Tier 3",rng_RSD3),MATCH(_xlfn.CONCAT(Buildings_Water_Backend[[#This Row],[Level 1]:[Level 6]]),rng_LevelsConcat,0))</f>
        <v>#N/A</v>
      </c>
      <c r="AB129" s="224">
        <f>Buildings_Water_Frontend[[#This Row],[Data]]</f>
        <v>0</v>
      </c>
      <c r="AC129" s="174">
        <f>Buildings_Water_Frontend[[#This Row],[Units]]</f>
        <v>0</v>
      </c>
      <c r="AD129" s="220" t="e">
        <f>IF(Buildings_Water_Backend[[#This Row],[Units]]=Buildings_Water_Backend[[#This Row],[Standard units]],Buildings_Water_Backend[[#This Row],[Data]],Buildings_Water_Backend[[#This Row],[Data]]*_xlfn.XLOOKUP(_xlfn.CONCAT(Buildings_Water_Backend[[#This Row],[Level 1]:[Level 6]]),rng_EFConcat,rng_EFConversion))</f>
        <v>#N/A</v>
      </c>
      <c r="AE129" s="174" t="e" cm="1">
        <f t="array" ref="AE129">_xlfn.XLOOKUP(_xlfn.CONCAT(Buildings_Water_Backend[[#This Row],[Level 1]:[Level 6]]),rng_LevelsConcat,rng_UnitsLong)</f>
        <v>#N/A</v>
      </c>
      <c r="AF129" s="210" t="e">
        <f>_xlfn.XLOOKUP(_xlfn.CONCAT(Buildings_Water_Backend[[#This Row],[Level 1]:[Level 6]]),rng_EFConcat,rng_EF1)*Buildings_Water_Backend[[#This Row],[Converted data]]/1000</f>
        <v>#N/A</v>
      </c>
      <c r="AG129" s="210" t="e">
        <f>_xlfn.XLOOKUP(_xlfn.CONCAT(Buildings_Water_Backend[[#This Row],[Level 1]:[Level 6]]),rng_EFConcat,rng_EF2)*Buildings_Water_Backend[[#This Row],[Converted data]]/1000</f>
        <v>#N/A</v>
      </c>
      <c r="AH129" s="210" t="e">
        <f>_xlfn.XLOOKUP(_xlfn.CONCAT(Buildings_Water_Backend[[#This Row],[Level 1]:[Level 6]]),rng_EFConcat,rng_EF3)*Buildings_Water_Backend[[#This Row],[Converted data]]/1000</f>
        <v>#N/A</v>
      </c>
      <c r="AI129" s="210" t="e">
        <f>_xlfn.XLOOKUP(_xlfn.CONCAT(Buildings_Water_Backend[[#This Row],[Level 1]:[Level 6]]),rng_EFConcat,rng_EF3WTT)*Buildings_Water_Backend[[#This Row],[Converted data]]/1000</f>
        <v>#N/A</v>
      </c>
      <c r="AJ129" s="210" t="e">
        <f>_xlfn.XLOOKUP(_xlfn.CONCAT(Buildings_Water_Backend[[#This Row],[Level 1]:[Level 6]]),rng_EFConcat,rng_EF3TD)*Buildings_Water_Backend[[#This Row],[Converted data]]/1000</f>
        <v>#N/A</v>
      </c>
      <c r="AK129" s="210" t="e">
        <f>_xlfn.XLOOKUP(_xlfn.CONCAT(Buildings_Water_Backend[[#This Row],[Level 1]:[Level 6]]),rng_EFConcat,rng_EF3WTTTD)*Buildings_Water_Backend[[#This Row],[Converted data]]/1000</f>
        <v>#N/A</v>
      </c>
      <c r="AL129" s="220" t="e">
        <f>SUM(Buildings_Water_Backend[[#This Row],[Scope 1 (tCO2e)]:[Scope 3 WTT T&amp;D (tCO2e)]])</f>
        <v>#N/A</v>
      </c>
      <c r="AM129" s="220" t="e">
        <f>Buildings_Water_Backend[[#This Row],[Total (tCO2e)]]*(1-Buildings_Water_Backend[[#This Row],[RSD]])</f>
        <v>#N/A</v>
      </c>
      <c r="AN129" s="220" t="e">
        <f>Buildings_Water_Backend[[#This Row],[Total (tCO2e)]]*(1+Buildings_Water_Backend[[#This Row],[RSD]])</f>
        <v>#N/A</v>
      </c>
      <c r="AO129" s="210" t="e">
        <f>_xlfn.XLOOKUP(_xlfn.CONCAT(Buildings_Water_Backend[[#This Row],[Level 1]:[Level 6]]),rng_EFConcat,rng_EFOOS)*Buildings_Water_Backend[[#This Row],[Converted data]]/1000</f>
        <v>#N/A</v>
      </c>
      <c r="AP129" s="174">
        <f>Buildings_Water_Frontend[[#This Row],[Ease of collection]]</f>
        <v>0</v>
      </c>
      <c r="AQ129" s="174">
        <f>Buildings_Water_Frontend[[#This Row],[Completeness]]</f>
        <v>0</v>
      </c>
      <c r="AR129" s="174">
        <f>Buildings_Water_Frontend[[#This Row],[Notes]]</f>
        <v>0</v>
      </c>
    </row>
    <row r="130" spans="5:44" x14ac:dyDescent="0.3">
      <c r="E130" s="346"/>
      <c r="F130" s="364"/>
      <c r="G130" s="336"/>
      <c r="H130" s="336"/>
      <c r="I130" s="334"/>
      <c r="J130" s="336"/>
      <c r="K130" s="336"/>
      <c r="L130" s="336"/>
      <c r="M130" s="337"/>
      <c r="N130" s="242">
        <f t="shared" si="3"/>
        <v>5</v>
      </c>
      <c r="Q130" s="212" t="str">
        <f t="shared" si="2"/>
        <v/>
      </c>
      <c r="R130" s="174" t="s">
        <v>265</v>
      </c>
      <c r="S130" s="174" t="s">
        <v>273</v>
      </c>
      <c r="T130" s="174" t="e">
        <f>_xlfn.XLOOKUP(Buildings_Water_Backend[[#This Row],[Info 1]],Buildings_SiteInfo[Site name],Buildings_SiteInfo[Site type])</f>
        <v>#N/A</v>
      </c>
      <c r="U130" s="174" t="s">
        <v>327</v>
      </c>
      <c r="V130" s="174">
        <f>Buildings_Water_Frontend[[#This Row],[Type]]</f>
        <v>0</v>
      </c>
      <c r="W130" s="174" t="e" cm="1">
        <f t="array" aca="1" ref="W130" ca="1">_xlfn.XLOOKUP(Buildings_Water_Backend[[#This Row],[Level 5]],rng_Level5Long,rng_Level6Long)</f>
        <v>#N/A</v>
      </c>
      <c r="X130" s="174">
        <f>Buildings_Water_Frontend[[#This Row],[Site Name]]</f>
        <v>0</v>
      </c>
      <c r="Y130" s="174">
        <f>Buildings_Water_Frontend[[#This Row],[Meter Reference]]</f>
        <v>0</v>
      </c>
      <c r="Z130" s="220">
        <f>Buildings_Water_Frontend[[#This Row],[Methodology]]</f>
        <v>0</v>
      </c>
      <c r="AA130" s="229" t="e" cm="1">
        <f t="array" ref="AA130">INDEX(_xlfn.SWITCH(Buildings_Water_Backend[[#This Row],[Methodology]],"Tier 1",rng_RSD1,"Tier 2",rng_RSD2,"Tier 3",rng_RSD3),MATCH(_xlfn.CONCAT(Buildings_Water_Backend[[#This Row],[Level 1]:[Level 6]]),rng_LevelsConcat,0))</f>
        <v>#N/A</v>
      </c>
      <c r="AB130" s="224">
        <f>Buildings_Water_Frontend[[#This Row],[Data]]</f>
        <v>0</v>
      </c>
      <c r="AC130" s="174">
        <f>Buildings_Water_Frontend[[#This Row],[Units]]</f>
        <v>0</v>
      </c>
      <c r="AD130" s="220" t="e">
        <f>IF(Buildings_Water_Backend[[#This Row],[Units]]=Buildings_Water_Backend[[#This Row],[Standard units]],Buildings_Water_Backend[[#This Row],[Data]],Buildings_Water_Backend[[#This Row],[Data]]*_xlfn.XLOOKUP(_xlfn.CONCAT(Buildings_Water_Backend[[#This Row],[Level 1]:[Level 6]]),rng_EFConcat,rng_EFConversion))</f>
        <v>#N/A</v>
      </c>
      <c r="AE130" s="174" t="e" cm="1">
        <f t="array" ref="AE130">_xlfn.XLOOKUP(_xlfn.CONCAT(Buildings_Water_Backend[[#This Row],[Level 1]:[Level 6]]),rng_LevelsConcat,rng_UnitsLong)</f>
        <v>#N/A</v>
      </c>
      <c r="AF130" s="210" t="e">
        <f>_xlfn.XLOOKUP(_xlfn.CONCAT(Buildings_Water_Backend[[#This Row],[Level 1]:[Level 6]]),rng_EFConcat,rng_EF1)*Buildings_Water_Backend[[#This Row],[Converted data]]/1000</f>
        <v>#N/A</v>
      </c>
      <c r="AG130" s="210" t="e">
        <f>_xlfn.XLOOKUP(_xlfn.CONCAT(Buildings_Water_Backend[[#This Row],[Level 1]:[Level 6]]),rng_EFConcat,rng_EF2)*Buildings_Water_Backend[[#This Row],[Converted data]]/1000</f>
        <v>#N/A</v>
      </c>
      <c r="AH130" s="210" t="e">
        <f>_xlfn.XLOOKUP(_xlfn.CONCAT(Buildings_Water_Backend[[#This Row],[Level 1]:[Level 6]]),rng_EFConcat,rng_EF3)*Buildings_Water_Backend[[#This Row],[Converted data]]/1000</f>
        <v>#N/A</v>
      </c>
      <c r="AI130" s="210" t="e">
        <f>_xlfn.XLOOKUP(_xlfn.CONCAT(Buildings_Water_Backend[[#This Row],[Level 1]:[Level 6]]),rng_EFConcat,rng_EF3WTT)*Buildings_Water_Backend[[#This Row],[Converted data]]/1000</f>
        <v>#N/A</v>
      </c>
      <c r="AJ130" s="210" t="e">
        <f>_xlfn.XLOOKUP(_xlfn.CONCAT(Buildings_Water_Backend[[#This Row],[Level 1]:[Level 6]]),rng_EFConcat,rng_EF3TD)*Buildings_Water_Backend[[#This Row],[Converted data]]/1000</f>
        <v>#N/A</v>
      </c>
      <c r="AK130" s="210" t="e">
        <f>_xlfn.XLOOKUP(_xlfn.CONCAT(Buildings_Water_Backend[[#This Row],[Level 1]:[Level 6]]),rng_EFConcat,rng_EF3WTTTD)*Buildings_Water_Backend[[#This Row],[Converted data]]/1000</f>
        <v>#N/A</v>
      </c>
      <c r="AL130" s="220" t="e">
        <f>SUM(Buildings_Water_Backend[[#This Row],[Scope 1 (tCO2e)]:[Scope 3 WTT T&amp;D (tCO2e)]])</f>
        <v>#N/A</v>
      </c>
      <c r="AM130" s="220" t="e">
        <f>Buildings_Water_Backend[[#This Row],[Total (tCO2e)]]*(1-Buildings_Water_Backend[[#This Row],[RSD]])</f>
        <v>#N/A</v>
      </c>
      <c r="AN130" s="220" t="e">
        <f>Buildings_Water_Backend[[#This Row],[Total (tCO2e)]]*(1+Buildings_Water_Backend[[#This Row],[RSD]])</f>
        <v>#N/A</v>
      </c>
      <c r="AO130" s="210" t="e">
        <f>_xlfn.XLOOKUP(_xlfn.CONCAT(Buildings_Water_Backend[[#This Row],[Level 1]:[Level 6]]),rng_EFConcat,rng_EFOOS)*Buildings_Water_Backend[[#This Row],[Converted data]]/1000</f>
        <v>#N/A</v>
      </c>
      <c r="AP130" s="174">
        <f>Buildings_Water_Frontend[[#This Row],[Ease of collection]]</f>
        <v>0</v>
      </c>
      <c r="AQ130" s="174">
        <f>Buildings_Water_Frontend[[#This Row],[Completeness]]</f>
        <v>0</v>
      </c>
      <c r="AR130" s="174">
        <f>Buildings_Water_Frontend[[#This Row],[Notes]]</f>
        <v>0</v>
      </c>
    </row>
    <row r="131" spans="5:44" x14ac:dyDescent="0.3">
      <c r="E131" s="346"/>
      <c r="F131" s="364"/>
      <c r="G131" s="336"/>
      <c r="H131" s="336"/>
      <c r="I131" s="334"/>
      <c r="J131" s="336"/>
      <c r="K131" s="336"/>
      <c r="L131" s="336"/>
      <c r="M131" s="337"/>
      <c r="N131" s="242">
        <f t="shared" si="3"/>
        <v>5</v>
      </c>
      <c r="Q131" s="212" t="str">
        <f t="shared" si="2"/>
        <v/>
      </c>
      <c r="R131" s="174" t="s">
        <v>265</v>
      </c>
      <c r="S131" s="174" t="s">
        <v>273</v>
      </c>
      <c r="T131" s="174" t="e">
        <f>_xlfn.XLOOKUP(Buildings_Water_Backend[[#This Row],[Info 1]],Buildings_SiteInfo[Site name],Buildings_SiteInfo[Site type])</f>
        <v>#N/A</v>
      </c>
      <c r="U131" s="174" t="s">
        <v>327</v>
      </c>
      <c r="V131" s="174">
        <f>Buildings_Water_Frontend[[#This Row],[Type]]</f>
        <v>0</v>
      </c>
      <c r="W131" s="174" t="e" cm="1">
        <f t="array" aca="1" ref="W131" ca="1">_xlfn.XLOOKUP(Buildings_Water_Backend[[#This Row],[Level 5]],rng_Level5Long,rng_Level6Long)</f>
        <v>#N/A</v>
      </c>
      <c r="X131" s="174">
        <f>Buildings_Water_Frontend[[#This Row],[Site Name]]</f>
        <v>0</v>
      </c>
      <c r="Y131" s="174">
        <f>Buildings_Water_Frontend[[#This Row],[Meter Reference]]</f>
        <v>0</v>
      </c>
      <c r="Z131" s="220">
        <f>Buildings_Water_Frontend[[#This Row],[Methodology]]</f>
        <v>0</v>
      </c>
      <c r="AA131" s="229" t="e" cm="1">
        <f t="array" ref="AA131">INDEX(_xlfn.SWITCH(Buildings_Water_Backend[[#This Row],[Methodology]],"Tier 1",rng_RSD1,"Tier 2",rng_RSD2,"Tier 3",rng_RSD3),MATCH(_xlfn.CONCAT(Buildings_Water_Backend[[#This Row],[Level 1]:[Level 6]]),rng_LevelsConcat,0))</f>
        <v>#N/A</v>
      </c>
      <c r="AB131" s="224">
        <f>Buildings_Water_Frontend[[#This Row],[Data]]</f>
        <v>0</v>
      </c>
      <c r="AC131" s="174">
        <f>Buildings_Water_Frontend[[#This Row],[Units]]</f>
        <v>0</v>
      </c>
      <c r="AD131" s="220" t="e">
        <f>IF(Buildings_Water_Backend[[#This Row],[Units]]=Buildings_Water_Backend[[#This Row],[Standard units]],Buildings_Water_Backend[[#This Row],[Data]],Buildings_Water_Backend[[#This Row],[Data]]*_xlfn.XLOOKUP(_xlfn.CONCAT(Buildings_Water_Backend[[#This Row],[Level 1]:[Level 6]]),rng_EFConcat,rng_EFConversion))</f>
        <v>#N/A</v>
      </c>
      <c r="AE131" s="174" t="e" cm="1">
        <f t="array" ref="AE131">_xlfn.XLOOKUP(_xlfn.CONCAT(Buildings_Water_Backend[[#This Row],[Level 1]:[Level 6]]),rng_LevelsConcat,rng_UnitsLong)</f>
        <v>#N/A</v>
      </c>
      <c r="AF131" s="210" t="e">
        <f>_xlfn.XLOOKUP(_xlfn.CONCAT(Buildings_Water_Backend[[#This Row],[Level 1]:[Level 6]]),rng_EFConcat,rng_EF1)*Buildings_Water_Backend[[#This Row],[Converted data]]/1000</f>
        <v>#N/A</v>
      </c>
      <c r="AG131" s="210" t="e">
        <f>_xlfn.XLOOKUP(_xlfn.CONCAT(Buildings_Water_Backend[[#This Row],[Level 1]:[Level 6]]),rng_EFConcat,rng_EF2)*Buildings_Water_Backend[[#This Row],[Converted data]]/1000</f>
        <v>#N/A</v>
      </c>
      <c r="AH131" s="210" t="e">
        <f>_xlfn.XLOOKUP(_xlfn.CONCAT(Buildings_Water_Backend[[#This Row],[Level 1]:[Level 6]]),rng_EFConcat,rng_EF3)*Buildings_Water_Backend[[#This Row],[Converted data]]/1000</f>
        <v>#N/A</v>
      </c>
      <c r="AI131" s="210" t="e">
        <f>_xlfn.XLOOKUP(_xlfn.CONCAT(Buildings_Water_Backend[[#This Row],[Level 1]:[Level 6]]),rng_EFConcat,rng_EF3WTT)*Buildings_Water_Backend[[#This Row],[Converted data]]/1000</f>
        <v>#N/A</v>
      </c>
      <c r="AJ131" s="210" t="e">
        <f>_xlfn.XLOOKUP(_xlfn.CONCAT(Buildings_Water_Backend[[#This Row],[Level 1]:[Level 6]]),rng_EFConcat,rng_EF3TD)*Buildings_Water_Backend[[#This Row],[Converted data]]/1000</f>
        <v>#N/A</v>
      </c>
      <c r="AK131" s="210" t="e">
        <f>_xlfn.XLOOKUP(_xlfn.CONCAT(Buildings_Water_Backend[[#This Row],[Level 1]:[Level 6]]),rng_EFConcat,rng_EF3WTTTD)*Buildings_Water_Backend[[#This Row],[Converted data]]/1000</f>
        <v>#N/A</v>
      </c>
      <c r="AL131" s="220" t="e">
        <f>SUM(Buildings_Water_Backend[[#This Row],[Scope 1 (tCO2e)]:[Scope 3 WTT T&amp;D (tCO2e)]])</f>
        <v>#N/A</v>
      </c>
      <c r="AM131" s="220" t="e">
        <f>Buildings_Water_Backend[[#This Row],[Total (tCO2e)]]*(1-Buildings_Water_Backend[[#This Row],[RSD]])</f>
        <v>#N/A</v>
      </c>
      <c r="AN131" s="220" t="e">
        <f>Buildings_Water_Backend[[#This Row],[Total (tCO2e)]]*(1+Buildings_Water_Backend[[#This Row],[RSD]])</f>
        <v>#N/A</v>
      </c>
      <c r="AO131" s="210" t="e">
        <f>_xlfn.XLOOKUP(_xlfn.CONCAT(Buildings_Water_Backend[[#This Row],[Level 1]:[Level 6]]),rng_EFConcat,rng_EFOOS)*Buildings_Water_Backend[[#This Row],[Converted data]]/1000</f>
        <v>#N/A</v>
      </c>
      <c r="AP131" s="174">
        <f>Buildings_Water_Frontend[[#This Row],[Ease of collection]]</f>
        <v>0</v>
      </c>
      <c r="AQ131" s="174">
        <f>Buildings_Water_Frontend[[#This Row],[Completeness]]</f>
        <v>0</v>
      </c>
      <c r="AR131" s="174">
        <f>Buildings_Water_Frontend[[#This Row],[Notes]]</f>
        <v>0</v>
      </c>
    </row>
    <row r="132" spans="5:44" x14ac:dyDescent="0.3">
      <c r="E132" s="346"/>
      <c r="F132" s="364"/>
      <c r="G132" s="336"/>
      <c r="H132" s="336"/>
      <c r="I132" s="334"/>
      <c r="J132" s="336"/>
      <c r="K132" s="336"/>
      <c r="L132" s="336"/>
      <c r="M132" s="337"/>
      <c r="N132" s="242">
        <f t="shared" si="3"/>
        <v>5</v>
      </c>
      <c r="Q132" s="212" t="str">
        <f t="shared" si="2"/>
        <v/>
      </c>
      <c r="R132" s="174" t="s">
        <v>265</v>
      </c>
      <c r="S132" s="174" t="s">
        <v>273</v>
      </c>
      <c r="T132" s="174" t="e">
        <f>_xlfn.XLOOKUP(Buildings_Water_Backend[[#This Row],[Info 1]],Buildings_SiteInfo[Site name],Buildings_SiteInfo[Site type])</f>
        <v>#N/A</v>
      </c>
      <c r="U132" s="174" t="s">
        <v>327</v>
      </c>
      <c r="V132" s="174">
        <f>Buildings_Water_Frontend[[#This Row],[Type]]</f>
        <v>0</v>
      </c>
      <c r="W132" s="174" t="e" cm="1">
        <f t="array" aca="1" ref="W132" ca="1">_xlfn.XLOOKUP(Buildings_Water_Backend[[#This Row],[Level 5]],rng_Level5Long,rng_Level6Long)</f>
        <v>#N/A</v>
      </c>
      <c r="X132" s="174">
        <f>Buildings_Water_Frontend[[#This Row],[Site Name]]</f>
        <v>0</v>
      </c>
      <c r="Y132" s="174">
        <f>Buildings_Water_Frontend[[#This Row],[Meter Reference]]</f>
        <v>0</v>
      </c>
      <c r="Z132" s="220">
        <f>Buildings_Water_Frontend[[#This Row],[Methodology]]</f>
        <v>0</v>
      </c>
      <c r="AA132" s="229" t="e" cm="1">
        <f t="array" ref="AA132">INDEX(_xlfn.SWITCH(Buildings_Water_Backend[[#This Row],[Methodology]],"Tier 1",rng_RSD1,"Tier 2",rng_RSD2,"Tier 3",rng_RSD3),MATCH(_xlfn.CONCAT(Buildings_Water_Backend[[#This Row],[Level 1]:[Level 6]]),rng_LevelsConcat,0))</f>
        <v>#N/A</v>
      </c>
      <c r="AB132" s="224">
        <f>Buildings_Water_Frontend[[#This Row],[Data]]</f>
        <v>0</v>
      </c>
      <c r="AC132" s="174">
        <f>Buildings_Water_Frontend[[#This Row],[Units]]</f>
        <v>0</v>
      </c>
      <c r="AD132" s="220" t="e">
        <f>IF(Buildings_Water_Backend[[#This Row],[Units]]=Buildings_Water_Backend[[#This Row],[Standard units]],Buildings_Water_Backend[[#This Row],[Data]],Buildings_Water_Backend[[#This Row],[Data]]*_xlfn.XLOOKUP(_xlfn.CONCAT(Buildings_Water_Backend[[#This Row],[Level 1]:[Level 6]]),rng_EFConcat,rng_EFConversion))</f>
        <v>#N/A</v>
      </c>
      <c r="AE132" s="174" t="e" cm="1">
        <f t="array" ref="AE132">_xlfn.XLOOKUP(_xlfn.CONCAT(Buildings_Water_Backend[[#This Row],[Level 1]:[Level 6]]),rng_LevelsConcat,rng_UnitsLong)</f>
        <v>#N/A</v>
      </c>
      <c r="AF132" s="210" t="e">
        <f>_xlfn.XLOOKUP(_xlfn.CONCAT(Buildings_Water_Backend[[#This Row],[Level 1]:[Level 6]]),rng_EFConcat,rng_EF1)*Buildings_Water_Backend[[#This Row],[Converted data]]/1000</f>
        <v>#N/A</v>
      </c>
      <c r="AG132" s="210" t="e">
        <f>_xlfn.XLOOKUP(_xlfn.CONCAT(Buildings_Water_Backend[[#This Row],[Level 1]:[Level 6]]),rng_EFConcat,rng_EF2)*Buildings_Water_Backend[[#This Row],[Converted data]]/1000</f>
        <v>#N/A</v>
      </c>
      <c r="AH132" s="210" t="e">
        <f>_xlfn.XLOOKUP(_xlfn.CONCAT(Buildings_Water_Backend[[#This Row],[Level 1]:[Level 6]]),rng_EFConcat,rng_EF3)*Buildings_Water_Backend[[#This Row],[Converted data]]/1000</f>
        <v>#N/A</v>
      </c>
      <c r="AI132" s="210" t="e">
        <f>_xlfn.XLOOKUP(_xlfn.CONCAT(Buildings_Water_Backend[[#This Row],[Level 1]:[Level 6]]),rng_EFConcat,rng_EF3WTT)*Buildings_Water_Backend[[#This Row],[Converted data]]/1000</f>
        <v>#N/A</v>
      </c>
      <c r="AJ132" s="210" t="e">
        <f>_xlfn.XLOOKUP(_xlfn.CONCAT(Buildings_Water_Backend[[#This Row],[Level 1]:[Level 6]]),rng_EFConcat,rng_EF3TD)*Buildings_Water_Backend[[#This Row],[Converted data]]/1000</f>
        <v>#N/A</v>
      </c>
      <c r="AK132" s="210" t="e">
        <f>_xlfn.XLOOKUP(_xlfn.CONCAT(Buildings_Water_Backend[[#This Row],[Level 1]:[Level 6]]),rng_EFConcat,rng_EF3WTTTD)*Buildings_Water_Backend[[#This Row],[Converted data]]/1000</f>
        <v>#N/A</v>
      </c>
      <c r="AL132" s="220" t="e">
        <f>SUM(Buildings_Water_Backend[[#This Row],[Scope 1 (tCO2e)]:[Scope 3 WTT T&amp;D (tCO2e)]])</f>
        <v>#N/A</v>
      </c>
      <c r="AM132" s="220" t="e">
        <f>Buildings_Water_Backend[[#This Row],[Total (tCO2e)]]*(1-Buildings_Water_Backend[[#This Row],[RSD]])</f>
        <v>#N/A</v>
      </c>
      <c r="AN132" s="220" t="e">
        <f>Buildings_Water_Backend[[#This Row],[Total (tCO2e)]]*(1+Buildings_Water_Backend[[#This Row],[RSD]])</f>
        <v>#N/A</v>
      </c>
      <c r="AO132" s="210" t="e">
        <f>_xlfn.XLOOKUP(_xlfn.CONCAT(Buildings_Water_Backend[[#This Row],[Level 1]:[Level 6]]),rng_EFConcat,rng_EFOOS)*Buildings_Water_Backend[[#This Row],[Converted data]]/1000</f>
        <v>#N/A</v>
      </c>
      <c r="AP132" s="174">
        <f>Buildings_Water_Frontend[[#This Row],[Ease of collection]]</f>
        <v>0</v>
      </c>
      <c r="AQ132" s="174">
        <f>Buildings_Water_Frontend[[#This Row],[Completeness]]</f>
        <v>0</v>
      </c>
      <c r="AR132" s="174">
        <f>Buildings_Water_Frontend[[#This Row],[Notes]]</f>
        <v>0</v>
      </c>
    </row>
    <row r="133" spans="5:44" x14ac:dyDescent="0.3">
      <c r="E133" s="346"/>
      <c r="F133" s="364"/>
      <c r="G133" s="336"/>
      <c r="H133" s="336"/>
      <c r="I133" s="334"/>
      <c r="J133" s="336"/>
      <c r="K133" s="336"/>
      <c r="L133" s="336"/>
      <c r="M133" s="337"/>
      <c r="N133" s="242">
        <f t="shared" si="3"/>
        <v>5</v>
      </c>
      <c r="Q133" s="212" t="str">
        <f t="shared" si="2"/>
        <v/>
      </c>
      <c r="R133" s="174" t="s">
        <v>265</v>
      </c>
      <c r="S133" s="174" t="s">
        <v>273</v>
      </c>
      <c r="T133" s="174" t="e">
        <f>_xlfn.XLOOKUP(Buildings_Water_Backend[[#This Row],[Info 1]],Buildings_SiteInfo[Site name],Buildings_SiteInfo[Site type])</f>
        <v>#N/A</v>
      </c>
      <c r="U133" s="174" t="s">
        <v>327</v>
      </c>
      <c r="V133" s="174">
        <f>Buildings_Water_Frontend[[#This Row],[Type]]</f>
        <v>0</v>
      </c>
      <c r="W133" s="174" t="e" cm="1">
        <f t="array" aca="1" ref="W133" ca="1">_xlfn.XLOOKUP(Buildings_Water_Backend[[#This Row],[Level 5]],rng_Level5Long,rng_Level6Long)</f>
        <v>#N/A</v>
      </c>
      <c r="X133" s="174">
        <f>Buildings_Water_Frontend[[#This Row],[Site Name]]</f>
        <v>0</v>
      </c>
      <c r="Y133" s="174">
        <f>Buildings_Water_Frontend[[#This Row],[Meter Reference]]</f>
        <v>0</v>
      </c>
      <c r="Z133" s="220">
        <f>Buildings_Water_Frontend[[#This Row],[Methodology]]</f>
        <v>0</v>
      </c>
      <c r="AA133" s="229" t="e" cm="1">
        <f t="array" ref="AA133">INDEX(_xlfn.SWITCH(Buildings_Water_Backend[[#This Row],[Methodology]],"Tier 1",rng_RSD1,"Tier 2",rng_RSD2,"Tier 3",rng_RSD3),MATCH(_xlfn.CONCAT(Buildings_Water_Backend[[#This Row],[Level 1]:[Level 6]]),rng_LevelsConcat,0))</f>
        <v>#N/A</v>
      </c>
      <c r="AB133" s="224">
        <f>Buildings_Water_Frontend[[#This Row],[Data]]</f>
        <v>0</v>
      </c>
      <c r="AC133" s="174">
        <f>Buildings_Water_Frontend[[#This Row],[Units]]</f>
        <v>0</v>
      </c>
      <c r="AD133" s="220" t="e">
        <f>IF(Buildings_Water_Backend[[#This Row],[Units]]=Buildings_Water_Backend[[#This Row],[Standard units]],Buildings_Water_Backend[[#This Row],[Data]],Buildings_Water_Backend[[#This Row],[Data]]*_xlfn.XLOOKUP(_xlfn.CONCAT(Buildings_Water_Backend[[#This Row],[Level 1]:[Level 6]]),rng_EFConcat,rng_EFConversion))</f>
        <v>#N/A</v>
      </c>
      <c r="AE133" s="174" t="e" cm="1">
        <f t="array" ref="AE133">_xlfn.XLOOKUP(_xlfn.CONCAT(Buildings_Water_Backend[[#This Row],[Level 1]:[Level 6]]),rng_LevelsConcat,rng_UnitsLong)</f>
        <v>#N/A</v>
      </c>
      <c r="AF133" s="210" t="e">
        <f>_xlfn.XLOOKUP(_xlfn.CONCAT(Buildings_Water_Backend[[#This Row],[Level 1]:[Level 6]]),rng_EFConcat,rng_EF1)*Buildings_Water_Backend[[#This Row],[Converted data]]/1000</f>
        <v>#N/A</v>
      </c>
      <c r="AG133" s="210" t="e">
        <f>_xlfn.XLOOKUP(_xlfn.CONCAT(Buildings_Water_Backend[[#This Row],[Level 1]:[Level 6]]),rng_EFConcat,rng_EF2)*Buildings_Water_Backend[[#This Row],[Converted data]]/1000</f>
        <v>#N/A</v>
      </c>
      <c r="AH133" s="210" t="e">
        <f>_xlfn.XLOOKUP(_xlfn.CONCAT(Buildings_Water_Backend[[#This Row],[Level 1]:[Level 6]]),rng_EFConcat,rng_EF3)*Buildings_Water_Backend[[#This Row],[Converted data]]/1000</f>
        <v>#N/A</v>
      </c>
      <c r="AI133" s="210" t="e">
        <f>_xlfn.XLOOKUP(_xlfn.CONCAT(Buildings_Water_Backend[[#This Row],[Level 1]:[Level 6]]),rng_EFConcat,rng_EF3WTT)*Buildings_Water_Backend[[#This Row],[Converted data]]/1000</f>
        <v>#N/A</v>
      </c>
      <c r="AJ133" s="210" t="e">
        <f>_xlfn.XLOOKUP(_xlfn.CONCAT(Buildings_Water_Backend[[#This Row],[Level 1]:[Level 6]]),rng_EFConcat,rng_EF3TD)*Buildings_Water_Backend[[#This Row],[Converted data]]/1000</f>
        <v>#N/A</v>
      </c>
      <c r="AK133" s="210" t="e">
        <f>_xlfn.XLOOKUP(_xlfn.CONCAT(Buildings_Water_Backend[[#This Row],[Level 1]:[Level 6]]),rng_EFConcat,rng_EF3WTTTD)*Buildings_Water_Backend[[#This Row],[Converted data]]/1000</f>
        <v>#N/A</v>
      </c>
      <c r="AL133" s="220" t="e">
        <f>SUM(Buildings_Water_Backend[[#This Row],[Scope 1 (tCO2e)]:[Scope 3 WTT T&amp;D (tCO2e)]])</f>
        <v>#N/A</v>
      </c>
      <c r="AM133" s="220" t="e">
        <f>Buildings_Water_Backend[[#This Row],[Total (tCO2e)]]*(1-Buildings_Water_Backend[[#This Row],[RSD]])</f>
        <v>#N/A</v>
      </c>
      <c r="AN133" s="220" t="e">
        <f>Buildings_Water_Backend[[#This Row],[Total (tCO2e)]]*(1+Buildings_Water_Backend[[#This Row],[RSD]])</f>
        <v>#N/A</v>
      </c>
      <c r="AO133" s="210" t="e">
        <f>_xlfn.XLOOKUP(_xlfn.CONCAT(Buildings_Water_Backend[[#This Row],[Level 1]:[Level 6]]),rng_EFConcat,rng_EFOOS)*Buildings_Water_Backend[[#This Row],[Converted data]]/1000</f>
        <v>#N/A</v>
      </c>
      <c r="AP133" s="174">
        <f>Buildings_Water_Frontend[[#This Row],[Ease of collection]]</f>
        <v>0</v>
      </c>
      <c r="AQ133" s="174">
        <f>Buildings_Water_Frontend[[#This Row],[Completeness]]</f>
        <v>0</v>
      </c>
      <c r="AR133" s="174">
        <f>Buildings_Water_Frontend[[#This Row],[Notes]]</f>
        <v>0</v>
      </c>
    </row>
    <row r="134" spans="5:44" x14ac:dyDescent="0.3">
      <c r="E134" s="346"/>
      <c r="F134" s="364"/>
      <c r="G134" s="336"/>
      <c r="H134" s="336"/>
      <c r="I134" s="334"/>
      <c r="J134" s="336"/>
      <c r="K134" s="336"/>
      <c r="L134" s="336"/>
      <c r="M134" s="337"/>
      <c r="N134" s="242">
        <f t="shared" si="3"/>
        <v>5</v>
      </c>
      <c r="Q134" s="212" t="str">
        <f t="shared" si="2"/>
        <v/>
      </c>
      <c r="R134" s="174" t="s">
        <v>265</v>
      </c>
      <c r="S134" s="174" t="s">
        <v>273</v>
      </c>
      <c r="T134" s="174" t="e">
        <f>_xlfn.XLOOKUP(Buildings_Water_Backend[[#This Row],[Info 1]],Buildings_SiteInfo[Site name],Buildings_SiteInfo[Site type])</f>
        <v>#N/A</v>
      </c>
      <c r="U134" s="174" t="s">
        <v>327</v>
      </c>
      <c r="V134" s="174">
        <f>Buildings_Water_Frontend[[#This Row],[Type]]</f>
        <v>0</v>
      </c>
      <c r="W134" s="174" t="e" cm="1">
        <f t="array" aca="1" ref="W134" ca="1">_xlfn.XLOOKUP(Buildings_Water_Backend[[#This Row],[Level 5]],rng_Level5Long,rng_Level6Long)</f>
        <v>#N/A</v>
      </c>
      <c r="X134" s="174">
        <f>Buildings_Water_Frontend[[#This Row],[Site Name]]</f>
        <v>0</v>
      </c>
      <c r="Y134" s="174">
        <f>Buildings_Water_Frontend[[#This Row],[Meter Reference]]</f>
        <v>0</v>
      </c>
      <c r="Z134" s="220">
        <f>Buildings_Water_Frontend[[#This Row],[Methodology]]</f>
        <v>0</v>
      </c>
      <c r="AA134" s="229" t="e" cm="1">
        <f t="array" ref="AA134">INDEX(_xlfn.SWITCH(Buildings_Water_Backend[[#This Row],[Methodology]],"Tier 1",rng_RSD1,"Tier 2",rng_RSD2,"Tier 3",rng_RSD3),MATCH(_xlfn.CONCAT(Buildings_Water_Backend[[#This Row],[Level 1]:[Level 6]]),rng_LevelsConcat,0))</f>
        <v>#N/A</v>
      </c>
      <c r="AB134" s="224">
        <f>Buildings_Water_Frontend[[#This Row],[Data]]</f>
        <v>0</v>
      </c>
      <c r="AC134" s="174">
        <f>Buildings_Water_Frontend[[#This Row],[Units]]</f>
        <v>0</v>
      </c>
      <c r="AD134" s="220" t="e">
        <f>IF(Buildings_Water_Backend[[#This Row],[Units]]=Buildings_Water_Backend[[#This Row],[Standard units]],Buildings_Water_Backend[[#This Row],[Data]],Buildings_Water_Backend[[#This Row],[Data]]*_xlfn.XLOOKUP(_xlfn.CONCAT(Buildings_Water_Backend[[#This Row],[Level 1]:[Level 6]]),rng_EFConcat,rng_EFConversion))</f>
        <v>#N/A</v>
      </c>
      <c r="AE134" s="174" t="e" cm="1">
        <f t="array" ref="AE134">_xlfn.XLOOKUP(_xlfn.CONCAT(Buildings_Water_Backend[[#This Row],[Level 1]:[Level 6]]),rng_LevelsConcat,rng_UnitsLong)</f>
        <v>#N/A</v>
      </c>
      <c r="AF134" s="210" t="e">
        <f>_xlfn.XLOOKUP(_xlfn.CONCAT(Buildings_Water_Backend[[#This Row],[Level 1]:[Level 6]]),rng_EFConcat,rng_EF1)*Buildings_Water_Backend[[#This Row],[Converted data]]/1000</f>
        <v>#N/A</v>
      </c>
      <c r="AG134" s="210" t="e">
        <f>_xlfn.XLOOKUP(_xlfn.CONCAT(Buildings_Water_Backend[[#This Row],[Level 1]:[Level 6]]),rng_EFConcat,rng_EF2)*Buildings_Water_Backend[[#This Row],[Converted data]]/1000</f>
        <v>#N/A</v>
      </c>
      <c r="AH134" s="210" t="e">
        <f>_xlfn.XLOOKUP(_xlfn.CONCAT(Buildings_Water_Backend[[#This Row],[Level 1]:[Level 6]]),rng_EFConcat,rng_EF3)*Buildings_Water_Backend[[#This Row],[Converted data]]/1000</f>
        <v>#N/A</v>
      </c>
      <c r="AI134" s="210" t="e">
        <f>_xlfn.XLOOKUP(_xlfn.CONCAT(Buildings_Water_Backend[[#This Row],[Level 1]:[Level 6]]),rng_EFConcat,rng_EF3WTT)*Buildings_Water_Backend[[#This Row],[Converted data]]/1000</f>
        <v>#N/A</v>
      </c>
      <c r="AJ134" s="210" t="e">
        <f>_xlfn.XLOOKUP(_xlfn.CONCAT(Buildings_Water_Backend[[#This Row],[Level 1]:[Level 6]]),rng_EFConcat,rng_EF3TD)*Buildings_Water_Backend[[#This Row],[Converted data]]/1000</f>
        <v>#N/A</v>
      </c>
      <c r="AK134" s="210" t="e">
        <f>_xlfn.XLOOKUP(_xlfn.CONCAT(Buildings_Water_Backend[[#This Row],[Level 1]:[Level 6]]),rng_EFConcat,rng_EF3WTTTD)*Buildings_Water_Backend[[#This Row],[Converted data]]/1000</f>
        <v>#N/A</v>
      </c>
      <c r="AL134" s="220" t="e">
        <f>SUM(Buildings_Water_Backend[[#This Row],[Scope 1 (tCO2e)]:[Scope 3 WTT T&amp;D (tCO2e)]])</f>
        <v>#N/A</v>
      </c>
      <c r="AM134" s="220" t="e">
        <f>Buildings_Water_Backend[[#This Row],[Total (tCO2e)]]*(1-Buildings_Water_Backend[[#This Row],[RSD]])</f>
        <v>#N/A</v>
      </c>
      <c r="AN134" s="220" t="e">
        <f>Buildings_Water_Backend[[#This Row],[Total (tCO2e)]]*(1+Buildings_Water_Backend[[#This Row],[RSD]])</f>
        <v>#N/A</v>
      </c>
      <c r="AO134" s="210" t="e">
        <f>_xlfn.XLOOKUP(_xlfn.CONCAT(Buildings_Water_Backend[[#This Row],[Level 1]:[Level 6]]),rng_EFConcat,rng_EFOOS)*Buildings_Water_Backend[[#This Row],[Converted data]]/1000</f>
        <v>#N/A</v>
      </c>
      <c r="AP134" s="174">
        <f>Buildings_Water_Frontend[[#This Row],[Ease of collection]]</f>
        <v>0</v>
      </c>
      <c r="AQ134" s="174">
        <f>Buildings_Water_Frontend[[#This Row],[Completeness]]</f>
        <v>0</v>
      </c>
      <c r="AR134" s="174">
        <f>Buildings_Water_Frontend[[#This Row],[Notes]]</f>
        <v>0</v>
      </c>
    </row>
    <row r="135" spans="5:44" x14ac:dyDescent="0.3">
      <c r="E135" s="346"/>
      <c r="F135" s="364"/>
      <c r="G135" s="336"/>
      <c r="H135" s="336"/>
      <c r="I135" s="334"/>
      <c r="J135" s="336"/>
      <c r="K135" s="336"/>
      <c r="L135" s="336"/>
      <c r="M135" s="337"/>
      <c r="N135" s="242">
        <f t="shared" si="3"/>
        <v>5</v>
      </c>
      <c r="Q135" s="212" t="str">
        <f t="shared" si="2"/>
        <v/>
      </c>
      <c r="R135" s="174" t="s">
        <v>265</v>
      </c>
      <c r="S135" s="174" t="s">
        <v>273</v>
      </c>
      <c r="T135" s="174" t="e">
        <f>_xlfn.XLOOKUP(Buildings_Water_Backend[[#This Row],[Info 1]],Buildings_SiteInfo[Site name],Buildings_SiteInfo[Site type])</f>
        <v>#N/A</v>
      </c>
      <c r="U135" s="174" t="s">
        <v>327</v>
      </c>
      <c r="V135" s="174">
        <f>Buildings_Water_Frontend[[#This Row],[Type]]</f>
        <v>0</v>
      </c>
      <c r="W135" s="174" t="e" cm="1">
        <f t="array" aca="1" ref="W135" ca="1">_xlfn.XLOOKUP(Buildings_Water_Backend[[#This Row],[Level 5]],rng_Level5Long,rng_Level6Long)</f>
        <v>#N/A</v>
      </c>
      <c r="X135" s="174">
        <f>Buildings_Water_Frontend[[#This Row],[Site Name]]</f>
        <v>0</v>
      </c>
      <c r="Y135" s="174">
        <f>Buildings_Water_Frontend[[#This Row],[Meter Reference]]</f>
        <v>0</v>
      </c>
      <c r="Z135" s="220">
        <f>Buildings_Water_Frontend[[#This Row],[Methodology]]</f>
        <v>0</v>
      </c>
      <c r="AA135" s="229" t="e" cm="1">
        <f t="array" ref="AA135">INDEX(_xlfn.SWITCH(Buildings_Water_Backend[[#This Row],[Methodology]],"Tier 1",rng_RSD1,"Tier 2",rng_RSD2,"Tier 3",rng_RSD3),MATCH(_xlfn.CONCAT(Buildings_Water_Backend[[#This Row],[Level 1]:[Level 6]]),rng_LevelsConcat,0))</f>
        <v>#N/A</v>
      </c>
      <c r="AB135" s="224">
        <f>Buildings_Water_Frontend[[#This Row],[Data]]</f>
        <v>0</v>
      </c>
      <c r="AC135" s="174">
        <f>Buildings_Water_Frontend[[#This Row],[Units]]</f>
        <v>0</v>
      </c>
      <c r="AD135" s="220" t="e">
        <f>IF(Buildings_Water_Backend[[#This Row],[Units]]=Buildings_Water_Backend[[#This Row],[Standard units]],Buildings_Water_Backend[[#This Row],[Data]],Buildings_Water_Backend[[#This Row],[Data]]*_xlfn.XLOOKUP(_xlfn.CONCAT(Buildings_Water_Backend[[#This Row],[Level 1]:[Level 6]]),rng_EFConcat,rng_EFConversion))</f>
        <v>#N/A</v>
      </c>
      <c r="AE135" s="174" t="e" cm="1">
        <f t="array" ref="AE135">_xlfn.XLOOKUP(_xlfn.CONCAT(Buildings_Water_Backend[[#This Row],[Level 1]:[Level 6]]),rng_LevelsConcat,rng_UnitsLong)</f>
        <v>#N/A</v>
      </c>
      <c r="AF135" s="210" t="e">
        <f>_xlfn.XLOOKUP(_xlfn.CONCAT(Buildings_Water_Backend[[#This Row],[Level 1]:[Level 6]]),rng_EFConcat,rng_EF1)*Buildings_Water_Backend[[#This Row],[Converted data]]/1000</f>
        <v>#N/A</v>
      </c>
      <c r="AG135" s="210" t="e">
        <f>_xlfn.XLOOKUP(_xlfn.CONCAT(Buildings_Water_Backend[[#This Row],[Level 1]:[Level 6]]),rng_EFConcat,rng_EF2)*Buildings_Water_Backend[[#This Row],[Converted data]]/1000</f>
        <v>#N/A</v>
      </c>
      <c r="AH135" s="210" t="e">
        <f>_xlfn.XLOOKUP(_xlfn.CONCAT(Buildings_Water_Backend[[#This Row],[Level 1]:[Level 6]]),rng_EFConcat,rng_EF3)*Buildings_Water_Backend[[#This Row],[Converted data]]/1000</f>
        <v>#N/A</v>
      </c>
      <c r="AI135" s="210" t="e">
        <f>_xlfn.XLOOKUP(_xlfn.CONCAT(Buildings_Water_Backend[[#This Row],[Level 1]:[Level 6]]),rng_EFConcat,rng_EF3WTT)*Buildings_Water_Backend[[#This Row],[Converted data]]/1000</f>
        <v>#N/A</v>
      </c>
      <c r="AJ135" s="210" t="e">
        <f>_xlfn.XLOOKUP(_xlfn.CONCAT(Buildings_Water_Backend[[#This Row],[Level 1]:[Level 6]]),rng_EFConcat,rng_EF3TD)*Buildings_Water_Backend[[#This Row],[Converted data]]/1000</f>
        <v>#N/A</v>
      </c>
      <c r="AK135" s="210" t="e">
        <f>_xlfn.XLOOKUP(_xlfn.CONCAT(Buildings_Water_Backend[[#This Row],[Level 1]:[Level 6]]),rng_EFConcat,rng_EF3WTTTD)*Buildings_Water_Backend[[#This Row],[Converted data]]/1000</f>
        <v>#N/A</v>
      </c>
      <c r="AL135" s="220" t="e">
        <f>SUM(Buildings_Water_Backend[[#This Row],[Scope 1 (tCO2e)]:[Scope 3 WTT T&amp;D (tCO2e)]])</f>
        <v>#N/A</v>
      </c>
      <c r="AM135" s="220" t="e">
        <f>Buildings_Water_Backend[[#This Row],[Total (tCO2e)]]*(1-Buildings_Water_Backend[[#This Row],[RSD]])</f>
        <v>#N/A</v>
      </c>
      <c r="AN135" s="220" t="e">
        <f>Buildings_Water_Backend[[#This Row],[Total (tCO2e)]]*(1+Buildings_Water_Backend[[#This Row],[RSD]])</f>
        <v>#N/A</v>
      </c>
      <c r="AO135" s="210" t="e">
        <f>_xlfn.XLOOKUP(_xlfn.CONCAT(Buildings_Water_Backend[[#This Row],[Level 1]:[Level 6]]),rng_EFConcat,rng_EFOOS)*Buildings_Water_Backend[[#This Row],[Converted data]]/1000</f>
        <v>#N/A</v>
      </c>
      <c r="AP135" s="174">
        <f>Buildings_Water_Frontend[[#This Row],[Ease of collection]]</f>
        <v>0</v>
      </c>
      <c r="AQ135" s="174">
        <f>Buildings_Water_Frontend[[#This Row],[Completeness]]</f>
        <v>0</v>
      </c>
      <c r="AR135" s="174">
        <f>Buildings_Water_Frontend[[#This Row],[Notes]]</f>
        <v>0</v>
      </c>
    </row>
    <row r="136" spans="5:44" x14ac:dyDescent="0.3">
      <c r="E136" s="346"/>
      <c r="F136" s="364"/>
      <c r="G136" s="336"/>
      <c r="H136" s="336"/>
      <c r="I136" s="334"/>
      <c r="J136" s="336"/>
      <c r="K136" s="336"/>
      <c r="L136" s="336"/>
      <c r="M136" s="337"/>
      <c r="N136" s="242">
        <f t="shared" si="3"/>
        <v>5</v>
      </c>
      <c r="Q136" s="212" t="str">
        <f t="shared" si="2"/>
        <v/>
      </c>
      <c r="R136" s="174" t="s">
        <v>265</v>
      </c>
      <c r="S136" s="174" t="s">
        <v>273</v>
      </c>
      <c r="T136" s="174" t="e">
        <f>_xlfn.XLOOKUP(Buildings_Water_Backend[[#This Row],[Info 1]],Buildings_SiteInfo[Site name],Buildings_SiteInfo[Site type])</f>
        <v>#N/A</v>
      </c>
      <c r="U136" s="174" t="s">
        <v>327</v>
      </c>
      <c r="V136" s="174">
        <f>Buildings_Water_Frontend[[#This Row],[Type]]</f>
        <v>0</v>
      </c>
      <c r="W136" s="174" t="e" cm="1">
        <f t="array" aca="1" ref="W136" ca="1">_xlfn.XLOOKUP(Buildings_Water_Backend[[#This Row],[Level 5]],rng_Level5Long,rng_Level6Long)</f>
        <v>#N/A</v>
      </c>
      <c r="X136" s="174">
        <f>Buildings_Water_Frontend[[#This Row],[Site Name]]</f>
        <v>0</v>
      </c>
      <c r="Y136" s="174">
        <f>Buildings_Water_Frontend[[#This Row],[Meter Reference]]</f>
        <v>0</v>
      </c>
      <c r="Z136" s="220">
        <f>Buildings_Water_Frontend[[#This Row],[Methodology]]</f>
        <v>0</v>
      </c>
      <c r="AA136" s="229" t="e" cm="1">
        <f t="array" ref="AA136">INDEX(_xlfn.SWITCH(Buildings_Water_Backend[[#This Row],[Methodology]],"Tier 1",rng_RSD1,"Tier 2",rng_RSD2,"Tier 3",rng_RSD3),MATCH(_xlfn.CONCAT(Buildings_Water_Backend[[#This Row],[Level 1]:[Level 6]]),rng_LevelsConcat,0))</f>
        <v>#N/A</v>
      </c>
      <c r="AB136" s="224">
        <f>Buildings_Water_Frontend[[#This Row],[Data]]</f>
        <v>0</v>
      </c>
      <c r="AC136" s="174">
        <f>Buildings_Water_Frontend[[#This Row],[Units]]</f>
        <v>0</v>
      </c>
      <c r="AD136" s="220" t="e">
        <f>IF(Buildings_Water_Backend[[#This Row],[Units]]=Buildings_Water_Backend[[#This Row],[Standard units]],Buildings_Water_Backend[[#This Row],[Data]],Buildings_Water_Backend[[#This Row],[Data]]*_xlfn.XLOOKUP(_xlfn.CONCAT(Buildings_Water_Backend[[#This Row],[Level 1]:[Level 6]]),rng_EFConcat,rng_EFConversion))</f>
        <v>#N/A</v>
      </c>
      <c r="AE136" s="174" t="e" cm="1">
        <f t="array" ref="AE136">_xlfn.XLOOKUP(_xlfn.CONCAT(Buildings_Water_Backend[[#This Row],[Level 1]:[Level 6]]),rng_LevelsConcat,rng_UnitsLong)</f>
        <v>#N/A</v>
      </c>
      <c r="AF136" s="210" t="e">
        <f>_xlfn.XLOOKUP(_xlfn.CONCAT(Buildings_Water_Backend[[#This Row],[Level 1]:[Level 6]]),rng_EFConcat,rng_EF1)*Buildings_Water_Backend[[#This Row],[Converted data]]/1000</f>
        <v>#N/A</v>
      </c>
      <c r="AG136" s="210" t="e">
        <f>_xlfn.XLOOKUP(_xlfn.CONCAT(Buildings_Water_Backend[[#This Row],[Level 1]:[Level 6]]),rng_EFConcat,rng_EF2)*Buildings_Water_Backend[[#This Row],[Converted data]]/1000</f>
        <v>#N/A</v>
      </c>
      <c r="AH136" s="210" t="e">
        <f>_xlfn.XLOOKUP(_xlfn.CONCAT(Buildings_Water_Backend[[#This Row],[Level 1]:[Level 6]]),rng_EFConcat,rng_EF3)*Buildings_Water_Backend[[#This Row],[Converted data]]/1000</f>
        <v>#N/A</v>
      </c>
      <c r="AI136" s="210" t="e">
        <f>_xlfn.XLOOKUP(_xlfn.CONCAT(Buildings_Water_Backend[[#This Row],[Level 1]:[Level 6]]),rng_EFConcat,rng_EF3WTT)*Buildings_Water_Backend[[#This Row],[Converted data]]/1000</f>
        <v>#N/A</v>
      </c>
      <c r="AJ136" s="210" t="e">
        <f>_xlfn.XLOOKUP(_xlfn.CONCAT(Buildings_Water_Backend[[#This Row],[Level 1]:[Level 6]]),rng_EFConcat,rng_EF3TD)*Buildings_Water_Backend[[#This Row],[Converted data]]/1000</f>
        <v>#N/A</v>
      </c>
      <c r="AK136" s="210" t="e">
        <f>_xlfn.XLOOKUP(_xlfn.CONCAT(Buildings_Water_Backend[[#This Row],[Level 1]:[Level 6]]),rng_EFConcat,rng_EF3WTTTD)*Buildings_Water_Backend[[#This Row],[Converted data]]/1000</f>
        <v>#N/A</v>
      </c>
      <c r="AL136" s="220" t="e">
        <f>SUM(Buildings_Water_Backend[[#This Row],[Scope 1 (tCO2e)]:[Scope 3 WTT T&amp;D (tCO2e)]])</f>
        <v>#N/A</v>
      </c>
      <c r="AM136" s="220" t="e">
        <f>Buildings_Water_Backend[[#This Row],[Total (tCO2e)]]*(1-Buildings_Water_Backend[[#This Row],[RSD]])</f>
        <v>#N/A</v>
      </c>
      <c r="AN136" s="220" t="e">
        <f>Buildings_Water_Backend[[#This Row],[Total (tCO2e)]]*(1+Buildings_Water_Backend[[#This Row],[RSD]])</f>
        <v>#N/A</v>
      </c>
      <c r="AO136" s="210" t="e">
        <f>_xlfn.XLOOKUP(_xlfn.CONCAT(Buildings_Water_Backend[[#This Row],[Level 1]:[Level 6]]),rng_EFConcat,rng_EFOOS)*Buildings_Water_Backend[[#This Row],[Converted data]]/1000</f>
        <v>#N/A</v>
      </c>
      <c r="AP136" s="174">
        <f>Buildings_Water_Frontend[[#This Row],[Ease of collection]]</f>
        <v>0</v>
      </c>
      <c r="AQ136" s="174">
        <f>Buildings_Water_Frontend[[#This Row],[Completeness]]</f>
        <v>0</v>
      </c>
      <c r="AR136" s="174">
        <f>Buildings_Water_Frontend[[#This Row],[Notes]]</f>
        <v>0</v>
      </c>
    </row>
    <row r="137" spans="5:44" x14ac:dyDescent="0.3">
      <c r="E137" s="346"/>
      <c r="F137" s="364"/>
      <c r="G137" s="336"/>
      <c r="H137" s="336"/>
      <c r="I137" s="334"/>
      <c r="J137" s="336"/>
      <c r="K137" s="336"/>
      <c r="L137" s="336"/>
      <c r="M137" s="337"/>
      <c r="N137" s="242">
        <f t="shared" si="3"/>
        <v>5</v>
      </c>
      <c r="Q137" s="212" t="str">
        <f t="shared" si="2"/>
        <v/>
      </c>
      <c r="R137" s="174" t="s">
        <v>265</v>
      </c>
      <c r="S137" s="174" t="s">
        <v>273</v>
      </c>
      <c r="T137" s="174" t="e">
        <f>_xlfn.XLOOKUP(Buildings_Water_Backend[[#This Row],[Info 1]],Buildings_SiteInfo[Site name],Buildings_SiteInfo[Site type])</f>
        <v>#N/A</v>
      </c>
      <c r="U137" s="174" t="s">
        <v>327</v>
      </c>
      <c r="V137" s="174">
        <f>Buildings_Water_Frontend[[#This Row],[Type]]</f>
        <v>0</v>
      </c>
      <c r="W137" s="174" t="e" cm="1">
        <f t="array" aca="1" ref="W137" ca="1">_xlfn.XLOOKUP(Buildings_Water_Backend[[#This Row],[Level 5]],rng_Level5Long,rng_Level6Long)</f>
        <v>#N/A</v>
      </c>
      <c r="X137" s="174">
        <f>Buildings_Water_Frontend[[#This Row],[Site Name]]</f>
        <v>0</v>
      </c>
      <c r="Y137" s="174">
        <f>Buildings_Water_Frontend[[#This Row],[Meter Reference]]</f>
        <v>0</v>
      </c>
      <c r="Z137" s="220">
        <f>Buildings_Water_Frontend[[#This Row],[Methodology]]</f>
        <v>0</v>
      </c>
      <c r="AA137" s="229" t="e" cm="1">
        <f t="array" ref="AA137">INDEX(_xlfn.SWITCH(Buildings_Water_Backend[[#This Row],[Methodology]],"Tier 1",rng_RSD1,"Tier 2",rng_RSD2,"Tier 3",rng_RSD3),MATCH(_xlfn.CONCAT(Buildings_Water_Backend[[#This Row],[Level 1]:[Level 6]]),rng_LevelsConcat,0))</f>
        <v>#N/A</v>
      </c>
      <c r="AB137" s="224">
        <f>Buildings_Water_Frontend[[#This Row],[Data]]</f>
        <v>0</v>
      </c>
      <c r="AC137" s="174">
        <f>Buildings_Water_Frontend[[#This Row],[Units]]</f>
        <v>0</v>
      </c>
      <c r="AD137" s="220" t="e">
        <f>IF(Buildings_Water_Backend[[#This Row],[Units]]=Buildings_Water_Backend[[#This Row],[Standard units]],Buildings_Water_Backend[[#This Row],[Data]],Buildings_Water_Backend[[#This Row],[Data]]*_xlfn.XLOOKUP(_xlfn.CONCAT(Buildings_Water_Backend[[#This Row],[Level 1]:[Level 6]]),rng_EFConcat,rng_EFConversion))</f>
        <v>#N/A</v>
      </c>
      <c r="AE137" s="174" t="e" cm="1">
        <f t="array" ref="AE137">_xlfn.XLOOKUP(_xlfn.CONCAT(Buildings_Water_Backend[[#This Row],[Level 1]:[Level 6]]),rng_LevelsConcat,rng_UnitsLong)</f>
        <v>#N/A</v>
      </c>
      <c r="AF137" s="210" t="e">
        <f>_xlfn.XLOOKUP(_xlfn.CONCAT(Buildings_Water_Backend[[#This Row],[Level 1]:[Level 6]]),rng_EFConcat,rng_EF1)*Buildings_Water_Backend[[#This Row],[Converted data]]/1000</f>
        <v>#N/A</v>
      </c>
      <c r="AG137" s="210" t="e">
        <f>_xlfn.XLOOKUP(_xlfn.CONCAT(Buildings_Water_Backend[[#This Row],[Level 1]:[Level 6]]),rng_EFConcat,rng_EF2)*Buildings_Water_Backend[[#This Row],[Converted data]]/1000</f>
        <v>#N/A</v>
      </c>
      <c r="AH137" s="210" t="e">
        <f>_xlfn.XLOOKUP(_xlfn.CONCAT(Buildings_Water_Backend[[#This Row],[Level 1]:[Level 6]]),rng_EFConcat,rng_EF3)*Buildings_Water_Backend[[#This Row],[Converted data]]/1000</f>
        <v>#N/A</v>
      </c>
      <c r="AI137" s="210" t="e">
        <f>_xlfn.XLOOKUP(_xlfn.CONCAT(Buildings_Water_Backend[[#This Row],[Level 1]:[Level 6]]),rng_EFConcat,rng_EF3WTT)*Buildings_Water_Backend[[#This Row],[Converted data]]/1000</f>
        <v>#N/A</v>
      </c>
      <c r="AJ137" s="210" t="e">
        <f>_xlfn.XLOOKUP(_xlfn.CONCAT(Buildings_Water_Backend[[#This Row],[Level 1]:[Level 6]]),rng_EFConcat,rng_EF3TD)*Buildings_Water_Backend[[#This Row],[Converted data]]/1000</f>
        <v>#N/A</v>
      </c>
      <c r="AK137" s="210" t="e">
        <f>_xlfn.XLOOKUP(_xlfn.CONCAT(Buildings_Water_Backend[[#This Row],[Level 1]:[Level 6]]),rng_EFConcat,rng_EF3WTTTD)*Buildings_Water_Backend[[#This Row],[Converted data]]/1000</f>
        <v>#N/A</v>
      </c>
      <c r="AL137" s="220" t="e">
        <f>SUM(Buildings_Water_Backend[[#This Row],[Scope 1 (tCO2e)]:[Scope 3 WTT T&amp;D (tCO2e)]])</f>
        <v>#N/A</v>
      </c>
      <c r="AM137" s="220" t="e">
        <f>Buildings_Water_Backend[[#This Row],[Total (tCO2e)]]*(1-Buildings_Water_Backend[[#This Row],[RSD]])</f>
        <v>#N/A</v>
      </c>
      <c r="AN137" s="220" t="e">
        <f>Buildings_Water_Backend[[#This Row],[Total (tCO2e)]]*(1+Buildings_Water_Backend[[#This Row],[RSD]])</f>
        <v>#N/A</v>
      </c>
      <c r="AO137" s="210" t="e">
        <f>_xlfn.XLOOKUP(_xlfn.CONCAT(Buildings_Water_Backend[[#This Row],[Level 1]:[Level 6]]),rng_EFConcat,rng_EFOOS)*Buildings_Water_Backend[[#This Row],[Converted data]]/1000</f>
        <v>#N/A</v>
      </c>
      <c r="AP137" s="174">
        <f>Buildings_Water_Frontend[[#This Row],[Ease of collection]]</f>
        <v>0</v>
      </c>
      <c r="AQ137" s="174">
        <f>Buildings_Water_Frontend[[#This Row],[Completeness]]</f>
        <v>0</v>
      </c>
      <c r="AR137" s="174">
        <f>Buildings_Water_Frontend[[#This Row],[Notes]]</f>
        <v>0</v>
      </c>
    </row>
    <row r="138" spans="5:44" x14ac:dyDescent="0.3">
      <c r="E138" s="346"/>
      <c r="F138" s="364"/>
      <c r="G138" s="336"/>
      <c r="H138" s="336"/>
      <c r="I138" s="334"/>
      <c r="J138" s="336"/>
      <c r="K138" s="336"/>
      <c r="L138" s="336"/>
      <c r="M138" s="337"/>
      <c r="N138" s="242">
        <f t="shared" si="3"/>
        <v>5</v>
      </c>
      <c r="Q138" s="212" t="str">
        <f t="shared" si="2"/>
        <v/>
      </c>
      <c r="R138" s="174" t="s">
        <v>265</v>
      </c>
      <c r="S138" s="174" t="s">
        <v>273</v>
      </c>
      <c r="T138" s="174" t="e">
        <f>_xlfn.XLOOKUP(Buildings_Water_Backend[[#This Row],[Info 1]],Buildings_SiteInfo[Site name],Buildings_SiteInfo[Site type])</f>
        <v>#N/A</v>
      </c>
      <c r="U138" s="174" t="s">
        <v>327</v>
      </c>
      <c r="V138" s="174">
        <f>Buildings_Water_Frontend[[#This Row],[Type]]</f>
        <v>0</v>
      </c>
      <c r="W138" s="174" t="e" cm="1">
        <f t="array" aca="1" ref="W138" ca="1">_xlfn.XLOOKUP(Buildings_Water_Backend[[#This Row],[Level 5]],rng_Level5Long,rng_Level6Long)</f>
        <v>#N/A</v>
      </c>
      <c r="X138" s="174">
        <f>Buildings_Water_Frontend[[#This Row],[Site Name]]</f>
        <v>0</v>
      </c>
      <c r="Y138" s="174">
        <f>Buildings_Water_Frontend[[#This Row],[Meter Reference]]</f>
        <v>0</v>
      </c>
      <c r="Z138" s="220">
        <f>Buildings_Water_Frontend[[#This Row],[Methodology]]</f>
        <v>0</v>
      </c>
      <c r="AA138" s="229" t="e" cm="1">
        <f t="array" ref="AA138">INDEX(_xlfn.SWITCH(Buildings_Water_Backend[[#This Row],[Methodology]],"Tier 1",rng_RSD1,"Tier 2",rng_RSD2,"Tier 3",rng_RSD3),MATCH(_xlfn.CONCAT(Buildings_Water_Backend[[#This Row],[Level 1]:[Level 6]]),rng_LevelsConcat,0))</f>
        <v>#N/A</v>
      </c>
      <c r="AB138" s="224">
        <f>Buildings_Water_Frontend[[#This Row],[Data]]</f>
        <v>0</v>
      </c>
      <c r="AC138" s="174">
        <f>Buildings_Water_Frontend[[#This Row],[Units]]</f>
        <v>0</v>
      </c>
      <c r="AD138" s="220" t="e">
        <f>IF(Buildings_Water_Backend[[#This Row],[Units]]=Buildings_Water_Backend[[#This Row],[Standard units]],Buildings_Water_Backend[[#This Row],[Data]],Buildings_Water_Backend[[#This Row],[Data]]*_xlfn.XLOOKUP(_xlfn.CONCAT(Buildings_Water_Backend[[#This Row],[Level 1]:[Level 6]]),rng_EFConcat,rng_EFConversion))</f>
        <v>#N/A</v>
      </c>
      <c r="AE138" s="174" t="e" cm="1">
        <f t="array" ref="AE138">_xlfn.XLOOKUP(_xlfn.CONCAT(Buildings_Water_Backend[[#This Row],[Level 1]:[Level 6]]),rng_LevelsConcat,rng_UnitsLong)</f>
        <v>#N/A</v>
      </c>
      <c r="AF138" s="210" t="e">
        <f>_xlfn.XLOOKUP(_xlfn.CONCAT(Buildings_Water_Backend[[#This Row],[Level 1]:[Level 6]]),rng_EFConcat,rng_EF1)*Buildings_Water_Backend[[#This Row],[Converted data]]/1000</f>
        <v>#N/A</v>
      </c>
      <c r="AG138" s="210" t="e">
        <f>_xlfn.XLOOKUP(_xlfn.CONCAT(Buildings_Water_Backend[[#This Row],[Level 1]:[Level 6]]),rng_EFConcat,rng_EF2)*Buildings_Water_Backend[[#This Row],[Converted data]]/1000</f>
        <v>#N/A</v>
      </c>
      <c r="AH138" s="210" t="e">
        <f>_xlfn.XLOOKUP(_xlfn.CONCAT(Buildings_Water_Backend[[#This Row],[Level 1]:[Level 6]]),rng_EFConcat,rng_EF3)*Buildings_Water_Backend[[#This Row],[Converted data]]/1000</f>
        <v>#N/A</v>
      </c>
      <c r="AI138" s="210" t="e">
        <f>_xlfn.XLOOKUP(_xlfn.CONCAT(Buildings_Water_Backend[[#This Row],[Level 1]:[Level 6]]),rng_EFConcat,rng_EF3WTT)*Buildings_Water_Backend[[#This Row],[Converted data]]/1000</f>
        <v>#N/A</v>
      </c>
      <c r="AJ138" s="210" t="e">
        <f>_xlfn.XLOOKUP(_xlfn.CONCAT(Buildings_Water_Backend[[#This Row],[Level 1]:[Level 6]]),rng_EFConcat,rng_EF3TD)*Buildings_Water_Backend[[#This Row],[Converted data]]/1000</f>
        <v>#N/A</v>
      </c>
      <c r="AK138" s="210" t="e">
        <f>_xlfn.XLOOKUP(_xlfn.CONCAT(Buildings_Water_Backend[[#This Row],[Level 1]:[Level 6]]),rng_EFConcat,rng_EF3WTTTD)*Buildings_Water_Backend[[#This Row],[Converted data]]/1000</f>
        <v>#N/A</v>
      </c>
      <c r="AL138" s="220" t="e">
        <f>SUM(Buildings_Water_Backend[[#This Row],[Scope 1 (tCO2e)]:[Scope 3 WTT T&amp;D (tCO2e)]])</f>
        <v>#N/A</v>
      </c>
      <c r="AM138" s="220" t="e">
        <f>Buildings_Water_Backend[[#This Row],[Total (tCO2e)]]*(1-Buildings_Water_Backend[[#This Row],[RSD]])</f>
        <v>#N/A</v>
      </c>
      <c r="AN138" s="220" t="e">
        <f>Buildings_Water_Backend[[#This Row],[Total (tCO2e)]]*(1+Buildings_Water_Backend[[#This Row],[RSD]])</f>
        <v>#N/A</v>
      </c>
      <c r="AO138" s="210" t="e">
        <f>_xlfn.XLOOKUP(_xlfn.CONCAT(Buildings_Water_Backend[[#This Row],[Level 1]:[Level 6]]),rng_EFConcat,rng_EFOOS)*Buildings_Water_Backend[[#This Row],[Converted data]]/1000</f>
        <v>#N/A</v>
      </c>
      <c r="AP138" s="174">
        <f>Buildings_Water_Frontend[[#This Row],[Ease of collection]]</f>
        <v>0</v>
      </c>
      <c r="AQ138" s="174">
        <f>Buildings_Water_Frontend[[#This Row],[Completeness]]</f>
        <v>0</v>
      </c>
      <c r="AR138" s="174">
        <f>Buildings_Water_Frontend[[#This Row],[Notes]]</f>
        <v>0</v>
      </c>
    </row>
    <row r="139" spans="5:44" x14ac:dyDescent="0.3">
      <c r="E139" s="346"/>
      <c r="F139" s="364"/>
      <c r="G139" s="336"/>
      <c r="H139" s="336"/>
      <c r="I139" s="334"/>
      <c r="J139" s="336"/>
      <c r="K139" s="336"/>
      <c r="L139" s="336"/>
      <c r="M139" s="337"/>
      <c r="N139" s="242">
        <f t="shared" si="3"/>
        <v>5</v>
      </c>
      <c r="Q139" s="212" t="str">
        <f t="shared" si="2"/>
        <v/>
      </c>
      <c r="R139" s="174" t="s">
        <v>265</v>
      </c>
      <c r="S139" s="174" t="s">
        <v>273</v>
      </c>
      <c r="T139" s="174" t="e">
        <f>_xlfn.XLOOKUP(Buildings_Water_Backend[[#This Row],[Info 1]],Buildings_SiteInfo[Site name],Buildings_SiteInfo[Site type])</f>
        <v>#N/A</v>
      </c>
      <c r="U139" s="174" t="s">
        <v>327</v>
      </c>
      <c r="V139" s="174">
        <f>Buildings_Water_Frontend[[#This Row],[Type]]</f>
        <v>0</v>
      </c>
      <c r="W139" s="174" t="e" cm="1">
        <f t="array" aca="1" ref="W139" ca="1">_xlfn.XLOOKUP(Buildings_Water_Backend[[#This Row],[Level 5]],rng_Level5Long,rng_Level6Long)</f>
        <v>#N/A</v>
      </c>
      <c r="X139" s="174">
        <f>Buildings_Water_Frontend[[#This Row],[Site Name]]</f>
        <v>0</v>
      </c>
      <c r="Y139" s="174">
        <f>Buildings_Water_Frontend[[#This Row],[Meter Reference]]</f>
        <v>0</v>
      </c>
      <c r="Z139" s="220">
        <f>Buildings_Water_Frontend[[#This Row],[Methodology]]</f>
        <v>0</v>
      </c>
      <c r="AA139" s="229" t="e" cm="1">
        <f t="array" ref="AA139">INDEX(_xlfn.SWITCH(Buildings_Water_Backend[[#This Row],[Methodology]],"Tier 1",rng_RSD1,"Tier 2",rng_RSD2,"Tier 3",rng_RSD3),MATCH(_xlfn.CONCAT(Buildings_Water_Backend[[#This Row],[Level 1]:[Level 6]]),rng_LevelsConcat,0))</f>
        <v>#N/A</v>
      </c>
      <c r="AB139" s="224">
        <f>Buildings_Water_Frontend[[#This Row],[Data]]</f>
        <v>0</v>
      </c>
      <c r="AC139" s="174">
        <f>Buildings_Water_Frontend[[#This Row],[Units]]</f>
        <v>0</v>
      </c>
      <c r="AD139" s="220" t="e">
        <f>IF(Buildings_Water_Backend[[#This Row],[Units]]=Buildings_Water_Backend[[#This Row],[Standard units]],Buildings_Water_Backend[[#This Row],[Data]],Buildings_Water_Backend[[#This Row],[Data]]*_xlfn.XLOOKUP(_xlfn.CONCAT(Buildings_Water_Backend[[#This Row],[Level 1]:[Level 6]]),rng_EFConcat,rng_EFConversion))</f>
        <v>#N/A</v>
      </c>
      <c r="AE139" s="174" t="e" cm="1">
        <f t="array" ref="AE139">_xlfn.XLOOKUP(_xlfn.CONCAT(Buildings_Water_Backend[[#This Row],[Level 1]:[Level 6]]),rng_LevelsConcat,rng_UnitsLong)</f>
        <v>#N/A</v>
      </c>
      <c r="AF139" s="210" t="e">
        <f>_xlfn.XLOOKUP(_xlfn.CONCAT(Buildings_Water_Backend[[#This Row],[Level 1]:[Level 6]]),rng_EFConcat,rng_EF1)*Buildings_Water_Backend[[#This Row],[Converted data]]/1000</f>
        <v>#N/A</v>
      </c>
      <c r="AG139" s="210" t="e">
        <f>_xlfn.XLOOKUP(_xlfn.CONCAT(Buildings_Water_Backend[[#This Row],[Level 1]:[Level 6]]),rng_EFConcat,rng_EF2)*Buildings_Water_Backend[[#This Row],[Converted data]]/1000</f>
        <v>#N/A</v>
      </c>
      <c r="AH139" s="210" t="e">
        <f>_xlfn.XLOOKUP(_xlfn.CONCAT(Buildings_Water_Backend[[#This Row],[Level 1]:[Level 6]]),rng_EFConcat,rng_EF3)*Buildings_Water_Backend[[#This Row],[Converted data]]/1000</f>
        <v>#N/A</v>
      </c>
      <c r="AI139" s="210" t="e">
        <f>_xlfn.XLOOKUP(_xlfn.CONCAT(Buildings_Water_Backend[[#This Row],[Level 1]:[Level 6]]),rng_EFConcat,rng_EF3WTT)*Buildings_Water_Backend[[#This Row],[Converted data]]/1000</f>
        <v>#N/A</v>
      </c>
      <c r="AJ139" s="210" t="e">
        <f>_xlfn.XLOOKUP(_xlfn.CONCAT(Buildings_Water_Backend[[#This Row],[Level 1]:[Level 6]]),rng_EFConcat,rng_EF3TD)*Buildings_Water_Backend[[#This Row],[Converted data]]/1000</f>
        <v>#N/A</v>
      </c>
      <c r="AK139" s="210" t="e">
        <f>_xlfn.XLOOKUP(_xlfn.CONCAT(Buildings_Water_Backend[[#This Row],[Level 1]:[Level 6]]),rng_EFConcat,rng_EF3WTTTD)*Buildings_Water_Backend[[#This Row],[Converted data]]/1000</f>
        <v>#N/A</v>
      </c>
      <c r="AL139" s="220" t="e">
        <f>SUM(Buildings_Water_Backend[[#This Row],[Scope 1 (tCO2e)]:[Scope 3 WTT T&amp;D (tCO2e)]])</f>
        <v>#N/A</v>
      </c>
      <c r="AM139" s="220" t="e">
        <f>Buildings_Water_Backend[[#This Row],[Total (tCO2e)]]*(1-Buildings_Water_Backend[[#This Row],[RSD]])</f>
        <v>#N/A</v>
      </c>
      <c r="AN139" s="220" t="e">
        <f>Buildings_Water_Backend[[#This Row],[Total (tCO2e)]]*(1+Buildings_Water_Backend[[#This Row],[RSD]])</f>
        <v>#N/A</v>
      </c>
      <c r="AO139" s="210" t="e">
        <f>_xlfn.XLOOKUP(_xlfn.CONCAT(Buildings_Water_Backend[[#This Row],[Level 1]:[Level 6]]),rng_EFConcat,rng_EFOOS)*Buildings_Water_Backend[[#This Row],[Converted data]]/1000</f>
        <v>#N/A</v>
      </c>
      <c r="AP139" s="174">
        <f>Buildings_Water_Frontend[[#This Row],[Ease of collection]]</f>
        <v>0</v>
      </c>
      <c r="AQ139" s="174">
        <f>Buildings_Water_Frontend[[#This Row],[Completeness]]</f>
        <v>0</v>
      </c>
      <c r="AR139" s="174">
        <f>Buildings_Water_Frontend[[#This Row],[Notes]]</f>
        <v>0</v>
      </c>
    </row>
    <row r="140" spans="5:44" x14ac:dyDescent="0.3">
      <c r="E140" s="346"/>
      <c r="F140" s="364"/>
      <c r="G140" s="336"/>
      <c r="H140" s="336"/>
      <c r="I140" s="334"/>
      <c r="J140" s="336"/>
      <c r="K140" s="336"/>
      <c r="L140" s="336"/>
      <c r="M140" s="337"/>
      <c r="N140" s="242">
        <f t="shared" si="3"/>
        <v>5</v>
      </c>
      <c r="Q140" s="212" t="str">
        <f t="shared" si="2"/>
        <v/>
      </c>
      <c r="R140" s="174" t="s">
        <v>265</v>
      </c>
      <c r="S140" s="174" t="s">
        <v>273</v>
      </c>
      <c r="T140" s="174" t="e">
        <f>_xlfn.XLOOKUP(Buildings_Water_Backend[[#This Row],[Info 1]],Buildings_SiteInfo[Site name],Buildings_SiteInfo[Site type])</f>
        <v>#N/A</v>
      </c>
      <c r="U140" s="174" t="s">
        <v>327</v>
      </c>
      <c r="V140" s="174">
        <f>Buildings_Water_Frontend[[#This Row],[Type]]</f>
        <v>0</v>
      </c>
      <c r="W140" s="174" t="e" cm="1">
        <f t="array" aca="1" ref="W140" ca="1">_xlfn.XLOOKUP(Buildings_Water_Backend[[#This Row],[Level 5]],rng_Level5Long,rng_Level6Long)</f>
        <v>#N/A</v>
      </c>
      <c r="X140" s="174">
        <f>Buildings_Water_Frontend[[#This Row],[Site Name]]</f>
        <v>0</v>
      </c>
      <c r="Y140" s="174">
        <f>Buildings_Water_Frontend[[#This Row],[Meter Reference]]</f>
        <v>0</v>
      </c>
      <c r="Z140" s="220">
        <f>Buildings_Water_Frontend[[#This Row],[Methodology]]</f>
        <v>0</v>
      </c>
      <c r="AA140" s="229" t="e" cm="1">
        <f t="array" ref="AA140">INDEX(_xlfn.SWITCH(Buildings_Water_Backend[[#This Row],[Methodology]],"Tier 1",rng_RSD1,"Tier 2",rng_RSD2,"Tier 3",rng_RSD3),MATCH(_xlfn.CONCAT(Buildings_Water_Backend[[#This Row],[Level 1]:[Level 6]]),rng_LevelsConcat,0))</f>
        <v>#N/A</v>
      </c>
      <c r="AB140" s="224">
        <f>Buildings_Water_Frontend[[#This Row],[Data]]</f>
        <v>0</v>
      </c>
      <c r="AC140" s="174">
        <f>Buildings_Water_Frontend[[#This Row],[Units]]</f>
        <v>0</v>
      </c>
      <c r="AD140" s="220" t="e">
        <f>IF(Buildings_Water_Backend[[#This Row],[Units]]=Buildings_Water_Backend[[#This Row],[Standard units]],Buildings_Water_Backend[[#This Row],[Data]],Buildings_Water_Backend[[#This Row],[Data]]*_xlfn.XLOOKUP(_xlfn.CONCAT(Buildings_Water_Backend[[#This Row],[Level 1]:[Level 6]]),rng_EFConcat,rng_EFConversion))</f>
        <v>#N/A</v>
      </c>
      <c r="AE140" s="174" t="e" cm="1">
        <f t="array" ref="AE140">_xlfn.XLOOKUP(_xlfn.CONCAT(Buildings_Water_Backend[[#This Row],[Level 1]:[Level 6]]),rng_LevelsConcat,rng_UnitsLong)</f>
        <v>#N/A</v>
      </c>
      <c r="AF140" s="210" t="e">
        <f>_xlfn.XLOOKUP(_xlfn.CONCAT(Buildings_Water_Backend[[#This Row],[Level 1]:[Level 6]]),rng_EFConcat,rng_EF1)*Buildings_Water_Backend[[#This Row],[Converted data]]/1000</f>
        <v>#N/A</v>
      </c>
      <c r="AG140" s="210" t="e">
        <f>_xlfn.XLOOKUP(_xlfn.CONCAT(Buildings_Water_Backend[[#This Row],[Level 1]:[Level 6]]),rng_EFConcat,rng_EF2)*Buildings_Water_Backend[[#This Row],[Converted data]]/1000</f>
        <v>#N/A</v>
      </c>
      <c r="AH140" s="210" t="e">
        <f>_xlfn.XLOOKUP(_xlfn.CONCAT(Buildings_Water_Backend[[#This Row],[Level 1]:[Level 6]]),rng_EFConcat,rng_EF3)*Buildings_Water_Backend[[#This Row],[Converted data]]/1000</f>
        <v>#N/A</v>
      </c>
      <c r="AI140" s="210" t="e">
        <f>_xlfn.XLOOKUP(_xlfn.CONCAT(Buildings_Water_Backend[[#This Row],[Level 1]:[Level 6]]),rng_EFConcat,rng_EF3WTT)*Buildings_Water_Backend[[#This Row],[Converted data]]/1000</f>
        <v>#N/A</v>
      </c>
      <c r="AJ140" s="210" t="e">
        <f>_xlfn.XLOOKUP(_xlfn.CONCAT(Buildings_Water_Backend[[#This Row],[Level 1]:[Level 6]]),rng_EFConcat,rng_EF3TD)*Buildings_Water_Backend[[#This Row],[Converted data]]/1000</f>
        <v>#N/A</v>
      </c>
      <c r="AK140" s="210" t="e">
        <f>_xlfn.XLOOKUP(_xlfn.CONCAT(Buildings_Water_Backend[[#This Row],[Level 1]:[Level 6]]),rng_EFConcat,rng_EF3WTTTD)*Buildings_Water_Backend[[#This Row],[Converted data]]/1000</f>
        <v>#N/A</v>
      </c>
      <c r="AL140" s="220" t="e">
        <f>SUM(Buildings_Water_Backend[[#This Row],[Scope 1 (tCO2e)]:[Scope 3 WTT T&amp;D (tCO2e)]])</f>
        <v>#N/A</v>
      </c>
      <c r="AM140" s="220" t="e">
        <f>Buildings_Water_Backend[[#This Row],[Total (tCO2e)]]*(1-Buildings_Water_Backend[[#This Row],[RSD]])</f>
        <v>#N/A</v>
      </c>
      <c r="AN140" s="220" t="e">
        <f>Buildings_Water_Backend[[#This Row],[Total (tCO2e)]]*(1+Buildings_Water_Backend[[#This Row],[RSD]])</f>
        <v>#N/A</v>
      </c>
      <c r="AO140" s="210" t="e">
        <f>_xlfn.XLOOKUP(_xlfn.CONCAT(Buildings_Water_Backend[[#This Row],[Level 1]:[Level 6]]),rng_EFConcat,rng_EFOOS)*Buildings_Water_Backend[[#This Row],[Converted data]]/1000</f>
        <v>#N/A</v>
      </c>
      <c r="AP140" s="174">
        <f>Buildings_Water_Frontend[[#This Row],[Ease of collection]]</f>
        <v>0</v>
      </c>
      <c r="AQ140" s="174">
        <f>Buildings_Water_Frontend[[#This Row],[Completeness]]</f>
        <v>0</v>
      </c>
      <c r="AR140" s="174">
        <f>Buildings_Water_Frontend[[#This Row],[Notes]]</f>
        <v>0</v>
      </c>
    </row>
    <row r="141" spans="5:44" x14ac:dyDescent="0.3">
      <c r="E141" s="346"/>
      <c r="F141" s="364"/>
      <c r="G141" s="336"/>
      <c r="H141" s="336"/>
      <c r="I141" s="334"/>
      <c r="J141" s="336"/>
      <c r="K141" s="336"/>
      <c r="L141" s="336"/>
      <c r="M141" s="337"/>
      <c r="N141" s="242">
        <f t="shared" si="3"/>
        <v>5</v>
      </c>
      <c r="Q141" s="212" t="str">
        <f t="shared" si="2"/>
        <v/>
      </c>
      <c r="R141" s="174" t="s">
        <v>265</v>
      </c>
      <c r="S141" s="174" t="s">
        <v>273</v>
      </c>
      <c r="T141" s="174" t="e">
        <f>_xlfn.XLOOKUP(Buildings_Water_Backend[[#This Row],[Info 1]],Buildings_SiteInfo[Site name],Buildings_SiteInfo[Site type])</f>
        <v>#N/A</v>
      </c>
      <c r="U141" s="174" t="s">
        <v>327</v>
      </c>
      <c r="V141" s="174">
        <f>Buildings_Water_Frontend[[#This Row],[Type]]</f>
        <v>0</v>
      </c>
      <c r="W141" s="174" t="e" cm="1">
        <f t="array" aca="1" ref="W141" ca="1">_xlfn.XLOOKUP(Buildings_Water_Backend[[#This Row],[Level 5]],rng_Level5Long,rng_Level6Long)</f>
        <v>#N/A</v>
      </c>
      <c r="X141" s="174">
        <f>Buildings_Water_Frontend[[#This Row],[Site Name]]</f>
        <v>0</v>
      </c>
      <c r="Y141" s="174">
        <f>Buildings_Water_Frontend[[#This Row],[Meter Reference]]</f>
        <v>0</v>
      </c>
      <c r="Z141" s="220">
        <f>Buildings_Water_Frontend[[#This Row],[Methodology]]</f>
        <v>0</v>
      </c>
      <c r="AA141" s="229" t="e" cm="1">
        <f t="array" ref="AA141">INDEX(_xlfn.SWITCH(Buildings_Water_Backend[[#This Row],[Methodology]],"Tier 1",rng_RSD1,"Tier 2",rng_RSD2,"Tier 3",rng_RSD3),MATCH(_xlfn.CONCAT(Buildings_Water_Backend[[#This Row],[Level 1]:[Level 6]]),rng_LevelsConcat,0))</f>
        <v>#N/A</v>
      </c>
      <c r="AB141" s="224">
        <f>Buildings_Water_Frontend[[#This Row],[Data]]</f>
        <v>0</v>
      </c>
      <c r="AC141" s="174">
        <f>Buildings_Water_Frontend[[#This Row],[Units]]</f>
        <v>0</v>
      </c>
      <c r="AD141" s="220" t="e">
        <f>IF(Buildings_Water_Backend[[#This Row],[Units]]=Buildings_Water_Backend[[#This Row],[Standard units]],Buildings_Water_Backend[[#This Row],[Data]],Buildings_Water_Backend[[#This Row],[Data]]*_xlfn.XLOOKUP(_xlfn.CONCAT(Buildings_Water_Backend[[#This Row],[Level 1]:[Level 6]]),rng_EFConcat,rng_EFConversion))</f>
        <v>#N/A</v>
      </c>
      <c r="AE141" s="174" t="e" cm="1">
        <f t="array" ref="AE141">_xlfn.XLOOKUP(_xlfn.CONCAT(Buildings_Water_Backend[[#This Row],[Level 1]:[Level 6]]),rng_LevelsConcat,rng_UnitsLong)</f>
        <v>#N/A</v>
      </c>
      <c r="AF141" s="210" t="e">
        <f>_xlfn.XLOOKUP(_xlfn.CONCAT(Buildings_Water_Backend[[#This Row],[Level 1]:[Level 6]]),rng_EFConcat,rng_EF1)*Buildings_Water_Backend[[#This Row],[Converted data]]/1000</f>
        <v>#N/A</v>
      </c>
      <c r="AG141" s="210" t="e">
        <f>_xlfn.XLOOKUP(_xlfn.CONCAT(Buildings_Water_Backend[[#This Row],[Level 1]:[Level 6]]),rng_EFConcat,rng_EF2)*Buildings_Water_Backend[[#This Row],[Converted data]]/1000</f>
        <v>#N/A</v>
      </c>
      <c r="AH141" s="210" t="e">
        <f>_xlfn.XLOOKUP(_xlfn.CONCAT(Buildings_Water_Backend[[#This Row],[Level 1]:[Level 6]]),rng_EFConcat,rng_EF3)*Buildings_Water_Backend[[#This Row],[Converted data]]/1000</f>
        <v>#N/A</v>
      </c>
      <c r="AI141" s="210" t="e">
        <f>_xlfn.XLOOKUP(_xlfn.CONCAT(Buildings_Water_Backend[[#This Row],[Level 1]:[Level 6]]),rng_EFConcat,rng_EF3WTT)*Buildings_Water_Backend[[#This Row],[Converted data]]/1000</f>
        <v>#N/A</v>
      </c>
      <c r="AJ141" s="210" t="e">
        <f>_xlfn.XLOOKUP(_xlfn.CONCAT(Buildings_Water_Backend[[#This Row],[Level 1]:[Level 6]]),rng_EFConcat,rng_EF3TD)*Buildings_Water_Backend[[#This Row],[Converted data]]/1000</f>
        <v>#N/A</v>
      </c>
      <c r="AK141" s="210" t="e">
        <f>_xlfn.XLOOKUP(_xlfn.CONCAT(Buildings_Water_Backend[[#This Row],[Level 1]:[Level 6]]),rng_EFConcat,rng_EF3WTTTD)*Buildings_Water_Backend[[#This Row],[Converted data]]/1000</f>
        <v>#N/A</v>
      </c>
      <c r="AL141" s="220" t="e">
        <f>SUM(Buildings_Water_Backend[[#This Row],[Scope 1 (tCO2e)]:[Scope 3 WTT T&amp;D (tCO2e)]])</f>
        <v>#N/A</v>
      </c>
      <c r="AM141" s="220" t="e">
        <f>Buildings_Water_Backend[[#This Row],[Total (tCO2e)]]*(1-Buildings_Water_Backend[[#This Row],[RSD]])</f>
        <v>#N/A</v>
      </c>
      <c r="AN141" s="220" t="e">
        <f>Buildings_Water_Backend[[#This Row],[Total (tCO2e)]]*(1+Buildings_Water_Backend[[#This Row],[RSD]])</f>
        <v>#N/A</v>
      </c>
      <c r="AO141" s="210" t="e">
        <f>_xlfn.XLOOKUP(_xlfn.CONCAT(Buildings_Water_Backend[[#This Row],[Level 1]:[Level 6]]),rng_EFConcat,rng_EFOOS)*Buildings_Water_Backend[[#This Row],[Converted data]]/1000</f>
        <v>#N/A</v>
      </c>
      <c r="AP141" s="174">
        <f>Buildings_Water_Frontend[[#This Row],[Ease of collection]]</f>
        <v>0</v>
      </c>
      <c r="AQ141" s="174">
        <f>Buildings_Water_Frontend[[#This Row],[Completeness]]</f>
        <v>0</v>
      </c>
      <c r="AR141" s="174">
        <f>Buildings_Water_Frontend[[#This Row],[Notes]]</f>
        <v>0</v>
      </c>
    </row>
    <row r="142" spans="5:44" x14ac:dyDescent="0.3">
      <c r="E142" s="346"/>
      <c r="F142" s="364"/>
      <c r="G142" s="336"/>
      <c r="H142" s="336"/>
      <c r="I142" s="334"/>
      <c r="J142" s="336"/>
      <c r="K142" s="336"/>
      <c r="L142" s="336"/>
      <c r="M142" s="337"/>
      <c r="N142" s="242">
        <f t="shared" si="3"/>
        <v>5</v>
      </c>
      <c r="Q142" s="212" t="str">
        <f t="shared" si="2"/>
        <v/>
      </c>
      <c r="R142" s="174" t="s">
        <v>265</v>
      </c>
      <c r="S142" s="174" t="s">
        <v>273</v>
      </c>
      <c r="T142" s="174" t="e">
        <f>_xlfn.XLOOKUP(Buildings_Water_Backend[[#This Row],[Info 1]],Buildings_SiteInfo[Site name],Buildings_SiteInfo[Site type])</f>
        <v>#N/A</v>
      </c>
      <c r="U142" s="174" t="s">
        <v>327</v>
      </c>
      <c r="V142" s="174">
        <f>Buildings_Water_Frontend[[#This Row],[Type]]</f>
        <v>0</v>
      </c>
      <c r="W142" s="174" t="e" cm="1">
        <f t="array" aca="1" ref="W142" ca="1">_xlfn.XLOOKUP(Buildings_Water_Backend[[#This Row],[Level 5]],rng_Level5Long,rng_Level6Long)</f>
        <v>#N/A</v>
      </c>
      <c r="X142" s="174">
        <f>Buildings_Water_Frontend[[#This Row],[Site Name]]</f>
        <v>0</v>
      </c>
      <c r="Y142" s="174">
        <f>Buildings_Water_Frontend[[#This Row],[Meter Reference]]</f>
        <v>0</v>
      </c>
      <c r="Z142" s="220">
        <f>Buildings_Water_Frontend[[#This Row],[Methodology]]</f>
        <v>0</v>
      </c>
      <c r="AA142" s="229" t="e" cm="1">
        <f t="array" ref="AA142">INDEX(_xlfn.SWITCH(Buildings_Water_Backend[[#This Row],[Methodology]],"Tier 1",rng_RSD1,"Tier 2",rng_RSD2,"Tier 3",rng_RSD3),MATCH(_xlfn.CONCAT(Buildings_Water_Backend[[#This Row],[Level 1]:[Level 6]]),rng_LevelsConcat,0))</f>
        <v>#N/A</v>
      </c>
      <c r="AB142" s="224">
        <f>Buildings_Water_Frontend[[#This Row],[Data]]</f>
        <v>0</v>
      </c>
      <c r="AC142" s="174">
        <f>Buildings_Water_Frontend[[#This Row],[Units]]</f>
        <v>0</v>
      </c>
      <c r="AD142" s="220" t="e">
        <f>IF(Buildings_Water_Backend[[#This Row],[Units]]=Buildings_Water_Backend[[#This Row],[Standard units]],Buildings_Water_Backend[[#This Row],[Data]],Buildings_Water_Backend[[#This Row],[Data]]*_xlfn.XLOOKUP(_xlfn.CONCAT(Buildings_Water_Backend[[#This Row],[Level 1]:[Level 6]]),rng_EFConcat,rng_EFConversion))</f>
        <v>#N/A</v>
      </c>
      <c r="AE142" s="174" t="e" cm="1">
        <f t="array" ref="AE142">_xlfn.XLOOKUP(_xlfn.CONCAT(Buildings_Water_Backend[[#This Row],[Level 1]:[Level 6]]),rng_LevelsConcat,rng_UnitsLong)</f>
        <v>#N/A</v>
      </c>
      <c r="AF142" s="210" t="e">
        <f>_xlfn.XLOOKUP(_xlfn.CONCAT(Buildings_Water_Backend[[#This Row],[Level 1]:[Level 6]]),rng_EFConcat,rng_EF1)*Buildings_Water_Backend[[#This Row],[Converted data]]/1000</f>
        <v>#N/A</v>
      </c>
      <c r="AG142" s="210" t="e">
        <f>_xlfn.XLOOKUP(_xlfn.CONCAT(Buildings_Water_Backend[[#This Row],[Level 1]:[Level 6]]),rng_EFConcat,rng_EF2)*Buildings_Water_Backend[[#This Row],[Converted data]]/1000</f>
        <v>#N/A</v>
      </c>
      <c r="AH142" s="210" t="e">
        <f>_xlfn.XLOOKUP(_xlfn.CONCAT(Buildings_Water_Backend[[#This Row],[Level 1]:[Level 6]]),rng_EFConcat,rng_EF3)*Buildings_Water_Backend[[#This Row],[Converted data]]/1000</f>
        <v>#N/A</v>
      </c>
      <c r="AI142" s="210" t="e">
        <f>_xlfn.XLOOKUP(_xlfn.CONCAT(Buildings_Water_Backend[[#This Row],[Level 1]:[Level 6]]),rng_EFConcat,rng_EF3WTT)*Buildings_Water_Backend[[#This Row],[Converted data]]/1000</f>
        <v>#N/A</v>
      </c>
      <c r="AJ142" s="210" t="e">
        <f>_xlfn.XLOOKUP(_xlfn.CONCAT(Buildings_Water_Backend[[#This Row],[Level 1]:[Level 6]]),rng_EFConcat,rng_EF3TD)*Buildings_Water_Backend[[#This Row],[Converted data]]/1000</f>
        <v>#N/A</v>
      </c>
      <c r="AK142" s="210" t="e">
        <f>_xlfn.XLOOKUP(_xlfn.CONCAT(Buildings_Water_Backend[[#This Row],[Level 1]:[Level 6]]),rng_EFConcat,rng_EF3WTTTD)*Buildings_Water_Backend[[#This Row],[Converted data]]/1000</f>
        <v>#N/A</v>
      </c>
      <c r="AL142" s="220" t="e">
        <f>SUM(Buildings_Water_Backend[[#This Row],[Scope 1 (tCO2e)]:[Scope 3 WTT T&amp;D (tCO2e)]])</f>
        <v>#N/A</v>
      </c>
      <c r="AM142" s="220" t="e">
        <f>Buildings_Water_Backend[[#This Row],[Total (tCO2e)]]*(1-Buildings_Water_Backend[[#This Row],[RSD]])</f>
        <v>#N/A</v>
      </c>
      <c r="AN142" s="220" t="e">
        <f>Buildings_Water_Backend[[#This Row],[Total (tCO2e)]]*(1+Buildings_Water_Backend[[#This Row],[RSD]])</f>
        <v>#N/A</v>
      </c>
      <c r="AO142" s="210" t="e">
        <f>_xlfn.XLOOKUP(_xlfn.CONCAT(Buildings_Water_Backend[[#This Row],[Level 1]:[Level 6]]),rng_EFConcat,rng_EFOOS)*Buildings_Water_Backend[[#This Row],[Converted data]]/1000</f>
        <v>#N/A</v>
      </c>
      <c r="AP142" s="174">
        <f>Buildings_Water_Frontend[[#This Row],[Ease of collection]]</f>
        <v>0</v>
      </c>
      <c r="AQ142" s="174">
        <f>Buildings_Water_Frontend[[#This Row],[Completeness]]</f>
        <v>0</v>
      </c>
      <c r="AR142" s="174">
        <f>Buildings_Water_Frontend[[#This Row],[Notes]]</f>
        <v>0</v>
      </c>
    </row>
    <row r="143" spans="5:44" x14ac:dyDescent="0.3">
      <c r="E143" s="346"/>
      <c r="F143" s="364"/>
      <c r="G143" s="336"/>
      <c r="H143" s="336"/>
      <c r="I143" s="334"/>
      <c r="J143" s="336"/>
      <c r="K143" s="336"/>
      <c r="L143" s="336"/>
      <c r="M143" s="337"/>
      <c r="N143" s="242">
        <f t="shared" si="3"/>
        <v>5</v>
      </c>
      <c r="Q143" s="212" t="str">
        <f t="shared" ref="Q143:Q206" si="4">IF(N143=0,SUBSTITUTE(2025&amp;TRIM(cl_org_name_select)&amp;TRIM($E$12)&amp;(ROW(N143)-ROW($N$15))," ",""),"")</f>
        <v/>
      </c>
      <c r="R143" s="174" t="s">
        <v>265</v>
      </c>
      <c r="S143" s="174" t="s">
        <v>273</v>
      </c>
      <c r="T143" s="174" t="e">
        <f>_xlfn.XLOOKUP(Buildings_Water_Backend[[#This Row],[Info 1]],Buildings_SiteInfo[Site name],Buildings_SiteInfo[Site type])</f>
        <v>#N/A</v>
      </c>
      <c r="U143" s="174" t="s">
        <v>327</v>
      </c>
      <c r="V143" s="174">
        <f>Buildings_Water_Frontend[[#This Row],[Type]]</f>
        <v>0</v>
      </c>
      <c r="W143" s="174" t="e" cm="1">
        <f t="array" aca="1" ref="W143" ca="1">_xlfn.XLOOKUP(Buildings_Water_Backend[[#This Row],[Level 5]],rng_Level5Long,rng_Level6Long)</f>
        <v>#N/A</v>
      </c>
      <c r="X143" s="174">
        <f>Buildings_Water_Frontend[[#This Row],[Site Name]]</f>
        <v>0</v>
      </c>
      <c r="Y143" s="174">
        <f>Buildings_Water_Frontend[[#This Row],[Meter Reference]]</f>
        <v>0</v>
      </c>
      <c r="Z143" s="220">
        <f>Buildings_Water_Frontend[[#This Row],[Methodology]]</f>
        <v>0</v>
      </c>
      <c r="AA143" s="229" t="e" cm="1">
        <f t="array" ref="AA143">INDEX(_xlfn.SWITCH(Buildings_Water_Backend[[#This Row],[Methodology]],"Tier 1",rng_RSD1,"Tier 2",rng_RSD2,"Tier 3",rng_RSD3),MATCH(_xlfn.CONCAT(Buildings_Water_Backend[[#This Row],[Level 1]:[Level 6]]),rng_LevelsConcat,0))</f>
        <v>#N/A</v>
      </c>
      <c r="AB143" s="224">
        <f>Buildings_Water_Frontend[[#This Row],[Data]]</f>
        <v>0</v>
      </c>
      <c r="AC143" s="174">
        <f>Buildings_Water_Frontend[[#This Row],[Units]]</f>
        <v>0</v>
      </c>
      <c r="AD143" s="220" t="e">
        <f>IF(Buildings_Water_Backend[[#This Row],[Units]]=Buildings_Water_Backend[[#This Row],[Standard units]],Buildings_Water_Backend[[#This Row],[Data]],Buildings_Water_Backend[[#This Row],[Data]]*_xlfn.XLOOKUP(_xlfn.CONCAT(Buildings_Water_Backend[[#This Row],[Level 1]:[Level 6]]),rng_EFConcat,rng_EFConversion))</f>
        <v>#N/A</v>
      </c>
      <c r="AE143" s="174" t="e" cm="1">
        <f t="array" ref="AE143">_xlfn.XLOOKUP(_xlfn.CONCAT(Buildings_Water_Backend[[#This Row],[Level 1]:[Level 6]]),rng_LevelsConcat,rng_UnitsLong)</f>
        <v>#N/A</v>
      </c>
      <c r="AF143" s="210" t="e">
        <f>_xlfn.XLOOKUP(_xlfn.CONCAT(Buildings_Water_Backend[[#This Row],[Level 1]:[Level 6]]),rng_EFConcat,rng_EF1)*Buildings_Water_Backend[[#This Row],[Converted data]]/1000</f>
        <v>#N/A</v>
      </c>
      <c r="AG143" s="210" t="e">
        <f>_xlfn.XLOOKUP(_xlfn.CONCAT(Buildings_Water_Backend[[#This Row],[Level 1]:[Level 6]]),rng_EFConcat,rng_EF2)*Buildings_Water_Backend[[#This Row],[Converted data]]/1000</f>
        <v>#N/A</v>
      </c>
      <c r="AH143" s="210" t="e">
        <f>_xlfn.XLOOKUP(_xlfn.CONCAT(Buildings_Water_Backend[[#This Row],[Level 1]:[Level 6]]),rng_EFConcat,rng_EF3)*Buildings_Water_Backend[[#This Row],[Converted data]]/1000</f>
        <v>#N/A</v>
      </c>
      <c r="AI143" s="210" t="e">
        <f>_xlfn.XLOOKUP(_xlfn.CONCAT(Buildings_Water_Backend[[#This Row],[Level 1]:[Level 6]]),rng_EFConcat,rng_EF3WTT)*Buildings_Water_Backend[[#This Row],[Converted data]]/1000</f>
        <v>#N/A</v>
      </c>
      <c r="AJ143" s="210" t="e">
        <f>_xlfn.XLOOKUP(_xlfn.CONCAT(Buildings_Water_Backend[[#This Row],[Level 1]:[Level 6]]),rng_EFConcat,rng_EF3TD)*Buildings_Water_Backend[[#This Row],[Converted data]]/1000</f>
        <v>#N/A</v>
      </c>
      <c r="AK143" s="210" t="e">
        <f>_xlfn.XLOOKUP(_xlfn.CONCAT(Buildings_Water_Backend[[#This Row],[Level 1]:[Level 6]]),rng_EFConcat,rng_EF3WTTTD)*Buildings_Water_Backend[[#This Row],[Converted data]]/1000</f>
        <v>#N/A</v>
      </c>
      <c r="AL143" s="220" t="e">
        <f>SUM(Buildings_Water_Backend[[#This Row],[Scope 1 (tCO2e)]:[Scope 3 WTT T&amp;D (tCO2e)]])</f>
        <v>#N/A</v>
      </c>
      <c r="AM143" s="220" t="e">
        <f>Buildings_Water_Backend[[#This Row],[Total (tCO2e)]]*(1-Buildings_Water_Backend[[#This Row],[RSD]])</f>
        <v>#N/A</v>
      </c>
      <c r="AN143" s="220" t="e">
        <f>Buildings_Water_Backend[[#This Row],[Total (tCO2e)]]*(1+Buildings_Water_Backend[[#This Row],[RSD]])</f>
        <v>#N/A</v>
      </c>
      <c r="AO143" s="210" t="e">
        <f>_xlfn.XLOOKUP(_xlfn.CONCAT(Buildings_Water_Backend[[#This Row],[Level 1]:[Level 6]]),rng_EFConcat,rng_EFOOS)*Buildings_Water_Backend[[#This Row],[Converted data]]/1000</f>
        <v>#N/A</v>
      </c>
      <c r="AP143" s="174">
        <f>Buildings_Water_Frontend[[#This Row],[Ease of collection]]</f>
        <v>0</v>
      </c>
      <c r="AQ143" s="174">
        <f>Buildings_Water_Frontend[[#This Row],[Completeness]]</f>
        <v>0</v>
      </c>
      <c r="AR143" s="174">
        <f>Buildings_Water_Frontend[[#This Row],[Notes]]</f>
        <v>0</v>
      </c>
    </row>
    <row r="144" spans="5:44" x14ac:dyDescent="0.3">
      <c r="E144" s="346"/>
      <c r="F144" s="364"/>
      <c r="G144" s="336"/>
      <c r="H144" s="336"/>
      <c r="I144" s="334"/>
      <c r="J144" s="336"/>
      <c r="K144" s="336"/>
      <c r="L144" s="336"/>
      <c r="M144" s="337"/>
      <c r="N144" s="242">
        <f t="shared" ref="N144:N207" si="5">ISBLANK(E144)+ISBLANK(G144)+ISBLANK(H144)+ISBLANK(I144)+ISBLANK(J144)</f>
        <v>5</v>
      </c>
      <c r="Q144" s="212" t="str">
        <f t="shared" si="4"/>
        <v/>
      </c>
      <c r="R144" s="174" t="s">
        <v>265</v>
      </c>
      <c r="S144" s="174" t="s">
        <v>273</v>
      </c>
      <c r="T144" s="174" t="e">
        <f>_xlfn.XLOOKUP(Buildings_Water_Backend[[#This Row],[Info 1]],Buildings_SiteInfo[Site name],Buildings_SiteInfo[Site type])</f>
        <v>#N/A</v>
      </c>
      <c r="U144" s="174" t="s">
        <v>327</v>
      </c>
      <c r="V144" s="174">
        <f>Buildings_Water_Frontend[[#This Row],[Type]]</f>
        <v>0</v>
      </c>
      <c r="W144" s="174" t="e" cm="1">
        <f t="array" aca="1" ref="W144" ca="1">_xlfn.XLOOKUP(Buildings_Water_Backend[[#This Row],[Level 5]],rng_Level5Long,rng_Level6Long)</f>
        <v>#N/A</v>
      </c>
      <c r="X144" s="174">
        <f>Buildings_Water_Frontend[[#This Row],[Site Name]]</f>
        <v>0</v>
      </c>
      <c r="Y144" s="174">
        <f>Buildings_Water_Frontend[[#This Row],[Meter Reference]]</f>
        <v>0</v>
      </c>
      <c r="Z144" s="220">
        <f>Buildings_Water_Frontend[[#This Row],[Methodology]]</f>
        <v>0</v>
      </c>
      <c r="AA144" s="229" t="e" cm="1">
        <f t="array" ref="AA144">INDEX(_xlfn.SWITCH(Buildings_Water_Backend[[#This Row],[Methodology]],"Tier 1",rng_RSD1,"Tier 2",rng_RSD2,"Tier 3",rng_RSD3),MATCH(_xlfn.CONCAT(Buildings_Water_Backend[[#This Row],[Level 1]:[Level 6]]),rng_LevelsConcat,0))</f>
        <v>#N/A</v>
      </c>
      <c r="AB144" s="224">
        <f>Buildings_Water_Frontend[[#This Row],[Data]]</f>
        <v>0</v>
      </c>
      <c r="AC144" s="174">
        <f>Buildings_Water_Frontend[[#This Row],[Units]]</f>
        <v>0</v>
      </c>
      <c r="AD144" s="220" t="e">
        <f>IF(Buildings_Water_Backend[[#This Row],[Units]]=Buildings_Water_Backend[[#This Row],[Standard units]],Buildings_Water_Backend[[#This Row],[Data]],Buildings_Water_Backend[[#This Row],[Data]]*_xlfn.XLOOKUP(_xlfn.CONCAT(Buildings_Water_Backend[[#This Row],[Level 1]:[Level 6]]),rng_EFConcat,rng_EFConversion))</f>
        <v>#N/A</v>
      </c>
      <c r="AE144" s="174" t="e" cm="1">
        <f t="array" ref="AE144">_xlfn.XLOOKUP(_xlfn.CONCAT(Buildings_Water_Backend[[#This Row],[Level 1]:[Level 6]]),rng_LevelsConcat,rng_UnitsLong)</f>
        <v>#N/A</v>
      </c>
      <c r="AF144" s="210" t="e">
        <f>_xlfn.XLOOKUP(_xlfn.CONCAT(Buildings_Water_Backend[[#This Row],[Level 1]:[Level 6]]),rng_EFConcat,rng_EF1)*Buildings_Water_Backend[[#This Row],[Converted data]]/1000</f>
        <v>#N/A</v>
      </c>
      <c r="AG144" s="210" t="e">
        <f>_xlfn.XLOOKUP(_xlfn.CONCAT(Buildings_Water_Backend[[#This Row],[Level 1]:[Level 6]]),rng_EFConcat,rng_EF2)*Buildings_Water_Backend[[#This Row],[Converted data]]/1000</f>
        <v>#N/A</v>
      </c>
      <c r="AH144" s="210" t="e">
        <f>_xlfn.XLOOKUP(_xlfn.CONCAT(Buildings_Water_Backend[[#This Row],[Level 1]:[Level 6]]),rng_EFConcat,rng_EF3)*Buildings_Water_Backend[[#This Row],[Converted data]]/1000</f>
        <v>#N/A</v>
      </c>
      <c r="AI144" s="210" t="e">
        <f>_xlfn.XLOOKUP(_xlfn.CONCAT(Buildings_Water_Backend[[#This Row],[Level 1]:[Level 6]]),rng_EFConcat,rng_EF3WTT)*Buildings_Water_Backend[[#This Row],[Converted data]]/1000</f>
        <v>#N/A</v>
      </c>
      <c r="AJ144" s="210" t="e">
        <f>_xlfn.XLOOKUP(_xlfn.CONCAT(Buildings_Water_Backend[[#This Row],[Level 1]:[Level 6]]),rng_EFConcat,rng_EF3TD)*Buildings_Water_Backend[[#This Row],[Converted data]]/1000</f>
        <v>#N/A</v>
      </c>
      <c r="AK144" s="210" t="e">
        <f>_xlfn.XLOOKUP(_xlfn.CONCAT(Buildings_Water_Backend[[#This Row],[Level 1]:[Level 6]]),rng_EFConcat,rng_EF3WTTTD)*Buildings_Water_Backend[[#This Row],[Converted data]]/1000</f>
        <v>#N/A</v>
      </c>
      <c r="AL144" s="220" t="e">
        <f>SUM(Buildings_Water_Backend[[#This Row],[Scope 1 (tCO2e)]:[Scope 3 WTT T&amp;D (tCO2e)]])</f>
        <v>#N/A</v>
      </c>
      <c r="AM144" s="220" t="e">
        <f>Buildings_Water_Backend[[#This Row],[Total (tCO2e)]]*(1-Buildings_Water_Backend[[#This Row],[RSD]])</f>
        <v>#N/A</v>
      </c>
      <c r="AN144" s="220" t="e">
        <f>Buildings_Water_Backend[[#This Row],[Total (tCO2e)]]*(1+Buildings_Water_Backend[[#This Row],[RSD]])</f>
        <v>#N/A</v>
      </c>
      <c r="AO144" s="210" t="e">
        <f>_xlfn.XLOOKUP(_xlfn.CONCAT(Buildings_Water_Backend[[#This Row],[Level 1]:[Level 6]]),rng_EFConcat,rng_EFOOS)*Buildings_Water_Backend[[#This Row],[Converted data]]/1000</f>
        <v>#N/A</v>
      </c>
      <c r="AP144" s="174">
        <f>Buildings_Water_Frontend[[#This Row],[Ease of collection]]</f>
        <v>0</v>
      </c>
      <c r="AQ144" s="174">
        <f>Buildings_Water_Frontend[[#This Row],[Completeness]]</f>
        <v>0</v>
      </c>
      <c r="AR144" s="174">
        <f>Buildings_Water_Frontend[[#This Row],[Notes]]</f>
        <v>0</v>
      </c>
    </row>
    <row r="145" spans="5:44" x14ac:dyDescent="0.3">
      <c r="E145" s="346"/>
      <c r="F145" s="364"/>
      <c r="G145" s="336"/>
      <c r="H145" s="336"/>
      <c r="I145" s="334"/>
      <c r="J145" s="336"/>
      <c r="K145" s="336"/>
      <c r="L145" s="336"/>
      <c r="M145" s="337"/>
      <c r="N145" s="242">
        <f t="shared" si="5"/>
        <v>5</v>
      </c>
      <c r="Q145" s="212" t="str">
        <f t="shared" si="4"/>
        <v/>
      </c>
      <c r="R145" s="174" t="s">
        <v>265</v>
      </c>
      <c r="S145" s="174" t="s">
        <v>273</v>
      </c>
      <c r="T145" s="174" t="e">
        <f>_xlfn.XLOOKUP(Buildings_Water_Backend[[#This Row],[Info 1]],Buildings_SiteInfo[Site name],Buildings_SiteInfo[Site type])</f>
        <v>#N/A</v>
      </c>
      <c r="U145" s="174" t="s">
        <v>327</v>
      </c>
      <c r="V145" s="174">
        <f>Buildings_Water_Frontend[[#This Row],[Type]]</f>
        <v>0</v>
      </c>
      <c r="W145" s="174" t="e" cm="1">
        <f t="array" aca="1" ref="W145" ca="1">_xlfn.XLOOKUP(Buildings_Water_Backend[[#This Row],[Level 5]],rng_Level5Long,rng_Level6Long)</f>
        <v>#N/A</v>
      </c>
      <c r="X145" s="174">
        <f>Buildings_Water_Frontend[[#This Row],[Site Name]]</f>
        <v>0</v>
      </c>
      <c r="Y145" s="174">
        <f>Buildings_Water_Frontend[[#This Row],[Meter Reference]]</f>
        <v>0</v>
      </c>
      <c r="Z145" s="220">
        <f>Buildings_Water_Frontend[[#This Row],[Methodology]]</f>
        <v>0</v>
      </c>
      <c r="AA145" s="229" t="e" cm="1">
        <f t="array" ref="AA145">INDEX(_xlfn.SWITCH(Buildings_Water_Backend[[#This Row],[Methodology]],"Tier 1",rng_RSD1,"Tier 2",rng_RSD2,"Tier 3",rng_RSD3),MATCH(_xlfn.CONCAT(Buildings_Water_Backend[[#This Row],[Level 1]:[Level 6]]),rng_LevelsConcat,0))</f>
        <v>#N/A</v>
      </c>
      <c r="AB145" s="224">
        <f>Buildings_Water_Frontend[[#This Row],[Data]]</f>
        <v>0</v>
      </c>
      <c r="AC145" s="174">
        <f>Buildings_Water_Frontend[[#This Row],[Units]]</f>
        <v>0</v>
      </c>
      <c r="AD145" s="220" t="e">
        <f>IF(Buildings_Water_Backend[[#This Row],[Units]]=Buildings_Water_Backend[[#This Row],[Standard units]],Buildings_Water_Backend[[#This Row],[Data]],Buildings_Water_Backend[[#This Row],[Data]]*_xlfn.XLOOKUP(_xlfn.CONCAT(Buildings_Water_Backend[[#This Row],[Level 1]:[Level 6]]),rng_EFConcat,rng_EFConversion))</f>
        <v>#N/A</v>
      </c>
      <c r="AE145" s="174" t="e" cm="1">
        <f t="array" ref="AE145">_xlfn.XLOOKUP(_xlfn.CONCAT(Buildings_Water_Backend[[#This Row],[Level 1]:[Level 6]]),rng_LevelsConcat,rng_UnitsLong)</f>
        <v>#N/A</v>
      </c>
      <c r="AF145" s="210" t="e">
        <f>_xlfn.XLOOKUP(_xlfn.CONCAT(Buildings_Water_Backend[[#This Row],[Level 1]:[Level 6]]),rng_EFConcat,rng_EF1)*Buildings_Water_Backend[[#This Row],[Converted data]]/1000</f>
        <v>#N/A</v>
      </c>
      <c r="AG145" s="210" t="e">
        <f>_xlfn.XLOOKUP(_xlfn.CONCAT(Buildings_Water_Backend[[#This Row],[Level 1]:[Level 6]]),rng_EFConcat,rng_EF2)*Buildings_Water_Backend[[#This Row],[Converted data]]/1000</f>
        <v>#N/A</v>
      </c>
      <c r="AH145" s="210" t="e">
        <f>_xlfn.XLOOKUP(_xlfn.CONCAT(Buildings_Water_Backend[[#This Row],[Level 1]:[Level 6]]),rng_EFConcat,rng_EF3)*Buildings_Water_Backend[[#This Row],[Converted data]]/1000</f>
        <v>#N/A</v>
      </c>
      <c r="AI145" s="210" t="e">
        <f>_xlfn.XLOOKUP(_xlfn.CONCAT(Buildings_Water_Backend[[#This Row],[Level 1]:[Level 6]]),rng_EFConcat,rng_EF3WTT)*Buildings_Water_Backend[[#This Row],[Converted data]]/1000</f>
        <v>#N/A</v>
      </c>
      <c r="AJ145" s="210" t="e">
        <f>_xlfn.XLOOKUP(_xlfn.CONCAT(Buildings_Water_Backend[[#This Row],[Level 1]:[Level 6]]),rng_EFConcat,rng_EF3TD)*Buildings_Water_Backend[[#This Row],[Converted data]]/1000</f>
        <v>#N/A</v>
      </c>
      <c r="AK145" s="210" t="e">
        <f>_xlfn.XLOOKUP(_xlfn.CONCAT(Buildings_Water_Backend[[#This Row],[Level 1]:[Level 6]]),rng_EFConcat,rng_EF3WTTTD)*Buildings_Water_Backend[[#This Row],[Converted data]]/1000</f>
        <v>#N/A</v>
      </c>
      <c r="AL145" s="220" t="e">
        <f>SUM(Buildings_Water_Backend[[#This Row],[Scope 1 (tCO2e)]:[Scope 3 WTT T&amp;D (tCO2e)]])</f>
        <v>#N/A</v>
      </c>
      <c r="AM145" s="220" t="e">
        <f>Buildings_Water_Backend[[#This Row],[Total (tCO2e)]]*(1-Buildings_Water_Backend[[#This Row],[RSD]])</f>
        <v>#N/A</v>
      </c>
      <c r="AN145" s="220" t="e">
        <f>Buildings_Water_Backend[[#This Row],[Total (tCO2e)]]*(1+Buildings_Water_Backend[[#This Row],[RSD]])</f>
        <v>#N/A</v>
      </c>
      <c r="AO145" s="210" t="e">
        <f>_xlfn.XLOOKUP(_xlfn.CONCAT(Buildings_Water_Backend[[#This Row],[Level 1]:[Level 6]]),rng_EFConcat,rng_EFOOS)*Buildings_Water_Backend[[#This Row],[Converted data]]/1000</f>
        <v>#N/A</v>
      </c>
      <c r="AP145" s="174">
        <f>Buildings_Water_Frontend[[#This Row],[Ease of collection]]</f>
        <v>0</v>
      </c>
      <c r="AQ145" s="174">
        <f>Buildings_Water_Frontend[[#This Row],[Completeness]]</f>
        <v>0</v>
      </c>
      <c r="AR145" s="174">
        <f>Buildings_Water_Frontend[[#This Row],[Notes]]</f>
        <v>0</v>
      </c>
    </row>
    <row r="146" spans="5:44" x14ac:dyDescent="0.3">
      <c r="E146" s="346"/>
      <c r="F146" s="364"/>
      <c r="G146" s="336"/>
      <c r="H146" s="336"/>
      <c r="I146" s="334"/>
      <c r="J146" s="336"/>
      <c r="K146" s="336"/>
      <c r="L146" s="336"/>
      <c r="M146" s="337"/>
      <c r="N146" s="242">
        <f t="shared" si="5"/>
        <v>5</v>
      </c>
      <c r="Q146" s="212" t="str">
        <f t="shared" si="4"/>
        <v/>
      </c>
      <c r="R146" s="174" t="s">
        <v>265</v>
      </c>
      <c r="S146" s="174" t="s">
        <v>273</v>
      </c>
      <c r="T146" s="174" t="e">
        <f>_xlfn.XLOOKUP(Buildings_Water_Backend[[#This Row],[Info 1]],Buildings_SiteInfo[Site name],Buildings_SiteInfo[Site type])</f>
        <v>#N/A</v>
      </c>
      <c r="U146" s="174" t="s">
        <v>327</v>
      </c>
      <c r="V146" s="174">
        <f>Buildings_Water_Frontend[[#This Row],[Type]]</f>
        <v>0</v>
      </c>
      <c r="W146" s="174" t="e" cm="1">
        <f t="array" aca="1" ref="W146" ca="1">_xlfn.XLOOKUP(Buildings_Water_Backend[[#This Row],[Level 5]],rng_Level5Long,rng_Level6Long)</f>
        <v>#N/A</v>
      </c>
      <c r="X146" s="174">
        <f>Buildings_Water_Frontend[[#This Row],[Site Name]]</f>
        <v>0</v>
      </c>
      <c r="Y146" s="174">
        <f>Buildings_Water_Frontend[[#This Row],[Meter Reference]]</f>
        <v>0</v>
      </c>
      <c r="Z146" s="220">
        <f>Buildings_Water_Frontend[[#This Row],[Methodology]]</f>
        <v>0</v>
      </c>
      <c r="AA146" s="229" t="e" cm="1">
        <f t="array" ref="AA146">INDEX(_xlfn.SWITCH(Buildings_Water_Backend[[#This Row],[Methodology]],"Tier 1",rng_RSD1,"Tier 2",rng_RSD2,"Tier 3",rng_RSD3),MATCH(_xlfn.CONCAT(Buildings_Water_Backend[[#This Row],[Level 1]:[Level 6]]),rng_LevelsConcat,0))</f>
        <v>#N/A</v>
      </c>
      <c r="AB146" s="224">
        <f>Buildings_Water_Frontend[[#This Row],[Data]]</f>
        <v>0</v>
      </c>
      <c r="AC146" s="174">
        <f>Buildings_Water_Frontend[[#This Row],[Units]]</f>
        <v>0</v>
      </c>
      <c r="AD146" s="220" t="e">
        <f>IF(Buildings_Water_Backend[[#This Row],[Units]]=Buildings_Water_Backend[[#This Row],[Standard units]],Buildings_Water_Backend[[#This Row],[Data]],Buildings_Water_Backend[[#This Row],[Data]]*_xlfn.XLOOKUP(_xlfn.CONCAT(Buildings_Water_Backend[[#This Row],[Level 1]:[Level 6]]),rng_EFConcat,rng_EFConversion))</f>
        <v>#N/A</v>
      </c>
      <c r="AE146" s="174" t="e" cm="1">
        <f t="array" ref="AE146">_xlfn.XLOOKUP(_xlfn.CONCAT(Buildings_Water_Backend[[#This Row],[Level 1]:[Level 6]]),rng_LevelsConcat,rng_UnitsLong)</f>
        <v>#N/A</v>
      </c>
      <c r="AF146" s="210" t="e">
        <f>_xlfn.XLOOKUP(_xlfn.CONCAT(Buildings_Water_Backend[[#This Row],[Level 1]:[Level 6]]),rng_EFConcat,rng_EF1)*Buildings_Water_Backend[[#This Row],[Converted data]]/1000</f>
        <v>#N/A</v>
      </c>
      <c r="AG146" s="210" t="e">
        <f>_xlfn.XLOOKUP(_xlfn.CONCAT(Buildings_Water_Backend[[#This Row],[Level 1]:[Level 6]]),rng_EFConcat,rng_EF2)*Buildings_Water_Backend[[#This Row],[Converted data]]/1000</f>
        <v>#N/A</v>
      </c>
      <c r="AH146" s="210" t="e">
        <f>_xlfn.XLOOKUP(_xlfn.CONCAT(Buildings_Water_Backend[[#This Row],[Level 1]:[Level 6]]),rng_EFConcat,rng_EF3)*Buildings_Water_Backend[[#This Row],[Converted data]]/1000</f>
        <v>#N/A</v>
      </c>
      <c r="AI146" s="210" t="e">
        <f>_xlfn.XLOOKUP(_xlfn.CONCAT(Buildings_Water_Backend[[#This Row],[Level 1]:[Level 6]]),rng_EFConcat,rng_EF3WTT)*Buildings_Water_Backend[[#This Row],[Converted data]]/1000</f>
        <v>#N/A</v>
      </c>
      <c r="AJ146" s="210" t="e">
        <f>_xlfn.XLOOKUP(_xlfn.CONCAT(Buildings_Water_Backend[[#This Row],[Level 1]:[Level 6]]),rng_EFConcat,rng_EF3TD)*Buildings_Water_Backend[[#This Row],[Converted data]]/1000</f>
        <v>#N/A</v>
      </c>
      <c r="AK146" s="210" t="e">
        <f>_xlfn.XLOOKUP(_xlfn.CONCAT(Buildings_Water_Backend[[#This Row],[Level 1]:[Level 6]]),rng_EFConcat,rng_EF3WTTTD)*Buildings_Water_Backend[[#This Row],[Converted data]]/1000</f>
        <v>#N/A</v>
      </c>
      <c r="AL146" s="220" t="e">
        <f>SUM(Buildings_Water_Backend[[#This Row],[Scope 1 (tCO2e)]:[Scope 3 WTT T&amp;D (tCO2e)]])</f>
        <v>#N/A</v>
      </c>
      <c r="AM146" s="220" t="e">
        <f>Buildings_Water_Backend[[#This Row],[Total (tCO2e)]]*(1-Buildings_Water_Backend[[#This Row],[RSD]])</f>
        <v>#N/A</v>
      </c>
      <c r="AN146" s="220" t="e">
        <f>Buildings_Water_Backend[[#This Row],[Total (tCO2e)]]*(1+Buildings_Water_Backend[[#This Row],[RSD]])</f>
        <v>#N/A</v>
      </c>
      <c r="AO146" s="210" t="e">
        <f>_xlfn.XLOOKUP(_xlfn.CONCAT(Buildings_Water_Backend[[#This Row],[Level 1]:[Level 6]]),rng_EFConcat,rng_EFOOS)*Buildings_Water_Backend[[#This Row],[Converted data]]/1000</f>
        <v>#N/A</v>
      </c>
      <c r="AP146" s="174">
        <f>Buildings_Water_Frontend[[#This Row],[Ease of collection]]</f>
        <v>0</v>
      </c>
      <c r="AQ146" s="174">
        <f>Buildings_Water_Frontend[[#This Row],[Completeness]]</f>
        <v>0</v>
      </c>
      <c r="AR146" s="174">
        <f>Buildings_Water_Frontend[[#This Row],[Notes]]</f>
        <v>0</v>
      </c>
    </row>
    <row r="147" spans="5:44" x14ac:dyDescent="0.3">
      <c r="E147" s="346"/>
      <c r="F147" s="364"/>
      <c r="G147" s="336"/>
      <c r="H147" s="336"/>
      <c r="I147" s="334"/>
      <c r="J147" s="336"/>
      <c r="K147" s="336"/>
      <c r="L147" s="336"/>
      <c r="M147" s="337"/>
      <c r="N147" s="242">
        <f t="shared" si="5"/>
        <v>5</v>
      </c>
      <c r="Q147" s="212" t="str">
        <f t="shared" si="4"/>
        <v/>
      </c>
      <c r="R147" s="174" t="s">
        <v>265</v>
      </c>
      <c r="S147" s="174" t="s">
        <v>273</v>
      </c>
      <c r="T147" s="174" t="e">
        <f>_xlfn.XLOOKUP(Buildings_Water_Backend[[#This Row],[Info 1]],Buildings_SiteInfo[Site name],Buildings_SiteInfo[Site type])</f>
        <v>#N/A</v>
      </c>
      <c r="U147" s="174" t="s">
        <v>327</v>
      </c>
      <c r="V147" s="174">
        <f>Buildings_Water_Frontend[[#This Row],[Type]]</f>
        <v>0</v>
      </c>
      <c r="W147" s="174" t="e" cm="1">
        <f t="array" aca="1" ref="W147" ca="1">_xlfn.XLOOKUP(Buildings_Water_Backend[[#This Row],[Level 5]],rng_Level5Long,rng_Level6Long)</f>
        <v>#N/A</v>
      </c>
      <c r="X147" s="174">
        <f>Buildings_Water_Frontend[[#This Row],[Site Name]]</f>
        <v>0</v>
      </c>
      <c r="Y147" s="174">
        <f>Buildings_Water_Frontend[[#This Row],[Meter Reference]]</f>
        <v>0</v>
      </c>
      <c r="Z147" s="220">
        <f>Buildings_Water_Frontend[[#This Row],[Methodology]]</f>
        <v>0</v>
      </c>
      <c r="AA147" s="229" t="e" cm="1">
        <f t="array" ref="AA147">INDEX(_xlfn.SWITCH(Buildings_Water_Backend[[#This Row],[Methodology]],"Tier 1",rng_RSD1,"Tier 2",rng_RSD2,"Tier 3",rng_RSD3),MATCH(_xlfn.CONCAT(Buildings_Water_Backend[[#This Row],[Level 1]:[Level 6]]),rng_LevelsConcat,0))</f>
        <v>#N/A</v>
      </c>
      <c r="AB147" s="224">
        <f>Buildings_Water_Frontend[[#This Row],[Data]]</f>
        <v>0</v>
      </c>
      <c r="AC147" s="174">
        <f>Buildings_Water_Frontend[[#This Row],[Units]]</f>
        <v>0</v>
      </c>
      <c r="AD147" s="220" t="e">
        <f>IF(Buildings_Water_Backend[[#This Row],[Units]]=Buildings_Water_Backend[[#This Row],[Standard units]],Buildings_Water_Backend[[#This Row],[Data]],Buildings_Water_Backend[[#This Row],[Data]]*_xlfn.XLOOKUP(_xlfn.CONCAT(Buildings_Water_Backend[[#This Row],[Level 1]:[Level 6]]),rng_EFConcat,rng_EFConversion))</f>
        <v>#N/A</v>
      </c>
      <c r="AE147" s="174" t="e" cm="1">
        <f t="array" ref="AE147">_xlfn.XLOOKUP(_xlfn.CONCAT(Buildings_Water_Backend[[#This Row],[Level 1]:[Level 6]]),rng_LevelsConcat,rng_UnitsLong)</f>
        <v>#N/A</v>
      </c>
      <c r="AF147" s="210" t="e">
        <f>_xlfn.XLOOKUP(_xlfn.CONCAT(Buildings_Water_Backend[[#This Row],[Level 1]:[Level 6]]),rng_EFConcat,rng_EF1)*Buildings_Water_Backend[[#This Row],[Converted data]]/1000</f>
        <v>#N/A</v>
      </c>
      <c r="AG147" s="210" t="e">
        <f>_xlfn.XLOOKUP(_xlfn.CONCAT(Buildings_Water_Backend[[#This Row],[Level 1]:[Level 6]]),rng_EFConcat,rng_EF2)*Buildings_Water_Backend[[#This Row],[Converted data]]/1000</f>
        <v>#N/A</v>
      </c>
      <c r="AH147" s="210" t="e">
        <f>_xlfn.XLOOKUP(_xlfn.CONCAT(Buildings_Water_Backend[[#This Row],[Level 1]:[Level 6]]),rng_EFConcat,rng_EF3)*Buildings_Water_Backend[[#This Row],[Converted data]]/1000</f>
        <v>#N/A</v>
      </c>
      <c r="AI147" s="210" t="e">
        <f>_xlfn.XLOOKUP(_xlfn.CONCAT(Buildings_Water_Backend[[#This Row],[Level 1]:[Level 6]]),rng_EFConcat,rng_EF3WTT)*Buildings_Water_Backend[[#This Row],[Converted data]]/1000</f>
        <v>#N/A</v>
      </c>
      <c r="AJ147" s="210" t="e">
        <f>_xlfn.XLOOKUP(_xlfn.CONCAT(Buildings_Water_Backend[[#This Row],[Level 1]:[Level 6]]),rng_EFConcat,rng_EF3TD)*Buildings_Water_Backend[[#This Row],[Converted data]]/1000</f>
        <v>#N/A</v>
      </c>
      <c r="AK147" s="210" t="e">
        <f>_xlfn.XLOOKUP(_xlfn.CONCAT(Buildings_Water_Backend[[#This Row],[Level 1]:[Level 6]]),rng_EFConcat,rng_EF3WTTTD)*Buildings_Water_Backend[[#This Row],[Converted data]]/1000</f>
        <v>#N/A</v>
      </c>
      <c r="AL147" s="220" t="e">
        <f>SUM(Buildings_Water_Backend[[#This Row],[Scope 1 (tCO2e)]:[Scope 3 WTT T&amp;D (tCO2e)]])</f>
        <v>#N/A</v>
      </c>
      <c r="AM147" s="220" t="e">
        <f>Buildings_Water_Backend[[#This Row],[Total (tCO2e)]]*(1-Buildings_Water_Backend[[#This Row],[RSD]])</f>
        <v>#N/A</v>
      </c>
      <c r="AN147" s="220" t="e">
        <f>Buildings_Water_Backend[[#This Row],[Total (tCO2e)]]*(1+Buildings_Water_Backend[[#This Row],[RSD]])</f>
        <v>#N/A</v>
      </c>
      <c r="AO147" s="210" t="e">
        <f>_xlfn.XLOOKUP(_xlfn.CONCAT(Buildings_Water_Backend[[#This Row],[Level 1]:[Level 6]]),rng_EFConcat,rng_EFOOS)*Buildings_Water_Backend[[#This Row],[Converted data]]/1000</f>
        <v>#N/A</v>
      </c>
      <c r="AP147" s="174">
        <f>Buildings_Water_Frontend[[#This Row],[Ease of collection]]</f>
        <v>0</v>
      </c>
      <c r="AQ147" s="174">
        <f>Buildings_Water_Frontend[[#This Row],[Completeness]]</f>
        <v>0</v>
      </c>
      <c r="AR147" s="174">
        <f>Buildings_Water_Frontend[[#This Row],[Notes]]</f>
        <v>0</v>
      </c>
    </row>
    <row r="148" spans="5:44" x14ac:dyDescent="0.3">
      <c r="E148" s="346"/>
      <c r="F148" s="364"/>
      <c r="G148" s="336"/>
      <c r="H148" s="336"/>
      <c r="I148" s="334"/>
      <c r="J148" s="336"/>
      <c r="K148" s="336"/>
      <c r="L148" s="336"/>
      <c r="M148" s="337"/>
      <c r="N148" s="242">
        <f t="shared" si="5"/>
        <v>5</v>
      </c>
      <c r="Q148" s="212" t="str">
        <f t="shared" si="4"/>
        <v/>
      </c>
      <c r="R148" s="174" t="s">
        <v>265</v>
      </c>
      <c r="S148" s="174" t="s">
        <v>273</v>
      </c>
      <c r="T148" s="174" t="e">
        <f>_xlfn.XLOOKUP(Buildings_Water_Backend[[#This Row],[Info 1]],Buildings_SiteInfo[Site name],Buildings_SiteInfo[Site type])</f>
        <v>#N/A</v>
      </c>
      <c r="U148" s="174" t="s">
        <v>327</v>
      </c>
      <c r="V148" s="174">
        <f>Buildings_Water_Frontend[[#This Row],[Type]]</f>
        <v>0</v>
      </c>
      <c r="W148" s="174" t="e" cm="1">
        <f t="array" aca="1" ref="W148" ca="1">_xlfn.XLOOKUP(Buildings_Water_Backend[[#This Row],[Level 5]],rng_Level5Long,rng_Level6Long)</f>
        <v>#N/A</v>
      </c>
      <c r="X148" s="174">
        <f>Buildings_Water_Frontend[[#This Row],[Site Name]]</f>
        <v>0</v>
      </c>
      <c r="Y148" s="174">
        <f>Buildings_Water_Frontend[[#This Row],[Meter Reference]]</f>
        <v>0</v>
      </c>
      <c r="Z148" s="220">
        <f>Buildings_Water_Frontend[[#This Row],[Methodology]]</f>
        <v>0</v>
      </c>
      <c r="AA148" s="229" t="e" cm="1">
        <f t="array" ref="AA148">INDEX(_xlfn.SWITCH(Buildings_Water_Backend[[#This Row],[Methodology]],"Tier 1",rng_RSD1,"Tier 2",rng_RSD2,"Tier 3",rng_RSD3),MATCH(_xlfn.CONCAT(Buildings_Water_Backend[[#This Row],[Level 1]:[Level 6]]),rng_LevelsConcat,0))</f>
        <v>#N/A</v>
      </c>
      <c r="AB148" s="224">
        <f>Buildings_Water_Frontend[[#This Row],[Data]]</f>
        <v>0</v>
      </c>
      <c r="AC148" s="174">
        <f>Buildings_Water_Frontend[[#This Row],[Units]]</f>
        <v>0</v>
      </c>
      <c r="AD148" s="220" t="e">
        <f>IF(Buildings_Water_Backend[[#This Row],[Units]]=Buildings_Water_Backend[[#This Row],[Standard units]],Buildings_Water_Backend[[#This Row],[Data]],Buildings_Water_Backend[[#This Row],[Data]]*_xlfn.XLOOKUP(_xlfn.CONCAT(Buildings_Water_Backend[[#This Row],[Level 1]:[Level 6]]),rng_EFConcat,rng_EFConversion))</f>
        <v>#N/A</v>
      </c>
      <c r="AE148" s="174" t="e" cm="1">
        <f t="array" ref="AE148">_xlfn.XLOOKUP(_xlfn.CONCAT(Buildings_Water_Backend[[#This Row],[Level 1]:[Level 6]]),rng_LevelsConcat,rng_UnitsLong)</f>
        <v>#N/A</v>
      </c>
      <c r="AF148" s="210" t="e">
        <f>_xlfn.XLOOKUP(_xlfn.CONCAT(Buildings_Water_Backend[[#This Row],[Level 1]:[Level 6]]),rng_EFConcat,rng_EF1)*Buildings_Water_Backend[[#This Row],[Converted data]]/1000</f>
        <v>#N/A</v>
      </c>
      <c r="AG148" s="210" t="e">
        <f>_xlfn.XLOOKUP(_xlfn.CONCAT(Buildings_Water_Backend[[#This Row],[Level 1]:[Level 6]]),rng_EFConcat,rng_EF2)*Buildings_Water_Backend[[#This Row],[Converted data]]/1000</f>
        <v>#N/A</v>
      </c>
      <c r="AH148" s="210" t="e">
        <f>_xlfn.XLOOKUP(_xlfn.CONCAT(Buildings_Water_Backend[[#This Row],[Level 1]:[Level 6]]),rng_EFConcat,rng_EF3)*Buildings_Water_Backend[[#This Row],[Converted data]]/1000</f>
        <v>#N/A</v>
      </c>
      <c r="AI148" s="210" t="e">
        <f>_xlfn.XLOOKUP(_xlfn.CONCAT(Buildings_Water_Backend[[#This Row],[Level 1]:[Level 6]]),rng_EFConcat,rng_EF3WTT)*Buildings_Water_Backend[[#This Row],[Converted data]]/1000</f>
        <v>#N/A</v>
      </c>
      <c r="AJ148" s="210" t="e">
        <f>_xlfn.XLOOKUP(_xlfn.CONCAT(Buildings_Water_Backend[[#This Row],[Level 1]:[Level 6]]),rng_EFConcat,rng_EF3TD)*Buildings_Water_Backend[[#This Row],[Converted data]]/1000</f>
        <v>#N/A</v>
      </c>
      <c r="AK148" s="210" t="e">
        <f>_xlfn.XLOOKUP(_xlfn.CONCAT(Buildings_Water_Backend[[#This Row],[Level 1]:[Level 6]]),rng_EFConcat,rng_EF3WTTTD)*Buildings_Water_Backend[[#This Row],[Converted data]]/1000</f>
        <v>#N/A</v>
      </c>
      <c r="AL148" s="220" t="e">
        <f>SUM(Buildings_Water_Backend[[#This Row],[Scope 1 (tCO2e)]:[Scope 3 WTT T&amp;D (tCO2e)]])</f>
        <v>#N/A</v>
      </c>
      <c r="AM148" s="220" t="e">
        <f>Buildings_Water_Backend[[#This Row],[Total (tCO2e)]]*(1-Buildings_Water_Backend[[#This Row],[RSD]])</f>
        <v>#N/A</v>
      </c>
      <c r="AN148" s="220" t="e">
        <f>Buildings_Water_Backend[[#This Row],[Total (tCO2e)]]*(1+Buildings_Water_Backend[[#This Row],[RSD]])</f>
        <v>#N/A</v>
      </c>
      <c r="AO148" s="210" t="e">
        <f>_xlfn.XLOOKUP(_xlfn.CONCAT(Buildings_Water_Backend[[#This Row],[Level 1]:[Level 6]]),rng_EFConcat,rng_EFOOS)*Buildings_Water_Backend[[#This Row],[Converted data]]/1000</f>
        <v>#N/A</v>
      </c>
      <c r="AP148" s="174">
        <f>Buildings_Water_Frontend[[#This Row],[Ease of collection]]</f>
        <v>0</v>
      </c>
      <c r="AQ148" s="174">
        <f>Buildings_Water_Frontend[[#This Row],[Completeness]]</f>
        <v>0</v>
      </c>
      <c r="AR148" s="174">
        <f>Buildings_Water_Frontend[[#This Row],[Notes]]</f>
        <v>0</v>
      </c>
    </row>
    <row r="149" spans="5:44" x14ac:dyDescent="0.3">
      <c r="E149" s="346"/>
      <c r="F149" s="364"/>
      <c r="G149" s="336"/>
      <c r="H149" s="336"/>
      <c r="I149" s="334"/>
      <c r="J149" s="336"/>
      <c r="K149" s="336"/>
      <c r="L149" s="336"/>
      <c r="M149" s="337"/>
      <c r="N149" s="242">
        <f t="shared" si="5"/>
        <v>5</v>
      </c>
      <c r="Q149" s="212" t="str">
        <f t="shared" si="4"/>
        <v/>
      </c>
      <c r="R149" s="174" t="s">
        <v>265</v>
      </c>
      <c r="S149" s="174" t="s">
        <v>273</v>
      </c>
      <c r="T149" s="174" t="e">
        <f>_xlfn.XLOOKUP(Buildings_Water_Backend[[#This Row],[Info 1]],Buildings_SiteInfo[Site name],Buildings_SiteInfo[Site type])</f>
        <v>#N/A</v>
      </c>
      <c r="U149" s="174" t="s">
        <v>327</v>
      </c>
      <c r="V149" s="174">
        <f>Buildings_Water_Frontend[[#This Row],[Type]]</f>
        <v>0</v>
      </c>
      <c r="W149" s="174" t="e" cm="1">
        <f t="array" aca="1" ref="W149" ca="1">_xlfn.XLOOKUP(Buildings_Water_Backend[[#This Row],[Level 5]],rng_Level5Long,rng_Level6Long)</f>
        <v>#N/A</v>
      </c>
      <c r="X149" s="174">
        <f>Buildings_Water_Frontend[[#This Row],[Site Name]]</f>
        <v>0</v>
      </c>
      <c r="Y149" s="174">
        <f>Buildings_Water_Frontend[[#This Row],[Meter Reference]]</f>
        <v>0</v>
      </c>
      <c r="Z149" s="220">
        <f>Buildings_Water_Frontend[[#This Row],[Methodology]]</f>
        <v>0</v>
      </c>
      <c r="AA149" s="229" t="e" cm="1">
        <f t="array" ref="AA149">INDEX(_xlfn.SWITCH(Buildings_Water_Backend[[#This Row],[Methodology]],"Tier 1",rng_RSD1,"Tier 2",rng_RSD2,"Tier 3",rng_RSD3),MATCH(_xlfn.CONCAT(Buildings_Water_Backend[[#This Row],[Level 1]:[Level 6]]),rng_LevelsConcat,0))</f>
        <v>#N/A</v>
      </c>
      <c r="AB149" s="224">
        <f>Buildings_Water_Frontend[[#This Row],[Data]]</f>
        <v>0</v>
      </c>
      <c r="AC149" s="174">
        <f>Buildings_Water_Frontend[[#This Row],[Units]]</f>
        <v>0</v>
      </c>
      <c r="AD149" s="220" t="e">
        <f>IF(Buildings_Water_Backend[[#This Row],[Units]]=Buildings_Water_Backend[[#This Row],[Standard units]],Buildings_Water_Backend[[#This Row],[Data]],Buildings_Water_Backend[[#This Row],[Data]]*_xlfn.XLOOKUP(_xlfn.CONCAT(Buildings_Water_Backend[[#This Row],[Level 1]:[Level 6]]),rng_EFConcat,rng_EFConversion))</f>
        <v>#N/A</v>
      </c>
      <c r="AE149" s="174" t="e" cm="1">
        <f t="array" ref="AE149">_xlfn.XLOOKUP(_xlfn.CONCAT(Buildings_Water_Backend[[#This Row],[Level 1]:[Level 6]]),rng_LevelsConcat,rng_UnitsLong)</f>
        <v>#N/A</v>
      </c>
      <c r="AF149" s="210" t="e">
        <f>_xlfn.XLOOKUP(_xlfn.CONCAT(Buildings_Water_Backend[[#This Row],[Level 1]:[Level 6]]),rng_EFConcat,rng_EF1)*Buildings_Water_Backend[[#This Row],[Converted data]]/1000</f>
        <v>#N/A</v>
      </c>
      <c r="AG149" s="210" t="e">
        <f>_xlfn.XLOOKUP(_xlfn.CONCAT(Buildings_Water_Backend[[#This Row],[Level 1]:[Level 6]]),rng_EFConcat,rng_EF2)*Buildings_Water_Backend[[#This Row],[Converted data]]/1000</f>
        <v>#N/A</v>
      </c>
      <c r="AH149" s="210" t="e">
        <f>_xlfn.XLOOKUP(_xlfn.CONCAT(Buildings_Water_Backend[[#This Row],[Level 1]:[Level 6]]),rng_EFConcat,rng_EF3)*Buildings_Water_Backend[[#This Row],[Converted data]]/1000</f>
        <v>#N/A</v>
      </c>
      <c r="AI149" s="210" t="e">
        <f>_xlfn.XLOOKUP(_xlfn.CONCAT(Buildings_Water_Backend[[#This Row],[Level 1]:[Level 6]]),rng_EFConcat,rng_EF3WTT)*Buildings_Water_Backend[[#This Row],[Converted data]]/1000</f>
        <v>#N/A</v>
      </c>
      <c r="AJ149" s="210" t="e">
        <f>_xlfn.XLOOKUP(_xlfn.CONCAT(Buildings_Water_Backend[[#This Row],[Level 1]:[Level 6]]),rng_EFConcat,rng_EF3TD)*Buildings_Water_Backend[[#This Row],[Converted data]]/1000</f>
        <v>#N/A</v>
      </c>
      <c r="AK149" s="210" t="e">
        <f>_xlfn.XLOOKUP(_xlfn.CONCAT(Buildings_Water_Backend[[#This Row],[Level 1]:[Level 6]]),rng_EFConcat,rng_EF3WTTTD)*Buildings_Water_Backend[[#This Row],[Converted data]]/1000</f>
        <v>#N/A</v>
      </c>
      <c r="AL149" s="220" t="e">
        <f>SUM(Buildings_Water_Backend[[#This Row],[Scope 1 (tCO2e)]:[Scope 3 WTT T&amp;D (tCO2e)]])</f>
        <v>#N/A</v>
      </c>
      <c r="AM149" s="220" t="e">
        <f>Buildings_Water_Backend[[#This Row],[Total (tCO2e)]]*(1-Buildings_Water_Backend[[#This Row],[RSD]])</f>
        <v>#N/A</v>
      </c>
      <c r="AN149" s="220" t="e">
        <f>Buildings_Water_Backend[[#This Row],[Total (tCO2e)]]*(1+Buildings_Water_Backend[[#This Row],[RSD]])</f>
        <v>#N/A</v>
      </c>
      <c r="AO149" s="210" t="e">
        <f>_xlfn.XLOOKUP(_xlfn.CONCAT(Buildings_Water_Backend[[#This Row],[Level 1]:[Level 6]]),rng_EFConcat,rng_EFOOS)*Buildings_Water_Backend[[#This Row],[Converted data]]/1000</f>
        <v>#N/A</v>
      </c>
      <c r="AP149" s="174">
        <f>Buildings_Water_Frontend[[#This Row],[Ease of collection]]</f>
        <v>0</v>
      </c>
      <c r="AQ149" s="174">
        <f>Buildings_Water_Frontend[[#This Row],[Completeness]]</f>
        <v>0</v>
      </c>
      <c r="AR149" s="174">
        <f>Buildings_Water_Frontend[[#This Row],[Notes]]</f>
        <v>0</v>
      </c>
    </row>
    <row r="150" spans="5:44" x14ac:dyDescent="0.3">
      <c r="E150" s="346"/>
      <c r="F150" s="364"/>
      <c r="G150" s="336"/>
      <c r="H150" s="336"/>
      <c r="I150" s="334"/>
      <c r="J150" s="336"/>
      <c r="K150" s="336"/>
      <c r="L150" s="336"/>
      <c r="M150" s="337"/>
      <c r="N150" s="242">
        <f t="shared" si="5"/>
        <v>5</v>
      </c>
      <c r="Q150" s="212" t="str">
        <f t="shared" si="4"/>
        <v/>
      </c>
      <c r="R150" s="174" t="s">
        <v>265</v>
      </c>
      <c r="S150" s="174" t="s">
        <v>273</v>
      </c>
      <c r="T150" s="174" t="e">
        <f>_xlfn.XLOOKUP(Buildings_Water_Backend[[#This Row],[Info 1]],Buildings_SiteInfo[Site name],Buildings_SiteInfo[Site type])</f>
        <v>#N/A</v>
      </c>
      <c r="U150" s="174" t="s">
        <v>327</v>
      </c>
      <c r="V150" s="174">
        <f>Buildings_Water_Frontend[[#This Row],[Type]]</f>
        <v>0</v>
      </c>
      <c r="W150" s="174" t="e" cm="1">
        <f t="array" aca="1" ref="W150" ca="1">_xlfn.XLOOKUP(Buildings_Water_Backend[[#This Row],[Level 5]],rng_Level5Long,rng_Level6Long)</f>
        <v>#N/A</v>
      </c>
      <c r="X150" s="174">
        <f>Buildings_Water_Frontend[[#This Row],[Site Name]]</f>
        <v>0</v>
      </c>
      <c r="Y150" s="174">
        <f>Buildings_Water_Frontend[[#This Row],[Meter Reference]]</f>
        <v>0</v>
      </c>
      <c r="Z150" s="220">
        <f>Buildings_Water_Frontend[[#This Row],[Methodology]]</f>
        <v>0</v>
      </c>
      <c r="AA150" s="229" t="e" cm="1">
        <f t="array" ref="AA150">INDEX(_xlfn.SWITCH(Buildings_Water_Backend[[#This Row],[Methodology]],"Tier 1",rng_RSD1,"Tier 2",rng_RSD2,"Tier 3",rng_RSD3),MATCH(_xlfn.CONCAT(Buildings_Water_Backend[[#This Row],[Level 1]:[Level 6]]),rng_LevelsConcat,0))</f>
        <v>#N/A</v>
      </c>
      <c r="AB150" s="224">
        <f>Buildings_Water_Frontend[[#This Row],[Data]]</f>
        <v>0</v>
      </c>
      <c r="AC150" s="174">
        <f>Buildings_Water_Frontend[[#This Row],[Units]]</f>
        <v>0</v>
      </c>
      <c r="AD150" s="220" t="e">
        <f>IF(Buildings_Water_Backend[[#This Row],[Units]]=Buildings_Water_Backend[[#This Row],[Standard units]],Buildings_Water_Backend[[#This Row],[Data]],Buildings_Water_Backend[[#This Row],[Data]]*_xlfn.XLOOKUP(_xlfn.CONCAT(Buildings_Water_Backend[[#This Row],[Level 1]:[Level 6]]),rng_EFConcat,rng_EFConversion))</f>
        <v>#N/A</v>
      </c>
      <c r="AE150" s="174" t="e" cm="1">
        <f t="array" ref="AE150">_xlfn.XLOOKUP(_xlfn.CONCAT(Buildings_Water_Backend[[#This Row],[Level 1]:[Level 6]]),rng_LevelsConcat,rng_UnitsLong)</f>
        <v>#N/A</v>
      </c>
      <c r="AF150" s="210" t="e">
        <f>_xlfn.XLOOKUP(_xlfn.CONCAT(Buildings_Water_Backend[[#This Row],[Level 1]:[Level 6]]),rng_EFConcat,rng_EF1)*Buildings_Water_Backend[[#This Row],[Converted data]]/1000</f>
        <v>#N/A</v>
      </c>
      <c r="AG150" s="210" t="e">
        <f>_xlfn.XLOOKUP(_xlfn.CONCAT(Buildings_Water_Backend[[#This Row],[Level 1]:[Level 6]]),rng_EFConcat,rng_EF2)*Buildings_Water_Backend[[#This Row],[Converted data]]/1000</f>
        <v>#N/A</v>
      </c>
      <c r="AH150" s="210" t="e">
        <f>_xlfn.XLOOKUP(_xlfn.CONCAT(Buildings_Water_Backend[[#This Row],[Level 1]:[Level 6]]),rng_EFConcat,rng_EF3)*Buildings_Water_Backend[[#This Row],[Converted data]]/1000</f>
        <v>#N/A</v>
      </c>
      <c r="AI150" s="210" t="e">
        <f>_xlfn.XLOOKUP(_xlfn.CONCAT(Buildings_Water_Backend[[#This Row],[Level 1]:[Level 6]]),rng_EFConcat,rng_EF3WTT)*Buildings_Water_Backend[[#This Row],[Converted data]]/1000</f>
        <v>#N/A</v>
      </c>
      <c r="AJ150" s="210" t="e">
        <f>_xlfn.XLOOKUP(_xlfn.CONCAT(Buildings_Water_Backend[[#This Row],[Level 1]:[Level 6]]),rng_EFConcat,rng_EF3TD)*Buildings_Water_Backend[[#This Row],[Converted data]]/1000</f>
        <v>#N/A</v>
      </c>
      <c r="AK150" s="210" t="e">
        <f>_xlfn.XLOOKUP(_xlfn.CONCAT(Buildings_Water_Backend[[#This Row],[Level 1]:[Level 6]]),rng_EFConcat,rng_EF3WTTTD)*Buildings_Water_Backend[[#This Row],[Converted data]]/1000</f>
        <v>#N/A</v>
      </c>
      <c r="AL150" s="220" t="e">
        <f>SUM(Buildings_Water_Backend[[#This Row],[Scope 1 (tCO2e)]:[Scope 3 WTT T&amp;D (tCO2e)]])</f>
        <v>#N/A</v>
      </c>
      <c r="AM150" s="220" t="e">
        <f>Buildings_Water_Backend[[#This Row],[Total (tCO2e)]]*(1-Buildings_Water_Backend[[#This Row],[RSD]])</f>
        <v>#N/A</v>
      </c>
      <c r="AN150" s="220" t="e">
        <f>Buildings_Water_Backend[[#This Row],[Total (tCO2e)]]*(1+Buildings_Water_Backend[[#This Row],[RSD]])</f>
        <v>#N/A</v>
      </c>
      <c r="AO150" s="210" t="e">
        <f>_xlfn.XLOOKUP(_xlfn.CONCAT(Buildings_Water_Backend[[#This Row],[Level 1]:[Level 6]]),rng_EFConcat,rng_EFOOS)*Buildings_Water_Backend[[#This Row],[Converted data]]/1000</f>
        <v>#N/A</v>
      </c>
      <c r="AP150" s="174">
        <f>Buildings_Water_Frontend[[#This Row],[Ease of collection]]</f>
        <v>0</v>
      </c>
      <c r="AQ150" s="174">
        <f>Buildings_Water_Frontend[[#This Row],[Completeness]]</f>
        <v>0</v>
      </c>
      <c r="AR150" s="174">
        <f>Buildings_Water_Frontend[[#This Row],[Notes]]</f>
        <v>0</v>
      </c>
    </row>
    <row r="151" spans="5:44" x14ac:dyDescent="0.3">
      <c r="E151" s="346"/>
      <c r="F151" s="364"/>
      <c r="G151" s="336"/>
      <c r="H151" s="336"/>
      <c r="I151" s="334"/>
      <c r="J151" s="336"/>
      <c r="K151" s="336"/>
      <c r="L151" s="336"/>
      <c r="M151" s="337"/>
      <c r="N151" s="242">
        <f t="shared" si="5"/>
        <v>5</v>
      </c>
      <c r="Q151" s="212" t="str">
        <f t="shared" si="4"/>
        <v/>
      </c>
      <c r="R151" s="174" t="s">
        <v>265</v>
      </c>
      <c r="S151" s="174" t="s">
        <v>273</v>
      </c>
      <c r="T151" s="174" t="e">
        <f>_xlfn.XLOOKUP(Buildings_Water_Backend[[#This Row],[Info 1]],Buildings_SiteInfo[Site name],Buildings_SiteInfo[Site type])</f>
        <v>#N/A</v>
      </c>
      <c r="U151" s="174" t="s">
        <v>327</v>
      </c>
      <c r="V151" s="174">
        <f>Buildings_Water_Frontend[[#This Row],[Type]]</f>
        <v>0</v>
      </c>
      <c r="W151" s="174" t="e" cm="1">
        <f t="array" aca="1" ref="W151" ca="1">_xlfn.XLOOKUP(Buildings_Water_Backend[[#This Row],[Level 5]],rng_Level5Long,rng_Level6Long)</f>
        <v>#N/A</v>
      </c>
      <c r="X151" s="174">
        <f>Buildings_Water_Frontend[[#This Row],[Site Name]]</f>
        <v>0</v>
      </c>
      <c r="Y151" s="174">
        <f>Buildings_Water_Frontend[[#This Row],[Meter Reference]]</f>
        <v>0</v>
      </c>
      <c r="Z151" s="220">
        <f>Buildings_Water_Frontend[[#This Row],[Methodology]]</f>
        <v>0</v>
      </c>
      <c r="AA151" s="229" t="e" cm="1">
        <f t="array" ref="AA151">INDEX(_xlfn.SWITCH(Buildings_Water_Backend[[#This Row],[Methodology]],"Tier 1",rng_RSD1,"Tier 2",rng_RSD2,"Tier 3",rng_RSD3),MATCH(_xlfn.CONCAT(Buildings_Water_Backend[[#This Row],[Level 1]:[Level 6]]),rng_LevelsConcat,0))</f>
        <v>#N/A</v>
      </c>
      <c r="AB151" s="224">
        <f>Buildings_Water_Frontend[[#This Row],[Data]]</f>
        <v>0</v>
      </c>
      <c r="AC151" s="174">
        <f>Buildings_Water_Frontend[[#This Row],[Units]]</f>
        <v>0</v>
      </c>
      <c r="AD151" s="220" t="e">
        <f>IF(Buildings_Water_Backend[[#This Row],[Units]]=Buildings_Water_Backend[[#This Row],[Standard units]],Buildings_Water_Backend[[#This Row],[Data]],Buildings_Water_Backend[[#This Row],[Data]]*_xlfn.XLOOKUP(_xlfn.CONCAT(Buildings_Water_Backend[[#This Row],[Level 1]:[Level 6]]),rng_EFConcat,rng_EFConversion))</f>
        <v>#N/A</v>
      </c>
      <c r="AE151" s="174" t="e" cm="1">
        <f t="array" ref="AE151">_xlfn.XLOOKUP(_xlfn.CONCAT(Buildings_Water_Backend[[#This Row],[Level 1]:[Level 6]]),rng_LevelsConcat,rng_UnitsLong)</f>
        <v>#N/A</v>
      </c>
      <c r="AF151" s="210" t="e">
        <f>_xlfn.XLOOKUP(_xlfn.CONCAT(Buildings_Water_Backend[[#This Row],[Level 1]:[Level 6]]),rng_EFConcat,rng_EF1)*Buildings_Water_Backend[[#This Row],[Converted data]]/1000</f>
        <v>#N/A</v>
      </c>
      <c r="AG151" s="210" t="e">
        <f>_xlfn.XLOOKUP(_xlfn.CONCAT(Buildings_Water_Backend[[#This Row],[Level 1]:[Level 6]]),rng_EFConcat,rng_EF2)*Buildings_Water_Backend[[#This Row],[Converted data]]/1000</f>
        <v>#N/A</v>
      </c>
      <c r="AH151" s="210" t="e">
        <f>_xlfn.XLOOKUP(_xlfn.CONCAT(Buildings_Water_Backend[[#This Row],[Level 1]:[Level 6]]),rng_EFConcat,rng_EF3)*Buildings_Water_Backend[[#This Row],[Converted data]]/1000</f>
        <v>#N/A</v>
      </c>
      <c r="AI151" s="210" t="e">
        <f>_xlfn.XLOOKUP(_xlfn.CONCAT(Buildings_Water_Backend[[#This Row],[Level 1]:[Level 6]]),rng_EFConcat,rng_EF3WTT)*Buildings_Water_Backend[[#This Row],[Converted data]]/1000</f>
        <v>#N/A</v>
      </c>
      <c r="AJ151" s="210" t="e">
        <f>_xlfn.XLOOKUP(_xlfn.CONCAT(Buildings_Water_Backend[[#This Row],[Level 1]:[Level 6]]),rng_EFConcat,rng_EF3TD)*Buildings_Water_Backend[[#This Row],[Converted data]]/1000</f>
        <v>#N/A</v>
      </c>
      <c r="AK151" s="210" t="e">
        <f>_xlfn.XLOOKUP(_xlfn.CONCAT(Buildings_Water_Backend[[#This Row],[Level 1]:[Level 6]]),rng_EFConcat,rng_EF3WTTTD)*Buildings_Water_Backend[[#This Row],[Converted data]]/1000</f>
        <v>#N/A</v>
      </c>
      <c r="AL151" s="220" t="e">
        <f>SUM(Buildings_Water_Backend[[#This Row],[Scope 1 (tCO2e)]:[Scope 3 WTT T&amp;D (tCO2e)]])</f>
        <v>#N/A</v>
      </c>
      <c r="AM151" s="220" t="e">
        <f>Buildings_Water_Backend[[#This Row],[Total (tCO2e)]]*(1-Buildings_Water_Backend[[#This Row],[RSD]])</f>
        <v>#N/A</v>
      </c>
      <c r="AN151" s="220" t="e">
        <f>Buildings_Water_Backend[[#This Row],[Total (tCO2e)]]*(1+Buildings_Water_Backend[[#This Row],[RSD]])</f>
        <v>#N/A</v>
      </c>
      <c r="AO151" s="210" t="e">
        <f>_xlfn.XLOOKUP(_xlfn.CONCAT(Buildings_Water_Backend[[#This Row],[Level 1]:[Level 6]]),rng_EFConcat,rng_EFOOS)*Buildings_Water_Backend[[#This Row],[Converted data]]/1000</f>
        <v>#N/A</v>
      </c>
      <c r="AP151" s="174">
        <f>Buildings_Water_Frontend[[#This Row],[Ease of collection]]</f>
        <v>0</v>
      </c>
      <c r="AQ151" s="174">
        <f>Buildings_Water_Frontend[[#This Row],[Completeness]]</f>
        <v>0</v>
      </c>
      <c r="AR151" s="174">
        <f>Buildings_Water_Frontend[[#This Row],[Notes]]</f>
        <v>0</v>
      </c>
    </row>
    <row r="152" spans="5:44" x14ac:dyDescent="0.3">
      <c r="E152" s="346"/>
      <c r="F152" s="364"/>
      <c r="G152" s="336"/>
      <c r="H152" s="336"/>
      <c r="I152" s="334"/>
      <c r="J152" s="336"/>
      <c r="K152" s="336"/>
      <c r="L152" s="336"/>
      <c r="M152" s="337"/>
      <c r="N152" s="242">
        <f t="shared" si="5"/>
        <v>5</v>
      </c>
      <c r="Q152" s="212" t="str">
        <f t="shared" si="4"/>
        <v/>
      </c>
      <c r="R152" s="174" t="s">
        <v>265</v>
      </c>
      <c r="S152" s="174" t="s">
        <v>273</v>
      </c>
      <c r="T152" s="174" t="e">
        <f>_xlfn.XLOOKUP(Buildings_Water_Backend[[#This Row],[Info 1]],Buildings_SiteInfo[Site name],Buildings_SiteInfo[Site type])</f>
        <v>#N/A</v>
      </c>
      <c r="U152" s="174" t="s">
        <v>327</v>
      </c>
      <c r="V152" s="174">
        <f>Buildings_Water_Frontend[[#This Row],[Type]]</f>
        <v>0</v>
      </c>
      <c r="W152" s="174" t="e" cm="1">
        <f t="array" aca="1" ref="W152" ca="1">_xlfn.XLOOKUP(Buildings_Water_Backend[[#This Row],[Level 5]],rng_Level5Long,rng_Level6Long)</f>
        <v>#N/A</v>
      </c>
      <c r="X152" s="174">
        <f>Buildings_Water_Frontend[[#This Row],[Site Name]]</f>
        <v>0</v>
      </c>
      <c r="Y152" s="174">
        <f>Buildings_Water_Frontend[[#This Row],[Meter Reference]]</f>
        <v>0</v>
      </c>
      <c r="Z152" s="220">
        <f>Buildings_Water_Frontend[[#This Row],[Methodology]]</f>
        <v>0</v>
      </c>
      <c r="AA152" s="229" t="e" cm="1">
        <f t="array" ref="AA152">INDEX(_xlfn.SWITCH(Buildings_Water_Backend[[#This Row],[Methodology]],"Tier 1",rng_RSD1,"Tier 2",rng_RSD2,"Tier 3",rng_RSD3),MATCH(_xlfn.CONCAT(Buildings_Water_Backend[[#This Row],[Level 1]:[Level 6]]),rng_LevelsConcat,0))</f>
        <v>#N/A</v>
      </c>
      <c r="AB152" s="224">
        <f>Buildings_Water_Frontend[[#This Row],[Data]]</f>
        <v>0</v>
      </c>
      <c r="AC152" s="174">
        <f>Buildings_Water_Frontend[[#This Row],[Units]]</f>
        <v>0</v>
      </c>
      <c r="AD152" s="220" t="e">
        <f>IF(Buildings_Water_Backend[[#This Row],[Units]]=Buildings_Water_Backend[[#This Row],[Standard units]],Buildings_Water_Backend[[#This Row],[Data]],Buildings_Water_Backend[[#This Row],[Data]]*_xlfn.XLOOKUP(_xlfn.CONCAT(Buildings_Water_Backend[[#This Row],[Level 1]:[Level 6]]),rng_EFConcat,rng_EFConversion))</f>
        <v>#N/A</v>
      </c>
      <c r="AE152" s="174" t="e" cm="1">
        <f t="array" ref="AE152">_xlfn.XLOOKUP(_xlfn.CONCAT(Buildings_Water_Backend[[#This Row],[Level 1]:[Level 6]]),rng_LevelsConcat,rng_UnitsLong)</f>
        <v>#N/A</v>
      </c>
      <c r="AF152" s="210" t="e">
        <f>_xlfn.XLOOKUP(_xlfn.CONCAT(Buildings_Water_Backend[[#This Row],[Level 1]:[Level 6]]),rng_EFConcat,rng_EF1)*Buildings_Water_Backend[[#This Row],[Converted data]]/1000</f>
        <v>#N/A</v>
      </c>
      <c r="AG152" s="210" t="e">
        <f>_xlfn.XLOOKUP(_xlfn.CONCAT(Buildings_Water_Backend[[#This Row],[Level 1]:[Level 6]]),rng_EFConcat,rng_EF2)*Buildings_Water_Backend[[#This Row],[Converted data]]/1000</f>
        <v>#N/A</v>
      </c>
      <c r="AH152" s="210" t="e">
        <f>_xlfn.XLOOKUP(_xlfn.CONCAT(Buildings_Water_Backend[[#This Row],[Level 1]:[Level 6]]),rng_EFConcat,rng_EF3)*Buildings_Water_Backend[[#This Row],[Converted data]]/1000</f>
        <v>#N/A</v>
      </c>
      <c r="AI152" s="210" t="e">
        <f>_xlfn.XLOOKUP(_xlfn.CONCAT(Buildings_Water_Backend[[#This Row],[Level 1]:[Level 6]]),rng_EFConcat,rng_EF3WTT)*Buildings_Water_Backend[[#This Row],[Converted data]]/1000</f>
        <v>#N/A</v>
      </c>
      <c r="AJ152" s="210" t="e">
        <f>_xlfn.XLOOKUP(_xlfn.CONCAT(Buildings_Water_Backend[[#This Row],[Level 1]:[Level 6]]),rng_EFConcat,rng_EF3TD)*Buildings_Water_Backend[[#This Row],[Converted data]]/1000</f>
        <v>#N/A</v>
      </c>
      <c r="AK152" s="210" t="e">
        <f>_xlfn.XLOOKUP(_xlfn.CONCAT(Buildings_Water_Backend[[#This Row],[Level 1]:[Level 6]]),rng_EFConcat,rng_EF3WTTTD)*Buildings_Water_Backend[[#This Row],[Converted data]]/1000</f>
        <v>#N/A</v>
      </c>
      <c r="AL152" s="220" t="e">
        <f>SUM(Buildings_Water_Backend[[#This Row],[Scope 1 (tCO2e)]:[Scope 3 WTT T&amp;D (tCO2e)]])</f>
        <v>#N/A</v>
      </c>
      <c r="AM152" s="220" t="e">
        <f>Buildings_Water_Backend[[#This Row],[Total (tCO2e)]]*(1-Buildings_Water_Backend[[#This Row],[RSD]])</f>
        <v>#N/A</v>
      </c>
      <c r="AN152" s="220" t="e">
        <f>Buildings_Water_Backend[[#This Row],[Total (tCO2e)]]*(1+Buildings_Water_Backend[[#This Row],[RSD]])</f>
        <v>#N/A</v>
      </c>
      <c r="AO152" s="210" t="e">
        <f>_xlfn.XLOOKUP(_xlfn.CONCAT(Buildings_Water_Backend[[#This Row],[Level 1]:[Level 6]]),rng_EFConcat,rng_EFOOS)*Buildings_Water_Backend[[#This Row],[Converted data]]/1000</f>
        <v>#N/A</v>
      </c>
      <c r="AP152" s="174">
        <f>Buildings_Water_Frontend[[#This Row],[Ease of collection]]</f>
        <v>0</v>
      </c>
      <c r="AQ152" s="174">
        <f>Buildings_Water_Frontend[[#This Row],[Completeness]]</f>
        <v>0</v>
      </c>
      <c r="AR152" s="174">
        <f>Buildings_Water_Frontend[[#This Row],[Notes]]</f>
        <v>0</v>
      </c>
    </row>
    <row r="153" spans="5:44" x14ac:dyDescent="0.3">
      <c r="E153" s="346"/>
      <c r="F153" s="364"/>
      <c r="G153" s="336"/>
      <c r="H153" s="336"/>
      <c r="I153" s="334"/>
      <c r="J153" s="336"/>
      <c r="K153" s="336"/>
      <c r="L153" s="336"/>
      <c r="M153" s="337"/>
      <c r="N153" s="242">
        <f t="shared" si="5"/>
        <v>5</v>
      </c>
      <c r="Q153" s="212" t="str">
        <f t="shared" si="4"/>
        <v/>
      </c>
      <c r="R153" s="174" t="s">
        <v>265</v>
      </c>
      <c r="S153" s="174" t="s">
        <v>273</v>
      </c>
      <c r="T153" s="174" t="e">
        <f>_xlfn.XLOOKUP(Buildings_Water_Backend[[#This Row],[Info 1]],Buildings_SiteInfo[Site name],Buildings_SiteInfo[Site type])</f>
        <v>#N/A</v>
      </c>
      <c r="U153" s="174" t="s">
        <v>327</v>
      </c>
      <c r="V153" s="174">
        <f>Buildings_Water_Frontend[[#This Row],[Type]]</f>
        <v>0</v>
      </c>
      <c r="W153" s="174" t="e" cm="1">
        <f t="array" aca="1" ref="W153" ca="1">_xlfn.XLOOKUP(Buildings_Water_Backend[[#This Row],[Level 5]],rng_Level5Long,rng_Level6Long)</f>
        <v>#N/A</v>
      </c>
      <c r="X153" s="174">
        <f>Buildings_Water_Frontend[[#This Row],[Site Name]]</f>
        <v>0</v>
      </c>
      <c r="Y153" s="174">
        <f>Buildings_Water_Frontend[[#This Row],[Meter Reference]]</f>
        <v>0</v>
      </c>
      <c r="Z153" s="220">
        <f>Buildings_Water_Frontend[[#This Row],[Methodology]]</f>
        <v>0</v>
      </c>
      <c r="AA153" s="229" t="e" cm="1">
        <f t="array" ref="AA153">INDEX(_xlfn.SWITCH(Buildings_Water_Backend[[#This Row],[Methodology]],"Tier 1",rng_RSD1,"Tier 2",rng_RSD2,"Tier 3",rng_RSD3),MATCH(_xlfn.CONCAT(Buildings_Water_Backend[[#This Row],[Level 1]:[Level 6]]),rng_LevelsConcat,0))</f>
        <v>#N/A</v>
      </c>
      <c r="AB153" s="224">
        <f>Buildings_Water_Frontend[[#This Row],[Data]]</f>
        <v>0</v>
      </c>
      <c r="AC153" s="174">
        <f>Buildings_Water_Frontend[[#This Row],[Units]]</f>
        <v>0</v>
      </c>
      <c r="AD153" s="220" t="e">
        <f>IF(Buildings_Water_Backend[[#This Row],[Units]]=Buildings_Water_Backend[[#This Row],[Standard units]],Buildings_Water_Backend[[#This Row],[Data]],Buildings_Water_Backend[[#This Row],[Data]]*_xlfn.XLOOKUP(_xlfn.CONCAT(Buildings_Water_Backend[[#This Row],[Level 1]:[Level 6]]),rng_EFConcat,rng_EFConversion))</f>
        <v>#N/A</v>
      </c>
      <c r="AE153" s="174" t="e" cm="1">
        <f t="array" ref="AE153">_xlfn.XLOOKUP(_xlfn.CONCAT(Buildings_Water_Backend[[#This Row],[Level 1]:[Level 6]]),rng_LevelsConcat,rng_UnitsLong)</f>
        <v>#N/A</v>
      </c>
      <c r="AF153" s="210" t="e">
        <f>_xlfn.XLOOKUP(_xlfn.CONCAT(Buildings_Water_Backend[[#This Row],[Level 1]:[Level 6]]),rng_EFConcat,rng_EF1)*Buildings_Water_Backend[[#This Row],[Converted data]]/1000</f>
        <v>#N/A</v>
      </c>
      <c r="AG153" s="210" t="e">
        <f>_xlfn.XLOOKUP(_xlfn.CONCAT(Buildings_Water_Backend[[#This Row],[Level 1]:[Level 6]]),rng_EFConcat,rng_EF2)*Buildings_Water_Backend[[#This Row],[Converted data]]/1000</f>
        <v>#N/A</v>
      </c>
      <c r="AH153" s="210" t="e">
        <f>_xlfn.XLOOKUP(_xlfn.CONCAT(Buildings_Water_Backend[[#This Row],[Level 1]:[Level 6]]),rng_EFConcat,rng_EF3)*Buildings_Water_Backend[[#This Row],[Converted data]]/1000</f>
        <v>#N/A</v>
      </c>
      <c r="AI153" s="210" t="e">
        <f>_xlfn.XLOOKUP(_xlfn.CONCAT(Buildings_Water_Backend[[#This Row],[Level 1]:[Level 6]]),rng_EFConcat,rng_EF3WTT)*Buildings_Water_Backend[[#This Row],[Converted data]]/1000</f>
        <v>#N/A</v>
      </c>
      <c r="AJ153" s="210" t="e">
        <f>_xlfn.XLOOKUP(_xlfn.CONCAT(Buildings_Water_Backend[[#This Row],[Level 1]:[Level 6]]),rng_EFConcat,rng_EF3TD)*Buildings_Water_Backend[[#This Row],[Converted data]]/1000</f>
        <v>#N/A</v>
      </c>
      <c r="AK153" s="210" t="e">
        <f>_xlfn.XLOOKUP(_xlfn.CONCAT(Buildings_Water_Backend[[#This Row],[Level 1]:[Level 6]]),rng_EFConcat,rng_EF3WTTTD)*Buildings_Water_Backend[[#This Row],[Converted data]]/1000</f>
        <v>#N/A</v>
      </c>
      <c r="AL153" s="220" t="e">
        <f>SUM(Buildings_Water_Backend[[#This Row],[Scope 1 (tCO2e)]:[Scope 3 WTT T&amp;D (tCO2e)]])</f>
        <v>#N/A</v>
      </c>
      <c r="AM153" s="220" t="e">
        <f>Buildings_Water_Backend[[#This Row],[Total (tCO2e)]]*(1-Buildings_Water_Backend[[#This Row],[RSD]])</f>
        <v>#N/A</v>
      </c>
      <c r="AN153" s="220" t="e">
        <f>Buildings_Water_Backend[[#This Row],[Total (tCO2e)]]*(1+Buildings_Water_Backend[[#This Row],[RSD]])</f>
        <v>#N/A</v>
      </c>
      <c r="AO153" s="210" t="e">
        <f>_xlfn.XLOOKUP(_xlfn.CONCAT(Buildings_Water_Backend[[#This Row],[Level 1]:[Level 6]]),rng_EFConcat,rng_EFOOS)*Buildings_Water_Backend[[#This Row],[Converted data]]/1000</f>
        <v>#N/A</v>
      </c>
      <c r="AP153" s="174">
        <f>Buildings_Water_Frontend[[#This Row],[Ease of collection]]</f>
        <v>0</v>
      </c>
      <c r="AQ153" s="174">
        <f>Buildings_Water_Frontend[[#This Row],[Completeness]]</f>
        <v>0</v>
      </c>
      <c r="AR153" s="174">
        <f>Buildings_Water_Frontend[[#This Row],[Notes]]</f>
        <v>0</v>
      </c>
    </row>
    <row r="154" spans="5:44" x14ac:dyDescent="0.3">
      <c r="E154" s="346"/>
      <c r="F154" s="364"/>
      <c r="G154" s="336"/>
      <c r="H154" s="336"/>
      <c r="I154" s="334"/>
      <c r="J154" s="336"/>
      <c r="K154" s="336"/>
      <c r="L154" s="336"/>
      <c r="M154" s="337"/>
      <c r="N154" s="242">
        <f t="shared" si="5"/>
        <v>5</v>
      </c>
      <c r="Q154" s="212" t="str">
        <f t="shared" si="4"/>
        <v/>
      </c>
      <c r="R154" s="174" t="s">
        <v>265</v>
      </c>
      <c r="S154" s="174" t="s">
        <v>273</v>
      </c>
      <c r="T154" s="174" t="e">
        <f>_xlfn.XLOOKUP(Buildings_Water_Backend[[#This Row],[Info 1]],Buildings_SiteInfo[Site name],Buildings_SiteInfo[Site type])</f>
        <v>#N/A</v>
      </c>
      <c r="U154" s="174" t="s">
        <v>327</v>
      </c>
      <c r="V154" s="174">
        <f>Buildings_Water_Frontend[[#This Row],[Type]]</f>
        <v>0</v>
      </c>
      <c r="W154" s="174" t="e" cm="1">
        <f t="array" aca="1" ref="W154" ca="1">_xlfn.XLOOKUP(Buildings_Water_Backend[[#This Row],[Level 5]],rng_Level5Long,rng_Level6Long)</f>
        <v>#N/A</v>
      </c>
      <c r="X154" s="174">
        <f>Buildings_Water_Frontend[[#This Row],[Site Name]]</f>
        <v>0</v>
      </c>
      <c r="Y154" s="174">
        <f>Buildings_Water_Frontend[[#This Row],[Meter Reference]]</f>
        <v>0</v>
      </c>
      <c r="Z154" s="220">
        <f>Buildings_Water_Frontend[[#This Row],[Methodology]]</f>
        <v>0</v>
      </c>
      <c r="AA154" s="229" t="e" cm="1">
        <f t="array" ref="AA154">INDEX(_xlfn.SWITCH(Buildings_Water_Backend[[#This Row],[Methodology]],"Tier 1",rng_RSD1,"Tier 2",rng_RSD2,"Tier 3",rng_RSD3),MATCH(_xlfn.CONCAT(Buildings_Water_Backend[[#This Row],[Level 1]:[Level 6]]),rng_LevelsConcat,0))</f>
        <v>#N/A</v>
      </c>
      <c r="AB154" s="224">
        <f>Buildings_Water_Frontend[[#This Row],[Data]]</f>
        <v>0</v>
      </c>
      <c r="AC154" s="174">
        <f>Buildings_Water_Frontend[[#This Row],[Units]]</f>
        <v>0</v>
      </c>
      <c r="AD154" s="220" t="e">
        <f>IF(Buildings_Water_Backend[[#This Row],[Units]]=Buildings_Water_Backend[[#This Row],[Standard units]],Buildings_Water_Backend[[#This Row],[Data]],Buildings_Water_Backend[[#This Row],[Data]]*_xlfn.XLOOKUP(_xlfn.CONCAT(Buildings_Water_Backend[[#This Row],[Level 1]:[Level 6]]),rng_EFConcat,rng_EFConversion))</f>
        <v>#N/A</v>
      </c>
      <c r="AE154" s="174" t="e" cm="1">
        <f t="array" ref="AE154">_xlfn.XLOOKUP(_xlfn.CONCAT(Buildings_Water_Backend[[#This Row],[Level 1]:[Level 6]]),rng_LevelsConcat,rng_UnitsLong)</f>
        <v>#N/A</v>
      </c>
      <c r="AF154" s="210" t="e">
        <f>_xlfn.XLOOKUP(_xlfn.CONCAT(Buildings_Water_Backend[[#This Row],[Level 1]:[Level 6]]),rng_EFConcat,rng_EF1)*Buildings_Water_Backend[[#This Row],[Converted data]]/1000</f>
        <v>#N/A</v>
      </c>
      <c r="AG154" s="210" t="e">
        <f>_xlfn.XLOOKUP(_xlfn.CONCAT(Buildings_Water_Backend[[#This Row],[Level 1]:[Level 6]]),rng_EFConcat,rng_EF2)*Buildings_Water_Backend[[#This Row],[Converted data]]/1000</f>
        <v>#N/A</v>
      </c>
      <c r="AH154" s="210" t="e">
        <f>_xlfn.XLOOKUP(_xlfn.CONCAT(Buildings_Water_Backend[[#This Row],[Level 1]:[Level 6]]),rng_EFConcat,rng_EF3)*Buildings_Water_Backend[[#This Row],[Converted data]]/1000</f>
        <v>#N/A</v>
      </c>
      <c r="AI154" s="210" t="e">
        <f>_xlfn.XLOOKUP(_xlfn.CONCAT(Buildings_Water_Backend[[#This Row],[Level 1]:[Level 6]]),rng_EFConcat,rng_EF3WTT)*Buildings_Water_Backend[[#This Row],[Converted data]]/1000</f>
        <v>#N/A</v>
      </c>
      <c r="AJ154" s="210" t="e">
        <f>_xlfn.XLOOKUP(_xlfn.CONCAT(Buildings_Water_Backend[[#This Row],[Level 1]:[Level 6]]),rng_EFConcat,rng_EF3TD)*Buildings_Water_Backend[[#This Row],[Converted data]]/1000</f>
        <v>#N/A</v>
      </c>
      <c r="AK154" s="210" t="e">
        <f>_xlfn.XLOOKUP(_xlfn.CONCAT(Buildings_Water_Backend[[#This Row],[Level 1]:[Level 6]]),rng_EFConcat,rng_EF3WTTTD)*Buildings_Water_Backend[[#This Row],[Converted data]]/1000</f>
        <v>#N/A</v>
      </c>
      <c r="AL154" s="220" t="e">
        <f>SUM(Buildings_Water_Backend[[#This Row],[Scope 1 (tCO2e)]:[Scope 3 WTT T&amp;D (tCO2e)]])</f>
        <v>#N/A</v>
      </c>
      <c r="AM154" s="220" t="e">
        <f>Buildings_Water_Backend[[#This Row],[Total (tCO2e)]]*(1-Buildings_Water_Backend[[#This Row],[RSD]])</f>
        <v>#N/A</v>
      </c>
      <c r="AN154" s="220" t="e">
        <f>Buildings_Water_Backend[[#This Row],[Total (tCO2e)]]*(1+Buildings_Water_Backend[[#This Row],[RSD]])</f>
        <v>#N/A</v>
      </c>
      <c r="AO154" s="210" t="e">
        <f>_xlfn.XLOOKUP(_xlfn.CONCAT(Buildings_Water_Backend[[#This Row],[Level 1]:[Level 6]]),rng_EFConcat,rng_EFOOS)*Buildings_Water_Backend[[#This Row],[Converted data]]/1000</f>
        <v>#N/A</v>
      </c>
      <c r="AP154" s="174">
        <f>Buildings_Water_Frontend[[#This Row],[Ease of collection]]</f>
        <v>0</v>
      </c>
      <c r="AQ154" s="174">
        <f>Buildings_Water_Frontend[[#This Row],[Completeness]]</f>
        <v>0</v>
      </c>
      <c r="AR154" s="174">
        <f>Buildings_Water_Frontend[[#This Row],[Notes]]</f>
        <v>0</v>
      </c>
    </row>
    <row r="155" spans="5:44" x14ac:dyDescent="0.3">
      <c r="E155" s="346"/>
      <c r="F155" s="364"/>
      <c r="G155" s="336"/>
      <c r="H155" s="336"/>
      <c r="I155" s="334"/>
      <c r="J155" s="336"/>
      <c r="K155" s="336"/>
      <c r="L155" s="336"/>
      <c r="M155" s="337"/>
      <c r="N155" s="242">
        <f t="shared" si="5"/>
        <v>5</v>
      </c>
      <c r="Q155" s="212" t="str">
        <f t="shared" si="4"/>
        <v/>
      </c>
      <c r="R155" s="174" t="s">
        <v>265</v>
      </c>
      <c r="S155" s="174" t="s">
        <v>273</v>
      </c>
      <c r="T155" s="174" t="e">
        <f>_xlfn.XLOOKUP(Buildings_Water_Backend[[#This Row],[Info 1]],Buildings_SiteInfo[Site name],Buildings_SiteInfo[Site type])</f>
        <v>#N/A</v>
      </c>
      <c r="U155" s="174" t="s">
        <v>327</v>
      </c>
      <c r="V155" s="174">
        <f>Buildings_Water_Frontend[[#This Row],[Type]]</f>
        <v>0</v>
      </c>
      <c r="W155" s="174" t="e" cm="1">
        <f t="array" aca="1" ref="W155" ca="1">_xlfn.XLOOKUP(Buildings_Water_Backend[[#This Row],[Level 5]],rng_Level5Long,rng_Level6Long)</f>
        <v>#N/A</v>
      </c>
      <c r="X155" s="174">
        <f>Buildings_Water_Frontend[[#This Row],[Site Name]]</f>
        <v>0</v>
      </c>
      <c r="Y155" s="174">
        <f>Buildings_Water_Frontend[[#This Row],[Meter Reference]]</f>
        <v>0</v>
      </c>
      <c r="Z155" s="220">
        <f>Buildings_Water_Frontend[[#This Row],[Methodology]]</f>
        <v>0</v>
      </c>
      <c r="AA155" s="229" t="e" cm="1">
        <f t="array" ref="AA155">INDEX(_xlfn.SWITCH(Buildings_Water_Backend[[#This Row],[Methodology]],"Tier 1",rng_RSD1,"Tier 2",rng_RSD2,"Tier 3",rng_RSD3),MATCH(_xlfn.CONCAT(Buildings_Water_Backend[[#This Row],[Level 1]:[Level 6]]),rng_LevelsConcat,0))</f>
        <v>#N/A</v>
      </c>
      <c r="AB155" s="224">
        <f>Buildings_Water_Frontend[[#This Row],[Data]]</f>
        <v>0</v>
      </c>
      <c r="AC155" s="174">
        <f>Buildings_Water_Frontend[[#This Row],[Units]]</f>
        <v>0</v>
      </c>
      <c r="AD155" s="220" t="e">
        <f>IF(Buildings_Water_Backend[[#This Row],[Units]]=Buildings_Water_Backend[[#This Row],[Standard units]],Buildings_Water_Backend[[#This Row],[Data]],Buildings_Water_Backend[[#This Row],[Data]]*_xlfn.XLOOKUP(_xlfn.CONCAT(Buildings_Water_Backend[[#This Row],[Level 1]:[Level 6]]),rng_EFConcat,rng_EFConversion))</f>
        <v>#N/A</v>
      </c>
      <c r="AE155" s="174" t="e" cm="1">
        <f t="array" ref="AE155">_xlfn.XLOOKUP(_xlfn.CONCAT(Buildings_Water_Backend[[#This Row],[Level 1]:[Level 6]]),rng_LevelsConcat,rng_UnitsLong)</f>
        <v>#N/A</v>
      </c>
      <c r="AF155" s="210" t="e">
        <f>_xlfn.XLOOKUP(_xlfn.CONCAT(Buildings_Water_Backend[[#This Row],[Level 1]:[Level 6]]),rng_EFConcat,rng_EF1)*Buildings_Water_Backend[[#This Row],[Converted data]]/1000</f>
        <v>#N/A</v>
      </c>
      <c r="AG155" s="210" t="e">
        <f>_xlfn.XLOOKUP(_xlfn.CONCAT(Buildings_Water_Backend[[#This Row],[Level 1]:[Level 6]]),rng_EFConcat,rng_EF2)*Buildings_Water_Backend[[#This Row],[Converted data]]/1000</f>
        <v>#N/A</v>
      </c>
      <c r="AH155" s="210" t="e">
        <f>_xlfn.XLOOKUP(_xlfn.CONCAT(Buildings_Water_Backend[[#This Row],[Level 1]:[Level 6]]),rng_EFConcat,rng_EF3)*Buildings_Water_Backend[[#This Row],[Converted data]]/1000</f>
        <v>#N/A</v>
      </c>
      <c r="AI155" s="210" t="e">
        <f>_xlfn.XLOOKUP(_xlfn.CONCAT(Buildings_Water_Backend[[#This Row],[Level 1]:[Level 6]]),rng_EFConcat,rng_EF3WTT)*Buildings_Water_Backend[[#This Row],[Converted data]]/1000</f>
        <v>#N/A</v>
      </c>
      <c r="AJ155" s="210" t="e">
        <f>_xlfn.XLOOKUP(_xlfn.CONCAT(Buildings_Water_Backend[[#This Row],[Level 1]:[Level 6]]),rng_EFConcat,rng_EF3TD)*Buildings_Water_Backend[[#This Row],[Converted data]]/1000</f>
        <v>#N/A</v>
      </c>
      <c r="AK155" s="210" t="e">
        <f>_xlfn.XLOOKUP(_xlfn.CONCAT(Buildings_Water_Backend[[#This Row],[Level 1]:[Level 6]]),rng_EFConcat,rng_EF3WTTTD)*Buildings_Water_Backend[[#This Row],[Converted data]]/1000</f>
        <v>#N/A</v>
      </c>
      <c r="AL155" s="220" t="e">
        <f>SUM(Buildings_Water_Backend[[#This Row],[Scope 1 (tCO2e)]:[Scope 3 WTT T&amp;D (tCO2e)]])</f>
        <v>#N/A</v>
      </c>
      <c r="AM155" s="220" t="e">
        <f>Buildings_Water_Backend[[#This Row],[Total (tCO2e)]]*(1-Buildings_Water_Backend[[#This Row],[RSD]])</f>
        <v>#N/A</v>
      </c>
      <c r="AN155" s="220" t="e">
        <f>Buildings_Water_Backend[[#This Row],[Total (tCO2e)]]*(1+Buildings_Water_Backend[[#This Row],[RSD]])</f>
        <v>#N/A</v>
      </c>
      <c r="AO155" s="210" t="e">
        <f>_xlfn.XLOOKUP(_xlfn.CONCAT(Buildings_Water_Backend[[#This Row],[Level 1]:[Level 6]]),rng_EFConcat,rng_EFOOS)*Buildings_Water_Backend[[#This Row],[Converted data]]/1000</f>
        <v>#N/A</v>
      </c>
      <c r="AP155" s="174">
        <f>Buildings_Water_Frontend[[#This Row],[Ease of collection]]</f>
        <v>0</v>
      </c>
      <c r="AQ155" s="174">
        <f>Buildings_Water_Frontend[[#This Row],[Completeness]]</f>
        <v>0</v>
      </c>
      <c r="AR155" s="174">
        <f>Buildings_Water_Frontend[[#This Row],[Notes]]</f>
        <v>0</v>
      </c>
    </row>
    <row r="156" spans="5:44" x14ac:dyDescent="0.3">
      <c r="E156" s="346"/>
      <c r="F156" s="364"/>
      <c r="G156" s="336"/>
      <c r="H156" s="336"/>
      <c r="I156" s="334"/>
      <c r="J156" s="336"/>
      <c r="K156" s="336"/>
      <c r="L156" s="336"/>
      <c r="M156" s="337"/>
      <c r="N156" s="242">
        <f t="shared" si="5"/>
        <v>5</v>
      </c>
      <c r="Q156" s="212" t="str">
        <f t="shared" si="4"/>
        <v/>
      </c>
      <c r="R156" s="174" t="s">
        <v>265</v>
      </c>
      <c r="S156" s="174" t="s">
        <v>273</v>
      </c>
      <c r="T156" s="174" t="e">
        <f>_xlfn.XLOOKUP(Buildings_Water_Backend[[#This Row],[Info 1]],Buildings_SiteInfo[Site name],Buildings_SiteInfo[Site type])</f>
        <v>#N/A</v>
      </c>
      <c r="U156" s="174" t="s">
        <v>327</v>
      </c>
      <c r="V156" s="174">
        <f>Buildings_Water_Frontend[[#This Row],[Type]]</f>
        <v>0</v>
      </c>
      <c r="W156" s="174" t="e" cm="1">
        <f t="array" aca="1" ref="W156" ca="1">_xlfn.XLOOKUP(Buildings_Water_Backend[[#This Row],[Level 5]],rng_Level5Long,rng_Level6Long)</f>
        <v>#N/A</v>
      </c>
      <c r="X156" s="174">
        <f>Buildings_Water_Frontend[[#This Row],[Site Name]]</f>
        <v>0</v>
      </c>
      <c r="Y156" s="174">
        <f>Buildings_Water_Frontend[[#This Row],[Meter Reference]]</f>
        <v>0</v>
      </c>
      <c r="Z156" s="220">
        <f>Buildings_Water_Frontend[[#This Row],[Methodology]]</f>
        <v>0</v>
      </c>
      <c r="AA156" s="229" t="e" cm="1">
        <f t="array" ref="AA156">INDEX(_xlfn.SWITCH(Buildings_Water_Backend[[#This Row],[Methodology]],"Tier 1",rng_RSD1,"Tier 2",rng_RSD2,"Tier 3",rng_RSD3),MATCH(_xlfn.CONCAT(Buildings_Water_Backend[[#This Row],[Level 1]:[Level 6]]),rng_LevelsConcat,0))</f>
        <v>#N/A</v>
      </c>
      <c r="AB156" s="224">
        <f>Buildings_Water_Frontend[[#This Row],[Data]]</f>
        <v>0</v>
      </c>
      <c r="AC156" s="174">
        <f>Buildings_Water_Frontend[[#This Row],[Units]]</f>
        <v>0</v>
      </c>
      <c r="AD156" s="220" t="e">
        <f>IF(Buildings_Water_Backend[[#This Row],[Units]]=Buildings_Water_Backend[[#This Row],[Standard units]],Buildings_Water_Backend[[#This Row],[Data]],Buildings_Water_Backend[[#This Row],[Data]]*_xlfn.XLOOKUP(_xlfn.CONCAT(Buildings_Water_Backend[[#This Row],[Level 1]:[Level 6]]),rng_EFConcat,rng_EFConversion))</f>
        <v>#N/A</v>
      </c>
      <c r="AE156" s="174" t="e" cm="1">
        <f t="array" ref="AE156">_xlfn.XLOOKUP(_xlfn.CONCAT(Buildings_Water_Backend[[#This Row],[Level 1]:[Level 6]]),rng_LevelsConcat,rng_UnitsLong)</f>
        <v>#N/A</v>
      </c>
      <c r="AF156" s="210" t="e">
        <f>_xlfn.XLOOKUP(_xlfn.CONCAT(Buildings_Water_Backend[[#This Row],[Level 1]:[Level 6]]),rng_EFConcat,rng_EF1)*Buildings_Water_Backend[[#This Row],[Converted data]]/1000</f>
        <v>#N/A</v>
      </c>
      <c r="AG156" s="210" t="e">
        <f>_xlfn.XLOOKUP(_xlfn.CONCAT(Buildings_Water_Backend[[#This Row],[Level 1]:[Level 6]]),rng_EFConcat,rng_EF2)*Buildings_Water_Backend[[#This Row],[Converted data]]/1000</f>
        <v>#N/A</v>
      </c>
      <c r="AH156" s="210" t="e">
        <f>_xlfn.XLOOKUP(_xlfn.CONCAT(Buildings_Water_Backend[[#This Row],[Level 1]:[Level 6]]),rng_EFConcat,rng_EF3)*Buildings_Water_Backend[[#This Row],[Converted data]]/1000</f>
        <v>#N/A</v>
      </c>
      <c r="AI156" s="210" t="e">
        <f>_xlfn.XLOOKUP(_xlfn.CONCAT(Buildings_Water_Backend[[#This Row],[Level 1]:[Level 6]]),rng_EFConcat,rng_EF3WTT)*Buildings_Water_Backend[[#This Row],[Converted data]]/1000</f>
        <v>#N/A</v>
      </c>
      <c r="AJ156" s="210" t="e">
        <f>_xlfn.XLOOKUP(_xlfn.CONCAT(Buildings_Water_Backend[[#This Row],[Level 1]:[Level 6]]),rng_EFConcat,rng_EF3TD)*Buildings_Water_Backend[[#This Row],[Converted data]]/1000</f>
        <v>#N/A</v>
      </c>
      <c r="AK156" s="210" t="e">
        <f>_xlfn.XLOOKUP(_xlfn.CONCAT(Buildings_Water_Backend[[#This Row],[Level 1]:[Level 6]]),rng_EFConcat,rng_EF3WTTTD)*Buildings_Water_Backend[[#This Row],[Converted data]]/1000</f>
        <v>#N/A</v>
      </c>
      <c r="AL156" s="220" t="e">
        <f>SUM(Buildings_Water_Backend[[#This Row],[Scope 1 (tCO2e)]:[Scope 3 WTT T&amp;D (tCO2e)]])</f>
        <v>#N/A</v>
      </c>
      <c r="AM156" s="220" t="e">
        <f>Buildings_Water_Backend[[#This Row],[Total (tCO2e)]]*(1-Buildings_Water_Backend[[#This Row],[RSD]])</f>
        <v>#N/A</v>
      </c>
      <c r="AN156" s="220" t="e">
        <f>Buildings_Water_Backend[[#This Row],[Total (tCO2e)]]*(1+Buildings_Water_Backend[[#This Row],[RSD]])</f>
        <v>#N/A</v>
      </c>
      <c r="AO156" s="210" t="e">
        <f>_xlfn.XLOOKUP(_xlfn.CONCAT(Buildings_Water_Backend[[#This Row],[Level 1]:[Level 6]]),rng_EFConcat,rng_EFOOS)*Buildings_Water_Backend[[#This Row],[Converted data]]/1000</f>
        <v>#N/A</v>
      </c>
      <c r="AP156" s="174">
        <f>Buildings_Water_Frontend[[#This Row],[Ease of collection]]</f>
        <v>0</v>
      </c>
      <c r="AQ156" s="174">
        <f>Buildings_Water_Frontend[[#This Row],[Completeness]]</f>
        <v>0</v>
      </c>
      <c r="AR156" s="174">
        <f>Buildings_Water_Frontend[[#This Row],[Notes]]</f>
        <v>0</v>
      </c>
    </row>
    <row r="157" spans="5:44" x14ac:dyDescent="0.3">
      <c r="E157" s="346"/>
      <c r="F157" s="364"/>
      <c r="G157" s="336"/>
      <c r="H157" s="336"/>
      <c r="I157" s="334"/>
      <c r="J157" s="336"/>
      <c r="K157" s="336"/>
      <c r="L157" s="336"/>
      <c r="M157" s="337"/>
      <c r="N157" s="242">
        <f t="shared" si="5"/>
        <v>5</v>
      </c>
      <c r="Q157" s="212" t="str">
        <f t="shared" si="4"/>
        <v/>
      </c>
      <c r="R157" s="174" t="s">
        <v>265</v>
      </c>
      <c r="S157" s="174" t="s">
        <v>273</v>
      </c>
      <c r="T157" s="174" t="e">
        <f>_xlfn.XLOOKUP(Buildings_Water_Backend[[#This Row],[Info 1]],Buildings_SiteInfo[Site name],Buildings_SiteInfo[Site type])</f>
        <v>#N/A</v>
      </c>
      <c r="U157" s="174" t="s">
        <v>327</v>
      </c>
      <c r="V157" s="174">
        <f>Buildings_Water_Frontend[[#This Row],[Type]]</f>
        <v>0</v>
      </c>
      <c r="W157" s="174" t="e" cm="1">
        <f t="array" aca="1" ref="W157" ca="1">_xlfn.XLOOKUP(Buildings_Water_Backend[[#This Row],[Level 5]],rng_Level5Long,rng_Level6Long)</f>
        <v>#N/A</v>
      </c>
      <c r="X157" s="174">
        <f>Buildings_Water_Frontend[[#This Row],[Site Name]]</f>
        <v>0</v>
      </c>
      <c r="Y157" s="174">
        <f>Buildings_Water_Frontend[[#This Row],[Meter Reference]]</f>
        <v>0</v>
      </c>
      <c r="Z157" s="220">
        <f>Buildings_Water_Frontend[[#This Row],[Methodology]]</f>
        <v>0</v>
      </c>
      <c r="AA157" s="229" t="e" cm="1">
        <f t="array" ref="AA157">INDEX(_xlfn.SWITCH(Buildings_Water_Backend[[#This Row],[Methodology]],"Tier 1",rng_RSD1,"Tier 2",rng_RSD2,"Tier 3",rng_RSD3),MATCH(_xlfn.CONCAT(Buildings_Water_Backend[[#This Row],[Level 1]:[Level 6]]),rng_LevelsConcat,0))</f>
        <v>#N/A</v>
      </c>
      <c r="AB157" s="224">
        <f>Buildings_Water_Frontend[[#This Row],[Data]]</f>
        <v>0</v>
      </c>
      <c r="AC157" s="174">
        <f>Buildings_Water_Frontend[[#This Row],[Units]]</f>
        <v>0</v>
      </c>
      <c r="AD157" s="220" t="e">
        <f>IF(Buildings_Water_Backend[[#This Row],[Units]]=Buildings_Water_Backend[[#This Row],[Standard units]],Buildings_Water_Backend[[#This Row],[Data]],Buildings_Water_Backend[[#This Row],[Data]]*_xlfn.XLOOKUP(_xlfn.CONCAT(Buildings_Water_Backend[[#This Row],[Level 1]:[Level 6]]),rng_EFConcat,rng_EFConversion))</f>
        <v>#N/A</v>
      </c>
      <c r="AE157" s="174" t="e" cm="1">
        <f t="array" ref="AE157">_xlfn.XLOOKUP(_xlfn.CONCAT(Buildings_Water_Backend[[#This Row],[Level 1]:[Level 6]]),rng_LevelsConcat,rng_UnitsLong)</f>
        <v>#N/A</v>
      </c>
      <c r="AF157" s="210" t="e">
        <f>_xlfn.XLOOKUP(_xlfn.CONCAT(Buildings_Water_Backend[[#This Row],[Level 1]:[Level 6]]),rng_EFConcat,rng_EF1)*Buildings_Water_Backend[[#This Row],[Converted data]]/1000</f>
        <v>#N/A</v>
      </c>
      <c r="AG157" s="210" t="e">
        <f>_xlfn.XLOOKUP(_xlfn.CONCAT(Buildings_Water_Backend[[#This Row],[Level 1]:[Level 6]]),rng_EFConcat,rng_EF2)*Buildings_Water_Backend[[#This Row],[Converted data]]/1000</f>
        <v>#N/A</v>
      </c>
      <c r="AH157" s="210" t="e">
        <f>_xlfn.XLOOKUP(_xlfn.CONCAT(Buildings_Water_Backend[[#This Row],[Level 1]:[Level 6]]),rng_EFConcat,rng_EF3)*Buildings_Water_Backend[[#This Row],[Converted data]]/1000</f>
        <v>#N/A</v>
      </c>
      <c r="AI157" s="210" t="e">
        <f>_xlfn.XLOOKUP(_xlfn.CONCAT(Buildings_Water_Backend[[#This Row],[Level 1]:[Level 6]]),rng_EFConcat,rng_EF3WTT)*Buildings_Water_Backend[[#This Row],[Converted data]]/1000</f>
        <v>#N/A</v>
      </c>
      <c r="AJ157" s="210" t="e">
        <f>_xlfn.XLOOKUP(_xlfn.CONCAT(Buildings_Water_Backend[[#This Row],[Level 1]:[Level 6]]),rng_EFConcat,rng_EF3TD)*Buildings_Water_Backend[[#This Row],[Converted data]]/1000</f>
        <v>#N/A</v>
      </c>
      <c r="AK157" s="210" t="e">
        <f>_xlfn.XLOOKUP(_xlfn.CONCAT(Buildings_Water_Backend[[#This Row],[Level 1]:[Level 6]]),rng_EFConcat,rng_EF3WTTTD)*Buildings_Water_Backend[[#This Row],[Converted data]]/1000</f>
        <v>#N/A</v>
      </c>
      <c r="AL157" s="220" t="e">
        <f>SUM(Buildings_Water_Backend[[#This Row],[Scope 1 (tCO2e)]:[Scope 3 WTT T&amp;D (tCO2e)]])</f>
        <v>#N/A</v>
      </c>
      <c r="AM157" s="220" t="e">
        <f>Buildings_Water_Backend[[#This Row],[Total (tCO2e)]]*(1-Buildings_Water_Backend[[#This Row],[RSD]])</f>
        <v>#N/A</v>
      </c>
      <c r="AN157" s="220" t="e">
        <f>Buildings_Water_Backend[[#This Row],[Total (tCO2e)]]*(1+Buildings_Water_Backend[[#This Row],[RSD]])</f>
        <v>#N/A</v>
      </c>
      <c r="AO157" s="210" t="e">
        <f>_xlfn.XLOOKUP(_xlfn.CONCAT(Buildings_Water_Backend[[#This Row],[Level 1]:[Level 6]]),rng_EFConcat,rng_EFOOS)*Buildings_Water_Backend[[#This Row],[Converted data]]/1000</f>
        <v>#N/A</v>
      </c>
      <c r="AP157" s="174">
        <f>Buildings_Water_Frontend[[#This Row],[Ease of collection]]</f>
        <v>0</v>
      </c>
      <c r="AQ157" s="174">
        <f>Buildings_Water_Frontend[[#This Row],[Completeness]]</f>
        <v>0</v>
      </c>
      <c r="AR157" s="174">
        <f>Buildings_Water_Frontend[[#This Row],[Notes]]</f>
        <v>0</v>
      </c>
    </row>
    <row r="158" spans="5:44" x14ac:dyDescent="0.3">
      <c r="E158" s="346"/>
      <c r="F158" s="364"/>
      <c r="G158" s="336"/>
      <c r="H158" s="336"/>
      <c r="I158" s="334"/>
      <c r="J158" s="336"/>
      <c r="K158" s="336"/>
      <c r="L158" s="336"/>
      <c r="M158" s="337"/>
      <c r="N158" s="242">
        <f t="shared" si="5"/>
        <v>5</v>
      </c>
      <c r="Q158" s="212" t="str">
        <f t="shared" si="4"/>
        <v/>
      </c>
      <c r="R158" s="174" t="s">
        <v>265</v>
      </c>
      <c r="S158" s="174" t="s">
        <v>273</v>
      </c>
      <c r="T158" s="174" t="e">
        <f>_xlfn.XLOOKUP(Buildings_Water_Backend[[#This Row],[Info 1]],Buildings_SiteInfo[Site name],Buildings_SiteInfo[Site type])</f>
        <v>#N/A</v>
      </c>
      <c r="U158" s="174" t="s">
        <v>327</v>
      </c>
      <c r="V158" s="174">
        <f>Buildings_Water_Frontend[[#This Row],[Type]]</f>
        <v>0</v>
      </c>
      <c r="W158" s="174" t="e" cm="1">
        <f t="array" aca="1" ref="W158" ca="1">_xlfn.XLOOKUP(Buildings_Water_Backend[[#This Row],[Level 5]],rng_Level5Long,rng_Level6Long)</f>
        <v>#N/A</v>
      </c>
      <c r="X158" s="174">
        <f>Buildings_Water_Frontend[[#This Row],[Site Name]]</f>
        <v>0</v>
      </c>
      <c r="Y158" s="174">
        <f>Buildings_Water_Frontend[[#This Row],[Meter Reference]]</f>
        <v>0</v>
      </c>
      <c r="Z158" s="220">
        <f>Buildings_Water_Frontend[[#This Row],[Methodology]]</f>
        <v>0</v>
      </c>
      <c r="AA158" s="229" t="e" cm="1">
        <f t="array" ref="AA158">INDEX(_xlfn.SWITCH(Buildings_Water_Backend[[#This Row],[Methodology]],"Tier 1",rng_RSD1,"Tier 2",rng_RSD2,"Tier 3",rng_RSD3),MATCH(_xlfn.CONCAT(Buildings_Water_Backend[[#This Row],[Level 1]:[Level 6]]),rng_LevelsConcat,0))</f>
        <v>#N/A</v>
      </c>
      <c r="AB158" s="224">
        <f>Buildings_Water_Frontend[[#This Row],[Data]]</f>
        <v>0</v>
      </c>
      <c r="AC158" s="174">
        <f>Buildings_Water_Frontend[[#This Row],[Units]]</f>
        <v>0</v>
      </c>
      <c r="AD158" s="220" t="e">
        <f>IF(Buildings_Water_Backend[[#This Row],[Units]]=Buildings_Water_Backend[[#This Row],[Standard units]],Buildings_Water_Backend[[#This Row],[Data]],Buildings_Water_Backend[[#This Row],[Data]]*_xlfn.XLOOKUP(_xlfn.CONCAT(Buildings_Water_Backend[[#This Row],[Level 1]:[Level 6]]),rng_EFConcat,rng_EFConversion))</f>
        <v>#N/A</v>
      </c>
      <c r="AE158" s="174" t="e" cm="1">
        <f t="array" ref="AE158">_xlfn.XLOOKUP(_xlfn.CONCAT(Buildings_Water_Backend[[#This Row],[Level 1]:[Level 6]]),rng_LevelsConcat,rng_UnitsLong)</f>
        <v>#N/A</v>
      </c>
      <c r="AF158" s="210" t="e">
        <f>_xlfn.XLOOKUP(_xlfn.CONCAT(Buildings_Water_Backend[[#This Row],[Level 1]:[Level 6]]),rng_EFConcat,rng_EF1)*Buildings_Water_Backend[[#This Row],[Converted data]]/1000</f>
        <v>#N/A</v>
      </c>
      <c r="AG158" s="210" t="e">
        <f>_xlfn.XLOOKUP(_xlfn.CONCAT(Buildings_Water_Backend[[#This Row],[Level 1]:[Level 6]]),rng_EFConcat,rng_EF2)*Buildings_Water_Backend[[#This Row],[Converted data]]/1000</f>
        <v>#N/A</v>
      </c>
      <c r="AH158" s="210" t="e">
        <f>_xlfn.XLOOKUP(_xlfn.CONCAT(Buildings_Water_Backend[[#This Row],[Level 1]:[Level 6]]),rng_EFConcat,rng_EF3)*Buildings_Water_Backend[[#This Row],[Converted data]]/1000</f>
        <v>#N/A</v>
      </c>
      <c r="AI158" s="210" t="e">
        <f>_xlfn.XLOOKUP(_xlfn.CONCAT(Buildings_Water_Backend[[#This Row],[Level 1]:[Level 6]]),rng_EFConcat,rng_EF3WTT)*Buildings_Water_Backend[[#This Row],[Converted data]]/1000</f>
        <v>#N/A</v>
      </c>
      <c r="AJ158" s="210" t="e">
        <f>_xlfn.XLOOKUP(_xlfn.CONCAT(Buildings_Water_Backend[[#This Row],[Level 1]:[Level 6]]),rng_EFConcat,rng_EF3TD)*Buildings_Water_Backend[[#This Row],[Converted data]]/1000</f>
        <v>#N/A</v>
      </c>
      <c r="AK158" s="210" t="e">
        <f>_xlfn.XLOOKUP(_xlfn.CONCAT(Buildings_Water_Backend[[#This Row],[Level 1]:[Level 6]]),rng_EFConcat,rng_EF3WTTTD)*Buildings_Water_Backend[[#This Row],[Converted data]]/1000</f>
        <v>#N/A</v>
      </c>
      <c r="AL158" s="220" t="e">
        <f>SUM(Buildings_Water_Backend[[#This Row],[Scope 1 (tCO2e)]:[Scope 3 WTT T&amp;D (tCO2e)]])</f>
        <v>#N/A</v>
      </c>
      <c r="AM158" s="220" t="e">
        <f>Buildings_Water_Backend[[#This Row],[Total (tCO2e)]]*(1-Buildings_Water_Backend[[#This Row],[RSD]])</f>
        <v>#N/A</v>
      </c>
      <c r="AN158" s="220" t="e">
        <f>Buildings_Water_Backend[[#This Row],[Total (tCO2e)]]*(1+Buildings_Water_Backend[[#This Row],[RSD]])</f>
        <v>#N/A</v>
      </c>
      <c r="AO158" s="210" t="e">
        <f>_xlfn.XLOOKUP(_xlfn.CONCAT(Buildings_Water_Backend[[#This Row],[Level 1]:[Level 6]]),rng_EFConcat,rng_EFOOS)*Buildings_Water_Backend[[#This Row],[Converted data]]/1000</f>
        <v>#N/A</v>
      </c>
      <c r="AP158" s="174">
        <f>Buildings_Water_Frontend[[#This Row],[Ease of collection]]</f>
        <v>0</v>
      </c>
      <c r="AQ158" s="174">
        <f>Buildings_Water_Frontend[[#This Row],[Completeness]]</f>
        <v>0</v>
      </c>
      <c r="AR158" s="174">
        <f>Buildings_Water_Frontend[[#This Row],[Notes]]</f>
        <v>0</v>
      </c>
    </row>
    <row r="159" spans="5:44" x14ac:dyDescent="0.3">
      <c r="E159" s="346"/>
      <c r="F159" s="364"/>
      <c r="G159" s="336"/>
      <c r="H159" s="336"/>
      <c r="I159" s="334"/>
      <c r="J159" s="336"/>
      <c r="K159" s="336"/>
      <c r="L159" s="336"/>
      <c r="M159" s="337"/>
      <c r="N159" s="242">
        <f t="shared" si="5"/>
        <v>5</v>
      </c>
      <c r="Q159" s="212" t="str">
        <f t="shared" si="4"/>
        <v/>
      </c>
      <c r="R159" s="174" t="s">
        <v>265</v>
      </c>
      <c r="S159" s="174" t="s">
        <v>273</v>
      </c>
      <c r="T159" s="174" t="e">
        <f>_xlfn.XLOOKUP(Buildings_Water_Backend[[#This Row],[Info 1]],Buildings_SiteInfo[Site name],Buildings_SiteInfo[Site type])</f>
        <v>#N/A</v>
      </c>
      <c r="U159" s="174" t="s">
        <v>327</v>
      </c>
      <c r="V159" s="174">
        <f>Buildings_Water_Frontend[[#This Row],[Type]]</f>
        <v>0</v>
      </c>
      <c r="W159" s="174" t="e" cm="1">
        <f t="array" aca="1" ref="W159" ca="1">_xlfn.XLOOKUP(Buildings_Water_Backend[[#This Row],[Level 5]],rng_Level5Long,rng_Level6Long)</f>
        <v>#N/A</v>
      </c>
      <c r="X159" s="174">
        <f>Buildings_Water_Frontend[[#This Row],[Site Name]]</f>
        <v>0</v>
      </c>
      <c r="Y159" s="174">
        <f>Buildings_Water_Frontend[[#This Row],[Meter Reference]]</f>
        <v>0</v>
      </c>
      <c r="Z159" s="220">
        <f>Buildings_Water_Frontend[[#This Row],[Methodology]]</f>
        <v>0</v>
      </c>
      <c r="AA159" s="229" t="e" cm="1">
        <f t="array" ref="AA159">INDEX(_xlfn.SWITCH(Buildings_Water_Backend[[#This Row],[Methodology]],"Tier 1",rng_RSD1,"Tier 2",rng_RSD2,"Tier 3",rng_RSD3),MATCH(_xlfn.CONCAT(Buildings_Water_Backend[[#This Row],[Level 1]:[Level 6]]),rng_LevelsConcat,0))</f>
        <v>#N/A</v>
      </c>
      <c r="AB159" s="224">
        <f>Buildings_Water_Frontend[[#This Row],[Data]]</f>
        <v>0</v>
      </c>
      <c r="AC159" s="174">
        <f>Buildings_Water_Frontend[[#This Row],[Units]]</f>
        <v>0</v>
      </c>
      <c r="AD159" s="220" t="e">
        <f>IF(Buildings_Water_Backend[[#This Row],[Units]]=Buildings_Water_Backend[[#This Row],[Standard units]],Buildings_Water_Backend[[#This Row],[Data]],Buildings_Water_Backend[[#This Row],[Data]]*_xlfn.XLOOKUP(_xlfn.CONCAT(Buildings_Water_Backend[[#This Row],[Level 1]:[Level 6]]),rng_EFConcat,rng_EFConversion))</f>
        <v>#N/A</v>
      </c>
      <c r="AE159" s="174" t="e" cm="1">
        <f t="array" ref="AE159">_xlfn.XLOOKUP(_xlfn.CONCAT(Buildings_Water_Backend[[#This Row],[Level 1]:[Level 6]]),rng_LevelsConcat,rng_UnitsLong)</f>
        <v>#N/A</v>
      </c>
      <c r="AF159" s="210" t="e">
        <f>_xlfn.XLOOKUP(_xlfn.CONCAT(Buildings_Water_Backend[[#This Row],[Level 1]:[Level 6]]),rng_EFConcat,rng_EF1)*Buildings_Water_Backend[[#This Row],[Converted data]]/1000</f>
        <v>#N/A</v>
      </c>
      <c r="AG159" s="210" t="e">
        <f>_xlfn.XLOOKUP(_xlfn.CONCAT(Buildings_Water_Backend[[#This Row],[Level 1]:[Level 6]]),rng_EFConcat,rng_EF2)*Buildings_Water_Backend[[#This Row],[Converted data]]/1000</f>
        <v>#N/A</v>
      </c>
      <c r="AH159" s="210" t="e">
        <f>_xlfn.XLOOKUP(_xlfn.CONCAT(Buildings_Water_Backend[[#This Row],[Level 1]:[Level 6]]),rng_EFConcat,rng_EF3)*Buildings_Water_Backend[[#This Row],[Converted data]]/1000</f>
        <v>#N/A</v>
      </c>
      <c r="AI159" s="210" t="e">
        <f>_xlfn.XLOOKUP(_xlfn.CONCAT(Buildings_Water_Backend[[#This Row],[Level 1]:[Level 6]]),rng_EFConcat,rng_EF3WTT)*Buildings_Water_Backend[[#This Row],[Converted data]]/1000</f>
        <v>#N/A</v>
      </c>
      <c r="AJ159" s="210" t="e">
        <f>_xlfn.XLOOKUP(_xlfn.CONCAT(Buildings_Water_Backend[[#This Row],[Level 1]:[Level 6]]),rng_EFConcat,rng_EF3TD)*Buildings_Water_Backend[[#This Row],[Converted data]]/1000</f>
        <v>#N/A</v>
      </c>
      <c r="AK159" s="210" t="e">
        <f>_xlfn.XLOOKUP(_xlfn.CONCAT(Buildings_Water_Backend[[#This Row],[Level 1]:[Level 6]]),rng_EFConcat,rng_EF3WTTTD)*Buildings_Water_Backend[[#This Row],[Converted data]]/1000</f>
        <v>#N/A</v>
      </c>
      <c r="AL159" s="220" t="e">
        <f>SUM(Buildings_Water_Backend[[#This Row],[Scope 1 (tCO2e)]:[Scope 3 WTT T&amp;D (tCO2e)]])</f>
        <v>#N/A</v>
      </c>
      <c r="AM159" s="220" t="e">
        <f>Buildings_Water_Backend[[#This Row],[Total (tCO2e)]]*(1-Buildings_Water_Backend[[#This Row],[RSD]])</f>
        <v>#N/A</v>
      </c>
      <c r="AN159" s="220" t="e">
        <f>Buildings_Water_Backend[[#This Row],[Total (tCO2e)]]*(1+Buildings_Water_Backend[[#This Row],[RSD]])</f>
        <v>#N/A</v>
      </c>
      <c r="AO159" s="210" t="e">
        <f>_xlfn.XLOOKUP(_xlfn.CONCAT(Buildings_Water_Backend[[#This Row],[Level 1]:[Level 6]]),rng_EFConcat,rng_EFOOS)*Buildings_Water_Backend[[#This Row],[Converted data]]/1000</f>
        <v>#N/A</v>
      </c>
      <c r="AP159" s="174">
        <f>Buildings_Water_Frontend[[#This Row],[Ease of collection]]</f>
        <v>0</v>
      </c>
      <c r="AQ159" s="174">
        <f>Buildings_Water_Frontend[[#This Row],[Completeness]]</f>
        <v>0</v>
      </c>
      <c r="AR159" s="174">
        <f>Buildings_Water_Frontend[[#This Row],[Notes]]</f>
        <v>0</v>
      </c>
    </row>
    <row r="160" spans="5:44" x14ac:dyDescent="0.3">
      <c r="E160" s="346"/>
      <c r="F160" s="364"/>
      <c r="G160" s="336"/>
      <c r="H160" s="336"/>
      <c r="I160" s="334"/>
      <c r="J160" s="336"/>
      <c r="K160" s="336"/>
      <c r="L160" s="336"/>
      <c r="M160" s="337"/>
      <c r="N160" s="242">
        <f t="shared" si="5"/>
        <v>5</v>
      </c>
      <c r="Q160" s="212" t="str">
        <f t="shared" si="4"/>
        <v/>
      </c>
      <c r="R160" s="174" t="s">
        <v>265</v>
      </c>
      <c r="S160" s="174" t="s">
        <v>273</v>
      </c>
      <c r="T160" s="174" t="e">
        <f>_xlfn.XLOOKUP(Buildings_Water_Backend[[#This Row],[Info 1]],Buildings_SiteInfo[Site name],Buildings_SiteInfo[Site type])</f>
        <v>#N/A</v>
      </c>
      <c r="U160" s="174" t="s">
        <v>327</v>
      </c>
      <c r="V160" s="174">
        <f>Buildings_Water_Frontend[[#This Row],[Type]]</f>
        <v>0</v>
      </c>
      <c r="W160" s="174" t="e" cm="1">
        <f t="array" aca="1" ref="W160" ca="1">_xlfn.XLOOKUP(Buildings_Water_Backend[[#This Row],[Level 5]],rng_Level5Long,rng_Level6Long)</f>
        <v>#N/A</v>
      </c>
      <c r="X160" s="174">
        <f>Buildings_Water_Frontend[[#This Row],[Site Name]]</f>
        <v>0</v>
      </c>
      <c r="Y160" s="174">
        <f>Buildings_Water_Frontend[[#This Row],[Meter Reference]]</f>
        <v>0</v>
      </c>
      <c r="Z160" s="220">
        <f>Buildings_Water_Frontend[[#This Row],[Methodology]]</f>
        <v>0</v>
      </c>
      <c r="AA160" s="229" t="e" cm="1">
        <f t="array" ref="AA160">INDEX(_xlfn.SWITCH(Buildings_Water_Backend[[#This Row],[Methodology]],"Tier 1",rng_RSD1,"Tier 2",rng_RSD2,"Tier 3",rng_RSD3),MATCH(_xlfn.CONCAT(Buildings_Water_Backend[[#This Row],[Level 1]:[Level 6]]),rng_LevelsConcat,0))</f>
        <v>#N/A</v>
      </c>
      <c r="AB160" s="224">
        <f>Buildings_Water_Frontend[[#This Row],[Data]]</f>
        <v>0</v>
      </c>
      <c r="AC160" s="174">
        <f>Buildings_Water_Frontend[[#This Row],[Units]]</f>
        <v>0</v>
      </c>
      <c r="AD160" s="220" t="e">
        <f>IF(Buildings_Water_Backend[[#This Row],[Units]]=Buildings_Water_Backend[[#This Row],[Standard units]],Buildings_Water_Backend[[#This Row],[Data]],Buildings_Water_Backend[[#This Row],[Data]]*_xlfn.XLOOKUP(_xlfn.CONCAT(Buildings_Water_Backend[[#This Row],[Level 1]:[Level 6]]),rng_EFConcat,rng_EFConversion))</f>
        <v>#N/A</v>
      </c>
      <c r="AE160" s="174" t="e" cm="1">
        <f t="array" ref="AE160">_xlfn.XLOOKUP(_xlfn.CONCAT(Buildings_Water_Backend[[#This Row],[Level 1]:[Level 6]]),rng_LevelsConcat,rng_UnitsLong)</f>
        <v>#N/A</v>
      </c>
      <c r="AF160" s="210" t="e">
        <f>_xlfn.XLOOKUP(_xlfn.CONCAT(Buildings_Water_Backend[[#This Row],[Level 1]:[Level 6]]),rng_EFConcat,rng_EF1)*Buildings_Water_Backend[[#This Row],[Converted data]]/1000</f>
        <v>#N/A</v>
      </c>
      <c r="AG160" s="210" t="e">
        <f>_xlfn.XLOOKUP(_xlfn.CONCAT(Buildings_Water_Backend[[#This Row],[Level 1]:[Level 6]]),rng_EFConcat,rng_EF2)*Buildings_Water_Backend[[#This Row],[Converted data]]/1000</f>
        <v>#N/A</v>
      </c>
      <c r="AH160" s="210" t="e">
        <f>_xlfn.XLOOKUP(_xlfn.CONCAT(Buildings_Water_Backend[[#This Row],[Level 1]:[Level 6]]),rng_EFConcat,rng_EF3)*Buildings_Water_Backend[[#This Row],[Converted data]]/1000</f>
        <v>#N/A</v>
      </c>
      <c r="AI160" s="210" t="e">
        <f>_xlfn.XLOOKUP(_xlfn.CONCAT(Buildings_Water_Backend[[#This Row],[Level 1]:[Level 6]]),rng_EFConcat,rng_EF3WTT)*Buildings_Water_Backend[[#This Row],[Converted data]]/1000</f>
        <v>#N/A</v>
      </c>
      <c r="AJ160" s="210" t="e">
        <f>_xlfn.XLOOKUP(_xlfn.CONCAT(Buildings_Water_Backend[[#This Row],[Level 1]:[Level 6]]),rng_EFConcat,rng_EF3TD)*Buildings_Water_Backend[[#This Row],[Converted data]]/1000</f>
        <v>#N/A</v>
      </c>
      <c r="AK160" s="210" t="e">
        <f>_xlfn.XLOOKUP(_xlfn.CONCAT(Buildings_Water_Backend[[#This Row],[Level 1]:[Level 6]]),rng_EFConcat,rng_EF3WTTTD)*Buildings_Water_Backend[[#This Row],[Converted data]]/1000</f>
        <v>#N/A</v>
      </c>
      <c r="AL160" s="220" t="e">
        <f>SUM(Buildings_Water_Backend[[#This Row],[Scope 1 (tCO2e)]:[Scope 3 WTT T&amp;D (tCO2e)]])</f>
        <v>#N/A</v>
      </c>
      <c r="AM160" s="220" t="e">
        <f>Buildings_Water_Backend[[#This Row],[Total (tCO2e)]]*(1-Buildings_Water_Backend[[#This Row],[RSD]])</f>
        <v>#N/A</v>
      </c>
      <c r="AN160" s="220" t="e">
        <f>Buildings_Water_Backend[[#This Row],[Total (tCO2e)]]*(1+Buildings_Water_Backend[[#This Row],[RSD]])</f>
        <v>#N/A</v>
      </c>
      <c r="AO160" s="210" t="e">
        <f>_xlfn.XLOOKUP(_xlfn.CONCAT(Buildings_Water_Backend[[#This Row],[Level 1]:[Level 6]]),rng_EFConcat,rng_EFOOS)*Buildings_Water_Backend[[#This Row],[Converted data]]/1000</f>
        <v>#N/A</v>
      </c>
      <c r="AP160" s="174">
        <f>Buildings_Water_Frontend[[#This Row],[Ease of collection]]</f>
        <v>0</v>
      </c>
      <c r="AQ160" s="174">
        <f>Buildings_Water_Frontend[[#This Row],[Completeness]]</f>
        <v>0</v>
      </c>
      <c r="AR160" s="174">
        <f>Buildings_Water_Frontend[[#This Row],[Notes]]</f>
        <v>0</v>
      </c>
    </row>
    <row r="161" spans="5:44" x14ac:dyDescent="0.3">
      <c r="E161" s="346"/>
      <c r="F161" s="364"/>
      <c r="G161" s="336"/>
      <c r="H161" s="336"/>
      <c r="I161" s="334"/>
      <c r="J161" s="336"/>
      <c r="K161" s="336"/>
      <c r="L161" s="336"/>
      <c r="M161" s="337"/>
      <c r="N161" s="242">
        <f t="shared" si="5"/>
        <v>5</v>
      </c>
      <c r="Q161" s="212" t="str">
        <f t="shared" si="4"/>
        <v/>
      </c>
      <c r="R161" s="174" t="s">
        <v>265</v>
      </c>
      <c r="S161" s="174" t="s">
        <v>273</v>
      </c>
      <c r="T161" s="174" t="e">
        <f>_xlfn.XLOOKUP(Buildings_Water_Backend[[#This Row],[Info 1]],Buildings_SiteInfo[Site name],Buildings_SiteInfo[Site type])</f>
        <v>#N/A</v>
      </c>
      <c r="U161" s="174" t="s">
        <v>327</v>
      </c>
      <c r="V161" s="174">
        <f>Buildings_Water_Frontend[[#This Row],[Type]]</f>
        <v>0</v>
      </c>
      <c r="W161" s="174" t="e" cm="1">
        <f t="array" aca="1" ref="W161" ca="1">_xlfn.XLOOKUP(Buildings_Water_Backend[[#This Row],[Level 5]],rng_Level5Long,rng_Level6Long)</f>
        <v>#N/A</v>
      </c>
      <c r="X161" s="174">
        <f>Buildings_Water_Frontend[[#This Row],[Site Name]]</f>
        <v>0</v>
      </c>
      <c r="Y161" s="174">
        <f>Buildings_Water_Frontend[[#This Row],[Meter Reference]]</f>
        <v>0</v>
      </c>
      <c r="Z161" s="220">
        <f>Buildings_Water_Frontend[[#This Row],[Methodology]]</f>
        <v>0</v>
      </c>
      <c r="AA161" s="229" t="e" cm="1">
        <f t="array" ref="AA161">INDEX(_xlfn.SWITCH(Buildings_Water_Backend[[#This Row],[Methodology]],"Tier 1",rng_RSD1,"Tier 2",rng_RSD2,"Tier 3",rng_RSD3),MATCH(_xlfn.CONCAT(Buildings_Water_Backend[[#This Row],[Level 1]:[Level 6]]),rng_LevelsConcat,0))</f>
        <v>#N/A</v>
      </c>
      <c r="AB161" s="224">
        <f>Buildings_Water_Frontend[[#This Row],[Data]]</f>
        <v>0</v>
      </c>
      <c r="AC161" s="174">
        <f>Buildings_Water_Frontend[[#This Row],[Units]]</f>
        <v>0</v>
      </c>
      <c r="AD161" s="220" t="e">
        <f>IF(Buildings_Water_Backend[[#This Row],[Units]]=Buildings_Water_Backend[[#This Row],[Standard units]],Buildings_Water_Backend[[#This Row],[Data]],Buildings_Water_Backend[[#This Row],[Data]]*_xlfn.XLOOKUP(_xlfn.CONCAT(Buildings_Water_Backend[[#This Row],[Level 1]:[Level 6]]),rng_EFConcat,rng_EFConversion))</f>
        <v>#N/A</v>
      </c>
      <c r="AE161" s="174" t="e" cm="1">
        <f t="array" ref="AE161">_xlfn.XLOOKUP(_xlfn.CONCAT(Buildings_Water_Backend[[#This Row],[Level 1]:[Level 6]]),rng_LevelsConcat,rng_UnitsLong)</f>
        <v>#N/A</v>
      </c>
      <c r="AF161" s="210" t="e">
        <f>_xlfn.XLOOKUP(_xlfn.CONCAT(Buildings_Water_Backend[[#This Row],[Level 1]:[Level 6]]),rng_EFConcat,rng_EF1)*Buildings_Water_Backend[[#This Row],[Converted data]]/1000</f>
        <v>#N/A</v>
      </c>
      <c r="AG161" s="210" t="e">
        <f>_xlfn.XLOOKUP(_xlfn.CONCAT(Buildings_Water_Backend[[#This Row],[Level 1]:[Level 6]]),rng_EFConcat,rng_EF2)*Buildings_Water_Backend[[#This Row],[Converted data]]/1000</f>
        <v>#N/A</v>
      </c>
      <c r="AH161" s="210" t="e">
        <f>_xlfn.XLOOKUP(_xlfn.CONCAT(Buildings_Water_Backend[[#This Row],[Level 1]:[Level 6]]),rng_EFConcat,rng_EF3)*Buildings_Water_Backend[[#This Row],[Converted data]]/1000</f>
        <v>#N/A</v>
      </c>
      <c r="AI161" s="210" t="e">
        <f>_xlfn.XLOOKUP(_xlfn.CONCAT(Buildings_Water_Backend[[#This Row],[Level 1]:[Level 6]]),rng_EFConcat,rng_EF3WTT)*Buildings_Water_Backend[[#This Row],[Converted data]]/1000</f>
        <v>#N/A</v>
      </c>
      <c r="AJ161" s="210" t="e">
        <f>_xlfn.XLOOKUP(_xlfn.CONCAT(Buildings_Water_Backend[[#This Row],[Level 1]:[Level 6]]),rng_EFConcat,rng_EF3TD)*Buildings_Water_Backend[[#This Row],[Converted data]]/1000</f>
        <v>#N/A</v>
      </c>
      <c r="AK161" s="210" t="e">
        <f>_xlfn.XLOOKUP(_xlfn.CONCAT(Buildings_Water_Backend[[#This Row],[Level 1]:[Level 6]]),rng_EFConcat,rng_EF3WTTTD)*Buildings_Water_Backend[[#This Row],[Converted data]]/1000</f>
        <v>#N/A</v>
      </c>
      <c r="AL161" s="220" t="e">
        <f>SUM(Buildings_Water_Backend[[#This Row],[Scope 1 (tCO2e)]:[Scope 3 WTT T&amp;D (tCO2e)]])</f>
        <v>#N/A</v>
      </c>
      <c r="AM161" s="220" t="e">
        <f>Buildings_Water_Backend[[#This Row],[Total (tCO2e)]]*(1-Buildings_Water_Backend[[#This Row],[RSD]])</f>
        <v>#N/A</v>
      </c>
      <c r="AN161" s="220" t="e">
        <f>Buildings_Water_Backend[[#This Row],[Total (tCO2e)]]*(1+Buildings_Water_Backend[[#This Row],[RSD]])</f>
        <v>#N/A</v>
      </c>
      <c r="AO161" s="210" t="e">
        <f>_xlfn.XLOOKUP(_xlfn.CONCAT(Buildings_Water_Backend[[#This Row],[Level 1]:[Level 6]]),rng_EFConcat,rng_EFOOS)*Buildings_Water_Backend[[#This Row],[Converted data]]/1000</f>
        <v>#N/A</v>
      </c>
      <c r="AP161" s="174">
        <f>Buildings_Water_Frontend[[#This Row],[Ease of collection]]</f>
        <v>0</v>
      </c>
      <c r="AQ161" s="174">
        <f>Buildings_Water_Frontend[[#This Row],[Completeness]]</f>
        <v>0</v>
      </c>
      <c r="AR161" s="174">
        <f>Buildings_Water_Frontend[[#This Row],[Notes]]</f>
        <v>0</v>
      </c>
    </row>
    <row r="162" spans="5:44" x14ac:dyDescent="0.3">
      <c r="E162" s="346"/>
      <c r="F162" s="364"/>
      <c r="G162" s="336"/>
      <c r="H162" s="336"/>
      <c r="I162" s="334"/>
      <c r="J162" s="336"/>
      <c r="K162" s="336"/>
      <c r="L162" s="336"/>
      <c r="M162" s="337"/>
      <c r="N162" s="242">
        <f t="shared" si="5"/>
        <v>5</v>
      </c>
      <c r="Q162" s="212" t="str">
        <f t="shared" si="4"/>
        <v/>
      </c>
      <c r="R162" s="174" t="s">
        <v>265</v>
      </c>
      <c r="S162" s="174" t="s">
        <v>273</v>
      </c>
      <c r="T162" s="174" t="e">
        <f>_xlfn.XLOOKUP(Buildings_Water_Backend[[#This Row],[Info 1]],Buildings_SiteInfo[Site name],Buildings_SiteInfo[Site type])</f>
        <v>#N/A</v>
      </c>
      <c r="U162" s="174" t="s">
        <v>327</v>
      </c>
      <c r="V162" s="174">
        <f>Buildings_Water_Frontend[[#This Row],[Type]]</f>
        <v>0</v>
      </c>
      <c r="W162" s="174" t="e" cm="1">
        <f t="array" aca="1" ref="W162" ca="1">_xlfn.XLOOKUP(Buildings_Water_Backend[[#This Row],[Level 5]],rng_Level5Long,rng_Level6Long)</f>
        <v>#N/A</v>
      </c>
      <c r="X162" s="174">
        <f>Buildings_Water_Frontend[[#This Row],[Site Name]]</f>
        <v>0</v>
      </c>
      <c r="Y162" s="174">
        <f>Buildings_Water_Frontend[[#This Row],[Meter Reference]]</f>
        <v>0</v>
      </c>
      <c r="Z162" s="220">
        <f>Buildings_Water_Frontend[[#This Row],[Methodology]]</f>
        <v>0</v>
      </c>
      <c r="AA162" s="229" t="e" cm="1">
        <f t="array" ref="AA162">INDEX(_xlfn.SWITCH(Buildings_Water_Backend[[#This Row],[Methodology]],"Tier 1",rng_RSD1,"Tier 2",rng_RSD2,"Tier 3",rng_RSD3),MATCH(_xlfn.CONCAT(Buildings_Water_Backend[[#This Row],[Level 1]:[Level 6]]),rng_LevelsConcat,0))</f>
        <v>#N/A</v>
      </c>
      <c r="AB162" s="224">
        <f>Buildings_Water_Frontend[[#This Row],[Data]]</f>
        <v>0</v>
      </c>
      <c r="AC162" s="174">
        <f>Buildings_Water_Frontend[[#This Row],[Units]]</f>
        <v>0</v>
      </c>
      <c r="AD162" s="220" t="e">
        <f>IF(Buildings_Water_Backend[[#This Row],[Units]]=Buildings_Water_Backend[[#This Row],[Standard units]],Buildings_Water_Backend[[#This Row],[Data]],Buildings_Water_Backend[[#This Row],[Data]]*_xlfn.XLOOKUP(_xlfn.CONCAT(Buildings_Water_Backend[[#This Row],[Level 1]:[Level 6]]),rng_EFConcat,rng_EFConversion))</f>
        <v>#N/A</v>
      </c>
      <c r="AE162" s="174" t="e" cm="1">
        <f t="array" ref="AE162">_xlfn.XLOOKUP(_xlfn.CONCAT(Buildings_Water_Backend[[#This Row],[Level 1]:[Level 6]]),rng_LevelsConcat,rng_UnitsLong)</f>
        <v>#N/A</v>
      </c>
      <c r="AF162" s="210" t="e">
        <f>_xlfn.XLOOKUP(_xlfn.CONCAT(Buildings_Water_Backend[[#This Row],[Level 1]:[Level 6]]),rng_EFConcat,rng_EF1)*Buildings_Water_Backend[[#This Row],[Converted data]]/1000</f>
        <v>#N/A</v>
      </c>
      <c r="AG162" s="210" t="e">
        <f>_xlfn.XLOOKUP(_xlfn.CONCAT(Buildings_Water_Backend[[#This Row],[Level 1]:[Level 6]]),rng_EFConcat,rng_EF2)*Buildings_Water_Backend[[#This Row],[Converted data]]/1000</f>
        <v>#N/A</v>
      </c>
      <c r="AH162" s="210" t="e">
        <f>_xlfn.XLOOKUP(_xlfn.CONCAT(Buildings_Water_Backend[[#This Row],[Level 1]:[Level 6]]),rng_EFConcat,rng_EF3)*Buildings_Water_Backend[[#This Row],[Converted data]]/1000</f>
        <v>#N/A</v>
      </c>
      <c r="AI162" s="210" t="e">
        <f>_xlfn.XLOOKUP(_xlfn.CONCAT(Buildings_Water_Backend[[#This Row],[Level 1]:[Level 6]]),rng_EFConcat,rng_EF3WTT)*Buildings_Water_Backend[[#This Row],[Converted data]]/1000</f>
        <v>#N/A</v>
      </c>
      <c r="AJ162" s="210" t="e">
        <f>_xlfn.XLOOKUP(_xlfn.CONCAT(Buildings_Water_Backend[[#This Row],[Level 1]:[Level 6]]),rng_EFConcat,rng_EF3TD)*Buildings_Water_Backend[[#This Row],[Converted data]]/1000</f>
        <v>#N/A</v>
      </c>
      <c r="AK162" s="210" t="e">
        <f>_xlfn.XLOOKUP(_xlfn.CONCAT(Buildings_Water_Backend[[#This Row],[Level 1]:[Level 6]]),rng_EFConcat,rng_EF3WTTTD)*Buildings_Water_Backend[[#This Row],[Converted data]]/1000</f>
        <v>#N/A</v>
      </c>
      <c r="AL162" s="220" t="e">
        <f>SUM(Buildings_Water_Backend[[#This Row],[Scope 1 (tCO2e)]:[Scope 3 WTT T&amp;D (tCO2e)]])</f>
        <v>#N/A</v>
      </c>
      <c r="AM162" s="220" t="e">
        <f>Buildings_Water_Backend[[#This Row],[Total (tCO2e)]]*(1-Buildings_Water_Backend[[#This Row],[RSD]])</f>
        <v>#N/A</v>
      </c>
      <c r="AN162" s="220" t="e">
        <f>Buildings_Water_Backend[[#This Row],[Total (tCO2e)]]*(1+Buildings_Water_Backend[[#This Row],[RSD]])</f>
        <v>#N/A</v>
      </c>
      <c r="AO162" s="210" t="e">
        <f>_xlfn.XLOOKUP(_xlfn.CONCAT(Buildings_Water_Backend[[#This Row],[Level 1]:[Level 6]]),rng_EFConcat,rng_EFOOS)*Buildings_Water_Backend[[#This Row],[Converted data]]/1000</f>
        <v>#N/A</v>
      </c>
      <c r="AP162" s="174">
        <f>Buildings_Water_Frontend[[#This Row],[Ease of collection]]</f>
        <v>0</v>
      </c>
      <c r="AQ162" s="174">
        <f>Buildings_Water_Frontend[[#This Row],[Completeness]]</f>
        <v>0</v>
      </c>
      <c r="AR162" s="174">
        <f>Buildings_Water_Frontend[[#This Row],[Notes]]</f>
        <v>0</v>
      </c>
    </row>
    <row r="163" spans="5:44" x14ac:dyDescent="0.3">
      <c r="E163" s="346"/>
      <c r="F163" s="364"/>
      <c r="G163" s="336"/>
      <c r="H163" s="336"/>
      <c r="I163" s="334"/>
      <c r="J163" s="336"/>
      <c r="K163" s="336"/>
      <c r="L163" s="336"/>
      <c r="M163" s="337"/>
      <c r="N163" s="242">
        <f t="shared" si="5"/>
        <v>5</v>
      </c>
      <c r="Q163" s="212" t="str">
        <f t="shared" si="4"/>
        <v/>
      </c>
      <c r="R163" s="174" t="s">
        <v>265</v>
      </c>
      <c r="S163" s="174" t="s">
        <v>273</v>
      </c>
      <c r="T163" s="174" t="e">
        <f>_xlfn.XLOOKUP(Buildings_Water_Backend[[#This Row],[Info 1]],Buildings_SiteInfo[Site name],Buildings_SiteInfo[Site type])</f>
        <v>#N/A</v>
      </c>
      <c r="U163" s="174" t="s">
        <v>327</v>
      </c>
      <c r="V163" s="174">
        <f>Buildings_Water_Frontend[[#This Row],[Type]]</f>
        <v>0</v>
      </c>
      <c r="W163" s="174" t="e" cm="1">
        <f t="array" aca="1" ref="W163" ca="1">_xlfn.XLOOKUP(Buildings_Water_Backend[[#This Row],[Level 5]],rng_Level5Long,rng_Level6Long)</f>
        <v>#N/A</v>
      </c>
      <c r="X163" s="174">
        <f>Buildings_Water_Frontend[[#This Row],[Site Name]]</f>
        <v>0</v>
      </c>
      <c r="Y163" s="174">
        <f>Buildings_Water_Frontend[[#This Row],[Meter Reference]]</f>
        <v>0</v>
      </c>
      <c r="Z163" s="220">
        <f>Buildings_Water_Frontend[[#This Row],[Methodology]]</f>
        <v>0</v>
      </c>
      <c r="AA163" s="229" t="e" cm="1">
        <f t="array" ref="AA163">INDEX(_xlfn.SWITCH(Buildings_Water_Backend[[#This Row],[Methodology]],"Tier 1",rng_RSD1,"Tier 2",rng_RSD2,"Tier 3",rng_RSD3),MATCH(_xlfn.CONCAT(Buildings_Water_Backend[[#This Row],[Level 1]:[Level 6]]),rng_LevelsConcat,0))</f>
        <v>#N/A</v>
      </c>
      <c r="AB163" s="224">
        <f>Buildings_Water_Frontend[[#This Row],[Data]]</f>
        <v>0</v>
      </c>
      <c r="AC163" s="174">
        <f>Buildings_Water_Frontend[[#This Row],[Units]]</f>
        <v>0</v>
      </c>
      <c r="AD163" s="220" t="e">
        <f>IF(Buildings_Water_Backend[[#This Row],[Units]]=Buildings_Water_Backend[[#This Row],[Standard units]],Buildings_Water_Backend[[#This Row],[Data]],Buildings_Water_Backend[[#This Row],[Data]]*_xlfn.XLOOKUP(_xlfn.CONCAT(Buildings_Water_Backend[[#This Row],[Level 1]:[Level 6]]),rng_EFConcat,rng_EFConversion))</f>
        <v>#N/A</v>
      </c>
      <c r="AE163" s="174" t="e" cm="1">
        <f t="array" ref="AE163">_xlfn.XLOOKUP(_xlfn.CONCAT(Buildings_Water_Backend[[#This Row],[Level 1]:[Level 6]]),rng_LevelsConcat,rng_UnitsLong)</f>
        <v>#N/A</v>
      </c>
      <c r="AF163" s="210" t="e">
        <f>_xlfn.XLOOKUP(_xlfn.CONCAT(Buildings_Water_Backend[[#This Row],[Level 1]:[Level 6]]),rng_EFConcat,rng_EF1)*Buildings_Water_Backend[[#This Row],[Converted data]]/1000</f>
        <v>#N/A</v>
      </c>
      <c r="AG163" s="210" t="e">
        <f>_xlfn.XLOOKUP(_xlfn.CONCAT(Buildings_Water_Backend[[#This Row],[Level 1]:[Level 6]]),rng_EFConcat,rng_EF2)*Buildings_Water_Backend[[#This Row],[Converted data]]/1000</f>
        <v>#N/A</v>
      </c>
      <c r="AH163" s="210" t="e">
        <f>_xlfn.XLOOKUP(_xlfn.CONCAT(Buildings_Water_Backend[[#This Row],[Level 1]:[Level 6]]),rng_EFConcat,rng_EF3)*Buildings_Water_Backend[[#This Row],[Converted data]]/1000</f>
        <v>#N/A</v>
      </c>
      <c r="AI163" s="210" t="e">
        <f>_xlfn.XLOOKUP(_xlfn.CONCAT(Buildings_Water_Backend[[#This Row],[Level 1]:[Level 6]]),rng_EFConcat,rng_EF3WTT)*Buildings_Water_Backend[[#This Row],[Converted data]]/1000</f>
        <v>#N/A</v>
      </c>
      <c r="AJ163" s="210" t="e">
        <f>_xlfn.XLOOKUP(_xlfn.CONCAT(Buildings_Water_Backend[[#This Row],[Level 1]:[Level 6]]),rng_EFConcat,rng_EF3TD)*Buildings_Water_Backend[[#This Row],[Converted data]]/1000</f>
        <v>#N/A</v>
      </c>
      <c r="AK163" s="210" t="e">
        <f>_xlfn.XLOOKUP(_xlfn.CONCAT(Buildings_Water_Backend[[#This Row],[Level 1]:[Level 6]]),rng_EFConcat,rng_EF3WTTTD)*Buildings_Water_Backend[[#This Row],[Converted data]]/1000</f>
        <v>#N/A</v>
      </c>
      <c r="AL163" s="220" t="e">
        <f>SUM(Buildings_Water_Backend[[#This Row],[Scope 1 (tCO2e)]:[Scope 3 WTT T&amp;D (tCO2e)]])</f>
        <v>#N/A</v>
      </c>
      <c r="AM163" s="220" t="e">
        <f>Buildings_Water_Backend[[#This Row],[Total (tCO2e)]]*(1-Buildings_Water_Backend[[#This Row],[RSD]])</f>
        <v>#N/A</v>
      </c>
      <c r="AN163" s="220" t="e">
        <f>Buildings_Water_Backend[[#This Row],[Total (tCO2e)]]*(1+Buildings_Water_Backend[[#This Row],[RSD]])</f>
        <v>#N/A</v>
      </c>
      <c r="AO163" s="210" t="e">
        <f>_xlfn.XLOOKUP(_xlfn.CONCAT(Buildings_Water_Backend[[#This Row],[Level 1]:[Level 6]]),rng_EFConcat,rng_EFOOS)*Buildings_Water_Backend[[#This Row],[Converted data]]/1000</f>
        <v>#N/A</v>
      </c>
      <c r="AP163" s="174">
        <f>Buildings_Water_Frontend[[#This Row],[Ease of collection]]</f>
        <v>0</v>
      </c>
      <c r="AQ163" s="174">
        <f>Buildings_Water_Frontend[[#This Row],[Completeness]]</f>
        <v>0</v>
      </c>
      <c r="AR163" s="174">
        <f>Buildings_Water_Frontend[[#This Row],[Notes]]</f>
        <v>0</v>
      </c>
    </row>
    <row r="164" spans="5:44" x14ac:dyDescent="0.3">
      <c r="E164" s="346"/>
      <c r="F164" s="364"/>
      <c r="G164" s="336"/>
      <c r="H164" s="336"/>
      <c r="I164" s="334"/>
      <c r="J164" s="336"/>
      <c r="K164" s="336"/>
      <c r="L164" s="336"/>
      <c r="M164" s="337"/>
      <c r="N164" s="242">
        <f t="shared" si="5"/>
        <v>5</v>
      </c>
      <c r="Q164" s="212" t="str">
        <f t="shared" si="4"/>
        <v/>
      </c>
      <c r="R164" s="174" t="s">
        <v>265</v>
      </c>
      <c r="S164" s="174" t="s">
        <v>273</v>
      </c>
      <c r="T164" s="174" t="e">
        <f>_xlfn.XLOOKUP(Buildings_Water_Backend[[#This Row],[Info 1]],Buildings_SiteInfo[Site name],Buildings_SiteInfo[Site type])</f>
        <v>#N/A</v>
      </c>
      <c r="U164" s="174" t="s">
        <v>327</v>
      </c>
      <c r="V164" s="174">
        <f>Buildings_Water_Frontend[[#This Row],[Type]]</f>
        <v>0</v>
      </c>
      <c r="W164" s="174" t="e" cm="1">
        <f t="array" aca="1" ref="W164" ca="1">_xlfn.XLOOKUP(Buildings_Water_Backend[[#This Row],[Level 5]],rng_Level5Long,rng_Level6Long)</f>
        <v>#N/A</v>
      </c>
      <c r="X164" s="174">
        <f>Buildings_Water_Frontend[[#This Row],[Site Name]]</f>
        <v>0</v>
      </c>
      <c r="Y164" s="174">
        <f>Buildings_Water_Frontend[[#This Row],[Meter Reference]]</f>
        <v>0</v>
      </c>
      <c r="Z164" s="220">
        <f>Buildings_Water_Frontend[[#This Row],[Methodology]]</f>
        <v>0</v>
      </c>
      <c r="AA164" s="229" t="e" cm="1">
        <f t="array" ref="AA164">INDEX(_xlfn.SWITCH(Buildings_Water_Backend[[#This Row],[Methodology]],"Tier 1",rng_RSD1,"Tier 2",rng_RSD2,"Tier 3",rng_RSD3),MATCH(_xlfn.CONCAT(Buildings_Water_Backend[[#This Row],[Level 1]:[Level 6]]),rng_LevelsConcat,0))</f>
        <v>#N/A</v>
      </c>
      <c r="AB164" s="224">
        <f>Buildings_Water_Frontend[[#This Row],[Data]]</f>
        <v>0</v>
      </c>
      <c r="AC164" s="174">
        <f>Buildings_Water_Frontend[[#This Row],[Units]]</f>
        <v>0</v>
      </c>
      <c r="AD164" s="220" t="e">
        <f>IF(Buildings_Water_Backend[[#This Row],[Units]]=Buildings_Water_Backend[[#This Row],[Standard units]],Buildings_Water_Backend[[#This Row],[Data]],Buildings_Water_Backend[[#This Row],[Data]]*_xlfn.XLOOKUP(_xlfn.CONCAT(Buildings_Water_Backend[[#This Row],[Level 1]:[Level 6]]),rng_EFConcat,rng_EFConversion))</f>
        <v>#N/A</v>
      </c>
      <c r="AE164" s="174" t="e" cm="1">
        <f t="array" ref="AE164">_xlfn.XLOOKUP(_xlfn.CONCAT(Buildings_Water_Backend[[#This Row],[Level 1]:[Level 6]]),rng_LevelsConcat,rng_UnitsLong)</f>
        <v>#N/A</v>
      </c>
      <c r="AF164" s="210" t="e">
        <f>_xlfn.XLOOKUP(_xlfn.CONCAT(Buildings_Water_Backend[[#This Row],[Level 1]:[Level 6]]),rng_EFConcat,rng_EF1)*Buildings_Water_Backend[[#This Row],[Converted data]]/1000</f>
        <v>#N/A</v>
      </c>
      <c r="AG164" s="210" t="e">
        <f>_xlfn.XLOOKUP(_xlfn.CONCAT(Buildings_Water_Backend[[#This Row],[Level 1]:[Level 6]]),rng_EFConcat,rng_EF2)*Buildings_Water_Backend[[#This Row],[Converted data]]/1000</f>
        <v>#N/A</v>
      </c>
      <c r="AH164" s="210" t="e">
        <f>_xlfn.XLOOKUP(_xlfn.CONCAT(Buildings_Water_Backend[[#This Row],[Level 1]:[Level 6]]),rng_EFConcat,rng_EF3)*Buildings_Water_Backend[[#This Row],[Converted data]]/1000</f>
        <v>#N/A</v>
      </c>
      <c r="AI164" s="210" t="e">
        <f>_xlfn.XLOOKUP(_xlfn.CONCAT(Buildings_Water_Backend[[#This Row],[Level 1]:[Level 6]]),rng_EFConcat,rng_EF3WTT)*Buildings_Water_Backend[[#This Row],[Converted data]]/1000</f>
        <v>#N/A</v>
      </c>
      <c r="AJ164" s="210" t="e">
        <f>_xlfn.XLOOKUP(_xlfn.CONCAT(Buildings_Water_Backend[[#This Row],[Level 1]:[Level 6]]),rng_EFConcat,rng_EF3TD)*Buildings_Water_Backend[[#This Row],[Converted data]]/1000</f>
        <v>#N/A</v>
      </c>
      <c r="AK164" s="210" t="e">
        <f>_xlfn.XLOOKUP(_xlfn.CONCAT(Buildings_Water_Backend[[#This Row],[Level 1]:[Level 6]]),rng_EFConcat,rng_EF3WTTTD)*Buildings_Water_Backend[[#This Row],[Converted data]]/1000</f>
        <v>#N/A</v>
      </c>
      <c r="AL164" s="220" t="e">
        <f>SUM(Buildings_Water_Backend[[#This Row],[Scope 1 (tCO2e)]:[Scope 3 WTT T&amp;D (tCO2e)]])</f>
        <v>#N/A</v>
      </c>
      <c r="AM164" s="220" t="e">
        <f>Buildings_Water_Backend[[#This Row],[Total (tCO2e)]]*(1-Buildings_Water_Backend[[#This Row],[RSD]])</f>
        <v>#N/A</v>
      </c>
      <c r="AN164" s="220" t="e">
        <f>Buildings_Water_Backend[[#This Row],[Total (tCO2e)]]*(1+Buildings_Water_Backend[[#This Row],[RSD]])</f>
        <v>#N/A</v>
      </c>
      <c r="AO164" s="210" t="e">
        <f>_xlfn.XLOOKUP(_xlfn.CONCAT(Buildings_Water_Backend[[#This Row],[Level 1]:[Level 6]]),rng_EFConcat,rng_EFOOS)*Buildings_Water_Backend[[#This Row],[Converted data]]/1000</f>
        <v>#N/A</v>
      </c>
      <c r="AP164" s="174">
        <f>Buildings_Water_Frontend[[#This Row],[Ease of collection]]</f>
        <v>0</v>
      </c>
      <c r="AQ164" s="174">
        <f>Buildings_Water_Frontend[[#This Row],[Completeness]]</f>
        <v>0</v>
      </c>
      <c r="AR164" s="174">
        <f>Buildings_Water_Frontend[[#This Row],[Notes]]</f>
        <v>0</v>
      </c>
    </row>
    <row r="165" spans="5:44" x14ac:dyDescent="0.3">
      <c r="E165" s="346"/>
      <c r="F165" s="364"/>
      <c r="G165" s="336"/>
      <c r="H165" s="336"/>
      <c r="I165" s="334"/>
      <c r="J165" s="336"/>
      <c r="K165" s="336"/>
      <c r="L165" s="336"/>
      <c r="M165" s="337"/>
      <c r="N165" s="242">
        <f t="shared" si="5"/>
        <v>5</v>
      </c>
      <c r="Q165" s="212" t="str">
        <f t="shared" si="4"/>
        <v/>
      </c>
      <c r="R165" s="174" t="s">
        <v>265</v>
      </c>
      <c r="S165" s="174" t="s">
        <v>273</v>
      </c>
      <c r="T165" s="174" t="e">
        <f>_xlfn.XLOOKUP(Buildings_Water_Backend[[#This Row],[Info 1]],Buildings_SiteInfo[Site name],Buildings_SiteInfo[Site type])</f>
        <v>#N/A</v>
      </c>
      <c r="U165" s="174" t="s">
        <v>327</v>
      </c>
      <c r="V165" s="174">
        <f>Buildings_Water_Frontend[[#This Row],[Type]]</f>
        <v>0</v>
      </c>
      <c r="W165" s="174" t="e" cm="1">
        <f t="array" aca="1" ref="W165" ca="1">_xlfn.XLOOKUP(Buildings_Water_Backend[[#This Row],[Level 5]],rng_Level5Long,rng_Level6Long)</f>
        <v>#N/A</v>
      </c>
      <c r="X165" s="174">
        <f>Buildings_Water_Frontend[[#This Row],[Site Name]]</f>
        <v>0</v>
      </c>
      <c r="Y165" s="174">
        <f>Buildings_Water_Frontend[[#This Row],[Meter Reference]]</f>
        <v>0</v>
      </c>
      <c r="Z165" s="220">
        <f>Buildings_Water_Frontend[[#This Row],[Methodology]]</f>
        <v>0</v>
      </c>
      <c r="AA165" s="229" t="e" cm="1">
        <f t="array" ref="AA165">INDEX(_xlfn.SWITCH(Buildings_Water_Backend[[#This Row],[Methodology]],"Tier 1",rng_RSD1,"Tier 2",rng_RSD2,"Tier 3",rng_RSD3),MATCH(_xlfn.CONCAT(Buildings_Water_Backend[[#This Row],[Level 1]:[Level 6]]),rng_LevelsConcat,0))</f>
        <v>#N/A</v>
      </c>
      <c r="AB165" s="224">
        <f>Buildings_Water_Frontend[[#This Row],[Data]]</f>
        <v>0</v>
      </c>
      <c r="AC165" s="174">
        <f>Buildings_Water_Frontend[[#This Row],[Units]]</f>
        <v>0</v>
      </c>
      <c r="AD165" s="220" t="e">
        <f>IF(Buildings_Water_Backend[[#This Row],[Units]]=Buildings_Water_Backend[[#This Row],[Standard units]],Buildings_Water_Backend[[#This Row],[Data]],Buildings_Water_Backend[[#This Row],[Data]]*_xlfn.XLOOKUP(_xlfn.CONCAT(Buildings_Water_Backend[[#This Row],[Level 1]:[Level 6]]),rng_EFConcat,rng_EFConversion))</f>
        <v>#N/A</v>
      </c>
      <c r="AE165" s="174" t="e" cm="1">
        <f t="array" ref="AE165">_xlfn.XLOOKUP(_xlfn.CONCAT(Buildings_Water_Backend[[#This Row],[Level 1]:[Level 6]]),rng_LevelsConcat,rng_UnitsLong)</f>
        <v>#N/A</v>
      </c>
      <c r="AF165" s="210" t="e">
        <f>_xlfn.XLOOKUP(_xlfn.CONCAT(Buildings_Water_Backend[[#This Row],[Level 1]:[Level 6]]),rng_EFConcat,rng_EF1)*Buildings_Water_Backend[[#This Row],[Converted data]]/1000</f>
        <v>#N/A</v>
      </c>
      <c r="AG165" s="210" t="e">
        <f>_xlfn.XLOOKUP(_xlfn.CONCAT(Buildings_Water_Backend[[#This Row],[Level 1]:[Level 6]]),rng_EFConcat,rng_EF2)*Buildings_Water_Backend[[#This Row],[Converted data]]/1000</f>
        <v>#N/A</v>
      </c>
      <c r="AH165" s="210" t="e">
        <f>_xlfn.XLOOKUP(_xlfn.CONCAT(Buildings_Water_Backend[[#This Row],[Level 1]:[Level 6]]),rng_EFConcat,rng_EF3)*Buildings_Water_Backend[[#This Row],[Converted data]]/1000</f>
        <v>#N/A</v>
      </c>
      <c r="AI165" s="210" t="e">
        <f>_xlfn.XLOOKUP(_xlfn.CONCAT(Buildings_Water_Backend[[#This Row],[Level 1]:[Level 6]]),rng_EFConcat,rng_EF3WTT)*Buildings_Water_Backend[[#This Row],[Converted data]]/1000</f>
        <v>#N/A</v>
      </c>
      <c r="AJ165" s="210" t="e">
        <f>_xlfn.XLOOKUP(_xlfn.CONCAT(Buildings_Water_Backend[[#This Row],[Level 1]:[Level 6]]),rng_EFConcat,rng_EF3TD)*Buildings_Water_Backend[[#This Row],[Converted data]]/1000</f>
        <v>#N/A</v>
      </c>
      <c r="AK165" s="210" t="e">
        <f>_xlfn.XLOOKUP(_xlfn.CONCAT(Buildings_Water_Backend[[#This Row],[Level 1]:[Level 6]]),rng_EFConcat,rng_EF3WTTTD)*Buildings_Water_Backend[[#This Row],[Converted data]]/1000</f>
        <v>#N/A</v>
      </c>
      <c r="AL165" s="220" t="e">
        <f>SUM(Buildings_Water_Backend[[#This Row],[Scope 1 (tCO2e)]:[Scope 3 WTT T&amp;D (tCO2e)]])</f>
        <v>#N/A</v>
      </c>
      <c r="AM165" s="220" t="e">
        <f>Buildings_Water_Backend[[#This Row],[Total (tCO2e)]]*(1-Buildings_Water_Backend[[#This Row],[RSD]])</f>
        <v>#N/A</v>
      </c>
      <c r="AN165" s="220" t="e">
        <f>Buildings_Water_Backend[[#This Row],[Total (tCO2e)]]*(1+Buildings_Water_Backend[[#This Row],[RSD]])</f>
        <v>#N/A</v>
      </c>
      <c r="AO165" s="210" t="e">
        <f>_xlfn.XLOOKUP(_xlfn.CONCAT(Buildings_Water_Backend[[#This Row],[Level 1]:[Level 6]]),rng_EFConcat,rng_EFOOS)*Buildings_Water_Backend[[#This Row],[Converted data]]/1000</f>
        <v>#N/A</v>
      </c>
      <c r="AP165" s="174">
        <f>Buildings_Water_Frontend[[#This Row],[Ease of collection]]</f>
        <v>0</v>
      </c>
      <c r="AQ165" s="174">
        <f>Buildings_Water_Frontend[[#This Row],[Completeness]]</f>
        <v>0</v>
      </c>
      <c r="AR165" s="174">
        <f>Buildings_Water_Frontend[[#This Row],[Notes]]</f>
        <v>0</v>
      </c>
    </row>
    <row r="166" spans="5:44" x14ac:dyDescent="0.3">
      <c r="E166" s="346"/>
      <c r="F166" s="364"/>
      <c r="G166" s="336"/>
      <c r="H166" s="336"/>
      <c r="I166" s="334"/>
      <c r="J166" s="336"/>
      <c r="K166" s="336"/>
      <c r="L166" s="336"/>
      <c r="M166" s="337"/>
      <c r="N166" s="242">
        <f t="shared" si="5"/>
        <v>5</v>
      </c>
      <c r="Q166" s="212" t="str">
        <f t="shared" si="4"/>
        <v/>
      </c>
      <c r="R166" s="174" t="s">
        <v>265</v>
      </c>
      <c r="S166" s="174" t="s">
        <v>273</v>
      </c>
      <c r="T166" s="174" t="e">
        <f>_xlfn.XLOOKUP(Buildings_Water_Backend[[#This Row],[Info 1]],Buildings_SiteInfo[Site name],Buildings_SiteInfo[Site type])</f>
        <v>#N/A</v>
      </c>
      <c r="U166" s="174" t="s">
        <v>327</v>
      </c>
      <c r="V166" s="174">
        <f>Buildings_Water_Frontend[[#This Row],[Type]]</f>
        <v>0</v>
      </c>
      <c r="W166" s="174" t="e" cm="1">
        <f t="array" aca="1" ref="W166" ca="1">_xlfn.XLOOKUP(Buildings_Water_Backend[[#This Row],[Level 5]],rng_Level5Long,rng_Level6Long)</f>
        <v>#N/A</v>
      </c>
      <c r="X166" s="174">
        <f>Buildings_Water_Frontend[[#This Row],[Site Name]]</f>
        <v>0</v>
      </c>
      <c r="Y166" s="174">
        <f>Buildings_Water_Frontend[[#This Row],[Meter Reference]]</f>
        <v>0</v>
      </c>
      <c r="Z166" s="220">
        <f>Buildings_Water_Frontend[[#This Row],[Methodology]]</f>
        <v>0</v>
      </c>
      <c r="AA166" s="229" t="e" cm="1">
        <f t="array" ref="AA166">INDEX(_xlfn.SWITCH(Buildings_Water_Backend[[#This Row],[Methodology]],"Tier 1",rng_RSD1,"Tier 2",rng_RSD2,"Tier 3",rng_RSD3),MATCH(_xlfn.CONCAT(Buildings_Water_Backend[[#This Row],[Level 1]:[Level 6]]),rng_LevelsConcat,0))</f>
        <v>#N/A</v>
      </c>
      <c r="AB166" s="224">
        <f>Buildings_Water_Frontend[[#This Row],[Data]]</f>
        <v>0</v>
      </c>
      <c r="AC166" s="174">
        <f>Buildings_Water_Frontend[[#This Row],[Units]]</f>
        <v>0</v>
      </c>
      <c r="AD166" s="220" t="e">
        <f>IF(Buildings_Water_Backend[[#This Row],[Units]]=Buildings_Water_Backend[[#This Row],[Standard units]],Buildings_Water_Backend[[#This Row],[Data]],Buildings_Water_Backend[[#This Row],[Data]]*_xlfn.XLOOKUP(_xlfn.CONCAT(Buildings_Water_Backend[[#This Row],[Level 1]:[Level 6]]),rng_EFConcat,rng_EFConversion))</f>
        <v>#N/A</v>
      </c>
      <c r="AE166" s="174" t="e" cm="1">
        <f t="array" ref="AE166">_xlfn.XLOOKUP(_xlfn.CONCAT(Buildings_Water_Backend[[#This Row],[Level 1]:[Level 6]]),rng_LevelsConcat,rng_UnitsLong)</f>
        <v>#N/A</v>
      </c>
      <c r="AF166" s="210" t="e">
        <f>_xlfn.XLOOKUP(_xlfn.CONCAT(Buildings_Water_Backend[[#This Row],[Level 1]:[Level 6]]),rng_EFConcat,rng_EF1)*Buildings_Water_Backend[[#This Row],[Converted data]]/1000</f>
        <v>#N/A</v>
      </c>
      <c r="AG166" s="210" t="e">
        <f>_xlfn.XLOOKUP(_xlfn.CONCAT(Buildings_Water_Backend[[#This Row],[Level 1]:[Level 6]]),rng_EFConcat,rng_EF2)*Buildings_Water_Backend[[#This Row],[Converted data]]/1000</f>
        <v>#N/A</v>
      </c>
      <c r="AH166" s="210" t="e">
        <f>_xlfn.XLOOKUP(_xlfn.CONCAT(Buildings_Water_Backend[[#This Row],[Level 1]:[Level 6]]),rng_EFConcat,rng_EF3)*Buildings_Water_Backend[[#This Row],[Converted data]]/1000</f>
        <v>#N/A</v>
      </c>
      <c r="AI166" s="210" t="e">
        <f>_xlfn.XLOOKUP(_xlfn.CONCAT(Buildings_Water_Backend[[#This Row],[Level 1]:[Level 6]]),rng_EFConcat,rng_EF3WTT)*Buildings_Water_Backend[[#This Row],[Converted data]]/1000</f>
        <v>#N/A</v>
      </c>
      <c r="AJ166" s="210" t="e">
        <f>_xlfn.XLOOKUP(_xlfn.CONCAT(Buildings_Water_Backend[[#This Row],[Level 1]:[Level 6]]),rng_EFConcat,rng_EF3TD)*Buildings_Water_Backend[[#This Row],[Converted data]]/1000</f>
        <v>#N/A</v>
      </c>
      <c r="AK166" s="210" t="e">
        <f>_xlfn.XLOOKUP(_xlfn.CONCAT(Buildings_Water_Backend[[#This Row],[Level 1]:[Level 6]]),rng_EFConcat,rng_EF3WTTTD)*Buildings_Water_Backend[[#This Row],[Converted data]]/1000</f>
        <v>#N/A</v>
      </c>
      <c r="AL166" s="220" t="e">
        <f>SUM(Buildings_Water_Backend[[#This Row],[Scope 1 (tCO2e)]:[Scope 3 WTT T&amp;D (tCO2e)]])</f>
        <v>#N/A</v>
      </c>
      <c r="AM166" s="220" t="e">
        <f>Buildings_Water_Backend[[#This Row],[Total (tCO2e)]]*(1-Buildings_Water_Backend[[#This Row],[RSD]])</f>
        <v>#N/A</v>
      </c>
      <c r="AN166" s="220" t="e">
        <f>Buildings_Water_Backend[[#This Row],[Total (tCO2e)]]*(1+Buildings_Water_Backend[[#This Row],[RSD]])</f>
        <v>#N/A</v>
      </c>
      <c r="AO166" s="210" t="e">
        <f>_xlfn.XLOOKUP(_xlfn.CONCAT(Buildings_Water_Backend[[#This Row],[Level 1]:[Level 6]]),rng_EFConcat,rng_EFOOS)*Buildings_Water_Backend[[#This Row],[Converted data]]/1000</f>
        <v>#N/A</v>
      </c>
      <c r="AP166" s="174">
        <f>Buildings_Water_Frontend[[#This Row],[Ease of collection]]</f>
        <v>0</v>
      </c>
      <c r="AQ166" s="174">
        <f>Buildings_Water_Frontend[[#This Row],[Completeness]]</f>
        <v>0</v>
      </c>
      <c r="AR166" s="174">
        <f>Buildings_Water_Frontend[[#This Row],[Notes]]</f>
        <v>0</v>
      </c>
    </row>
    <row r="167" spans="5:44" x14ac:dyDescent="0.3">
      <c r="E167" s="346"/>
      <c r="F167" s="364"/>
      <c r="G167" s="336"/>
      <c r="H167" s="336"/>
      <c r="I167" s="334"/>
      <c r="J167" s="336"/>
      <c r="K167" s="336"/>
      <c r="L167" s="336"/>
      <c r="M167" s="337"/>
      <c r="N167" s="242">
        <f t="shared" si="5"/>
        <v>5</v>
      </c>
      <c r="Q167" s="212" t="str">
        <f t="shared" si="4"/>
        <v/>
      </c>
      <c r="R167" s="174" t="s">
        <v>265</v>
      </c>
      <c r="S167" s="174" t="s">
        <v>273</v>
      </c>
      <c r="T167" s="174" t="e">
        <f>_xlfn.XLOOKUP(Buildings_Water_Backend[[#This Row],[Info 1]],Buildings_SiteInfo[Site name],Buildings_SiteInfo[Site type])</f>
        <v>#N/A</v>
      </c>
      <c r="U167" s="174" t="s">
        <v>327</v>
      </c>
      <c r="V167" s="174">
        <f>Buildings_Water_Frontend[[#This Row],[Type]]</f>
        <v>0</v>
      </c>
      <c r="W167" s="174" t="e" cm="1">
        <f t="array" aca="1" ref="W167" ca="1">_xlfn.XLOOKUP(Buildings_Water_Backend[[#This Row],[Level 5]],rng_Level5Long,rng_Level6Long)</f>
        <v>#N/A</v>
      </c>
      <c r="X167" s="174">
        <f>Buildings_Water_Frontend[[#This Row],[Site Name]]</f>
        <v>0</v>
      </c>
      <c r="Y167" s="174">
        <f>Buildings_Water_Frontend[[#This Row],[Meter Reference]]</f>
        <v>0</v>
      </c>
      <c r="Z167" s="220">
        <f>Buildings_Water_Frontend[[#This Row],[Methodology]]</f>
        <v>0</v>
      </c>
      <c r="AA167" s="229" t="e" cm="1">
        <f t="array" ref="AA167">INDEX(_xlfn.SWITCH(Buildings_Water_Backend[[#This Row],[Methodology]],"Tier 1",rng_RSD1,"Tier 2",rng_RSD2,"Tier 3",rng_RSD3),MATCH(_xlfn.CONCAT(Buildings_Water_Backend[[#This Row],[Level 1]:[Level 6]]),rng_LevelsConcat,0))</f>
        <v>#N/A</v>
      </c>
      <c r="AB167" s="224">
        <f>Buildings_Water_Frontend[[#This Row],[Data]]</f>
        <v>0</v>
      </c>
      <c r="AC167" s="174">
        <f>Buildings_Water_Frontend[[#This Row],[Units]]</f>
        <v>0</v>
      </c>
      <c r="AD167" s="220" t="e">
        <f>IF(Buildings_Water_Backend[[#This Row],[Units]]=Buildings_Water_Backend[[#This Row],[Standard units]],Buildings_Water_Backend[[#This Row],[Data]],Buildings_Water_Backend[[#This Row],[Data]]*_xlfn.XLOOKUP(_xlfn.CONCAT(Buildings_Water_Backend[[#This Row],[Level 1]:[Level 6]]),rng_EFConcat,rng_EFConversion))</f>
        <v>#N/A</v>
      </c>
      <c r="AE167" s="174" t="e" cm="1">
        <f t="array" ref="AE167">_xlfn.XLOOKUP(_xlfn.CONCAT(Buildings_Water_Backend[[#This Row],[Level 1]:[Level 6]]),rng_LevelsConcat,rng_UnitsLong)</f>
        <v>#N/A</v>
      </c>
      <c r="AF167" s="210" t="e">
        <f>_xlfn.XLOOKUP(_xlfn.CONCAT(Buildings_Water_Backend[[#This Row],[Level 1]:[Level 6]]),rng_EFConcat,rng_EF1)*Buildings_Water_Backend[[#This Row],[Converted data]]/1000</f>
        <v>#N/A</v>
      </c>
      <c r="AG167" s="210" t="e">
        <f>_xlfn.XLOOKUP(_xlfn.CONCAT(Buildings_Water_Backend[[#This Row],[Level 1]:[Level 6]]),rng_EFConcat,rng_EF2)*Buildings_Water_Backend[[#This Row],[Converted data]]/1000</f>
        <v>#N/A</v>
      </c>
      <c r="AH167" s="210" t="e">
        <f>_xlfn.XLOOKUP(_xlfn.CONCAT(Buildings_Water_Backend[[#This Row],[Level 1]:[Level 6]]),rng_EFConcat,rng_EF3)*Buildings_Water_Backend[[#This Row],[Converted data]]/1000</f>
        <v>#N/A</v>
      </c>
      <c r="AI167" s="210" t="e">
        <f>_xlfn.XLOOKUP(_xlfn.CONCAT(Buildings_Water_Backend[[#This Row],[Level 1]:[Level 6]]),rng_EFConcat,rng_EF3WTT)*Buildings_Water_Backend[[#This Row],[Converted data]]/1000</f>
        <v>#N/A</v>
      </c>
      <c r="AJ167" s="210" t="e">
        <f>_xlfn.XLOOKUP(_xlfn.CONCAT(Buildings_Water_Backend[[#This Row],[Level 1]:[Level 6]]),rng_EFConcat,rng_EF3TD)*Buildings_Water_Backend[[#This Row],[Converted data]]/1000</f>
        <v>#N/A</v>
      </c>
      <c r="AK167" s="210" t="e">
        <f>_xlfn.XLOOKUP(_xlfn.CONCAT(Buildings_Water_Backend[[#This Row],[Level 1]:[Level 6]]),rng_EFConcat,rng_EF3WTTTD)*Buildings_Water_Backend[[#This Row],[Converted data]]/1000</f>
        <v>#N/A</v>
      </c>
      <c r="AL167" s="220" t="e">
        <f>SUM(Buildings_Water_Backend[[#This Row],[Scope 1 (tCO2e)]:[Scope 3 WTT T&amp;D (tCO2e)]])</f>
        <v>#N/A</v>
      </c>
      <c r="AM167" s="220" t="e">
        <f>Buildings_Water_Backend[[#This Row],[Total (tCO2e)]]*(1-Buildings_Water_Backend[[#This Row],[RSD]])</f>
        <v>#N/A</v>
      </c>
      <c r="AN167" s="220" t="e">
        <f>Buildings_Water_Backend[[#This Row],[Total (tCO2e)]]*(1+Buildings_Water_Backend[[#This Row],[RSD]])</f>
        <v>#N/A</v>
      </c>
      <c r="AO167" s="210" t="e">
        <f>_xlfn.XLOOKUP(_xlfn.CONCAT(Buildings_Water_Backend[[#This Row],[Level 1]:[Level 6]]),rng_EFConcat,rng_EFOOS)*Buildings_Water_Backend[[#This Row],[Converted data]]/1000</f>
        <v>#N/A</v>
      </c>
      <c r="AP167" s="174">
        <f>Buildings_Water_Frontend[[#This Row],[Ease of collection]]</f>
        <v>0</v>
      </c>
      <c r="AQ167" s="174">
        <f>Buildings_Water_Frontend[[#This Row],[Completeness]]</f>
        <v>0</v>
      </c>
      <c r="AR167" s="174">
        <f>Buildings_Water_Frontend[[#This Row],[Notes]]</f>
        <v>0</v>
      </c>
    </row>
    <row r="168" spans="5:44" x14ac:dyDescent="0.3">
      <c r="E168" s="346"/>
      <c r="F168" s="364"/>
      <c r="G168" s="336"/>
      <c r="H168" s="336"/>
      <c r="I168" s="334"/>
      <c r="J168" s="336"/>
      <c r="K168" s="336"/>
      <c r="L168" s="336"/>
      <c r="M168" s="337"/>
      <c r="N168" s="242">
        <f t="shared" si="5"/>
        <v>5</v>
      </c>
      <c r="Q168" s="212" t="str">
        <f t="shared" si="4"/>
        <v/>
      </c>
      <c r="R168" s="174" t="s">
        <v>265</v>
      </c>
      <c r="S168" s="174" t="s">
        <v>273</v>
      </c>
      <c r="T168" s="174" t="e">
        <f>_xlfn.XLOOKUP(Buildings_Water_Backend[[#This Row],[Info 1]],Buildings_SiteInfo[Site name],Buildings_SiteInfo[Site type])</f>
        <v>#N/A</v>
      </c>
      <c r="U168" s="174" t="s">
        <v>327</v>
      </c>
      <c r="V168" s="174">
        <f>Buildings_Water_Frontend[[#This Row],[Type]]</f>
        <v>0</v>
      </c>
      <c r="W168" s="174" t="e" cm="1">
        <f t="array" aca="1" ref="W168" ca="1">_xlfn.XLOOKUP(Buildings_Water_Backend[[#This Row],[Level 5]],rng_Level5Long,rng_Level6Long)</f>
        <v>#N/A</v>
      </c>
      <c r="X168" s="174">
        <f>Buildings_Water_Frontend[[#This Row],[Site Name]]</f>
        <v>0</v>
      </c>
      <c r="Y168" s="174">
        <f>Buildings_Water_Frontend[[#This Row],[Meter Reference]]</f>
        <v>0</v>
      </c>
      <c r="Z168" s="220">
        <f>Buildings_Water_Frontend[[#This Row],[Methodology]]</f>
        <v>0</v>
      </c>
      <c r="AA168" s="229" t="e" cm="1">
        <f t="array" ref="AA168">INDEX(_xlfn.SWITCH(Buildings_Water_Backend[[#This Row],[Methodology]],"Tier 1",rng_RSD1,"Tier 2",rng_RSD2,"Tier 3",rng_RSD3),MATCH(_xlfn.CONCAT(Buildings_Water_Backend[[#This Row],[Level 1]:[Level 6]]),rng_LevelsConcat,0))</f>
        <v>#N/A</v>
      </c>
      <c r="AB168" s="224">
        <f>Buildings_Water_Frontend[[#This Row],[Data]]</f>
        <v>0</v>
      </c>
      <c r="AC168" s="174">
        <f>Buildings_Water_Frontend[[#This Row],[Units]]</f>
        <v>0</v>
      </c>
      <c r="AD168" s="220" t="e">
        <f>IF(Buildings_Water_Backend[[#This Row],[Units]]=Buildings_Water_Backend[[#This Row],[Standard units]],Buildings_Water_Backend[[#This Row],[Data]],Buildings_Water_Backend[[#This Row],[Data]]*_xlfn.XLOOKUP(_xlfn.CONCAT(Buildings_Water_Backend[[#This Row],[Level 1]:[Level 6]]),rng_EFConcat,rng_EFConversion))</f>
        <v>#N/A</v>
      </c>
      <c r="AE168" s="174" t="e" cm="1">
        <f t="array" ref="AE168">_xlfn.XLOOKUP(_xlfn.CONCAT(Buildings_Water_Backend[[#This Row],[Level 1]:[Level 6]]),rng_LevelsConcat,rng_UnitsLong)</f>
        <v>#N/A</v>
      </c>
      <c r="AF168" s="210" t="e">
        <f>_xlfn.XLOOKUP(_xlfn.CONCAT(Buildings_Water_Backend[[#This Row],[Level 1]:[Level 6]]),rng_EFConcat,rng_EF1)*Buildings_Water_Backend[[#This Row],[Converted data]]/1000</f>
        <v>#N/A</v>
      </c>
      <c r="AG168" s="210" t="e">
        <f>_xlfn.XLOOKUP(_xlfn.CONCAT(Buildings_Water_Backend[[#This Row],[Level 1]:[Level 6]]),rng_EFConcat,rng_EF2)*Buildings_Water_Backend[[#This Row],[Converted data]]/1000</f>
        <v>#N/A</v>
      </c>
      <c r="AH168" s="210" t="e">
        <f>_xlfn.XLOOKUP(_xlfn.CONCAT(Buildings_Water_Backend[[#This Row],[Level 1]:[Level 6]]),rng_EFConcat,rng_EF3)*Buildings_Water_Backend[[#This Row],[Converted data]]/1000</f>
        <v>#N/A</v>
      </c>
      <c r="AI168" s="210" t="e">
        <f>_xlfn.XLOOKUP(_xlfn.CONCAT(Buildings_Water_Backend[[#This Row],[Level 1]:[Level 6]]),rng_EFConcat,rng_EF3WTT)*Buildings_Water_Backend[[#This Row],[Converted data]]/1000</f>
        <v>#N/A</v>
      </c>
      <c r="AJ168" s="210" t="e">
        <f>_xlfn.XLOOKUP(_xlfn.CONCAT(Buildings_Water_Backend[[#This Row],[Level 1]:[Level 6]]),rng_EFConcat,rng_EF3TD)*Buildings_Water_Backend[[#This Row],[Converted data]]/1000</f>
        <v>#N/A</v>
      </c>
      <c r="AK168" s="210" t="e">
        <f>_xlfn.XLOOKUP(_xlfn.CONCAT(Buildings_Water_Backend[[#This Row],[Level 1]:[Level 6]]),rng_EFConcat,rng_EF3WTTTD)*Buildings_Water_Backend[[#This Row],[Converted data]]/1000</f>
        <v>#N/A</v>
      </c>
      <c r="AL168" s="220" t="e">
        <f>SUM(Buildings_Water_Backend[[#This Row],[Scope 1 (tCO2e)]:[Scope 3 WTT T&amp;D (tCO2e)]])</f>
        <v>#N/A</v>
      </c>
      <c r="AM168" s="220" t="e">
        <f>Buildings_Water_Backend[[#This Row],[Total (tCO2e)]]*(1-Buildings_Water_Backend[[#This Row],[RSD]])</f>
        <v>#N/A</v>
      </c>
      <c r="AN168" s="220" t="e">
        <f>Buildings_Water_Backend[[#This Row],[Total (tCO2e)]]*(1+Buildings_Water_Backend[[#This Row],[RSD]])</f>
        <v>#N/A</v>
      </c>
      <c r="AO168" s="210" t="e">
        <f>_xlfn.XLOOKUP(_xlfn.CONCAT(Buildings_Water_Backend[[#This Row],[Level 1]:[Level 6]]),rng_EFConcat,rng_EFOOS)*Buildings_Water_Backend[[#This Row],[Converted data]]/1000</f>
        <v>#N/A</v>
      </c>
      <c r="AP168" s="174">
        <f>Buildings_Water_Frontend[[#This Row],[Ease of collection]]</f>
        <v>0</v>
      </c>
      <c r="AQ168" s="174">
        <f>Buildings_Water_Frontend[[#This Row],[Completeness]]</f>
        <v>0</v>
      </c>
      <c r="AR168" s="174">
        <f>Buildings_Water_Frontend[[#This Row],[Notes]]</f>
        <v>0</v>
      </c>
    </row>
    <row r="169" spans="5:44" x14ac:dyDescent="0.3">
      <c r="E169" s="346"/>
      <c r="F169" s="364"/>
      <c r="G169" s="336"/>
      <c r="H169" s="336"/>
      <c r="I169" s="334"/>
      <c r="J169" s="336"/>
      <c r="K169" s="336"/>
      <c r="L169" s="336"/>
      <c r="M169" s="337"/>
      <c r="N169" s="242">
        <f t="shared" si="5"/>
        <v>5</v>
      </c>
      <c r="Q169" s="212" t="str">
        <f t="shared" si="4"/>
        <v/>
      </c>
      <c r="R169" s="174" t="s">
        <v>265</v>
      </c>
      <c r="S169" s="174" t="s">
        <v>273</v>
      </c>
      <c r="T169" s="174" t="e">
        <f>_xlfn.XLOOKUP(Buildings_Water_Backend[[#This Row],[Info 1]],Buildings_SiteInfo[Site name],Buildings_SiteInfo[Site type])</f>
        <v>#N/A</v>
      </c>
      <c r="U169" s="174" t="s">
        <v>327</v>
      </c>
      <c r="V169" s="174">
        <f>Buildings_Water_Frontend[[#This Row],[Type]]</f>
        <v>0</v>
      </c>
      <c r="W169" s="174" t="e" cm="1">
        <f t="array" aca="1" ref="W169" ca="1">_xlfn.XLOOKUP(Buildings_Water_Backend[[#This Row],[Level 5]],rng_Level5Long,rng_Level6Long)</f>
        <v>#N/A</v>
      </c>
      <c r="X169" s="174">
        <f>Buildings_Water_Frontend[[#This Row],[Site Name]]</f>
        <v>0</v>
      </c>
      <c r="Y169" s="174">
        <f>Buildings_Water_Frontend[[#This Row],[Meter Reference]]</f>
        <v>0</v>
      </c>
      <c r="Z169" s="220">
        <f>Buildings_Water_Frontend[[#This Row],[Methodology]]</f>
        <v>0</v>
      </c>
      <c r="AA169" s="229" t="e" cm="1">
        <f t="array" ref="AA169">INDEX(_xlfn.SWITCH(Buildings_Water_Backend[[#This Row],[Methodology]],"Tier 1",rng_RSD1,"Tier 2",rng_RSD2,"Tier 3",rng_RSD3),MATCH(_xlfn.CONCAT(Buildings_Water_Backend[[#This Row],[Level 1]:[Level 6]]),rng_LevelsConcat,0))</f>
        <v>#N/A</v>
      </c>
      <c r="AB169" s="224">
        <f>Buildings_Water_Frontend[[#This Row],[Data]]</f>
        <v>0</v>
      </c>
      <c r="AC169" s="174">
        <f>Buildings_Water_Frontend[[#This Row],[Units]]</f>
        <v>0</v>
      </c>
      <c r="AD169" s="220" t="e">
        <f>IF(Buildings_Water_Backend[[#This Row],[Units]]=Buildings_Water_Backend[[#This Row],[Standard units]],Buildings_Water_Backend[[#This Row],[Data]],Buildings_Water_Backend[[#This Row],[Data]]*_xlfn.XLOOKUP(_xlfn.CONCAT(Buildings_Water_Backend[[#This Row],[Level 1]:[Level 6]]),rng_EFConcat,rng_EFConversion))</f>
        <v>#N/A</v>
      </c>
      <c r="AE169" s="174" t="e" cm="1">
        <f t="array" ref="AE169">_xlfn.XLOOKUP(_xlfn.CONCAT(Buildings_Water_Backend[[#This Row],[Level 1]:[Level 6]]),rng_LevelsConcat,rng_UnitsLong)</f>
        <v>#N/A</v>
      </c>
      <c r="AF169" s="210" t="e">
        <f>_xlfn.XLOOKUP(_xlfn.CONCAT(Buildings_Water_Backend[[#This Row],[Level 1]:[Level 6]]),rng_EFConcat,rng_EF1)*Buildings_Water_Backend[[#This Row],[Converted data]]/1000</f>
        <v>#N/A</v>
      </c>
      <c r="AG169" s="210" t="e">
        <f>_xlfn.XLOOKUP(_xlfn.CONCAT(Buildings_Water_Backend[[#This Row],[Level 1]:[Level 6]]),rng_EFConcat,rng_EF2)*Buildings_Water_Backend[[#This Row],[Converted data]]/1000</f>
        <v>#N/A</v>
      </c>
      <c r="AH169" s="210" t="e">
        <f>_xlfn.XLOOKUP(_xlfn.CONCAT(Buildings_Water_Backend[[#This Row],[Level 1]:[Level 6]]),rng_EFConcat,rng_EF3)*Buildings_Water_Backend[[#This Row],[Converted data]]/1000</f>
        <v>#N/A</v>
      </c>
      <c r="AI169" s="210" t="e">
        <f>_xlfn.XLOOKUP(_xlfn.CONCAT(Buildings_Water_Backend[[#This Row],[Level 1]:[Level 6]]),rng_EFConcat,rng_EF3WTT)*Buildings_Water_Backend[[#This Row],[Converted data]]/1000</f>
        <v>#N/A</v>
      </c>
      <c r="AJ169" s="210" t="e">
        <f>_xlfn.XLOOKUP(_xlfn.CONCAT(Buildings_Water_Backend[[#This Row],[Level 1]:[Level 6]]),rng_EFConcat,rng_EF3TD)*Buildings_Water_Backend[[#This Row],[Converted data]]/1000</f>
        <v>#N/A</v>
      </c>
      <c r="AK169" s="210" t="e">
        <f>_xlfn.XLOOKUP(_xlfn.CONCAT(Buildings_Water_Backend[[#This Row],[Level 1]:[Level 6]]),rng_EFConcat,rng_EF3WTTTD)*Buildings_Water_Backend[[#This Row],[Converted data]]/1000</f>
        <v>#N/A</v>
      </c>
      <c r="AL169" s="220" t="e">
        <f>SUM(Buildings_Water_Backend[[#This Row],[Scope 1 (tCO2e)]:[Scope 3 WTT T&amp;D (tCO2e)]])</f>
        <v>#N/A</v>
      </c>
      <c r="AM169" s="220" t="e">
        <f>Buildings_Water_Backend[[#This Row],[Total (tCO2e)]]*(1-Buildings_Water_Backend[[#This Row],[RSD]])</f>
        <v>#N/A</v>
      </c>
      <c r="AN169" s="220" t="e">
        <f>Buildings_Water_Backend[[#This Row],[Total (tCO2e)]]*(1+Buildings_Water_Backend[[#This Row],[RSD]])</f>
        <v>#N/A</v>
      </c>
      <c r="AO169" s="210" t="e">
        <f>_xlfn.XLOOKUP(_xlfn.CONCAT(Buildings_Water_Backend[[#This Row],[Level 1]:[Level 6]]),rng_EFConcat,rng_EFOOS)*Buildings_Water_Backend[[#This Row],[Converted data]]/1000</f>
        <v>#N/A</v>
      </c>
      <c r="AP169" s="174">
        <f>Buildings_Water_Frontend[[#This Row],[Ease of collection]]</f>
        <v>0</v>
      </c>
      <c r="AQ169" s="174">
        <f>Buildings_Water_Frontend[[#This Row],[Completeness]]</f>
        <v>0</v>
      </c>
      <c r="AR169" s="174">
        <f>Buildings_Water_Frontend[[#This Row],[Notes]]</f>
        <v>0</v>
      </c>
    </row>
    <row r="170" spans="5:44" x14ac:dyDescent="0.3">
      <c r="E170" s="346"/>
      <c r="F170" s="364"/>
      <c r="G170" s="336"/>
      <c r="H170" s="336"/>
      <c r="I170" s="334"/>
      <c r="J170" s="336"/>
      <c r="K170" s="336"/>
      <c r="L170" s="336"/>
      <c r="M170" s="337"/>
      <c r="N170" s="242">
        <f t="shared" si="5"/>
        <v>5</v>
      </c>
      <c r="Q170" s="212" t="str">
        <f t="shared" si="4"/>
        <v/>
      </c>
      <c r="R170" s="174" t="s">
        <v>265</v>
      </c>
      <c r="S170" s="174" t="s">
        <v>273</v>
      </c>
      <c r="T170" s="174" t="e">
        <f>_xlfn.XLOOKUP(Buildings_Water_Backend[[#This Row],[Info 1]],Buildings_SiteInfo[Site name],Buildings_SiteInfo[Site type])</f>
        <v>#N/A</v>
      </c>
      <c r="U170" s="174" t="s">
        <v>327</v>
      </c>
      <c r="V170" s="174">
        <f>Buildings_Water_Frontend[[#This Row],[Type]]</f>
        <v>0</v>
      </c>
      <c r="W170" s="174" t="e" cm="1">
        <f t="array" aca="1" ref="W170" ca="1">_xlfn.XLOOKUP(Buildings_Water_Backend[[#This Row],[Level 5]],rng_Level5Long,rng_Level6Long)</f>
        <v>#N/A</v>
      </c>
      <c r="X170" s="174">
        <f>Buildings_Water_Frontend[[#This Row],[Site Name]]</f>
        <v>0</v>
      </c>
      <c r="Y170" s="174">
        <f>Buildings_Water_Frontend[[#This Row],[Meter Reference]]</f>
        <v>0</v>
      </c>
      <c r="Z170" s="220">
        <f>Buildings_Water_Frontend[[#This Row],[Methodology]]</f>
        <v>0</v>
      </c>
      <c r="AA170" s="229" t="e" cm="1">
        <f t="array" ref="AA170">INDEX(_xlfn.SWITCH(Buildings_Water_Backend[[#This Row],[Methodology]],"Tier 1",rng_RSD1,"Tier 2",rng_RSD2,"Tier 3",rng_RSD3),MATCH(_xlfn.CONCAT(Buildings_Water_Backend[[#This Row],[Level 1]:[Level 6]]),rng_LevelsConcat,0))</f>
        <v>#N/A</v>
      </c>
      <c r="AB170" s="224">
        <f>Buildings_Water_Frontend[[#This Row],[Data]]</f>
        <v>0</v>
      </c>
      <c r="AC170" s="174">
        <f>Buildings_Water_Frontend[[#This Row],[Units]]</f>
        <v>0</v>
      </c>
      <c r="AD170" s="220" t="e">
        <f>IF(Buildings_Water_Backend[[#This Row],[Units]]=Buildings_Water_Backend[[#This Row],[Standard units]],Buildings_Water_Backend[[#This Row],[Data]],Buildings_Water_Backend[[#This Row],[Data]]*_xlfn.XLOOKUP(_xlfn.CONCAT(Buildings_Water_Backend[[#This Row],[Level 1]:[Level 6]]),rng_EFConcat,rng_EFConversion))</f>
        <v>#N/A</v>
      </c>
      <c r="AE170" s="174" t="e" cm="1">
        <f t="array" ref="AE170">_xlfn.XLOOKUP(_xlfn.CONCAT(Buildings_Water_Backend[[#This Row],[Level 1]:[Level 6]]),rng_LevelsConcat,rng_UnitsLong)</f>
        <v>#N/A</v>
      </c>
      <c r="AF170" s="210" t="e">
        <f>_xlfn.XLOOKUP(_xlfn.CONCAT(Buildings_Water_Backend[[#This Row],[Level 1]:[Level 6]]),rng_EFConcat,rng_EF1)*Buildings_Water_Backend[[#This Row],[Converted data]]/1000</f>
        <v>#N/A</v>
      </c>
      <c r="AG170" s="210" t="e">
        <f>_xlfn.XLOOKUP(_xlfn.CONCAT(Buildings_Water_Backend[[#This Row],[Level 1]:[Level 6]]),rng_EFConcat,rng_EF2)*Buildings_Water_Backend[[#This Row],[Converted data]]/1000</f>
        <v>#N/A</v>
      </c>
      <c r="AH170" s="210" t="e">
        <f>_xlfn.XLOOKUP(_xlfn.CONCAT(Buildings_Water_Backend[[#This Row],[Level 1]:[Level 6]]),rng_EFConcat,rng_EF3)*Buildings_Water_Backend[[#This Row],[Converted data]]/1000</f>
        <v>#N/A</v>
      </c>
      <c r="AI170" s="210" t="e">
        <f>_xlfn.XLOOKUP(_xlfn.CONCAT(Buildings_Water_Backend[[#This Row],[Level 1]:[Level 6]]),rng_EFConcat,rng_EF3WTT)*Buildings_Water_Backend[[#This Row],[Converted data]]/1000</f>
        <v>#N/A</v>
      </c>
      <c r="AJ170" s="210" t="e">
        <f>_xlfn.XLOOKUP(_xlfn.CONCAT(Buildings_Water_Backend[[#This Row],[Level 1]:[Level 6]]),rng_EFConcat,rng_EF3TD)*Buildings_Water_Backend[[#This Row],[Converted data]]/1000</f>
        <v>#N/A</v>
      </c>
      <c r="AK170" s="210" t="e">
        <f>_xlfn.XLOOKUP(_xlfn.CONCAT(Buildings_Water_Backend[[#This Row],[Level 1]:[Level 6]]),rng_EFConcat,rng_EF3WTTTD)*Buildings_Water_Backend[[#This Row],[Converted data]]/1000</f>
        <v>#N/A</v>
      </c>
      <c r="AL170" s="220" t="e">
        <f>SUM(Buildings_Water_Backend[[#This Row],[Scope 1 (tCO2e)]:[Scope 3 WTT T&amp;D (tCO2e)]])</f>
        <v>#N/A</v>
      </c>
      <c r="AM170" s="220" t="e">
        <f>Buildings_Water_Backend[[#This Row],[Total (tCO2e)]]*(1-Buildings_Water_Backend[[#This Row],[RSD]])</f>
        <v>#N/A</v>
      </c>
      <c r="AN170" s="220" t="e">
        <f>Buildings_Water_Backend[[#This Row],[Total (tCO2e)]]*(1+Buildings_Water_Backend[[#This Row],[RSD]])</f>
        <v>#N/A</v>
      </c>
      <c r="AO170" s="210" t="e">
        <f>_xlfn.XLOOKUP(_xlfn.CONCAT(Buildings_Water_Backend[[#This Row],[Level 1]:[Level 6]]),rng_EFConcat,rng_EFOOS)*Buildings_Water_Backend[[#This Row],[Converted data]]/1000</f>
        <v>#N/A</v>
      </c>
      <c r="AP170" s="174">
        <f>Buildings_Water_Frontend[[#This Row],[Ease of collection]]</f>
        <v>0</v>
      </c>
      <c r="AQ170" s="174">
        <f>Buildings_Water_Frontend[[#This Row],[Completeness]]</f>
        <v>0</v>
      </c>
      <c r="AR170" s="174">
        <f>Buildings_Water_Frontend[[#This Row],[Notes]]</f>
        <v>0</v>
      </c>
    </row>
    <row r="171" spans="5:44" x14ac:dyDescent="0.3">
      <c r="E171" s="346"/>
      <c r="F171" s="364"/>
      <c r="G171" s="336"/>
      <c r="H171" s="336"/>
      <c r="I171" s="334"/>
      <c r="J171" s="336"/>
      <c r="K171" s="336"/>
      <c r="L171" s="336"/>
      <c r="M171" s="337"/>
      <c r="N171" s="242">
        <f t="shared" si="5"/>
        <v>5</v>
      </c>
      <c r="Q171" s="212" t="str">
        <f t="shared" si="4"/>
        <v/>
      </c>
      <c r="R171" s="174" t="s">
        <v>265</v>
      </c>
      <c r="S171" s="174" t="s">
        <v>273</v>
      </c>
      <c r="T171" s="174" t="e">
        <f>_xlfn.XLOOKUP(Buildings_Water_Backend[[#This Row],[Info 1]],Buildings_SiteInfo[Site name],Buildings_SiteInfo[Site type])</f>
        <v>#N/A</v>
      </c>
      <c r="U171" s="174" t="s">
        <v>327</v>
      </c>
      <c r="V171" s="174">
        <f>Buildings_Water_Frontend[[#This Row],[Type]]</f>
        <v>0</v>
      </c>
      <c r="W171" s="174" t="e" cm="1">
        <f t="array" aca="1" ref="W171" ca="1">_xlfn.XLOOKUP(Buildings_Water_Backend[[#This Row],[Level 5]],rng_Level5Long,rng_Level6Long)</f>
        <v>#N/A</v>
      </c>
      <c r="X171" s="174">
        <f>Buildings_Water_Frontend[[#This Row],[Site Name]]</f>
        <v>0</v>
      </c>
      <c r="Y171" s="174">
        <f>Buildings_Water_Frontend[[#This Row],[Meter Reference]]</f>
        <v>0</v>
      </c>
      <c r="Z171" s="220">
        <f>Buildings_Water_Frontend[[#This Row],[Methodology]]</f>
        <v>0</v>
      </c>
      <c r="AA171" s="229" t="e" cm="1">
        <f t="array" ref="AA171">INDEX(_xlfn.SWITCH(Buildings_Water_Backend[[#This Row],[Methodology]],"Tier 1",rng_RSD1,"Tier 2",rng_RSD2,"Tier 3",rng_RSD3),MATCH(_xlfn.CONCAT(Buildings_Water_Backend[[#This Row],[Level 1]:[Level 6]]),rng_LevelsConcat,0))</f>
        <v>#N/A</v>
      </c>
      <c r="AB171" s="224">
        <f>Buildings_Water_Frontend[[#This Row],[Data]]</f>
        <v>0</v>
      </c>
      <c r="AC171" s="174">
        <f>Buildings_Water_Frontend[[#This Row],[Units]]</f>
        <v>0</v>
      </c>
      <c r="AD171" s="220" t="e">
        <f>IF(Buildings_Water_Backend[[#This Row],[Units]]=Buildings_Water_Backend[[#This Row],[Standard units]],Buildings_Water_Backend[[#This Row],[Data]],Buildings_Water_Backend[[#This Row],[Data]]*_xlfn.XLOOKUP(_xlfn.CONCAT(Buildings_Water_Backend[[#This Row],[Level 1]:[Level 6]]),rng_EFConcat,rng_EFConversion))</f>
        <v>#N/A</v>
      </c>
      <c r="AE171" s="174" t="e" cm="1">
        <f t="array" ref="AE171">_xlfn.XLOOKUP(_xlfn.CONCAT(Buildings_Water_Backend[[#This Row],[Level 1]:[Level 6]]),rng_LevelsConcat,rng_UnitsLong)</f>
        <v>#N/A</v>
      </c>
      <c r="AF171" s="210" t="e">
        <f>_xlfn.XLOOKUP(_xlfn.CONCAT(Buildings_Water_Backend[[#This Row],[Level 1]:[Level 6]]),rng_EFConcat,rng_EF1)*Buildings_Water_Backend[[#This Row],[Converted data]]/1000</f>
        <v>#N/A</v>
      </c>
      <c r="AG171" s="210" t="e">
        <f>_xlfn.XLOOKUP(_xlfn.CONCAT(Buildings_Water_Backend[[#This Row],[Level 1]:[Level 6]]),rng_EFConcat,rng_EF2)*Buildings_Water_Backend[[#This Row],[Converted data]]/1000</f>
        <v>#N/A</v>
      </c>
      <c r="AH171" s="210" t="e">
        <f>_xlfn.XLOOKUP(_xlfn.CONCAT(Buildings_Water_Backend[[#This Row],[Level 1]:[Level 6]]),rng_EFConcat,rng_EF3)*Buildings_Water_Backend[[#This Row],[Converted data]]/1000</f>
        <v>#N/A</v>
      </c>
      <c r="AI171" s="210" t="e">
        <f>_xlfn.XLOOKUP(_xlfn.CONCAT(Buildings_Water_Backend[[#This Row],[Level 1]:[Level 6]]),rng_EFConcat,rng_EF3WTT)*Buildings_Water_Backend[[#This Row],[Converted data]]/1000</f>
        <v>#N/A</v>
      </c>
      <c r="AJ171" s="210" t="e">
        <f>_xlfn.XLOOKUP(_xlfn.CONCAT(Buildings_Water_Backend[[#This Row],[Level 1]:[Level 6]]),rng_EFConcat,rng_EF3TD)*Buildings_Water_Backend[[#This Row],[Converted data]]/1000</f>
        <v>#N/A</v>
      </c>
      <c r="AK171" s="210" t="e">
        <f>_xlfn.XLOOKUP(_xlfn.CONCAT(Buildings_Water_Backend[[#This Row],[Level 1]:[Level 6]]),rng_EFConcat,rng_EF3WTTTD)*Buildings_Water_Backend[[#This Row],[Converted data]]/1000</f>
        <v>#N/A</v>
      </c>
      <c r="AL171" s="220" t="e">
        <f>SUM(Buildings_Water_Backend[[#This Row],[Scope 1 (tCO2e)]:[Scope 3 WTT T&amp;D (tCO2e)]])</f>
        <v>#N/A</v>
      </c>
      <c r="AM171" s="220" t="e">
        <f>Buildings_Water_Backend[[#This Row],[Total (tCO2e)]]*(1-Buildings_Water_Backend[[#This Row],[RSD]])</f>
        <v>#N/A</v>
      </c>
      <c r="AN171" s="220" t="e">
        <f>Buildings_Water_Backend[[#This Row],[Total (tCO2e)]]*(1+Buildings_Water_Backend[[#This Row],[RSD]])</f>
        <v>#N/A</v>
      </c>
      <c r="AO171" s="210" t="e">
        <f>_xlfn.XLOOKUP(_xlfn.CONCAT(Buildings_Water_Backend[[#This Row],[Level 1]:[Level 6]]),rng_EFConcat,rng_EFOOS)*Buildings_Water_Backend[[#This Row],[Converted data]]/1000</f>
        <v>#N/A</v>
      </c>
      <c r="AP171" s="174">
        <f>Buildings_Water_Frontend[[#This Row],[Ease of collection]]</f>
        <v>0</v>
      </c>
      <c r="AQ171" s="174">
        <f>Buildings_Water_Frontend[[#This Row],[Completeness]]</f>
        <v>0</v>
      </c>
      <c r="AR171" s="174">
        <f>Buildings_Water_Frontend[[#This Row],[Notes]]</f>
        <v>0</v>
      </c>
    </row>
    <row r="172" spans="5:44" x14ac:dyDescent="0.3">
      <c r="E172" s="346"/>
      <c r="F172" s="364"/>
      <c r="G172" s="336"/>
      <c r="H172" s="336"/>
      <c r="I172" s="334"/>
      <c r="J172" s="336"/>
      <c r="K172" s="336"/>
      <c r="L172" s="336"/>
      <c r="M172" s="337"/>
      <c r="N172" s="242">
        <f t="shared" si="5"/>
        <v>5</v>
      </c>
      <c r="Q172" s="212" t="str">
        <f t="shared" si="4"/>
        <v/>
      </c>
      <c r="R172" s="174" t="s">
        <v>265</v>
      </c>
      <c r="S172" s="174" t="s">
        <v>273</v>
      </c>
      <c r="T172" s="174" t="e">
        <f>_xlfn.XLOOKUP(Buildings_Water_Backend[[#This Row],[Info 1]],Buildings_SiteInfo[Site name],Buildings_SiteInfo[Site type])</f>
        <v>#N/A</v>
      </c>
      <c r="U172" s="174" t="s">
        <v>327</v>
      </c>
      <c r="V172" s="174">
        <f>Buildings_Water_Frontend[[#This Row],[Type]]</f>
        <v>0</v>
      </c>
      <c r="W172" s="174" t="e" cm="1">
        <f t="array" aca="1" ref="W172" ca="1">_xlfn.XLOOKUP(Buildings_Water_Backend[[#This Row],[Level 5]],rng_Level5Long,rng_Level6Long)</f>
        <v>#N/A</v>
      </c>
      <c r="X172" s="174">
        <f>Buildings_Water_Frontend[[#This Row],[Site Name]]</f>
        <v>0</v>
      </c>
      <c r="Y172" s="174">
        <f>Buildings_Water_Frontend[[#This Row],[Meter Reference]]</f>
        <v>0</v>
      </c>
      <c r="Z172" s="220">
        <f>Buildings_Water_Frontend[[#This Row],[Methodology]]</f>
        <v>0</v>
      </c>
      <c r="AA172" s="229" t="e" cm="1">
        <f t="array" ref="AA172">INDEX(_xlfn.SWITCH(Buildings_Water_Backend[[#This Row],[Methodology]],"Tier 1",rng_RSD1,"Tier 2",rng_RSD2,"Tier 3",rng_RSD3),MATCH(_xlfn.CONCAT(Buildings_Water_Backend[[#This Row],[Level 1]:[Level 6]]),rng_LevelsConcat,0))</f>
        <v>#N/A</v>
      </c>
      <c r="AB172" s="224">
        <f>Buildings_Water_Frontend[[#This Row],[Data]]</f>
        <v>0</v>
      </c>
      <c r="AC172" s="174">
        <f>Buildings_Water_Frontend[[#This Row],[Units]]</f>
        <v>0</v>
      </c>
      <c r="AD172" s="220" t="e">
        <f>IF(Buildings_Water_Backend[[#This Row],[Units]]=Buildings_Water_Backend[[#This Row],[Standard units]],Buildings_Water_Backend[[#This Row],[Data]],Buildings_Water_Backend[[#This Row],[Data]]*_xlfn.XLOOKUP(_xlfn.CONCAT(Buildings_Water_Backend[[#This Row],[Level 1]:[Level 6]]),rng_EFConcat,rng_EFConversion))</f>
        <v>#N/A</v>
      </c>
      <c r="AE172" s="174" t="e" cm="1">
        <f t="array" ref="AE172">_xlfn.XLOOKUP(_xlfn.CONCAT(Buildings_Water_Backend[[#This Row],[Level 1]:[Level 6]]),rng_LevelsConcat,rng_UnitsLong)</f>
        <v>#N/A</v>
      </c>
      <c r="AF172" s="210" t="e">
        <f>_xlfn.XLOOKUP(_xlfn.CONCAT(Buildings_Water_Backend[[#This Row],[Level 1]:[Level 6]]),rng_EFConcat,rng_EF1)*Buildings_Water_Backend[[#This Row],[Converted data]]/1000</f>
        <v>#N/A</v>
      </c>
      <c r="AG172" s="210" t="e">
        <f>_xlfn.XLOOKUP(_xlfn.CONCAT(Buildings_Water_Backend[[#This Row],[Level 1]:[Level 6]]),rng_EFConcat,rng_EF2)*Buildings_Water_Backend[[#This Row],[Converted data]]/1000</f>
        <v>#N/A</v>
      </c>
      <c r="AH172" s="210" t="e">
        <f>_xlfn.XLOOKUP(_xlfn.CONCAT(Buildings_Water_Backend[[#This Row],[Level 1]:[Level 6]]),rng_EFConcat,rng_EF3)*Buildings_Water_Backend[[#This Row],[Converted data]]/1000</f>
        <v>#N/A</v>
      </c>
      <c r="AI172" s="210" t="e">
        <f>_xlfn.XLOOKUP(_xlfn.CONCAT(Buildings_Water_Backend[[#This Row],[Level 1]:[Level 6]]),rng_EFConcat,rng_EF3WTT)*Buildings_Water_Backend[[#This Row],[Converted data]]/1000</f>
        <v>#N/A</v>
      </c>
      <c r="AJ172" s="210" t="e">
        <f>_xlfn.XLOOKUP(_xlfn.CONCAT(Buildings_Water_Backend[[#This Row],[Level 1]:[Level 6]]),rng_EFConcat,rng_EF3TD)*Buildings_Water_Backend[[#This Row],[Converted data]]/1000</f>
        <v>#N/A</v>
      </c>
      <c r="AK172" s="210" t="e">
        <f>_xlfn.XLOOKUP(_xlfn.CONCAT(Buildings_Water_Backend[[#This Row],[Level 1]:[Level 6]]),rng_EFConcat,rng_EF3WTTTD)*Buildings_Water_Backend[[#This Row],[Converted data]]/1000</f>
        <v>#N/A</v>
      </c>
      <c r="AL172" s="220" t="e">
        <f>SUM(Buildings_Water_Backend[[#This Row],[Scope 1 (tCO2e)]:[Scope 3 WTT T&amp;D (tCO2e)]])</f>
        <v>#N/A</v>
      </c>
      <c r="AM172" s="220" t="e">
        <f>Buildings_Water_Backend[[#This Row],[Total (tCO2e)]]*(1-Buildings_Water_Backend[[#This Row],[RSD]])</f>
        <v>#N/A</v>
      </c>
      <c r="AN172" s="220" t="e">
        <f>Buildings_Water_Backend[[#This Row],[Total (tCO2e)]]*(1+Buildings_Water_Backend[[#This Row],[RSD]])</f>
        <v>#N/A</v>
      </c>
      <c r="AO172" s="210" t="e">
        <f>_xlfn.XLOOKUP(_xlfn.CONCAT(Buildings_Water_Backend[[#This Row],[Level 1]:[Level 6]]),rng_EFConcat,rng_EFOOS)*Buildings_Water_Backend[[#This Row],[Converted data]]/1000</f>
        <v>#N/A</v>
      </c>
      <c r="AP172" s="174">
        <f>Buildings_Water_Frontend[[#This Row],[Ease of collection]]</f>
        <v>0</v>
      </c>
      <c r="AQ172" s="174">
        <f>Buildings_Water_Frontend[[#This Row],[Completeness]]</f>
        <v>0</v>
      </c>
      <c r="AR172" s="174">
        <f>Buildings_Water_Frontend[[#This Row],[Notes]]</f>
        <v>0</v>
      </c>
    </row>
    <row r="173" spans="5:44" x14ac:dyDescent="0.3">
      <c r="E173" s="346"/>
      <c r="F173" s="364"/>
      <c r="G173" s="336"/>
      <c r="H173" s="336"/>
      <c r="I173" s="334"/>
      <c r="J173" s="336"/>
      <c r="K173" s="336"/>
      <c r="L173" s="336"/>
      <c r="M173" s="337"/>
      <c r="N173" s="242">
        <f t="shared" si="5"/>
        <v>5</v>
      </c>
      <c r="Q173" s="212" t="str">
        <f t="shared" si="4"/>
        <v/>
      </c>
      <c r="R173" s="174" t="s">
        <v>265</v>
      </c>
      <c r="S173" s="174" t="s">
        <v>273</v>
      </c>
      <c r="T173" s="174" t="e">
        <f>_xlfn.XLOOKUP(Buildings_Water_Backend[[#This Row],[Info 1]],Buildings_SiteInfo[Site name],Buildings_SiteInfo[Site type])</f>
        <v>#N/A</v>
      </c>
      <c r="U173" s="174" t="s">
        <v>327</v>
      </c>
      <c r="V173" s="174">
        <f>Buildings_Water_Frontend[[#This Row],[Type]]</f>
        <v>0</v>
      </c>
      <c r="W173" s="174" t="e" cm="1">
        <f t="array" aca="1" ref="W173" ca="1">_xlfn.XLOOKUP(Buildings_Water_Backend[[#This Row],[Level 5]],rng_Level5Long,rng_Level6Long)</f>
        <v>#N/A</v>
      </c>
      <c r="X173" s="174">
        <f>Buildings_Water_Frontend[[#This Row],[Site Name]]</f>
        <v>0</v>
      </c>
      <c r="Y173" s="174">
        <f>Buildings_Water_Frontend[[#This Row],[Meter Reference]]</f>
        <v>0</v>
      </c>
      <c r="Z173" s="220">
        <f>Buildings_Water_Frontend[[#This Row],[Methodology]]</f>
        <v>0</v>
      </c>
      <c r="AA173" s="229" t="e" cm="1">
        <f t="array" ref="AA173">INDEX(_xlfn.SWITCH(Buildings_Water_Backend[[#This Row],[Methodology]],"Tier 1",rng_RSD1,"Tier 2",rng_RSD2,"Tier 3",rng_RSD3),MATCH(_xlfn.CONCAT(Buildings_Water_Backend[[#This Row],[Level 1]:[Level 6]]),rng_LevelsConcat,0))</f>
        <v>#N/A</v>
      </c>
      <c r="AB173" s="224">
        <f>Buildings_Water_Frontend[[#This Row],[Data]]</f>
        <v>0</v>
      </c>
      <c r="AC173" s="174">
        <f>Buildings_Water_Frontend[[#This Row],[Units]]</f>
        <v>0</v>
      </c>
      <c r="AD173" s="220" t="e">
        <f>IF(Buildings_Water_Backend[[#This Row],[Units]]=Buildings_Water_Backend[[#This Row],[Standard units]],Buildings_Water_Backend[[#This Row],[Data]],Buildings_Water_Backend[[#This Row],[Data]]*_xlfn.XLOOKUP(_xlfn.CONCAT(Buildings_Water_Backend[[#This Row],[Level 1]:[Level 6]]),rng_EFConcat,rng_EFConversion))</f>
        <v>#N/A</v>
      </c>
      <c r="AE173" s="174" t="e" cm="1">
        <f t="array" ref="AE173">_xlfn.XLOOKUP(_xlfn.CONCAT(Buildings_Water_Backend[[#This Row],[Level 1]:[Level 6]]),rng_LevelsConcat,rng_UnitsLong)</f>
        <v>#N/A</v>
      </c>
      <c r="AF173" s="210" t="e">
        <f>_xlfn.XLOOKUP(_xlfn.CONCAT(Buildings_Water_Backend[[#This Row],[Level 1]:[Level 6]]),rng_EFConcat,rng_EF1)*Buildings_Water_Backend[[#This Row],[Converted data]]/1000</f>
        <v>#N/A</v>
      </c>
      <c r="AG173" s="210" t="e">
        <f>_xlfn.XLOOKUP(_xlfn.CONCAT(Buildings_Water_Backend[[#This Row],[Level 1]:[Level 6]]),rng_EFConcat,rng_EF2)*Buildings_Water_Backend[[#This Row],[Converted data]]/1000</f>
        <v>#N/A</v>
      </c>
      <c r="AH173" s="210" t="e">
        <f>_xlfn.XLOOKUP(_xlfn.CONCAT(Buildings_Water_Backend[[#This Row],[Level 1]:[Level 6]]),rng_EFConcat,rng_EF3)*Buildings_Water_Backend[[#This Row],[Converted data]]/1000</f>
        <v>#N/A</v>
      </c>
      <c r="AI173" s="210" t="e">
        <f>_xlfn.XLOOKUP(_xlfn.CONCAT(Buildings_Water_Backend[[#This Row],[Level 1]:[Level 6]]),rng_EFConcat,rng_EF3WTT)*Buildings_Water_Backend[[#This Row],[Converted data]]/1000</f>
        <v>#N/A</v>
      </c>
      <c r="AJ173" s="210" t="e">
        <f>_xlfn.XLOOKUP(_xlfn.CONCAT(Buildings_Water_Backend[[#This Row],[Level 1]:[Level 6]]),rng_EFConcat,rng_EF3TD)*Buildings_Water_Backend[[#This Row],[Converted data]]/1000</f>
        <v>#N/A</v>
      </c>
      <c r="AK173" s="210" t="e">
        <f>_xlfn.XLOOKUP(_xlfn.CONCAT(Buildings_Water_Backend[[#This Row],[Level 1]:[Level 6]]),rng_EFConcat,rng_EF3WTTTD)*Buildings_Water_Backend[[#This Row],[Converted data]]/1000</f>
        <v>#N/A</v>
      </c>
      <c r="AL173" s="220" t="e">
        <f>SUM(Buildings_Water_Backend[[#This Row],[Scope 1 (tCO2e)]:[Scope 3 WTT T&amp;D (tCO2e)]])</f>
        <v>#N/A</v>
      </c>
      <c r="AM173" s="220" t="e">
        <f>Buildings_Water_Backend[[#This Row],[Total (tCO2e)]]*(1-Buildings_Water_Backend[[#This Row],[RSD]])</f>
        <v>#N/A</v>
      </c>
      <c r="AN173" s="220" t="e">
        <f>Buildings_Water_Backend[[#This Row],[Total (tCO2e)]]*(1+Buildings_Water_Backend[[#This Row],[RSD]])</f>
        <v>#N/A</v>
      </c>
      <c r="AO173" s="210" t="e">
        <f>_xlfn.XLOOKUP(_xlfn.CONCAT(Buildings_Water_Backend[[#This Row],[Level 1]:[Level 6]]),rng_EFConcat,rng_EFOOS)*Buildings_Water_Backend[[#This Row],[Converted data]]/1000</f>
        <v>#N/A</v>
      </c>
      <c r="AP173" s="174">
        <f>Buildings_Water_Frontend[[#This Row],[Ease of collection]]</f>
        <v>0</v>
      </c>
      <c r="AQ173" s="174">
        <f>Buildings_Water_Frontend[[#This Row],[Completeness]]</f>
        <v>0</v>
      </c>
      <c r="AR173" s="174">
        <f>Buildings_Water_Frontend[[#This Row],[Notes]]</f>
        <v>0</v>
      </c>
    </row>
    <row r="174" spans="5:44" x14ac:dyDescent="0.3">
      <c r="E174" s="346"/>
      <c r="F174" s="364"/>
      <c r="G174" s="336"/>
      <c r="H174" s="336"/>
      <c r="I174" s="334"/>
      <c r="J174" s="336"/>
      <c r="K174" s="336"/>
      <c r="L174" s="336"/>
      <c r="M174" s="337"/>
      <c r="N174" s="242">
        <f t="shared" si="5"/>
        <v>5</v>
      </c>
      <c r="Q174" s="212" t="str">
        <f t="shared" si="4"/>
        <v/>
      </c>
      <c r="R174" s="174" t="s">
        <v>265</v>
      </c>
      <c r="S174" s="174" t="s">
        <v>273</v>
      </c>
      <c r="T174" s="174" t="e">
        <f>_xlfn.XLOOKUP(Buildings_Water_Backend[[#This Row],[Info 1]],Buildings_SiteInfo[Site name],Buildings_SiteInfo[Site type])</f>
        <v>#N/A</v>
      </c>
      <c r="U174" s="174" t="s">
        <v>327</v>
      </c>
      <c r="V174" s="174">
        <f>Buildings_Water_Frontend[[#This Row],[Type]]</f>
        <v>0</v>
      </c>
      <c r="W174" s="174" t="e" cm="1">
        <f t="array" aca="1" ref="W174" ca="1">_xlfn.XLOOKUP(Buildings_Water_Backend[[#This Row],[Level 5]],rng_Level5Long,rng_Level6Long)</f>
        <v>#N/A</v>
      </c>
      <c r="X174" s="174">
        <f>Buildings_Water_Frontend[[#This Row],[Site Name]]</f>
        <v>0</v>
      </c>
      <c r="Y174" s="174">
        <f>Buildings_Water_Frontend[[#This Row],[Meter Reference]]</f>
        <v>0</v>
      </c>
      <c r="Z174" s="220">
        <f>Buildings_Water_Frontend[[#This Row],[Methodology]]</f>
        <v>0</v>
      </c>
      <c r="AA174" s="229" t="e" cm="1">
        <f t="array" ref="AA174">INDEX(_xlfn.SWITCH(Buildings_Water_Backend[[#This Row],[Methodology]],"Tier 1",rng_RSD1,"Tier 2",rng_RSD2,"Tier 3",rng_RSD3),MATCH(_xlfn.CONCAT(Buildings_Water_Backend[[#This Row],[Level 1]:[Level 6]]),rng_LevelsConcat,0))</f>
        <v>#N/A</v>
      </c>
      <c r="AB174" s="224">
        <f>Buildings_Water_Frontend[[#This Row],[Data]]</f>
        <v>0</v>
      </c>
      <c r="AC174" s="174">
        <f>Buildings_Water_Frontend[[#This Row],[Units]]</f>
        <v>0</v>
      </c>
      <c r="AD174" s="220" t="e">
        <f>IF(Buildings_Water_Backend[[#This Row],[Units]]=Buildings_Water_Backend[[#This Row],[Standard units]],Buildings_Water_Backend[[#This Row],[Data]],Buildings_Water_Backend[[#This Row],[Data]]*_xlfn.XLOOKUP(_xlfn.CONCAT(Buildings_Water_Backend[[#This Row],[Level 1]:[Level 6]]),rng_EFConcat,rng_EFConversion))</f>
        <v>#N/A</v>
      </c>
      <c r="AE174" s="174" t="e" cm="1">
        <f t="array" ref="AE174">_xlfn.XLOOKUP(_xlfn.CONCAT(Buildings_Water_Backend[[#This Row],[Level 1]:[Level 6]]),rng_LevelsConcat,rng_UnitsLong)</f>
        <v>#N/A</v>
      </c>
      <c r="AF174" s="210" t="e">
        <f>_xlfn.XLOOKUP(_xlfn.CONCAT(Buildings_Water_Backend[[#This Row],[Level 1]:[Level 6]]),rng_EFConcat,rng_EF1)*Buildings_Water_Backend[[#This Row],[Converted data]]/1000</f>
        <v>#N/A</v>
      </c>
      <c r="AG174" s="210" t="e">
        <f>_xlfn.XLOOKUP(_xlfn.CONCAT(Buildings_Water_Backend[[#This Row],[Level 1]:[Level 6]]),rng_EFConcat,rng_EF2)*Buildings_Water_Backend[[#This Row],[Converted data]]/1000</f>
        <v>#N/A</v>
      </c>
      <c r="AH174" s="210" t="e">
        <f>_xlfn.XLOOKUP(_xlfn.CONCAT(Buildings_Water_Backend[[#This Row],[Level 1]:[Level 6]]),rng_EFConcat,rng_EF3)*Buildings_Water_Backend[[#This Row],[Converted data]]/1000</f>
        <v>#N/A</v>
      </c>
      <c r="AI174" s="210" t="e">
        <f>_xlfn.XLOOKUP(_xlfn.CONCAT(Buildings_Water_Backend[[#This Row],[Level 1]:[Level 6]]),rng_EFConcat,rng_EF3WTT)*Buildings_Water_Backend[[#This Row],[Converted data]]/1000</f>
        <v>#N/A</v>
      </c>
      <c r="AJ174" s="210" t="e">
        <f>_xlfn.XLOOKUP(_xlfn.CONCAT(Buildings_Water_Backend[[#This Row],[Level 1]:[Level 6]]),rng_EFConcat,rng_EF3TD)*Buildings_Water_Backend[[#This Row],[Converted data]]/1000</f>
        <v>#N/A</v>
      </c>
      <c r="AK174" s="210" t="e">
        <f>_xlfn.XLOOKUP(_xlfn.CONCAT(Buildings_Water_Backend[[#This Row],[Level 1]:[Level 6]]),rng_EFConcat,rng_EF3WTTTD)*Buildings_Water_Backend[[#This Row],[Converted data]]/1000</f>
        <v>#N/A</v>
      </c>
      <c r="AL174" s="220" t="e">
        <f>SUM(Buildings_Water_Backend[[#This Row],[Scope 1 (tCO2e)]:[Scope 3 WTT T&amp;D (tCO2e)]])</f>
        <v>#N/A</v>
      </c>
      <c r="AM174" s="220" t="e">
        <f>Buildings_Water_Backend[[#This Row],[Total (tCO2e)]]*(1-Buildings_Water_Backend[[#This Row],[RSD]])</f>
        <v>#N/A</v>
      </c>
      <c r="AN174" s="220" t="e">
        <f>Buildings_Water_Backend[[#This Row],[Total (tCO2e)]]*(1+Buildings_Water_Backend[[#This Row],[RSD]])</f>
        <v>#N/A</v>
      </c>
      <c r="AO174" s="210" t="e">
        <f>_xlfn.XLOOKUP(_xlfn.CONCAT(Buildings_Water_Backend[[#This Row],[Level 1]:[Level 6]]),rng_EFConcat,rng_EFOOS)*Buildings_Water_Backend[[#This Row],[Converted data]]/1000</f>
        <v>#N/A</v>
      </c>
      <c r="AP174" s="174">
        <f>Buildings_Water_Frontend[[#This Row],[Ease of collection]]</f>
        <v>0</v>
      </c>
      <c r="AQ174" s="174">
        <f>Buildings_Water_Frontend[[#This Row],[Completeness]]</f>
        <v>0</v>
      </c>
      <c r="AR174" s="174">
        <f>Buildings_Water_Frontend[[#This Row],[Notes]]</f>
        <v>0</v>
      </c>
    </row>
    <row r="175" spans="5:44" x14ac:dyDescent="0.3">
      <c r="E175" s="346"/>
      <c r="F175" s="364"/>
      <c r="G175" s="336"/>
      <c r="H175" s="336"/>
      <c r="I175" s="334"/>
      <c r="J175" s="336"/>
      <c r="K175" s="336"/>
      <c r="L175" s="336"/>
      <c r="M175" s="337"/>
      <c r="N175" s="242">
        <f t="shared" si="5"/>
        <v>5</v>
      </c>
      <c r="Q175" s="212" t="str">
        <f t="shared" si="4"/>
        <v/>
      </c>
      <c r="R175" s="174" t="s">
        <v>265</v>
      </c>
      <c r="S175" s="174" t="s">
        <v>273</v>
      </c>
      <c r="T175" s="174" t="e">
        <f>_xlfn.XLOOKUP(Buildings_Water_Backend[[#This Row],[Info 1]],Buildings_SiteInfo[Site name],Buildings_SiteInfo[Site type])</f>
        <v>#N/A</v>
      </c>
      <c r="U175" s="174" t="s">
        <v>327</v>
      </c>
      <c r="V175" s="174">
        <f>Buildings_Water_Frontend[[#This Row],[Type]]</f>
        <v>0</v>
      </c>
      <c r="W175" s="174" t="e" cm="1">
        <f t="array" aca="1" ref="W175" ca="1">_xlfn.XLOOKUP(Buildings_Water_Backend[[#This Row],[Level 5]],rng_Level5Long,rng_Level6Long)</f>
        <v>#N/A</v>
      </c>
      <c r="X175" s="174">
        <f>Buildings_Water_Frontend[[#This Row],[Site Name]]</f>
        <v>0</v>
      </c>
      <c r="Y175" s="174">
        <f>Buildings_Water_Frontend[[#This Row],[Meter Reference]]</f>
        <v>0</v>
      </c>
      <c r="Z175" s="220">
        <f>Buildings_Water_Frontend[[#This Row],[Methodology]]</f>
        <v>0</v>
      </c>
      <c r="AA175" s="229" t="e" cm="1">
        <f t="array" ref="AA175">INDEX(_xlfn.SWITCH(Buildings_Water_Backend[[#This Row],[Methodology]],"Tier 1",rng_RSD1,"Tier 2",rng_RSD2,"Tier 3",rng_RSD3),MATCH(_xlfn.CONCAT(Buildings_Water_Backend[[#This Row],[Level 1]:[Level 6]]),rng_LevelsConcat,0))</f>
        <v>#N/A</v>
      </c>
      <c r="AB175" s="224">
        <f>Buildings_Water_Frontend[[#This Row],[Data]]</f>
        <v>0</v>
      </c>
      <c r="AC175" s="174">
        <f>Buildings_Water_Frontend[[#This Row],[Units]]</f>
        <v>0</v>
      </c>
      <c r="AD175" s="220" t="e">
        <f>IF(Buildings_Water_Backend[[#This Row],[Units]]=Buildings_Water_Backend[[#This Row],[Standard units]],Buildings_Water_Backend[[#This Row],[Data]],Buildings_Water_Backend[[#This Row],[Data]]*_xlfn.XLOOKUP(_xlfn.CONCAT(Buildings_Water_Backend[[#This Row],[Level 1]:[Level 6]]),rng_EFConcat,rng_EFConversion))</f>
        <v>#N/A</v>
      </c>
      <c r="AE175" s="174" t="e" cm="1">
        <f t="array" ref="AE175">_xlfn.XLOOKUP(_xlfn.CONCAT(Buildings_Water_Backend[[#This Row],[Level 1]:[Level 6]]),rng_LevelsConcat,rng_UnitsLong)</f>
        <v>#N/A</v>
      </c>
      <c r="AF175" s="210" t="e">
        <f>_xlfn.XLOOKUP(_xlfn.CONCAT(Buildings_Water_Backend[[#This Row],[Level 1]:[Level 6]]),rng_EFConcat,rng_EF1)*Buildings_Water_Backend[[#This Row],[Converted data]]/1000</f>
        <v>#N/A</v>
      </c>
      <c r="AG175" s="210" t="e">
        <f>_xlfn.XLOOKUP(_xlfn.CONCAT(Buildings_Water_Backend[[#This Row],[Level 1]:[Level 6]]),rng_EFConcat,rng_EF2)*Buildings_Water_Backend[[#This Row],[Converted data]]/1000</f>
        <v>#N/A</v>
      </c>
      <c r="AH175" s="210" t="e">
        <f>_xlfn.XLOOKUP(_xlfn.CONCAT(Buildings_Water_Backend[[#This Row],[Level 1]:[Level 6]]),rng_EFConcat,rng_EF3)*Buildings_Water_Backend[[#This Row],[Converted data]]/1000</f>
        <v>#N/A</v>
      </c>
      <c r="AI175" s="210" t="e">
        <f>_xlfn.XLOOKUP(_xlfn.CONCAT(Buildings_Water_Backend[[#This Row],[Level 1]:[Level 6]]),rng_EFConcat,rng_EF3WTT)*Buildings_Water_Backend[[#This Row],[Converted data]]/1000</f>
        <v>#N/A</v>
      </c>
      <c r="AJ175" s="210" t="e">
        <f>_xlfn.XLOOKUP(_xlfn.CONCAT(Buildings_Water_Backend[[#This Row],[Level 1]:[Level 6]]),rng_EFConcat,rng_EF3TD)*Buildings_Water_Backend[[#This Row],[Converted data]]/1000</f>
        <v>#N/A</v>
      </c>
      <c r="AK175" s="210" t="e">
        <f>_xlfn.XLOOKUP(_xlfn.CONCAT(Buildings_Water_Backend[[#This Row],[Level 1]:[Level 6]]),rng_EFConcat,rng_EF3WTTTD)*Buildings_Water_Backend[[#This Row],[Converted data]]/1000</f>
        <v>#N/A</v>
      </c>
      <c r="AL175" s="220" t="e">
        <f>SUM(Buildings_Water_Backend[[#This Row],[Scope 1 (tCO2e)]:[Scope 3 WTT T&amp;D (tCO2e)]])</f>
        <v>#N/A</v>
      </c>
      <c r="AM175" s="220" t="e">
        <f>Buildings_Water_Backend[[#This Row],[Total (tCO2e)]]*(1-Buildings_Water_Backend[[#This Row],[RSD]])</f>
        <v>#N/A</v>
      </c>
      <c r="AN175" s="220" t="e">
        <f>Buildings_Water_Backend[[#This Row],[Total (tCO2e)]]*(1+Buildings_Water_Backend[[#This Row],[RSD]])</f>
        <v>#N/A</v>
      </c>
      <c r="AO175" s="210" t="e">
        <f>_xlfn.XLOOKUP(_xlfn.CONCAT(Buildings_Water_Backend[[#This Row],[Level 1]:[Level 6]]),rng_EFConcat,rng_EFOOS)*Buildings_Water_Backend[[#This Row],[Converted data]]/1000</f>
        <v>#N/A</v>
      </c>
      <c r="AP175" s="174">
        <f>Buildings_Water_Frontend[[#This Row],[Ease of collection]]</f>
        <v>0</v>
      </c>
      <c r="AQ175" s="174">
        <f>Buildings_Water_Frontend[[#This Row],[Completeness]]</f>
        <v>0</v>
      </c>
      <c r="AR175" s="174">
        <f>Buildings_Water_Frontend[[#This Row],[Notes]]</f>
        <v>0</v>
      </c>
    </row>
    <row r="176" spans="5:44" x14ac:dyDescent="0.3">
      <c r="E176" s="346"/>
      <c r="F176" s="364"/>
      <c r="G176" s="336"/>
      <c r="H176" s="336"/>
      <c r="I176" s="334"/>
      <c r="J176" s="336"/>
      <c r="K176" s="336"/>
      <c r="L176" s="336"/>
      <c r="M176" s="337"/>
      <c r="N176" s="242">
        <f t="shared" si="5"/>
        <v>5</v>
      </c>
      <c r="Q176" s="212" t="str">
        <f t="shared" si="4"/>
        <v/>
      </c>
      <c r="R176" s="174" t="s">
        <v>265</v>
      </c>
      <c r="S176" s="174" t="s">
        <v>273</v>
      </c>
      <c r="T176" s="174" t="e">
        <f>_xlfn.XLOOKUP(Buildings_Water_Backend[[#This Row],[Info 1]],Buildings_SiteInfo[Site name],Buildings_SiteInfo[Site type])</f>
        <v>#N/A</v>
      </c>
      <c r="U176" s="174" t="s">
        <v>327</v>
      </c>
      <c r="V176" s="174">
        <f>Buildings_Water_Frontend[[#This Row],[Type]]</f>
        <v>0</v>
      </c>
      <c r="W176" s="174" t="e" cm="1">
        <f t="array" aca="1" ref="W176" ca="1">_xlfn.XLOOKUP(Buildings_Water_Backend[[#This Row],[Level 5]],rng_Level5Long,rng_Level6Long)</f>
        <v>#N/A</v>
      </c>
      <c r="X176" s="174">
        <f>Buildings_Water_Frontend[[#This Row],[Site Name]]</f>
        <v>0</v>
      </c>
      <c r="Y176" s="174">
        <f>Buildings_Water_Frontend[[#This Row],[Meter Reference]]</f>
        <v>0</v>
      </c>
      <c r="Z176" s="220">
        <f>Buildings_Water_Frontend[[#This Row],[Methodology]]</f>
        <v>0</v>
      </c>
      <c r="AA176" s="229" t="e" cm="1">
        <f t="array" ref="AA176">INDEX(_xlfn.SWITCH(Buildings_Water_Backend[[#This Row],[Methodology]],"Tier 1",rng_RSD1,"Tier 2",rng_RSD2,"Tier 3",rng_RSD3),MATCH(_xlfn.CONCAT(Buildings_Water_Backend[[#This Row],[Level 1]:[Level 6]]),rng_LevelsConcat,0))</f>
        <v>#N/A</v>
      </c>
      <c r="AB176" s="224">
        <f>Buildings_Water_Frontend[[#This Row],[Data]]</f>
        <v>0</v>
      </c>
      <c r="AC176" s="174">
        <f>Buildings_Water_Frontend[[#This Row],[Units]]</f>
        <v>0</v>
      </c>
      <c r="AD176" s="220" t="e">
        <f>IF(Buildings_Water_Backend[[#This Row],[Units]]=Buildings_Water_Backend[[#This Row],[Standard units]],Buildings_Water_Backend[[#This Row],[Data]],Buildings_Water_Backend[[#This Row],[Data]]*_xlfn.XLOOKUP(_xlfn.CONCAT(Buildings_Water_Backend[[#This Row],[Level 1]:[Level 6]]),rng_EFConcat,rng_EFConversion))</f>
        <v>#N/A</v>
      </c>
      <c r="AE176" s="174" t="e" cm="1">
        <f t="array" ref="AE176">_xlfn.XLOOKUP(_xlfn.CONCAT(Buildings_Water_Backend[[#This Row],[Level 1]:[Level 6]]),rng_LevelsConcat,rng_UnitsLong)</f>
        <v>#N/A</v>
      </c>
      <c r="AF176" s="210" t="e">
        <f>_xlfn.XLOOKUP(_xlfn.CONCAT(Buildings_Water_Backend[[#This Row],[Level 1]:[Level 6]]),rng_EFConcat,rng_EF1)*Buildings_Water_Backend[[#This Row],[Converted data]]/1000</f>
        <v>#N/A</v>
      </c>
      <c r="AG176" s="210" t="e">
        <f>_xlfn.XLOOKUP(_xlfn.CONCAT(Buildings_Water_Backend[[#This Row],[Level 1]:[Level 6]]),rng_EFConcat,rng_EF2)*Buildings_Water_Backend[[#This Row],[Converted data]]/1000</f>
        <v>#N/A</v>
      </c>
      <c r="AH176" s="210" t="e">
        <f>_xlfn.XLOOKUP(_xlfn.CONCAT(Buildings_Water_Backend[[#This Row],[Level 1]:[Level 6]]),rng_EFConcat,rng_EF3)*Buildings_Water_Backend[[#This Row],[Converted data]]/1000</f>
        <v>#N/A</v>
      </c>
      <c r="AI176" s="210" t="e">
        <f>_xlfn.XLOOKUP(_xlfn.CONCAT(Buildings_Water_Backend[[#This Row],[Level 1]:[Level 6]]),rng_EFConcat,rng_EF3WTT)*Buildings_Water_Backend[[#This Row],[Converted data]]/1000</f>
        <v>#N/A</v>
      </c>
      <c r="AJ176" s="210" t="e">
        <f>_xlfn.XLOOKUP(_xlfn.CONCAT(Buildings_Water_Backend[[#This Row],[Level 1]:[Level 6]]),rng_EFConcat,rng_EF3TD)*Buildings_Water_Backend[[#This Row],[Converted data]]/1000</f>
        <v>#N/A</v>
      </c>
      <c r="AK176" s="210" t="e">
        <f>_xlfn.XLOOKUP(_xlfn.CONCAT(Buildings_Water_Backend[[#This Row],[Level 1]:[Level 6]]),rng_EFConcat,rng_EF3WTTTD)*Buildings_Water_Backend[[#This Row],[Converted data]]/1000</f>
        <v>#N/A</v>
      </c>
      <c r="AL176" s="220" t="e">
        <f>SUM(Buildings_Water_Backend[[#This Row],[Scope 1 (tCO2e)]:[Scope 3 WTT T&amp;D (tCO2e)]])</f>
        <v>#N/A</v>
      </c>
      <c r="AM176" s="220" t="e">
        <f>Buildings_Water_Backend[[#This Row],[Total (tCO2e)]]*(1-Buildings_Water_Backend[[#This Row],[RSD]])</f>
        <v>#N/A</v>
      </c>
      <c r="AN176" s="220" t="e">
        <f>Buildings_Water_Backend[[#This Row],[Total (tCO2e)]]*(1+Buildings_Water_Backend[[#This Row],[RSD]])</f>
        <v>#N/A</v>
      </c>
      <c r="AO176" s="210" t="e">
        <f>_xlfn.XLOOKUP(_xlfn.CONCAT(Buildings_Water_Backend[[#This Row],[Level 1]:[Level 6]]),rng_EFConcat,rng_EFOOS)*Buildings_Water_Backend[[#This Row],[Converted data]]/1000</f>
        <v>#N/A</v>
      </c>
      <c r="AP176" s="174">
        <f>Buildings_Water_Frontend[[#This Row],[Ease of collection]]</f>
        <v>0</v>
      </c>
      <c r="AQ176" s="174">
        <f>Buildings_Water_Frontend[[#This Row],[Completeness]]</f>
        <v>0</v>
      </c>
      <c r="AR176" s="174">
        <f>Buildings_Water_Frontend[[#This Row],[Notes]]</f>
        <v>0</v>
      </c>
    </row>
    <row r="177" spans="5:44" x14ac:dyDescent="0.3">
      <c r="E177" s="346"/>
      <c r="F177" s="364"/>
      <c r="G177" s="336"/>
      <c r="H177" s="336"/>
      <c r="I177" s="334"/>
      <c r="J177" s="336"/>
      <c r="K177" s="336"/>
      <c r="L177" s="336"/>
      <c r="M177" s="337"/>
      <c r="N177" s="242">
        <f t="shared" si="5"/>
        <v>5</v>
      </c>
      <c r="Q177" s="212" t="str">
        <f t="shared" si="4"/>
        <v/>
      </c>
      <c r="R177" s="174" t="s">
        <v>265</v>
      </c>
      <c r="S177" s="174" t="s">
        <v>273</v>
      </c>
      <c r="T177" s="174" t="e">
        <f>_xlfn.XLOOKUP(Buildings_Water_Backend[[#This Row],[Info 1]],Buildings_SiteInfo[Site name],Buildings_SiteInfo[Site type])</f>
        <v>#N/A</v>
      </c>
      <c r="U177" s="174" t="s">
        <v>327</v>
      </c>
      <c r="V177" s="174">
        <f>Buildings_Water_Frontend[[#This Row],[Type]]</f>
        <v>0</v>
      </c>
      <c r="W177" s="174" t="e" cm="1">
        <f t="array" aca="1" ref="W177" ca="1">_xlfn.XLOOKUP(Buildings_Water_Backend[[#This Row],[Level 5]],rng_Level5Long,rng_Level6Long)</f>
        <v>#N/A</v>
      </c>
      <c r="X177" s="174">
        <f>Buildings_Water_Frontend[[#This Row],[Site Name]]</f>
        <v>0</v>
      </c>
      <c r="Y177" s="174">
        <f>Buildings_Water_Frontend[[#This Row],[Meter Reference]]</f>
        <v>0</v>
      </c>
      <c r="Z177" s="220">
        <f>Buildings_Water_Frontend[[#This Row],[Methodology]]</f>
        <v>0</v>
      </c>
      <c r="AA177" s="229" t="e" cm="1">
        <f t="array" ref="AA177">INDEX(_xlfn.SWITCH(Buildings_Water_Backend[[#This Row],[Methodology]],"Tier 1",rng_RSD1,"Tier 2",rng_RSD2,"Tier 3",rng_RSD3),MATCH(_xlfn.CONCAT(Buildings_Water_Backend[[#This Row],[Level 1]:[Level 6]]),rng_LevelsConcat,0))</f>
        <v>#N/A</v>
      </c>
      <c r="AB177" s="224">
        <f>Buildings_Water_Frontend[[#This Row],[Data]]</f>
        <v>0</v>
      </c>
      <c r="AC177" s="174">
        <f>Buildings_Water_Frontend[[#This Row],[Units]]</f>
        <v>0</v>
      </c>
      <c r="AD177" s="220" t="e">
        <f>IF(Buildings_Water_Backend[[#This Row],[Units]]=Buildings_Water_Backend[[#This Row],[Standard units]],Buildings_Water_Backend[[#This Row],[Data]],Buildings_Water_Backend[[#This Row],[Data]]*_xlfn.XLOOKUP(_xlfn.CONCAT(Buildings_Water_Backend[[#This Row],[Level 1]:[Level 6]]),rng_EFConcat,rng_EFConversion))</f>
        <v>#N/A</v>
      </c>
      <c r="AE177" s="174" t="e" cm="1">
        <f t="array" ref="AE177">_xlfn.XLOOKUP(_xlfn.CONCAT(Buildings_Water_Backend[[#This Row],[Level 1]:[Level 6]]),rng_LevelsConcat,rng_UnitsLong)</f>
        <v>#N/A</v>
      </c>
      <c r="AF177" s="210" t="e">
        <f>_xlfn.XLOOKUP(_xlfn.CONCAT(Buildings_Water_Backend[[#This Row],[Level 1]:[Level 6]]),rng_EFConcat,rng_EF1)*Buildings_Water_Backend[[#This Row],[Converted data]]/1000</f>
        <v>#N/A</v>
      </c>
      <c r="AG177" s="210" t="e">
        <f>_xlfn.XLOOKUP(_xlfn.CONCAT(Buildings_Water_Backend[[#This Row],[Level 1]:[Level 6]]),rng_EFConcat,rng_EF2)*Buildings_Water_Backend[[#This Row],[Converted data]]/1000</f>
        <v>#N/A</v>
      </c>
      <c r="AH177" s="210" t="e">
        <f>_xlfn.XLOOKUP(_xlfn.CONCAT(Buildings_Water_Backend[[#This Row],[Level 1]:[Level 6]]),rng_EFConcat,rng_EF3)*Buildings_Water_Backend[[#This Row],[Converted data]]/1000</f>
        <v>#N/A</v>
      </c>
      <c r="AI177" s="210" t="e">
        <f>_xlfn.XLOOKUP(_xlfn.CONCAT(Buildings_Water_Backend[[#This Row],[Level 1]:[Level 6]]),rng_EFConcat,rng_EF3WTT)*Buildings_Water_Backend[[#This Row],[Converted data]]/1000</f>
        <v>#N/A</v>
      </c>
      <c r="AJ177" s="210" t="e">
        <f>_xlfn.XLOOKUP(_xlfn.CONCAT(Buildings_Water_Backend[[#This Row],[Level 1]:[Level 6]]),rng_EFConcat,rng_EF3TD)*Buildings_Water_Backend[[#This Row],[Converted data]]/1000</f>
        <v>#N/A</v>
      </c>
      <c r="AK177" s="210" t="e">
        <f>_xlfn.XLOOKUP(_xlfn.CONCAT(Buildings_Water_Backend[[#This Row],[Level 1]:[Level 6]]),rng_EFConcat,rng_EF3WTTTD)*Buildings_Water_Backend[[#This Row],[Converted data]]/1000</f>
        <v>#N/A</v>
      </c>
      <c r="AL177" s="220" t="e">
        <f>SUM(Buildings_Water_Backend[[#This Row],[Scope 1 (tCO2e)]:[Scope 3 WTT T&amp;D (tCO2e)]])</f>
        <v>#N/A</v>
      </c>
      <c r="AM177" s="220" t="e">
        <f>Buildings_Water_Backend[[#This Row],[Total (tCO2e)]]*(1-Buildings_Water_Backend[[#This Row],[RSD]])</f>
        <v>#N/A</v>
      </c>
      <c r="AN177" s="220" t="e">
        <f>Buildings_Water_Backend[[#This Row],[Total (tCO2e)]]*(1+Buildings_Water_Backend[[#This Row],[RSD]])</f>
        <v>#N/A</v>
      </c>
      <c r="AO177" s="210" t="e">
        <f>_xlfn.XLOOKUP(_xlfn.CONCAT(Buildings_Water_Backend[[#This Row],[Level 1]:[Level 6]]),rng_EFConcat,rng_EFOOS)*Buildings_Water_Backend[[#This Row],[Converted data]]/1000</f>
        <v>#N/A</v>
      </c>
      <c r="AP177" s="174">
        <f>Buildings_Water_Frontend[[#This Row],[Ease of collection]]</f>
        <v>0</v>
      </c>
      <c r="AQ177" s="174">
        <f>Buildings_Water_Frontend[[#This Row],[Completeness]]</f>
        <v>0</v>
      </c>
      <c r="AR177" s="174">
        <f>Buildings_Water_Frontend[[#This Row],[Notes]]</f>
        <v>0</v>
      </c>
    </row>
    <row r="178" spans="5:44" x14ac:dyDescent="0.3">
      <c r="E178" s="346"/>
      <c r="F178" s="364"/>
      <c r="G178" s="336"/>
      <c r="H178" s="336"/>
      <c r="I178" s="334"/>
      <c r="J178" s="336"/>
      <c r="K178" s="336"/>
      <c r="L178" s="336"/>
      <c r="M178" s="337"/>
      <c r="N178" s="242">
        <f t="shared" si="5"/>
        <v>5</v>
      </c>
      <c r="Q178" s="212" t="str">
        <f t="shared" si="4"/>
        <v/>
      </c>
      <c r="R178" s="174" t="s">
        <v>265</v>
      </c>
      <c r="S178" s="174" t="s">
        <v>273</v>
      </c>
      <c r="T178" s="174" t="e">
        <f>_xlfn.XLOOKUP(Buildings_Water_Backend[[#This Row],[Info 1]],Buildings_SiteInfo[Site name],Buildings_SiteInfo[Site type])</f>
        <v>#N/A</v>
      </c>
      <c r="U178" s="174" t="s">
        <v>327</v>
      </c>
      <c r="V178" s="174">
        <f>Buildings_Water_Frontend[[#This Row],[Type]]</f>
        <v>0</v>
      </c>
      <c r="W178" s="174" t="e" cm="1">
        <f t="array" aca="1" ref="W178" ca="1">_xlfn.XLOOKUP(Buildings_Water_Backend[[#This Row],[Level 5]],rng_Level5Long,rng_Level6Long)</f>
        <v>#N/A</v>
      </c>
      <c r="X178" s="174">
        <f>Buildings_Water_Frontend[[#This Row],[Site Name]]</f>
        <v>0</v>
      </c>
      <c r="Y178" s="174">
        <f>Buildings_Water_Frontend[[#This Row],[Meter Reference]]</f>
        <v>0</v>
      </c>
      <c r="Z178" s="220">
        <f>Buildings_Water_Frontend[[#This Row],[Methodology]]</f>
        <v>0</v>
      </c>
      <c r="AA178" s="229" t="e" cm="1">
        <f t="array" ref="AA178">INDEX(_xlfn.SWITCH(Buildings_Water_Backend[[#This Row],[Methodology]],"Tier 1",rng_RSD1,"Tier 2",rng_RSD2,"Tier 3",rng_RSD3),MATCH(_xlfn.CONCAT(Buildings_Water_Backend[[#This Row],[Level 1]:[Level 6]]),rng_LevelsConcat,0))</f>
        <v>#N/A</v>
      </c>
      <c r="AB178" s="224">
        <f>Buildings_Water_Frontend[[#This Row],[Data]]</f>
        <v>0</v>
      </c>
      <c r="AC178" s="174">
        <f>Buildings_Water_Frontend[[#This Row],[Units]]</f>
        <v>0</v>
      </c>
      <c r="AD178" s="220" t="e">
        <f>IF(Buildings_Water_Backend[[#This Row],[Units]]=Buildings_Water_Backend[[#This Row],[Standard units]],Buildings_Water_Backend[[#This Row],[Data]],Buildings_Water_Backend[[#This Row],[Data]]*_xlfn.XLOOKUP(_xlfn.CONCAT(Buildings_Water_Backend[[#This Row],[Level 1]:[Level 6]]),rng_EFConcat,rng_EFConversion))</f>
        <v>#N/A</v>
      </c>
      <c r="AE178" s="174" t="e" cm="1">
        <f t="array" ref="AE178">_xlfn.XLOOKUP(_xlfn.CONCAT(Buildings_Water_Backend[[#This Row],[Level 1]:[Level 6]]),rng_LevelsConcat,rng_UnitsLong)</f>
        <v>#N/A</v>
      </c>
      <c r="AF178" s="210" t="e">
        <f>_xlfn.XLOOKUP(_xlfn.CONCAT(Buildings_Water_Backend[[#This Row],[Level 1]:[Level 6]]),rng_EFConcat,rng_EF1)*Buildings_Water_Backend[[#This Row],[Converted data]]/1000</f>
        <v>#N/A</v>
      </c>
      <c r="AG178" s="210" t="e">
        <f>_xlfn.XLOOKUP(_xlfn.CONCAT(Buildings_Water_Backend[[#This Row],[Level 1]:[Level 6]]),rng_EFConcat,rng_EF2)*Buildings_Water_Backend[[#This Row],[Converted data]]/1000</f>
        <v>#N/A</v>
      </c>
      <c r="AH178" s="210" t="e">
        <f>_xlfn.XLOOKUP(_xlfn.CONCAT(Buildings_Water_Backend[[#This Row],[Level 1]:[Level 6]]),rng_EFConcat,rng_EF3)*Buildings_Water_Backend[[#This Row],[Converted data]]/1000</f>
        <v>#N/A</v>
      </c>
      <c r="AI178" s="210" t="e">
        <f>_xlfn.XLOOKUP(_xlfn.CONCAT(Buildings_Water_Backend[[#This Row],[Level 1]:[Level 6]]),rng_EFConcat,rng_EF3WTT)*Buildings_Water_Backend[[#This Row],[Converted data]]/1000</f>
        <v>#N/A</v>
      </c>
      <c r="AJ178" s="210" t="e">
        <f>_xlfn.XLOOKUP(_xlfn.CONCAT(Buildings_Water_Backend[[#This Row],[Level 1]:[Level 6]]),rng_EFConcat,rng_EF3TD)*Buildings_Water_Backend[[#This Row],[Converted data]]/1000</f>
        <v>#N/A</v>
      </c>
      <c r="AK178" s="210" t="e">
        <f>_xlfn.XLOOKUP(_xlfn.CONCAT(Buildings_Water_Backend[[#This Row],[Level 1]:[Level 6]]),rng_EFConcat,rng_EF3WTTTD)*Buildings_Water_Backend[[#This Row],[Converted data]]/1000</f>
        <v>#N/A</v>
      </c>
      <c r="AL178" s="220" t="e">
        <f>SUM(Buildings_Water_Backend[[#This Row],[Scope 1 (tCO2e)]:[Scope 3 WTT T&amp;D (tCO2e)]])</f>
        <v>#N/A</v>
      </c>
      <c r="AM178" s="220" t="e">
        <f>Buildings_Water_Backend[[#This Row],[Total (tCO2e)]]*(1-Buildings_Water_Backend[[#This Row],[RSD]])</f>
        <v>#N/A</v>
      </c>
      <c r="AN178" s="220" t="e">
        <f>Buildings_Water_Backend[[#This Row],[Total (tCO2e)]]*(1+Buildings_Water_Backend[[#This Row],[RSD]])</f>
        <v>#N/A</v>
      </c>
      <c r="AO178" s="210" t="e">
        <f>_xlfn.XLOOKUP(_xlfn.CONCAT(Buildings_Water_Backend[[#This Row],[Level 1]:[Level 6]]),rng_EFConcat,rng_EFOOS)*Buildings_Water_Backend[[#This Row],[Converted data]]/1000</f>
        <v>#N/A</v>
      </c>
      <c r="AP178" s="174">
        <f>Buildings_Water_Frontend[[#This Row],[Ease of collection]]</f>
        <v>0</v>
      </c>
      <c r="AQ178" s="174">
        <f>Buildings_Water_Frontend[[#This Row],[Completeness]]</f>
        <v>0</v>
      </c>
      <c r="AR178" s="174">
        <f>Buildings_Water_Frontend[[#This Row],[Notes]]</f>
        <v>0</v>
      </c>
    </row>
    <row r="179" spans="5:44" x14ac:dyDescent="0.3">
      <c r="E179" s="346"/>
      <c r="F179" s="364"/>
      <c r="G179" s="336"/>
      <c r="H179" s="336"/>
      <c r="I179" s="334"/>
      <c r="J179" s="336"/>
      <c r="K179" s="336"/>
      <c r="L179" s="336"/>
      <c r="M179" s="337"/>
      <c r="N179" s="242">
        <f t="shared" si="5"/>
        <v>5</v>
      </c>
      <c r="Q179" s="212" t="str">
        <f t="shared" si="4"/>
        <v/>
      </c>
      <c r="R179" s="174" t="s">
        <v>265</v>
      </c>
      <c r="S179" s="174" t="s">
        <v>273</v>
      </c>
      <c r="T179" s="174" t="e">
        <f>_xlfn.XLOOKUP(Buildings_Water_Backend[[#This Row],[Info 1]],Buildings_SiteInfo[Site name],Buildings_SiteInfo[Site type])</f>
        <v>#N/A</v>
      </c>
      <c r="U179" s="174" t="s">
        <v>327</v>
      </c>
      <c r="V179" s="174">
        <f>Buildings_Water_Frontend[[#This Row],[Type]]</f>
        <v>0</v>
      </c>
      <c r="W179" s="174" t="e" cm="1">
        <f t="array" aca="1" ref="W179" ca="1">_xlfn.XLOOKUP(Buildings_Water_Backend[[#This Row],[Level 5]],rng_Level5Long,rng_Level6Long)</f>
        <v>#N/A</v>
      </c>
      <c r="X179" s="174">
        <f>Buildings_Water_Frontend[[#This Row],[Site Name]]</f>
        <v>0</v>
      </c>
      <c r="Y179" s="174">
        <f>Buildings_Water_Frontend[[#This Row],[Meter Reference]]</f>
        <v>0</v>
      </c>
      <c r="Z179" s="220">
        <f>Buildings_Water_Frontend[[#This Row],[Methodology]]</f>
        <v>0</v>
      </c>
      <c r="AA179" s="229" t="e" cm="1">
        <f t="array" ref="AA179">INDEX(_xlfn.SWITCH(Buildings_Water_Backend[[#This Row],[Methodology]],"Tier 1",rng_RSD1,"Tier 2",rng_RSD2,"Tier 3",rng_RSD3),MATCH(_xlfn.CONCAT(Buildings_Water_Backend[[#This Row],[Level 1]:[Level 6]]),rng_LevelsConcat,0))</f>
        <v>#N/A</v>
      </c>
      <c r="AB179" s="224">
        <f>Buildings_Water_Frontend[[#This Row],[Data]]</f>
        <v>0</v>
      </c>
      <c r="AC179" s="174">
        <f>Buildings_Water_Frontend[[#This Row],[Units]]</f>
        <v>0</v>
      </c>
      <c r="AD179" s="220" t="e">
        <f>IF(Buildings_Water_Backend[[#This Row],[Units]]=Buildings_Water_Backend[[#This Row],[Standard units]],Buildings_Water_Backend[[#This Row],[Data]],Buildings_Water_Backend[[#This Row],[Data]]*_xlfn.XLOOKUP(_xlfn.CONCAT(Buildings_Water_Backend[[#This Row],[Level 1]:[Level 6]]),rng_EFConcat,rng_EFConversion))</f>
        <v>#N/A</v>
      </c>
      <c r="AE179" s="174" t="e" cm="1">
        <f t="array" ref="AE179">_xlfn.XLOOKUP(_xlfn.CONCAT(Buildings_Water_Backend[[#This Row],[Level 1]:[Level 6]]),rng_LevelsConcat,rng_UnitsLong)</f>
        <v>#N/A</v>
      </c>
      <c r="AF179" s="210" t="e">
        <f>_xlfn.XLOOKUP(_xlfn.CONCAT(Buildings_Water_Backend[[#This Row],[Level 1]:[Level 6]]),rng_EFConcat,rng_EF1)*Buildings_Water_Backend[[#This Row],[Converted data]]/1000</f>
        <v>#N/A</v>
      </c>
      <c r="AG179" s="210" t="e">
        <f>_xlfn.XLOOKUP(_xlfn.CONCAT(Buildings_Water_Backend[[#This Row],[Level 1]:[Level 6]]),rng_EFConcat,rng_EF2)*Buildings_Water_Backend[[#This Row],[Converted data]]/1000</f>
        <v>#N/A</v>
      </c>
      <c r="AH179" s="210" t="e">
        <f>_xlfn.XLOOKUP(_xlfn.CONCAT(Buildings_Water_Backend[[#This Row],[Level 1]:[Level 6]]),rng_EFConcat,rng_EF3)*Buildings_Water_Backend[[#This Row],[Converted data]]/1000</f>
        <v>#N/A</v>
      </c>
      <c r="AI179" s="210" t="e">
        <f>_xlfn.XLOOKUP(_xlfn.CONCAT(Buildings_Water_Backend[[#This Row],[Level 1]:[Level 6]]),rng_EFConcat,rng_EF3WTT)*Buildings_Water_Backend[[#This Row],[Converted data]]/1000</f>
        <v>#N/A</v>
      </c>
      <c r="AJ179" s="210" t="e">
        <f>_xlfn.XLOOKUP(_xlfn.CONCAT(Buildings_Water_Backend[[#This Row],[Level 1]:[Level 6]]),rng_EFConcat,rng_EF3TD)*Buildings_Water_Backend[[#This Row],[Converted data]]/1000</f>
        <v>#N/A</v>
      </c>
      <c r="AK179" s="210" t="e">
        <f>_xlfn.XLOOKUP(_xlfn.CONCAT(Buildings_Water_Backend[[#This Row],[Level 1]:[Level 6]]),rng_EFConcat,rng_EF3WTTTD)*Buildings_Water_Backend[[#This Row],[Converted data]]/1000</f>
        <v>#N/A</v>
      </c>
      <c r="AL179" s="220" t="e">
        <f>SUM(Buildings_Water_Backend[[#This Row],[Scope 1 (tCO2e)]:[Scope 3 WTT T&amp;D (tCO2e)]])</f>
        <v>#N/A</v>
      </c>
      <c r="AM179" s="220" t="e">
        <f>Buildings_Water_Backend[[#This Row],[Total (tCO2e)]]*(1-Buildings_Water_Backend[[#This Row],[RSD]])</f>
        <v>#N/A</v>
      </c>
      <c r="AN179" s="220" t="e">
        <f>Buildings_Water_Backend[[#This Row],[Total (tCO2e)]]*(1+Buildings_Water_Backend[[#This Row],[RSD]])</f>
        <v>#N/A</v>
      </c>
      <c r="AO179" s="210" t="e">
        <f>_xlfn.XLOOKUP(_xlfn.CONCAT(Buildings_Water_Backend[[#This Row],[Level 1]:[Level 6]]),rng_EFConcat,rng_EFOOS)*Buildings_Water_Backend[[#This Row],[Converted data]]/1000</f>
        <v>#N/A</v>
      </c>
      <c r="AP179" s="174">
        <f>Buildings_Water_Frontend[[#This Row],[Ease of collection]]</f>
        <v>0</v>
      </c>
      <c r="AQ179" s="174">
        <f>Buildings_Water_Frontend[[#This Row],[Completeness]]</f>
        <v>0</v>
      </c>
      <c r="AR179" s="174">
        <f>Buildings_Water_Frontend[[#This Row],[Notes]]</f>
        <v>0</v>
      </c>
    </row>
    <row r="180" spans="5:44" x14ac:dyDescent="0.3">
      <c r="E180" s="346"/>
      <c r="F180" s="364"/>
      <c r="G180" s="336"/>
      <c r="H180" s="336"/>
      <c r="I180" s="334"/>
      <c r="J180" s="336"/>
      <c r="K180" s="336"/>
      <c r="L180" s="336"/>
      <c r="M180" s="337"/>
      <c r="N180" s="242">
        <f t="shared" si="5"/>
        <v>5</v>
      </c>
      <c r="Q180" s="212" t="str">
        <f t="shared" si="4"/>
        <v/>
      </c>
      <c r="R180" s="174" t="s">
        <v>265</v>
      </c>
      <c r="S180" s="174" t="s">
        <v>273</v>
      </c>
      <c r="T180" s="174" t="e">
        <f>_xlfn.XLOOKUP(Buildings_Water_Backend[[#This Row],[Info 1]],Buildings_SiteInfo[Site name],Buildings_SiteInfo[Site type])</f>
        <v>#N/A</v>
      </c>
      <c r="U180" s="174" t="s">
        <v>327</v>
      </c>
      <c r="V180" s="174">
        <f>Buildings_Water_Frontend[[#This Row],[Type]]</f>
        <v>0</v>
      </c>
      <c r="W180" s="174" t="e" cm="1">
        <f t="array" aca="1" ref="W180" ca="1">_xlfn.XLOOKUP(Buildings_Water_Backend[[#This Row],[Level 5]],rng_Level5Long,rng_Level6Long)</f>
        <v>#N/A</v>
      </c>
      <c r="X180" s="174">
        <f>Buildings_Water_Frontend[[#This Row],[Site Name]]</f>
        <v>0</v>
      </c>
      <c r="Y180" s="174">
        <f>Buildings_Water_Frontend[[#This Row],[Meter Reference]]</f>
        <v>0</v>
      </c>
      <c r="Z180" s="220">
        <f>Buildings_Water_Frontend[[#This Row],[Methodology]]</f>
        <v>0</v>
      </c>
      <c r="AA180" s="229" t="e" cm="1">
        <f t="array" ref="AA180">INDEX(_xlfn.SWITCH(Buildings_Water_Backend[[#This Row],[Methodology]],"Tier 1",rng_RSD1,"Tier 2",rng_RSD2,"Tier 3",rng_RSD3),MATCH(_xlfn.CONCAT(Buildings_Water_Backend[[#This Row],[Level 1]:[Level 6]]),rng_LevelsConcat,0))</f>
        <v>#N/A</v>
      </c>
      <c r="AB180" s="224">
        <f>Buildings_Water_Frontend[[#This Row],[Data]]</f>
        <v>0</v>
      </c>
      <c r="AC180" s="174">
        <f>Buildings_Water_Frontend[[#This Row],[Units]]</f>
        <v>0</v>
      </c>
      <c r="AD180" s="220" t="e">
        <f>IF(Buildings_Water_Backend[[#This Row],[Units]]=Buildings_Water_Backend[[#This Row],[Standard units]],Buildings_Water_Backend[[#This Row],[Data]],Buildings_Water_Backend[[#This Row],[Data]]*_xlfn.XLOOKUP(_xlfn.CONCAT(Buildings_Water_Backend[[#This Row],[Level 1]:[Level 6]]),rng_EFConcat,rng_EFConversion))</f>
        <v>#N/A</v>
      </c>
      <c r="AE180" s="174" t="e" cm="1">
        <f t="array" ref="AE180">_xlfn.XLOOKUP(_xlfn.CONCAT(Buildings_Water_Backend[[#This Row],[Level 1]:[Level 6]]),rng_LevelsConcat,rng_UnitsLong)</f>
        <v>#N/A</v>
      </c>
      <c r="AF180" s="210" t="e">
        <f>_xlfn.XLOOKUP(_xlfn.CONCAT(Buildings_Water_Backend[[#This Row],[Level 1]:[Level 6]]),rng_EFConcat,rng_EF1)*Buildings_Water_Backend[[#This Row],[Converted data]]/1000</f>
        <v>#N/A</v>
      </c>
      <c r="AG180" s="210" t="e">
        <f>_xlfn.XLOOKUP(_xlfn.CONCAT(Buildings_Water_Backend[[#This Row],[Level 1]:[Level 6]]),rng_EFConcat,rng_EF2)*Buildings_Water_Backend[[#This Row],[Converted data]]/1000</f>
        <v>#N/A</v>
      </c>
      <c r="AH180" s="210" t="e">
        <f>_xlfn.XLOOKUP(_xlfn.CONCAT(Buildings_Water_Backend[[#This Row],[Level 1]:[Level 6]]),rng_EFConcat,rng_EF3)*Buildings_Water_Backend[[#This Row],[Converted data]]/1000</f>
        <v>#N/A</v>
      </c>
      <c r="AI180" s="210" t="e">
        <f>_xlfn.XLOOKUP(_xlfn.CONCAT(Buildings_Water_Backend[[#This Row],[Level 1]:[Level 6]]),rng_EFConcat,rng_EF3WTT)*Buildings_Water_Backend[[#This Row],[Converted data]]/1000</f>
        <v>#N/A</v>
      </c>
      <c r="AJ180" s="210" t="e">
        <f>_xlfn.XLOOKUP(_xlfn.CONCAT(Buildings_Water_Backend[[#This Row],[Level 1]:[Level 6]]),rng_EFConcat,rng_EF3TD)*Buildings_Water_Backend[[#This Row],[Converted data]]/1000</f>
        <v>#N/A</v>
      </c>
      <c r="AK180" s="210" t="e">
        <f>_xlfn.XLOOKUP(_xlfn.CONCAT(Buildings_Water_Backend[[#This Row],[Level 1]:[Level 6]]),rng_EFConcat,rng_EF3WTTTD)*Buildings_Water_Backend[[#This Row],[Converted data]]/1000</f>
        <v>#N/A</v>
      </c>
      <c r="AL180" s="220" t="e">
        <f>SUM(Buildings_Water_Backend[[#This Row],[Scope 1 (tCO2e)]:[Scope 3 WTT T&amp;D (tCO2e)]])</f>
        <v>#N/A</v>
      </c>
      <c r="AM180" s="220" t="e">
        <f>Buildings_Water_Backend[[#This Row],[Total (tCO2e)]]*(1-Buildings_Water_Backend[[#This Row],[RSD]])</f>
        <v>#N/A</v>
      </c>
      <c r="AN180" s="220" t="e">
        <f>Buildings_Water_Backend[[#This Row],[Total (tCO2e)]]*(1+Buildings_Water_Backend[[#This Row],[RSD]])</f>
        <v>#N/A</v>
      </c>
      <c r="AO180" s="210" t="e">
        <f>_xlfn.XLOOKUP(_xlfn.CONCAT(Buildings_Water_Backend[[#This Row],[Level 1]:[Level 6]]),rng_EFConcat,rng_EFOOS)*Buildings_Water_Backend[[#This Row],[Converted data]]/1000</f>
        <v>#N/A</v>
      </c>
      <c r="AP180" s="174">
        <f>Buildings_Water_Frontend[[#This Row],[Ease of collection]]</f>
        <v>0</v>
      </c>
      <c r="AQ180" s="174">
        <f>Buildings_Water_Frontend[[#This Row],[Completeness]]</f>
        <v>0</v>
      </c>
      <c r="AR180" s="174">
        <f>Buildings_Water_Frontend[[#This Row],[Notes]]</f>
        <v>0</v>
      </c>
    </row>
    <row r="181" spans="5:44" x14ac:dyDescent="0.3">
      <c r="E181" s="346"/>
      <c r="F181" s="364"/>
      <c r="G181" s="336"/>
      <c r="H181" s="336"/>
      <c r="I181" s="334"/>
      <c r="J181" s="336"/>
      <c r="K181" s="336"/>
      <c r="L181" s="336"/>
      <c r="M181" s="337"/>
      <c r="N181" s="242">
        <f t="shared" si="5"/>
        <v>5</v>
      </c>
      <c r="Q181" s="212" t="str">
        <f t="shared" si="4"/>
        <v/>
      </c>
      <c r="R181" s="174" t="s">
        <v>265</v>
      </c>
      <c r="S181" s="174" t="s">
        <v>273</v>
      </c>
      <c r="T181" s="174" t="e">
        <f>_xlfn.XLOOKUP(Buildings_Water_Backend[[#This Row],[Info 1]],Buildings_SiteInfo[Site name],Buildings_SiteInfo[Site type])</f>
        <v>#N/A</v>
      </c>
      <c r="U181" s="174" t="s">
        <v>327</v>
      </c>
      <c r="V181" s="174">
        <f>Buildings_Water_Frontend[[#This Row],[Type]]</f>
        <v>0</v>
      </c>
      <c r="W181" s="174" t="e" cm="1">
        <f t="array" aca="1" ref="W181" ca="1">_xlfn.XLOOKUP(Buildings_Water_Backend[[#This Row],[Level 5]],rng_Level5Long,rng_Level6Long)</f>
        <v>#N/A</v>
      </c>
      <c r="X181" s="174">
        <f>Buildings_Water_Frontend[[#This Row],[Site Name]]</f>
        <v>0</v>
      </c>
      <c r="Y181" s="174">
        <f>Buildings_Water_Frontend[[#This Row],[Meter Reference]]</f>
        <v>0</v>
      </c>
      <c r="Z181" s="220">
        <f>Buildings_Water_Frontend[[#This Row],[Methodology]]</f>
        <v>0</v>
      </c>
      <c r="AA181" s="229" t="e" cm="1">
        <f t="array" ref="AA181">INDEX(_xlfn.SWITCH(Buildings_Water_Backend[[#This Row],[Methodology]],"Tier 1",rng_RSD1,"Tier 2",rng_RSD2,"Tier 3",rng_RSD3),MATCH(_xlfn.CONCAT(Buildings_Water_Backend[[#This Row],[Level 1]:[Level 6]]),rng_LevelsConcat,0))</f>
        <v>#N/A</v>
      </c>
      <c r="AB181" s="224">
        <f>Buildings_Water_Frontend[[#This Row],[Data]]</f>
        <v>0</v>
      </c>
      <c r="AC181" s="174">
        <f>Buildings_Water_Frontend[[#This Row],[Units]]</f>
        <v>0</v>
      </c>
      <c r="AD181" s="220" t="e">
        <f>IF(Buildings_Water_Backend[[#This Row],[Units]]=Buildings_Water_Backend[[#This Row],[Standard units]],Buildings_Water_Backend[[#This Row],[Data]],Buildings_Water_Backend[[#This Row],[Data]]*_xlfn.XLOOKUP(_xlfn.CONCAT(Buildings_Water_Backend[[#This Row],[Level 1]:[Level 6]]),rng_EFConcat,rng_EFConversion))</f>
        <v>#N/A</v>
      </c>
      <c r="AE181" s="174" t="e" cm="1">
        <f t="array" ref="AE181">_xlfn.XLOOKUP(_xlfn.CONCAT(Buildings_Water_Backend[[#This Row],[Level 1]:[Level 6]]),rng_LevelsConcat,rng_UnitsLong)</f>
        <v>#N/A</v>
      </c>
      <c r="AF181" s="210" t="e">
        <f>_xlfn.XLOOKUP(_xlfn.CONCAT(Buildings_Water_Backend[[#This Row],[Level 1]:[Level 6]]),rng_EFConcat,rng_EF1)*Buildings_Water_Backend[[#This Row],[Converted data]]/1000</f>
        <v>#N/A</v>
      </c>
      <c r="AG181" s="210" t="e">
        <f>_xlfn.XLOOKUP(_xlfn.CONCAT(Buildings_Water_Backend[[#This Row],[Level 1]:[Level 6]]),rng_EFConcat,rng_EF2)*Buildings_Water_Backend[[#This Row],[Converted data]]/1000</f>
        <v>#N/A</v>
      </c>
      <c r="AH181" s="210" t="e">
        <f>_xlfn.XLOOKUP(_xlfn.CONCAT(Buildings_Water_Backend[[#This Row],[Level 1]:[Level 6]]),rng_EFConcat,rng_EF3)*Buildings_Water_Backend[[#This Row],[Converted data]]/1000</f>
        <v>#N/A</v>
      </c>
      <c r="AI181" s="210" t="e">
        <f>_xlfn.XLOOKUP(_xlfn.CONCAT(Buildings_Water_Backend[[#This Row],[Level 1]:[Level 6]]),rng_EFConcat,rng_EF3WTT)*Buildings_Water_Backend[[#This Row],[Converted data]]/1000</f>
        <v>#N/A</v>
      </c>
      <c r="AJ181" s="210" t="e">
        <f>_xlfn.XLOOKUP(_xlfn.CONCAT(Buildings_Water_Backend[[#This Row],[Level 1]:[Level 6]]),rng_EFConcat,rng_EF3TD)*Buildings_Water_Backend[[#This Row],[Converted data]]/1000</f>
        <v>#N/A</v>
      </c>
      <c r="AK181" s="210" t="e">
        <f>_xlfn.XLOOKUP(_xlfn.CONCAT(Buildings_Water_Backend[[#This Row],[Level 1]:[Level 6]]),rng_EFConcat,rng_EF3WTTTD)*Buildings_Water_Backend[[#This Row],[Converted data]]/1000</f>
        <v>#N/A</v>
      </c>
      <c r="AL181" s="220" t="e">
        <f>SUM(Buildings_Water_Backend[[#This Row],[Scope 1 (tCO2e)]:[Scope 3 WTT T&amp;D (tCO2e)]])</f>
        <v>#N/A</v>
      </c>
      <c r="AM181" s="220" t="e">
        <f>Buildings_Water_Backend[[#This Row],[Total (tCO2e)]]*(1-Buildings_Water_Backend[[#This Row],[RSD]])</f>
        <v>#N/A</v>
      </c>
      <c r="AN181" s="220" t="e">
        <f>Buildings_Water_Backend[[#This Row],[Total (tCO2e)]]*(1+Buildings_Water_Backend[[#This Row],[RSD]])</f>
        <v>#N/A</v>
      </c>
      <c r="AO181" s="210" t="e">
        <f>_xlfn.XLOOKUP(_xlfn.CONCAT(Buildings_Water_Backend[[#This Row],[Level 1]:[Level 6]]),rng_EFConcat,rng_EFOOS)*Buildings_Water_Backend[[#This Row],[Converted data]]/1000</f>
        <v>#N/A</v>
      </c>
      <c r="AP181" s="174">
        <f>Buildings_Water_Frontend[[#This Row],[Ease of collection]]</f>
        <v>0</v>
      </c>
      <c r="AQ181" s="174">
        <f>Buildings_Water_Frontend[[#This Row],[Completeness]]</f>
        <v>0</v>
      </c>
      <c r="AR181" s="174">
        <f>Buildings_Water_Frontend[[#This Row],[Notes]]</f>
        <v>0</v>
      </c>
    </row>
    <row r="182" spans="5:44" x14ac:dyDescent="0.3">
      <c r="E182" s="346"/>
      <c r="F182" s="364"/>
      <c r="G182" s="336"/>
      <c r="H182" s="336"/>
      <c r="I182" s="334"/>
      <c r="J182" s="336"/>
      <c r="K182" s="336"/>
      <c r="L182" s="336"/>
      <c r="M182" s="337"/>
      <c r="N182" s="242">
        <f t="shared" si="5"/>
        <v>5</v>
      </c>
      <c r="Q182" s="212" t="str">
        <f t="shared" si="4"/>
        <v/>
      </c>
      <c r="R182" s="174" t="s">
        <v>265</v>
      </c>
      <c r="S182" s="174" t="s">
        <v>273</v>
      </c>
      <c r="T182" s="174" t="e">
        <f>_xlfn.XLOOKUP(Buildings_Water_Backend[[#This Row],[Info 1]],Buildings_SiteInfo[Site name],Buildings_SiteInfo[Site type])</f>
        <v>#N/A</v>
      </c>
      <c r="U182" s="174" t="s">
        <v>327</v>
      </c>
      <c r="V182" s="174">
        <f>Buildings_Water_Frontend[[#This Row],[Type]]</f>
        <v>0</v>
      </c>
      <c r="W182" s="174" t="e" cm="1">
        <f t="array" aca="1" ref="W182" ca="1">_xlfn.XLOOKUP(Buildings_Water_Backend[[#This Row],[Level 5]],rng_Level5Long,rng_Level6Long)</f>
        <v>#N/A</v>
      </c>
      <c r="X182" s="174">
        <f>Buildings_Water_Frontend[[#This Row],[Site Name]]</f>
        <v>0</v>
      </c>
      <c r="Y182" s="174">
        <f>Buildings_Water_Frontend[[#This Row],[Meter Reference]]</f>
        <v>0</v>
      </c>
      <c r="Z182" s="220">
        <f>Buildings_Water_Frontend[[#This Row],[Methodology]]</f>
        <v>0</v>
      </c>
      <c r="AA182" s="229" t="e" cm="1">
        <f t="array" ref="AA182">INDEX(_xlfn.SWITCH(Buildings_Water_Backend[[#This Row],[Methodology]],"Tier 1",rng_RSD1,"Tier 2",rng_RSD2,"Tier 3",rng_RSD3),MATCH(_xlfn.CONCAT(Buildings_Water_Backend[[#This Row],[Level 1]:[Level 6]]),rng_LevelsConcat,0))</f>
        <v>#N/A</v>
      </c>
      <c r="AB182" s="224">
        <f>Buildings_Water_Frontend[[#This Row],[Data]]</f>
        <v>0</v>
      </c>
      <c r="AC182" s="174">
        <f>Buildings_Water_Frontend[[#This Row],[Units]]</f>
        <v>0</v>
      </c>
      <c r="AD182" s="220" t="e">
        <f>IF(Buildings_Water_Backend[[#This Row],[Units]]=Buildings_Water_Backend[[#This Row],[Standard units]],Buildings_Water_Backend[[#This Row],[Data]],Buildings_Water_Backend[[#This Row],[Data]]*_xlfn.XLOOKUP(_xlfn.CONCAT(Buildings_Water_Backend[[#This Row],[Level 1]:[Level 6]]),rng_EFConcat,rng_EFConversion))</f>
        <v>#N/A</v>
      </c>
      <c r="AE182" s="174" t="e" cm="1">
        <f t="array" ref="AE182">_xlfn.XLOOKUP(_xlfn.CONCAT(Buildings_Water_Backend[[#This Row],[Level 1]:[Level 6]]),rng_LevelsConcat,rng_UnitsLong)</f>
        <v>#N/A</v>
      </c>
      <c r="AF182" s="210" t="e">
        <f>_xlfn.XLOOKUP(_xlfn.CONCAT(Buildings_Water_Backend[[#This Row],[Level 1]:[Level 6]]),rng_EFConcat,rng_EF1)*Buildings_Water_Backend[[#This Row],[Converted data]]/1000</f>
        <v>#N/A</v>
      </c>
      <c r="AG182" s="210" t="e">
        <f>_xlfn.XLOOKUP(_xlfn.CONCAT(Buildings_Water_Backend[[#This Row],[Level 1]:[Level 6]]),rng_EFConcat,rng_EF2)*Buildings_Water_Backend[[#This Row],[Converted data]]/1000</f>
        <v>#N/A</v>
      </c>
      <c r="AH182" s="210" t="e">
        <f>_xlfn.XLOOKUP(_xlfn.CONCAT(Buildings_Water_Backend[[#This Row],[Level 1]:[Level 6]]),rng_EFConcat,rng_EF3)*Buildings_Water_Backend[[#This Row],[Converted data]]/1000</f>
        <v>#N/A</v>
      </c>
      <c r="AI182" s="210" t="e">
        <f>_xlfn.XLOOKUP(_xlfn.CONCAT(Buildings_Water_Backend[[#This Row],[Level 1]:[Level 6]]),rng_EFConcat,rng_EF3WTT)*Buildings_Water_Backend[[#This Row],[Converted data]]/1000</f>
        <v>#N/A</v>
      </c>
      <c r="AJ182" s="210" t="e">
        <f>_xlfn.XLOOKUP(_xlfn.CONCAT(Buildings_Water_Backend[[#This Row],[Level 1]:[Level 6]]),rng_EFConcat,rng_EF3TD)*Buildings_Water_Backend[[#This Row],[Converted data]]/1000</f>
        <v>#N/A</v>
      </c>
      <c r="AK182" s="210" t="e">
        <f>_xlfn.XLOOKUP(_xlfn.CONCAT(Buildings_Water_Backend[[#This Row],[Level 1]:[Level 6]]),rng_EFConcat,rng_EF3WTTTD)*Buildings_Water_Backend[[#This Row],[Converted data]]/1000</f>
        <v>#N/A</v>
      </c>
      <c r="AL182" s="220" t="e">
        <f>SUM(Buildings_Water_Backend[[#This Row],[Scope 1 (tCO2e)]:[Scope 3 WTT T&amp;D (tCO2e)]])</f>
        <v>#N/A</v>
      </c>
      <c r="AM182" s="220" t="e">
        <f>Buildings_Water_Backend[[#This Row],[Total (tCO2e)]]*(1-Buildings_Water_Backend[[#This Row],[RSD]])</f>
        <v>#N/A</v>
      </c>
      <c r="AN182" s="220" t="e">
        <f>Buildings_Water_Backend[[#This Row],[Total (tCO2e)]]*(1+Buildings_Water_Backend[[#This Row],[RSD]])</f>
        <v>#N/A</v>
      </c>
      <c r="AO182" s="210" t="e">
        <f>_xlfn.XLOOKUP(_xlfn.CONCAT(Buildings_Water_Backend[[#This Row],[Level 1]:[Level 6]]),rng_EFConcat,rng_EFOOS)*Buildings_Water_Backend[[#This Row],[Converted data]]/1000</f>
        <v>#N/A</v>
      </c>
      <c r="AP182" s="174">
        <f>Buildings_Water_Frontend[[#This Row],[Ease of collection]]</f>
        <v>0</v>
      </c>
      <c r="AQ182" s="174">
        <f>Buildings_Water_Frontend[[#This Row],[Completeness]]</f>
        <v>0</v>
      </c>
      <c r="AR182" s="174">
        <f>Buildings_Water_Frontend[[#This Row],[Notes]]</f>
        <v>0</v>
      </c>
    </row>
    <row r="183" spans="5:44" x14ac:dyDescent="0.3">
      <c r="E183" s="346"/>
      <c r="F183" s="364"/>
      <c r="G183" s="336"/>
      <c r="H183" s="336"/>
      <c r="I183" s="334"/>
      <c r="J183" s="336"/>
      <c r="K183" s="336"/>
      <c r="L183" s="336"/>
      <c r="M183" s="337"/>
      <c r="N183" s="242">
        <f t="shared" si="5"/>
        <v>5</v>
      </c>
      <c r="Q183" s="212" t="str">
        <f t="shared" si="4"/>
        <v/>
      </c>
      <c r="R183" s="174" t="s">
        <v>265</v>
      </c>
      <c r="S183" s="174" t="s">
        <v>273</v>
      </c>
      <c r="T183" s="174" t="e">
        <f>_xlfn.XLOOKUP(Buildings_Water_Backend[[#This Row],[Info 1]],Buildings_SiteInfo[Site name],Buildings_SiteInfo[Site type])</f>
        <v>#N/A</v>
      </c>
      <c r="U183" s="174" t="s">
        <v>327</v>
      </c>
      <c r="V183" s="174">
        <f>Buildings_Water_Frontend[[#This Row],[Type]]</f>
        <v>0</v>
      </c>
      <c r="W183" s="174" t="e" cm="1">
        <f t="array" aca="1" ref="W183" ca="1">_xlfn.XLOOKUP(Buildings_Water_Backend[[#This Row],[Level 5]],rng_Level5Long,rng_Level6Long)</f>
        <v>#N/A</v>
      </c>
      <c r="X183" s="174">
        <f>Buildings_Water_Frontend[[#This Row],[Site Name]]</f>
        <v>0</v>
      </c>
      <c r="Y183" s="174">
        <f>Buildings_Water_Frontend[[#This Row],[Meter Reference]]</f>
        <v>0</v>
      </c>
      <c r="Z183" s="220">
        <f>Buildings_Water_Frontend[[#This Row],[Methodology]]</f>
        <v>0</v>
      </c>
      <c r="AA183" s="229" t="e" cm="1">
        <f t="array" ref="AA183">INDEX(_xlfn.SWITCH(Buildings_Water_Backend[[#This Row],[Methodology]],"Tier 1",rng_RSD1,"Tier 2",rng_RSD2,"Tier 3",rng_RSD3),MATCH(_xlfn.CONCAT(Buildings_Water_Backend[[#This Row],[Level 1]:[Level 6]]),rng_LevelsConcat,0))</f>
        <v>#N/A</v>
      </c>
      <c r="AB183" s="224">
        <f>Buildings_Water_Frontend[[#This Row],[Data]]</f>
        <v>0</v>
      </c>
      <c r="AC183" s="174">
        <f>Buildings_Water_Frontend[[#This Row],[Units]]</f>
        <v>0</v>
      </c>
      <c r="AD183" s="220" t="e">
        <f>IF(Buildings_Water_Backend[[#This Row],[Units]]=Buildings_Water_Backend[[#This Row],[Standard units]],Buildings_Water_Backend[[#This Row],[Data]],Buildings_Water_Backend[[#This Row],[Data]]*_xlfn.XLOOKUP(_xlfn.CONCAT(Buildings_Water_Backend[[#This Row],[Level 1]:[Level 6]]),rng_EFConcat,rng_EFConversion))</f>
        <v>#N/A</v>
      </c>
      <c r="AE183" s="174" t="e" cm="1">
        <f t="array" ref="AE183">_xlfn.XLOOKUP(_xlfn.CONCAT(Buildings_Water_Backend[[#This Row],[Level 1]:[Level 6]]),rng_LevelsConcat,rng_UnitsLong)</f>
        <v>#N/A</v>
      </c>
      <c r="AF183" s="210" t="e">
        <f>_xlfn.XLOOKUP(_xlfn.CONCAT(Buildings_Water_Backend[[#This Row],[Level 1]:[Level 6]]),rng_EFConcat,rng_EF1)*Buildings_Water_Backend[[#This Row],[Converted data]]/1000</f>
        <v>#N/A</v>
      </c>
      <c r="AG183" s="210" t="e">
        <f>_xlfn.XLOOKUP(_xlfn.CONCAT(Buildings_Water_Backend[[#This Row],[Level 1]:[Level 6]]),rng_EFConcat,rng_EF2)*Buildings_Water_Backend[[#This Row],[Converted data]]/1000</f>
        <v>#N/A</v>
      </c>
      <c r="AH183" s="210" t="e">
        <f>_xlfn.XLOOKUP(_xlfn.CONCAT(Buildings_Water_Backend[[#This Row],[Level 1]:[Level 6]]),rng_EFConcat,rng_EF3)*Buildings_Water_Backend[[#This Row],[Converted data]]/1000</f>
        <v>#N/A</v>
      </c>
      <c r="AI183" s="210" t="e">
        <f>_xlfn.XLOOKUP(_xlfn.CONCAT(Buildings_Water_Backend[[#This Row],[Level 1]:[Level 6]]),rng_EFConcat,rng_EF3WTT)*Buildings_Water_Backend[[#This Row],[Converted data]]/1000</f>
        <v>#N/A</v>
      </c>
      <c r="AJ183" s="210" t="e">
        <f>_xlfn.XLOOKUP(_xlfn.CONCAT(Buildings_Water_Backend[[#This Row],[Level 1]:[Level 6]]),rng_EFConcat,rng_EF3TD)*Buildings_Water_Backend[[#This Row],[Converted data]]/1000</f>
        <v>#N/A</v>
      </c>
      <c r="AK183" s="210" t="e">
        <f>_xlfn.XLOOKUP(_xlfn.CONCAT(Buildings_Water_Backend[[#This Row],[Level 1]:[Level 6]]),rng_EFConcat,rng_EF3WTTTD)*Buildings_Water_Backend[[#This Row],[Converted data]]/1000</f>
        <v>#N/A</v>
      </c>
      <c r="AL183" s="220" t="e">
        <f>SUM(Buildings_Water_Backend[[#This Row],[Scope 1 (tCO2e)]:[Scope 3 WTT T&amp;D (tCO2e)]])</f>
        <v>#N/A</v>
      </c>
      <c r="AM183" s="220" t="e">
        <f>Buildings_Water_Backend[[#This Row],[Total (tCO2e)]]*(1-Buildings_Water_Backend[[#This Row],[RSD]])</f>
        <v>#N/A</v>
      </c>
      <c r="AN183" s="220" t="e">
        <f>Buildings_Water_Backend[[#This Row],[Total (tCO2e)]]*(1+Buildings_Water_Backend[[#This Row],[RSD]])</f>
        <v>#N/A</v>
      </c>
      <c r="AO183" s="210" t="e">
        <f>_xlfn.XLOOKUP(_xlfn.CONCAT(Buildings_Water_Backend[[#This Row],[Level 1]:[Level 6]]),rng_EFConcat,rng_EFOOS)*Buildings_Water_Backend[[#This Row],[Converted data]]/1000</f>
        <v>#N/A</v>
      </c>
      <c r="AP183" s="174">
        <f>Buildings_Water_Frontend[[#This Row],[Ease of collection]]</f>
        <v>0</v>
      </c>
      <c r="AQ183" s="174">
        <f>Buildings_Water_Frontend[[#This Row],[Completeness]]</f>
        <v>0</v>
      </c>
      <c r="AR183" s="174">
        <f>Buildings_Water_Frontend[[#This Row],[Notes]]</f>
        <v>0</v>
      </c>
    </row>
    <row r="184" spans="5:44" x14ac:dyDescent="0.3">
      <c r="E184" s="346"/>
      <c r="F184" s="364"/>
      <c r="G184" s="336"/>
      <c r="H184" s="336"/>
      <c r="I184" s="334"/>
      <c r="J184" s="336"/>
      <c r="K184" s="336"/>
      <c r="L184" s="336"/>
      <c r="M184" s="337"/>
      <c r="N184" s="242">
        <f t="shared" si="5"/>
        <v>5</v>
      </c>
      <c r="Q184" s="212" t="str">
        <f t="shared" si="4"/>
        <v/>
      </c>
      <c r="R184" s="174" t="s">
        <v>265</v>
      </c>
      <c r="S184" s="174" t="s">
        <v>273</v>
      </c>
      <c r="T184" s="174" t="e">
        <f>_xlfn.XLOOKUP(Buildings_Water_Backend[[#This Row],[Info 1]],Buildings_SiteInfo[Site name],Buildings_SiteInfo[Site type])</f>
        <v>#N/A</v>
      </c>
      <c r="U184" s="174" t="s">
        <v>327</v>
      </c>
      <c r="V184" s="174">
        <f>Buildings_Water_Frontend[[#This Row],[Type]]</f>
        <v>0</v>
      </c>
      <c r="W184" s="174" t="e" cm="1">
        <f t="array" aca="1" ref="W184" ca="1">_xlfn.XLOOKUP(Buildings_Water_Backend[[#This Row],[Level 5]],rng_Level5Long,rng_Level6Long)</f>
        <v>#N/A</v>
      </c>
      <c r="X184" s="174">
        <f>Buildings_Water_Frontend[[#This Row],[Site Name]]</f>
        <v>0</v>
      </c>
      <c r="Y184" s="174">
        <f>Buildings_Water_Frontend[[#This Row],[Meter Reference]]</f>
        <v>0</v>
      </c>
      <c r="Z184" s="220">
        <f>Buildings_Water_Frontend[[#This Row],[Methodology]]</f>
        <v>0</v>
      </c>
      <c r="AA184" s="229" t="e" cm="1">
        <f t="array" ref="AA184">INDEX(_xlfn.SWITCH(Buildings_Water_Backend[[#This Row],[Methodology]],"Tier 1",rng_RSD1,"Tier 2",rng_RSD2,"Tier 3",rng_RSD3),MATCH(_xlfn.CONCAT(Buildings_Water_Backend[[#This Row],[Level 1]:[Level 6]]),rng_LevelsConcat,0))</f>
        <v>#N/A</v>
      </c>
      <c r="AB184" s="224">
        <f>Buildings_Water_Frontend[[#This Row],[Data]]</f>
        <v>0</v>
      </c>
      <c r="AC184" s="174">
        <f>Buildings_Water_Frontend[[#This Row],[Units]]</f>
        <v>0</v>
      </c>
      <c r="AD184" s="220" t="e">
        <f>IF(Buildings_Water_Backend[[#This Row],[Units]]=Buildings_Water_Backend[[#This Row],[Standard units]],Buildings_Water_Backend[[#This Row],[Data]],Buildings_Water_Backend[[#This Row],[Data]]*_xlfn.XLOOKUP(_xlfn.CONCAT(Buildings_Water_Backend[[#This Row],[Level 1]:[Level 6]]),rng_EFConcat,rng_EFConversion))</f>
        <v>#N/A</v>
      </c>
      <c r="AE184" s="174" t="e" cm="1">
        <f t="array" ref="AE184">_xlfn.XLOOKUP(_xlfn.CONCAT(Buildings_Water_Backend[[#This Row],[Level 1]:[Level 6]]),rng_LevelsConcat,rng_UnitsLong)</f>
        <v>#N/A</v>
      </c>
      <c r="AF184" s="210" t="e">
        <f>_xlfn.XLOOKUP(_xlfn.CONCAT(Buildings_Water_Backend[[#This Row],[Level 1]:[Level 6]]),rng_EFConcat,rng_EF1)*Buildings_Water_Backend[[#This Row],[Converted data]]/1000</f>
        <v>#N/A</v>
      </c>
      <c r="AG184" s="210" t="e">
        <f>_xlfn.XLOOKUP(_xlfn.CONCAT(Buildings_Water_Backend[[#This Row],[Level 1]:[Level 6]]),rng_EFConcat,rng_EF2)*Buildings_Water_Backend[[#This Row],[Converted data]]/1000</f>
        <v>#N/A</v>
      </c>
      <c r="AH184" s="210" t="e">
        <f>_xlfn.XLOOKUP(_xlfn.CONCAT(Buildings_Water_Backend[[#This Row],[Level 1]:[Level 6]]),rng_EFConcat,rng_EF3)*Buildings_Water_Backend[[#This Row],[Converted data]]/1000</f>
        <v>#N/A</v>
      </c>
      <c r="AI184" s="210" t="e">
        <f>_xlfn.XLOOKUP(_xlfn.CONCAT(Buildings_Water_Backend[[#This Row],[Level 1]:[Level 6]]),rng_EFConcat,rng_EF3WTT)*Buildings_Water_Backend[[#This Row],[Converted data]]/1000</f>
        <v>#N/A</v>
      </c>
      <c r="AJ184" s="210" t="e">
        <f>_xlfn.XLOOKUP(_xlfn.CONCAT(Buildings_Water_Backend[[#This Row],[Level 1]:[Level 6]]),rng_EFConcat,rng_EF3TD)*Buildings_Water_Backend[[#This Row],[Converted data]]/1000</f>
        <v>#N/A</v>
      </c>
      <c r="AK184" s="210" t="e">
        <f>_xlfn.XLOOKUP(_xlfn.CONCAT(Buildings_Water_Backend[[#This Row],[Level 1]:[Level 6]]),rng_EFConcat,rng_EF3WTTTD)*Buildings_Water_Backend[[#This Row],[Converted data]]/1000</f>
        <v>#N/A</v>
      </c>
      <c r="AL184" s="220" t="e">
        <f>SUM(Buildings_Water_Backend[[#This Row],[Scope 1 (tCO2e)]:[Scope 3 WTT T&amp;D (tCO2e)]])</f>
        <v>#N/A</v>
      </c>
      <c r="AM184" s="220" t="e">
        <f>Buildings_Water_Backend[[#This Row],[Total (tCO2e)]]*(1-Buildings_Water_Backend[[#This Row],[RSD]])</f>
        <v>#N/A</v>
      </c>
      <c r="AN184" s="220" t="e">
        <f>Buildings_Water_Backend[[#This Row],[Total (tCO2e)]]*(1+Buildings_Water_Backend[[#This Row],[RSD]])</f>
        <v>#N/A</v>
      </c>
      <c r="AO184" s="210" t="e">
        <f>_xlfn.XLOOKUP(_xlfn.CONCAT(Buildings_Water_Backend[[#This Row],[Level 1]:[Level 6]]),rng_EFConcat,rng_EFOOS)*Buildings_Water_Backend[[#This Row],[Converted data]]/1000</f>
        <v>#N/A</v>
      </c>
      <c r="AP184" s="174">
        <f>Buildings_Water_Frontend[[#This Row],[Ease of collection]]</f>
        <v>0</v>
      </c>
      <c r="AQ184" s="174">
        <f>Buildings_Water_Frontend[[#This Row],[Completeness]]</f>
        <v>0</v>
      </c>
      <c r="AR184" s="174">
        <f>Buildings_Water_Frontend[[#This Row],[Notes]]</f>
        <v>0</v>
      </c>
    </row>
    <row r="185" spans="5:44" x14ac:dyDescent="0.3">
      <c r="E185" s="346"/>
      <c r="F185" s="364"/>
      <c r="G185" s="336"/>
      <c r="H185" s="336"/>
      <c r="I185" s="334"/>
      <c r="J185" s="336"/>
      <c r="K185" s="336"/>
      <c r="L185" s="336"/>
      <c r="M185" s="337"/>
      <c r="N185" s="242">
        <f t="shared" si="5"/>
        <v>5</v>
      </c>
      <c r="Q185" s="212" t="str">
        <f t="shared" si="4"/>
        <v/>
      </c>
      <c r="R185" s="174" t="s">
        <v>265</v>
      </c>
      <c r="S185" s="174" t="s">
        <v>273</v>
      </c>
      <c r="T185" s="174" t="e">
        <f>_xlfn.XLOOKUP(Buildings_Water_Backend[[#This Row],[Info 1]],Buildings_SiteInfo[Site name],Buildings_SiteInfo[Site type])</f>
        <v>#N/A</v>
      </c>
      <c r="U185" s="174" t="s">
        <v>327</v>
      </c>
      <c r="V185" s="174">
        <f>Buildings_Water_Frontend[[#This Row],[Type]]</f>
        <v>0</v>
      </c>
      <c r="W185" s="174" t="e" cm="1">
        <f t="array" aca="1" ref="W185" ca="1">_xlfn.XLOOKUP(Buildings_Water_Backend[[#This Row],[Level 5]],rng_Level5Long,rng_Level6Long)</f>
        <v>#N/A</v>
      </c>
      <c r="X185" s="174">
        <f>Buildings_Water_Frontend[[#This Row],[Site Name]]</f>
        <v>0</v>
      </c>
      <c r="Y185" s="174">
        <f>Buildings_Water_Frontend[[#This Row],[Meter Reference]]</f>
        <v>0</v>
      </c>
      <c r="Z185" s="220">
        <f>Buildings_Water_Frontend[[#This Row],[Methodology]]</f>
        <v>0</v>
      </c>
      <c r="AA185" s="229" t="e" cm="1">
        <f t="array" ref="AA185">INDEX(_xlfn.SWITCH(Buildings_Water_Backend[[#This Row],[Methodology]],"Tier 1",rng_RSD1,"Tier 2",rng_RSD2,"Tier 3",rng_RSD3),MATCH(_xlfn.CONCAT(Buildings_Water_Backend[[#This Row],[Level 1]:[Level 6]]),rng_LevelsConcat,0))</f>
        <v>#N/A</v>
      </c>
      <c r="AB185" s="224">
        <f>Buildings_Water_Frontend[[#This Row],[Data]]</f>
        <v>0</v>
      </c>
      <c r="AC185" s="174">
        <f>Buildings_Water_Frontend[[#This Row],[Units]]</f>
        <v>0</v>
      </c>
      <c r="AD185" s="220" t="e">
        <f>IF(Buildings_Water_Backend[[#This Row],[Units]]=Buildings_Water_Backend[[#This Row],[Standard units]],Buildings_Water_Backend[[#This Row],[Data]],Buildings_Water_Backend[[#This Row],[Data]]*_xlfn.XLOOKUP(_xlfn.CONCAT(Buildings_Water_Backend[[#This Row],[Level 1]:[Level 6]]),rng_EFConcat,rng_EFConversion))</f>
        <v>#N/A</v>
      </c>
      <c r="AE185" s="174" t="e" cm="1">
        <f t="array" ref="AE185">_xlfn.XLOOKUP(_xlfn.CONCAT(Buildings_Water_Backend[[#This Row],[Level 1]:[Level 6]]),rng_LevelsConcat,rng_UnitsLong)</f>
        <v>#N/A</v>
      </c>
      <c r="AF185" s="210" t="e">
        <f>_xlfn.XLOOKUP(_xlfn.CONCAT(Buildings_Water_Backend[[#This Row],[Level 1]:[Level 6]]),rng_EFConcat,rng_EF1)*Buildings_Water_Backend[[#This Row],[Converted data]]/1000</f>
        <v>#N/A</v>
      </c>
      <c r="AG185" s="210" t="e">
        <f>_xlfn.XLOOKUP(_xlfn.CONCAT(Buildings_Water_Backend[[#This Row],[Level 1]:[Level 6]]),rng_EFConcat,rng_EF2)*Buildings_Water_Backend[[#This Row],[Converted data]]/1000</f>
        <v>#N/A</v>
      </c>
      <c r="AH185" s="210" t="e">
        <f>_xlfn.XLOOKUP(_xlfn.CONCAT(Buildings_Water_Backend[[#This Row],[Level 1]:[Level 6]]),rng_EFConcat,rng_EF3)*Buildings_Water_Backend[[#This Row],[Converted data]]/1000</f>
        <v>#N/A</v>
      </c>
      <c r="AI185" s="210" t="e">
        <f>_xlfn.XLOOKUP(_xlfn.CONCAT(Buildings_Water_Backend[[#This Row],[Level 1]:[Level 6]]),rng_EFConcat,rng_EF3WTT)*Buildings_Water_Backend[[#This Row],[Converted data]]/1000</f>
        <v>#N/A</v>
      </c>
      <c r="AJ185" s="210" t="e">
        <f>_xlfn.XLOOKUP(_xlfn.CONCAT(Buildings_Water_Backend[[#This Row],[Level 1]:[Level 6]]),rng_EFConcat,rng_EF3TD)*Buildings_Water_Backend[[#This Row],[Converted data]]/1000</f>
        <v>#N/A</v>
      </c>
      <c r="AK185" s="210" t="e">
        <f>_xlfn.XLOOKUP(_xlfn.CONCAT(Buildings_Water_Backend[[#This Row],[Level 1]:[Level 6]]),rng_EFConcat,rng_EF3WTTTD)*Buildings_Water_Backend[[#This Row],[Converted data]]/1000</f>
        <v>#N/A</v>
      </c>
      <c r="AL185" s="220" t="e">
        <f>SUM(Buildings_Water_Backend[[#This Row],[Scope 1 (tCO2e)]:[Scope 3 WTT T&amp;D (tCO2e)]])</f>
        <v>#N/A</v>
      </c>
      <c r="AM185" s="220" t="e">
        <f>Buildings_Water_Backend[[#This Row],[Total (tCO2e)]]*(1-Buildings_Water_Backend[[#This Row],[RSD]])</f>
        <v>#N/A</v>
      </c>
      <c r="AN185" s="220" t="e">
        <f>Buildings_Water_Backend[[#This Row],[Total (tCO2e)]]*(1+Buildings_Water_Backend[[#This Row],[RSD]])</f>
        <v>#N/A</v>
      </c>
      <c r="AO185" s="210" t="e">
        <f>_xlfn.XLOOKUP(_xlfn.CONCAT(Buildings_Water_Backend[[#This Row],[Level 1]:[Level 6]]),rng_EFConcat,rng_EFOOS)*Buildings_Water_Backend[[#This Row],[Converted data]]/1000</f>
        <v>#N/A</v>
      </c>
      <c r="AP185" s="174">
        <f>Buildings_Water_Frontend[[#This Row],[Ease of collection]]</f>
        <v>0</v>
      </c>
      <c r="AQ185" s="174">
        <f>Buildings_Water_Frontend[[#This Row],[Completeness]]</f>
        <v>0</v>
      </c>
      <c r="AR185" s="174">
        <f>Buildings_Water_Frontend[[#This Row],[Notes]]</f>
        <v>0</v>
      </c>
    </row>
    <row r="186" spans="5:44" x14ac:dyDescent="0.3">
      <c r="E186" s="346"/>
      <c r="F186" s="364"/>
      <c r="G186" s="336"/>
      <c r="H186" s="336"/>
      <c r="I186" s="334"/>
      <c r="J186" s="336"/>
      <c r="K186" s="336"/>
      <c r="L186" s="336"/>
      <c r="M186" s="337"/>
      <c r="N186" s="242">
        <f t="shared" si="5"/>
        <v>5</v>
      </c>
      <c r="Q186" s="212" t="str">
        <f t="shared" si="4"/>
        <v/>
      </c>
      <c r="R186" s="174" t="s">
        <v>265</v>
      </c>
      <c r="S186" s="174" t="s">
        <v>273</v>
      </c>
      <c r="T186" s="174" t="e">
        <f>_xlfn.XLOOKUP(Buildings_Water_Backend[[#This Row],[Info 1]],Buildings_SiteInfo[Site name],Buildings_SiteInfo[Site type])</f>
        <v>#N/A</v>
      </c>
      <c r="U186" s="174" t="s">
        <v>327</v>
      </c>
      <c r="V186" s="174">
        <f>Buildings_Water_Frontend[[#This Row],[Type]]</f>
        <v>0</v>
      </c>
      <c r="W186" s="174" t="e" cm="1">
        <f t="array" aca="1" ref="W186" ca="1">_xlfn.XLOOKUP(Buildings_Water_Backend[[#This Row],[Level 5]],rng_Level5Long,rng_Level6Long)</f>
        <v>#N/A</v>
      </c>
      <c r="X186" s="174">
        <f>Buildings_Water_Frontend[[#This Row],[Site Name]]</f>
        <v>0</v>
      </c>
      <c r="Y186" s="174">
        <f>Buildings_Water_Frontend[[#This Row],[Meter Reference]]</f>
        <v>0</v>
      </c>
      <c r="Z186" s="220">
        <f>Buildings_Water_Frontend[[#This Row],[Methodology]]</f>
        <v>0</v>
      </c>
      <c r="AA186" s="229" t="e" cm="1">
        <f t="array" ref="AA186">INDEX(_xlfn.SWITCH(Buildings_Water_Backend[[#This Row],[Methodology]],"Tier 1",rng_RSD1,"Tier 2",rng_RSD2,"Tier 3",rng_RSD3),MATCH(_xlfn.CONCAT(Buildings_Water_Backend[[#This Row],[Level 1]:[Level 6]]),rng_LevelsConcat,0))</f>
        <v>#N/A</v>
      </c>
      <c r="AB186" s="224">
        <f>Buildings_Water_Frontend[[#This Row],[Data]]</f>
        <v>0</v>
      </c>
      <c r="AC186" s="174">
        <f>Buildings_Water_Frontend[[#This Row],[Units]]</f>
        <v>0</v>
      </c>
      <c r="AD186" s="220" t="e">
        <f>IF(Buildings_Water_Backend[[#This Row],[Units]]=Buildings_Water_Backend[[#This Row],[Standard units]],Buildings_Water_Backend[[#This Row],[Data]],Buildings_Water_Backend[[#This Row],[Data]]*_xlfn.XLOOKUP(_xlfn.CONCAT(Buildings_Water_Backend[[#This Row],[Level 1]:[Level 6]]),rng_EFConcat,rng_EFConversion))</f>
        <v>#N/A</v>
      </c>
      <c r="AE186" s="174" t="e" cm="1">
        <f t="array" ref="AE186">_xlfn.XLOOKUP(_xlfn.CONCAT(Buildings_Water_Backend[[#This Row],[Level 1]:[Level 6]]),rng_LevelsConcat,rng_UnitsLong)</f>
        <v>#N/A</v>
      </c>
      <c r="AF186" s="210" t="e">
        <f>_xlfn.XLOOKUP(_xlfn.CONCAT(Buildings_Water_Backend[[#This Row],[Level 1]:[Level 6]]),rng_EFConcat,rng_EF1)*Buildings_Water_Backend[[#This Row],[Converted data]]/1000</f>
        <v>#N/A</v>
      </c>
      <c r="AG186" s="210" t="e">
        <f>_xlfn.XLOOKUP(_xlfn.CONCAT(Buildings_Water_Backend[[#This Row],[Level 1]:[Level 6]]),rng_EFConcat,rng_EF2)*Buildings_Water_Backend[[#This Row],[Converted data]]/1000</f>
        <v>#N/A</v>
      </c>
      <c r="AH186" s="210" t="e">
        <f>_xlfn.XLOOKUP(_xlfn.CONCAT(Buildings_Water_Backend[[#This Row],[Level 1]:[Level 6]]),rng_EFConcat,rng_EF3)*Buildings_Water_Backend[[#This Row],[Converted data]]/1000</f>
        <v>#N/A</v>
      </c>
      <c r="AI186" s="210" t="e">
        <f>_xlfn.XLOOKUP(_xlfn.CONCAT(Buildings_Water_Backend[[#This Row],[Level 1]:[Level 6]]),rng_EFConcat,rng_EF3WTT)*Buildings_Water_Backend[[#This Row],[Converted data]]/1000</f>
        <v>#N/A</v>
      </c>
      <c r="AJ186" s="210" t="e">
        <f>_xlfn.XLOOKUP(_xlfn.CONCAT(Buildings_Water_Backend[[#This Row],[Level 1]:[Level 6]]),rng_EFConcat,rng_EF3TD)*Buildings_Water_Backend[[#This Row],[Converted data]]/1000</f>
        <v>#N/A</v>
      </c>
      <c r="AK186" s="210" t="e">
        <f>_xlfn.XLOOKUP(_xlfn.CONCAT(Buildings_Water_Backend[[#This Row],[Level 1]:[Level 6]]),rng_EFConcat,rng_EF3WTTTD)*Buildings_Water_Backend[[#This Row],[Converted data]]/1000</f>
        <v>#N/A</v>
      </c>
      <c r="AL186" s="220" t="e">
        <f>SUM(Buildings_Water_Backend[[#This Row],[Scope 1 (tCO2e)]:[Scope 3 WTT T&amp;D (tCO2e)]])</f>
        <v>#N/A</v>
      </c>
      <c r="AM186" s="220" t="e">
        <f>Buildings_Water_Backend[[#This Row],[Total (tCO2e)]]*(1-Buildings_Water_Backend[[#This Row],[RSD]])</f>
        <v>#N/A</v>
      </c>
      <c r="AN186" s="220" t="e">
        <f>Buildings_Water_Backend[[#This Row],[Total (tCO2e)]]*(1+Buildings_Water_Backend[[#This Row],[RSD]])</f>
        <v>#N/A</v>
      </c>
      <c r="AO186" s="210" t="e">
        <f>_xlfn.XLOOKUP(_xlfn.CONCAT(Buildings_Water_Backend[[#This Row],[Level 1]:[Level 6]]),rng_EFConcat,rng_EFOOS)*Buildings_Water_Backend[[#This Row],[Converted data]]/1000</f>
        <v>#N/A</v>
      </c>
      <c r="AP186" s="174">
        <f>Buildings_Water_Frontend[[#This Row],[Ease of collection]]</f>
        <v>0</v>
      </c>
      <c r="AQ186" s="174">
        <f>Buildings_Water_Frontend[[#This Row],[Completeness]]</f>
        <v>0</v>
      </c>
      <c r="AR186" s="174">
        <f>Buildings_Water_Frontend[[#This Row],[Notes]]</f>
        <v>0</v>
      </c>
    </row>
    <row r="187" spans="5:44" x14ac:dyDescent="0.3">
      <c r="E187" s="346"/>
      <c r="F187" s="364"/>
      <c r="G187" s="336"/>
      <c r="H187" s="336"/>
      <c r="I187" s="334"/>
      <c r="J187" s="336"/>
      <c r="K187" s="336"/>
      <c r="L187" s="336"/>
      <c r="M187" s="337"/>
      <c r="N187" s="242">
        <f t="shared" si="5"/>
        <v>5</v>
      </c>
      <c r="Q187" s="212" t="str">
        <f t="shared" si="4"/>
        <v/>
      </c>
      <c r="R187" s="174" t="s">
        <v>265</v>
      </c>
      <c r="S187" s="174" t="s">
        <v>273</v>
      </c>
      <c r="T187" s="174" t="e">
        <f>_xlfn.XLOOKUP(Buildings_Water_Backend[[#This Row],[Info 1]],Buildings_SiteInfo[Site name],Buildings_SiteInfo[Site type])</f>
        <v>#N/A</v>
      </c>
      <c r="U187" s="174" t="s">
        <v>327</v>
      </c>
      <c r="V187" s="174">
        <f>Buildings_Water_Frontend[[#This Row],[Type]]</f>
        <v>0</v>
      </c>
      <c r="W187" s="174" t="e" cm="1">
        <f t="array" aca="1" ref="W187" ca="1">_xlfn.XLOOKUP(Buildings_Water_Backend[[#This Row],[Level 5]],rng_Level5Long,rng_Level6Long)</f>
        <v>#N/A</v>
      </c>
      <c r="X187" s="174">
        <f>Buildings_Water_Frontend[[#This Row],[Site Name]]</f>
        <v>0</v>
      </c>
      <c r="Y187" s="174">
        <f>Buildings_Water_Frontend[[#This Row],[Meter Reference]]</f>
        <v>0</v>
      </c>
      <c r="Z187" s="220">
        <f>Buildings_Water_Frontend[[#This Row],[Methodology]]</f>
        <v>0</v>
      </c>
      <c r="AA187" s="229" t="e" cm="1">
        <f t="array" ref="AA187">INDEX(_xlfn.SWITCH(Buildings_Water_Backend[[#This Row],[Methodology]],"Tier 1",rng_RSD1,"Tier 2",rng_RSD2,"Tier 3",rng_RSD3),MATCH(_xlfn.CONCAT(Buildings_Water_Backend[[#This Row],[Level 1]:[Level 6]]),rng_LevelsConcat,0))</f>
        <v>#N/A</v>
      </c>
      <c r="AB187" s="224">
        <f>Buildings_Water_Frontend[[#This Row],[Data]]</f>
        <v>0</v>
      </c>
      <c r="AC187" s="174">
        <f>Buildings_Water_Frontend[[#This Row],[Units]]</f>
        <v>0</v>
      </c>
      <c r="AD187" s="220" t="e">
        <f>IF(Buildings_Water_Backend[[#This Row],[Units]]=Buildings_Water_Backend[[#This Row],[Standard units]],Buildings_Water_Backend[[#This Row],[Data]],Buildings_Water_Backend[[#This Row],[Data]]*_xlfn.XLOOKUP(_xlfn.CONCAT(Buildings_Water_Backend[[#This Row],[Level 1]:[Level 6]]),rng_EFConcat,rng_EFConversion))</f>
        <v>#N/A</v>
      </c>
      <c r="AE187" s="174" t="e" cm="1">
        <f t="array" ref="AE187">_xlfn.XLOOKUP(_xlfn.CONCAT(Buildings_Water_Backend[[#This Row],[Level 1]:[Level 6]]),rng_LevelsConcat,rng_UnitsLong)</f>
        <v>#N/A</v>
      </c>
      <c r="AF187" s="210" t="e">
        <f>_xlfn.XLOOKUP(_xlfn.CONCAT(Buildings_Water_Backend[[#This Row],[Level 1]:[Level 6]]),rng_EFConcat,rng_EF1)*Buildings_Water_Backend[[#This Row],[Converted data]]/1000</f>
        <v>#N/A</v>
      </c>
      <c r="AG187" s="210" t="e">
        <f>_xlfn.XLOOKUP(_xlfn.CONCAT(Buildings_Water_Backend[[#This Row],[Level 1]:[Level 6]]),rng_EFConcat,rng_EF2)*Buildings_Water_Backend[[#This Row],[Converted data]]/1000</f>
        <v>#N/A</v>
      </c>
      <c r="AH187" s="210" t="e">
        <f>_xlfn.XLOOKUP(_xlfn.CONCAT(Buildings_Water_Backend[[#This Row],[Level 1]:[Level 6]]),rng_EFConcat,rng_EF3)*Buildings_Water_Backend[[#This Row],[Converted data]]/1000</f>
        <v>#N/A</v>
      </c>
      <c r="AI187" s="210" t="e">
        <f>_xlfn.XLOOKUP(_xlfn.CONCAT(Buildings_Water_Backend[[#This Row],[Level 1]:[Level 6]]),rng_EFConcat,rng_EF3WTT)*Buildings_Water_Backend[[#This Row],[Converted data]]/1000</f>
        <v>#N/A</v>
      </c>
      <c r="AJ187" s="210" t="e">
        <f>_xlfn.XLOOKUP(_xlfn.CONCAT(Buildings_Water_Backend[[#This Row],[Level 1]:[Level 6]]),rng_EFConcat,rng_EF3TD)*Buildings_Water_Backend[[#This Row],[Converted data]]/1000</f>
        <v>#N/A</v>
      </c>
      <c r="AK187" s="210" t="e">
        <f>_xlfn.XLOOKUP(_xlfn.CONCAT(Buildings_Water_Backend[[#This Row],[Level 1]:[Level 6]]),rng_EFConcat,rng_EF3WTTTD)*Buildings_Water_Backend[[#This Row],[Converted data]]/1000</f>
        <v>#N/A</v>
      </c>
      <c r="AL187" s="220" t="e">
        <f>SUM(Buildings_Water_Backend[[#This Row],[Scope 1 (tCO2e)]:[Scope 3 WTT T&amp;D (tCO2e)]])</f>
        <v>#N/A</v>
      </c>
      <c r="AM187" s="220" t="e">
        <f>Buildings_Water_Backend[[#This Row],[Total (tCO2e)]]*(1-Buildings_Water_Backend[[#This Row],[RSD]])</f>
        <v>#N/A</v>
      </c>
      <c r="AN187" s="220" t="e">
        <f>Buildings_Water_Backend[[#This Row],[Total (tCO2e)]]*(1+Buildings_Water_Backend[[#This Row],[RSD]])</f>
        <v>#N/A</v>
      </c>
      <c r="AO187" s="210" t="e">
        <f>_xlfn.XLOOKUP(_xlfn.CONCAT(Buildings_Water_Backend[[#This Row],[Level 1]:[Level 6]]),rng_EFConcat,rng_EFOOS)*Buildings_Water_Backend[[#This Row],[Converted data]]/1000</f>
        <v>#N/A</v>
      </c>
      <c r="AP187" s="174">
        <f>Buildings_Water_Frontend[[#This Row],[Ease of collection]]</f>
        <v>0</v>
      </c>
      <c r="AQ187" s="174">
        <f>Buildings_Water_Frontend[[#This Row],[Completeness]]</f>
        <v>0</v>
      </c>
      <c r="AR187" s="174">
        <f>Buildings_Water_Frontend[[#This Row],[Notes]]</f>
        <v>0</v>
      </c>
    </row>
    <row r="188" spans="5:44" x14ac:dyDescent="0.3">
      <c r="E188" s="346"/>
      <c r="F188" s="364"/>
      <c r="G188" s="336"/>
      <c r="H188" s="336"/>
      <c r="I188" s="334"/>
      <c r="J188" s="336"/>
      <c r="K188" s="336"/>
      <c r="L188" s="336"/>
      <c r="M188" s="337"/>
      <c r="N188" s="242">
        <f t="shared" si="5"/>
        <v>5</v>
      </c>
      <c r="Q188" s="212" t="str">
        <f t="shared" si="4"/>
        <v/>
      </c>
      <c r="R188" s="174" t="s">
        <v>265</v>
      </c>
      <c r="S188" s="174" t="s">
        <v>273</v>
      </c>
      <c r="T188" s="174" t="e">
        <f>_xlfn.XLOOKUP(Buildings_Water_Backend[[#This Row],[Info 1]],Buildings_SiteInfo[Site name],Buildings_SiteInfo[Site type])</f>
        <v>#N/A</v>
      </c>
      <c r="U188" s="174" t="s">
        <v>327</v>
      </c>
      <c r="V188" s="174">
        <f>Buildings_Water_Frontend[[#This Row],[Type]]</f>
        <v>0</v>
      </c>
      <c r="W188" s="174" t="e" cm="1">
        <f t="array" aca="1" ref="W188" ca="1">_xlfn.XLOOKUP(Buildings_Water_Backend[[#This Row],[Level 5]],rng_Level5Long,rng_Level6Long)</f>
        <v>#N/A</v>
      </c>
      <c r="X188" s="174">
        <f>Buildings_Water_Frontend[[#This Row],[Site Name]]</f>
        <v>0</v>
      </c>
      <c r="Y188" s="174">
        <f>Buildings_Water_Frontend[[#This Row],[Meter Reference]]</f>
        <v>0</v>
      </c>
      <c r="Z188" s="220">
        <f>Buildings_Water_Frontend[[#This Row],[Methodology]]</f>
        <v>0</v>
      </c>
      <c r="AA188" s="229" t="e" cm="1">
        <f t="array" ref="AA188">INDEX(_xlfn.SWITCH(Buildings_Water_Backend[[#This Row],[Methodology]],"Tier 1",rng_RSD1,"Tier 2",rng_RSD2,"Tier 3",rng_RSD3),MATCH(_xlfn.CONCAT(Buildings_Water_Backend[[#This Row],[Level 1]:[Level 6]]),rng_LevelsConcat,0))</f>
        <v>#N/A</v>
      </c>
      <c r="AB188" s="224">
        <f>Buildings_Water_Frontend[[#This Row],[Data]]</f>
        <v>0</v>
      </c>
      <c r="AC188" s="174">
        <f>Buildings_Water_Frontend[[#This Row],[Units]]</f>
        <v>0</v>
      </c>
      <c r="AD188" s="220" t="e">
        <f>IF(Buildings_Water_Backend[[#This Row],[Units]]=Buildings_Water_Backend[[#This Row],[Standard units]],Buildings_Water_Backend[[#This Row],[Data]],Buildings_Water_Backend[[#This Row],[Data]]*_xlfn.XLOOKUP(_xlfn.CONCAT(Buildings_Water_Backend[[#This Row],[Level 1]:[Level 6]]),rng_EFConcat,rng_EFConversion))</f>
        <v>#N/A</v>
      </c>
      <c r="AE188" s="174" t="e" cm="1">
        <f t="array" ref="AE188">_xlfn.XLOOKUP(_xlfn.CONCAT(Buildings_Water_Backend[[#This Row],[Level 1]:[Level 6]]),rng_LevelsConcat,rng_UnitsLong)</f>
        <v>#N/A</v>
      </c>
      <c r="AF188" s="210" t="e">
        <f>_xlfn.XLOOKUP(_xlfn.CONCAT(Buildings_Water_Backend[[#This Row],[Level 1]:[Level 6]]),rng_EFConcat,rng_EF1)*Buildings_Water_Backend[[#This Row],[Converted data]]/1000</f>
        <v>#N/A</v>
      </c>
      <c r="AG188" s="210" t="e">
        <f>_xlfn.XLOOKUP(_xlfn.CONCAT(Buildings_Water_Backend[[#This Row],[Level 1]:[Level 6]]),rng_EFConcat,rng_EF2)*Buildings_Water_Backend[[#This Row],[Converted data]]/1000</f>
        <v>#N/A</v>
      </c>
      <c r="AH188" s="210" t="e">
        <f>_xlfn.XLOOKUP(_xlfn.CONCAT(Buildings_Water_Backend[[#This Row],[Level 1]:[Level 6]]),rng_EFConcat,rng_EF3)*Buildings_Water_Backend[[#This Row],[Converted data]]/1000</f>
        <v>#N/A</v>
      </c>
      <c r="AI188" s="210" t="e">
        <f>_xlfn.XLOOKUP(_xlfn.CONCAT(Buildings_Water_Backend[[#This Row],[Level 1]:[Level 6]]),rng_EFConcat,rng_EF3WTT)*Buildings_Water_Backend[[#This Row],[Converted data]]/1000</f>
        <v>#N/A</v>
      </c>
      <c r="AJ188" s="210" t="e">
        <f>_xlfn.XLOOKUP(_xlfn.CONCAT(Buildings_Water_Backend[[#This Row],[Level 1]:[Level 6]]),rng_EFConcat,rng_EF3TD)*Buildings_Water_Backend[[#This Row],[Converted data]]/1000</f>
        <v>#N/A</v>
      </c>
      <c r="AK188" s="210" t="e">
        <f>_xlfn.XLOOKUP(_xlfn.CONCAT(Buildings_Water_Backend[[#This Row],[Level 1]:[Level 6]]),rng_EFConcat,rng_EF3WTTTD)*Buildings_Water_Backend[[#This Row],[Converted data]]/1000</f>
        <v>#N/A</v>
      </c>
      <c r="AL188" s="220" t="e">
        <f>SUM(Buildings_Water_Backend[[#This Row],[Scope 1 (tCO2e)]:[Scope 3 WTT T&amp;D (tCO2e)]])</f>
        <v>#N/A</v>
      </c>
      <c r="AM188" s="220" t="e">
        <f>Buildings_Water_Backend[[#This Row],[Total (tCO2e)]]*(1-Buildings_Water_Backend[[#This Row],[RSD]])</f>
        <v>#N/A</v>
      </c>
      <c r="AN188" s="220" t="e">
        <f>Buildings_Water_Backend[[#This Row],[Total (tCO2e)]]*(1+Buildings_Water_Backend[[#This Row],[RSD]])</f>
        <v>#N/A</v>
      </c>
      <c r="AO188" s="210" t="e">
        <f>_xlfn.XLOOKUP(_xlfn.CONCAT(Buildings_Water_Backend[[#This Row],[Level 1]:[Level 6]]),rng_EFConcat,rng_EFOOS)*Buildings_Water_Backend[[#This Row],[Converted data]]/1000</f>
        <v>#N/A</v>
      </c>
      <c r="AP188" s="174">
        <f>Buildings_Water_Frontend[[#This Row],[Ease of collection]]</f>
        <v>0</v>
      </c>
      <c r="AQ188" s="174">
        <f>Buildings_Water_Frontend[[#This Row],[Completeness]]</f>
        <v>0</v>
      </c>
      <c r="AR188" s="174">
        <f>Buildings_Water_Frontend[[#This Row],[Notes]]</f>
        <v>0</v>
      </c>
    </row>
    <row r="189" spans="5:44" x14ac:dyDescent="0.3">
      <c r="E189" s="346"/>
      <c r="F189" s="364"/>
      <c r="G189" s="336"/>
      <c r="H189" s="336"/>
      <c r="I189" s="334"/>
      <c r="J189" s="336"/>
      <c r="K189" s="336"/>
      <c r="L189" s="336"/>
      <c r="M189" s="337"/>
      <c r="N189" s="242">
        <f t="shared" si="5"/>
        <v>5</v>
      </c>
      <c r="Q189" s="212" t="str">
        <f t="shared" si="4"/>
        <v/>
      </c>
      <c r="R189" s="174" t="s">
        <v>265</v>
      </c>
      <c r="S189" s="174" t="s">
        <v>273</v>
      </c>
      <c r="T189" s="174" t="e">
        <f>_xlfn.XLOOKUP(Buildings_Water_Backend[[#This Row],[Info 1]],Buildings_SiteInfo[Site name],Buildings_SiteInfo[Site type])</f>
        <v>#N/A</v>
      </c>
      <c r="U189" s="174" t="s">
        <v>327</v>
      </c>
      <c r="V189" s="174">
        <f>Buildings_Water_Frontend[[#This Row],[Type]]</f>
        <v>0</v>
      </c>
      <c r="W189" s="174" t="e" cm="1">
        <f t="array" aca="1" ref="W189" ca="1">_xlfn.XLOOKUP(Buildings_Water_Backend[[#This Row],[Level 5]],rng_Level5Long,rng_Level6Long)</f>
        <v>#N/A</v>
      </c>
      <c r="X189" s="174">
        <f>Buildings_Water_Frontend[[#This Row],[Site Name]]</f>
        <v>0</v>
      </c>
      <c r="Y189" s="174">
        <f>Buildings_Water_Frontend[[#This Row],[Meter Reference]]</f>
        <v>0</v>
      </c>
      <c r="Z189" s="220">
        <f>Buildings_Water_Frontend[[#This Row],[Methodology]]</f>
        <v>0</v>
      </c>
      <c r="AA189" s="229" t="e" cm="1">
        <f t="array" ref="AA189">INDEX(_xlfn.SWITCH(Buildings_Water_Backend[[#This Row],[Methodology]],"Tier 1",rng_RSD1,"Tier 2",rng_RSD2,"Tier 3",rng_RSD3),MATCH(_xlfn.CONCAT(Buildings_Water_Backend[[#This Row],[Level 1]:[Level 6]]),rng_LevelsConcat,0))</f>
        <v>#N/A</v>
      </c>
      <c r="AB189" s="224">
        <f>Buildings_Water_Frontend[[#This Row],[Data]]</f>
        <v>0</v>
      </c>
      <c r="AC189" s="174">
        <f>Buildings_Water_Frontend[[#This Row],[Units]]</f>
        <v>0</v>
      </c>
      <c r="AD189" s="220" t="e">
        <f>IF(Buildings_Water_Backend[[#This Row],[Units]]=Buildings_Water_Backend[[#This Row],[Standard units]],Buildings_Water_Backend[[#This Row],[Data]],Buildings_Water_Backend[[#This Row],[Data]]*_xlfn.XLOOKUP(_xlfn.CONCAT(Buildings_Water_Backend[[#This Row],[Level 1]:[Level 6]]),rng_EFConcat,rng_EFConversion))</f>
        <v>#N/A</v>
      </c>
      <c r="AE189" s="174" t="e" cm="1">
        <f t="array" ref="AE189">_xlfn.XLOOKUP(_xlfn.CONCAT(Buildings_Water_Backend[[#This Row],[Level 1]:[Level 6]]),rng_LevelsConcat,rng_UnitsLong)</f>
        <v>#N/A</v>
      </c>
      <c r="AF189" s="210" t="e">
        <f>_xlfn.XLOOKUP(_xlfn.CONCAT(Buildings_Water_Backend[[#This Row],[Level 1]:[Level 6]]),rng_EFConcat,rng_EF1)*Buildings_Water_Backend[[#This Row],[Converted data]]/1000</f>
        <v>#N/A</v>
      </c>
      <c r="AG189" s="210" t="e">
        <f>_xlfn.XLOOKUP(_xlfn.CONCAT(Buildings_Water_Backend[[#This Row],[Level 1]:[Level 6]]),rng_EFConcat,rng_EF2)*Buildings_Water_Backend[[#This Row],[Converted data]]/1000</f>
        <v>#N/A</v>
      </c>
      <c r="AH189" s="210" t="e">
        <f>_xlfn.XLOOKUP(_xlfn.CONCAT(Buildings_Water_Backend[[#This Row],[Level 1]:[Level 6]]),rng_EFConcat,rng_EF3)*Buildings_Water_Backend[[#This Row],[Converted data]]/1000</f>
        <v>#N/A</v>
      </c>
      <c r="AI189" s="210" t="e">
        <f>_xlfn.XLOOKUP(_xlfn.CONCAT(Buildings_Water_Backend[[#This Row],[Level 1]:[Level 6]]),rng_EFConcat,rng_EF3WTT)*Buildings_Water_Backend[[#This Row],[Converted data]]/1000</f>
        <v>#N/A</v>
      </c>
      <c r="AJ189" s="210" t="e">
        <f>_xlfn.XLOOKUP(_xlfn.CONCAT(Buildings_Water_Backend[[#This Row],[Level 1]:[Level 6]]),rng_EFConcat,rng_EF3TD)*Buildings_Water_Backend[[#This Row],[Converted data]]/1000</f>
        <v>#N/A</v>
      </c>
      <c r="AK189" s="210" t="e">
        <f>_xlfn.XLOOKUP(_xlfn.CONCAT(Buildings_Water_Backend[[#This Row],[Level 1]:[Level 6]]),rng_EFConcat,rng_EF3WTTTD)*Buildings_Water_Backend[[#This Row],[Converted data]]/1000</f>
        <v>#N/A</v>
      </c>
      <c r="AL189" s="220" t="e">
        <f>SUM(Buildings_Water_Backend[[#This Row],[Scope 1 (tCO2e)]:[Scope 3 WTT T&amp;D (tCO2e)]])</f>
        <v>#N/A</v>
      </c>
      <c r="AM189" s="220" t="e">
        <f>Buildings_Water_Backend[[#This Row],[Total (tCO2e)]]*(1-Buildings_Water_Backend[[#This Row],[RSD]])</f>
        <v>#N/A</v>
      </c>
      <c r="AN189" s="220" t="e">
        <f>Buildings_Water_Backend[[#This Row],[Total (tCO2e)]]*(1+Buildings_Water_Backend[[#This Row],[RSD]])</f>
        <v>#N/A</v>
      </c>
      <c r="AO189" s="210" t="e">
        <f>_xlfn.XLOOKUP(_xlfn.CONCAT(Buildings_Water_Backend[[#This Row],[Level 1]:[Level 6]]),rng_EFConcat,rng_EFOOS)*Buildings_Water_Backend[[#This Row],[Converted data]]/1000</f>
        <v>#N/A</v>
      </c>
      <c r="AP189" s="174">
        <f>Buildings_Water_Frontend[[#This Row],[Ease of collection]]</f>
        <v>0</v>
      </c>
      <c r="AQ189" s="174">
        <f>Buildings_Water_Frontend[[#This Row],[Completeness]]</f>
        <v>0</v>
      </c>
      <c r="AR189" s="174">
        <f>Buildings_Water_Frontend[[#This Row],[Notes]]</f>
        <v>0</v>
      </c>
    </row>
    <row r="190" spans="5:44" x14ac:dyDescent="0.3">
      <c r="E190" s="346"/>
      <c r="F190" s="364"/>
      <c r="G190" s="336"/>
      <c r="H190" s="336"/>
      <c r="I190" s="334"/>
      <c r="J190" s="336"/>
      <c r="K190" s="336"/>
      <c r="L190" s="336"/>
      <c r="M190" s="337"/>
      <c r="N190" s="242">
        <f t="shared" si="5"/>
        <v>5</v>
      </c>
      <c r="Q190" s="212" t="str">
        <f t="shared" si="4"/>
        <v/>
      </c>
      <c r="R190" s="174" t="s">
        <v>265</v>
      </c>
      <c r="S190" s="174" t="s">
        <v>273</v>
      </c>
      <c r="T190" s="174" t="e">
        <f>_xlfn.XLOOKUP(Buildings_Water_Backend[[#This Row],[Info 1]],Buildings_SiteInfo[Site name],Buildings_SiteInfo[Site type])</f>
        <v>#N/A</v>
      </c>
      <c r="U190" s="174" t="s">
        <v>327</v>
      </c>
      <c r="V190" s="174">
        <f>Buildings_Water_Frontend[[#This Row],[Type]]</f>
        <v>0</v>
      </c>
      <c r="W190" s="174" t="e" cm="1">
        <f t="array" aca="1" ref="W190" ca="1">_xlfn.XLOOKUP(Buildings_Water_Backend[[#This Row],[Level 5]],rng_Level5Long,rng_Level6Long)</f>
        <v>#N/A</v>
      </c>
      <c r="X190" s="174">
        <f>Buildings_Water_Frontend[[#This Row],[Site Name]]</f>
        <v>0</v>
      </c>
      <c r="Y190" s="174">
        <f>Buildings_Water_Frontend[[#This Row],[Meter Reference]]</f>
        <v>0</v>
      </c>
      <c r="Z190" s="220">
        <f>Buildings_Water_Frontend[[#This Row],[Methodology]]</f>
        <v>0</v>
      </c>
      <c r="AA190" s="229" t="e" cm="1">
        <f t="array" ref="AA190">INDEX(_xlfn.SWITCH(Buildings_Water_Backend[[#This Row],[Methodology]],"Tier 1",rng_RSD1,"Tier 2",rng_RSD2,"Tier 3",rng_RSD3),MATCH(_xlfn.CONCAT(Buildings_Water_Backend[[#This Row],[Level 1]:[Level 6]]),rng_LevelsConcat,0))</f>
        <v>#N/A</v>
      </c>
      <c r="AB190" s="224">
        <f>Buildings_Water_Frontend[[#This Row],[Data]]</f>
        <v>0</v>
      </c>
      <c r="AC190" s="174">
        <f>Buildings_Water_Frontend[[#This Row],[Units]]</f>
        <v>0</v>
      </c>
      <c r="AD190" s="220" t="e">
        <f>IF(Buildings_Water_Backend[[#This Row],[Units]]=Buildings_Water_Backend[[#This Row],[Standard units]],Buildings_Water_Backend[[#This Row],[Data]],Buildings_Water_Backend[[#This Row],[Data]]*_xlfn.XLOOKUP(_xlfn.CONCAT(Buildings_Water_Backend[[#This Row],[Level 1]:[Level 6]]),rng_EFConcat,rng_EFConversion))</f>
        <v>#N/A</v>
      </c>
      <c r="AE190" s="174" t="e" cm="1">
        <f t="array" ref="AE190">_xlfn.XLOOKUP(_xlfn.CONCAT(Buildings_Water_Backend[[#This Row],[Level 1]:[Level 6]]),rng_LevelsConcat,rng_UnitsLong)</f>
        <v>#N/A</v>
      </c>
      <c r="AF190" s="210" t="e">
        <f>_xlfn.XLOOKUP(_xlfn.CONCAT(Buildings_Water_Backend[[#This Row],[Level 1]:[Level 6]]),rng_EFConcat,rng_EF1)*Buildings_Water_Backend[[#This Row],[Converted data]]/1000</f>
        <v>#N/A</v>
      </c>
      <c r="AG190" s="210" t="e">
        <f>_xlfn.XLOOKUP(_xlfn.CONCAT(Buildings_Water_Backend[[#This Row],[Level 1]:[Level 6]]),rng_EFConcat,rng_EF2)*Buildings_Water_Backend[[#This Row],[Converted data]]/1000</f>
        <v>#N/A</v>
      </c>
      <c r="AH190" s="210" t="e">
        <f>_xlfn.XLOOKUP(_xlfn.CONCAT(Buildings_Water_Backend[[#This Row],[Level 1]:[Level 6]]),rng_EFConcat,rng_EF3)*Buildings_Water_Backend[[#This Row],[Converted data]]/1000</f>
        <v>#N/A</v>
      </c>
      <c r="AI190" s="210" t="e">
        <f>_xlfn.XLOOKUP(_xlfn.CONCAT(Buildings_Water_Backend[[#This Row],[Level 1]:[Level 6]]),rng_EFConcat,rng_EF3WTT)*Buildings_Water_Backend[[#This Row],[Converted data]]/1000</f>
        <v>#N/A</v>
      </c>
      <c r="AJ190" s="210" t="e">
        <f>_xlfn.XLOOKUP(_xlfn.CONCAT(Buildings_Water_Backend[[#This Row],[Level 1]:[Level 6]]),rng_EFConcat,rng_EF3TD)*Buildings_Water_Backend[[#This Row],[Converted data]]/1000</f>
        <v>#N/A</v>
      </c>
      <c r="AK190" s="210" t="e">
        <f>_xlfn.XLOOKUP(_xlfn.CONCAT(Buildings_Water_Backend[[#This Row],[Level 1]:[Level 6]]),rng_EFConcat,rng_EF3WTTTD)*Buildings_Water_Backend[[#This Row],[Converted data]]/1000</f>
        <v>#N/A</v>
      </c>
      <c r="AL190" s="220" t="e">
        <f>SUM(Buildings_Water_Backend[[#This Row],[Scope 1 (tCO2e)]:[Scope 3 WTT T&amp;D (tCO2e)]])</f>
        <v>#N/A</v>
      </c>
      <c r="AM190" s="220" t="e">
        <f>Buildings_Water_Backend[[#This Row],[Total (tCO2e)]]*(1-Buildings_Water_Backend[[#This Row],[RSD]])</f>
        <v>#N/A</v>
      </c>
      <c r="AN190" s="220" t="e">
        <f>Buildings_Water_Backend[[#This Row],[Total (tCO2e)]]*(1+Buildings_Water_Backend[[#This Row],[RSD]])</f>
        <v>#N/A</v>
      </c>
      <c r="AO190" s="210" t="e">
        <f>_xlfn.XLOOKUP(_xlfn.CONCAT(Buildings_Water_Backend[[#This Row],[Level 1]:[Level 6]]),rng_EFConcat,rng_EFOOS)*Buildings_Water_Backend[[#This Row],[Converted data]]/1000</f>
        <v>#N/A</v>
      </c>
      <c r="AP190" s="174">
        <f>Buildings_Water_Frontend[[#This Row],[Ease of collection]]</f>
        <v>0</v>
      </c>
      <c r="AQ190" s="174">
        <f>Buildings_Water_Frontend[[#This Row],[Completeness]]</f>
        <v>0</v>
      </c>
      <c r="AR190" s="174">
        <f>Buildings_Water_Frontend[[#This Row],[Notes]]</f>
        <v>0</v>
      </c>
    </row>
    <row r="191" spans="5:44" x14ac:dyDescent="0.3">
      <c r="E191" s="346"/>
      <c r="F191" s="364"/>
      <c r="G191" s="336"/>
      <c r="H191" s="336"/>
      <c r="I191" s="334"/>
      <c r="J191" s="336"/>
      <c r="K191" s="336"/>
      <c r="L191" s="336"/>
      <c r="M191" s="337"/>
      <c r="N191" s="242">
        <f t="shared" si="5"/>
        <v>5</v>
      </c>
      <c r="Q191" s="212" t="str">
        <f t="shared" si="4"/>
        <v/>
      </c>
      <c r="R191" s="174" t="s">
        <v>265</v>
      </c>
      <c r="S191" s="174" t="s">
        <v>273</v>
      </c>
      <c r="T191" s="174" t="e">
        <f>_xlfn.XLOOKUP(Buildings_Water_Backend[[#This Row],[Info 1]],Buildings_SiteInfo[Site name],Buildings_SiteInfo[Site type])</f>
        <v>#N/A</v>
      </c>
      <c r="U191" s="174" t="s">
        <v>327</v>
      </c>
      <c r="V191" s="174">
        <f>Buildings_Water_Frontend[[#This Row],[Type]]</f>
        <v>0</v>
      </c>
      <c r="W191" s="174" t="e" cm="1">
        <f t="array" aca="1" ref="W191" ca="1">_xlfn.XLOOKUP(Buildings_Water_Backend[[#This Row],[Level 5]],rng_Level5Long,rng_Level6Long)</f>
        <v>#N/A</v>
      </c>
      <c r="X191" s="174">
        <f>Buildings_Water_Frontend[[#This Row],[Site Name]]</f>
        <v>0</v>
      </c>
      <c r="Y191" s="174">
        <f>Buildings_Water_Frontend[[#This Row],[Meter Reference]]</f>
        <v>0</v>
      </c>
      <c r="Z191" s="220">
        <f>Buildings_Water_Frontend[[#This Row],[Methodology]]</f>
        <v>0</v>
      </c>
      <c r="AA191" s="229" t="e" cm="1">
        <f t="array" ref="AA191">INDEX(_xlfn.SWITCH(Buildings_Water_Backend[[#This Row],[Methodology]],"Tier 1",rng_RSD1,"Tier 2",rng_RSD2,"Tier 3",rng_RSD3),MATCH(_xlfn.CONCAT(Buildings_Water_Backend[[#This Row],[Level 1]:[Level 6]]),rng_LevelsConcat,0))</f>
        <v>#N/A</v>
      </c>
      <c r="AB191" s="224">
        <f>Buildings_Water_Frontend[[#This Row],[Data]]</f>
        <v>0</v>
      </c>
      <c r="AC191" s="174">
        <f>Buildings_Water_Frontend[[#This Row],[Units]]</f>
        <v>0</v>
      </c>
      <c r="AD191" s="220" t="e">
        <f>IF(Buildings_Water_Backend[[#This Row],[Units]]=Buildings_Water_Backend[[#This Row],[Standard units]],Buildings_Water_Backend[[#This Row],[Data]],Buildings_Water_Backend[[#This Row],[Data]]*_xlfn.XLOOKUP(_xlfn.CONCAT(Buildings_Water_Backend[[#This Row],[Level 1]:[Level 6]]),rng_EFConcat,rng_EFConversion))</f>
        <v>#N/A</v>
      </c>
      <c r="AE191" s="174" t="e" cm="1">
        <f t="array" ref="AE191">_xlfn.XLOOKUP(_xlfn.CONCAT(Buildings_Water_Backend[[#This Row],[Level 1]:[Level 6]]),rng_LevelsConcat,rng_UnitsLong)</f>
        <v>#N/A</v>
      </c>
      <c r="AF191" s="210" t="e">
        <f>_xlfn.XLOOKUP(_xlfn.CONCAT(Buildings_Water_Backend[[#This Row],[Level 1]:[Level 6]]),rng_EFConcat,rng_EF1)*Buildings_Water_Backend[[#This Row],[Converted data]]/1000</f>
        <v>#N/A</v>
      </c>
      <c r="AG191" s="210" t="e">
        <f>_xlfn.XLOOKUP(_xlfn.CONCAT(Buildings_Water_Backend[[#This Row],[Level 1]:[Level 6]]),rng_EFConcat,rng_EF2)*Buildings_Water_Backend[[#This Row],[Converted data]]/1000</f>
        <v>#N/A</v>
      </c>
      <c r="AH191" s="210" t="e">
        <f>_xlfn.XLOOKUP(_xlfn.CONCAT(Buildings_Water_Backend[[#This Row],[Level 1]:[Level 6]]),rng_EFConcat,rng_EF3)*Buildings_Water_Backend[[#This Row],[Converted data]]/1000</f>
        <v>#N/A</v>
      </c>
      <c r="AI191" s="210" t="e">
        <f>_xlfn.XLOOKUP(_xlfn.CONCAT(Buildings_Water_Backend[[#This Row],[Level 1]:[Level 6]]),rng_EFConcat,rng_EF3WTT)*Buildings_Water_Backend[[#This Row],[Converted data]]/1000</f>
        <v>#N/A</v>
      </c>
      <c r="AJ191" s="210" t="e">
        <f>_xlfn.XLOOKUP(_xlfn.CONCAT(Buildings_Water_Backend[[#This Row],[Level 1]:[Level 6]]),rng_EFConcat,rng_EF3TD)*Buildings_Water_Backend[[#This Row],[Converted data]]/1000</f>
        <v>#N/A</v>
      </c>
      <c r="AK191" s="210" t="e">
        <f>_xlfn.XLOOKUP(_xlfn.CONCAT(Buildings_Water_Backend[[#This Row],[Level 1]:[Level 6]]),rng_EFConcat,rng_EF3WTTTD)*Buildings_Water_Backend[[#This Row],[Converted data]]/1000</f>
        <v>#N/A</v>
      </c>
      <c r="AL191" s="220" t="e">
        <f>SUM(Buildings_Water_Backend[[#This Row],[Scope 1 (tCO2e)]:[Scope 3 WTT T&amp;D (tCO2e)]])</f>
        <v>#N/A</v>
      </c>
      <c r="AM191" s="220" t="e">
        <f>Buildings_Water_Backend[[#This Row],[Total (tCO2e)]]*(1-Buildings_Water_Backend[[#This Row],[RSD]])</f>
        <v>#N/A</v>
      </c>
      <c r="AN191" s="220" t="e">
        <f>Buildings_Water_Backend[[#This Row],[Total (tCO2e)]]*(1+Buildings_Water_Backend[[#This Row],[RSD]])</f>
        <v>#N/A</v>
      </c>
      <c r="AO191" s="210" t="e">
        <f>_xlfn.XLOOKUP(_xlfn.CONCAT(Buildings_Water_Backend[[#This Row],[Level 1]:[Level 6]]),rng_EFConcat,rng_EFOOS)*Buildings_Water_Backend[[#This Row],[Converted data]]/1000</f>
        <v>#N/A</v>
      </c>
      <c r="AP191" s="174">
        <f>Buildings_Water_Frontend[[#This Row],[Ease of collection]]</f>
        <v>0</v>
      </c>
      <c r="AQ191" s="174">
        <f>Buildings_Water_Frontend[[#This Row],[Completeness]]</f>
        <v>0</v>
      </c>
      <c r="AR191" s="174">
        <f>Buildings_Water_Frontend[[#This Row],[Notes]]</f>
        <v>0</v>
      </c>
    </row>
    <row r="192" spans="5:44" x14ac:dyDescent="0.3">
      <c r="E192" s="346"/>
      <c r="F192" s="364"/>
      <c r="G192" s="336"/>
      <c r="H192" s="336"/>
      <c r="I192" s="334"/>
      <c r="J192" s="336"/>
      <c r="K192" s="336"/>
      <c r="L192" s="336"/>
      <c r="M192" s="337"/>
      <c r="N192" s="242">
        <f t="shared" si="5"/>
        <v>5</v>
      </c>
      <c r="Q192" s="212" t="str">
        <f t="shared" si="4"/>
        <v/>
      </c>
      <c r="R192" s="174" t="s">
        <v>265</v>
      </c>
      <c r="S192" s="174" t="s">
        <v>273</v>
      </c>
      <c r="T192" s="174" t="e">
        <f>_xlfn.XLOOKUP(Buildings_Water_Backend[[#This Row],[Info 1]],Buildings_SiteInfo[Site name],Buildings_SiteInfo[Site type])</f>
        <v>#N/A</v>
      </c>
      <c r="U192" s="174" t="s">
        <v>327</v>
      </c>
      <c r="V192" s="174">
        <f>Buildings_Water_Frontend[[#This Row],[Type]]</f>
        <v>0</v>
      </c>
      <c r="W192" s="174" t="e" cm="1">
        <f t="array" aca="1" ref="W192" ca="1">_xlfn.XLOOKUP(Buildings_Water_Backend[[#This Row],[Level 5]],rng_Level5Long,rng_Level6Long)</f>
        <v>#N/A</v>
      </c>
      <c r="X192" s="174">
        <f>Buildings_Water_Frontend[[#This Row],[Site Name]]</f>
        <v>0</v>
      </c>
      <c r="Y192" s="174">
        <f>Buildings_Water_Frontend[[#This Row],[Meter Reference]]</f>
        <v>0</v>
      </c>
      <c r="Z192" s="220">
        <f>Buildings_Water_Frontend[[#This Row],[Methodology]]</f>
        <v>0</v>
      </c>
      <c r="AA192" s="229" t="e" cm="1">
        <f t="array" ref="AA192">INDEX(_xlfn.SWITCH(Buildings_Water_Backend[[#This Row],[Methodology]],"Tier 1",rng_RSD1,"Tier 2",rng_RSD2,"Tier 3",rng_RSD3),MATCH(_xlfn.CONCAT(Buildings_Water_Backend[[#This Row],[Level 1]:[Level 6]]),rng_LevelsConcat,0))</f>
        <v>#N/A</v>
      </c>
      <c r="AB192" s="224">
        <f>Buildings_Water_Frontend[[#This Row],[Data]]</f>
        <v>0</v>
      </c>
      <c r="AC192" s="174">
        <f>Buildings_Water_Frontend[[#This Row],[Units]]</f>
        <v>0</v>
      </c>
      <c r="AD192" s="220" t="e">
        <f>IF(Buildings_Water_Backend[[#This Row],[Units]]=Buildings_Water_Backend[[#This Row],[Standard units]],Buildings_Water_Backend[[#This Row],[Data]],Buildings_Water_Backend[[#This Row],[Data]]*_xlfn.XLOOKUP(_xlfn.CONCAT(Buildings_Water_Backend[[#This Row],[Level 1]:[Level 6]]),rng_EFConcat,rng_EFConversion))</f>
        <v>#N/A</v>
      </c>
      <c r="AE192" s="174" t="e" cm="1">
        <f t="array" ref="AE192">_xlfn.XLOOKUP(_xlfn.CONCAT(Buildings_Water_Backend[[#This Row],[Level 1]:[Level 6]]),rng_LevelsConcat,rng_UnitsLong)</f>
        <v>#N/A</v>
      </c>
      <c r="AF192" s="210" t="e">
        <f>_xlfn.XLOOKUP(_xlfn.CONCAT(Buildings_Water_Backend[[#This Row],[Level 1]:[Level 6]]),rng_EFConcat,rng_EF1)*Buildings_Water_Backend[[#This Row],[Converted data]]/1000</f>
        <v>#N/A</v>
      </c>
      <c r="AG192" s="210" t="e">
        <f>_xlfn.XLOOKUP(_xlfn.CONCAT(Buildings_Water_Backend[[#This Row],[Level 1]:[Level 6]]),rng_EFConcat,rng_EF2)*Buildings_Water_Backend[[#This Row],[Converted data]]/1000</f>
        <v>#N/A</v>
      </c>
      <c r="AH192" s="210" t="e">
        <f>_xlfn.XLOOKUP(_xlfn.CONCAT(Buildings_Water_Backend[[#This Row],[Level 1]:[Level 6]]),rng_EFConcat,rng_EF3)*Buildings_Water_Backend[[#This Row],[Converted data]]/1000</f>
        <v>#N/A</v>
      </c>
      <c r="AI192" s="210" t="e">
        <f>_xlfn.XLOOKUP(_xlfn.CONCAT(Buildings_Water_Backend[[#This Row],[Level 1]:[Level 6]]),rng_EFConcat,rng_EF3WTT)*Buildings_Water_Backend[[#This Row],[Converted data]]/1000</f>
        <v>#N/A</v>
      </c>
      <c r="AJ192" s="210" t="e">
        <f>_xlfn.XLOOKUP(_xlfn.CONCAT(Buildings_Water_Backend[[#This Row],[Level 1]:[Level 6]]),rng_EFConcat,rng_EF3TD)*Buildings_Water_Backend[[#This Row],[Converted data]]/1000</f>
        <v>#N/A</v>
      </c>
      <c r="AK192" s="210" t="e">
        <f>_xlfn.XLOOKUP(_xlfn.CONCAT(Buildings_Water_Backend[[#This Row],[Level 1]:[Level 6]]),rng_EFConcat,rng_EF3WTTTD)*Buildings_Water_Backend[[#This Row],[Converted data]]/1000</f>
        <v>#N/A</v>
      </c>
      <c r="AL192" s="220" t="e">
        <f>SUM(Buildings_Water_Backend[[#This Row],[Scope 1 (tCO2e)]:[Scope 3 WTT T&amp;D (tCO2e)]])</f>
        <v>#N/A</v>
      </c>
      <c r="AM192" s="220" t="e">
        <f>Buildings_Water_Backend[[#This Row],[Total (tCO2e)]]*(1-Buildings_Water_Backend[[#This Row],[RSD]])</f>
        <v>#N/A</v>
      </c>
      <c r="AN192" s="220" t="e">
        <f>Buildings_Water_Backend[[#This Row],[Total (tCO2e)]]*(1+Buildings_Water_Backend[[#This Row],[RSD]])</f>
        <v>#N/A</v>
      </c>
      <c r="AO192" s="210" t="e">
        <f>_xlfn.XLOOKUP(_xlfn.CONCAT(Buildings_Water_Backend[[#This Row],[Level 1]:[Level 6]]),rng_EFConcat,rng_EFOOS)*Buildings_Water_Backend[[#This Row],[Converted data]]/1000</f>
        <v>#N/A</v>
      </c>
      <c r="AP192" s="174">
        <f>Buildings_Water_Frontend[[#This Row],[Ease of collection]]</f>
        <v>0</v>
      </c>
      <c r="AQ192" s="174">
        <f>Buildings_Water_Frontend[[#This Row],[Completeness]]</f>
        <v>0</v>
      </c>
      <c r="AR192" s="174">
        <f>Buildings_Water_Frontend[[#This Row],[Notes]]</f>
        <v>0</v>
      </c>
    </row>
    <row r="193" spans="5:44" x14ac:dyDescent="0.3">
      <c r="E193" s="346"/>
      <c r="F193" s="364"/>
      <c r="G193" s="336"/>
      <c r="H193" s="336"/>
      <c r="I193" s="334"/>
      <c r="J193" s="336"/>
      <c r="K193" s="336"/>
      <c r="L193" s="336"/>
      <c r="M193" s="337"/>
      <c r="N193" s="242">
        <f t="shared" si="5"/>
        <v>5</v>
      </c>
      <c r="Q193" s="212" t="str">
        <f t="shared" si="4"/>
        <v/>
      </c>
      <c r="R193" s="174" t="s">
        <v>265</v>
      </c>
      <c r="S193" s="174" t="s">
        <v>273</v>
      </c>
      <c r="T193" s="174" t="e">
        <f>_xlfn.XLOOKUP(Buildings_Water_Backend[[#This Row],[Info 1]],Buildings_SiteInfo[Site name],Buildings_SiteInfo[Site type])</f>
        <v>#N/A</v>
      </c>
      <c r="U193" s="174" t="s">
        <v>327</v>
      </c>
      <c r="V193" s="174">
        <f>Buildings_Water_Frontend[[#This Row],[Type]]</f>
        <v>0</v>
      </c>
      <c r="W193" s="174" t="e" cm="1">
        <f t="array" aca="1" ref="W193" ca="1">_xlfn.XLOOKUP(Buildings_Water_Backend[[#This Row],[Level 5]],rng_Level5Long,rng_Level6Long)</f>
        <v>#N/A</v>
      </c>
      <c r="X193" s="174">
        <f>Buildings_Water_Frontend[[#This Row],[Site Name]]</f>
        <v>0</v>
      </c>
      <c r="Y193" s="174">
        <f>Buildings_Water_Frontend[[#This Row],[Meter Reference]]</f>
        <v>0</v>
      </c>
      <c r="Z193" s="220">
        <f>Buildings_Water_Frontend[[#This Row],[Methodology]]</f>
        <v>0</v>
      </c>
      <c r="AA193" s="229" t="e" cm="1">
        <f t="array" ref="AA193">INDEX(_xlfn.SWITCH(Buildings_Water_Backend[[#This Row],[Methodology]],"Tier 1",rng_RSD1,"Tier 2",rng_RSD2,"Tier 3",rng_RSD3),MATCH(_xlfn.CONCAT(Buildings_Water_Backend[[#This Row],[Level 1]:[Level 6]]),rng_LevelsConcat,0))</f>
        <v>#N/A</v>
      </c>
      <c r="AB193" s="224">
        <f>Buildings_Water_Frontend[[#This Row],[Data]]</f>
        <v>0</v>
      </c>
      <c r="AC193" s="174">
        <f>Buildings_Water_Frontend[[#This Row],[Units]]</f>
        <v>0</v>
      </c>
      <c r="AD193" s="220" t="e">
        <f>IF(Buildings_Water_Backend[[#This Row],[Units]]=Buildings_Water_Backend[[#This Row],[Standard units]],Buildings_Water_Backend[[#This Row],[Data]],Buildings_Water_Backend[[#This Row],[Data]]*_xlfn.XLOOKUP(_xlfn.CONCAT(Buildings_Water_Backend[[#This Row],[Level 1]:[Level 6]]),rng_EFConcat,rng_EFConversion))</f>
        <v>#N/A</v>
      </c>
      <c r="AE193" s="174" t="e" cm="1">
        <f t="array" ref="AE193">_xlfn.XLOOKUP(_xlfn.CONCAT(Buildings_Water_Backend[[#This Row],[Level 1]:[Level 6]]),rng_LevelsConcat,rng_UnitsLong)</f>
        <v>#N/A</v>
      </c>
      <c r="AF193" s="210" t="e">
        <f>_xlfn.XLOOKUP(_xlfn.CONCAT(Buildings_Water_Backend[[#This Row],[Level 1]:[Level 6]]),rng_EFConcat,rng_EF1)*Buildings_Water_Backend[[#This Row],[Converted data]]/1000</f>
        <v>#N/A</v>
      </c>
      <c r="AG193" s="210" t="e">
        <f>_xlfn.XLOOKUP(_xlfn.CONCAT(Buildings_Water_Backend[[#This Row],[Level 1]:[Level 6]]),rng_EFConcat,rng_EF2)*Buildings_Water_Backend[[#This Row],[Converted data]]/1000</f>
        <v>#N/A</v>
      </c>
      <c r="AH193" s="210" t="e">
        <f>_xlfn.XLOOKUP(_xlfn.CONCAT(Buildings_Water_Backend[[#This Row],[Level 1]:[Level 6]]),rng_EFConcat,rng_EF3)*Buildings_Water_Backend[[#This Row],[Converted data]]/1000</f>
        <v>#N/A</v>
      </c>
      <c r="AI193" s="210" t="e">
        <f>_xlfn.XLOOKUP(_xlfn.CONCAT(Buildings_Water_Backend[[#This Row],[Level 1]:[Level 6]]),rng_EFConcat,rng_EF3WTT)*Buildings_Water_Backend[[#This Row],[Converted data]]/1000</f>
        <v>#N/A</v>
      </c>
      <c r="AJ193" s="210" t="e">
        <f>_xlfn.XLOOKUP(_xlfn.CONCAT(Buildings_Water_Backend[[#This Row],[Level 1]:[Level 6]]),rng_EFConcat,rng_EF3TD)*Buildings_Water_Backend[[#This Row],[Converted data]]/1000</f>
        <v>#N/A</v>
      </c>
      <c r="AK193" s="210" t="e">
        <f>_xlfn.XLOOKUP(_xlfn.CONCAT(Buildings_Water_Backend[[#This Row],[Level 1]:[Level 6]]),rng_EFConcat,rng_EF3WTTTD)*Buildings_Water_Backend[[#This Row],[Converted data]]/1000</f>
        <v>#N/A</v>
      </c>
      <c r="AL193" s="220" t="e">
        <f>SUM(Buildings_Water_Backend[[#This Row],[Scope 1 (tCO2e)]:[Scope 3 WTT T&amp;D (tCO2e)]])</f>
        <v>#N/A</v>
      </c>
      <c r="AM193" s="220" t="e">
        <f>Buildings_Water_Backend[[#This Row],[Total (tCO2e)]]*(1-Buildings_Water_Backend[[#This Row],[RSD]])</f>
        <v>#N/A</v>
      </c>
      <c r="AN193" s="220" t="e">
        <f>Buildings_Water_Backend[[#This Row],[Total (tCO2e)]]*(1+Buildings_Water_Backend[[#This Row],[RSD]])</f>
        <v>#N/A</v>
      </c>
      <c r="AO193" s="210" t="e">
        <f>_xlfn.XLOOKUP(_xlfn.CONCAT(Buildings_Water_Backend[[#This Row],[Level 1]:[Level 6]]),rng_EFConcat,rng_EFOOS)*Buildings_Water_Backend[[#This Row],[Converted data]]/1000</f>
        <v>#N/A</v>
      </c>
      <c r="AP193" s="174">
        <f>Buildings_Water_Frontend[[#This Row],[Ease of collection]]</f>
        <v>0</v>
      </c>
      <c r="AQ193" s="174">
        <f>Buildings_Water_Frontend[[#This Row],[Completeness]]</f>
        <v>0</v>
      </c>
      <c r="AR193" s="174">
        <f>Buildings_Water_Frontend[[#This Row],[Notes]]</f>
        <v>0</v>
      </c>
    </row>
    <row r="194" spans="5:44" x14ac:dyDescent="0.3">
      <c r="E194" s="346"/>
      <c r="F194" s="364"/>
      <c r="G194" s="336"/>
      <c r="H194" s="336"/>
      <c r="I194" s="334"/>
      <c r="J194" s="336"/>
      <c r="K194" s="336"/>
      <c r="L194" s="336"/>
      <c r="M194" s="337"/>
      <c r="N194" s="242">
        <f t="shared" si="5"/>
        <v>5</v>
      </c>
      <c r="Q194" s="212" t="str">
        <f t="shared" si="4"/>
        <v/>
      </c>
      <c r="R194" s="174" t="s">
        <v>265</v>
      </c>
      <c r="S194" s="174" t="s">
        <v>273</v>
      </c>
      <c r="T194" s="174" t="e">
        <f>_xlfn.XLOOKUP(Buildings_Water_Backend[[#This Row],[Info 1]],Buildings_SiteInfo[Site name],Buildings_SiteInfo[Site type])</f>
        <v>#N/A</v>
      </c>
      <c r="U194" s="174" t="s">
        <v>327</v>
      </c>
      <c r="V194" s="174">
        <f>Buildings_Water_Frontend[[#This Row],[Type]]</f>
        <v>0</v>
      </c>
      <c r="W194" s="174" t="e" cm="1">
        <f t="array" aca="1" ref="W194" ca="1">_xlfn.XLOOKUP(Buildings_Water_Backend[[#This Row],[Level 5]],rng_Level5Long,rng_Level6Long)</f>
        <v>#N/A</v>
      </c>
      <c r="X194" s="174">
        <f>Buildings_Water_Frontend[[#This Row],[Site Name]]</f>
        <v>0</v>
      </c>
      <c r="Y194" s="174">
        <f>Buildings_Water_Frontend[[#This Row],[Meter Reference]]</f>
        <v>0</v>
      </c>
      <c r="Z194" s="220">
        <f>Buildings_Water_Frontend[[#This Row],[Methodology]]</f>
        <v>0</v>
      </c>
      <c r="AA194" s="229" t="e" cm="1">
        <f t="array" ref="AA194">INDEX(_xlfn.SWITCH(Buildings_Water_Backend[[#This Row],[Methodology]],"Tier 1",rng_RSD1,"Tier 2",rng_RSD2,"Tier 3",rng_RSD3),MATCH(_xlfn.CONCAT(Buildings_Water_Backend[[#This Row],[Level 1]:[Level 6]]),rng_LevelsConcat,0))</f>
        <v>#N/A</v>
      </c>
      <c r="AB194" s="224">
        <f>Buildings_Water_Frontend[[#This Row],[Data]]</f>
        <v>0</v>
      </c>
      <c r="AC194" s="174">
        <f>Buildings_Water_Frontend[[#This Row],[Units]]</f>
        <v>0</v>
      </c>
      <c r="AD194" s="220" t="e">
        <f>IF(Buildings_Water_Backend[[#This Row],[Units]]=Buildings_Water_Backend[[#This Row],[Standard units]],Buildings_Water_Backend[[#This Row],[Data]],Buildings_Water_Backend[[#This Row],[Data]]*_xlfn.XLOOKUP(_xlfn.CONCAT(Buildings_Water_Backend[[#This Row],[Level 1]:[Level 6]]),rng_EFConcat,rng_EFConversion))</f>
        <v>#N/A</v>
      </c>
      <c r="AE194" s="174" t="e" cm="1">
        <f t="array" ref="AE194">_xlfn.XLOOKUP(_xlfn.CONCAT(Buildings_Water_Backend[[#This Row],[Level 1]:[Level 6]]),rng_LevelsConcat,rng_UnitsLong)</f>
        <v>#N/A</v>
      </c>
      <c r="AF194" s="210" t="e">
        <f>_xlfn.XLOOKUP(_xlfn.CONCAT(Buildings_Water_Backend[[#This Row],[Level 1]:[Level 6]]),rng_EFConcat,rng_EF1)*Buildings_Water_Backend[[#This Row],[Converted data]]/1000</f>
        <v>#N/A</v>
      </c>
      <c r="AG194" s="210" t="e">
        <f>_xlfn.XLOOKUP(_xlfn.CONCAT(Buildings_Water_Backend[[#This Row],[Level 1]:[Level 6]]),rng_EFConcat,rng_EF2)*Buildings_Water_Backend[[#This Row],[Converted data]]/1000</f>
        <v>#N/A</v>
      </c>
      <c r="AH194" s="210" t="e">
        <f>_xlfn.XLOOKUP(_xlfn.CONCAT(Buildings_Water_Backend[[#This Row],[Level 1]:[Level 6]]),rng_EFConcat,rng_EF3)*Buildings_Water_Backend[[#This Row],[Converted data]]/1000</f>
        <v>#N/A</v>
      </c>
      <c r="AI194" s="210" t="e">
        <f>_xlfn.XLOOKUP(_xlfn.CONCAT(Buildings_Water_Backend[[#This Row],[Level 1]:[Level 6]]),rng_EFConcat,rng_EF3WTT)*Buildings_Water_Backend[[#This Row],[Converted data]]/1000</f>
        <v>#N/A</v>
      </c>
      <c r="AJ194" s="210" t="e">
        <f>_xlfn.XLOOKUP(_xlfn.CONCAT(Buildings_Water_Backend[[#This Row],[Level 1]:[Level 6]]),rng_EFConcat,rng_EF3TD)*Buildings_Water_Backend[[#This Row],[Converted data]]/1000</f>
        <v>#N/A</v>
      </c>
      <c r="AK194" s="210" t="e">
        <f>_xlfn.XLOOKUP(_xlfn.CONCAT(Buildings_Water_Backend[[#This Row],[Level 1]:[Level 6]]),rng_EFConcat,rng_EF3WTTTD)*Buildings_Water_Backend[[#This Row],[Converted data]]/1000</f>
        <v>#N/A</v>
      </c>
      <c r="AL194" s="220" t="e">
        <f>SUM(Buildings_Water_Backend[[#This Row],[Scope 1 (tCO2e)]:[Scope 3 WTT T&amp;D (tCO2e)]])</f>
        <v>#N/A</v>
      </c>
      <c r="AM194" s="220" t="e">
        <f>Buildings_Water_Backend[[#This Row],[Total (tCO2e)]]*(1-Buildings_Water_Backend[[#This Row],[RSD]])</f>
        <v>#N/A</v>
      </c>
      <c r="AN194" s="220" t="e">
        <f>Buildings_Water_Backend[[#This Row],[Total (tCO2e)]]*(1+Buildings_Water_Backend[[#This Row],[RSD]])</f>
        <v>#N/A</v>
      </c>
      <c r="AO194" s="210" t="e">
        <f>_xlfn.XLOOKUP(_xlfn.CONCAT(Buildings_Water_Backend[[#This Row],[Level 1]:[Level 6]]),rng_EFConcat,rng_EFOOS)*Buildings_Water_Backend[[#This Row],[Converted data]]/1000</f>
        <v>#N/A</v>
      </c>
      <c r="AP194" s="174">
        <f>Buildings_Water_Frontend[[#This Row],[Ease of collection]]</f>
        <v>0</v>
      </c>
      <c r="AQ194" s="174">
        <f>Buildings_Water_Frontend[[#This Row],[Completeness]]</f>
        <v>0</v>
      </c>
      <c r="AR194" s="174">
        <f>Buildings_Water_Frontend[[#This Row],[Notes]]</f>
        <v>0</v>
      </c>
    </row>
    <row r="195" spans="5:44" x14ac:dyDescent="0.3">
      <c r="E195" s="346"/>
      <c r="F195" s="364"/>
      <c r="G195" s="336"/>
      <c r="H195" s="336"/>
      <c r="I195" s="334"/>
      <c r="J195" s="336"/>
      <c r="K195" s="336"/>
      <c r="L195" s="336"/>
      <c r="M195" s="337"/>
      <c r="N195" s="242">
        <f t="shared" si="5"/>
        <v>5</v>
      </c>
      <c r="Q195" s="212" t="str">
        <f t="shared" si="4"/>
        <v/>
      </c>
      <c r="R195" s="174" t="s">
        <v>265</v>
      </c>
      <c r="S195" s="174" t="s">
        <v>273</v>
      </c>
      <c r="T195" s="174" t="e">
        <f>_xlfn.XLOOKUP(Buildings_Water_Backend[[#This Row],[Info 1]],Buildings_SiteInfo[Site name],Buildings_SiteInfo[Site type])</f>
        <v>#N/A</v>
      </c>
      <c r="U195" s="174" t="s">
        <v>327</v>
      </c>
      <c r="V195" s="174">
        <f>Buildings_Water_Frontend[[#This Row],[Type]]</f>
        <v>0</v>
      </c>
      <c r="W195" s="174" t="e" cm="1">
        <f t="array" aca="1" ref="W195" ca="1">_xlfn.XLOOKUP(Buildings_Water_Backend[[#This Row],[Level 5]],rng_Level5Long,rng_Level6Long)</f>
        <v>#N/A</v>
      </c>
      <c r="X195" s="174">
        <f>Buildings_Water_Frontend[[#This Row],[Site Name]]</f>
        <v>0</v>
      </c>
      <c r="Y195" s="174">
        <f>Buildings_Water_Frontend[[#This Row],[Meter Reference]]</f>
        <v>0</v>
      </c>
      <c r="Z195" s="220">
        <f>Buildings_Water_Frontend[[#This Row],[Methodology]]</f>
        <v>0</v>
      </c>
      <c r="AA195" s="229" t="e" cm="1">
        <f t="array" ref="AA195">INDEX(_xlfn.SWITCH(Buildings_Water_Backend[[#This Row],[Methodology]],"Tier 1",rng_RSD1,"Tier 2",rng_RSD2,"Tier 3",rng_RSD3),MATCH(_xlfn.CONCAT(Buildings_Water_Backend[[#This Row],[Level 1]:[Level 6]]),rng_LevelsConcat,0))</f>
        <v>#N/A</v>
      </c>
      <c r="AB195" s="224">
        <f>Buildings_Water_Frontend[[#This Row],[Data]]</f>
        <v>0</v>
      </c>
      <c r="AC195" s="174">
        <f>Buildings_Water_Frontend[[#This Row],[Units]]</f>
        <v>0</v>
      </c>
      <c r="AD195" s="220" t="e">
        <f>IF(Buildings_Water_Backend[[#This Row],[Units]]=Buildings_Water_Backend[[#This Row],[Standard units]],Buildings_Water_Backend[[#This Row],[Data]],Buildings_Water_Backend[[#This Row],[Data]]*_xlfn.XLOOKUP(_xlfn.CONCAT(Buildings_Water_Backend[[#This Row],[Level 1]:[Level 6]]),rng_EFConcat,rng_EFConversion))</f>
        <v>#N/A</v>
      </c>
      <c r="AE195" s="174" t="e" cm="1">
        <f t="array" ref="AE195">_xlfn.XLOOKUP(_xlfn.CONCAT(Buildings_Water_Backend[[#This Row],[Level 1]:[Level 6]]),rng_LevelsConcat,rng_UnitsLong)</f>
        <v>#N/A</v>
      </c>
      <c r="AF195" s="210" t="e">
        <f>_xlfn.XLOOKUP(_xlfn.CONCAT(Buildings_Water_Backend[[#This Row],[Level 1]:[Level 6]]),rng_EFConcat,rng_EF1)*Buildings_Water_Backend[[#This Row],[Converted data]]/1000</f>
        <v>#N/A</v>
      </c>
      <c r="AG195" s="210" t="e">
        <f>_xlfn.XLOOKUP(_xlfn.CONCAT(Buildings_Water_Backend[[#This Row],[Level 1]:[Level 6]]),rng_EFConcat,rng_EF2)*Buildings_Water_Backend[[#This Row],[Converted data]]/1000</f>
        <v>#N/A</v>
      </c>
      <c r="AH195" s="210" t="e">
        <f>_xlfn.XLOOKUP(_xlfn.CONCAT(Buildings_Water_Backend[[#This Row],[Level 1]:[Level 6]]),rng_EFConcat,rng_EF3)*Buildings_Water_Backend[[#This Row],[Converted data]]/1000</f>
        <v>#N/A</v>
      </c>
      <c r="AI195" s="210" t="e">
        <f>_xlfn.XLOOKUP(_xlfn.CONCAT(Buildings_Water_Backend[[#This Row],[Level 1]:[Level 6]]),rng_EFConcat,rng_EF3WTT)*Buildings_Water_Backend[[#This Row],[Converted data]]/1000</f>
        <v>#N/A</v>
      </c>
      <c r="AJ195" s="210" t="e">
        <f>_xlfn.XLOOKUP(_xlfn.CONCAT(Buildings_Water_Backend[[#This Row],[Level 1]:[Level 6]]),rng_EFConcat,rng_EF3TD)*Buildings_Water_Backend[[#This Row],[Converted data]]/1000</f>
        <v>#N/A</v>
      </c>
      <c r="AK195" s="210" t="e">
        <f>_xlfn.XLOOKUP(_xlfn.CONCAT(Buildings_Water_Backend[[#This Row],[Level 1]:[Level 6]]),rng_EFConcat,rng_EF3WTTTD)*Buildings_Water_Backend[[#This Row],[Converted data]]/1000</f>
        <v>#N/A</v>
      </c>
      <c r="AL195" s="220" t="e">
        <f>SUM(Buildings_Water_Backend[[#This Row],[Scope 1 (tCO2e)]:[Scope 3 WTT T&amp;D (tCO2e)]])</f>
        <v>#N/A</v>
      </c>
      <c r="AM195" s="220" t="e">
        <f>Buildings_Water_Backend[[#This Row],[Total (tCO2e)]]*(1-Buildings_Water_Backend[[#This Row],[RSD]])</f>
        <v>#N/A</v>
      </c>
      <c r="AN195" s="220" t="e">
        <f>Buildings_Water_Backend[[#This Row],[Total (tCO2e)]]*(1+Buildings_Water_Backend[[#This Row],[RSD]])</f>
        <v>#N/A</v>
      </c>
      <c r="AO195" s="210" t="e">
        <f>_xlfn.XLOOKUP(_xlfn.CONCAT(Buildings_Water_Backend[[#This Row],[Level 1]:[Level 6]]),rng_EFConcat,rng_EFOOS)*Buildings_Water_Backend[[#This Row],[Converted data]]/1000</f>
        <v>#N/A</v>
      </c>
      <c r="AP195" s="174">
        <f>Buildings_Water_Frontend[[#This Row],[Ease of collection]]</f>
        <v>0</v>
      </c>
      <c r="AQ195" s="174">
        <f>Buildings_Water_Frontend[[#This Row],[Completeness]]</f>
        <v>0</v>
      </c>
      <c r="AR195" s="174">
        <f>Buildings_Water_Frontend[[#This Row],[Notes]]</f>
        <v>0</v>
      </c>
    </row>
    <row r="196" spans="5:44" x14ac:dyDescent="0.3">
      <c r="E196" s="346"/>
      <c r="F196" s="364"/>
      <c r="G196" s="336"/>
      <c r="H196" s="336"/>
      <c r="I196" s="334"/>
      <c r="J196" s="336"/>
      <c r="K196" s="336"/>
      <c r="L196" s="336"/>
      <c r="M196" s="337"/>
      <c r="N196" s="242">
        <f t="shared" si="5"/>
        <v>5</v>
      </c>
      <c r="Q196" s="212" t="str">
        <f t="shared" si="4"/>
        <v/>
      </c>
      <c r="R196" s="174" t="s">
        <v>265</v>
      </c>
      <c r="S196" s="174" t="s">
        <v>273</v>
      </c>
      <c r="T196" s="174" t="e">
        <f>_xlfn.XLOOKUP(Buildings_Water_Backend[[#This Row],[Info 1]],Buildings_SiteInfo[Site name],Buildings_SiteInfo[Site type])</f>
        <v>#N/A</v>
      </c>
      <c r="U196" s="174" t="s">
        <v>327</v>
      </c>
      <c r="V196" s="174">
        <f>Buildings_Water_Frontend[[#This Row],[Type]]</f>
        <v>0</v>
      </c>
      <c r="W196" s="174" t="e" cm="1">
        <f t="array" aca="1" ref="W196" ca="1">_xlfn.XLOOKUP(Buildings_Water_Backend[[#This Row],[Level 5]],rng_Level5Long,rng_Level6Long)</f>
        <v>#N/A</v>
      </c>
      <c r="X196" s="174">
        <f>Buildings_Water_Frontend[[#This Row],[Site Name]]</f>
        <v>0</v>
      </c>
      <c r="Y196" s="174">
        <f>Buildings_Water_Frontend[[#This Row],[Meter Reference]]</f>
        <v>0</v>
      </c>
      <c r="Z196" s="220">
        <f>Buildings_Water_Frontend[[#This Row],[Methodology]]</f>
        <v>0</v>
      </c>
      <c r="AA196" s="229" t="e" cm="1">
        <f t="array" ref="AA196">INDEX(_xlfn.SWITCH(Buildings_Water_Backend[[#This Row],[Methodology]],"Tier 1",rng_RSD1,"Tier 2",rng_RSD2,"Tier 3",rng_RSD3),MATCH(_xlfn.CONCAT(Buildings_Water_Backend[[#This Row],[Level 1]:[Level 6]]),rng_LevelsConcat,0))</f>
        <v>#N/A</v>
      </c>
      <c r="AB196" s="224">
        <f>Buildings_Water_Frontend[[#This Row],[Data]]</f>
        <v>0</v>
      </c>
      <c r="AC196" s="174">
        <f>Buildings_Water_Frontend[[#This Row],[Units]]</f>
        <v>0</v>
      </c>
      <c r="AD196" s="220" t="e">
        <f>IF(Buildings_Water_Backend[[#This Row],[Units]]=Buildings_Water_Backend[[#This Row],[Standard units]],Buildings_Water_Backend[[#This Row],[Data]],Buildings_Water_Backend[[#This Row],[Data]]*_xlfn.XLOOKUP(_xlfn.CONCAT(Buildings_Water_Backend[[#This Row],[Level 1]:[Level 6]]),rng_EFConcat,rng_EFConversion))</f>
        <v>#N/A</v>
      </c>
      <c r="AE196" s="174" t="e" cm="1">
        <f t="array" ref="AE196">_xlfn.XLOOKUP(_xlfn.CONCAT(Buildings_Water_Backend[[#This Row],[Level 1]:[Level 6]]),rng_LevelsConcat,rng_UnitsLong)</f>
        <v>#N/A</v>
      </c>
      <c r="AF196" s="210" t="e">
        <f>_xlfn.XLOOKUP(_xlfn.CONCAT(Buildings_Water_Backend[[#This Row],[Level 1]:[Level 6]]),rng_EFConcat,rng_EF1)*Buildings_Water_Backend[[#This Row],[Converted data]]/1000</f>
        <v>#N/A</v>
      </c>
      <c r="AG196" s="210" t="e">
        <f>_xlfn.XLOOKUP(_xlfn.CONCAT(Buildings_Water_Backend[[#This Row],[Level 1]:[Level 6]]),rng_EFConcat,rng_EF2)*Buildings_Water_Backend[[#This Row],[Converted data]]/1000</f>
        <v>#N/A</v>
      </c>
      <c r="AH196" s="210" t="e">
        <f>_xlfn.XLOOKUP(_xlfn.CONCAT(Buildings_Water_Backend[[#This Row],[Level 1]:[Level 6]]),rng_EFConcat,rng_EF3)*Buildings_Water_Backend[[#This Row],[Converted data]]/1000</f>
        <v>#N/A</v>
      </c>
      <c r="AI196" s="210" t="e">
        <f>_xlfn.XLOOKUP(_xlfn.CONCAT(Buildings_Water_Backend[[#This Row],[Level 1]:[Level 6]]),rng_EFConcat,rng_EF3WTT)*Buildings_Water_Backend[[#This Row],[Converted data]]/1000</f>
        <v>#N/A</v>
      </c>
      <c r="AJ196" s="210" t="e">
        <f>_xlfn.XLOOKUP(_xlfn.CONCAT(Buildings_Water_Backend[[#This Row],[Level 1]:[Level 6]]),rng_EFConcat,rng_EF3TD)*Buildings_Water_Backend[[#This Row],[Converted data]]/1000</f>
        <v>#N/A</v>
      </c>
      <c r="AK196" s="210" t="e">
        <f>_xlfn.XLOOKUP(_xlfn.CONCAT(Buildings_Water_Backend[[#This Row],[Level 1]:[Level 6]]),rng_EFConcat,rng_EF3WTTTD)*Buildings_Water_Backend[[#This Row],[Converted data]]/1000</f>
        <v>#N/A</v>
      </c>
      <c r="AL196" s="220" t="e">
        <f>SUM(Buildings_Water_Backend[[#This Row],[Scope 1 (tCO2e)]:[Scope 3 WTT T&amp;D (tCO2e)]])</f>
        <v>#N/A</v>
      </c>
      <c r="AM196" s="220" t="e">
        <f>Buildings_Water_Backend[[#This Row],[Total (tCO2e)]]*(1-Buildings_Water_Backend[[#This Row],[RSD]])</f>
        <v>#N/A</v>
      </c>
      <c r="AN196" s="220" t="e">
        <f>Buildings_Water_Backend[[#This Row],[Total (tCO2e)]]*(1+Buildings_Water_Backend[[#This Row],[RSD]])</f>
        <v>#N/A</v>
      </c>
      <c r="AO196" s="210" t="e">
        <f>_xlfn.XLOOKUP(_xlfn.CONCAT(Buildings_Water_Backend[[#This Row],[Level 1]:[Level 6]]),rng_EFConcat,rng_EFOOS)*Buildings_Water_Backend[[#This Row],[Converted data]]/1000</f>
        <v>#N/A</v>
      </c>
      <c r="AP196" s="174">
        <f>Buildings_Water_Frontend[[#This Row],[Ease of collection]]</f>
        <v>0</v>
      </c>
      <c r="AQ196" s="174">
        <f>Buildings_Water_Frontend[[#This Row],[Completeness]]</f>
        <v>0</v>
      </c>
      <c r="AR196" s="174">
        <f>Buildings_Water_Frontend[[#This Row],[Notes]]</f>
        <v>0</v>
      </c>
    </row>
    <row r="197" spans="5:44" x14ac:dyDescent="0.3">
      <c r="E197" s="346"/>
      <c r="F197" s="364"/>
      <c r="G197" s="336"/>
      <c r="H197" s="336"/>
      <c r="I197" s="334"/>
      <c r="J197" s="336"/>
      <c r="K197" s="336"/>
      <c r="L197" s="336"/>
      <c r="M197" s="337"/>
      <c r="N197" s="242">
        <f t="shared" si="5"/>
        <v>5</v>
      </c>
      <c r="Q197" s="212" t="str">
        <f t="shared" si="4"/>
        <v/>
      </c>
      <c r="R197" s="174" t="s">
        <v>265</v>
      </c>
      <c r="S197" s="174" t="s">
        <v>273</v>
      </c>
      <c r="T197" s="174" t="e">
        <f>_xlfn.XLOOKUP(Buildings_Water_Backend[[#This Row],[Info 1]],Buildings_SiteInfo[Site name],Buildings_SiteInfo[Site type])</f>
        <v>#N/A</v>
      </c>
      <c r="U197" s="174" t="s">
        <v>327</v>
      </c>
      <c r="V197" s="174">
        <f>Buildings_Water_Frontend[[#This Row],[Type]]</f>
        <v>0</v>
      </c>
      <c r="W197" s="174" t="e" cm="1">
        <f t="array" aca="1" ref="W197" ca="1">_xlfn.XLOOKUP(Buildings_Water_Backend[[#This Row],[Level 5]],rng_Level5Long,rng_Level6Long)</f>
        <v>#N/A</v>
      </c>
      <c r="X197" s="174">
        <f>Buildings_Water_Frontend[[#This Row],[Site Name]]</f>
        <v>0</v>
      </c>
      <c r="Y197" s="174">
        <f>Buildings_Water_Frontend[[#This Row],[Meter Reference]]</f>
        <v>0</v>
      </c>
      <c r="Z197" s="220">
        <f>Buildings_Water_Frontend[[#This Row],[Methodology]]</f>
        <v>0</v>
      </c>
      <c r="AA197" s="229" t="e" cm="1">
        <f t="array" ref="AA197">INDEX(_xlfn.SWITCH(Buildings_Water_Backend[[#This Row],[Methodology]],"Tier 1",rng_RSD1,"Tier 2",rng_RSD2,"Tier 3",rng_RSD3),MATCH(_xlfn.CONCAT(Buildings_Water_Backend[[#This Row],[Level 1]:[Level 6]]),rng_LevelsConcat,0))</f>
        <v>#N/A</v>
      </c>
      <c r="AB197" s="224">
        <f>Buildings_Water_Frontend[[#This Row],[Data]]</f>
        <v>0</v>
      </c>
      <c r="AC197" s="174">
        <f>Buildings_Water_Frontend[[#This Row],[Units]]</f>
        <v>0</v>
      </c>
      <c r="AD197" s="220" t="e">
        <f>IF(Buildings_Water_Backend[[#This Row],[Units]]=Buildings_Water_Backend[[#This Row],[Standard units]],Buildings_Water_Backend[[#This Row],[Data]],Buildings_Water_Backend[[#This Row],[Data]]*_xlfn.XLOOKUP(_xlfn.CONCAT(Buildings_Water_Backend[[#This Row],[Level 1]:[Level 6]]),rng_EFConcat,rng_EFConversion))</f>
        <v>#N/A</v>
      </c>
      <c r="AE197" s="174" t="e" cm="1">
        <f t="array" ref="AE197">_xlfn.XLOOKUP(_xlfn.CONCAT(Buildings_Water_Backend[[#This Row],[Level 1]:[Level 6]]),rng_LevelsConcat,rng_UnitsLong)</f>
        <v>#N/A</v>
      </c>
      <c r="AF197" s="210" t="e">
        <f>_xlfn.XLOOKUP(_xlfn.CONCAT(Buildings_Water_Backend[[#This Row],[Level 1]:[Level 6]]),rng_EFConcat,rng_EF1)*Buildings_Water_Backend[[#This Row],[Converted data]]/1000</f>
        <v>#N/A</v>
      </c>
      <c r="AG197" s="210" t="e">
        <f>_xlfn.XLOOKUP(_xlfn.CONCAT(Buildings_Water_Backend[[#This Row],[Level 1]:[Level 6]]),rng_EFConcat,rng_EF2)*Buildings_Water_Backend[[#This Row],[Converted data]]/1000</f>
        <v>#N/A</v>
      </c>
      <c r="AH197" s="210" t="e">
        <f>_xlfn.XLOOKUP(_xlfn.CONCAT(Buildings_Water_Backend[[#This Row],[Level 1]:[Level 6]]),rng_EFConcat,rng_EF3)*Buildings_Water_Backend[[#This Row],[Converted data]]/1000</f>
        <v>#N/A</v>
      </c>
      <c r="AI197" s="210" t="e">
        <f>_xlfn.XLOOKUP(_xlfn.CONCAT(Buildings_Water_Backend[[#This Row],[Level 1]:[Level 6]]),rng_EFConcat,rng_EF3WTT)*Buildings_Water_Backend[[#This Row],[Converted data]]/1000</f>
        <v>#N/A</v>
      </c>
      <c r="AJ197" s="210" t="e">
        <f>_xlfn.XLOOKUP(_xlfn.CONCAT(Buildings_Water_Backend[[#This Row],[Level 1]:[Level 6]]),rng_EFConcat,rng_EF3TD)*Buildings_Water_Backend[[#This Row],[Converted data]]/1000</f>
        <v>#N/A</v>
      </c>
      <c r="AK197" s="210" t="e">
        <f>_xlfn.XLOOKUP(_xlfn.CONCAT(Buildings_Water_Backend[[#This Row],[Level 1]:[Level 6]]),rng_EFConcat,rng_EF3WTTTD)*Buildings_Water_Backend[[#This Row],[Converted data]]/1000</f>
        <v>#N/A</v>
      </c>
      <c r="AL197" s="220" t="e">
        <f>SUM(Buildings_Water_Backend[[#This Row],[Scope 1 (tCO2e)]:[Scope 3 WTT T&amp;D (tCO2e)]])</f>
        <v>#N/A</v>
      </c>
      <c r="AM197" s="220" t="e">
        <f>Buildings_Water_Backend[[#This Row],[Total (tCO2e)]]*(1-Buildings_Water_Backend[[#This Row],[RSD]])</f>
        <v>#N/A</v>
      </c>
      <c r="AN197" s="220" t="e">
        <f>Buildings_Water_Backend[[#This Row],[Total (tCO2e)]]*(1+Buildings_Water_Backend[[#This Row],[RSD]])</f>
        <v>#N/A</v>
      </c>
      <c r="AO197" s="210" t="e">
        <f>_xlfn.XLOOKUP(_xlfn.CONCAT(Buildings_Water_Backend[[#This Row],[Level 1]:[Level 6]]),rng_EFConcat,rng_EFOOS)*Buildings_Water_Backend[[#This Row],[Converted data]]/1000</f>
        <v>#N/A</v>
      </c>
      <c r="AP197" s="174">
        <f>Buildings_Water_Frontend[[#This Row],[Ease of collection]]</f>
        <v>0</v>
      </c>
      <c r="AQ197" s="174">
        <f>Buildings_Water_Frontend[[#This Row],[Completeness]]</f>
        <v>0</v>
      </c>
      <c r="AR197" s="174">
        <f>Buildings_Water_Frontend[[#This Row],[Notes]]</f>
        <v>0</v>
      </c>
    </row>
    <row r="198" spans="5:44" x14ac:dyDescent="0.3">
      <c r="E198" s="346"/>
      <c r="F198" s="364"/>
      <c r="G198" s="336"/>
      <c r="H198" s="336"/>
      <c r="I198" s="334"/>
      <c r="J198" s="336"/>
      <c r="K198" s="336"/>
      <c r="L198" s="336"/>
      <c r="M198" s="337"/>
      <c r="N198" s="242">
        <f t="shared" si="5"/>
        <v>5</v>
      </c>
      <c r="Q198" s="212" t="str">
        <f t="shared" si="4"/>
        <v/>
      </c>
      <c r="R198" s="174" t="s">
        <v>265</v>
      </c>
      <c r="S198" s="174" t="s">
        <v>273</v>
      </c>
      <c r="T198" s="174" t="e">
        <f>_xlfn.XLOOKUP(Buildings_Water_Backend[[#This Row],[Info 1]],Buildings_SiteInfo[Site name],Buildings_SiteInfo[Site type])</f>
        <v>#N/A</v>
      </c>
      <c r="U198" s="174" t="s">
        <v>327</v>
      </c>
      <c r="V198" s="174">
        <f>Buildings_Water_Frontend[[#This Row],[Type]]</f>
        <v>0</v>
      </c>
      <c r="W198" s="174" t="e" cm="1">
        <f t="array" aca="1" ref="W198" ca="1">_xlfn.XLOOKUP(Buildings_Water_Backend[[#This Row],[Level 5]],rng_Level5Long,rng_Level6Long)</f>
        <v>#N/A</v>
      </c>
      <c r="X198" s="174">
        <f>Buildings_Water_Frontend[[#This Row],[Site Name]]</f>
        <v>0</v>
      </c>
      <c r="Y198" s="174">
        <f>Buildings_Water_Frontend[[#This Row],[Meter Reference]]</f>
        <v>0</v>
      </c>
      <c r="Z198" s="220">
        <f>Buildings_Water_Frontend[[#This Row],[Methodology]]</f>
        <v>0</v>
      </c>
      <c r="AA198" s="229" t="e" cm="1">
        <f t="array" ref="AA198">INDEX(_xlfn.SWITCH(Buildings_Water_Backend[[#This Row],[Methodology]],"Tier 1",rng_RSD1,"Tier 2",rng_RSD2,"Tier 3",rng_RSD3),MATCH(_xlfn.CONCAT(Buildings_Water_Backend[[#This Row],[Level 1]:[Level 6]]),rng_LevelsConcat,0))</f>
        <v>#N/A</v>
      </c>
      <c r="AB198" s="224">
        <f>Buildings_Water_Frontend[[#This Row],[Data]]</f>
        <v>0</v>
      </c>
      <c r="AC198" s="174">
        <f>Buildings_Water_Frontend[[#This Row],[Units]]</f>
        <v>0</v>
      </c>
      <c r="AD198" s="220" t="e">
        <f>IF(Buildings_Water_Backend[[#This Row],[Units]]=Buildings_Water_Backend[[#This Row],[Standard units]],Buildings_Water_Backend[[#This Row],[Data]],Buildings_Water_Backend[[#This Row],[Data]]*_xlfn.XLOOKUP(_xlfn.CONCAT(Buildings_Water_Backend[[#This Row],[Level 1]:[Level 6]]),rng_EFConcat,rng_EFConversion))</f>
        <v>#N/A</v>
      </c>
      <c r="AE198" s="174" t="e" cm="1">
        <f t="array" ref="AE198">_xlfn.XLOOKUP(_xlfn.CONCAT(Buildings_Water_Backend[[#This Row],[Level 1]:[Level 6]]),rng_LevelsConcat,rng_UnitsLong)</f>
        <v>#N/A</v>
      </c>
      <c r="AF198" s="210" t="e">
        <f>_xlfn.XLOOKUP(_xlfn.CONCAT(Buildings_Water_Backend[[#This Row],[Level 1]:[Level 6]]),rng_EFConcat,rng_EF1)*Buildings_Water_Backend[[#This Row],[Converted data]]/1000</f>
        <v>#N/A</v>
      </c>
      <c r="AG198" s="210" t="e">
        <f>_xlfn.XLOOKUP(_xlfn.CONCAT(Buildings_Water_Backend[[#This Row],[Level 1]:[Level 6]]),rng_EFConcat,rng_EF2)*Buildings_Water_Backend[[#This Row],[Converted data]]/1000</f>
        <v>#N/A</v>
      </c>
      <c r="AH198" s="210" t="e">
        <f>_xlfn.XLOOKUP(_xlfn.CONCAT(Buildings_Water_Backend[[#This Row],[Level 1]:[Level 6]]),rng_EFConcat,rng_EF3)*Buildings_Water_Backend[[#This Row],[Converted data]]/1000</f>
        <v>#N/A</v>
      </c>
      <c r="AI198" s="210" t="e">
        <f>_xlfn.XLOOKUP(_xlfn.CONCAT(Buildings_Water_Backend[[#This Row],[Level 1]:[Level 6]]),rng_EFConcat,rng_EF3WTT)*Buildings_Water_Backend[[#This Row],[Converted data]]/1000</f>
        <v>#N/A</v>
      </c>
      <c r="AJ198" s="210" t="e">
        <f>_xlfn.XLOOKUP(_xlfn.CONCAT(Buildings_Water_Backend[[#This Row],[Level 1]:[Level 6]]),rng_EFConcat,rng_EF3TD)*Buildings_Water_Backend[[#This Row],[Converted data]]/1000</f>
        <v>#N/A</v>
      </c>
      <c r="AK198" s="210" t="e">
        <f>_xlfn.XLOOKUP(_xlfn.CONCAT(Buildings_Water_Backend[[#This Row],[Level 1]:[Level 6]]),rng_EFConcat,rng_EF3WTTTD)*Buildings_Water_Backend[[#This Row],[Converted data]]/1000</f>
        <v>#N/A</v>
      </c>
      <c r="AL198" s="220" t="e">
        <f>SUM(Buildings_Water_Backend[[#This Row],[Scope 1 (tCO2e)]:[Scope 3 WTT T&amp;D (tCO2e)]])</f>
        <v>#N/A</v>
      </c>
      <c r="AM198" s="220" t="e">
        <f>Buildings_Water_Backend[[#This Row],[Total (tCO2e)]]*(1-Buildings_Water_Backend[[#This Row],[RSD]])</f>
        <v>#N/A</v>
      </c>
      <c r="AN198" s="220" t="e">
        <f>Buildings_Water_Backend[[#This Row],[Total (tCO2e)]]*(1+Buildings_Water_Backend[[#This Row],[RSD]])</f>
        <v>#N/A</v>
      </c>
      <c r="AO198" s="210" t="e">
        <f>_xlfn.XLOOKUP(_xlfn.CONCAT(Buildings_Water_Backend[[#This Row],[Level 1]:[Level 6]]),rng_EFConcat,rng_EFOOS)*Buildings_Water_Backend[[#This Row],[Converted data]]/1000</f>
        <v>#N/A</v>
      </c>
      <c r="AP198" s="174">
        <f>Buildings_Water_Frontend[[#This Row],[Ease of collection]]</f>
        <v>0</v>
      </c>
      <c r="AQ198" s="174">
        <f>Buildings_Water_Frontend[[#This Row],[Completeness]]</f>
        <v>0</v>
      </c>
      <c r="AR198" s="174">
        <f>Buildings_Water_Frontend[[#This Row],[Notes]]</f>
        <v>0</v>
      </c>
    </row>
    <row r="199" spans="5:44" x14ac:dyDescent="0.3">
      <c r="E199" s="346"/>
      <c r="F199" s="364"/>
      <c r="G199" s="336"/>
      <c r="H199" s="336"/>
      <c r="I199" s="334"/>
      <c r="J199" s="336"/>
      <c r="K199" s="336"/>
      <c r="L199" s="336"/>
      <c r="M199" s="337"/>
      <c r="N199" s="242">
        <f t="shared" si="5"/>
        <v>5</v>
      </c>
      <c r="Q199" s="212" t="str">
        <f t="shared" si="4"/>
        <v/>
      </c>
      <c r="R199" s="174" t="s">
        <v>265</v>
      </c>
      <c r="S199" s="174" t="s">
        <v>273</v>
      </c>
      <c r="T199" s="174" t="e">
        <f>_xlfn.XLOOKUP(Buildings_Water_Backend[[#This Row],[Info 1]],Buildings_SiteInfo[Site name],Buildings_SiteInfo[Site type])</f>
        <v>#N/A</v>
      </c>
      <c r="U199" s="174" t="s">
        <v>327</v>
      </c>
      <c r="V199" s="174">
        <f>Buildings_Water_Frontend[[#This Row],[Type]]</f>
        <v>0</v>
      </c>
      <c r="W199" s="174" t="e" cm="1">
        <f t="array" aca="1" ref="W199" ca="1">_xlfn.XLOOKUP(Buildings_Water_Backend[[#This Row],[Level 5]],rng_Level5Long,rng_Level6Long)</f>
        <v>#N/A</v>
      </c>
      <c r="X199" s="174">
        <f>Buildings_Water_Frontend[[#This Row],[Site Name]]</f>
        <v>0</v>
      </c>
      <c r="Y199" s="174">
        <f>Buildings_Water_Frontend[[#This Row],[Meter Reference]]</f>
        <v>0</v>
      </c>
      <c r="Z199" s="220">
        <f>Buildings_Water_Frontend[[#This Row],[Methodology]]</f>
        <v>0</v>
      </c>
      <c r="AA199" s="229" t="e" cm="1">
        <f t="array" ref="AA199">INDEX(_xlfn.SWITCH(Buildings_Water_Backend[[#This Row],[Methodology]],"Tier 1",rng_RSD1,"Tier 2",rng_RSD2,"Tier 3",rng_RSD3),MATCH(_xlfn.CONCAT(Buildings_Water_Backend[[#This Row],[Level 1]:[Level 6]]),rng_LevelsConcat,0))</f>
        <v>#N/A</v>
      </c>
      <c r="AB199" s="224">
        <f>Buildings_Water_Frontend[[#This Row],[Data]]</f>
        <v>0</v>
      </c>
      <c r="AC199" s="174">
        <f>Buildings_Water_Frontend[[#This Row],[Units]]</f>
        <v>0</v>
      </c>
      <c r="AD199" s="220" t="e">
        <f>IF(Buildings_Water_Backend[[#This Row],[Units]]=Buildings_Water_Backend[[#This Row],[Standard units]],Buildings_Water_Backend[[#This Row],[Data]],Buildings_Water_Backend[[#This Row],[Data]]*_xlfn.XLOOKUP(_xlfn.CONCAT(Buildings_Water_Backend[[#This Row],[Level 1]:[Level 6]]),rng_EFConcat,rng_EFConversion))</f>
        <v>#N/A</v>
      </c>
      <c r="AE199" s="174" t="e" cm="1">
        <f t="array" ref="AE199">_xlfn.XLOOKUP(_xlfn.CONCAT(Buildings_Water_Backend[[#This Row],[Level 1]:[Level 6]]),rng_LevelsConcat,rng_UnitsLong)</f>
        <v>#N/A</v>
      </c>
      <c r="AF199" s="210" t="e">
        <f>_xlfn.XLOOKUP(_xlfn.CONCAT(Buildings_Water_Backend[[#This Row],[Level 1]:[Level 6]]),rng_EFConcat,rng_EF1)*Buildings_Water_Backend[[#This Row],[Converted data]]/1000</f>
        <v>#N/A</v>
      </c>
      <c r="AG199" s="210" t="e">
        <f>_xlfn.XLOOKUP(_xlfn.CONCAT(Buildings_Water_Backend[[#This Row],[Level 1]:[Level 6]]),rng_EFConcat,rng_EF2)*Buildings_Water_Backend[[#This Row],[Converted data]]/1000</f>
        <v>#N/A</v>
      </c>
      <c r="AH199" s="210" t="e">
        <f>_xlfn.XLOOKUP(_xlfn.CONCAT(Buildings_Water_Backend[[#This Row],[Level 1]:[Level 6]]),rng_EFConcat,rng_EF3)*Buildings_Water_Backend[[#This Row],[Converted data]]/1000</f>
        <v>#N/A</v>
      </c>
      <c r="AI199" s="210" t="e">
        <f>_xlfn.XLOOKUP(_xlfn.CONCAT(Buildings_Water_Backend[[#This Row],[Level 1]:[Level 6]]),rng_EFConcat,rng_EF3WTT)*Buildings_Water_Backend[[#This Row],[Converted data]]/1000</f>
        <v>#N/A</v>
      </c>
      <c r="AJ199" s="210" t="e">
        <f>_xlfn.XLOOKUP(_xlfn.CONCAT(Buildings_Water_Backend[[#This Row],[Level 1]:[Level 6]]),rng_EFConcat,rng_EF3TD)*Buildings_Water_Backend[[#This Row],[Converted data]]/1000</f>
        <v>#N/A</v>
      </c>
      <c r="AK199" s="210" t="e">
        <f>_xlfn.XLOOKUP(_xlfn.CONCAT(Buildings_Water_Backend[[#This Row],[Level 1]:[Level 6]]),rng_EFConcat,rng_EF3WTTTD)*Buildings_Water_Backend[[#This Row],[Converted data]]/1000</f>
        <v>#N/A</v>
      </c>
      <c r="AL199" s="220" t="e">
        <f>SUM(Buildings_Water_Backend[[#This Row],[Scope 1 (tCO2e)]:[Scope 3 WTT T&amp;D (tCO2e)]])</f>
        <v>#N/A</v>
      </c>
      <c r="AM199" s="220" t="e">
        <f>Buildings_Water_Backend[[#This Row],[Total (tCO2e)]]*(1-Buildings_Water_Backend[[#This Row],[RSD]])</f>
        <v>#N/A</v>
      </c>
      <c r="AN199" s="220" t="e">
        <f>Buildings_Water_Backend[[#This Row],[Total (tCO2e)]]*(1+Buildings_Water_Backend[[#This Row],[RSD]])</f>
        <v>#N/A</v>
      </c>
      <c r="AO199" s="210" t="e">
        <f>_xlfn.XLOOKUP(_xlfn.CONCAT(Buildings_Water_Backend[[#This Row],[Level 1]:[Level 6]]),rng_EFConcat,rng_EFOOS)*Buildings_Water_Backend[[#This Row],[Converted data]]/1000</f>
        <v>#N/A</v>
      </c>
      <c r="AP199" s="174">
        <f>Buildings_Water_Frontend[[#This Row],[Ease of collection]]</f>
        <v>0</v>
      </c>
      <c r="AQ199" s="174">
        <f>Buildings_Water_Frontend[[#This Row],[Completeness]]</f>
        <v>0</v>
      </c>
      <c r="AR199" s="174">
        <f>Buildings_Water_Frontend[[#This Row],[Notes]]</f>
        <v>0</v>
      </c>
    </row>
    <row r="200" spans="5:44" x14ac:dyDescent="0.3">
      <c r="E200" s="346"/>
      <c r="F200" s="364"/>
      <c r="G200" s="336"/>
      <c r="H200" s="336"/>
      <c r="I200" s="334"/>
      <c r="J200" s="336"/>
      <c r="K200" s="336"/>
      <c r="L200" s="336"/>
      <c r="M200" s="337"/>
      <c r="N200" s="242">
        <f t="shared" si="5"/>
        <v>5</v>
      </c>
      <c r="Q200" s="212" t="str">
        <f t="shared" si="4"/>
        <v/>
      </c>
      <c r="R200" s="174" t="s">
        <v>265</v>
      </c>
      <c r="S200" s="174" t="s">
        <v>273</v>
      </c>
      <c r="T200" s="174" t="e">
        <f>_xlfn.XLOOKUP(Buildings_Water_Backend[[#This Row],[Info 1]],Buildings_SiteInfo[Site name],Buildings_SiteInfo[Site type])</f>
        <v>#N/A</v>
      </c>
      <c r="U200" s="174" t="s">
        <v>327</v>
      </c>
      <c r="V200" s="174">
        <f>Buildings_Water_Frontend[[#This Row],[Type]]</f>
        <v>0</v>
      </c>
      <c r="W200" s="174" t="e" cm="1">
        <f t="array" aca="1" ref="W200" ca="1">_xlfn.XLOOKUP(Buildings_Water_Backend[[#This Row],[Level 5]],rng_Level5Long,rng_Level6Long)</f>
        <v>#N/A</v>
      </c>
      <c r="X200" s="174">
        <f>Buildings_Water_Frontend[[#This Row],[Site Name]]</f>
        <v>0</v>
      </c>
      <c r="Y200" s="174">
        <f>Buildings_Water_Frontend[[#This Row],[Meter Reference]]</f>
        <v>0</v>
      </c>
      <c r="Z200" s="220">
        <f>Buildings_Water_Frontend[[#This Row],[Methodology]]</f>
        <v>0</v>
      </c>
      <c r="AA200" s="229" t="e" cm="1">
        <f t="array" ref="AA200">INDEX(_xlfn.SWITCH(Buildings_Water_Backend[[#This Row],[Methodology]],"Tier 1",rng_RSD1,"Tier 2",rng_RSD2,"Tier 3",rng_RSD3),MATCH(_xlfn.CONCAT(Buildings_Water_Backend[[#This Row],[Level 1]:[Level 6]]),rng_LevelsConcat,0))</f>
        <v>#N/A</v>
      </c>
      <c r="AB200" s="224">
        <f>Buildings_Water_Frontend[[#This Row],[Data]]</f>
        <v>0</v>
      </c>
      <c r="AC200" s="174">
        <f>Buildings_Water_Frontend[[#This Row],[Units]]</f>
        <v>0</v>
      </c>
      <c r="AD200" s="220" t="e">
        <f>IF(Buildings_Water_Backend[[#This Row],[Units]]=Buildings_Water_Backend[[#This Row],[Standard units]],Buildings_Water_Backend[[#This Row],[Data]],Buildings_Water_Backend[[#This Row],[Data]]*_xlfn.XLOOKUP(_xlfn.CONCAT(Buildings_Water_Backend[[#This Row],[Level 1]:[Level 6]]),rng_EFConcat,rng_EFConversion))</f>
        <v>#N/A</v>
      </c>
      <c r="AE200" s="174" t="e" cm="1">
        <f t="array" ref="AE200">_xlfn.XLOOKUP(_xlfn.CONCAT(Buildings_Water_Backend[[#This Row],[Level 1]:[Level 6]]),rng_LevelsConcat,rng_UnitsLong)</f>
        <v>#N/A</v>
      </c>
      <c r="AF200" s="210" t="e">
        <f>_xlfn.XLOOKUP(_xlfn.CONCAT(Buildings_Water_Backend[[#This Row],[Level 1]:[Level 6]]),rng_EFConcat,rng_EF1)*Buildings_Water_Backend[[#This Row],[Converted data]]/1000</f>
        <v>#N/A</v>
      </c>
      <c r="AG200" s="210" t="e">
        <f>_xlfn.XLOOKUP(_xlfn.CONCAT(Buildings_Water_Backend[[#This Row],[Level 1]:[Level 6]]),rng_EFConcat,rng_EF2)*Buildings_Water_Backend[[#This Row],[Converted data]]/1000</f>
        <v>#N/A</v>
      </c>
      <c r="AH200" s="210" t="e">
        <f>_xlfn.XLOOKUP(_xlfn.CONCAT(Buildings_Water_Backend[[#This Row],[Level 1]:[Level 6]]),rng_EFConcat,rng_EF3)*Buildings_Water_Backend[[#This Row],[Converted data]]/1000</f>
        <v>#N/A</v>
      </c>
      <c r="AI200" s="210" t="e">
        <f>_xlfn.XLOOKUP(_xlfn.CONCAT(Buildings_Water_Backend[[#This Row],[Level 1]:[Level 6]]),rng_EFConcat,rng_EF3WTT)*Buildings_Water_Backend[[#This Row],[Converted data]]/1000</f>
        <v>#N/A</v>
      </c>
      <c r="AJ200" s="210" t="e">
        <f>_xlfn.XLOOKUP(_xlfn.CONCAT(Buildings_Water_Backend[[#This Row],[Level 1]:[Level 6]]),rng_EFConcat,rng_EF3TD)*Buildings_Water_Backend[[#This Row],[Converted data]]/1000</f>
        <v>#N/A</v>
      </c>
      <c r="AK200" s="210" t="e">
        <f>_xlfn.XLOOKUP(_xlfn.CONCAT(Buildings_Water_Backend[[#This Row],[Level 1]:[Level 6]]),rng_EFConcat,rng_EF3WTTTD)*Buildings_Water_Backend[[#This Row],[Converted data]]/1000</f>
        <v>#N/A</v>
      </c>
      <c r="AL200" s="220" t="e">
        <f>SUM(Buildings_Water_Backend[[#This Row],[Scope 1 (tCO2e)]:[Scope 3 WTT T&amp;D (tCO2e)]])</f>
        <v>#N/A</v>
      </c>
      <c r="AM200" s="220" t="e">
        <f>Buildings_Water_Backend[[#This Row],[Total (tCO2e)]]*(1-Buildings_Water_Backend[[#This Row],[RSD]])</f>
        <v>#N/A</v>
      </c>
      <c r="AN200" s="220" t="e">
        <f>Buildings_Water_Backend[[#This Row],[Total (tCO2e)]]*(1+Buildings_Water_Backend[[#This Row],[RSD]])</f>
        <v>#N/A</v>
      </c>
      <c r="AO200" s="210" t="e">
        <f>_xlfn.XLOOKUP(_xlfn.CONCAT(Buildings_Water_Backend[[#This Row],[Level 1]:[Level 6]]),rng_EFConcat,rng_EFOOS)*Buildings_Water_Backend[[#This Row],[Converted data]]/1000</f>
        <v>#N/A</v>
      </c>
      <c r="AP200" s="174">
        <f>Buildings_Water_Frontend[[#This Row],[Ease of collection]]</f>
        <v>0</v>
      </c>
      <c r="AQ200" s="174">
        <f>Buildings_Water_Frontend[[#This Row],[Completeness]]</f>
        <v>0</v>
      </c>
      <c r="AR200" s="174">
        <f>Buildings_Water_Frontend[[#This Row],[Notes]]</f>
        <v>0</v>
      </c>
    </row>
    <row r="201" spans="5:44" x14ac:dyDescent="0.3">
      <c r="E201" s="346"/>
      <c r="F201" s="364"/>
      <c r="G201" s="336"/>
      <c r="H201" s="336"/>
      <c r="I201" s="334"/>
      <c r="J201" s="336"/>
      <c r="K201" s="336"/>
      <c r="L201" s="336"/>
      <c r="M201" s="337"/>
      <c r="N201" s="242">
        <f t="shared" si="5"/>
        <v>5</v>
      </c>
      <c r="Q201" s="212" t="str">
        <f t="shared" si="4"/>
        <v/>
      </c>
      <c r="R201" s="174" t="s">
        <v>265</v>
      </c>
      <c r="S201" s="174" t="s">
        <v>273</v>
      </c>
      <c r="T201" s="174" t="e">
        <f>_xlfn.XLOOKUP(Buildings_Water_Backend[[#This Row],[Info 1]],Buildings_SiteInfo[Site name],Buildings_SiteInfo[Site type])</f>
        <v>#N/A</v>
      </c>
      <c r="U201" s="174" t="s">
        <v>327</v>
      </c>
      <c r="V201" s="174">
        <f>Buildings_Water_Frontend[[#This Row],[Type]]</f>
        <v>0</v>
      </c>
      <c r="W201" s="174" t="e" cm="1">
        <f t="array" aca="1" ref="W201" ca="1">_xlfn.XLOOKUP(Buildings_Water_Backend[[#This Row],[Level 5]],rng_Level5Long,rng_Level6Long)</f>
        <v>#N/A</v>
      </c>
      <c r="X201" s="174">
        <f>Buildings_Water_Frontend[[#This Row],[Site Name]]</f>
        <v>0</v>
      </c>
      <c r="Y201" s="174">
        <f>Buildings_Water_Frontend[[#This Row],[Meter Reference]]</f>
        <v>0</v>
      </c>
      <c r="Z201" s="220">
        <f>Buildings_Water_Frontend[[#This Row],[Methodology]]</f>
        <v>0</v>
      </c>
      <c r="AA201" s="229" t="e" cm="1">
        <f t="array" ref="AA201">INDEX(_xlfn.SWITCH(Buildings_Water_Backend[[#This Row],[Methodology]],"Tier 1",rng_RSD1,"Tier 2",rng_RSD2,"Tier 3",rng_RSD3),MATCH(_xlfn.CONCAT(Buildings_Water_Backend[[#This Row],[Level 1]:[Level 6]]),rng_LevelsConcat,0))</f>
        <v>#N/A</v>
      </c>
      <c r="AB201" s="224">
        <f>Buildings_Water_Frontend[[#This Row],[Data]]</f>
        <v>0</v>
      </c>
      <c r="AC201" s="174">
        <f>Buildings_Water_Frontend[[#This Row],[Units]]</f>
        <v>0</v>
      </c>
      <c r="AD201" s="220" t="e">
        <f>IF(Buildings_Water_Backend[[#This Row],[Units]]=Buildings_Water_Backend[[#This Row],[Standard units]],Buildings_Water_Backend[[#This Row],[Data]],Buildings_Water_Backend[[#This Row],[Data]]*_xlfn.XLOOKUP(_xlfn.CONCAT(Buildings_Water_Backend[[#This Row],[Level 1]:[Level 6]]),rng_EFConcat,rng_EFConversion))</f>
        <v>#N/A</v>
      </c>
      <c r="AE201" s="174" t="e" cm="1">
        <f t="array" ref="AE201">_xlfn.XLOOKUP(_xlfn.CONCAT(Buildings_Water_Backend[[#This Row],[Level 1]:[Level 6]]),rng_LevelsConcat,rng_UnitsLong)</f>
        <v>#N/A</v>
      </c>
      <c r="AF201" s="210" t="e">
        <f>_xlfn.XLOOKUP(_xlfn.CONCAT(Buildings_Water_Backend[[#This Row],[Level 1]:[Level 6]]),rng_EFConcat,rng_EF1)*Buildings_Water_Backend[[#This Row],[Converted data]]/1000</f>
        <v>#N/A</v>
      </c>
      <c r="AG201" s="210" t="e">
        <f>_xlfn.XLOOKUP(_xlfn.CONCAT(Buildings_Water_Backend[[#This Row],[Level 1]:[Level 6]]),rng_EFConcat,rng_EF2)*Buildings_Water_Backend[[#This Row],[Converted data]]/1000</f>
        <v>#N/A</v>
      </c>
      <c r="AH201" s="210" t="e">
        <f>_xlfn.XLOOKUP(_xlfn.CONCAT(Buildings_Water_Backend[[#This Row],[Level 1]:[Level 6]]),rng_EFConcat,rng_EF3)*Buildings_Water_Backend[[#This Row],[Converted data]]/1000</f>
        <v>#N/A</v>
      </c>
      <c r="AI201" s="210" t="e">
        <f>_xlfn.XLOOKUP(_xlfn.CONCAT(Buildings_Water_Backend[[#This Row],[Level 1]:[Level 6]]),rng_EFConcat,rng_EF3WTT)*Buildings_Water_Backend[[#This Row],[Converted data]]/1000</f>
        <v>#N/A</v>
      </c>
      <c r="AJ201" s="210" t="e">
        <f>_xlfn.XLOOKUP(_xlfn.CONCAT(Buildings_Water_Backend[[#This Row],[Level 1]:[Level 6]]),rng_EFConcat,rng_EF3TD)*Buildings_Water_Backend[[#This Row],[Converted data]]/1000</f>
        <v>#N/A</v>
      </c>
      <c r="AK201" s="210" t="e">
        <f>_xlfn.XLOOKUP(_xlfn.CONCAT(Buildings_Water_Backend[[#This Row],[Level 1]:[Level 6]]),rng_EFConcat,rng_EF3WTTTD)*Buildings_Water_Backend[[#This Row],[Converted data]]/1000</f>
        <v>#N/A</v>
      </c>
      <c r="AL201" s="220" t="e">
        <f>SUM(Buildings_Water_Backend[[#This Row],[Scope 1 (tCO2e)]:[Scope 3 WTT T&amp;D (tCO2e)]])</f>
        <v>#N/A</v>
      </c>
      <c r="AM201" s="220" t="e">
        <f>Buildings_Water_Backend[[#This Row],[Total (tCO2e)]]*(1-Buildings_Water_Backend[[#This Row],[RSD]])</f>
        <v>#N/A</v>
      </c>
      <c r="AN201" s="220" t="e">
        <f>Buildings_Water_Backend[[#This Row],[Total (tCO2e)]]*(1+Buildings_Water_Backend[[#This Row],[RSD]])</f>
        <v>#N/A</v>
      </c>
      <c r="AO201" s="210" t="e">
        <f>_xlfn.XLOOKUP(_xlfn.CONCAT(Buildings_Water_Backend[[#This Row],[Level 1]:[Level 6]]),rng_EFConcat,rng_EFOOS)*Buildings_Water_Backend[[#This Row],[Converted data]]/1000</f>
        <v>#N/A</v>
      </c>
      <c r="AP201" s="174">
        <f>Buildings_Water_Frontend[[#This Row],[Ease of collection]]</f>
        <v>0</v>
      </c>
      <c r="AQ201" s="174">
        <f>Buildings_Water_Frontend[[#This Row],[Completeness]]</f>
        <v>0</v>
      </c>
      <c r="AR201" s="174">
        <f>Buildings_Water_Frontend[[#This Row],[Notes]]</f>
        <v>0</v>
      </c>
    </row>
    <row r="202" spans="5:44" x14ac:dyDescent="0.3">
      <c r="E202" s="346"/>
      <c r="F202" s="364"/>
      <c r="G202" s="336"/>
      <c r="H202" s="336"/>
      <c r="I202" s="334"/>
      <c r="J202" s="336"/>
      <c r="K202" s="336"/>
      <c r="L202" s="336"/>
      <c r="M202" s="337"/>
      <c r="N202" s="242">
        <f t="shared" si="5"/>
        <v>5</v>
      </c>
      <c r="Q202" s="212" t="str">
        <f t="shared" si="4"/>
        <v/>
      </c>
      <c r="R202" s="174" t="s">
        <v>265</v>
      </c>
      <c r="S202" s="174" t="s">
        <v>273</v>
      </c>
      <c r="T202" s="174" t="e">
        <f>_xlfn.XLOOKUP(Buildings_Water_Backend[[#This Row],[Info 1]],Buildings_SiteInfo[Site name],Buildings_SiteInfo[Site type])</f>
        <v>#N/A</v>
      </c>
      <c r="U202" s="174" t="s">
        <v>327</v>
      </c>
      <c r="V202" s="174">
        <f>Buildings_Water_Frontend[[#This Row],[Type]]</f>
        <v>0</v>
      </c>
      <c r="W202" s="174" t="e" cm="1">
        <f t="array" aca="1" ref="W202" ca="1">_xlfn.XLOOKUP(Buildings_Water_Backend[[#This Row],[Level 5]],rng_Level5Long,rng_Level6Long)</f>
        <v>#N/A</v>
      </c>
      <c r="X202" s="174">
        <f>Buildings_Water_Frontend[[#This Row],[Site Name]]</f>
        <v>0</v>
      </c>
      <c r="Y202" s="174">
        <f>Buildings_Water_Frontend[[#This Row],[Meter Reference]]</f>
        <v>0</v>
      </c>
      <c r="Z202" s="220">
        <f>Buildings_Water_Frontend[[#This Row],[Methodology]]</f>
        <v>0</v>
      </c>
      <c r="AA202" s="229" t="e" cm="1">
        <f t="array" ref="AA202">INDEX(_xlfn.SWITCH(Buildings_Water_Backend[[#This Row],[Methodology]],"Tier 1",rng_RSD1,"Tier 2",rng_RSD2,"Tier 3",rng_RSD3),MATCH(_xlfn.CONCAT(Buildings_Water_Backend[[#This Row],[Level 1]:[Level 6]]),rng_LevelsConcat,0))</f>
        <v>#N/A</v>
      </c>
      <c r="AB202" s="224">
        <f>Buildings_Water_Frontend[[#This Row],[Data]]</f>
        <v>0</v>
      </c>
      <c r="AC202" s="174">
        <f>Buildings_Water_Frontend[[#This Row],[Units]]</f>
        <v>0</v>
      </c>
      <c r="AD202" s="220" t="e">
        <f>IF(Buildings_Water_Backend[[#This Row],[Units]]=Buildings_Water_Backend[[#This Row],[Standard units]],Buildings_Water_Backend[[#This Row],[Data]],Buildings_Water_Backend[[#This Row],[Data]]*_xlfn.XLOOKUP(_xlfn.CONCAT(Buildings_Water_Backend[[#This Row],[Level 1]:[Level 6]]),rng_EFConcat,rng_EFConversion))</f>
        <v>#N/A</v>
      </c>
      <c r="AE202" s="174" t="e" cm="1">
        <f t="array" ref="AE202">_xlfn.XLOOKUP(_xlfn.CONCAT(Buildings_Water_Backend[[#This Row],[Level 1]:[Level 6]]),rng_LevelsConcat,rng_UnitsLong)</f>
        <v>#N/A</v>
      </c>
      <c r="AF202" s="210" t="e">
        <f>_xlfn.XLOOKUP(_xlfn.CONCAT(Buildings_Water_Backend[[#This Row],[Level 1]:[Level 6]]),rng_EFConcat,rng_EF1)*Buildings_Water_Backend[[#This Row],[Converted data]]/1000</f>
        <v>#N/A</v>
      </c>
      <c r="AG202" s="210" t="e">
        <f>_xlfn.XLOOKUP(_xlfn.CONCAT(Buildings_Water_Backend[[#This Row],[Level 1]:[Level 6]]),rng_EFConcat,rng_EF2)*Buildings_Water_Backend[[#This Row],[Converted data]]/1000</f>
        <v>#N/A</v>
      </c>
      <c r="AH202" s="210" t="e">
        <f>_xlfn.XLOOKUP(_xlfn.CONCAT(Buildings_Water_Backend[[#This Row],[Level 1]:[Level 6]]),rng_EFConcat,rng_EF3)*Buildings_Water_Backend[[#This Row],[Converted data]]/1000</f>
        <v>#N/A</v>
      </c>
      <c r="AI202" s="210" t="e">
        <f>_xlfn.XLOOKUP(_xlfn.CONCAT(Buildings_Water_Backend[[#This Row],[Level 1]:[Level 6]]),rng_EFConcat,rng_EF3WTT)*Buildings_Water_Backend[[#This Row],[Converted data]]/1000</f>
        <v>#N/A</v>
      </c>
      <c r="AJ202" s="210" t="e">
        <f>_xlfn.XLOOKUP(_xlfn.CONCAT(Buildings_Water_Backend[[#This Row],[Level 1]:[Level 6]]),rng_EFConcat,rng_EF3TD)*Buildings_Water_Backend[[#This Row],[Converted data]]/1000</f>
        <v>#N/A</v>
      </c>
      <c r="AK202" s="210" t="e">
        <f>_xlfn.XLOOKUP(_xlfn.CONCAT(Buildings_Water_Backend[[#This Row],[Level 1]:[Level 6]]),rng_EFConcat,rng_EF3WTTTD)*Buildings_Water_Backend[[#This Row],[Converted data]]/1000</f>
        <v>#N/A</v>
      </c>
      <c r="AL202" s="220" t="e">
        <f>SUM(Buildings_Water_Backend[[#This Row],[Scope 1 (tCO2e)]:[Scope 3 WTT T&amp;D (tCO2e)]])</f>
        <v>#N/A</v>
      </c>
      <c r="AM202" s="220" t="e">
        <f>Buildings_Water_Backend[[#This Row],[Total (tCO2e)]]*(1-Buildings_Water_Backend[[#This Row],[RSD]])</f>
        <v>#N/A</v>
      </c>
      <c r="AN202" s="220" t="e">
        <f>Buildings_Water_Backend[[#This Row],[Total (tCO2e)]]*(1+Buildings_Water_Backend[[#This Row],[RSD]])</f>
        <v>#N/A</v>
      </c>
      <c r="AO202" s="210" t="e">
        <f>_xlfn.XLOOKUP(_xlfn.CONCAT(Buildings_Water_Backend[[#This Row],[Level 1]:[Level 6]]),rng_EFConcat,rng_EFOOS)*Buildings_Water_Backend[[#This Row],[Converted data]]/1000</f>
        <v>#N/A</v>
      </c>
      <c r="AP202" s="174">
        <f>Buildings_Water_Frontend[[#This Row],[Ease of collection]]</f>
        <v>0</v>
      </c>
      <c r="AQ202" s="174">
        <f>Buildings_Water_Frontend[[#This Row],[Completeness]]</f>
        <v>0</v>
      </c>
      <c r="AR202" s="174">
        <f>Buildings_Water_Frontend[[#This Row],[Notes]]</f>
        <v>0</v>
      </c>
    </row>
    <row r="203" spans="5:44" x14ac:dyDescent="0.3">
      <c r="E203" s="346"/>
      <c r="F203" s="364"/>
      <c r="G203" s="336"/>
      <c r="H203" s="336"/>
      <c r="I203" s="334"/>
      <c r="J203" s="336"/>
      <c r="K203" s="336"/>
      <c r="L203" s="336"/>
      <c r="M203" s="337"/>
      <c r="N203" s="242">
        <f t="shared" si="5"/>
        <v>5</v>
      </c>
      <c r="Q203" s="212" t="str">
        <f t="shared" si="4"/>
        <v/>
      </c>
      <c r="R203" s="174" t="s">
        <v>265</v>
      </c>
      <c r="S203" s="174" t="s">
        <v>273</v>
      </c>
      <c r="T203" s="174" t="e">
        <f>_xlfn.XLOOKUP(Buildings_Water_Backend[[#This Row],[Info 1]],Buildings_SiteInfo[Site name],Buildings_SiteInfo[Site type])</f>
        <v>#N/A</v>
      </c>
      <c r="U203" s="174" t="s">
        <v>327</v>
      </c>
      <c r="V203" s="174">
        <f>Buildings_Water_Frontend[[#This Row],[Type]]</f>
        <v>0</v>
      </c>
      <c r="W203" s="174" t="e" cm="1">
        <f t="array" aca="1" ref="W203" ca="1">_xlfn.XLOOKUP(Buildings_Water_Backend[[#This Row],[Level 5]],rng_Level5Long,rng_Level6Long)</f>
        <v>#N/A</v>
      </c>
      <c r="X203" s="174">
        <f>Buildings_Water_Frontend[[#This Row],[Site Name]]</f>
        <v>0</v>
      </c>
      <c r="Y203" s="174">
        <f>Buildings_Water_Frontend[[#This Row],[Meter Reference]]</f>
        <v>0</v>
      </c>
      <c r="Z203" s="220">
        <f>Buildings_Water_Frontend[[#This Row],[Methodology]]</f>
        <v>0</v>
      </c>
      <c r="AA203" s="229" t="e" cm="1">
        <f t="array" ref="AA203">INDEX(_xlfn.SWITCH(Buildings_Water_Backend[[#This Row],[Methodology]],"Tier 1",rng_RSD1,"Tier 2",rng_RSD2,"Tier 3",rng_RSD3),MATCH(_xlfn.CONCAT(Buildings_Water_Backend[[#This Row],[Level 1]:[Level 6]]),rng_LevelsConcat,0))</f>
        <v>#N/A</v>
      </c>
      <c r="AB203" s="224">
        <f>Buildings_Water_Frontend[[#This Row],[Data]]</f>
        <v>0</v>
      </c>
      <c r="AC203" s="174">
        <f>Buildings_Water_Frontend[[#This Row],[Units]]</f>
        <v>0</v>
      </c>
      <c r="AD203" s="220" t="e">
        <f>IF(Buildings_Water_Backend[[#This Row],[Units]]=Buildings_Water_Backend[[#This Row],[Standard units]],Buildings_Water_Backend[[#This Row],[Data]],Buildings_Water_Backend[[#This Row],[Data]]*_xlfn.XLOOKUP(_xlfn.CONCAT(Buildings_Water_Backend[[#This Row],[Level 1]:[Level 6]]),rng_EFConcat,rng_EFConversion))</f>
        <v>#N/A</v>
      </c>
      <c r="AE203" s="174" t="e" cm="1">
        <f t="array" ref="AE203">_xlfn.XLOOKUP(_xlfn.CONCAT(Buildings_Water_Backend[[#This Row],[Level 1]:[Level 6]]),rng_LevelsConcat,rng_UnitsLong)</f>
        <v>#N/A</v>
      </c>
      <c r="AF203" s="210" t="e">
        <f>_xlfn.XLOOKUP(_xlfn.CONCAT(Buildings_Water_Backend[[#This Row],[Level 1]:[Level 6]]),rng_EFConcat,rng_EF1)*Buildings_Water_Backend[[#This Row],[Converted data]]/1000</f>
        <v>#N/A</v>
      </c>
      <c r="AG203" s="210" t="e">
        <f>_xlfn.XLOOKUP(_xlfn.CONCAT(Buildings_Water_Backend[[#This Row],[Level 1]:[Level 6]]),rng_EFConcat,rng_EF2)*Buildings_Water_Backend[[#This Row],[Converted data]]/1000</f>
        <v>#N/A</v>
      </c>
      <c r="AH203" s="210" t="e">
        <f>_xlfn.XLOOKUP(_xlfn.CONCAT(Buildings_Water_Backend[[#This Row],[Level 1]:[Level 6]]),rng_EFConcat,rng_EF3)*Buildings_Water_Backend[[#This Row],[Converted data]]/1000</f>
        <v>#N/A</v>
      </c>
      <c r="AI203" s="210" t="e">
        <f>_xlfn.XLOOKUP(_xlfn.CONCAT(Buildings_Water_Backend[[#This Row],[Level 1]:[Level 6]]),rng_EFConcat,rng_EF3WTT)*Buildings_Water_Backend[[#This Row],[Converted data]]/1000</f>
        <v>#N/A</v>
      </c>
      <c r="AJ203" s="210" t="e">
        <f>_xlfn.XLOOKUP(_xlfn.CONCAT(Buildings_Water_Backend[[#This Row],[Level 1]:[Level 6]]),rng_EFConcat,rng_EF3TD)*Buildings_Water_Backend[[#This Row],[Converted data]]/1000</f>
        <v>#N/A</v>
      </c>
      <c r="AK203" s="210" t="e">
        <f>_xlfn.XLOOKUP(_xlfn.CONCAT(Buildings_Water_Backend[[#This Row],[Level 1]:[Level 6]]),rng_EFConcat,rng_EF3WTTTD)*Buildings_Water_Backend[[#This Row],[Converted data]]/1000</f>
        <v>#N/A</v>
      </c>
      <c r="AL203" s="220" t="e">
        <f>SUM(Buildings_Water_Backend[[#This Row],[Scope 1 (tCO2e)]:[Scope 3 WTT T&amp;D (tCO2e)]])</f>
        <v>#N/A</v>
      </c>
      <c r="AM203" s="220" t="e">
        <f>Buildings_Water_Backend[[#This Row],[Total (tCO2e)]]*(1-Buildings_Water_Backend[[#This Row],[RSD]])</f>
        <v>#N/A</v>
      </c>
      <c r="AN203" s="220" t="e">
        <f>Buildings_Water_Backend[[#This Row],[Total (tCO2e)]]*(1+Buildings_Water_Backend[[#This Row],[RSD]])</f>
        <v>#N/A</v>
      </c>
      <c r="AO203" s="210" t="e">
        <f>_xlfn.XLOOKUP(_xlfn.CONCAT(Buildings_Water_Backend[[#This Row],[Level 1]:[Level 6]]),rng_EFConcat,rng_EFOOS)*Buildings_Water_Backend[[#This Row],[Converted data]]/1000</f>
        <v>#N/A</v>
      </c>
      <c r="AP203" s="174">
        <f>Buildings_Water_Frontend[[#This Row],[Ease of collection]]</f>
        <v>0</v>
      </c>
      <c r="AQ203" s="174">
        <f>Buildings_Water_Frontend[[#This Row],[Completeness]]</f>
        <v>0</v>
      </c>
      <c r="AR203" s="174">
        <f>Buildings_Water_Frontend[[#This Row],[Notes]]</f>
        <v>0</v>
      </c>
    </row>
    <row r="204" spans="5:44" x14ac:dyDescent="0.3">
      <c r="E204" s="346"/>
      <c r="F204" s="364"/>
      <c r="G204" s="336"/>
      <c r="H204" s="336"/>
      <c r="I204" s="334"/>
      <c r="J204" s="336"/>
      <c r="K204" s="336"/>
      <c r="L204" s="336"/>
      <c r="M204" s="337"/>
      <c r="N204" s="242">
        <f t="shared" si="5"/>
        <v>5</v>
      </c>
      <c r="Q204" s="212" t="str">
        <f t="shared" si="4"/>
        <v/>
      </c>
      <c r="R204" s="174" t="s">
        <v>265</v>
      </c>
      <c r="S204" s="174" t="s">
        <v>273</v>
      </c>
      <c r="T204" s="174" t="e">
        <f>_xlfn.XLOOKUP(Buildings_Water_Backend[[#This Row],[Info 1]],Buildings_SiteInfo[Site name],Buildings_SiteInfo[Site type])</f>
        <v>#N/A</v>
      </c>
      <c r="U204" s="174" t="s">
        <v>327</v>
      </c>
      <c r="V204" s="174">
        <f>Buildings_Water_Frontend[[#This Row],[Type]]</f>
        <v>0</v>
      </c>
      <c r="W204" s="174" t="e" cm="1">
        <f t="array" aca="1" ref="W204" ca="1">_xlfn.XLOOKUP(Buildings_Water_Backend[[#This Row],[Level 5]],rng_Level5Long,rng_Level6Long)</f>
        <v>#N/A</v>
      </c>
      <c r="X204" s="174">
        <f>Buildings_Water_Frontend[[#This Row],[Site Name]]</f>
        <v>0</v>
      </c>
      <c r="Y204" s="174">
        <f>Buildings_Water_Frontend[[#This Row],[Meter Reference]]</f>
        <v>0</v>
      </c>
      <c r="Z204" s="220">
        <f>Buildings_Water_Frontend[[#This Row],[Methodology]]</f>
        <v>0</v>
      </c>
      <c r="AA204" s="229" t="e" cm="1">
        <f t="array" ref="AA204">INDEX(_xlfn.SWITCH(Buildings_Water_Backend[[#This Row],[Methodology]],"Tier 1",rng_RSD1,"Tier 2",rng_RSD2,"Tier 3",rng_RSD3),MATCH(_xlfn.CONCAT(Buildings_Water_Backend[[#This Row],[Level 1]:[Level 6]]),rng_LevelsConcat,0))</f>
        <v>#N/A</v>
      </c>
      <c r="AB204" s="224">
        <f>Buildings_Water_Frontend[[#This Row],[Data]]</f>
        <v>0</v>
      </c>
      <c r="AC204" s="174">
        <f>Buildings_Water_Frontend[[#This Row],[Units]]</f>
        <v>0</v>
      </c>
      <c r="AD204" s="220" t="e">
        <f>IF(Buildings_Water_Backend[[#This Row],[Units]]=Buildings_Water_Backend[[#This Row],[Standard units]],Buildings_Water_Backend[[#This Row],[Data]],Buildings_Water_Backend[[#This Row],[Data]]*_xlfn.XLOOKUP(_xlfn.CONCAT(Buildings_Water_Backend[[#This Row],[Level 1]:[Level 6]]),rng_EFConcat,rng_EFConversion))</f>
        <v>#N/A</v>
      </c>
      <c r="AE204" s="174" t="e" cm="1">
        <f t="array" ref="AE204">_xlfn.XLOOKUP(_xlfn.CONCAT(Buildings_Water_Backend[[#This Row],[Level 1]:[Level 6]]),rng_LevelsConcat,rng_UnitsLong)</f>
        <v>#N/A</v>
      </c>
      <c r="AF204" s="210" t="e">
        <f>_xlfn.XLOOKUP(_xlfn.CONCAT(Buildings_Water_Backend[[#This Row],[Level 1]:[Level 6]]),rng_EFConcat,rng_EF1)*Buildings_Water_Backend[[#This Row],[Converted data]]/1000</f>
        <v>#N/A</v>
      </c>
      <c r="AG204" s="210" t="e">
        <f>_xlfn.XLOOKUP(_xlfn.CONCAT(Buildings_Water_Backend[[#This Row],[Level 1]:[Level 6]]),rng_EFConcat,rng_EF2)*Buildings_Water_Backend[[#This Row],[Converted data]]/1000</f>
        <v>#N/A</v>
      </c>
      <c r="AH204" s="210" t="e">
        <f>_xlfn.XLOOKUP(_xlfn.CONCAT(Buildings_Water_Backend[[#This Row],[Level 1]:[Level 6]]),rng_EFConcat,rng_EF3)*Buildings_Water_Backend[[#This Row],[Converted data]]/1000</f>
        <v>#N/A</v>
      </c>
      <c r="AI204" s="210" t="e">
        <f>_xlfn.XLOOKUP(_xlfn.CONCAT(Buildings_Water_Backend[[#This Row],[Level 1]:[Level 6]]),rng_EFConcat,rng_EF3WTT)*Buildings_Water_Backend[[#This Row],[Converted data]]/1000</f>
        <v>#N/A</v>
      </c>
      <c r="AJ204" s="210" t="e">
        <f>_xlfn.XLOOKUP(_xlfn.CONCAT(Buildings_Water_Backend[[#This Row],[Level 1]:[Level 6]]),rng_EFConcat,rng_EF3TD)*Buildings_Water_Backend[[#This Row],[Converted data]]/1000</f>
        <v>#N/A</v>
      </c>
      <c r="AK204" s="210" t="e">
        <f>_xlfn.XLOOKUP(_xlfn.CONCAT(Buildings_Water_Backend[[#This Row],[Level 1]:[Level 6]]),rng_EFConcat,rng_EF3WTTTD)*Buildings_Water_Backend[[#This Row],[Converted data]]/1000</f>
        <v>#N/A</v>
      </c>
      <c r="AL204" s="220" t="e">
        <f>SUM(Buildings_Water_Backend[[#This Row],[Scope 1 (tCO2e)]:[Scope 3 WTT T&amp;D (tCO2e)]])</f>
        <v>#N/A</v>
      </c>
      <c r="AM204" s="220" t="e">
        <f>Buildings_Water_Backend[[#This Row],[Total (tCO2e)]]*(1-Buildings_Water_Backend[[#This Row],[RSD]])</f>
        <v>#N/A</v>
      </c>
      <c r="AN204" s="220" t="e">
        <f>Buildings_Water_Backend[[#This Row],[Total (tCO2e)]]*(1+Buildings_Water_Backend[[#This Row],[RSD]])</f>
        <v>#N/A</v>
      </c>
      <c r="AO204" s="210" t="e">
        <f>_xlfn.XLOOKUP(_xlfn.CONCAT(Buildings_Water_Backend[[#This Row],[Level 1]:[Level 6]]),rng_EFConcat,rng_EFOOS)*Buildings_Water_Backend[[#This Row],[Converted data]]/1000</f>
        <v>#N/A</v>
      </c>
      <c r="AP204" s="174">
        <f>Buildings_Water_Frontend[[#This Row],[Ease of collection]]</f>
        <v>0</v>
      </c>
      <c r="AQ204" s="174">
        <f>Buildings_Water_Frontend[[#This Row],[Completeness]]</f>
        <v>0</v>
      </c>
      <c r="AR204" s="174">
        <f>Buildings_Water_Frontend[[#This Row],[Notes]]</f>
        <v>0</v>
      </c>
    </row>
    <row r="205" spans="5:44" x14ac:dyDescent="0.3">
      <c r="E205" s="346"/>
      <c r="F205" s="364"/>
      <c r="G205" s="336"/>
      <c r="H205" s="336"/>
      <c r="I205" s="334"/>
      <c r="J205" s="336"/>
      <c r="K205" s="336"/>
      <c r="L205" s="336"/>
      <c r="M205" s="337"/>
      <c r="N205" s="242">
        <f t="shared" si="5"/>
        <v>5</v>
      </c>
      <c r="Q205" s="212" t="str">
        <f t="shared" si="4"/>
        <v/>
      </c>
      <c r="R205" s="174" t="s">
        <v>265</v>
      </c>
      <c r="S205" s="174" t="s">
        <v>273</v>
      </c>
      <c r="T205" s="174" t="e">
        <f>_xlfn.XLOOKUP(Buildings_Water_Backend[[#This Row],[Info 1]],Buildings_SiteInfo[Site name],Buildings_SiteInfo[Site type])</f>
        <v>#N/A</v>
      </c>
      <c r="U205" s="174" t="s">
        <v>327</v>
      </c>
      <c r="V205" s="174">
        <f>Buildings_Water_Frontend[[#This Row],[Type]]</f>
        <v>0</v>
      </c>
      <c r="W205" s="174" t="e" cm="1">
        <f t="array" aca="1" ref="W205" ca="1">_xlfn.XLOOKUP(Buildings_Water_Backend[[#This Row],[Level 5]],rng_Level5Long,rng_Level6Long)</f>
        <v>#N/A</v>
      </c>
      <c r="X205" s="174">
        <f>Buildings_Water_Frontend[[#This Row],[Site Name]]</f>
        <v>0</v>
      </c>
      <c r="Y205" s="174">
        <f>Buildings_Water_Frontend[[#This Row],[Meter Reference]]</f>
        <v>0</v>
      </c>
      <c r="Z205" s="220">
        <f>Buildings_Water_Frontend[[#This Row],[Methodology]]</f>
        <v>0</v>
      </c>
      <c r="AA205" s="229" t="e" cm="1">
        <f t="array" ref="AA205">INDEX(_xlfn.SWITCH(Buildings_Water_Backend[[#This Row],[Methodology]],"Tier 1",rng_RSD1,"Tier 2",rng_RSD2,"Tier 3",rng_RSD3),MATCH(_xlfn.CONCAT(Buildings_Water_Backend[[#This Row],[Level 1]:[Level 6]]),rng_LevelsConcat,0))</f>
        <v>#N/A</v>
      </c>
      <c r="AB205" s="224">
        <f>Buildings_Water_Frontend[[#This Row],[Data]]</f>
        <v>0</v>
      </c>
      <c r="AC205" s="174">
        <f>Buildings_Water_Frontend[[#This Row],[Units]]</f>
        <v>0</v>
      </c>
      <c r="AD205" s="220" t="e">
        <f>IF(Buildings_Water_Backend[[#This Row],[Units]]=Buildings_Water_Backend[[#This Row],[Standard units]],Buildings_Water_Backend[[#This Row],[Data]],Buildings_Water_Backend[[#This Row],[Data]]*_xlfn.XLOOKUP(_xlfn.CONCAT(Buildings_Water_Backend[[#This Row],[Level 1]:[Level 6]]),rng_EFConcat,rng_EFConversion))</f>
        <v>#N/A</v>
      </c>
      <c r="AE205" s="174" t="e" cm="1">
        <f t="array" ref="AE205">_xlfn.XLOOKUP(_xlfn.CONCAT(Buildings_Water_Backend[[#This Row],[Level 1]:[Level 6]]),rng_LevelsConcat,rng_UnitsLong)</f>
        <v>#N/A</v>
      </c>
      <c r="AF205" s="210" t="e">
        <f>_xlfn.XLOOKUP(_xlfn.CONCAT(Buildings_Water_Backend[[#This Row],[Level 1]:[Level 6]]),rng_EFConcat,rng_EF1)*Buildings_Water_Backend[[#This Row],[Converted data]]/1000</f>
        <v>#N/A</v>
      </c>
      <c r="AG205" s="210" t="e">
        <f>_xlfn.XLOOKUP(_xlfn.CONCAT(Buildings_Water_Backend[[#This Row],[Level 1]:[Level 6]]),rng_EFConcat,rng_EF2)*Buildings_Water_Backend[[#This Row],[Converted data]]/1000</f>
        <v>#N/A</v>
      </c>
      <c r="AH205" s="210" t="e">
        <f>_xlfn.XLOOKUP(_xlfn.CONCAT(Buildings_Water_Backend[[#This Row],[Level 1]:[Level 6]]),rng_EFConcat,rng_EF3)*Buildings_Water_Backend[[#This Row],[Converted data]]/1000</f>
        <v>#N/A</v>
      </c>
      <c r="AI205" s="210" t="e">
        <f>_xlfn.XLOOKUP(_xlfn.CONCAT(Buildings_Water_Backend[[#This Row],[Level 1]:[Level 6]]),rng_EFConcat,rng_EF3WTT)*Buildings_Water_Backend[[#This Row],[Converted data]]/1000</f>
        <v>#N/A</v>
      </c>
      <c r="AJ205" s="210" t="e">
        <f>_xlfn.XLOOKUP(_xlfn.CONCAT(Buildings_Water_Backend[[#This Row],[Level 1]:[Level 6]]),rng_EFConcat,rng_EF3TD)*Buildings_Water_Backend[[#This Row],[Converted data]]/1000</f>
        <v>#N/A</v>
      </c>
      <c r="AK205" s="210" t="e">
        <f>_xlfn.XLOOKUP(_xlfn.CONCAT(Buildings_Water_Backend[[#This Row],[Level 1]:[Level 6]]),rng_EFConcat,rng_EF3WTTTD)*Buildings_Water_Backend[[#This Row],[Converted data]]/1000</f>
        <v>#N/A</v>
      </c>
      <c r="AL205" s="220" t="e">
        <f>SUM(Buildings_Water_Backend[[#This Row],[Scope 1 (tCO2e)]:[Scope 3 WTT T&amp;D (tCO2e)]])</f>
        <v>#N/A</v>
      </c>
      <c r="AM205" s="220" t="e">
        <f>Buildings_Water_Backend[[#This Row],[Total (tCO2e)]]*(1-Buildings_Water_Backend[[#This Row],[RSD]])</f>
        <v>#N/A</v>
      </c>
      <c r="AN205" s="220" t="e">
        <f>Buildings_Water_Backend[[#This Row],[Total (tCO2e)]]*(1+Buildings_Water_Backend[[#This Row],[RSD]])</f>
        <v>#N/A</v>
      </c>
      <c r="AO205" s="210" t="e">
        <f>_xlfn.XLOOKUP(_xlfn.CONCAT(Buildings_Water_Backend[[#This Row],[Level 1]:[Level 6]]),rng_EFConcat,rng_EFOOS)*Buildings_Water_Backend[[#This Row],[Converted data]]/1000</f>
        <v>#N/A</v>
      </c>
      <c r="AP205" s="174">
        <f>Buildings_Water_Frontend[[#This Row],[Ease of collection]]</f>
        <v>0</v>
      </c>
      <c r="AQ205" s="174">
        <f>Buildings_Water_Frontend[[#This Row],[Completeness]]</f>
        <v>0</v>
      </c>
      <c r="AR205" s="174">
        <f>Buildings_Water_Frontend[[#This Row],[Notes]]</f>
        <v>0</v>
      </c>
    </row>
    <row r="206" spans="5:44" x14ac:dyDescent="0.3">
      <c r="E206" s="346"/>
      <c r="F206" s="364"/>
      <c r="G206" s="336"/>
      <c r="H206" s="336"/>
      <c r="I206" s="334"/>
      <c r="J206" s="336"/>
      <c r="K206" s="336"/>
      <c r="L206" s="336"/>
      <c r="M206" s="337"/>
      <c r="N206" s="242">
        <f t="shared" si="5"/>
        <v>5</v>
      </c>
      <c r="Q206" s="212" t="str">
        <f t="shared" si="4"/>
        <v/>
      </c>
      <c r="R206" s="174" t="s">
        <v>265</v>
      </c>
      <c r="S206" s="174" t="s">
        <v>273</v>
      </c>
      <c r="T206" s="174" t="e">
        <f>_xlfn.XLOOKUP(Buildings_Water_Backend[[#This Row],[Info 1]],Buildings_SiteInfo[Site name],Buildings_SiteInfo[Site type])</f>
        <v>#N/A</v>
      </c>
      <c r="U206" s="174" t="s">
        <v>327</v>
      </c>
      <c r="V206" s="174">
        <f>Buildings_Water_Frontend[[#This Row],[Type]]</f>
        <v>0</v>
      </c>
      <c r="W206" s="174" t="e" cm="1">
        <f t="array" aca="1" ref="W206" ca="1">_xlfn.XLOOKUP(Buildings_Water_Backend[[#This Row],[Level 5]],rng_Level5Long,rng_Level6Long)</f>
        <v>#N/A</v>
      </c>
      <c r="X206" s="174">
        <f>Buildings_Water_Frontend[[#This Row],[Site Name]]</f>
        <v>0</v>
      </c>
      <c r="Y206" s="174">
        <f>Buildings_Water_Frontend[[#This Row],[Meter Reference]]</f>
        <v>0</v>
      </c>
      <c r="Z206" s="220">
        <f>Buildings_Water_Frontend[[#This Row],[Methodology]]</f>
        <v>0</v>
      </c>
      <c r="AA206" s="229" t="e" cm="1">
        <f t="array" ref="AA206">INDEX(_xlfn.SWITCH(Buildings_Water_Backend[[#This Row],[Methodology]],"Tier 1",rng_RSD1,"Tier 2",rng_RSD2,"Tier 3",rng_RSD3),MATCH(_xlfn.CONCAT(Buildings_Water_Backend[[#This Row],[Level 1]:[Level 6]]),rng_LevelsConcat,0))</f>
        <v>#N/A</v>
      </c>
      <c r="AB206" s="224">
        <f>Buildings_Water_Frontend[[#This Row],[Data]]</f>
        <v>0</v>
      </c>
      <c r="AC206" s="174">
        <f>Buildings_Water_Frontend[[#This Row],[Units]]</f>
        <v>0</v>
      </c>
      <c r="AD206" s="220" t="e">
        <f>IF(Buildings_Water_Backend[[#This Row],[Units]]=Buildings_Water_Backend[[#This Row],[Standard units]],Buildings_Water_Backend[[#This Row],[Data]],Buildings_Water_Backend[[#This Row],[Data]]*_xlfn.XLOOKUP(_xlfn.CONCAT(Buildings_Water_Backend[[#This Row],[Level 1]:[Level 6]]),rng_EFConcat,rng_EFConversion))</f>
        <v>#N/A</v>
      </c>
      <c r="AE206" s="174" t="e" cm="1">
        <f t="array" ref="AE206">_xlfn.XLOOKUP(_xlfn.CONCAT(Buildings_Water_Backend[[#This Row],[Level 1]:[Level 6]]),rng_LevelsConcat,rng_UnitsLong)</f>
        <v>#N/A</v>
      </c>
      <c r="AF206" s="210" t="e">
        <f>_xlfn.XLOOKUP(_xlfn.CONCAT(Buildings_Water_Backend[[#This Row],[Level 1]:[Level 6]]),rng_EFConcat,rng_EF1)*Buildings_Water_Backend[[#This Row],[Converted data]]/1000</f>
        <v>#N/A</v>
      </c>
      <c r="AG206" s="210" t="e">
        <f>_xlfn.XLOOKUP(_xlfn.CONCAT(Buildings_Water_Backend[[#This Row],[Level 1]:[Level 6]]),rng_EFConcat,rng_EF2)*Buildings_Water_Backend[[#This Row],[Converted data]]/1000</f>
        <v>#N/A</v>
      </c>
      <c r="AH206" s="210" t="e">
        <f>_xlfn.XLOOKUP(_xlfn.CONCAT(Buildings_Water_Backend[[#This Row],[Level 1]:[Level 6]]),rng_EFConcat,rng_EF3)*Buildings_Water_Backend[[#This Row],[Converted data]]/1000</f>
        <v>#N/A</v>
      </c>
      <c r="AI206" s="210" t="e">
        <f>_xlfn.XLOOKUP(_xlfn.CONCAT(Buildings_Water_Backend[[#This Row],[Level 1]:[Level 6]]),rng_EFConcat,rng_EF3WTT)*Buildings_Water_Backend[[#This Row],[Converted data]]/1000</f>
        <v>#N/A</v>
      </c>
      <c r="AJ206" s="210" t="e">
        <f>_xlfn.XLOOKUP(_xlfn.CONCAT(Buildings_Water_Backend[[#This Row],[Level 1]:[Level 6]]),rng_EFConcat,rng_EF3TD)*Buildings_Water_Backend[[#This Row],[Converted data]]/1000</f>
        <v>#N/A</v>
      </c>
      <c r="AK206" s="210" t="e">
        <f>_xlfn.XLOOKUP(_xlfn.CONCAT(Buildings_Water_Backend[[#This Row],[Level 1]:[Level 6]]),rng_EFConcat,rng_EF3WTTTD)*Buildings_Water_Backend[[#This Row],[Converted data]]/1000</f>
        <v>#N/A</v>
      </c>
      <c r="AL206" s="220" t="e">
        <f>SUM(Buildings_Water_Backend[[#This Row],[Scope 1 (tCO2e)]:[Scope 3 WTT T&amp;D (tCO2e)]])</f>
        <v>#N/A</v>
      </c>
      <c r="AM206" s="220" t="e">
        <f>Buildings_Water_Backend[[#This Row],[Total (tCO2e)]]*(1-Buildings_Water_Backend[[#This Row],[RSD]])</f>
        <v>#N/A</v>
      </c>
      <c r="AN206" s="220" t="e">
        <f>Buildings_Water_Backend[[#This Row],[Total (tCO2e)]]*(1+Buildings_Water_Backend[[#This Row],[RSD]])</f>
        <v>#N/A</v>
      </c>
      <c r="AO206" s="210" t="e">
        <f>_xlfn.XLOOKUP(_xlfn.CONCAT(Buildings_Water_Backend[[#This Row],[Level 1]:[Level 6]]),rng_EFConcat,rng_EFOOS)*Buildings_Water_Backend[[#This Row],[Converted data]]/1000</f>
        <v>#N/A</v>
      </c>
      <c r="AP206" s="174">
        <f>Buildings_Water_Frontend[[#This Row],[Ease of collection]]</f>
        <v>0</v>
      </c>
      <c r="AQ206" s="174">
        <f>Buildings_Water_Frontend[[#This Row],[Completeness]]</f>
        <v>0</v>
      </c>
      <c r="AR206" s="174">
        <f>Buildings_Water_Frontend[[#This Row],[Notes]]</f>
        <v>0</v>
      </c>
    </row>
    <row r="207" spans="5:44" x14ac:dyDescent="0.3">
      <c r="E207" s="346"/>
      <c r="F207" s="364"/>
      <c r="G207" s="336"/>
      <c r="H207" s="336"/>
      <c r="I207" s="334"/>
      <c r="J207" s="336"/>
      <c r="K207" s="336"/>
      <c r="L207" s="336"/>
      <c r="M207" s="337"/>
      <c r="N207" s="242">
        <f t="shared" si="5"/>
        <v>5</v>
      </c>
      <c r="Q207" s="212" t="str">
        <f t="shared" ref="Q207:Q270" si="6">IF(N207=0,SUBSTITUTE(2025&amp;TRIM(cl_org_name_select)&amp;TRIM($E$12)&amp;(ROW(N207)-ROW($N$15))," ",""),"")</f>
        <v/>
      </c>
      <c r="R207" s="174" t="s">
        <v>265</v>
      </c>
      <c r="S207" s="174" t="s">
        <v>273</v>
      </c>
      <c r="T207" s="174" t="e">
        <f>_xlfn.XLOOKUP(Buildings_Water_Backend[[#This Row],[Info 1]],Buildings_SiteInfo[Site name],Buildings_SiteInfo[Site type])</f>
        <v>#N/A</v>
      </c>
      <c r="U207" s="174" t="s">
        <v>327</v>
      </c>
      <c r="V207" s="174">
        <f>Buildings_Water_Frontend[[#This Row],[Type]]</f>
        <v>0</v>
      </c>
      <c r="W207" s="174" t="e" cm="1">
        <f t="array" aca="1" ref="W207" ca="1">_xlfn.XLOOKUP(Buildings_Water_Backend[[#This Row],[Level 5]],rng_Level5Long,rng_Level6Long)</f>
        <v>#N/A</v>
      </c>
      <c r="X207" s="174">
        <f>Buildings_Water_Frontend[[#This Row],[Site Name]]</f>
        <v>0</v>
      </c>
      <c r="Y207" s="174">
        <f>Buildings_Water_Frontend[[#This Row],[Meter Reference]]</f>
        <v>0</v>
      </c>
      <c r="Z207" s="220">
        <f>Buildings_Water_Frontend[[#This Row],[Methodology]]</f>
        <v>0</v>
      </c>
      <c r="AA207" s="229" t="e" cm="1">
        <f t="array" ref="AA207">INDEX(_xlfn.SWITCH(Buildings_Water_Backend[[#This Row],[Methodology]],"Tier 1",rng_RSD1,"Tier 2",rng_RSD2,"Tier 3",rng_RSD3),MATCH(_xlfn.CONCAT(Buildings_Water_Backend[[#This Row],[Level 1]:[Level 6]]),rng_LevelsConcat,0))</f>
        <v>#N/A</v>
      </c>
      <c r="AB207" s="224">
        <f>Buildings_Water_Frontend[[#This Row],[Data]]</f>
        <v>0</v>
      </c>
      <c r="AC207" s="174">
        <f>Buildings_Water_Frontend[[#This Row],[Units]]</f>
        <v>0</v>
      </c>
      <c r="AD207" s="220" t="e">
        <f>IF(Buildings_Water_Backend[[#This Row],[Units]]=Buildings_Water_Backend[[#This Row],[Standard units]],Buildings_Water_Backend[[#This Row],[Data]],Buildings_Water_Backend[[#This Row],[Data]]*_xlfn.XLOOKUP(_xlfn.CONCAT(Buildings_Water_Backend[[#This Row],[Level 1]:[Level 6]]),rng_EFConcat,rng_EFConversion))</f>
        <v>#N/A</v>
      </c>
      <c r="AE207" s="174" t="e" cm="1">
        <f t="array" ref="AE207">_xlfn.XLOOKUP(_xlfn.CONCAT(Buildings_Water_Backend[[#This Row],[Level 1]:[Level 6]]),rng_LevelsConcat,rng_UnitsLong)</f>
        <v>#N/A</v>
      </c>
      <c r="AF207" s="210" t="e">
        <f>_xlfn.XLOOKUP(_xlfn.CONCAT(Buildings_Water_Backend[[#This Row],[Level 1]:[Level 6]]),rng_EFConcat,rng_EF1)*Buildings_Water_Backend[[#This Row],[Converted data]]/1000</f>
        <v>#N/A</v>
      </c>
      <c r="AG207" s="210" t="e">
        <f>_xlfn.XLOOKUP(_xlfn.CONCAT(Buildings_Water_Backend[[#This Row],[Level 1]:[Level 6]]),rng_EFConcat,rng_EF2)*Buildings_Water_Backend[[#This Row],[Converted data]]/1000</f>
        <v>#N/A</v>
      </c>
      <c r="AH207" s="210" t="e">
        <f>_xlfn.XLOOKUP(_xlfn.CONCAT(Buildings_Water_Backend[[#This Row],[Level 1]:[Level 6]]),rng_EFConcat,rng_EF3)*Buildings_Water_Backend[[#This Row],[Converted data]]/1000</f>
        <v>#N/A</v>
      </c>
      <c r="AI207" s="210" t="e">
        <f>_xlfn.XLOOKUP(_xlfn.CONCAT(Buildings_Water_Backend[[#This Row],[Level 1]:[Level 6]]),rng_EFConcat,rng_EF3WTT)*Buildings_Water_Backend[[#This Row],[Converted data]]/1000</f>
        <v>#N/A</v>
      </c>
      <c r="AJ207" s="210" t="e">
        <f>_xlfn.XLOOKUP(_xlfn.CONCAT(Buildings_Water_Backend[[#This Row],[Level 1]:[Level 6]]),rng_EFConcat,rng_EF3TD)*Buildings_Water_Backend[[#This Row],[Converted data]]/1000</f>
        <v>#N/A</v>
      </c>
      <c r="AK207" s="210" t="e">
        <f>_xlfn.XLOOKUP(_xlfn.CONCAT(Buildings_Water_Backend[[#This Row],[Level 1]:[Level 6]]),rng_EFConcat,rng_EF3WTTTD)*Buildings_Water_Backend[[#This Row],[Converted data]]/1000</f>
        <v>#N/A</v>
      </c>
      <c r="AL207" s="220" t="e">
        <f>SUM(Buildings_Water_Backend[[#This Row],[Scope 1 (tCO2e)]:[Scope 3 WTT T&amp;D (tCO2e)]])</f>
        <v>#N/A</v>
      </c>
      <c r="AM207" s="220" t="e">
        <f>Buildings_Water_Backend[[#This Row],[Total (tCO2e)]]*(1-Buildings_Water_Backend[[#This Row],[RSD]])</f>
        <v>#N/A</v>
      </c>
      <c r="AN207" s="220" t="e">
        <f>Buildings_Water_Backend[[#This Row],[Total (tCO2e)]]*(1+Buildings_Water_Backend[[#This Row],[RSD]])</f>
        <v>#N/A</v>
      </c>
      <c r="AO207" s="210" t="e">
        <f>_xlfn.XLOOKUP(_xlfn.CONCAT(Buildings_Water_Backend[[#This Row],[Level 1]:[Level 6]]),rng_EFConcat,rng_EFOOS)*Buildings_Water_Backend[[#This Row],[Converted data]]/1000</f>
        <v>#N/A</v>
      </c>
      <c r="AP207" s="174">
        <f>Buildings_Water_Frontend[[#This Row],[Ease of collection]]</f>
        <v>0</v>
      </c>
      <c r="AQ207" s="174">
        <f>Buildings_Water_Frontend[[#This Row],[Completeness]]</f>
        <v>0</v>
      </c>
      <c r="AR207" s="174">
        <f>Buildings_Water_Frontend[[#This Row],[Notes]]</f>
        <v>0</v>
      </c>
    </row>
    <row r="208" spans="5:44" x14ac:dyDescent="0.3">
      <c r="E208" s="346"/>
      <c r="F208" s="364"/>
      <c r="G208" s="336"/>
      <c r="H208" s="336"/>
      <c r="I208" s="334"/>
      <c r="J208" s="336"/>
      <c r="K208" s="336"/>
      <c r="L208" s="336"/>
      <c r="M208" s="337"/>
      <c r="N208" s="242">
        <f t="shared" ref="N208:N271" si="7">ISBLANK(E208)+ISBLANK(G208)+ISBLANK(H208)+ISBLANK(I208)+ISBLANK(J208)</f>
        <v>5</v>
      </c>
      <c r="Q208" s="212" t="str">
        <f t="shared" si="6"/>
        <v/>
      </c>
      <c r="R208" s="174" t="s">
        <v>265</v>
      </c>
      <c r="S208" s="174" t="s">
        <v>273</v>
      </c>
      <c r="T208" s="174" t="e">
        <f>_xlfn.XLOOKUP(Buildings_Water_Backend[[#This Row],[Info 1]],Buildings_SiteInfo[Site name],Buildings_SiteInfo[Site type])</f>
        <v>#N/A</v>
      </c>
      <c r="U208" s="174" t="s">
        <v>327</v>
      </c>
      <c r="V208" s="174">
        <f>Buildings_Water_Frontend[[#This Row],[Type]]</f>
        <v>0</v>
      </c>
      <c r="W208" s="174" t="e" cm="1">
        <f t="array" aca="1" ref="W208" ca="1">_xlfn.XLOOKUP(Buildings_Water_Backend[[#This Row],[Level 5]],rng_Level5Long,rng_Level6Long)</f>
        <v>#N/A</v>
      </c>
      <c r="X208" s="174">
        <f>Buildings_Water_Frontend[[#This Row],[Site Name]]</f>
        <v>0</v>
      </c>
      <c r="Y208" s="174">
        <f>Buildings_Water_Frontend[[#This Row],[Meter Reference]]</f>
        <v>0</v>
      </c>
      <c r="Z208" s="220">
        <f>Buildings_Water_Frontend[[#This Row],[Methodology]]</f>
        <v>0</v>
      </c>
      <c r="AA208" s="229" t="e" cm="1">
        <f t="array" ref="AA208">INDEX(_xlfn.SWITCH(Buildings_Water_Backend[[#This Row],[Methodology]],"Tier 1",rng_RSD1,"Tier 2",rng_RSD2,"Tier 3",rng_RSD3),MATCH(_xlfn.CONCAT(Buildings_Water_Backend[[#This Row],[Level 1]:[Level 6]]),rng_LevelsConcat,0))</f>
        <v>#N/A</v>
      </c>
      <c r="AB208" s="224">
        <f>Buildings_Water_Frontend[[#This Row],[Data]]</f>
        <v>0</v>
      </c>
      <c r="AC208" s="174">
        <f>Buildings_Water_Frontend[[#This Row],[Units]]</f>
        <v>0</v>
      </c>
      <c r="AD208" s="220" t="e">
        <f>IF(Buildings_Water_Backend[[#This Row],[Units]]=Buildings_Water_Backend[[#This Row],[Standard units]],Buildings_Water_Backend[[#This Row],[Data]],Buildings_Water_Backend[[#This Row],[Data]]*_xlfn.XLOOKUP(_xlfn.CONCAT(Buildings_Water_Backend[[#This Row],[Level 1]:[Level 6]]),rng_EFConcat,rng_EFConversion))</f>
        <v>#N/A</v>
      </c>
      <c r="AE208" s="174" t="e" cm="1">
        <f t="array" ref="AE208">_xlfn.XLOOKUP(_xlfn.CONCAT(Buildings_Water_Backend[[#This Row],[Level 1]:[Level 6]]),rng_LevelsConcat,rng_UnitsLong)</f>
        <v>#N/A</v>
      </c>
      <c r="AF208" s="210" t="e">
        <f>_xlfn.XLOOKUP(_xlfn.CONCAT(Buildings_Water_Backend[[#This Row],[Level 1]:[Level 6]]),rng_EFConcat,rng_EF1)*Buildings_Water_Backend[[#This Row],[Converted data]]/1000</f>
        <v>#N/A</v>
      </c>
      <c r="AG208" s="210" t="e">
        <f>_xlfn.XLOOKUP(_xlfn.CONCAT(Buildings_Water_Backend[[#This Row],[Level 1]:[Level 6]]),rng_EFConcat,rng_EF2)*Buildings_Water_Backend[[#This Row],[Converted data]]/1000</f>
        <v>#N/A</v>
      </c>
      <c r="AH208" s="210" t="e">
        <f>_xlfn.XLOOKUP(_xlfn.CONCAT(Buildings_Water_Backend[[#This Row],[Level 1]:[Level 6]]),rng_EFConcat,rng_EF3)*Buildings_Water_Backend[[#This Row],[Converted data]]/1000</f>
        <v>#N/A</v>
      </c>
      <c r="AI208" s="210" t="e">
        <f>_xlfn.XLOOKUP(_xlfn.CONCAT(Buildings_Water_Backend[[#This Row],[Level 1]:[Level 6]]),rng_EFConcat,rng_EF3WTT)*Buildings_Water_Backend[[#This Row],[Converted data]]/1000</f>
        <v>#N/A</v>
      </c>
      <c r="AJ208" s="210" t="e">
        <f>_xlfn.XLOOKUP(_xlfn.CONCAT(Buildings_Water_Backend[[#This Row],[Level 1]:[Level 6]]),rng_EFConcat,rng_EF3TD)*Buildings_Water_Backend[[#This Row],[Converted data]]/1000</f>
        <v>#N/A</v>
      </c>
      <c r="AK208" s="210" t="e">
        <f>_xlfn.XLOOKUP(_xlfn.CONCAT(Buildings_Water_Backend[[#This Row],[Level 1]:[Level 6]]),rng_EFConcat,rng_EF3WTTTD)*Buildings_Water_Backend[[#This Row],[Converted data]]/1000</f>
        <v>#N/A</v>
      </c>
      <c r="AL208" s="220" t="e">
        <f>SUM(Buildings_Water_Backend[[#This Row],[Scope 1 (tCO2e)]:[Scope 3 WTT T&amp;D (tCO2e)]])</f>
        <v>#N/A</v>
      </c>
      <c r="AM208" s="220" t="e">
        <f>Buildings_Water_Backend[[#This Row],[Total (tCO2e)]]*(1-Buildings_Water_Backend[[#This Row],[RSD]])</f>
        <v>#N/A</v>
      </c>
      <c r="AN208" s="220" t="e">
        <f>Buildings_Water_Backend[[#This Row],[Total (tCO2e)]]*(1+Buildings_Water_Backend[[#This Row],[RSD]])</f>
        <v>#N/A</v>
      </c>
      <c r="AO208" s="210" t="e">
        <f>_xlfn.XLOOKUP(_xlfn.CONCAT(Buildings_Water_Backend[[#This Row],[Level 1]:[Level 6]]),rng_EFConcat,rng_EFOOS)*Buildings_Water_Backend[[#This Row],[Converted data]]/1000</f>
        <v>#N/A</v>
      </c>
      <c r="AP208" s="174">
        <f>Buildings_Water_Frontend[[#This Row],[Ease of collection]]</f>
        <v>0</v>
      </c>
      <c r="AQ208" s="174">
        <f>Buildings_Water_Frontend[[#This Row],[Completeness]]</f>
        <v>0</v>
      </c>
      <c r="AR208" s="174">
        <f>Buildings_Water_Frontend[[#This Row],[Notes]]</f>
        <v>0</v>
      </c>
    </row>
    <row r="209" spans="5:44" x14ac:dyDescent="0.3">
      <c r="E209" s="346"/>
      <c r="F209" s="364"/>
      <c r="G209" s="336"/>
      <c r="H209" s="336"/>
      <c r="I209" s="334"/>
      <c r="J209" s="336"/>
      <c r="K209" s="336"/>
      <c r="L209" s="336"/>
      <c r="M209" s="337"/>
      <c r="N209" s="242">
        <f t="shared" si="7"/>
        <v>5</v>
      </c>
      <c r="Q209" s="212" t="str">
        <f t="shared" si="6"/>
        <v/>
      </c>
      <c r="R209" s="174" t="s">
        <v>265</v>
      </c>
      <c r="S209" s="174" t="s">
        <v>273</v>
      </c>
      <c r="T209" s="174" t="e">
        <f>_xlfn.XLOOKUP(Buildings_Water_Backend[[#This Row],[Info 1]],Buildings_SiteInfo[Site name],Buildings_SiteInfo[Site type])</f>
        <v>#N/A</v>
      </c>
      <c r="U209" s="174" t="s">
        <v>327</v>
      </c>
      <c r="V209" s="174">
        <f>Buildings_Water_Frontend[[#This Row],[Type]]</f>
        <v>0</v>
      </c>
      <c r="W209" s="174" t="e" cm="1">
        <f t="array" aca="1" ref="W209" ca="1">_xlfn.XLOOKUP(Buildings_Water_Backend[[#This Row],[Level 5]],rng_Level5Long,rng_Level6Long)</f>
        <v>#N/A</v>
      </c>
      <c r="X209" s="174">
        <f>Buildings_Water_Frontend[[#This Row],[Site Name]]</f>
        <v>0</v>
      </c>
      <c r="Y209" s="174">
        <f>Buildings_Water_Frontend[[#This Row],[Meter Reference]]</f>
        <v>0</v>
      </c>
      <c r="Z209" s="220">
        <f>Buildings_Water_Frontend[[#This Row],[Methodology]]</f>
        <v>0</v>
      </c>
      <c r="AA209" s="229" t="e" cm="1">
        <f t="array" ref="AA209">INDEX(_xlfn.SWITCH(Buildings_Water_Backend[[#This Row],[Methodology]],"Tier 1",rng_RSD1,"Tier 2",rng_RSD2,"Tier 3",rng_RSD3),MATCH(_xlfn.CONCAT(Buildings_Water_Backend[[#This Row],[Level 1]:[Level 6]]),rng_LevelsConcat,0))</f>
        <v>#N/A</v>
      </c>
      <c r="AB209" s="224">
        <f>Buildings_Water_Frontend[[#This Row],[Data]]</f>
        <v>0</v>
      </c>
      <c r="AC209" s="174">
        <f>Buildings_Water_Frontend[[#This Row],[Units]]</f>
        <v>0</v>
      </c>
      <c r="AD209" s="220" t="e">
        <f>IF(Buildings_Water_Backend[[#This Row],[Units]]=Buildings_Water_Backend[[#This Row],[Standard units]],Buildings_Water_Backend[[#This Row],[Data]],Buildings_Water_Backend[[#This Row],[Data]]*_xlfn.XLOOKUP(_xlfn.CONCAT(Buildings_Water_Backend[[#This Row],[Level 1]:[Level 6]]),rng_EFConcat,rng_EFConversion))</f>
        <v>#N/A</v>
      </c>
      <c r="AE209" s="174" t="e" cm="1">
        <f t="array" ref="AE209">_xlfn.XLOOKUP(_xlfn.CONCAT(Buildings_Water_Backend[[#This Row],[Level 1]:[Level 6]]),rng_LevelsConcat,rng_UnitsLong)</f>
        <v>#N/A</v>
      </c>
      <c r="AF209" s="210" t="e">
        <f>_xlfn.XLOOKUP(_xlfn.CONCAT(Buildings_Water_Backend[[#This Row],[Level 1]:[Level 6]]),rng_EFConcat,rng_EF1)*Buildings_Water_Backend[[#This Row],[Converted data]]/1000</f>
        <v>#N/A</v>
      </c>
      <c r="AG209" s="210" t="e">
        <f>_xlfn.XLOOKUP(_xlfn.CONCAT(Buildings_Water_Backend[[#This Row],[Level 1]:[Level 6]]),rng_EFConcat,rng_EF2)*Buildings_Water_Backend[[#This Row],[Converted data]]/1000</f>
        <v>#N/A</v>
      </c>
      <c r="AH209" s="210" t="e">
        <f>_xlfn.XLOOKUP(_xlfn.CONCAT(Buildings_Water_Backend[[#This Row],[Level 1]:[Level 6]]),rng_EFConcat,rng_EF3)*Buildings_Water_Backend[[#This Row],[Converted data]]/1000</f>
        <v>#N/A</v>
      </c>
      <c r="AI209" s="210" t="e">
        <f>_xlfn.XLOOKUP(_xlfn.CONCAT(Buildings_Water_Backend[[#This Row],[Level 1]:[Level 6]]),rng_EFConcat,rng_EF3WTT)*Buildings_Water_Backend[[#This Row],[Converted data]]/1000</f>
        <v>#N/A</v>
      </c>
      <c r="AJ209" s="210" t="e">
        <f>_xlfn.XLOOKUP(_xlfn.CONCAT(Buildings_Water_Backend[[#This Row],[Level 1]:[Level 6]]),rng_EFConcat,rng_EF3TD)*Buildings_Water_Backend[[#This Row],[Converted data]]/1000</f>
        <v>#N/A</v>
      </c>
      <c r="AK209" s="210" t="e">
        <f>_xlfn.XLOOKUP(_xlfn.CONCAT(Buildings_Water_Backend[[#This Row],[Level 1]:[Level 6]]),rng_EFConcat,rng_EF3WTTTD)*Buildings_Water_Backend[[#This Row],[Converted data]]/1000</f>
        <v>#N/A</v>
      </c>
      <c r="AL209" s="220" t="e">
        <f>SUM(Buildings_Water_Backend[[#This Row],[Scope 1 (tCO2e)]:[Scope 3 WTT T&amp;D (tCO2e)]])</f>
        <v>#N/A</v>
      </c>
      <c r="AM209" s="220" t="e">
        <f>Buildings_Water_Backend[[#This Row],[Total (tCO2e)]]*(1-Buildings_Water_Backend[[#This Row],[RSD]])</f>
        <v>#N/A</v>
      </c>
      <c r="AN209" s="220" t="e">
        <f>Buildings_Water_Backend[[#This Row],[Total (tCO2e)]]*(1+Buildings_Water_Backend[[#This Row],[RSD]])</f>
        <v>#N/A</v>
      </c>
      <c r="AO209" s="210" t="e">
        <f>_xlfn.XLOOKUP(_xlfn.CONCAT(Buildings_Water_Backend[[#This Row],[Level 1]:[Level 6]]),rng_EFConcat,rng_EFOOS)*Buildings_Water_Backend[[#This Row],[Converted data]]/1000</f>
        <v>#N/A</v>
      </c>
      <c r="AP209" s="174">
        <f>Buildings_Water_Frontend[[#This Row],[Ease of collection]]</f>
        <v>0</v>
      </c>
      <c r="AQ209" s="174">
        <f>Buildings_Water_Frontend[[#This Row],[Completeness]]</f>
        <v>0</v>
      </c>
      <c r="AR209" s="174">
        <f>Buildings_Water_Frontend[[#This Row],[Notes]]</f>
        <v>0</v>
      </c>
    </row>
    <row r="210" spans="5:44" x14ac:dyDescent="0.3">
      <c r="E210" s="346"/>
      <c r="F210" s="364"/>
      <c r="G210" s="336"/>
      <c r="H210" s="336"/>
      <c r="I210" s="334"/>
      <c r="J210" s="336"/>
      <c r="K210" s="336"/>
      <c r="L210" s="336"/>
      <c r="M210" s="337"/>
      <c r="N210" s="242">
        <f t="shared" si="7"/>
        <v>5</v>
      </c>
      <c r="Q210" s="212" t="str">
        <f t="shared" si="6"/>
        <v/>
      </c>
      <c r="R210" s="174" t="s">
        <v>265</v>
      </c>
      <c r="S210" s="174" t="s">
        <v>273</v>
      </c>
      <c r="T210" s="174" t="e">
        <f>_xlfn.XLOOKUP(Buildings_Water_Backend[[#This Row],[Info 1]],Buildings_SiteInfo[Site name],Buildings_SiteInfo[Site type])</f>
        <v>#N/A</v>
      </c>
      <c r="U210" s="174" t="s">
        <v>327</v>
      </c>
      <c r="V210" s="174">
        <f>Buildings_Water_Frontend[[#This Row],[Type]]</f>
        <v>0</v>
      </c>
      <c r="W210" s="174" t="e" cm="1">
        <f t="array" aca="1" ref="W210" ca="1">_xlfn.XLOOKUP(Buildings_Water_Backend[[#This Row],[Level 5]],rng_Level5Long,rng_Level6Long)</f>
        <v>#N/A</v>
      </c>
      <c r="X210" s="174">
        <f>Buildings_Water_Frontend[[#This Row],[Site Name]]</f>
        <v>0</v>
      </c>
      <c r="Y210" s="174">
        <f>Buildings_Water_Frontend[[#This Row],[Meter Reference]]</f>
        <v>0</v>
      </c>
      <c r="Z210" s="220">
        <f>Buildings_Water_Frontend[[#This Row],[Methodology]]</f>
        <v>0</v>
      </c>
      <c r="AA210" s="229" t="e" cm="1">
        <f t="array" ref="AA210">INDEX(_xlfn.SWITCH(Buildings_Water_Backend[[#This Row],[Methodology]],"Tier 1",rng_RSD1,"Tier 2",rng_RSD2,"Tier 3",rng_RSD3),MATCH(_xlfn.CONCAT(Buildings_Water_Backend[[#This Row],[Level 1]:[Level 6]]),rng_LevelsConcat,0))</f>
        <v>#N/A</v>
      </c>
      <c r="AB210" s="224">
        <f>Buildings_Water_Frontend[[#This Row],[Data]]</f>
        <v>0</v>
      </c>
      <c r="AC210" s="174">
        <f>Buildings_Water_Frontend[[#This Row],[Units]]</f>
        <v>0</v>
      </c>
      <c r="AD210" s="220" t="e">
        <f>IF(Buildings_Water_Backend[[#This Row],[Units]]=Buildings_Water_Backend[[#This Row],[Standard units]],Buildings_Water_Backend[[#This Row],[Data]],Buildings_Water_Backend[[#This Row],[Data]]*_xlfn.XLOOKUP(_xlfn.CONCAT(Buildings_Water_Backend[[#This Row],[Level 1]:[Level 6]]),rng_EFConcat,rng_EFConversion))</f>
        <v>#N/A</v>
      </c>
      <c r="AE210" s="174" t="e" cm="1">
        <f t="array" ref="AE210">_xlfn.XLOOKUP(_xlfn.CONCAT(Buildings_Water_Backend[[#This Row],[Level 1]:[Level 6]]),rng_LevelsConcat,rng_UnitsLong)</f>
        <v>#N/A</v>
      </c>
      <c r="AF210" s="210" t="e">
        <f>_xlfn.XLOOKUP(_xlfn.CONCAT(Buildings_Water_Backend[[#This Row],[Level 1]:[Level 6]]),rng_EFConcat,rng_EF1)*Buildings_Water_Backend[[#This Row],[Converted data]]/1000</f>
        <v>#N/A</v>
      </c>
      <c r="AG210" s="210" t="e">
        <f>_xlfn.XLOOKUP(_xlfn.CONCAT(Buildings_Water_Backend[[#This Row],[Level 1]:[Level 6]]),rng_EFConcat,rng_EF2)*Buildings_Water_Backend[[#This Row],[Converted data]]/1000</f>
        <v>#N/A</v>
      </c>
      <c r="AH210" s="210" t="e">
        <f>_xlfn.XLOOKUP(_xlfn.CONCAT(Buildings_Water_Backend[[#This Row],[Level 1]:[Level 6]]),rng_EFConcat,rng_EF3)*Buildings_Water_Backend[[#This Row],[Converted data]]/1000</f>
        <v>#N/A</v>
      </c>
      <c r="AI210" s="210" t="e">
        <f>_xlfn.XLOOKUP(_xlfn.CONCAT(Buildings_Water_Backend[[#This Row],[Level 1]:[Level 6]]),rng_EFConcat,rng_EF3WTT)*Buildings_Water_Backend[[#This Row],[Converted data]]/1000</f>
        <v>#N/A</v>
      </c>
      <c r="AJ210" s="210" t="e">
        <f>_xlfn.XLOOKUP(_xlfn.CONCAT(Buildings_Water_Backend[[#This Row],[Level 1]:[Level 6]]),rng_EFConcat,rng_EF3TD)*Buildings_Water_Backend[[#This Row],[Converted data]]/1000</f>
        <v>#N/A</v>
      </c>
      <c r="AK210" s="210" t="e">
        <f>_xlfn.XLOOKUP(_xlfn.CONCAT(Buildings_Water_Backend[[#This Row],[Level 1]:[Level 6]]),rng_EFConcat,rng_EF3WTTTD)*Buildings_Water_Backend[[#This Row],[Converted data]]/1000</f>
        <v>#N/A</v>
      </c>
      <c r="AL210" s="220" t="e">
        <f>SUM(Buildings_Water_Backend[[#This Row],[Scope 1 (tCO2e)]:[Scope 3 WTT T&amp;D (tCO2e)]])</f>
        <v>#N/A</v>
      </c>
      <c r="AM210" s="220" t="e">
        <f>Buildings_Water_Backend[[#This Row],[Total (tCO2e)]]*(1-Buildings_Water_Backend[[#This Row],[RSD]])</f>
        <v>#N/A</v>
      </c>
      <c r="AN210" s="220" t="e">
        <f>Buildings_Water_Backend[[#This Row],[Total (tCO2e)]]*(1+Buildings_Water_Backend[[#This Row],[RSD]])</f>
        <v>#N/A</v>
      </c>
      <c r="AO210" s="210" t="e">
        <f>_xlfn.XLOOKUP(_xlfn.CONCAT(Buildings_Water_Backend[[#This Row],[Level 1]:[Level 6]]),rng_EFConcat,rng_EFOOS)*Buildings_Water_Backend[[#This Row],[Converted data]]/1000</f>
        <v>#N/A</v>
      </c>
      <c r="AP210" s="174">
        <f>Buildings_Water_Frontend[[#This Row],[Ease of collection]]</f>
        <v>0</v>
      </c>
      <c r="AQ210" s="174">
        <f>Buildings_Water_Frontend[[#This Row],[Completeness]]</f>
        <v>0</v>
      </c>
      <c r="AR210" s="174">
        <f>Buildings_Water_Frontend[[#This Row],[Notes]]</f>
        <v>0</v>
      </c>
    </row>
    <row r="211" spans="5:44" x14ac:dyDescent="0.3">
      <c r="E211" s="346"/>
      <c r="F211" s="364"/>
      <c r="G211" s="336"/>
      <c r="H211" s="336"/>
      <c r="I211" s="334"/>
      <c r="J211" s="336"/>
      <c r="K211" s="336"/>
      <c r="L211" s="336"/>
      <c r="M211" s="337"/>
      <c r="N211" s="242">
        <f t="shared" si="7"/>
        <v>5</v>
      </c>
      <c r="Q211" s="212" t="str">
        <f t="shared" si="6"/>
        <v/>
      </c>
      <c r="R211" s="174" t="s">
        <v>265</v>
      </c>
      <c r="S211" s="174" t="s">
        <v>273</v>
      </c>
      <c r="T211" s="174" t="e">
        <f>_xlfn.XLOOKUP(Buildings_Water_Backend[[#This Row],[Info 1]],Buildings_SiteInfo[Site name],Buildings_SiteInfo[Site type])</f>
        <v>#N/A</v>
      </c>
      <c r="U211" s="174" t="s">
        <v>327</v>
      </c>
      <c r="V211" s="174">
        <f>Buildings_Water_Frontend[[#This Row],[Type]]</f>
        <v>0</v>
      </c>
      <c r="W211" s="174" t="e" cm="1">
        <f t="array" aca="1" ref="W211" ca="1">_xlfn.XLOOKUP(Buildings_Water_Backend[[#This Row],[Level 5]],rng_Level5Long,rng_Level6Long)</f>
        <v>#N/A</v>
      </c>
      <c r="X211" s="174">
        <f>Buildings_Water_Frontend[[#This Row],[Site Name]]</f>
        <v>0</v>
      </c>
      <c r="Y211" s="174">
        <f>Buildings_Water_Frontend[[#This Row],[Meter Reference]]</f>
        <v>0</v>
      </c>
      <c r="Z211" s="220">
        <f>Buildings_Water_Frontend[[#This Row],[Methodology]]</f>
        <v>0</v>
      </c>
      <c r="AA211" s="229" t="e" cm="1">
        <f t="array" ref="AA211">INDEX(_xlfn.SWITCH(Buildings_Water_Backend[[#This Row],[Methodology]],"Tier 1",rng_RSD1,"Tier 2",rng_RSD2,"Tier 3",rng_RSD3),MATCH(_xlfn.CONCAT(Buildings_Water_Backend[[#This Row],[Level 1]:[Level 6]]),rng_LevelsConcat,0))</f>
        <v>#N/A</v>
      </c>
      <c r="AB211" s="224">
        <f>Buildings_Water_Frontend[[#This Row],[Data]]</f>
        <v>0</v>
      </c>
      <c r="AC211" s="174">
        <f>Buildings_Water_Frontend[[#This Row],[Units]]</f>
        <v>0</v>
      </c>
      <c r="AD211" s="220" t="e">
        <f>IF(Buildings_Water_Backend[[#This Row],[Units]]=Buildings_Water_Backend[[#This Row],[Standard units]],Buildings_Water_Backend[[#This Row],[Data]],Buildings_Water_Backend[[#This Row],[Data]]*_xlfn.XLOOKUP(_xlfn.CONCAT(Buildings_Water_Backend[[#This Row],[Level 1]:[Level 6]]),rng_EFConcat,rng_EFConversion))</f>
        <v>#N/A</v>
      </c>
      <c r="AE211" s="174" t="e" cm="1">
        <f t="array" ref="AE211">_xlfn.XLOOKUP(_xlfn.CONCAT(Buildings_Water_Backend[[#This Row],[Level 1]:[Level 6]]),rng_LevelsConcat,rng_UnitsLong)</f>
        <v>#N/A</v>
      </c>
      <c r="AF211" s="210" t="e">
        <f>_xlfn.XLOOKUP(_xlfn.CONCAT(Buildings_Water_Backend[[#This Row],[Level 1]:[Level 6]]),rng_EFConcat,rng_EF1)*Buildings_Water_Backend[[#This Row],[Converted data]]/1000</f>
        <v>#N/A</v>
      </c>
      <c r="AG211" s="210" t="e">
        <f>_xlfn.XLOOKUP(_xlfn.CONCAT(Buildings_Water_Backend[[#This Row],[Level 1]:[Level 6]]),rng_EFConcat,rng_EF2)*Buildings_Water_Backend[[#This Row],[Converted data]]/1000</f>
        <v>#N/A</v>
      </c>
      <c r="AH211" s="210" t="e">
        <f>_xlfn.XLOOKUP(_xlfn.CONCAT(Buildings_Water_Backend[[#This Row],[Level 1]:[Level 6]]),rng_EFConcat,rng_EF3)*Buildings_Water_Backend[[#This Row],[Converted data]]/1000</f>
        <v>#N/A</v>
      </c>
      <c r="AI211" s="210" t="e">
        <f>_xlfn.XLOOKUP(_xlfn.CONCAT(Buildings_Water_Backend[[#This Row],[Level 1]:[Level 6]]),rng_EFConcat,rng_EF3WTT)*Buildings_Water_Backend[[#This Row],[Converted data]]/1000</f>
        <v>#N/A</v>
      </c>
      <c r="AJ211" s="210" t="e">
        <f>_xlfn.XLOOKUP(_xlfn.CONCAT(Buildings_Water_Backend[[#This Row],[Level 1]:[Level 6]]),rng_EFConcat,rng_EF3TD)*Buildings_Water_Backend[[#This Row],[Converted data]]/1000</f>
        <v>#N/A</v>
      </c>
      <c r="AK211" s="210" t="e">
        <f>_xlfn.XLOOKUP(_xlfn.CONCAT(Buildings_Water_Backend[[#This Row],[Level 1]:[Level 6]]),rng_EFConcat,rng_EF3WTTTD)*Buildings_Water_Backend[[#This Row],[Converted data]]/1000</f>
        <v>#N/A</v>
      </c>
      <c r="AL211" s="220" t="e">
        <f>SUM(Buildings_Water_Backend[[#This Row],[Scope 1 (tCO2e)]:[Scope 3 WTT T&amp;D (tCO2e)]])</f>
        <v>#N/A</v>
      </c>
      <c r="AM211" s="220" t="e">
        <f>Buildings_Water_Backend[[#This Row],[Total (tCO2e)]]*(1-Buildings_Water_Backend[[#This Row],[RSD]])</f>
        <v>#N/A</v>
      </c>
      <c r="AN211" s="220" t="e">
        <f>Buildings_Water_Backend[[#This Row],[Total (tCO2e)]]*(1+Buildings_Water_Backend[[#This Row],[RSD]])</f>
        <v>#N/A</v>
      </c>
      <c r="AO211" s="210" t="e">
        <f>_xlfn.XLOOKUP(_xlfn.CONCAT(Buildings_Water_Backend[[#This Row],[Level 1]:[Level 6]]),rng_EFConcat,rng_EFOOS)*Buildings_Water_Backend[[#This Row],[Converted data]]/1000</f>
        <v>#N/A</v>
      </c>
      <c r="AP211" s="174">
        <f>Buildings_Water_Frontend[[#This Row],[Ease of collection]]</f>
        <v>0</v>
      </c>
      <c r="AQ211" s="174">
        <f>Buildings_Water_Frontend[[#This Row],[Completeness]]</f>
        <v>0</v>
      </c>
      <c r="AR211" s="174">
        <f>Buildings_Water_Frontend[[#This Row],[Notes]]</f>
        <v>0</v>
      </c>
    </row>
    <row r="212" spans="5:44" x14ac:dyDescent="0.3">
      <c r="E212" s="346"/>
      <c r="F212" s="364"/>
      <c r="G212" s="336"/>
      <c r="H212" s="336"/>
      <c r="I212" s="334"/>
      <c r="J212" s="336"/>
      <c r="K212" s="336"/>
      <c r="L212" s="336"/>
      <c r="M212" s="337"/>
      <c r="N212" s="242">
        <f t="shared" si="7"/>
        <v>5</v>
      </c>
      <c r="Q212" s="212" t="str">
        <f t="shared" si="6"/>
        <v/>
      </c>
      <c r="R212" s="174" t="s">
        <v>265</v>
      </c>
      <c r="S212" s="174" t="s">
        <v>273</v>
      </c>
      <c r="T212" s="174" t="e">
        <f>_xlfn.XLOOKUP(Buildings_Water_Backend[[#This Row],[Info 1]],Buildings_SiteInfo[Site name],Buildings_SiteInfo[Site type])</f>
        <v>#N/A</v>
      </c>
      <c r="U212" s="174" t="s">
        <v>327</v>
      </c>
      <c r="V212" s="174">
        <f>Buildings_Water_Frontend[[#This Row],[Type]]</f>
        <v>0</v>
      </c>
      <c r="W212" s="174" t="e" cm="1">
        <f t="array" aca="1" ref="W212" ca="1">_xlfn.XLOOKUP(Buildings_Water_Backend[[#This Row],[Level 5]],rng_Level5Long,rng_Level6Long)</f>
        <v>#N/A</v>
      </c>
      <c r="X212" s="174">
        <f>Buildings_Water_Frontend[[#This Row],[Site Name]]</f>
        <v>0</v>
      </c>
      <c r="Y212" s="174">
        <f>Buildings_Water_Frontend[[#This Row],[Meter Reference]]</f>
        <v>0</v>
      </c>
      <c r="Z212" s="220">
        <f>Buildings_Water_Frontend[[#This Row],[Methodology]]</f>
        <v>0</v>
      </c>
      <c r="AA212" s="229" t="e" cm="1">
        <f t="array" ref="AA212">INDEX(_xlfn.SWITCH(Buildings_Water_Backend[[#This Row],[Methodology]],"Tier 1",rng_RSD1,"Tier 2",rng_RSD2,"Tier 3",rng_RSD3),MATCH(_xlfn.CONCAT(Buildings_Water_Backend[[#This Row],[Level 1]:[Level 6]]),rng_LevelsConcat,0))</f>
        <v>#N/A</v>
      </c>
      <c r="AB212" s="224">
        <f>Buildings_Water_Frontend[[#This Row],[Data]]</f>
        <v>0</v>
      </c>
      <c r="AC212" s="174">
        <f>Buildings_Water_Frontend[[#This Row],[Units]]</f>
        <v>0</v>
      </c>
      <c r="AD212" s="220" t="e">
        <f>IF(Buildings_Water_Backend[[#This Row],[Units]]=Buildings_Water_Backend[[#This Row],[Standard units]],Buildings_Water_Backend[[#This Row],[Data]],Buildings_Water_Backend[[#This Row],[Data]]*_xlfn.XLOOKUP(_xlfn.CONCAT(Buildings_Water_Backend[[#This Row],[Level 1]:[Level 6]]),rng_EFConcat,rng_EFConversion))</f>
        <v>#N/A</v>
      </c>
      <c r="AE212" s="174" t="e" cm="1">
        <f t="array" ref="AE212">_xlfn.XLOOKUP(_xlfn.CONCAT(Buildings_Water_Backend[[#This Row],[Level 1]:[Level 6]]),rng_LevelsConcat,rng_UnitsLong)</f>
        <v>#N/A</v>
      </c>
      <c r="AF212" s="210" t="e">
        <f>_xlfn.XLOOKUP(_xlfn.CONCAT(Buildings_Water_Backend[[#This Row],[Level 1]:[Level 6]]),rng_EFConcat,rng_EF1)*Buildings_Water_Backend[[#This Row],[Converted data]]/1000</f>
        <v>#N/A</v>
      </c>
      <c r="AG212" s="210" t="e">
        <f>_xlfn.XLOOKUP(_xlfn.CONCAT(Buildings_Water_Backend[[#This Row],[Level 1]:[Level 6]]),rng_EFConcat,rng_EF2)*Buildings_Water_Backend[[#This Row],[Converted data]]/1000</f>
        <v>#N/A</v>
      </c>
      <c r="AH212" s="210" t="e">
        <f>_xlfn.XLOOKUP(_xlfn.CONCAT(Buildings_Water_Backend[[#This Row],[Level 1]:[Level 6]]),rng_EFConcat,rng_EF3)*Buildings_Water_Backend[[#This Row],[Converted data]]/1000</f>
        <v>#N/A</v>
      </c>
      <c r="AI212" s="210" t="e">
        <f>_xlfn.XLOOKUP(_xlfn.CONCAT(Buildings_Water_Backend[[#This Row],[Level 1]:[Level 6]]),rng_EFConcat,rng_EF3WTT)*Buildings_Water_Backend[[#This Row],[Converted data]]/1000</f>
        <v>#N/A</v>
      </c>
      <c r="AJ212" s="210" t="e">
        <f>_xlfn.XLOOKUP(_xlfn.CONCAT(Buildings_Water_Backend[[#This Row],[Level 1]:[Level 6]]),rng_EFConcat,rng_EF3TD)*Buildings_Water_Backend[[#This Row],[Converted data]]/1000</f>
        <v>#N/A</v>
      </c>
      <c r="AK212" s="210" t="e">
        <f>_xlfn.XLOOKUP(_xlfn.CONCAT(Buildings_Water_Backend[[#This Row],[Level 1]:[Level 6]]),rng_EFConcat,rng_EF3WTTTD)*Buildings_Water_Backend[[#This Row],[Converted data]]/1000</f>
        <v>#N/A</v>
      </c>
      <c r="AL212" s="220" t="e">
        <f>SUM(Buildings_Water_Backend[[#This Row],[Scope 1 (tCO2e)]:[Scope 3 WTT T&amp;D (tCO2e)]])</f>
        <v>#N/A</v>
      </c>
      <c r="AM212" s="220" t="e">
        <f>Buildings_Water_Backend[[#This Row],[Total (tCO2e)]]*(1-Buildings_Water_Backend[[#This Row],[RSD]])</f>
        <v>#N/A</v>
      </c>
      <c r="AN212" s="220" t="e">
        <f>Buildings_Water_Backend[[#This Row],[Total (tCO2e)]]*(1+Buildings_Water_Backend[[#This Row],[RSD]])</f>
        <v>#N/A</v>
      </c>
      <c r="AO212" s="210" t="e">
        <f>_xlfn.XLOOKUP(_xlfn.CONCAT(Buildings_Water_Backend[[#This Row],[Level 1]:[Level 6]]),rng_EFConcat,rng_EFOOS)*Buildings_Water_Backend[[#This Row],[Converted data]]/1000</f>
        <v>#N/A</v>
      </c>
      <c r="AP212" s="174">
        <f>Buildings_Water_Frontend[[#This Row],[Ease of collection]]</f>
        <v>0</v>
      </c>
      <c r="AQ212" s="174">
        <f>Buildings_Water_Frontend[[#This Row],[Completeness]]</f>
        <v>0</v>
      </c>
      <c r="AR212" s="174">
        <f>Buildings_Water_Frontend[[#This Row],[Notes]]</f>
        <v>0</v>
      </c>
    </row>
    <row r="213" spans="5:44" x14ac:dyDescent="0.3">
      <c r="E213" s="346"/>
      <c r="F213" s="364"/>
      <c r="G213" s="336"/>
      <c r="H213" s="336"/>
      <c r="I213" s="334"/>
      <c r="J213" s="336"/>
      <c r="K213" s="336"/>
      <c r="L213" s="336"/>
      <c r="M213" s="337"/>
      <c r="N213" s="242">
        <f t="shared" si="7"/>
        <v>5</v>
      </c>
      <c r="Q213" s="212" t="str">
        <f t="shared" si="6"/>
        <v/>
      </c>
      <c r="R213" s="174" t="s">
        <v>265</v>
      </c>
      <c r="S213" s="174" t="s">
        <v>273</v>
      </c>
      <c r="T213" s="174" t="e">
        <f>_xlfn.XLOOKUP(Buildings_Water_Backend[[#This Row],[Info 1]],Buildings_SiteInfo[Site name],Buildings_SiteInfo[Site type])</f>
        <v>#N/A</v>
      </c>
      <c r="U213" s="174" t="s">
        <v>327</v>
      </c>
      <c r="V213" s="174">
        <f>Buildings_Water_Frontend[[#This Row],[Type]]</f>
        <v>0</v>
      </c>
      <c r="W213" s="174" t="e" cm="1">
        <f t="array" aca="1" ref="W213" ca="1">_xlfn.XLOOKUP(Buildings_Water_Backend[[#This Row],[Level 5]],rng_Level5Long,rng_Level6Long)</f>
        <v>#N/A</v>
      </c>
      <c r="X213" s="174">
        <f>Buildings_Water_Frontend[[#This Row],[Site Name]]</f>
        <v>0</v>
      </c>
      <c r="Y213" s="174">
        <f>Buildings_Water_Frontend[[#This Row],[Meter Reference]]</f>
        <v>0</v>
      </c>
      <c r="Z213" s="220">
        <f>Buildings_Water_Frontend[[#This Row],[Methodology]]</f>
        <v>0</v>
      </c>
      <c r="AA213" s="229" t="e" cm="1">
        <f t="array" ref="AA213">INDEX(_xlfn.SWITCH(Buildings_Water_Backend[[#This Row],[Methodology]],"Tier 1",rng_RSD1,"Tier 2",rng_RSD2,"Tier 3",rng_RSD3),MATCH(_xlfn.CONCAT(Buildings_Water_Backend[[#This Row],[Level 1]:[Level 6]]),rng_LevelsConcat,0))</f>
        <v>#N/A</v>
      </c>
      <c r="AB213" s="224">
        <f>Buildings_Water_Frontend[[#This Row],[Data]]</f>
        <v>0</v>
      </c>
      <c r="AC213" s="174">
        <f>Buildings_Water_Frontend[[#This Row],[Units]]</f>
        <v>0</v>
      </c>
      <c r="AD213" s="220" t="e">
        <f>IF(Buildings_Water_Backend[[#This Row],[Units]]=Buildings_Water_Backend[[#This Row],[Standard units]],Buildings_Water_Backend[[#This Row],[Data]],Buildings_Water_Backend[[#This Row],[Data]]*_xlfn.XLOOKUP(_xlfn.CONCAT(Buildings_Water_Backend[[#This Row],[Level 1]:[Level 6]]),rng_EFConcat,rng_EFConversion))</f>
        <v>#N/A</v>
      </c>
      <c r="AE213" s="174" t="e" cm="1">
        <f t="array" ref="AE213">_xlfn.XLOOKUP(_xlfn.CONCAT(Buildings_Water_Backend[[#This Row],[Level 1]:[Level 6]]),rng_LevelsConcat,rng_UnitsLong)</f>
        <v>#N/A</v>
      </c>
      <c r="AF213" s="210" t="e">
        <f>_xlfn.XLOOKUP(_xlfn.CONCAT(Buildings_Water_Backend[[#This Row],[Level 1]:[Level 6]]),rng_EFConcat,rng_EF1)*Buildings_Water_Backend[[#This Row],[Converted data]]/1000</f>
        <v>#N/A</v>
      </c>
      <c r="AG213" s="210" t="e">
        <f>_xlfn.XLOOKUP(_xlfn.CONCAT(Buildings_Water_Backend[[#This Row],[Level 1]:[Level 6]]),rng_EFConcat,rng_EF2)*Buildings_Water_Backend[[#This Row],[Converted data]]/1000</f>
        <v>#N/A</v>
      </c>
      <c r="AH213" s="210" t="e">
        <f>_xlfn.XLOOKUP(_xlfn.CONCAT(Buildings_Water_Backend[[#This Row],[Level 1]:[Level 6]]),rng_EFConcat,rng_EF3)*Buildings_Water_Backend[[#This Row],[Converted data]]/1000</f>
        <v>#N/A</v>
      </c>
      <c r="AI213" s="210" t="e">
        <f>_xlfn.XLOOKUP(_xlfn.CONCAT(Buildings_Water_Backend[[#This Row],[Level 1]:[Level 6]]),rng_EFConcat,rng_EF3WTT)*Buildings_Water_Backend[[#This Row],[Converted data]]/1000</f>
        <v>#N/A</v>
      </c>
      <c r="AJ213" s="210" t="e">
        <f>_xlfn.XLOOKUP(_xlfn.CONCAT(Buildings_Water_Backend[[#This Row],[Level 1]:[Level 6]]),rng_EFConcat,rng_EF3TD)*Buildings_Water_Backend[[#This Row],[Converted data]]/1000</f>
        <v>#N/A</v>
      </c>
      <c r="AK213" s="210" t="e">
        <f>_xlfn.XLOOKUP(_xlfn.CONCAT(Buildings_Water_Backend[[#This Row],[Level 1]:[Level 6]]),rng_EFConcat,rng_EF3WTTTD)*Buildings_Water_Backend[[#This Row],[Converted data]]/1000</f>
        <v>#N/A</v>
      </c>
      <c r="AL213" s="220" t="e">
        <f>SUM(Buildings_Water_Backend[[#This Row],[Scope 1 (tCO2e)]:[Scope 3 WTT T&amp;D (tCO2e)]])</f>
        <v>#N/A</v>
      </c>
      <c r="AM213" s="220" t="e">
        <f>Buildings_Water_Backend[[#This Row],[Total (tCO2e)]]*(1-Buildings_Water_Backend[[#This Row],[RSD]])</f>
        <v>#N/A</v>
      </c>
      <c r="AN213" s="220" t="e">
        <f>Buildings_Water_Backend[[#This Row],[Total (tCO2e)]]*(1+Buildings_Water_Backend[[#This Row],[RSD]])</f>
        <v>#N/A</v>
      </c>
      <c r="AO213" s="210" t="e">
        <f>_xlfn.XLOOKUP(_xlfn.CONCAT(Buildings_Water_Backend[[#This Row],[Level 1]:[Level 6]]),rng_EFConcat,rng_EFOOS)*Buildings_Water_Backend[[#This Row],[Converted data]]/1000</f>
        <v>#N/A</v>
      </c>
      <c r="AP213" s="174">
        <f>Buildings_Water_Frontend[[#This Row],[Ease of collection]]</f>
        <v>0</v>
      </c>
      <c r="AQ213" s="174">
        <f>Buildings_Water_Frontend[[#This Row],[Completeness]]</f>
        <v>0</v>
      </c>
      <c r="AR213" s="174">
        <f>Buildings_Water_Frontend[[#This Row],[Notes]]</f>
        <v>0</v>
      </c>
    </row>
    <row r="214" spans="5:44" x14ac:dyDescent="0.3">
      <c r="E214" s="346"/>
      <c r="F214" s="364"/>
      <c r="G214" s="336"/>
      <c r="H214" s="336"/>
      <c r="I214" s="334"/>
      <c r="J214" s="336"/>
      <c r="K214" s="336"/>
      <c r="L214" s="336"/>
      <c r="M214" s="337"/>
      <c r="N214" s="242">
        <f t="shared" si="7"/>
        <v>5</v>
      </c>
      <c r="Q214" s="212" t="str">
        <f t="shared" si="6"/>
        <v/>
      </c>
      <c r="R214" s="174" t="s">
        <v>265</v>
      </c>
      <c r="S214" s="174" t="s">
        <v>273</v>
      </c>
      <c r="T214" s="174" t="e">
        <f>_xlfn.XLOOKUP(Buildings_Water_Backend[[#This Row],[Info 1]],Buildings_SiteInfo[Site name],Buildings_SiteInfo[Site type])</f>
        <v>#N/A</v>
      </c>
      <c r="U214" s="174" t="s">
        <v>327</v>
      </c>
      <c r="V214" s="174">
        <f>Buildings_Water_Frontend[[#This Row],[Type]]</f>
        <v>0</v>
      </c>
      <c r="W214" s="174" t="e" cm="1">
        <f t="array" aca="1" ref="W214" ca="1">_xlfn.XLOOKUP(Buildings_Water_Backend[[#This Row],[Level 5]],rng_Level5Long,rng_Level6Long)</f>
        <v>#N/A</v>
      </c>
      <c r="X214" s="174">
        <f>Buildings_Water_Frontend[[#This Row],[Site Name]]</f>
        <v>0</v>
      </c>
      <c r="Y214" s="174">
        <f>Buildings_Water_Frontend[[#This Row],[Meter Reference]]</f>
        <v>0</v>
      </c>
      <c r="Z214" s="220">
        <f>Buildings_Water_Frontend[[#This Row],[Methodology]]</f>
        <v>0</v>
      </c>
      <c r="AA214" s="229" t="e" cm="1">
        <f t="array" ref="AA214">INDEX(_xlfn.SWITCH(Buildings_Water_Backend[[#This Row],[Methodology]],"Tier 1",rng_RSD1,"Tier 2",rng_RSD2,"Tier 3",rng_RSD3),MATCH(_xlfn.CONCAT(Buildings_Water_Backend[[#This Row],[Level 1]:[Level 6]]),rng_LevelsConcat,0))</f>
        <v>#N/A</v>
      </c>
      <c r="AB214" s="224">
        <f>Buildings_Water_Frontend[[#This Row],[Data]]</f>
        <v>0</v>
      </c>
      <c r="AC214" s="174">
        <f>Buildings_Water_Frontend[[#This Row],[Units]]</f>
        <v>0</v>
      </c>
      <c r="AD214" s="220" t="e">
        <f>IF(Buildings_Water_Backend[[#This Row],[Units]]=Buildings_Water_Backend[[#This Row],[Standard units]],Buildings_Water_Backend[[#This Row],[Data]],Buildings_Water_Backend[[#This Row],[Data]]*_xlfn.XLOOKUP(_xlfn.CONCAT(Buildings_Water_Backend[[#This Row],[Level 1]:[Level 6]]),rng_EFConcat,rng_EFConversion))</f>
        <v>#N/A</v>
      </c>
      <c r="AE214" s="174" t="e" cm="1">
        <f t="array" ref="AE214">_xlfn.XLOOKUP(_xlfn.CONCAT(Buildings_Water_Backend[[#This Row],[Level 1]:[Level 6]]),rng_LevelsConcat,rng_UnitsLong)</f>
        <v>#N/A</v>
      </c>
      <c r="AF214" s="210" t="e">
        <f>_xlfn.XLOOKUP(_xlfn.CONCAT(Buildings_Water_Backend[[#This Row],[Level 1]:[Level 6]]),rng_EFConcat,rng_EF1)*Buildings_Water_Backend[[#This Row],[Converted data]]/1000</f>
        <v>#N/A</v>
      </c>
      <c r="AG214" s="210" t="e">
        <f>_xlfn.XLOOKUP(_xlfn.CONCAT(Buildings_Water_Backend[[#This Row],[Level 1]:[Level 6]]),rng_EFConcat,rng_EF2)*Buildings_Water_Backend[[#This Row],[Converted data]]/1000</f>
        <v>#N/A</v>
      </c>
      <c r="AH214" s="210" t="e">
        <f>_xlfn.XLOOKUP(_xlfn.CONCAT(Buildings_Water_Backend[[#This Row],[Level 1]:[Level 6]]),rng_EFConcat,rng_EF3)*Buildings_Water_Backend[[#This Row],[Converted data]]/1000</f>
        <v>#N/A</v>
      </c>
      <c r="AI214" s="210" t="e">
        <f>_xlfn.XLOOKUP(_xlfn.CONCAT(Buildings_Water_Backend[[#This Row],[Level 1]:[Level 6]]),rng_EFConcat,rng_EF3WTT)*Buildings_Water_Backend[[#This Row],[Converted data]]/1000</f>
        <v>#N/A</v>
      </c>
      <c r="AJ214" s="210" t="e">
        <f>_xlfn.XLOOKUP(_xlfn.CONCAT(Buildings_Water_Backend[[#This Row],[Level 1]:[Level 6]]),rng_EFConcat,rng_EF3TD)*Buildings_Water_Backend[[#This Row],[Converted data]]/1000</f>
        <v>#N/A</v>
      </c>
      <c r="AK214" s="210" t="e">
        <f>_xlfn.XLOOKUP(_xlfn.CONCAT(Buildings_Water_Backend[[#This Row],[Level 1]:[Level 6]]),rng_EFConcat,rng_EF3WTTTD)*Buildings_Water_Backend[[#This Row],[Converted data]]/1000</f>
        <v>#N/A</v>
      </c>
      <c r="AL214" s="220" t="e">
        <f>SUM(Buildings_Water_Backend[[#This Row],[Scope 1 (tCO2e)]:[Scope 3 WTT T&amp;D (tCO2e)]])</f>
        <v>#N/A</v>
      </c>
      <c r="AM214" s="220" t="e">
        <f>Buildings_Water_Backend[[#This Row],[Total (tCO2e)]]*(1-Buildings_Water_Backend[[#This Row],[RSD]])</f>
        <v>#N/A</v>
      </c>
      <c r="AN214" s="220" t="e">
        <f>Buildings_Water_Backend[[#This Row],[Total (tCO2e)]]*(1+Buildings_Water_Backend[[#This Row],[RSD]])</f>
        <v>#N/A</v>
      </c>
      <c r="AO214" s="210" t="e">
        <f>_xlfn.XLOOKUP(_xlfn.CONCAT(Buildings_Water_Backend[[#This Row],[Level 1]:[Level 6]]),rng_EFConcat,rng_EFOOS)*Buildings_Water_Backend[[#This Row],[Converted data]]/1000</f>
        <v>#N/A</v>
      </c>
      <c r="AP214" s="174">
        <f>Buildings_Water_Frontend[[#This Row],[Ease of collection]]</f>
        <v>0</v>
      </c>
      <c r="AQ214" s="174">
        <f>Buildings_Water_Frontend[[#This Row],[Completeness]]</f>
        <v>0</v>
      </c>
      <c r="AR214" s="174">
        <f>Buildings_Water_Frontend[[#This Row],[Notes]]</f>
        <v>0</v>
      </c>
    </row>
    <row r="215" spans="5:44" x14ac:dyDescent="0.3">
      <c r="E215" s="346"/>
      <c r="F215" s="364"/>
      <c r="G215" s="336"/>
      <c r="H215" s="336"/>
      <c r="I215" s="334"/>
      <c r="J215" s="336"/>
      <c r="K215" s="336"/>
      <c r="L215" s="336"/>
      <c r="M215" s="337"/>
      <c r="N215" s="242">
        <f t="shared" si="7"/>
        <v>5</v>
      </c>
      <c r="Q215" s="212" t="str">
        <f t="shared" si="6"/>
        <v/>
      </c>
      <c r="R215" s="174" t="s">
        <v>265</v>
      </c>
      <c r="S215" s="174" t="s">
        <v>273</v>
      </c>
      <c r="T215" s="174" t="e">
        <f>_xlfn.XLOOKUP(Buildings_Water_Backend[[#This Row],[Info 1]],Buildings_SiteInfo[Site name],Buildings_SiteInfo[Site type])</f>
        <v>#N/A</v>
      </c>
      <c r="U215" s="174" t="s">
        <v>327</v>
      </c>
      <c r="V215" s="174">
        <f>Buildings_Water_Frontend[[#This Row],[Type]]</f>
        <v>0</v>
      </c>
      <c r="W215" s="174" t="e" cm="1">
        <f t="array" aca="1" ref="W215" ca="1">_xlfn.XLOOKUP(Buildings_Water_Backend[[#This Row],[Level 5]],rng_Level5Long,rng_Level6Long)</f>
        <v>#N/A</v>
      </c>
      <c r="X215" s="174">
        <f>Buildings_Water_Frontend[[#This Row],[Site Name]]</f>
        <v>0</v>
      </c>
      <c r="Y215" s="174">
        <f>Buildings_Water_Frontend[[#This Row],[Meter Reference]]</f>
        <v>0</v>
      </c>
      <c r="Z215" s="220">
        <f>Buildings_Water_Frontend[[#This Row],[Methodology]]</f>
        <v>0</v>
      </c>
      <c r="AA215" s="229" t="e" cm="1">
        <f t="array" ref="AA215">INDEX(_xlfn.SWITCH(Buildings_Water_Backend[[#This Row],[Methodology]],"Tier 1",rng_RSD1,"Tier 2",rng_RSD2,"Tier 3",rng_RSD3),MATCH(_xlfn.CONCAT(Buildings_Water_Backend[[#This Row],[Level 1]:[Level 6]]),rng_LevelsConcat,0))</f>
        <v>#N/A</v>
      </c>
      <c r="AB215" s="224">
        <f>Buildings_Water_Frontend[[#This Row],[Data]]</f>
        <v>0</v>
      </c>
      <c r="AC215" s="174">
        <f>Buildings_Water_Frontend[[#This Row],[Units]]</f>
        <v>0</v>
      </c>
      <c r="AD215" s="220" t="e">
        <f>IF(Buildings_Water_Backend[[#This Row],[Units]]=Buildings_Water_Backend[[#This Row],[Standard units]],Buildings_Water_Backend[[#This Row],[Data]],Buildings_Water_Backend[[#This Row],[Data]]*_xlfn.XLOOKUP(_xlfn.CONCAT(Buildings_Water_Backend[[#This Row],[Level 1]:[Level 6]]),rng_EFConcat,rng_EFConversion))</f>
        <v>#N/A</v>
      </c>
      <c r="AE215" s="174" t="e" cm="1">
        <f t="array" ref="AE215">_xlfn.XLOOKUP(_xlfn.CONCAT(Buildings_Water_Backend[[#This Row],[Level 1]:[Level 6]]),rng_LevelsConcat,rng_UnitsLong)</f>
        <v>#N/A</v>
      </c>
      <c r="AF215" s="210" t="e">
        <f>_xlfn.XLOOKUP(_xlfn.CONCAT(Buildings_Water_Backend[[#This Row],[Level 1]:[Level 6]]),rng_EFConcat,rng_EF1)*Buildings_Water_Backend[[#This Row],[Converted data]]/1000</f>
        <v>#N/A</v>
      </c>
      <c r="AG215" s="210" t="e">
        <f>_xlfn.XLOOKUP(_xlfn.CONCAT(Buildings_Water_Backend[[#This Row],[Level 1]:[Level 6]]),rng_EFConcat,rng_EF2)*Buildings_Water_Backend[[#This Row],[Converted data]]/1000</f>
        <v>#N/A</v>
      </c>
      <c r="AH215" s="210" t="e">
        <f>_xlfn.XLOOKUP(_xlfn.CONCAT(Buildings_Water_Backend[[#This Row],[Level 1]:[Level 6]]),rng_EFConcat,rng_EF3)*Buildings_Water_Backend[[#This Row],[Converted data]]/1000</f>
        <v>#N/A</v>
      </c>
      <c r="AI215" s="210" t="e">
        <f>_xlfn.XLOOKUP(_xlfn.CONCAT(Buildings_Water_Backend[[#This Row],[Level 1]:[Level 6]]),rng_EFConcat,rng_EF3WTT)*Buildings_Water_Backend[[#This Row],[Converted data]]/1000</f>
        <v>#N/A</v>
      </c>
      <c r="AJ215" s="210" t="e">
        <f>_xlfn.XLOOKUP(_xlfn.CONCAT(Buildings_Water_Backend[[#This Row],[Level 1]:[Level 6]]),rng_EFConcat,rng_EF3TD)*Buildings_Water_Backend[[#This Row],[Converted data]]/1000</f>
        <v>#N/A</v>
      </c>
      <c r="AK215" s="210" t="e">
        <f>_xlfn.XLOOKUP(_xlfn.CONCAT(Buildings_Water_Backend[[#This Row],[Level 1]:[Level 6]]),rng_EFConcat,rng_EF3WTTTD)*Buildings_Water_Backend[[#This Row],[Converted data]]/1000</f>
        <v>#N/A</v>
      </c>
      <c r="AL215" s="220" t="e">
        <f>SUM(Buildings_Water_Backend[[#This Row],[Scope 1 (tCO2e)]:[Scope 3 WTT T&amp;D (tCO2e)]])</f>
        <v>#N/A</v>
      </c>
      <c r="AM215" s="220" t="e">
        <f>Buildings_Water_Backend[[#This Row],[Total (tCO2e)]]*(1-Buildings_Water_Backend[[#This Row],[RSD]])</f>
        <v>#N/A</v>
      </c>
      <c r="AN215" s="220" t="e">
        <f>Buildings_Water_Backend[[#This Row],[Total (tCO2e)]]*(1+Buildings_Water_Backend[[#This Row],[RSD]])</f>
        <v>#N/A</v>
      </c>
      <c r="AO215" s="210" t="e">
        <f>_xlfn.XLOOKUP(_xlfn.CONCAT(Buildings_Water_Backend[[#This Row],[Level 1]:[Level 6]]),rng_EFConcat,rng_EFOOS)*Buildings_Water_Backend[[#This Row],[Converted data]]/1000</f>
        <v>#N/A</v>
      </c>
      <c r="AP215" s="174">
        <f>Buildings_Water_Frontend[[#This Row],[Ease of collection]]</f>
        <v>0</v>
      </c>
      <c r="AQ215" s="174">
        <f>Buildings_Water_Frontend[[#This Row],[Completeness]]</f>
        <v>0</v>
      </c>
      <c r="AR215" s="174">
        <f>Buildings_Water_Frontend[[#This Row],[Notes]]</f>
        <v>0</v>
      </c>
    </row>
    <row r="216" spans="5:44" x14ac:dyDescent="0.3">
      <c r="E216" s="346"/>
      <c r="F216" s="364"/>
      <c r="G216" s="336"/>
      <c r="H216" s="336"/>
      <c r="I216" s="334"/>
      <c r="J216" s="336"/>
      <c r="K216" s="336"/>
      <c r="L216" s="336"/>
      <c r="M216" s="337"/>
      <c r="N216" s="242">
        <f t="shared" si="7"/>
        <v>5</v>
      </c>
      <c r="Q216" s="212" t="str">
        <f t="shared" si="6"/>
        <v/>
      </c>
      <c r="R216" s="174" t="s">
        <v>265</v>
      </c>
      <c r="S216" s="174" t="s">
        <v>273</v>
      </c>
      <c r="T216" s="174" t="e">
        <f>_xlfn.XLOOKUP(Buildings_Water_Backend[[#This Row],[Info 1]],Buildings_SiteInfo[Site name],Buildings_SiteInfo[Site type])</f>
        <v>#N/A</v>
      </c>
      <c r="U216" s="174" t="s">
        <v>327</v>
      </c>
      <c r="V216" s="174">
        <f>Buildings_Water_Frontend[[#This Row],[Type]]</f>
        <v>0</v>
      </c>
      <c r="W216" s="174" t="e" cm="1">
        <f t="array" aca="1" ref="W216" ca="1">_xlfn.XLOOKUP(Buildings_Water_Backend[[#This Row],[Level 5]],rng_Level5Long,rng_Level6Long)</f>
        <v>#N/A</v>
      </c>
      <c r="X216" s="174">
        <f>Buildings_Water_Frontend[[#This Row],[Site Name]]</f>
        <v>0</v>
      </c>
      <c r="Y216" s="174">
        <f>Buildings_Water_Frontend[[#This Row],[Meter Reference]]</f>
        <v>0</v>
      </c>
      <c r="Z216" s="220">
        <f>Buildings_Water_Frontend[[#This Row],[Methodology]]</f>
        <v>0</v>
      </c>
      <c r="AA216" s="229" t="e" cm="1">
        <f t="array" ref="AA216">INDEX(_xlfn.SWITCH(Buildings_Water_Backend[[#This Row],[Methodology]],"Tier 1",rng_RSD1,"Tier 2",rng_RSD2,"Tier 3",rng_RSD3),MATCH(_xlfn.CONCAT(Buildings_Water_Backend[[#This Row],[Level 1]:[Level 6]]),rng_LevelsConcat,0))</f>
        <v>#N/A</v>
      </c>
      <c r="AB216" s="224">
        <f>Buildings_Water_Frontend[[#This Row],[Data]]</f>
        <v>0</v>
      </c>
      <c r="AC216" s="174">
        <f>Buildings_Water_Frontend[[#This Row],[Units]]</f>
        <v>0</v>
      </c>
      <c r="AD216" s="220" t="e">
        <f>IF(Buildings_Water_Backend[[#This Row],[Units]]=Buildings_Water_Backend[[#This Row],[Standard units]],Buildings_Water_Backend[[#This Row],[Data]],Buildings_Water_Backend[[#This Row],[Data]]*_xlfn.XLOOKUP(_xlfn.CONCAT(Buildings_Water_Backend[[#This Row],[Level 1]:[Level 6]]),rng_EFConcat,rng_EFConversion))</f>
        <v>#N/A</v>
      </c>
      <c r="AE216" s="174" t="e" cm="1">
        <f t="array" ref="AE216">_xlfn.XLOOKUP(_xlfn.CONCAT(Buildings_Water_Backend[[#This Row],[Level 1]:[Level 6]]),rng_LevelsConcat,rng_UnitsLong)</f>
        <v>#N/A</v>
      </c>
      <c r="AF216" s="210" t="e">
        <f>_xlfn.XLOOKUP(_xlfn.CONCAT(Buildings_Water_Backend[[#This Row],[Level 1]:[Level 6]]),rng_EFConcat,rng_EF1)*Buildings_Water_Backend[[#This Row],[Converted data]]/1000</f>
        <v>#N/A</v>
      </c>
      <c r="AG216" s="210" t="e">
        <f>_xlfn.XLOOKUP(_xlfn.CONCAT(Buildings_Water_Backend[[#This Row],[Level 1]:[Level 6]]),rng_EFConcat,rng_EF2)*Buildings_Water_Backend[[#This Row],[Converted data]]/1000</f>
        <v>#N/A</v>
      </c>
      <c r="AH216" s="210" t="e">
        <f>_xlfn.XLOOKUP(_xlfn.CONCAT(Buildings_Water_Backend[[#This Row],[Level 1]:[Level 6]]),rng_EFConcat,rng_EF3)*Buildings_Water_Backend[[#This Row],[Converted data]]/1000</f>
        <v>#N/A</v>
      </c>
      <c r="AI216" s="210" t="e">
        <f>_xlfn.XLOOKUP(_xlfn.CONCAT(Buildings_Water_Backend[[#This Row],[Level 1]:[Level 6]]),rng_EFConcat,rng_EF3WTT)*Buildings_Water_Backend[[#This Row],[Converted data]]/1000</f>
        <v>#N/A</v>
      </c>
      <c r="AJ216" s="210" t="e">
        <f>_xlfn.XLOOKUP(_xlfn.CONCAT(Buildings_Water_Backend[[#This Row],[Level 1]:[Level 6]]),rng_EFConcat,rng_EF3TD)*Buildings_Water_Backend[[#This Row],[Converted data]]/1000</f>
        <v>#N/A</v>
      </c>
      <c r="AK216" s="210" t="e">
        <f>_xlfn.XLOOKUP(_xlfn.CONCAT(Buildings_Water_Backend[[#This Row],[Level 1]:[Level 6]]),rng_EFConcat,rng_EF3WTTTD)*Buildings_Water_Backend[[#This Row],[Converted data]]/1000</f>
        <v>#N/A</v>
      </c>
      <c r="AL216" s="220" t="e">
        <f>SUM(Buildings_Water_Backend[[#This Row],[Scope 1 (tCO2e)]:[Scope 3 WTT T&amp;D (tCO2e)]])</f>
        <v>#N/A</v>
      </c>
      <c r="AM216" s="220" t="e">
        <f>Buildings_Water_Backend[[#This Row],[Total (tCO2e)]]*(1-Buildings_Water_Backend[[#This Row],[RSD]])</f>
        <v>#N/A</v>
      </c>
      <c r="AN216" s="220" t="e">
        <f>Buildings_Water_Backend[[#This Row],[Total (tCO2e)]]*(1+Buildings_Water_Backend[[#This Row],[RSD]])</f>
        <v>#N/A</v>
      </c>
      <c r="AO216" s="210" t="e">
        <f>_xlfn.XLOOKUP(_xlfn.CONCAT(Buildings_Water_Backend[[#This Row],[Level 1]:[Level 6]]),rng_EFConcat,rng_EFOOS)*Buildings_Water_Backend[[#This Row],[Converted data]]/1000</f>
        <v>#N/A</v>
      </c>
      <c r="AP216" s="174">
        <f>Buildings_Water_Frontend[[#This Row],[Ease of collection]]</f>
        <v>0</v>
      </c>
      <c r="AQ216" s="174">
        <f>Buildings_Water_Frontend[[#This Row],[Completeness]]</f>
        <v>0</v>
      </c>
      <c r="AR216" s="174">
        <f>Buildings_Water_Frontend[[#This Row],[Notes]]</f>
        <v>0</v>
      </c>
    </row>
    <row r="217" spans="5:44" x14ac:dyDescent="0.3">
      <c r="E217" s="346"/>
      <c r="F217" s="364"/>
      <c r="G217" s="336"/>
      <c r="H217" s="336"/>
      <c r="I217" s="334"/>
      <c r="J217" s="336"/>
      <c r="K217" s="336"/>
      <c r="L217" s="336"/>
      <c r="M217" s="337"/>
      <c r="N217" s="242">
        <f t="shared" si="7"/>
        <v>5</v>
      </c>
      <c r="Q217" s="212" t="str">
        <f t="shared" si="6"/>
        <v/>
      </c>
      <c r="R217" s="174" t="s">
        <v>265</v>
      </c>
      <c r="S217" s="174" t="s">
        <v>273</v>
      </c>
      <c r="T217" s="174" t="e">
        <f>_xlfn.XLOOKUP(Buildings_Water_Backend[[#This Row],[Info 1]],Buildings_SiteInfo[Site name],Buildings_SiteInfo[Site type])</f>
        <v>#N/A</v>
      </c>
      <c r="U217" s="174" t="s">
        <v>327</v>
      </c>
      <c r="V217" s="174">
        <f>Buildings_Water_Frontend[[#This Row],[Type]]</f>
        <v>0</v>
      </c>
      <c r="W217" s="174" t="e" cm="1">
        <f t="array" aca="1" ref="W217" ca="1">_xlfn.XLOOKUP(Buildings_Water_Backend[[#This Row],[Level 5]],rng_Level5Long,rng_Level6Long)</f>
        <v>#N/A</v>
      </c>
      <c r="X217" s="174">
        <f>Buildings_Water_Frontend[[#This Row],[Site Name]]</f>
        <v>0</v>
      </c>
      <c r="Y217" s="174">
        <f>Buildings_Water_Frontend[[#This Row],[Meter Reference]]</f>
        <v>0</v>
      </c>
      <c r="Z217" s="220">
        <f>Buildings_Water_Frontend[[#This Row],[Methodology]]</f>
        <v>0</v>
      </c>
      <c r="AA217" s="229" t="e" cm="1">
        <f t="array" ref="AA217">INDEX(_xlfn.SWITCH(Buildings_Water_Backend[[#This Row],[Methodology]],"Tier 1",rng_RSD1,"Tier 2",rng_RSD2,"Tier 3",rng_RSD3),MATCH(_xlfn.CONCAT(Buildings_Water_Backend[[#This Row],[Level 1]:[Level 6]]),rng_LevelsConcat,0))</f>
        <v>#N/A</v>
      </c>
      <c r="AB217" s="224">
        <f>Buildings_Water_Frontend[[#This Row],[Data]]</f>
        <v>0</v>
      </c>
      <c r="AC217" s="174">
        <f>Buildings_Water_Frontend[[#This Row],[Units]]</f>
        <v>0</v>
      </c>
      <c r="AD217" s="220" t="e">
        <f>IF(Buildings_Water_Backend[[#This Row],[Units]]=Buildings_Water_Backend[[#This Row],[Standard units]],Buildings_Water_Backend[[#This Row],[Data]],Buildings_Water_Backend[[#This Row],[Data]]*_xlfn.XLOOKUP(_xlfn.CONCAT(Buildings_Water_Backend[[#This Row],[Level 1]:[Level 6]]),rng_EFConcat,rng_EFConversion))</f>
        <v>#N/A</v>
      </c>
      <c r="AE217" s="174" t="e" cm="1">
        <f t="array" ref="AE217">_xlfn.XLOOKUP(_xlfn.CONCAT(Buildings_Water_Backend[[#This Row],[Level 1]:[Level 6]]),rng_LevelsConcat,rng_UnitsLong)</f>
        <v>#N/A</v>
      </c>
      <c r="AF217" s="210" t="e">
        <f>_xlfn.XLOOKUP(_xlfn.CONCAT(Buildings_Water_Backend[[#This Row],[Level 1]:[Level 6]]),rng_EFConcat,rng_EF1)*Buildings_Water_Backend[[#This Row],[Converted data]]/1000</f>
        <v>#N/A</v>
      </c>
      <c r="AG217" s="210" t="e">
        <f>_xlfn.XLOOKUP(_xlfn.CONCAT(Buildings_Water_Backend[[#This Row],[Level 1]:[Level 6]]),rng_EFConcat,rng_EF2)*Buildings_Water_Backend[[#This Row],[Converted data]]/1000</f>
        <v>#N/A</v>
      </c>
      <c r="AH217" s="210" t="e">
        <f>_xlfn.XLOOKUP(_xlfn.CONCAT(Buildings_Water_Backend[[#This Row],[Level 1]:[Level 6]]),rng_EFConcat,rng_EF3)*Buildings_Water_Backend[[#This Row],[Converted data]]/1000</f>
        <v>#N/A</v>
      </c>
      <c r="AI217" s="210" t="e">
        <f>_xlfn.XLOOKUP(_xlfn.CONCAT(Buildings_Water_Backend[[#This Row],[Level 1]:[Level 6]]),rng_EFConcat,rng_EF3WTT)*Buildings_Water_Backend[[#This Row],[Converted data]]/1000</f>
        <v>#N/A</v>
      </c>
      <c r="AJ217" s="210" t="e">
        <f>_xlfn.XLOOKUP(_xlfn.CONCAT(Buildings_Water_Backend[[#This Row],[Level 1]:[Level 6]]),rng_EFConcat,rng_EF3TD)*Buildings_Water_Backend[[#This Row],[Converted data]]/1000</f>
        <v>#N/A</v>
      </c>
      <c r="AK217" s="210" t="e">
        <f>_xlfn.XLOOKUP(_xlfn.CONCAT(Buildings_Water_Backend[[#This Row],[Level 1]:[Level 6]]),rng_EFConcat,rng_EF3WTTTD)*Buildings_Water_Backend[[#This Row],[Converted data]]/1000</f>
        <v>#N/A</v>
      </c>
      <c r="AL217" s="220" t="e">
        <f>SUM(Buildings_Water_Backend[[#This Row],[Scope 1 (tCO2e)]:[Scope 3 WTT T&amp;D (tCO2e)]])</f>
        <v>#N/A</v>
      </c>
      <c r="AM217" s="220" t="e">
        <f>Buildings_Water_Backend[[#This Row],[Total (tCO2e)]]*(1-Buildings_Water_Backend[[#This Row],[RSD]])</f>
        <v>#N/A</v>
      </c>
      <c r="AN217" s="220" t="e">
        <f>Buildings_Water_Backend[[#This Row],[Total (tCO2e)]]*(1+Buildings_Water_Backend[[#This Row],[RSD]])</f>
        <v>#N/A</v>
      </c>
      <c r="AO217" s="210" t="e">
        <f>_xlfn.XLOOKUP(_xlfn.CONCAT(Buildings_Water_Backend[[#This Row],[Level 1]:[Level 6]]),rng_EFConcat,rng_EFOOS)*Buildings_Water_Backend[[#This Row],[Converted data]]/1000</f>
        <v>#N/A</v>
      </c>
      <c r="AP217" s="174">
        <f>Buildings_Water_Frontend[[#This Row],[Ease of collection]]</f>
        <v>0</v>
      </c>
      <c r="AQ217" s="174">
        <f>Buildings_Water_Frontend[[#This Row],[Completeness]]</f>
        <v>0</v>
      </c>
      <c r="AR217" s="174">
        <f>Buildings_Water_Frontend[[#This Row],[Notes]]</f>
        <v>0</v>
      </c>
    </row>
    <row r="218" spans="5:44" x14ac:dyDescent="0.3">
      <c r="E218" s="346"/>
      <c r="F218" s="364"/>
      <c r="G218" s="336"/>
      <c r="H218" s="336"/>
      <c r="I218" s="334"/>
      <c r="J218" s="336"/>
      <c r="K218" s="336"/>
      <c r="L218" s="336"/>
      <c r="M218" s="337"/>
      <c r="N218" s="242">
        <f t="shared" si="7"/>
        <v>5</v>
      </c>
      <c r="Q218" s="212" t="str">
        <f t="shared" si="6"/>
        <v/>
      </c>
      <c r="R218" s="174" t="s">
        <v>265</v>
      </c>
      <c r="S218" s="174" t="s">
        <v>273</v>
      </c>
      <c r="T218" s="174" t="e">
        <f>_xlfn.XLOOKUP(Buildings_Water_Backend[[#This Row],[Info 1]],Buildings_SiteInfo[Site name],Buildings_SiteInfo[Site type])</f>
        <v>#N/A</v>
      </c>
      <c r="U218" s="174" t="s">
        <v>327</v>
      </c>
      <c r="V218" s="174">
        <f>Buildings_Water_Frontend[[#This Row],[Type]]</f>
        <v>0</v>
      </c>
      <c r="W218" s="174" t="e" cm="1">
        <f t="array" aca="1" ref="W218" ca="1">_xlfn.XLOOKUP(Buildings_Water_Backend[[#This Row],[Level 5]],rng_Level5Long,rng_Level6Long)</f>
        <v>#N/A</v>
      </c>
      <c r="X218" s="174">
        <f>Buildings_Water_Frontend[[#This Row],[Site Name]]</f>
        <v>0</v>
      </c>
      <c r="Y218" s="174">
        <f>Buildings_Water_Frontend[[#This Row],[Meter Reference]]</f>
        <v>0</v>
      </c>
      <c r="Z218" s="220">
        <f>Buildings_Water_Frontend[[#This Row],[Methodology]]</f>
        <v>0</v>
      </c>
      <c r="AA218" s="229" t="e" cm="1">
        <f t="array" ref="AA218">INDEX(_xlfn.SWITCH(Buildings_Water_Backend[[#This Row],[Methodology]],"Tier 1",rng_RSD1,"Tier 2",rng_RSD2,"Tier 3",rng_RSD3),MATCH(_xlfn.CONCAT(Buildings_Water_Backend[[#This Row],[Level 1]:[Level 6]]),rng_LevelsConcat,0))</f>
        <v>#N/A</v>
      </c>
      <c r="AB218" s="224">
        <f>Buildings_Water_Frontend[[#This Row],[Data]]</f>
        <v>0</v>
      </c>
      <c r="AC218" s="174">
        <f>Buildings_Water_Frontend[[#This Row],[Units]]</f>
        <v>0</v>
      </c>
      <c r="AD218" s="220" t="e">
        <f>IF(Buildings_Water_Backend[[#This Row],[Units]]=Buildings_Water_Backend[[#This Row],[Standard units]],Buildings_Water_Backend[[#This Row],[Data]],Buildings_Water_Backend[[#This Row],[Data]]*_xlfn.XLOOKUP(_xlfn.CONCAT(Buildings_Water_Backend[[#This Row],[Level 1]:[Level 6]]),rng_EFConcat,rng_EFConversion))</f>
        <v>#N/A</v>
      </c>
      <c r="AE218" s="174" t="e" cm="1">
        <f t="array" ref="AE218">_xlfn.XLOOKUP(_xlfn.CONCAT(Buildings_Water_Backend[[#This Row],[Level 1]:[Level 6]]),rng_LevelsConcat,rng_UnitsLong)</f>
        <v>#N/A</v>
      </c>
      <c r="AF218" s="210" t="e">
        <f>_xlfn.XLOOKUP(_xlfn.CONCAT(Buildings_Water_Backend[[#This Row],[Level 1]:[Level 6]]),rng_EFConcat,rng_EF1)*Buildings_Water_Backend[[#This Row],[Converted data]]/1000</f>
        <v>#N/A</v>
      </c>
      <c r="AG218" s="210" t="e">
        <f>_xlfn.XLOOKUP(_xlfn.CONCAT(Buildings_Water_Backend[[#This Row],[Level 1]:[Level 6]]),rng_EFConcat,rng_EF2)*Buildings_Water_Backend[[#This Row],[Converted data]]/1000</f>
        <v>#N/A</v>
      </c>
      <c r="AH218" s="210" t="e">
        <f>_xlfn.XLOOKUP(_xlfn.CONCAT(Buildings_Water_Backend[[#This Row],[Level 1]:[Level 6]]),rng_EFConcat,rng_EF3)*Buildings_Water_Backend[[#This Row],[Converted data]]/1000</f>
        <v>#N/A</v>
      </c>
      <c r="AI218" s="210" t="e">
        <f>_xlfn.XLOOKUP(_xlfn.CONCAT(Buildings_Water_Backend[[#This Row],[Level 1]:[Level 6]]),rng_EFConcat,rng_EF3WTT)*Buildings_Water_Backend[[#This Row],[Converted data]]/1000</f>
        <v>#N/A</v>
      </c>
      <c r="AJ218" s="210" t="e">
        <f>_xlfn.XLOOKUP(_xlfn.CONCAT(Buildings_Water_Backend[[#This Row],[Level 1]:[Level 6]]),rng_EFConcat,rng_EF3TD)*Buildings_Water_Backend[[#This Row],[Converted data]]/1000</f>
        <v>#N/A</v>
      </c>
      <c r="AK218" s="210" t="e">
        <f>_xlfn.XLOOKUP(_xlfn.CONCAT(Buildings_Water_Backend[[#This Row],[Level 1]:[Level 6]]),rng_EFConcat,rng_EF3WTTTD)*Buildings_Water_Backend[[#This Row],[Converted data]]/1000</f>
        <v>#N/A</v>
      </c>
      <c r="AL218" s="220" t="e">
        <f>SUM(Buildings_Water_Backend[[#This Row],[Scope 1 (tCO2e)]:[Scope 3 WTT T&amp;D (tCO2e)]])</f>
        <v>#N/A</v>
      </c>
      <c r="AM218" s="220" t="e">
        <f>Buildings_Water_Backend[[#This Row],[Total (tCO2e)]]*(1-Buildings_Water_Backend[[#This Row],[RSD]])</f>
        <v>#N/A</v>
      </c>
      <c r="AN218" s="220" t="e">
        <f>Buildings_Water_Backend[[#This Row],[Total (tCO2e)]]*(1+Buildings_Water_Backend[[#This Row],[RSD]])</f>
        <v>#N/A</v>
      </c>
      <c r="AO218" s="210" t="e">
        <f>_xlfn.XLOOKUP(_xlfn.CONCAT(Buildings_Water_Backend[[#This Row],[Level 1]:[Level 6]]),rng_EFConcat,rng_EFOOS)*Buildings_Water_Backend[[#This Row],[Converted data]]/1000</f>
        <v>#N/A</v>
      </c>
      <c r="AP218" s="174">
        <f>Buildings_Water_Frontend[[#This Row],[Ease of collection]]</f>
        <v>0</v>
      </c>
      <c r="AQ218" s="174">
        <f>Buildings_Water_Frontend[[#This Row],[Completeness]]</f>
        <v>0</v>
      </c>
      <c r="AR218" s="174">
        <f>Buildings_Water_Frontend[[#This Row],[Notes]]</f>
        <v>0</v>
      </c>
    </row>
    <row r="219" spans="5:44" x14ac:dyDescent="0.3">
      <c r="E219" s="346"/>
      <c r="F219" s="364"/>
      <c r="G219" s="336"/>
      <c r="H219" s="336"/>
      <c r="I219" s="334"/>
      <c r="J219" s="336"/>
      <c r="K219" s="336"/>
      <c r="L219" s="336"/>
      <c r="M219" s="337"/>
      <c r="N219" s="242">
        <f t="shared" si="7"/>
        <v>5</v>
      </c>
      <c r="Q219" s="212" t="str">
        <f t="shared" si="6"/>
        <v/>
      </c>
      <c r="R219" s="174" t="s">
        <v>265</v>
      </c>
      <c r="S219" s="174" t="s">
        <v>273</v>
      </c>
      <c r="T219" s="174" t="e">
        <f>_xlfn.XLOOKUP(Buildings_Water_Backend[[#This Row],[Info 1]],Buildings_SiteInfo[Site name],Buildings_SiteInfo[Site type])</f>
        <v>#N/A</v>
      </c>
      <c r="U219" s="174" t="s">
        <v>327</v>
      </c>
      <c r="V219" s="174">
        <f>Buildings_Water_Frontend[[#This Row],[Type]]</f>
        <v>0</v>
      </c>
      <c r="W219" s="174" t="e" cm="1">
        <f t="array" aca="1" ref="W219" ca="1">_xlfn.XLOOKUP(Buildings_Water_Backend[[#This Row],[Level 5]],rng_Level5Long,rng_Level6Long)</f>
        <v>#N/A</v>
      </c>
      <c r="X219" s="174">
        <f>Buildings_Water_Frontend[[#This Row],[Site Name]]</f>
        <v>0</v>
      </c>
      <c r="Y219" s="174">
        <f>Buildings_Water_Frontend[[#This Row],[Meter Reference]]</f>
        <v>0</v>
      </c>
      <c r="Z219" s="220">
        <f>Buildings_Water_Frontend[[#This Row],[Methodology]]</f>
        <v>0</v>
      </c>
      <c r="AA219" s="229" t="e" cm="1">
        <f t="array" ref="AA219">INDEX(_xlfn.SWITCH(Buildings_Water_Backend[[#This Row],[Methodology]],"Tier 1",rng_RSD1,"Tier 2",rng_RSD2,"Tier 3",rng_RSD3),MATCH(_xlfn.CONCAT(Buildings_Water_Backend[[#This Row],[Level 1]:[Level 6]]),rng_LevelsConcat,0))</f>
        <v>#N/A</v>
      </c>
      <c r="AB219" s="224">
        <f>Buildings_Water_Frontend[[#This Row],[Data]]</f>
        <v>0</v>
      </c>
      <c r="AC219" s="174">
        <f>Buildings_Water_Frontend[[#This Row],[Units]]</f>
        <v>0</v>
      </c>
      <c r="AD219" s="220" t="e">
        <f>IF(Buildings_Water_Backend[[#This Row],[Units]]=Buildings_Water_Backend[[#This Row],[Standard units]],Buildings_Water_Backend[[#This Row],[Data]],Buildings_Water_Backend[[#This Row],[Data]]*_xlfn.XLOOKUP(_xlfn.CONCAT(Buildings_Water_Backend[[#This Row],[Level 1]:[Level 6]]),rng_EFConcat,rng_EFConversion))</f>
        <v>#N/A</v>
      </c>
      <c r="AE219" s="174" t="e" cm="1">
        <f t="array" ref="AE219">_xlfn.XLOOKUP(_xlfn.CONCAT(Buildings_Water_Backend[[#This Row],[Level 1]:[Level 6]]),rng_LevelsConcat,rng_UnitsLong)</f>
        <v>#N/A</v>
      </c>
      <c r="AF219" s="210" t="e">
        <f>_xlfn.XLOOKUP(_xlfn.CONCAT(Buildings_Water_Backend[[#This Row],[Level 1]:[Level 6]]),rng_EFConcat,rng_EF1)*Buildings_Water_Backend[[#This Row],[Converted data]]/1000</f>
        <v>#N/A</v>
      </c>
      <c r="AG219" s="210" t="e">
        <f>_xlfn.XLOOKUP(_xlfn.CONCAT(Buildings_Water_Backend[[#This Row],[Level 1]:[Level 6]]),rng_EFConcat,rng_EF2)*Buildings_Water_Backend[[#This Row],[Converted data]]/1000</f>
        <v>#N/A</v>
      </c>
      <c r="AH219" s="210" t="e">
        <f>_xlfn.XLOOKUP(_xlfn.CONCAT(Buildings_Water_Backend[[#This Row],[Level 1]:[Level 6]]),rng_EFConcat,rng_EF3)*Buildings_Water_Backend[[#This Row],[Converted data]]/1000</f>
        <v>#N/A</v>
      </c>
      <c r="AI219" s="210" t="e">
        <f>_xlfn.XLOOKUP(_xlfn.CONCAT(Buildings_Water_Backend[[#This Row],[Level 1]:[Level 6]]),rng_EFConcat,rng_EF3WTT)*Buildings_Water_Backend[[#This Row],[Converted data]]/1000</f>
        <v>#N/A</v>
      </c>
      <c r="AJ219" s="210" t="e">
        <f>_xlfn.XLOOKUP(_xlfn.CONCAT(Buildings_Water_Backend[[#This Row],[Level 1]:[Level 6]]),rng_EFConcat,rng_EF3TD)*Buildings_Water_Backend[[#This Row],[Converted data]]/1000</f>
        <v>#N/A</v>
      </c>
      <c r="AK219" s="210" t="e">
        <f>_xlfn.XLOOKUP(_xlfn.CONCAT(Buildings_Water_Backend[[#This Row],[Level 1]:[Level 6]]),rng_EFConcat,rng_EF3WTTTD)*Buildings_Water_Backend[[#This Row],[Converted data]]/1000</f>
        <v>#N/A</v>
      </c>
      <c r="AL219" s="220" t="e">
        <f>SUM(Buildings_Water_Backend[[#This Row],[Scope 1 (tCO2e)]:[Scope 3 WTT T&amp;D (tCO2e)]])</f>
        <v>#N/A</v>
      </c>
      <c r="AM219" s="220" t="e">
        <f>Buildings_Water_Backend[[#This Row],[Total (tCO2e)]]*(1-Buildings_Water_Backend[[#This Row],[RSD]])</f>
        <v>#N/A</v>
      </c>
      <c r="AN219" s="220" t="e">
        <f>Buildings_Water_Backend[[#This Row],[Total (tCO2e)]]*(1+Buildings_Water_Backend[[#This Row],[RSD]])</f>
        <v>#N/A</v>
      </c>
      <c r="AO219" s="210" t="e">
        <f>_xlfn.XLOOKUP(_xlfn.CONCAT(Buildings_Water_Backend[[#This Row],[Level 1]:[Level 6]]),rng_EFConcat,rng_EFOOS)*Buildings_Water_Backend[[#This Row],[Converted data]]/1000</f>
        <v>#N/A</v>
      </c>
      <c r="AP219" s="174">
        <f>Buildings_Water_Frontend[[#This Row],[Ease of collection]]</f>
        <v>0</v>
      </c>
      <c r="AQ219" s="174">
        <f>Buildings_Water_Frontend[[#This Row],[Completeness]]</f>
        <v>0</v>
      </c>
      <c r="AR219" s="174">
        <f>Buildings_Water_Frontend[[#This Row],[Notes]]</f>
        <v>0</v>
      </c>
    </row>
    <row r="220" spans="5:44" x14ac:dyDescent="0.3">
      <c r="E220" s="346"/>
      <c r="F220" s="364"/>
      <c r="G220" s="336"/>
      <c r="H220" s="336"/>
      <c r="I220" s="334"/>
      <c r="J220" s="336"/>
      <c r="K220" s="336"/>
      <c r="L220" s="336"/>
      <c r="M220" s="337"/>
      <c r="N220" s="242">
        <f t="shared" si="7"/>
        <v>5</v>
      </c>
      <c r="Q220" s="212" t="str">
        <f t="shared" si="6"/>
        <v/>
      </c>
      <c r="R220" s="174" t="s">
        <v>265</v>
      </c>
      <c r="S220" s="174" t="s">
        <v>273</v>
      </c>
      <c r="T220" s="174" t="e">
        <f>_xlfn.XLOOKUP(Buildings_Water_Backend[[#This Row],[Info 1]],Buildings_SiteInfo[Site name],Buildings_SiteInfo[Site type])</f>
        <v>#N/A</v>
      </c>
      <c r="U220" s="174" t="s">
        <v>327</v>
      </c>
      <c r="V220" s="174">
        <f>Buildings_Water_Frontend[[#This Row],[Type]]</f>
        <v>0</v>
      </c>
      <c r="W220" s="174" t="e" cm="1">
        <f t="array" aca="1" ref="W220" ca="1">_xlfn.XLOOKUP(Buildings_Water_Backend[[#This Row],[Level 5]],rng_Level5Long,rng_Level6Long)</f>
        <v>#N/A</v>
      </c>
      <c r="X220" s="174">
        <f>Buildings_Water_Frontend[[#This Row],[Site Name]]</f>
        <v>0</v>
      </c>
      <c r="Y220" s="174">
        <f>Buildings_Water_Frontend[[#This Row],[Meter Reference]]</f>
        <v>0</v>
      </c>
      <c r="Z220" s="220">
        <f>Buildings_Water_Frontend[[#This Row],[Methodology]]</f>
        <v>0</v>
      </c>
      <c r="AA220" s="229" t="e" cm="1">
        <f t="array" ref="AA220">INDEX(_xlfn.SWITCH(Buildings_Water_Backend[[#This Row],[Methodology]],"Tier 1",rng_RSD1,"Tier 2",rng_RSD2,"Tier 3",rng_RSD3),MATCH(_xlfn.CONCAT(Buildings_Water_Backend[[#This Row],[Level 1]:[Level 6]]),rng_LevelsConcat,0))</f>
        <v>#N/A</v>
      </c>
      <c r="AB220" s="224">
        <f>Buildings_Water_Frontend[[#This Row],[Data]]</f>
        <v>0</v>
      </c>
      <c r="AC220" s="174">
        <f>Buildings_Water_Frontend[[#This Row],[Units]]</f>
        <v>0</v>
      </c>
      <c r="AD220" s="220" t="e">
        <f>IF(Buildings_Water_Backend[[#This Row],[Units]]=Buildings_Water_Backend[[#This Row],[Standard units]],Buildings_Water_Backend[[#This Row],[Data]],Buildings_Water_Backend[[#This Row],[Data]]*_xlfn.XLOOKUP(_xlfn.CONCAT(Buildings_Water_Backend[[#This Row],[Level 1]:[Level 6]]),rng_EFConcat,rng_EFConversion))</f>
        <v>#N/A</v>
      </c>
      <c r="AE220" s="174" t="e" cm="1">
        <f t="array" ref="AE220">_xlfn.XLOOKUP(_xlfn.CONCAT(Buildings_Water_Backend[[#This Row],[Level 1]:[Level 6]]),rng_LevelsConcat,rng_UnitsLong)</f>
        <v>#N/A</v>
      </c>
      <c r="AF220" s="210" t="e">
        <f>_xlfn.XLOOKUP(_xlfn.CONCAT(Buildings_Water_Backend[[#This Row],[Level 1]:[Level 6]]),rng_EFConcat,rng_EF1)*Buildings_Water_Backend[[#This Row],[Converted data]]/1000</f>
        <v>#N/A</v>
      </c>
      <c r="AG220" s="210" t="e">
        <f>_xlfn.XLOOKUP(_xlfn.CONCAT(Buildings_Water_Backend[[#This Row],[Level 1]:[Level 6]]),rng_EFConcat,rng_EF2)*Buildings_Water_Backend[[#This Row],[Converted data]]/1000</f>
        <v>#N/A</v>
      </c>
      <c r="AH220" s="210" t="e">
        <f>_xlfn.XLOOKUP(_xlfn.CONCAT(Buildings_Water_Backend[[#This Row],[Level 1]:[Level 6]]),rng_EFConcat,rng_EF3)*Buildings_Water_Backend[[#This Row],[Converted data]]/1000</f>
        <v>#N/A</v>
      </c>
      <c r="AI220" s="210" t="e">
        <f>_xlfn.XLOOKUP(_xlfn.CONCAT(Buildings_Water_Backend[[#This Row],[Level 1]:[Level 6]]),rng_EFConcat,rng_EF3WTT)*Buildings_Water_Backend[[#This Row],[Converted data]]/1000</f>
        <v>#N/A</v>
      </c>
      <c r="AJ220" s="210" t="e">
        <f>_xlfn.XLOOKUP(_xlfn.CONCAT(Buildings_Water_Backend[[#This Row],[Level 1]:[Level 6]]),rng_EFConcat,rng_EF3TD)*Buildings_Water_Backend[[#This Row],[Converted data]]/1000</f>
        <v>#N/A</v>
      </c>
      <c r="AK220" s="210" t="e">
        <f>_xlfn.XLOOKUP(_xlfn.CONCAT(Buildings_Water_Backend[[#This Row],[Level 1]:[Level 6]]),rng_EFConcat,rng_EF3WTTTD)*Buildings_Water_Backend[[#This Row],[Converted data]]/1000</f>
        <v>#N/A</v>
      </c>
      <c r="AL220" s="220" t="e">
        <f>SUM(Buildings_Water_Backend[[#This Row],[Scope 1 (tCO2e)]:[Scope 3 WTT T&amp;D (tCO2e)]])</f>
        <v>#N/A</v>
      </c>
      <c r="AM220" s="220" t="e">
        <f>Buildings_Water_Backend[[#This Row],[Total (tCO2e)]]*(1-Buildings_Water_Backend[[#This Row],[RSD]])</f>
        <v>#N/A</v>
      </c>
      <c r="AN220" s="220" t="e">
        <f>Buildings_Water_Backend[[#This Row],[Total (tCO2e)]]*(1+Buildings_Water_Backend[[#This Row],[RSD]])</f>
        <v>#N/A</v>
      </c>
      <c r="AO220" s="210" t="e">
        <f>_xlfn.XLOOKUP(_xlfn.CONCAT(Buildings_Water_Backend[[#This Row],[Level 1]:[Level 6]]),rng_EFConcat,rng_EFOOS)*Buildings_Water_Backend[[#This Row],[Converted data]]/1000</f>
        <v>#N/A</v>
      </c>
      <c r="AP220" s="174">
        <f>Buildings_Water_Frontend[[#This Row],[Ease of collection]]</f>
        <v>0</v>
      </c>
      <c r="AQ220" s="174">
        <f>Buildings_Water_Frontend[[#This Row],[Completeness]]</f>
        <v>0</v>
      </c>
      <c r="AR220" s="174">
        <f>Buildings_Water_Frontend[[#This Row],[Notes]]</f>
        <v>0</v>
      </c>
    </row>
    <row r="221" spans="5:44" x14ac:dyDescent="0.3">
      <c r="E221" s="346"/>
      <c r="F221" s="364"/>
      <c r="G221" s="336"/>
      <c r="H221" s="336"/>
      <c r="I221" s="334"/>
      <c r="J221" s="336"/>
      <c r="K221" s="336"/>
      <c r="L221" s="336"/>
      <c r="M221" s="337"/>
      <c r="N221" s="242">
        <f t="shared" si="7"/>
        <v>5</v>
      </c>
      <c r="Q221" s="212" t="str">
        <f t="shared" si="6"/>
        <v/>
      </c>
      <c r="R221" s="174" t="s">
        <v>265</v>
      </c>
      <c r="S221" s="174" t="s">
        <v>273</v>
      </c>
      <c r="T221" s="174" t="e">
        <f>_xlfn.XLOOKUP(Buildings_Water_Backend[[#This Row],[Info 1]],Buildings_SiteInfo[Site name],Buildings_SiteInfo[Site type])</f>
        <v>#N/A</v>
      </c>
      <c r="U221" s="174" t="s">
        <v>327</v>
      </c>
      <c r="V221" s="174">
        <f>Buildings_Water_Frontend[[#This Row],[Type]]</f>
        <v>0</v>
      </c>
      <c r="W221" s="174" t="e" cm="1">
        <f t="array" aca="1" ref="W221" ca="1">_xlfn.XLOOKUP(Buildings_Water_Backend[[#This Row],[Level 5]],rng_Level5Long,rng_Level6Long)</f>
        <v>#N/A</v>
      </c>
      <c r="X221" s="174">
        <f>Buildings_Water_Frontend[[#This Row],[Site Name]]</f>
        <v>0</v>
      </c>
      <c r="Y221" s="174">
        <f>Buildings_Water_Frontend[[#This Row],[Meter Reference]]</f>
        <v>0</v>
      </c>
      <c r="Z221" s="220">
        <f>Buildings_Water_Frontend[[#This Row],[Methodology]]</f>
        <v>0</v>
      </c>
      <c r="AA221" s="229" t="e" cm="1">
        <f t="array" ref="AA221">INDEX(_xlfn.SWITCH(Buildings_Water_Backend[[#This Row],[Methodology]],"Tier 1",rng_RSD1,"Tier 2",rng_RSD2,"Tier 3",rng_RSD3),MATCH(_xlfn.CONCAT(Buildings_Water_Backend[[#This Row],[Level 1]:[Level 6]]),rng_LevelsConcat,0))</f>
        <v>#N/A</v>
      </c>
      <c r="AB221" s="224">
        <f>Buildings_Water_Frontend[[#This Row],[Data]]</f>
        <v>0</v>
      </c>
      <c r="AC221" s="174">
        <f>Buildings_Water_Frontend[[#This Row],[Units]]</f>
        <v>0</v>
      </c>
      <c r="AD221" s="220" t="e">
        <f>IF(Buildings_Water_Backend[[#This Row],[Units]]=Buildings_Water_Backend[[#This Row],[Standard units]],Buildings_Water_Backend[[#This Row],[Data]],Buildings_Water_Backend[[#This Row],[Data]]*_xlfn.XLOOKUP(_xlfn.CONCAT(Buildings_Water_Backend[[#This Row],[Level 1]:[Level 6]]),rng_EFConcat,rng_EFConversion))</f>
        <v>#N/A</v>
      </c>
      <c r="AE221" s="174" t="e" cm="1">
        <f t="array" ref="AE221">_xlfn.XLOOKUP(_xlfn.CONCAT(Buildings_Water_Backend[[#This Row],[Level 1]:[Level 6]]),rng_LevelsConcat,rng_UnitsLong)</f>
        <v>#N/A</v>
      </c>
      <c r="AF221" s="210" t="e">
        <f>_xlfn.XLOOKUP(_xlfn.CONCAT(Buildings_Water_Backend[[#This Row],[Level 1]:[Level 6]]),rng_EFConcat,rng_EF1)*Buildings_Water_Backend[[#This Row],[Converted data]]/1000</f>
        <v>#N/A</v>
      </c>
      <c r="AG221" s="210" t="e">
        <f>_xlfn.XLOOKUP(_xlfn.CONCAT(Buildings_Water_Backend[[#This Row],[Level 1]:[Level 6]]),rng_EFConcat,rng_EF2)*Buildings_Water_Backend[[#This Row],[Converted data]]/1000</f>
        <v>#N/A</v>
      </c>
      <c r="AH221" s="210" t="e">
        <f>_xlfn.XLOOKUP(_xlfn.CONCAT(Buildings_Water_Backend[[#This Row],[Level 1]:[Level 6]]),rng_EFConcat,rng_EF3)*Buildings_Water_Backend[[#This Row],[Converted data]]/1000</f>
        <v>#N/A</v>
      </c>
      <c r="AI221" s="210" t="e">
        <f>_xlfn.XLOOKUP(_xlfn.CONCAT(Buildings_Water_Backend[[#This Row],[Level 1]:[Level 6]]),rng_EFConcat,rng_EF3WTT)*Buildings_Water_Backend[[#This Row],[Converted data]]/1000</f>
        <v>#N/A</v>
      </c>
      <c r="AJ221" s="210" t="e">
        <f>_xlfn.XLOOKUP(_xlfn.CONCAT(Buildings_Water_Backend[[#This Row],[Level 1]:[Level 6]]),rng_EFConcat,rng_EF3TD)*Buildings_Water_Backend[[#This Row],[Converted data]]/1000</f>
        <v>#N/A</v>
      </c>
      <c r="AK221" s="210" t="e">
        <f>_xlfn.XLOOKUP(_xlfn.CONCAT(Buildings_Water_Backend[[#This Row],[Level 1]:[Level 6]]),rng_EFConcat,rng_EF3WTTTD)*Buildings_Water_Backend[[#This Row],[Converted data]]/1000</f>
        <v>#N/A</v>
      </c>
      <c r="AL221" s="220" t="e">
        <f>SUM(Buildings_Water_Backend[[#This Row],[Scope 1 (tCO2e)]:[Scope 3 WTT T&amp;D (tCO2e)]])</f>
        <v>#N/A</v>
      </c>
      <c r="AM221" s="220" t="e">
        <f>Buildings_Water_Backend[[#This Row],[Total (tCO2e)]]*(1-Buildings_Water_Backend[[#This Row],[RSD]])</f>
        <v>#N/A</v>
      </c>
      <c r="AN221" s="220" t="e">
        <f>Buildings_Water_Backend[[#This Row],[Total (tCO2e)]]*(1+Buildings_Water_Backend[[#This Row],[RSD]])</f>
        <v>#N/A</v>
      </c>
      <c r="AO221" s="210" t="e">
        <f>_xlfn.XLOOKUP(_xlfn.CONCAT(Buildings_Water_Backend[[#This Row],[Level 1]:[Level 6]]),rng_EFConcat,rng_EFOOS)*Buildings_Water_Backend[[#This Row],[Converted data]]/1000</f>
        <v>#N/A</v>
      </c>
      <c r="AP221" s="174">
        <f>Buildings_Water_Frontend[[#This Row],[Ease of collection]]</f>
        <v>0</v>
      </c>
      <c r="AQ221" s="174">
        <f>Buildings_Water_Frontend[[#This Row],[Completeness]]</f>
        <v>0</v>
      </c>
      <c r="AR221" s="174">
        <f>Buildings_Water_Frontend[[#This Row],[Notes]]</f>
        <v>0</v>
      </c>
    </row>
    <row r="222" spans="5:44" x14ac:dyDescent="0.3">
      <c r="E222" s="346"/>
      <c r="F222" s="364"/>
      <c r="G222" s="336"/>
      <c r="H222" s="336"/>
      <c r="I222" s="334"/>
      <c r="J222" s="336"/>
      <c r="K222" s="336"/>
      <c r="L222" s="336"/>
      <c r="M222" s="337"/>
      <c r="N222" s="242">
        <f t="shared" si="7"/>
        <v>5</v>
      </c>
      <c r="Q222" s="212" t="str">
        <f t="shared" si="6"/>
        <v/>
      </c>
      <c r="R222" s="174" t="s">
        <v>265</v>
      </c>
      <c r="S222" s="174" t="s">
        <v>273</v>
      </c>
      <c r="T222" s="174" t="e">
        <f>_xlfn.XLOOKUP(Buildings_Water_Backend[[#This Row],[Info 1]],Buildings_SiteInfo[Site name],Buildings_SiteInfo[Site type])</f>
        <v>#N/A</v>
      </c>
      <c r="U222" s="174" t="s">
        <v>327</v>
      </c>
      <c r="V222" s="174">
        <f>Buildings_Water_Frontend[[#This Row],[Type]]</f>
        <v>0</v>
      </c>
      <c r="W222" s="174" t="e" cm="1">
        <f t="array" aca="1" ref="W222" ca="1">_xlfn.XLOOKUP(Buildings_Water_Backend[[#This Row],[Level 5]],rng_Level5Long,rng_Level6Long)</f>
        <v>#N/A</v>
      </c>
      <c r="X222" s="174">
        <f>Buildings_Water_Frontend[[#This Row],[Site Name]]</f>
        <v>0</v>
      </c>
      <c r="Y222" s="174">
        <f>Buildings_Water_Frontend[[#This Row],[Meter Reference]]</f>
        <v>0</v>
      </c>
      <c r="Z222" s="220">
        <f>Buildings_Water_Frontend[[#This Row],[Methodology]]</f>
        <v>0</v>
      </c>
      <c r="AA222" s="229" t="e" cm="1">
        <f t="array" ref="AA222">INDEX(_xlfn.SWITCH(Buildings_Water_Backend[[#This Row],[Methodology]],"Tier 1",rng_RSD1,"Tier 2",rng_RSD2,"Tier 3",rng_RSD3),MATCH(_xlfn.CONCAT(Buildings_Water_Backend[[#This Row],[Level 1]:[Level 6]]),rng_LevelsConcat,0))</f>
        <v>#N/A</v>
      </c>
      <c r="AB222" s="224">
        <f>Buildings_Water_Frontend[[#This Row],[Data]]</f>
        <v>0</v>
      </c>
      <c r="AC222" s="174">
        <f>Buildings_Water_Frontend[[#This Row],[Units]]</f>
        <v>0</v>
      </c>
      <c r="AD222" s="220" t="e">
        <f>IF(Buildings_Water_Backend[[#This Row],[Units]]=Buildings_Water_Backend[[#This Row],[Standard units]],Buildings_Water_Backend[[#This Row],[Data]],Buildings_Water_Backend[[#This Row],[Data]]*_xlfn.XLOOKUP(_xlfn.CONCAT(Buildings_Water_Backend[[#This Row],[Level 1]:[Level 6]]),rng_EFConcat,rng_EFConversion))</f>
        <v>#N/A</v>
      </c>
      <c r="AE222" s="174" t="e" cm="1">
        <f t="array" ref="AE222">_xlfn.XLOOKUP(_xlfn.CONCAT(Buildings_Water_Backend[[#This Row],[Level 1]:[Level 6]]),rng_LevelsConcat,rng_UnitsLong)</f>
        <v>#N/A</v>
      </c>
      <c r="AF222" s="210" t="e">
        <f>_xlfn.XLOOKUP(_xlfn.CONCAT(Buildings_Water_Backend[[#This Row],[Level 1]:[Level 6]]),rng_EFConcat,rng_EF1)*Buildings_Water_Backend[[#This Row],[Converted data]]/1000</f>
        <v>#N/A</v>
      </c>
      <c r="AG222" s="210" t="e">
        <f>_xlfn.XLOOKUP(_xlfn.CONCAT(Buildings_Water_Backend[[#This Row],[Level 1]:[Level 6]]),rng_EFConcat,rng_EF2)*Buildings_Water_Backend[[#This Row],[Converted data]]/1000</f>
        <v>#N/A</v>
      </c>
      <c r="AH222" s="210" t="e">
        <f>_xlfn.XLOOKUP(_xlfn.CONCAT(Buildings_Water_Backend[[#This Row],[Level 1]:[Level 6]]),rng_EFConcat,rng_EF3)*Buildings_Water_Backend[[#This Row],[Converted data]]/1000</f>
        <v>#N/A</v>
      </c>
      <c r="AI222" s="210" t="e">
        <f>_xlfn.XLOOKUP(_xlfn.CONCAT(Buildings_Water_Backend[[#This Row],[Level 1]:[Level 6]]),rng_EFConcat,rng_EF3WTT)*Buildings_Water_Backend[[#This Row],[Converted data]]/1000</f>
        <v>#N/A</v>
      </c>
      <c r="AJ222" s="210" t="e">
        <f>_xlfn.XLOOKUP(_xlfn.CONCAT(Buildings_Water_Backend[[#This Row],[Level 1]:[Level 6]]),rng_EFConcat,rng_EF3TD)*Buildings_Water_Backend[[#This Row],[Converted data]]/1000</f>
        <v>#N/A</v>
      </c>
      <c r="AK222" s="210" t="e">
        <f>_xlfn.XLOOKUP(_xlfn.CONCAT(Buildings_Water_Backend[[#This Row],[Level 1]:[Level 6]]),rng_EFConcat,rng_EF3WTTTD)*Buildings_Water_Backend[[#This Row],[Converted data]]/1000</f>
        <v>#N/A</v>
      </c>
      <c r="AL222" s="220" t="e">
        <f>SUM(Buildings_Water_Backend[[#This Row],[Scope 1 (tCO2e)]:[Scope 3 WTT T&amp;D (tCO2e)]])</f>
        <v>#N/A</v>
      </c>
      <c r="AM222" s="220" t="e">
        <f>Buildings_Water_Backend[[#This Row],[Total (tCO2e)]]*(1-Buildings_Water_Backend[[#This Row],[RSD]])</f>
        <v>#N/A</v>
      </c>
      <c r="AN222" s="220" t="e">
        <f>Buildings_Water_Backend[[#This Row],[Total (tCO2e)]]*(1+Buildings_Water_Backend[[#This Row],[RSD]])</f>
        <v>#N/A</v>
      </c>
      <c r="AO222" s="210" t="e">
        <f>_xlfn.XLOOKUP(_xlfn.CONCAT(Buildings_Water_Backend[[#This Row],[Level 1]:[Level 6]]),rng_EFConcat,rng_EFOOS)*Buildings_Water_Backend[[#This Row],[Converted data]]/1000</f>
        <v>#N/A</v>
      </c>
      <c r="AP222" s="174">
        <f>Buildings_Water_Frontend[[#This Row],[Ease of collection]]</f>
        <v>0</v>
      </c>
      <c r="AQ222" s="174">
        <f>Buildings_Water_Frontend[[#This Row],[Completeness]]</f>
        <v>0</v>
      </c>
      <c r="AR222" s="174">
        <f>Buildings_Water_Frontend[[#This Row],[Notes]]</f>
        <v>0</v>
      </c>
    </row>
    <row r="223" spans="5:44" x14ac:dyDescent="0.3">
      <c r="E223" s="346"/>
      <c r="F223" s="364"/>
      <c r="G223" s="336"/>
      <c r="H223" s="336"/>
      <c r="I223" s="334"/>
      <c r="J223" s="336"/>
      <c r="K223" s="336"/>
      <c r="L223" s="336"/>
      <c r="M223" s="337"/>
      <c r="N223" s="242">
        <f t="shared" si="7"/>
        <v>5</v>
      </c>
      <c r="Q223" s="212" t="str">
        <f t="shared" si="6"/>
        <v/>
      </c>
      <c r="R223" s="174" t="s">
        <v>265</v>
      </c>
      <c r="S223" s="174" t="s">
        <v>273</v>
      </c>
      <c r="T223" s="174" t="e">
        <f>_xlfn.XLOOKUP(Buildings_Water_Backend[[#This Row],[Info 1]],Buildings_SiteInfo[Site name],Buildings_SiteInfo[Site type])</f>
        <v>#N/A</v>
      </c>
      <c r="U223" s="174" t="s">
        <v>327</v>
      </c>
      <c r="V223" s="174">
        <f>Buildings_Water_Frontend[[#This Row],[Type]]</f>
        <v>0</v>
      </c>
      <c r="W223" s="174" t="e" cm="1">
        <f t="array" aca="1" ref="W223" ca="1">_xlfn.XLOOKUP(Buildings_Water_Backend[[#This Row],[Level 5]],rng_Level5Long,rng_Level6Long)</f>
        <v>#N/A</v>
      </c>
      <c r="X223" s="174">
        <f>Buildings_Water_Frontend[[#This Row],[Site Name]]</f>
        <v>0</v>
      </c>
      <c r="Y223" s="174">
        <f>Buildings_Water_Frontend[[#This Row],[Meter Reference]]</f>
        <v>0</v>
      </c>
      <c r="Z223" s="220">
        <f>Buildings_Water_Frontend[[#This Row],[Methodology]]</f>
        <v>0</v>
      </c>
      <c r="AA223" s="229" t="e" cm="1">
        <f t="array" ref="AA223">INDEX(_xlfn.SWITCH(Buildings_Water_Backend[[#This Row],[Methodology]],"Tier 1",rng_RSD1,"Tier 2",rng_RSD2,"Tier 3",rng_RSD3),MATCH(_xlfn.CONCAT(Buildings_Water_Backend[[#This Row],[Level 1]:[Level 6]]),rng_LevelsConcat,0))</f>
        <v>#N/A</v>
      </c>
      <c r="AB223" s="224">
        <f>Buildings_Water_Frontend[[#This Row],[Data]]</f>
        <v>0</v>
      </c>
      <c r="AC223" s="174">
        <f>Buildings_Water_Frontend[[#This Row],[Units]]</f>
        <v>0</v>
      </c>
      <c r="AD223" s="220" t="e">
        <f>IF(Buildings_Water_Backend[[#This Row],[Units]]=Buildings_Water_Backend[[#This Row],[Standard units]],Buildings_Water_Backend[[#This Row],[Data]],Buildings_Water_Backend[[#This Row],[Data]]*_xlfn.XLOOKUP(_xlfn.CONCAT(Buildings_Water_Backend[[#This Row],[Level 1]:[Level 6]]),rng_EFConcat,rng_EFConversion))</f>
        <v>#N/A</v>
      </c>
      <c r="AE223" s="174" t="e" cm="1">
        <f t="array" ref="AE223">_xlfn.XLOOKUP(_xlfn.CONCAT(Buildings_Water_Backend[[#This Row],[Level 1]:[Level 6]]),rng_LevelsConcat,rng_UnitsLong)</f>
        <v>#N/A</v>
      </c>
      <c r="AF223" s="210" t="e">
        <f>_xlfn.XLOOKUP(_xlfn.CONCAT(Buildings_Water_Backend[[#This Row],[Level 1]:[Level 6]]),rng_EFConcat,rng_EF1)*Buildings_Water_Backend[[#This Row],[Converted data]]/1000</f>
        <v>#N/A</v>
      </c>
      <c r="AG223" s="210" t="e">
        <f>_xlfn.XLOOKUP(_xlfn.CONCAT(Buildings_Water_Backend[[#This Row],[Level 1]:[Level 6]]),rng_EFConcat,rng_EF2)*Buildings_Water_Backend[[#This Row],[Converted data]]/1000</f>
        <v>#N/A</v>
      </c>
      <c r="AH223" s="210" t="e">
        <f>_xlfn.XLOOKUP(_xlfn.CONCAT(Buildings_Water_Backend[[#This Row],[Level 1]:[Level 6]]),rng_EFConcat,rng_EF3)*Buildings_Water_Backend[[#This Row],[Converted data]]/1000</f>
        <v>#N/A</v>
      </c>
      <c r="AI223" s="210" t="e">
        <f>_xlfn.XLOOKUP(_xlfn.CONCAT(Buildings_Water_Backend[[#This Row],[Level 1]:[Level 6]]),rng_EFConcat,rng_EF3WTT)*Buildings_Water_Backend[[#This Row],[Converted data]]/1000</f>
        <v>#N/A</v>
      </c>
      <c r="AJ223" s="210" t="e">
        <f>_xlfn.XLOOKUP(_xlfn.CONCAT(Buildings_Water_Backend[[#This Row],[Level 1]:[Level 6]]),rng_EFConcat,rng_EF3TD)*Buildings_Water_Backend[[#This Row],[Converted data]]/1000</f>
        <v>#N/A</v>
      </c>
      <c r="AK223" s="210" t="e">
        <f>_xlfn.XLOOKUP(_xlfn.CONCAT(Buildings_Water_Backend[[#This Row],[Level 1]:[Level 6]]),rng_EFConcat,rng_EF3WTTTD)*Buildings_Water_Backend[[#This Row],[Converted data]]/1000</f>
        <v>#N/A</v>
      </c>
      <c r="AL223" s="220" t="e">
        <f>SUM(Buildings_Water_Backend[[#This Row],[Scope 1 (tCO2e)]:[Scope 3 WTT T&amp;D (tCO2e)]])</f>
        <v>#N/A</v>
      </c>
      <c r="AM223" s="220" t="e">
        <f>Buildings_Water_Backend[[#This Row],[Total (tCO2e)]]*(1-Buildings_Water_Backend[[#This Row],[RSD]])</f>
        <v>#N/A</v>
      </c>
      <c r="AN223" s="220" t="e">
        <f>Buildings_Water_Backend[[#This Row],[Total (tCO2e)]]*(1+Buildings_Water_Backend[[#This Row],[RSD]])</f>
        <v>#N/A</v>
      </c>
      <c r="AO223" s="210" t="e">
        <f>_xlfn.XLOOKUP(_xlfn.CONCAT(Buildings_Water_Backend[[#This Row],[Level 1]:[Level 6]]),rng_EFConcat,rng_EFOOS)*Buildings_Water_Backend[[#This Row],[Converted data]]/1000</f>
        <v>#N/A</v>
      </c>
      <c r="AP223" s="174">
        <f>Buildings_Water_Frontend[[#This Row],[Ease of collection]]</f>
        <v>0</v>
      </c>
      <c r="AQ223" s="174">
        <f>Buildings_Water_Frontend[[#This Row],[Completeness]]</f>
        <v>0</v>
      </c>
      <c r="AR223" s="174">
        <f>Buildings_Water_Frontend[[#This Row],[Notes]]</f>
        <v>0</v>
      </c>
    </row>
    <row r="224" spans="5:44" x14ac:dyDescent="0.3">
      <c r="E224" s="346"/>
      <c r="F224" s="364"/>
      <c r="G224" s="336"/>
      <c r="H224" s="336"/>
      <c r="I224" s="334"/>
      <c r="J224" s="336"/>
      <c r="K224" s="336"/>
      <c r="L224" s="336"/>
      <c r="M224" s="337"/>
      <c r="N224" s="242">
        <f t="shared" si="7"/>
        <v>5</v>
      </c>
      <c r="Q224" s="212" t="str">
        <f t="shared" si="6"/>
        <v/>
      </c>
      <c r="R224" s="174" t="s">
        <v>265</v>
      </c>
      <c r="S224" s="174" t="s">
        <v>273</v>
      </c>
      <c r="T224" s="174" t="e">
        <f>_xlfn.XLOOKUP(Buildings_Water_Backend[[#This Row],[Info 1]],Buildings_SiteInfo[Site name],Buildings_SiteInfo[Site type])</f>
        <v>#N/A</v>
      </c>
      <c r="U224" s="174" t="s">
        <v>327</v>
      </c>
      <c r="V224" s="174">
        <f>Buildings_Water_Frontend[[#This Row],[Type]]</f>
        <v>0</v>
      </c>
      <c r="W224" s="174" t="e" cm="1">
        <f t="array" aca="1" ref="W224" ca="1">_xlfn.XLOOKUP(Buildings_Water_Backend[[#This Row],[Level 5]],rng_Level5Long,rng_Level6Long)</f>
        <v>#N/A</v>
      </c>
      <c r="X224" s="174">
        <f>Buildings_Water_Frontend[[#This Row],[Site Name]]</f>
        <v>0</v>
      </c>
      <c r="Y224" s="174">
        <f>Buildings_Water_Frontend[[#This Row],[Meter Reference]]</f>
        <v>0</v>
      </c>
      <c r="Z224" s="220">
        <f>Buildings_Water_Frontend[[#This Row],[Methodology]]</f>
        <v>0</v>
      </c>
      <c r="AA224" s="229" t="e" cm="1">
        <f t="array" ref="AA224">INDEX(_xlfn.SWITCH(Buildings_Water_Backend[[#This Row],[Methodology]],"Tier 1",rng_RSD1,"Tier 2",rng_RSD2,"Tier 3",rng_RSD3),MATCH(_xlfn.CONCAT(Buildings_Water_Backend[[#This Row],[Level 1]:[Level 6]]),rng_LevelsConcat,0))</f>
        <v>#N/A</v>
      </c>
      <c r="AB224" s="224">
        <f>Buildings_Water_Frontend[[#This Row],[Data]]</f>
        <v>0</v>
      </c>
      <c r="AC224" s="174">
        <f>Buildings_Water_Frontend[[#This Row],[Units]]</f>
        <v>0</v>
      </c>
      <c r="AD224" s="220" t="e">
        <f>IF(Buildings_Water_Backend[[#This Row],[Units]]=Buildings_Water_Backend[[#This Row],[Standard units]],Buildings_Water_Backend[[#This Row],[Data]],Buildings_Water_Backend[[#This Row],[Data]]*_xlfn.XLOOKUP(_xlfn.CONCAT(Buildings_Water_Backend[[#This Row],[Level 1]:[Level 6]]),rng_EFConcat,rng_EFConversion))</f>
        <v>#N/A</v>
      </c>
      <c r="AE224" s="174" t="e" cm="1">
        <f t="array" ref="AE224">_xlfn.XLOOKUP(_xlfn.CONCAT(Buildings_Water_Backend[[#This Row],[Level 1]:[Level 6]]),rng_LevelsConcat,rng_UnitsLong)</f>
        <v>#N/A</v>
      </c>
      <c r="AF224" s="210" t="e">
        <f>_xlfn.XLOOKUP(_xlfn.CONCAT(Buildings_Water_Backend[[#This Row],[Level 1]:[Level 6]]),rng_EFConcat,rng_EF1)*Buildings_Water_Backend[[#This Row],[Converted data]]/1000</f>
        <v>#N/A</v>
      </c>
      <c r="AG224" s="210" t="e">
        <f>_xlfn.XLOOKUP(_xlfn.CONCAT(Buildings_Water_Backend[[#This Row],[Level 1]:[Level 6]]),rng_EFConcat,rng_EF2)*Buildings_Water_Backend[[#This Row],[Converted data]]/1000</f>
        <v>#N/A</v>
      </c>
      <c r="AH224" s="210" t="e">
        <f>_xlfn.XLOOKUP(_xlfn.CONCAT(Buildings_Water_Backend[[#This Row],[Level 1]:[Level 6]]),rng_EFConcat,rng_EF3)*Buildings_Water_Backend[[#This Row],[Converted data]]/1000</f>
        <v>#N/A</v>
      </c>
      <c r="AI224" s="210" t="e">
        <f>_xlfn.XLOOKUP(_xlfn.CONCAT(Buildings_Water_Backend[[#This Row],[Level 1]:[Level 6]]),rng_EFConcat,rng_EF3WTT)*Buildings_Water_Backend[[#This Row],[Converted data]]/1000</f>
        <v>#N/A</v>
      </c>
      <c r="AJ224" s="210" t="e">
        <f>_xlfn.XLOOKUP(_xlfn.CONCAT(Buildings_Water_Backend[[#This Row],[Level 1]:[Level 6]]),rng_EFConcat,rng_EF3TD)*Buildings_Water_Backend[[#This Row],[Converted data]]/1000</f>
        <v>#N/A</v>
      </c>
      <c r="AK224" s="210" t="e">
        <f>_xlfn.XLOOKUP(_xlfn.CONCAT(Buildings_Water_Backend[[#This Row],[Level 1]:[Level 6]]),rng_EFConcat,rng_EF3WTTTD)*Buildings_Water_Backend[[#This Row],[Converted data]]/1000</f>
        <v>#N/A</v>
      </c>
      <c r="AL224" s="220" t="e">
        <f>SUM(Buildings_Water_Backend[[#This Row],[Scope 1 (tCO2e)]:[Scope 3 WTT T&amp;D (tCO2e)]])</f>
        <v>#N/A</v>
      </c>
      <c r="AM224" s="220" t="e">
        <f>Buildings_Water_Backend[[#This Row],[Total (tCO2e)]]*(1-Buildings_Water_Backend[[#This Row],[RSD]])</f>
        <v>#N/A</v>
      </c>
      <c r="AN224" s="220" t="e">
        <f>Buildings_Water_Backend[[#This Row],[Total (tCO2e)]]*(1+Buildings_Water_Backend[[#This Row],[RSD]])</f>
        <v>#N/A</v>
      </c>
      <c r="AO224" s="210" t="e">
        <f>_xlfn.XLOOKUP(_xlfn.CONCAT(Buildings_Water_Backend[[#This Row],[Level 1]:[Level 6]]),rng_EFConcat,rng_EFOOS)*Buildings_Water_Backend[[#This Row],[Converted data]]/1000</f>
        <v>#N/A</v>
      </c>
      <c r="AP224" s="174">
        <f>Buildings_Water_Frontend[[#This Row],[Ease of collection]]</f>
        <v>0</v>
      </c>
      <c r="AQ224" s="174">
        <f>Buildings_Water_Frontend[[#This Row],[Completeness]]</f>
        <v>0</v>
      </c>
      <c r="AR224" s="174">
        <f>Buildings_Water_Frontend[[#This Row],[Notes]]</f>
        <v>0</v>
      </c>
    </row>
    <row r="225" spans="5:44" x14ac:dyDescent="0.3">
      <c r="E225" s="346"/>
      <c r="F225" s="364"/>
      <c r="G225" s="336"/>
      <c r="H225" s="336"/>
      <c r="I225" s="334"/>
      <c r="J225" s="336"/>
      <c r="K225" s="336"/>
      <c r="L225" s="336"/>
      <c r="M225" s="337"/>
      <c r="N225" s="242">
        <f t="shared" si="7"/>
        <v>5</v>
      </c>
      <c r="Q225" s="212" t="str">
        <f t="shared" si="6"/>
        <v/>
      </c>
      <c r="R225" s="174" t="s">
        <v>265</v>
      </c>
      <c r="S225" s="174" t="s">
        <v>273</v>
      </c>
      <c r="T225" s="174" t="e">
        <f>_xlfn.XLOOKUP(Buildings_Water_Backend[[#This Row],[Info 1]],Buildings_SiteInfo[Site name],Buildings_SiteInfo[Site type])</f>
        <v>#N/A</v>
      </c>
      <c r="U225" s="174" t="s">
        <v>327</v>
      </c>
      <c r="V225" s="174">
        <f>Buildings_Water_Frontend[[#This Row],[Type]]</f>
        <v>0</v>
      </c>
      <c r="W225" s="174" t="e" cm="1">
        <f t="array" aca="1" ref="W225" ca="1">_xlfn.XLOOKUP(Buildings_Water_Backend[[#This Row],[Level 5]],rng_Level5Long,rng_Level6Long)</f>
        <v>#N/A</v>
      </c>
      <c r="X225" s="174">
        <f>Buildings_Water_Frontend[[#This Row],[Site Name]]</f>
        <v>0</v>
      </c>
      <c r="Y225" s="174">
        <f>Buildings_Water_Frontend[[#This Row],[Meter Reference]]</f>
        <v>0</v>
      </c>
      <c r="Z225" s="220">
        <f>Buildings_Water_Frontend[[#This Row],[Methodology]]</f>
        <v>0</v>
      </c>
      <c r="AA225" s="229" t="e" cm="1">
        <f t="array" ref="AA225">INDEX(_xlfn.SWITCH(Buildings_Water_Backend[[#This Row],[Methodology]],"Tier 1",rng_RSD1,"Tier 2",rng_RSD2,"Tier 3",rng_RSD3),MATCH(_xlfn.CONCAT(Buildings_Water_Backend[[#This Row],[Level 1]:[Level 6]]),rng_LevelsConcat,0))</f>
        <v>#N/A</v>
      </c>
      <c r="AB225" s="224">
        <f>Buildings_Water_Frontend[[#This Row],[Data]]</f>
        <v>0</v>
      </c>
      <c r="AC225" s="174">
        <f>Buildings_Water_Frontend[[#This Row],[Units]]</f>
        <v>0</v>
      </c>
      <c r="AD225" s="220" t="e">
        <f>IF(Buildings_Water_Backend[[#This Row],[Units]]=Buildings_Water_Backend[[#This Row],[Standard units]],Buildings_Water_Backend[[#This Row],[Data]],Buildings_Water_Backend[[#This Row],[Data]]*_xlfn.XLOOKUP(_xlfn.CONCAT(Buildings_Water_Backend[[#This Row],[Level 1]:[Level 6]]),rng_EFConcat,rng_EFConversion))</f>
        <v>#N/A</v>
      </c>
      <c r="AE225" s="174" t="e" cm="1">
        <f t="array" ref="AE225">_xlfn.XLOOKUP(_xlfn.CONCAT(Buildings_Water_Backend[[#This Row],[Level 1]:[Level 6]]),rng_LevelsConcat,rng_UnitsLong)</f>
        <v>#N/A</v>
      </c>
      <c r="AF225" s="210" t="e">
        <f>_xlfn.XLOOKUP(_xlfn.CONCAT(Buildings_Water_Backend[[#This Row],[Level 1]:[Level 6]]),rng_EFConcat,rng_EF1)*Buildings_Water_Backend[[#This Row],[Converted data]]/1000</f>
        <v>#N/A</v>
      </c>
      <c r="AG225" s="210" t="e">
        <f>_xlfn.XLOOKUP(_xlfn.CONCAT(Buildings_Water_Backend[[#This Row],[Level 1]:[Level 6]]),rng_EFConcat,rng_EF2)*Buildings_Water_Backend[[#This Row],[Converted data]]/1000</f>
        <v>#N/A</v>
      </c>
      <c r="AH225" s="210" t="e">
        <f>_xlfn.XLOOKUP(_xlfn.CONCAT(Buildings_Water_Backend[[#This Row],[Level 1]:[Level 6]]),rng_EFConcat,rng_EF3)*Buildings_Water_Backend[[#This Row],[Converted data]]/1000</f>
        <v>#N/A</v>
      </c>
      <c r="AI225" s="210" t="e">
        <f>_xlfn.XLOOKUP(_xlfn.CONCAT(Buildings_Water_Backend[[#This Row],[Level 1]:[Level 6]]),rng_EFConcat,rng_EF3WTT)*Buildings_Water_Backend[[#This Row],[Converted data]]/1000</f>
        <v>#N/A</v>
      </c>
      <c r="AJ225" s="210" t="e">
        <f>_xlfn.XLOOKUP(_xlfn.CONCAT(Buildings_Water_Backend[[#This Row],[Level 1]:[Level 6]]),rng_EFConcat,rng_EF3TD)*Buildings_Water_Backend[[#This Row],[Converted data]]/1000</f>
        <v>#N/A</v>
      </c>
      <c r="AK225" s="210" t="e">
        <f>_xlfn.XLOOKUP(_xlfn.CONCAT(Buildings_Water_Backend[[#This Row],[Level 1]:[Level 6]]),rng_EFConcat,rng_EF3WTTTD)*Buildings_Water_Backend[[#This Row],[Converted data]]/1000</f>
        <v>#N/A</v>
      </c>
      <c r="AL225" s="220" t="e">
        <f>SUM(Buildings_Water_Backend[[#This Row],[Scope 1 (tCO2e)]:[Scope 3 WTT T&amp;D (tCO2e)]])</f>
        <v>#N/A</v>
      </c>
      <c r="AM225" s="220" t="e">
        <f>Buildings_Water_Backend[[#This Row],[Total (tCO2e)]]*(1-Buildings_Water_Backend[[#This Row],[RSD]])</f>
        <v>#N/A</v>
      </c>
      <c r="AN225" s="220" t="e">
        <f>Buildings_Water_Backend[[#This Row],[Total (tCO2e)]]*(1+Buildings_Water_Backend[[#This Row],[RSD]])</f>
        <v>#N/A</v>
      </c>
      <c r="AO225" s="210" t="e">
        <f>_xlfn.XLOOKUP(_xlfn.CONCAT(Buildings_Water_Backend[[#This Row],[Level 1]:[Level 6]]),rng_EFConcat,rng_EFOOS)*Buildings_Water_Backend[[#This Row],[Converted data]]/1000</f>
        <v>#N/A</v>
      </c>
      <c r="AP225" s="174">
        <f>Buildings_Water_Frontend[[#This Row],[Ease of collection]]</f>
        <v>0</v>
      </c>
      <c r="AQ225" s="174">
        <f>Buildings_Water_Frontend[[#This Row],[Completeness]]</f>
        <v>0</v>
      </c>
      <c r="AR225" s="174">
        <f>Buildings_Water_Frontend[[#This Row],[Notes]]</f>
        <v>0</v>
      </c>
    </row>
    <row r="226" spans="5:44" x14ac:dyDescent="0.3">
      <c r="E226" s="346"/>
      <c r="F226" s="364"/>
      <c r="G226" s="336"/>
      <c r="H226" s="336"/>
      <c r="I226" s="334"/>
      <c r="J226" s="336"/>
      <c r="K226" s="336"/>
      <c r="L226" s="336"/>
      <c r="M226" s="337"/>
      <c r="N226" s="242">
        <f t="shared" si="7"/>
        <v>5</v>
      </c>
      <c r="Q226" s="212" t="str">
        <f t="shared" si="6"/>
        <v/>
      </c>
      <c r="R226" s="174" t="s">
        <v>265</v>
      </c>
      <c r="S226" s="174" t="s">
        <v>273</v>
      </c>
      <c r="T226" s="174" t="e">
        <f>_xlfn.XLOOKUP(Buildings_Water_Backend[[#This Row],[Info 1]],Buildings_SiteInfo[Site name],Buildings_SiteInfo[Site type])</f>
        <v>#N/A</v>
      </c>
      <c r="U226" s="174" t="s">
        <v>327</v>
      </c>
      <c r="V226" s="174">
        <f>Buildings_Water_Frontend[[#This Row],[Type]]</f>
        <v>0</v>
      </c>
      <c r="W226" s="174" t="e" cm="1">
        <f t="array" aca="1" ref="W226" ca="1">_xlfn.XLOOKUP(Buildings_Water_Backend[[#This Row],[Level 5]],rng_Level5Long,rng_Level6Long)</f>
        <v>#N/A</v>
      </c>
      <c r="X226" s="174">
        <f>Buildings_Water_Frontend[[#This Row],[Site Name]]</f>
        <v>0</v>
      </c>
      <c r="Y226" s="174">
        <f>Buildings_Water_Frontend[[#This Row],[Meter Reference]]</f>
        <v>0</v>
      </c>
      <c r="Z226" s="220">
        <f>Buildings_Water_Frontend[[#This Row],[Methodology]]</f>
        <v>0</v>
      </c>
      <c r="AA226" s="229" t="e" cm="1">
        <f t="array" ref="AA226">INDEX(_xlfn.SWITCH(Buildings_Water_Backend[[#This Row],[Methodology]],"Tier 1",rng_RSD1,"Tier 2",rng_RSD2,"Tier 3",rng_RSD3),MATCH(_xlfn.CONCAT(Buildings_Water_Backend[[#This Row],[Level 1]:[Level 6]]),rng_LevelsConcat,0))</f>
        <v>#N/A</v>
      </c>
      <c r="AB226" s="224">
        <f>Buildings_Water_Frontend[[#This Row],[Data]]</f>
        <v>0</v>
      </c>
      <c r="AC226" s="174">
        <f>Buildings_Water_Frontend[[#This Row],[Units]]</f>
        <v>0</v>
      </c>
      <c r="AD226" s="220" t="e">
        <f>IF(Buildings_Water_Backend[[#This Row],[Units]]=Buildings_Water_Backend[[#This Row],[Standard units]],Buildings_Water_Backend[[#This Row],[Data]],Buildings_Water_Backend[[#This Row],[Data]]*_xlfn.XLOOKUP(_xlfn.CONCAT(Buildings_Water_Backend[[#This Row],[Level 1]:[Level 6]]),rng_EFConcat,rng_EFConversion))</f>
        <v>#N/A</v>
      </c>
      <c r="AE226" s="174" t="e" cm="1">
        <f t="array" ref="AE226">_xlfn.XLOOKUP(_xlfn.CONCAT(Buildings_Water_Backend[[#This Row],[Level 1]:[Level 6]]),rng_LevelsConcat,rng_UnitsLong)</f>
        <v>#N/A</v>
      </c>
      <c r="AF226" s="210" t="e">
        <f>_xlfn.XLOOKUP(_xlfn.CONCAT(Buildings_Water_Backend[[#This Row],[Level 1]:[Level 6]]),rng_EFConcat,rng_EF1)*Buildings_Water_Backend[[#This Row],[Converted data]]/1000</f>
        <v>#N/A</v>
      </c>
      <c r="AG226" s="210" t="e">
        <f>_xlfn.XLOOKUP(_xlfn.CONCAT(Buildings_Water_Backend[[#This Row],[Level 1]:[Level 6]]),rng_EFConcat,rng_EF2)*Buildings_Water_Backend[[#This Row],[Converted data]]/1000</f>
        <v>#N/A</v>
      </c>
      <c r="AH226" s="210" t="e">
        <f>_xlfn.XLOOKUP(_xlfn.CONCAT(Buildings_Water_Backend[[#This Row],[Level 1]:[Level 6]]),rng_EFConcat,rng_EF3)*Buildings_Water_Backend[[#This Row],[Converted data]]/1000</f>
        <v>#N/A</v>
      </c>
      <c r="AI226" s="210" t="e">
        <f>_xlfn.XLOOKUP(_xlfn.CONCAT(Buildings_Water_Backend[[#This Row],[Level 1]:[Level 6]]),rng_EFConcat,rng_EF3WTT)*Buildings_Water_Backend[[#This Row],[Converted data]]/1000</f>
        <v>#N/A</v>
      </c>
      <c r="AJ226" s="210" t="e">
        <f>_xlfn.XLOOKUP(_xlfn.CONCAT(Buildings_Water_Backend[[#This Row],[Level 1]:[Level 6]]),rng_EFConcat,rng_EF3TD)*Buildings_Water_Backend[[#This Row],[Converted data]]/1000</f>
        <v>#N/A</v>
      </c>
      <c r="AK226" s="210" t="e">
        <f>_xlfn.XLOOKUP(_xlfn.CONCAT(Buildings_Water_Backend[[#This Row],[Level 1]:[Level 6]]),rng_EFConcat,rng_EF3WTTTD)*Buildings_Water_Backend[[#This Row],[Converted data]]/1000</f>
        <v>#N/A</v>
      </c>
      <c r="AL226" s="220" t="e">
        <f>SUM(Buildings_Water_Backend[[#This Row],[Scope 1 (tCO2e)]:[Scope 3 WTT T&amp;D (tCO2e)]])</f>
        <v>#N/A</v>
      </c>
      <c r="AM226" s="220" t="e">
        <f>Buildings_Water_Backend[[#This Row],[Total (tCO2e)]]*(1-Buildings_Water_Backend[[#This Row],[RSD]])</f>
        <v>#N/A</v>
      </c>
      <c r="AN226" s="220" t="e">
        <f>Buildings_Water_Backend[[#This Row],[Total (tCO2e)]]*(1+Buildings_Water_Backend[[#This Row],[RSD]])</f>
        <v>#N/A</v>
      </c>
      <c r="AO226" s="210" t="e">
        <f>_xlfn.XLOOKUP(_xlfn.CONCAT(Buildings_Water_Backend[[#This Row],[Level 1]:[Level 6]]),rng_EFConcat,rng_EFOOS)*Buildings_Water_Backend[[#This Row],[Converted data]]/1000</f>
        <v>#N/A</v>
      </c>
      <c r="AP226" s="174">
        <f>Buildings_Water_Frontend[[#This Row],[Ease of collection]]</f>
        <v>0</v>
      </c>
      <c r="AQ226" s="174">
        <f>Buildings_Water_Frontend[[#This Row],[Completeness]]</f>
        <v>0</v>
      </c>
      <c r="AR226" s="174">
        <f>Buildings_Water_Frontend[[#This Row],[Notes]]</f>
        <v>0</v>
      </c>
    </row>
    <row r="227" spans="5:44" x14ac:dyDescent="0.3">
      <c r="E227" s="346"/>
      <c r="F227" s="364"/>
      <c r="G227" s="336"/>
      <c r="H227" s="336"/>
      <c r="I227" s="334"/>
      <c r="J227" s="336"/>
      <c r="K227" s="336"/>
      <c r="L227" s="336"/>
      <c r="M227" s="337"/>
      <c r="N227" s="242">
        <f t="shared" si="7"/>
        <v>5</v>
      </c>
      <c r="Q227" s="212" t="str">
        <f t="shared" si="6"/>
        <v/>
      </c>
      <c r="R227" s="174" t="s">
        <v>265</v>
      </c>
      <c r="S227" s="174" t="s">
        <v>273</v>
      </c>
      <c r="T227" s="174" t="e">
        <f>_xlfn.XLOOKUP(Buildings_Water_Backend[[#This Row],[Info 1]],Buildings_SiteInfo[Site name],Buildings_SiteInfo[Site type])</f>
        <v>#N/A</v>
      </c>
      <c r="U227" s="174" t="s">
        <v>327</v>
      </c>
      <c r="V227" s="174">
        <f>Buildings_Water_Frontend[[#This Row],[Type]]</f>
        <v>0</v>
      </c>
      <c r="W227" s="174" t="e" cm="1">
        <f t="array" aca="1" ref="W227" ca="1">_xlfn.XLOOKUP(Buildings_Water_Backend[[#This Row],[Level 5]],rng_Level5Long,rng_Level6Long)</f>
        <v>#N/A</v>
      </c>
      <c r="X227" s="174">
        <f>Buildings_Water_Frontend[[#This Row],[Site Name]]</f>
        <v>0</v>
      </c>
      <c r="Y227" s="174">
        <f>Buildings_Water_Frontend[[#This Row],[Meter Reference]]</f>
        <v>0</v>
      </c>
      <c r="Z227" s="220">
        <f>Buildings_Water_Frontend[[#This Row],[Methodology]]</f>
        <v>0</v>
      </c>
      <c r="AA227" s="229" t="e" cm="1">
        <f t="array" ref="AA227">INDEX(_xlfn.SWITCH(Buildings_Water_Backend[[#This Row],[Methodology]],"Tier 1",rng_RSD1,"Tier 2",rng_RSD2,"Tier 3",rng_RSD3),MATCH(_xlfn.CONCAT(Buildings_Water_Backend[[#This Row],[Level 1]:[Level 6]]),rng_LevelsConcat,0))</f>
        <v>#N/A</v>
      </c>
      <c r="AB227" s="224">
        <f>Buildings_Water_Frontend[[#This Row],[Data]]</f>
        <v>0</v>
      </c>
      <c r="AC227" s="174">
        <f>Buildings_Water_Frontend[[#This Row],[Units]]</f>
        <v>0</v>
      </c>
      <c r="AD227" s="220" t="e">
        <f>IF(Buildings_Water_Backend[[#This Row],[Units]]=Buildings_Water_Backend[[#This Row],[Standard units]],Buildings_Water_Backend[[#This Row],[Data]],Buildings_Water_Backend[[#This Row],[Data]]*_xlfn.XLOOKUP(_xlfn.CONCAT(Buildings_Water_Backend[[#This Row],[Level 1]:[Level 6]]),rng_EFConcat,rng_EFConversion))</f>
        <v>#N/A</v>
      </c>
      <c r="AE227" s="174" t="e" cm="1">
        <f t="array" ref="AE227">_xlfn.XLOOKUP(_xlfn.CONCAT(Buildings_Water_Backend[[#This Row],[Level 1]:[Level 6]]),rng_LevelsConcat,rng_UnitsLong)</f>
        <v>#N/A</v>
      </c>
      <c r="AF227" s="210" t="e">
        <f>_xlfn.XLOOKUP(_xlfn.CONCAT(Buildings_Water_Backend[[#This Row],[Level 1]:[Level 6]]),rng_EFConcat,rng_EF1)*Buildings_Water_Backend[[#This Row],[Converted data]]/1000</f>
        <v>#N/A</v>
      </c>
      <c r="AG227" s="210" t="e">
        <f>_xlfn.XLOOKUP(_xlfn.CONCAT(Buildings_Water_Backend[[#This Row],[Level 1]:[Level 6]]),rng_EFConcat,rng_EF2)*Buildings_Water_Backend[[#This Row],[Converted data]]/1000</f>
        <v>#N/A</v>
      </c>
      <c r="AH227" s="210" t="e">
        <f>_xlfn.XLOOKUP(_xlfn.CONCAT(Buildings_Water_Backend[[#This Row],[Level 1]:[Level 6]]),rng_EFConcat,rng_EF3)*Buildings_Water_Backend[[#This Row],[Converted data]]/1000</f>
        <v>#N/A</v>
      </c>
      <c r="AI227" s="210" t="e">
        <f>_xlfn.XLOOKUP(_xlfn.CONCAT(Buildings_Water_Backend[[#This Row],[Level 1]:[Level 6]]),rng_EFConcat,rng_EF3WTT)*Buildings_Water_Backend[[#This Row],[Converted data]]/1000</f>
        <v>#N/A</v>
      </c>
      <c r="AJ227" s="210" t="e">
        <f>_xlfn.XLOOKUP(_xlfn.CONCAT(Buildings_Water_Backend[[#This Row],[Level 1]:[Level 6]]),rng_EFConcat,rng_EF3TD)*Buildings_Water_Backend[[#This Row],[Converted data]]/1000</f>
        <v>#N/A</v>
      </c>
      <c r="AK227" s="210" t="e">
        <f>_xlfn.XLOOKUP(_xlfn.CONCAT(Buildings_Water_Backend[[#This Row],[Level 1]:[Level 6]]),rng_EFConcat,rng_EF3WTTTD)*Buildings_Water_Backend[[#This Row],[Converted data]]/1000</f>
        <v>#N/A</v>
      </c>
      <c r="AL227" s="220" t="e">
        <f>SUM(Buildings_Water_Backend[[#This Row],[Scope 1 (tCO2e)]:[Scope 3 WTT T&amp;D (tCO2e)]])</f>
        <v>#N/A</v>
      </c>
      <c r="AM227" s="220" t="e">
        <f>Buildings_Water_Backend[[#This Row],[Total (tCO2e)]]*(1-Buildings_Water_Backend[[#This Row],[RSD]])</f>
        <v>#N/A</v>
      </c>
      <c r="AN227" s="220" t="e">
        <f>Buildings_Water_Backend[[#This Row],[Total (tCO2e)]]*(1+Buildings_Water_Backend[[#This Row],[RSD]])</f>
        <v>#N/A</v>
      </c>
      <c r="AO227" s="210" t="e">
        <f>_xlfn.XLOOKUP(_xlfn.CONCAT(Buildings_Water_Backend[[#This Row],[Level 1]:[Level 6]]),rng_EFConcat,rng_EFOOS)*Buildings_Water_Backend[[#This Row],[Converted data]]/1000</f>
        <v>#N/A</v>
      </c>
      <c r="AP227" s="174">
        <f>Buildings_Water_Frontend[[#This Row],[Ease of collection]]</f>
        <v>0</v>
      </c>
      <c r="AQ227" s="174">
        <f>Buildings_Water_Frontend[[#This Row],[Completeness]]</f>
        <v>0</v>
      </c>
      <c r="AR227" s="174">
        <f>Buildings_Water_Frontend[[#This Row],[Notes]]</f>
        <v>0</v>
      </c>
    </row>
    <row r="228" spans="5:44" x14ac:dyDescent="0.3">
      <c r="E228" s="346"/>
      <c r="F228" s="364"/>
      <c r="G228" s="336"/>
      <c r="H228" s="336"/>
      <c r="I228" s="334"/>
      <c r="J228" s="336"/>
      <c r="K228" s="336"/>
      <c r="L228" s="336"/>
      <c r="M228" s="337"/>
      <c r="N228" s="242">
        <f t="shared" si="7"/>
        <v>5</v>
      </c>
      <c r="Q228" s="212" t="str">
        <f t="shared" si="6"/>
        <v/>
      </c>
      <c r="R228" s="174" t="s">
        <v>265</v>
      </c>
      <c r="S228" s="174" t="s">
        <v>273</v>
      </c>
      <c r="T228" s="174" t="e">
        <f>_xlfn.XLOOKUP(Buildings_Water_Backend[[#This Row],[Info 1]],Buildings_SiteInfo[Site name],Buildings_SiteInfo[Site type])</f>
        <v>#N/A</v>
      </c>
      <c r="U228" s="174" t="s">
        <v>327</v>
      </c>
      <c r="V228" s="174">
        <f>Buildings_Water_Frontend[[#This Row],[Type]]</f>
        <v>0</v>
      </c>
      <c r="W228" s="174" t="e" cm="1">
        <f t="array" aca="1" ref="W228" ca="1">_xlfn.XLOOKUP(Buildings_Water_Backend[[#This Row],[Level 5]],rng_Level5Long,rng_Level6Long)</f>
        <v>#N/A</v>
      </c>
      <c r="X228" s="174">
        <f>Buildings_Water_Frontend[[#This Row],[Site Name]]</f>
        <v>0</v>
      </c>
      <c r="Y228" s="174">
        <f>Buildings_Water_Frontend[[#This Row],[Meter Reference]]</f>
        <v>0</v>
      </c>
      <c r="Z228" s="220">
        <f>Buildings_Water_Frontend[[#This Row],[Methodology]]</f>
        <v>0</v>
      </c>
      <c r="AA228" s="229" t="e" cm="1">
        <f t="array" ref="AA228">INDEX(_xlfn.SWITCH(Buildings_Water_Backend[[#This Row],[Methodology]],"Tier 1",rng_RSD1,"Tier 2",rng_RSD2,"Tier 3",rng_RSD3),MATCH(_xlfn.CONCAT(Buildings_Water_Backend[[#This Row],[Level 1]:[Level 6]]),rng_LevelsConcat,0))</f>
        <v>#N/A</v>
      </c>
      <c r="AB228" s="224">
        <f>Buildings_Water_Frontend[[#This Row],[Data]]</f>
        <v>0</v>
      </c>
      <c r="AC228" s="174">
        <f>Buildings_Water_Frontend[[#This Row],[Units]]</f>
        <v>0</v>
      </c>
      <c r="AD228" s="220" t="e">
        <f>IF(Buildings_Water_Backend[[#This Row],[Units]]=Buildings_Water_Backend[[#This Row],[Standard units]],Buildings_Water_Backend[[#This Row],[Data]],Buildings_Water_Backend[[#This Row],[Data]]*_xlfn.XLOOKUP(_xlfn.CONCAT(Buildings_Water_Backend[[#This Row],[Level 1]:[Level 6]]),rng_EFConcat,rng_EFConversion))</f>
        <v>#N/A</v>
      </c>
      <c r="AE228" s="174" t="e" cm="1">
        <f t="array" ref="AE228">_xlfn.XLOOKUP(_xlfn.CONCAT(Buildings_Water_Backend[[#This Row],[Level 1]:[Level 6]]),rng_LevelsConcat,rng_UnitsLong)</f>
        <v>#N/A</v>
      </c>
      <c r="AF228" s="210" t="e">
        <f>_xlfn.XLOOKUP(_xlfn.CONCAT(Buildings_Water_Backend[[#This Row],[Level 1]:[Level 6]]),rng_EFConcat,rng_EF1)*Buildings_Water_Backend[[#This Row],[Converted data]]/1000</f>
        <v>#N/A</v>
      </c>
      <c r="AG228" s="210" t="e">
        <f>_xlfn.XLOOKUP(_xlfn.CONCAT(Buildings_Water_Backend[[#This Row],[Level 1]:[Level 6]]),rng_EFConcat,rng_EF2)*Buildings_Water_Backend[[#This Row],[Converted data]]/1000</f>
        <v>#N/A</v>
      </c>
      <c r="AH228" s="210" t="e">
        <f>_xlfn.XLOOKUP(_xlfn.CONCAT(Buildings_Water_Backend[[#This Row],[Level 1]:[Level 6]]),rng_EFConcat,rng_EF3)*Buildings_Water_Backend[[#This Row],[Converted data]]/1000</f>
        <v>#N/A</v>
      </c>
      <c r="AI228" s="210" t="e">
        <f>_xlfn.XLOOKUP(_xlfn.CONCAT(Buildings_Water_Backend[[#This Row],[Level 1]:[Level 6]]),rng_EFConcat,rng_EF3WTT)*Buildings_Water_Backend[[#This Row],[Converted data]]/1000</f>
        <v>#N/A</v>
      </c>
      <c r="AJ228" s="210" t="e">
        <f>_xlfn.XLOOKUP(_xlfn.CONCAT(Buildings_Water_Backend[[#This Row],[Level 1]:[Level 6]]),rng_EFConcat,rng_EF3TD)*Buildings_Water_Backend[[#This Row],[Converted data]]/1000</f>
        <v>#N/A</v>
      </c>
      <c r="AK228" s="210" t="e">
        <f>_xlfn.XLOOKUP(_xlfn.CONCAT(Buildings_Water_Backend[[#This Row],[Level 1]:[Level 6]]),rng_EFConcat,rng_EF3WTTTD)*Buildings_Water_Backend[[#This Row],[Converted data]]/1000</f>
        <v>#N/A</v>
      </c>
      <c r="AL228" s="220" t="e">
        <f>SUM(Buildings_Water_Backend[[#This Row],[Scope 1 (tCO2e)]:[Scope 3 WTT T&amp;D (tCO2e)]])</f>
        <v>#N/A</v>
      </c>
      <c r="AM228" s="220" t="e">
        <f>Buildings_Water_Backend[[#This Row],[Total (tCO2e)]]*(1-Buildings_Water_Backend[[#This Row],[RSD]])</f>
        <v>#N/A</v>
      </c>
      <c r="AN228" s="220" t="e">
        <f>Buildings_Water_Backend[[#This Row],[Total (tCO2e)]]*(1+Buildings_Water_Backend[[#This Row],[RSD]])</f>
        <v>#N/A</v>
      </c>
      <c r="AO228" s="210" t="e">
        <f>_xlfn.XLOOKUP(_xlfn.CONCAT(Buildings_Water_Backend[[#This Row],[Level 1]:[Level 6]]),rng_EFConcat,rng_EFOOS)*Buildings_Water_Backend[[#This Row],[Converted data]]/1000</f>
        <v>#N/A</v>
      </c>
      <c r="AP228" s="174">
        <f>Buildings_Water_Frontend[[#This Row],[Ease of collection]]</f>
        <v>0</v>
      </c>
      <c r="AQ228" s="174">
        <f>Buildings_Water_Frontend[[#This Row],[Completeness]]</f>
        <v>0</v>
      </c>
      <c r="AR228" s="174">
        <f>Buildings_Water_Frontend[[#This Row],[Notes]]</f>
        <v>0</v>
      </c>
    </row>
    <row r="229" spans="5:44" x14ac:dyDescent="0.3">
      <c r="E229" s="346"/>
      <c r="F229" s="364"/>
      <c r="G229" s="336"/>
      <c r="H229" s="336"/>
      <c r="I229" s="334"/>
      <c r="J229" s="336"/>
      <c r="K229" s="336"/>
      <c r="L229" s="336"/>
      <c r="M229" s="337"/>
      <c r="N229" s="242">
        <f t="shared" si="7"/>
        <v>5</v>
      </c>
      <c r="Q229" s="212" t="str">
        <f t="shared" si="6"/>
        <v/>
      </c>
      <c r="R229" s="174" t="s">
        <v>265</v>
      </c>
      <c r="S229" s="174" t="s">
        <v>273</v>
      </c>
      <c r="T229" s="174" t="e">
        <f>_xlfn.XLOOKUP(Buildings_Water_Backend[[#This Row],[Info 1]],Buildings_SiteInfo[Site name],Buildings_SiteInfo[Site type])</f>
        <v>#N/A</v>
      </c>
      <c r="U229" s="174" t="s">
        <v>327</v>
      </c>
      <c r="V229" s="174">
        <f>Buildings_Water_Frontend[[#This Row],[Type]]</f>
        <v>0</v>
      </c>
      <c r="W229" s="174" t="e" cm="1">
        <f t="array" aca="1" ref="W229" ca="1">_xlfn.XLOOKUP(Buildings_Water_Backend[[#This Row],[Level 5]],rng_Level5Long,rng_Level6Long)</f>
        <v>#N/A</v>
      </c>
      <c r="X229" s="174">
        <f>Buildings_Water_Frontend[[#This Row],[Site Name]]</f>
        <v>0</v>
      </c>
      <c r="Y229" s="174">
        <f>Buildings_Water_Frontend[[#This Row],[Meter Reference]]</f>
        <v>0</v>
      </c>
      <c r="Z229" s="220">
        <f>Buildings_Water_Frontend[[#This Row],[Methodology]]</f>
        <v>0</v>
      </c>
      <c r="AA229" s="229" t="e" cm="1">
        <f t="array" ref="AA229">INDEX(_xlfn.SWITCH(Buildings_Water_Backend[[#This Row],[Methodology]],"Tier 1",rng_RSD1,"Tier 2",rng_RSD2,"Tier 3",rng_RSD3),MATCH(_xlfn.CONCAT(Buildings_Water_Backend[[#This Row],[Level 1]:[Level 6]]),rng_LevelsConcat,0))</f>
        <v>#N/A</v>
      </c>
      <c r="AB229" s="224">
        <f>Buildings_Water_Frontend[[#This Row],[Data]]</f>
        <v>0</v>
      </c>
      <c r="AC229" s="174">
        <f>Buildings_Water_Frontend[[#This Row],[Units]]</f>
        <v>0</v>
      </c>
      <c r="AD229" s="220" t="e">
        <f>IF(Buildings_Water_Backend[[#This Row],[Units]]=Buildings_Water_Backend[[#This Row],[Standard units]],Buildings_Water_Backend[[#This Row],[Data]],Buildings_Water_Backend[[#This Row],[Data]]*_xlfn.XLOOKUP(_xlfn.CONCAT(Buildings_Water_Backend[[#This Row],[Level 1]:[Level 6]]),rng_EFConcat,rng_EFConversion))</f>
        <v>#N/A</v>
      </c>
      <c r="AE229" s="174" t="e" cm="1">
        <f t="array" ref="AE229">_xlfn.XLOOKUP(_xlfn.CONCAT(Buildings_Water_Backend[[#This Row],[Level 1]:[Level 6]]),rng_LevelsConcat,rng_UnitsLong)</f>
        <v>#N/A</v>
      </c>
      <c r="AF229" s="210" t="e">
        <f>_xlfn.XLOOKUP(_xlfn.CONCAT(Buildings_Water_Backend[[#This Row],[Level 1]:[Level 6]]),rng_EFConcat,rng_EF1)*Buildings_Water_Backend[[#This Row],[Converted data]]/1000</f>
        <v>#N/A</v>
      </c>
      <c r="AG229" s="210" t="e">
        <f>_xlfn.XLOOKUP(_xlfn.CONCAT(Buildings_Water_Backend[[#This Row],[Level 1]:[Level 6]]),rng_EFConcat,rng_EF2)*Buildings_Water_Backend[[#This Row],[Converted data]]/1000</f>
        <v>#N/A</v>
      </c>
      <c r="AH229" s="210" t="e">
        <f>_xlfn.XLOOKUP(_xlfn.CONCAT(Buildings_Water_Backend[[#This Row],[Level 1]:[Level 6]]),rng_EFConcat,rng_EF3)*Buildings_Water_Backend[[#This Row],[Converted data]]/1000</f>
        <v>#N/A</v>
      </c>
      <c r="AI229" s="210" t="e">
        <f>_xlfn.XLOOKUP(_xlfn.CONCAT(Buildings_Water_Backend[[#This Row],[Level 1]:[Level 6]]),rng_EFConcat,rng_EF3WTT)*Buildings_Water_Backend[[#This Row],[Converted data]]/1000</f>
        <v>#N/A</v>
      </c>
      <c r="AJ229" s="210" t="e">
        <f>_xlfn.XLOOKUP(_xlfn.CONCAT(Buildings_Water_Backend[[#This Row],[Level 1]:[Level 6]]),rng_EFConcat,rng_EF3TD)*Buildings_Water_Backend[[#This Row],[Converted data]]/1000</f>
        <v>#N/A</v>
      </c>
      <c r="AK229" s="210" t="e">
        <f>_xlfn.XLOOKUP(_xlfn.CONCAT(Buildings_Water_Backend[[#This Row],[Level 1]:[Level 6]]),rng_EFConcat,rng_EF3WTTTD)*Buildings_Water_Backend[[#This Row],[Converted data]]/1000</f>
        <v>#N/A</v>
      </c>
      <c r="AL229" s="220" t="e">
        <f>SUM(Buildings_Water_Backend[[#This Row],[Scope 1 (tCO2e)]:[Scope 3 WTT T&amp;D (tCO2e)]])</f>
        <v>#N/A</v>
      </c>
      <c r="AM229" s="220" t="e">
        <f>Buildings_Water_Backend[[#This Row],[Total (tCO2e)]]*(1-Buildings_Water_Backend[[#This Row],[RSD]])</f>
        <v>#N/A</v>
      </c>
      <c r="AN229" s="220" t="e">
        <f>Buildings_Water_Backend[[#This Row],[Total (tCO2e)]]*(1+Buildings_Water_Backend[[#This Row],[RSD]])</f>
        <v>#N/A</v>
      </c>
      <c r="AO229" s="210" t="e">
        <f>_xlfn.XLOOKUP(_xlfn.CONCAT(Buildings_Water_Backend[[#This Row],[Level 1]:[Level 6]]),rng_EFConcat,rng_EFOOS)*Buildings_Water_Backend[[#This Row],[Converted data]]/1000</f>
        <v>#N/A</v>
      </c>
      <c r="AP229" s="174">
        <f>Buildings_Water_Frontend[[#This Row],[Ease of collection]]</f>
        <v>0</v>
      </c>
      <c r="AQ229" s="174">
        <f>Buildings_Water_Frontend[[#This Row],[Completeness]]</f>
        <v>0</v>
      </c>
      <c r="AR229" s="174">
        <f>Buildings_Water_Frontend[[#This Row],[Notes]]</f>
        <v>0</v>
      </c>
    </row>
    <row r="230" spans="5:44" x14ac:dyDescent="0.3">
      <c r="E230" s="346"/>
      <c r="F230" s="364"/>
      <c r="G230" s="336"/>
      <c r="H230" s="336"/>
      <c r="I230" s="334"/>
      <c r="J230" s="336"/>
      <c r="K230" s="336"/>
      <c r="L230" s="336"/>
      <c r="M230" s="337"/>
      <c r="N230" s="242">
        <f t="shared" si="7"/>
        <v>5</v>
      </c>
      <c r="Q230" s="212" t="str">
        <f t="shared" si="6"/>
        <v/>
      </c>
      <c r="R230" s="174" t="s">
        <v>265</v>
      </c>
      <c r="S230" s="174" t="s">
        <v>273</v>
      </c>
      <c r="T230" s="174" t="e">
        <f>_xlfn.XLOOKUP(Buildings_Water_Backend[[#This Row],[Info 1]],Buildings_SiteInfo[Site name],Buildings_SiteInfo[Site type])</f>
        <v>#N/A</v>
      </c>
      <c r="U230" s="174" t="s">
        <v>327</v>
      </c>
      <c r="V230" s="174">
        <f>Buildings_Water_Frontend[[#This Row],[Type]]</f>
        <v>0</v>
      </c>
      <c r="W230" s="174" t="e" cm="1">
        <f t="array" aca="1" ref="W230" ca="1">_xlfn.XLOOKUP(Buildings_Water_Backend[[#This Row],[Level 5]],rng_Level5Long,rng_Level6Long)</f>
        <v>#N/A</v>
      </c>
      <c r="X230" s="174">
        <f>Buildings_Water_Frontend[[#This Row],[Site Name]]</f>
        <v>0</v>
      </c>
      <c r="Y230" s="174">
        <f>Buildings_Water_Frontend[[#This Row],[Meter Reference]]</f>
        <v>0</v>
      </c>
      <c r="Z230" s="220">
        <f>Buildings_Water_Frontend[[#This Row],[Methodology]]</f>
        <v>0</v>
      </c>
      <c r="AA230" s="229" t="e" cm="1">
        <f t="array" ref="AA230">INDEX(_xlfn.SWITCH(Buildings_Water_Backend[[#This Row],[Methodology]],"Tier 1",rng_RSD1,"Tier 2",rng_RSD2,"Tier 3",rng_RSD3),MATCH(_xlfn.CONCAT(Buildings_Water_Backend[[#This Row],[Level 1]:[Level 6]]),rng_LevelsConcat,0))</f>
        <v>#N/A</v>
      </c>
      <c r="AB230" s="224">
        <f>Buildings_Water_Frontend[[#This Row],[Data]]</f>
        <v>0</v>
      </c>
      <c r="AC230" s="174">
        <f>Buildings_Water_Frontend[[#This Row],[Units]]</f>
        <v>0</v>
      </c>
      <c r="AD230" s="220" t="e">
        <f>IF(Buildings_Water_Backend[[#This Row],[Units]]=Buildings_Water_Backend[[#This Row],[Standard units]],Buildings_Water_Backend[[#This Row],[Data]],Buildings_Water_Backend[[#This Row],[Data]]*_xlfn.XLOOKUP(_xlfn.CONCAT(Buildings_Water_Backend[[#This Row],[Level 1]:[Level 6]]),rng_EFConcat,rng_EFConversion))</f>
        <v>#N/A</v>
      </c>
      <c r="AE230" s="174" t="e" cm="1">
        <f t="array" ref="AE230">_xlfn.XLOOKUP(_xlfn.CONCAT(Buildings_Water_Backend[[#This Row],[Level 1]:[Level 6]]),rng_LevelsConcat,rng_UnitsLong)</f>
        <v>#N/A</v>
      </c>
      <c r="AF230" s="210" t="e">
        <f>_xlfn.XLOOKUP(_xlfn.CONCAT(Buildings_Water_Backend[[#This Row],[Level 1]:[Level 6]]),rng_EFConcat,rng_EF1)*Buildings_Water_Backend[[#This Row],[Converted data]]/1000</f>
        <v>#N/A</v>
      </c>
      <c r="AG230" s="210" t="e">
        <f>_xlfn.XLOOKUP(_xlfn.CONCAT(Buildings_Water_Backend[[#This Row],[Level 1]:[Level 6]]),rng_EFConcat,rng_EF2)*Buildings_Water_Backend[[#This Row],[Converted data]]/1000</f>
        <v>#N/A</v>
      </c>
      <c r="AH230" s="210" t="e">
        <f>_xlfn.XLOOKUP(_xlfn.CONCAT(Buildings_Water_Backend[[#This Row],[Level 1]:[Level 6]]),rng_EFConcat,rng_EF3)*Buildings_Water_Backend[[#This Row],[Converted data]]/1000</f>
        <v>#N/A</v>
      </c>
      <c r="AI230" s="210" t="e">
        <f>_xlfn.XLOOKUP(_xlfn.CONCAT(Buildings_Water_Backend[[#This Row],[Level 1]:[Level 6]]),rng_EFConcat,rng_EF3WTT)*Buildings_Water_Backend[[#This Row],[Converted data]]/1000</f>
        <v>#N/A</v>
      </c>
      <c r="AJ230" s="210" t="e">
        <f>_xlfn.XLOOKUP(_xlfn.CONCAT(Buildings_Water_Backend[[#This Row],[Level 1]:[Level 6]]),rng_EFConcat,rng_EF3TD)*Buildings_Water_Backend[[#This Row],[Converted data]]/1000</f>
        <v>#N/A</v>
      </c>
      <c r="AK230" s="210" t="e">
        <f>_xlfn.XLOOKUP(_xlfn.CONCAT(Buildings_Water_Backend[[#This Row],[Level 1]:[Level 6]]),rng_EFConcat,rng_EF3WTTTD)*Buildings_Water_Backend[[#This Row],[Converted data]]/1000</f>
        <v>#N/A</v>
      </c>
      <c r="AL230" s="220" t="e">
        <f>SUM(Buildings_Water_Backend[[#This Row],[Scope 1 (tCO2e)]:[Scope 3 WTT T&amp;D (tCO2e)]])</f>
        <v>#N/A</v>
      </c>
      <c r="AM230" s="220" t="e">
        <f>Buildings_Water_Backend[[#This Row],[Total (tCO2e)]]*(1-Buildings_Water_Backend[[#This Row],[RSD]])</f>
        <v>#N/A</v>
      </c>
      <c r="AN230" s="220" t="e">
        <f>Buildings_Water_Backend[[#This Row],[Total (tCO2e)]]*(1+Buildings_Water_Backend[[#This Row],[RSD]])</f>
        <v>#N/A</v>
      </c>
      <c r="AO230" s="210" t="e">
        <f>_xlfn.XLOOKUP(_xlfn.CONCAT(Buildings_Water_Backend[[#This Row],[Level 1]:[Level 6]]),rng_EFConcat,rng_EFOOS)*Buildings_Water_Backend[[#This Row],[Converted data]]/1000</f>
        <v>#N/A</v>
      </c>
      <c r="AP230" s="174">
        <f>Buildings_Water_Frontend[[#This Row],[Ease of collection]]</f>
        <v>0</v>
      </c>
      <c r="AQ230" s="174">
        <f>Buildings_Water_Frontend[[#This Row],[Completeness]]</f>
        <v>0</v>
      </c>
      <c r="AR230" s="174">
        <f>Buildings_Water_Frontend[[#This Row],[Notes]]</f>
        <v>0</v>
      </c>
    </row>
    <row r="231" spans="5:44" x14ac:dyDescent="0.3">
      <c r="E231" s="346"/>
      <c r="F231" s="364"/>
      <c r="G231" s="336"/>
      <c r="H231" s="336"/>
      <c r="I231" s="334"/>
      <c r="J231" s="336"/>
      <c r="K231" s="336"/>
      <c r="L231" s="336"/>
      <c r="M231" s="337"/>
      <c r="N231" s="242">
        <f t="shared" si="7"/>
        <v>5</v>
      </c>
      <c r="Q231" s="212" t="str">
        <f t="shared" si="6"/>
        <v/>
      </c>
      <c r="R231" s="174" t="s">
        <v>265</v>
      </c>
      <c r="S231" s="174" t="s">
        <v>273</v>
      </c>
      <c r="T231" s="174" t="e">
        <f>_xlfn.XLOOKUP(Buildings_Water_Backend[[#This Row],[Info 1]],Buildings_SiteInfo[Site name],Buildings_SiteInfo[Site type])</f>
        <v>#N/A</v>
      </c>
      <c r="U231" s="174" t="s">
        <v>327</v>
      </c>
      <c r="V231" s="174">
        <f>Buildings_Water_Frontend[[#This Row],[Type]]</f>
        <v>0</v>
      </c>
      <c r="W231" s="174" t="e" cm="1">
        <f t="array" aca="1" ref="W231" ca="1">_xlfn.XLOOKUP(Buildings_Water_Backend[[#This Row],[Level 5]],rng_Level5Long,rng_Level6Long)</f>
        <v>#N/A</v>
      </c>
      <c r="X231" s="174">
        <f>Buildings_Water_Frontend[[#This Row],[Site Name]]</f>
        <v>0</v>
      </c>
      <c r="Y231" s="174">
        <f>Buildings_Water_Frontend[[#This Row],[Meter Reference]]</f>
        <v>0</v>
      </c>
      <c r="Z231" s="220">
        <f>Buildings_Water_Frontend[[#This Row],[Methodology]]</f>
        <v>0</v>
      </c>
      <c r="AA231" s="229" t="e" cm="1">
        <f t="array" ref="AA231">INDEX(_xlfn.SWITCH(Buildings_Water_Backend[[#This Row],[Methodology]],"Tier 1",rng_RSD1,"Tier 2",rng_RSD2,"Tier 3",rng_RSD3),MATCH(_xlfn.CONCAT(Buildings_Water_Backend[[#This Row],[Level 1]:[Level 6]]),rng_LevelsConcat,0))</f>
        <v>#N/A</v>
      </c>
      <c r="AB231" s="224">
        <f>Buildings_Water_Frontend[[#This Row],[Data]]</f>
        <v>0</v>
      </c>
      <c r="AC231" s="174">
        <f>Buildings_Water_Frontend[[#This Row],[Units]]</f>
        <v>0</v>
      </c>
      <c r="AD231" s="220" t="e">
        <f>IF(Buildings_Water_Backend[[#This Row],[Units]]=Buildings_Water_Backend[[#This Row],[Standard units]],Buildings_Water_Backend[[#This Row],[Data]],Buildings_Water_Backend[[#This Row],[Data]]*_xlfn.XLOOKUP(_xlfn.CONCAT(Buildings_Water_Backend[[#This Row],[Level 1]:[Level 6]]),rng_EFConcat,rng_EFConversion))</f>
        <v>#N/A</v>
      </c>
      <c r="AE231" s="174" t="e" cm="1">
        <f t="array" ref="AE231">_xlfn.XLOOKUP(_xlfn.CONCAT(Buildings_Water_Backend[[#This Row],[Level 1]:[Level 6]]),rng_LevelsConcat,rng_UnitsLong)</f>
        <v>#N/A</v>
      </c>
      <c r="AF231" s="210" t="e">
        <f>_xlfn.XLOOKUP(_xlfn.CONCAT(Buildings_Water_Backend[[#This Row],[Level 1]:[Level 6]]),rng_EFConcat,rng_EF1)*Buildings_Water_Backend[[#This Row],[Converted data]]/1000</f>
        <v>#N/A</v>
      </c>
      <c r="AG231" s="210" t="e">
        <f>_xlfn.XLOOKUP(_xlfn.CONCAT(Buildings_Water_Backend[[#This Row],[Level 1]:[Level 6]]),rng_EFConcat,rng_EF2)*Buildings_Water_Backend[[#This Row],[Converted data]]/1000</f>
        <v>#N/A</v>
      </c>
      <c r="AH231" s="210" t="e">
        <f>_xlfn.XLOOKUP(_xlfn.CONCAT(Buildings_Water_Backend[[#This Row],[Level 1]:[Level 6]]),rng_EFConcat,rng_EF3)*Buildings_Water_Backend[[#This Row],[Converted data]]/1000</f>
        <v>#N/A</v>
      </c>
      <c r="AI231" s="210" t="e">
        <f>_xlfn.XLOOKUP(_xlfn.CONCAT(Buildings_Water_Backend[[#This Row],[Level 1]:[Level 6]]),rng_EFConcat,rng_EF3WTT)*Buildings_Water_Backend[[#This Row],[Converted data]]/1000</f>
        <v>#N/A</v>
      </c>
      <c r="AJ231" s="210" t="e">
        <f>_xlfn.XLOOKUP(_xlfn.CONCAT(Buildings_Water_Backend[[#This Row],[Level 1]:[Level 6]]),rng_EFConcat,rng_EF3TD)*Buildings_Water_Backend[[#This Row],[Converted data]]/1000</f>
        <v>#N/A</v>
      </c>
      <c r="AK231" s="210" t="e">
        <f>_xlfn.XLOOKUP(_xlfn.CONCAT(Buildings_Water_Backend[[#This Row],[Level 1]:[Level 6]]),rng_EFConcat,rng_EF3WTTTD)*Buildings_Water_Backend[[#This Row],[Converted data]]/1000</f>
        <v>#N/A</v>
      </c>
      <c r="AL231" s="220" t="e">
        <f>SUM(Buildings_Water_Backend[[#This Row],[Scope 1 (tCO2e)]:[Scope 3 WTT T&amp;D (tCO2e)]])</f>
        <v>#N/A</v>
      </c>
      <c r="AM231" s="220" t="e">
        <f>Buildings_Water_Backend[[#This Row],[Total (tCO2e)]]*(1-Buildings_Water_Backend[[#This Row],[RSD]])</f>
        <v>#N/A</v>
      </c>
      <c r="AN231" s="220" t="e">
        <f>Buildings_Water_Backend[[#This Row],[Total (tCO2e)]]*(1+Buildings_Water_Backend[[#This Row],[RSD]])</f>
        <v>#N/A</v>
      </c>
      <c r="AO231" s="210" t="e">
        <f>_xlfn.XLOOKUP(_xlfn.CONCAT(Buildings_Water_Backend[[#This Row],[Level 1]:[Level 6]]),rng_EFConcat,rng_EFOOS)*Buildings_Water_Backend[[#This Row],[Converted data]]/1000</f>
        <v>#N/A</v>
      </c>
      <c r="AP231" s="174">
        <f>Buildings_Water_Frontend[[#This Row],[Ease of collection]]</f>
        <v>0</v>
      </c>
      <c r="AQ231" s="174">
        <f>Buildings_Water_Frontend[[#This Row],[Completeness]]</f>
        <v>0</v>
      </c>
      <c r="AR231" s="174">
        <f>Buildings_Water_Frontend[[#This Row],[Notes]]</f>
        <v>0</v>
      </c>
    </row>
    <row r="232" spans="5:44" x14ac:dyDescent="0.3">
      <c r="E232" s="346"/>
      <c r="F232" s="364"/>
      <c r="G232" s="336"/>
      <c r="H232" s="336"/>
      <c r="I232" s="334"/>
      <c r="J232" s="336"/>
      <c r="K232" s="336"/>
      <c r="L232" s="336"/>
      <c r="M232" s="337"/>
      <c r="N232" s="242">
        <f t="shared" si="7"/>
        <v>5</v>
      </c>
      <c r="Q232" s="212" t="str">
        <f t="shared" si="6"/>
        <v/>
      </c>
      <c r="R232" s="174" t="s">
        <v>265</v>
      </c>
      <c r="S232" s="174" t="s">
        <v>273</v>
      </c>
      <c r="T232" s="174" t="e">
        <f>_xlfn.XLOOKUP(Buildings_Water_Backend[[#This Row],[Info 1]],Buildings_SiteInfo[Site name],Buildings_SiteInfo[Site type])</f>
        <v>#N/A</v>
      </c>
      <c r="U232" s="174" t="s">
        <v>327</v>
      </c>
      <c r="V232" s="174">
        <f>Buildings_Water_Frontend[[#This Row],[Type]]</f>
        <v>0</v>
      </c>
      <c r="W232" s="174" t="e" cm="1">
        <f t="array" aca="1" ref="W232" ca="1">_xlfn.XLOOKUP(Buildings_Water_Backend[[#This Row],[Level 5]],rng_Level5Long,rng_Level6Long)</f>
        <v>#N/A</v>
      </c>
      <c r="X232" s="174">
        <f>Buildings_Water_Frontend[[#This Row],[Site Name]]</f>
        <v>0</v>
      </c>
      <c r="Y232" s="174">
        <f>Buildings_Water_Frontend[[#This Row],[Meter Reference]]</f>
        <v>0</v>
      </c>
      <c r="Z232" s="220">
        <f>Buildings_Water_Frontend[[#This Row],[Methodology]]</f>
        <v>0</v>
      </c>
      <c r="AA232" s="229" t="e" cm="1">
        <f t="array" ref="AA232">INDEX(_xlfn.SWITCH(Buildings_Water_Backend[[#This Row],[Methodology]],"Tier 1",rng_RSD1,"Tier 2",rng_RSD2,"Tier 3",rng_RSD3),MATCH(_xlfn.CONCAT(Buildings_Water_Backend[[#This Row],[Level 1]:[Level 6]]),rng_LevelsConcat,0))</f>
        <v>#N/A</v>
      </c>
      <c r="AB232" s="224">
        <f>Buildings_Water_Frontend[[#This Row],[Data]]</f>
        <v>0</v>
      </c>
      <c r="AC232" s="174">
        <f>Buildings_Water_Frontend[[#This Row],[Units]]</f>
        <v>0</v>
      </c>
      <c r="AD232" s="220" t="e">
        <f>IF(Buildings_Water_Backend[[#This Row],[Units]]=Buildings_Water_Backend[[#This Row],[Standard units]],Buildings_Water_Backend[[#This Row],[Data]],Buildings_Water_Backend[[#This Row],[Data]]*_xlfn.XLOOKUP(_xlfn.CONCAT(Buildings_Water_Backend[[#This Row],[Level 1]:[Level 6]]),rng_EFConcat,rng_EFConversion))</f>
        <v>#N/A</v>
      </c>
      <c r="AE232" s="174" t="e" cm="1">
        <f t="array" ref="AE232">_xlfn.XLOOKUP(_xlfn.CONCAT(Buildings_Water_Backend[[#This Row],[Level 1]:[Level 6]]),rng_LevelsConcat,rng_UnitsLong)</f>
        <v>#N/A</v>
      </c>
      <c r="AF232" s="210" t="e">
        <f>_xlfn.XLOOKUP(_xlfn.CONCAT(Buildings_Water_Backend[[#This Row],[Level 1]:[Level 6]]),rng_EFConcat,rng_EF1)*Buildings_Water_Backend[[#This Row],[Converted data]]/1000</f>
        <v>#N/A</v>
      </c>
      <c r="AG232" s="210" t="e">
        <f>_xlfn.XLOOKUP(_xlfn.CONCAT(Buildings_Water_Backend[[#This Row],[Level 1]:[Level 6]]),rng_EFConcat,rng_EF2)*Buildings_Water_Backend[[#This Row],[Converted data]]/1000</f>
        <v>#N/A</v>
      </c>
      <c r="AH232" s="210" t="e">
        <f>_xlfn.XLOOKUP(_xlfn.CONCAT(Buildings_Water_Backend[[#This Row],[Level 1]:[Level 6]]),rng_EFConcat,rng_EF3)*Buildings_Water_Backend[[#This Row],[Converted data]]/1000</f>
        <v>#N/A</v>
      </c>
      <c r="AI232" s="210" t="e">
        <f>_xlfn.XLOOKUP(_xlfn.CONCAT(Buildings_Water_Backend[[#This Row],[Level 1]:[Level 6]]),rng_EFConcat,rng_EF3WTT)*Buildings_Water_Backend[[#This Row],[Converted data]]/1000</f>
        <v>#N/A</v>
      </c>
      <c r="AJ232" s="210" t="e">
        <f>_xlfn.XLOOKUP(_xlfn.CONCAT(Buildings_Water_Backend[[#This Row],[Level 1]:[Level 6]]),rng_EFConcat,rng_EF3TD)*Buildings_Water_Backend[[#This Row],[Converted data]]/1000</f>
        <v>#N/A</v>
      </c>
      <c r="AK232" s="210" t="e">
        <f>_xlfn.XLOOKUP(_xlfn.CONCAT(Buildings_Water_Backend[[#This Row],[Level 1]:[Level 6]]),rng_EFConcat,rng_EF3WTTTD)*Buildings_Water_Backend[[#This Row],[Converted data]]/1000</f>
        <v>#N/A</v>
      </c>
      <c r="AL232" s="220" t="e">
        <f>SUM(Buildings_Water_Backend[[#This Row],[Scope 1 (tCO2e)]:[Scope 3 WTT T&amp;D (tCO2e)]])</f>
        <v>#N/A</v>
      </c>
      <c r="AM232" s="220" t="e">
        <f>Buildings_Water_Backend[[#This Row],[Total (tCO2e)]]*(1-Buildings_Water_Backend[[#This Row],[RSD]])</f>
        <v>#N/A</v>
      </c>
      <c r="AN232" s="220" t="e">
        <f>Buildings_Water_Backend[[#This Row],[Total (tCO2e)]]*(1+Buildings_Water_Backend[[#This Row],[RSD]])</f>
        <v>#N/A</v>
      </c>
      <c r="AO232" s="210" t="e">
        <f>_xlfn.XLOOKUP(_xlfn.CONCAT(Buildings_Water_Backend[[#This Row],[Level 1]:[Level 6]]),rng_EFConcat,rng_EFOOS)*Buildings_Water_Backend[[#This Row],[Converted data]]/1000</f>
        <v>#N/A</v>
      </c>
      <c r="AP232" s="174">
        <f>Buildings_Water_Frontend[[#This Row],[Ease of collection]]</f>
        <v>0</v>
      </c>
      <c r="AQ232" s="174">
        <f>Buildings_Water_Frontend[[#This Row],[Completeness]]</f>
        <v>0</v>
      </c>
      <c r="AR232" s="174">
        <f>Buildings_Water_Frontend[[#This Row],[Notes]]</f>
        <v>0</v>
      </c>
    </row>
    <row r="233" spans="5:44" x14ac:dyDescent="0.3">
      <c r="E233" s="346"/>
      <c r="F233" s="364"/>
      <c r="G233" s="336"/>
      <c r="H233" s="336"/>
      <c r="I233" s="334"/>
      <c r="J233" s="336"/>
      <c r="K233" s="336"/>
      <c r="L233" s="336"/>
      <c r="M233" s="337"/>
      <c r="N233" s="242">
        <f t="shared" si="7"/>
        <v>5</v>
      </c>
      <c r="Q233" s="212" t="str">
        <f t="shared" si="6"/>
        <v/>
      </c>
      <c r="R233" s="174" t="s">
        <v>265</v>
      </c>
      <c r="S233" s="174" t="s">
        <v>273</v>
      </c>
      <c r="T233" s="174" t="e">
        <f>_xlfn.XLOOKUP(Buildings_Water_Backend[[#This Row],[Info 1]],Buildings_SiteInfo[Site name],Buildings_SiteInfo[Site type])</f>
        <v>#N/A</v>
      </c>
      <c r="U233" s="174" t="s">
        <v>327</v>
      </c>
      <c r="V233" s="174">
        <f>Buildings_Water_Frontend[[#This Row],[Type]]</f>
        <v>0</v>
      </c>
      <c r="W233" s="174" t="e" cm="1">
        <f t="array" aca="1" ref="W233" ca="1">_xlfn.XLOOKUP(Buildings_Water_Backend[[#This Row],[Level 5]],rng_Level5Long,rng_Level6Long)</f>
        <v>#N/A</v>
      </c>
      <c r="X233" s="174">
        <f>Buildings_Water_Frontend[[#This Row],[Site Name]]</f>
        <v>0</v>
      </c>
      <c r="Y233" s="174">
        <f>Buildings_Water_Frontend[[#This Row],[Meter Reference]]</f>
        <v>0</v>
      </c>
      <c r="Z233" s="220">
        <f>Buildings_Water_Frontend[[#This Row],[Methodology]]</f>
        <v>0</v>
      </c>
      <c r="AA233" s="229" t="e" cm="1">
        <f t="array" ref="AA233">INDEX(_xlfn.SWITCH(Buildings_Water_Backend[[#This Row],[Methodology]],"Tier 1",rng_RSD1,"Tier 2",rng_RSD2,"Tier 3",rng_RSD3),MATCH(_xlfn.CONCAT(Buildings_Water_Backend[[#This Row],[Level 1]:[Level 6]]),rng_LevelsConcat,0))</f>
        <v>#N/A</v>
      </c>
      <c r="AB233" s="224">
        <f>Buildings_Water_Frontend[[#This Row],[Data]]</f>
        <v>0</v>
      </c>
      <c r="AC233" s="174">
        <f>Buildings_Water_Frontend[[#This Row],[Units]]</f>
        <v>0</v>
      </c>
      <c r="AD233" s="220" t="e">
        <f>IF(Buildings_Water_Backend[[#This Row],[Units]]=Buildings_Water_Backend[[#This Row],[Standard units]],Buildings_Water_Backend[[#This Row],[Data]],Buildings_Water_Backend[[#This Row],[Data]]*_xlfn.XLOOKUP(_xlfn.CONCAT(Buildings_Water_Backend[[#This Row],[Level 1]:[Level 6]]),rng_EFConcat,rng_EFConversion))</f>
        <v>#N/A</v>
      </c>
      <c r="AE233" s="174" t="e" cm="1">
        <f t="array" ref="AE233">_xlfn.XLOOKUP(_xlfn.CONCAT(Buildings_Water_Backend[[#This Row],[Level 1]:[Level 6]]),rng_LevelsConcat,rng_UnitsLong)</f>
        <v>#N/A</v>
      </c>
      <c r="AF233" s="210" t="e">
        <f>_xlfn.XLOOKUP(_xlfn.CONCAT(Buildings_Water_Backend[[#This Row],[Level 1]:[Level 6]]),rng_EFConcat,rng_EF1)*Buildings_Water_Backend[[#This Row],[Converted data]]/1000</f>
        <v>#N/A</v>
      </c>
      <c r="AG233" s="210" t="e">
        <f>_xlfn.XLOOKUP(_xlfn.CONCAT(Buildings_Water_Backend[[#This Row],[Level 1]:[Level 6]]),rng_EFConcat,rng_EF2)*Buildings_Water_Backend[[#This Row],[Converted data]]/1000</f>
        <v>#N/A</v>
      </c>
      <c r="AH233" s="210" t="e">
        <f>_xlfn.XLOOKUP(_xlfn.CONCAT(Buildings_Water_Backend[[#This Row],[Level 1]:[Level 6]]),rng_EFConcat,rng_EF3)*Buildings_Water_Backend[[#This Row],[Converted data]]/1000</f>
        <v>#N/A</v>
      </c>
      <c r="AI233" s="210" t="e">
        <f>_xlfn.XLOOKUP(_xlfn.CONCAT(Buildings_Water_Backend[[#This Row],[Level 1]:[Level 6]]),rng_EFConcat,rng_EF3WTT)*Buildings_Water_Backend[[#This Row],[Converted data]]/1000</f>
        <v>#N/A</v>
      </c>
      <c r="AJ233" s="210" t="e">
        <f>_xlfn.XLOOKUP(_xlfn.CONCAT(Buildings_Water_Backend[[#This Row],[Level 1]:[Level 6]]),rng_EFConcat,rng_EF3TD)*Buildings_Water_Backend[[#This Row],[Converted data]]/1000</f>
        <v>#N/A</v>
      </c>
      <c r="AK233" s="210" t="e">
        <f>_xlfn.XLOOKUP(_xlfn.CONCAT(Buildings_Water_Backend[[#This Row],[Level 1]:[Level 6]]),rng_EFConcat,rng_EF3WTTTD)*Buildings_Water_Backend[[#This Row],[Converted data]]/1000</f>
        <v>#N/A</v>
      </c>
      <c r="AL233" s="220" t="e">
        <f>SUM(Buildings_Water_Backend[[#This Row],[Scope 1 (tCO2e)]:[Scope 3 WTT T&amp;D (tCO2e)]])</f>
        <v>#N/A</v>
      </c>
      <c r="AM233" s="220" t="e">
        <f>Buildings_Water_Backend[[#This Row],[Total (tCO2e)]]*(1-Buildings_Water_Backend[[#This Row],[RSD]])</f>
        <v>#N/A</v>
      </c>
      <c r="AN233" s="220" t="e">
        <f>Buildings_Water_Backend[[#This Row],[Total (tCO2e)]]*(1+Buildings_Water_Backend[[#This Row],[RSD]])</f>
        <v>#N/A</v>
      </c>
      <c r="AO233" s="210" t="e">
        <f>_xlfn.XLOOKUP(_xlfn.CONCAT(Buildings_Water_Backend[[#This Row],[Level 1]:[Level 6]]),rng_EFConcat,rng_EFOOS)*Buildings_Water_Backend[[#This Row],[Converted data]]/1000</f>
        <v>#N/A</v>
      </c>
      <c r="AP233" s="174">
        <f>Buildings_Water_Frontend[[#This Row],[Ease of collection]]</f>
        <v>0</v>
      </c>
      <c r="AQ233" s="174">
        <f>Buildings_Water_Frontend[[#This Row],[Completeness]]</f>
        <v>0</v>
      </c>
      <c r="AR233" s="174">
        <f>Buildings_Water_Frontend[[#This Row],[Notes]]</f>
        <v>0</v>
      </c>
    </row>
    <row r="234" spans="5:44" x14ac:dyDescent="0.3">
      <c r="E234" s="346"/>
      <c r="F234" s="364"/>
      <c r="G234" s="336"/>
      <c r="H234" s="336"/>
      <c r="I234" s="334"/>
      <c r="J234" s="336"/>
      <c r="K234" s="336"/>
      <c r="L234" s="336"/>
      <c r="M234" s="337"/>
      <c r="N234" s="242">
        <f t="shared" si="7"/>
        <v>5</v>
      </c>
      <c r="Q234" s="212" t="str">
        <f t="shared" si="6"/>
        <v/>
      </c>
      <c r="R234" s="174" t="s">
        <v>265</v>
      </c>
      <c r="S234" s="174" t="s">
        <v>273</v>
      </c>
      <c r="T234" s="174" t="e">
        <f>_xlfn.XLOOKUP(Buildings_Water_Backend[[#This Row],[Info 1]],Buildings_SiteInfo[Site name],Buildings_SiteInfo[Site type])</f>
        <v>#N/A</v>
      </c>
      <c r="U234" s="174" t="s">
        <v>327</v>
      </c>
      <c r="V234" s="174">
        <f>Buildings_Water_Frontend[[#This Row],[Type]]</f>
        <v>0</v>
      </c>
      <c r="W234" s="174" t="e" cm="1">
        <f t="array" aca="1" ref="W234" ca="1">_xlfn.XLOOKUP(Buildings_Water_Backend[[#This Row],[Level 5]],rng_Level5Long,rng_Level6Long)</f>
        <v>#N/A</v>
      </c>
      <c r="X234" s="174">
        <f>Buildings_Water_Frontend[[#This Row],[Site Name]]</f>
        <v>0</v>
      </c>
      <c r="Y234" s="174">
        <f>Buildings_Water_Frontend[[#This Row],[Meter Reference]]</f>
        <v>0</v>
      </c>
      <c r="Z234" s="220">
        <f>Buildings_Water_Frontend[[#This Row],[Methodology]]</f>
        <v>0</v>
      </c>
      <c r="AA234" s="229" t="e" cm="1">
        <f t="array" ref="AA234">INDEX(_xlfn.SWITCH(Buildings_Water_Backend[[#This Row],[Methodology]],"Tier 1",rng_RSD1,"Tier 2",rng_RSD2,"Tier 3",rng_RSD3),MATCH(_xlfn.CONCAT(Buildings_Water_Backend[[#This Row],[Level 1]:[Level 6]]),rng_LevelsConcat,0))</f>
        <v>#N/A</v>
      </c>
      <c r="AB234" s="224">
        <f>Buildings_Water_Frontend[[#This Row],[Data]]</f>
        <v>0</v>
      </c>
      <c r="AC234" s="174">
        <f>Buildings_Water_Frontend[[#This Row],[Units]]</f>
        <v>0</v>
      </c>
      <c r="AD234" s="220" t="e">
        <f>IF(Buildings_Water_Backend[[#This Row],[Units]]=Buildings_Water_Backend[[#This Row],[Standard units]],Buildings_Water_Backend[[#This Row],[Data]],Buildings_Water_Backend[[#This Row],[Data]]*_xlfn.XLOOKUP(_xlfn.CONCAT(Buildings_Water_Backend[[#This Row],[Level 1]:[Level 6]]),rng_EFConcat,rng_EFConversion))</f>
        <v>#N/A</v>
      </c>
      <c r="AE234" s="174" t="e" cm="1">
        <f t="array" ref="AE234">_xlfn.XLOOKUP(_xlfn.CONCAT(Buildings_Water_Backend[[#This Row],[Level 1]:[Level 6]]),rng_LevelsConcat,rng_UnitsLong)</f>
        <v>#N/A</v>
      </c>
      <c r="AF234" s="210" t="e">
        <f>_xlfn.XLOOKUP(_xlfn.CONCAT(Buildings_Water_Backend[[#This Row],[Level 1]:[Level 6]]),rng_EFConcat,rng_EF1)*Buildings_Water_Backend[[#This Row],[Converted data]]/1000</f>
        <v>#N/A</v>
      </c>
      <c r="AG234" s="210" t="e">
        <f>_xlfn.XLOOKUP(_xlfn.CONCAT(Buildings_Water_Backend[[#This Row],[Level 1]:[Level 6]]),rng_EFConcat,rng_EF2)*Buildings_Water_Backend[[#This Row],[Converted data]]/1000</f>
        <v>#N/A</v>
      </c>
      <c r="AH234" s="210" t="e">
        <f>_xlfn.XLOOKUP(_xlfn.CONCAT(Buildings_Water_Backend[[#This Row],[Level 1]:[Level 6]]),rng_EFConcat,rng_EF3)*Buildings_Water_Backend[[#This Row],[Converted data]]/1000</f>
        <v>#N/A</v>
      </c>
      <c r="AI234" s="210" t="e">
        <f>_xlfn.XLOOKUP(_xlfn.CONCAT(Buildings_Water_Backend[[#This Row],[Level 1]:[Level 6]]),rng_EFConcat,rng_EF3WTT)*Buildings_Water_Backend[[#This Row],[Converted data]]/1000</f>
        <v>#N/A</v>
      </c>
      <c r="AJ234" s="210" t="e">
        <f>_xlfn.XLOOKUP(_xlfn.CONCAT(Buildings_Water_Backend[[#This Row],[Level 1]:[Level 6]]),rng_EFConcat,rng_EF3TD)*Buildings_Water_Backend[[#This Row],[Converted data]]/1000</f>
        <v>#N/A</v>
      </c>
      <c r="AK234" s="210" t="e">
        <f>_xlfn.XLOOKUP(_xlfn.CONCAT(Buildings_Water_Backend[[#This Row],[Level 1]:[Level 6]]),rng_EFConcat,rng_EF3WTTTD)*Buildings_Water_Backend[[#This Row],[Converted data]]/1000</f>
        <v>#N/A</v>
      </c>
      <c r="AL234" s="220" t="e">
        <f>SUM(Buildings_Water_Backend[[#This Row],[Scope 1 (tCO2e)]:[Scope 3 WTT T&amp;D (tCO2e)]])</f>
        <v>#N/A</v>
      </c>
      <c r="AM234" s="220" t="e">
        <f>Buildings_Water_Backend[[#This Row],[Total (tCO2e)]]*(1-Buildings_Water_Backend[[#This Row],[RSD]])</f>
        <v>#N/A</v>
      </c>
      <c r="AN234" s="220" t="e">
        <f>Buildings_Water_Backend[[#This Row],[Total (tCO2e)]]*(1+Buildings_Water_Backend[[#This Row],[RSD]])</f>
        <v>#N/A</v>
      </c>
      <c r="AO234" s="210" t="e">
        <f>_xlfn.XLOOKUP(_xlfn.CONCAT(Buildings_Water_Backend[[#This Row],[Level 1]:[Level 6]]),rng_EFConcat,rng_EFOOS)*Buildings_Water_Backend[[#This Row],[Converted data]]/1000</f>
        <v>#N/A</v>
      </c>
      <c r="AP234" s="174">
        <f>Buildings_Water_Frontend[[#This Row],[Ease of collection]]</f>
        <v>0</v>
      </c>
      <c r="AQ234" s="174">
        <f>Buildings_Water_Frontend[[#This Row],[Completeness]]</f>
        <v>0</v>
      </c>
      <c r="AR234" s="174">
        <f>Buildings_Water_Frontend[[#This Row],[Notes]]</f>
        <v>0</v>
      </c>
    </row>
    <row r="235" spans="5:44" x14ac:dyDescent="0.3">
      <c r="E235" s="346"/>
      <c r="F235" s="364"/>
      <c r="G235" s="336"/>
      <c r="H235" s="336"/>
      <c r="I235" s="334"/>
      <c r="J235" s="336"/>
      <c r="K235" s="336"/>
      <c r="L235" s="336"/>
      <c r="M235" s="337"/>
      <c r="N235" s="242">
        <f t="shared" si="7"/>
        <v>5</v>
      </c>
      <c r="Q235" s="212" t="str">
        <f t="shared" si="6"/>
        <v/>
      </c>
      <c r="R235" s="174" t="s">
        <v>265</v>
      </c>
      <c r="S235" s="174" t="s">
        <v>273</v>
      </c>
      <c r="T235" s="174" t="e">
        <f>_xlfn.XLOOKUP(Buildings_Water_Backend[[#This Row],[Info 1]],Buildings_SiteInfo[Site name],Buildings_SiteInfo[Site type])</f>
        <v>#N/A</v>
      </c>
      <c r="U235" s="174" t="s">
        <v>327</v>
      </c>
      <c r="V235" s="174">
        <f>Buildings_Water_Frontend[[#This Row],[Type]]</f>
        <v>0</v>
      </c>
      <c r="W235" s="174" t="e" cm="1">
        <f t="array" aca="1" ref="W235" ca="1">_xlfn.XLOOKUP(Buildings_Water_Backend[[#This Row],[Level 5]],rng_Level5Long,rng_Level6Long)</f>
        <v>#N/A</v>
      </c>
      <c r="X235" s="174">
        <f>Buildings_Water_Frontend[[#This Row],[Site Name]]</f>
        <v>0</v>
      </c>
      <c r="Y235" s="174">
        <f>Buildings_Water_Frontend[[#This Row],[Meter Reference]]</f>
        <v>0</v>
      </c>
      <c r="Z235" s="220">
        <f>Buildings_Water_Frontend[[#This Row],[Methodology]]</f>
        <v>0</v>
      </c>
      <c r="AA235" s="229" t="e" cm="1">
        <f t="array" ref="AA235">INDEX(_xlfn.SWITCH(Buildings_Water_Backend[[#This Row],[Methodology]],"Tier 1",rng_RSD1,"Tier 2",rng_RSD2,"Tier 3",rng_RSD3),MATCH(_xlfn.CONCAT(Buildings_Water_Backend[[#This Row],[Level 1]:[Level 6]]),rng_LevelsConcat,0))</f>
        <v>#N/A</v>
      </c>
      <c r="AB235" s="224">
        <f>Buildings_Water_Frontend[[#This Row],[Data]]</f>
        <v>0</v>
      </c>
      <c r="AC235" s="174">
        <f>Buildings_Water_Frontend[[#This Row],[Units]]</f>
        <v>0</v>
      </c>
      <c r="AD235" s="220" t="e">
        <f>IF(Buildings_Water_Backend[[#This Row],[Units]]=Buildings_Water_Backend[[#This Row],[Standard units]],Buildings_Water_Backend[[#This Row],[Data]],Buildings_Water_Backend[[#This Row],[Data]]*_xlfn.XLOOKUP(_xlfn.CONCAT(Buildings_Water_Backend[[#This Row],[Level 1]:[Level 6]]),rng_EFConcat,rng_EFConversion))</f>
        <v>#N/A</v>
      </c>
      <c r="AE235" s="174" t="e" cm="1">
        <f t="array" ref="AE235">_xlfn.XLOOKUP(_xlfn.CONCAT(Buildings_Water_Backend[[#This Row],[Level 1]:[Level 6]]),rng_LevelsConcat,rng_UnitsLong)</f>
        <v>#N/A</v>
      </c>
      <c r="AF235" s="210" t="e">
        <f>_xlfn.XLOOKUP(_xlfn.CONCAT(Buildings_Water_Backend[[#This Row],[Level 1]:[Level 6]]),rng_EFConcat,rng_EF1)*Buildings_Water_Backend[[#This Row],[Converted data]]/1000</f>
        <v>#N/A</v>
      </c>
      <c r="AG235" s="210" t="e">
        <f>_xlfn.XLOOKUP(_xlfn.CONCAT(Buildings_Water_Backend[[#This Row],[Level 1]:[Level 6]]),rng_EFConcat,rng_EF2)*Buildings_Water_Backend[[#This Row],[Converted data]]/1000</f>
        <v>#N/A</v>
      </c>
      <c r="AH235" s="210" t="e">
        <f>_xlfn.XLOOKUP(_xlfn.CONCAT(Buildings_Water_Backend[[#This Row],[Level 1]:[Level 6]]),rng_EFConcat,rng_EF3)*Buildings_Water_Backend[[#This Row],[Converted data]]/1000</f>
        <v>#N/A</v>
      </c>
      <c r="AI235" s="210" t="e">
        <f>_xlfn.XLOOKUP(_xlfn.CONCAT(Buildings_Water_Backend[[#This Row],[Level 1]:[Level 6]]),rng_EFConcat,rng_EF3WTT)*Buildings_Water_Backend[[#This Row],[Converted data]]/1000</f>
        <v>#N/A</v>
      </c>
      <c r="AJ235" s="210" t="e">
        <f>_xlfn.XLOOKUP(_xlfn.CONCAT(Buildings_Water_Backend[[#This Row],[Level 1]:[Level 6]]),rng_EFConcat,rng_EF3TD)*Buildings_Water_Backend[[#This Row],[Converted data]]/1000</f>
        <v>#N/A</v>
      </c>
      <c r="AK235" s="210" t="e">
        <f>_xlfn.XLOOKUP(_xlfn.CONCAT(Buildings_Water_Backend[[#This Row],[Level 1]:[Level 6]]),rng_EFConcat,rng_EF3WTTTD)*Buildings_Water_Backend[[#This Row],[Converted data]]/1000</f>
        <v>#N/A</v>
      </c>
      <c r="AL235" s="220" t="e">
        <f>SUM(Buildings_Water_Backend[[#This Row],[Scope 1 (tCO2e)]:[Scope 3 WTT T&amp;D (tCO2e)]])</f>
        <v>#N/A</v>
      </c>
      <c r="AM235" s="220" t="e">
        <f>Buildings_Water_Backend[[#This Row],[Total (tCO2e)]]*(1-Buildings_Water_Backend[[#This Row],[RSD]])</f>
        <v>#N/A</v>
      </c>
      <c r="AN235" s="220" t="e">
        <f>Buildings_Water_Backend[[#This Row],[Total (tCO2e)]]*(1+Buildings_Water_Backend[[#This Row],[RSD]])</f>
        <v>#N/A</v>
      </c>
      <c r="AO235" s="210" t="e">
        <f>_xlfn.XLOOKUP(_xlfn.CONCAT(Buildings_Water_Backend[[#This Row],[Level 1]:[Level 6]]),rng_EFConcat,rng_EFOOS)*Buildings_Water_Backend[[#This Row],[Converted data]]/1000</f>
        <v>#N/A</v>
      </c>
      <c r="AP235" s="174">
        <f>Buildings_Water_Frontend[[#This Row],[Ease of collection]]</f>
        <v>0</v>
      </c>
      <c r="AQ235" s="174">
        <f>Buildings_Water_Frontend[[#This Row],[Completeness]]</f>
        <v>0</v>
      </c>
      <c r="AR235" s="174">
        <f>Buildings_Water_Frontend[[#This Row],[Notes]]</f>
        <v>0</v>
      </c>
    </row>
    <row r="236" spans="5:44" x14ac:dyDescent="0.3">
      <c r="E236" s="346"/>
      <c r="F236" s="364"/>
      <c r="G236" s="336"/>
      <c r="H236" s="336"/>
      <c r="I236" s="334"/>
      <c r="J236" s="336"/>
      <c r="K236" s="336"/>
      <c r="L236" s="336"/>
      <c r="M236" s="337"/>
      <c r="N236" s="242">
        <f t="shared" si="7"/>
        <v>5</v>
      </c>
      <c r="Q236" s="212" t="str">
        <f t="shared" si="6"/>
        <v/>
      </c>
      <c r="R236" s="174" t="s">
        <v>265</v>
      </c>
      <c r="S236" s="174" t="s">
        <v>273</v>
      </c>
      <c r="T236" s="174" t="e">
        <f>_xlfn.XLOOKUP(Buildings_Water_Backend[[#This Row],[Info 1]],Buildings_SiteInfo[Site name],Buildings_SiteInfo[Site type])</f>
        <v>#N/A</v>
      </c>
      <c r="U236" s="174" t="s">
        <v>327</v>
      </c>
      <c r="V236" s="174">
        <f>Buildings_Water_Frontend[[#This Row],[Type]]</f>
        <v>0</v>
      </c>
      <c r="W236" s="174" t="e" cm="1">
        <f t="array" aca="1" ref="W236" ca="1">_xlfn.XLOOKUP(Buildings_Water_Backend[[#This Row],[Level 5]],rng_Level5Long,rng_Level6Long)</f>
        <v>#N/A</v>
      </c>
      <c r="X236" s="174">
        <f>Buildings_Water_Frontend[[#This Row],[Site Name]]</f>
        <v>0</v>
      </c>
      <c r="Y236" s="174">
        <f>Buildings_Water_Frontend[[#This Row],[Meter Reference]]</f>
        <v>0</v>
      </c>
      <c r="Z236" s="220">
        <f>Buildings_Water_Frontend[[#This Row],[Methodology]]</f>
        <v>0</v>
      </c>
      <c r="AA236" s="229" t="e" cm="1">
        <f t="array" ref="AA236">INDEX(_xlfn.SWITCH(Buildings_Water_Backend[[#This Row],[Methodology]],"Tier 1",rng_RSD1,"Tier 2",rng_RSD2,"Tier 3",rng_RSD3),MATCH(_xlfn.CONCAT(Buildings_Water_Backend[[#This Row],[Level 1]:[Level 6]]),rng_LevelsConcat,0))</f>
        <v>#N/A</v>
      </c>
      <c r="AB236" s="224">
        <f>Buildings_Water_Frontend[[#This Row],[Data]]</f>
        <v>0</v>
      </c>
      <c r="AC236" s="174">
        <f>Buildings_Water_Frontend[[#This Row],[Units]]</f>
        <v>0</v>
      </c>
      <c r="AD236" s="220" t="e">
        <f>IF(Buildings_Water_Backend[[#This Row],[Units]]=Buildings_Water_Backend[[#This Row],[Standard units]],Buildings_Water_Backend[[#This Row],[Data]],Buildings_Water_Backend[[#This Row],[Data]]*_xlfn.XLOOKUP(_xlfn.CONCAT(Buildings_Water_Backend[[#This Row],[Level 1]:[Level 6]]),rng_EFConcat,rng_EFConversion))</f>
        <v>#N/A</v>
      </c>
      <c r="AE236" s="174" t="e" cm="1">
        <f t="array" ref="AE236">_xlfn.XLOOKUP(_xlfn.CONCAT(Buildings_Water_Backend[[#This Row],[Level 1]:[Level 6]]),rng_LevelsConcat,rng_UnitsLong)</f>
        <v>#N/A</v>
      </c>
      <c r="AF236" s="210" t="e">
        <f>_xlfn.XLOOKUP(_xlfn.CONCAT(Buildings_Water_Backend[[#This Row],[Level 1]:[Level 6]]),rng_EFConcat,rng_EF1)*Buildings_Water_Backend[[#This Row],[Converted data]]/1000</f>
        <v>#N/A</v>
      </c>
      <c r="AG236" s="210" t="e">
        <f>_xlfn.XLOOKUP(_xlfn.CONCAT(Buildings_Water_Backend[[#This Row],[Level 1]:[Level 6]]),rng_EFConcat,rng_EF2)*Buildings_Water_Backend[[#This Row],[Converted data]]/1000</f>
        <v>#N/A</v>
      </c>
      <c r="AH236" s="210" t="e">
        <f>_xlfn.XLOOKUP(_xlfn.CONCAT(Buildings_Water_Backend[[#This Row],[Level 1]:[Level 6]]),rng_EFConcat,rng_EF3)*Buildings_Water_Backend[[#This Row],[Converted data]]/1000</f>
        <v>#N/A</v>
      </c>
      <c r="AI236" s="210" t="e">
        <f>_xlfn.XLOOKUP(_xlfn.CONCAT(Buildings_Water_Backend[[#This Row],[Level 1]:[Level 6]]),rng_EFConcat,rng_EF3WTT)*Buildings_Water_Backend[[#This Row],[Converted data]]/1000</f>
        <v>#N/A</v>
      </c>
      <c r="AJ236" s="210" t="e">
        <f>_xlfn.XLOOKUP(_xlfn.CONCAT(Buildings_Water_Backend[[#This Row],[Level 1]:[Level 6]]),rng_EFConcat,rng_EF3TD)*Buildings_Water_Backend[[#This Row],[Converted data]]/1000</f>
        <v>#N/A</v>
      </c>
      <c r="AK236" s="210" t="e">
        <f>_xlfn.XLOOKUP(_xlfn.CONCAT(Buildings_Water_Backend[[#This Row],[Level 1]:[Level 6]]),rng_EFConcat,rng_EF3WTTTD)*Buildings_Water_Backend[[#This Row],[Converted data]]/1000</f>
        <v>#N/A</v>
      </c>
      <c r="AL236" s="220" t="e">
        <f>SUM(Buildings_Water_Backend[[#This Row],[Scope 1 (tCO2e)]:[Scope 3 WTT T&amp;D (tCO2e)]])</f>
        <v>#N/A</v>
      </c>
      <c r="AM236" s="220" t="e">
        <f>Buildings_Water_Backend[[#This Row],[Total (tCO2e)]]*(1-Buildings_Water_Backend[[#This Row],[RSD]])</f>
        <v>#N/A</v>
      </c>
      <c r="AN236" s="220" t="e">
        <f>Buildings_Water_Backend[[#This Row],[Total (tCO2e)]]*(1+Buildings_Water_Backend[[#This Row],[RSD]])</f>
        <v>#N/A</v>
      </c>
      <c r="AO236" s="210" t="e">
        <f>_xlfn.XLOOKUP(_xlfn.CONCAT(Buildings_Water_Backend[[#This Row],[Level 1]:[Level 6]]),rng_EFConcat,rng_EFOOS)*Buildings_Water_Backend[[#This Row],[Converted data]]/1000</f>
        <v>#N/A</v>
      </c>
      <c r="AP236" s="174">
        <f>Buildings_Water_Frontend[[#This Row],[Ease of collection]]</f>
        <v>0</v>
      </c>
      <c r="AQ236" s="174">
        <f>Buildings_Water_Frontend[[#This Row],[Completeness]]</f>
        <v>0</v>
      </c>
      <c r="AR236" s="174">
        <f>Buildings_Water_Frontend[[#This Row],[Notes]]</f>
        <v>0</v>
      </c>
    </row>
    <row r="237" spans="5:44" x14ac:dyDescent="0.3">
      <c r="E237" s="346"/>
      <c r="F237" s="364"/>
      <c r="G237" s="336"/>
      <c r="H237" s="336"/>
      <c r="I237" s="334"/>
      <c r="J237" s="336"/>
      <c r="K237" s="336"/>
      <c r="L237" s="336"/>
      <c r="M237" s="337"/>
      <c r="N237" s="242">
        <f t="shared" si="7"/>
        <v>5</v>
      </c>
      <c r="Q237" s="212" t="str">
        <f t="shared" si="6"/>
        <v/>
      </c>
      <c r="R237" s="174" t="s">
        <v>265</v>
      </c>
      <c r="S237" s="174" t="s">
        <v>273</v>
      </c>
      <c r="T237" s="174" t="e">
        <f>_xlfn.XLOOKUP(Buildings_Water_Backend[[#This Row],[Info 1]],Buildings_SiteInfo[Site name],Buildings_SiteInfo[Site type])</f>
        <v>#N/A</v>
      </c>
      <c r="U237" s="174" t="s">
        <v>327</v>
      </c>
      <c r="V237" s="174">
        <f>Buildings_Water_Frontend[[#This Row],[Type]]</f>
        <v>0</v>
      </c>
      <c r="W237" s="174" t="e" cm="1">
        <f t="array" aca="1" ref="W237" ca="1">_xlfn.XLOOKUP(Buildings_Water_Backend[[#This Row],[Level 5]],rng_Level5Long,rng_Level6Long)</f>
        <v>#N/A</v>
      </c>
      <c r="X237" s="174">
        <f>Buildings_Water_Frontend[[#This Row],[Site Name]]</f>
        <v>0</v>
      </c>
      <c r="Y237" s="174">
        <f>Buildings_Water_Frontend[[#This Row],[Meter Reference]]</f>
        <v>0</v>
      </c>
      <c r="Z237" s="220">
        <f>Buildings_Water_Frontend[[#This Row],[Methodology]]</f>
        <v>0</v>
      </c>
      <c r="AA237" s="229" t="e" cm="1">
        <f t="array" ref="AA237">INDEX(_xlfn.SWITCH(Buildings_Water_Backend[[#This Row],[Methodology]],"Tier 1",rng_RSD1,"Tier 2",rng_RSD2,"Tier 3",rng_RSD3),MATCH(_xlfn.CONCAT(Buildings_Water_Backend[[#This Row],[Level 1]:[Level 6]]),rng_LevelsConcat,0))</f>
        <v>#N/A</v>
      </c>
      <c r="AB237" s="224">
        <f>Buildings_Water_Frontend[[#This Row],[Data]]</f>
        <v>0</v>
      </c>
      <c r="AC237" s="174">
        <f>Buildings_Water_Frontend[[#This Row],[Units]]</f>
        <v>0</v>
      </c>
      <c r="AD237" s="220" t="e">
        <f>IF(Buildings_Water_Backend[[#This Row],[Units]]=Buildings_Water_Backend[[#This Row],[Standard units]],Buildings_Water_Backend[[#This Row],[Data]],Buildings_Water_Backend[[#This Row],[Data]]*_xlfn.XLOOKUP(_xlfn.CONCAT(Buildings_Water_Backend[[#This Row],[Level 1]:[Level 6]]),rng_EFConcat,rng_EFConversion))</f>
        <v>#N/A</v>
      </c>
      <c r="AE237" s="174" t="e" cm="1">
        <f t="array" ref="AE237">_xlfn.XLOOKUP(_xlfn.CONCAT(Buildings_Water_Backend[[#This Row],[Level 1]:[Level 6]]),rng_LevelsConcat,rng_UnitsLong)</f>
        <v>#N/A</v>
      </c>
      <c r="AF237" s="210" t="e">
        <f>_xlfn.XLOOKUP(_xlfn.CONCAT(Buildings_Water_Backend[[#This Row],[Level 1]:[Level 6]]),rng_EFConcat,rng_EF1)*Buildings_Water_Backend[[#This Row],[Converted data]]/1000</f>
        <v>#N/A</v>
      </c>
      <c r="AG237" s="210" t="e">
        <f>_xlfn.XLOOKUP(_xlfn.CONCAT(Buildings_Water_Backend[[#This Row],[Level 1]:[Level 6]]),rng_EFConcat,rng_EF2)*Buildings_Water_Backend[[#This Row],[Converted data]]/1000</f>
        <v>#N/A</v>
      </c>
      <c r="AH237" s="210" t="e">
        <f>_xlfn.XLOOKUP(_xlfn.CONCAT(Buildings_Water_Backend[[#This Row],[Level 1]:[Level 6]]),rng_EFConcat,rng_EF3)*Buildings_Water_Backend[[#This Row],[Converted data]]/1000</f>
        <v>#N/A</v>
      </c>
      <c r="AI237" s="210" t="e">
        <f>_xlfn.XLOOKUP(_xlfn.CONCAT(Buildings_Water_Backend[[#This Row],[Level 1]:[Level 6]]),rng_EFConcat,rng_EF3WTT)*Buildings_Water_Backend[[#This Row],[Converted data]]/1000</f>
        <v>#N/A</v>
      </c>
      <c r="AJ237" s="210" t="e">
        <f>_xlfn.XLOOKUP(_xlfn.CONCAT(Buildings_Water_Backend[[#This Row],[Level 1]:[Level 6]]),rng_EFConcat,rng_EF3TD)*Buildings_Water_Backend[[#This Row],[Converted data]]/1000</f>
        <v>#N/A</v>
      </c>
      <c r="AK237" s="210" t="e">
        <f>_xlfn.XLOOKUP(_xlfn.CONCAT(Buildings_Water_Backend[[#This Row],[Level 1]:[Level 6]]),rng_EFConcat,rng_EF3WTTTD)*Buildings_Water_Backend[[#This Row],[Converted data]]/1000</f>
        <v>#N/A</v>
      </c>
      <c r="AL237" s="220" t="e">
        <f>SUM(Buildings_Water_Backend[[#This Row],[Scope 1 (tCO2e)]:[Scope 3 WTT T&amp;D (tCO2e)]])</f>
        <v>#N/A</v>
      </c>
      <c r="AM237" s="220" t="e">
        <f>Buildings_Water_Backend[[#This Row],[Total (tCO2e)]]*(1-Buildings_Water_Backend[[#This Row],[RSD]])</f>
        <v>#N/A</v>
      </c>
      <c r="AN237" s="220" t="e">
        <f>Buildings_Water_Backend[[#This Row],[Total (tCO2e)]]*(1+Buildings_Water_Backend[[#This Row],[RSD]])</f>
        <v>#N/A</v>
      </c>
      <c r="AO237" s="210" t="e">
        <f>_xlfn.XLOOKUP(_xlfn.CONCAT(Buildings_Water_Backend[[#This Row],[Level 1]:[Level 6]]),rng_EFConcat,rng_EFOOS)*Buildings_Water_Backend[[#This Row],[Converted data]]/1000</f>
        <v>#N/A</v>
      </c>
      <c r="AP237" s="174">
        <f>Buildings_Water_Frontend[[#This Row],[Ease of collection]]</f>
        <v>0</v>
      </c>
      <c r="AQ237" s="174">
        <f>Buildings_Water_Frontend[[#This Row],[Completeness]]</f>
        <v>0</v>
      </c>
      <c r="AR237" s="174">
        <f>Buildings_Water_Frontend[[#This Row],[Notes]]</f>
        <v>0</v>
      </c>
    </row>
    <row r="238" spans="5:44" x14ac:dyDescent="0.3">
      <c r="E238" s="346"/>
      <c r="F238" s="364"/>
      <c r="G238" s="336"/>
      <c r="H238" s="336"/>
      <c r="I238" s="334"/>
      <c r="J238" s="336"/>
      <c r="K238" s="336"/>
      <c r="L238" s="336"/>
      <c r="M238" s="337"/>
      <c r="N238" s="242">
        <f t="shared" si="7"/>
        <v>5</v>
      </c>
      <c r="Q238" s="212" t="str">
        <f t="shared" si="6"/>
        <v/>
      </c>
      <c r="R238" s="174" t="s">
        <v>265</v>
      </c>
      <c r="S238" s="174" t="s">
        <v>273</v>
      </c>
      <c r="T238" s="174" t="e">
        <f>_xlfn.XLOOKUP(Buildings_Water_Backend[[#This Row],[Info 1]],Buildings_SiteInfo[Site name],Buildings_SiteInfo[Site type])</f>
        <v>#N/A</v>
      </c>
      <c r="U238" s="174" t="s">
        <v>327</v>
      </c>
      <c r="V238" s="174">
        <f>Buildings_Water_Frontend[[#This Row],[Type]]</f>
        <v>0</v>
      </c>
      <c r="W238" s="174" t="e" cm="1">
        <f t="array" aca="1" ref="W238" ca="1">_xlfn.XLOOKUP(Buildings_Water_Backend[[#This Row],[Level 5]],rng_Level5Long,rng_Level6Long)</f>
        <v>#N/A</v>
      </c>
      <c r="X238" s="174">
        <f>Buildings_Water_Frontend[[#This Row],[Site Name]]</f>
        <v>0</v>
      </c>
      <c r="Y238" s="174">
        <f>Buildings_Water_Frontend[[#This Row],[Meter Reference]]</f>
        <v>0</v>
      </c>
      <c r="Z238" s="220">
        <f>Buildings_Water_Frontend[[#This Row],[Methodology]]</f>
        <v>0</v>
      </c>
      <c r="AA238" s="229" t="e" cm="1">
        <f t="array" ref="AA238">INDEX(_xlfn.SWITCH(Buildings_Water_Backend[[#This Row],[Methodology]],"Tier 1",rng_RSD1,"Tier 2",rng_RSD2,"Tier 3",rng_RSD3),MATCH(_xlfn.CONCAT(Buildings_Water_Backend[[#This Row],[Level 1]:[Level 6]]),rng_LevelsConcat,0))</f>
        <v>#N/A</v>
      </c>
      <c r="AB238" s="224">
        <f>Buildings_Water_Frontend[[#This Row],[Data]]</f>
        <v>0</v>
      </c>
      <c r="AC238" s="174">
        <f>Buildings_Water_Frontend[[#This Row],[Units]]</f>
        <v>0</v>
      </c>
      <c r="AD238" s="220" t="e">
        <f>IF(Buildings_Water_Backend[[#This Row],[Units]]=Buildings_Water_Backend[[#This Row],[Standard units]],Buildings_Water_Backend[[#This Row],[Data]],Buildings_Water_Backend[[#This Row],[Data]]*_xlfn.XLOOKUP(_xlfn.CONCAT(Buildings_Water_Backend[[#This Row],[Level 1]:[Level 6]]),rng_EFConcat,rng_EFConversion))</f>
        <v>#N/A</v>
      </c>
      <c r="AE238" s="174" t="e" cm="1">
        <f t="array" ref="AE238">_xlfn.XLOOKUP(_xlfn.CONCAT(Buildings_Water_Backend[[#This Row],[Level 1]:[Level 6]]),rng_LevelsConcat,rng_UnitsLong)</f>
        <v>#N/A</v>
      </c>
      <c r="AF238" s="210" t="e">
        <f>_xlfn.XLOOKUP(_xlfn.CONCAT(Buildings_Water_Backend[[#This Row],[Level 1]:[Level 6]]),rng_EFConcat,rng_EF1)*Buildings_Water_Backend[[#This Row],[Converted data]]/1000</f>
        <v>#N/A</v>
      </c>
      <c r="AG238" s="210" t="e">
        <f>_xlfn.XLOOKUP(_xlfn.CONCAT(Buildings_Water_Backend[[#This Row],[Level 1]:[Level 6]]),rng_EFConcat,rng_EF2)*Buildings_Water_Backend[[#This Row],[Converted data]]/1000</f>
        <v>#N/A</v>
      </c>
      <c r="AH238" s="210" t="e">
        <f>_xlfn.XLOOKUP(_xlfn.CONCAT(Buildings_Water_Backend[[#This Row],[Level 1]:[Level 6]]),rng_EFConcat,rng_EF3)*Buildings_Water_Backend[[#This Row],[Converted data]]/1000</f>
        <v>#N/A</v>
      </c>
      <c r="AI238" s="210" t="e">
        <f>_xlfn.XLOOKUP(_xlfn.CONCAT(Buildings_Water_Backend[[#This Row],[Level 1]:[Level 6]]),rng_EFConcat,rng_EF3WTT)*Buildings_Water_Backend[[#This Row],[Converted data]]/1000</f>
        <v>#N/A</v>
      </c>
      <c r="AJ238" s="210" t="e">
        <f>_xlfn.XLOOKUP(_xlfn.CONCAT(Buildings_Water_Backend[[#This Row],[Level 1]:[Level 6]]),rng_EFConcat,rng_EF3TD)*Buildings_Water_Backend[[#This Row],[Converted data]]/1000</f>
        <v>#N/A</v>
      </c>
      <c r="AK238" s="210" t="e">
        <f>_xlfn.XLOOKUP(_xlfn.CONCAT(Buildings_Water_Backend[[#This Row],[Level 1]:[Level 6]]),rng_EFConcat,rng_EF3WTTTD)*Buildings_Water_Backend[[#This Row],[Converted data]]/1000</f>
        <v>#N/A</v>
      </c>
      <c r="AL238" s="220" t="e">
        <f>SUM(Buildings_Water_Backend[[#This Row],[Scope 1 (tCO2e)]:[Scope 3 WTT T&amp;D (tCO2e)]])</f>
        <v>#N/A</v>
      </c>
      <c r="AM238" s="220" t="e">
        <f>Buildings_Water_Backend[[#This Row],[Total (tCO2e)]]*(1-Buildings_Water_Backend[[#This Row],[RSD]])</f>
        <v>#N/A</v>
      </c>
      <c r="AN238" s="220" t="e">
        <f>Buildings_Water_Backend[[#This Row],[Total (tCO2e)]]*(1+Buildings_Water_Backend[[#This Row],[RSD]])</f>
        <v>#N/A</v>
      </c>
      <c r="AO238" s="210" t="e">
        <f>_xlfn.XLOOKUP(_xlfn.CONCAT(Buildings_Water_Backend[[#This Row],[Level 1]:[Level 6]]),rng_EFConcat,rng_EFOOS)*Buildings_Water_Backend[[#This Row],[Converted data]]/1000</f>
        <v>#N/A</v>
      </c>
      <c r="AP238" s="174">
        <f>Buildings_Water_Frontend[[#This Row],[Ease of collection]]</f>
        <v>0</v>
      </c>
      <c r="AQ238" s="174">
        <f>Buildings_Water_Frontend[[#This Row],[Completeness]]</f>
        <v>0</v>
      </c>
      <c r="AR238" s="174">
        <f>Buildings_Water_Frontend[[#This Row],[Notes]]</f>
        <v>0</v>
      </c>
    </row>
    <row r="239" spans="5:44" x14ac:dyDescent="0.3">
      <c r="E239" s="346"/>
      <c r="F239" s="364"/>
      <c r="G239" s="336"/>
      <c r="H239" s="336"/>
      <c r="I239" s="334"/>
      <c r="J239" s="336"/>
      <c r="K239" s="336"/>
      <c r="L239" s="336"/>
      <c r="M239" s="337"/>
      <c r="N239" s="242">
        <f t="shared" si="7"/>
        <v>5</v>
      </c>
      <c r="Q239" s="212" t="str">
        <f t="shared" si="6"/>
        <v/>
      </c>
      <c r="R239" s="174" t="s">
        <v>265</v>
      </c>
      <c r="S239" s="174" t="s">
        <v>273</v>
      </c>
      <c r="T239" s="174" t="e">
        <f>_xlfn.XLOOKUP(Buildings_Water_Backend[[#This Row],[Info 1]],Buildings_SiteInfo[Site name],Buildings_SiteInfo[Site type])</f>
        <v>#N/A</v>
      </c>
      <c r="U239" s="174" t="s">
        <v>327</v>
      </c>
      <c r="V239" s="174">
        <f>Buildings_Water_Frontend[[#This Row],[Type]]</f>
        <v>0</v>
      </c>
      <c r="W239" s="174" t="e" cm="1">
        <f t="array" aca="1" ref="W239" ca="1">_xlfn.XLOOKUP(Buildings_Water_Backend[[#This Row],[Level 5]],rng_Level5Long,rng_Level6Long)</f>
        <v>#N/A</v>
      </c>
      <c r="X239" s="174">
        <f>Buildings_Water_Frontend[[#This Row],[Site Name]]</f>
        <v>0</v>
      </c>
      <c r="Y239" s="174">
        <f>Buildings_Water_Frontend[[#This Row],[Meter Reference]]</f>
        <v>0</v>
      </c>
      <c r="Z239" s="220">
        <f>Buildings_Water_Frontend[[#This Row],[Methodology]]</f>
        <v>0</v>
      </c>
      <c r="AA239" s="229" t="e" cm="1">
        <f t="array" ref="AA239">INDEX(_xlfn.SWITCH(Buildings_Water_Backend[[#This Row],[Methodology]],"Tier 1",rng_RSD1,"Tier 2",rng_RSD2,"Tier 3",rng_RSD3),MATCH(_xlfn.CONCAT(Buildings_Water_Backend[[#This Row],[Level 1]:[Level 6]]),rng_LevelsConcat,0))</f>
        <v>#N/A</v>
      </c>
      <c r="AB239" s="224">
        <f>Buildings_Water_Frontend[[#This Row],[Data]]</f>
        <v>0</v>
      </c>
      <c r="AC239" s="174">
        <f>Buildings_Water_Frontend[[#This Row],[Units]]</f>
        <v>0</v>
      </c>
      <c r="AD239" s="220" t="e">
        <f>IF(Buildings_Water_Backend[[#This Row],[Units]]=Buildings_Water_Backend[[#This Row],[Standard units]],Buildings_Water_Backend[[#This Row],[Data]],Buildings_Water_Backend[[#This Row],[Data]]*_xlfn.XLOOKUP(_xlfn.CONCAT(Buildings_Water_Backend[[#This Row],[Level 1]:[Level 6]]),rng_EFConcat,rng_EFConversion))</f>
        <v>#N/A</v>
      </c>
      <c r="AE239" s="174" t="e" cm="1">
        <f t="array" ref="AE239">_xlfn.XLOOKUP(_xlfn.CONCAT(Buildings_Water_Backend[[#This Row],[Level 1]:[Level 6]]),rng_LevelsConcat,rng_UnitsLong)</f>
        <v>#N/A</v>
      </c>
      <c r="AF239" s="210" t="e">
        <f>_xlfn.XLOOKUP(_xlfn.CONCAT(Buildings_Water_Backend[[#This Row],[Level 1]:[Level 6]]),rng_EFConcat,rng_EF1)*Buildings_Water_Backend[[#This Row],[Converted data]]/1000</f>
        <v>#N/A</v>
      </c>
      <c r="AG239" s="210" t="e">
        <f>_xlfn.XLOOKUP(_xlfn.CONCAT(Buildings_Water_Backend[[#This Row],[Level 1]:[Level 6]]),rng_EFConcat,rng_EF2)*Buildings_Water_Backend[[#This Row],[Converted data]]/1000</f>
        <v>#N/A</v>
      </c>
      <c r="AH239" s="210" t="e">
        <f>_xlfn.XLOOKUP(_xlfn.CONCAT(Buildings_Water_Backend[[#This Row],[Level 1]:[Level 6]]),rng_EFConcat,rng_EF3)*Buildings_Water_Backend[[#This Row],[Converted data]]/1000</f>
        <v>#N/A</v>
      </c>
      <c r="AI239" s="210" t="e">
        <f>_xlfn.XLOOKUP(_xlfn.CONCAT(Buildings_Water_Backend[[#This Row],[Level 1]:[Level 6]]),rng_EFConcat,rng_EF3WTT)*Buildings_Water_Backend[[#This Row],[Converted data]]/1000</f>
        <v>#N/A</v>
      </c>
      <c r="AJ239" s="210" t="e">
        <f>_xlfn.XLOOKUP(_xlfn.CONCAT(Buildings_Water_Backend[[#This Row],[Level 1]:[Level 6]]),rng_EFConcat,rng_EF3TD)*Buildings_Water_Backend[[#This Row],[Converted data]]/1000</f>
        <v>#N/A</v>
      </c>
      <c r="AK239" s="210" t="e">
        <f>_xlfn.XLOOKUP(_xlfn.CONCAT(Buildings_Water_Backend[[#This Row],[Level 1]:[Level 6]]),rng_EFConcat,rng_EF3WTTTD)*Buildings_Water_Backend[[#This Row],[Converted data]]/1000</f>
        <v>#N/A</v>
      </c>
      <c r="AL239" s="220" t="e">
        <f>SUM(Buildings_Water_Backend[[#This Row],[Scope 1 (tCO2e)]:[Scope 3 WTT T&amp;D (tCO2e)]])</f>
        <v>#N/A</v>
      </c>
      <c r="AM239" s="220" t="e">
        <f>Buildings_Water_Backend[[#This Row],[Total (tCO2e)]]*(1-Buildings_Water_Backend[[#This Row],[RSD]])</f>
        <v>#N/A</v>
      </c>
      <c r="AN239" s="220" t="e">
        <f>Buildings_Water_Backend[[#This Row],[Total (tCO2e)]]*(1+Buildings_Water_Backend[[#This Row],[RSD]])</f>
        <v>#N/A</v>
      </c>
      <c r="AO239" s="210" t="e">
        <f>_xlfn.XLOOKUP(_xlfn.CONCAT(Buildings_Water_Backend[[#This Row],[Level 1]:[Level 6]]),rng_EFConcat,rng_EFOOS)*Buildings_Water_Backend[[#This Row],[Converted data]]/1000</f>
        <v>#N/A</v>
      </c>
      <c r="AP239" s="174">
        <f>Buildings_Water_Frontend[[#This Row],[Ease of collection]]</f>
        <v>0</v>
      </c>
      <c r="AQ239" s="174">
        <f>Buildings_Water_Frontend[[#This Row],[Completeness]]</f>
        <v>0</v>
      </c>
      <c r="AR239" s="174">
        <f>Buildings_Water_Frontend[[#This Row],[Notes]]</f>
        <v>0</v>
      </c>
    </row>
    <row r="240" spans="5:44" x14ac:dyDescent="0.3">
      <c r="E240" s="346"/>
      <c r="F240" s="364"/>
      <c r="G240" s="336"/>
      <c r="H240" s="336"/>
      <c r="I240" s="334"/>
      <c r="J240" s="336"/>
      <c r="K240" s="336"/>
      <c r="L240" s="336"/>
      <c r="M240" s="337"/>
      <c r="N240" s="242">
        <f t="shared" si="7"/>
        <v>5</v>
      </c>
      <c r="Q240" s="212" t="str">
        <f t="shared" si="6"/>
        <v/>
      </c>
      <c r="R240" s="174" t="s">
        <v>265</v>
      </c>
      <c r="S240" s="174" t="s">
        <v>273</v>
      </c>
      <c r="T240" s="174" t="e">
        <f>_xlfn.XLOOKUP(Buildings_Water_Backend[[#This Row],[Info 1]],Buildings_SiteInfo[Site name],Buildings_SiteInfo[Site type])</f>
        <v>#N/A</v>
      </c>
      <c r="U240" s="174" t="s">
        <v>327</v>
      </c>
      <c r="V240" s="174">
        <f>Buildings_Water_Frontend[[#This Row],[Type]]</f>
        <v>0</v>
      </c>
      <c r="W240" s="174" t="e" cm="1">
        <f t="array" aca="1" ref="W240" ca="1">_xlfn.XLOOKUP(Buildings_Water_Backend[[#This Row],[Level 5]],rng_Level5Long,rng_Level6Long)</f>
        <v>#N/A</v>
      </c>
      <c r="X240" s="174">
        <f>Buildings_Water_Frontend[[#This Row],[Site Name]]</f>
        <v>0</v>
      </c>
      <c r="Y240" s="174">
        <f>Buildings_Water_Frontend[[#This Row],[Meter Reference]]</f>
        <v>0</v>
      </c>
      <c r="Z240" s="220">
        <f>Buildings_Water_Frontend[[#This Row],[Methodology]]</f>
        <v>0</v>
      </c>
      <c r="AA240" s="229" t="e" cm="1">
        <f t="array" ref="AA240">INDEX(_xlfn.SWITCH(Buildings_Water_Backend[[#This Row],[Methodology]],"Tier 1",rng_RSD1,"Tier 2",rng_RSD2,"Tier 3",rng_RSD3),MATCH(_xlfn.CONCAT(Buildings_Water_Backend[[#This Row],[Level 1]:[Level 6]]),rng_LevelsConcat,0))</f>
        <v>#N/A</v>
      </c>
      <c r="AB240" s="224">
        <f>Buildings_Water_Frontend[[#This Row],[Data]]</f>
        <v>0</v>
      </c>
      <c r="AC240" s="174">
        <f>Buildings_Water_Frontend[[#This Row],[Units]]</f>
        <v>0</v>
      </c>
      <c r="AD240" s="220" t="e">
        <f>IF(Buildings_Water_Backend[[#This Row],[Units]]=Buildings_Water_Backend[[#This Row],[Standard units]],Buildings_Water_Backend[[#This Row],[Data]],Buildings_Water_Backend[[#This Row],[Data]]*_xlfn.XLOOKUP(_xlfn.CONCAT(Buildings_Water_Backend[[#This Row],[Level 1]:[Level 6]]),rng_EFConcat,rng_EFConversion))</f>
        <v>#N/A</v>
      </c>
      <c r="AE240" s="174" t="e" cm="1">
        <f t="array" ref="AE240">_xlfn.XLOOKUP(_xlfn.CONCAT(Buildings_Water_Backend[[#This Row],[Level 1]:[Level 6]]),rng_LevelsConcat,rng_UnitsLong)</f>
        <v>#N/A</v>
      </c>
      <c r="AF240" s="210" t="e">
        <f>_xlfn.XLOOKUP(_xlfn.CONCAT(Buildings_Water_Backend[[#This Row],[Level 1]:[Level 6]]),rng_EFConcat,rng_EF1)*Buildings_Water_Backend[[#This Row],[Converted data]]/1000</f>
        <v>#N/A</v>
      </c>
      <c r="AG240" s="210" t="e">
        <f>_xlfn.XLOOKUP(_xlfn.CONCAT(Buildings_Water_Backend[[#This Row],[Level 1]:[Level 6]]),rng_EFConcat,rng_EF2)*Buildings_Water_Backend[[#This Row],[Converted data]]/1000</f>
        <v>#N/A</v>
      </c>
      <c r="AH240" s="210" t="e">
        <f>_xlfn.XLOOKUP(_xlfn.CONCAT(Buildings_Water_Backend[[#This Row],[Level 1]:[Level 6]]),rng_EFConcat,rng_EF3)*Buildings_Water_Backend[[#This Row],[Converted data]]/1000</f>
        <v>#N/A</v>
      </c>
      <c r="AI240" s="210" t="e">
        <f>_xlfn.XLOOKUP(_xlfn.CONCAT(Buildings_Water_Backend[[#This Row],[Level 1]:[Level 6]]),rng_EFConcat,rng_EF3WTT)*Buildings_Water_Backend[[#This Row],[Converted data]]/1000</f>
        <v>#N/A</v>
      </c>
      <c r="AJ240" s="210" t="e">
        <f>_xlfn.XLOOKUP(_xlfn.CONCAT(Buildings_Water_Backend[[#This Row],[Level 1]:[Level 6]]),rng_EFConcat,rng_EF3TD)*Buildings_Water_Backend[[#This Row],[Converted data]]/1000</f>
        <v>#N/A</v>
      </c>
      <c r="AK240" s="210" t="e">
        <f>_xlfn.XLOOKUP(_xlfn.CONCAT(Buildings_Water_Backend[[#This Row],[Level 1]:[Level 6]]),rng_EFConcat,rng_EF3WTTTD)*Buildings_Water_Backend[[#This Row],[Converted data]]/1000</f>
        <v>#N/A</v>
      </c>
      <c r="AL240" s="220" t="e">
        <f>SUM(Buildings_Water_Backend[[#This Row],[Scope 1 (tCO2e)]:[Scope 3 WTT T&amp;D (tCO2e)]])</f>
        <v>#N/A</v>
      </c>
      <c r="AM240" s="220" t="e">
        <f>Buildings_Water_Backend[[#This Row],[Total (tCO2e)]]*(1-Buildings_Water_Backend[[#This Row],[RSD]])</f>
        <v>#N/A</v>
      </c>
      <c r="AN240" s="220" t="e">
        <f>Buildings_Water_Backend[[#This Row],[Total (tCO2e)]]*(1+Buildings_Water_Backend[[#This Row],[RSD]])</f>
        <v>#N/A</v>
      </c>
      <c r="AO240" s="210" t="e">
        <f>_xlfn.XLOOKUP(_xlfn.CONCAT(Buildings_Water_Backend[[#This Row],[Level 1]:[Level 6]]),rng_EFConcat,rng_EFOOS)*Buildings_Water_Backend[[#This Row],[Converted data]]/1000</f>
        <v>#N/A</v>
      </c>
      <c r="AP240" s="174">
        <f>Buildings_Water_Frontend[[#This Row],[Ease of collection]]</f>
        <v>0</v>
      </c>
      <c r="AQ240" s="174">
        <f>Buildings_Water_Frontend[[#This Row],[Completeness]]</f>
        <v>0</v>
      </c>
      <c r="AR240" s="174">
        <f>Buildings_Water_Frontend[[#This Row],[Notes]]</f>
        <v>0</v>
      </c>
    </row>
    <row r="241" spans="5:44" x14ac:dyDescent="0.3">
      <c r="E241" s="346"/>
      <c r="F241" s="364"/>
      <c r="G241" s="336"/>
      <c r="H241" s="336"/>
      <c r="I241" s="334"/>
      <c r="J241" s="336"/>
      <c r="K241" s="336"/>
      <c r="L241" s="336"/>
      <c r="M241" s="337"/>
      <c r="N241" s="242">
        <f t="shared" si="7"/>
        <v>5</v>
      </c>
      <c r="Q241" s="212" t="str">
        <f t="shared" si="6"/>
        <v/>
      </c>
      <c r="R241" s="174" t="s">
        <v>265</v>
      </c>
      <c r="S241" s="174" t="s">
        <v>273</v>
      </c>
      <c r="T241" s="174" t="e">
        <f>_xlfn.XLOOKUP(Buildings_Water_Backend[[#This Row],[Info 1]],Buildings_SiteInfo[Site name],Buildings_SiteInfo[Site type])</f>
        <v>#N/A</v>
      </c>
      <c r="U241" s="174" t="s">
        <v>327</v>
      </c>
      <c r="V241" s="174">
        <f>Buildings_Water_Frontend[[#This Row],[Type]]</f>
        <v>0</v>
      </c>
      <c r="W241" s="174" t="e" cm="1">
        <f t="array" aca="1" ref="W241" ca="1">_xlfn.XLOOKUP(Buildings_Water_Backend[[#This Row],[Level 5]],rng_Level5Long,rng_Level6Long)</f>
        <v>#N/A</v>
      </c>
      <c r="X241" s="174">
        <f>Buildings_Water_Frontend[[#This Row],[Site Name]]</f>
        <v>0</v>
      </c>
      <c r="Y241" s="174">
        <f>Buildings_Water_Frontend[[#This Row],[Meter Reference]]</f>
        <v>0</v>
      </c>
      <c r="Z241" s="220">
        <f>Buildings_Water_Frontend[[#This Row],[Methodology]]</f>
        <v>0</v>
      </c>
      <c r="AA241" s="229" t="e" cm="1">
        <f t="array" ref="AA241">INDEX(_xlfn.SWITCH(Buildings_Water_Backend[[#This Row],[Methodology]],"Tier 1",rng_RSD1,"Tier 2",rng_RSD2,"Tier 3",rng_RSD3),MATCH(_xlfn.CONCAT(Buildings_Water_Backend[[#This Row],[Level 1]:[Level 6]]),rng_LevelsConcat,0))</f>
        <v>#N/A</v>
      </c>
      <c r="AB241" s="224">
        <f>Buildings_Water_Frontend[[#This Row],[Data]]</f>
        <v>0</v>
      </c>
      <c r="AC241" s="174">
        <f>Buildings_Water_Frontend[[#This Row],[Units]]</f>
        <v>0</v>
      </c>
      <c r="AD241" s="220" t="e">
        <f>IF(Buildings_Water_Backend[[#This Row],[Units]]=Buildings_Water_Backend[[#This Row],[Standard units]],Buildings_Water_Backend[[#This Row],[Data]],Buildings_Water_Backend[[#This Row],[Data]]*_xlfn.XLOOKUP(_xlfn.CONCAT(Buildings_Water_Backend[[#This Row],[Level 1]:[Level 6]]),rng_EFConcat,rng_EFConversion))</f>
        <v>#N/A</v>
      </c>
      <c r="AE241" s="174" t="e" cm="1">
        <f t="array" ref="AE241">_xlfn.XLOOKUP(_xlfn.CONCAT(Buildings_Water_Backend[[#This Row],[Level 1]:[Level 6]]),rng_LevelsConcat,rng_UnitsLong)</f>
        <v>#N/A</v>
      </c>
      <c r="AF241" s="210" t="e">
        <f>_xlfn.XLOOKUP(_xlfn.CONCAT(Buildings_Water_Backend[[#This Row],[Level 1]:[Level 6]]),rng_EFConcat,rng_EF1)*Buildings_Water_Backend[[#This Row],[Converted data]]/1000</f>
        <v>#N/A</v>
      </c>
      <c r="AG241" s="210" t="e">
        <f>_xlfn.XLOOKUP(_xlfn.CONCAT(Buildings_Water_Backend[[#This Row],[Level 1]:[Level 6]]),rng_EFConcat,rng_EF2)*Buildings_Water_Backend[[#This Row],[Converted data]]/1000</f>
        <v>#N/A</v>
      </c>
      <c r="AH241" s="210" t="e">
        <f>_xlfn.XLOOKUP(_xlfn.CONCAT(Buildings_Water_Backend[[#This Row],[Level 1]:[Level 6]]),rng_EFConcat,rng_EF3)*Buildings_Water_Backend[[#This Row],[Converted data]]/1000</f>
        <v>#N/A</v>
      </c>
      <c r="AI241" s="210" t="e">
        <f>_xlfn.XLOOKUP(_xlfn.CONCAT(Buildings_Water_Backend[[#This Row],[Level 1]:[Level 6]]),rng_EFConcat,rng_EF3WTT)*Buildings_Water_Backend[[#This Row],[Converted data]]/1000</f>
        <v>#N/A</v>
      </c>
      <c r="AJ241" s="210" t="e">
        <f>_xlfn.XLOOKUP(_xlfn.CONCAT(Buildings_Water_Backend[[#This Row],[Level 1]:[Level 6]]),rng_EFConcat,rng_EF3TD)*Buildings_Water_Backend[[#This Row],[Converted data]]/1000</f>
        <v>#N/A</v>
      </c>
      <c r="AK241" s="210" t="e">
        <f>_xlfn.XLOOKUP(_xlfn.CONCAT(Buildings_Water_Backend[[#This Row],[Level 1]:[Level 6]]),rng_EFConcat,rng_EF3WTTTD)*Buildings_Water_Backend[[#This Row],[Converted data]]/1000</f>
        <v>#N/A</v>
      </c>
      <c r="AL241" s="220" t="e">
        <f>SUM(Buildings_Water_Backend[[#This Row],[Scope 1 (tCO2e)]:[Scope 3 WTT T&amp;D (tCO2e)]])</f>
        <v>#N/A</v>
      </c>
      <c r="AM241" s="220" t="e">
        <f>Buildings_Water_Backend[[#This Row],[Total (tCO2e)]]*(1-Buildings_Water_Backend[[#This Row],[RSD]])</f>
        <v>#N/A</v>
      </c>
      <c r="AN241" s="220" t="e">
        <f>Buildings_Water_Backend[[#This Row],[Total (tCO2e)]]*(1+Buildings_Water_Backend[[#This Row],[RSD]])</f>
        <v>#N/A</v>
      </c>
      <c r="AO241" s="210" t="e">
        <f>_xlfn.XLOOKUP(_xlfn.CONCAT(Buildings_Water_Backend[[#This Row],[Level 1]:[Level 6]]),rng_EFConcat,rng_EFOOS)*Buildings_Water_Backend[[#This Row],[Converted data]]/1000</f>
        <v>#N/A</v>
      </c>
      <c r="AP241" s="174">
        <f>Buildings_Water_Frontend[[#This Row],[Ease of collection]]</f>
        <v>0</v>
      </c>
      <c r="AQ241" s="174">
        <f>Buildings_Water_Frontend[[#This Row],[Completeness]]</f>
        <v>0</v>
      </c>
      <c r="AR241" s="174">
        <f>Buildings_Water_Frontend[[#This Row],[Notes]]</f>
        <v>0</v>
      </c>
    </row>
    <row r="242" spans="5:44" x14ac:dyDescent="0.3">
      <c r="E242" s="346"/>
      <c r="F242" s="364"/>
      <c r="G242" s="336"/>
      <c r="H242" s="336"/>
      <c r="I242" s="334"/>
      <c r="J242" s="336"/>
      <c r="K242" s="336"/>
      <c r="L242" s="336"/>
      <c r="M242" s="337"/>
      <c r="N242" s="242">
        <f t="shared" si="7"/>
        <v>5</v>
      </c>
      <c r="Q242" s="212" t="str">
        <f t="shared" si="6"/>
        <v/>
      </c>
      <c r="R242" s="174" t="s">
        <v>265</v>
      </c>
      <c r="S242" s="174" t="s">
        <v>273</v>
      </c>
      <c r="T242" s="174" t="e">
        <f>_xlfn.XLOOKUP(Buildings_Water_Backend[[#This Row],[Info 1]],Buildings_SiteInfo[Site name],Buildings_SiteInfo[Site type])</f>
        <v>#N/A</v>
      </c>
      <c r="U242" s="174" t="s">
        <v>327</v>
      </c>
      <c r="V242" s="174">
        <f>Buildings_Water_Frontend[[#This Row],[Type]]</f>
        <v>0</v>
      </c>
      <c r="W242" s="174" t="e" cm="1">
        <f t="array" aca="1" ref="W242" ca="1">_xlfn.XLOOKUP(Buildings_Water_Backend[[#This Row],[Level 5]],rng_Level5Long,rng_Level6Long)</f>
        <v>#N/A</v>
      </c>
      <c r="X242" s="174">
        <f>Buildings_Water_Frontend[[#This Row],[Site Name]]</f>
        <v>0</v>
      </c>
      <c r="Y242" s="174">
        <f>Buildings_Water_Frontend[[#This Row],[Meter Reference]]</f>
        <v>0</v>
      </c>
      <c r="Z242" s="220">
        <f>Buildings_Water_Frontend[[#This Row],[Methodology]]</f>
        <v>0</v>
      </c>
      <c r="AA242" s="229" t="e" cm="1">
        <f t="array" ref="AA242">INDEX(_xlfn.SWITCH(Buildings_Water_Backend[[#This Row],[Methodology]],"Tier 1",rng_RSD1,"Tier 2",rng_RSD2,"Tier 3",rng_RSD3),MATCH(_xlfn.CONCAT(Buildings_Water_Backend[[#This Row],[Level 1]:[Level 6]]),rng_LevelsConcat,0))</f>
        <v>#N/A</v>
      </c>
      <c r="AB242" s="224">
        <f>Buildings_Water_Frontend[[#This Row],[Data]]</f>
        <v>0</v>
      </c>
      <c r="AC242" s="174">
        <f>Buildings_Water_Frontend[[#This Row],[Units]]</f>
        <v>0</v>
      </c>
      <c r="AD242" s="220" t="e">
        <f>IF(Buildings_Water_Backend[[#This Row],[Units]]=Buildings_Water_Backend[[#This Row],[Standard units]],Buildings_Water_Backend[[#This Row],[Data]],Buildings_Water_Backend[[#This Row],[Data]]*_xlfn.XLOOKUP(_xlfn.CONCAT(Buildings_Water_Backend[[#This Row],[Level 1]:[Level 6]]),rng_EFConcat,rng_EFConversion))</f>
        <v>#N/A</v>
      </c>
      <c r="AE242" s="174" t="e" cm="1">
        <f t="array" ref="AE242">_xlfn.XLOOKUP(_xlfn.CONCAT(Buildings_Water_Backend[[#This Row],[Level 1]:[Level 6]]),rng_LevelsConcat,rng_UnitsLong)</f>
        <v>#N/A</v>
      </c>
      <c r="AF242" s="210" t="e">
        <f>_xlfn.XLOOKUP(_xlfn.CONCAT(Buildings_Water_Backend[[#This Row],[Level 1]:[Level 6]]),rng_EFConcat,rng_EF1)*Buildings_Water_Backend[[#This Row],[Converted data]]/1000</f>
        <v>#N/A</v>
      </c>
      <c r="AG242" s="210" t="e">
        <f>_xlfn.XLOOKUP(_xlfn.CONCAT(Buildings_Water_Backend[[#This Row],[Level 1]:[Level 6]]),rng_EFConcat,rng_EF2)*Buildings_Water_Backend[[#This Row],[Converted data]]/1000</f>
        <v>#N/A</v>
      </c>
      <c r="AH242" s="210" t="e">
        <f>_xlfn.XLOOKUP(_xlfn.CONCAT(Buildings_Water_Backend[[#This Row],[Level 1]:[Level 6]]),rng_EFConcat,rng_EF3)*Buildings_Water_Backend[[#This Row],[Converted data]]/1000</f>
        <v>#N/A</v>
      </c>
      <c r="AI242" s="210" t="e">
        <f>_xlfn.XLOOKUP(_xlfn.CONCAT(Buildings_Water_Backend[[#This Row],[Level 1]:[Level 6]]),rng_EFConcat,rng_EF3WTT)*Buildings_Water_Backend[[#This Row],[Converted data]]/1000</f>
        <v>#N/A</v>
      </c>
      <c r="AJ242" s="210" t="e">
        <f>_xlfn.XLOOKUP(_xlfn.CONCAT(Buildings_Water_Backend[[#This Row],[Level 1]:[Level 6]]),rng_EFConcat,rng_EF3TD)*Buildings_Water_Backend[[#This Row],[Converted data]]/1000</f>
        <v>#N/A</v>
      </c>
      <c r="AK242" s="210" t="e">
        <f>_xlfn.XLOOKUP(_xlfn.CONCAT(Buildings_Water_Backend[[#This Row],[Level 1]:[Level 6]]),rng_EFConcat,rng_EF3WTTTD)*Buildings_Water_Backend[[#This Row],[Converted data]]/1000</f>
        <v>#N/A</v>
      </c>
      <c r="AL242" s="220" t="e">
        <f>SUM(Buildings_Water_Backend[[#This Row],[Scope 1 (tCO2e)]:[Scope 3 WTT T&amp;D (tCO2e)]])</f>
        <v>#N/A</v>
      </c>
      <c r="AM242" s="220" t="e">
        <f>Buildings_Water_Backend[[#This Row],[Total (tCO2e)]]*(1-Buildings_Water_Backend[[#This Row],[RSD]])</f>
        <v>#N/A</v>
      </c>
      <c r="AN242" s="220" t="e">
        <f>Buildings_Water_Backend[[#This Row],[Total (tCO2e)]]*(1+Buildings_Water_Backend[[#This Row],[RSD]])</f>
        <v>#N/A</v>
      </c>
      <c r="AO242" s="210" t="e">
        <f>_xlfn.XLOOKUP(_xlfn.CONCAT(Buildings_Water_Backend[[#This Row],[Level 1]:[Level 6]]),rng_EFConcat,rng_EFOOS)*Buildings_Water_Backend[[#This Row],[Converted data]]/1000</f>
        <v>#N/A</v>
      </c>
      <c r="AP242" s="174">
        <f>Buildings_Water_Frontend[[#This Row],[Ease of collection]]</f>
        <v>0</v>
      </c>
      <c r="AQ242" s="174">
        <f>Buildings_Water_Frontend[[#This Row],[Completeness]]</f>
        <v>0</v>
      </c>
      <c r="AR242" s="174">
        <f>Buildings_Water_Frontend[[#This Row],[Notes]]</f>
        <v>0</v>
      </c>
    </row>
    <row r="243" spans="5:44" x14ac:dyDescent="0.3">
      <c r="E243" s="346"/>
      <c r="F243" s="364"/>
      <c r="G243" s="336"/>
      <c r="H243" s="336"/>
      <c r="I243" s="334"/>
      <c r="J243" s="336"/>
      <c r="K243" s="336"/>
      <c r="L243" s="336"/>
      <c r="M243" s="337"/>
      <c r="N243" s="242">
        <f t="shared" si="7"/>
        <v>5</v>
      </c>
      <c r="Q243" s="212" t="str">
        <f t="shared" si="6"/>
        <v/>
      </c>
      <c r="R243" s="174" t="s">
        <v>265</v>
      </c>
      <c r="S243" s="174" t="s">
        <v>273</v>
      </c>
      <c r="T243" s="174" t="e">
        <f>_xlfn.XLOOKUP(Buildings_Water_Backend[[#This Row],[Info 1]],Buildings_SiteInfo[Site name],Buildings_SiteInfo[Site type])</f>
        <v>#N/A</v>
      </c>
      <c r="U243" s="174" t="s">
        <v>327</v>
      </c>
      <c r="V243" s="174">
        <f>Buildings_Water_Frontend[[#This Row],[Type]]</f>
        <v>0</v>
      </c>
      <c r="W243" s="174" t="e" cm="1">
        <f t="array" aca="1" ref="W243" ca="1">_xlfn.XLOOKUP(Buildings_Water_Backend[[#This Row],[Level 5]],rng_Level5Long,rng_Level6Long)</f>
        <v>#N/A</v>
      </c>
      <c r="X243" s="174">
        <f>Buildings_Water_Frontend[[#This Row],[Site Name]]</f>
        <v>0</v>
      </c>
      <c r="Y243" s="174">
        <f>Buildings_Water_Frontend[[#This Row],[Meter Reference]]</f>
        <v>0</v>
      </c>
      <c r="Z243" s="220">
        <f>Buildings_Water_Frontend[[#This Row],[Methodology]]</f>
        <v>0</v>
      </c>
      <c r="AA243" s="229" t="e" cm="1">
        <f t="array" ref="AA243">INDEX(_xlfn.SWITCH(Buildings_Water_Backend[[#This Row],[Methodology]],"Tier 1",rng_RSD1,"Tier 2",rng_RSD2,"Tier 3",rng_RSD3),MATCH(_xlfn.CONCAT(Buildings_Water_Backend[[#This Row],[Level 1]:[Level 6]]),rng_LevelsConcat,0))</f>
        <v>#N/A</v>
      </c>
      <c r="AB243" s="224">
        <f>Buildings_Water_Frontend[[#This Row],[Data]]</f>
        <v>0</v>
      </c>
      <c r="AC243" s="174">
        <f>Buildings_Water_Frontend[[#This Row],[Units]]</f>
        <v>0</v>
      </c>
      <c r="AD243" s="220" t="e">
        <f>IF(Buildings_Water_Backend[[#This Row],[Units]]=Buildings_Water_Backend[[#This Row],[Standard units]],Buildings_Water_Backend[[#This Row],[Data]],Buildings_Water_Backend[[#This Row],[Data]]*_xlfn.XLOOKUP(_xlfn.CONCAT(Buildings_Water_Backend[[#This Row],[Level 1]:[Level 6]]),rng_EFConcat,rng_EFConversion))</f>
        <v>#N/A</v>
      </c>
      <c r="AE243" s="174" t="e" cm="1">
        <f t="array" ref="AE243">_xlfn.XLOOKUP(_xlfn.CONCAT(Buildings_Water_Backend[[#This Row],[Level 1]:[Level 6]]),rng_LevelsConcat,rng_UnitsLong)</f>
        <v>#N/A</v>
      </c>
      <c r="AF243" s="210" t="e">
        <f>_xlfn.XLOOKUP(_xlfn.CONCAT(Buildings_Water_Backend[[#This Row],[Level 1]:[Level 6]]),rng_EFConcat,rng_EF1)*Buildings_Water_Backend[[#This Row],[Converted data]]/1000</f>
        <v>#N/A</v>
      </c>
      <c r="AG243" s="210" t="e">
        <f>_xlfn.XLOOKUP(_xlfn.CONCAT(Buildings_Water_Backend[[#This Row],[Level 1]:[Level 6]]),rng_EFConcat,rng_EF2)*Buildings_Water_Backend[[#This Row],[Converted data]]/1000</f>
        <v>#N/A</v>
      </c>
      <c r="AH243" s="210" t="e">
        <f>_xlfn.XLOOKUP(_xlfn.CONCAT(Buildings_Water_Backend[[#This Row],[Level 1]:[Level 6]]),rng_EFConcat,rng_EF3)*Buildings_Water_Backend[[#This Row],[Converted data]]/1000</f>
        <v>#N/A</v>
      </c>
      <c r="AI243" s="210" t="e">
        <f>_xlfn.XLOOKUP(_xlfn.CONCAT(Buildings_Water_Backend[[#This Row],[Level 1]:[Level 6]]),rng_EFConcat,rng_EF3WTT)*Buildings_Water_Backend[[#This Row],[Converted data]]/1000</f>
        <v>#N/A</v>
      </c>
      <c r="AJ243" s="210" t="e">
        <f>_xlfn.XLOOKUP(_xlfn.CONCAT(Buildings_Water_Backend[[#This Row],[Level 1]:[Level 6]]),rng_EFConcat,rng_EF3TD)*Buildings_Water_Backend[[#This Row],[Converted data]]/1000</f>
        <v>#N/A</v>
      </c>
      <c r="AK243" s="210" t="e">
        <f>_xlfn.XLOOKUP(_xlfn.CONCAT(Buildings_Water_Backend[[#This Row],[Level 1]:[Level 6]]),rng_EFConcat,rng_EF3WTTTD)*Buildings_Water_Backend[[#This Row],[Converted data]]/1000</f>
        <v>#N/A</v>
      </c>
      <c r="AL243" s="220" t="e">
        <f>SUM(Buildings_Water_Backend[[#This Row],[Scope 1 (tCO2e)]:[Scope 3 WTT T&amp;D (tCO2e)]])</f>
        <v>#N/A</v>
      </c>
      <c r="AM243" s="220" t="e">
        <f>Buildings_Water_Backend[[#This Row],[Total (tCO2e)]]*(1-Buildings_Water_Backend[[#This Row],[RSD]])</f>
        <v>#N/A</v>
      </c>
      <c r="AN243" s="220" t="e">
        <f>Buildings_Water_Backend[[#This Row],[Total (tCO2e)]]*(1+Buildings_Water_Backend[[#This Row],[RSD]])</f>
        <v>#N/A</v>
      </c>
      <c r="AO243" s="210" t="e">
        <f>_xlfn.XLOOKUP(_xlfn.CONCAT(Buildings_Water_Backend[[#This Row],[Level 1]:[Level 6]]),rng_EFConcat,rng_EFOOS)*Buildings_Water_Backend[[#This Row],[Converted data]]/1000</f>
        <v>#N/A</v>
      </c>
      <c r="AP243" s="174">
        <f>Buildings_Water_Frontend[[#This Row],[Ease of collection]]</f>
        <v>0</v>
      </c>
      <c r="AQ243" s="174">
        <f>Buildings_Water_Frontend[[#This Row],[Completeness]]</f>
        <v>0</v>
      </c>
      <c r="AR243" s="174">
        <f>Buildings_Water_Frontend[[#This Row],[Notes]]</f>
        <v>0</v>
      </c>
    </row>
    <row r="244" spans="5:44" x14ac:dyDescent="0.3">
      <c r="E244" s="346"/>
      <c r="F244" s="364"/>
      <c r="G244" s="336"/>
      <c r="H244" s="336"/>
      <c r="I244" s="334"/>
      <c r="J244" s="336"/>
      <c r="K244" s="336"/>
      <c r="L244" s="336"/>
      <c r="M244" s="337"/>
      <c r="N244" s="242">
        <f t="shared" si="7"/>
        <v>5</v>
      </c>
      <c r="Q244" s="212" t="str">
        <f t="shared" si="6"/>
        <v/>
      </c>
      <c r="R244" s="174" t="s">
        <v>265</v>
      </c>
      <c r="S244" s="174" t="s">
        <v>273</v>
      </c>
      <c r="T244" s="174" t="e">
        <f>_xlfn.XLOOKUP(Buildings_Water_Backend[[#This Row],[Info 1]],Buildings_SiteInfo[Site name],Buildings_SiteInfo[Site type])</f>
        <v>#N/A</v>
      </c>
      <c r="U244" s="174" t="s">
        <v>327</v>
      </c>
      <c r="V244" s="174">
        <f>Buildings_Water_Frontend[[#This Row],[Type]]</f>
        <v>0</v>
      </c>
      <c r="W244" s="174" t="e" cm="1">
        <f t="array" aca="1" ref="W244" ca="1">_xlfn.XLOOKUP(Buildings_Water_Backend[[#This Row],[Level 5]],rng_Level5Long,rng_Level6Long)</f>
        <v>#N/A</v>
      </c>
      <c r="X244" s="174">
        <f>Buildings_Water_Frontend[[#This Row],[Site Name]]</f>
        <v>0</v>
      </c>
      <c r="Y244" s="174">
        <f>Buildings_Water_Frontend[[#This Row],[Meter Reference]]</f>
        <v>0</v>
      </c>
      <c r="Z244" s="220">
        <f>Buildings_Water_Frontend[[#This Row],[Methodology]]</f>
        <v>0</v>
      </c>
      <c r="AA244" s="229" t="e" cm="1">
        <f t="array" ref="AA244">INDEX(_xlfn.SWITCH(Buildings_Water_Backend[[#This Row],[Methodology]],"Tier 1",rng_RSD1,"Tier 2",rng_RSD2,"Tier 3",rng_RSD3),MATCH(_xlfn.CONCAT(Buildings_Water_Backend[[#This Row],[Level 1]:[Level 6]]),rng_LevelsConcat,0))</f>
        <v>#N/A</v>
      </c>
      <c r="AB244" s="224">
        <f>Buildings_Water_Frontend[[#This Row],[Data]]</f>
        <v>0</v>
      </c>
      <c r="AC244" s="174">
        <f>Buildings_Water_Frontend[[#This Row],[Units]]</f>
        <v>0</v>
      </c>
      <c r="AD244" s="220" t="e">
        <f>IF(Buildings_Water_Backend[[#This Row],[Units]]=Buildings_Water_Backend[[#This Row],[Standard units]],Buildings_Water_Backend[[#This Row],[Data]],Buildings_Water_Backend[[#This Row],[Data]]*_xlfn.XLOOKUP(_xlfn.CONCAT(Buildings_Water_Backend[[#This Row],[Level 1]:[Level 6]]),rng_EFConcat,rng_EFConversion))</f>
        <v>#N/A</v>
      </c>
      <c r="AE244" s="174" t="e" cm="1">
        <f t="array" ref="AE244">_xlfn.XLOOKUP(_xlfn.CONCAT(Buildings_Water_Backend[[#This Row],[Level 1]:[Level 6]]),rng_LevelsConcat,rng_UnitsLong)</f>
        <v>#N/A</v>
      </c>
      <c r="AF244" s="210" t="e">
        <f>_xlfn.XLOOKUP(_xlfn.CONCAT(Buildings_Water_Backend[[#This Row],[Level 1]:[Level 6]]),rng_EFConcat,rng_EF1)*Buildings_Water_Backend[[#This Row],[Converted data]]/1000</f>
        <v>#N/A</v>
      </c>
      <c r="AG244" s="210" t="e">
        <f>_xlfn.XLOOKUP(_xlfn.CONCAT(Buildings_Water_Backend[[#This Row],[Level 1]:[Level 6]]),rng_EFConcat,rng_EF2)*Buildings_Water_Backend[[#This Row],[Converted data]]/1000</f>
        <v>#N/A</v>
      </c>
      <c r="AH244" s="210" t="e">
        <f>_xlfn.XLOOKUP(_xlfn.CONCAT(Buildings_Water_Backend[[#This Row],[Level 1]:[Level 6]]),rng_EFConcat,rng_EF3)*Buildings_Water_Backend[[#This Row],[Converted data]]/1000</f>
        <v>#N/A</v>
      </c>
      <c r="AI244" s="210" t="e">
        <f>_xlfn.XLOOKUP(_xlfn.CONCAT(Buildings_Water_Backend[[#This Row],[Level 1]:[Level 6]]),rng_EFConcat,rng_EF3WTT)*Buildings_Water_Backend[[#This Row],[Converted data]]/1000</f>
        <v>#N/A</v>
      </c>
      <c r="AJ244" s="210" t="e">
        <f>_xlfn.XLOOKUP(_xlfn.CONCAT(Buildings_Water_Backend[[#This Row],[Level 1]:[Level 6]]),rng_EFConcat,rng_EF3TD)*Buildings_Water_Backend[[#This Row],[Converted data]]/1000</f>
        <v>#N/A</v>
      </c>
      <c r="AK244" s="210" t="e">
        <f>_xlfn.XLOOKUP(_xlfn.CONCAT(Buildings_Water_Backend[[#This Row],[Level 1]:[Level 6]]),rng_EFConcat,rng_EF3WTTTD)*Buildings_Water_Backend[[#This Row],[Converted data]]/1000</f>
        <v>#N/A</v>
      </c>
      <c r="AL244" s="220" t="e">
        <f>SUM(Buildings_Water_Backend[[#This Row],[Scope 1 (tCO2e)]:[Scope 3 WTT T&amp;D (tCO2e)]])</f>
        <v>#N/A</v>
      </c>
      <c r="AM244" s="220" t="e">
        <f>Buildings_Water_Backend[[#This Row],[Total (tCO2e)]]*(1-Buildings_Water_Backend[[#This Row],[RSD]])</f>
        <v>#N/A</v>
      </c>
      <c r="AN244" s="220" t="e">
        <f>Buildings_Water_Backend[[#This Row],[Total (tCO2e)]]*(1+Buildings_Water_Backend[[#This Row],[RSD]])</f>
        <v>#N/A</v>
      </c>
      <c r="AO244" s="210" t="e">
        <f>_xlfn.XLOOKUP(_xlfn.CONCAT(Buildings_Water_Backend[[#This Row],[Level 1]:[Level 6]]),rng_EFConcat,rng_EFOOS)*Buildings_Water_Backend[[#This Row],[Converted data]]/1000</f>
        <v>#N/A</v>
      </c>
      <c r="AP244" s="174">
        <f>Buildings_Water_Frontend[[#This Row],[Ease of collection]]</f>
        <v>0</v>
      </c>
      <c r="AQ244" s="174">
        <f>Buildings_Water_Frontend[[#This Row],[Completeness]]</f>
        <v>0</v>
      </c>
      <c r="AR244" s="174">
        <f>Buildings_Water_Frontend[[#This Row],[Notes]]</f>
        <v>0</v>
      </c>
    </row>
    <row r="245" spans="5:44" x14ac:dyDescent="0.3">
      <c r="E245" s="346"/>
      <c r="F245" s="364"/>
      <c r="G245" s="336"/>
      <c r="H245" s="336"/>
      <c r="I245" s="334"/>
      <c r="J245" s="336"/>
      <c r="K245" s="336"/>
      <c r="L245" s="336"/>
      <c r="M245" s="337"/>
      <c r="N245" s="242">
        <f t="shared" si="7"/>
        <v>5</v>
      </c>
      <c r="Q245" s="212" t="str">
        <f t="shared" si="6"/>
        <v/>
      </c>
      <c r="R245" s="174" t="s">
        <v>265</v>
      </c>
      <c r="S245" s="174" t="s">
        <v>273</v>
      </c>
      <c r="T245" s="174" t="e">
        <f>_xlfn.XLOOKUP(Buildings_Water_Backend[[#This Row],[Info 1]],Buildings_SiteInfo[Site name],Buildings_SiteInfo[Site type])</f>
        <v>#N/A</v>
      </c>
      <c r="U245" s="174" t="s">
        <v>327</v>
      </c>
      <c r="V245" s="174">
        <f>Buildings_Water_Frontend[[#This Row],[Type]]</f>
        <v>0</v>
      </c>
      <c r="W245" s="174" t="e" cm="1">
        <f t="array" aca="1" ref="W245" ca="1">_xlfn.XLOOKUP(Buildings_Water_Backend[[#This Row],[Level 5]],rng_Level5Long,rng_Level6Long)</f>
        <v>#N/A</v>
      </c>
      <c r="X245" s="174">
        <f>Buildings_Water_Frontend[[#This Row],[Site Name]]</f>
        <v>0</v>
      </c>
      <c r="Y245" s="174">
        <f>Buildings_Water_Frontend[[#This Row],[Meter Reference]]</f>
        <v>0</v>
      </c>
      <c r="Z245" s="220">
        <f>Buildings_Water_Frontend[[#This Row],[Methodology]]</f>
        <v>0</v>
      </c>
      <c r="AA245" s="229" t="e" cm="1">
        <f t="array" ref="AA245">INDEX(_xlfn.SWITCH(Buildings_Water_Backend[[#This Row],[Methodology]],"Tier 1",rng_RSD1,"Tier 2",rng_RSD2,"Tier 3",rng_RSD3),MATCH(_xlfn.CONCAT(Buildings_Water_Backend[[#This Row],[Level 1]:[Level 6]]),rng_LevelsConcat,0))</f>
        <v>#N/A</v>
      </c>
      <c r="AB245" s="224">
        <f>Buildings_Water_Frontend[[#This Row],[Data]]</f>
        <v>0</v>
      </c>
      <c r="AC245" s="174">
        <f>Buildings_Water_Frontend[[#This Row],[Units]]</f>
        <v>0</v>
      </c>
      <c r="AD245" s="220" t="e">
        <f>IF(Buildings_Water_Backend[[#This Row],[Units]]=Buildings_Water_Backend[[#This Row],[Standard units]],Buildings_Water_Backend[[#This Row],[Data]],Buildings_Water_Backend[[#This Row],[Data]]*_xlfn.XLOOKUP(_xlfn.CONCAT(Buildings_Water_Backend[[#This Row],[Level 1]:[Level 6]]),rng_EFConcat,rng_EFConversion))</f>
        <v>#N/A</v>
      </c>
      <c r="AE245" s="174" t="e" cm="1">
        <f t="array" ref="AE245">_xlfn.XLOOKUP(_xlfn.CONCAT(Buildings_Water_Backend[[#This Row],[Level 1]:[Level 6]]),rng_LevelsConcat,rng_UnitsLong)</f>
        <v>#N/A</v>
      </c>
      <c r="AF245" s="210" t="e">
        <f>_xlfn.XLOOKUP(_xlfn.CONCAT(Buildings_Water_Backend[[#This Row],[Level 1]:[Level 6]]),rng_EFConcat,rng_EF1)*Buildings_Water_Backend[[#This Row],[Converted data]]/1000</f>
        <v>#N/A</v>
      </c>
      <c r="AG245" s="210" t="e">
        <f>_xlfn.XLOOKUP(_xlfn.CONCAT(Buildings_Water_Backend[[#This Row],[Level 1]:[Level 6]]),rng_EFConcat,rng_EF2)*Buildings_Water_Backend[[#This Row],[Converted data]]/1000</f>
        <v>#N/A</v>
      </c>
      <c r="AH245" s="210" t="e">
        <f>_xlfn.XLOOKUP(_xlfn.CONCAT(Buildings_Water_Backend[[#This Row],[Level 1]:[Level 6]]),rng_EFConcat,rng_EF3)*Buildings_Water_Backend[[#This Row],[Converted data]]/1000</f>
        <v>#N/A</v>
      </c>
      <c r="AI245" s="210" t="e">
        <f>_xlfn.XLOOKUP(_xlfn.CONCAT(Buildings_Water_Backend[[#This Row],[Level 1]:[Level 6]]),rng_EFConcat,rng_EF3WTT)*Buildings_Water_Backend[[#This Row],[Converted data]]/1000</f>
        <v>#N/A</v>
      </c>
      <c r="AJ245" s="210" t="e">
        <f>_xlfn.XLOOKUP(_xlfn.CONCAT(Buildings_Water_Backend[[#This Row],[Level 1]:[Level 6]]),rng_EFConcat,rng_EF3TD)*Buildings_Water_Backend[[#This Row],[Converted data]]/1000</f>
        <v>#N/A</v>
      </c>
      <c r="AK245" s="210" t="e">
        <f>_xlfn.XLOOKUP(_xlfn.CONCAT(Buildings_Water_Backend[[#This Row],[Level 1]:[Level 6]]),rng_EFConcat,rng_EF3WTTTD)*Buildings_Water_Backend[[#This Row],[Converted data]]/1000</f>
        <v>#N/A</v>
      </c>
      <c r="AL245" s="220" t="e">
        <f>SUM(Buildings_Water_Backend[[#This Row],[Scope 1 (tCO2e)]:[Scope 3 WTT T&amp;D (tCO2e)]])</f>
        <v>#N/A</v>
      </c>
      <c r="AM245" s="220" t="e">
        <f>Buildings_Water_Backend[[#This Row],[Total (tCO2e)]]*(1-Buildings_Water_Backend[[#This Row],[RSD]])</f>
        <v>#N/A</v>
      </c>
      <c r="AN245" s="220" t="e">
        <f>Buildings_Water_Backend[[#This Row],[Total (tCO2e)]]*(1+Buildings_Water_Backend[[#This Row],[RSD]])</f>
        <v>#N/A</v>
      </c>
      <c r="AO245" s="210" t="e">
        <f>_xlfn.XLOOKUP(_xlfn.CONCAT(Buildings_Water_Backend[[#This Row],[Level 1]:[Level 6]]),rng_EFConcat,rng_EFOOS)*Buildings_Water_Backend[[#This Row],[Converted data]]/1000</f>
        <v>#N/A</v>
      </c>
      <c r="AP245" s="174">
        <f>Buildings_Water_Frontend[[#This Row],[Ease of collection]]</f>
        <v>0</v>
      </c>
      <c r="AQ245" s="174">
        <f>Buildings_Water_Frontend[[#This Row],[Completeness]]</f>
        <v>0</v>
      </c>
      <c r="AR245" s="174">
        <f>Buildings_Water_Frontend[[#This Row],[Notes]]</f>
        <v>0</v>
      </c>
    </row>
    <row r="246" spans="5:44" x14ac:dyDescent="0.3">
      <c r="E246" s="346"/>
      <c r="F246" s="364"/>
      <c r="G246" s="336"/>
      <c r="H246" s="336"/>
      <c r="I246" s="334"/>
      <c r="J246" s="336"/>
      <c r="K246" s="336"/>
      <c r="L246" s="336"/>
      <c r="M246" s="337"/>
      <c r="N246" s="242">
        <f t="shared" si="7"/>
        <v>5</v>
      </c>
      <c r="Q246" s="212" t="str">
        <f t="shared" si="6"/>
        <v/>
      </c>
      <c r="R246" s="174" t="s">
        <v>265</v>
      </c>
      <c r="S246" s="174" t="s">
        <v>273</v>
      </c>
      <c r="T246" s="174" t="e">
        <f>_xlfn.XLOOKUP(Buildings_Water_Backend[[#This Row],[Info 1]],Buildings_SiteInfo[Site name],Buildings_SiteInfo[Site type])</f>
        <v>#N/A</v>
      </c>
      <c r="U246" s="174" t="s">
        <v>327</v>
      </c>
      <c r="V246" s="174">
        <f>Buildings_Water_Frontend[[#This Row],[Type]]</f>
        <v>0</v>
      </c>
      <c r="W246" s="174" t="e" cm="1">
        <f t="array" aca="1" ref="W246" ca="1">_xlfn.XLOOKUP(Buildings_Water_Backend[[#This Row],[Level 5]],rng_Level5Long,rng_Level6Long)</f>
        <v>#N/A</v>
      </c>
      <c r="X246" s="174">
        <f>Buildings_Water_Frontend[[#This Row],[Site Name]]</f>
        <v>0</v>
      </c>
      <c r="Y246" s="174">
        <f>Buildings_Water_Frontend[[#This Row],[Meter Reference]]</f>
        <v>0</v>
      </c>
      <c r="Z246" s="220">
        <f>Buildings_Water_Frontend[[#This Row],[Methodology]]</f>
        <v>0</v>
      </c>
      <c r="AA246" s="229" t="e" cm="1">
        <f t="array" ref="AA246">INDEX(_xlfn.SWITCH(Buildings_Water_Backend[[#This Row],[Methodology]],"Tier 1",rng_RSD1,"Tier 2",rng_RSD2,"Tier 3",rng_RSD3),MATCH(_xlfn.CONCAT(Buildings_Water_Backend[[#This Row],[Level 1]:[Level 6]]),rng_LevelsConcat,0))</f>
        <v>#N/A</v>
      </c>
      <c r="AB246" s="224">
        <f>Buildings_Water_Frontend[[#This Row],[Data]]</f>
        <v>0</v>
      </c>
      <c r="AC246" s="174">
        <f>Buildings_Water_Frontend[[#This Row],[Units]]</f>
        <v>0</v>
      </c>
      <c r="AD246" s="220" t="e">
        <f>IF(Buildings_Water_Backend[[#This Row],[Units]]=Buildings_Water_Backend[[#This Row],[Standard units]],Buildings_Water_Backend[[#This Row],[Data]],Buildings_Water_Backend[[#This Row],[Data]]*_xlfn.XLOOKUP(_xlfn.CONCAT(Buildings_Water_Backend[[#This Row],[Level 1]:[Level 6]]),rng_EFConcat,rng_EFConversion))</f>
        <v>#N/A</v>
      </c>
      <c r="AE246" s="174" t="e" cm="1">
        <f t="array" ref="AE246">_xlfn.XLOOKUP(_xlfn.CONCAT(Buildings_Water_Backend[[#This Row],[Level 1]:[Level 6]]),rng_LevelsConcat,rng_UnitsLong)</f>
        <v>#N/A</v>
      </c>
      <c r="AF246" s="210" t="e">
        <f>_xlfn.XLOOKUP(_xlfn.CONCAT(Buildings_Water_Backend[[#This Row],[Level 1]:[Level 6]]),rng_EFConcat,rng_EF1)*Buildings_Water_Backend[[#This Row],[Converted data]]/1000</f>
        <v>#N/A</v>
      </c>
      <c r="AG246" s="210" t="e">
        <f>_xlfn.XLOOKUP(_xlfn.CONCAT(Buildings_Water_Backend[[#This Row],[Level 1]:[Level 6]]),rng_EFConcat,rng_EF2)*Buildings_Water_Backend[[#This Row],[Converted data]]/1000</f>
        <v>#N/A</v>
      </c>
      <c r="AH246" s="210" t="e">
        <f>_xlfn.XLOOKUP(_xlfn.CONCAT(Buildings_Water_Backend[[#This Row],[Level 1]:[Level 6]]),rng_EFConcat,rng_EF3)*Buildings_Water_Backend[[#This Row],[Converted data]]/1000</f>
        <v>#N/A</v>
      </c>
      <c r="AI246" s="210" t="e">
        <f>_xlfn.XLOOKUP(_xlfn.CONCAT(Buildings_Water_Backend[[#This Row],[Level 1]:[Level 6]]),rng_EFConcat,rng_EF3WTT)*Buildings_Water_Backend[[#This Row],[Converted data]]/1000</f>
        <v>#N/A</v>
      </c>
      <c r="AJ246" s="210" t="e">
        <f>_xlfn.XLOOKUP(_xlfn.CONCAT(Buildings_Water_Backend[[#This Row],[Level 1]:[Level 6]]),rng_EFConcat,rng_EF3TD)*Buildings_Water_Backend[[#This Row],[Converted data]]/1000</f>
        <v>#N/A</v>
      </c>
      <c r="AK246" s="210" t="e">
        <f>_xlfn.XLOOKUP(_xlfn.CONCAT(Buildings_Water_Backend[[#This Row],[Level 1]:[Level 6]]),rng_EFConcat,rng_EF3WTTTD)*Buildings_Water_Backend[[#This Row],[Converted data]]/1000</f>
        <v>#N/A</v>
      </c>
      <c r="AL246" s="220" t="e">
        <f>SUM(Buildings_Water_Backend[[#This Row],[Scope 1 (tCO2e)]:[Scope 3 WTT T&amp;D (tCO2e)]])</f>
        <v>#N/A</v>
      </c>
      <c r="AM246" s="220" t="e">
        <f>Buildings_Water_Backend[[#This Row],[Total (tCO2e)]]*(1-Buildings_Water_Backend[[#This Row],[RSD]])</f>
        <v>#N/A</v>
      </c>
      <c r="AN246" s="220" t="e">
        <f>Buildings_Water_Backend[[#This Row],[Total (tCO2e)]]*(1+Buildings_Water_Backend[[#This Row],[RSD]])</f>
        <v>#N/A</v>
      </c>
      <c r="AO246" s="210" t="e">
        <f>_xlfn.XLOOKUP(_xlfn.CONCAT(Buildings_Water_Backend[[#This Row],[Level 1]:[Level 6]]),rng_EFConcat,rng_EFOOS)*Buildings_Water_Backend[[#This Row],[Converted data]]/1000</f>
        <v>#N/A</v>
      </c>
      <c r="AP246" s="174">
        <f>Buildings_Water_Frontend[[#This Row],[Ease of collection]]</f>
        <v>0</v>
      </c>
      <c r="AQ246" s="174">
        <f>Buildings_Water_Frontend[[#This Row],[Completeness]]</f>
        <v>0</v>
      </c>
      <c r="AR246" s="174">
        <f>Buildings_Water_Frontend[[#This Row],[Notes]]</f>
        <v>0</v>
      </c>
    </row>
    <row r="247" spans="5:44" x14ac:dyDescent="0.3">
      <c r="E247" s="346"/>
      <c r="F247" s="364"/>
      <c r="G247" s="336"/>
      <c r="H247" s="336"/>
      <c r="I247" s="334"/>
      <c r="J247" s="336"/>
      <c r="K247" s="336"/>
      <c r="L247" s="336"/>
      <c r="M247" s="337"/>
      <c r="N247" s="242">
        <f t="shared" si="7"/>
        <v>5</v>
      </c>
      <c r="Q247" s="212" t="str">
        <f t="shared" si="6"/>
        <v/>
      </c>
      <c r="R247" s="174" t="s">
        <v>265</v>
      </c>
      <c r="S247" s="174" t="s">
        <v>273</v>
      </c>
      <c r="T247" s="174" t="e">
        <f>_xlfn.XLOOKUP(Buildings_Water_Backend[[#This Row],[Info 1]],Buildings_SiteInfo[Site name],Buildings_SiteInfo[Site type])</f>
        <v>#N/A</v>
      </c>
      <c r="U247" s="174" t="s">
        <v>327</v>
      </c>
      <c r="V247" s="174">
        <f>Buildings_Water_Frontend[[#This Row],[Type]]</f>
        <v>0</v>
      </c>
      <c r="W247" s="174" t="e" cm="1">
        <f t="array" aca="1" ref="W247" ca="1">_xlfn.XLOOKUP(Buildings_Water_Backend[[#This Row],[Level 5]],rng_Level5Long,rng_Level6Long)</f>
        <v>#N/A</v>
      </c>
      <c r="X247" s="174">
        <f>Buildings_Water_Frontend[[#This Row],[Site Name]]</f>
        <v>0</v>
      </c>
      <c r="Y247" s="174">
        <f>Buildings_Water_Frontend[[#This Row],[Meter Reference]]</f>
        <v>0</v>
      </c>
      <c r="Z247" s="220">
        <f>Buildings_Water_Frontend[[#This Row],[Methodology]]</f>
        <v>0</v>
      </c>
      <c r="AA247" s="229" t="e" cm="1">
        <f t="array" ref="AA247">INDEX(_xlfn.SWITCH(Buildings_Water_Backend[[#This Row],[Methodology]],"Tier 1",rng_RSD1,"Tier 2",rng_RSD2,"Tier 3",rng_RSD3),MATCH(_xlfn.CONCAT(Buildings_Water_Backend[[#This Row],[Level 1]:[Level 6]]),rng_LevelsConcat,0))</f>
        <v>#N/A</v>
      </c>
      <c r="AB247" s="224">
        <f>Buildings_Water_Frontend[[#This Row],[Data]]</f>
        <v>0</v>
      </c>
      <c r="AC247" s="174">
        <f>Buildings_Water_Frontend[[#This Row],[Units]]</f>
        <v>0</v>
      </c>
      <c r="AD247" s="220" t="e">
        <f>IF(Buildings_Water_Backend[[#This Row],[Units]]=Buildings_Water_Backend[[#This Row],[Standard units]],Buildings_Water_Backend[[#This Row],[Data]],Buildings_Water_Backend[[#This Row],[Data]]*_xlfn.XLOOKUP(_xlfn.CONCAT(Buildings_Water_Backend[[#This Row],[Level 1]:[Level 6]]),rng_EFConcat,rng_EFConversion))</f>
        <v>#N/A</v>
      </c>
      <c r="AE247" s="174" t="e" cm="1">
        <f t="array" ref="AE247">_xlfn.XLOOKUP(_xlfn.CONCAT(Buildings_Water_Backend[[#This Row],[Level 1]:[Level 6]]),rng_LevelsConcat,rng_UnitsLong)</f>
        <v>#N/A</v>
      </c>
      <c r="AF247" s="210" t="e">
        <f>_xlfn.XLOOKUP(_xlfn.CONCAT(Buildings_Water_Backend[[#This Row],[Level 1]:[Level 6]]),rng_EFConcat,rng_EF1)*Buildings_Water_Backend[[#This Row],[Converted data]]/1000</f>
        <v>#N/A</v>
      </c>
      <c r="AG247" s="210" t="e">
        <f>_xlfn.XLOOKUP(_xlfn.CONCAT(Buildings_Water_Backend[[#This Row],[Level 1]:[Level 6]]),rng_EFConcat,rng_EF2)*Buildings_Water_Backend[[#This Row],[Converted data]]/1000</f>
        <v>#N/A</v>
      </c>
      <c r="AH247" s="210" t="e">
        <f>_xlfn.XLOOKUP(_xlfn.CONCAT(Buildings_Water_Backend[[#This Row],[Level 1]:[Level 6]]),rng_EFConcat,rng_EF3)*Buildings_Water_Backend[[#This Row],[Converted data]]/1000</f>
        <v>#N/A</v>
      </c>
      <c r="AI247" s="210" t="e">
        <f>_xlfn.XLOOKUP(_xlfn.CONCAT(Buildings_Water_Backend[[#This Row],[Level 1]:[Level 6]]),rng_EFConcat,rng_EF3WTT)*Buildings_Water_Backend[[#This Row],[Converted data]]/1000</f>
        <v>#N/A</v>
      </c>
      <c r="AJ247" s="210" t="e">
        <f>_xlfn.XLOOKUP(_xlfn.CONCAT(Buildings_Water_Backend[[#This Row],[Level 1]:[Level 6]]),rng_EFConcat,rng_EF3TD)*Buildings_Water_Backend[[#This Row],[Converted data]]/1000</f>
        <v>#N/A</v>
      </c>
      <c r="AK247" s="210" t="e">
        <f>_xlfn.XLOOKUP(_xlfn.CONCAT(Buildings_Water_Backend[[#This Row],[Level 1]:[Level 6]]),rng_EFConcat,rng_EF3WTTTD)*Buildings_Water_Backend[[#This Row],[Converted data]]/1000</f>
        <v>#N/A</v>
      </c>
      <c r="AL247" s="220" t="e">
        <f>SUM(Buildings_Water_Backend[[#This Row],[Scope 1 (tCO2e)]:[Scope 3 WTT T&amp;D (tCO2e)]])</f>
        <v>#N/A</v>
      </c>
      <c r="AM247" s="220" t="e">
        <f>Buildings_Water_Backend[[#This Row],[Total (tCO2e)]]*(1-Buildings_Water_Backend[[#This Row],[RSD]])</f>
        <v>#N/A</v>
      </c>
      <c r="AN247" s="220" t="e">
        <f>Buildings_Water_Backend[[#This Row],[Total (tCO2e)]]*(1+Buildings_Water_Backend[[#This Row],[RSD]])</f>
        <v>#N/A</v>
      </c>
      <c r="AO247" s="210" t="e">
        <f>_xlfn.XLOOKUP(_xlfn.CONCAT(Buildings_Water_Backend[[#This Row],[Level 1]:[Level 6]]),rng_EFConcat,rng_EFOOS)*Buildings_Water_Backend[[#This Row],[Converted data]]/1000</f>
        <v>#N/A</v>
      </c>
      <c r="AP247" s="174">
        <f>Buildings_Water_Frontend[[#This Row],[Ease of collection]]</f>
        <v>0</v>
      </c>
      <c r="AQ247" s="174">
        <f>Buildings_Water_Frontend[[#This Row],[Completeness]]</f>
        <v>0</v>
      </c>
      <c r="AR247" s="174">
        <f>Buildings_Water_Frontend[[#This Row],[Notes]]</f>
        <v>0</v>
      </c>
    </row>
    <row r="248" spans="5:44" x14ac:dyDescent="0.3">
      <c r="E248" s="346"/>
      <c r="F248" s="364"/>
      <c r="G248" s="336"/>
      <c r="H248" s="336"/>
      <c r="I248" s="334"/>
      <c r="J248" s="336"/>
      <c r="K248" s="336"/>
      <c r="L248" s="336"/>
      <c r="M248" s="337"/>
      <c r="N248" s="242">
        <f t="shared" si="7"/>
        <v>5</v>
      </c>
      <c r="Q248" s="212" t="str">
        <f t="shared" si="6"/>
        <v/>
      </c>
      <c r="R248" s="174" t="s">
        <v>265</v>
      </c>
      <c r="S248" s="174" t="s">
        <v>273</v>
      </c>
      <c r="T248" s="174" t="e">
        <f>_xlfn.XLOOKUP(Buildings_Water_Backend[[#This Row],[Info 1]],Buildings_SiteInfo[Site name],Buildings_SiteInfo[Site type])</f>
        <v>#N/A</v>
      </c>
      <c r="U248" s="174" t="s">
        <v>327</v>
      </c>
      <c r="V248" s="174">
        <f>Buildings_Water_Frontend[[#This Row],[Type]]</f>
        <v>0</v>
      </c>
      <c r="W248" s="174" t="e" cm="1">
        <f t="array" aca="1" ref="W248" ca="1">_xlfn.XLOOKUP(Buildings_Water_Backend[[#This Row],[Level 5]],rng_Level5Long,rng_Level6Long)</f>
        <v>#N/A</v>
      </c>
      <c r="X248" s="174">
        <f>Buildings_Water_Frontend[[#This Row],[Site Name]]</f>
        <v>0</v>
      </c>
      <c r="Y248" s="174">
        <f>Buildings_Water_Frontend[[#This Row],[Meter Reference]]</f>
        <v>0</v>
      </c>
      <c r="Z248" s="220">
        <f>Buildings_Water_Frontend[[#This Row],[Methodology]]</f>
        <v>0</v>
      </c>
      <c r="AA248" s="229" t="e" cm="1">
        <f t="array" ref="AA248">INDEX(_xlfn.SWITCH(Buildings_Water_Backend[[#This Row],[Methodology]],"Tier 1",rng_RSD1,"Tier 2",rng_RSD2,"Tier 3",rng_RSD3),MATCH(_xlfn.CONCAT(Buildings_Water_Backend[[#This Row],[Level 1]:[Level 6]]),rng_LevelsConcat,0))</f>
        <v>#N/A</v>
      </c>
      <c r="AB248" s="224">
        <f>Buildings_Water_Frontend[[#This Row],[Data]]</f>
        <v>0</v>
      </c>
      <c r="AC248" s="174">
        <f>Buildings_Water_Frontend[[#This Row],[Units]]</f>
        <v>0</v>
      </c>
      <c r="AD248" s="220" t="e">
        <f>IF(Buildings_Water_Backend[[#This Row],[Units]]=Buildings_Water_Backend[[#This Row],[Standard units]],Buildings_Water_Backend[[#This Row],[Data]],Buildings_Water_Backend[[#This Row],[Data]]*_xlfn.XLOOKUP(_xlfn.CONCAT(Buildings_Water_Backend[[#This Row],[Level 1]:[Level 6]]),rng_EFConcat,rng_EFConversion))</f>
        <v>#N/A</v>
      </c>
      <c r="AE248" s="174" t="e" cm="1">
        <f t="array" ref="AE248">_xlfn.XLOOKUP(_xlfn.CONCAT(Buildings_Water_Backend[[#This Row],[Level 1]:[Level 6]]),rng_LevelsConcat,rng_UnitsLong)</f>
        <v>#N/A</v>
      </c>
      <c r="AF248" s="210" t="e">
        <f>_xlfn.XLOOKUP(_xlfn.CONCAT(Buildings_Water_Backend[[#This Row],[Level 1]:[Level 6]]),rng_EFConcat,rng_EF1)*Buildings_Water_Backend[[#This Row],[Converted data]]/1000</f>
        <v>#N/A</v>
      </c>
      <c r="AG248" s="210" t="e">
        <f>_xlfn.XLOOKUP(_xlfn.CONCAT(Buildings_Water_Backend[[#This Row],[Level 1]:[Level 6]]),rng_EFConcat,rng_EF2)*Buildings_Water_Backend[[#This Row],[Converted data]]/1000</f>
        <v>#N/A</v>
      </c>
      <c r="AH248" s="210" t="e">
        <f>_xlfn.XLOOKUP(_xlfn.CONCAT(Buildings_Water_Backend[[#This Row],[Level 1]:[Level 6]]),rng_EFConcat,rng_EF3)*Buildings_Water_Backend[[#This Row],[Converted data]]/1000</f>
        <v>#N/A</v>
      </c>
      <c r="AI248" s="210" t="e">
        <f>_xlfn.XLOOKUP(_xlfn.CONCAT(Buildings_Water_Backend[[#This Row],[Level 1]:[Level 6]]),rng_EFConcat,rng_EF3WTT)*Buildings_Water_Backend[[#This Row],[Converted data]]/1000</f>
        <v>#N/A</v>
      </c>
      <c r="AJ248" s="210" t="e">
        <f>_xlfn.XLOOKUP(_xlfn.CONCAT(Buildings_Water_Backend[[#This Row],[Level 1]:[Level 6]]),rng_EFConcat,rng_EF3TD)*Buildings_Water_Backend[[#This Row],[Converted data]]/1000</f>
        <v>#N/A</v>
      </c>
      <c r="AK248" s="210" t="e">
        <f>_xlfn.XLOOKUP(_xlfn.CONCAT(Buildings_Water_Backend[[#This Row],[Level 1]:[Level 6]]),rng_EFConcat,rng_EF3WTTTD)*Buildings_Water_Backend[[#This Row],[Converted data]]/1000</f>
        <v>#N/A</v>
      </c>
      <c r="AL248" s="220" t="e">
        <f>SUM(Buildings_Water_Backend[[#This Row],[Scope 1 (tCO2e)]:[Scope 3 WTT T&amp;D (tCO2e)]])</f>
        <v>#N/A</v>
      </c>
      <c r="AM248" s="220" t="e">
        <f>Buildings_Water_Backend[[#This Row],[Total (tCO2e)]]*(1-Buildings_Water_Backend[[#This Row],[RSD]])</f>
        <v>#N/A</v>
      </c>
      <c r="AN248" s="220" t="e">
        <f>Buildings_Water_Backend[[#This Row],[Total (tCO2e)]]*(1+Buildings_Water_Backend[[#This Row],[RSD]])</f>
        <v>#N/A</v>
      </c>
      <c r="AO248" s="210" t="e">
        <f>_xlfn.XLOOKUP(_xlfn.CONCAT(Buildings_Water_Backend[[#This Row],[Level 1]:[Level 6]]),rng_EFConcat,rng_EFOOS)*Buildings_Water_Backend[[#This Row],[Converted data]]/1000</f>
        <v>#N/A</v>
      </c>
      <c r="AP248" s="174">
        <f>Buildings_Water_Frontend[[#This Row],[Ease of collection]]</f>
        <v>0</v>
      </c>
      <c r="AQ248" s="174">
        <f>Buildings_Water_Frontend[[#This Row],[Completeness]]</f>
        <v>0</v>
      </c>
      <c r="AR248" s="174">
        <f>Buildings_Water_Frontend[[#This Row],[Notes]]</f>
        <v>0</v>
      </c>
    </row>
    <row r="249" spans="5:44" x14ac:dyDescent="0.3">
      <c r="E249" s="346"/>
      <c r="F249" s="364"/>
      <c r="G249" s="336"/>
      <c r="H249" s="336"/>
      <c r="I249" s="334"/>
      <c r="J249" s="336"/>
      <c r="K249" s="336"/>
      <c r="L249" s="336"/>
      <c r="M249" s="337"/>
      <c r="N249" s="242">
        <f t="shared" si="7"/>
        <v>5</v>
      </c>
      <c r="Q249" s="212" t="str">
        <f t="shared" si="6"/>
        <v/>
      </c>
      <c r="R249" s="174" t="s">
        <v>265</v>
      </c>
      <c r="S249" s="174" t="s">
        <v>273</v>
      </c>
      <c r="T249" s="174" t="e">
        <f>_xlfn.XLOOKUP(Buildings_Water_Backend[[#This Row],[Info 1]],Buildings_SiteInfo[Site name],Buildings_SiteInfo[Site type])</f>
        <v>#N/A</v>
      </c>
      <c r="U249" s="174" t="s">
        <v>327</v>
      </c>
      <c r="V249" s="174">
        <f>Buildings_Water_Frontend[[#This Row],[Type]]</f>
        <v>0</v>
      </c>
      <c r="W249" s="174" t="e" cm="1">
        <f t="array" aca="1" ref="W249" ca="1">_xlfn.XLOOKUP(Buildings_Water_Backend[[#This Row],[Level 5]],rng_Level5Long,rng_Level6Long)</f>
        <v>#N/A</v>
      </c>
      <c r="X249" s="174">
        <f>Buildings_Water_Frontend[[#This Row],[Site Name]]</f>
        <v>0</v>
      </c>
      <c r="Y249" s="174">
        <f>Buildings_Water_Frontend[[#This Row],[Meter Reference]]</f>
        <v>0</v>
      </c>
      <c r="Z249" s="220">
        <f>Buildings_Water_Frontend[[#This Row],[Methodology]]</f>
        <v>0</v>
      </c>
      <c r="AA249" s="229" t="e" cm="1">
        <f t="array" ref="AA249">INDEX(_xlfn.SWITCH(Buildings_Water_Backend[[#This Row],[Methodology]],"Tier 1",rng_RSD1,"Tier 2",rng_RSD2,"Tier 3",rng_RSD3),MATCH(_xlfn.CONCAT(Buildings_Water_Backend[[#This Row],[Level 1]:[Level 6]]),rng_LevelsConcat,0))</f>
        <v>#N/A</v>
      </c>
      <c r="AB249" s="224">
        <f>Buildings_Water_Frontend[[#This Row],[Data]]</f>
        <v>0</v>
      </c>
      <c r="AC249" s="174">
        <f>Buildings_Water_Frontend[[#This Row],[Units]]</f>
        <v>0</v>
      </c>
      <c r="AD249" s="220" t="e">
        <f>IF(Buildings_Water_Backend[[#This Row],[Units]]=Buildings_Water_Backend[[#This Row],[Standard units]],Buildings_Water_Backend[[#This Row],[Data]],Buildings_Water_Backend[[#This Row],[Data]]*_xlfn.XLOOKUP(_xlfn.CONCAT(Buildings_Water_Backend[[#This Row],[Level 1]:[Level 6]]),rng_EFConcat,rng_EFConversion))</f>
        <v>#N/A</v>
      </c>
      <c r="AE249" s="174" t="e" cm="1">
        <f t="array" ref="AE249">_xlfn.XLOOKUP(_xlfn.CONCAT(Buildings_Water_Backend[[#This Row],[Level 1]:[Level 6]]),rng_LevelsConcat,rng_UnitsLong)</f>
        <v>#N/A</v>
      </c>
      <c r="AF249" s="210" t="e">
        <f>_xlfn.XLOOKUP(_xlfn.CONCAT(Buildings_Water_Backend[[#This Row],[Level 1]:[Level 6]]),rng_EFConcat,rng_EF1)*Buildings_Water_Backend[[#This Row],[Converted data]]/1000</f>
        <v>#N/A</v>
      </c>
      <c r="AG249" s="210" t="e">
        <f>_xlfn.XLOOKUP(_xlfn.CONCAT(Buildings_Water_Backend[[#This Row],[Level 1]:[Level 6]]),rng_EFConcat,rng_EF2)*Buildings_Water_Backend[[#This Row],[Converted data]]/1000</f>
        <v>#N/A</v>
      </c>
      <c r="AH249" s="210" t="e">
        <f>_xlfn.XLOOKUP(_xlfn.CONCAT(Buildings_Water_Backend[[#This Row],[Level 1]:[Level 6]]),rng_EFConcat,rng_EF3)*Buildings_Water_Backend[[#This Row],[Converted data]]/1000</f>
        <v>#N/A</v>
      </c>
      <c r="AI249" s="210" t="e">
        <f>_xlfn.XLOOKUP(_xlfn.CONCAT(Buildings_Water_Backend[[#This Row],[Level 1]:[Level 6]]),rng_EFConcat,rng_EF3WTT)*Buildings_Water_Backend[[#This Row],[Converted data]]/1000</f>
        <v>#N/A</v>
      </c>
      <c r="AJ249" s="210" t="e">
        <f>_xlfn.XLOOKUP(_xlfn.CONCAT(Buildings_Water_Backend[[#This Row],[Level 1]:[Level 6]]),rng_EFConcat,rng_EF3TD)*Buildings_Water_Backend[[#This Row],[Converted data]]/1000</f>
        <v>#N/A</v>
      </c>
      <c r="AK249" s="210" t="e">
        <f>_xlfn.XLOOKUP(_xlfn.CONCAT(Buildings_Water_Backend[[#This Row],[Level 1]:[Level 6]]),rng_EFConcat,rng_EF3WTTTD)*Buildings_Water_Backend[[#This Row],[Converted data]]/1000</f>
        <v>#N/A</v>
      </c>
      <c r="AL249" s="220" t="e">
        <f>SUM(Buildings_Water_Backend[[#This Row],[Scope 1 (tCO2e)]:[Scope 3 WTT T&amp;D (tCO2e)]])</f>
        <v>#N/A</v>
      </c>
      <c r="AM249" s="220" t="e">
        <f>Buildings_Water_Backend[[#This Row],[Total (tCO2e)]]*(1-Buildings_Water_Backend[[#This Row],[RSD]])</f>
        <v>#N/A</v>
      </c>
      <c r="AN249" s="220" t="e">
        <f>Buildings_Water_Backend[[#This Row],[Total (tCO2e)]]*(1+Buildings_Water_Backend[[#This Row],[RSD]])</f>
        <v>#N/A</v>
      </c>
      <c r="AO249" s="210" t="e">
        <f>_xlfn.XLOOKUP(_xlfn.CONCAT(Buildings_Water_Backend[[#This Row],[Level 1]:[Level 6]]),rng_EFConcat,rng_EFOOS)*Buildings_Water_Backend[[#This Row],[Converted data]]/1000</f>
        <v>#N/A</v>
      </c>
      <c r="AP249" s="174">
        <f>Buildings_Water_Frontend[[#This Row],[Ease of collection]]</f>
        <v>0</v>
      </c>
      <c r="AQ249" s="174">
        <f>Buildings_Water_Frontend[[#This Row],[Completeness]]</f>
        <v>0</v>
      </c>
      <c r="AR249" s="174">
        <f>Buildings_Water_Frontend[[#This Row],[Notes]]</f>
        <v>0</v>
      </c>
    </row>
    <row r="250" spans="5:44" x14ac:dyDescent="0.3">
      <c r="E250" s="346"/>
      <c r="F250" s="364"/>
      <c r="G250" s="336"/>
      <c r="H250" s="336"/>
      <c r="I250" s="334"/>
      <c r="J250" s="336"/>
      <c r="K250" s="336"/>
      <c r="L250" s="336"/>
      <c r="M250" s="337"/>
      <c r="N250" s="242">
        <f t="shared" si="7"/>
        <v>5</v>
      </c>
      <c r="Q250" s="212" t="str">
        <f t="shared" si="6"/>
        <v/>
      </c>
      <c r="R250" s="174" t="s">
        <v>265</v>
      </c>
      <c r="S250" s="174" t="s">
        <v>273</v>
      </c>
      <c r="T250" s="174" t="e">
        <f>_xlfn.XLOOKUP(Buildings_Water_Backend[[#This Row],[Info 1]],Buildings_SiteInfo[Site name],Buildings_SiteInfo[Site type])</f>
        <v>#N/A</v>
      </c>
      <c r="U250" s="174" t="s">
        <v>327</v>
      </c>
      <c r="V250" s="174">
        <f>Buildings_Water_Frontend[[#This Row],[Type]]</f>
        <v>0</v>
      </c>
      <c r="W250" s="174" t="e" cm="1">
        <f t="array" aca="1" ref="W250" ca="1">_xlfn.XLOOKUP(Buildings_Water_Backend[[#This Row],[Level 5]],rng_Level5Long,rng_Level6Long)</f>
        <v>#N/A</v>
      </c>
      <c r="X250" s="174">
        <f>Buildings_Water_Frontend[[#This Row],[Site Name]]</f>
        <v>0</v>
      </c>
      <c r="Y250" s="174">
        <f>Buildings_Water_Frontend[[#This Row],[Meter Reference]]</f>
        <v>0</v>
      </c>
      <c r="Z250" s="220">
        <f>Buildings_Water_Frontend[[#This Row],[Methodology]]</f>
        <v>0</v>
      </c>
      <c r="AA250" s="229" t="e" cm="1">
        <f t="array" ref="AA250">INDEX(_xlfn.SWITCH(Buildings_Water_Backend[[#This Row],[Methodology]],"Tier 1",rng_RSD1,"Tier 2",rng_RSD2,"Tier 3",rng_RSD3),MATCH(_xlfn.CONCAT(Buildings_Water_Backend[[#This Row],[Level 1]:[Level 6]]),rng_LevelsConcat,0))</f>
        <v>#N/A</v>
      </c>
      <c r="AB250" s="224">
        <f>Buildings_Water_Frontend[[#This Row],[Data]]</f>
        <v>0</v>
      </c>
      <c r="AC250" s="174">
        <f>Buildings_Water_Frontend[[#This Row],[Units]]</f>
        <v>0</v>
      </c>
      <c r="AD250" s="220" t="e">
        <f>IF(Buildings_Water_Backend[[#This Row],[Units]]=Buildings_Water_Backend[[#This Row],[Standard units]],Buildings_Water_Backend[[#This Row],[Data]],Buildings_Water_Backend[[#This Row],[Data]]*_xlfn.XLOOKUP(_xlfn.CONCAT(Buildings_Water_Backend[[#This Row],[Level 1]:[Level 6]]),rng_EFConcat,rng_EFConversion))</f>
        <v>#N/A</v>
      </c>
      <c r="AE250" s="174" t="e" cm="1">
        <f t="array" ref="AE250">_xlfn.XLOOKUP(_xlfn.CONCAT(Buildings_Water_Backend[[#This Row],[Level 1]:[Level 6]]),rng_LevelsConcat,rng_UnitsLong)</f>
        <v>#N/A</v>
      </c>
      <c r="AF250" s="210" t="e">
        <f>_xlfn.XLOOKUP(_xlfn.CONCAT(Buildings_Water_Backend[[#This Row],[Level 1]:[Level 6]]),rng_EFConcat,rng_EF1)*Buildings_Water_Backend[[#This Row],[Converted data]]/1000</f>
        <v>#N/A</v>
      </c>
      <c r="AG250" s="210" t="e">
        <f>_xlfn.XLOOKUP(_xlfn.CONCAT(Buildings_Water_Backend[[#This Row],[Level 1]:[Level 6]]),rng_EFConcat,rng_EF2)*Buildings_Water_Backend[[#This Row],[Converted data]]/1000</f>
        <v>#N/A</v>
      </c>
      <c r="AH250" s="210" t="e">
        <f>_xlfn.XLOOKUP(_xlfn.CONCAT(Buildings_Water_Backend[[#This Row],[Level 1]:[Level 6]]),rng_EFConcat,rng_EF3)*Buildings_Water_Backend[[#This Row],[Converted data]]/1000</f>
        <v>#N/A</v>
      </c>
      <c r="AI250" s="210" t="e">
        <f>_xlfn.XLOOKUP(_xlfn.CONCAT(Buildings_Water_Backend[[#This Row],[Level 1]:[Level 6]]),rng_EFConcat,rng_EF3WTT)*Buildings_Water_Backend[[#This Row],[Converted data]]/1000</f>
        <v>#N/A</v>
      </c>
      <c r="AJ250" s="210" t="e">
        <f>_xlfn.XLOOKUP(_xlfn.CONCAT(Buildings_Water_Backend[[#This Row],[Level 1]:[Level 6]]),rng_EFConcat,rng_EF3TD)*Buildings_Water_Backend[[#This Row],[Converted data]]/1000</f>
        <v>#N/A</v>
      </c>
      <c r="AK250" s="210" t="e">
        <f>_xlfn.XLOOKUP(_xlfn.CONCAT(Buildings_Water_Backend[[#This Row],[Level 1]:[Level 6]]),rng_EFConcat,rng_EF3WTTTD)*Buildings_Water_Backend[[#This Row],[Converted data]]/1000</f>
        <v>#N/A</v>
      </c>
      <c r="AL250" s="220" t="e">
        <f>SUM(Buildings_Water_Backend[[#This Row],[Scope 1 (tCO2e)]:[Scope 3 WTT T&amp;D (tCO2e)]])</f>
        <v>#N/A</v>
      </c>
      <c r="AM250" s="220" t="e">
        <f>Buildings_Water_Backend[[#This Row],[Total (tCO2e)]]*(1-Buildings_Water_Backend[[#This Row],[RSD]])</f>
        <v>#N/A</v>
      </c>
      <c r="AN250" s="220" t="e">
        <f>Buildings_Water_Backend[[#This Row],[Total (tCO2e)]]*(1+Buildings_Water_Backend[[#This Row],[RSD]])</f>
        <v>#N/A</v>
      </c>
      <c r="AO250" s="210" t="e">
        <f>_xlfn.XLOOKUP(_xlfn.CONCAT(Buildings_Water_Backend[[#This Row],[Level 1]:[Level 6]]),rng_EFConcat,rng_EFOOS)*Buildings_Water_Backend[[#This Row],[Converted data]]/1000</f>
        <v>#N/A</v>
      </c>
      <c r="AP250" s="174">
        <f>Buildings_Water_Frontend[[#This Row],[Ease of collection]]</f>
        <v>0</v>
      </c>
      <c r="AQ250" s="174">
        <f>Buildings_Water_Frontend[[#This Row],[Completeness]]</f>
        <v>0</v>
      </c>
      <c r="AR250" s="174">
        <f>Buildings_Water_Frontend[[#This Row],[Notes]]</f>
        <v>0</v>
      </c>
    </row>
    <row r="251" spans="5:44" x14ac:dyDescent="0.3">
      <c r="E251" s="346"/>
      <c r="F251" s="364"/>
      <c r="G251" s="336"/>
      <c r="H251" s="336"/>
      <c r="I251" s="334"/>
      <c r="J251" s="336"/>
      <c r="K251" s="336"/>
      <c r="L251" s="336"/>
      <c r="M251" s="337"/>
      <c r="N251" s="242">
        <f t="shared" si="7"/>
        <v>5</v>
      </c>
      <c r="Q251" s="212" t="str">
        <f t="shared" si="6"/>
        <v/>
      </c>
      <c r="R251" s="174" t="s">
        <v>265</v>
      </c>
      <c r="S251" s="174" t="s">
        <v>273</v>
      </c>
      <c r="T251" s="174" t="e">
        <f>_xlfn.XLOOKUP(Buildings_Water_Backend[[#This Row],[Info 1]],Buildings_SiteInfo[Site name],Buildings_SiteInfo[Site type])</f>
        <v>#N/A</v>
      </c>
      <c r="U251" s="174" t="s">
        <v>327</v>
      </c>
      <c r="V251" s="174">
        <f>Buildings_Water_Frontend[[#This Row],[Type]]</f>
        <v>0</v>
      </c>
      <c r="W251" s="174" t="e" cm="1">
        <f t="array" aca="1" ref="W251" ca="1">_xlfn.XLOOKUP(Buildings_Water_Backend[[#This Row],[Level 5]],rng_Level5Long,rng_Level6Long)</f>
        <v>#N/A</v>
      </c>
      <c r="X251" s="174">
        <f>Buildings_Water_Frontend[[#This Row],[Site Name]]</f>
        <v>0</v>
      </c>
      <c r="Y251" s="174">
        <f>Buildings_Water_Frontend[[#This Row],[Meter Reference]]</f>
        <v>0</v>
      </c>
      <c r="Z251" s="220">
        <f>Buildings_Water_Frontend[[#This Row],[Methodology]]</f>
        <v>0</v>
      </c>
      <c r="AA251" s="229" t="e" cm="1">
        <f t="array" ref="AA251">INDEX(_xlfn.SWITCH(Buildings_Water_Backend[[#This Row],[Methodology]],"Tier 1",rng_RSD1,"Tier 2",rng_RSD2,"Tier 3",rng_RSD3),MATCH(_xlfn.CONCAT(Buildings_Water_Backend[[#This Row],[Level 1]:[Level 6]]),rng_LevelsConcat,0))</f>
        <v>#N/A</v>
      </c>
      <c r="AB251" s="224">
        <f>Buildings_Water_Frontend[[#This Row],[Data]]</f>
        <v>0</v>
      </c>
      <c r="AC251" s="174">
        <f>Buildings_Water_Frontend[[#This Row],[Units]]</f>
        <v>0</v>
      </c>
      <c r="AD251" s="220" t="e">
        <f>IF(Buildings_Water_Backend[[#This Row],[Units]]=Buildings_Water_Backend[[#This Row],[Standard units]],Buildings_Water_Backend[[#This Row],[Data]],Buildings_Water_Backend[[#This Row],[Data]]*_xlfn.XLOOKUP(_xlfn.CONCAT(Buildings_Water_Backend[[#This Row],[Level 1]:[Level 6]]),rng_EFConcat,rng_EFConversion))</f>
        <v>#N/A</v>
      </c>
      <c r="AE251" s="174" t="e" cm="1">
        <f t="array" ref="AE251">_xlfn.XLOOKUP(_xlfn.CONCAT(Buildings_Water_Backend[[#This Row],[Level 1]:[Level 6]]),rng_LevelsConcat,rng_UnitsLong)</f>
        <v>#N/A</v>
      </c>
      <c r="AF251" s="210" t="e">
        <f>_xlfn.XLOOKUP(_xlfn.CONCAT(Buildings_Water_Backend[[#This Row],[Level 1]:[Level 6]]),rng_EFConcat,rng_EF1)*Buildings_Water_Backend[[#This Row],[Converted data]]/1000</f>
        <v>#N/A</v>
      </c>
      <c r="AG251" s="210" t="e">
        <f>_xlfn.XLOOKUP(_xlfn.CONCAT(Buildings_Water_Backend[[#This Row],[Level 1]:[Level 6]]),rng_EFConcat,rng_EF2)*Buildings_Water_Backend[[#This Row],[Converted data]]/1000</f>
        <v>#N/A</v>
      </c>
      <c r="AH251" s="210" t="e">
        <f>_xlfn.XLOOKUP(_xlfn.CONCAT(Buildings_Water_Backend[[#This Row],[Level 1]:[Level 6]]),rng_EFConcat,rng_EF3)*Buildings_Water_Backend[[#This Row],[Converted data]]/1000</f>
        <v>#N/A</v>
      </c>
      <c r="AI251" s="210" t="e">
        <f>_xlfn.XLOOKUP(_xlfn.CONCAT(Buildings_Water_Backend[[#This Row],[Level 1]:[Level 6]]),rng_EFConcat,rng_EF3WTT)*Buildings_Water_Backend[[#This Row],[Converted data]]/1000</f>
        <v>#N/A</v>
      </c>
      <c r="AJ251" s="210" t="e">
        <f>_xlfn.XLOOKUP(_xlfn.CONCAT(Buildings_Water_Backend[[#This Row],[Level 1]:[Level 6]]),rng_EFConcat,rng_EF3TD)*Buildings_Water_Backend[[#This Row],[Converted data]]/1000</f>
        <v>#N/A</v>
      </c>
      <c r="AK251" s="210" t="e">
        <f>_xlfn.XLOOKUP(_xlfn.CONCAT(Buildings_Water_Backend[[#This Row],[Level 1]:[Level 6]]),rng_EFConcat,rng_EF3WTTTD)*Buildings_Water_Backend[[#This Row],[Converted data]]/1000</f>
        <v>#N/A</v>
      </c>
      <c r="AL251" s="220" t="e">
        <f>SUM(Buildings_Water_Backend[[#This Row],[Scope 1 (tCO2e)]:[Scope 3 WTT T&amp;D (tCO2e)]])</f>
        <v>#N/A</v>
      </c>
      <c r="AM251" s="220" t="e">
        <f>Buildings_Water_Backend[[#This Row],[Total (tCO2e)]]*(1-Buildings_Water_Backend[[#This Row],[RSD]])</f>
        <v>#N/A</v>
      </c>
      <c r="AN251" s="220" t="e">
        <f>Buildings_Water_Backend[[#This Row],[Total (tCO2e)]]*(1+Buildings_Water_Backend[[#This Row],[RSD]])</f>
        <v>#N/A</v>
      </c>
      <c r="AO251" s="210" t="e">
        <f>_xlfn.XLOOKUP(_xlfn.CONCAT(Buildings_Water_Backend[[#This Row],[Level 1]:[Level 6]]),rng_EFConcat,rng_EFOOS)*Buildings_Water_Backend[[#This Row],[Converted data]]/1000</f>
        <v>#N/A</v>
      </c>
      <c r="AP251" s="174">
        <f>Buildings_Water_Frontend[[#This Row],[Ease of collection]]</f>
        <v>0</v>
      </c>
      <c r="AQ251" s="174">
        <f>Buildings_Water_Frontend[[#This Row],[Completeness]]</f>
        <v>0</v>
      </c>
      <c r="AR251" s="174">
        <f>Buildings_Water_Frontend[[#This Row],[Notes]]</f>
        <v>0</v>
      </c>
    </row>
    <row r="252" spans="5:44" x14ac:dyDescent="0.3">
      <c r="E252" s="346"/>
      <c r="F252" s="364"/>
      <c r="G252" s="336"/>
      <c r="H252" s="336"/>
      <c r="I252" s="334"/>
      <c r="J252" s="336"/>
      <c r="K252" s="336"/>
      <c r="L252" s="336"/>
      <c r="M252" s="337"/>
      <c r="N252" s="242">
        <f t="shared" si="7"/>
        <v>5</v>
      </c>
      <c r="Q252" s="212" t="str">
        <f t="shared" si="6"/>
        <v/>
      </c>
      <c r="R252" s="174" t="s">
        <v>265</v>
      </c>
      <c r="S252" s="174" t="s">
        <v>273</v>
      </c>
      <c r="T252" s="174" t="e">
        <f>_xlfn.XLOOKUP(Buildings_Water_Backend[[#This Row],[Info 1]],Buildings_SiteInfo[Site name],Buildings_SiteInfo[Site type])</f>
        <v>#N/A</v>
      </c>
      <c r="U252" s="174" t="s">
        <v>327</v>
      </c>
      <c r="V252" s="174">
        <f>Buildings_Water_Frontend[[#This Row],[Type]]</f>
        <v>0</v>
      </c>
      <c r="W252" s="174" t="e" cm="1">
        <f t="array" aca="1" ref="W252" ca="1">_xlfn.XLOOKUP(Buildings_Water_Backend[[#This Row],[Level 5]],rng_Level5Long,rng_Level6Long)</f>
        <v>#N/A</v>
      </c>
      <c r="X252" s="174">
        <f>Buildings_Water_Frontend[[#This Row],[Site Name]]</f>
        <v>0</v>
      </c>
      <c r="Y252" s="174">
        <f>Buildings_Water_Frontend[[#This Row],[Meter Reference]]</f>
        <v>0</v>
      </c>
      <c r="Z252" s="220">
        <f>Buildings_Water_Frontend[[#This Row],[Methodology]]</f>
        <v>0</v>
      </c>
      <c r="AA252" s="229" t="e" cm="1">
        <f t="array" ref="AA252">INDEX(_xlfn.SWITCH(Buildings_Water_Backend[[#This Row],[Methodology]],"Tier 1",rng_RSD1,"Tier 2",rng_RSD2,"Tier 3",rng_RSD3),MATCH(_xlfn.CONCAT(Buildings_Water_Backend[[#This Row],[Level 1]:[Level 6]]),rng_LevelsConcat,0))</f>
        <v>#N/A</v>
      </c>
      <c r="AB252" s="224">
        <f>Buildings_Water_Frontend[[#This Row],[Data]]</f>
        <v>0</v>
      </c>
      <c r="AC252" s="174">
        <f>Buildings_Water_Frontend[[#This Row],[Units]]</f>
        <v>0</v>
      </c>
      <c r="AD252" s="220" t="e">
        <f>IF(Buildings_Water_Backend[[#This Row],[Units]]=Buildings_Water_Backend[[#This Row],[Standard units]],Buildings_Water_Backend[[#This Row],[Data]],Buildings_Water_Backend[[#This Row],[Data]]*_xlfn.XLOOKUP(_xlfn.CONCAT(Buildings_Water_Backend[[#This Row],[Level 1]:[Level 6]]),rng_EFConcat,rng_EFConversion))</f>
        <v>#N/A</v>
      </c>
      <c r="AE252" s="174" t="e" cm="1">
        <f t="array" ref="AE252">_xlfn.XLOOKUP(_xlfn.CONCAT(Buildings_Water_Backend[[#This Row],[Level 1]:[Level 6]]),rng_LevelsConcat,rng_UnitsLong)</f>
        <v>#N/A</v>
      </c>
      <c r="AF252" s="210" t="e">
        <f>_xlfn.XLOOKUP(_xlfn.CONCAT(Buildings_Water_Backend[[#This Row],[Level 1]:[Level 6]]),rng_EFConcat,rng_EF1)*Buildings_Water_Backend[[#This Row],[Converted data]]/1000</f>
        <v>#N/A</v>
      </c>
      <c r="AG252" s="210" t="e">
        <f>_xlfn.XLOOKUP(_xlfn.CONCAT(Buildings_Water_Backend[[#This Row],[Level 1]:[Level 6]]),rng_EFConcat,rng_EF2)*Buildings_Water_Backend[[#This Row],[Converted data]]/1000</f>
        <v>#N/A</v>
      </c>
      <c r="AH252" s="210" t="e">
        <f>_xlfn.XLOOKUP(_xlfn.CONCAT(Buildings_Water_Backend[[#This Row],[Level 1]:[Level 6]]),rng_EFConcat,rng_EF3)*Buildings_Water_Backend[[#This Row],[Converted data]]/1000</f>
        <v>#N/A</v>
      </c>
      <c r="AI252" s="210" t="e">
        <f>_xlfn.XLOOKUP(_xlfn.CONCAT(Buildings_Water_Backend[[#This Row],[Level 1]:[Level 6]]),rng_EFConcat,rng_EF3WTT)*Buildings_Water_Backend[[#This Row],[Converted data]]/1000</f>
        <v>#N/A</v>
      </c>
      <c r="AJ252" s="210" t="e">
        <f>_xlfn.XLOOKUP(_xlfn.CONCAT(Buildings_Water_Backend[[#This Row],[Level 1]:[Level 6]]),rng_EFConcat,rng_EF3TD)*Buildings_Water_Backend[[#This Row],[Converted data]]/1000</f>
        <v>#N/A</v>
      </c>
      <c r="AK252" s="210" t="e">
        <f>_xlfn.XLOOKUP(_xlfn.CONCAT(Buildings_Water_Backend[[#This Row],[Level 1]:[Level 6]]),rng_EFConcat,rng_EF3WTTTD)*Buildings_Water_Backend[[#This Row],[Converted data]]/1000</f>
        <v>#N/A</v>
      </c>
      <c r="AL252" s="220" t="e">
        <f>SUM(Buildings_Water_Backend[[#This Row],[Scope 1 (tCO2e)]:[Scope 3 WTT T&amp;D (tCO2e)]])</f>
        <v>#N/A</v>
      </c>
      <c r="AM252" s="220" t="e">
        <f>Buildings_Water_Backend[[#This Row],[Total (tCO2e)]]*(1-Buildings_Water_Backend[[#This Row],[RSD]])</f>
        <v>#N/A</v>
      </c>
      <c r="AN252" s="220" t="e">
        <f>Buildings_Water_Backend[[#This Row],[Total (tCO2e)]]*(1+Buildings_Water_Backend[[#This Row],[RSD]])</f>
        <v>#N/A</v>
      </c>
      <c r="AO252" s="210" t="e">
        <f>_xlfn.XLOOKUP(_xlfn.CONCAT(Buildings_Water_Backend[[#This Row],[Level 1]:[Level 6]]),rng_EFConcat,rng_EFOOS)*Buildings_Water_Backend[[#This Row],[Converted data]]/1000</f>
        <v>#N/A</v>
      </c>
      <c r="AP252" s="174">
        <f>Buildings_Water_Frontend[[#This Row],[Ease of collection]]</f>
        <v>0</v>
      </c>
      <c r="AQ252" s="174">
        <f>Buildings_Water_Frontend[[#This Row],[Completeness]]</f>
        <v>0</v>
      </c>
      <c r="AR252" s="174">
        <f>Buildings_Water_Frontend[[#This Row],[Notes]]</f>
        <v>0</v>
      </c>
    </row>
    <row r="253" spans="5:44" x14ac:dyDescent="0.3">
      <c r="E253" s="346"/>
      <c r="F253" s="364"/>
      <c r="G253" s="336"/>
      <c r="H253" s="336"/>
      <c r="I253" s="334"/>
      <c r="J253" s="336"/>
      <c r="K253" s="336"/>
      <c r="L253" s="336"/>
      <c r="M253" s="337"/>
      <c r="N253" s="242">
        <f t="shared" si="7"/>
        <v>5</v>
      </c>
      <c r="Q253" s="212" t="str">
        <f t="shared" si="6"/>
        <v/>
      </c>
      <c r="R253" s="174" t="s">
        <v>265</v>
      </c>
      <c r="S253" s="174" t="s">
        <v>273</v>
      </c>
      <c r="T253" s="174" t="e">
        <f>_xlfn.XLOOKUP(Buildings_Water_Backend[[#This Row],[Info 1]],Buildings_SiteInfo[Site name],Buildings_SiteInfo[Site type])</f>
        <v>#N/A</v>
      </c>
      <c r="U253" s="174" t="s">
        <v>327</v>
      </c>
      <c r="V253" s="174">
        <f>Buildings_Water_Frontend[[#This Row],[Type]]</f>
        <v>0</v>
      </c>
      <c r="W253" s="174" t="e" cm="1">
        <f t="array" aca="1" ref="W253" ca="1">_xlfn.XLOOKUP(Buildings_Water_Backend[[#This Row],[Level 5]],rng_Level5Long,rng_Level6Long)</f>
        <v>#N/A</v>
      </c>
      <c r="X253" s="174">
        <f>Buildings_Water_Frontend[[#This Row],[Site Name]]</f>
        <v>0</v>
      </c>
      <c r="Y253" s="174">
        <f>Buildings_Water_Frontend[[#This Row],[Meter Reference]]</f>
        <v>0</v>
      </c>
      <c r="Z253" s="220">
        <f>Buildings_Water_Frontend[[#This Row],[Methodology]]</f>
        <v>0</v>
      </c>
      <c r="AA253" s="229" t="e" cm="1">
        <f t="array" ref="AA253">INDEX(_xlfn.SWITCH(Buildings_Water_Backend[[#This Row],[Methodology]],"Tier 1",rng_RSD1,"Tier 2",rng_RSD2,"Tier 3",rng_RSD3),MATCH(_xlfn.CONCAT(Buildings_Water_Backend[[#This Row],[Level 1]:[Level 6]]),rng_LevelsConcat,0))</f>
        <v>#N/A</v>
      </c>
      <c r="AB253" s="224">
        <f>Buildings_Water_Frontend[[#This Row],[Data]]</f>
        <v>0</v>
      </c>
      <c r="AC253" s="174">
        <f>Buildings_Water_Frontend[[#This Row],[Units]]</f>
        <v>0</v>
      </c>
      <c r="AD253" s="220" t="e">
        <f>IF(Buildings_Water_Backend[[#This Row],[Units]]=Buildings_Water_Backend[[#This Row],[Standard units]],Buildings_Water_Backend[[#This Row],[Data]],Buildings_Water_Backend[[#This Row],[Data]]*_xlfn.XLOOKUP(_xlfn.CONCAT(Buildings_Water_Backend[[#This Row],[Level 1]:[Level 6]]),rng_EFConcat,rng_EFConversion))</f>
        <v>#N/A</v>
      </c>
      <c r="AE253" s="174" t="e" cm="1">
        <f t="array" ref="AE253">_xlfn.XLOOKUP(_xlfn.CONCAT(Buildings_Water_Backend[[#This Row],[Level 1]:[Level 6]]),rng_LevelsConcat,rng_UnitsLong)</f>
        <v>#N/A</v>
      </c>
      <c r="AF253" s="210" t="e">
        <f>_xlfn.XLOOKUP(_xlfn.CONCAT(Buildings_Water_Backend[[#This Row],[Level 1]:[Level 6]]),rng_EFConcat,rng_EF1)*Buildings_Water_Backend[[#This Row],[Converted data]]/1000</f>
        <v>#N/A</v>
      </c>
      <c r="AG253" s="210" t="e">
        <f>_xlfn.XLOOKUP(_xlfn.CONCAT(Buildings_Water_Backend[[#This Row],[Level 1]:[Level 6]]),rng_EFConcat,rng_EF2)*Buildings_Water_Backend[[#This Row],[Converted data]]/1000</f>
        <v>#N/A</v>
      </c>
      <c r="AH253" s="210" t="e">
        <f>_xlfn.XLOOKUP(_xlfn.CONCAT(Buildings_Water_Backend[[#This Row],[Level 1]:[Level 6]]),rng_EFConcat,rng_EF3)*Buildings_Water_Backend[[#This Row],[Converted data]]/1000</f>
        <v>#N/A</v>
      </c>
      <c r="AI253" s="210" t="e">
        <f>_xlfn.XLOOKUP(_xlfn.CONCAT(Buildings_Water_Backend[[#This Row],[Level 1]:[Level 6]]),rng_EFConcat,rng_EF3WTT)*Buildings_Water_Backend[[#This Row],[Converted data]]/1000</f>
        <v>#N/A</v>
      </c>
      <c r="AJ253" s="210" t="e">
        <f>_xlfn.XLOOKUP(_xlfn.CONCAT(Buildings_Water_Backend[[#This Row],[Level 1]:[Level 6]]),rng_EFConcat,rng_EF3TD)*Buildings_Water_Backend[[#This Row],[Converted data]]/1000</f>
        <v>#N/A</v>
      </c>
      <c r="AK253" s="210" t="e">
        <f>_xlfn.XLOOKUP(_xlfn.CONCAT(Buildings_Water_Backend[[#This Row],[Level 1]:[Level 6]]),rng_EFConcat,rng_EF3WTTTD)*Buildings_Water_Backend[[#This Row],[Converted data]]/1000</f>
        <v>#N/A</v>
      </c>
      <c r="AL253" s="220" t="e">
        <f>SUM(Buildings_Water_Backend[[#This Row],[Scope 1 (tCO2e)]:[Scope 3 WTT T&amp;D (tCO2e)]])</f>
        <v>#N/A</v>
      </c>
      <c r="AM253" s="220" t="e">
        <f>Buildings_Water_Backend[[#This Row],[Total (tCO2e)]]*(1-Buildings_Water_Backend[[#This Row],[RSD]])</f>
        <v>#N/A</v>
      </c>
      <c r="AN253" s="220" t="e">
        <f>Buildings_Water_Backend[[#This Row],[Total (tCO2e)]]*(1+Buildings_Water_Backend[[#This Row],[RSD]])</f>
        <v>#N/A</v>
      </c>
      <c r="AO253" s="210" t="e">
        <f>_xlfn.XLOOKUP(_xlfn.CONCAT(Buildings_Water_Backend[[#This Row],[Level 1]:[Level 6]]),rng_EFConcat,rng_EFOOS)*Buildings_Water_Backend[[#This Row],[Converted data]]/1000</f>
        <v>#N/A</v>
      </c>
      <c r="AP253" s="174">
        <f>Buildings_Water_Frontend[[#This Row],[Ease of collection]]</f>
        <v>0</v>
      </c>
      <c r="AQ253" s="174">
        <f>Buildings_Water_Frontend[[#This Row],[Completeness]]</f>
        <v>0</v>
      </c>
      <c r="AR253" s="174">
        <f>Buildings_Water_Frontend[[#This Row],[Notes]]</f>
        <v>0</v>
      </c>
    </row>
    <row r="254" spans="5:44" x14ac:dyDescent="0.3">
      <c r="E254" s="346"/>
      <c r="F254" s="364"/>
      <c r="G254" s="336"/>
      <c r="H254" s="336"/>
      <c r="I254" s="334"/>
      <c r="J254" s="336"/>
      <c r="K254" s="336"/>
      <c r="L254" s="336"/>
      <c r="M254" s="337"/>
      <c r="N254" s="242">
        <f t="shared" si="7"/>
        <v>5</v>
      </c>
      <c r="Q254" s="212" t="str">
        <f t="shared" si="6"/>
        <v/>
      </c>
      <c r="R254" s="174" t="s">
        <v>265</v>
      </c>
      <c r="S254" s="174" t="s">
        <v>273</v>
      </c>
      <c r="T254" s="174" t="e">
        <f>_xlfn.XLOOKUP(Buildings_Water_Backend[[#This Row],[Info 1]],Buildings_SiteInfo[Site name],Buildings_SiteInfo[Site type])</f>
        <v>#N/A</v>
      </c>
      <c r="U254" s="174" t="s">
        <v>327</v>
      </c>
      <c r="V254" s="174">
        <f>Buildings_Water_Frontend[[#This Row],[Type]]</f>
        <v>0</v>
      </c>
      <c r="W254" s="174" t="e" cm="1">
        <f t="array" aca="1" ref="W254" ca="1">_xlfn.XLOOKUP(Buildings_Water_Backend[[#This Row],[Level 5]],rng_Level5Long,rng_Level6Long)</f>
        <v>#N/A</v>
      </c>
      <c r="X254" s="174">
        <f>Buildings_Water_Frontend[[#This Row],[Site Name]]</f>
        <v>0</v>
      </c>
      <c r="Y254" s="174">
        <f>Buildings_Water_Frontend[[#This Row],[Meter Reference]]</f>
        <v>0</v>
      </c>
      <c r="Z254" s="220">
        <f>Buildings_Water_Frontend[[#This Row],[Methodology]]</f>
        <v>0</v>
      </c>
      <c r="AA254" s="229" t="e" cm="1">
        <f t="array" ref="AA254">INDEX(_xlfn.SWITCH(Buildings_Water_Backend[[#This Row],[Methodology]],"Tier 1",rng_RSD1,"Tier 2",rng_RSD2,"Tier 3",rng_RSD3),MATCH(_xlfn.CONCAT(Buildings_Water_Backend[[#This Row],[Level 1]:[Level 6]]),rng_LevelsConcat,0))</f>
        <v>#N/A</v>
      </c>
      <c r="AB254" s="224">
        <f>Buildings_Water_Frontend[[#This Row],[Data]]</f>
        <v>0</v>
      </c>
      <c r="AC254" s="174">
        <f>Buildings_Water_Frontend[[#This Row],[Units]]</f>
        <v>0</v>
      </c>
      <c r="AD254" s="220" t="e">
        <f>IF(Buildings_Water_Backend[[#This Row],[Units]]=Buildings_Water_Backend[[#This Row],[Standard units]],Buildings_Water_Backend[[#This Row],[Data]],Buildings_Water_Backend[[#This Row],[Data]]*_xlfn.XLOOKUP(_xlfn.CONCAT(Buildings_Water_Backend[[#This Row],[Level 1]:[Level 6]]),rng_EFConcat,rng_EFConversion))</f>
        <v>#N/A</v>
      </c>
      <c r="AE254" s="174" t="e" cm="1">
        <f t="array" ref="AE254">_xlfn.XLOOKUP(_xlfn.CONCAT(Buildings_Water_Backend[[#This Row],[Level 1]:[Level 6]]),rng_LevelsConcat,rng_UnitsLong)</f>
        <v>#N/A</v>
      </c>
      <c r="AF254" s="210" t="e">
        <f>_xlfn.XLOOKUP(_xlfn.CONCAT(Buildings_Water_Backend[[#This Row],[Level 1]:[Level 6]]),rng_EFConcat,rng_EF1)*Buildings_Water_Backend[[#This Row],[Converted data]]/1000</f>
        <v>#N/A</v>
      </c>
      <c r="AG254" s="210" t="e">
        <f>_xlfn.XLOOKUP(_xlfn.CONCAT(Buildings_Water_Backend[[#This Row],[Level 1]:[Level 6]]),rng_EFConcat,rng_EF2)*Buildings_Water_Backend[[#This Row],[Converted data]]/1000</f>
        <v>#N/A</v>
      </c>
      <c r="AH254" s="210" t="e">
        <f>_xlfn.XLOOKUP(_xlfn.CONCAT(Buildings_Water_Backend[[#This Row],[Level 1]:[Level 6]]),rng_EFConcat,rng_EF3)*Buildings_Water_Backend[[#This Row],[Converted data]]/1000</f>
        <v>#N/A</v>
      </c>
      <c r="AI254" s="210" t="e">
        <f>_xlfn.XLOOKUP(_xlfn.CONCAT(Buildings_Water_Backend[[#This Row],[Level 1]:[Level 6]]),rng_EFConcat,rng_EF3WTT)*Buildings_Water_Backend[[#This Row],[Converted data]]/1000</f>
        <v>#N/A</v>
      </c>
      <c r="AJ254" s="210" t="e">
        <f>_xlfn.XLOOKUP(_xlfn.CONCAT(Buildings_Water_Backend[[#This Row],[Level 1]:[Level 6]]),rng_EFConcat,rng_EF3TD)*Buildings_Water_Backend[[#This Row],[Converted data]]/1000</f>
        <v>#N/A</v>
      </c>
      <c r="AK254" s="210" t="e">
        <f>_xlfn.XLOOKUP(_xlfn.CONCAT(Buildings_Water_Backend[[#This Row],[Level 1]:[Level 6]]),rng_EFConcat,rng_EF3WTTTD)*Buildings_Water_Backend[[#This Row],[Converted data]]/1000</f>
        <v>#N/A</v>
      </c>
      <c r="AL254" s="220" t="e">
        <f>SUM(Buildings_Water_Backend[[#This Row],[Scope 1 (tCO2e)]:[Scope 3 WTT T&amp;D (tCO2e)]])</f>
        <v>#N/A</v>
      </c>
      <c r="AM254" s="220" t="e">
        <f>Buildings_Water_Backend[[#This Row],[Total (tCO2e)]]*(1-Buildings_Water_Backend[[#This Row],[RSD]])</f>
        <v>#N/A</v>
      </c>
      <c r="AN254" s="220" t="e">
        <f>Buildings_Water_Backend[[#This Row],[Total (tCO2e)]]*(1+Buildings_Water_Backend[[#This Row],[RSD]])</f>
        <v>#N/A</v>
      </c>
      <c r="AO254" s="210" t="e">
        <f>_xlfn.XLOOKUP(_xlfn.CONCAT(Buildings_Water_Backend[[#This Row],[Level 1]:[Level 6]]),rng_EFConcat,rng_EFOOS)*Buildings_Water_Backend[[#This Row],[Converted data]]/1000</f>
        <v>#N/A</v>
      </c>
      <c r="AP254" s="174">
        <f>Buildings_Water_Frontend[[#This Row],[Ease of collection]]</f>
        <v>0</v>
      </c>
      <c r="AQ254" s="174">
        <f>Buildings_Water_Frontend[[#This Row],[Completeness]]</f>
        <v>0</v>
      </c>
      <c r="AR254" s="174">
        <f>Buildings_Water_Frontend[[#This Row],[Notes]]</f>
        <v>0</v>
      </c>
    </row>
    <row r="255" spans="5:44" x14ac:dyDescent="0.3">
      <c r="E255" s="346"/>
      <c r="F255" s="364"/>
      <c r="G255" s="336"/>
      <c r="H255" s="336"/>
      <c r="I255" s="334"/>
      <c r="J255" s="336"/>
      <c r="K255" s="336"/>
      <c r="L255" s="336"/>
      <c r="M255" s="337"/>
      <c r="N255" s="242">
        <f t="shared" si="7"/>
        <v>5</v>
      </c>
      <c r="Q255" s="212" t="str">
        <f t="shared" si="6"/>
        <v/>
      </c>
      <c r="R255" s="174" t="s">
        <v>265</v>
      </c>
      <c r="S255" s="174" t="s">
        <v>273</v>
      </c>
      <c r="T255" s="174" t="e">
        <f>_xlfn.XLOOKUP(Buildings_Water_Backend[[#This Row],[Info 1]],Buildings_SiteInfo[Site name],Buildings_SiteInfo[Site type])</f>
        <v>#N/A</v>
      </c>
      <c r="U255" s="174" t="s">
        <v>327</v>
      </c>
      <c r="V255" s="174">
        <f>Buildings_Water_Frontend[[#This Row],[Type]]</f>
        <v>0</v>
      </c>
      <c r="W255" s="174" t="e" cm="1">
        <f t="array" aca="1" ref="W255" ca="1">_xlfn.XLOOKUP(Buildings_Water_Backend[[#This Row],[Level 5]],rng_Level5Long,rng_Level6Long)</f>
        <v>#N/A</v>
      </c>
      <c r="X255" s="174">
        <f>Buildings_Water_Frontend[[#This Row],[Site Name]]</f>
        <v>0</v>
      </c>
      <c r="Y255" s="174">
        <f>Buildings_Water_Frontend[[#This Row],[Meter Reference]]</f>
        <v>0</v>
      </c>
      <c r="Z255" s="220">
        <f>Buildings_Water_Frontend[[#This Row],[Methodology]]</f>
        <v>0</v>
      </c>
      <c r="AA255" s="229" t="e" cm="1">
        <f t="array" ref="AA255">INDEX(_xlfn.SWITCH(Buildings_Water_Backend[[#This Row],[Methodology]],"Tier 1",rng_RSD1,"Tier 2",rng_RSD2,"Tier 3",rng_RSD3),MATCH(_xlfn.CONCAT(Buildings_Water_Backend[[#This Row],[Level 1]:[Level 6]]),rng_LevelsConcat,0))</f>
        <v>#N/A</v>
      </c>
      <c r="AB255" s="224">
        <f>Buildings_Water_Frontend[[#This Row],[Data]]</f>
        <v>0</v>
      </c>
      <c r="AC255" s="174">
        <f>Buildings_Water_Frontend[[#This Row],[Units]]</f>
        <v>0</v>
      </c>
      <c r="AD255" s="220" t="e">
        <f>IF(Buildings_Water_Backend[[#This Row],[Units]]=Buildings_Water_Backend[[#This Row],[Standard units]],Buildings_Water_Backend[[#This Row],[Data]],Buildings_Water_Backend[[#This Row],[Data]]*_xlfn.XLOOKUP(_xlfn.CONCAT(Buildings_Water_Backend[[#This Row],[Level 1]:[Level 6]]),rng_EFConcat,rng_EFConversion))</f>
        <v>#N/A</v>
      </c>
      <c r="AE255" s="174" t="e" cm="1">
        <f t="array" ref="AE255">_xlfn.XLOOKUP(_xlfn.CONCAT(Buildings_Water_Backend[[#This Row],[Level 1]:[Level 6]]),rng_LevelsConcat,rng_UnitsLong)</f>
        <v>#N/A</v>
      </c>
      <c r="AF255" s="210" t="e">
        <f>_xlfn.XLOOKUP(_xlfn.CONCAT(Buildings_Water_Backend[[#This Row],[Level 1]:[Level 6]]),rng_EFConcat,rng_EF1)*Buildings_Water_Backend[[#This Row],[Converted data]]/1000</f>
        <v>#N/A</v>
      </c>
      <c r="AG255" s="210" t="e">
        <f>_xlfn.XLOOKUP(_xlfn.CONCAT(Buildings_Water_Backend[[#This Row],[Level 1]:[Level 6]]),rng_EFConcat,rng_EF2)*Buildings_Water_Backend[[#This Row],[Converted data]]/1000</f>
        <v>#N/A</v>
      </c>
      <c r="AH255" s="210" t="e">
        <f>_xlfn.XLOOKUP(_xlfn.CONCAT(Buildings_Water_Backend[[#This Row],[Level 1]:[Level 6]]),rng_EFConcat,rng_EF3)*Buildings_Water_Backend[[#This Row],[Converted data]]/1000</f>
        <v>#N/A</v>
      </c>
      <c r="AI255" s="210" t="e">
        <f>_xlfn.XLOOKUP(_xlfn.CONCAT(Buildings_Water_Backend[[#This Row],[Level 1]:[Level 6]]),rng_EFConcat,rng_EF3WTT)*Buildings_Water_Backend[[#This Row],[Converted data]]/1000</f>
        <v>#N/A</v>
      </c>
      <c r="AJ255" s="210" t="e">
        <f>_xlfn.XLOOKUP(_xlfn.CONCAT(Buildings_Water_Backend[[#This Row],[Level 1]:[Level 6]]),rng_EFConcat,rng_EF3TD)*Buildings_Water_Backend[[#This Row],[Converted data]]/1000</f>
        <v>#N/A</v>
      </c>
      <c r="AK255" s="210" t="e">
        <f>_xlfn.XLOOKUP(_xlfn.CONCAT(Buildings_Water_Backend[[#This Row],[Level 1]:[Level 6]]),rng_EFConcat,rng_EF3WTTTD)*Buildings_Water_Backend[[#This Row],[Converted data]]/1000</f>
        <v>#N/A</v>
      </c>
      <c r="AL255" s="220" t="e">
        <f>SUM(Buildings_Water_Backend[[#This Row],[Scope 1 (tCO2e)]:[Scope 3 WTT T&amp;D (tCO2e)]])</f>
        <v>#N/A</v>
      </c>
      <c r="AM255" s="220" t="e">
        <f>Buildings_Water_Backend[[#This Row],[Total (tCO2e)]]*(1-Buildings_Water_Backend[[#This Row],[RSD]])</f>
        <v>#N/A</v>
      </c>
      <c r="AN255" s="220" t="e">
        <f>Buildings_Water_Backend[[#This Row],[Total (tCO2e)]]*(1+Buildings_Water_Backend[[#This Row],[RSD]])</f>
        <v>#N/A</v>
      </c>
      <c r="AO255" s="210" t="e">
        <f>_xlfn.XLOOKUP(_xlfn.CONCAT(Buildings_Water_Backend[[#This Row],[Level 1]:[Level 6]]),rng_EFConcat,rng_EFOOS)*Buildings_Water_Backend[[#This Row],[Converted data]]/1000</f>
        <v>#N/A</v>
      </c>
      <c r="AP255" s="174">
        <f>Buildings_Water_Frontend[[#This Row],[Ease of collection]]</f>
        <v>0</v>
      </c>
      <c r="AQ255" s="174">
        <f>Buildings_Water_Frontend[[#This Row],[Completeness]]</f>
        <v>0</v>
      </c>
      <c r="AR255" s="174">
        <f>Buildings_Water_Frontend[[#This Row],[Notes]]</f>
        <v>0</v>
      </c>
    </row>
    <row r="256" spans="5:44" x14ac:dyDescent="0.3">
      <c r="E256" s="346"/>
      <c r="F256" s="364"/>
      <c r="G256" s="336"/>
      <c r="H256" s="336"/>
      <c r="I256" s="334"/>
      <c r="J256" s="336"/>
      <c r="K256" s="336"/>
      <c r="L256" s="336"/>
      <c r="M256" s="337"/>
      <c r="N256" s="242">
        <f t="shared" si="7"/>
        <v>5</v>
      </c>
      <c r="Q256" s="212" t="str">
        <f t="shared" si="6"/>
        <v/>
      </c>
      <c r="R256" s="174" t="s">
        <v>265</v>
      </c>
      <c r="S256" s="174" t="s">
        <v>273</v>
      </c>
      <c r="T256" s="174" t="e">
        <f>_xlfn.XLOOKUP(Buildings_Water_Backend[[#This Row],[Info 1]],Buildings_SiteInfo[Site name],Buildings_SiteInfo[Site type])</f>
        <v>#N/A</v>
      </c>
      <c r="U256" s="174" t="s">
        <v>327</v>
      </c>
      <c r="V256" s="174">
        <f>Buildings_Water_Frontend[[#This Row],[Type]]</f>
        <v>0</v>
      </c>
      <c r="W256" s="174" t="e" cm="1">
        <f t="array" aca="1" ref="W256" ca="1">_xlfn.XLOOKUP(Buildings_Water_Backend[[#This Row],[Level 5]],rng_Level5Long,rng_Level6Long)</f>
        <v>#N/A</v>
      </c>
      <c r="X256" s="174">
        <f>Buildings_Water_Frontend[[#This Row],[Site Name]]</f>
        <v>0</v>
      </c>
      <c r="Y256" s="174">
        <f>Buildings_Water_Frontend[[#This Row],[Meter Reference]]</f>
        <v>0</v>
      </c>
      <c r="Z256" s="220">
        <f>Buildings_Water_Frontend[[#This Row],[Methodology]]</f>
        <v>0</v>
      </c>
      <c r="AA256" s="229" t="e" cm="1">
        <f t="array" ref="AA256">INDEX(_xlfn.SWITCH(Buildings_Water_Backend[[#This Row],[Methodology]],"Tier 1",rng_RSD1,"Tier 2",rng_RSD2,"Tier 3",rng_RSD3),MATCH(_xlfn.CONCAT(Buildings_Water_Backend[[#This Row],[Level 1]:[Level 6]]),rng_LevelsConcat,0))</f>
        <v>#N/A</v>
      </c>
      <c r="AB256" s="224">
        <f>Buildings_Water_Frontend[[#This Row],[Data]]</f>
        <v>0</v>
      </c>
      <c r="AC256" s="174">
        <f>Buildings_Water_Frontend[[#This Row],[Units]]</f>
        <v>0</v>
      </c>
      <c r="AD256" s="220" t="e">
        <f>IF(Buildings_Water_Backend[[#This Row],[Units]]=Buildings_Water_Backend[[#This Row],[Standard units]],Buildings_Water_Backend[[#This Row],[Data]],Buildings_Water_Backend[[#This Row],[Data]]*_xlfn.XLOOKUP(_xlfn.CONCAT(Buildings_Water_Backend[[#This Row],[Level 1]:[Level 6]]),rng_EFConcat,rng_EFConversion))</f>
        <v>#N/A</v>
      </c>
      <c r="AE256" s="174" t="e" cm="1">
        <f t="array" ref="AE256">_xlfn.XLOOKUP(_xlfn.CONCAT(Buildings_Water_Backend[[#This Row],[Level 1]:[Level 6]]),rng_LevelsConcat,rng_UnitsLong)</f>
        <v>#N/A</v>
      </c>
      <c r="AF256" s="210" t="e">
        <f>_xlfn.XLOOKUP(_xlfn.CONCAT(Buildings_Water_Backend[[#This Row],[Level 1]:[Level 6]]),rng_EFConcat,rng_EF1)*Buildings_Water_Backend[[#This Row],[Converted data]]/1000</f>
        <v>#N/A</v>
      </c>
      <c r="AG256" s="210" t="e">
        <f>_xlfn.XLOOKUP(_xlfn.CONCAT(Buildings_Water_Backend[[#This Row],[Level 1]:[Level 6]]),rng_EFConcat,rng_EF2)*Buildings_Water_Backend[[#This Row],[Converted data]]/1000</f>
        <v>#N/A</v>
      </c>
      <c r="AH256" s="210" t="e">
        <f>_xlfn.XLOOKUP(_xlfn.CONCAT(Buildings_Water_Backend[[#This Row],[Level 1]:[Level 6]]),rng_EFConcat,rng_EF3)*Buildings_Water_Backend[[#This Row],[Converted data]]/1000</f>
        <v>#N/A</v>
      </c>
      <c r="AI256" s="210" t="e">
        <f>_xlfn.XLOOKUP(_xlfn.CONCAT(Buildings_Water_Backend[[#This Row],[Level 1]:[Level 6]]),rng_EFConcat,rng_EF3WTT)*Buildings_Water_Backend[[#This Row],[Converted data]]/1000</f>
        <v>#N/A</v>
      </c>
      <c r="AJ256" s="210" t="e">
        <f>_xlfn.XLOOKUP(_xlfn.CONCAT(Buildings_Water_Backend[[#This Row],[Level 1]:[Level 6]]),rng_EFConcat,rng_EF3TD)*Buildings_Water_Backend[[#This Row],[Converted data]]/1000</f>
        <v>#N/A</v>
      </c>
      <c r="AK256" s="210" t="e">
        <f>_xlfn.XLOOKUP(_xlfn.CONCAT(Buildings_Water_Backend[[#This Row],[Level 1]:[Level 6]]),rng_EFConcat,rng_EF3WTTTD)*Buildings_Water_Backend[[#This Row],[Converted data]]/1000</f>
        <v>#N/A</v>
      </c>
      <c r="AL256" s="220" t="e">
        <f>SUM(Buildings_Water_Backend[[#This Row],[Scope 1 (tCO2e)]:[Scope 3 WTT T&amp;D (tCO2e)]])</f>
        <v>#N/A</v>
      </c>
      <c r="AM256" s="220" t="e">
        <f>Buildings_Water_Backend[[#This Row],[Total (tCO2e)]]*(1-Buildings_Water_Backend[[#This Row],[RSD]])</f>
        <v>#N/A</v>
      </c>
      <c r="AN256" s="220" t="e">
        <f>Buildings_Water_Backend[[#This Row],[Total (tCO2e)]]*(1+Buildings_Water_Backend[[#This Row],[RSD]])</f>
        <v>#N/A</v>
      </c>
      <c r="AO256" s="210" t="e">
        <f>_xlfn.XLOOKUP(_xlfn.CONCAT(Buildings_Water_Backend[[#This Row],[Level 1]:[Level 6]]),rng_EFConcat,rng_EFOOS)*Buildings_Water_Backend[[#This Row],[Converted data]]/1000</f>
        <v>#N/A</v>
      </c>
      <c r="AP256" s="174">
        <f>Buildings_Water_Frontend[[#This Row],[Ease of collection]]</f>
        <v>0</v>
      </c>
      <c r="AQ256" s="174">
        <f>Buildings_Water_Frontend[[#This Row],[Completeness]]</f>
        <v>0</v>
      </c>
      <c r="AR256" s="174">
        <f>Buildings_Water_Frontend[[#This Row],[Notes]]</f>
        <v>0</v>
      </c>
    </row>
    <row r="257" spans="5:44" x14ac:dyDescent="0.3">
      <c r="E257" s="346"/>
      <c r="F257" s="364"/>
      <c r="G257" s="336"/>
      <c r="H257" s="336"/>
      <c r="I257" s="334"/>
      <c r="J257" s="336"/>
      <c r="K257" s="336"/>
      <c r="L257" s="336"/>
      <c r="M257" s="337"/>
      <c r="N257" s="242">
        <f t="shared" si="7"/>
        <v>5</v>
      </c>
      <c r="Q257" s="212" t="str">
        <f t="shared" si="6"/>
        <v/>
      </c>
      <c r="R257" s="174" t="s">
        <v>265</v>
      </c>
      <c r="S257" s="174" t="s">
        <v>273</v>
      </c>
      <c r="T257" s="174" t="e">
        <f>_xlfn.XLOOKUP(Buildings_Water_Backend[[#This Row],[Info 1]],Buildings_SiteInfo[Site name],Buildings_SiteInfo[Site type])</f>
        <v>#N/A</v>
      </c>
      <c r="U257" s="174" t="s">
        <v>327</v>
      </c>
      <c r="V257" s="174">
        <f>Buildings_Water_Frontend[[#This Row],[Type]]</f>
        <v>0</v>
      </c>
      <c r="W257" s="174" t="e" cm="1">
        <f t="array" aca="1" ref="W257" ca="1">_xlfn.XLOOKUP(Buildings_Water_Backend[[#This Row],[Level 5]],rng_Level5Long,rng_Level6Long)</f>
        <v>#N/A</v>
      </c>
      <c r="X257" s="174">
        <f>Buildings_Water_Frontend[[#This Row],[Site Name]]</f>
        <v>0</v>
      </c>
      <c r="Y257" s="174">
        <f>Buildings_Water_Frontend[[#This Row],[Meter Reference]]</f>
        <v>0</v>
      </c>
      <c r="Z257" s="220">
        <f>Buildings_Water_Frontend[[#This Row],[Methodology]]</f>
        <v>0</v>
      </c>
      <c r="AA257" s="229" t="e" cm="1">
        <f t="array" ref="AA257">INDEX(_xlfn.SWITCH(Buildings_Water_Backend[[#This Row],[Methodology]],"Tier 1",rng_RSD1,"Tier 2",rng_RSD2,"Tier 3",rng_RSD3),MATCH(_xlfn.CONCAT(Buildings_Water_Backend[[#This Row],[Level 1]:[Level 6]]),rng_LevelsConcat,0))</f>
        <v>#N/A</v>
      </c>
      <c r="AB257" s="224">
        <f>Buildings_Water_Frontend[[#This Row],[Data]]</f>
        <v>0</v>
      </c>
      <c r="AC257" s="174">
        <f>Buildings_Water_Frontend[[#This Row],[Units]]</f>
        <v>0</v>
      </c>
      <c r="AD257" s="220" t="e">
        <f>IF(Buildings_Water_Backend[[#This Row],[Units]]=Buildings_Water_Backend[[#This Row],[Standard units]],Buildings_Water_Backend[[#This Row],[Data]],Buildings_Water_Backend[[#This Row],[Data]]*_xlfn.XLOOKUP(_xlfn.CONCAT(Buildings_Water_Backend[[#This Row],[Level 1]:[Level 6]]),rng_EFConcat,rng_EFConversion))</f>
        <v>#N/A</v>
      </c>
      <c r="AE257" s="174" t="e" cm="1">
        <f t="array" ref="AE257">_xlfn.XLOOKUP(_xlfn.CONCAT(Buildings_Water_Backend[[#This Row],[Level 1]:[Level 6]]),rng_LevelsConcat,rng_UnitsLong)</f>
        <v>#N/A</v>
      </c>
      <c r="AF257" s="210" t="e">
        <f>_xlfn.XLOOKUP(_xlfn.CONCAT(Buildings_Water_Backend[[#This Row],[Level 1]:[Level 6]]),rng_EFConcat,rng_EF1)*Buildings_Water_Backend[[#This Row],[Converted data]]/1000</f>
        <v>#N/A</v>
      </c>
      <c r="AG257" s="210" t="e">
        <f>_xlfn.XLOOKUP(_xlfn.CONCAT(Buildings_Water_Backend[[#This Row],[Level 1]:[Level 6]]),rng_EFConcat,rng_EF2)*Buildings_Water_Backend[[#This Row],[Converted data]]/1000</f>
        <v>#N/A</v>
      </c>
      <c r="AH257" s="210" t="e">
        <f>_xlfn.XLOOKUP(_xlfn.CONCAT(Buildings_Water_Backend[[#This Row],[Level 1]:[Level 6]]),rng_EFConcat,rng_EF3)*Buildings_Water_Backend[[#This Row],[Converted data]]/1000</f>
        <v>#N/A</v>
      </c>
      <c r="AI257" s="210" t="e">
        <f>_xlfn.XLOOKUP(_xlfn.CONCAT(Buildings_Water_Backend[[#This Row],[Level 1]:[Level 6]]),rng_EFConcat,rng_EF3WTT)*Buildings_Water_Backend[[#This Row],[Converted data]]/1000</f>
        <v>#N/A</v>
      </c>
      <c r="AJ257" s="210" t="e">
        <f>_xlfn.XLOOKUP(_xlfn.CONCAT(Buildings_Water_Backend[[#This Row],[Level 1]:[Level 6]]),rng_EFConcat,rng_EF3TD)*Buildings_Water_Backend[[#This Row],[Converted data]]/1000</f>
        <v>#N/A</v>
      </c>
      <c r="AK257" s="210" t="e">
        <f>_xlfn.XLOOKUP(_xlfn.CONCAT(Buildings_Water_Backend[[#This Row],[Level 1]:[Level 6]]),rng_EFConcat,rng_EF3WTTTD)*Buildings_Water_Backend[[#This Row],[Converted data]]/1000</f>
        <v>#N/A</v>
      </c>
      <c r="AL257" s="220" t="e">
        <f>SUM(Buildings_Water_Backend[[#This Row],[Scope 1 (tCO2e)]:[Scope 3 WTT T&amp;D (tCO2e)]])</f>
        <v>#N/A</v>
      </c>
      <c r="AM257" s="220" t="e">
        <f>Buildings_Water_Backend[[#This Row],[Total (tCO2e)]]*(1-Buildings_Water_Backend[[#This Row],[RSD]])</f>
        <v>#N/A</v>
      </c>
      <c r="AN257" s="220" t="e">
        <f>Buildings_Water_Backend[[#This Row],[Total (tCO2e)]]*(1+Buildings_Water_Backend[[#This Row],[RSD]])</f>
        <v>#N/A</v>
      </c>
      <c r="AO257" s="210" t="e">
        <f>_xlfn.XLOOKUP(_xlfn.CONCAT(Buildings_Water_Backend[[#This Row],[Level 1]:[Level 6]]),rng_EFConcat,rng_EFOOS)*Buildings_Water_Backend[[#This Row],[Converted data]]/1000</f>
        <v>#N/A</v>
      </c>
      <c r="AP257" s="174">
        <f>Buildings_Water_Frontend[[#This Row],[Ease of collection]]</f>
        <v>0</v>
      </c>
      <c r="AQ257" s="174">
        <f>Buildings_Water_Frontend[[#This Row],[Completeness]]</f>
        <v>0</v>
      </c>
      <c r="AR257" s="174">
        <f>Buildings_Water_Frontend[[#This Row],[Notes]]</f>
        <v>0</v>
      </c>
    </row>
    <row r="258" spans="5:44" x14ac:dyDescent="0.3">
      <c r="E258" s="346"/>
      <c r="F258" s="364"/>
      <c r="G258" s="336"/>
      <c r="H258" s="336"/>
      <c r="I258" s="334"/>
      <c r="J258" s="336"/>
      <c r="K258" s="336"/>
      <c r="L258" s="336"/>
      <c r="M258" s="337"/>
      <c r="N258" s="242">
        <f t="shared" si="7"/>
        <v>5</v>
      </c>
      <c r="Q258" s="212" t="str">
        <f t="shared" si="6"/>
        <v/>
      </c>
      <c r="R258" s="174" t="s">
        <v>265</v>
      </c>
      <c r="S258" s="174" t="s">
        <v>273</v>
      </c>
      <c r="T258" s="174" t="e">
        <f>_xlfn.XLOOKUP(Buildings_Water_Backend[[#This Row],[Info 1]],Buildings_SiteInfo[Site name],Buildings_SiteInfo[Site type])</f>
        <v>#N/A</v>
      </c>
      <c r="U258" s="174" t="s">
        <v>327</v>
      </c>
      <c r="V258" s="174">
        <f>Buildings_Water_Frontend[[#This Row],[Type]]</f>
        <v>0</v>
      </c>
      <c r="W258" s="174" t="e" cm="1">
        <f t="array" aca="1" ref="W258" ca="1">_xlfn.XLOOKUP(Buildings_Water_Backend[[#This Row],[Level 5]],rng_Level5Long,rng_Level6Long)</f>
        <v>#N/A</v>
      </c>
      <c r="X258" s="174">
        <f>Buildings_Water_Frontend[[#This Row],[Site Name]]</f>
        <v>0</v>
      </c>
      <c r="Y258" s="174">
        <f>Buildings_Water_Frontend[[#This Row],[Meter Reference]]</f>
        <v>0</v>
      </c>
      <c r="Z258" s="220">
        <f>Buildings_Water_Frontend[[#This Row],[Methodology]]</f>
        <v>0</v>
      </c>
      <c r="AA258" s="229" t="e" cm="1">
        <f t="array" ref="AA258">INDEX(_xlfn.SWITCH(Buildings_Water_Backend[[#This Row],[Methodology]],"Tier 1",rng_RSD1,"Tier 2",rng_RSD2,"Tier 3",rng_RSD3),MATCH(_xlfn.CONCAT(Buildings_Water_Backend[[#This Row],[Level 1]:[Level 6]]),rng_LevelsConcat,0))</f>
        <v>#N/A</v>
      </c>
      <c r="AB258" s="224">
        <f>Buildings_Water_Frontend[[#This Row],[Data]]</f>
        <v>0</v>
      </c>
      <c r="AC258" s="174">
        <f>Buildings_Water_Frontend[[#This Row],[Units]]</f>
        <v>0</v>
      </c>
      <c r="AD258" s="220" t="e">
        <f>IF(Buildings_Water_Backend[[#This Row],[Units]]=Buildings_Water_Backend[[#This Row],[Standard units]],Buildings_Water_Backend[[#This Row],[Data]],Buildings_Water_Backend[[#This Row],[Data]]*_xlfn.XLOOKUP(_xlfn.CONCAT(Buildings_Water_Backend[[#This Row],[Level 1]:[Level 6]]),rng_EFConcat,rng_EFConversion))</f>
        <v>#N/A</v>
      </c>
      <c r="AE258" s="174" t="e" cm="1">
        <f t="array" ref="AE258">_xlfn.XLOOKUP(_xlfn.CONCAT(Buildings_Water_Backend[[#This Row],[Level 1]:[Level 6]]),rng_LevelsConcat,rng_UnitsLong)</f>
        <v>#N/A</v>
      </c>
      <c r="AF258" s="210" t="e">
        <f>_xlfn.XLOOKUP(_xlfn.CONCAT(Buildings_Water_Backend[[#This Row],[Level 1]:[Level 6]]),rng_EFConcat,rng_EF1)*Buildings_Water_Backend[[#This Row],[Converted data]]/1000</f>
        <v>#N/A</v>
      </c>
      <c r="AG258" s="210" t="e">
        <f>_xlfn.XLOOKUP(_xlfn.CONCAT(Buildings_Water_Backend[[#This Row],[Level 1]:[Level 6]]),rng_EFConcat,rng_EF2)*Buildings_Water_Backend[[#This Row],[Converted data]]/1000</f>
        <v>#N/A</v>
      </c>
      <c r="AH258" s="210" t="e">
        <f>_xlfn.XLOOKUP(_xlfn.CONCAT(Buildings_Water_Backend[[#This Row],[Level 1]:[Level 6]]),rng_EFConcat,rng_EF3)*Buildings_Water_Backend[[#This Row],[Converted data]]/1000</f>
        <v>#N/A</v>
      </c>
      <c r="AI258" s="210" t="e">
        <f>_xlfn.XLOOKUP(_xlfn.CONCAT(Buildings_Water_Backend[[#This Row],[Level 1]:[Level 6]]),rng_EFConcat,rng_EF3WTT)*Buildings_Water_Backend[[#This Row],[Converted data]]/1000</f>
        <v>#N/A</v>
      </c>
      <c r="AJ258" s="210" t="e">
        <f>_xlfn.XLOOKUP(_xlfn.CONCAT(Buildings_Water_Backend[[#This Row],[Level 1]:[Level 6]]),rng_EFConcat,rng_EF3TD)*Buildings_Water_Backend[[#This Row],[Converted data]]/1000</f>
        <v>#N/A</v>
      </c>
      <c r="AK258" s="210" t="e">
        <f>_xlfn.XLOOKUP(_xlfn.CONCAT(Buildings_Water_Backend[[#This Row],[Level 1]:[Level 6]]),rng_EFConcat,rng_EF3WTTTD)*Buildings_Water_Backend[[#This Row],[Converted data]]/1000</f>
        <v>#N/A</v>
      </c>
      <c r="AL258" s="220" t="e">
        <f>SUM(Buildings_Water_Backend[[#This Row],[Scope 1 (tCO2e)]:[Scope 3 WTT T&amp;D (tCO2e)]])</f>
        <v>#N/A</v>
      </c>
      <c r="AM258" s="220" t="e">
        <f>Buildings_Water_Backend[[#This Row],[Total (tCO2e)]]*(1-Buildings_Water_Backend[[#This Row],[RSD]])</f>
        <v>#N/A</v>
      </c>
      <c r="AN258" s="220" t="e">
        <f>Buildings_Water_Backend[[#This Row],[Total (tCO2e)]]*(1+Buildings_Water_Backend[[#This Row],[RSD]])</f>
        <v>#N/A</v>
      </c>
      <c r="AO258" s="210" t="e">
        <f>_xlfn.XLOOKUP(_xlfn.CONCAT(Buildings_Water_Backend[[#This Row],[Level 1]:[Level 6]]),rng_EFConcat,rng_EFOOS)*Buildings_Water_Backend[[#This Row],[Converted data]]/1000</f>
        <v>#N/A</v>
      </c>
      <c r="AP258" s="174">
        <f>Buildings_Water_Frontend[[#This Row],[Ease of collection]]</f>
        <v>0</v>
      </c>
      <c r="AQ258" s="174">
        <f>Buildings_Water_Frontend[[#This Row],[Completeness]]</f>
        <v>0</v>
      </c>
      <c r="AR258" s="174">
        <f>Buildings_Water_Frontend[[#This Row],[Notes]]</f>
        <v>0</v>
      </c>
    </row>
    <row r="259" spans="5:44" x14ac:dyDescent="0.3">
      <c r="E259" s="346"/>
      <c r="F259" s="364"/>
      <c r="G259" s="336"/>
      <c r="H259" s="336"/>
      <c r="I259" s="334"/>
      <c r="J259" s="336"/>
      <c r="K259" s="336"/>
      <c r="L259" s="336"/>
      <c r="M259" s="337"/>
      <c r="N259" s="242">
        <f t="shared" si="7"/>
        <v>5</v>
      </c>
      <c r="Q259" s="212" t="str">
        <f t="shared" si="6"/>
        <v/>
      </c>
      <c r="R259" s="174" t="s">
        <v>265</v>
      </c>
      <c r="S259" s="174" t="s">
        <v>273</v>
      </c>
      <c r="T259" s="174" t="e">
        <f>_xlfn.XLOOKUP(Buildings_Water_Backend[[#This Row],[Info 1]],Buildings_SiteInfo[Site name],Buildings_SiteInfo[Site type])</f>
        <v>#N/A</v>
      </c>
      <c r="U259" s="174" t="s">
        <v>327</v>
      </c>
      <c r="V259" s="174">
        <f>Buildings_Water_Frontend[[#This Row],[Type]]</f>
        <v>0</v>
      </c>
      <c r="W259" s="174" t="e" cm="1">
        <f t="array" aca="1" ref="W259" ca="1">_xlfn.XLOOKUP(Buildings_Water_Backend[[#This Row],[Level 5]],rng_Level5Long,rng_Level6Long)</f>
        <v>#N/A</v>
      </c>
      <c r="X259" s="174">
        <f>Buildings_Water_Frontend[[#This Row],[Site Name]]</f>
        <v>0</v>
      </c>
      <c r="Y259" s="174">
        <f>Buildings_Water_Frontend[[#This Row],[Meter Reference]]</f>
        <v>0</v>
      </c>
      <c r="Z259" s="220">
        <f>Buildings_Water_Frontend[[#This Row],[Methodology]]</f>
        <v>0</v>
      </c>
      <c r="AA259" s="229" t="e" cm="1">
        <f t="array" ref="AA259">INDEX(_xlfn.SWITCH(Buildings_Water_Backend[[#This Row],[Methodology]],"Tier 1",rng_RSD1,"Tier 2",rng_RSD2,"Tier 3",rng_RSD3),MATCH(_xlfn.CONCAT(Buildings_Water_Backend[[#This Row],[Level 1]:[Level 6]]),rng_LevelsConcat,0))</f>
        <v>#N/A</v>
      </c>
      <c r="AB259" s="224">
        <f>Buildings_Water_Frontend[[#This Row],[Data]]</f>
        <v>0</v>
      </c>
      <c r="AC259" s="174">
        <f>Buildings_Water_Frontend[[#This Row],[Units]]</f>
        <v>0</v>
      </c>
      <c r="AD259" s="220" t="e">
        <f>IF(Buildings_Water_Backend[[#This Row],[Units]]=Buildings_Water_Backend[[#This Row],[Standard units]],Buildings_Water_Backend[[#This Row],[Data]],Buildings_Water_Backend[[#This Row],[Data]]*_xlfn.XLOOKUP(_xlfn.CONCAT(Buildings_Water_Backend[[#This Row],[Level 1]:[Level 6]]),rng_EFConcat,rng_EFConversion))</f>
        <v>#N/A</v>
      </c>
      <c r="AE259" s="174" t="e" cm="1">
        <f t="array" ref="AE259">_xlfn.XLOOKUP(_xlfn.CONCAT(Buildings_Water_Backend[[#This Row],[Level 1]:[Level 6]]),rng_LevelsConcat,rng_UnitsLong)</f>
        <v>#N/A</v>
      </c>
      <c r="AF259" s="210" t="e">
        <f>_xlfn.XLOOKUP(_xlfn.CONCAT(Buildings_Water_Backend[[#This Row],[Level 1]:[Level 6]]),rng_EFConcat,rng_EF1)*Buildings_Water_Backend[[#This Row],[Converted data]]/1000</f>
        <v>#N/A</v>
      </c>
      <c r="AG259" s="210" t="e">
        <f>_xlfn.XLOOKUP(_xlfn.CONCAT(Buildings_Water_Backend[[#This Row],[Level 1]:[Level 6]]),rng_EFConcat,rng_EF2)*Buildings_Water_Backend[[#This Row],[Converted data]]/1000</f>
        <v>#N/A</v>
      </c>
      <c r="AH259" s="210" t="e">
        <f>_xlfn.XLOOKUP(_xlfn.CONCAT(Buildings_Water_Backend[[#This Row],[Level 1]:[Level 6]]),rng_EFConcat,rng_EF3)*Buildings_Water_Backend[[#This Row],[Converted data]]/1000</f>
        <v>#N/A</v>
      </c>
      <c r="AI259" s="210" t="e">
        <f>_xlfn.XLOOKUP(_xlfn.CONCAT(Buildings_Water_Backend[[#This Row],[Level 1]:[Level 6]]),rng_EFConcat,rng_EF3WTT)*Buildings_Water_Backend[[#This Row],[Converted data]]/1000</f>
        <v>#N/A</v>
      </c>
      <c r="AJ259" s="210" t="e">
        <f>_xlfn.XLOOKUP(_xlfn.CONCAT(Buildings_Water_Backend[[#This Row],[Level 1]:[Level 6]]),rng_EFConcat,rng_EF3TD)*Buildings_Water_Backend[[#This Row],[Converted data]]/1000</f>
        <v>#N/A</v>
      </c>
      <c r="AK259" s="210" t="e">
        <f>_xlfn.XLOOKUP(_xlfn.CONCAT(Buildings_Water_Backend[[#This Row],[Level 1]:[Level 6]]),rng_EFConcat,rng_EF3WTTTD)*Buildings_Water_Backend[[#This Row],[Converted data]]/1000</f>
        <v>#N/A</v>
      </c>
      <c r="AL259" s="220" t="e">
        <f>SUM(Buildings_Water_Backend[[#This Row],[Scope 1 (tCO2e)]:[Scope 3 WTT T&amp;D (tCO2e)]])</f>
        <v>#N/A</v>
      </c>
      <c r="AM259" s="220" t="e">
        <f>Buildings_Water_Backend[[#This Row],[Total (tCO2e)]]*(1-Buildings_Water_Backend[[#This Row],[RSD]])</f>
        <v>#N/A</v>
      </c>
      <c r="AN259" s="220" t="e">
        <f>Buildings_Water_Backend[[#This Row],[Total (tCO2e)]]*(1+Buildings_Water_Backend[[#This Row],[RSD]])</f>
        <v>#N/A</v>
      </c>
      <c r="AO259" s="210" t="e">
        <f>_xlfn.XLOOKUP(_xlfn.CONCAT(Buildings_Water_Backend[[#This Row],[Level 1]:[Level 6]]),rng_EFConcat,rng_EFOOS)*Buildings_Water_Backend[[#This Row],[Converted data]]/1000</f>
        <v>#N/A</v>
      </c>
      <c r="AP259" s="174">
        <f>Buildings_Water_Frontend[[#This Row],[Ease of collection]]</f>
        <v>0</v>
      </c>
      <c r="AQ259" s="174">
        <f>Buildings_Water_Frontend[[#This Row],[Completeness]]</f>
        <v>0</v>
      </c>
      <c r="AR259" s="174">
        <f>Buildings_Water_Frontend[[#This Row],[Notes]]</f>
        <v>0</v>
      </c>
    </row>
    <row r="260" spans="5:44" x14ac:dyDescent="0.3">
      <c r="E260" s="346"/>
      <c r="F260" s="364"/>
      <c r="G260" s="336"/>
      <c r="H260" s="336"/>
      <c r="I260" s="334"/>
      <c r="J260" s="336"/>
      <c r="K260" s="336"/>
      <c r="L260" s="336"/>
      <c r="M260" s="337"/>
      <c r="N260" s="242">
        <f t="shared" si="7"/>
        <v>5</v>
      </c>
      <c r="Q260" s="212" t="str">
        <f t="shared" si="6"/>
        <v/>
      </c>
      <c r="R260" s="174" t="s">
        <v>265</v>
      </c>
      <c r="S260" s="174" t="s">
        <v>273</v>
      </c>
      <c r="T260" s="174" t="e">
        <f>_xlfn.XLOOKUP(Buildings_Water_Backend[[#This Row],[Info 1]],Buildings_SiteInfo[Site name],Buildings_SiteInfo[Site type])</f>
        <v>#N/A</v>
      </c>
      <c r="U260" s="174" t="s">
        <v>327</v>
      </c>
      <c r="V260" s="174">
        <f>Buildings_Water_Frontend[[#This Row],[Type]]</f>
        <v>0</v>
      </c>
      <c r="W260" s="174" t="e" cm="1">
        <f t="array" aca="1" ref="W260" ca="1">_xlfn.XLOOKUP(Buildings_Water_Backend[[#This Row],[Level 5]],rng_Level5Long,rng_Level6Long)</f>
        <v>#N/A</v>
      </c>
      <c r="X260" s="174">
        <f>Buildings_Water_Frontend[[#This Row],[Site Name]]</f>
        <v>0</v>
      </c>
      <c r="Y260" s="174">
        <f>Buildings_Water_Frontend[[#This Row],[Meter Reference]]</f>
        <v>0</v>
      </c>
      <c r="Z260" s="220">
        <f>Buildings_Water_Frontend[[#This Row],[Methodology]]</f>
        <v>0</v>
      </c>
      <c r="AA260" s="229" t="e" cm="1">
        <f t="array" ref="AA260">INDEX(_xlfn.SWITCH(Buildings_Water_Backend[[#This Row],[Methodology]],"Tier 1",rng_RSD1,"Tier 2",rng_RSD2,"Tier 3",rng_RSD3),MATCH(_xlfn.CONCAT(Buildings_Water_Backend[[#This Row],[Level 1]:[Level 6]]),rng_LevelsConcat,0))</f>
        <v>#N/A</v>
      </c>
      <c r="AB260" s="224">
        <f>Buildings_Water_Frontend[[#This Row],[Data]]</f>
        <v>0</v>
      </c>
      <c r="AC260" s="174">
        <f>Buildings_Water_Frontend[[#This Row],[Units]]</f>
        <v>0</v>
      </c>
      <c r="AD260" s="220" t="e">
        <f>IF(Buildings_Water_Backend[[#This Row],[Units]]=Buildings_Water_Backend[[#This Row],[Standard units]],Buildings_Water_Backend[[#This Row],[Data]],Buildings_Water_Backend[[#This Row],[Data]]*_xlfn.XLOOKUP(_xlfn.CONCAT(Buildings_Water_Backend[[#This Row],[Level 1]:[Level 6]]),rng_EFConcat,rng_EFConversion))</f>
        <v>#N/A</v>
      </c>
      <c r="AE260" s="174" t="e" cm="1">
        <f t="array" ref="AE260">_xlfn.XLOOKUP(_xlfn.CONCAT(Buildings_Water_Backend[[#This Row],[Level 1]:[Level 6]]),rng_LevelsConcat,rng_UnitsLong)</f>
        <v>#N/A</v>
      </c>
      <c r="AF260" s="210" t="e">
        <f>_xlfn.XLOOKUP(_xlfn.CONCAT(Buildings_Water_Backend[[#This Row],[Level 1]:[Level 6]]),rng_EFConcat,rng_EF1)*Buildings_Water_Backend[[#This Row],[Converted data]]/1000</f>
        <v>#N/A</v>
      </c>
      <c r="AG260" s="210" t="e">
        <f>_xlfn.XLOOKUP(_xlfn.CONCAT(Buildings_Water_Backend[[#This Row],[Level 1]:[Level 6]]),rng_EFConcat,rng_EF2)*Buildings_Water_Backend[[#This Row],[Converted data]]/1000</f>
        <v>#N/A</v>
      </c>
      <c r="AH260" s="210" t="e">
        <f>_xlfn.XLOOKUP(_xlfn.CONCAT(Buildings_Water_Backend[[#This Row],[Level 1]:[Level 6]]),rng_EFConcat,rng_EF3)*Buildings_Water_Backend[[#This Row],[Converted data]]/1000</f>
        <v>#N/A</v>
      </c>
      <c r="AI260" s="210" t="e">
        <f>_xlfn.XLOOKUP(_xlfn.CONCAT(Buildings_Water_Backend[[#This Row],[Level 1]:[Level 6]]),rng_EFConcat,rng_EF3WTT)*Buildings_Water_Backend[[#This Row],[Converted data]]/1000</f>
        <v>#N/A</v>
      </c>
      <c r="AJ260" s="210" t="e">
        <f>_xlfn.XLOOKUP(_xlfn.CONCAT(Buildings_Water_Backend[[#This Row],[Level 1]:[Level 6]]),rng_EFConcat,rng_EF3TD)*Buildings_Water_Backend[[#This Row],[Converted data]]/1000</f>
        <v>#N/A</v>
      </c>
      <c r="AK260" s="210" t="e">
        <f>_xlfn.XLOOKUP(_xlfn.CONCAT(Buildings_Water_Backend[[#This Row],[Level 1]:[Level 6]]),rng_EFConcat,rng_EF3WTTTD)*Buildings_Water_Backend[[#This Row],[Converted data]]/1000</f>
        <v>#N/A</v>
      </c>
      <c r="AL260" s="220" t="e">
        <f>SUM(Buildings_Water_Backend[[#This Row],[Scope 1 (tCO2e)]:[Scope 3 WTT T&amp;D (tCO2e)]])</f>
        <v>#N/A</v>
      </c>
      <c r="AM260" s="220" t="e">
        <f>Buildings_Water_Backend[[#This Row],[Total (tCO2e)]]*(1-Buildings_Water_Backend[[#This Row],[RSD]])</f>
        <v>#N/A</v>
      </c>
      <c r="AN260" s="220" t="e">
        <f>Buildings_Water_Backend[[#This Row],[Total (tCO2e)]]*(1+Buildings_Water_Backend[[#This Row],[RSD]])</f>
        <v>#N/A</v>
      </c>
      <c r="AO260" s="210" t="e">
        <f>_xlfn.XLOOKUP(_xlfn.CONCAT(Buildings_Water_Backend[[#This Row],[Level 1]:[Level 6]]),rng_EFConcat,rng_EFOOS)*Buildings_Water_Backend[[#This Row],[Converted data]]/1000</f>
        <v>#N/A</v>
      </c>
      <c r="AP260" s="174">
        <f>Buildings_Water_Frontend[[#This Row],[Ease of collection]]</f>
        <v>0</v>
      </c>
      <c r="AQ260" s="174">
        <f>Buildings_Water_Frontend[[#This Row],[Completeness]]</f>
        <v>0</v>
      </c>
      <c r="AR260" s="174">
        <f>Buildings_Water_Frontend[[#This Row],[Notes]]</f>
        <v>0</v>
      </c>
    </row>
    <row r="261" spans="5:44" x14ac:dyDescent="0.3">
      <c r="E261" s="346"/>
      <c r="F261" s="364"/>
      <c r="G261" s="336"/>
      <c r="H261" s="336"/>
      <c r="I261" s="334"/>
      <c r="J261" s="336"/>
      <c r="K261" s="336"/>
      <c r="L261" s="336"/>
      <c r="M261" s="337"/>
      <c r="N261" s="242">
        <f t="shared" si="7"/>
        <v>5</v>
      </c>
      <c r="Q261" s="212" t="str">
        <f t="shared" si="6"/>
        <v/>
      </c>
      <c r="R261" s="174" t="s">
        <v>265</v>
      </c>
      <c r="S261" s="174" t="s">
        <v>273</v>
      </c>
      <c r="T261" s="174" t="e">
        <f>_xlfn.XLOOKUP(Buildings_Water_Backend[[#This Row],[Info 1]],Buildings_SiteInfo[Site name],Buildings_SiteInfo[Site type])</f>
        <v>#N/A</v>
      </c>
      <c r="U261" s="174" t="s">
        <v>327</v>
      </c>
      <c r="V261" s="174">
        <f>Buildings_Water_Frontend[[#This Row],[Type]]</f>
        <v>0</v>
      </c>
      <c r="W261" s="174" t="e" cm="1">
        <f t="array" aca="1" ref="W261" ca="1">_xlfn.XLOOKUP(Buildings_Water_Backend[[#This Row],[Level 5]],rng_Level5Long,rng_Level6Long)</f>
        <v>#N/A</v>
      </c>
      <c r="X261" s="174">
        <f>Buildings_Water_Frontend[[#This Row],[Site Name]]</f>
        <v>0</v>
      </c>
      <c r="Y261" s="174">
        <f>Buildings_Water_Frontend[[#This Row],[Meter Reference]]</f>
        <v>0</v>
      </c>
      <c r="Z261" s="220">
        <f>Buildings_Water_Frontend[[#This Row],[Methodology]]</f>
        <v>0</v>
      </c>
      <c r="AA261" s="229" t="e" cm="1">
        <f t="array" ref="AA261">INDEX(_xlfn.SWITCH(Buildings_Water_Backend[[#This Row],[Methodology]],"Tier 1",rng_RSD1,"Tier 2",rng_RSD2,"Tier 3",rng_RSD3),MATCH(_xlfn.CONCAT(Buildings_Water_Backend[[#This Row],[Level 1]:[Level 6]]),rng_LevelsConcat,0))</f>
        <v>#N/A</v>
      </c>
      <c r="AB261" s="224">
        <f>Buildings_Water_Frontend[[#This Row],[Data]]</f>
        <v>0</v>
      </c>
      <c r="AC261" s="174">
        <f>Buildings_Water_Frontend[[#This Row],[Units]]</f>
        <v>0</v>
      </c>
      <c r="AD261" s="220" t="e">
        <f>IF(Buildings_Water_Backend[[#This Row],[Units]]=Buildings_Water_Backend[[#This Row],[Standard units]],Buildings_Water_Backend[[#This Row],[Data]],Buildings_Water_Backend[[#This Row],[Data]]*_xlfn.XLOOKUP(_xlfn.CONCAT(Buildings_Water_Backend[[#This Row],[Level 1]:[Level 6]]),rng_EFConcat,rng_EFConversion))</f>
        <v>#N/A</v>
      </c>
      <c r="AE261" s="174" t="e" cm="1">
        <f t="array" ref="AE261">_xlfn.XLOOKUP(_xlfn.CONCAT(Buildings_Water_Backend[[#This Row],[Level 1]:[Level 6]]),rng_LevelsConcat,rng_UnitsLong)</f>
        <v>#N/A</v>
      </c>
      <c r="AF261" s="210" t="e">
        <f>_xlfn.XLOOKUP(_xlfn.CONCAT(Buildings_Water_Backend[[#This Row],[Level 1]:[Level 6]]),rng_EFConcat,rng_EF1)*Buildings_Water_Backend[[#This Row],[Converted data]]/1000</f>
        <v>#N/A</v>
      </c>
      <c r="AG261" s="210" t="e">
        <f>_xlfn.XLOOKUP(_xlfn.CONCAT(Buildings_Water_Backend[[#This Row],[Level 1]:[Level 6]]),rng_EFConcat,rng_EF2)*Buildings_Water_Backend[[#This Row],[Converted data]]/1000</f>
        <v>#N/A</v>
      </c>
      <c r="AH261" s="210" t="e">
        <f>_xlfn.XLOOKUP(_xlfn.CONCAT(Buildings_Water_Backend[[#This Row],[Level 1]:[Level 6]]),rng_EFConcat,rng_EF3)*Buildings_Water_Backend[[#This Row],[Converted data]]/1000</f>
        <v>#N/A</v>
      </c>
      <c r="AI261" s="210" t="e">
        <f>_xlfn.XLOOKUP(_xlfn.CONCAT(Buildings_Water_Backend[[#This Row],[Level 1]:[Level 6]]),rng_EFConcat,rng_EF3WTT)*Buildings_Water_Backend[[#This Row],[Converted data]]/1000</f>
        <v>#N/A</v>
      </c>
      <c r="AJ261" s="210" t="e">
        <f>_xlfn.XLOOKUP(_xlfn.CONCAT(Buildings_Water_Backend[[#This Row],[Level 1]:[Level 6]]),rng_EFConcat,rng_EF3TD)*Buildings_Water_Backend[[#This Row],[Converted data]]/1000</f>
        <v>#N/A</v>
      </c>
      <c r="AK261" s="210" t="e">
        <f>_xlfn.XLOOKUP(_xlfn.CONCAT(Buildings_Water_Backend[[#This Row],[Level 1]:[Level 6]]),rng_EFConcat,rng_EF3WTTTD)*Buildings_Water_Backend[[#This Row],[Converted data]]/1000</f>
        <v>#N/A</v>
      </c>
      <c r="AL261" s="220" t="e">
        <f>SUM(Buildings_Water_Backend[[#This Row],[Scope 1 (tCO2e)]:[Scope 3 WTT T&amp;D (tCO2e)]])</f>
        <v>#N/A</v>
      </c>
      <c r="AM261" s="220" t="e">
        <f>Buildings_Water_Backend[[#This Row],[Total (tCO2e)]]*(1-Buildings_Water_Backend[[#This Row],[RSD]])</f>
        <v>#N/A</v>
      </c>
      <c r="AN261" s="220" t="e">
        <f>Buildings_Water_Backend[[#This Row],[Total (tCO2e)]]*(1+Buildings_Water_Backend[[#This Row],[RSD]])</f>
        <v>#N/A</v>
      </c>
      <c r="AO261" s="210" t="e">
        <f>_xlfn.XLOOKUP(_xlfn.CONCAT(Buildings_Water_Backend[[#This Row],[Level 1]:[Level 6]]),rng_EFConcat,rng_EFOOS)*Buildings_Water_Backend[[#This Row],[Converted data]]/1000</f>
        <v>#N/A</v>
      </c>
      <c r="AP261" s="174">
        <f>Buildings_Water_Frontend[[#This Row],[Ease of collection]]</f>
        <v>0</v>
      </c>
      <c r="AQ261" s="174">
        <f>Buildings_Water_Frontend[[#This Row],[Completeness]]</f>
        <v>0</v>
      </c>
      <c r="AR261" s="174">
        <f>Buildings_Water_Frontend[[#This Row],[Notes]]</f>
        <v>0</v>
      </c>
    </row>
    <row r="262" spans="5:44" x14ac:dyDescent="0.3">
      <c r="E262" s="346"/>
      <c r="F262" s="364"/>
      <c r="G262" s="336"/>
      <c r="H262" s="336"/>
      <c r="I262" s="334"/>
      <c r="J262" s="336"/>
      <c r="K262" s="336"/>
      <c r="L262" s="336"/>
      <c r="M262" s="337"/>
      <c r="N262" s="242">
        <f t="shared" si="7"/>
        <v>5</v>
      </c>
      <c r="Q262" s="212" t="str">
        <f t="shared" si="6"/>
        <v/>
      </c>
      <c r="R262" s="174" t="s">
        <v>265</v>
      </c>
      <c r="S262" s="174" t="s">
        <v>273</v>
      </c>
      <c r="T262" s="174" t="e">
        <f>_xlfn.XLOOKUP(Buildings_Water_Backend[[#This Row],[Info 1]],Buildings_SiteInfo[Site name],Buildings_SiteInfo[Site type])</f>
        <v>#N/A</v>
      </c>
      <c r="U262" s="174" t="s">
        <v>327</v>
      </c>
      <c r="V262" s="174">
        <f>Buildings_Water_Frontend[[#This Row],[Type]]</f>
        <v>0</v>
      </c>
      <c r="W262" s="174" t="e" cm="1">
        <f t="array" aca="1" ref="W262" ca="1">_xlfn.XLOOKUP(Buildings_Water_Backend[[#This Row],[Level 5]],rng_Level5Long,rng_Level6Long)</f>
        <v>#N/A</v>
      </c>
      <c r="X262" s="174">
        <f>Buildings_Water_Frontend[[#This Row],[Site Name]]</f>
        <v>0</v>
      </c>
      <c r="Y262" s="174">
        <f>Buildings_Water_Frontend[[#This Row],[Meter Reference]]</f>
        <v>0</v>
      </c>
      <c r="Z262" s="220">
        <f>Buildings_Water_Frontend[[#This Row],[Methodology]]</f>
        <v>0</v>
      </c>
      <c r="AA262" s="229" t="e" cm="1">
        <f t="array" ref="AA262">INDEX(_xlfn.SWITCH(Buildings_Water_Backend[[#This Row],[Methodology]],"Tier 1",rng_RSD1,"Tier 2",rng_RSD2,"Tier 3",rng_RSD3),MATCH(_xlfn.CONCAT(Buildings_Water_Backend[[#This Row],[Level 1]:[Level 6]]),rng_LevelsConcat,0))</f>
        <v>#N/A</v>
      </c>
      <c r="AB262" s="224">
        <f>Buildings_Water_Frontend[[#This Row],[Data]]</f>
        <v>0</v>
      </c>
      <c r="AC262" s="174">
        <f>Buildings_Water_Frontend[[#This Row],[Units]]</f>
        <v>0</v>
      </c>
      <c r="AD262" s="220" t="e">
        <f>IF(Buildings_Water_Backend[[#This Row],[Units]]=Buildings_Water_Backend[[#This Row],[Standard units]],Buildings_Water_Backend[[#This Row],[Data]],Buildings_Water_Backend[[#This Row],[Data]]*_xlfn.XLOOKUP(_xlfn.CONCAT(Buildings_Water_Backend[[#This Row],[Level 1]:[Level 6]]),rng_EFConcat,rng_EFConversion))</f>
        <v>#N/A</v>
      </c>
      <c r="AE262" s="174" t="e" cm="1">
        <f t="array" ref="AE262">_xlfn.XLOOKUP(_xlfn.CONCAT(Buildings_Water_Backend[[#This Row],[Level 1]:[Level 6]]),rng_LevelsConcat,rng_UnitsLong)</f>
        <v>#N/A</v>
      </c>
      <c r="AF262" s="210" t="e">
        <f>_xlfn.XLOOKUP(_xlfn.CONCAT(Buildings_Water_Backend[[#This Row],[Level 1]:[Level 6]]),rng_EFConcat,rng_EF1)*Buildings_Water_Backend[[#This Row],[Converted data]]/1000</f>
        <v>#N/A</v>
      </c>
      <c r="AG262" s="210" t="e">
        <f>_xlfn.XLOOKUP(_xlfn.CONCAT(Buildings_Water_Backend[[#This Row],[Level 1]:[Level 6]]),rng_EFConcat,rng_EF2)*Buildings_Water_Backend[[#This Row],[Converted data]]/1000</f>
        <v>#N/A</v>
      </c>
      <c r="AH262" s="210" t="e">
        <f>_xlfn.XLOOKUP(_xlfn.CONCAT(Buildings_Water_Backend[[#This Row],[Level 1]:[Level 6]]),rng_EFConcat,rng_EF3)*Buildings_Water_Backend[[#This Row],[Converted data]]/1000</f>
        <v>#N/A</v>
      </c>
      <c r="AI262" s="210" t="e">
        <f>_xlfn.XLOOKUP(_xlfn.CONCAT(Buildings_Water_Backend[[#This Row],[Level 1]:[Level 6]]),rng_EFConcat,rng_EF3WTT)*Buildings_Water_Backend[[#This Row],[Converted data]]/1000</f>
        <v>#N/A</v>
      </c>
      <c r="AJ262" s="210" t="e">
        <f>_xlfn.XLOOKUP(_xlfn.CONCAT(Buildings_Water_Backend[[#This Row],[Level 1]:[Level 6]]),rng_EFConcat,rng_EF3TD)*Buildings_Water_Backend[[#This Row],[Converted data]]/1000</f>
        <v>#N/A</v>
      </c>
      <c r="AK262" s="210" t="e">
        <f>_xlfn.XLOOKUP(_xlfn.CONCAT(Buildings_Water_Backend[[#This Row],[Level 1]:[Level 6]]),rng_EFConcat,rng_EF3WTTTD)*Buildings_Water_Backend[[#This Row],[Converted data]]/1000</f>
        <v>#N/A</v>
      </c>
      <c r="AL262" s="220" t="e">
        <f>SUM(Buildings_Water_Backend[[#This Row],[Scope 1 (tCO2e)]:[Scope 3 WTT T&amp;D (tCO2e)]])</f>
        <v>#N/A</v>
      </c>
      <c r="AM262" s="220" t="e">
        <f>Buildings_Water_Backend[[#This Row],[Total (tCO2e)]]*(1-Buildings_Water_Backend[[#This Row],[RSD]])</f>
        <v>#N/A</v>
      </c>
      <c r="AN262" s="220" t="e">
        <f>Buildings_Water_Backend[[#This Row],[Total (tCO2e)]]*(1+Buildings_Water_Backend[[#This Row],[RSD]])</f>
        <v>#N/A</v>
      </c>
      <c r="AO262" s="210" t="e">
        <f>_xlfn.XLOOKUP(_xlfn.CONCAT(Buildings_Water_Backend[[#This Row],[Level 1]:[Level 6]]),rng_EFConcat,rng_EFOOS)*Buildings_Water_Backend[[#This Row],[Converted data]]/1000</f>
        <v>#N/A</v>
      </c>
      <c r="AP262" s="174">
        <f>Buildings_Water_Frontend[[#This Row],[Ease of collection]]</f>
        <v>0</v>
      </c>
      <c r="AQ262" s="174">
        <f>Buildings_Water_Frontend[[#This Row],[Completeness]]</f>
        <v>0</v>
      </c>
      <c r="AR262" s="174">
        <f>Buildings_Water_Frontend[[#This Row],[Notes]]</f>
        <v>0</v>
      </c>
    </row>
    <row r="263" spans="5:44" x14ac:dyDescent="0.3">
      <c r="E263" s="346"/>
      <c r="F263" s="364"/>
      <c r="G263" s="336"/>
      <c r="H263" s="336"/>
      <c r="I263" s="334"/>
      <c r="J263" s="336"/>
      <c r="K263" s="336"/>
      <c r="L263" s="336"/>
      <c r="M263" s="337"/>
      <c r="N263" s="242">
        <f t="shared" si="7"/>
        <v>5</v>
      </c>
      <c r="Q263" s="212" t="str">
        <f t="shared" si="6"/>
        <v/>
      </c>
      <c r="R263" s="174" t="s">
        <v>265</v>
      </c>
      <c r="S263" s="174" t="s">
        <v>273</v>
      </c>
      <c r="T263" s="174" t="e">
        <f>_xlfn.XLOOKUP(Buildings_Water_Backend[[#This Row],[Info 1]],Buildings_SiteInfo[Site name],Buildings_SiteInfo[Site type])</f>
        <v>#N/A</v>
      </c>
      <c r="U263" s="174" t="s">
        <v>327</v>
      </c>
      <c r="V263" s="174">
        <f>Buildings_Water_Frontend[[#This Row],[Type]]</f>
        <v>0</v>
      </c>
      <c r="W263" s="174" t="e" cm="1">
        <f t="array" aca="1" ref="W263" ca="1">_xlfn.XLOOKUP(Buildings_Water_Backend[[#This Row],[Level 5]],rng_Level5Long,rng_Level6Long)</f>
        <v>#N/A</v>
      </c>
      <c r="X263" s="174">
        <f>Buildings_Water_Frontend[[#This Row],[Site Name]]</f>
        <v>0</v>
      </c>
      <c r="Y263" s="174">
        <f>Buildings_Water_Frontend[[#This Row],[Meter Reference]]</f>
        <v>0</v>
      </c>
      <c r="Z263" s="220">
        <f>Buildings_Water_Frontend[[#This Row],[Methodology]]</f>
        <v>0</v>
      </c>
      <c r="AA263" s="229" t="e" cm="1">
        <f t="array" ref="AA263">INDEX(_xlfn.SWITCH(Buildings_Water_Backend[[#This Row],[Methodology]],"Tier 1",rng_RSD1,"Tier 2",rng_RSD2,"Tier 3",rng_RSD3),MATCH(_xlfn.CONCAT(Buildings_Water_Backend[[#This Row],[Level 1]:[Level 6]]),rng_LevelsConcat,0))</f>
        <v>#N/A</v>
      </c>
      <c r="AB263" s="224">
        <f>Buildings_Water_Frontend[[#This Row],[Data]]</f>
        <v>0</v>
      </c>
      <c r="AC263" s="174">
        <f>Buildings_Water_Frontend[[#This Row],[Units]]</f>
        <v>0</v>
      </c>
      <c r="AD263" s="220" t="e">
        <f>IF(Buildings_Water_Backend[[#This Row],[Units]]=Buildings_Water_Backend[[#This Row],[Standard units]],Buildings_Water_Backend[[#This Row],[Data]],Buildings_Water_Backend[[#This Row],[Data]]*_xlfn.XLOOKUP(_xlfn.CONCAT(Buildings_Water_Backend[[#This Row],[Level 1]:[Level 6]]),rng_EFConcat,rng_EFConversion))</f>
        <v>#N/A</v>
      </c>
      <c r="AE263" s="174" t="e" cm="1">
        <f t="array" ref="AE263">_xlfn.XLOOKUP(_xlfn.CONCAT(Buildings_Water_Backend[[#This Row],[Level 1]:[Level 6]]),rng_LevelsConcat,rng_UnitsLong)</f>
        <v>#N/A</v>
      </c>
      <c r="AF263" s="210" t="e">
        <f>_xlfn.XLOOKUP(_xlfn.CONCAT(Buildings_Water_Backend[[#This Row],[Level 1]:[Level 6]]),rng_EFConcat,rng_EF1)*Buildings_Water_Backend[[#This Row],[Converted data]]/1000</f>
        <v>#N/A</v>
      </c>
      <c r="AG263" s="210" t="e">
        <f>_xlfn.XLOOKUP(_xlfn.CONCAT(Buildings_Water_Backend[[#This Row],[Level 1]:[Level 6]]),rng_EFConcat,rng_EF2)*Buildings_Water_Backend[[#This Row],[Converted data]]/1000</f>
        <v>#N/A</v>
      </c>
      <c r="AH263" s="210" t="e">
        <f>_xlfn.XLOOKUP(_xlfn.CONCAT(Buildings_Water_Backend[[#This Row],[Level 1]:[Level 6]]),rng_EFConcat,rng_EF3)*Buildings_Water_Backend[[#This Row],[Converted data]]/1000</f>
        <v>#N/A</v>
      </c>
      <c r="AI263" s="210" t="e">
        <f>_xlfn.XLOOKUP(_xlfn.CONCAT(Buildings_Water_Backend[[#This Row],[Level 1]:[Level 6]]),rng_EFConcat,rng_EF3WTT)*Buildings_Water_Backend[[#This Row],[Converted data]]/1000</f>
        <v>#N/A</v>
      </c>
      <c r="AJ263" s="210" t="e">
        <f>_xlfn.XLOOKUP(_xlfn.CONCAT(Buildings_Water_Backend[[#This Row],[Level 1]:[Level 6]]),rng_EFConcat,rng_EF3TD)*Buildings_Water_Backend[[#This Row],[Converted data]]/1000</f>
        <v>#N/A</v>
      </c>
      <c r="AK263" s="210" t="e">
        <f>_xlfn.XLOOKUP(_xlfn.CONCAT(Buildings_Water_Backend[[#This Row],[Level 1]:[Level 6]]),rng_EFConcat,rng_EF3WTTTD)*Buildings_Water_Backend[[#This Row],[Converted data]]/1000</f>
        <v>#N/A</v>
      </c>
      <c r="AL263" s="220" t="e">
        <f>SUM(Buildings_Water_Backend[[#This Row],[Scope 1 (tCO2e)]:[Scope 3 WTT T&amp;D (tCO2e)]])</f>
        <v>#N/A</v>
      </c>
      <c r="AM263" s="220" t="e">
        <f>Buildings_Water_Backend[[#This Row],[Total (tCO2e)]]*(1-Buildings_Water_Backend[[#This Row],[RSD]])</f>
        <v>#N/A</v>
      </c>
      <c r="AN263" s="220" t="e">
        <f>Buildings_Water_Backend[[#This Row],[Total (tCO2e)]]*(1+Buildings_Water_Backend[[#This Row],[RSD]])</f>
        <v>#N/A</v>
      </c>
      <c r="AO263" s="210" t="e">
        <f>_xlfn.XLOOKUP(_xlfn.CONCAT(Buildings_Water_Backend[[#This Row],[Level 1]:[Level 6]]),rng_EFConcat,rng_EFOOS)*Buildings_Water_Backend[[#This Row],[Converted data]]/1000</f>
        <v>#N/A</v>
      </c>
      <c r="AP263" s="174">
        <f>Buildings_Water_Frontend[[#This Row],[Ease of collection]]</f>
        <v>0</v>
      </c>
      <c r="AQ263" s="174">
        <f>Buildings_Water_Frontend[[#This Row],[Completeness]]</f>
        <v>0</v>
      </c>
      <c r="AR263" s="174">
        <f>Buildings_Water_Frontend[[#This Row],[Notes]]</f>
        <v>0</v>
      </c>
    </row>
    <row r="264" spans="5:44" x14ac:dyDescent="0.3">
      <c r="E264" s="346"/>
      <c r="F264" s="364"/>
      <c r="G264" s="336"/>
      <c r="H264" s="336"/>
      <c r="I264" s="334"/>
      <c r="J264" s="336"/>
      <c r="K264" s="336"/>
      <c r="L264" s="336"/>
      <c r="M264" s="337"/>
      <c r="N264" s="242">
        <f t="shared" si="7"/>
        <v>5</v>
      </c>
      <c r="Q264" s="212" t="str">
        <f t="shared" si="6"/>
        <v/>
      </c>
      <c r="R264" s="174" t="s">
        <v>265</v>
      </c>
      <c r="S264" s="174" t="s">
        <v>273</v>
      </c>
      <c r="T264" s="174" t="e">
        <f>_xlfn.XLOOKUP(Buildings_Water_Backend[[#This Row],[Info 1]],Buildings_SiteInfo[Site name],Buildings_SiteInfo[Site type])</f>
        <v>#N/A</v>
      </c>
      <c r="U264" s="174" t="s">
        <v>327</v>
      </c>
      <c r="V264" s="174">
        <f>Buildings_Water_Frontend[[#This Row],[Type]]</f>
        <v>0</v>
      </c>
      <c r="W264" s="174" t="e" cm="1">
        <f t="array" aca="1" ref="W264" ca="1">_xlfn.XLOOKUP(Buildings_Water_Backend[[#This Row],[Level 5]],rng_Level5Long,rng_Level6Long)</f>
        <v>#N/A</v>
      </c>
      <c r="X264" s="174">
        <f>Buildings_Water_Frontend[[#This Row],[Site Name]]</f>
        <v>0</v>
      </c>
      <c r="Y264" s="174">
        <f>Buildings_Water_Frontend[[#This Row],[Meter Reference]]</f>
        <v>0</v>
      </c>
      <c r="Z264" s="220">
        <f>Buildings_Water_Frontend[[#This Row],[Methodology]]</f>
        <v>0</v>
      </c>
      <c r="AA264" s="229" t="e" cm="1">
        <f t="array" ref="AA264">INDEX(_xlfn.SWITCH(Buildings_Water_Backend[[#This Row],[Methodology]],"Tier 1",rng_RSD1,"Tier 2",rng_RSD2,"Tier 3",rng_RSD3),MATCH(_xlfn.CONCAT(Buildings_Water_Backend[[#This Row],[Level 1]:[Level 6]]),rng_LevelsConcat,0))</f>
        <v>#N/A</v>
      </c>
      <c r="AB264" s="224">
        <f>Buildings_Water_Frontend[[#This Row],[Data]]</f>
        <v>0</v>
      </c>
      <c r="AC264" s="174">
        <f>Buildings_Water_Frontend[[#This Row],[Units]]</f>
        <v>0</v>
      </c>
      <c r="AD264" s="220" t="e">
        <f>IF(Buildings_Water_Backend[[#This Row],[Units]]=Buildings_Water_Backend[[#This Row],[Standard units]],Buildings_Water_Backend[[#This Row],[Data]],Buildings_Water_Backend[[#This Row],[Data]]*_xlfn.XLOOKUP(_xlfn.CONCAT(Buildings_Water_Backend[[#This Row],[Level 1]:[Level 6]]),rng_EFConcat,rng_EFConversion))</f>
        <v>#N/A</v>
      </c>
      <c r="AE264" s="174" t="e" cm="1">
        <f t="array" ref="AE264">_xlfn.XLOOKUP(_xlfn.CONCAT(Buildings_Water_Backend[[#This Row],[Level 1]:[Level 6]]),rng_LevelsConcat,rng_UnitsLong)</f>
        <v>#N/A</v>
      </c>
      <c r="AF264" s="210" t="e">
        <f>_xlfn.XLOOKUP(_xlfn.CONCAT(Buildings_Water_Backend[[#This Row],[Level 1]:[Level 6]]),rng_EFConcat,rng_EF1)*Buildings_Water_Backend[[#This Row],[Converted data]]/1000</f>
        <v>#N/A</v>
      </c>
      <c r="AG264" s="210" t="e">
        <f>_xlfn.XLOOKUP(_xlfn.CONCAT(Buildings_Water_Backend[[#This Row],[Level 1]:[Level 6]]),rng_EFConcat,rng_EF2)*Buildings_Water_Backend[[#This Row],[Converted data]]/1000</f>
        <v>#N/A</v>
      </c>
      <c r="AH264" s="210" t="e">
        <f>_xlfn.XLOOKUP(_xlfn.CONCAT(Buildings_Water_Backend[[#This Row],[Level 1]:[Level 6]]),rng_EFConcat,rng_EF3)*Buildings_Water_Backend[[#This Row],[Converted data]]/1000</f>
        <v>#N/A</v>
      </c>
      <c r="AI264" s="210" t="e">
        <f>_xlfn.XLOOKUP(_xlfn.CONCAT(Buildings_Water_Backend[[#This Row],[Level 1]:[Level 6]]),rng_EFConcat,rng_EF3WTT)*Buildings_Water_Backend[[#This Row],[Converted data]]/1000</f>
        <v>#N/A</v>
      </c>
      <c r="AJ264" s="210" t="e">
        <f>_xlfn.XLOOKUP(_xlfn.CONCAT(Buildings_Water_Backend[[#This Row],[Level 1]:[Level 6]]),rng_EFConcat,rng_EF3TD)*Buildings_Water_Backend[[#This Row],[Converted data]]/1000</f>
        <v>#N/A</v>
      </c>
      <c r="AK264" s="210" t="e">
        <f>_xlfn.XLOOKUP(_xlfn.CONCAT(Buildings_Water_Backend[[#This Row],[Level 1]:[Level 6]]),rng_EFConcat,rng_EF3WTTTD)*Buildings_Water_Backend[[#This Row],[Converted data]]/1000</f>
        <v>#N/A</v>
      </c>
      <c r="AL264" s="220" t="e">
        <f>SUM(Buildings_Water_Backend[[#This Row],[Scope 1 (tCO2e)]:[Scope 3 WTT T&amp;D (tCO2e)]])</f>
        <v>#N/A</v>
      </c>
      <c r="AM264" s="220" t="e">
        <f>Buildings_Water_Backend[[#This Row],[Total (tCO2e)]]*(1-Buildings_Water_Backend[[#This Row],[RSD]])</f>
        <v>#N/A</v>
      </c>
      <c r="AN264" s="220" t="e">
        <f>Buildings_Water_Backend[[#This Row],[Total (tCO2e)]]*(1+Buildings_Water_Backend[[#This Row],[RSD]])</f>
        <v>#N/A</v>
      </c>
      <c r="AO264" s="210" t="e">
        <f>_xlfn.XLOOKUP(_xlfn.CONCAT(Buildings_Water_Backend[[#This Row],[Level 1]:[Level 6]]),rng_EFConcat,rng_EFOOS)*Buildings_Water_Backend[[#This Row],[Converted data]]/1000</f>
        <v>#N/A</v>
      </c>
      <c r="AP264" s="174">
        <f>Buildings_Water_Frontend[[#This Row],[Ease of collection]]</f>
        <v>0</v>
      </c>
      <c r="AQ264" s="174">
        <f>Buildings_Water_Frontend[[#This Row],[Completeness]]</f>
        <v>0</v>
      </c>
      <c r="AR264" s="174">
        <f>Buildings_Water_Frontend[[#This Row],[Notes]]</f>
        <v>0</v>
      </c>
    </row>
    <row r="265" spans="5:44" x14ac:dyDescent="0.3">
      <c r="E265" s="346"/>
      <c r="F265" s="364"/>
      <c r="G265" s="336"/>
      <c r="H265" s="336"/>
      <c r="I265" s="334"/>
      <c r="J265" s="336"/>
      <c r="K265" s="336"/>
      <c r="L265" s="336"/>
      <c r="M265" s="337"/>
      <c r="N265" s="242">
        <f t="shared" si="7"/>
        <v>5</v>
      </c>
      <c r="Q265" s="212" t="str">
        <f t="shared" si="6"/>
        <v/>
      </c>
      <c r="R265" s="174" t="s">
        <v>265</v>
      </c>
      <c r="S265" s="174" t="s">
        <v>273</v>
      </c>
      <c r="T265" s="174" t="e">
        <f>_xlfn.XLOOKUP(Buildings_Water_Backend[[#This Row],[Info 1]],Buildings_SiteInfo[Site name],Buildings_SiteInfo[Site type])</f>
        <v>#N/A</v>
      </c>
      <c r="U265" s="174" t="s">
        <v>327</v>
      </c>
      <c r="V265" s="174">
        <f>Buildings_Water_Frontend[[#This Row],[Type]]</f>
        <v>0</v>
      </c>
      <c r="W265" s="174" t="e" cm="1">
        <f t="array" aca="1" ref="W265" ca="1">_xlfn.XLOOKUP(Buildings_Water_Backend[[#This Row],[Level 5]],rng_Level5Long,rng_Level6Long)</f>
        <v>#N/A</v>
      </c>
      <c r="X265" s="174">
        <f>Buildings_Water_Frontend[[#This Row],[Site Name]]</f>
        <v>0</v>
      </c>
      <c r="Y265" s="174">
        <f>Buildings_Water_Frontend[[#This Row],[Meter Reference]]</f>
        <v>0</v>
      </c>
      <c r="Z265" s="220">
        <f>Buildings_Water_Frontend[[#This Row],[Methodology]]</f>
        <v>0</v>
      </c>
      <c r="AA265" s="229" t="e" cm="1">
        <f t="array" ref="AA265">INDEX(_xlfn.SWITCH(Buildings_Water_Backend[[#This Row],[Methodology]],"Tier 1",rng_RSD1,"Tier 2",rng_RSD2,"Tier 3",rng_RSD3),MATCH(_xlfn.CONCAT(Buildings_Water_Backend[[#This Row],[Level 1]:[Level 6]]),rng_LevelsConcat,0))</f>
        <v>#N/A</v>
      </c>
      <c r="AB265" s="224">
        <f>Buildings_Water_Frontend[[#This Row],[Data]]</f>
        <v>0</v>
      </c>
      <c r="AC265" s="174">
        <f>Buildings_Water_Frontend[[#This Row],[Units]]</f>
        <v>0</v>
      </c>
      <c r="AD265" s="220" t="e">
        <f>IF(Buildings_Water_Backend[[#This Row],[Units]]=Buildings_Water_Backend[[#This Row],[Standard units]],Buildings_Water_Backend[[#This Row],[Data]],Buildings_Water_Backend[[#This Row],[Data]]*_xlfn.XLOOKUP(_xlfn.CONCAT(Buildings_Water_Backend[[#This Row],[Level 1]:[Level 6]]),rng_EFConcat,rng_EFConversion))</f>
        <v>#N/A</v>
      </c>
      <c r="AE265" s="174" t="e" cm="1">
        <f t="array" ref="AE265">_xlfn.XLOOKUP(_xlfn.CONCAT(Buildings_Water_Backend[[#This Row],[Level 1]:[Level 6]]),rng_LevelsConcat,rng_UnitsLong)</f>
        <v>#N/A</v>
      </c>
      <c r="AF265" s="210" t="e">
        <f>_xlfn.XLOOKUP(_xlfn.CONCAT(Buildings_Water_Backend[[#This Row],[Level 1]:[Level 6]]),rng_EFConcat,rng_EF1)*Buildings_Water_Backend[[#This Row],[Converted data]]/1000</f>
        <v>#N/A</v>
      </c>
      <c r="AG265" s="210" t="e">
        <f>_xlfn.XLOOKUP(_xlfn.CONCAT(Buildings_Water_Backend[[#This Row],[Level 1]:[Level 6]]),rng_EFConcat,rng_EF2)*Buildings_Water_Backend[[#This Row],[Converted data]]/1000</f>
        <v>#N/A</v>
      </c>
      <c r="AH265" s="210" t="e">
        <f>_xlfn.XLOOKUP(_xlfn.CONCAT(Buildings_Water_Backend[[#This Row],[Level 1]:[Level 6]]),rng_EFConcat,rng_EF3)*Buildings_Water_Backend[[#This Row],[Converted data]]/1000</f>
        <v>#N/A</v>
      </c>
      <c r="AI265" s="210" t="e">
        <f>_xlfn.XLOOKUP(_xlfn.CONCAT(Buildings_Water_Backend[[#This Row],[Level 1]:[Level 6]]),rng_EFConcat,rng_EF3WTT)*Buildings_Water_Backend[[#This Row],[Converted data]]/1000</f>
        <v>#N/A</v>
      </c>
      <c r="AJ265" s="210" t="e">
        <f>_xlfn.XLOOKUP(_xlfn.CONCAT(Buildings_Water_Backend[[#This Row],[Level 1]:[Level 6]]),rng_EFConcat,rng_EF3TD)*Buildings_Water_Backend[[#This Row],[Converted data]]/1000</f>
        <v>#N/A</v>
      </c>
      <c r="AK265" s="210" t="e">
        <f>_xlfn.XLOOKUP(_xlfn.CONCAT(Buildings_Water_Backend[[#This Row],[Level 1]:[Level 6]]),rng_EFConcat,rng_EF3WTTTD)*Buildings_Water_Backend[[#This Row],[Converted data]]/1000</f>
        <v>#N/A</v>
      </c>
      <c r="AL265" s="220" t="e">
        <f>SUM(Buildings_Water_Backend[[#This Row],[Scope 1 (tCO2e)]:[Scope 3 WTT T&amp;D (tCO2e)]])</f>
        <v>#N/A</v>
      </c>
      <c r="AM265" s="220" t="e">
        <f>Buildings_Water_Backend[[#This Row],[Total (tCO2e)]]*(1-Buildings_Water_Backend[[#This Row],[RSD]])</f>
        <v>#N/A</v>
      </c>
      <c r="AN265" s="220" t="e">
        <f>Buildings_Water_Backend[[#This Row],[Total (tCO2e)]]*(1+Buildings_Water_Backend[[#This Row],[RSD]])</f>
        <v>#N/A</v>
      </c>
      <c r="AO265" s="210" t="e">
        <f>_xlfn.XLOOKUP(_xlfn.CONCAT(Buildings_Water_Backend[[#This Row],[Level 1]:[Level 6]]),rng_EFConcat,rng_EFOOS)*Buildings_Water_Backend[[#This Row],[Converted data]]/1000</f>
        <v>#N/A</v>
      </c>
      <c r="AP265" s="174">
        <f>Buildings_Water_Frontend[[#This Row],[Ease of collection]]</f>
        <v>0</v>
      </c>
      <c r="AQ265" s="174">
        <f>Buildings_Water_Frontend[[#This Row],[Completeness]]</f>
        <v>0</v>
      </c>
      <c r="AR265" s="174">
        <f>Buildings_Water_Frontend[[#This Row],[Notes]]</f>
        <v>0</v>
      </c>
    </row>
    <row r="266" spans="5:44" x14ac:dyDescent="0.3">
      <c r="E266" s="346"/>
      <c r="F266" s="364"/>
      <c r="G266" s="336"/>
      <c r="H266" s="336"/>
      <c r="I266" s="334"/>
      <c r="J266" s="336"/>
      <c r="K266" s="336"/>
      <c r="L266" s="336"/>
      <c r="M266" s="337"/>
      <c r="N266" s="242">
        <f t="shared" si="7"/>
        <v>5</v>
      </c>
      <c r="Q266" s="212" t="str">
        <f t="shared" si="6"/>
        <v/>
      </c>
      <c r="R266" s="174" t="s">
        <v>265</v>
      </c>
      <c r="S266" s="174" t="s">
        <v>273</v>
      </c>
      <c r="T266" s="174" t="e">
        <f>_xlfn.XLOOKUP(Buildings_Water_Backend[[#This Row],[Info 1]],Buildings_SiteInfo[Site name],Buildings_SiteInfo[Site type])</f>
        <v>#N/A</v>
      </c>
      <c r="U266" s="174" t="s">
        <v>327</v>
      </c>
      <c r="V266" s="174">
        <f>Buildings_Water_Frontend[[#This Row],[Type]]</f>
        <v>0</v>
      </c>
      <c r="W266" s="174" t="e" cm="1">
        <f t="array" aca="1" ref="W266" ca="1">_xlfn.XLOOKUP(Buildings_Water_Backend[[#This Row],[Level 5]],rng_Level5Long,rng_Level6Long)</f>
        <v>#N/A</v>
      </c>
      <c r="X266" s="174">
        <f>Buildings_Water_Frontend[[#This Row],[Site Name]]</f>
        <v>0</v>
      </c>
      <c r="Y266" s="174">
        <f>Buildings_Water_Frontend[[#This Row],[Meter Reference]]</f>
        <v>0</v>
      </c>
      <c r="Z266" s="220">
        <f>Buildings_Water_Frontend[[#This Row],[Methodology]]</f>
        <v>0</v>
      </c>
      <c r="AA266" s="229" t="e" cm="1">
        <f t="array" ref="AA266">INDEX(_xlfn.SWITCH(Buildings_Water_Backend[[#This Row],[Methodology]],"Tier 1",rng_RSD1,"Tier 2",rng_RSD2,"Tier 3",rng_RSD3),MATCH(_xlfn.CONCAT(Buildings_Water_Backend[[#This Row],[Level 1]:[Level 6]]),rng_LevelsConcat,0))</f>
        <v>#N/A</v>
      </c>
      <c r="AB266" s="224">
        <f>Buildings_Water_Frontend[[#This Row],[Data]]</f>
        <v>0</v>
      </c>
      <c r="AC266" s="174">
        <f>Buildings_Water_Frontend[[#This Row],[Units]]</f>
        <v>0</v>
      </c>
      <c r="AD266" s="220" t="e">
        <f>IF(Buildings_Water_Backend[[#This Row],[Units]]=Buildings_Water_Backend[[#This Row],[Standard units]],Buildings_Water_Backend[[#This Row],[Data]],Buildings_Water_Backend[[#This Row],[Data]]*_xlfn.XLOOKUP(_xlfn.CONCAT(Buildings_Water_Backend[[#This Row],[Level 1]:[Level 6]]),rng_EFConcat,rng_EFConversion))</f>
        <v>#N/A</v>
      </c>
      <c r="AE266" s="174" t="e" cm="1">
        <f t="array" ref="AE266">_xlfn.XLOOKUP(_xlfn.CONCAT(Buildings_Water_Backend[[#This Row],[Level 1]:[Level 6]]),rng_LevelsConcat,rng_UnitsLong)</f>
        <v>#N/A</v>
      </c>
      <c r="AF266" s="210" t="e">
        <f>_xlfn.XLOOKUP(_xlfn.CONCAT(Buildings_Water_Backend[[#This Row],[Level 1]:[Level 6]]),rng_EFConcat,rng_EF1)*Buildings_Water_Backend[[#This Row],[Converted data]]/1000</f>
        <v>#N/A</v>
      </c>
      <c r="AG266" s="210" t="e">
        <f>_xlfn.XLOOKUP(_xlfn.CONCAT(Buildings_Water_Backend[[#This Row],[Level 1]:[Level 6]]),rng_EFConcat,rng_EF2)*Buildings_Water_Backend[[#This Row],[Converted data]]/1000</f>
        <v>#N/A</v>
      </c>
      <c r="AH266" s="210" t="e">
        <f>_xlfn.XLOOKUP(_xlfn.CONCAT(Buildings_Water_Backend[[#This Row],[Level 1]:[Level 6]]),rng_EFConcat,rng_EF3)*Buildings_Water_Backend[[#This Row],[Converted data]]/1000</f>
        <v>#N/A</v>
      </c>
      <c r="AI266" s="210" t="e">
        <f>_xlfn.XLOOKUP(_xlfn.CONCAT(Buildings_Water_Backend[[#This Row],[Level 1]:[Level 6]]),rng_EFConcat,rng_EF3WTT)*Buildings_Water_Backend[[#This Row],[Converted data]]/1000</f>
        <v>#N/A</v>
      </c>
      <c r="AJ266" s="210" t="e">
        <f>_xlfn.XLOOKUP(_xlfn.CONCAT(Buildings_Water_Backend[[#This Row],[Level 1]:[Level 6]]),rng_EFConcat,rng_EF3TD)*Buildings_Water_Backend[[#This Row],[Converted data]]/1000</f>
        <v>#N/A</v>
      </c>
      <c r="AK266" s="210" t="e">
        <f>_xlfn.XLOOKUP(_xlfn.CONCAT(Buildings_Water_Backend[[#This Row],[Level 1]:[Level 6]]),rng_EFConcat,rng_EF3WTTTD)*Buildings_Water_Backend[[#This Row],[Converted data]]/1000</f>
        <v>#N/A</v>
      </c>
      <c r="AL266" s="220" t="e">
        <f>SUM(Buildings_Water_Backend[[#This Row],[Scope 1 (tCO2e)]:[Scope 3 WTT T&amp;D (tCO2e)]])</f>
        <v>#N/A</v>
      </c>
      <c r="AM266" s="220" t="e">
        <f>Buildings_Water_Backend[[#This Row],[Total (tCO2e)]]*(1-Buildings_Water_Backend[[#This Row],[RSD]])</f>
        <v>#N/A</v>
      </c>
      <c r="AN266" s="220" t="e">
        <f>Buildings_Water_Backend[[#This Row],[Total (tCO2e)]]*(1+Buildings_Water_Backend[[#This Row],[RSD]])</f>
        <v>#N/A</v>
      </c>
      <c r="AO266" s="210" t="e">
        <f>_xlfn.XLOOKUP(_xlfn.CONCAT(Buildings_Water_Backend[[#This Row],[Level 1]:[Level 6]]),rng_EFConcat,rng_EFOOS)*Buildings_Water_Backend[[#This Row],[Converted data]]/1000</f>
        <v>#N/A</v>
      </c>
      <c r="AP266" s="174">
        <f>Buildings_Water_Frontend[[#This Row],[Ease of collection]]</f>
        <v>0</v>
      </c>
      <c r="AQ266" s="174">
        <f>Buildings_Water_Frontend[[#This Row],[Completeness]]</f>
        <v>0</v>
      </c>
      <c r="AR266" s="174">
        <f>Buildings_Water_Frontend[[#This Row],[Notes]]</f>
        <v>0</v>
      </c>
    </row>
    <row r="267" spans="5:44" x14ac:dyDescent="0.3">
      <c r="E267" s="346"/>
      <c r="F267" s="364"/>
      <c r="G267" s="336"/>
      <c r="H267" s="336"/>
      <c r="I267" s="334"/>
      <c r="J267" s="336"/>
      <c r="K267" s="336"/>
      <c r="L267" s="336"/>
      <c r="M267" s="337"/>
      <c r="N267" s="242">
        <f t="shared" si="7"/>
        <v>5</v>
      </c>
      <c r="Q267" s="212" t="str">
        <f t="shared" si="6"/>
        <v/>
      </c>
      <c r="R267" s="174" t="s">
        <v>265</v>
      </c>
      <c r="S267" s="174" t="s">
        <v>273</v>
      </c>
      <c r="T267" s="174" t="e">
        <f>_xlfn.XLOOKUP(Buildings_Water_Backend[[#This Row],[Info 1]],Buildings_SiteInfo[Site name],Buildings_SiteInfo[Site type])</f>
        <v>#N/A</v>
      </c>
      <c r="U267" s="174" t="s">
        <v>327</v>
      </c>
      <c r="V267" s="174">
        <f>Buildings_Water_Frontend[[#This Row],[Type]]</f>
        <v>0</v>
      </c>
      <c r="W267" s="174" t="e" cm="1">
        <f t="array" aca="1" ref="W267" ca="1">_xlfn.XLOOKUP(Buildings_Water_Backend[[#This Row],[Level 5]],rng_Level5Long,rng_Level6Long)</f>
        <v>#N/A</v>
      </c>
      <c r="X267" s="174">
        <f>Buildings_Water_Frontend[[#This Row],[Site Name]]</f>
        <v>0</v>
      </c>
      <c r="Y267" s="174">
        <f>Buildings_Water_Frontend[[#This Row],[Meter Reference]]</f>
        <v>0</v>
      </c>
      <c r="Z267" s="220">
        <f>Buildings_Water_Frontend[[#This Row],[Methodology]]</f>
        <v>0</v>
      </c>
      <c r="AA267" s="229" t="e" cm="1">
        <f t="array" ref="AA267">INDEX(_xlfn.SWITCH(Buildings_Water_Backend[[#This Row],[Methodology]],"Tier 1",rng_RSD1,"Tier 2",rng_RSD2,"Tier 3",rng_RSD3),MATCH(_xlfn.CONCAT(Buildings_Water_Backend[[#This Row],[Level 1]:[Level 6]]),rng_LevelsConcat,0))</f>
        <v>#N/A</v>
      </c>
      <c r="AB267" s="224">
        <f>Buildings_Water_Frontend[[#This Row],[Data]]</f>
        <v>0</v>
      </c>
      <c r="AC267" s="174">
        <f>Buildings_Water_Frontend[[#This Row],[Units]]</f>
        <v>0</v>
      </c>
      <c r="AD267" s="220" t="e">
        <f>IF(Buildings_Water_Backend[[#This Row],[Units]]=Buildings_Water_Backend[[#This Row],[Standard units]],Buildings_Water_Backend[[#This Row],[Data]],Buildings_Water_Backend[[#This Row],[Data]]*_xlfn.XLOOKUP(_xlfn.CONCAT(Buildings_Water_Backend[[#This Row],[Level 1]:[Level 6]]),rng_EFConcat,rng_EFConversion))</f>
        <v>#N/A</v>
      </c>
      <c r="AE267" s="174" t="e" cm="1">
        <f t="array" ref="AE267">_xlfn.XLOOKUP(_xlfn.CONCAT(Buildings_Water_Backend[[#This Row],[Level 1]:[Level 6]]),rng_LevelsConcat,rng_UnitsLong)</f>
        <v>#N/A</v>
      </c>
      <c r="AF267" s="210" t="e">
        <f>_xlfn.XLOOKUP(_xlfn.CONCAT(Buildings_Water_Backend[[#This Row],[Level 1]:[Level 6]]),rng_EFConcat,rng_EF1)*Buildings_Water_Backend[[#This Row],[Converted data]]/1000</f>
        <v>#N/A</v>
      </c>
      <c r="AG267" s="210" t="e">
        <f>_xlfn.XLOOKUP(_xlfn.CONCAT(Buildings_Water_Backend[[#This Row],[Level 1]:[Level 6]]),rng_EFConcat,rng_EF2)*Buildings_Water_Backend[[#This Row],[Converted data]]/1000</f>
        <v>#N/A</v>
      </c>
      <c r="AH267" s="210" t="e">
        <f>_xlfn.XLOOKUP(_xlfn.CONCAT(Buildings_Water_Backend[[#This Row],[Level 1]:[Level 6]]),rng_EFConcat,rng_EF3)*Buildings_Water_Backend[[#This Row],[Converted data]]/1000</f>
        <v>#N/A</v>
      </c>
      <c r="AI267" s="210" t="e">
        <f>_xlfn.XLOOKUP(_xlfn.CONCAT(Buildings_Water_Backend[[#This Row],[Level 1]:[Level 6]]),rng_EFConcat,rng_EF3WTT)*Buildings_Water_Backend[[#This Row],[Converted data]]/1000</f>
        <v>#N/A</v>
      </c>
      <c r="AJ267" s="210" t="e">
        <f>_xlfn.XLOOKUP(_xlfn.CONCAT(Buildings_Water_Backend[[#This Row],[Level 1]:[Level 6]]),rng_EFConcat,rng_EF3TD)*Buildings_Water_Backend[[#This Row],[Converted data]]/1000</f>
        <v>#N/A</v>
      </c>
      <c r="AK267" s="210" t="e">
        <f>_xlfn.XLOOKUP(_xlfn.CONCAT(Buildings_Water_Backend[[#This Row],[Level 1]:[Level 6]]),rng_EFConcat,rng_EF3WTTTD)*Buildings_Water_Backend[[#This Row],[Converted data]]/1000</f>
        <v>#N/A</v>
      </c>
      <c r="AL267" s="220" t="e">
        <f>SUM(Buildings_Water_Backend[[#This Row],[Scope 1 (tCO2e)]:[Scope 3 WTT T&amp;D (tCO2e)]])</f>
        <v>#N/A</v>
      </c>
      <c r="AM267" s="220" t="e">
        <f>Buildings_Water_Backend[[#This Row],[Total (tCO2e)]]*(1-Buildings_Water_Backend[[#This Row],[RSD]])</f>
        <v>#N/A</v>
      </c>
      <c r="AN267" s="220" t="e">
        <f>Buildings_Water_Backend[[#This Row],[Total (tCO2e)]]*(1+Buildings_Water_Backend[[#This Row],[RSD]])</f>
        <v>#N/A</v>
      </c>
      <c r="AO267" s="210" t="e">
        <f>_xlfn.XLOOKUP(_xlfn.CONCAT(Buildings_Water_Backend[[#This Row],[Level 1]:[Level 6]]),rng_EFConcat,rng_EFOOS)*Buildings_Water_Backend[[#This Row],[Converted data]]/1000</f>
        <v>#N/A</v>
      </c>
      <c r="AP267" s="174">
        <f>Buildings_Water_Frontend[[#This Row],[Ease of collection]]</f>
        <v>0</v>
      </c>
      <c r="AQ267" s="174">
        <f>Buildings_Water_Frontend[[#This Row],[Completeness]]</f>
        <v>0</v>
      </c>
      <c r="AR267" s="174">
        <f>Buildings_Water_Frontend[[#This Row],[Notes]]</f>
        <v>0</v>
      </c>
    </row>
    <row r="268" spans="5:44" x14ac:dyDescent="0.3">
      <c r="E268" s="346"/>
      <c r="F268" s="364"/>
      <c r="G268" s="336"/>
      <c r="H268" s="336"/>
      <c r="I268" s="334"/>
      <c r="J268" s="336"/>
      <c r="K268" s="336"/>
      <c r="L268" s="336"/>
      <c r="M268" s="337"/>
      <c r="N268" s="242">
        <f t="shared" si="7"/>
        <v>5</v>
      </c>
      <c r="Q268" s="212" t="str">
        <f t="shared" si="6"/>
        <v/>
      </c>
      <c r="R268" s="174" t="s">
        <v>265</v>
      </c>
      <c r="S268" s="174" t="s">
        <v>273</v>
      </c>
      <c r="T268" s="174" t="e">
        <f>_xlfn.XLOOKUP(Buildings_Water_Backend[[#This Row],[Info 1]],Buildings_SiteInfo[Site name],Buildings_SiteInfo[Site type])</f>
        <v>#N/A</v>
      </c>
      <c r="U268" s="174" t="s">
        <v>327</v>
      </c>
      <c r="V268" s="174">
        <f>Buildings_Water_Frontend[[#This Row],[Type]]</f>
        <v>0</v>
      </c>
      <c r="W268" s="174" t="e" cm="1">
        <f t="array" aca="1" ref="W268" ca="1">_xlfn.XLOOKUP(Buildings_Water_Backend[[#This Row],[Level 5]],rng_Level5Long,rng_Level6Long)</f>
        <v>#N/A</v>
      </c>
      <c r="X268" s="174">
        <f>Buildings_Water_Frontend[[#This Row],[Site Name]]</f>
        <v>0</v>
      </c>
      <c r="Y268" s="174">
        <f>Buildings_Water_Frontend[[#This Row],[Meter Reference]]</f>
        <v>0</v>
      </c>
      <c r="Z268" s="220">
        <f>Buildings_Water_Frontend[[#This Row],[Methodology]]</f>
        <v>0</v>
      </c>
      <c r="AA268" s="229" t="e" cm="1">
        <f t="array" ref="AA268">INDEX(_xlfn.SWITCH(Buildings_Water_Backend[[#This Row],[Methodology]],"Tier 1",rng_RSD1,"Tier 2",rng_RSD2,"Tier 3",rng_RSD3),MATCH(_xlfn.CONCAT(Buildings_Water_Backend[[#This Row],[Level 1]:[Level 6]]),rng_LevelsConcat,0))</f>
        <v>#N/A</v>
      </c>
      <c r="AB268" s="224">
        <f>Buildings_Water_Frontend[[#This Row],[Data]]</f>
        <v>0</v>
      </c>
      <c r="AC268" s="174">
        <f>Buildings_Water_Frontend[[#This Row],[Units]]</f>
        <v>0</v>
      </c>
      <c r="AD268" s="220" t="e">
        <f>IF(Buildings_Water_Backend[[#This Row],[Units]]=Buildings_Water_Backend[[#This Row],[Standard units]],Buildings_Water_Backend[[#This Row],[Data]],Buildings_Water_Backend[[#This Row],[Data]]*_xlfn.XLOOKUP(_xlfn.CONCAT(Buildings_Water_Backend[[#This Row],[Level 1]:[Level 6]]),rng_EFConcat,rng_EFConversion))</f>
        <v>#N/A</v>
      </c>
      <c r="AE268" s="174" t="e" cm="1">
        <f t="array" ref="AE268">_xlfn.XLOOKUP(_xlfn.CONCAT(Buildings_Water_Backend[[#This Row],[Level 1]:[Level 6]]),rng_LevelsConcat,rng_UnitsLong)</f>
        <v>#N/A</v>
      </c>
      <c r="AF268" s="210" t="e">
        <f>_xlfn.XLOOKUP(_xlfn.CONCAT(Buildings_Water_Backend[[#This Row],[Level 1]:[Level 6]]),rng_EFConcat,rng_EF1)*Buildings_Water_Backend[[#This Row],[Converted data]]/1000</f>
        <v>#N/A</v>
      </c>
      <c r="AG268" s="210" t="e">
        <f>_xlfn.XLOOKUP(_xlfn.CONCAT(Buildings_Water_Backend[[#This Row],[Level 1]:[Level 6]]),rng_EFConcat,rng_EF2)*Buildings_Water_Backend[[#This Row],[Converted data]]/1000</f>
        <v>#N/A</v>
      </c>
      <c r="AH268" s="210" t="e">
        <f>_xlfn.XLOOKUP(_xlfn.CONCAT(Buildings_Water_Backend[[#This Row],[Level 1]:[Level 6]]),rng_EFConcat,rng_EF3)*Buildings_Water_Backend[[#This Row],[Converted data]]/1000</f>
        <v>#N/A</v>
      </c>
      <c r="AI268" s="210" t="e">
        <f>_xlfn.XLOOKUP(_xlfn.CONCAT(Buildings_Water_Backend[[#This Row],[Level 1]:[Level 6]]),rng_EFConcat,rng_EF3WTT)*Buildings_Water_Backend[[#This Row],[Converted data]]/1000</f>
        <v>#N/A</v>
      </c>
      <c r="AJ268" s="210" t="e">
        <f>_xlfn.XLOOKUP(_xlfn.CONCAT(Buildings_Water_Backend[[#This Row],[Level 1]:[Level 6]]),rng_EFConcat,rng_EF3TD)*Buildings_Water_Backend[[#This Row],[Converted data]]/1000</f>
        <v>#N/A</v>
      </c>
      <c r="AK268" s="210" t="e">
        <f>_xlfn.XLOOKUP(_xlfn.CONCAT(Buildings_Water_Backend[[#This Row],[Level 1]:[Level 6]]),rng_EFConcat,rng_EF3WTTTD)*Buildings_Water_Backend[[#This Row],[Converted data]]/1000</f>
        <v>#N/A</v>
      </c>
      <c r="AL268" s="220" t="e">
        <f>SUM(Buildings_Water_Backend[[#This Row],[Scope 1 (tCO2e)]:[Scope 3 WTT T&amp;D (tCO2e)]])</f>
        <v>#N/A</v>
      </c>
      <c r="AM268" s="220" t="e">
        <f>Buildings_Water_Backend[[#This Row],[Total (tCO2e)]]*(1-Buildings_Water_Backend[[#This Row],[RSD]])</f>
        <v>#N/A</v>
      </c>
      <c r="AN268" s="220" t="e">
        <f>Buildings_Water_Backend[[#This Row],[Total (tCO2e)]]*(1+Buildings_Water_Backend[[#This Row],[RSD]])</f>
        <v>#N/A</v>
      </c>
      <c r="AO268" s="210" t="e">
        <f>_xlfn.XLOOKUP(_xlfn.CONCAT(Buildings_Water_Backend[[#This Row],[Level 1]:[Level 6]]),rng_EFConcat,rng_EFOOS)*Buildings_Water_Backend[[#This Row],[Converted data]]/1000</f>
        <v>#N/A</v>
      </c>
      <c r="AP268" s="174">
        <f>Buildings_Water_Frontend[[#This Row],[Ease of collection]]</f>
        <v>0</v>
      </c>
      <c r="AQ268" s="174">
        <f>Buildings_Water_Frontend[[#This Row],[Completeness]]</f>
        <v>0</v>
      </c>
      <c r="AR268" s="174">
        <f>Buildings_Water_Frontend[[#This Row],[Notes]]</f>
        <v>0</v>
      </c>
    </row>
    <row r="269" spans="5:44" x14ac:dyDescent="0.3">
      <c r="E269" s="346"/>
      <c r="F269" s="364"/>
      <c r="G269" s="336"/>
      <c r="H269" s="336"/>
      <c r="I269" s="334"/>
      <c r="J269" s="336"/>
      <c r="K269" s="336"/>
      <c r="L269" s="336"/>
      <c r="M269" s="337"/>
      <c r="N269" s="242">
        <f t="shared" si="7"/>
        <v>5</v>
      </c>
      <c r="Q269" s="212" t="str">
        <f t="shared" si="6"/>
        <v/>
      </c>
      <c r="R269" s="174" t="s">
        <v>265</v>
      </c>
      <c r="S269" s="174" t="s">
        <v>273</v>
      </c>
      <c r="T269" s="174" t="e">
        <f>_xlfn.XLOOKUP(Buildings_Water_Backend[[#This Row],[Info 1]],Buildings_SiteInfo[Site name],Buildings_SiteInfo[Site type])</f>
        <v>#N/A</v>
      </c>
      <c r="U269" s="174" t="s">
        <v>327</v>
      </c>
      <c r="V269" s="174">
        <f>Buildings_Water_Frontend[[#This Row],[Type]]</f>
        <v>0</v>
      </c>
      <c r="W269" s="174" t="e" cm="1">
        <f t="array" aca="1" ref="W269" ca="1">_xlfn.XLOOKUP(Buildings_Water_Backend[[#This Row],[Level 5]],rng_Level5Long,rng_Level6Long)</f>
        <v>#N/A</v>
      </c>
      <c r="X269" s="174">
        <f>Buildings_Water_Frontend[[#This Row],[Site Name]]</f>
        <v>0</v>
      </c>
      <c r="Y269" s="174">
        <f>Buildings_Water_Frontend[[#This Row],[Meter Reference]]</f>
        <v>0</v>
      </c>
      <c r="Z269" s="220">
        <f>Buildings_Water_Frontend[[#This Row],[Methodology]]</f>
        <v>0</v>
      </c>
      <c r="AA269" s="229" t="e" cm="1">
        <f t="array" ref="AA269">INDEX(_xlfn.SWITCH(Buildings_Water_Backend[[#This Row],[Methodology]],"Tier 1",rng_RSD1,"Tier 2",rng_RSD2,"Tier 3",rng_RSD3),MATCH(_xlfn.CONCAT(Buildings_Water_Backend[[#This Row],[Level 1]:[Level 6]]),rng_LevelsConcat,0))</f>
        <v>#N/A</v>
      </c>
      <c r="AB269" s="224">
        <f>Buildings_Water_Frontend[[#This Row],[Data]]</f>
        <v>0</v>
      </c>
      <c r="AC269" s="174">
        <f>Buildings_Water_Frontend[[#This Row],[Units]]</f>
        <v>0</v>
      </c>
      <c r="AD269" s="220" t="e">
        <f>IF(Buildings_Water_Backend[[#This Row],[Units]]=Buildings_Water_Backend[[#This Row],[Standard units]],Buildings_Water_Backend[[#This Row],[Data]],Buildings_Water_Backend[[#This Row],[Data]]*_xlfn.XLOOKUP(_xlfn.CONCAT(Buildings_Water_Backend[[#This Row],[Level 1]:[Level 6]]),rng_EFConcat,rng_EFConversion))</f>
        <v>#N/A</v>
      </c>
      <c r="AE269" s="174" t="e" cm="1">
        <f t="array" ref="AE269">_xlfn.XLOOKUP(_xlfn.CONCAT(Buildings_Water_Backend[[#This Row],[Level 1]:[Level 6]]),rng_LevelsConcat,rng_UnitsLong)</f>
        <v>#N/A</v>
      </c>
      <c r="AF269" s="210" t="e">
        <f>_xlfn.XLOOKUP(_xlfn.CONCAT(Buildings_Water_Backend[[#This Row],[Level 1]:[Level 6]]),rng_EFConcat,rng_EF1)*Buildings_Water_Backend[[#This Row],[Converted data]]/1000</f>
        <v>#N/A</v>
      </c>
      <c r="AG269" s="210" t="e">
        <f>_xlfn.XLOOKUP(_xlfn.CONCAT(Buildings_Water_Backend[[#This Row],[Level 1]:[Level 6]]),rng_EFConcat,rng_EF2)*Buildings_Water_Backend[[#This Row],[Converted data]]/1000</f>
        <v>#N/A</v>
      </c>
      <c r="AH269" s="210" t="e">
        <f>_xlfn.XLOOKUP(_xlfn.CONCAT(Buildings_Water_Backend[[#This Row],[Level 1]:[Level 6]]),rng_EFConcat,rng_EF3)*Buildings_Water_Backend[[#This Row],[Converted data]]/1000</f>
        <v>#N/A</v>
      </c>
      <c r="AI269" s="210" t="e">
        <f>_xlfn.XLOOKUP(_xlfn.CONCAT(Buildings_Water_Backend[[#This Row],[Level 1]:[Level 6]]),rng_EFConcat,rng_EF3WTT)*Buildings_Water_Backend[[#This Row],[Converted data]]/1000</f>
        <v>#N/A</v>
      </c>
      <c r="AJ269" s="210" t="e">
        <f>_xlfn.XLOOKUP(_xlfn.CONCAT(Buildings_Water_Backend[[#This Row],[Level 1]:[Level 6]]),rng_EFConcat,rng_EF3TD)*Buildings_Water_Backend[[#This Row],[Converted data]]/1000</f>
        <v>#N/A</v>
      </c>
      <c r="AK269" s="210" t="e">
        <f>_xlfn.XLOOKUP(_xlfn.CONCAT(Buildings_Water_Backend[[#This Row],[Level 1]:[Level 6]]),rng_EFConcat,rng_EF3WTTTD)*Buildings_Water_Backend[[#This Row],[Converted data]]/1000</f>
        <v>#N/A</v>
      </c>
      <c r="AL269" s="220" t="e">
        <f>SUM(Buildings_Water_Backend[[#This Row],[Scope 1 (tCO2e)]:[Scope 3 WTT T&amp;D (tCO2e)]])</f>
        <v>#N/A</v>
      </c>
      <c r="AM269" s="220" t="e">
        <f>Buildings_Water_Backend[[#This Row],[Total (tCO2e)]]*(1-Buildings_Water_Backend[[#This Row],[RSD]])</f>
        <v>#N/A</v>
      </c>
      <c r="AN269" s="220" t="e">
        <f>Buildings_Water_Backend[[#This Row],[Total (tCO2e)]]*(1+Buildings_Water_Backend[[#This Row],[RSD]])</f>
        <v>#N/A</v>
      </c>
      <c r="AO269" s="210" t="e">
        <f>_xlfn.XLOOKUP(_xlfn.CONCAT(Buildings_Water_Backend[[#This Row],[Level 1]:[Level 6]]),rng_EFConcat,rng_EFOOS)*Buildings_Water_Backend[[#This Row],[Converted data]]/1000</f>
        <v>#N/A</v>
      </c>
      <c r="AP269" s="174">
        <f>Buildings_Water_Frontend[[#This Row],[Ease of collection]]</f>
        <v>0</v>
      </c>
      <c r="AQ269" s="174">
        <f>Buildings_Water_Frontend[[#This Row],[Completeness]]</f>
        <v>0</v>
      </c>
      <c r="AR269" s="174">
        <f>Buildings_Water_Frontend[[#This Row],[Notes]]</f>
        <v>0</v>
      </c>
    </row>
    <row r="270" spans="5:44" x14ac:dyDescent="0.3">
      <c r="E270" s="346"/>
      <c r="F270" s="364"/>
      <c r="G270" s="336"/>
      <c r="H270" s="336"/>
      <c r="I270" s="334"/>
      <c r="J270" s="336"/>
      <c r="K270" s="336"/>
      <c r="L270" s="336"/>
      <c r="M270" s="337"/>
      <c r="N270" s="242">
        <f t="shared" si="7"/>
        <v>5</v>
      </c>
      <c r="Q270" s="212" t="str">
        <f t="shared" si="6"/>
        <v/>
      </c>
      <c r="R270" s="174" t="s">
        <v>265</v>
      </c>
      <c r="S270" s="174" t="s">
        <v>273</v>
      </c>
      <c r="T270" s="174" t="e">
        <f>_xlfn.XLOOKUP(Buildings_Water_Backend[[#This Row],[Info 1]],Buildings_SiteInfo[Site name],Buildings_SiteInfo[Site type])</f>
        <v>#N/A</v>
      </c>
      <c r="U270" s="174" t="s">
        <v>327</v>
      </c>
      <c r="V270" s="174">
        <f>Buildings_Water_Frontend[[#This Row],[Type]]</f>
        <v>0</v>
      </c>
      <c r="W270" s="174" t="e" cm="1">
        <f t="array" aca="1" ref="W270" ca="1">_xlfn.XLOOKUP(Buildings_Water_Backend[[#This Row],[Level 5]],rng_Level5Long,rng_Level6Long)</f>
        <v>#N/A</v>
      </c>
      <c r="X270" s="174">
        <f>Buildings_Water_Frontend[[#This Row],[Site Name]]</f>
        <v>0</v>
      </c>
      <c r="Y270" s="174">
        <f>Buildings_Water_Frontend[[#This Row],[Meter Reference]]</f>
        <v>0</v>
      </c>
      <c r="Z270" s="220">
        <f>Buildings_Water_Frontend[[#This Row],[Methodology]]</f>
        <v>0</v>
      </c>
      <c r="AA270" s="229" t="e" cm="1">
        <f t="array" ref="AA270">INDEX(_xlfn.SWITCH(Buildings_Water_Backend[[#This Row],[Methodology]],"Tier 1",rng_RSD1,"Tier 2",rng_RSD2,"Tier 3",rng_RSD3),MATCH(_xlfn.CONCAT(Buildings_Water_Backend[[#This Row],[Level 1]:[Level 6]]),rng_LevelsConcat,0))</f>
        <v>#N/A</v>
      </c>
      <c r="AB270" s="224">
        <f>Buildings_Water_Frontend[[#This Row],[Data]]</f>
        <v>0</v>
      </c>
      <c r="AC270" s="174">
        <f>Buildings_Water_Frontend[[#This Row],[Units]]</f>
        <v>0</v>
      </c>
      <c r="AD270" s="220" t="e">
        <f>IF(Buildings_Water_Backend[[#This Row],[Units]]=Buildings_Water_Backend[[#This Row],[Standard units]],Buildings_Water_Backend[[#This Row],[Data]],Buildings_Water_Backend[[#This Row],[Data]]*_xlfn.XLOOKUP(_xlfn.CONCAT(Buildings_Water_Backend[[#This Row],[Level 1]:[Level 6]]),rng_EFConcat,rng_EFConversion))</f>
        <v>#N/A</v>
      </c>
      <c r="AE270" s="174" t="e" cm="1">
        <f t="array" ref="AE270">_xlfn.XLOOKUP(_xlfn.CONCAT(Buildings_Water_Backend[[#This Row],[Level 1]:[Level 6]]),rng_LevelsConcat,rng_UnitsLong)</f>
        <v>#N/A</v>
      </c>
      <c r="AF270" s="210" t="e">
        <f>_xlfn.XLOOKUP(_xlfn.CONCAT(Buildings_Water_Backend[[#This Row],[Level 1]:[Level 6]]),rng_EFConcat,rng_EF1)*Buildings_Water_Backend[[#This Row],[Converted data]]/1000</f>
        <v>#N/A</v>
      </c>
      <c r="AG270" s="210" t="e">
        <f>_xlfn.XLOOKUP(_xlfn.CONCAT(Buildings_Water_Backend[[#This Row],[Level 1]:[Level 6]]),rng_EFConcat,rng_EF2)*Buildings_Water_Backend[[#This Row],[Converted data]]/1000</f>
        <v>#N/A</v>
      </c>
      <c r="AH270" s="210" t="e">
        <f>_xlfn.XLOOKUP(_xlfn.CONCAT(Buildings_Water_Backend[[#This Row],[Level 1]:[Level 6]]),rng_EFConcat,rng_EF3)*Buildings_Water_Backend[[#This Row],[Converted data]]/1000</f>
        <v>#N/A</v>
      </c>
      <c r="AI270" s="210" t="e">
        <f>_xlfn.XLOOKUP(_xlfn.CONCAT(Buildings_Water_Backend[[#This Row],[Level 1]:[Level 6]]),rng_EFConcat,rng_EF3WTT)*Buildings_Water_Backend[[#This Row],[Converted data]]/1000</f>
        <v>#N/A</v>
      </c>
      <c r="AJ270" s="210" t="e">
        <f>_xlfn.XLOOKUP(_xlfn.CONCAT(Buildings_Water_Backend[[#This Row],[Level 1]:[Level 6]]),rng_EFConcat,rng_EF3TD)*Buildings_Water_Backend[[#This Row],[Converted data]]/1000</f>
        <v>#N/A</v>
      </c>
      <c r="AK270" s="210" t="e">
        <f>_xlfn.XLOOKUP(_xlfn.CONCAT(Buildings_Water_Backend[[#This Row],[Level 1]:[Level 6]]),rng_EFConcat,rng_EF3WTTTD)*Buildings_Water_Backend[[#This Row],[Converted data]]/1000</f>
        <v>#N/A</v>
      </c>
      <c r="AL270" s="220" t="e">
        <f>SUM(Buildings_Water_Backend[[#This Row],[Scope 1 (tCO2e)]:[Scope 3 WTT T&amp;D (tCO2e)]])</f>
        <v>#N/A</v>
      </c>
      <c r="AM270" s="220" t="e">
        <f>Buildings_Water_Backend[[#This Row],[Total (tCO2e)]]*(1-Buildings_Water_Backend[[#This Row],[RSD]])</f>
        <v>#N/A</v>
      </c>
      <c r="AN270" s="220" t="e">
        <f>Buildings_Water_Backend[[#This Row],[Total (tCO2e)]]*(1+Buildings_Water_Backend[[#This Row],[RSD]])</f>
        <v>#N/A</v>
      </c>
      <c r="AO270" s="210" t="e">
        <f>_xlfn.XLOOKUP(_xlfn.CONCAT(Buildings_Water_Backend[[#This Row],[Level 1]:[Level 6]]),rng_EFConcat,rng_EFOOS)*Buildings_Water_Backend[[#This Row],[Converted data]]/1000</f>
        <v>#N/A</v>
      </c>
      <c r="AP270" s="174">
        <f>Buildings_Water_Frontend[[#This Row],[Ease of collection]]</f>
        <v>0</v>
      </c>
      <c r="AQ270" s="174">
        <f>Buildings_Water_Frontend[[#This Row],[Completeness]]</f>
        <v>0</v>
      </c>
      <c r="AR270" s="174">
        <f>Buildings_Water_Frontend[[#This Row],[Notes]]</f>
        <v>0</v>
      </c>
    </row>
    <row r="271" spans="5:44" x14ac:dyDescent="0.3">
      <c r="E271" s="346"/>
      <c r="F271" s="364"/>
      <c r="G271" s="336"/>
      <c r="H271" s="336"/>
      <c r="I271" s="334"/>
      <c r="J271" s="336"/>
      <c r="K271" s="336"/>
      <c r="L271" s="336"/>
      <c r="M271" s="337"/>
      <c r="N271" s="242">
        <f t="shared" si="7"/>
        <v>5</v>
      </c>
      <c r="Q271" s="212" t="str">
        <f t="shared" ref="Q271:Q334" si="8">IF(N271=0,SUBSTITUTE(2025&amp;TRIM(cl_org_name_select)&amp;TRIM($E$12)&amp;(ROW(N271)-ROW($N$15))," ",""),"")</f>
        <v/>
      </c>
      <c r="R271" s="174" t="s">
        <v>265</v>
      </c>
      <c r="S271" s="174" t="s">
        <v>273</v>
      </c>
      <c r="T271" s="174" t="e">
        <f>_xlfn.XLOOKUP(Buildings_Water_Backend[[#This Row],[Info 1]],Buildings_SiteInfo[Site name],Buildings_SiteInfo[Site type])</f>
        <v>#N/A</v>
      </c>
      <c r="U271" s="174" t="s">
        <v>327</v>
      </c>
      <c r="V271" s="174">
        <f>Buildings_Water_Frontend[[#This Row],[Type]]</f>
        <v>0</v>
      </c>
      <c r="W271" s="174" t="e" cm="1">
        <f t="array" aca="1" ref="W271" ca="1">_xlfn.XLOOKUP(Buildings_Water_Backend[[#This Row],[Level 5]],rng_Level5Long,rng_Level6Long)</f>
        <v>#N/A</v>
      </c>
      <c r="X271" s="174">
        <f>Buildings_Water_Frontend[[#This Row],[Site Name]]</f>
        <v>0</v>
      </c>
      <c r="Y271" s="174">
        <f>Buildings_Water_Frontend[[#This Row],[Meter Reference]]</f>
        <v>0</v>
      </c>
      <c r="Z271" s="220">
        <f>Buildings_Water_Frontend[[#This Row],[Methodology]]</f>
        <v>0</v>
      </c>
      <c r="AA271" s="229" t="e" cm="1">
        <f t="array" ref="AA271">INDEX(_xlfn.SWITCH(Buildings_Water_Backend[[#This Row],[Methodology]],"Tier 1",rng_RSD1,"Tier 2",rng_RSD2,"Tier 3",rng_RSD3),MATCH(_xlfn.CONCAT(Buildings_Water_Backend[[#This Row],[Level 1]:[Level 6]]),rng_LevelsConcat,0))</f>
        <v>#N/A</v>
      </c>
      <c r="AB271" s="224">
        <f>Buildings_Water_Frontend[[#This Row],[Data]]</f>
        <v>0</v>
      </c>
      <c r="AC271" s="174">
        <f>Buildings_Water_Frontend[[#This Row],[Units]]</f>
        <v>0</v>
      </c>
      <c r="AD271" s="220" t="e">
        <f>IF(Buildings_Water_Backend[[#This Row],[Units]]=Buildings_Water_Backend[[#This Row],[Standard units]],Buildings_Water_Backend[[#This Row],[Data]],Buildings_Water_Backend[[#This Row],[Data]]*_xlfn.XLOOKUP(_xlfn.CONCAT(Buildings_Water_Backend[[#This Row],[Level 1]:[Level 6]]),rng_EFConcat,rng_EFConversion))</f>
        <v>#N/A</v>
      </c>
      <c r="AE271" s="174" t="e" cm="1">
        <f t="array" ref="AE271">_xlfn.XLOOKUP(_xlfn.CONCAT(Buildings_Water_Backend[[#This Row],[Level 1]:[Level 6]]),rng_LevelsConcat,rng_UnitsLong)</f>
        <v>#N/A</v>
      </c>
      <c r="AF271" s="210" t="e">
        <f>_xlfn.XLOOKUP(_xlfn.CONCAT(Buildings_Water_Backend[[#This Row],[Level 1]:[Level 6]]),rng_EFConcat,rng_EF1)*Buildings_Water_Backend[[#This Row],[Converted data]]/1000</f>
        <v>#N/A</v>
      </c>
      <c r="AG271" s="210" t="e">
        <f>_xlfn.XLOOKUP(_xlfn.CONCAT(Buildings_Water_Backend[[#This Row],[Level 1]:[Level 6]]),rng_EFConcat,rng_EF2)*Buildings_Water_Backend[[#This Row],[Converted data]]/1000</f>
        <v>#N/A</v>
      </c>
      <c r="AH271" s="210" t="e">
        <f>_xlfn.XLOOKUP(_xlfn.CONCAT(Buildings_Water_Backend[[#This Row],[Level 1]:[Level 6]]),rng_EFConcat,rng_EF3)*Buildings_Water_Backend[[#This Row],[Converted data]]/1000</f>
        <v>#N/A</v>
      </c>
      <c r="AI271" s="210" t="e">
        <f>_xlfn.XLOOKUP(_xlfn.CONCAT(Buildings_Water_Backend[[#This Row],[Level 1]:[Level 6]]),rng_EFConcat,rng_EF3WTT)*Buildings_Water_Backend[[#This Row],[Converted data]]/1000</f>
        <v>#N/A</v>
      </c>
      <c r="AJ271" s="210" t="e">
        <f>_xlfn.XLOOKUP(_xlfn.CONCAT(Buildings_Water_Backend[[#This Row],[Level 1]:[Level 6]]),rng_EFConcat,rng_EF3TD)*Buildings_Water_Backend[[#This Row],[Converted data]]/1000</f>
        <v>#N/A</v>
      </c>
      <c r="AK271" s="210" t="e">
        <f>_xlfn.XLOOKUP(_xlfn.CONCAT(Buildings_Water_Backend[[#This Row],[Level 1]:[Level 6]]),rng_EFConcat,rng_EF3WTTTD)*Buildings_Water_Backend[[#This Row],[Converted data]]/1000</f>
        <v>#N/A</v>
      </c>
      <c r="AL271" s="220" t="e">
        <f>SUM(Buildings_Water_Backend[[#This Row],[Scope 1 (tCO2e)]:[Scope 3 WTT T&amp;D (tCO2e)]])</f>
        <v>#N/A</v>
      </c>
      <c r="AM271" s="220" t="e">
        <f>Buildings_Water_Backend[[#This Row],[Total (tCO2e)]]*(1-Buildings_Water_Backend[[#This Row],[RSD]])</f>
        <v>#N/A</v>
      </c>
      <c r="AN271" s="220" t="e">
        <f>Buildings_Water_Backend[[#This Row],[Total (tCO2e)]]*(1+Buildings_Water_Backend[[#This Row],[RSD]])</f>
        <v>#N/A</v>
      </c>
      <c r="AO271" s="210" t="e">
        <f>_xlfn.XLOOKUP(_xlfn.CONCAT(Buildings_Water_Backend[[#This Row],[Level 1]:[Level 6]]),rng_EFConcat,rng_EFOOS)*Buildings_Water_Backend[[#This Row],[Converted data]]/1000</f>
        <v>#N/A</v>
      </c>
      <c r="AP271" s="174">
        <f>Buildings_Water_Frontend[[#This Row],[Ease of collection]]</f>
        <v>0</v>
      </c>
      <c r="AQ271" s="174">
        <f>Buildings_Water_Frontend[[#This Row],[Completeness]]</f>
        <v>0</v>
      </c>
      <c r="AR271" s="174">
        <f>Buildings_Water_Frontend[[#This Row],[Notes]]</f>
        <v>0</v>
      </c>
    </row>
    <row r="272" spans="5:44" x14ac:dyDescent="0.3">
      <c r="E272" s="346"/>
      <c r="F272" s="364"/>
      <c r="G272" s="336"/>
      <c r="H272" s="336"/>
      <c r="I272" s="334"/>
      <c r="J272" s="336"/>
      <c r="K272" s="336"/>
      <c r="L272" s="336"/>
      <c r="M272" s="337"/>
      <c r="N272" s="242">
        <f t="shared" ref="N272:N335" si="9">ISBLANK(E272)+ISBLANK(G272)+ISBLANK(H272)+ISBLANK(I272)+ISBLANK(J272)</f>
        <v>5</v>
      </c>
      <c r="Q272" s="212" t="str">
        <f t="shared" si="8"/>
        <v/>
      </c>
      <c r="R272" s="174" t="s">
        <v>265</v>
      </c>
      <c r="S272" s="174" t="s">
        <v>273</v>
      </c>
      <c r="T272" s="174" t="e">
        <f>_xlfn.XLOOKUP(Buildings_Water_Backend[[#This Row],[Info 1]],Buildings_SiteInfo[Site name],Buildings_SiteInfo[Site type])</f>
        <v>#N/A</v>
      </c>
      <c r="U272" s="174" t="s">
        <v>327</v>
      </c>
      <c r="V272" s="174">
        <f>Buildings_Water_Frontend[[#This Row],[Type]]</f>
        <v>0</v>
      </c>
      <c r="W272" s="174" t="e" cm="1">
        <f t="array" aca="1" ref="W272" ca="1">_xlfn.XLOOKUP(Buildings_Water_Backend[[#This Row],[Level 5]],rng_Level5Long,rng_Level6Long)</f>
        <v>#N/A</v>
      </c>
      <c r="X272" s="174">
        <f>Buildings_Water_Frontend[[#This Row],[Site Name]]</f>
        <v>0</v>
      </c>
      <c r="Y272" s="174">
        <f>Buildings_Water_Frontend[[#This Row],[Meter Reference]]</f>
        <v>0</v>
      </c>
      <c r="Z272" s="220">
        <f>Buildings_Water_Frontend[[#This Row],[Methodology]]</f>
        <v>0</v>
      </c>
      <c r="AA272" s="229" t="e" cm="1">
        <f t="array" ref="AA272">INDEX(_xlfn.SWITCH(Buildings_Water_Backend[[#This Row],[Methodology]],"Tier 1",rng_RSD1,"Tier 2",rng_RSD2,"Tier 3",rng_RSD3),MATCH(_xlfn.CONCAT(Buildings_Water_Backend[[#This Row],[Level 1]:[Level 6]]),rng_LevelsConcat,0))</f>
        <v>#N/A</v>
      </c>
      <c r="AB272" s="224">
        <f>Buildings_Water_Frontend[[#This Row],[Data]]</f>
        <v>0</v>
      </c>
      <c r="AC272" s="174">
        <f>Buildings_Water_Frontend[[#This Row],[Units]]</f>
        <v>0</v>
      </c>
      <c r="AD272" s="220" t="e">
        <f>IF(Buildings_Water_Backend[[#This Row],[Units]]=Buildings_Water_Backend[[#This Row],[Standard units]],Buildings_Water_Backend[[#This Row],[Data]],Buildings_Water_Backend[[#This Row],[Data]]*_xlfn.XLOOKUP(_xlfn.CONCAT(Buildings_Water_Backend[[#This Row],[Level 1]:[Level 6]]),rng_EFConcat,rng_EFConversion))</f>
        <v>#N/A</v>
      </c>
      <c r="AE272" s="174" t="e" cm="1">
        <f t="array" ref="AE272">_xlfn.XLOOKUP(_xlfn.CONCAT(Buildings_Water_Backend[[#This Row],[Level 1]:[Level 6]]),rng_LevelsConcat,rng_UnitsLong)</f>
        <v>#N/A</v>
      </c>
      <c r="AF272" s="210" t="e">
        <f>_xlfn.XLOOKUP(_xlfn.CONCAT(Buildings_Water_Backend[[#This Row],[Level 1]:[Level 6]]),rng_EFConcat,rng_EF1)*Buildings_Water_Backend[[#This Row],[Converted data]]/1000</f>
        <v>#N/A</v>
      </c>
      <c r="AG272" s="210" t="e">
        <f>_xlfn.XLOOKUP(_xlfn.CONCAT(Buildings_Water_Backend[[#This Row],[Level 1]:[Level 6]]),rng_EFConcat,rng_EF2)*Buildings_Water_Backend[[#This Row],[Converted data]]/1000</f>
        <v>#N/A</v>
      </c>
      <c r="AH272" s="210" t="e">
        <f>_xlfn.XLOOKUP(_xlfn.CONCAT(Buildings_Water_Backend[[#This Row],[Level 1]:[Level 6]]),rng_EFConcat,rng_EF3)*Buildings_Water_Backend[[#This Row],[Converted data]]/1000</f>
        <v>#N/A</v>
      </c>
      <c r="AI272" s="210" t="e">
        <f>_xlfn.XLOOKUP(_xlfn.CONCAT(Buildings_Water_Backend[[#This Row],[Level 1]:[Level 6]]),rng_EFConcat,rng_EF3WTT)*Buildings_Water_Backend[[#This Row],[Converted data]]/1000</f>
        <v>#N/A</v>
      </c>
      <c r="AJ272" s="210" t="e">
        <f>_xlfn.XLOOKUP(_xlfn.CONCAT(Buildings_Water_Backend[[#This Row],[Level 1]:[Level 6]]),rng_EFConcat,rng_EF3TD)*Buildings_Water_Backend[[#This Row],[Converted data]]/1000</f>
        <v>#N/A</v>
      </c>
      <c r="AK272" s="210" t="e">
        <f>_xlfn.XLOOKUP(_xlfn.CONCAT(Buildings_Water_Backend[[#This Row],[Level 1]:[Level 6]]),rng_EFConcat,rng_EF3WTTTD)*Buildings_Water_Backend[[#This Row],[Converted data]]/1000</f>
        <v>#N/A</v>
      </c>
      <c r="AL272" s="220" t="e">
        <f>SUM(Buildings_Water_Backend[[#This Row],[Scope 1 (tCO2e)]:[Scope 3 WTT T&amp;D (tCO2e)]])</f>
        <v>#N/A</v>
      </c>
      <c r="AM272" s="220" t="e">
        <f>Buildings_Water_Backend[[#This Row],[Total (tCO2e)]]*(1-Buildings_Water_Backend[[#This Row],[RSD]])</f>
        <v>#N/A</v>
      </c>
      <c r="AN272" s="220" t="e">
        <f>Buildings_Water_Backend[[#This Row],[Total (tCO2e)]]*(1+Buildings_Water_Backend[[#This Row],[RSD]])</f>
        <v>#N/A</v>
      </c>
      <c r="AO272" s="210" t="e">
        <f>_xlfn.XLOOKUP(_xlfn.CONCAT(Buildings_Water_Backend[[#This Row],[Level 1]:[Level 6]]),rng_EFConcat,rng_EFOOS)*Buildings_Water_Backend[[#This Row],[Converted data]]/1000</f>
        <v>#N/A</v>
      </c>
      <c r="AP272" s="174">
        <f>Buildings_Water_Frontend[[#This Row],[Ease of collection]]</f>
        <v>0</v>
      </c>
      <c r="AQ272" s="174">
        <f>Buildings_Water_Frontend[[#This Row],[Completeness]]</f>
        <v>0</v>
      </c>
      <c r="AR272" s="174">
        <f>Buildings_Water_Frontend[[#This Row],[Notes]]</f>
        <v>0</v>
      </c>
    </row>
    <row r="273" spans="5:44" x14ac:dyDescent="0.3">
      <c r="E273" s="346"/>
      <c r="F273" s="364"/>
      <c r="G273" s="336"/>
      <c r="H273" s="336"/>
      <c r="I273" s="334"/>
      <c r="J273" s="336"/>
      <c r="K273" s="336"/>
      <c r="L273" s="336"/>
      <c r="M273" s="337"/>
      <c r="N273" s="242">
        <f t="shared" si="9"/>
        <v>5</v>
      </c>
      <c r="Q273" s="212" t="str">
        <f t="shared" si="8"/>
        <v/>
      </c>
      <c r="R273" s="174" t="s">
        <v>265</v>
      </c>
      <c r="S273" s="174" t="s">
        <v>273</v>
      </c>
      <c r="T273" s="174" t="e">
        <f>_xlfn.XLOOKUP(Buildings_Water_Backend[[#This Row],[Info 1]],Buildings_SiteInfo[Site name],Buildings_SiteInfo[Site type])</f>
        <v>#N/A</v>
      </c>
      <c r="U273" s="174" t="s">
        <v>327</v>
      </c>
      <c r="V273" s="174">
        <f>Buildings_Water_Frontend[[#This Row],[Type]]</f>
        <v>0</v>
      </c>
      <c r="W273" s="174" t="e" cm="1">
        <f t="array" aca="1" ref="W273" ca="1">_xlfn.XLOOKUP(Buildings_Water_Backend[[#This Row],[Level 5]],rng_Level5Long,rng_Level6Long)</f>
        <v>#N/A</v>
      </c>
      <c r="X273" s="174">
        <f>Buildings_Water_Frontend[[#This Row],[Site Name]]</f>
        <v>0</v>
      </c>
      <c r="Y273" s="174">
        <f>Buildings_Water_Frontend[[#This Row],[Meter Reference]]</f>
        <v>0</v>
      </c>
      <c r="Z273" s="220">
        <f>Buildings_Water_Frontend[[#This Row],[Methodology]]</f>
        <v>0</v>
      </c>
      <c r="AA273" s="229" t="e" cm="1">
        <f t="array" ref="AA273">INDEX(_xlfn.SWITCH(Buildings_Water_Backend[[#This Row],[Methodology]],"Tier 1",rng_RSD1,"Tier 2",rng_RSD2,"Tier 3",rng_RSD3),MATCH(_xlfn.CONCAT(Buildings_Water_Backend[[#This Row],[Level 1]:[Level 6]]),rng_LevelsConcat,0))</f>
        <v>#N/A</v>
      </c>
      <c r="AB273" s="224">
        <f>Buildings_Water_Frontend[[#This Row],[Data]]</f>
        <v>0</v>
      </c>
      <c r="AC273" s="174">
        <f>Buildings_Water_Frontend[[#This Row],[Units]]</f>
        <v>0</v>
      </c>
      <c r="AD273" s="220" t="e">
        <f>IF(Buildings_Water_Backend[[#This Row],[Units]]=Buildings_Water_Backend[[#This Row],[Standard units]],Buildings_Water_Backend[[#This Row],[Data]],Buildings_Water_Backend[[#This Row],[Data]]*_xlfn.XLOOKUP(_xlfn.CONCAT(Buildings_Water_Backend[[#This Row],[Level 1]:[Level 6]]),rng_EFConcat,rng_EFConversion))</f>
        <v>#N/A</v>
      </c>
      <c r="AE273" s="174" t="e" cm="1">
        <f t="array" ref="AE273">_xlfn.XLOOKUP(_xlfn.CONCAT(Buildings_Water_Backend[[#This Row],[Level 1]:[Level 6]]),rng_LevelsConcat,rng_UnitsLong)</f>
        <v>#N/A</v>
      </c>
      <c r="AF273" s="210" t="e">
        <f>_xlfn.XLOOKUP(_xlfn.CONCAT(Buildings_Water_Backend[[#This Row],[Level 1]:[Level 6]]),rng_EFConcat,rng_EF1)*Buildings_Water_Backend[[#This Row],[Converted data]]/1000</f>
        <v>#N/A</v>
      </c>
      <c r="AG273" s="210" t="e">
        <f>_xlfn.XLOOKUP(_xlfn.CONCAT(Buildings_Water_Backend[[#This Row],[Level 1]:[Level 6]]),rng_EFConcat,rng_EF2)*Buildings_Water_Backend[[#This Row],[Converted data]]/1000</f>
        <v>#N/A</v>
      </c>
      <c r="AH273" s="210" t="e">
        <f>_xlfn.XLOOKUP(_xlfn.CONCAT(Buildings_Water_Backend[[#This Row],[Level 1]:[Level 6]]),rng_EFConcat,rng_EF3)*Buildings_Water_Backend[[#This Row],[Converted data]]/1000</f>
        <v>#N/A</v>
      </c>
      <c r="AI273" s="210" t="e">
        <f>_xlfn.XLOOKUP(_xlfn.CONCAT(Buildings_Water_Backend[[#This Row],[Level 1]:[Level 6]]),rng_EFConcat,rng_EF3WTT)*Buildings_Water_Backend[[#This Row],[Converted data]]/1000</f>
        <v>#N/A</v>
      </c>
      <c r="AJ273" s="210" t="e">
        <f>_xlfn.XLOOKUP(_xlfn.CONCAT(Buildings_Water_Backend[[#This Row],[Level 1]:[Level 6]]),rng_EFConcat,rng_EF3TD)*Buildings_Water_Backend[[#This Row],[Converted data]]/1000</f>
        <v>#N/A</v>
      </c>
      <c r="AK273" s="210" t="e">
        <f>_xlfn.XLOOKUP(_xlfn.CONCAT(Buildings_Water_Backend[[#This Row],[Level 1]:[Level 6]]),rng_EFConcat,rng_EF3WTTTD)*Buildings_Water_Backend[[#This Row],[Converted data]]/1000</f>
        <v>#N/A</v>
      </c>
      <c r="AL273" s="220" t="e">
        <f>SUM(Buildings_Water_Backend[[#This Row],[Scope 1 (tCO2e)]:[Scope 3 WTT T&amp;D (tCO2e)]])</f>
        <v>#N/A</v>
      </c>
      <c r="AM273" s="220" t="e">
        <f>Buildings_Water_Backend[[#This Row],[Total (tCO2e)]]*(1-Buildings_Water_Backend[[#This Row],[RSD]])</f>
        <v>#N/A</v>
      </c>
      <c r="AN273" s="220" t="e">
        <f>Buildings_Water_Backend[[#This Row],[Total (tCO2e)]]*(1+Buildings_Water_Backend[[#This Row],[RSD]])</f>
        <v>#N/A</v>
      </c>
      <c r="AO273" s="210" t="e">
        <f>_xlfn.XLOOKUP(_xlfn.CONCAT(Buildings_Water_Backend[[#This Row],[Level 1]:[Level 6]]),rng_EFConcat,rng_EFOOS)*Buildings_Water_Backend[[#This Row],[Converted data]]/1000</f>
        <v>#N/A</v>
      </c>
      <c r="AP273" s="174">
        <f>Buildings_Water_Frontend[[#This Row],[Ease of collection]]</f>
        <v>0</v>
      </c>
      <c r="AQ273" s="174">
        <f>Buildings_Water_Frontend[[#This Row],[Completeness]]</f>
        <v>0</v>
      </c>
      <c r="AR273" s="174">
        <f>Buildings_Water_Frontend[[#This Row],[Notes]]</f>
        <v>0</v>
      </c>
    </row>
    <row r="274" spans="5:44" x14ac:dyDescent="0.3">
      <c r="E274" s="346"/>
      <c r="F274" s="364"/>
      <c r="G274" s="336"/>
      <c r="H274" s="336"/>
      <c r="I274" s="334"/>
      <c r="J274" s="336"/>
      <c r="K274" s="336"/>
      <c r="L274" s="336"/>
      <c r="M274" s="337"/>
      <c r="N274" s="242">
        <f t="shared" si="9"/>
        <v>5</v>
      </c>
      <c r="Q274" s="212" t="str">
        <f t="shared" si="8"/>
        <v/>
      </c>
      <c r="R274" s="174" t="s">
        <v>265</v>
      </c>
      <c r="S274" s="174" t="s">
        <v>273</v>
      </c>
      <c r="T274" s="174" t="e">
        <f>_xlfn.XLOOKUP(Buildings_Water_Backend[[#This Row],[Info 1]],Buildings_SiteInfo[Site name],Buildings_SiteInfo[Site type])</f>
        <v>#N/A</v>
      </c>
      <c r="U274" s="174" t="s">
        <v>327</v>
      </c>
      <c r="V274" s="174">
        <f>Buildings_Water_Frontend[[#This Row],[Type]]</f>
        <v>0</v>
      </c>
      <c r="W274" s="174" t="e" cm="1">
        <f t="array" aca="1" ref="W274" ca="1">_xlfn.XLOOKUP(Buildings_Water_Backend[[#This Row],[Level 5]],rng_Level5Long,rng_Level6Long)</f>
        <v>#N/A</v>
      </c>
      <c r="X274" s="174">
        <f>Buildings_Water_Frontend[[#This Row],[Site Name]]</f>
        <v>0</v>
      </c>
      <c r="Y274" s="174">
        <f>Buildings_Water_Frontend[[#This Row],[Meter Reference]]</f>
        <v>0</v>
      </c>
      <c r="Z274" s="220">
        <f>Buildings_Water_Frontend[[#This Row],[Methodology]]</f>
        <v>0</v>
      </c>
      <c r="AA274" s="229" t="e" cm="1">
        <f t="array" ref="AA274">INDEX(_xlfn.SWITCH(Buildings_Water_Backend[[#This Row],[Methodology]],"Tier 1",rng_RSD1,"Tier 2",rng_RSD2,"Tier 3",rng_RSD3),MATCH(_xlfn.CONCAT(Buildings_Water_Backend[[#This Row],[Level 1]:[Level 6]]),rng_LevelsConcat,0))</f>
        <v>#N/A</v>
      </c>
      <c r="AB274" s="224">
        <f>Buildings_Water_Frontend[[#This Row],[Data]]</f>
        <v>0</v>
      </c>
      <c r="AC274" s="174">
        <f>Buildings_Water_Frontend[[#This Row],[Units]]</f>
        <v>0</v>
      </c>
      <c r="AD274" s="220" t="e">
        <f>IF(Buildings_Water_Backend[[#This Row],[Units]]=Buildings_Water_Backend[[#This Row],[Standard units]],Buildings_Water_Backend[[#This Row],[Data]],Buildings_Water_Backend[[#This Row],[Data]]*_xlfn.XLOOKUP(_xlfn.CONCAT(Buildings_Water_Backend[[#This Row],[Level 1]:[Level 6]]),rng_EFConcat,rng_EFConversion))</f>
        <v>#N/A</v>
      </c>
      <c r="AE274" s="174" t="e" cm="1">
        <f t="array" ref="AE274">_xlfn.XLOOKUP(_xlfn.CONCAT(Buildings_Water_Backend[[#This Row],[Level 1]:[Level 6]]),rng_LevelsConcat,rng_UnitsLong)</f>
        <v>#N/A</v>
      </c>
      <c r="AF274" s="210" t="e">
        <f>_xlfn.XLOOKUP(_xlfn.CONCAT(Buildings_Water_Backend[[#This Row],[Level 1]:[Level 6]]),rng_EFConcat,rng_EF1)*Buildings_Water_Backend[[#This Row],[Converted data]]/1000</f>
        <v>#N/A</v>
      </c>
      <c r="AG274" s="210" t="e">
        <f>_xlfn.XLOOKUP(_xlfn.CONCAT(Buildings_Water_Backend[[#This Row],[Level 1]:[Level 6]]),rng_EFConcat,rng_EF2)*Buildings_Water_Backend[[#This Row],[Converted data]]/1000</f>
        <v>#N/A</v>
      </c>
      <c r="AH274" s="210" t="e">
        <f>_xlfn.XLOOKUP(_xlfn.CONCAT(Buildings_Water_Backend[[#This Row],[Level 1]:[Level 6]]),rng_EFConcat,rng_EF3)*Buildings_Water_Backend[[#This Row],[Converted data]]/1000</f>
        <v>#N/A</v>
      </c>
      <c r="AI274" s="210" t="e">
        <f>_xlfn.XLOOKUP(_xlfn.CONCAT(Buildings_Water_Backend[[#This Row],[Level 1]:[Level 6]]),rng_EFConcat,rng_EF3WTT)*Buildings_Water_Backend[[#This Row],[Converted data]]/1000</f>
        <v>#N/A</v>
      </c>
      <c r="AJ274" s="210" t="e">
        <f>_xlfn.XLOOKUP(_xlfn.CONCAT(Buildings_Water_Backend[[#This Row],[Level 1]:[Level 6]]),rng_EFConcat,rng_EF3TD)*Buildings_Water_Backend[[#This Row],[Converted data]]/1000</f>
        <v>#N/A</v>
      </c>
      <c r="AK274" s="210" t="e">
        <f>_xlfn.XLOOKUP(_xlfn.CONCAT(Buildings_Water_Backend[[#This Row],[Level 1]:[Level 6]]),rng_EFConcat,rng_EF3WTTTD)*Buildings_Water_Backend[[#This Row],[Converted data]]/1000</f>
        <v>#N/A</v>
      </c>
      <c r="AL274" s="220" t="e">
        <f>SUM(Buildings_Water_Backend[[#This Row],[Scope 1 (tCO2e)]:[Scope 3 WTT T&amp;D (tCO2e)]])</f>
        <v>#N/A</v>
      </c>
      <c r="AM274" s="220" t="e">
        <f>Buildings_Water_Backend[[#This Row],[Total (tCO2e)]]*(1-Buildings_Water_Backend[[#This Row],[RSD]])</f>
        <v>#N/A</v>
      </c>
      <c r="AN274" s="220" t="e">
        <f>Buildings_Water_Backend[[#This Row],[Total (tCO2e)]]*(1+Buildings_Water_Backend[[#This Row],[RSD]])</f>
        <v>#N/A</v>
      </c>
      <c r="AO274" s="210" t="e">
        <f>_xlfn.XLOOKUP(_xlfn.CONCAT(Buildings_Water_Backend[[#This Row],[Level 1]:[Level 6]]),rng_EFConcat,rng_EFOOS)*Buildings_Water_Backend[[#This Row],[Converted data]]/1000</f>
        <v>#N/A</v>
      </c>
      <c r="AP274" s="174">
        <f>Buildings_Water_Frontend[[#This Row],[Ease of collection]]</f>
        <v>0</v>
      </c>
      <c r="AQ274" s="174">
        <f>Buildings_Water_Frontend[[#This Row],[Completeness]]</f>
        <v>0</v>
      </c>
      <c r="AR274" s="174">
        <f>Buildings_Water_Frontend[[#This Row],[Notes]]</f>
        <v>0</v>
      </c>
    </row>
    <row r="275" spans="5:44" x14ac:dyDescent="0.3">
      <c r="E275" s="346"/>
      <c r="F275" s="364"/>
      <c r="G275" s="336"/>
      <c r="H275" s="336"/>
      <c r="I275" s="334"/>
      <c r="J275" s="336"/>
      <c r="K275" s="336"/>
      <c r="L275" s="336"/>
      <c r="M275" s="337"/>
      <c r="N275" s="242">
        <f t="shared" si="9"/>
        <v>5</v>
      </c>
      <c r="Q275" s="212" t="str">
        <f t="shared" si="8"/>
        <v/>
      </c>
      <c r="R275" s="174" t="s">
        <v>265</v>
      </c>
      <c r="S275" s="174" t="s">
        <v>273</v>
      </c>
      <c r="T275" s="174" t="e">
        <f>_xlfn.XLOOKUP(Buildings_Water_Backend[[#This Row],[Info 1]],Buildings_SiteInfo[Site name],Buildings_SiteInfo[Site type])</f>
        <v>#N/A</v>
      </c>
      <c r="U275" s="174" t="s">
        <v>327</v>
      </c>
      <c r="V275" s="174">
        <f>Buildings_Water_Frontend[[#This Row],[Type]]</f>
        <v>0</v>
      </c>
      <c r="W275" s="174" t="e" cm="1">
        <f t="array" aca="1" ref="W275" ca="1">_xlfn.XLOOKUP(Buildings_Water_Backend[[#This Row],[Level 5]],rng_Level5Long,rng_Level6Long)</f>
        <v>#N/A</v>
      </c>
      <c r="X275" s="174">
        <f>Buildings_Water_Frontend[[#This Row],[Site Name]]</f>
        <v>0</v>
      </c>
      <c r="Y275" s="174">
        <f>Buildings_Water_Frontend[[#This Row],[Meter Reference]]</f>
        <v>0</v>
      </c>
      <c r="Z275" s="220">
        <f>Buildings_Water_Frontend[[#This Row],[Methodology]]</f>
        <v>0</v>
      </c>
      <c r="AA275" s="229" t="e" cm="1">
        <f t="array" ref="AA275">INDEX(_xlfn.SWITCH(Buildings_Water_Backend[[#This Row],[Methodology]],"Tier 1",rng_RSD1,"Tier 2",rng_RSD2,"Tier 3",rng_RSD3),MATCH(_xlfn.CONCAT(Buildings_Water_Backend[[#This Row],[Level 1]:[Level 6]]),rng_LevelsConcat,0))</f>
        <v>#N/A</v>
      </c>
      <c r="AB275" s="224">
        <f>Buildings_Water_Frontend[[#This Row],[Data]]</f>
        <v>0</v>
      </c>
      <c r="AC275" s="174">
        <f>Buildings_Water_Frontend[[#This Row],[Units]]</f>
        <v>0</v>
      </c>
      <c r="AD275" s="220" t="e">
        <f>IF(Buildings_Water_Backend[[#This Row],[Units]]=Buildings_Water_Backend[[#This Row],[Standard units]],Buildings_Water_Backend[[#This Row],[Data]],Buildings_Water_Backend[[#This Row],[Data]]*_xlfn.XLOOKUP(_xlfn.CONCAT(Buildings_Water_Backend[[#This Row],[Level 1]:[Level 6]]),rng_EFConcat,rng_EFConversion))</f>
        <v>#N/A</v>
      </c>
      <c r="AE275" s="174" t="e" cm="1">
        <f t="array" ref="AE275">_xlfn.XLOOKUP(_xlfn.CONCAT(Buildings_Water_Backend[[#This Row],[Level 1]:[Level 6]]),rng_LevelsConcat,rng_UnitsLong)</f>
        <v>#N/A</v>
      </c>
      <c r="AF275" s="210" t="e">
        <f>_xlfn.XLOOKUP(_xlfn.CONCAT(Buildings_Water_Backend[[#This Row],[Level 1]:[Level 6]]),rng_EFConcat,rng_EF1)*Buildings_Water_Backend[[#This Row],[Converted data]]/1000</f>
        <v>#N/A</v>
      </c>
      <c r="AG275" s="210" t="e">
        <f>_xlfn.XLOOKUP(_xlfn.CONCAT(Buildings_Water_Backend[[#This Row],[Level 1]:[Level 6]]),rng_EFConcat,rng_EF2)*Buildings_Water_Backend[[#This Row],[Converted data]]/1000</f>
        <v>#N/A</v>
      </c>
      <c r="AH275" s="210" t="e">
        <f>_xlfn.XLOOKUP(_xlfn.CONCAT(Buildings_Water_Backend[[#This Row],[Level 1]:[Level 6]]),rng_EFConcat,rng_EF3)*Buildings_Water_Backend[[#This Row],[Converted data]]/1000</f>
        <v>#N/A</v>
      </c>
      <c r="AI275" s="210" t="e">
        <f>_xlfn.XLOOKUP(_xlfn.CONCAT(Buildings_Water_Backend[[#This Row],[Level 1]:[Level 6]]),rng_EFConcat,rng_EF3WTT)*Buildings_Water_Backend[[#This Row],[Converted data]]/1000</f>
        <v>#N/A</v>
      </c>
      <c r="AJ275" s="210" t="e">
        <f>_xlfn.XLOOKUP(_xlfn.CONCAT(Buildings_Water_Backend[[#This Row],[Level 1]:[Level 6]]),rng_EFConcat,rng_EF3TD)*Buildings_Water_Backend[[#This Row],[Converted data]]/1000</f>
        <v>#N/A</v>
      </c>
      <c r="AK275" s="210" t="e">
        <f>_xlfn.XLOOKUP(_xlfn.CONCAT(Buildings_Water_Backend[[#This Row],[Level 1]:[Level 6]]),rng_EFConcat,rng_EF3WTTTD)*Buildings_Water_Backend[[#This Row],[Converted data]]/1000</f>
        <v>#N/A</v>
      </c>
      <c r="AL275" s="220" t="e">
        <f>SUM(Buildings_Water_Backend[[#This Row],[Scope 1 (tCO2e)]:[Scope 3 WTT T&amp;D (tCO2e)]])</f>
        <v>#N/A</v>
      </c>
      <c r="AM275" s="220" t="e">
        <f>Buildings_Water_Backend[[#This Row],[Total (tCO2e)]]*(1-Buildings_Water_Backend[[#This Row],[RSD]])</f>
        <v>#N/A</v>
      </c>
      <c r="AN275" s="220" t="e">
        <f>Buildings_Water_Backend[[#This Row],[Total (tCO2e)]]*(1+Buildings_Water_Backend[[#This Row],[RSD]])</f>
        <v>#N/A</v>
      </c>
      <c r="AO275" s="210" t="e">
        <f>_xlfn.XLOOKUP(_xlfn.CONCAT(Buildings_Water_Backend[[#This Row],[Level 1]:[Level 6]]),rng_EFConcat,rng_EFOOS)*Buildings_Water_Backend[[#This Row],[Converted data]]/1000</f>
        <v>#N/A</v>
      </c>
      <c r="AP275" s="174">
        <f>Buildings_Water_Frontend[[#This Row],[Ease of collection]]</f>
        <v>0</v>
      </c>
      <c r="AQ275" s="174">
        <f>Buildings_Water_Frontend[[#This Row],[Completeness]]</f>
        <v>0</v>
      </c>
      <c r="AR275" s="174">
        <f>Buildings_Water_Frontend[[#This Row],[Notes]]</f>
        <v>0</v>
      </c>
    </row>
    <row r="276" spans="5:44" x14ac:dyDescent="0.3">
      <c r="E276" s="346"/>
      <c r="F276" s="364"/>
      <c r="G276" s="336"/>
      <c r="H276" s="336"/>
      <c r="I276" s="334"/>
      <c r="J276" s="336"/>
      <c r="K276" s="336"/>
      <c r="L276" s="336"/>
      <c r="M276" s="337"/>
      <c r="N276" s="242">
        <f t="shared" si="9"/>
        <v>5</v>
      </c>
      <c r="Q276" s="212" t="str">
        <f t="shared" si="8"/>
        <v/>
      </c>
      <c r="R276" s="174" t="s">
        <v>265</v>
      </c>
      <c r="S276" s="174" t="s">
        <v>273</v>
      </c>
      <c r="T276" s="174" t="e">
        <f>_xlfn.XLOOKUP(Buildings_Water_Backend[[#This Row],[Info 1]],Buildings_SiteInfo[Site name],Buildings_SiteInfo[Site type])</f>
        <v>#N/A</v>
      </c>
      <c r="U276" s="174" t="s">
        <v>327</v>
      </c>
      <c r="V276" s="174">
        <f>Buildings_Water_Frontend[[#This Row],[Type]]</f>
        <v>0</v>
      </c>
      <c r="W276" s="174" t="e" cm="1">
        <f t="array" aca="1" ref="W276" ca="1">_xlfn.XLOOKUP(Buildings_Water_Backend[[#This Row],[Level 5]],rng_Level5Long,rng_Level6Long)</f>
        <v>#N/A</v>
      </c>
      <c r="X276" s="174">
        <f>Buildings_Water_Frontend[[#This Row],[Site Name]]</f>
        <v>0</v>
      </c>
      <c r="Y276" s="174">
        <f>Buildings_Water_Frontend[[#This Row],[Meter Reference]]</f>
        <v>0</v>
      </c>
      <c r="Z276" s="220">
        <f>Buildings_Water_Frontend[[#This Row],[Methodology]]</f>
        <v>0</v>
      </c>
      <c r="AA276" s="229" t="e" cm="1">
        <f t="array" ref="AA276">INDEX(_xlfn.SWITCH(Buildings_Water_Backend[[#This Row],[Methodology]],"Tier 1",rng_RSD1,"Tier 2",rng_RSD2,"Tier 3",rng_RSD3),MATCH(_xlfn.CONCAT(Buildings_Water_Backend[[#This Row],[Level 1]:[Level 6]]),rng_LevelsConcat,0))</f>
        <v>#N/A</v>
      </c>
      <c r="AB276" s="224">
        <f>Buildings_Water_Frontend[[#This Row],[Data]]</f>
        <v>0</v>
      </c>
      <c r="AC276" s="174">
        <f>Buildings_Water_Frontend[[#This Row],[Units]]</f>
        <v>0</v>
      </c>
      <c r="AD276" s="220" t="e">
        <f>IF(Buildings_Water_Backend[[#This Row],[Units]]=Buildings_Water_Backend[[#This Row],[Standard units]],Buildings_Water_Backend[[#This Row],[Data]],Buildings_Water_Backend[[#This Row],[Data]]*_xlfn.XLOOKUP(_xlfn.CONCAT(Buildings_Water_Backend[[#This Row],[Level 1]:[Level 6]]),rng_EFConcat,rng_EFConversion))</f>
        <v>#N/A</v>
      </c>
      <c r="AE276" s="174" t="e" cm="1">
        <f t="array" ref="AE276">_xlfn.XLOOKUP(_xlfn.CONCAT(Buildings_Water_Backend[[#This Row],[Level 1]:[Level 6]]),rng_LevelsConcat,rng_UnitsLong)</f>
        <v>#N/A</v>
      </c>
      <c r="AF276" s="210" t="e">
        <f>_xlfn.XLOOKUP(_xlfn.CONCAT(Buildings_Water_Backend[[#This Row],[Level 1]:[Level 6]]),rng_EFConcat,rng_EF1)*Buildings_Water_Backend[[#This Row],[Converted data]]/1000</f>
        <v>#N/A</v>
      </c>
      <c r="AG276" s="210" t="e">
        <f>_xlfn.XLOOKUP(_xlfn.CONCAT(Buildings_Water_Backend[[#This Row],[Level 1]:[Level 6]]),rng_EFConcat,rng_EF2)*Buildings_Water_Backend[[#This Row],[Converted data]]/1000</f>
        <v>#N/A</v>
      </c>
      <c r="AH276" s="210" t="e">
        <f>_xlfn.XLOOKUP(_xlfn.CONCAT(Buildings_Water_Backend[[#This Row],[Level 1]:[Level 6]]),rng_EFConcat,rng_EF3)*Buildings_Water_Backend[[#This Row],[Converted data]]/1000</f>
        <v>#N/A</v>
      </c>
      <c r="AI276" s="210" t="e">
        <f>_xlfn.XLOOKUP(_xlfn.CONCAT(Buildings_Water_Backend[[#This Row],[Level 1]:[Level 6]]),rng_EFConcat,rng_EF3WTT)*Buildings_Water_Backend[[#This Row],[Converted data]]/1000</f>
        <v>#N/A</v>
      </c>
      <c r="AJ276" s="210" t="e">
        <f>_xlfn.XLOOKUP(_xlfn.CONCAT(Buildings_Water_Backend[[#This Row],[Level 1]:[Level 6]]),rng_EFConcat,rng_EF3TD)*Buildings_Water_Backend[[#This Row],[Converted data]]/1000</f>
        <v>#N/A</v>
      </c>
      <c r="AK276" s="210" t="e">
        <f>_xlfn.XLOOKUP(_xlfn.CONCAT(Buildings_Water_Backend[[#This Row],[Level 1]:[Level 6]]),rng_EFConcat,rng_EF3WTTTD)*Buildings_Water_Backend[[#This Row],[Converted data]]/1000</f>
        <v>#N/A</v>
      </c>
      <c r="AL276" s="220" t="e">
        <f>SUM(Buildings_Water_Backend[[#This Row],[Scope 1 (tCO2e)]:[Scope 3 WTT T&amp;D (tCO2e)]])</f>
        <v>#N/A</v>
      </c>
      <c r="AM276" s="220" t="e">
        <f>Buildings_Water_Backend[[#This Row],[Total (tCO2e)]]*(1-Buildings_Water_Backend[[#This Row],[RSD]])</f>
        <v>#N/A</v>
      </c>
      <c r="AN276" s="220" t="e">
        <f>Buildings_Water_Backend[[#This Row],[Total (tCO2e)]]*(1+Buildings_Water_Backend[[#This Row],[RSD]])</f>
        <v>#N/A</v>
      </c>
      <c r="AO276" s="210" t="e">
        <f>_xlfn.XLOOKUP(_xlfn.CONCAT(Buildings_Water_Backend[[#This Row],[Level 1]:[Level 6]]),rng_EFConcat,rng_EFOOS)*Buildings_Water_Backend[[#This Row],[Converted data]]/1000</f>
        <v>#N/A</v>
      </c>
      <c r="AP276" s="174">
        <f>Buildings_Water_Frontend[[#This Row],[Ease of collection]]</f>
        <v>0</v>
      </c>
      <c r="AQ276" s="174">
        <f>Buildings_Water_Frontend[[#This Row],[Completeness]]</f>
        <v>0</v>
      </c>
      <c r="AR276" s="174">
        <f>Buildings_Water_Frontend[[#This Row],[Notes]]</f>
        <v>0</v>
      </c>
    </row>
    <row r="277" spans="5:44" x14ac:dyDescent="0.3">
      <c r="E277" s="346"/>
      <c r="F277" s="364"/>
      <c r="G277" s="336"/>
      <c r="H277" s="336"/>
      <c r="I277" s="334"/>
      <c r="J277" s="336"/>
      <c r="K277" s="336"/>
      <c r="L277" s="336"/>
      <c r="M277" s="337"/>
      <c r="N277" s="242">
        <f t="shared" si="9"/>
        <v>5</v>
      </c>
      <c r="Q277" s="212" t="str">
        <f t="shared" si="8"/>
        <v/>
      </c>
      <c r="R277" s="174" t="s">
        <v>265</v>
      </c>
      <c r="S277" s="174" t="s">
        <v>273</v>
      </c>
      <c r="T277" s="174" t="e">
        <f>_xlfn.XLOOKUP(Buildings_Water_Backend[[#This Row],[Info 1]],Buildings_SiteInfo[Site name],Buildings_SiteInfo[Site type])</f>
        <v>#N/A</v>
      </c>
      <c r="U277" s="174" t="s">
        <v>327</v>
      </c>
      <c r="V277" s="174">
        <f>Buildings_Water_Frontend[[#This Row],[Type]]</f>
        <v>0</v>
      </c>
      <c r="W277" s="174" t="e" cm="1">
        <f t="array" aca="1" ref="W277" ca="1">_xlfn.XLOOKUP(Buildings_Water_Backend[[#This Row],[Level 5]],rng_Level5Long,rng_Level6Long)</f>
        <v>#N/A</v>
      </c>
      <c r="X277" s="174">
        <f>Buildings_Water_Frontend[[#This Row],[Site Name]]</f>
        <v>0</v>
      </c>
      <c r="Y277" s="174">
        <f>Buildings_Water_Frontend[[#This Row],[Meter Reference]]</f>
        <v>0</v>
      </c>
      <c r="Z277" s="220">
        <f>Buildings_Water_Frontend[[#This Row],[Methodology]]</f>
        <v>0</v>
      </c>
      <c r="AA277" s="229" t="e" cm="1">
        <f t="array" ref="AA277">INDEX(_xlfn.SWITCH(Buildings_Water_Backend[[#This Row],[Methodology]],"Tier 1",rng_RSD1,"Tier 2",rng_RSD2,"Tier 3",rng_RSD3),MATCH(_xlfn.CONCAT(Buildings_Water_Backend[[#This Row],[Level 1]:[Level 6]]),rng_LevelsConcat,0))</f>
        <v>#N/A</v>
      </c>
      <c r="AB277" s="224">
        <f>Buildings_Water_Frontend[[#This Row],[Data]]</f>
        <v>0</v>
      </c>
      <c r="AC277" s="174">
        <f>Buildings_Water_Frontend[[#This Row],[Units]]</f>
        <v>0</v>
      </c>
      <c r="AD277" s="220" t="e">
        <f>IF(Buildings_Water_Backend[[#This Row],[Units]]=Buildings_Water_Backend[[#This Row],[Standard units]],Buildings_Water_Backend[[#This Row],[Data]],Buildings_Water_Backend[[#This Row],[Data]]*_xlfn.XLOOKUP(_xlfn.CONCAT(Buildings_Water_Backend[[#This Row],[Level 1]:[Level 6]]),rng_EFConcat,rng_EFConversion))</f>
        <v>#N/A</v>
      </c>
      <c r="AE277" s="174" t="e" cm="1">
        <f t="array" ref="AE277">_xlfn.XLOOKUP(_xlfn.CONCAT(Buildings_Water_Backend[[#This Row],[Level 1]:[Level 6]]),rng_LevelsConcat,rng_UnitsLong)</f>
        <v>#N/A</v>
      </c>
      <c r="AF277" s="210" t="e">
        <f>_xlfn.XLOOKUP(_xlfn.CONCAT(Buildings_Water_Backend[[#This Row],[Level 1]:[Level 6]]),rng_EFConcat,rng_EF1)*Buildings_Water_Backend[[#This Row],[Converted data]]/1000</f>
        <v>#N/A</v>
      </c>
      <c r="AG277" s="210" t="e">
        <f>_xlfn.XLOOKUP(_xlfn.CONCAT(Buildings_Water_Backend[[#This Row],[Level 1]:[Level 6]]),rng_EFConcat,rng_EF2)*Buildings_Water_Backend[[#This Row],[Converted data]]/1000</f>
        <v>#N/A</v>
      </c>
      <c r="AH277" s="210" t="e">
        <f>_xlfn.XLOOKUP(_xlfn.CONCAT(Buildings_Water_Backend[[#This Row],[Level 1]:[Level 6]]),rng_EFConcat,rng_EF3)*Buildings_Water_Backend[[#This Row],[Converted data]]/1000</f>
        <v>#N/A</v>
      </c>
      <c r="AI277" s="210" t="e">
        <f>_xlfn.XLOOKUP(_xlfn.CONCAT(Buildings_Water_Backend[[#This Row],[Level 1]:[Level 6]]),rng_EFConcat,rng_EF3WTT)*Buildings_Water_Backend[[#This Row],[Converted data]]/1000</f>
        <v>#N/A</v>
      </c>
      <c r="AJ277" s="210" t="e">
        <f>_xlfn.XLOOKUP(_xlfn.CONCAT(Buildings_Water_Backend[[#This Row],[Level 1]:[Level 6]]),rng_EFConcat,rng_EF3TD)*Buildings_Water_Backend[[#This Row],[Converted data]]/1000</f>
        <v>#N/A</v>
      </c>
      <c r="AK277" s="210" t="e">
        <f>_xlfn.XLOOKUP(_xlfn.CONCAT(Buildings_Water_Backend[[#This Row],[Level 1]:[Level 6]]),rng_EFConcat,rng_EF3WTTTD)*Buildings_Water_Backend[[#This Row],[Converted data]]/1000</f>
        <v>#N/A</v>
      </c>
      <c r="AL277" s="220" t="e">
        <f>SUM(Buildings_Water_Backend[[#This Row],[Scope 1 (tCO2e)]:[Scope 3 WTT T&amp;D (tCO2e)]])</f>
        <v>#N/A</v>
      </c>
      <c r="AM277" s="220" t="e">
        <f>Buildings_Water_Backend[[#This Row],[Total (tCO2e)]]*(1-Buildings_Water_Backend[[#This Row],[RSD]])</f>
        <v>#N/A</v>
      </c>
      <c r="AN277" s="220" t="e">
        <f>Buildings_Water_Backend[[#This Row],[Total (tCO2e)]]*(1+Buildings_Water_Backend[[#This Row],[RSD]])</f>
        <v>#N/A</v>
      </c>
      <c r="AO277" s="210" t="e">
        <f>_xlfn.XLOOKUP(_xlfn.CONCAT(Buildings_Water_Backend[[#This Row],[Level 1]:[Level 6]]),rng_EFConcat,rng_EFOOS)*Buildings_Water_Backend[[#This Row],[Converted data]]/1000</f>
        <v>#N/A</v>
      </c>
      <c r="AP277" s="174">
        <f>Buildings_Water_Frontend[[#This Row],[Ease of collection]]</f>
        <v>0</v>
      </c>
      <c r="AQ277" s="174">
        <f>Buildings_Water_Frontend[[#This Row],[Completeness]]</f>
        <v>0</v>
      </c>
      <c r="AR277" s="174">
        <f>Buildings_Water_Frontend[[#This Row],[Notes]]</f>
        <v>0</v>
      </c>
    </row>
    <row r="278" spans="5:44" x14ac:dyDescent="0.3">
      <c r="E278" s="346"/>
      <c r="F278" s="364"/>
      <c r="G278" s="336"/>
      <c r="H278" s="336"/>
      <c r="I278" s="334"/>
      <c r="J278" s="336"/>
      <c r="K278" s="336"/>
      <c r="L278" s="336"/>
      <c r="M278" s="337"/>
      <c r="N278" s="242">
        <f t="shared" si="9"/>
        <v>5</v>
      </c>
      <c r="Q278" s="212" t="str">
        <f t="shared" si="8"/>
        <v/>
      </c>
      <c r="R278" s="174" t="s">
        <v>265</v>
      </c>
      <c r="S278" s="174" t="s">
        <v>273</v>
      </c>
      <c r="T278" s="174" t="e">
        <f>_xlfn.XLOOKUP(Buildings_Water_Backend[[#This Row],[Info 1]],Buildings_SiteInfo[Site name],Buildings_SiteInfo[Site type])</f>
        <v>#N/A</v>
      </c>
      <c r="U278" s="174" t="s">
        <v>327</v>
      </c>
      <c r="V278" s="174">
        <f>Buildings_Water_Frontend[[#This Row],[Type]]</f>
        <v>0</v>
      </c>
      <c r="W278" s="174" t="e" cm="1">
        <f t="array" aca="1" ref="W278" ca="1">_xlfn.XLOOKUP(Buildings_Water_Backend[[#This Row],[Level 5]],rng_Level5Long,rng_Level6Long)</f>
        <v>#N/A</v>
      </c>
      <c r="X278" s="174">
        <f>Buildings_Water_Frontend[[#This Row],[Site Name]]</f>
        <v>0</v>
      </c>
      <c r="Y278" s="174">
        <f>Buildings_Water_Frontend[[#This Row],[Meter Reference]]</f>
        <v>0</v>
      </c>
      <c r="Z278" s="220">
        <f>Buildings_Water_Frontend[[#This Row],[Methodology]]</f>
        <v>0</v>
      </c>
      <c r="AA278" s="229" t="e" cm="1">
        <f t="array" ref="AA278">INDEX(_xlfn.SWITCH(Buildings_Water_Backend[[#This Row],[Methodology]],"Tier 1",rng_RSD1,"Tier 2",rng_RSD2,"Tier 3",rng_RSD3),MATCH(_xlfn.CONCAT(Buildings_Water_Backend[[#This Row],[Level 1]:[Level 6]]),rng_LevelsConcat,0))</f>
        <v>#N/A</v>
      </c>
      <c r="AB278" s="224">
        <f>Buildings_Water_Frontend[[#This Row],[Data]]</f>
        <v>0</v>
      </c>
      <c r="AC278" s="174">
        <f>Buildings_Water_Frontend[[#This Row],[Units]]</f>
        <v>0</v>
      </c>
      <c r="AD278" s="220" t="e">
        <f>IF(Buildings_Water_Backend[[#This Row],[Units]]=Buildings_Water_Backend[[#This Row],[Standard units]],Buildings_Water_Backend[[#This Row],[Data]],Buildings_Water_Backend[[#This Row],[Data]]*_xlfn.XLOOKUP(_xlfn.CONCAT(Buildings_Water_Backend[[#This Row],[Level 1]:[Level 6]]),rng_EFConcat,rng_EFConversion))</f>
        <v>#N/A</v>
      </c>
      <c r="AE278" s="174" t="e" cm="1">
        <f t="array" ref="AE278">_xlfn.XLOOKUP(_xlfn.CONCAT(Buildings_Water_Backend[[#This Row],[Level 1]:[Level 6]]),rng_LevelsConcat,rng_UnitsLong)</f>
        <v>#N/A</v>
      </c>
      <c r="AF278" s="210" t="e">
        <f>_xlfn.XLOOKUP(_xlfn.CONCAT(Buildings_Water_Backend[[#This Row],[Level 1]:[Level 6]]),rng_EFConcat,rng_EF1)*Buildings_Water_Backend[[#This Row],[Converted data]]/1000</f>
        <v>#N/A</v>
      </c>
      <c r="AG278" s="210" t="e">
        <f>_xlfn.XLOOKUP(_xlfn.CONCAT(Buildings_Water_Backend[[#This Row],[Level 1]:[Level 6]]),rng_EFConcat,rng_EF2)*Buildings_Water_Backend[[#This Row],[Converted data]]/1000</f>
        <v>#N/A</v>
      </c>
      <c r="AH278" s="210" t="e">
        <f>_xlfn.XLOOKUP(_xlfn.CONCAT(Buildings_Water_Backend[[#This Row],[Level 1]:[Level 6]]),rng_EFConcat,rng_EF3)*Buildings_Water_Backend[[#This Row],[Converted data]]/1000</f>
        <v>#N/A</v>
      </c>
      <c r="AI278" s="210" t="e">
        <f>_xlfn.XLOOKUP(_xlfn.CONCAT(Buildings_Water_Backend[[#This Row],[Level 1]:[Level 6]]),rng_EFConcat,rng_EF3WTT)*Buildings_Water_Backend[[#This Row],[Converted data]]/1000</f>
        <v>#N/A</v>
      </c>
      <c r="AJ278" s="210" t="e">
        <f>_xlfn.XLOOKUP(_xlfn.CONCAT(Buildings_Water_Backend[[#This Row],[Level 1]:[Level 6]]),rng_EFConcat,rng_EF3TD)*Buildings_Water_Backend[[#This Row],[Converted data]]/1000</f>
        <v>#N/A</v>
      </c>
      <c r="AK278" s="210" t="e">
        <f>_xlfn.XLOOKUP(_xlfn.CONCAT(Buildings_Water_Backend[[#This Row],[Level 1]:[Level 6]]),rng_EFConcat,rng_EF3WTTTD)*Buildings_Water_Backend[[#This Row],[Converted data]]/1000</f>
        <v>#N/A</v>
      </c>
      <c r="AL278" s="220" t="e">
        <f>SUM(Buildings_Water_Backend[[#This Row],[Scope 1 (tCO2e)]:[Scope 3 WTT T&amp;D (tCO2e)]])</f>
        <v>#N/A</v>
      </c>
      <c r="AM278" s="220" t="e">
        <f>Buildings_Water_Backend[[#This Row],[Total (tCO2e)]]*(1-Buildings_Water_Backend[[#This Row],[RSD]])</f>
        <v>#N/A</v>
      </c>
      <c r="AN278" s="220" t="e">
        <f>Buildings_Water_Backend[[#This Row],[Total (tCO2e)]]*(1+Buildings_Water_Backend[[#This Row],[RSD]])</f>
        <v>#N/A</v>
      </c>
      <c r="AO278" s="210" t="e">
        <f>_xlfn.XLOOKUP(_xlfn.CONCAT(Buildings_Water_Backend[[#This Row],[Level 1]:[Level 6]]),rng_EFConcat,rng_EFOOS)*Buildings_Water_Backend[[#This Row],[Converted data]]/1000</f>
        <v>#N/A</v>
      </c>
      <c r="AP278" s="174">
        <f>Buildings_Water_Frontend[[#This Row],[Ease of collection]]</f>
        <v>0</v>
      </c>
      <c r="AQ278" s="174">
        <f>Buildings_Water_Frontend[[#This Row],[Completeness]]</f>
        <v>0</v>
      </c>
      <c r="AR278" s="174">
        <f>Buildings_Water_Frontend[[#This Row],[Notes]]</f>
        <v>0</v>
      </c>
    </row>
    <row r="279" spans="5:44" x14ac:dyDescent="0.3">
      <c r="E279" s="346"/>
      <c r="F279" s="364"/>
      <c r="G279" s="336"/>
      <c r="H279" s="336"/>
      <c r="I279" s="334"/>
      <c r="J279" s="336"/>
      <c r="K279" s="336"/>
      <c r="L279" s="336"/>
      <c r="M279" s="337"/>
      <c r="N279" s="242">
        <f t="shared" si="9"/>
        <v>5</v>
      </c>
      <c r="Q279" s="212" t="str">
        <f t="shared" si="8"/>
        <v/>
      </c>
      <c r="R279" s="174" t="s">
        <v>265</v>
      </c>
      <c r="S279" s="174" t="s">
        <v>273</v>
      </c>
      <c r="T279" s="174" t="e">
        <f>_xlfn.XLOOKUP(Buildings_Water_Backend[[#This Row],[Info 1]],Buildings_SiteInfo[Site name],Buildings_SiteInfo[Site type])</f>
        <v>#N/A</v>
      </c>
      <c r="U279" s="174" t="s">
        <v>327</v>
      </c>
      <c r="V279" s="174">
        <f>Buildings_Water_Frontend[[#This Row],[Type]]</f>
        <v>0</v>
      </c>
      <c r="W279" s="174" t="e" cm="1">
        <f t="array" aca="1" ref="W279" ca="1">_xlfn.XLOOKUP(Buildings_Water_Backend[[#This Row],[Level 5]],rng_Level5Long,rng_Level6Long)</f>
        <v>#N/A</v>
      </c>
      <c r="X279" s="174">
        <f>Buildings_Water_Frontend[[#This Row],[Site Name]]</f>
        <v>0</v>
      </c>
      <c r="Y279" s="174">
        <f>Buildings_Water_Frontend[[#This Row],[Meter Reference]]</f>
        <v>0</v>
      </c>
      <c r="Z279" s="220">
        <f>Buildings_Water_Frontend[[#This Row],[Methodology]]</f>
        <v>0</v>
      </c>
      <c r="AA279" s="229" t="e" cm="1">
        <f t="array" ref="AA279">INDEX(_xlfn.SWITCH(Buildings_Water_Backend[[#This Row],[Methodology]],"Tier 1",rng_RSD1,"Tier 2",rng_RSD2,"Tier 3",rng_RSD3),MATCH(_xlfn.CONCAT(Buildings_Water_Backend[[#This Row],[Level 1]:[Level 6]]),rng_LevelsConcat,0))</f>
        <v>#N/A</v>
      </c>
      <c r="AB279" s="224">
        <f>Buildings_Water_Frontend[[#This Row],[Data]]</f>
        <v>0</v>
      </c>
      <c r="AC279" s="174">
        <f>Buildings_Water_Frontend[[#This Row],[Units]]</f>
        <v>0</v>
      </c>
      <c r="AD279" s="220" t="e">
        <f>IF(Buildings_Water_Backend[[#This Row],[Units]]=Buildings_Water_Backend[[#This Row],[Standard units]],Buildings_Water_Backend[[#This Row],[Data]],Buildings_Water_Backend[[#This Row],[Data]]*_xlfn.XLOOKUP(_xlfn.CONCAT(Buildings_Water_Backend[[#This Row],[Level 1]:[Level 6]]),rng_EFConcat,rng_EFConversion))</f>
        <v>#N/A</v>
      </c>
      <c r="AE279" s="174" t="e" cm="1">
        <f t="array" ref="AE279">_xlfn.XLOOKUP(_xlfn.CONCAT(Buildings_Water_Backend[[#This Row],[Level 1]:[Level 6]]),rng_LevelsConcat,rng_UnitsLong)</f>
        <v>#N/A</v>
      </c>
      <c r="AF279" s="210" t="e">
        <f>_xlfn.XLOOKUP(_xlfn.CONCAT(Buildings_Water_Backend[[#This Row],[Level 1]:[Level 6]]),rng_EFConcat,rng_EF1)*Buildings_Water_Backend[[#This Row],[Converted data]]/1000</f>
        <v>#N/A</v>
      </c>
      <c r="AG279" s="210" t="e">
        <f>_xlfn.XLOOKUP(_xlfn.CONCAT(Buildings_Water_Backend[[#This Row],[Level 1]:[Level 6]]),rng_EFConcat,rng_EF2)*Buildings_Water_Backend[[#This Row],[Converted data]]/1000</f>
        <v>#N/A</v>
      </c>
      <c r="AH279" s="210" t="e">
        <f>_xlfn.XLOOKUP(_xlfn.CONCAT(Buildings_Water_Backend[[#This Row],[Level 1]:[Level 6]]),rng_EFConcat,rng_EF3)*Buildings_Water_Backend[[#This Row],[Converted data]]/1000</f>
        <v>#N/A</v>
      </c>
      <c r="AI279" s="210" t="e">
        <f>_xlfn.XLOOKUP(_xlfn.CONCAT(Buildings_Water_Backend[[#This Row],[Level 1]:[Level 6]]),rng_EFConcat,rng_EF3WTT)*Buildings_Water_Backend[[#This Row],[Converted data]]/1000</f>
        <v>#N/A</v>
      </c>
      <c r="AJ279" s="210" t="e">
        <f>_xlfn.XLOOKUP(_xlfn.CONCAT(Buildings_Water_Backend[[#This Row],[Level 1]:[Level 6]]),rng_EFConcat,rng_EF3TD)*Buildings_Water_Backend[[#This Row],[Converted data]]/1000</f>
        <v>#N/A</v>
      </c>
      <c r="AK279" s="210" t="e">
        <f>_xlfn.XLOOKUP(_xlfn.CONCAT(Buildings_Water_Backend[[#This Row],[Level 1]:[Level 6]]),rng_EFConcat,rng_EF3WTTTD)*Buildings_Water_Backend[[#This Row],[Converted data]]/1000</f>
        <v>#N/A</v>
      </c>
      <c r="AL279" s="220" t="e">
        <f>SUM(Buildings_Water_Backend[[#This Row],[Scope 1 (tCO2e)]:[Scope 3 WTT T&amp;D (tCO2e)]])</f>
        <v>#N/A</v>
      </c>
      <c r="AM279" s="220" t="e">
        <f>Buildings_Water_Backend[[#This Row],[Total (tCO2e)]]*(1-Buildings_Water_Backend[[#This Row],[RSD]])</f>
        <v>#N/A</v>
      </c>
      <c r="AN279" s="220" t="e">
        <f>Buildings_Water_Backend[[#This Row],[Total (tCO2e)]]*(1+Buildings_Water_Backend[[#This Row],[RSD]])</f>
        <v>#N/A</v>
      </c>
      <c r="AO279" s="210" t="e">
        <f>_xlfn.XLOOKUP(_xlfn.CONCAT(Buildings_Water_Backend[[#This Row],[Level 1]:[Level 6]]),rng_EFConcat,rng_EFOOS)*Buildings_Water_Backend[[#This Row],[Converted data]]/1000</f>
        <v>#N/A</v>
      </c>
      <c r="AP279" s="174">
        <f>Buildings_Water_Frontend[[#This Row],[Ease of collection]]</f>
        <v>0</v>
      </c>
      <c r="AQ279" s="174">
        <f>Buildings_Water_Frontend[[#This Row],[Completeness]]</f>
        <v>0</v>
      </c>
      <c r="AR279" s="174">
        <f>Buildings_Water_Frontend[[#This Row],[Notes]]</f>
        <v>0</v>
      </c>
    </row>
    <row r="280" spans="5:44" x14ac:dyDescent="0.3">
      <c r="E280" s="346"/>
      <c r="F280" s="364"/>
      <c r="G280" s="336"/>
      <c r="H280" s="336"/>
      <c r="I280" s="334"/>
      <c r="J280" s="336"/>
      <c r="K280" s="336"/>
      <c r="L280" s="336"/>
      <c r="M280" s="337"/>
      <c r="N280" s="242">
        <f t="shared" si="9"/>
        <v>5</v>
      </c>
      <c r="Q280" s="212" t="str">
        <f t="shared" si="8"/>
        <v/>
      </c>
      <c r="R280" s="174" t="s">
        <v>265</v>
      </c>
      <c r="S280" s="174" t="s">
        <v>273</v>
      </c>
      <c r="T280" s="174" t="e">
        <f>_xlfn.XLOOKUP(Buildings_Water_Backend[[#This Row],[Info 1]],Buildings_SiteInfo[Site name],Buildings_SiteInfo[Site type])</f>
        <v>#N/A</v>
      </c>
      <c r="U280" s="174" t="s">
        <v>327</v>
      </c>
      <c r="V280" s="174">
        <f>Buildings_Water_Frontend[[#This Row],[Type]]</f>
        <v>0</v>
      </c>
      <c r="W280" s="174" t="e" cm="1">
        <f t="array" aca="1" ref="W280" ca="1">_xlfn.XLOOKUP(Buildings_Water_Backend[[#This Row],[Level 5]],rng_Level5Long,rng_Level6Long)</f>
        <v>#N/A</v>
      </c>
      <c r="X280" s="174">
        <f>Buildings_Water_Frontend[[#This Row],[Site Name]]</f>
        <v>0</v>
      </c>
      <c r="Y280" s="174">
        <f>Buildings_Water_Frontend[[#This Row],[Meter Reference]]</f>
        <v>0</v>
      </c>
      <c r="Z280" s="220">
        <f>Buildings_Water_Frontend[[#This Row],[Methodology]]</f>
        <v>0</v>
      </c>
      <c r="AA280" s="229" t="e" cm="1">
        <f t="array" ref="AA280">INDEX(_xlfn.SWITCH(Buildings_Water_Backend[[#This Row],[Methodology]],"Tier 1",rng_RSD1,"Tier 2",rng_RSD2,"Tier 3",rng_RSD3),MATCH(_xlfn.CONCAT(Buildings_Water_Backend[[#This Row],[Level 1]:[Level 6]]),rng_LevelsConcat,0))</f>
        <v>#N/A</v>
      </c>
      <c r="AB280" s="224">
        <f>Buildings_Water_Frontend[[#This Row],[Data]]</f>
        <v>0</v>
      </c>
      <c r="AC280" s="174">
        <f>Buildings_Water_Frontend[[#This Row],[Units]]</f>
        <v>0</v>
      </c>
      <c r="AD280" s="220" t="e">
        <f>IF(Buildings_Water_Backend[[#This Row],[Units]]=Buildings_Water_Backend[[#This Row],[Standard units]],Buildings_Water_Backend[[#This Row],[Data]],Buildings_Water_Backend[[#This Row],[Data]]*_xlfn.XLOOKUP(_xlfn.CONCAT(Buildings_Water_Backend[[#This Row],[Level 1]:[Level 6]]),rng_EFConcat,rng_EFConversion))</f>
        <v>#N/A</v>
      </c>
      <c r="AE280" s="174" t="e" cm="1">
        <f t="array" ref="AE280">_xlfn.XLOOKUP(_xlfn.CONCAT(Buildings_Water_Backend[[#This Row],[Level 1]:[Level 6]]),rng_LevelsConcat,rng_UnitsLong)</f>
        <v>#N/A</v>
      </c>
      <c r="AF280" s="210" t="e">
        <f>_xlfn.XLOOKUP(_xlfn.CONCAT(Buildings_Water_Backend[[#This Row],[Level 1]:[Level 6]]),rng_EFConcat,rng_EF1)*Buildings_Water_Backend[[#This Row],[Converted data]]/1000</f>
        <v>#N/A</v>
      </c>
      <c r="AG280" s="210" t="e">
        <f>_xlfn.XLOOKUP(_xlfn.CONCAT(Buildings_Water_Backend[[#This Row],[Level 1]:[Level 6]]),rng_EFConcat,rng_EF2)*Buildings_Water_Backend[[#This Row],[Converted data]]/1000</f>
        <v>#N/A</v>
      </c>
      <c r="AH280" s="210" t="e">
        <f>_xlfn.XLOOKUP(_xlfn.CONCAT(Buildings_Water_Backend[[#This Row],[Level 1]:[Level 6]]),rng_EFConcat,rng_EF3)*Buildings_Water_Backend[[#This Row],[Converted data]]/1000</f>
        <v>#N/A</v>
      </c>
      <c r="AI280" s="210" t="e">
        <f>_xlfn.XLOOKUP(_xlfn.CONCAT(Buildings_Water_Backend[[#This Row],[Level 1]:[Level 6]]),rng_EFConcat,rng_EF3WTT)*Buildings_Water_Backend[[#This Row],[Converted data]]/1000</f>
        <v>#N/A</v>
      </c>
      <c r="AJ280" s="210" t="e">
        <f>_xlfn.XLOOKUP(_xlfn.CONCAT(Buildings_Water_Backend[[#This Row],[Level 1]:[Level 6]]),rng_EFConcat,rng_EF3TD)*Buildings_Water_Backend[[#This Row],[Converted data]]/1000</f>
        <v>#N/A</v>
      </c>
      <c r="AK280" s="210" t="e">
        <f>_xlfn.XLOOKUP(_xlfn.CONCAT(Buildings_Water_Backend[[#This Row],[Level 1]:[Level 6]]),rng_EFConcat,rng_EF3WTTTD)*Buildings_Water_Backend[[#This Row],[Converted data]]/1000</f>
        <v>#N/A</v>
      </c>
      <c r="AL280" s="220" t="e">
        <f>SUM(Buildings_Water_Backend[[#This Row],[Scope 1 (tCO2e)]:[Scope 3 WTT T&amp;D (tCO2e)]])</f>
        <v>#N/A</v>
      </c>
      <c r="AM280" s="220" t="e">
        <f>Buildings_Water_Backend[[#This Row],[Total (tCO2e)]]*(1-Buildings_Water_Backend[[#This Row],[RSD]])</f>
        <v>#N/A</v>
      </c>
      <c r="AN280" s="220" t="e">
        <f>Buildings_Water_Backend[[#This Row],[Total (tCO2e)]]*(1+Buildings_Water_Backend[[#This Row],[RSD]])</f>
        <v>#N/A</v>
      </c>
      <c r="AO280" s="210" t="e">
        <f>_xlfn.XLOOKUP(_xlfn.CONCAT(Buildings_Water_Backend[[#This Row],[Level 1]:[Level 6]]),rng_EFConcat,rng_EFOOS)*Buildings_Water_Backend[[#This Row],[Converted data]]/1000</f>
        <v>#N/A</v>
      </c>
      <c r="AP280" s="174">
        <f>Buildings_Water_Frontend[[#This Row],[Ease of collection]]</f>
        <v>0</v>
      </c>
      <c r="AQ280" s="174">
        <f>Buildings_Water_Frontend[[#This Row],[Completeness]]</f>
        <v>0</v>
      </c>
      <c r="AR280" s="174">
        <f>Buildings_Water_Frontend[[#This Row],[Notes]]</f>
        <v>0</v>
      </c>
    </row>
    <row r="281" spans="5:44" x14ac:dyDescent="0.3">
      <c r="E281" s="346"/>
      <c r="F281" s="364"/>
      <c r="G281" s="336"/>
      <c r="H281" s="336"/>
      <c r="I281" s="334"/>
      <c r="J281" s="336"/>
      <c r="K281" s="336"/>
      <c r="L281" s="336"/>
      <c r="M281" s="337"/>
      <c r="N281" s="242">
        <f t="shared" si="9"/>
        <v>5</v>
      </c>
      <c r="Q281" s="212" t="str">
        <f t="shared" si="8"/>
        <v/>
      </c>
      <c r="R281" s="174" t="s">
        <v>265</v>
      </c>
      <c r="S281" s="174" t="s">
        <v>273</v>
      </c>
      <c r="T281" s="174" t="e">
        <f>_xlfn.XLOOKUP(Buildings_Water_Backend[[#This Row],[Info 1]],Buildings_SiteInfo[Site name],Buildings_SiteInfo[Site type])</f>
        <v>#N/A</v>
      </c>
      <c r="U281" s="174" t="s">
        <v>327</v>
      </c>
      <c r="V281" s="174">
        <f>Buildings_Water_Frontend[[#This Row],[Type]]</f>
        <v>0</v>
      </c>
      <c r="W281" s="174" t="e" cm="1">
        <f t="array" aca="1" ref="W281" ca="1">_xlfn.XLOOKUP(Buildings_Water_Backend[[#This Row],[Level 5]],rng_Level5Long,rng_Level6Long)</f>
        <v>#N/A</v>
      </c>
      <c r="X281" s="174">
        <f>Buildings_Water_Frontend[[#This Row],[Site Name]]</f>
        <v>0</v>
      </c>
      <c r="Y281" s="174">
        <f>Buildings_Water_Frontend[[#This Row],[Meter Reference]]</f>
        <v>0</v>
      </c>
      <c r="Z281" s="220">
        <f>Buildings_Water_Frontend[[#This Row],[Methodology]]</f>
        <v>0</v>
      </c>
      <c r="AA281" s="229" t="e" cm="1">
        <f t="array" ref="AA281">INDEX(_xlfn.SWITCH(Buildings_Water_Backend[[#This Row],[Methodology]],"Tier 1",rng_RSD1,"Tier 2",rng_RSD2,"Tier 3",rng_RSD3),MATCH(_xlfn.CONCAT(Buildings_Water_Backend[[#This Row],[Level 1]:[Level 6]]),rng_LevelsConcat,0))</f>
        <v>#N/A</v>
      </c>
      <c r="AB281" s="224">
        <f>Buildings_Water_Frontend[[#This Row],[Data]]</f>
        <v>0</v>
      </c>
      <c r="AC281" s="174">
        <f>Buildings_Water_Frontend[[#This Row],[Units]]</f>
        <v>0</v>
      </c>
      <c r="AD281" s="220" t="e">
        <f>IF(Buildings_Water_Backend[[#This Row],[Units]]=Buildings_Water_Backend[[#This Row],[Standard units]],Buildings_Water_Backend[[#This Row],[Data]],Buildings_Water_Backend[[#This Row],[Data]]*_xlfn.XLOOKUP(_xlfn.CONCAT(Buildings_Water_Backend[[#This Row],[Level 1]:[Level 6]]),rng_EFConcat,rng_EFConversion))</f>
        <v>#N/A</v>
      </c>
      <c r="AE281" s="174" t="e" cm="1">
        <f t="array" ref="AE281">_xlfn.XLOOKUP(_xlfn.CONCAT(Buildings_Water_Backend[[#This Row],[Level 1]:[Level 6]]),rng_LevelsConcat,rng_UnitsLong)</f>
        <v>#N/A</v>
      </c>
      <c r="AF281" s="210" t="e">
        <f>_xlfn.XLOOKUP(_xlfn.CONCAT(Buildings_Water_Backend[[#This Row],[Level 1]:[Level 6]]),rng_EFConcat,rng_EF1)*Buildings_Water_Backend[[#This Row],[Converted data]]/1000</f>
        <v>#N/A</v>
      </c>
      <c r="AG281" s="210" t="e">
        <f>_xlfn.XLOOKUP(_xlfn.CONCAT(Buildings_Water_Backend[[#This Row],[Level 1]:[Level 6]]),rng_EFConcat,rng_EF2)*Buildings_Water_Backend[[#This Row],[Converted data]]/1000</f>
        <v>#N/A</v>
      </c>
      <c r="AH281" s="210" t="e">
        <f>_xlfn.XLOOKUP(_xlfn.CONCAT(Buildings_Water_Backend[[#This Row],[Level 1]:[Level 6]]),rng_EFConcat,rng_EF3)*Buildings_Water_Backend[[#This Row],[Converted data]]/1000</f>
        <v>#N/A</v>
      </c>
      <c r="AI281" s="210" t="e">
        <f>_xlfn.XLOOKUP(_xlfn.CONCAT(Buildings_Water_Backend[[#This Row],[Level 1]:[Level 6]]),rng_EFConcat,rng_EF3WTT)*Buildings_Water_Backend[[#This Row],[Converted data]]/1000</f>
        <v>#N/A</v>
      </c>
      <c r="AJ281" s="210" t="e">
        <f>_xlfn.XLOOKUP(_xlfn.CONCAT(Buildings_Water_Backend[[#This Row],[Level 1]:[Level 6]]),rng_EFConcat,rng_EF3TD)*Buildings_Water_Backend[[#This Row],[Converted data]]/1000</f>
        <v>#N/A</v>
      </c>
      <c r="AK281" s="210" t="e">
        <f>_xlfn.XLOOKUP(_xlfn.CONCAT(Buildings_Water_Backend[[#This Row],[Level 1]:[Level 6]]),rng_EFConcat,rng_EF3WTTTD)*Buildings_Water_Backend[[#This Row],[Converted data]]/1000</f>
        <v>#N/A</v>
      </c>
      <c r="AL281" s="220" t="e">
        <f>SUM(Buildings_Water_Backend[[#This Row],[Scope 1 (tCO2e)]:[Scope 3 WTT T&amp;D (tCO2e)]])</f>
        <v>#N/A</v>
      </c>
      <c r="AM281" s="220" t="e">
        <f>Buildings_Water_Backend[[#This Row],[Total (tCO2e)]]*(1-Buildings_Water_Backend[[#This Row],[RSD]])</f>
        <v>#N/A</v>
      </c>
      <c r="AN281" s="220" t="e">
        <f>Buildings_Water_Backend[[#This Row],[Total (tCO2e)]]*(1+Buildings_Water_Backend[[#This Row],[RSD]])</f>
        <v>#N/A</v>
      </c>
      <c r="AO281" s="210" t="e">
        <f>_xlfn.XLOOKUP(_xlfn.CONCAT(Buildings_Water_Backend[[#This Row],[Level 1]:[Level 6]]),rng_EFConcat,rng_EFOOS)*Buildings_Water_Backend[[#This Row],[Converted data]]/1000</f>
        <v>#N/A</v>
      </c>
      <c r="AP281" s="174">
        <f>Buildings_Water_Frontend[[#This Row],[Ease of collection]]</f>
        <v>0</v>
      </c>
      <c r="AQ281" s="174">
        <f>Buildings_Water_Frontend[[#This Row],[Completeness]]</f>
        <v>0</v>
      </c>
      <c r="AR281" s="174">
        <f>Buildings_Water_Frontend[[#This Row],[Notes]]</f>
        <v>0</v>
      </c>
    </row>
    <row r="282" spans="5:44" x14ac:dyDescent="0.3">
      <c r="E282" s="346"/>
      <c r="F282" s="364"/>
      <c r="G282" s="336"/>
      <c r="H282" s="336"/>
      <c r="I282" s="334"/>
      <c r="J282" s="336"/>
      <c r="K282" s="336"/>
      <c r="L282" s="336"/>
      <c r="M282" s="337"/>
      <c r="N282" s="242">
        <f t="shared" si="9"/>
        <v>5</v>
      </c>
      <c r="Q282" s="212" t="str">
        <f t="shared" si="8"/>
        <v/>
      </c>
      <c r="R282" s="174" t="s">
        <v>265</v>
      </c>
      <c r="S282" s="174" t="s">
        <v>273</v>
      </c>
      <c r="T282" s="174" t="e">
        <f>_xlfn.XLOOKUP(Buildings_Water_Backend[[#This Row],[Info 1]],Buildings_SiteInfo[Site name],Buildings_SiteInfo[Site type])</f>
        <v>#N/A</v>
      </c>
      <c r="U282" s="174" t="s">
        <v>327</v>
      </c>
      <c r="V282" s="174">
        <f>Buildings_Water_Frontend[[#This Row],[Type]]</f>
        <v>0</v>
      </c>
      <c r="W282" s="174" t="e" cm="1">
        <f t="array" aca="1" ref="W282" ca="1">_xlfn.XLOOKUP(Buildings_Water_Backend[[#This Row],[Level 5]],rng_Level5Long,rng_Level6Long)</f>
        <v>#N/A</v>
      </c>
      <c r="X282" s="174">
        <f>Buildings_Water_Frontend[[#This Row],[Site Name]]</f>
        <v>0</v>
      </c>
      <c r="Y282" s="174">
        <f>Buildings_Water_Frontend[[#This Row],[Meter Reference]]</f>
        <v>0</v>
      </c>
      <c r="Z282" s="220">
        <f>Buildings_Water_Frontend[[#This Row],[Methodology]]</f>
        <v>0</v>
      </c>
      <c r="AA282" s="229" t="e" cm="1">
        <f t="array" ref="AA282">INDEX(_xlfn.SWITCH(Buildings_Water_Backend[[#This Row],[Methodology]],"Tier 1",rng_RSD1,"Tier 2",rng_RSD2,"Tier 3",rng_RSD3),MATCH(_xlfn.CONCAT(Buildings_Water_Backend[[#This Row],[Level 1]:[Level 6]]),rng_LevelsConcat,0))</f>
        <v>#N/A</v>
      </c>
      <c r="AB282" s="224">
        <f>Buildings_Water_Frontend[[#This Row],[Data]]</f>
        <v>0</v>
      </c>
      <c r="AC282" s="174">
        <f>Buildings_Water_Frontend[[#This Row],[Units]]</f>
        <v>0</v>
      </c>
      <c r="AD282" s="220" t="e">
        <f>IF(Buildings_Water_Backend[[#This Row],[Units]]=Buildings_Water_Backend[[#This Row],[Standard units]],Buildings_Water_Backend[[#This Row],[Data]],Buildings_Water_Backend[[#This Row],[Data]]*_xlfn.XLOOKUP(_xlfn.CONCAT(Buildings_Water_Backend[[#This Row],[Level 1]:[Level 6]]),rng_EFConcat,rng_EFConversion))</f>
        <v>#N/A</v>
      </c>
      <c r="AE282" s="174" t="e" cm="1">
        <f t="array" ref="AE282">_xlfn.XLOOKUP(_xlfn.CONCAT(Buildings_Water_Backend[[#This Row],[Level 1]:[Level 6]]),rng_LevelsConcat,rng_UnitsLong)</f>
        <v>#N/A</v>
      </c>
      <c r="AF282" s="210" t="e">
        <f>_xlfn.XLOOKUP(_xlfn.CONCAT(Buildings_Water_Backend[[#This Row],[Level 1]:[Level 6]]),rng_EFConcat,rng_EF1)*Buildings_Water_Backend[[#This Row],[Converted data]]/1000</f>
        <v>#N/A</v>
      </c>
      <c r="AG282" s="210" t="e">
        <f>_xlfn.XLOOKUP(_xlfn.CONCAT(Buildings_Water_Backend[[#This Row],[Level 1]:[Level 6]]),rng_EFConcat,rng_EF2)*Buildings_Water_Backend[[#This Row],[Converted data]]/1000</f>
        <v>#N/A</v>
      </c>
      <c r="AH282" s="210" t="e">
        <f>_xlfn.XLOOKUP(_xlfn.CONCAT(Buildings_Water_Backend[[#This Row],[Level 1]:[Level 6]]),rng_EFConcat,rng_EF3)*Buildings_Water_Backend[[#This Row],[Converted data]]/1000</f>
        <v>#N/A</v>
      </c>
      <c r="AI282" s="210" t="e">
        <f>_xlfn.XLOOKUP(_xlfn.CONCAT(Buildings_Water_Backend[[#This Row],[Level 1]:[Level 6]]),rng_EFConcat,rng_EF3WTT)*Buildings_Water_Backend[[#This Row],[Converted data]]/1000</f>
        <v>#N/A</v>
      </c>
      <c r="AJ282" s="210" t="e">
        <f>_xlfn.XLOOKUP(_xlfn.CONCAT(Buildings_Water_Backend[[#This Row],[Level 1]:[Level 6]]),rng_EFConcat,rng_EF3TD)*Buildings_Water_Backend[[#This Row],[Converted data]]/1000</f>
        <v>#N/A</v>
      </c>
      <c r="AK282" s="210" t="e">
        <f>_xlfn.XLOOKUP(_xlfn.CONCAT(Buildings_Water_Backend[[#This Row],[Level 1]:[Level 6]]),rng_EFConcat,rng_EF3WTTTD)*Buildings_Water_Backend[[#This Row],[Converted data]]/1000</f>
        <v>#N/A</v>
      </c>
      <c r="AL282" s="220" t="e">
        <f>SUM(Buildings_Water_Backend[[#This Row],[Scope 1 (tCO2e)]:[Scope 3 WTT T&amp;D (tCO2e)]])</f>
        <v>#N/A</v>
      </c>
      <c r="AM282" s="220" t="e">
        <f>Buildings_Water_Backend[[#This Row],[Total (tCO2e)]]*(1-Buildings_Water_Backend[[#This Row],[RSD]])</f>
        <v>#N/A</v>
      </c>
      <c r="AN282" s="220" t="e">
        <f>Buildings_Water_Backend[[#This Row],[Total (tCO2e)]]*(1+Buildings_Water_Backend[[#This Row],[RSD]])</f>
        <v>#N/A</v>
      </c>
      <c r="AO282" s="210" t="e">
        <f>_xlfn.XLOOKUP(_xlfn.CONCAT(Buildings_Water_Backend[[#This Row],[Level 1]:[Level 6]]),rng_EFConcat,rng_EFOOS)*Buildings_Water_Backend[[#This Row],[Converted data]]/1000</f>
        <v>#N/A</v>
      </c>
      <c r="AP282" s="174">
        <f>Buildings_Water_Frontend[[#This Row],[Ease of collection]]</f>
        <v>0</v>
      </c>
      <c r="AQ282" s="174">
        <f>Buildings_Water_Frontend[[#This Row],[Completeness]]</f>
        <v>0</v>
      </c>
      <c r="AR282" s="174">
        <f>Buildings_Water_Frontend[[#This Row],[Notes]]</f>
        <v>0</v>
      </c>
    </row>
    <row r="283" spans="5:44" x14ac:dyDescent="0.3">
      <c r="E283" s="346"/>
      <c r="F283" s="364"/>
      <c r="G283" s="336"/>
      <c r="H283" s="336"/>
      <c r="I283" s="334"/>
      <c r="J283" s="336"/>
      <c r="K283" s="336"/>
      <c r="L283" s="336"/>
      <c r="M283" s="337"/>
      <c r="N283" s="242">
        <f t="shared" si="9"/>
        <v>5</v>
      </c>
      <c r="Q283" s="212" t="str">
        <f t="shared" si="8"/>
        <v/>
      </c>
      <c r="R283" s="174" t="s">
        <v>265</v>
      </c>
      <c r="S283" s="174" t="s">
        <v>273</v>
      </c>
      <c r="T283" s="174" t="e">
        <f>_xlfn.XLOOKUP(Buildings_Water_Backend[[#This Row],[Info 1]],Buildings_SiteInfo[Site name],Buildings_SiteInfo[Site type])</f>
        <v>#N/A</v>
      </c>
      <c r="U283" s="174" t="s">
        <v>327</v>
      </c>
      <c r="V283" s="174">
        <f>Buildings_Water_Frontend[[#This Row],[Type]]</f>
        <v>0</v>
      </c>
      <c r="W283" s="174" t="e" cm="1">
        <f t="array" aca="1" ref="W283" ca="1">_xlfn.XLOOKUP(Buildings_Water_Backend[[#This Row],[Level 5]],rng_Level5Long,rng_Level6Long)</f>
        <v>#N/A</v>
      </c>
      <c r="X283" s="174">
        <f>Buildings_Water_Frontend[[#This Row],[Site Name]]</f>
        <v>0</v>
      </c>
      <c r="Y283" s="174">
        <f>Buildings_Water_Frontend[[#This Row],[Meter Reference]]</f>
        <v>0</v>
      </c>
      <c r="Z283" s="220">
        <f>Buildings_Water_Frontend[[#This Row],[Methodology]]</f>
        <v>0</v>
      </c>
      <c r="AA283" s="229" t="e" cm="1">
        <f t="array" ref="AA283">INDEX(_xlfn.SWITCH(Buildings_Water_Backend[[#This Row],[Methodology]],"Tier 1",rng_RSD1,"Tier 2",rng_RSD2,"Tier 3",rng_RSD3),MATCH(_xlfn.CONCAT(Buildings_Water_Backend[[#This Row],[Level 1]:[Level 6]]),rng_LevelsConcat,0))</f>
        <v>#N/A</v>
      </c>
      <c r="AB283" s="224">
        <f>Buildings_Water_Frontend[[#This Row],[Data]]</f>
        <v>0</v>
      </c>
      <c r="AC283" s="174">
        <f>Buildings_Water_Frontend[[#This Row],[Units]]</f>
        <v>0</v>
      </c>
      <c r="AD283" s="220" t="e">
        <f>IF(Buildings_Water_Backend[[#This Row],[Units]]=Buildings_Water_Backend[[#This Row],[Standard units]],Buildings_Water_Backend[[#This Row],[Data]],Buildings_Water_Backend[[#This Row],[Data]]*_xlfn.XLOOKUP(_xlfn.CONCAT(Buildings_Water_Backend[[#This Row],[Level 1]:[Level 6]]),rng_EFConcat,rng_EFConversion))</f>
        <v>#N/A</v>
      </c>
      <c r="AE283" s="174" t="e" cm="1">
        <f t="array" ref="AE283">_xlfn.XLOOKUP(_xlfn.CONCAT(Buildings_Water_Backend[[#This Row],[Level 1]:[Level 6]]),rng_LevelsConcat,rng_UnitsLong)</f>
        <v>#N/A</v>
      </c>
      <c r="AF283" s="210" t="e">
        <f>_xlfn.XLOOKUP(_xlfn.CONCAT(Buildings_Water_Backend[[#This Row],[Level 1]:[Level 6]]),rng_EFConcat,rng_EF1)*Buildings_Water_Backend[[#This Row],[Converted data]]/1000</f>
        <v>#N/A</v>
      </c>
      <c r="AG283" s="210" t="e">
        <f>_xlfn.XLOOKUP(_xlfn.CONCAT(Buildings_Water_Backend[[#This Row],[Level 1]:[Level 6]]),rng_EFConcat,rng_EF2)*Buildings_Water_Backend[[#This Row],[Converted data]]/1000</f>
        <v>#N/A</v>
      </c>
      <c r="AH283" s="210" t="e">
        <f>_xlfn.XLOOKUP(_xlfn.CONCAT(Buildings_Water_Backend[[#This Row],[Level 1]:[Level 6]]),rng_EFConcat,rng_EF3)*Buildings_Water_Backend[[#This Row],[Converted data]]/1000</f>
        <v>#N/A</v>
      </c>
      <c r="AI283" s="210" t="e">
        <f>_xlfn.XLOOKUP(_xlfn.CONCAT(Buildings_Water_Backend[[#This Row],[Level 1]:[Level 6]]),rng_EFConcat,rng_EF3WTT)*Buildings_Water_Backend[[#This Row],[Converted data]]/1000</f>
        <v>#N/A</v>
      </c>
      <c r="AJ283" s="210" t="e">
        <f>_xlfn.XLOOKUP(_xlfn.CONCAT(Buildings_Water_Backend[[#This Row],[Level 1]:[Level 6]]),rng_EFConcat,rng_EF3TD)*Buildings_Water_Backend[[#This Row],[Converted data]]/1000</f>
        <v>#N/A</v>
      </c>
      <c r="AK283" s="210" t="e">
        <f>_xlfn.XLOOKUP(_xlfn.CONCAT(Buildings_Water_Backend[[#This Row],[Level 1]:[Level 6]]),rng_EFConcat,rng_EF3WTTTD)*Buildings_Water_Backend[[#This Row],[Converted data]]/1000</f>
        <v>#N/A</v>
      </c>
      <c r="AL283" s="220" t="e">
        <f>SUM(Buildings_Water_Backend[[#This Row],[Scope 1 (tCO2e)]:[Scope 3 WTT T&amp;D (tCO2e)]])</f>
        <v>#N/A</v>
      </c>
      <c r="AM283" s="220" t="e">
        <f>Buildings_Water_Backend[[#This Row],[Total (tCO2e)]]*(1-Buildings_Water_Backend[[#This Row],[RSD]])</f>
        <v>#N/A</v>
      </c>
      <c r="AN283" s="220" t="e">
        <f>Buildings_Water_Backend[[#This Row],[Total (tCO2e)]]*(1+Buildings_Water_Backend[[#This Row],[RSD]])</f>
        <v>#N/A</v>
      </c>
      <c r="AO283" s="210" t="e">
        <f>_xlfn.XLOOKUP(_xlfn.CONCAT(Buildings_Water_Backend[[#This Row],[Level 1]:[Level 6]]),rng_EFConcat,rng_EFOOS)*Buildings_Water_Backend[[#This Row],[Converted data]]/1000</f>
        <v>#N/A</v>
      </c>
      <c r="AP283" s="174">
        <f>Buildings_Water_Frontend[[#This Row],[Ease of collection]]</f>
        <v>0</v>
      </c>
      <c r="AQ283" s="174">
        <f>Buildings_Water_Frontend[[#This Row],[Completeness]]</f>
        <v>0</v>
      </c>
      <c r="AR283" s="174">
        <f>Buildings_Water_Frontend[[#This Row],[Notes]]</f>
        <v>0</v>
      </c>
    </row>
    <row r="284" spans="5:44" x14ac:dyDescent="0.3">
      <c r="E284" s="346"/>
      <c r="F284" s="364"/>
      <c r="G284" s="336"/>
      <c r="H284" s="336"/>
      <c r="I284" s="334"/>
      <c r="J284" s="336"/>
      <c r="K284" s="336"/>
      <c r="L284" s="336"/>
      <c r="M284" s="337"/>
      <c r="N284" s="242">
        <f t="shared" si="9"/>
        <v>5</v>
      </c>
      <c r="Q284" s="212" t="str">
        <f t="shared" si="8"/>
        <v/>
      </c>
      <c r="R284" s="174" t="s">
        <v>265</v>
      </c>
      <c r="S284" s="174" t="s">
        <v>273</v>
      </c>
      <c r="T284" s="174" t="e">
        <f>_xlfn.XLOOKUP(Buildings_Water_Backend[[#This Row],[Info 1]],Buildings_SiteInfo[Site name],Buildings_SiteInfo[Site type])</f>
        <v>#N/A</v>
      </c>
      <c r="U284" s="174" t="s">
        <v>327</v>
      </c>
      <c r="V284" s="174">
        <f>Buildings_Water_Frontend[[#This Row],[Type]]</f>
        <v>0</v>
      </c>
      <c r="W284" s="174" t="e" cm="1">
        <f t="array" aca="1" ref="W284" ca="1">_xlfn.XLOOKUP(Buildings_Water_Backend[[#This Row],[Level 5]],rng_Level5Long,rng_Level6Long)</f>
        <v>#N/A</v>
      </c>
      <c r="X284" s="174">
        <f>Buildings_Water_Frontend[[#This Row],[Site Name]]</f>
        <v>0</v>
      </c>
      <c r="Y284" s="174">
        <f>Buildings_Water_Frontend[[#This Row],[Meter Reference]]</f>
        <v>0</v>
      </c>
      <c r="Z284" s="220">
        <f>Buildings_Water_Frontend[[#This Row],[Methodology]]</f>
        <v>0</v>
      </c>
      <c r="AA284" s="229" t="e" cm="1">
        <f t="array" ref="AA284">INDEX(_xlfn.SWITCH(Buildings_Water_Backend[[#This Row],[Methodology]],"Tier 1",rng_RSD1,"Tier 2",rng_RSD2,"Tier 3",rng_RSD3),MATCH(_xlfn.CONCAT(Buildings_Water_Backend[[#This Row],[Level 1]:[Level 6]]),rng_LevelsConcat,0))</f>
        <v>#N/A</v>
      </c>
      <c r="AB284" s="224">
        <f>Buildings_Water_Frontend[[#This Row],[Data]]</f>
        <v>0</v>
      </c>
      <c r="AC284" s="174">
        <f>Buildings_Water_Frontend[[#This Row],[Units]]</f>
        <v>0</v>
      </c>
      <c r="AD284" s="220" t="e">
        <f>IF(Buildings_Water_Backend[[#This Row],[Units]]=Buildings_Water_Backend[[#This Row],[Standard units]],Buildings_Water_Backend[[#This Row],[Data]],Buildings_Water_Backend[[#This Row],[Data]]*_xlfn.XLOOKUP(_xlfn.CONCAT(Buildings_Water_Backend[[#This Row],[Level 1]:[Level 6]]),rng_EFConcat,rng_EFConversion))</f>
        <v>#N/A</v>
      </c>
      <c r="AE284" s="174" t="e" cm="1">
        <f t="array" ref="AE284">_xlfn.XLOOKUP(_xlfn.CONCAT(Buildings_Water_Backend[[#This Row],[Level 1]:[Level 6]]),rng_LevelsConcat,rng_UnitsLong)</f>
        <v>#N/A</v>
      </c>
      <c r="AF284" s="210" t="e">
        <f>_xlfn.XLOOKUP(_xlfn.CONCAT(Buildings_Water_Backend[[#This Row],[Level 1]:[Level 6]]),rng_EFConcat,rng_EF1)*Buildings_Water_Backend[[#This Row],[Converted data]]/1000</f>
        <v>#N/A</v>
      </c>
      <c r="AG284" s="210" t="e">
        <f>_xlfn.XLOOKUP(_xlfn.CONCAT(Buildings_Water_Backend[[#This Row],[Level 1]:[Level 6]]),rng_EFConcat,rng_EF2)*Buildings_Water_Backend[[#This Row],[Converted data]]/1000</f>
        <v>#N/A</v>
      </c>
      <c r="AH284" s="210" t="e">
        <f>_xlfn.XLOOKUP(_xlfn.CONCAT(Buildings_Water_Backend[[#This Row],[Level 1]:[Level 6]]),rng_EFConcat,rng_EF3)*Buildings_Water_Backend[[#This Row],[Converted data]]/1000</f>
        <v>#N/A</v>
      </c>
      <c r="AI284" s="210" t="e">
        <f>_xlfn.XLOOKUP(_xlfn.CONCAT(Buildings_Water_Backend[[#This Row],[Level 1]:[Level 6]]),rng_EFConcat,rng_EF3WTT)*Buildings_Water_Backend[[#This Row],[Converted data]]/1000</f>
        <v>#N/A</v>
      </c>
      <c r="AJ284" s="210" t="e">
        <f>_xlfn.XLOOKUP(_xlfn.CONCAT(Buildings_Water_Backend[[#This Row],[Level 1]:[Level 6]]),rng_EFConcat,rng_EF3TD)*Buildings_Water_Backend[[#This Row],[Converted data]]/1000</f>
        <v>#N/A</v>
      </c>
      <c r="AK284" s="210" t="e">
        <f>_xlfn.XLOOKUP(_xlfn.CONCAT(Buildings_Water_Backend[[#This Row],[Level 1]:[Level 6]]),rng_EFConcat,rng_EF3WTTTD)*Buildings_Water_Backend[[#This Row],[Converted data]]/1000</f>
        <v>#N/A</v>
      </c>
      <c r="AL284" s="220" t="e">
        <f>SUM(Buildings_Water_Backend[[#This Row],[Scope 1 (tCO2e)]:[Scope 3 WTT T&amp;D (tCO2e)]])</f>
        <v>#N/A</v>
      </c>
      <c r="AM284" s="220" t="e">
        <f>Buildings_Water_Backend[[#This Row],[Total (tCO2e)]]*(1-Buildings_Water_Backend[[#This Row],[RSD]])</f>
        <v>#N/A</v>
      </c>
      <c r="AN284" s="220" t="e">
        <f>Buildings_Water_Backend[[#This Row],[Total (tCO2e)]]*(1+Buildings_Water_Backend[[#This Row],[RSD]])</f>
        <v>#N/A</v>
      </c>
      <c r="AO284" s="210" t="e">
        <f>_xlfn.XLOOKUP(_xlfn.CONCAT(Buildings_Water_Backend[[#This Row],[Level 1]:[Level 6]]),rng_EFConcat,rng_EFOOS)*Buildings_Water_Backend[[#This Row],[Converted data]]/1000</f>
        <v>#N/A</v>
      </c>
      <c r="AP284" s="174">
        <f>Buildings_Water_Frontend[[#This Row],[Ease of collection]]</f>
        <v>0</v>
      </c>
      <c r="AQ284" s="174">
        <f>Buildings_Water_Frontend[[#This Row],[Completeness]]</f>
        <v>0</v>
      </c>
      <c r="AR284" s="174">
        <f>Buildings_Water_Frontend[[#This Row],[Notes]]</f>
        <v>0</v>
      </c>
    </row>
    <row r="285" spans="5:44" x14ac:dyDescent="0.3">
      <c r="E285" s="346"/>
      <c r="F285" s="364"/>
      <c r="G285" s="336"/>
      <c r="H285" s="336"/>
      <c r="I285" s="334"/>
      <c r="J285" s="336"/>
      <c r="K285" s="336"/>
      <c r="L285" s="336"/>
      <c r="M285" s="337"/>
      <c r="N285" s="242">
        <f t="shared" si="9"/>
        <v>5</v>
      </c>
      <c r="Q285" s="212" t="str">
        <f t="shared" si="8"/>
        <v/>
      </c>
      <c r="R285" s="174" t="s">
        <v>265</v>
      </c>
      <c r="S285" s="174" t="s">
        <v>273</v>
      </c>
      <c r="T285" s="174" t="e">
        <f>_xlfn.XLOOKUP(Buildings_Water_Backend[[#This Row],[Info 1]],Buildings_SiteInfo[Site name],Buildings_SiteInfo[Site type])</f>
        <v>#N/A</v>
      </c>
      <c r="U285" s="174" t="s">
        <v>327</v>
      </c>
      <c r="V285" s="174">
        <f>Buildings_Water_Frontend[[#This Row],[Type]]</f>
        <v>0</v>
      </c>
      <c r="W285" s="174" t="e" cm="1">
        <f t="array" aca="1" ref="W285" ca="1">_xlfn.XLOOKUP(Buildings_Water_Backend[[#This Row],[Level 5]],rng_Level5Long,rng_Level6Long)</f>
        <v>#N/A</v>
      </c>
      <c r="X285" s="174">
        <f>Buildings_Water_Frontend[[#This Row],[Site Name]]</f>
        <v>0</v>
      </c>
      <c r="Y285" s="174">
        <f>Buildings_Water_Frontend[[#This Row],[Meter Reference]]</f>
        <v>0</v>
      </c>
      <c r="Z285" s="220">
        <f>Buildings_Water_Frontend[[#This Row],[Methodology]]</f>
        <v>0</v>
      </c>
      <c r="AA285" s="229" t="e" cm="1">
        <f t="array" ref="AA285">INDEX(_xlfn.SWITCH(Buildings_Water_Backend[[#This Row],[Methodology]],"Tier 1",rng_RSD1,"Tier 2",rng_RSD2,"Tier 3",rng_RSD3),MATCH(_xlfn.CONCAT(Buildings_Water_Backend[[#This Row],[Level 1]:[Level 6]]),rng_LevelsConcat,0))</f>
        <v>#N/A</v>
      </c>
      <c r="AB285" s="224">
        <f>Buildings_Water_Frontend[[#This Row],[Data]]</f>
        <v>0</v>
      </c>
      <c r="AC285" s="174">
        <f>Buildings_Water_Frontend[[#This Row],[Units]]</f>
        <v>0</v>
      </c>
      <c r="AD285" s="220" t="e">
        <f>IF(Buildings_Water_Backend[[#This Row],[Units]]=Buildings_Water_Backend[[#This Row],[Standard units]],Buildings_Water_Backend[[#This Row],[Data]],Buildings_Water_Backend[[#This Row],[Data]]*_xlfn.XLOOKUP(_xlfn.CONCAT(Buildings_Water_Backend[[#This Row],[Level 1]:[Level 6]]),rng_EFConcat,rng_EFConversion))</f>
        <v>#N/A</v>
      </c>
      <c r="AE285" s="174" t="e" cm="1">
        <f t="array" ref="AE285">_xlfn.XLOOKUP(_xlfn.CONCAT(Buildings_Water_Backend[[#This Row],[Level 1]:[Level 6]]),rng_LevelsConcat,rng_UnitsLong)</f>
        <v>#N/A</v>
      </c>
      <c r="AF285" s="210" t="e">
        <f>_xlfn.XLOOKUP(_xlfn.CONCAT(Buildings_Water_Backend[[#This Row],[Level 1]:[Level 6]]),rng_EFConcat,rng_EF1)*Buildings_Water_Backend[[#This Row],[Converted data]]/1000</f>
        <v>#N/A</v>
      </c>
      <c r="AG285" s="210" t="e">
        <f>_xlfn.XLOOKUP(_xlfn.CONCAT(Buildings_Water_Backend[[#This Row],[Level 1]:[Level 6]]),rng_EFConcat,rng_EF2)*Buildings_Water_Backend[[#This Row],[Converted data]]/1000</f>
        <v>#N/A</v>
      </c>
      <c r="AH285" s="210" t="e">
        <f>_xlfn.XLOOKUP(_xlfn.CONCAT(Buildings_Water_Backend[[#This Row],[Level 1]:[Level 6]]),rng_EFConcat,rng_EF3)*Buildings_Water_Backend[[#This Row],[Converted data]]/1000</f>
        <v>#N/A</v>
      </c>
      <c r="AI285" s="210" t="e">
        <f>_xlfn.XLOOKUP(_xlfn.CONCAT(Buildings_Water_Backend[[#This Row],[Level 1]:[Level 6]]),rng_EFConcat,rng_EF3WTT)*Buildings_Water_Backend[[#This Row],[Converted data]]/1000</f>
        <v>#N/A</v>
      </c>
      <c r="AJ285" s="210" t="e">
        <f>_xlfn.XLOOKUP(_xlfn.CONCAT(Buildings_Water_Backend[[#This Row],[Level 1]:[Level 6]]),rng_EFConcat,rng_EF3TD)*Buildings_Water_Backend[[#This Row],[Converted data]]/1000</f>
        <v>#N/A</v>
      </c>
      <c r="AK285" s="210" t="e">
        <f>_xlfn.XLOOKUP(_xlfn.CONCAT(Buildings_Water_Backend[[#This Row],[Level 1]:[Level 6]]),rng_EFConcat,rng_EF3WTTTD)*Buildings_Water_Backend[[#This Row],[Converted data]]/1000</f>
        <v>#N/A</v>
      </c>
      <c r="AL285" s="220" t="e">
        <f>SUM(Buildings_Water_Backend[[#This Row],[Scope 1 (tCO2e)]:[Scope 3 WTT T&amp;D (tCO2e)]])</f>
        <v>#N/A</v>
      </c>
      <c r="AM285" s="220" t="e">
        <f>Buildings_Water_Backend[[#This Row],[Total (tCO2e)]]*(1-Buildings_Water_Backend[[#This Row],[RSD]])</f>
        <v>#N/A</v>
      </c>
      <c r="AN285" s="220" t="e">
        <f>Buildings_Water_Backend[[#This Row],[Total (tCO2e)]]*(1+Buildings_Water_Backend[[#This Row],[RSD]])</f>
        <v>#N/A</v>
      </c>
      <c r="AO285" s="210" t="e">
        <f>_xlfn.XLOOKUP(_xlfn.CONCAT(Buildings_Water_Backend[[#This Row],[Level 1]:[Level 6]]),rng_EFConcat,rng_EFOOS)*Buildings_Water_Backend[[#This Row],[Converted data]]/1000</f>
        <v>#N/A</v>
      </c>
      <c r="AP285" s="174">
        <f>Buildings_Water_Frontend[[#This Row],[Ease of collection]]</f>
        <v>0</v>
      </c>
      <c r="AQ285" s="174">
        <f>Buildings_Water_Frontend[[#This Row],[Completeness]]</f>
        <v>0</v>
      </c>
      <c r="AR285" s="174">
        <f>Buildings_Water_Frontend[[#This Row],[Notes]]</f>
        <v>0</v>
      </c>
    </row>
    <row r="286" spans="5:44" x14ac:dyDescent="0.3">
      <c r="E286" s="346"/>
      <c r="F286" s="364"/>
      <c r="G286" s="336"/>
      <c r="H286" s="336"/>
      <c r="I286" s="334"/>
      <c r="J286" s="336"/>
      <c r="K286" s="336"/>
      <c r="L286" s="336"/>
      <c r="M286" s="337"/>
      <c r="N286" s="242">
        <f t="shared" si="9"/>
        <v>5</v>
      </c>
      <c r="Q286" s="212" t="str">
        <f t="shared" si="8"/>
        <v/>
      </c>
      <c r="R286" s="174" t="s">
        <v>265</v>
      </c>
      <c r="S286" s="174" t="s">
        <v>273</v>
      </c>
      <c r="T286" s="174" t="e">
        <f>_xlfn.XLOOKUP(Buildings_Water_Backend[[#This Row],[Info 1]],Buildings_SiteInfo[Site name],Buildings_SiteInfo[Site type])</f>
        <v>#N/A</v>
      </c>
      <c r="U286" s="174" t="s">
        <v>327</v>
      </c>
      <c r="V286" s="174">
        <f>Buildings_Water_Frontend[[#This Row],[Type]]</f>
        <v>0</v>
      </c>
      <c r="W286" s="174" t="e" cm="1">
        <f t="array" aca="1" ref="W286" ca="1">_xlfn.XLOOKUP(Buildings_Water_Backend[[#This Row],[Level 5]],rng_Level5Long,rng_Level6Long)</f>
        <v>#N/A</v>
      </c>
      <c r="X286" s="174">
        <f>Buildings_Water_Frontend[[#This Row],[Site Name]]</f>
        <v>0</v>
      </c>
      <c r="Y286" s="174">
        <f>Buildings_Water_Frontend[[#This Row],[Meter Reference]]</f>
        <v>0</v>
      </c>
      <c r="Z286" s="220">
        <f>Buildings_Water_Frontend[[#This Row],[Methodology]]</f>
        <v>0</v>
      </c>
      <c r="AA286" s="229" t="e" cm="1">
        <f t="array" ref="AA286">INDEX(_xlfn.SWITCH(Buildings_Water_Backend[[#This Row],[Methodology]],"Tier 1",rng_RSD1,"Tier 2",rng_RSD2,"Tier 3",rng_RSD3),MATCH(_xlfn.CONCAT(Buildings_Water_Backend[[#This Row],[Level 1]:[Level 6]]),rng_LevelsConcat,0))</f>
        <v>#N/A</v>
      </c>
      <c r="AB286" s="224">
        <f>Buildings_Water_Frontend[[#This Row],[Data]]</f>
        <v>0</v>
      </c>
      <c r="AC286" s="174">
        <f>Buildings_Water_Frontend[[#This Row],[Units]]</f>
        <v>0</v>
      </c>
      <c r="AD286" s="220" t="e">
        <f>IF(Buildings_Water_Backend[[#This Row],[Units]]=Buildings_Water_Backend[[#This Row],[Standard units]],Buildings_Water_Backend[[#This Row],[Data]],Buildings_Water_Backend[[#This Row],[Data]]*_xlfn.XLOOKUP(_xlfn.CONCAT(Buildings_Water_Backend[[#This Row],[Level 1]:[Level 6]]),rng_EFConcat,rng_EFConversion))</f>
        <v>#N/A</v>
      </c>
      <c r="AE286" s="174" t="e" cm="1">
        <f t="array" ref="AE286">_xlfn.XLOOKUP(_xlfn.CONCAT(Buildings_Water_Backend[[#This Row],[Level 1]:[Level 6]]),rng_LevelsConcat,rng_UnitsLong)</f>
        <v>#N/A</v>
      </c>
      <c r="AF286" s="210" t="e">
        <f>_xlfn.XLOOKUP(_xlfn.CONCAT(Buildings_Water_Backend[[#This Row],[Level 1]:[Level 6]]),rng_EFConcat,rng_EF1)*Buildings_Water_Backend[[#This Row],[Converted data]]/1000</f>
        <v>#N/A</v>
      </c>
      <c r="AG286" s="210" t="e">
        <f>_xlfn.XLOOKUP(_xlfn.CONCAT(Buildings_Water_Backend[[#This Row],[Level 1]:[Level 6]]),rng_EFConcat,rng_EF2)*Buildings_Water_Backend[[#This Row],[Converted data]]/1000</f>
        <v>#N/A</v>
      </c>
      <c r="AH286" s="210" t="e">
        <f>_xlfn.XLOOKUP(_xlfn.CONCAT(Buildings_Water_Backend[[#This Row],[Level 1]:[Level 6]]),rng_EFConcat,rng_EF3)*Buildings_Water_Backend[[#This Row],[Converted data]]/1000</f>
        <v>#N/A</v>
      </c>
      <c r="AI286" s="210" t="e">
        <f>_xlfn.XLOOKUP(_xlfn.CONCAT(Buildings_Water_Backend[[#This Row],[Level 1]:[Level 6]]),rng_EFConcat,rng_EF3WTT)*Buildings_Water_Backend[[#This Row],[Converted data]]/1000</f>
        <v>#N/A</v>
      </c>
      <c r="AJ286" s="210" t="e">
        <f>_xlfn.XLOOKUP(_xlfn.CONCAT(Buildings_Water_Backend[[#This Row],[Level 1]:[Level 6]]),rng_EFConcat,rng_EF3TD)*Buildings_Water_Backend[[#This Row],[Converted data]]/1000</f>
        <v>#N/A</v>
      </c>
      <c r="AK286" s="210" t="e">
        <f>_xlfn.XLOOKUP(_xlfn.CONCAT(Buildings_Water_Backend[[#This Row],[Level 1]:[Level 6]]),rng_EFConcat,rng_EF3WTTTD)*Buildings_Water_Backend[[#This Row],[Converted data]]/1000</f>
        <v>#N/A</v>
      </c>
      <c r="AL286" s="220" t="e">
        <f>SUM(Buildings_Water_Backend[[#This Row],[Scope 1 (tCO2e)]:[Scope 3 WTT T&amp;D (tCO2e)]])</f>
        <v>#N/A</v>
      </c>
      <c r="AM286" s="220" t="e">
        <f>Buildings_Water_Backend[[#This Row],[Total (tCO2e)]]*(1-Buildings_Water_Backend[[#This Row],[RSD]])</f>
        <v>#N/A</v>
      </c>
      <c r="AN286" s="220" t="e">
        <f>Buildings_Water_Backend[[#This Row],[Total (tCO2e)]]*(1+Buildings_Water_Backend[[#This Row],[RSD]])</f>
        <v>#N/A</v>
      </c>
      <c r="AO286" s="210" t="e">
        <f>_xlfn.XLOOKUP(_xlfn.CONCAT(Buildings_Water_Backend[[#This Row],[Level 1]:[Level 6]]),rng_EFConcat,rng_EFOOS)*Buildings_Water_Backend[[#This Row],[Converted data]]/1000</f>
        <v>#N/A</v>
      </c>
      <c r="AP286" s="174">
        <f>Buildings_Water_Frontend[[#This Row],[Ease of collection]]</f>
        <v>0</v>
      </c>
      <c r="AQ286" s="174">
        <f>Buildings_Water_Frontend[[#This Row],[Completeness]]</f>
        <v>0</v>
      </c>
      <c r="AR286" s="174">
        <f>Buildings_Water_Frontend[[#This Row],[Notes]]</f>
        <v>0</v>
      </c>
    </row>
    <row r="287" spans="5:44" x14ac:dyDescent="0.3">
      <c r="E287" s="346"/>
      <c r="F287" s="364"/>
      <c r="G287" s="336"/>
      <c r="H287" s="336"/>
      <c r="I287" s="334"/>
      <c r="J287" s="336"/>
      <c r="K287" s="336"/>
      <c r="L287" s="336"/>
      <c r="M287" s="337"/>
      <c r="N287" s="242">
        <f t="shared" si="9"/>
        <v>5</v>
      </c>
      <c r="Q287" s="212" t="str">
        <f t="shared" si="8"/>
        <v/>
      </c>
      <c r="R287" s="174" t="s">
        <v>265</v>
      </c>
      <c r="S287" s="174" t="s">
        <v>273</v>
      </c>
      <c r="T287" s="174" t="e">
        <f>_xlfn.XLOOKUP(Buildings_Water_Backend[[#This Row],[Info 1]],Buildings_SiteInfo[Site name],Buildings_SiteInfo[Site type])</f>
        <v>#N/A</v>
      </c>
      <c r="U287" s="174" t="s">
        <v>327</v>
      </c>
      <c r="V287" s="174">
        <f>Buildings_Water_Frontend[[#This Row],[Type]]</f>
        <v>0</v>
      </c>
      <c r="W287" s="174" t="e" cm="1">
        <f t="array" aca="1" ref="W287" ca="1">_xlfn.XLOOKUP(Buildings_Water_Backend[[#This Row],[Level 5]],rng_Level5Long,rng_Level6Long)</f>
        <v>#N/A</v>
      </c>
      <c r="X287" s="174">
        <f>Buildings_Water_Frontend[[#This Row],[Site Name]]</f>
        <v>0</v>
      </c>
      <c r="Y287" s="174">
        <f>Buildings_Water_Frontend[[#This Row],[Meter Reference]]</f>
        <v>0</v>
      </c>
      <c r="Z287" s="220">
        <f>Buildings_Water_Frontend[[#This Row],[Methodology]]</f>
        <v>0</v>
      </c>
      <c r="AA287" s="229" t="e" cm="1">
        <f t="array" ref="AA287">INDEX(_xlfn.SWITCH(Buildings_Water_Backend[[#This Row],[Methodology]],"Tier 1",rng_RSD1,"Tier 2",rng_RSD2,"Tier 3",rng_RSD3),MATCH(_xlfn.CONCAT(Buildings_Water_Backend[[#This Row],[Level 1]:[Level 6]]),rng_LevelsConcat,0))</f>
        <v>#N/A</v>
      </c>
      <c r="AB287" s="224">
        <f>Buildings_Water_Frontend[[#This Row],[Data]]</f>
        <v>0</v>
      </c>
      <c r="AC287" s="174">
        <f>Buildings_Water_Frontend[[#This Row],[Units]]</f>
        <v>0</v>
      </c>
      <c r="AD287" s="220" t="e">
        <f>IF(Buildings_Water_Backend[[#This Row],[Units]]=Buildings_Water_Backend[[#This Row],[Standard units]],Buildings_Water_Backend[[#This Row],[Data]],Buildings_Water_Backend[[#This Row],[Data]]*_xlfn.XLOOKUP(_xlfn.CONCAT(Buildings_Water_Backend[[#This Row],[Level 1]:[Level 6]]),rng_EFConcat,rng_EFConversion))</f>
        <v>#N/A</v>
      </c>
      <c r="AE287" s="174" t="e" cm="1">
        <f t="array" ref="AE287">_xlfn.XLOOKUP(_xlfn.CONCAT(Buildings_Water_Backend[[#This Row],[Level 1]:[Level 6]]),rng_LevelsConcat,rng_UnitsLong)</f>
        <v>#N/A</v>
      </c>
      <c r="AF287" s="210" t="e">
        <f>_xlfn.XLOOKUP(_xlfn.CONCAT(Buildings_Water_Backend[[#This Row],[Level 1]:[Level 6]]),rng_EFConcat,rng_EF1)*Buildings_Water_Backend[[#This Row],[Converted data]]/1000</f>
        <v>#N/A</v>
      </c>
      <c r="AG287" s="210" t="e">
        <f>_xlfn.XLOOKUP(_xlfn.CONCAT(Buildings_Water_Backend[[#This Row],[Level 1]:[Level 6]]),rng_EFConcat,rng_EF2)*Buildings_Water_Backend[[#This Row],[Converted data]]/1000</f>
        <v>#N/A</v>
      </c>
      <c r="AH287" s="210" t="e">
        <f>_xlfn.XLOOKUP(_xlfn.CONCAT(Buildings_Water_Backend[[#This Row],[Level 1]:[Level 6]]),rng_EFConcat,rng_EF3)*Buildings_Water_Backend[[#This Row],[Converted data]]/1000</f>
        <v>#N/A</v>
      </c>
      <c r="AI287" s="210" t="e">
        <f>_xlfn.XLOOKUP(_xlfn.CONCAT(Buildings_Water_Backend[[#This Row],[Level 1]:[Level 6]]),rng_EFConcat,rng_EF3WTT)*Buildings_Water_Backend[[#This Row],[Converted data]]/1000</f>
        <v>#N/A</v>
      </c>
      <c r="AJ287" s="210" t="e">
        <f>_xlfn.XLOOKUP(_xlfn.CONCAT(Buildings_Water_Backend[[#This Row],[Level 1]:[Level 6]]),rng_EFConcat,rng_EF3TD)*Buildings_Water_Backend[[#This Row],[Converted data]]/1000</f>
        <v>#N/A</v>
      </c>
      <c r="AK287" s="210" t="e">
        <f>_xlfn.XLOOKUP(_xlfn.CONCAT(Buildings_Water_Backend[[#This Row],[Level 1]:[Level 6]]),rng_EFConcat,rng_EF3WTTTD)*Buildings_Water_Backend[[#This Row],[Converted data]]/1000</f>
        <v>#N/A</v>
      </c>
      <c r="AL287" s="220" t="e">
        <f>SUM(Buildings_Water_Backend[[#This Row],[Scope 1 (tCO2e)]:[Scope 3 WTT T&amp;D (tCO2e)]])</f>
        <v>#N/A</v>
      </c>
      <c r="AM287" s="220" t="e">
        <f>Buildings_Water_Backend[[#This Row],[Total (tCO2e)]]*(1-Buildings_Water_Backend[[#This Row],[RSD]])</f>
        <v>#N/A</v>
      </c>
      <c r="AN287" s="220" t="e">
        <f>Buildings_Water_Backend[[#This Row],[Total (tCO2e)]]*(1+Buildings_Water_Backend[[#This Row],[RSD]])</f>
        <v>#N/A</v>
      </c>
      <c r="AO287" s="210" t="e">
        <f>_xlfn.XLOOKUP(_xlfn.CONCAT(Buildings_Water_Backend[[#This Row],[Level 1]:[Level 6]]),rng_EFConcat,rng_EFOOS)*Buildings_Water_Backend[[#This Row],[Converted data]]/1000</f>
        <v>#N/A</v>
      </c>
      <c r="AP287" s="174">
        <f>Buildings_Water_Frontend[[#This Row],[Ease of collection]]</f>
        <v>0</v>
      </c>
      <c r="AQ287" s="174">
        <f>Buildings_Water_Frontend[[#This Row],[Completeness]]</f>
        <v>0</v>
      </c>
      <c r="AR287" s="174">
        <f>Buildings_Water_Frontend[[#This Row],[Notes]]</f>
        <v>0</v>
      </c>
    </row>
    <row r="288" spans="5:44" x14ac:dyDescent="0.3">
      <c r="E288" s="346"/>
      <c r="F288" s="364"/>
      <c r="G288" s="336"/>
      <c r="H288" s="336"/>
      <c r="I288" s="334"/>
      <c r="J288" s="336"/>
      <c r="K288" s="336"/>
      <c r="L288" s="336"/>
      <c r="M288" s="337"/>
      <c r="N288" s="242">
        <f t="shared" si="9"/>
        <v>5</v>
      </c>
      <c r="Q288" s="212" t="str">
        <f t="shared" si="8"/>
        <v/>
      </c>
      <c r="R288" s="174" t="s">
        <v>265</v>
      </c>
      <c r="S288" s="174" t="s">
        <v>273</v>
      </c>
      <c r="T288" s="174" t="e">
        <f>_xlfn.XLOOKUP(Buildings_Water_Backend[[#This Row],[Info 1]],Buildings_SiteInfo[Site name],Buildings_SiteInfo[Site type])</f>
        <v>#N/A</v>
      </c>
      <c r="U288" s="174" t="s">
        <v>327</v>
      </c>
      <c r="V288" s="174">
        <f>Buildings_Water_Frontend[[#This Row],[Type]]</f>
        <v>0</v>
      </c>
      <c r="W288" s="174" t="e" cm="1">
        <f t="array" aca="1" ref="W288" ca="1">_xlfn.XLOOKUP(Buildings_Water_Backend[[#This Row],[Level 5]],rng_Level5Long,rng_Level6Long)</f>
        <v>#N/A</v>
      </c>
      <c r="X288" s="174">
        <f>Buildings_Water_Frontend[[#This Row],[Site Name]]</f>
        <v>0</v>
      </c>
      <c r="Y288" s="174">
        <f>Buildings_Water_Frontend[[#This Row],[Meter Reference]]</f>
        <v>0</v>
      </c>
      <c r="Z288" s="220">
        <f>Buildings_Water_Frontend[[#This Row],[Methodology]]</f>
        <v>0</v>
      </c>
      <c r="AA288" s="229" t="e" cm="1">
        <f t="array" ref="AA288">INDEX(_xlfn.SWITCH(Buildings_Water_Backend[[#This Row],[Methodology]],"Tier 1",rng_RSD1,"Tier 2",rng_RSD2,"Tier 3",rng_RSD3),MATCH(_xlfn.CONCAT(Buildings_Water_Backend[[#This Row],[Level 1]:[Level 6]]),rng_LevelsConcat,0))</f>
        <v>#N/A</v>
      </c>
      <c r="AB288" s="224">
        <f>Buildings_Water_Frontend[[#This Row],[Data]]</f>
        <v>0</v>
      </c>
      <c r="AC288" s="174">
        <f>Buildings_Water_Frontend[[#This Row],[Units]]</f>
        <v>0</v>
      </c>
      <c r="AD288" s="220" t="e">
        <f>IF(Buildings_Water_Backend[[#This Row],[Units]]=Buildings_Water_Backend[[#This Row],[Standard units]],Buildings_Water_Backend[[#This Row],[Data]],Buildings_Water_Backend[[#This Row],[Data]]*_xlfn.XLOOKUP(_xlfn.CONCAT(Buildings_Water_Backend[[#This Row],[Level 1]:[Level 6]]),rng_EFConcat,rng_EFConversion))</f>
        <v>#N/A</v>
      </c>
      <c r="AE288" s="174" t="e" cm="1">
        <f t="array" ref="AE288">_xlfn.XLOOKUP(_xlfn.CONCAT(Buildings_Water_Backend[[#This Row],[Level 1]:[Level 6]]),rng_LevelsConcat,rng_UnitsLong)</f>
        <v>#N/A</v>
      </c>
      <c r="AF288" s="210" t="e">
        <f>_xlfn.XLOOKUP(_xlfn.CONCAT(Buildings_Water_Backend[[#This Row],[Level 1]:[Level 6]]),rng_EFConcat,rng_EF1)*Buildings_Water_Backend[[#This Row],[Converted data]]/1000</f>
        <v>#N/A</v>
      </c>
      <c r="AG288" s="210" t="e">
        <f>_xlfn.XLOOKUP(_xlfn.CONCAT(Buildings_Water_Backend[[#This Row],[Level 1]:[Level 6]]),rng_EFConcat,rng_EF2)*Buildings_Water_Backend[[#This Row],[Converted data]]/1000</f>
        <v>#N/A</v>
      </c>
      <c r="AH288" s="210" t="e">
        <f>_xlfn.XLOOKUP(_xlfn.CONCAT(Buildings_Water_Backend[[#This Row],[Level 1]:[Level 6]]),rng_EFConcat,rng_EF3)*Buildings_Water_Backend[[#This Row],[Converted data]]/1000</f>
        <v>#N/A</v>
      </c>
      <c r="AI288" s="210" t="e">
        <f>_xlfn.XLOOKUP(_xlfn.CONCAT(Buildings_Water_Backend[[#This Row],[Level 1]:[Level 6]]),rng_EFConcat,rng_EF3WTT)*Buildings_Water_Backend[[#This Row],[Converted data]]/1000</f>
        <v>#N/A</v>
      </c>
      <c r="AJ288" s="210" t="e">
        <f>_xlfn.XLOOKUP(_xlfn.CONCAT(Buildings_Water_Backend[[#This Row],[Level 1]:[Level 6]]),rng_EFConcat,rng_EF3TD)*Buildings_Water_Backend[[#This Row],[Converted data]]/1000</f>
        <v>#N/A</v>
      </c>
      <c r="AK288" s="210" t="e">
        <f>_xlfn.XLOOKUP(_xlfn.CONCAT(Buildings_Water_Backend[[#This Row],[Level 1]:[Level 6]]),rng_EFConcat,rng_EF3WTTTD)*Buildings_Water_Backend[[#This Row],[Converted data]]/1000</f>
        <v>#N/A</v>
      </c>
      <c r="AL288" s="220" t="e">
        <f>SUM(Buildings_Water_Backend[[#This Row],[Scope 1 (tCO2e)]:[Scope 3 WTT T&amp;D (tCO2e)]])</f>
        <v>#N/A</v>
      </c>
      <c r="AM288" s="220" t="e">
        <f>Buildings_Water_Backend[[#This Row],[Total (tCO2e)]]*(1-Buildings_Water_Backend[[#This Row],[RSD]])</f>
        <v>#N/A</v>
      </c>
      <c r="AN288" s="220" t="e">
        <f>Buildings_Water_Backend[[#This Row],[Total (tCO2e)]]*(1+Buildings_Water_Backend[[#This Row],[RSD]])</f>
        <v>#N/A</v>
      </c>
      <c r="AO288" s="210" t="e">
        <f>_xlfn.XLOOKUP(_xlfn.CONCAT(Buildings_Water_Backend[[#This Row],[Level 1]:[Level 6]]),rng_EFConcat,rng_EFOOS)*Buildings_Water_Backend[[#This Row],[Converted data]]/1000</f>
        <v>#N/A</v>
      </c>
      <c r="AP288" s="174">
        <f>Buildings_Water_Frontend[[#This Row],[Ease of collection]]</f>
        <v>0</v>
      </c>
      <c r="AQ288" s="174">
        <f>Buildings_Water_Frontend[[#This Row],[Completeness]]</f>
        <v>0</v>
      </c>
      <c r="AR288" s="174">
        <f>Buildings_Water_Frontend[[#This Row],[Notes]]</f>
        <v>0</v>
      </c>
    </row>
    <row r="289" spans="5:44" x14ac:dyDescent="0.3">
      <c r="E289" s="346"/>
      <c r="F289" s="364"/>
      <c r="G289" s="336"/>
      <c r="H289" s="336"/>
      <c r="I289" s="334"/>
      <c r="J289" s="336"/>
      <c r="K289" s="336"/>
      <c r="L289" s="336"/>
      <c r="M289" s="337"/>
      <c r="N289" s="242">
        <f t="shared" si="9"/>
        <v>5</v>
      </c>
      <c r="Q289" s="212" t="str">
        <f t="shared" si="8"/>
        <v/>
      </c>
      <c r="R289" s="174" t="s">
        <v>265</v>
      </c>
      <c r="S289" s="174" t="s">
        <v>273</v>
      </c>
      <c r="T289" s="174" t="e">
        <f>_xlfn.XLOOKUP(Buildings_Water_Backend[[#This Row],[Info 1]],Buildings_SiteInfo[Site name],Buildings_SiteInfo[Site type])</f>
        <v>#N/A</v>
      </c>
      <c r="U289" s="174" t="s">
        <v>327</v>
      </c>
      <c r="V289" s="174">
        <f>Buildings_Water_Frontend[[#This Row],[Type]]</f>
        <v>0</v>
      </c>
      <c r="W289" s="174" t="e" cm="1">
        <f t="array" aca="1" ref="W289" ca="1">_xlfn.XLOOKUP(Buildings_Water_Backend[[#This Row],[Level 5]],rng_Level5Long,rng_Level6Long)</f>
        <v>#N/A</v>
      </c>
      <c r="X289" s="174">
        <f>Buildings_Water_Frontend[[#This Row],[Site Name]]</f>
        <v>0</v>
      </c>
      <c r="Y289" s="174">
        <f>Buildings_Water_Frontend[[#This Row],[Meter Reference]]</f>
        <v>0</v>
      </c>
      <c r="Z289" s="220">
        <f>Buildings_Water_Frontend[[#This Row],[Methodology]]</f>
        <v>0</v>
      </c>
      <c r="AA289" s="229" t="e" cm="1">
        <f t="array" ref="AA289">INDEX(_xlfn.SWITCH(Buildings_Water_Backend[[#This Row],[Methodology]],"Tier 1",rng_RSD1,"Tier 2",rng_RSD2,"Tier 3",rng_RSD3),MATCH(_xlfn.CONCAT(Buildings_Water_Backend[[#This Row],[Level 1]:[Level 6]]),rng_LevelsConcat,0))</f>
        <v>#N/A</v>
      </c>
      <c r="AB289" s="224">
        <f>Buildings_Water_Frontend[[#This Row],[Data]]</f>
        <v>0</v>
      </c>
      <c r="AC289" s="174">
        <f>Buildings_Water_Frontend[[#This Row],[Units]]</f>
        <v>0</v>
      </c>
      <c r="AD289" s="220" t="e">
        <f>IF(Buildings_Water_Backend[[#This Row],[Units]]=Buildings_Water_Backend[[#This Row],[Standard units]],Buildings_Water_Backend[[#This Row],[Data]],Buildings_Water_Backend[[#This Row],[Data]]*_xlfn.XLOOKUP(_xlfn.CONCAT(Buildings_Water_Backend[[#This Row],[Level 1]:[Level 6]]),rng_EFConcat,rng_EFConversion))</f>
        <v>#N/A</v>
      </c>
      <c r="AE289" s="174" t="e" cm="1">
        <f t="array" ref="AE289">_xlfn.XLOOKUP(_xlfn.CONCAT(Buildings_Water_Backend[[#This Row],[Level 1]:[Level 6]]),rng_LevelsConcat,rng_UnitsLong)</f>
        <v>#N/A</v>
      </c>
      <c r="AF289" s="210" t="e">
        <f>_xlfn.XLOOKUP(_xlfn.CONCAT(Buildings_Water_Backend[[#This Row],[Level 1]:[Level 6]]),rng_EFConcat,rng_EF1)*Buildings_Water_Backend[[#This Row],[Converted data]]/1000</f>
        <v>#N/A</v>
      </c>
      <c r="AG289" s="210" t="e">
        <f>_xlfn.XLOOKUP(_xlfn.CONCAT(Buildings_Water_Backend[[#This Row],[Level 1]:[Level 6]]),rng_EFConcat,rng_EF2)*Buildings_Water_Backend[[#This Row],[Converted data]]/1000</f>
        <v>#N/A</v>
      </c>
      <c r="AH289" s="210" t="e">
        <f>_xlfn.XLOOKUP(_xlfn.CONCAT(Buildings_Water_Backend[[#This Row],[Level 1]:[Level 6]]),rng_EFConcat,rng_EF3)*Buildings_Water_Backend[[#This Row],[Converted data]]/1000</f>
        <v>#N/A</v>
      </c>
      <c r="AI289" s="210" t="e">
        <f>_xlfn.XLOOKUP(_xlfn.CONCAT(Buildings_Water_Backend[[#This Row],[Level 1]:[Level 6]]),rng_EFConcat,rng_EF3WTT)*Buildings_Water_Backend[[#This Row],[Converted data]]/1000</f>
        <v>#N/A</v>
      </c>
      <c r="AJ289" s="210" t="e">
        <f>_xlfn.XLOOKUP(_xlfn.CONCAT(Buildings_Water_Backend[[#This Row],[Level 1]:[Level 6]]),rng_EFConcat,rng_EF3TD)*Buildings_Water_Backend[[#This Row],[Converted data]]/1000</f>
        <v>#N/A</v>
      </c>
      <c r="AK289" s="210" t="e">
        <f>_xlfn.XLOOKUP(_xlfn.CONCAT(Buildings_Water_Backend[[#This Row],[Level 1]:[Level 6]]),rng_EFConcat,rng_EF3WTTTD)*Buildings_Water_Backend[[#This Row],[Converted data]]/1000</f>
        <v>#N/A</v>
      </c>
      <c r="AL289" s="220" t="e">
        <f>SUM(Buildings_Water_Backend[[#This Row],[Scope 1 (tCO2e)]:[Scope 3 WTT T&amp;D (tCO2e)]])</f>
        <v>#N/A</v>
      </c>
      <c r="AM289" s="220" t="e">
        <f>Buildings_Water_Backend[[#This Row],[Total (tCO2e)]]*(1-Buildings_Water_Backend[[#This Row],[RSD]])</f>
        <v>#N/A</v>
      </c>
      <c r="AN289" s="220" t="e">
        <f>Buildings_Water_Backend[[#This Row],[Total (tCO2e)]]*(1+Buildings_Water_Backend[[#This Row],[RSD]])</f>
        <v>#N/A</v>
      </c>
      <c r="AO289" s="210" t="e">
        <f>_xlfn.XLOOKUP(_xlfn.CONCAT(Buildings_Water_Backend[[#This Row],[Level 1]:[Level 6]]),rng_EFConcat,rng_EFOOS)*Buildings_Water_Backend[[#This Row],[Converted data]]/1000</f>
        <v>#N/A</v>
      </c>
      <c r="AP289" s="174">
        <f>Buildings_Water_Frontend[[#This Row],[Ease of collection]]</f>
        <v>0</v>
      </c>
      <c r="AQ289" s="174">
        <f>Buildings_Water_Frontend[[#This Row],[Completeness]]</f>
        <v>0</v>
      </c>
      <c r="AR289" s="174">
        <f>Buildings_Water_Frontend[[#This Row],[Notes]]</f>
        <v>0</v>
      </c>
    </row>
    <row r="290" spans="5:44" x14ac:dyDescent="0.3">
      <c r="E290" s="346"/>
      <c r="F290" s="364"/>
      <c r="G290" s="336"/>
      <c r="H290" s="336"/>
      <c r="I290" s="334"/>
      <c r="J290" s="336"/>
      <c r="K290" s="336"/>
      <c r="L290" s="336"/>
      <c r="M290" s="337"/>
      <c r="N290" s="242">
        <f t="shared" si="9"/>
        <v>5</v>
      </c>
      <c r="Q290" s="212" t="str">
        <f t="shared" si="8"/>
        <v/>
      </c>
      <c r="R290" s="174" t="s">
        <v>265</v>
      </c>
      <c r="S290" s="174" t="s">
        <v>273</v>
      </c>
      <c r="T290" s="174" t="e">
        <f>_xlfn.XLOOKUP(Buildings_Water_Backend[[#This Row],[Info 1]],Buildings_SiteInfo[Site name],Buildings_SiteInfo[Site type])</f>
        <v>#N/A</v>
      </c>
      <c r="U290" s="174" t="s">
        <v>327</v>
      </c>
      <c r="V290" s="174">
        <f>Buildings_Water_Frontend[[#This Row],[Type]]</f>
        <v>0</v>
      </c>
      <c r="W290" s="174" t="e" cm="1">
        <f t="array" aca="1" ref="W290" ca="1">_xlfn.XLOOKUP(Buildings_Water_Backend[[#This Row],[Level 5]],rng_Level5Long,rng_Level6Long)</f>
        <v>#N/A</v>
      </c>
      <c r="X290" s="174">
        <f>Buildings_Water_Frontend[[#This Row],[Site Name]]</f>
        <v>0</v>
      </c>
      <c r="Y290" s="174">
        <f>Buildings_Water_Frontend[[#This Row],[Meter Reference]]</f>
        <v>0</v>
      </c>
      <c r="Z290" s="220">
        <f>Buildings_Water_Frontend[[#This Row],[Methodology]]</f>
        <v>0</v>
      </c>
      <c r="AA290" s="229" t="e" cm="1">
        <f t="array" ref="AA290">INDEX(_xlfn.SWITCH(Buildings_Water_Backend[[#This Row],[Methodology]],"Tier 1",rng_RSD1,"Tier 2",rng_RSD2,"Tier 3",rng_RSD3),MATCH(_xlfn.CONCAT(Buildings_Water_Backend[[#This Row],[Level 1]:[Level 6]]),rng_LevelsConcat,0))</f>
        <v>#N/A</v>
      </c>
      <c r="AB290" s="224">
        <f>Buildings_Water_Frontend[[#This Row],[Data]]</f>
        <v>0</v>
      </c>
      <c r="AC290" s="174">
        <f>Buildings_Water_Frontend[[#This Row],[Units]]</f>
        <v>0</v>
      </c>
      <c r="AD290" s="220" t="e">
        <f>IF(Buildings_Water_Backend[[#This Row],[Units]]=Buildings_Water_Backend[[#This Row],[Standard units]],Buildings_Water_Backend[[#This Row],[Data]],Buildings_Water_Backend[[#This Row],[Data]]*_xlfn.XLOOKUP(_xlfn.CONCAT(Buildings_Water_Backend[[#This Row],[Level 1]:[Level 6]]),rng_EFConcat,rng_EFConversion))</f>
        <v>#N/A</v>
      </c>
      <c r="AE290" s="174" t="e" cm="1">
        <f t="array" ref="AE290">_xlfn.XLOOKUP(_xlfn.CONCAT(Buildings_Water_Backend[[#This Row],[Level 1]:[Level 6]]),rng_LevelsConcat,rng_UnitsLong)</f>
        <v>#N/A</v>
      </c>
      <c r="AF290" s="210" t="e">
        <f>_xlfn.XLOOKUP(_xlfn.CONCAT(Buildings_Water_Backend[[#This Row],[Level 1]:[Level 6]]),rng_EFConcat,rng_EF1)*Buildings_Water_Backend[[#This Row],[Converted data]]/1000</f>
        <v>#N/A</v>
      </c>
      <c r="AG290" s="210" t="e">
        <f>_xlfn.XLOOKUP(_xlfn.CONCAT(Buildings_Water_Backend[[#This Row],[Level 1]:[Level 6]]),rng_EFConcat,rng_EF2)*Buildings_Water_Backend[[#This Row],[Converted data]]/1000</f>
        <v>#N/A</v>
      </c>
      <c r="AH290" s="210" t="e">
        <f>_xlfn.XLOOKUP(_xlfn.CONCAT(Buildings_Water_Backend[[#This Row],[Level 1]:[Level 6]]),rng_EFConcat,rng_EF3)*Buildings_Water_Backend[[#This Row],[Converted data]]/1000</f>
        <v>#N/A</v>
      </c>
      <c r="AI290" s="210" t="e">
        <f>_xlfn.XLOOKUP(_xlfn.CONCAT(Buildings_Water_Backend[[#This Row],[Level 1]:[Level 6]]),rng_EFConcat,rng_EF3WTT)*Buildings_Water_Backend[[#This Row],[Converted data]]/1000</f>
        <v>#N/A</v>
      </c>
      <c r="AJ290" s="210" t="e">
        <f>_xlfn.XLOOKUP(_xlfn.CONCAT(Buildings_Water_Backend[[#This Row],[Level 1]:[Level 6]]),rng_EFConcat,rng_EF3TD)*Buildings_Water_Backend[[#This Row],[Converted data]]/1000</f>
        <v>#N/A</v>
      </c>
      <c r="AK290" s="210" t="e">
        <f>_xlfn.XLOOKUP(_xlfn.CONCAT(Buildings_Water_Backend[[#This Row],[Level 1]:[Level 6]]),rng_EFConcat,rng_EF3WTTTD)*Buildings_Water_Backend[[#This Row],[Converted data]]/1000</f>
        <v>#N/A</v>
      </c>
      <c r="AL290" s="220" t="e">
        <f>SUM(Buildings_Water_Backend[[#This Row],[Scope 1 (tCO2e)]:[Scope 3 WTT T&amp;D (tCO2e)]])</f>
        <v>#N/A</v>
      </c>
      <c r="AM290" s="220" t="e">
        <f>Buildings_Water_Backend[[#This Row],[Total (tCO2e)]]*(1-Buildings_Water_Backend[[#This Row],[RSD]])</f>
        <v>#N/A</v>
      </c>
      <c r="AN290" s="220" t="e">
        <f>Buildings_Water_Backend[[#This Row],[Total (tCO2e)]]*(1+Buildings_Water_Backend[[#This Row],[RSD]])</f>
        <v>#N/A</v>
      </c>
      <c r="AO290" s="210" t="e">
        <f>_xlfn.XLOOKUP(_xlfn.CONCAT(Buildings_Water_Backend[[#This Row],[Level 1]:[Level 6]]),rng_EFConcat,rng_EFOOS)*Buildings_Water_Backend[[#This Row],[Converted data]]/1000</f>
        <v>#N/A</v>
      </c>
      <c r="AP290" s="174">
        <f>Buildings_Water_Frontend[[#This Row],[Ease of collection]]</f>
        <v>0</v>
      </c>
      <c r="AQ290" s="174">
        <f>Buildings_Water_Frontend[[#This Row],[Completeness]]</f>
        <v>0</v>
      </c>
      <c r="AR290" s="174">
        <f>Buildings_Water_Frontend[[#This Row],[Notes]]</f>
        <v>0</v>
      </c>
    </row>
    <row r="291" spans="5:44" x14ac:dyDescent="0.3">
      <c r="E291" s="346"/>
      <c r="F291" s="364"/>
      <c r="G291" s="336"/>
      <c r="H291" s="336"/>
      <c r="I291" s="334"/>
      <c r="J291" s="336"/>
      <c r="K291" s="336"/>
      <c r="L291" s="336"/>
      <c r="M291" s="337"/>
      <c r="N291" s="242">
        <f t="shared" si="9"/>
        <v>5</v>
      </c>
      <c r="Q291" s="212" t="str">
        <f t="shared" si="8"/>
        <v/>
      </c>
      <c r="R291" s="174" t="s">
        <v>265</v>
      </c>
      <c r="S291" s="174" t="s">
        <v>273</v>
      </c>
      <c r="T291" s="174" t="e">
        <f>_xlfn.XLOOKUP(Buildings_Water_Backend[[#This Row],[Info 1]],Buildings_SiteInfo[Site name],Buildings_SiteInfo[Site type])</f>
        <v>#N/A</v>
      </c>
      <c r="U291" s="174" t="s">
        <v>327</v>
      </c>
      <c r="V291" s="174">
        <f>Buildings_Water_Frontend[[#This Row],[Type]]</f>
        <v>0</v>
      </c>
      <c r="W291" s="174" t="e" cm="1">
        <f t="array" aca="1" ref="W291" ca="1">_xlfn.XLOOKUP(Buildings_Water_Backend[[#This Row],[Level 5]],rng_Level5Long,rng_Level6Long)</f>
        <v>#N/A</v>
      </c>
      <c r="X291" s="174">
        <f>Buildings_Water_Frontend[[#This Row],[Site Name]]</f>
        <v>0</v>
      </c>
      <c r="Y291" s="174">
        <f>Buildings_Water_Frontend[[#This Row],[Meter Reference]]</f>
        <v>0</v>
      </c>
      <c r="Z291" s="220">
        <f>Buildings_Water_Frontend[[#This Row],[Methodology]]</f>
        <v>0</v>
      </c>
      <c r="AA291" s="229" t="e" cm="1">
        <f t="array" ref="AA291">INDEX(_xlfn.SWITCH(Buildings_Water_Backend[[#This Row],[Methodology]],"Tier 1",rng_RSD1,"Tier 2",rng_RSD2,"Tier 3",rng_RSD3),MATCH(_xlfn.CONCAT(Buildings_Water_Backend[[#This Row],[Level 1]:[Level 6]]),rng_LevelsConcat,0))</f>
        <v>#N/A</v>
      </c>
      <c r="AB291" s="224">
        <f>Buildings_Water_Frontend[[#This Row],[Data]]</f>
        <v>0</v>
      </c>
      <c r="AC291" s="174">
        <f>Buildings_Water_Frontend[[#This Row],[Units]]</f>
        <v>0</v>
      </c>
      <c r="AD291" s="220" t="e">
        <f>IF(Buildings_Water_Backend[[#This Row],[Units]]=Buildings_Water_Backend[[#This Row],[Standard units]],Buildings_Water_Backend[[#This Row],[Data]],Buildings_Water_Backend[[#This Row],[Data]]*_xlfn.XLOOKUP(_xlfn.CONCAT(Buildings_Water_Backend[[#This Row],[Level 1]:[Level 6]]),rng_EFConcat,rng_EFConversion))</f>
        <v>#N/A</v>
      </c>
      <c r="AE291" s="174" t="e" cm="1">
        <f t="array" ref="AE291">_xlfn.XLOOKUP(_xlfn.CONCAT(Buildings_Water_Backend[[#This Row],[Level 1]:[Level 6]]),rng_LevelsConcat,rng_UnitsLong)</f>
        <v>#N/A</v>
      </c>
      <c r="AF291" s="210" t="e">
        <f>_xlfn.XLOOKUP(_xlfn.CONCAT(Buildings_Water_Backend[[#This Row],[Level 1]:[Level 6]]),rng_EFConcat,rng_EF1)*Buildings_Water_Backend[[#This Row],[Converted data]]/1000</f>
        <v>#N/A</v>
      </c>
      <c r="AG291" s="210" t="e">
        <f>_xlfn.XLOOKUP(_xlfn.CONCAT(Buildings_Water_Backend[[#This Row],[Level 1]:[Level 6]]),rng_EFConcat,rng_EF2)*Buildings_Water_Backend[[#This Row],[Converted data]]/1000</f>
        <v>#N/A</v>
      </c>
      <c r="AH291" s="210" t="e">
        <f>_xlfn.XLOOKUP(_xlfn.CONCAT(Buildings_Water_Backend[[#This Row],[Level 1]:[Level 6]]),rng_EFConcat,rng_EF3)*Buildings_Water_Backend[[#This Row],[Converted data]]/1000</f>
        <v>#N/A</v>
      </c>
      <c r="AI291" s="210" t="e">
        <f>_xlfn.XLOOKUP(_xlfn.CONCAT(Buildings_Water_Backend[[#This Row],[Level 1]:[Level 6]]),rng_EFConcat,rng_EF3WTT)*Buildings_Water_Backend[[#This Row],[Converted data]]/1000</f>
        <v>#N/A</v>
      </c>
      <c r="AJ291" s="210" t="e">
        <f>_xlfn.XLOOKUP(_xlfn.CONCAT(Buildings_Water_Backend[[#This Row],[Level 1]:[Level 6]]),rng_EFConcat,rng_EF3TD)*Buildings_Water_Backend[[#This Row],[Converted data]]/1000</f>
        <v>#N/A</v>
      </c>
      <c r="AK291" s="210" t="e">
        <f>_xlfn.XLOOKUP(_xlfn.CONCAT(Buildings_Water_Backend[[#This Row],[Level 1]:[Level 6]]),rng_EFConcat,rng_EF3WTTTD)*Buildings_Water_Backend[[#This Row],[Converted data]]/1000</f>
        <v>#N/A</v>
      </c>
      <c r="AL291" s="220" t="e">
        <f>SUM(Buildings_Water_Backend[[#This Row],[Scope 1 (tCO2e)]:[Scope 3 WTT T&amp;D (tCO2e)]])</f>
        <v>#N/A</v>
      </c>
      <c r="AM291" s="220" t="e">
        <f>Buildings_Water_Backend[[#This Row],[Total (tCO2e)]]*(1-Buildings_Water_Backend[[#This Row],[RSD]])</f>
        <v>#N/A</v>
      </c>
      <c r="AN291" s="220" t="e">
        <f>Buildings_Water_Backend[[#This Row],[Total (tCO2e)]]*(1+Buildings_Water_Backend[[#This Row],[RSD]])</f>
        <v>#N/A</v>
      </c>
      <c r="AO291" s="210" t="e">
        <f>_xlfn.XLOOKUP(_xlfn.CONCAT(Buildings_Water_Backend[[#This Row],[Level 1]:[Level 6]]),rng_EFConcat,rng_EFOOS)*Buildings_Water_Backend[[#This Row],[Converted data]]/1000</f>
        <v>#N/A</v>
      </c>
      <c r="AP291" s="174">
        <f>Buildings_Water_Frontend[[#This Row],[Ease of collection]]</f>
        <v>0</v>
      </c>
      <c r="AQ291" s="174">
        <f>Buildings_Water_Frontend[[#This Row],[Completeness]]</f>
        <v>0</v>
      </c>
      <c r="AR291" s="174">
        <f>Buildings_Water_Frontend[[#This Row],[Notes]]</f>
        <v>0</v>
      </c>
    </row>
    <row r="292" spans="5:44" x14ac:dyDescent="0.3">
      <c r="E292" s="346"/>
      <c r="F292" s="364"/>
      <c r="G292" s="336"/>
      <c r="H292" s="336"/>
      <c r="I292" s="334"/>
      <c r="J292" s="336"/>
      <c r="K292" s="336"/>
      <c r="L292" s="336"/>
      <c r="M292" s="337"/>
      <c r="N292" s="242">
        <f t="shared" si="9"/>
        <v>5</v>
      </c>
      <c r="Q292" s="212" t="str">
        <f t="shared" si="8"/>
        <v/>
      </c>
      <c r="R292" s="174" t="s">
        <v>265</v>
      </c>
      <c r="S292" s="174" t="s">
        <v>273</v>
      </c>
      <c r="T292" s="174" t="e">
        <f>_xlfn.XLOOKUP(Buildings_Water_Backend[[#This Row],[Info 1]],Buildings_SiteInfo[Site name],Buildings_SiteInfo[Site type])</f>
        <v>#N/A</v>
      </c>
      <c r="U292" s="174" t="s">
        <v>327</v>
      </c>
      <c r="V292" s="174">
        <f>Buildings_Water_Frontend[[#This Row],[Type]]</f>
        <v>0</v>
      </c>
      <c r="W292" s="174" t="e" cm="1">
        <f t="array" aca="1" ref="W292" ca="1">_xlfn.XLOOKUP(Buildings_Water_Backend[[#This Row],[Level 5]],rng_Level5Long,rng_Level6Long)</f>
        <v>#N/A</v>
      </c>
      <c r="X292" s="174">
        <f>Buildings_Water_Frontend[[#This Row],[Site Name]]</f>
        <v>0</v>
      </c>
      <c r="Y292" s="174">
        <f>Buildings_Water_Frontend[[#This Row],[Meter Reference]]</f>
        <v>0</v>
      </c>
      <c r="Z292" s="220">
        <f>Buildings_Water_Frontend[[#This Row],[Methodology]]</f>
        <v>0</v>
      </c>
      <c r="AA292" s="229" t="e" cm="1">
        <f t="array" ref="AA292">INDEX(_xlfn.SWITCH(Buildings_Water_Backend[[#This Row],[Methodology]],"Tier 1",rng_RSD1,"Tier 2",rng_RSD2,"Tier 3",rng_RSD3),MATCH(_xlfn.CONCAT(Buildings_Water_Backend[[#This Row],[Level 1]:[Level 6]]),rng_LevelsConcat,0))</f>
        <v>#N/A</v>
      </c>
      <c r="AB292" s="224">
        <f>Buildings_Water_Frontend[[#This Row],[Data]]</f>
        <v>0</v>
      </c>
      <c r="AC292" s="174">
        <f>Buildings_Water_Frontend[[#This Row],[Units]]</f>
        <v>0</v>
      </c>
      <c r="AD292" s="220" t="e">
        <f>IF(Buildings_Water_Backend[[#This Row],[Units]]=Buildings_Water_Backend[[#This Row],[Standard units]],Buildings_Water_Backend[[#This Row],[Data]],Buildings_Water_Backend[[#This Row],[Data]]*_xlfn.XLOOKUP(_xlfn.CONCAT(Buildings_Water_Backend[[#This Row],[Level 1]:[Level 6]]),rng_EFConcat,rng_EFConversion))</f>
        <v>#N/A</v>
      </c>
      <c r="AE292" s="174" t="e" cm="1">
        <f t="array" ref="AE292">_xlfn.XLOOKUP(_xlfn.CONCAT(Buildings_Water_Backend[[#This Row],[Level 1]:[Level 6]]),rng_LevelsConcat,rng_UnitsLong)</f>
        <v>#N/A</v>
      </c>
      <c r="AF292" s="210" t="e">
        <f>_xlfn.XLOOKUP(_xlfn.CONCAT(Buildings_Water_Backend[[#This Row],[Level 1]:[Level 6]]),rng_EFConcat,rng_EF1)*Buildings_Water_Backend[[#This Row],[Converted data]]/1000</f>
        <v>#N/A</v>
      </c>
      <c r="AG292" s="210" t="e">
        <f>_xlfn.XLOOKUP(_xlfn.CONCAT(Buildings_Water_Backend[[#This Row],[Level 1]:[Level 6]]),rng_EFConcat,rng_EF2)*Buildings_Water_Backend[[#This Row],[Converted data]]/1000</f>
        <v>#N/A</v>
      </c>
      <c r="AH292" s="210" t="e">
        <f>_xlfn.XLOOKUP(_xlfn.CONCAT(Buildings_Water_Backend[[#This Row],[Level 1]:[Level 6]]),rng_EFConcat,rng_EF3)*Buildings_Water_Backend[[#This Row],[Converted data]]/1000</f>
        <v>#N/A</v>
      </c>
      <c r="AI292" s="210" t="e">
        <f>_xlfn.XLOOKUP(_xlfn.CONCAT(Buildings_Water_Backend[[#This Row],[Level 1]:[Level 6]]),rng_EFConcat,rng_EF3WTT)*Buildings_Water_Backend[[#This Row],[Converted data]]/1000</f>
        <v>#N/A</v>
      </c>
      <c r="AJ292" s="210" t="e">
        <f>_xlfn.XLOOKUP(_xlfn.CONCAT(Buildings_Water_Backend[[#This Row],[Level 1]:[Level 6]]),rng_EFConcat,rng_EF3TD)*Buildings_Water_Backend[[#This Row],[Converted data]]/1000</f>
        <v>#N/A</v>
      </c>
      <c r="AK292" s="210" t="e">
        <f>_xlfn.XLOOKUP(_xlfn.CONCAT(Buildings_Water_Backend[[#This Row],[Level 1]:[Level 6]]),rng_EFConcat,rng_EF3WTTTD)*Buildings_Water_Backend[[#This Row],[Converted data]]/1000</f>
        <v>#N/A</v>
      </c>
      <c r="AL292" s="220" t="e">
        <f>SUM(Buildings_Water_Backend[[#This Row],[Scope 1 (tCO2e)]:[Scope 3 WTT T&amp;D (tCO2e)]])</f>
        <v>#N/A</v>
      </c>
      <c r="AM292" s="220" t="e">
        <f>Buildings_Water_Backend[[#This Row],[Total (tCO2e)]]*(1-Buildings_Water_Backend[[#This Row],[RSD]])</f>
        <v>#N/A</v>
      </c>
      <c r="AN292" s="220" t="e">
        <f>Buildings_Water_Backend[[#This Row],[Total (tCO2e)]]*(1+Buildings_Water_Backend[[#This Row],[RSD]])</f>
        <v>#N/A</v>
      </c>
      <c r="AO292" s="210" t="e">
        <f>_xlfn.XLOOKUP(_xlfn.CONCAT(Buildings_Water_Backend[[#This Row],[Level 1]:[Level 6]]),rng_EFConcat,rng_EFOOS)*Buildings_Water_Backend[[#This Row],[Converted data]]/1000</f>
        <v>#N/A</v>
      </c>
      <c r="AP292" s="174">
        <f>Buildings_Water_Frontend[[#This Row],[Ease of collection]]</f>
        <v>0</v>
      </c>
      <c r="AQ292" s="174">
        <f>Buildings_Water_Frontend[[#This Row],[Completeness]]</f>
        <v>0</v>
      </c>
      <c r="AR292" s="174">
        <f>Buildings_Water_Frontend[[#This Row],[Notes]]</f>
        <v>0</v>
      </c>
    </row>
    <row r="293" spans="5:44" x14ac:dyDescent="0.3">
      <c r="E293" s="346"/>
      <c r="F293" s="364"/>
      <c r="G293" s="336"/>
      <c r="H293" s="336"/>
      <c r="I293" s="334"/>
      <c r="J293" s="336"/>
      <c r="K293" s="336"/>
      <c r="L293" s="336"/>
      <c r="M293" s="337"/>
      <c r="N293" s="242">
        <f t="shared" si="9"/>
        <v>5</v>
      </c>
      <c r="Q293" s="212" t="str">
        <f t="shared" si="8"/>
        <v/>
      </c>
      <c r="R293" s="174" t="s">
        <v>265</v>
      </c>
      <c r="S293" s="174" t="s">
        <v>273</v>
      </c>
      <c r="T293" s="174" t="e">
        <f>_xlfn.XLOOKUP(Buildings_Water_Backend[[#This Row],[Info 1]],Buildings_SiteInfo[Site name],Buildings_SiteInfo[Site type])</f>
        <v>#N/A</v>
      </c>
      <c r="U293" s="174" t="s">
        <v>327</v>
      </c>
      <c r="V293" s="174">
        <f>Buildings_Water_Frontend[[#This Row],[Type]]</f>
        <v>0</v>
      </c>
      <c r="W293" s="174" t="e" cm="1">
        <f t="array" aca="1" ref="W293" ca="1">_xlfn.XLOOKUP(Buildings_Water_Backend[[#This Row],[Level 5]],rng_Level5Long,rng_Level6Long)</f>
        <v>#N/A</v>
      </c>
      <c r="X293" s="174">
        <f>Buildings_Water_Frontend[[#This Row],[Site Name]]</f>
        <v>0</v>
      </c>
      <c r="Y293" s="174">
        <f>Buildings_Water_Frontend[[#This Row],[Meter Reference]]</f>
        <v>0</v>
      </c>
      <c r="Z293" s="220">
        <f>Buildings_Water_Frontend[[#This Row],[Methodology]]</f>
        <v>0</v>
      </c>
      <c r="AA293" s="229" t="e" cm="1">
        <f t="array" ref="AA293">INDEX(_xlfn.SWITCH(Buildings_Water_Backend[[#This Row],[Methodology]],"Tier 1",rng_RSD1,"Tier 2",rng_RSD2,"Tier 3",rng_RSD3),MATCH(_xlfn.CONCAT(Buildings_Water_Backend[[#This Row],[Level 1]:[Level 6]]),rng_LevelsConcat,0))</f>
        <v>#N/A</v>
      </c>
      <c r="AB293" s="224">
        <f>Buildings_Water_Frontend[[#This Row],[Data]]</f>
        <v>0</v>
      </c>
      <c r="AC293" s="174">
        <f>Buildings_Water_Frontend[[#This Row],[Units]]</f>
        <v>0</v>
      </c>
      <c r="AD293" s="220" t="e">
        <f>IF(Buildings_Water_Backend[[#This Row],[Units]]=Buildings_Water_Backend[[#This Row],[Standard units]],Buildings_Water_Backend[[#This Row],[Data]],Buildings_Water_Backend[[#This Row],[Data]]*_xlfn.XLOOKUP(_xlfn.CONCAT(Buildings_Water_Backend[[#This Row],[Level 1]:[Level 6]]),rng_EFConcat,rng_EFConversion))</f>
        <v>#N/A</v>
      </c>
      <c r="AE293" s="174" t="e" cm="1">
        <f t="array" ref="AE293">_xlfn.XLOOKUP(_xlfn.CONCAT(Buildings_Water_Backend[[#This Row],[Level 1]:[Level 6]]),rng_LevelsConcat,rng_UnitsLong)</f>
        <v>#N/A</v>
      </c>
      <c r="AF293" s="210" t="e">
        <f>_xlfn.XLOOKUP(_xlfn.CONCAT(Buildings_Water_Backend[[#This Row],[Level 1]:[Level 6]]),rng_EFConcat,rng_EF1)*Buildings_Water_Backend[[#This Row],[Converted data]]/1000</f>
        <v>#N/A</v>
      </c>
      <c r="AG293" s="210" t="e">
        <f>_xlfn.XLOOKUP(_xlfn.CONCAT(Buildings_Water_Backend[[#This Row],[Level 1]:[Level 6]]),rng_EFConcat,rng_EF2)*Buildings_Water_Backend[[#This Row],[Converted data]]/1000</f>
        <v>#N/A</v>
      </c>
      <c r="AH293" s="210" t="e">
        <f>_xlfn.XLOOKUP(_xlfn.CONCAT(Buildings_Water_Backend[[#This Row],[Level 1]:[Level 6]]),rng_EFConcat,rng_EF3)*Buildings_Water_Backend[[#This Row],[Converted data]]/1000</f>
        <v>#N/A</v>
      </c>
      <c r="AI293" s="210" t="e">
        <f>_xlfn.XLOOKUP(_xlfn.CONCAT(Buildings_Water_Backend[[#This Row],[Level 1]:[Level 6]]),rng_EFConcat,rng_EF3WTT)*Buildings_Water_Backend[[#This Row],[Converted data]]/1000</f>
        <v>#N/A</v>
      </c>
      <c r="AJ293" s="210" t="e">
        <f>_xlfn.XLOOKUP(_xlfn.CONCAT(Buildings_Water_Backend[[#This Row],[Level 1]:[Level 6]]),rng_EFConcat,rng_EF3TD)*Buildings_Water_Backend[[#This Row],[Converted data]]/1000</f>
        <v>#N/A</v>
      </c>
      <c r="AK293" s="210" t="e">
        <f>_xlfn.XLOOKUP(_xlfn.CONCAT(Buildings_Water_Backend[[#This Row],[Level 1]:[Level 6]]),rng_EFConcat,rng_EF3WTTTD)*Buildings_Water_Backend[[#This Row],[Converted data]]/1000</f>
        <v>#N/A</v>
      </c>
      <c r="AL293" s="220" t="e">
        <f>SUM(Buildings_Water_Backend[[#This Row],[Scope 1 (tCO2e)]:[Scope 3 WTT T&amp;D (tCO2e)]])</f>
        <v>#N/A</v>
      </c>
      <c r="AM293" s="220" t="e">
        <f>Buildings_Water_Backend[[#This Row],[Total (tCO2e)]]*(1-Buildings_Water_Backend[[#This Row],[RSD]])</f>
        <v>#N/A</v>
      </c>
      <c r="AN293" s="220" t="e">
        <f>Buildings_Water_Backend[[#This Row],[Total (tCO2e)]]*(1+Buildings_Water_Backend[[#This Row],[RSD]])</f>
        <v>#N/A</v>
      </c>
      <c r="AO293" s="210" t="e">
        <f>_xlfn.XLOOKUP(_xlfn.CONCAT(Buildings_Water_Backend[[#This Row],[Level 1]:[Level 6]]),rng_EFConcat,rng_EFOOS)*Buildings_Water_Backend[[#This Row],[Converted data]]/1000</f>
        <v>#N/A</v>
      </c>
      <c r="AP293" s="174">
        <f>Buildings_Water_Frontend[[#This Row],[Ease of collection]]</f>
        <v>0</v>
      </c>
      <c r="AQ293" s="174">
        <f>Buildings_Water_Frontend[[#This Row],[Completeness]]</f>
        <v>0</v>
      </c>
      <c r="AR293" s="174">
        <f>Buildings_Water_Frontend[[#This Row],[Notes]]</f>
        <v>0</v>
      </c>
    </row>
    <row r="294" spans="5:44" x14ac:dyDescent="0.3">
      <c r="E294" s="346"/>
      <c r="F294" s="364"/>
      <c r="G294" s="336"/>
      <c r="H294" s="336"/>
      <c r="I294" s="334"/>
      <c r="J294" s="336"/>
      <c r="K294" s="336"/>
      <c r="L294" s="336"/>
      <c r="M294" s="337"/>
      <c r="N294" s="242">
        <f t="shared" si="9"/>
        <v>5</v>
      </c>
      <c r="Q294" s="212" t="str">
        <f t="shared" si="8"/>
        <v/>
      </c>
      <c r="R294" s="174" t="s">
        <v>265</v>
      </c>
      <c r="S294" s="174" t="s">
        <v>273</v>
      </c>
      <c r="T294" s="174" t="e">
        <f>_xlfn.XLOOKUP(Buildings_Water_Backend[[#This Row],[Info 1]],Buildings_SiteInfo[Site name],Buildings_SiteInfo[Site type])</f>
        <v>#N/A</v>
      </c>
      <c r="U294" s="174" t="s">
        <v>327</v>
      </c>
      <c r="V294" s="174">
        <f>Buildings_Water_Frontend[[#This Row],[Type]]</f>
        <v>0</v>
      </c>
      <c r="W294" s="174" t="e" cm="1">
        <f t="array" aca="1" ref="W294" ca="1">_xlfn.XLOOKUP(Buildings_Water_Backend[[#This Row],[Level 5]],rng_Level5Long,rng_Level6Long)</f>
        <v>#N/A</v>
      </c>
      <c r="X294" s="174">
        <f>Buildings_Water_Frontend[[#This Row],[Site Name]]</f>
        <v>0</v>
      </c>
      <c r="Y294" s="174">
        <f>Buildings_Water_Frontend[[#This Row],[Meter Reference]]</f>
        <v>0</v>
      </c>
      <c r="Z294" s="220">
        <f>Buildings_Water_Frontend[[#This Row],[Methodology]]</f>
        <v>0</v>
      </c>
      <c r="AA294" s="229" t="e" cm="1">
        <f t="array" ref="AA294">INDEX(_xlfn.SWITCH(Buildings_Water_Backend[[#This Row],[Methodology]],"Tier 1",rng_RSD1,"Tier 2",rng_RSD2,"Tier 3",rng_RSD3),MATCH(_xlfn.CONCAT(Buildings_Water_Backend[[#This Row],[Level 1]:[Level 6]]),rng_LevelsConcat,0))</f>
        <v>#N/A</v>
      </c>
      <c r="AB294" s="224">
        <f>Buildings_Water_Frontend[[#This Row],[Data]]</f>
        <v>0</v>
      </c>
      <c r="AC294" s="174">
        <f>Buildings_Water_Frontend[[#This Row],[Units]]</f>
        <v>0</v>
      </c>
      <c r="AD294" s="220" t="e">
        <f>IF(Buildings_Water_Backend[[#This Row],[Units]]=Buildings_Water_Backend[[#This Row],[Standard units]],Buildings_Water_Backend[[#This Row],[Data]],Buildings_Water_Backend[[#This Row],[Data]]*_xlfn.XLOOKUP(_xlfn.CONCAT(Buildings_Water_Backend[[#This Row],[Level 1]:[Level 6]]),rng_EFConcat,rng_EFConversion))</f>
        <v>#N/A</v>
      </c>
      <c r="AE294" s="174" t="e" cm="1">
        <f t="array" ref="AE294">_xlfn.XLOOKUP(_xlfn.CONCAT(Buildings_Water_Backend[[#This Row],[Level 1]:[Level 6]]),rng_LevelsConcat,rng_UnitsLong)</f>
        <v>#N/A</v>
      </c>
      <c r="AF294" s="210" t="e">
        <f>_xlfn.XLOOKUP(_xlfn.CONCAT(Buildings_Water_Backend[[#This Row],[Level 1]:[Level 6]]),rng_EFConcat,rng_EF1)*Buildings_Water_Backend[[#This Row],[Converted data]]/1000</f>
        <v>#N/A</v>
      </c>
      <c r="AG294" s="210" t="e">
        <f>_xlfn.XLOOKUP(_xlfn.CONCAT(Buildings_Water_Backend[[#This Row],[Level 1]:[Level 6]]),rng_EFConcat,rng_EF2)*Buildings_Water_Backend[[#This Row],[Converted data]]/1000</f>
        <v>#N/A</v>
      </c>
      <c r="AH294" s="210" t="e">
        <f>_xlfn.XLOOKUP(_xlfn.CONCAT(Buildings_Water_Backend[[#This Row],[Level 1]:[Level 6]]),rng_EFConcat,rng_EF3)*Buildings_Water_Backend[[#This Row],[Converted data]]/1000</f>
        <v>#N/A</v>
      </c>
      <c r="AI294" s="210" t="e">
        <f>_xlfn.XLOOKUP(_xlfn.CONCAT(Buildings_Water_Backend[[#This Row],[Level 1]:[Level 6]]),rng_EFConcat,rng_EF3WTT)*Buildings_Water_Backend[[#This Row],[Converted data]]/1000</f>
        <v>#N/A</v>
      </c>
      <c r="AJ294" s="210" t="e">
        <f>_xlfn.XLOOKUP(_xlfn.CONCAT(Buildings_Water_Backend[[#This Row],[Level 1]:[Level 6]]),rng_EFConcat,rng_EF3TD)*Buildings_Water_Backend[[#This Row],[Converted data]]/1000</f>
        <v>#N/A</v>
      </c>
      <c r="AK294" s="210" t="e">
        <f>_xlfn.XLOOKUP(_xlfn.CONCAT(Buildings_Water_Backend[[#This Row],[Level 1]:[Level 6]]),rng_EFConcat,rng_EF3WTTTD)*Buildings_Water_Backend[[#This Row],[Converted data]]/1000</f>
        <v>#N/A</v>
      </c>
      <c r="AL294" s="220" t="e">
        <f>SUM(Buildings_Water_Backend[[#This Row],[Scope 1 (tCO2e)]:[Scope 3 WTT T&amp;D (tCO2e)]])</f>
        <v>#N/A</v>
      </c>
      <c r="AM294" s="220" t="e">
        <f>Buildings_Water_Backend[[#This Row],[Total (tCO2e)]]*(1-Buildings_Water_Backend[[#This Row],[RSD]])</f>
        <v>#N/A</v>
      </c>
      <c r="AN294" s="220" t="e">
        <f>Buildings_Water_Backend[[#This Row],[Total (tCO2e)]]*(1+Buildings_Water_Backend[[#This Row],[RSD]])</f>
        <v>#N/A</v>
      </c>
      <c r="AO294" s="210" t="e">
        <f>_xlfn.XLOOKUP(_xlfn.CONCAT(Buildings_Water_Backend[[#This Row],[Level 1]:[Level 6]]),rng_EFConcat,rng_EFOOS)*Buildings_Water_Backend[[#This Row],[Converted data]]/1000</f>
        <v>#N/A</v>
      </c>
      <c r="AP294" s="174">
        <f>Buildings_Water_Frontend[[#This Row],[Ease of collection]]</f>
        <v>0</v>
      </c>
      <c r="AQ294" s="174">
        <f>Buildings_Water_Frontend[[#This Row],[Completeness]]</f>
        <v>0</v>
      </c>
      <c r="AR294" s="174">
        <f>Buildings_Water_Frontend[[#This Row],[Notes]]</f>
        <v>0</v>
      </c>
    </row>
    <row r="295" spans="5:44" x14ac:dyDescent="0.3">
      <c r="E295" s="346"/>
      <c r="F295" s="364"/>
      <c r="G295" s="336"/>
      <c r="H295" s="336"/>
      <c r="I295" s="334"/>
      <c r="J295" s="336"/>
      <c r="K295" s="336"/>
      <c r="L295" s="336"/>
      <c r="M295" s="337"/>
      <c r="N295" s="242">
        <f t="shared" si="9"/>
        <v>5</v>
      </c>
      <c r="Q295" s="212" t="str">
        <f t="shared" si="8"/>
        <v/>
      </c>
      <c r="R295" s="174" t="s">
        <v>265</v>
      </c>
      <c r="S295" s="174" t="s">
        <v>273</v>
      </c>
      <c r="T295" s="174" t="e">
        <f>_xlfn.XLOOKUP(Buildings_Water_Backend[[#This Row],[Info 1]],Buildings_SiteInfo[Site name],Buildings_SiteInfo[Site type])</f>
        <v>#N/A</v>
      </c>
      <c r="U295" s="174" t="s">
        <v>327</v>
      </c>
      <c r="V295" s="174">
        <f>Buildings_Water_Frontend[[#This Row],[Type]]</f>
        <v>0</v>
      </c>
      <c r="W295" s="174" t="e" cm="1">
        <f t="array" aca="1" ref="W295" ca="1">_xlfn.XLOOKUP(Buildings_Water_Backend[[#This Row],[Level 5]],rng_Level5Long,rng_Level6Long)</f>
        <v>#N/A</v>
      </c>
      <c r="X295" s="174">
        <f>Buildings_Water_Frontend[[#This Row],[Site Name]]</f>
        <v>0</v>
      </c>
      <c r="Y295" s="174">
        <f>Buildings_Water_Frontend[[#This Row],[Meter Reference]]</f>
        <v>0</v>
      </c>
      <c r="Z295" s="220">
        <f>Buildings_Water_Frontend[[#This Row],[Methodology]]</f>
        <v>0</v>
      </c>
      <c r="AA295" s="229" t="e" cm="1">
        <f t="array" ref="AA295">INDEX(_xlfn.SWITCH(Buildings_Water_Backend[[#This Row],[Methodology]],"Tier 1",rng_RSD1,"Tier 2",rng_RSD2,"Tier 3",rng_RSD3),MATCH(_xlfn.CONCAT(Buildings_Water_Backend[[#This Row],[Level 1]:[Level 6]]),rng_LevelsConcat,0))</f>
        <v>#N/A</v>
      </c>
      <c r="AB295" s="224">
        <f>Buildings_Water_Frontend[[#This Row],[Data]]</f>
        <v>0</v>
      </c>
      <c r="AC295" s="174">
        <f>Buildings_Water_Frontend[[#This Row],[Units]]</f>
        <v>0</v>
      </c>
      <c r="AD295" s="220" t="e">
        <f>IF(Buildings_Water_Backend[[#This Row],[Units]]=Buildings_Water_Backend[[#This Row],[Standard units]],Buildings_Water_Backend[[#This Row],[Data]],Buildings_Water_Backend[[#This Row],[Data]]*_xlfn.XLOOKUP(_xlfn.CONCAT(Buildings_Water_Backend[[#This Row],[Level 1]:[Level 6]]),rng_EFConcat,rng_EFConversion))</f>
        <v>#N/A</v>
      </c>
      <c r="AE295" s="174" t="e" cm="1">
        <f t="array" ref="AE295">_xlfn.XLOOKUP(_xlfn.CONCAT(Buildings_Water_Backend[[#This Row],[Level 1]:[Level 6]]),rng_LevelsConcat,rng_UnitsLong)</f>
        <v>#N/A</v>
      </c>
      <c r="AF295" s="210" t="e">
        <f>_xlfn.XLOOKUP(_xlfn.CONCAT(Buildings_Water_Backend[[#This Row],[Level 1]:[Level 6]]),rng_EFConcat,rng_EF1)*Buildings_Water_Backend[[#This Row],[Converted data]]/1000</f>
        <v>#N/A</v>
      </c>
      <c r="AG295" s="210" t="e">
        <f>_xlfn.XLOOKUP(_xlfn.CONCAT(Buildings_Water_Backend[[#This Row],[Level 1]:[Level 6]]),rng_EFConcat,rng_EF2)*Buildings_Water_Backend[[#This Row],[Converted data]]/1000</f>
        <v>#N/A</v>
      </c>
      <c r="AH295" s="210" t="e">
        <f>_xlfn.XLOOKUP(_xlfn.CONCAT(Buildings_Water_Backend[[#This Row],[Level 1]:[Level 6]]),rng_EFConcat,rng_EF3)*Buildings_Water_Backend[[#This Row],[Converted data]]/1000</f>
        <v>#N/A</v>
      </c>
      <c r="AI295" s="210" t="e">
        <f>_xlfn.XLOOKUP(_xlfn.CONCAT(Buildings_Water_Backend[[#This Row],[Level 1]:[Level 6]]),rng_EFConcat,rng_EF3WTT)*Buildings_Water_Backend[[#This Row],[Converted data]]/1000</f>
        <v>#N/A</v>
      </c>
      <c r="AJ295" s="210" t="e">
        <f>_xlfn.XLOOKUP(_xlfn.CONCAT(Buildings_Water_Backend[[#This Row],[Level 1]:[Level 6]]),rng_EFConcat,rng_EF3TD)*Buildings_Water_Backend[[#This Row],[Converted data]]/1000</f>
        <v>#N/A</v>
      </c>
      <c r="AK295" s="210" t="e">
        <f>_xlfn.XLOOKUP(_xlfn.CONCAT(Buildings_Water_Backend[[#This Row],[Level 1]:[Level 6]]),rng_EFConcat,rng_EF3WTTTD)*Buildings_Water_Backend[[#This Row],[Converted data]]/1000</f>
        <v>#N/A</v>
      </c>
      <c r="AL295" s="220" t="e">
        <f>SUM(Buildings_Water_Backend[[#This Row],[Scope 1 (tCO2e)]:[Scope 3 WTT T&amp;D (tCO2e)]])</f>
        <v>#N/A</v>
      </c>
      <c r="AM295" s="220" t="e">
        <f>Buildings_Water_Backend[[#This Row],[Total (tCO2e)]]*(1-Buildings_Water_Backend[[#This Row],[RSD]])</f>
        <v>#N/A</v>
      </c>
      <c r="AN295" s="220" t="e">
        <f>Buildings_Water_Backend[[#This Row],[Total (tCO2e)]]*(1+Buildings_Water_Backend[[#This Row],[RSD]])</f>
        <v>#N/A</v>
      </c>
      <c r="AO295" s="210" t="e">
        <f>_xlfn.XLOOKUP(_xlfn.CONCAT(Buildings_Water_Backend[[#This Row],[Level 1]:[Level 6]]),rng_EFConcat,rng_EFOOS)*Buildings_Water_Backend[[#This Row],[Converted data]]/1000</f>
        <v>#N/A</v>
      </c>
      <c r="AP295" s="174">
        <f>Buildings_Water_Frontend[[#This Row],[Ease of collection]]</f>
        <v>0</v>
      </c>
      <c r="AQ295" s="174">
        <f>Buildings_Water_Frontend[[#This Row],[Completeness]]</f>
        <v>0</v>
      </c>
      <c r="AR295" s="174">
        <f>Buildings_Water_Frontend[[#This Row],[Notes]]</f>
        <v>0</v>
      </c>
    </row>
    <row r="296" spans="5:44" x14ac:dyDescent="0.3">
      <c r="E296" s="346"/>
      <c r="F296" s="364"/>
      <c r="G296" s="336"/>
      <c r="H296" s="336"/>
      <c r="I296" s="334"/>
      <c r="J296" s="336"/>
      <c r="K296" s="336"/>
      <c r="L296" s="336"/>
      <c r="M296" s="337"/>
      <c r="N296" s="242">
        <f t="shared" si="9"/>
        <v>5</v>
      </c>
      <c r="Q296" s="212" t="str">
        <f t="shared" si="8"/>
        <v/>
      </c>
      <c r="R296" s="174" t="s">
        <v>265</v>
      </c>
      <c r="S296" s="174" t="s">
        <v>273</v>
      </c>
      <c r="T296" s="174" t="e">
        <f>_xlfn.XLOOKUP(Buildings_Water_Backend[[#This Row],[Info 1]],Buildings_SiteInfo[Site name],Buildings_SiteInfo[Site type])</f>
        <v>#N/A</v>
      </c>
      <c r="U296" s="174" t="s">
        <v>327</v>
      </c>
      <c r="V296" s="174">
        <f>Buildings_Water_Frontend[[#This Row],[Type]]</f>
        <v>0</v>
      </c>
      <c r="W296" s="174" t="e" cm="1">
        <f t="array" aca="1" ref="W296" ca="1">_xlfn.XLOOKUP(Buildings_Water_Backend[[#This Row],[Level 5]],rng_Level5Long,rng_Level6Long)</f>
        <v>#N/A</v>
      </c>
      <c r="X296" s="174">
        <f>Buildings_Water_Frontend[[#This Row],[Site Name]]</f>
        <v>0</v>
      </c>
      <c r="Y296" s="174">
        <f>Buildings_Water_Frontend[[#This Row],[Meter Reference]]</f>
        <v>0</v>
      </c>
      <c r="Z296" s="220">
        <f>Buildings_Water_Frontend[[#This Row],[Methodology]]</f>
        <v>0</v>
      </c>
      <c r="AA296" s="229" t="e" cm="1">
        <f t="array" ref="AA296">INDEX(_xlfn.SWITCH(Buildings_Water_Backend[[#This Row],[Methodology]],"Tier 1",rng_RSD1,"Tier 2",rng_RSD2,"Tier 3",rng_RSD3),MATCH(_xlfn.CONCAT(Buildings_Water_Backend[[#This Row],[Level 1]:[Level 6]]),rng_LevelsConcat,0))</f>
        <v>#N/A</v>
      </c>
      <c r="AB296" s="224">
        <f>Buildings_Water_Frontend[[#This Row],[Data]]</f>
        <v>0</v>
      </c>
      <c r="AC296" s="174">
        <f>Buildings_Water_Frontend[[#This Row],[Units]]</f>
        <v>0</v>
      </c>
      <c r="AD296" s="220" t="e">
        <f>IF(Buildings_Water_Backend[[#This Row],[Units]]=Buildings_Water_Backend[[#This Row],[Standard units]],Buildings_Water_Backend[[#This Row],[Data]],Buildings_Water_Backend[[#This Row],[Data]]*_xlfn.XLOOKUP(_xlfn.CONCAT(Buildings_Water_Backend[[#This Row],[Level 1]:[Level 6]]),rng_EFConcat,rng_EFConversion))</f>
        <v>#N/A</v>
      </c>
      <c r="AE296" s="174" t="e" cm="1">
        <f t="array" ref="AE296">_xlfn.XLOOKUP(_xlfn.CONCAT(Buildings_Water_Backend[[#This Row],[Level 1]:[Level 6]]),rng_LevelsConcat,rng_UnitsLong)</f>
        <v>#N/A</v>
      </c>
      <c r="AF296" s="210" t="e">
        <f>_xlfn.XLOOKUP(_xlfn.CONCAT(Buildings_Water_Backend[[#This Row],[Level 1]:[Level 6]]),rng_EFConcat,rng_EF1)*Buildings_Water_Backend[[#This Row],[Converted data]]/1000</f>
        <v>#N/A</v>
      </c>
      <c r="AG296" s="210" t="e">
        <f>_xlfn.XLOOKUP(_xlfn.CONCAT(Buildings_Water_Backend[[#This Row],[Level 1]:[Level 6]]),rng_EFConcat,rng_EF2)*Buildings_Water_Backend[[#This Row],[Converted data]]/1000</f>
        <v>#N/A</v>
      </c>
      <c r="AH296" s="210" t="e">
        <f>_xlfn.XLOOKUP(_xlfn.CONCAT(Buildings_Water_Backend[[#This Row],[Level 1]:[Level 6]]),rng_EFConcat,rng_EF3)*Buildings_Water_Backend[[#This Row],[Converted data]]/1000</f>
        <v>#N/A</v>
      </c>
      <c r="AI296" s="210" t="e">
        <f>_xlfn.XLOOKUP(_xlfn.CONCAT(Buildings_Water_Backend[[#This Row],[Level 1]:[Level 6]]),rng_EFConcat,rng_EF3WTT)*Buildings_Water_Backend[[#This Row],[Converted data]]/1000</f>
        <v>#N/A</v>
      </c>
      <c r="AJ296" s="210" t="e">
        <f>_xlfn.XLOOKUP(_xlfn.CONCAT(Buildings_Water_Backend[[#This Row],[Level 1]:[Level 6]]),rng_EFConcat,rng_EF3TD)*Buildings_Water_Backend[[#This Row],[Converted data]]/1000</f>
        <v>#N/A</v>
      </c>
      <c r="AK296" s="210" t="e">
        <f>_xlfn.XLOOKUP(_xlfn.CONCAT(Buildings_Water_Backend[[#This Row],[Level 1]:[Level 6]]),rng_EFConcat,rng_EF3WTTTD)*Buildings_Water_Backend[[#This Row],[Converted data]]/1000</f>
        <v>#N/A</v>
      </c>
      <c r="AL296" s="220" t="e">
        <f>SUM(Buildings_Water_Backend[[#This Row],[Scope 1 (tCO2e)]:[Scope 3 WTT T&amp;D (tCO2e)]])</f>
        <v>#N/A</v>
      </c>
      <c r="AM296" s="220" t="e">
        <f>Buildings_Water_Backend[[#This Row],[Total (tCO2e)]]*(1-Buildings_Water_Backend[[#This Row],[RSD]])</f>
        <v>#N/A</v>
      </c>
      <c r="AN296" s="220" t="e">
        <f>Buildings_Water_Backend[[#This Row],[Total (tCO2e)]]*(1+Buildings_Water_Backend[[#This Row],[RSD]])</f>
        <v>#N/A</v>
      </c>
      <c r="AO296" s="210" t="e">
        <f>_xlfn.XLOOKUP(_xlfn.CONCAT(Buildings_Water_Backend[[#This Row],[Level 1]:[Level 6]]),rng_EFConcat,rng_EFOOS)*Buildings_Water_Backend[[#This Row],[Converted data]]/1000</f>
        <v>#N/A</v>
      </c>
      <c r="AP296" s="174">
        <f>Buildings_Water_Frontend[[#This Row],[Ease of collection]]</f>
        <v>0</v>
      </c>
      <c r="AQ296" s="174">
        <f>Buildings_Water_Frontend[[#This Row],[Completeness]]</f>
        <v>0</v>
      </c>
      <c r="AR296" s="174">
        <f>Buildings_Water_Frontend[[#This Row],[Notes]]</f>
        <v>0</v>
      </c>
    </row>
    <row r="297" spans="5:44" x14ac:dyDescent="0.3">
      <c r="E297" s="346"/>
      <c r="F297" s="364"/>
      <c r="G297" s="336"/>
      <c r="H297" s="336"/>
      <c r="I297" s="334"/>
      <c r="J297" s="336"/>
      <c r="K297" s="336"/>
      <c r="L297" s="336"/>
      <c r="M297" s="337"/>
      <c r="N297" s="242">
        <f t="shared" si="9"/>
        <v>5</v>
      </c>
      <c r="Q297" s="212" t="str">
        <f t="shared" si="8"/>
        <v/>
      </c>
      <c r="R297" s="174" t="s">
        <v>265</v>
      </c>
      <c r="S297" s="174" t="s">
        <v>273</v>
      </c>
      <c r="T297" s="174" t="e">
        <f>_xlfn.XLOOKUP(Buildings_Water_Backend[[#This Row],[Info 1]],Buildings_SiteInfo[Site name],Buildings_SiteInfo[Site type])</f>
        <v>#N/A</v>
      </c>
      <c r="U297" s="174" t="s">
        <v>327</v>
      </c>
      <c r="V297" s="174">
        <f>Buildings_Water_Frontend[[#This Row],[Type]]</f>
        <v>0</v>
      </c>
      <c r="W297" s="174" t="e" cm="1">
        <f t="array" aca="1" ref="W297" ca="1">_xlfn.XLOOKUP(Buildings_Water_Backend[[#This Row],[Level 5]],rng_Level5Long,rng_Level6Long)</f>
        <v>#N/A</v>
      </c>
      <c r="X297" s="174">
        <f>Buildings_Water_Frontend[[#This Row],[Site Name]]</f>
        <v>0</v>
      </c>
      <c r="Y297" s="174">
        <f>Buildings_Water_Frontend[[#This Row],[Meter Reference]]</f>
        <v>0</v>
      </c>
      <c r="Z297" s="220">
        <f>Buildings_Water_Frontend[[#This Row],[Methodology]]</f>
        <v>0</v>
      </c>
      <c r="AA297" s="229" t="e" cm="1">
        <f t="array" ref="AA297">INDEX(_xlfn.SWITCH(Buildings_Water_Backend[[#This Row],[Methodology]],"Tier 1",rng_RSD1,"Tier 2",rng_RSD2,"Tier 3",rng_RSD3),MATCH(_xlfn.CONCAT(Buildings_Water_Backend[[#This Row],[Level 1]:[Level 6]]),rng_LevelsConcat,0))</f>
        <v>#N/A</v>
      </c>
      <c r="AB297" s="224">
        <f>Buildings_Water_Frontend[[#This Row],[Data]]</f>
        <v>0</v>
      </c>
      <c r="AC297" s="174">
        <f>Buildings_Water_Frontend[[#This Row],[Units]]</f>
        <v>0</v>
      </c>
      <c r="AD297" s="220" t="e">
        <f>IF(Buildings_Water_Backend[[#This Row],[Units]]=Buildings_Water_Backend[[#This Row],[Standard units]],Buildings_Water_Backend[[#This Row],[Data]],Buildings_Water_Backend[[#This Row],[Data]]*_xlfn.XLOOKUP(_xlfn.CONCAT(Buildings_Water_Backend[[#This Row],[Level 1]:[Level 6]]),rng_EFConcat,rng_EFConversion))</f>
        <v>#N/A</v>
      </c>
      <c r="AE297" s="174" t="e" cm="1">
        <f t="array" ref="AE297">_xlfn.XLOOKUP(_xlfn.CONCAT(Buildings_Water_Backend[[#This Row],[Level 1]:[Level 6]]),rng_LevelsConcat,rng_UnitsLong)</f>
        <v>#N/A</v>
      </c>
      <c r="AF297" s="210" t="e">
        <f>_xlfn.XLOOKUP(_xlfn.CONCAT(Buildings_Water_Backend[[#This Row],[Level 1]:[Level 6]]),rng_EFConcat,rng_EF1)*Buildings_Water_Backend[[#This Row],[Converted data]]/1000</f>
        <v>#N/A</v>
      </c>
      <c r="AG297" s="210" t="e">
        <f>_xlfn.XLOOKUP(_xlfn.CONCAT(Buildings_Water_Backend[[#This Row],[Level 1]:[Level 6]]),rng_EFConcat,rng_EF2)*Buildings_Water_Backend[[#This Row],[Converted data]]/1000</f>
        <v>#N/A</v>
      </c>
      <c r="AH297" s="210" t="e">
        <f>_xlfn.XLOOKUP(_xlfn.CONCAT(Buildings_Water_Backend[[#This Row],[Level 1]:[Level 6]]),rng_EFConcat,rng_EF3)*Buildings_Water_Backend[[#This Row],[Converted data]]/1000</f>
        <v>#N/A</v>
      </c>
      <c r="AI297" s="210" t="e">
        <f>_xlfn.XLOOKUP(_xlfn.CONCAT(Buildings_Water_Backend[[#This Row],[Level 1]:[Level 6]]),rng_EFConcat,rng_EF3WTT)*Buildings_Water_Backend[[#This Row],[Converted data]]/1000</f>
        <v>#N/A</v>
      </c>
      <c r="AJ297" s="210" t="e">
        <f>_xlfn.XLOOKUP(_xlfn.CONCAT(Buildings_Water_Backend[[#This Row],[Level 1]:[Level 6]]),rng_EFConcat,rng_EF3TD)*Buildings_Water_Backend[[#This Row],[Converted data]]/1000</f>
        <v>#N/A</v>
      </c>
      <c r="AK297" s="210" t="e">
        <f>_xlfn.XLOOKUP(_xlfn.CONCAT(Buildings_Water_Backend[[#This Row],[Level 1]:[Level 6]]),rng_EFConcat,rng_EF3WTTTD)*Buildings_Water_Backend[[#This Row],[Converted data]]/1000</f>
        <v>#N/A</v>
      </c>
      <c r="AL297" s="220" t="e">
        <f>SUM(Buildings_Water_Backend[[#This Row],[Scope 1 (tCO2e)]:[Scope 3 WTT T&amp;D (tCO2e)]])</f>
        <v>#N/A</v>
      </c>
      <c r="AM297" s="220" t="e">
        <f>Buildings_Water_Backend[[#This Row],[Total (tCO2e)]]*(1-Buildings_Water_Backend[[#This Row],[RSD]])</f>
        <v>#N/A</v>
      </c>
      <c r="AN297" s="220" t="e">
        <f>Buildings_Water_Backend[[#This Row],[Total (tCO2e)]]*(1+Buildings_Water_Backend[[#This Row],[RSD]])</f>
        <v>#N/A</v>
      </c>
      <c r="AO297" s="210" t="e">
        <f>_xlfn.XLOOKUP(_xlfn.CONCAT(Buildings_Water_Backend[[#This Row],[Level 1]:[Level 6]]),rng_EFConcat,rng_EFOOS)*Buildings_Water_Backend[[#This Row],[Converted data]]/1000</f>
        <v>#N/A</v>
      </c>
      <c r="AP297" s="174">
        <f>Buildings_Water_Frontend[[#This Row],[Ease of collection]]</f>
        <v>0</v>
      </c>
      <c r="AQ297" s="174">
        <f>Buildings_Water_Frontend[[#This Row],[Completeness]]</f>
        <v>0</v>
      </c>
      <c r="AR297" s="174">
        <f>Buildings_Water_Frontend[[#This Row],[Notes]]</f>
        <v>0</v>
      </c>
    </row>
    <row r="298" spans="5:44" x14ac:dyDescent="0.3">
      <c r="E298" s="346"/>
      <c r="F298" s="364"/>
      <c r="G298" s="336"/>
      <c r="H298" s="336"/>
      <c r="I298" s="334"/>
      <c r="J298" s="336"/>
      <c r="K298" s="336"/>
      <c r="L298" s="336"/>
      <c r="M298" s="337"/>
      <c r="N298" s="242">
        <f t="shared" si="9"/>
        <v>5</v>
      </c>
      <c r="Q298" s="212" t="str">
        <f t="shared" si="8"/>
        <v/>
      </c>
      <c r="R298" s="174" t="s">
        <v>265</v>
      </c>
      <c r="S298" s="174" t="s">
        <v>273</v>
      </c>
      <c r="T298" s="174" t="e">
        <f>_xlfn.XLOOKUP(Buildings_Water_Backend[[#This Row],[Info 1]],Buildings_SiteInfo[Site name],Buildings_SiteInfo[Site type])</f>
        <v>#N/A</v>
      </c>
      <c r="U298" s="174" t="s">
        <v>327</v>
      </c>
      <c r="V298" s="174">
        <f>Buildings_Water_Frontend[[#This Row],[Type]]</f>
        <v>0</v>
      </c>
      <c r="W298" s="174" t="e" cm="1">
        <f t="array" aca="1" ref="W298" ca="1">_xlfn.XLOOKUP(Buildings_Water_Backend[[#This Row],[Level 5]],rng_Level5Long,rng_Level6Long)</f>
        <v>#N/A</v>
      </c>
      <c r="X298" s="174">
        <f>Buildings_Water_Frontend[[#This Row],[Site Name]]</f>
        <v>0</v>
      </c>
      <c r="Y298" s="174">
        <f>Buildings_Water_Frontend[[#This Row],[Meter Reference]]</f>
        <v>0</v>
      </c>
      <c r="Z298" s="220">
        <f>Buildings_Water_Frontend[[#This Row],[Methodology]]</f>
        <v>0</v>
      </c>
      <c r="AA298" s="229" t="e" cm="1">
        <f t="array" ref="AA298">INDEX(_xlfn.SWITCH(Buildings_Water_Backend[[#This Row],[Methodology]],"Tier 1",rng_RSD1,"Tier 2",rng_RSD2,"Tier 3",rng_RSD3),MATCH(_xlfn.CONCAT(Buildings_Water_Backend[[#This Row],[Level 1]:[Level 6]]),rng_LevelsConcat,0))</f>
        <v>#N/A</v>
      </c>
      <c r="AB298" s="224">
        <f>Buildings_Water_Frontend[[#This Row],[Data]]</f>
        <v>0</v>
      </c>
      <c r="AC298" s="174">
        <f>Buildings_Water_Frontend[[#This Row],[Units]]</f>
        <v>0</v>
      </c>
      <c r="AD298" s="220" t="e">
        <f>IF(Buildings_Water_Backend[[#This Row],[Units]]=Buildings_Water_Backend[[#This Row],[Standard units]],Buildings_Water_Backend[[#This Row],[Data]],Buildings_Water_Backend[[#This Row],[Data]]*_xlfn.XLOOKUP(_xlfn.CONCAT(Buildings_Water_Backend[[#This Row],[Level 1]:[Level 6]]),rng_EFConcat,rng_EFConversion))</f>
        <v>#N/A</v>
      </c>
      <c r="AE298" s="174" t="e" cm="1">
        <f t="array" ref="AE298">_xlfn.XLOOKUP(_xlfn.CONCAT(Buildings_Water_Backend[[#This Row],[Level 1]:[Level 6]]),rng_LevelsConcat,rng_UnitsLong)</f>
        <v>#N/A</v>
      </c>
      <c r="AF298" s="210" t="e">
        <f>_xlfn.XLOOKUP(_xlfn.CONCAT(Buildings_Water_Backend[[#This Row],[Level 1]:[Level 6]]),rng_EFConcat,rng_EF1)*Buildings_Water_Backend[[#This Row],[Converted data]]/1000</f>
        <v>#N/A</v>
      </c>
      <c r="AG298" s="210" t="e">
        <f>_xlfn.XLOOKUP(_xlfn.CONCAT(Buildings_Water_Backend[[#This Row],[Level 1]:[Level 6]]),rng_EFConcat,rng_EF2)*Buildings_Water_Backend[[#This Row],[Converted data]]/1000</f>
        <v>#N/A</v>
      </c>
      <c r="AH298" s="210" t="e">
        <f>_xlfn.XLOOKUP(_xlfn.CONCAT(Buildings_Water_Backend[[#This Row],[Level 1]:[Level 6]]),rng_EFConcat,rng_EF3)*Buildings_Water_Backend[[#This Row],[Converted data]]/1000</f>
        <v>#N/A</v>
      </c>
      <c r="AI298" s="210" t="e">
        <f>_xlfn.XLOOKUP(_xlfn.CONCAT(Buildings_Water_Backend[[#This Row],[Level 1]:[Level 6]]),rng_EFConcat,rng_EF3WTT)*Buildings_Water_Backend[[#This Row],[Converted data]]/1000</f>
        <v>#N/A</v>
      </c>
      <c r="AJ298" s="210" t="e">
        <f>_xlfn.XLOOKUP(_xlfn.CONCAT(Buildings_Water_Backend[[#This Row],[Level 1]:[Level 6]]),rng_EFConcat,rng_EF3TD)*Buildings_Water_Backend[[#This Row],[Converted data]]/1000</f>
        <v>#N/A</v>
      </c>
      <c r="AK298" s="210" t="e">
        <f>_xlfn.XLOOKUP(_xlfn.CONCAT(Buildings_Water_Backend[[#This Row],[Level 1]:[Level 6]]),rng_EFConcat,rng_EF3WTTTD)*Buildings_Water_Backend[[#This Row],[Converted data]]/1000</f>
        <v>#N/A</v>
      </c>
      <c r="AL298" s="220" t="e">
        <f>SUM(Buildings_Water_Backend[[#This Row],[Scope 1 (tCO2e)]:[Scope 3 WTT T&amp;D (tCO2e)]])</f>
        <v>#N/A</v>
      </c>
      <c r="AM298" s="220" t="e">
        <f>Buildings_Water_Backend[[#This Row],[Total (tCO2e)]]*(1-Buildings_Water_Backend[[#This Row],[RSD]])</f>
        <v>#N/A</v>
      </c>
      <c r="AN298" s="220" t="e">
        <f>Buildings_Water_Backend[[#This Row],[Total (tCO2e)]]*(1+Buildings_Water_Backend[[#This Row],[RSD]])</f>
        <v>#N/A</v>
      </c>
      <c r="AO298" s="210" t="e">
        <f>_xlfn.XLOOKUP(_xlfn.CONCAT(Buildings_Water_Backend[[#This Row],[Level 1]:[Level 6]]),rng_EFConcat,rng_EFOOS)*Buildings_Water_Backend[[#This Row],[Converted data]]/1000</f>
        <v>#N/A</v>
      </c>
      <c r="AP298" s="174">
        <f>Buildings_Water_Frontend[[#This Row],[Ease of collection]]</f>
        <v>0</v>
      </c>
      <c r="AQ298" s="174">
        <f>Buildings_Water_Frontend[[#This Row],[Completeness]]</f>
        <v>0</v>
      </c>
      <c r="AR298" s="174">
        <f>Buildings_Water_Frontend[[#This Row],[Notes]]</f>
        <v>0</v>
      </c>
    </row>
    <row r="299" spans="5:44" x14ac:dyDescent="0.3">
      <c r="E299" s="346"/>
      <c r="F299" s="364"/>
      <c r="G299" s="336"/>
      <c r="H299" s="336"/>
      <c r="I299" s="334"/>
      <c r="J299" s="336"/>
      <c r="K299" s="336"/>
      <c r="L299" s="336"/>
      <c r="M299" s="337"/>
      <c r="N299" s="242">
        <f t="shared" si="9"/>
        <v>5</v>
      </c>
      <c r="Q299" s="212" t="str">
        <f t="shared" si="8"/>
        <v/>
      </c>
      <c r="R299" s="174" t="s">
        <v>265</v>
      </c>
      <c r="S299" s="174" t="s">
        <v>273</v>
      </c>
      <c r="T299" s="174" t="e">
        <f>_xlfn.XLOOKUP(Buildings_Water_Backend[[#This Row],[Info 1]],Buildings_SiteInfo[Site name],Buildings_SiteInfo[Site type])</f>
        <v>#N/A</v>
      </c>
      <c r="U299" s="174" t="s">
        <v>327</v>
      </c>
      <c r="V299" s="174">
        <f>Buildings_Water_Frontend[[#This Row],[Type]]</f>
        <v>0</v>
      </c>
      <c r="W299" s="174" t="e" cm="1">
        <f t="array" aca="1" ref="W299" ca="1">_xlfn.XLOOKUP(Buildings_Water_Backend[[#This Row],[Level 5]],rng_Level5Long,rng_Level6Long)</f>
        <v>#N/A</v>
      </c>
      <c r="X299" s="174">
        <f>Buildings_Water_Frontend[[#This Row],[Site Name]]</f>
        <v>0</v>
      </c>
      <c r="Y299" s="174">
        <f>Buildings_Water_Frontend[[#This Row],[Meter Reference]]</f>
        <v>0</v>
      </c>
      <c r="Z299" s="220">
        <f>Buildings_Water_Frontend[[#This Row],[Methodology]]</f>
        <v>0</v>
      </c>
      <c r="AA299" s="229" t="e" cm="1">
        <f t="array" ref="AA299">INDEX(_xlfn.SWITCH(Buildings_Water_Backend[[#This Row],[Methodology]],"Tier 1",rng_RSD1,"Tier 2",rng_RSD2,"Tier 3",rng_RSD3),MATCH(_xlfn.CONCAT(Buildings_Water_Backend[[#This Row],[Level 1]:[Level 6]]),rng_LevelsConcat,0))</f>
        <v>#N/A</v>
      </c>
      <c r="AB299" s="224">
        <f>Buildings_Water_Frontend[[#This Row],[Data]]</f>
        <v>0</v>
      </c>
      <c r="AC299" s="174">
        <f>Buildings_Water_Frontend[[#This Row],[Units]]</f>
        <v>0</v>
      </c>
      <c r="AD299" s="220" t="e">
        <f>IF(Buildings_Water_Backend[[#This Row],[Units]]=Buildings_Water_Backend[[#This Row],[Standard units]],Buildings_Water_Backend[[#This Row],[Data]],Buildings_Water_Backend[[#This Row],[Data]]*_xlfn.XLOOKUP(_xlfn.CONCAT(Buildings_Water_Backend[[#This Row],[Level 1]:[Level 6]]),rng_EFConcat,rng_EFConversion))</f>
        <v>#N/A</v>
      </c>
      <c r="AE299" s="174" t="e" cm="1">
        <f t="array" ref="AE299">_xlfn.XLOOKUP(_xlfn.CONCAT(Buildings_Water_Backend[[#This Row],[Level 1]:[Level 6]]),rng_LevelsConcat,rng_UnitsLong)</f>
        <v>#N/A</v>
      </c>
      <c r="AF299" s="210" t="e">
        <f>_xlfn.XLOOKUP(_xlfn.CONCAT(Buildings_Water_Backend[[#This Row],[Level 1]:[Level 6]]),rng_EFConcat,rng_EF1)*Buildings_Water_Backend[[#This Row],[Converted data]]/1000</f>
        <v>#N/A</v>
      </c>
      <c r="AG299" s="210" t="e">
        <f>_xlfn.XLOOKUP(_xlfn.CONCAT(Buildings_Water_Backend[[#This Row],[Level 1]:[Level 6]]),rng_EFConcat,rng_EF2)*Buildings_Water_Backend[[#This Row],[Converted data]]/1000</f>
        <v>#N/A</v>
      </c>
      <c r="AH299" s="210" t="e">
        <f>_xlfn.XLOOKUP(_xlfn.CONCAT(Buildings_Water_Backend[[#This Row],[Level 1]:[Level 6]]),rng_EFConcat,rng_EF3)*Buildings_Water_Backend[[#This Row],[Converted data]]/1000</f>
        <v>#N/A</v>
      </c>
      <c r="AI299" s="210" t="e">
        <f>_xlfn.XLOOKUP(_xlfn.CONCAT(Buildings_Water_Backend[[#This Row],[Level 1]:[Level 6]]),rng_EFConcat,rng_EF3WTT)*Buildings_Water_Backend[[#This Row],[Converted data]]/1000</f>
        <v>#N/A</v>
      </c>
      <c r="AJ299" s="210" t="e">
        <f>_xlfn.XLOOKUP(_xlfn.CONCAT(Buildings_Water_Backend[[#This Row],[Level 1]:[Level 6]]),rng_EFConcat,rng_EF3TD)*Buildings_Water_Backend[[#This Row],[Converted data]]/1000</f>
        <v>#N/A</v>
      </c>
      <c r="AK299" s="210" t="e">
        <f>_xlfn.XLOOKUP(_xlfn.CONCAT(Buildings_Water_Backend[[#This Row],[Level 1]:[Level 6]]),rng_EFConcat,rng_EF3WTTTD)*Buildings_Water_Backend[[#This Row],[Converted data]]/1000</f>
        <v>#N/A</v>
      </c>
      <c r="AL299" s="220" t="e">
        <f>SUM(Buildings_Water_Backend[[#This Row],[Scope 1 (tCO2e)]:[Scope 3 WTT T&amp;D (tCO2e)]])</f>
        <v>#N/A</v>
      </c>
      <c r="AM299" s="220" t="e">
        <f>Buildings_Water_Backend[[#This Row],[Total (tCO2e)]]*(1-Buildings_Water_Backend[[#This Row],[RSD]])</f>
        <v>#N/A</v>
      </c>
      <c r="AN299" s="220" t="e">
        <f>Buildings_Water_Backend[[#This Row],[Total (tCO2e)]]*(1+Buildings_Water_Backend[[#This Row],[RSD]])</f>
        <v>#N/A</v>
      </c>
      <c r="AO299" s="210" t="e">
        <f>_xlfn.XLOOKUP(_xlfn.CONCAT(Buildings_Water_Backend[[#This Row],[Level 1]:[Level 6]]),rng_EFConcat,rng_EFOOS)*Buildings_Water_Backend[[#This Row],[Converted data]]/1000</f>
        <v>#N/A</v>
      </c>
      <c r="AP299" s="174">
        <f>Buildings_Water_Frontend[[#This Row],[Ease of collection]]</f>
        <v>0</v>
      </c>
      <c r="AQ299" s="174">
        <f>Buildings_Water_Frontend[[#This Row],[Completeness]]</f>
        <v>0</v>
      </c>
      <c r="AR299" s="174">
        <f>Buildings_Water_Frontend[[#This Row],[Notes]]</f>
        <v>0</v>
      </c>
    </row>
    <row r="300" spans="5:44" x14ac:dyDescent="0.3">
      <c r="E300" s="346"/>
      <c r="F300" s="364"/>
      <c r="G300" s="336"/>
      <c r="H300" s="336"/>
      <c r="I300" s="334"/>
      <c r="J300" s="336"/>
      <c r="K300" s="336"/>
      <c r="L300" s="336"/>
      <c r="M300" s="337"/>
      <c r="N300" s="242">
        <f t="shared" si="9"/>
        <v>5</v>
      </c>
      <c r="Q300" s="212" t="str">
        <f t="shared" si="8"/>
        <v/>
      </c>
      <c r="R300" s="174" t="s">
        <v>265</v>
      </c>
      <c r="S300" s="174" t="s">
        <v>273</v>
      </c>
      <c r="T300" s="174" t="e">
        <f>_xlfn.XLOOKUP(Buildings_Water_Backend[[#This Row],[Info 1]],Buildings_SiteInfo[Site name],Buildings_SiteInfo[Site type])</f>
        <v>#N/A</v>
      </c>
      <c r="U300" s="174" t="s">
        <v>327</v>
      </c>
      <c r="V300" s="174">
        <f>Buildings_Water_Frontend[[#This Row],[Type]]</f>
        <v>0</v>
      </c>
      <c r="W300" s="174" t="e" cm="1">
        <f t="array" aca="1" ref="W300" ca="1">_xlfn.XLOOKUP(Buildings_Water_Backend[[#This Row],[Level 5]],rng_Level5Long,rng_Level6Long)</f>
        <v>#N/A</v>
      </c>
      <c r="X300" s="174">
        <f>Buildings_Water_Frontend[[#This Row],[Site Name]]</f>
        <v>0</v>
      </c>
      <c r="Y300" s="174">
        <f>Buildings_Water_Frontend[[#This Row],[Meter Reference]]</f>
        <v>0</v>
      </c>
      <c r="Z300" s="220">
        <f>Buildings_Water_Frontend[[#This Row],[Methodology]]</f>
        <v>0</v>
      </c>
      <c r="AA300" s="229" t="e" cm="1">
        <f t="array" ref="AA300">INDEX(_xlfn.SWITCH(Buildings_Water_Backend[[#This Row],[Methodology]],"Tier 1",rng_RSD1,"Tier 2",rng_RSD2,"Tier 3",rng_RSD3),MATCH(_xlfn.CONCAT(Buildings_Water_Backend[[#This Row],[Level 1]:[Level 6]]),rng_LevelsConcat,0))</f>
        <v>#N/A</v>
      </c>
      <c r="AB300" s="224">
        <f>Buildings_Water_Frontend[[#This Row],[Data]]</f>
        <v>0</v>
      </c>
      <c r="AC300" s="174">
        <f>Buildings_Water_Frontend[[#This Row],[Units]]</f>
        <v>0</v>
      </c>
      <c r="AD300" s="220" t="e">
        <f>IF(Buildings_Water_Backend[[#This Row],[Units]]=Buildings_Water_Backend[[#This Row],[Standard units]],Buildings_Water_Backend[[#This Row],[Data]],Buildings_Water_Backend[[#This Row],[Data]]*_xlfn.XLOOKUP(_xlfn.CONCAT(Buildings_Water_Backend[[#This Row],[Level 1]:[Level 6]]),rng_EFConcat,rng_EFConversion))</f>
        <v>#N/A</v>
      </c>
      <c r="AE300" s="174" t="e" cm="1">
        <f t="array" ref="AE300">_xlfn.XLOOKUP(_xlfn.CONCAT(Buildings_Water_Backend[[#This Row],[Level 1]:[Level 6]]),rng_LevelsConcat,rng_UnitsLong)</f>
        <v>#N/A</v>
      </c>
      <c r="AF300" s="210" t="e">
        <f>_xlfn.XLOOKUP(_xlfn.CONCAT(Buildings_Water_Backend[[#This Row],[Level 1]:[Level 6]]),rng_EFConcat,rng_EF1)*Buildings_Water_Backend[[#This Row],[Converted data]]/1000</f>
        <v>#N/A</v>
      </c>
      <c r="AG300" s="210" t="e">
        <f>_xlfn.XLOOKUP(_xlfn.CONCAT(Buildings_Water_Backend[[#This Row],[Level 1]:[Level 6]]),rng_EFConcat,rng_EF2)*Buildings_Water_Backend[[#This Row],[Converted data]]/1000</f>
        <v>#N/A</v>
      </c>
      <c r="AH300" s="210" t="e">
        <f>_xlfn.XLOOKUP(_xlfn.CONCAT(Buildings_Water_Backend[[#This Row],[Level 1]:[Level 6]]),rng_EFConcat,rng_EF3)*Buildings_Water_Backend[[#This Row],[Converted data]]/1000</f>
        <v>#N/A</v>
      </c>
      <c r="AI300" s="210" t="e">
        <f>_xlfn.XLOOKUP(_xlfn.CONCAT(Buildings_Water_Backend[[#This Row],[Level 1]:[Level 6]]),rng_EFConcat,rng_EF3WTT)*Buildings_Water_Backend[[#This Row],[Converted data]]/1000</f>
        <v>#N/A</v>
      </c>
      <c r="AJ300" s="210" t="e">
        <f>_xlfn.XLOOKUP(_xlfn.CONCAT(Buildings_Water_Backend[[#This Row],[Level 1]:[Level 6]]),rng_EFConcat,rng_EF3TD)*Buildings_Water_Backend[[#This Row],[Converted data]]/1000</f>
        <v>#N/A</v>
      </c>
      <c r="AK300" s="210" t="e">
        <f>_xlfn.XLOOKUP(_xlfn.CONCAT(Buildings_Water_Backend[[#This Row],[Level 1]:[Level 6]]),rng_EFConcat,rng_EF3WTTTD)*Buildings_Water_Backend[[#This Row],[Converted data]]/1000</f>
        <v>#N/A</v>
      </c>
      <c r="AL300" s="220" t="e">
        <f>SUM(Buildings_Water_Backend[[#This Row],[Scope 1 (tCO2e)]:[Scope 3 WTT T&amp;D (tCO2e)]])</f>
        <v>#N/A</v>
      </c>
      <c r="AM300" s="220" t="e">
        <f>Buildings_Water_Backend[[#This Row],[Total (tCO2e)]]*(1-Buildings_Water_Backend[[#This Row],[RSD]])</f>
        <v>#N/A</v>
      </c>
      <c r="AN300" s="220" t="e">
        <f>Buildings_Water_Backend[[#This Row],[Total (tCO2e)]]*(1+Buildings_Water_Backend[[#This Row],[RSD]])</f>
        <v>#N/A</v>
      </c>
      <c r="AO300" s="210" t="e">
        <f>_xlfn.XLOOKUP(_xlfn.CONCAT(Buildings_Water_Backend[[#This Row],[Level 1]:[Level 6]]),rng_EFConcat,rng_EFOOS)*Buildings_Water_Backend[[#This Row],[Converted data]]/1000</f>
        <v>#N/A</v>
      </c>
      <c r="AP300" s="174">
        <f>Buildings_Water_Frontend[[#This Row],[Ease of collection]]</f>
        <v>0</v>
      </c>
      <c r="AQ300" s="174">
        <f>Buildings_Water_Frontend[[#This Row],[Completeness]]</f>
        <v>0</v>
      </c>
      <c r="AR300" s="174">
        <f>Buildings_Water_Frontend[[#This Row],[Notes]]</f>
        <v>0</v>
      </c>
    </row>
    <row r="301" spans="5:44" x14ac:dyDescent="0.3">
      <c r="E301" s="346"/>
      <c r="F301" s="364"/>
      <c r="G301" s="336"/>
      <c r="H301" s="336"/>
      <c r="I301" s="334"/>
      <c r="J301" s="336"/>
      <c r="K301" s="336"/>
      <c r="L301" s="336"/>
      <c r="M301" s="337"/>
      <c r="N301" s="242">
        <f t="shared" si="9"/>
        <v>5</v>
      </c>
      <c r="Q301" s="212" t="str">
        <f t="shared" si="8"/>
        <v/>
      </c>
      <c r="R301" s="174" t="s">
        <v>265</v>
      </c>
      <c r="S301" s="174" t="s">
        <v>273</v>
      </c>
      <c r="T301" s="174" t="e">
        <f>_xlfn.XLOOKUP(Buildings_Water_Backend[[#This Row],[Info 1]],Buildings_SiteInfo[Site name],Buildings_SiteInfo[Site type])</f>
        <v>#N/A</v>
      </c>
      <c r="U301" s="174" t="s">
        <v>327</v>
      </c>
      <c r="V301" s="174">
        <f>Buildings_Water_Frontend[[#This Row],[Type]]</f>
        <v>0</v>
      </c>
      <c r="W301" s="174" t="e" cm="1">
        <f t="array" aca="1" ref="W301" ca="1">_xlfn.XLOOKUP(Buildings_Water_Backend[[#This Row],[Level 5]],rng_Level5Long,rng_Level6Long)</f>
        <v>#N/A</v>
      </c>
      <c r="X301" s="174">
        <f>Buildings_Water_Frontend[[#This Row],[Site Name]]</f>
        <v>0</v>
      </c>
      <c r="Y301" s="174">
        <f>Buildings_Water_Frontend[[#This Row],[Meter Reference]]</f>
        <v>0</v>
      </c>
      <c r="Z301" s="220">
        <f>Buildings_Water_Frontend[[#This Row],[Methodology]]</f>
        <v>0</v>
      </c>
      <c r="AA301" s="229" t="e" cm="1">
        <f t="array" ref="AA301">INDEX(_xlfn.SWITCH(Buildings_Water_Backend[[#This Row],[Methodology]],"Tier 1",rng_RSD1,"Tier 2",rng_RSD2,"Tier 3",rng_RSD3),MATCH(_xlfn.CONCAT(Buildings_Water_Backend[[#This Row],[Level 1]:[Level 6]]),rng_LevelsConcat,0))</f>
        <v>#N/A</v>
      </c>
      <c r="AB301" s="224">
        <f>Buildings_Water_Frontend[[#This Row],[Data]]</f>
        <v>0</v>
      </c>
      <c r="AC301" s="174">
        <f>Buildings_Water_Frontend[[#This Row],[Units]]</f>
        <v>0</v>
      </c>
      <c r="AD301" s="220" t="e">
        <f>IF(Buildings_Water_Backend[[#This Row],[Units]]=Buildings_Water_Backend[[#This Row],[Standard units]],Buildings_Water_Backend[[#This Row],[Data]],Buildings_Water_Backend[[#This Row],[Data]]*_xlfn.XLOOKUP(_xlfn.CONCAT(Buildings_Water_Backend[[#This Row],[Level 1]:[Level 6]]),rng_EFConcat,rng_EFConversion))</f>
        <v>#N/A</v>
      </c>
      <c r="AE301" s="174" t="e" cm="1">
        <f t="array" ref="AE301">_xlfn.XLOOKUP(_xlfn.CONCAT(Buildings_Water_Backend[[#This Row],[Level 1]:[Level 6]]),rng_LevelsConcat,rng_UnitsLong)</f>
        <v>#N/A</v>
      </c>
      <c r="AF301" s="210" t="e">
        <f>_xlfn.XLOOKUP(_xlfn.CONCAT(Buildings_Water_Backend[[#This Row],[Level 1]:[Level 6]]),rng_EFConcat,rng_EF1)*Buildings_Water_Backend[[#This Row],[Converted data]]/1000</f>
        <v>#N/A</v>
      </c>
      <c r="AG301" s="210" t="e">
        <f>_xlfn.XLOOKUP(_xlfn.CONCAT(Buildings_Water_Backend[[#This Row],[Level 1]:[Level 6]]),rng_EFConcat,rng_EF2)*Buildings_Water_Backend[[#This Row],[Converted data]]/1000</f>
        <v>#N/A</v>
      </c>
      <c r="AH301" s="210" t="e">
        <f>_xlfn.XLOOKUP(_xlfn.CONCAT(Buildings_Water_Backend[[#This Row],[Level 1]:[Level 6]]),rng_EFConcat,rng_EF3)*Buildings_Water_Backend[[#This Row],[Converted data]]/1000</f>
        <v>#N/A</v>
      </c>
      <c r="AI301" s="210" t="e">
        <f>_xlfn.XLOOKUP(_xlfn.CONCAT(Buildings_Water_Backend[[#This Row],[Level 1]:[Level 6]]),rng_EFConcat,rng_EF3WTT)*Buildings_Water_Backend[[#This Row],[Converted data]]/1000</f>
        <v>#N/A</v>
      </c>
      <c r="AJ301" s="210" t="e">
        <f>_xlfn.XLOOKUP(_xlfn.CONCAT(Buildings_Water_Backend[[#This Row],[Level 1]:[Level 6]]),rng_EFConcat,rng_EF3TD)*Buildings_Water_Backend[[#This Row],[Converted data]]/1000</f>
        <v>#N/A</v>
      </c>
      <c r="AK301" s="210" t="e">
        <f>_xlfn.XLOOKUP(_xlfn.CONCAT(Buildings_Water_Backend[[#This Row],[Level 1]:[Level 6]]),rng_EFConcat,rng_EF3WTTTD)*Buildings_Water_Backend[[#This Row],[Converted data]]/1000</f>
        <v>#N/A</v>
      </c>
      <c r="AL301" s="220" t="e">
        <f>SUM(Buildings_Water_Backend[[#This Row],[Scope 1 (tCO2e)]:[Scope 3 WTT T&amp;D (tCO2e)]])</f>
        <v>#N/A</v>
      </c>
      <c r="AM301" s="220" t="e">
        <f>Buildings_Water_Backend[[#This Row],[Total (tCO2e)]]*(1-Buildings_Water_Backend[[#This Row],[RSD]])</f>
        <v>#N/A</v>
      </c>
      <c r="AN301" s="220" t="e">
        <f>Buildings_Water_Backend[[#This Row],[Total (tCO2e)]]*(1+Buildings_Water_Backend[[#This Row],[RSD]])</f>
        <v>#N/A</v>
      </c>
      <c r="AO301" s="210" t="e">
        <f>_xlfn.XLOOKUP(_xlfn.CONCAT(Buildings_Water_Backend[[#This Row],[Level 1]:[Level 6]]),rng_EFConcat,rng_EFOOS)*Buildings_Water_Backend[[#This Row],[Converted data]]/1000</f>
        <v>#N/A</v>
      </c>
      <c r="AP301" s="174">
        <f>Buildings_Water_Frontend[[#This Row],[Ease of collection]]</f>
        <v>0</v>
      </c>
      <c r="AQ301" s="174">
        <f>Buildings_Water_Frontend[[#This Row],[Completeness]]</f>
        <v>0</v>
      </c>
      <c r="AR301" s="174">
        <f>Buildings_Water_Frontend[[#This Row],[Notes]]</f>
        <v>0</v>
      </c>
    </row>
    <row r="302" spans="5:44" x14ac:dyDescent="0.3">
      <c r="E302" s="346"/>
      <c r="F302" s="364"/>
      <c r="G302" s="336"/>
      <c r="H302" s="336"/>
      <c r="I302" s="334"/>
      <c r="J302" s="336"/>
      <c r="K302" s="336"/>
      <c r="L302" s="336"/>
      <c r="M302" s="337"/>
      <c r="N302" s="242">
        <f t="shared" si="9"/>
        <v>5</v>
      </c>
      <c r="Q302" s="212" t="str">
        <f t="shared" si="8"/>
        <v/>
      </c>
      <c r="R302" s="174" t="s">
        <v>265</v>
      </c>
      <c r="S302" s="174" t="s">
        <v>273</v>
      </c>
      <c r="T302" s="174" t="e">
        <f>_xlfn.XLOOKUP(Buildings_Water_Backend[[#This Row],[Info 1]],Buildings_SiteInfo[Site name],Buildings_SiteInfo[Site type])</f>
        <v>#N/A</v>
      </c>
      <c r="U302" s="174" t="s">
        <v>327</v>
      </c>
      <c r="V302" s="174">
        <f>Buildings_Water_Frontend[[#This Row],[Type]]</f>
        <v>0</v>
      </c>
      <c r="W302" s="174" t="e" cm="1">
        <f t="array" aca="1" ref="W302" ca="1">_xlfn.XLOOKUP(Buildings_Water_Backend[[#This Row],[Level 5]],rng_Level5Long,rng_Level6Long)</f>
        <v>#N/A</v>
      </c>
      <c r="X302" s="174">
        <f>Buildings_Water_Frontend[[#This Row],[Site Name]]</f>
        <v>0</v>
      </c>
      <c r="Y302" s="174">
        <f>Buildings_Water_Frontend[[#This Row],[Meter Reference]]</f>
        <v>0</v>
      </c>
      <c r="Z302" s="220">
        <f>Buildings_Water_Frontend[[#This Row],[Methodology]]</f>
        <v>0</v>
      </c>
      <c r="AA302" s="229" t="e" cm="1">
        <f t="array" ref="AA302">INDEX(_xlfn.SWITCH(Buildings_Water_Backend[[#This Row],[Methodology]],"Tier 1",rng_RSD1,"Tier 2",rng_RSD2,"Tier 3",rng_RSD3),MATCH(_xlfn.CONCAT(Buildings_Water_Backend[[#This Row],[Level 1]:[Level 6]]),rng_LevelsConcat,0))</f>
        <v>#N/A</v>
      </c>
      <c r="AB302" s="224">
        <f>Buildings_Water_Frontend[[#This Row],[Data]]</f>
        <v>0</v>
      </c>
      <c r="AC302" s="174">
        <f>Buildings_Water_Frontend[[#This Row],[Units]]</f>
        <v>0</v>
      </c>
      <c r="AD302" s="220" t="e">
        <f>IF(Buildings_Water_Backend[[#This Row],[Units]]=Buildings_Water_Backend[[#This Row],[Standard units]],Buildings_Water_Backend[[#This Row],[Data]],Buildings_Water_Backend[[#This Row],[Data]]*_xlfn.XLOOKUP(_xlfn.CONCAT(Buildings_Water_Backend[[#This Row],[Level 1]:[Level 6]]),rng_EFConcat,rng_EFConversion))</f>
        <v>#N/A</v>
      </c>
      <c r="AE302" s="174" t="e" cm="1">
        <f t="array" ref="AE302">_xlfn.XLOOKUP(_xlfn.CONCAT(Buildings_Water_Backend[[#This Row],[Level 1]:[Level 6]]),rng_LevelsConcat,rng_UnitsLong)</f>
        <v>#N/A</v>
      </c>
      <c r="AF302" s="210" t="e">
        <f>_xlfn.XLOOKUP(_xlfn.CONCAT(Buildings_Water_Backend[[#This Row],[Level 1]:[Level 6]]),rng_EFConcat,rng_EF1)*Buildings_Water_Backend[[#This Row],[Converted data]]/1000</f>
        <v>#N/A</v>
      </c>
      <c r="AG302" s="210" t="e">
        <f>_xlfn.XLOOKUP(_xlfn.CONCAT(Buildings_Water_Backend[[#This Row],[Level 1]:[Level 6]]),rng_EFConcat,rng_EF2)*Buildings_Water_Backend[[#This Row],[Converted data]]/1000</f>
        <v>#N/A</v>
      </c>
      <c r="AH302" s="210" t="e">
        <f>_xlfn.XLOOKUP(_xlfn.CONCAT(Buildings_Water_Backend[[#This Row],[Level 1]:[Level 6]]),rng_EFConcat,rng_EF3)*Buildings_Water_Backend[[#This Row],[Converted data]]/1000</f>
        <v>#N/A</v>
      </c>
      <c r="AI302" s="210" t="e">
        <f>_xlfn.XLOOKUP(_xlfn.CONCAT(Buildings_Water_Backend[[#This Row],[Level 1]:[Level 6]]),rng_EFConcat,rng_EF3WTT)*Buildings_Water_Backend[[#This Row],[Converted data]]/1000</f>
        <v>#N/A</v>
      </c>
      <c r="AJ302" s="210" t="e">
        <f>_xlfn.XLOOKUP(_xlfn.CONCAT(Buildings_Water_Backend[[#This Row],[Level 1]:[Level 6]]),rng_EFConcat,rng_EF3TD)*Buildings_Water_Backend[[#This Row],[Converted data]]/1000</f>
        <v>#N/A</v>
      </c>
      <c r="AK302" s="210" t="e">
        <f>_xlfn.XLOOKUP(_xlfn.CONCAT(Buildings_Water_Backend[[#This Row],[Level 1]:[Level 6]]),rng_EFConcat,rng_EF3WTTTD)*Buildings_Water_Backend[[#This Row],[Converted data]]/1000</f>
        <v>#N/A</v>
      </c>
      <c r="AL302" s="220" t="e">
        <f>SUM(Buildings_Water_Backend[[#This Row],[Scope 1 (tCO2e)]:[Scope 3 WTT T&amp;D (tCO2e)]])</f>
        <v>#N/A</v>
      </c>
      <c r="AM302" s="220" t="e">
        <f>Buildings_Water_Backend[[#This Row],[Total (tCO2e)]]*(1-Buildings_Water_Backend[[#This Row],[RSD]])</f>
        <v>#N/A</v>
      </c>
      <c r="AN302" s="220" t="e">
        <f>Buildings_Water_Backend[[#This Row],[Total (tCO2e)]]*(1+Buildings_Water_Backend[[#This Row],[RSD]])</f>
        <v>#N/A</v>
      </c>
      <c r="AO302" s="210" t="e">
        <f>_xlfn.XLOOKUP(_xlfn.CONCAT(Buildings_Water_Backend[[#This Row],[Level 1]:[Level 6]]),rng_EFConcat,rng_EFOOS)*Buildings_Water_Backend[[#This Row],[Converted data]]/1000</f>
        <v>#N/A</v>
      </c>
      <c r="AP302" s="174">
        <f>Buildings_Water_Frontend[[#This Row],[Ease of collection]]</f>
        <v>0</v>
      </c>
      <c r="AQ302" s="174">
        <f>Buildings_Water_Frontend[[#This Row],[Completeness]]</f>
        <v>0</v>
      </c>
      <c r="AR302" s="174">
        <f>Buildings_Water_Frontend[[#This Row],[Notes]]</f>
        <v>0</v>
      </c>
    </row>
    <row r="303" spans="5:44" x14ac:dyDescent="0.3">
      <c r="E303" s="346"/>
      <c r="F303" s="364"/>
      <c r="G303" s="336"/>
      <c r="H303" s="336"/>
      <c r="I303" s="334"/>
      <c r="J303" s="336"/>
      <c r="K303" s="336"/>
      <c r="L303" s="336"/>
      <c r="M303" s="337"/>
      <c r="N303" s="242">
        <f t="shared" si="9"/>
        <v>5</v>
      </c>
      <c r="Q303" s="212" t="str">
        <f t="shared" si="8"/>
        <v/>
      </c>
      <c r="R303" s="174" t="s">
        <v>265</v>
      </c>
      <c r="S303" s="174" t="s">
        <v>273</v>
      </c>
      <c r="T303" s="174" t="e">
        <f>_xlfn.XLOOKUP(Buildings_Water_Backend[[#This Row],[Info 1]],Buildings_SiteInfo[Site name],Buildings_SiteInfo[Site type])</f>
        <v>#N/A</v>
      </c>
      <c r="U303" s="174" t="s">
        <v>327</v>
      </c>
      <c r="V303" s="174">
        <f>Buildings_Water_Frontend[[#This Row],[Type]]</f>
        <v>0</v>
      </c>
      <c r="W303" s="174" t="e" cm="1">
        <f t="array" aca="1" ref="W303" ca="1">_xlfn.XLOOKUP(Buildings_Water_Backend[[#This Row],[Level 5]],rng_Level5Long,rng_Level6Long)</f>
        <v>#N/A</v>
      </c>
      <c r="X303" s="174">
        <f>Buildings_Water_Frontend[[#This Row],[Site Name]]</f>
        <v>0</v>
      </c>
      <c r="Y303" s="174">
        <f>Buildings_Water_Frontend[[#This Row],[Meter Reference]]</f>
        <v>0</v>
      </c>
      <c r="Z303" s="220">
        <f>Buildings_Water_Frontend[[#This Row],[Methodology]]</f>
        <v>0</v>
      </c>
      <c r="AA303" s="229" t="e" cm="1">
        <f t="array" ref="AA303">INDEX(_xlfn.SWITCH(Buildings_Water_Backend[[#This Row],[Methodology]],"Tier 1",rng_RSD1,"Tier 2",rng_RSD2,"Tier 3",rng_RSD3),MATCH(_xlfn.CONCAT(Buildings_Water_Backend[[#This Row],[Level 1]:[Level 6]]),rng_LevelsConcat,0))</f>
        <v>#N/A</v>
      </c>
      <c r="AB303" s="224">
        <f>Buildings_Water_Frontend[[#This Row],[Data]]</f>
        <v>0</v>
      </c>
      <c r="AC303" s="174">
        <f>Buildings_Water_Frontend[[#This Row],[Units]]</f>
        <v>0</v>
      </c>
      <c r="AD303" s="220" t="e">
        <f>IF(Buildings_Water_Backend[[#This Row],[Units]]=Buildings_Water_Backend[[#This Row],[Standard units]],Buildings_Water_Backend[[#This Row],[Data]],Buildings_Water_Backend[[#This Row],[Data]]*_xlfn.XLOOKUP(_xlfn.CONCAT(Buildings_Water_Backend[[#This Row],[Level 1]:[Level 6]]),rng_EFConcat,rng_EFConversion))</f>
        <v>#N/A</v>
      </c>
      <c r="AE303" s="174" t="e" cm="1">
        <f t="array" ref="AE303">_xlfn.XLOOKUP(_xlfn.CONCAT(Buildings_Water_Backend[[#This Row],[Level 1]:[Level 6]]),rng_LevelsConcat,rng_UnitsLong)</f>
        <v>#N/A</v>
      </c>
      <c r="AF303" s="210" t="e">
        <f>_xlfn.XLOOKUP(_xlfn.CONCAT(Buildings_Water_Backend[[#This Row],[Level 1]:[Level 6]]),rng_EFConcat,rng_EF1)*Buildings_Water_Backend[[#This Row],[Converted data]]/1000</f>
        <v>#N/A</v>
      </c>
      <c r="AG303" s="210" t="e">
        <f>_xlfn.XLOOKUP(_xlfn.CONCAT(Buildings_Water_Backend[[#This Row],[Level 1]:[Level 6]]),rng_EFConcat,rng_EF2)*Buildings_Water_Backend[[#This Row],[Converted data]]/1000</f>
        <v>#N/A</v>
      </c>
      <c r="AH303" s="210" t="e">
        <f>_xlfn.XLOOKUP(_xlfn.CONCAT(Buildings_Water_Backend[[#This Row],[Level 1]:[Level 6]]),rng_EFConcat,rng_EF3)*Buildings_Water_Backend[[#This Row],[Converted data]]/1000</f>
        <v>#N/A</v>
      </c>
      <c r="AI303" s="210" t="e">
        <f>_xlfn.XLOOKUP(_xlfn.CONCAT(Buildings_Water_Backend[[#This Row],[Level 1]:[Level 6]]),rng_EFConcat,rng_EF3WTT)*Buildings_Water_Backend[[#This Row],[Converted data]]/1000</f>
        <v>#N/A</v>
      </c>
      <c r="AJ303" s="210" t="e">
        <f>_xlfn.XLOOKUP(_xlfn.CONCAT(Buildings_Water_Backend[[#This Row],[Level 1]:[Level 6]]),rng_EFConcat,rng_EF3TD)*Buildings_Water_Backend[[#This Row],[Converted data]]/1000</f>
        <v>#N/A</v>
      </c>
      <c r="AK303" s="210" t="e">
        <f>_xlfn.XLOOKUP(_xlfn.CONCAT(Buildings_Water_Backend[[#This Row],[Level 1]:[Level 6]]),rng_EFConcat,rng_EF3WTTTD)*Buildings_Water_Backend[[#This Row],[Converted data]]/1000</f>
        <v>#N/A</v>
      </c>
      <c r="AL303" s="220" t="e">
        <f>SUM(Buildings_Water_Backend[[#This Row],[Scope 1 (tCO2e)]:[Scope 3 WTT T&amp;D (tCO2e)]])</f>
        <v>#N/A</v>
      </c>
      <c r="AM303" s="220" t="e">
        <f>Buildings_Water_Backend[[#This Row],[Total (tCO2e)]]*(1-Buildings_Water_Backend[[#This Row],[RSD]])</f>
        <v>#N/A</v>
      </c>
      <c r="AN303" s="220" t="e">
        <f>Buildings_Water_Backend[[#This Row],[Total (tCO2e)]]*(1+Buildings_Water_Backend[[#This Row],[RSD]])</f>
        <v>#N/A</v>
      </c>
      <c r="AO303" s="210" t="e">
        <f>_xlfn.XLOOKUP(_xlfn.CONCAT(Buildings_Water_Backend[[#This Row],[Level 1]:[Level 6]]),rng_EFConcat,rng_EFOOS)*Buildings_Water_Backend[[#This Row],[Converted data]]/1000</f>
        <v>#N/A</v>
      </c>
      <c r="AP303" s="174">
        <f>Buildings_Water_Frontend[[#This Row],[Ease of collection]]</f>
        <v>0</v>
      </c>
      <c r="AQ303" s="174">
        <f>Buildings_Water_Frontend[[#This Row],[Completeness]]</f>
        <v>0</v>
      </c>
      <c r="AR303" s="174">
        <f>Buildings_Water_Frontend[[#This Row],[Notes]]</f>
        <v>0</v>
      </c>
    </row>
    <row r="304" spans="5:44" x14ac:dyDescent="0.3">
      <c r="E304" s="346"/>
      <c r="F304" s="364"/>
      <c r="G304" s="336"/>
      <c r="H304" s="336"/>
      <c r="I304" s="334"/>
      <c r="J304" s="336"/>
      <c r="K304" s="336"/>
      <c r="L304" s="336"/>
      <c r="M304" s="337"/>
      <c r="N304" s="242">
        <f t="shared" si="9"/>
        <v>5</v>
      </c>
      <c r="Q304" s="212" t="str">
        <f t="shared" si="8"/>
        <v/>
      </c>
      <c r="R304" s="174" t="s">
        <v>265</v>
      </c>
      <c r="S304" s="174" t="s">
        <v>273</v>
      </c>
      <c r="T304" s="174" t="e">
        <f>_xlfn.XLOOKUP(Buildings_Water_Backend[[#This Row],[Info 1]],Buildings_SiteInfo[Site name],Buildings_SiteInfo[Site type])</f>
        <v>#N/A</v>
      </c>
      <c r="U304" s="174" t="s">
        <v>327</v>
      </c>
      <c r="V304" s="174">
        <f>Buildings_Water_Frontend[[#This Row],[Type]]</f>
        <v>0</v>
      </c>
      <c r="W304" s="174" t="e" cm="1">
        <f t="array" aca="1" ref="W304" ca="1">_xlfn.XLOOKUP(Buildings_Water_Backend[[#This Row],[Level 5]],rng_Level5Long,rng_Level6Long)</f>
        <v>#N/A</v>
      </c>
      <c r="X304" s="174">
        <f>Buildings_Water_Frontend[[#This Row],[Site Name]]</f>
        <v>0</v>
      </c>
      <c r="Y304" s="174">
        <f>Buildings_Water_Frontend[[#This Row],[Meter Reference]]</f>
        <v>0</v>
      </c>
      <c r="Z304" s="220">
        <f>Buildings_Water_Frontend[[#This Row],[Methodology]]</f>
        <v>0</v>
      </c>
      <c r="AA304" s="229" t="e" cm="1">
        <f t="array" ref="AA304">INDEX(_xlfn.SWITCH(Buildings_Water_Backend[[#This Row],[Methodology]],"Tier 1",rng_RSD1,"Tier 2",rng_RSD2,"Tier 3",rng_RSD3),MATCH(_xlfn.CONCAT(Buildings_Water_Backend[[#This Row],[Level 1]:[Level 6]]),rng_LevelsConcat,0))</f>
        <v>#N/A</v>
      </c>
      <c r="AB304" s="224">
        <f>Buildings_Water_Frontend[[#This Row],[Data]]</f>
        <v>0</v>
      </c>
      <c r="AC304" s="174">
        <f>Buildings_Water_Frontend[[#This Row],[Units]]</f>
        <v>0</v>
      </c>
      <c r="AD304" s="220" t="e">
        <f>IF(Buildings_Water_Backend[[#This Row],[Units]]=Buildings_Water_Backend[[#This Row],[Standard units]],Buildings_Water_Backend[[#This Row],[Data]],Buildings_Water_Backend[[#This Row],[Data]]*_xlfn.XLOOKUP(_xlfn.CONCAT(Buildings_Water_Backend[[#This Row],[Level 1]:[Level 6]]),rng_EFConcat,rng_EFConversion))</f>
        <v>#N/A</v>
      </c>
      <c r="AE304" s="174" t="e" cm="1">
        <f t="array" ref="AE304">_xlfn.XLOOKUP(_xlfn.CONCAT(Buildings_Water_Backend[[#This Row],[Level 1]:[Level 6]]),rng_LevelsConcat,rng_UnitsLong)</f>
        <v>#N/A</v>
      </c>
      <c r="AF304" s="210" t="e">
        <f>_xlfn.XLOOKUP(_xlfn.CONCAT(Buildings_Water_Backend[[#This Row],[Level 1]:[Level 6]]),rng_EFConcat,rng_EF1)*Buildings_Water_Backend[[#This Row],[Converted data]]/1000</f>
        <v>#N/A</v>
      </c>
      <c r="AG304" s="210" t="e">
        <f>_xlfn.XLOOKUP(_xlfn.CONCAT(Buildings_Water_Backend[[#This Row],[Level 1]:[Level 6]]),rng_EFConcat,rng_EF2)*Buildings_Water_Backend[[#This Row],[Converted data]]/1000</f>
        <v>#N/A</v>
      </c>
      <c r="AH304" s="210" t="e">
        <f>_xlfn.XLOOKUP(_xlfn.CONCAT(Buildings_Water_Backend[[#This Row],[Level 1]:[Level 6]]),rng_EFConcat,rng_EF3)*Buildings_Water_Backend[[#This Row],[Converted data]]/1000</f>
        <v>#N/A</v>
      </c>
      <c r="AI304" s="210" t="e">
        <f>_xlfn.XLOOKUP(_xlfn.CONCAT(Buildings_Water_Backend[[#This Row],[Level 1]:[Level 6]]),rng_EFConcat,rng_EF3WTT)*Buildings_Water_Backend[[#This Row],[Converted data]]/1000</f>
        <v>#N/A</v>
      </c>
      <c r="AJ304" s="210" t="e">
        <f>_xlfn.XLOOKUP(_xlfn.CONCAT(Buildings_Water_Backend[[#This Row],[Level 1]:[Level 6]]),rng_EFConcat,rng_EF3TD)*Buildings_Water_Backend[[#This Row],[Converted data]]/1000</f>
        <v>#N/A</v>
      </c>
      <c r="AK304" s="210" t="e">
        <f>_xlfn.XLOOKUP(_xlfn.CONCAT(Buildings_Water_Backend[[#This Row],[Level 1]:[Level 6]]),rng_EFConcat,rng_EF3WTTTD)*Buildings_Water_Backend[[#This Row],[Converted data]]/1000</f>
        <v>#N/A</v>
      </c>
      <c r="AL304" s="220" t="e">
        <f>SUM(Buildings_Water_Backend[[#This Row],[Scope 1 (tCO2e)]:[Scope 3 WTT T&amp;D (tCO2e)]])</f>
        <v>#N/A</v>
      </c>
      <c r="AM304" s="220" t="e">
        <f>Buildings_Water_Backend[[#This Row],[Total (tCO2e)]]*(1-Buildings_Water_Backend[[#This Row],[RSD]])</f>
        <v>#N/A</v>
      </c>
      <c r="AN304" s="220" t="e">
        <f>Buildings_Water_Backend[[#This Row],[Total (tCO2e)]]*(1+Buildings_Water_Backend[[#This Row],[RSD]])</f>
        <v>#N/A</v>
      </c>
      <c r="AO304" s="210" t="e">
        <f>_xlfn.XLOOKUP(_xlfn.CONCAT(Buildings_Water_Backend[[#This Row],[Level 1]:[Level 6]]),rng_EFConcat,rng_EFOOS)*Buildings_Water_Backend[[#This Row],[Converted data]]/1000</f>
        <v>#N/A</v>
      </c>
      <c r="AP304" s="174">
        <f>Buildings_Water_Frontend[[#This Row],[Ease of collection]]</f>
        <v>0</v>
      </c>
      <c r="AQ304" s="174">
        <f>Buildings_Water_Frontend[[#This Row],[Completeness]]</f>
        <v>0</v>
      </c>
      <c r="AR304" s="174">
        <f>Buildings_Water_Frontend[[#This Row],[Notes]]</f>
        <v>0</v>
      </c>
    </row>
    <row r="305" spans="5:44" x14ac:dyDescent="0.3">
      <c r="E305" s="346"/>
      <c r="F305" s="364"/>
      <c r="G305" s="336"/>
      <c r="H305" s="336"/>
      <c r="I305" s="334"/>
      <c r="J305" s="336"/>
      <c r="K305" s="336"/>
      <c r="L305" s="336"/>
      <c r="M305" s="337"/>
      <c r="N305" s="242">
        <f t="shared" si="9"/>
        <v>5</v>
      </c>
      <c r="Q305" s="212" t="str">
        <f t="shared" si="8"/>
        <v/>
      </c>
      <c r="R305" s="174" t="s">
        <v>265</v>
      </c>
      <c r="S305" s="174" t="s">
        <v>273</v>
      </c>
      <c r="T305" s="174" t="e">
        <f>_xlfn.XLOOKUP(Buildings_Water_Backend[[#This Row],[Info 1]],Buildings_SiteInfo[Site name],Buildings_SiteInfo[Site type])</f>
        <v>#N/A</v>
      </c>
      <c r="U305" s="174" t="s">
        <v>327</v>
      </c>
      <c r="V305" s="174">
        <f>Buildings_Water_Frontend[[#This Row],[Type]]</f>
        <v>0</v>
      </c>
      <c r="W305" s="174" t="e" cm="1">
        <f t="array" aca="1" ref="W305" ca="1">_xlfn.XLOOKUP(Buildings_Water_Backend[[#This Row],[Level 5]],rng_Level5Long,rng_Level6Long)</f>
        <v>#N/A</v>
      </c>
      <c r="X305" s="174">
        <f>Buildings_Water_Frontend[[#This Row],[Site Name]]</f>
        <v>0</v>
      </c>
      <c r="Y305" s="174">
        <f>Buildings_Water_Frontend[[#This Row],[Meter Reference]]</f>
        <v>0</v>
      </c>
      <c r="Z305" s="220">
        <f>Buildings_Water_Frontend[[#This Row],[Methodology]]</f>
        <v>0</v>
      </c>
      <c r="AA305" s="229" t="e" cm="1">
        <f t="array" ref="AA305">INDEX(_xlfn.SWITCH(Buildings_Water_Backend[[#This Row],[Methodology]],"Tier 1",rng_RSD1,"Tier 2",rng_RSD2,"Tier 3",rng_RSD3),MATCH(_xlfn.CONCAT(Buildings_Water_Backend[[#This Row],[Level 1]:[Level 6]]),rng_LevelsConcat,0))</f>
        <v>#N/A</v>
      </c>
      <c r="AB305" s="224">
        <f>Buildings_Water_Frontend[[#This Row],[Data]]</f>
        <v>0</v>
      </c>
      <c r="AC305" s="174">
        <f>Buildings_Water_Frontend[[#This Row],[Units]]</f>
        <v>0</v>
      </c>
      <c r="AD305" s="220" t="e">
        <f>IF(Buildings_Water_Backend[[#This Row],[Units]]=Buildings_Water_Backend[[#This Row],[Standard units]],Buildings_Water_Backend[[#This Row],[Data]],Buildings_Water_Backend[[#This Row],[Data]]*_xlfn.XLOOKUP(_xlfn.CONCAT(Buildings_Water_Backend[[#This Row],[Level 1]:[Level 6]]),rng_EFConcat,rng_EFConversion))</f>
        <v>#N/A</v>
      </c>
      <c r="AE305" s="174" t="e" cm="1">
        <f t="array" ref="AE305">_xlfn.XLOOKUP(_xlfn.CONCAT(Buildings_Water_Backend[[#This Row],[Level 1]:[Level 6]]),rng_LevelsConcat,rng_UnitsLong)</f>
        <v>#N/A</v>
      </c>
      <c r="AF305" s="210" t="e">
        <f>_xlfn.XLOOKUP(_xlfn.CONCAT(Buildings_Water_Backend[[#This Row],[Level 1]:[Level 6]]),rng_EFConcat,rng_EF1)*Buildings_Water_Backend[[#This Row],[Converted data]]/1000</f>
        <v>#N/A</v>
      </c>
      <c r="AG305" s="210" t="e">
        <f>_xlfn.XLOOKUP(_xlfn.CONCAT(Buildings_Water_Backend[[#This Row],[Level 1]:[Level 6]]),rng_EFConcat,rng_EF2)*Buildings_Water_Backend[[#This Row],[Converted data]]/1000</f>
        <v>#N/A</v>
      </c>
      <c r="AH305" s="210" t="e">
        <f>_xlfn.XLOOKUP(_xlfn.CONCAT(Buildings_Water_Backend[[#This Row],[Level 1]:[Level 6]]),rng_EFConcat,rng_EF3)*Buildings_Water_Backend[[#This Row],[Converted data]]/1000</f>
        <v>#N/A</v>
      </c>
      <c r="AI305" s="210" t="e">
        <f>_xlfn.XLOOKUP(_xlfn.CONCAT(Buildings_Water_Backend[[#This Row],[Level 1]:[Level 6]]),rng_EFConcat,rng_EF3WTT)*Buildings_Water_Backend[[#This Row],[Converted data]]/1000</f>
        <v>#N/A</v>
      </c>
      <c r="AJ305" s="210" t="e">
        <f>_xlfn.XLOOKUP(_xlfn.CONCAT(Buildings_Water_Backend[[#This Row],[Level 1]:[Level 6]]),rng_EFConcat,rng_EF3TD)*Buildings_Water_Backend[[#This Row],[Converted data]]/1000</f>
        <v>#N/A</v>
      </c>
      <c r="AK305" s="210" t="e">
        <f>_xlfn.XLOOKUP(_xlfn.CONCAT(Buildings_Water_Backend[[#This Row],[Level 1]:[Level 6]]),rng_EFConcat,rng_EF3WTTTD)*Buildings_Water_Backend[[#This Row],[Converted data]]/1000</f>
        <v>#N/A</v>
      </c>
      <c r="AL305" s="220" t="e">
        <f>SUM(Buildings_Water_Backend[[#This Row],[Scope 1 (tCO2e)]:[Scope 3 WTT T&amp;D (tCO2e)]])</f>
        <v>#N/A</v>
      </c>
      <c r="AM305" s="220" t="e">
        <f>Buildings_Water_Backend[[#This Row],[Total (tCO2e)]]*(1-Buildings_Water_Backend[[#This Row],[RSD]])</f>
        <v>#N/A</v>
      </c>
      <c r="AN305" s="220" t="e">
        <f>Buildings_Water_Backend[[#This Row],[Total (tCO2e)]]*(1+Buildings_Water_Backend[[#This Row],[RSD]])</f>
        <v>#N/A</v>
      </c>
      <c r="AO305" s="210" t="e">
        <f>_xlfn.XLOOKUP(_xlfn.CONCAT(Buildings_Water_Backend[[#This Row],[Level 1]:[Level 6]]),rng_EFConcat,rng_EFOOS)*Buildings_Water_Backend[[#This Row],[Converted data]]/1000</f>
        <v>#N/A</v>
      </c>
      <c r="AP305" s="174">
        <f>Buildings_Water_Frontend[[#This Row],[Ease of collection]]</f>
        <v>0</v>
      </c>
      <c r="AQ305" s="174">
        <f>Buildings_Water_Frontend[[#This Row],[Completeness]]</f>
        <v>0</v>
      </c>
      <c r="AR305" s="174">
        <f>Buildings_Water_Frontend[[#This Row],[Notes]]</f>
        <v>0</v>
      </c>
    </row>
    <row r="306" spans="5:44" x14ac:dyDescent="0.3">
      <c r="E306" s="346"/>
      <c r="F306" s="364"/>
      <c r="G306" s="336"/>
      <c r="H306" s="336"/>
      <c r="I306" s="334"/>
      <c r="J306" s="336"/>
      <c r="K306" s="336"/>
      <c r="L306" s="336"/>
      <c r="M306" s="337"/>
      <c r="N306" s="242">
        <f t="shared" si="9"/>
        <v>5</v>
      </c>
      <c r="Q306" s="212" t="str">
        <f t="shared" si="8"/>
        <v/>
      </c>
      <c r="R306" s="174" t="s">
        <v>265</v>
      </c>
      <c r="S306" s="174" t="s">
        <v>273</v>
      </c>
      <c r="T306" s="174" t="e">
        <f>_xlfn.XLOOKUP(Buildings_Water_Backend[[#This Row],[Info 1]],Buildings_SiteInfo[Site name],Buildings_SiteInfo[Site type])</f>
        <v>#N/A</v>
      </c>
      <c r="U306" s="174" t="s">
        <v>327</v>
      </c>
      <c r="V306" s="174">
        <f>Buildings_Water_Frontend[[#This Row],[Type]]</f>
        <v>0</v>
      </c>
      <c r="W306" s="174" t="e" cm="1">
        <f t="array" aca="1" ref="W306" ca="1">_xlfn.XLOOKUP(Buildings_Water_Backend[[#This Row],[Level 5]],rng_Level5Long,rng_Level6Long)</f>
        <v>#N/A</v>
      </c>
      <c r="X306" s="174">
        <f>Buildings_Water_Frontend[[#This Row],[Site Name]]</f>
        <v>0</v>
      </c>
      <c r="Y306" s="174">
        <f>Buildings_Water_Frontend[[#This Row],[Meter Reference]]</f>
        <v>0</v>
      </c>
      <c r="Z306" s="220">
        <f>Buildings_Water_Frontend[[#This Row],[Methodology]]</f>
        <v>0</v>
      </c>
      <c r="AA306" s="229" t="e" cm="1">
        <f t="array" ref="AA306">INDEX(_xlfn.SWITCH(Buildings_Water_Backend[[#This Row],[Methodology]],"Tier 1",rng_RSD1,"Tier 2",rng_RSD2,"Tier 3",rng_RSD3),MATCH(_xlfn.CONCAT(Buildings_Water_Backend[[#This Row],[Level 1]:[Level 6]]),rng_LevelsConcat,0))</f>
        <v>#N/A</v>
      </c>
      <c r="AB306" s="224">
        <f>Buildings_Water_Frontend[[#This Row],[Data]]</f>
        <v>0</v>
      </c>
      <c r="AC306" s="174">
        <f>Buildings_Water_Frontend[[#This Row],[Units]]</f>
        <v>0</v>
      </c>
      <c r="AD306" s="220" t="e">
        <f>IF(Buildings_Water_Backend[[#This Row],[Units]]=Buildings_Water_Backend[[#This Row],[Standard units]],Buildings_Water_Backend[[#This Row],[Data]],Buildings_Water_Backend[[#This Row],[Data]]*_xlfn.XLOOKUP(_xlfn.CONCAT(Buildings_Water_Backend[[#This Row],[Level 1]:[Level 6]]),rng_EFConcat,rng_EFConversion))</f>
        <v>#N/A</v>
      </c>
      <c r="AE306" s="174" t="e" cm="1">
        <f t="array" ref="AE306">_xlfn.XLOOKUP(_xlfn.CONCAT(Buildings_Water_Backend[[#This Row],[Level 1]:[Level 6]]),rng_LevelsConcat,rng_UnitsLong)</f>
        <v>#N/A</v>
      </c>
      <c r="AF306" s="210" t="e">
        <f>_xlfn.XLOOKUP(_xlfn.CONCAT(Buildings_Water_Backend[[#This Row],[Level 1]:[Level 6]]),rng_EFConcat,rng_EF1)*Buildings_Water_Backend[[#This Row],[Converted data]]/1000</f>
        <v>#N/A</v>
      </c>
      <c r="AG306" s="210" t="e">
        <f>_xlfn.XLOOKUP(_xlfn.CONCAT(Buildings_Water_Backend[[#This Row],[Level 1]:[Level 6]]),rng_EFConcat,rng_EF2)*Buildings_Water_Backend[[#This Row],[Converted data]]/1000</f>
        <v>#N/A</v>
      </c>
      <c r="AH306" s="210" t="e">
        <f>_xlfn.XLOOKUP(_xlfn.CONCAT(Buildings_Water_Backend[[#This Row],[Level 1]:[Level 6]]),rng_EFConcat,rng_EF3)*Buildings_Water_Backend[[#This Row],[Converted data]]/1000</f>
        <v>#N/A</v>
      </c>
      <c r="AI306" s="210" t="e">
        <f>_xlfn.XLOOKUP(_xlfn.CONCAT(Buildings_Water_Backend[[#This Row],[Level 1]:[Level 6]]),rng_EFConcat,rng_EF3WTT)*Buildings_Water_Backend[[#This Row],[Converted data]]/1000</f>
        <v>#N/A</v>
      </c>
      <c r="AJ306" s="210" t="e">
        <f>_xlfn.XLOOKUP(_xlfn.CONCAT(Buildings_Water_Backend[[#This Row],[Level 1]:[Level 6]]),rng_EFConcat,rng_EF3TD)*Buildings_Water_Backend[[#This Row],[Converted data]]/1000</f>
        <v>#N/A</v>
      </c>
      <c r="AK306" s="210" t="e">
        <f>_xlfn.XLOOKUP(_xlfn.CONCAT(Buildings_Water_Backend[[#This Row],[Level 1]:[Level 6]]),rng_EFConcat,rng_EF3WTTTD)*Buildings_Water_Backend[[#This Row],[Converted data]]/1000</f>
        <v>#N/A</v>
      </c>
      <c r="AL306" s="220" t="e">
        <f>SUM(Buildings_Water_Backend[[#This Row],[Scope 1 (tCO2e)]:[Scope 3 WTT T&amp;D (tCO2e)]])</f>
        <v>#N/A</v>
      </c>
      <c r="AM306" s="220" t="e">
        <f>Buildings_Water_Backend[[#This Row],[Total (tCO2e)]]*(1-Buildings_Water_Backend[[#This Row],[RSD]])</f>
        <v>#N/A</v>
      </c>
      <c r="AN306" s="220" t="e">
        <f>Buildings_Water_Backend[[#This Row],[Total (tCO2e)]]*(1+Buildings_Water_Backend[[#This Row],[RSD]])</f>
        <v>#N/A</v>
      </c>
      <c r="AO306" s="210" t="e">
        <f>_xlfn.XLOOKUP(_xlfn.CONCAT(Buildings_Water_Backend[[#This Row],[Level 1]:[Level 6]]),rng_EFConcat,rng_EFOOS)*Buildings_Water_Backend[[#This Row],[Converted data]]/1000</f>
        <v>#N/A</v>
      </c>
      <c r="AP306" s="174">
        <f>Buildings_Water_Frontend[[#This Row],[Ease of collection]]</f>
        <v>0</v>
      </c>
      <c r="AQ306" s="174">
        <f>Buildings_Water_Frontend[[#This Row],[Completeness]]</f>
        <v>0</v>
      </c>
      <c r="AR306" s="174">
        <f>Buildings_Water_Frontend[[#This Row],[Notes]]</f>
        <v>0</v>
      </c>
    </row>
    <row r="307" spans="5:44" x14ac:dyDescent="0.3">
      <c r="E307" s="346"/>
      <c r="F307" s="364"/>
      <c r="G307" s="336"/>
      <c r="H307" s="336"/>
      <c r="I307" s="334"/>
      <c r="J307" s="336"/>
      <c r="K307" s="336"/>
      <c r="L307" s="336"/>
      <c r="M307" s="337"/>
      <c r="N307" s="242">
        <f t="shared" si="9"/>
        <v>5</v>
      </c>
      <c r="Q307" s="212" t="str">
        <f t="shared" si="8"/>
        <v/>
      </c>
      <c r="R307" s="174" t="s">
        <v>265</v>
      </c>
      <c r="S307" s="174" t="s">
        <v>273</v>
      </c>
      <c r="T307" s="174" t="e">
        <f>_xlfn.XLOOKUP(Buildings_Water_Backend[[#This Row],[Info 1]],Buildings_SiteInfo[Site name],Buildings_SiteInfo[Site type])</f>
        <v>#N/A</v>
      </c>
      <c r="U307" s="174" t="s">
        <v>327</v>
      </c>
      <c r="V307" s="174">
        <f>Buildings_Water_Frontend[[#This Row],[Type]]</f>
        <v>0</v>
      </c>
      <c r="W307" s="174" t="e" cm="1">
        <f t="array" aca="1" ref="W307" ca="1">_xlfn.XLOOKUP(Buildings_Water_Backend[[#This Row],[Level 5]],rng_Level5Long,rng_Level6Long)</f>
        <v>#N/A</v>
      </c>
      <c r="X307" s="174">
        <f>Buildings_Water_Frontend[[#This Row],[Site Name]]</f>
        <v>0</v>
      </c>
      <c r="Y307" s="174">
        <f>Buildings_Water_Frontend[[#This Row],[Meter Reference]]</f>
        <v>0</v>
      </c>
      <c r="Z307" s="220">
        <f>Buildings_Water_Frontend[[#This Row],[Methodology]]</f>
        <v>0</v>
      </c>
      <c r="AA307" s="229" t="e" cm="1">
        <f t="array" ref="AA307">INDEX(_xlfn.SWITCH(Buildings_Water_Backend[[#This Row],[Methodology]],"Tier 1",rng_RSD1,"Tier 2",rng_RSD2,"Tier 3",rng_RSD3),MATCH(_xlfn.CONCAT(Buildings_Water_Backend[[#This Row],[Level 1]:[Level 6]]),rng_LevelsConcat,0))</f>
        <v>#N/A</v>
      </c>
      <c r="AB307" s="224">
        <f>Buildings_Water_Frontend[[#This Row],[Data]]</f>
        <v>0</v>
      </c>
      <c r="AC307" s="174">
        <f>Buildings_Water_Frontend[[#This Row],[Units]]</f>
        <v>0</v>
      </c>
      <c r="AD307" s="220" t="e">
        <f>IF(Buildings_Water_Backend[[#This Row],[Units]]=Buildings_Water_Backend[[#This Row],[Standard units]],Buildings_Water_Backend[[#This Row],[Data]],Buildings_Water_Backend[[#This Row],[Data]]*_xlfn.XLOOKUP(_xlfn.CONCAT(Buildings_Water_Backend[[#This Row],[Level 1]:[Level 6]]),rng_EFConcat,rng_EFConversion))</f>
        <v>#N/A</v>
      </c>
      <c r="AE307" s="174" t="e" cm="1">
        <f t="array" ref="AE307">_xlfn.XLOOKUP(_xlfn.CONCAT(Buildings_Water_Backend[[#This Row],[Level 1]:[Level 6]]),rng_LevelsConcat,rng_UnitsLong)</f>
        <v>#N/A</v>
      </c>
      <c r="AF307" s="210" t="e">
        <f>_xlfn.XLOOKUP(_xlfn.CONCAT(Buildings_Water_Backend[[#This Row],[Level 1]:[Level 6]]),rng_EFConcat,rng_EF1)*Buildings_Water_Backend[[#This Row],[Converted data]]/1000</f>
        <v>#N/A</v>
      </c>
      <c r="AG307" s="210" t="e">
        <f>_xlfn.XLOOKUP(_xlfn.CONCAT(Buildings_Water_Backend[[#This Row],[Level 1]:[Level 6]]),rng_EFConcat,rng_EF2)*Buildings_Water_Backend[[#This Row],[Converted data]]/1000</f>
        <v>#N/A</v>
      </c>
      <c r="AH307" s="210" t="e">
        <f>_xlfn.XLOOKUP(_xlfn.CONCAT(Buildings_Water_Backend[[#This Row],[Level 1]:[Level 6]]),rng_EFConcat,rng_EF3)*Buildings_Water_Backend[[#This Row],[Converted data]]/1000</f>
        <v>#N/A</v>
      </c>
      <c r="AI307" s="210" t="e">
        <f>_xlfn.XLOOKUP(_xlfn.CONCAT(Buildings_Water_Backend[[#This Row],[Level 1]:[Level 6]]),rng_EFConcat,rng_EF3WTT)*Buildings_Water_Backend[[#This Row],[Converted data]]/1000</f>
        <v>#N/A</v>
      </c>
      <c r="AJ307" s="210" t="e">
        <f>_xlfn.XLOOKUP(_xlfn.CONCAT(Buildings_Water_Backend[[#This Row],[Level 1]:[Level 6]]),rng_EFConcat,rng_EF3TD)*Buildings_Water_Backend[[#This Row],[Converted data]]/1000</f>
        <v>#N/A</v>
      </c>
      <c r="AK307" s="210" t="e">
        <f>_xlfn.XLOOKUP(_xlfn.CONCAT(Buildings_Water_Backend[[#This Row],[Level 1]:[Level 6]]),rng_EFConcat,rng_EF3WTTTD)*Buildings_Water_Backend[[#This Row],[Converted data]]/1000</f>
        <v>#N/A</v>
      </c>
      <c r="AL307" s="220" t="e">
        <f>SUM(Buildings_Water_Backend[[#This Row],[Scope 1 (tCO2e)]:[Scope 3 WTT T&amp;D (tCO2e)]])</f>
        <v>#N/A</v>
      </c>
      <c r="AM307" s="220" t="e">
        <f>Buildings_Water_Backend[[#This Row],[Total (tCO2e)]]*(1-Buildings_Water_Backend[[#This Row],[RSD]])</f>
        <v>#N/A</v>
      </c>
      <c r="AN307" s="220" t="e">
        <f>Buildings_Water_Backend[[#This Row],[Total (tCO2e)]]*(1+Buildings_Water_Backend[[#This Row],[RSD]])</f>
        <v>#N/A</v>
      </c>
      <c r="AO307" s="210" t="e">
        <f>_xlfn.XLOOKUP(_xlfn.CONCAT(Buildings_Water_Backend[[#This Row],[Level 1]:[Level 6]]),rng_EFConcat,rng_EFOOS)*Buildings_Water_Backend[[#This Row],[Converted data]]/1000</f>
        <v>#N/A</v>
      </c>
      <c r="AP307" s="174">
        <f>Buildings_Water_Frontend[[#This Row],[Ease of collection]]</f>
        <v>0</v>
      </c>
      <c r="AQ307" s="174">
        <f>Buildings_Water_Frontend[[#This Row],[Completeness]]</f>
        <v>0</v>
      </c>
      <c r="AR307" s="174">
        <f>Buildings_Water_Frontend[[#This Row],[Notes]]</f>
        <v>0</v>
      </c>
    </row>
    <row r="308" spans="5:44" x14ac:dyDescent="0.3">
      <c r="E308" s="346"/>
      <c r="F308" s="364"/>
      <c r="G308" s="336"/>
      <c r="H308" s="336"/>
      <c r="I308" s="334"/>
      <c r="J308" s="336"/>
      <c r="K308" s="336"/>
      <c r="L308" s="336"/>
      <c r="M308" s="337"/>
      <c r="N308" s="242">
        <f t="shared" si="9"/>
        <v>5</v>
      </c>
      <c r="Q308" s="212" t="str">
        <f t="shared" si="8"/>
        <v/>
      </c>
      <c r="R308" s="174" t="s">
        <v>265</v>
      </c>
      <c r="S308" s="174" t="s">
        <v>273</v>
      </c>
      <c r="T308" s="174" t="e">
        <f>_xlfn.XLOOKUP(Buildings_Water_Backend[[#This Row],[Info 1]],Buildings_SiteInfo[Site name],Buildings_SiteInfo[Site type])</f>
        <v>#N/A</v>
      </c>
      <c r="U308" s="174" t="s">
        <v>327</v>
      </c>
      <c r="V308" s="174">
        <f>Buildings_Water_Frontend[[#This Row],[Type]]</f>
        <v>0</v>
      </c>
      <c r="W308" s="174" t="e" cm="1">
        <f t="array" aca="1" ref="W308" ca="1">_xlfn.XLOOKUP(Buildings_Water_Backend[[#This Row],[Level 5]],rng_Level5Long,rng_Level6Long)</f>
        <v>#N/A</v>
      </c>
      <c r="X308" s="174">
        <f>Buildings_Water_Frontend[[#This Row],[Site Name]]</f>
        <v>0</v>
      </c>
      <c r="Y308" s="174">
        <f>Buildings_Water_Frontend[[#This Row],[Meter Reference]]</f>
        <v>0</v>
      </c>
      <c r="Z308" s="220">
        <f>Buildings_Water_Frontend[[#This Row],[Methodology]]</f>
        <v>0</v>
      </c>
      <c r="AA308" s="229" t="e" cm="1">
        <f t="array" ref="AA308">INDEX(_xlfn.SWITCH(Buildings_Water_Backend[[#This Row],[Methodology]],"Tier 1",rng_RSD1,"Tier 2",rng_RSD2,"Tier 3",rng_RSD3),MATCH(_xlfn.CONCAT(Buildings_Water_Backend[[#This Row],[Level 1]:[Level 6]]),rng_LevelsConcat,0))</f>
        <v>#N/A</v>
      </c>
      <c r="AB308" s="224">
        <f>Buildings_Water_Frontend[[#This Row],[Data]]</f>
        <v>0</v>
      </c>
      <c r="AC308" s="174">
        <f>Buildings_Water_Frontend[[#This Row],[Units]]</f>
        <v>0</v>
      </c>
      <c r="AD308" s="220" t="e">
        <f>IF(Buildings_Water_Backend[[#This Row],[Units]]=Buildings_Water_Backend[[#This Row],[Standard units]],Buildings_Water_Backend[[#This Row],[Data]],Buildings_Water_Backend[[#This Row],[Data]]*_xlfn.XLOOKUP(_xlfn.CONCAT(Buildings_Water_Backend[[#This Row],[Level 1]:[Level 6]]),rng_EFConcat,rng_EFConversion))</f>
        <v>#N/A</v>
      </c>
      <c r="AE308" s="174" t="e" cm="1">
        <f t="array" ref="AE308">_xlfn.XLOOKUP(_xlfn.CONCAT(Buildings_Water_Backend[[#This Row],[Level 1]:[Level 6]]),rng_LevelsConcat,rng_UnitsLong)</f>
        <v>#N/A</v>
      </c>
      <c r="AF308" s="210" t="e">
        <f>_xlfn.XLOOKUP(_xlfn.CONCAT(Buildings_Water_Backend[[#This Row],[Level 1]:[Level 6]]),rng_EFConcat,rng_EF1)*Buildings_Water_Backend[[#This Row],[Converted data]]/1000</f>
        <v>#N/A</v>
      </c>
      <c r="AG308" s="210" t="e">
        <f>_xlfn.XLOOKUP(_xlfn.CONCAT(Buildings_Water_Backend[[#This Row],[Level 1]:[Level 6]]),rng_EFConcat,rng_EF2)*Buildings_Water_Backend[[#This Row],[Converted data]]/1000</f>
        <v>#N/A</v>
      </c>
      <c r="AH308" s="210" t="e">
        <f>_xlfn.XLOOKUP(_xlfn.CONCAT(Buildings_Water_Backend[[#This Row],[Level 1]:[Level 6]]),rng_EFConcat,rng_EF3)*Buildings_Water_Backend[[#This Row],[Converted data]]/1000</f>
        <v>#N/A</v>
      </c>
      <c r="AI308" s="210" t="e">
        <f>_xlfn.XLOOKUP(_xlfn.CONCAT(Buildings_Water_Backend[[#This Row],[Level 1]:[Level 6]]),rng_EFConcat,rng_EF3WTT)*Buildings_Water_Backend[[#This Row],[Converted data]]/1000</f>
        <v>#N/A</v>
      </c>
      <c r="AJ308" s="210" t="e">
        <f>_xlfn.XLOOKUP(_xlfn.CONCAT(Buildings_Water_Backend[[#This Row],[Level 1]:[Level 6]]),rng_EFConcat,rng_EF3TD)*Buildings_Water_Backend[[#This Row],[Converted data]]/1000</f>
        <v>#N/A</v>
      </c>
      <c r="AK308" s="210" t="e">
        <f>_xlfn.XLOOKUP(_xlfn.CONCAT(Buildings_Water_Backend[[#This Row],[Level 1]:[Level 6]]),rng_EFConcat,rng_EF3WTTTD)*Buildings_Water_Backend[[#This Row],[Converted data]]/1000</f>
        <v>#N/A</v>
      </c>
      <c r="AL308" s="220" t="e">
        <f>SUM(Buildings_Water_Backend[[#This Row],[Scope 1 (tCO2e)]:[Scope 3 WTT T&amp;D (tCO2e)]])</f>
        <v>#N/A</v>
      </c>
      <c r="AM308" s="220" t="e">
        <f>Buildings_Water_Backend[[#This Row],[Total (tCO2e)]]*(1-Buildings_Water_Backend[[#This Row],[RSD]])</f>
        <v>#N/A</v>
      </c>
      <c r="AN308" s="220" t="e">
        <f>Buildings_Water_Backend[[#This Row],[Total (tCO2e)]]*(1+Buildings_Water_Backend[[#This Row],[RSD]])</f>
        <v>#N/A</v>
      </c>
      <c r="AO308" s="210" t="e">
        <f>_xlfn.XLOOKUP(_xlfn.CONCAT(Buildings_Water_Backend[[#This Row],[Level 1]:[Level 6]]),rng_EFConcat,rng_EFOOS)*Buildings_Water_Backend[[#This Row],[Converted data]]/1000</f>
        <v>#N/A</v>
      </c>
      <c r="AP308" s="174">
        <f>Buildings_Water_Frontend[[#This Row],[Ease of collection]]</f>
        <v>0</v>
      </c>
      <c r="AQ308" s="174">
        <f>Buildings_Water_Frontend[[#This Row],[Completeness]]</f>
        <v>0</v>
      </c>
      <c r="AR308" s="174">
        <f>Buildings_Water_Frontend[[#This Row],[Notes]]</f>
        <v>0</v>
      </c>
    </row>
    <row r="309" spans="5:44" x14ac:dyDescent="0.3">
      <c r="E309" s="346"/>
      <c r="F309" s="364"/>
      <c r="G309" s="336"/>
      <c r="H309" s="336"/>
      <c r="I309" s="334"/>
      <c r="J309" s="336"/>
      <c r="K309" s="336"/>
      <c r="L309" s="336"/>
      <c r="M309" s="337"/>
      <c r="N309" s="242">
        <f t="shared" si="9"/>
        <v>5</v>
      </c>
      <c r="Q309" s="212" t="str">
        <f t="shared" si="8"/>
        <v/>
      </c>
      <c r="R309" s="174" t="s">
        <v>265</v>
      </c>
      <c r="S309" s="174" t="s">
        <v>273</v>
      </c>
      <c r="T309" s="174" t="e">
        <f>_xlfn.XLOOKUP(Buildings_Water_Backend[[#This Row],[Info 1]],Buildings_SiteInfo[Site name],Buildings_SiteInfo[Site type])</f>
        <v>#N/A</v>
      </c>
      <c r="U309" s="174" t="s">
        <v>327</v>
      </c>
      <c r="V309" s="174">
        <f>Buildings_Water_Frontend[[#This Row],[Type]]</f>
        <v>0</v>
      </c>
      <c r="W309" s="174" t="e" cm="1">
        <f t="array" aca="1" ref="W309" ca="1">_xlfn.XLOOKUP(Buildings_Water_Backend[[#This Row],[Level 5]],rng_Level5Long,rng_Level6Long)</f>
        <v>#N/A</v>
      </c>
      <c r="X309" s="174">
        <f>Buildings_Water_Frontend[[#This Row],[Site Name]]</f>
        <v>0</v>
      </c>
      <c r="Y309" s="174">
        <f>Buildings_Water_Frontend[[#This Row],[Meter Reference]]</f>
        <v>0</v>
      </c>
      <c r="Z309" s="220">
        <f>Buildings_Water_Frontend[[#This Row],[Methodology]]</f>
        <v>0</v>
      </c>
      <c r="AA309" s="229" t="e" cm="1">
        <f t="array" ref="AA309">INDEX(_xlfn.SWITCH(Buildings_Water_Backend[[#This Row],[Methodology]],"Tier 1",rng_RSD1,"Tier 2",rng_RSD2,"Tier 3",rng_RSD3),MATCH(_xlfn.CONCAT(Buildings_Water_Backend[[#This Row],[Level 1]:[Level 6]]),rng_LevelsConcat,0))</f>
        <v>#N/A</v>
      </c>
      <c r="AB309" s="224">
        <f>Buildings_Water_Frontend[[#This Row],[Data]]</f>
        <v>0</v>
      </c>
      <c r="AC309" s="174">
        <f>Buildings_Water_Frontend[[#This Row],[Units]]</f>
        <v>0</v>
      </c>
      <c r="AD309" s="220" t="e">
        <f>IF(Buildings_Water_Backend[[#This Row],[Units]]=Buildings_Water_Backend[[#This Row],[Standard units]],Buildings_Water_Backend[[#This Row],[Data]],Buildings_Water_Backend[[#This Row],[Data]]*_xlfn.XLOOKUP(_xlfn.CONCAT(Buildings_Water_Backend[[#This Row],[Level 1]:[Level 6]]),rng_EFConcat,rng_EFConversion))</f>
        <v>#N/A</v>
      </c>
      <c r="AE309" s="174" t="e" cm="1">
        <f t="array" ref="AE309">_xlfn.XLOOKUP(_xlfn.CONCAT(Buildings_Water_Backend[[#This Row],[Level 1]:[Level 6]]),rng_LevelsConcat,rng_UnitsLong)</f>
        <v>#N/A</v>
      </c>
      <c r="AF309" s="210" t="e">
        <f>_xlfn.XLOOKUP(_xlfn.CONCAT(Buildings_Water_Backend[[#This Row],[Level 1]:[Level 6]]),rng_EFConcat,rng_EF1)*Buildings_Water_Backend[[#This Row],[Converted data]]/1000</f>
        <v>#N/A</v>
      </c>
      <c r="AG309" s="210" t="e">
        <f>_xlfn.XLOOKUP(_xlfn.CONCAT(Buildings_Water_Backend[[#This Row],[Level 1]:[Level 6]]),rng_EFConcat,rng_EF2)*Buildings_Water_Backend[[#This Row],[Converted data]]/1000</f>
        <v>#N/A</v>
      </c>
      <c r="AH309" s="210" t="e">
        <f>_xlfn.XLOOKUP(_xlfn.CONCAT(Buildings_Water_Backend[[#This Row],[Level 1]:[Level 6]]),rng_EFConcat,rng_EF3)*Buildings_Water_Backend[[#This Row],[Converted data]]/1000</f>
        <v>#N/A</v>
      </c>
      <c r="AI309" s="210" t="e">
        <f>_xlfn.XLOOKUP(_xlfn.CONCAT(Buildings_Water_Backend[[#This Row],[Level 1]:[Level 6]]),rng_EFConcat,rng_EF3WTT)*Buildings_Water_Backend[[#This Row],[Converted data]]/1000</f>
        <v>#N/A</v>
      </c>
      <c r="AJ309" s="210" t="e">
        <f>_xlfn.XLOOKUP(_xlfn.CONCAT(Buildings_Water_Backend[[#This Row],[Level 1]:[Level 6]]),rng_EFConcat,rng_EF3TD)*Buildings_Water_Backend[[#This Row],[Converted data]]/1000</f>
        <v>#N/A</v>
      </c>
      <c r="AK309" s="210" t="e">
        <f>_xlfn.XLOOKUP(_xlfn.CONCAT(Buildings_Water_Backend[[#This Row],[Level 1]:[Level 6]]),rng_EFConcat,rng_EF3WTTTD)*Buildings_Water_Backend[[#This Row],[Converted data]]/1000</f>
        <v>#N/A</v>
      </c>
      <c r="AL309" s="220" t="e">
        <f>SUM(Buildings_Water_Backend[[#This Row],[Scope 1 (tCO2e)]:[Scope 3 WTT T&amp;D (tCO2e)]])</f>
        <v>#N/A</v>
      </c>
      <c r="AM309" s="220" t="e">
        <f>Buildings_Water_Backend[[#This Row],[Total (tCO2e)]]*(1-Buildings_Water_Backend[[#This Row],[RSD]])</f>
        <v>#N/A</v>
      </c>
      <c r="AN309" s="220" t="e">
        <f>Buildings_Water_Backend[[#This Row],[Total (tCO2e)]]*(1+Buildings_Water_Backend[[#This Row],[RSD]])</f>
        <v>#N/A</v>
      </c>
      <c r="AO309" s="210" t="e">
        <f>_xlfn.XLOOKUP(_xlfn.CONCAT(Buildings_Water_Backend[[#This Row],[Level 1]:[Level 6]]),rng_EFConcat,rng_EFOOS)*Buildings_Water_Backend[[#This Row],[Converted data]]/1000</f>
        <v>#N/A</v>
      </c>
      <c r="AP309" s="174">
        <f>Buildings_Water_Frontend[[#This Row],[Ease of collection]]</f>
        <v>0</v>
      </c>
      <c r="AQ309" s="174">
        <f>Buildings_Water_Frontend[[#This Row],[Completeness]]</f>
        <v>0</v>
      </c>
      <c r="AR309" s="174">
        <f>Buildings_Water_Frontend[[#This Row],[Notes]]</f>
        <v>0</v>
      </c>
    </row>
    <row r="310" spans="5:44" x14ac:dyDescent="0.3">
      <c r="E310" s="346"/>
      <c r="F310" s="364"/>
      <c r="G310" s="336"/>
      <c r="H310" s="336"/>
      <c r="I310" s="334"/>
      <c r="J310" s="336"/>
      <c r="K310" s="336"/>
      <c r="L310" s="336"/>
      <c r="M310" s="337"/>
      <c r="N310" s="242">
        <f t="shared" si="9"/>
        <v>5</v>
      </c>
      <c r="Q310" s="212" t="str">
        <f t="shared" si="8"/>
        <v/>
      </c>
      <c r="R310" s="174" t="s">
        <v>265</v>
      </c>
      <c r="S310" s="174" t="s">
        <v>273</v>
      </c>
      <c r="T310" s="174" t="e">
        <f>_xlfn.XLOOKUP(Buildings_Water_Backend[[#This Row],[Info 1]],Buildings_SiteInfo[Site name],Buildings_SiteInfo[Site type])</f>
        <v>#N/A</v>
      </c>
      <c r="U310" s="174" t="s">
        <v>327</v>
      </c>
      <c r="V310" s="174">
        <f>Buildings_Water_Frontend[[#This Row],[Type]]</f>
        <v>0</v>
      </c>
      <c r="W310" s="174" t="e" cm="1">
        <f t="array" aca="1" ref="W310" ca="1">_xlfn.XLOOKUP(Buildings_Water_Backend[[#This Row],[Level 5]],rng_Level5Long,rng_Level6Long)</f>
        <v>#N/A</v>
      </c>
      <c r="X310" s="174">
        <f>Buildings_Water_Frontend[[#This Row],[Site Name]]</f>
        <v>0</v>
      </c>
      <c r="Y310" s="174">
        <f>Buildings_Water_Frontend[[#This Row],[Meter Reference]]</f>
        <v>0</v>
      </c>
      <c r="Z310" s="220">
        <f>Buildings_Water_Frontend[[#This Row],[Methodology]]</f>
        <v>0</v>
      </c>
      <c r="AA310" s="229" t="e" cm="1">
        <f t="array" ref="AA310">INDEX(_xlfn.SWITCH(Buildings_Water_Backend[[#This Row],[Methodology]],"Tier 1",rng_RSD1,"Tier 2",rng_RSD2,"Tier 3",rng_RSD3),MATCH(_xlfn.CONCAT(Buildings_Water_Backend[[#This Row],[Level 1]:[Level 6]]),rng_LevelsConcat,0))</f>
        <v>#N/A</v>
      </c>
      <c r="AB310" s="224">
        <f>Buildings_Water_Frontend[[#This Row],[Data]]</f>
        <v>0</v>
      </c>
      <c r="AC310" s="174">
        <f>Buildings_Water_Frontend[[#This Row],[Units]]</f>
        <v>0</v>
      </c>
      <c r="AD310" s="220" t="e">
        <f>IF(Buildings_Water_Backend[[#This Row],[Units]]=Buildings_Water_Backend[[#This Row],[Standard units]],Buildings_Water_Backend[[#This Row],[Data]],Buildings_Water_Backend[[#This Row],[Data]]*_xlfn.XLOOKUP(_xlfn.CONCAT(Buildings_Water_Backend[[#This Row],[Level 1]:[Level 6]]),rng_EFConcat,rng_EFConversion))</f>
        <v>#N/A</v>
      </c>
      <c r="AE310" s="174" t="e" cm="1">
        <f t="array" ref="AE310">_xlfn.XLOOKUP(_xlfn.CONCAT(Buildings_Water_Backend[[#This Row],[Level 1]:[Level 6]]),rng_LevelsConcat,rng_UnitsLong)</f>
        <v>#N/A</v>
      </c>
      <c r="AF310" s="210" t="e">
        <f>_xlfn.XLOOKUP(_xlfn.CONCAT(Buildings_Water_Backend[[#This Row],[Level 1]:[Level 6]]),rng_EFConcat,rng_EF1)*Buildings_Water_Backend[[#This Row],[Converted data]]/1000</f>
        <v>#N/A</v>
      </c>
      <c r="AG310" s="210" t="e">
        <f>_xlfn.XLOOKUP(_xlfn.CONCAT(Buildings_Water_Backend[[#This Row],[Level 1]:[Level 6]]),rng_EFConcat,rng_EF2)*Buildings_Water_Backend[[#This Row],[Converted data]]/1000</f>
        <v>#N/A</v>
      </c>
      <c r="AH310" s="210" t="e">
        <f>_xlfn.XLOOKUP(_xlfn.CONCAT(Buildings_Water_Backend[[#This Row],[Level 1]:[Level 6]]),rng_EFConcat,rng_EF3)*Buildings_Water_Backend[[#This Row],[Converted data]]/1000</f>
        <v>#N/A</v>
      </c>
      <c r="AI310" s="210" t="e">
        <f>_xlfn.XLOOKUP(_xlfn.CONCAT(Buildings_Water_Backend[[#This Row],[Level 1]:[Level 6]]),rng_EFConcat,rng_EF3WTT)*Buildings_Water_Backend[[#This Row],[Converted data]]/1000</f>
        <v>#N/A</v>
      </c>
      <c r="AJ310" s="210" t="e">
        <f>_xlfn.XLOOKUP(_xlfn.CONCAT(Buildings_Water_Backend[[#This Row],[Level 1]:[Level 6]]),rng_EFConcat,rng_EF3TD)*Buildings_Water_Backend[[#This Row],[Converted data]]/1000</f>
        <v>#N/A</v>
      </c>
      <c r="AK310" s="210" t="e">
        <f>_xlfn.XLOOKUP(_xlfn.CONCAT(Buildings_Water_Backend[[#This Row],[Level 1]:[Level 6]]),rng_EFConcat,rng_EF3WTTTD)*Buildings_Water_Backend[[#This Row],[Converted data]]/1000</f>
        <v>#N/A</v>
      </c>
      <c r="AL310" s="220" t="e">
        <f>SUM(Buildings_Water_Backend[[#This Row],[Scope 1 (tCO2e)]:[Scope 3 WTT T&amp;D (tCO2e)]])</f>
        <v>#N/A</v>
      </c>
      <c r="AM310" s="220" t="e">
        <f>Buildings_Water_Backend[[#This Row],[Total (tCO2e)]]*(1-Buildings_Water_Backend[[#This Row],[RSD]])</f>
        <v>#N/A</v>
      </c>
      <c r="AN310" s="220" t="e">
        <f>Buildings_Water_Backend[[#This Row],[Total (tCO2e)]]*(1+Buildings_Water_Backend[[#This Row],[RSD]])</f>
        <v>#N/A</v>
      </c>
      <c r="AO310" s="210" t="e">
        <f>_xlfn.XLOOKUP(_xlfn.CONCAT(Buildings_Water_Backend[[#This Row],[Level 1]:[Level 6]]),rng_EFConcat,rng_EFOOS)*Buildings_Water_Backend[[#This Row],[Converted data]]/1000</f>
        <v>#N/A</v>
      </c>
      <c r="AP310" s="174">
        <f>Buildings_Water_Frontend[[#This Row],[Ease of collection]]</f>
        <v>0</v>
      </c>
      <c r="AQ310" s="174">
        <f>Buildings_Water_Frontend[[#This Row],[Completeness]]</f>
        <v>0</v>
      </c>
      <c r="AR310" s="174">
        <f>Buildings_Water_Frontend[[#This Row],[Notes]]</f>
        <v>0</v>
      </c>
    </row>
    <row r="311" spans="5:44" x14ac:dyDescent="0.3">
      <c r="E311" s="346"/>
      <c r="F311" s="364"/>
      <c r="G311" s="336"/>
      <c r="H311" s="336"/>
      <c r="I311" s="334"/>
      <c r="J311" s="336"/>
      <c r="K311" s="336"/>
      <c r="L311" s="336"/>
      <c r="M311" s="337"/>
      <c r="N311" s="242">
        <f t="shared" si="9"/>
        <v>5</v>
      </c>
      <c r="Q311" s="212" t="str">
        <f t="shared" si="8"/>
        <v/>
      </c>
      <c r="R311" s="174" t="s">
        <v>265</v>
      </c>
      <c r="S311" s="174" t="s">
        <v>273</v>
      </c>
      <c r="T311" s="174" t="e">
        <f>_xlfn.XLOOKUP(Buildings_Water_Backend[[#This Row],[Info 1]],Buildings_SiteInfo[Site name],Buildings_SiteInfo[Site type])</f>
        <v>#N/A</v>
      </c>
      <c r="U311" s="174" t="s">
        <v>327</v>
      </c>
      <c r="V311" s="174">
        <f>Buildings_Water_Frontend[[#This Row],[Type]]</f>
        <v>0</v>
      </c>
      <c r="W311" s="174" t="e" cm="1">
        <f t="array" aca="1" ref="W311" ca="1">_xlfn.XLOOKUP(Buildings_Water_Backend[[#This Row],[Level 5]],rng_Level5Long,rng_Level6Long)</f>
        <v>#N/A</v>
      </c>
      <c r="X311" s="174">
        <f>Buildings_Water_Frontend[[#This Row],[Site Name]]</f>
        <v>0</v>
      </c>
      <c r="Y311" s="174">
        <f>Buildings_Water_Frontend[[#This Row],[Meter Reference]]</f>
        <v>0</v>
      </c>
      <c r="Z311" s="220">
        <f>Buildings_Water_Frontend[[#This Row],[Methodology]]</f>
        <v>0</v>
      </c>
      <c r="AA311" s="229" t="e" cm="1">
        <f t="array" ref="AA311">INDEX(_xlfn.SWITCH(Buildings_Water_Backend[[#This Row],[Methodology]],"Tier 1",rng_RSD1,"Tier 2",rng_RSD2,"Tier 3",rng_RSD3),MATCH(_xlfn.CONCAT(Buildings_Water_Backend[[#This Row],[Level 1]:[Level 6]]),rng_LevelsConcat,0))</f>
        <v>#N/A</v>
      </c>
      <c r="AB311" s="224">
        <f>Buildings_Water_Frontend[[#This Row],[Data]]</f>
        <v>0</v>
      </c>
      <c r="AC311" s="174">
        <f>Buildings_Water_Frontend[[#This Row],[Units]]</f>
        <v>0</v>
      </c>
      <c r="AD311" s="220" t="e">
        <f>IF(Buildings_Water_Backend[[#This Row],[Units]]=Buildings_Water_Backend[[#This Row],[Standard units]],Buildings_Water_Backend[[#This Row],[Data]],Buildings_Water_Backend[[#This Row],[Data]]*_xlfn.XLOOKUP(_xlfn.CONCAT(Buildings_Water_Backend[[#This Row],[Level 1]:[Level 6]]),rng_EFConcat,rng_EFConversion))</f>
        <v>#N/A</v>
      </c>
      <c r="AE311" s="174" t="e" cm="1">
        <f t="array" ref="AE311">_xlfn.XLOOKUP(_xlfn.CONCAT(Buildings_Water_Backend[[#This Row],[Level 1]:[Level 6]]),rng_LevelsConcat,rng_UnitsLong)</f>
        <v>#N/A</v>
      </c>
      <c r="AF311" s="210" t="e">
        <f>_xlfn.XLOOKUP(_xlfn.CONCAT(Buildings_Water_Backend[[#This Row],[Level 1]:[Level 6]]),rng_EFConcat,rng_EF1)*Buildings_Water_Backend[[#This Row],[Converted data]]/1000</f>
        <v>#N/A</v>
      </c>
      <c r="AG311" s="210" t="e">
        <f>_xlfn.XLOOKUP(_xlfn.CONCAT(Buildings_Water_Backend[[#This Row],[Level 1]:[Level 6]]),rng_EFConcat,rng_EF2)*Buildings_Water_Backend[[#This Row],[Converted data]]/1000</f>
        <v>#N/A</v>
      </c>
      <c r="AH311" s="210" t="e">
        <f>_xlfn.XLOOKUP(_xlfn.CONCAT(Buildings_Water_Backend[[#This Row],[Level 1]:[Level 6]]),rng_EFConcat,rng_EF3)*Buildings_Water_Backend[[#This Row],[Converted data]]/1000</f>
        <v>#N/A</v>
      </c>
      <c r="AI311" s="210" t="e">
        <f>_xlfn.XLOOKUP(_xlfn.CONCAT(Buildings_Water_Backend[[#This Row],[Level 1]:[Level 6]]),rng_EFConcat,rng_EF3WTT)*Buildings_Water_Backend[[#This Row],[Converted data]]/1000</f>
        <v>#N/A</v>
      </c>
      <c r="AJ311" s="210" t="e">
        <f>_xlfn.XLOOKUP(_xlfn.CONCAT(Buildings_Water_Backend[[#This Row],[Level 1]:[Level 6]]),rng_EFConcat,rng_EF3TD)*Buildings_Water_Backend[[#This Row],[Converted data]]/1000</f>
        <v>#N/A</v>
      </c>
      <c r="AK311" s="210" t="e">
        <f>_xlfn.XLOOKUP(_xlfn.CONCAT(Buildings_Water_Backend[[#This Row],[Level 1]:[Level 6]]),rng_EFConcat,rng_EF3WTTTD)*Buildings_Water_Backend[[#This Row],[Converted data]]/1000</f>
        <v>#N/A</v>
      </c>
      <c r="AL311" s="220" t="e">
        <f>SUM(Buildings_Water_Backend[[#This Row],[Scope 1 (tCO2e)]:[Scope 3 WTT T&amp;D (tCO2e)]])</f>
        <v>#N/A</v>
      </c>
      <c r="AM311" s="220" t="e">
        <f>Buildings_Water_Backend[[#This Row],[Total (tCO2e)]]*(1-Buildings_Water_Backend[[#This Row],[RSD]])</f>
        <v>#N/A</v>
      </c>
      <c r="AN311" s="220" t="e">
        <f>Buildings_Water_Backend[[#This Row],[Total (tCO2e)]]*(1+Buildings_Water_Backend[[#This Row],[RSD]])</f>
        <v>#N/A</v>
      </c>
      <c r="AO311" s="210" t="e">
        <f>_xlfn.XLOOKUP(_xlfn.CONCAT(Buildings_Water_Backend[[#This Row],[Level 1]:[Level 6]]),rng_EFConcat,rng_EFOOS)*Buildings_Water_Backend[[#This Row],[Converted data]]/1000</f>
        <v>#N/A</v>
      </c>
      <c r="AP311" s="174">
        <f>Buildings_Water_Frontend[[#This Row],[Ease of collection]]</f>
        <v>0</v>
      </c>
      <c r="AQ311" s="174">
        <f>Buildings_Water_Frontend[[#This Row],[Completeness]]</f>
        <v>0</v>
      </c>
      <c r="AR311" s="174">
        <f>Buildings_Water_Frontend[[#This Row],[Notes]]</f>
        <v>0</v>
      </c>
    </row>
    <row r="312" spans="5:44" x14ac:dyDescent="0.3">
      <c r="E312" s="346"/>
      <c r="F312" s="364"/>
      <c r="G312" s="336"/>
      <c r="H312" s="336"/>
      <c r="I312" s="334"/>
      <c r="J312" s="336"/>
      <c r="K312" s="336"/>
      <c r="L312" s="336"/>
      <c r="M312" s="337"/>
      <c r="N312" s="242">
        <f t="shared" si="9"/>
        <v>5</v>
      </c>
      <c r="Q312" s="212" t="str">
        <f t="shared" si="8"/>
        <v/>
      </c>
      <c r="R312" s="174" t="s">
        <v>265</v>
      </c>
      <c r="S312" s="174" t="s">
        <v>273</v>
      </c>
      <c r="T312" s="174" t="e">
        <f>_xlfn.XLOOKUP(Buildings_Water_Backend[[#This Row],[Info 1]],Buildings_SiteInfo[Site name],Buildings_SiteInfo[Site type])</f>
        <v>#N/A</v>
      </c>
      <c r="U312" s="174" t="s">
        <v>327</v>
      </c>
      <c r="V312" s="174">
        <f>Buildings_Water_Frontend[[#This Row],[Type]]</f>
        <v>0</v>
      </c>
      <c r="W312" s="174" t="e" cm="1">
        <f t="array" aca="1" ref="W312" ca="1">_xlfn.XLOOKUP(Buildings_Water_Backend[[#This Row],[Level 5]],rng_Level5Long,rng_Level6Long)</f>
        <v>#N/A</v>
      </c>
      <c r="X312" s="174">
        <f>Buildings_Water_Frontend[[#This Row],[Site Name]]</f>
        <v>0</v>
      </c>
      <c r="Y312" s="174">
        <f>Buildings_Water_Frontend[[#This Row],[Meter Reference]]</f>
        <v>0</v>
      </c>
      <c r="Z312" s="220">
        <f>Buildings_Water_Frontend[[#This Row],[Methodology]]</f>
        <v>0</v>
      </c>
      <c r="AA312" s="229" t="e" cm="1">
        <f t="array" ref="AA312">INDEX(_xlfn.SWITCH(Buildings_Water_Backend[[#This Row],[Methodology]],"Tier 1",rng_RSD1,"Tier 2",rng_RSD2,"Tier 3",rng_RSD3),MATCH(_xlfn.CONCAT(Buildings_Water_Backend[[#This Row],[Level 1]:[Level 6]]),rng_LevelsConcat,0))</f>
        <v>#N/A</v>
      </c>
      <c r="AB312" s="224">
        <f>Buildings_Water_Frontend[[#This Row],[Data]]</f>
        <v>0</v>
      </c>
      <c r="AC312" s="174">
        <f>Buildings_Water_Frontend[[#This Row],[Units]]</f>
        <v>0</v>
      </c>
      <c r="AD312" s="220" t="e">
        <f>IF(Buildings_Water_Backend[[#This Row],[Units]]=Buildings_Water_Backend[[#This Row],[Standard units]],Buildings_Water_Backend[[#This Row],[Data]],Buildings_Water_Backend[[#This Row],[Data]]*_xlfn.XLOOKUP(_xlfn.CONCAT(Buildings_Water_Backend[[#This Row],[Level 1]:[Level 6]]),rng_EFConcat,rng_EFConversion))</f>
        <v>#N/A</v>
      </c>
      <c r="AE312" s="174" t="e" cm="1">
        <f t="array" ref="AE312">_xlfn.XLOOKUP(_xlfn.CONCAT(Buildings_Water_Backend[[#This Row],[Level 1]:[Level 6]]),rng_LevelsConcat,rng_UnitsLong)</f>
        <v>#N/A</v>
      </c>
      <c r="AF312" s="210" t="e">
        <f>_xlfn.XLOOKUP(_xlfn.CONCAT(Buildings_Water_Backend[[#This Row],[Level 1]:[Level 6]]),rng_EFConcat,rng_EF1)*Buildings_Water_Backend[[#This Row],[Converted data]]/1000</f>
        <v>#N/A</v>
      </c>
      <c r="AG312" s="210" t="e">
        <f>_xlfn.XLOOKUP(_xlfn.CONCAT(Buildings_Water_Backend[[#This Row],[Level 1]:[Level 6]]),rng_EFConcat,rng_EF2)*Buildings_Water_Backend[[#This Row],[Converted data]]/1000</f>
        <v>#N/A</v>
      </c>
      <c r="AH312" s="210" t="e">
        <f>_xlfn.XLOOKUP(_xlfn.CONCAT(Buildings_Water_Backend[[#This Row],[Level 1]:[Level 6]]),rng_EFConcat,rng_EF3)*Buildings_Water_Backend[[#This Row],[Converted data]]/1000</f>
        <v>#N/A</v>
      </c>
      <c r="AI312" s="210" t="e">
        <f>_xlfn.XLOOKUP(_xlfn.CONCAT(Buildings_Water_Backend[[#This Row],[Level 1]:[Level 6]]),rng_EFConcat,rng_EF3WTT)*Buildings_Water_Backend[[#This Row],[Converted data]]/1000</f>
        <v>#N/A</v>
      </c>
      <c r="AJ312" s="210" t="e">
        <f>_xlfn.XLOOKUP(_xlfn.CONCAT(Buildings_Water_Backend[[#This Row],[Level 1]:[Level 6]]),rng_EFConcat,rng_EF3TD)*Buildings_Water_Backend[[#This Row],[Converted data]]/1000</f>
        <v>#N/A</v>
      </c>
      <c r="AK312" s="210" t="e">
        <f>_xlfn.XLOOKUP(_xlfn.CONCAT(Buildings_Water_Backend[[#This Row],[Level 1]:[Level 6]]),rng_EFConcat,rng_EF3WTTTD)*Buildings_Water_Backend[[#This Row],[Converted data]]/1000</f>
        <v>#N/A</v>
      </c>
      <c r="AL312" s="220" t="e">
        <f>SUM(Buildings_Water_Backend[[#This Row],[Scope 1 (tCO2e)]:[Scope 3 WTT T&amp;D (tCO2e)]])</f>
        <v>#N/A</v>
      </c>
      <c r="AM312" s="220" t="e">
        <f>Buildings_Water_Backend[[#This Row],[Total (tCO2e)]]*(1-Buildings_Water_Backend[[#This Row],[RSD]])</f>
        <v>#N/A</v>
      </c>
      <c r="AN312" s="220" t="e">
        <f>Buildings_Water_Backend[[#This Row],[Total (tCO2e)]]*(1+Buildings_Water_Backend[[#This Row],[RSD]])</f>
        <v>#N/A</v>
      </c>
      <c r="AO312" s="210" t="e">
        <f>_xlfn.XLOOKUP(_xlfn.CONCAT(Buildings_Water_Backend[[#This Row],[Level 1]:[Level 6]]),rng_EFConcat,rng_EFOOS)*Buildings_Water_Backend[[#This Row],[Converted data]]/1000</f>
        <v>#N/A</v>
      </c>
      <c r="AP312" s="174">
        <f>Buildings_Water_Frontend[[#This Row],[Ease of collection]]</f>
        <v>0</v>
      </c>
      <c r="AQ312" s="174">
        <f>Buildings_Water_Frontend[[#This Row],[Completeness]]</f>
        <v>0</v>
      </c>
      <c r="AR312" s="174">
        <f>Buildings_Water_Frontend[[#This Row],[Notes]]</f>
        <v>0</v>
      </c>
    </row>
    <row r="313" spans="5:44" x14ac:dyDescent="0.3">
      <c r="E313" s="346"/>
      <c r="F313" s="364"/>
      <c r="G313" s="336"/>
      <c r="H313" s="336"/>
      <c r="I313" s="334"/>
      <c r="J313" s="336"/>
      <c r="K313" s="336"/>
      <c r="L313" s="336"/>
      <c r="M313" s="337"/>
      <c r="N313" s="242">
        <f t="shared" si="9"/>
        <v>5</v>
      </c>
      <c r="Q313" s="212" t="str">
        <f t="shared" si="8"/>
        <v/>
      </c>
      <c r="R313" s="174" t="s">
        <v>265</v>
      </c>
      <c r="S313" s="174" t="s">
        <v>273</v>
      </c>
      <c r="T313" s="174" t="e">
        <f>_xlfn.XLOOKUP(Buildings_Water_Backend[[#This Row],[Info 1]],Buildings_SiteInfo[Site name],Buildings_SiteInfo[Site type])</f>
        <v>#N/A</v>
      </c>
      <c r="U313" s="174" t="s">
        <v>327</v>
      </c>
      <c r="V313" s="174">
        <f>Buildings_Water_Frontend[[#This Row],[Type]]</f>
        <v>0</v>
      </c>
      <c r="W313" s="174" t="e" cm="1">
        <f t="array" aca="1" ref="W313" ca="1">_xlfn.XLOOKUP(Buildings_Water_Backend[[#This Row],[Level 5]],rng_Level5Long,rng_Level6Long)</f>
        <v>#N/A</v>
      </c>
      <c r="X313" s="174">
        <f>Buildings_Water_Frontend[[#This Row],[Site Name]]</f>
        <v>0</v>
      </c>
      <c r="Y313" s="174">
        <f>Buildings_Water_Frontend[[#This Row],[Meter Reference]]</f>
        <v>0</v>
      </c>
      <c r="Z313" s="220">
        <f>Buildings_Water_Frontend[[#This Row],[Methodology]]</f>
        <v>0</v>
      </c>
      <c r="AA313" s="229" t="e" cm="1">
        <f t="array" ref="AA313">INDEX(_xlfn.SWITCH(Buildings_Water_Backend[[#This Row],[Methodology]],"Tier 1",rng_RSD1,"Tier 2",rng_RSD2,"Tier 3",rng_RSD3),MATCH(_xlfn.CONCAT(Buildings_Water_Backend[[#This Row],[Level 1]:[Level 6]]),rng_LevelsConcat,0))</f>
        <v>#N/A</v>
      </c>
      <c r="AB313" s="224">
        <f>Buildings_Water_Frontend[[#This Row],[Data]]</f>
        <v>0</v>
      </c>
      <c r="AC313" s="174">
        <f>Buildings_Water_Frontend[[#This Row],[Units]]</f>
        <v>0</v>
      </c>
      <c r="AD313" s="220" t="e">
        <f>IF(Buildings_Water_Backend[[#This Row],[Units]]=Buildings_Water_Backend[[#This Row],[Standard units]],Buildings_Water_Backend[[#This Row],[Data]],Buildings_Water_Backend[[#This Row],[Data]]*_xlfn.XLOOKUP(_xlfn.CONCAT(Buildings_Water_Backend[[#This Row],[Level 1]:[Level 6]]),rng_EFConcat,rng_EFConversion))</f>
        <v>#N/A</v>
      </c>
      <c r="AE313" s="174" t="e" cm="1">
        <f t="array" ref="AE313">_xlfn.XLOOKUP(_xlfn.CONCAT(Buildings_Water_Backend[[#This Row],[Level 1]:[Level 6]]),rng_LevelsConcat,rng_UnitsLong)</f>
        <v>#N/A</v>
      </c>
      <c r="AF313" s="210" t="e">
        <f>_xlfn.XLOOKUP(_xlfn.CONCAT(Buildings_Water_Backend[[#This Row],[Level 1]:[Level 6]]),rng_EFConcat,rng_EF1)*Buildings_Water_Backend[[#This Row],[Converted data]]/1000</f>
        <v>#N/A</v>
      </c>
      <c r="AG313" s="210" t="e">
        <f>_xlfn.XLOOKUP(_xlfn.CONCAT(Buildings_Water_Backend[[#This Row],[Level 1]:[Level 6]]),rng_EFConcat,rng_EF2)*Buildings_Water_Backend[[#This Row],[Converted data]]/1000</f>
        <v>#N/A</v>
      </c>
      <c r="AH313" s="210" t="e">
        <f>_xlfn.XLOOKUP(_xlfn.CONCAT(Buildings_Water_Backend[[#This Row],[Level 1]:[Level 6]]),rng_EFConcat,rng_EF3)*Buildings_Water_Backend[[#This Row],[Converted data]]/1000</f>
        <v>#N/A</v>
      </c>
      <c r="AI313" s="210" t="e">
        <f>_xlfn.XLOOKUP(_xlfn.CONCAT(Buildings_Water_Backend[[#This Row],[Level 1]:[Level 6]]),rng_EFConcat,rng_EF3WTT)*Buildings_Water_Backend[[#This Row],[Converted data]]/1000</f>
        <v>#N/A</v>
      </c>
      <c r="AJ313" s="210" t="e">
        <f>_xlfn.XLOOKUP(_xlfn.CONCAT(Buildings_Water_Backend[[#This Row],[Level 1]:[Level 6]]),rng_EFConcat,rng_EF3TD)*Buildings_Water_Backend[[#This Row],[Converted data]]/1000</f>
        <v>#N/A</v>
      </c>
      <c r="AK313" s="210" t="e">
        <f>_xlfn.XLOOKUP(_xlfn.CONCAT(Buildings_Water_Backend[[#This Row],[Level 1]:[Level 6]]),rng_EFConcat,rng_EF3WTTTD)*Buildings_Water_Backend[[#This Row],[Converted data]]/1000</f>
        <v>#N/A</v>
      </c>
      <c r="AL313" s="220" t="e">
        <f>SUM(Buildings_Water_Backend[[#This Row],[Scope 1 (tCO2e)]:[Scope 3 WTT T&amp;D (tCO2e)]])</f>
        <v>#N/A</v>
      </c>
      <c r="AM313" s="220" t="e">
        <f>Buildings_Water_Backend[[#This Row],[Total (tCO2e)]]*(1-Buildings_Water_Backend[[#This Row],[RSD]])</f>
        <v>#N/A</v>
      </c>
      <c r="AN313" s="220" t="e">
        <f>Buildings_Water_Backend[[#This Row],[Total (tCO2e)]]*(1+Buildings_Water_Backend[[#This Row],[RSD]])</f>
        <v>#N/A</v>
      </c>
      <c r="AO313" s="210" t="e">
        <f>_xlfn.XLOOKUP(_xlfn.CONCAT(Buildings_Water_Backend[[#This Row],[Level 1]:[Level 6]]),rng_EFConcat,rng_EFOOS)*Buildings_Water_Backend[[#This Row],[Converted data]]/1000</f>
        <v>#N/A</v>
      </c>
      <c r="AP313" s="174">
        <f>Buildings_Water_Frontend[[#This Row],[Ease of collection]]</f>
        <v>0</v>
      </c>
      <c r="AQ313" s="174">
        <f>Buildings_Water_Frontend[[#This Row],[Completeness]]</f>
        <v>0</v>
      </c>
      <c r="AR313" s="174">
        <f>Buildings_Water_Frontend[[#This Row],[Notes]]</f>
        <v>0</v>
      </c>
    </row>
    <row r="314" spans="5:44" x14ac:dyDescent="0.3">
      <c r="E314" s="346"/>
      <c r="F314" s="364"/>
      <c r="G314" s="336"/>
      <c r="H314" s="336"/>
      <c r="I314" s="334"/>
      <c r="J314" s="336"/>
      <c r="K314" s="336"/>
      <c r="L314" s="336"/>
      <c r="M314" s="337"/>
      <c r="N314" s="242">
        <f t="shared" si="9"/>
        <v>5</v>
      </c>
      <c r="Q314" s="212" t="str">
        <f t="shared" si="8"/>
        <v/>
      </c>
      <c r="R314" s="174" t="s">
        <v>265</v>
      </c>
      <c r="S314" s="174" t="s">
        <v>273</v>
      </c>
      <c r="T314" s="174" t="e">
        <f>_xlfn.XLOOKUP(Buildings_Water_Backend[[#This Row],[Info 1]],Buildings_SiteInfo[Site name],Buildings_SiteInfo[Site type])</f>
        <v>#N/A</v>
      </c>
      <c r="U314" s="174" t="s">
        <v>327</v>
      </c>
      <c r="V314" s="174">
        <f>Buildings_Water_Frontend[[#This Row],[Type]]</f>
        <v>0</v>
      </c>
      <c r="W314" s="174" t="e" cm="1">
        <f t="array" aca="1" ref="W314" ca="1">_xlfn.XLOOKUP(Buildings_Water_Backend[[#This Row],[Level 5]],rng_Level5Long,rng_Level6Long)</f>
        <v>#N/A</v>
      </c>
      <c r="X314" s="174">
        <f>Buildings_Water_Frontend[[#This Row],[Site Name]]</f>
        <v>0</v>
      </c>
      <c r="Y314" s="174">
        <f>Buildings_Water_Frontend[[#This Row],[Meter Reference]]</f>
        <v>0</v>
      </c>
      <c r="Z314" s="220">
        <f>Buildings_Water_Frontend[[#This Row],[Methodology]]</f>
        <v>0</v>
      </c>
      <c r="AA314" s="229" t="e" cm="1">
        <f t="array" ref="AA314">INDEX(_xlfn.SWITCH(Buildings_Water_Backend[[#This Row],[Methodology]],"Tier 1",rng_RSD1,"Tier 2",rng_RSD2,"Tier 3",rng_RSD3),MATCH(_xlfn.CONCAT(Buildings_Water_Backend[[#This Row],[Level 1]:[Level 6]]),rng_LevelsConcat,0))</f>
        <v>#N/A</v>
      </c>
      <c r="AB314" s="224">
        <f>Buildings_Water_Frontend[[#This Row],[Data]]</f>
        <v>0</v>
      </c>
      <c r="AC314" s="174">
        <f>Buildings_Water_Frontend[[#This Row],[Units]]</f>
        <v>0</v>
      </c>
      <c r="AD314" s="220" t="e">
        <f>IF(Buildings_Water_Backend[[#This Row],[Units]]=Buildings_Water_Backend[[#This Row],[Standard units]],Buildings_Water_Backend[[#This Row],[Data]],Buildings_Water_Backend[[#This Row],[Data]]*_xlfn.XLOOKUP(_xlfn.CONCAT(Buildings_Water_Backend[[#This Row],[Level 1]:[Level 6]]),rng_EFConcat,rng_EFConversion))</f>
        <v>#N/A</v>
      </c>
      <c r="AE314" s="174" t="e" cm="1">
        <f t="array" ref="AE314">_xlfn.XLOOKUP(_xlfn.CONCAT(Buildings_Water_Backend[[#This Row],[Level 1]:[Level 6]]),rng_LevelsConcat,rng_UnitsLong)</f>
        <v>#N/A</v>
      </c>
      <c r="AF314" s="210" t="e">
        <f>_xlfn.XLOOKUP(_xlfn.CONCAT(Buildings_Water_Backend[[#This Row],[Level 1]:[Level 6]]),rng_EFConcat,rng_EF1)*Buildings_Water_Backend[[#This Row],[Converted data]]/1000</f>
        <v>#N/A</v>
      </c>
      <c r="AG314" s="210" t="e">
        <f>_xlfn.XLOOKUP(_xlfn.CONCAT(Buildings_Water_Backend[[#This Row],[Level 1]:[Level 6]]),rng_EFConcat,rng_EF2)*Buildings_Water_Backend[[#This Row],[Converted data]]/1000</f>
        <v>#N/A</v>
      </c>
      <c r="AH314" s="210" t="e">
        <f>_xlfn.XLOOKUP(_xlfn.CONCAT(Buildings_Water_Backend[[#This Row],[Level 1]:[Level 6]]),rng_EFConcat,rng_EF3)*Buildings_Water_Backend[[#This Row],[Converted data]]/1000</f>
        <v>#N/A</v>
      </c>
      <c r="AI314" s="210" t="e">
        <f>_xlfn.XLOOKUP(_xlfn.CONCAT(Buildings_Water_Backend[[#This Row],[Level 1]:[Level 6]]),rng_EFConcat,rng_EF3WTT)*Buildings_Water_Backend[[#This Row],[Converted data]]/1000</f>
        <v>#N/A</v>
      </c>
      <c r="AJ314" s="210" t="e">
        <f>_xlfn.XLOOKUP(_xlfn.CONCAT(Buildings_Water_Backend[[#This Row],[Level 1]:[Level 6]]),rng_EFConcat,rng_EF3TD)*Buildings_Water_Backend[[#This Row],[Converted data]]/1000</f>
        <v>#N/A</v>
      </c>
      <c r="AK314" s="210" t="e">
        <f>_xlfn.XLOOKUP(_xlfn.CONCAT(Buildings_Water_Backend[[#This Row],[Level 1]:[Level 6]]),rng_EFConcat,rng_EF3WTTTD)*Buildings_Water_Backend[[#This Row],[Converted data]]/1000</f>
        <v>#N/A</v>
      </c>
      <c r="AL314" s="220" t="e">
        <f>SUM(Buildings_Water_Backend[[#This Row],[Scope 1 (tCO2e)]:[Scope 3 WTT T&amp;D (tCO2e)]])</f>
        <v>#N/A</v>
      </c>
      <c r="AM314" s="220" t="e">
        <f>Buildings_Water_Backend[[#This Row],[Total (tCO2e)]]*(1-Buildings_Water_Backend[[#This Row],[RSD]])</f>
        <v>#N/A</v>
      </c>
      <c r="AN314" s="220" t="e">
        <f>Buildings_Water_Backend[[#This Row],[Total (tCO2e)]]*(1+Buildings_Water_Backend[[#This Row],[RSD]])</f>
        <v>#N/A</v>
      </c>
      <c r="AO314" s="210" t="e">
        <f>_xlfn.XLOOKUP(_xlfn.CONCAT(Buildings_Water_Backend[[#This Row],[Level 1]:[Level 6]]),rng_EFConcat,rng_EFOOS)*Buildings_Water_Backend[[#This Row],[Converted data]]/1000</f>
        <v>#N/A</v>
      </c>
      <c r="AP314" s="174">
        <f>Buildings_Water_Frontend[[#This Row],[Ease of collection]]</f>
        <v>0</v>
      </c>
      <c r="AQ314" s="174">
        <f>Buildings_Water_Frontend[[#This Row],[Completeness]]</f>
        <v>0</v>
      </c>
      <c r="AR314" s="174">
        <f>Buildings_Water_Frontend[[#This Row],[Notes]]</f>
        <v>0</v>
      </c>
    </row>
    <row r="315" spans="5:44" x14ac:dyDescent="0.3">
      <c r="E315" s="346"/>
      <c r="F315" s="364"/>
      <c r="G315" s="336"/>
      <c r="H315" s="336"/>
      <c r="I315" s="334"/>
      <c r="J315" s="336"/>
      <c r="K315" s="336"/>
      <c r="L315" s="336"/>
      <c r="M315" s="337"/>
      <c r="N315" s="242">
        <f t="shared" si="9"/>
        <v>5</v>
      </c>
      <c r="Q315" s="212" t="str">
        <f t="shared" si="8"/>
        <v/>
      </c>
      <c r="R315" s="174" t="s">
        <v>265</v>
      </c>
      <c r="S315" s="174" t="s">
        <v>273</v>
      </c>
      <c r="T315" s="174" t="e">
        <f>_xlfn.XLOOKUP(Buildings_Water_Backend[[#This Row],[Info 1]],Buildings_SiteInfo[Site name],Buildings_SiteInfo[Site type])</f>
        <v>#N/A</v>
      </c>
      <c r="U315" s="174" t="s">
        <v>327</v>
      </c>
      <c r="V315" s="174">
        <f>Buildings_Water_Frontend[[#This Row],[Type]]</f>
        <v>0</v>
      </c>
      <c r="W315" s="174" t="e" cm="1">
        <f t="array" aca="1" ref="W315" ca="1">_xlfn.XLOOKUP(Buildings_Water_Backend[[#This Row],[Level 5]],rng_Level5Long,rng_Level6Long)</f>
        <v>#N/A</v>
      </c>
      <c r="X315" s="174">
        <f>Buildings_Water_Frontend[[#This Row],[Site Name]]</f>
        <v>0</v>
      </c>
      <c r="Y315" s="174">
        <f>Buildings_Water_Frontend[[#This Row],[Meter Reference]]</f>
        <v>0</v>
      </c>
      <c r="Z315" s="220">
        <f>Buildings_Water_Frontend[[#This Row],[Methodology]]</f>
        <v>0</v>
      </c>
      <c r="AA315" s="229" t="e" cm="1">
        <f t="array" ref="AA315">INDEX(_xlfn.SWITCH(Buildings_Water_Backend[[#This Row],[Methodology]],"Tier 1",rng_RSD1,"Tier 2",rng_RSD2,"Tier 3",rng_RSD3),MATCH(_xlfn.CONCAT(Buildings_Water_Backend[[#This Row],[Level 1]:[Level 6]]),rng_LevelsConcat,0))</f>
        <v>#N/A</v>
      </c>
      <c r="AB315" s="224">
        <f>Buildings_Water_Frontend[[#This Row],[Data]]</f>
        <v>0</v>
      </c>
      <c r="AC315" s="174">
        <f>Buildings_Water_Frontend[[#This Row],[Units]]</f>
        <v>0</v>
      </c>
      <c r="AD315" s="220" t="e">
        <f>IF(Buildings_Water_Backend[[#This Row],[Units]]=Buildings_Water_Backend[[#This Row],[Standard units]],Buildings_Water_Backend[[#This Row],[Data]],Buildings_Water_Backend[[#This Row],[Data]]*_xlfn.XLOOKUP(_xlfn.CONCAT(Buildings_Water_Backend[[#This Row],[Level 1]:[Level 6]]),rng_EFConcat,rng_EFConversion))</f>
        <v>#N/A</v>
      </c>
      <c r="AE315" s="174" t="e" cm="1">
        <f t="array" ref="AE315">_xlfn.XLOOKUP(_xlfn.CONCAT(Buildings_Water_Backend[[#This Row],[Level 1]:[Level 6]]),rng_LevelsConcat,rng_UnitsLong)</f>
        <v>#N/A</v>
      </c>
      <c r="AF315" s="210" t="e">
        <f>_xlfn.XLOOKUP(_xlfn.CONCAT(Buildings_Water_Backend[[#This Row],[Level 1]:[Level 6]]),rng_EFConcat,rng_EF1)*Buildings_Water_Backend[[#This Row],[Converted data]]/1000</f>
        <v>#N/A</v>
      </c>
      <c r="AG315" s="210" t="e">
        <f>_xlfn.XLOOKUP(_xlfn.CONCAT(Buildings_Water_Backend[[#This Row],[Level 1]:[Level 6]]),rng_EFConcat,rng_EF2)*Buildings_Water_Backend[[#This Row],[Converted data]]/1000</f>
        <v>#N/A</v>
      </c>
      <c r="AH315" s="210" t="e">
        <f>_xlfn.XLOOKUP(_xlfn.CONCAT(Buildings_Water_Backend[[#This Row],[Level 1]:[Level 6]]),rng_EFConcat,rng_EF3)*Buildings_Water_Backend[[#This Row],[Converted data]]/1000</f>
        <v>#N/A</v>
      </c>
      <c r="AI315" s="210" t="e">
        <f>_xlfn.XLOOKUP(_xlfn.CONCAT(Buildings_Water_Backend[[#This Row],[Level 1]:[Level 6]]),rng_EFConcat,rng_EF3WTT)*Buildings_Water_Backend[[#This Row],[Converted data]]/1000</f>
        <v>#N/A</v>
      </c>
      <c r="AJ315" s="210" t="e">
        <f>_xlfn.XLOOKUP(_xlfn.CONCAT(Buildings_Water_Backend[[#This Row],[Level 1]:[Level 6]]),rng_EFConcat,rng_EF3TD)*Buildings_Water_Backend[[#This Row],[Converted data]]/1000</f>
        <v>#N/A</v>
      </c>
      <c r="AK315" s="210" t="e">
        <f>_xlfn.XLOOKUP(_xlfn.CONCAT(Buildings_Water_Backend[[#This Row],[Level 1]:[Level 6]]),rng_EFConcat,rng_EF3WTTTD)*Buildings_Water_Backend[[#This Row],[Converted data]]/1000</f>
        <v>#N/A</v>
      </c>
      <c r="AL315" s="220" t="e">
        <f>SUM(Buildings_Water_Backend[[#This Row],[Scope 1 (tCO2e)]:[Scope 3 WTT T&amp;D (tCO2e)]])</f>
        <v>#N/A</v>
      </c>
      <c r="AM315" s="220" t="e">
        <f>Buildings_Water_Backend[[#This Row],[Total (tCO2e)]]*(1-Buildings_Water_Backend[[#This Row],[RSD]])</f>
        <v>#N/A</v>
      </c>
      <c r="AN315" s="220" t="e">
        <f>Buildings_Water_Backend[[#This Row],[Total (tCO2e)]]*(1+Buildings_Water_Backend[[#This Row],[RSD]])</f>
        <v>#N/A</v>
      </c>
      <c r="AO315" s="210" t="e">
        <f>_xlfn.XLOOKUP(_xlfn.CONCAT(Buildings_Water_Backend[[#This Row],[Level 1]:[Level 6]]),rng_EFConcat,rng_EFOOS)*Buildings_Water_Backend[[#This Row],[Converted data]]/1000</f>
        <v>#N/A</v>
      </c>
      <c r="AP315" s="174">
        <f>Buildings_Water_Frontend[[#This Row],[Ease of collection]]</f>
        <v>0</v>
      </c>
      <c r="AQ315" s="174">
        <f>Buildings_Water_Frontend[[#This Row],[Completeness]]</f>
        <v>0</v>
      </c>
      <c r="AR315" s="174">
        <f>Buildings_Water_Frontend[[#This Row],[Notes]]</f>
        <v>0</v>
      </c>
    </row>
    <row r="316" spans="5:44" x14ac:dyDescent="0.3">
      <c r="E316" s="346"/>
      <c r="F316" s="364"/>
      <c r="G316" s="336"/>
      <c r="H316" s="336"/>
      <c r="I316" s="334"/>
      <c r="J316" s="336"/>
      <c r="K316" s="336"/>
      <c r="L316" s="336"/>
      <c r="M316" s="337"/>
      <c r="N316" s="242">
        <f t="shared" si="9"/>
        <v>5</v>
      </c>
      <c r="Q316" s="212" t="str">
        <f t="shared" si="8"/>
        <v/>
      </c>
      <c r="R316" s="174" t="s">
        <v>265</v>
      </c>
      <c r="S316" s="174" t="s">
        <v>273</v>
      </c>
      <c r="T316" s="174" t="e">
        <f>_xlfn.XLOOKUP(Buildings_Water_Backend[[#This Row],[Info 1]],Buildings_SiteInfo[Site name],Buildings_SiteInfo[Site type])</f>
        <v>#N/A</v>
      </c>
      <c r="U316" s="174" t="s">
        <v>327</v>
      </c>
      <c r="V316" s="174">
        <f>Buildings_Water_Frontend[[#This Row],[Type]]</f>
        <v>0</v>
      </c>
      <c r="W316" s="174" t="e" cm="1">
        <f t="array" aca="1" ref="W316" ca="1">_xlfn.XLOOKUP(Buildings_Water_Backend[[#This Row],[Level 5]],rng_Level5Long,rng_Level6Long)</f>
        <v>#N/A</v>
      </c>
      <c r="X316" s="174">
        <f>Buildings_Water_Frontend[[#This Row],[Site Name]]</f>
        <v>0</v>
      </c>
      <c r="Y316" s="174">
        <f>Buildings_Water_Frontend[[#This Row],[Meter Reference]]</f>
        <v>0</v>
      </c>
      <c r="Z316" s="220">
        <f>Buildings_Water_Frontend[[#This Row],[Methodology]]</f>
        <v>0</v>
      </c>
      <c r="AA316" s="229" t="e" cm="1">
        <f t="array" ref="AA316">INDEX(_xlfn.SWITCH(Buildings_Water_Backend[[#This Row],[Methodology]],"Tier 1",rng_RSD1,"Tier 2",rng_RSD2,"Tier 3",rng_RSD3),MATCH(_xlfn.CONCAT(Buildings_Water_Backend[[#This Row],[Level 1]:[Level 6]]),rng_LevelsConcat,0))</f>
        <v>#N/A</v>
      </c>
      <c r="AB316" s="224">
        <f>Buildings_Water_Frontend[[#This Row],[Data]]</f>
        <v>0</v>
      </c>
      <c r="AC316" s="174">
        <f>Buildings_Water_Frontend[[#This Row],[Units]]</f>
        <v>0</v>
      </c>
      <c r="AD316" s="220" t="e">
        <f>IF(Buildings_Water_Backend[[#This Row],[Units]]=Buildings_Water_Backend[[#This Row],[Standard units]],Buildings_Water_Backend[[#This Row],[Data]],Buildings_Water_Backend[[#This Row],[Data]]*_xlfn.XLOOKUP(_xlfn.CONCAT(Buildings_Water_Backend[[#This Row],[Level 1]:[Level 6]]),rng_EFConcat,rng_EFConversion))</f>
        <v>#N/A</v>
      </c>
      <c r="AE316" s="174" t="e" cm="1">
        <f t="array" ref="AE316">_xlfn.XLOOKUP(_xlfn.CONCAT(Buildings_Water_Backend[[#This Row],[Level 1]:[Level 6]]),rng_LevelsConcat,rng_UnitsLong)</f>
        <v>#N/A</v>
      </c>
      <c r="AF316" s="210" t="e">
        <f>_xlfn.XLOOKUP(_xlfn.CONCAT(Buildings_Water_Backend[[#This Row],[Level 1]:[Level 6]]),rng_EFConcat,rng_EF1)*Buildings_Water_Backend[[#This Row],[Converted data]]/1000</f>
        <v>#N/A</v>
      </c>
      <c r="AG316" s="210" t="e">
        <f>_xlfn.XLOOKUP(_xlfn.CONCAT(Buildings_Water_Backend[[#This Row],[Level 1]:[Level 6]]),rng_EFConcat,rng_EF2)*Buildings_Water_Backend[[#This Row],[Converted data]]/1000</f>
        <v>#N/A</v>
      </c>
      <c r="AH316" s="210" t="e">
        <f>_xlfn.XLOOKUP(_xlfn.CONCAT(Buildings_Water_Backend[[#This Row],[Level 1]:[Level 6]]),rng_EFConcat,rng_EF3)*Buildings_Water_Backend[[#This Row],[Converted data]]/1000</f>
        <v>#N/A</v>
      </c>
      <c r="AI316" s="210" t="e">
        <f>_xlfn.XLOOKUP(_xlfn.CONCAT(Buildings_Water_Backend[[#This Row],[Level 1]:[Level 6]]),rng_EFConcat,rng_EF3WTT)*Buildings_Water_Backend[[#This Row],[Converted data]]/1000</f>
        <v>#N/A</v>
      </c>
      <c r="AJ316" s="210" t="e">
        <f>_xlfn.XLOOKUP(_xlfn.CONCAT(Buildings_Water_Backend[[#This Row],[Level 1]:[Level 6]]),rng_EFConcat,rng_EF3TD)*Buildings_Water_Backend[[#This Row],[Converted data]]/1000</f>
        <v>#N/A</v>
      </c>
      <c r="AK316" s="210" t="e">
        <f>_xlfn.XLOOKUP(_xlfn.CONCAT(Buildings_Water_Backend[[#This Row],[Level 1]:[Level 6]]),rng_EFConcat,rng_EF3WTTTD)*Buildings_Water_Backend[[#This Row],[Converted data]]/1000</f>
        <v>#N/A</v>
      </c>
      <c r="AL316" s="220" t="e">
        <f>SUM(Buildings_Water_Backend[[#This Row],[Scope 1 (tCO2e)]:[Scope 3 WTT T&amp;D (tCO2e)]])</f>
        <v>#N/A</v>
      </c>
      <c r="AM316" s="220" t="e">
        <f>Buildings_Water_Backend[[#This Row],[Total (tCO2e)]]*(1-Buildings_Water_Backend[[#This Row],[RSD]])</f>
        <v>#N/A</v>
      </c>
      <c r="AN316" s="220" t="e">
        <f>Buildings_Water_Backend[[#This Row],[Total (tCO2e)]]*(1+Buildings_Water_Backend[[#This Row],[RSD]])</f>
        <v>#N/A</v>
      </c>
      <c r="AO316" s="210" t="e">
        <f>_xlfn.XLOOKUP(_xlfn.CONCAT(Buildings_Water_Backend[[#This Row],[Level 1]:[Level 6]]),rng_EFConcat,rng_EFOOS)*Buildings_Water_Backend[[#This Row],[Converted data]]/1000</f>
        <v>#N/A</v>
      </c>
      <c r="AP316" s="174">
        <f>Buildings_Water_Frontend[[#This Row],[Ease of collection]]</f>
        <v>0</v>
      </c>
      <c r="AQ316" s="174">
        <f>Buildings_Water_Frontend[[#This Row],[Completeness]]</f>
        <v>0</v>
      </c>
      <c r="AR316" s="174">
        <f>Buildings_Water_Frontend[[#This Row],[Notes]]</f>
        <v>0</v>
      </c>
    </row>
    <row r="317" spans="5:44" x14ac:dyDescent="0.3">
      <c r="E317" s="346"/>
      <c r="F317" s="364"/>
      <c r="G317" s="336"/>
      <c r="H317" s="336"/>
      <c r="I317" s="334"/>
      <c r="J317" s="336"/>
      <c r="K317" s="336"/>
      <c r="L317" s="336"/>
      <c r="M317" s="337"/>
      <c r="N317" s="242">
        <f t="shared" si="9"/>
        <v>5</v>
      </c>
      <c r="Q317" s="212" t="str">
        <f t="shared" si="8"/>
        <v/>
      </c>
      <c r="R317" s="174" t="s">
        <v>265</v>
      </c>
      <c r="S317" s="174" t="s">
        <v>273</v>
      </c>
      <c r="T317" s="174" t="e">
        <f>_xlfn.XLOOKUP(Buildings_Water_Backend[[#This Row],[Info 1]],Buildings_SiteInfo[Site name],Buildings_SiteInfo[Site type])</f>
        <v>#N/A</v>
      </c>
      <c r="U317" s="174" t="s">
        <v>327</v>
      </c>
      <c r="V317" s="174">
        <f>Buildings_Water_Frontend[[#This Row],[Type]]</f>
        <v>0</v>
      </c>
      <c r="W317" s="174" t="e" cm="1">
        <f t="array" aca="1" ref="W317" ca="1">_xlfn.XLOOKUP(Buildings_Water_Backend[[#This Row],[Level 5]],rng_Level5Long,rng_Level6Long)</f>
        <v>#N/A</v>
      </c>
      <c r="X317" s="174">
        <f>Buildings_Water_Frontend[[#This Row],[Site Name]]</f>
        <v>0</v>
      </c>
      <c r="Y317" s="174">
        <f>Buildings_Water_Frontend[[#This Row],[Meter Reference]]</f>
        <v>0</v>
      </c>
      <c r="Z317" s="220">
        <f>Buildings_Water_Frontend[[#This Row],[Methodology]]</f>
        <v>0</v>
      </c>
      <c r="AA317" s="229" t="e" cm="1">
        <f t="array" ref="AA317">INDEX(_xlfn.SWITCH(Buildings_Water_Backend[[#This Row],[Methodology]],"Tier 1",rng_RSD1,"Tier 2",rng_RSD2,"Tier 3",rng_RSD3),MATCH(_xlfn.CONCAT(Buildings_Water_Backend[[#This Row],[Level 1]:[Level 6]]),rng_LevelsConcat,0))</f>
        <v>#N/A</v>
      </c>
      <c r="AB317" s="224">
        <f>Buildings_Water_Frontend[[#This Row],[Data]]</f>
        <v>0</v>
      </c>
      <c r="AC317" s="174">
        <f>Buildings_Water_Frontend[[#This Row],[Units]]</f>
        <v>0</v>
      </c>
      <c r="AD317" s="220" t="e">
        <f>IF(Buildings_Water_Backend[[#This Row],[Units]]=Buildings_Water_Backend[[#This Row],[Standard units]],Buildings_Water_Backend[[#This Row],[Data]],Buildings_Water_Backend[[#This Row],[Data]]*_xlfn.XLOOKUP(_xlfn.CONCAT(Buildings_Water_Backend[[#This Row],[Level 1]:[Level 6]]),rng_EFConcat,rng_EFConversion))</f>
        <v>#N/A</v>
      </c>
      <c r="AE317" s="174" t="e" cm="1">
        <f t="array" ref="AE317">_xlfn.XLOOKUP(_xlfn.CONCAT(Buildings_Water_Backend[[#This Row],[Level 1]:[Level 6]]),rng_LevelsConcat,rng_UnitsLong)</f>
        <v>#N/A</v>
      </c>
      <c r="AF317" s="210" t="e">
        <f>_xlfn.XLOOKUP(_xlfn.CONCAT(Buildings_Water_Backend[[#This Row],[Level 1]:[Level 6]]),rng_EFConcat,rng_EF1)*Buildings_Water_Backend[[#This Row],[Converted data]]/1000</f>
        <v>#N/A</v>
      </c>
      <c r="AG317" s="210" t="e">
        <f>_xlfn.XLOOKUP(_xlfn.CONCAT(Buildings_Water_Backend[[#This Row],[Level 1]:[Level 6]]),rng_EFConcat,rng_EF2)*Buildings_Water_Backend[[#This Row],[Converted data]]/1000</f>
        <v>#N/A</v>
      </c>
      <c r="AH317" s="210" t="e">
        <f>_xlfn.XLOOKUP(_xlfn.CONCAT(Buildings_Water_Backend[[#This Row],[Level 1]:[Level 6]]),rng_EFConcat,rng_EF3)*Buildings_Water_Backend[[#This Row],[Converted data]]/1000</f>
        <v>#N/A</v>
      </c>
      <c r="AI317" s="210" t="e">
        <f>_xlfn.XLOOKUP(_xlfn.CONCAT(Buildings_Water_Backend[[#This Row],[Level 1]:[Level 6]]),rng_EFConcat,rng_EF3WTT)*Buildings_Water_Backend[[#This Row],[Converted data]]/1000</f>
        <v>#N/A</v>
      </c>
      <c r="AJ317" s="210" t="e">
        <f>_xlfn.XLOOKUP(_xlfn.CONCAT(Buildings_Water_Backend[[#This Row],[Level 1]:[Level 6]]),rng_EFConcat,rng_EF3TD)*Buildings_Water_Backend[[#This Row],[Converted data]]/1000</f>
        <v>#N/A</v>
      </c>
      <c r="AK317" s="210" t="e">
        <f>_xlfn.XLOOKUP(_xlfn.CONCAT(Buildings_Water_Backend[[#This Row],[Level 1]:[Level 6]]),rng_EFConcat,rng_EF3WTTTD)*Buildings_Water_Backend[[#This Row],[Converted data]]/1000</f>
        <v>#N/A</v>
      </c>
      <c r="AL317" s="220" t="e">
        <f>SUM(Buildings_Water_Backend[[#This Row],[Scope 1 (tCO2e)]:[Scope 3 WTT T&amp;D (tCO2e)]])</f>
        <v>#N/A</v>
      </c>
      <c r="AM317" s="220" t="e">
        <f>Buildings_Water_Backend[[#This Row],[Total (tCO2e)]]*(1-Buildings_Water_Backend[[#This Row],[RSD]])</f>
        <v>#N/A</v>
      </c>
      <c r="AN317" s="220" t="e">
        <f>Buildings_Water_Backend[[#This Row],[Total (tCO2e)]]*(1+Buildings_Water_Backend[[#This Row],[RSD]])</f>
        <v>#N/A</v>
      </c>
      <c r="AO317" s="210" t="e">
        <f>_xlfn.XLOOKUP(_xlfn.CONCAT(Buildings_Water_Backend[[#This Row],[Level 1]:[Level 6]]),rng_EFConcat,rng_EFOOS)*Buildings_Water_Backend[[#This Row],[Converted data]]/1000</f>
        <v>#N/A</v>
      </c>
      <c r="AP317" s="174">
        <f>Buildings_Water_Frontend[[#This Row],[Ease of collection]]</f>
        <v>0</v>
      </c>
      <c r="AQ317" s="174">
        <f>Buildings_Water_Frontend[[#This Row],[Completeness]]</f>
        <v>0</v>
      </c>
      <c r="AR317" s="174">
        <f>Buildings_Water_Frontend[[#This Row],[Notes]]</f>
        <v>0</v>
      </c>
    </row>
    <row r="318" spans="5:44" x14ac:dyDescent="0.3">
      <c r="E318" s="346"/>
      <c r="F318" s="364"/>
      <c r="G318" s="336"/>
      <c r="H318" s="336"/>
      <c r="I318" s="334"/>
      <c r="J318" s="336"/>
      <c r="K318" s="336"/>
      <c r="L318" s="336"/>
      <c r="M318" s="337"/>
      <c r="N318" s="242">
        <f t="shared" si="9"/>
        <v>5</v>
      </c>
      <c r="Q318" s="212" t="str">
        <f t="shared" si="8"/>
        <v/>
      </c>
      <c r="R318" s="174" t="s">
        <v>265</v>
      </c>
      <c r="S318" s="174" t="s">
        <v>273</v>
      </c>
      <c r="T318" s="174" t="e">
        <f>_xlfn.XLOOKUP(Buildings_Water_Backend[[#This Row],[Info 1]],Buildings_SiteInfo[Site name],Buildings_SiteInfo[Site type])</f>
        <v>#N/A</v>
      </c>
      <c r="U318" s="174" t="s">
        <v>327</v>
      </c>
      <c r="V318" s="174">
        <f>Buildings_Water_Frontend[[#This Row],[Type]]</f>
        <v>0</v>
      </c>
      <c r="W318" s="174" t="e" cm="1">
        <f t="array" aca="1" ref="W318" ca="1">_xlfn.XLOOKUP(Buildings_Water_Backend[[#This Row],[Level 5]],rng_Level5Long,rng_Level6Long)</f>
        <v>#N/A</v>
      </c>
      <c r="X318" s="174">
        <f>Buildings_Water_Frontend[[#This Row],[Site Name]]</f>
        <v>0</v>
      </c>
      <c r="Y318" s="174">
        <f>Buildings_Water_Frontend[[#This Row],[Meter Reference]]</f>
        <v>0</v>
      </c>
      <c r="Z318" s="220">
        <f>Buildings_Water_Frontend[[#This Row],[Methodology]]</f>
        <v>0</v>
      </c>
      <c r="AA318" s="229" t="e" cm="1">
        <f t="array" ref="AA318">INDEX(_xlfn.SWITCH(Buildings_Water_Backend[[#This Row],[Methodology]],"Tier 1",rng_RSD1,"Tier 2",rng_RSD2,"Tier 3",rng_RSD3),MATCH(_xlfn.CONCAT(Buildings_Water_Backend[[#This Row],[Level 1]:[Level 6]]),rng_LevelsConcat,0))</f>
        <v>#N/A</v>
      </c>
      <c r="AB318" s="224">
        <f>Buildings_Water_Frontend[[#This Row],[Data]]</f>
        <v>0</v>
      </c>
      <c r="AC318" s="174">
        <f>Buildings_Water_Frontend[[#This Row],[Units]]</f>
        <v>0</v>
      </c>
      <c r="AD318" s="220" t="e">
        <f>IF(Buildings_Water_Backend[[#This Row],[Units]]=Buildings_Water_Backend[[#This Row],[Standard units]],Buildings_Water_Backend[[#This Row],[Data]],Buildings_Water_Backend[[#This Row],[Data]]*_xlfn.XLOOKUP(_xlfn.CONCAT(Buildings_Water_Backend[[#This Row],[Level 1]:[Level 6]]),rng_EFConcat,rng_EFConversion))</f>
        <v>#N/A</v>
      </c>
      <c r="AE318" s="174" t="e" cm="1">
        <f t="array" ref="AE318">_xlfn.XLOOKUP(_xlfn.CONCAT(Buildings_Water_Backend[[#This Row],[Level 1]:[Level 6]]),rng_LevelsConcat,rng_UnitsLong)</f>
        <v>#N/A</v>
      </c>
      <c r="AF318" s="210" t="e">
        <f>_xlfn.XLOOKUP(_xlfn.CONCAT(Buildings_Water_Backend[[#This Row],[Level 1]:[Level 6]]),rng_EFConcat,rng_EF1)*Buildings_Water_Backend[[#This Row],[Converted data]]/1000</f>
        <v>#N/A</v>
      </c>
      <c r="AG318" s="210" t="e">
        <f>_xlfn.XLOOKUP(_xlfn.CONCAT(Buildings_Water_Backend[[#This Row],[Level 1]:[Level 6]]),rng_EFConcat,rng_EF2)*Buildings_Water_Backend[[#This Row],[Converted data]]/1000</f>
        <v>#N/A</v>
      </c>
      <c r="AH318" s="210" t="e">
        <f>_xlfn.XLOOKUP(_xlfn.CONCAT(Buildings_Water_Backend[[#This Row],[Level 1]:[Level 6]]),rng_EFConcat,rng_EF3)*Buildings_Water_Backend[[#This Row],[Converted data]]/1000</f>
        <v>#N/A</v>
      </c>
      <c r="AI318" s="210" t="e">
        <f>_xlfn.XLOOKUP(_xlfn.CONCAT(Buildings_Water_Backend[[#This Row],[Level 1]:[Level 6]]),rng_EFConcat,rng_EF3WTT)*Buildings_Water_Backend[[#This Row],[Converted data]]/1000</f>
        <v>#N/A</v>
      </c>
      <c r="AJ318" s="210" t="e">
        <f>_xlfn.XLOOKUP(_xlfn.CONCAT(Buildings_Water_Backend[[#This Row],[Level 1]:[Level 6]]),rng_EFConcat,rng_EF3TD)*Buildings_Water_Backend[[#This Row],[Converted data]]/1000</f>
        <v>#N/A</v>
      </c>
      <c r="AK318" s="210" t="e">
        <f>_xlfn.XLOOKUP(_xlfn.CONCAT(Buildings_Water_Backend[[#This Row],[Level 1]:[Level 6]]),rng_EFConcat,rng_EF3WTTTD)*Buildings_Water_Backend[[#This Row],[Converted data]]/1000</f>
        <v>#N/A</v>
      </c>
      <c r="AL318" s="220" t="e">
        <f>SUM(Buildings_Water_Backend[[#This Row],[Scope 1 (tCO2e)]:[Scope 3 WTT T&amp;D (tCO2e)]])</f>
        <v>#N/A</v>
      </c>
      <c r="AM318" s="220" t="e">
        <f>Buildings_Water_Backend[[#This Row],[Total (tCO2e)]]*(1-Buildings_Water_Backend[[#This Row],[RSD]])</f>
        <v>#N/A</v>
      </c>
      <c r="AN318" s="220" t="e">
        <f>Buildings_Water_Backend[[#This Row],[Total (tCO2e)]]*(1+Buildings_Water_Backend[[#This Row],[RSD]])</f>
        <v>#N/A</v>
      </c>
      <c r="AO318" s="210" t="e">
        <f>_xlfn.XLOOKUP(_xlfn.CONCAT(Buildings_Water_Backend[[#This Row],[Level 1]:[Level 6]]),rng_EFConcat,rng_EFOOS)*Buildings_Water_Backend[[#This Row],[Converted data]]/1000</f>
        <v>#N/A</v>
      </c>
      <c r="AP318" s="174">
        <f>Buildings_Water_Frontend[[#This Row],[Ease of collection]]</f>
        <v>0</v>
      </c>
      <c r="AQ318" s="174">
        <f>Buildings_Water_Frontend[[#This Row],[Completeness]]</f>
        <v>0</v>
      </c>
      <c r="AR318" s="174">
        <f>Buildings_Water_Frontend[[#This Row],[Notes]]</f>
        <v>0</v>
      </c>
    </row>
    <row r="319" spans="5:44" x14ac:dyDescent="0.3">
      <c r="E319" s="346"/>
      <c r="F319" s="364"/>
      <c r="G319" s="336"/>
      <c r="H319" s="336"/>
      <c r="I319" s="334"/>
      <c r="J319" s="336"/>
      <c r="K319" s="336"/>
      <c r="L319" s="336"/>
      <c r="M319" s="337"/>
      <c r="N319" s="242">
        <f t="shared" si="9"/>
        <v>5</v>
      </c>
      <c r="Q319" s="212" t="str">
        <f t="shared" si="8"/>
        <v/>
      </c>
      <c r="R319" s="174" t="s">
        <v>265</v>
      </c>
      <c r="S319" s="174" t="s">
        <v>273</v>
      </c>
      <c r="T319" s="174" t="e">
        <f>_xlfn.XLOOKUP(Buildings_Water_Backend[[#This Row],[Info 1]],Buildings_SiteInfo[Site name],Buildings_SiteInfo[Site type])</f>
        <v>#N/A</v>
      </c>
      <c r="U319" s="174" t="s">
        <v>327</v>
      </c>
      <c r="V319" s="174">
        <f>Buildings_Water_Frontend[[#This Row],[Type]]</f>
        <v>0</v>
      </c>
      <c r="W319" s="174" t="e" cm="1">
        <f t="array" aca="1" ref="W319" ca="1">_xlfn.XLOOKUP(Buildings_Water_Backend[[#This Row],[Level 5]],rng_Level5Long,rng_Level6Long)</f>
        <v>#N/A</v>
      </c>
      <c r="X319" s="174">
        <f>Buildings_Water_Frontend[[#This Row],[Site Name]]</f>
        <v>0</v>
      </c>
      <c r="Y319" s="174">
        <f>Buildings_Water_Frontend[[#This Row],[Meter Reference]]</f>
        <v>0</v>
      </c>
      <c r="Z319" s="220">
        <f>Buildings_Water_Frontend[[#This Row],[Methodology]]</f>
        <v>0</v>
      </c>
      <c r="AA319" s="229" t="e" cm="1">
        <f t="array" ref="AA319">INDEX(_xlfn.SWITCH(Buildings_Water_Backend[[#This Row],[Methodology]],"Tier 1",rng_RSD1,"Tier 2",rng_RSD2,"Tier 3",rng_RSD3),MATCH(_xlfn.CONCAT(Buildings_Water_Backend[[#This Row],[Level 1]:[Level 6]]),rng_LevelsConcat,0))</f>
        <v>#N/A</v>
      </c>
      <c r="AB319" s="224">
        <f>Buildings_Water_Frontend[[#This Row],[Data]]</f>
        <v>0</v>
      </c>
      <c r="AC319" s="174">
        <f>Buildings_Water_Frontend[[#This Row],[Units]]</f>
        <v>0</v>
      </c>
      <c r="AD319" s="220" t="e">
        <f>IF(Buildings_Water_Backend[[#This Row],[Units]]=Buildings_Water_Backend[[#This Row],[Standard units]],Buildings_Water_Backend[[#This Row],[Data]],Buildings_Water_Backend[[#This Row],[Data]]*_xlfn.XLOOKUP(_xlfn.CONCAT(Buildings_Water_Backend[[#This Row],[Level 1]:[Level 6]]),rng_EFConcat,rng_EFConversion))</f>
        <v>#N/A</v>
      </c>
      <c r="AE319" s="174" t="e" cm="1">
        <f t="array" ref="AE319">_xlfn.XLOOKUP(_xlfn.CONCAT(Buildings_Water_Backend[[#This Row],[Level 1]:[Level 6]]),rng_LevelsConcat,rng_UnitsLong)</f>
        <v>#N/A</v>
      </c>
      <c r="AF319" s="210" t="e">
        <f>_xlfn.XLOOKUP(_xlfn.CONCAT(Buildings_Water_Backend[[#This Row],[Level 1]:[Level 6]]),rng_EFConcat,rng_EF1)*Buildings_Water_Backend[[#This Row],[Converted data]]/1000</f>
        <v>#N/A</v>
      </c>
      <c r="AG319" s="210" t="e">
        <f>_xlfn.XLOOKUP(_xlfn.CONCAT(Buildings_Water_Backend[[#This Row],[Level 1]:[Level 6]]),rng_EFConcat,rng_EF2)*Buildings_Water_Backend[[#This Row],[Converted data]]/1000</f>
        <v>#N/A</v>
      </c>
      <c r="AH319" s="210" t="e">
        <f>_xlfn.XLOOKUP(_xlfn.CONCAT(Buildings_Water_Backend[[#This Row],[Level 1]:[Level 6]]),rng_EFConcat,rng_EF3)*Buildings_Water_Backend[[#This Row],[Converted data]]/1000</f>
        <v>#N/A</v>
      </c>
      <c r="AI319" s="210" t="e">
        <f>_xlfn.XLOOKUP(_xlfn.CONCAT(Buildings_Water_Backend[[#This Row],[Level 1]:[Level 6]]),rng_EFConcat,rng_EF3WTT)*Buildings_Water_Backend[[#This Row],[Converted data]]/1000</f>
        <v>#N/A</v>
      </c>
      <c r="AJ319" s="210" t="e">
        <f>_xlfn.XLOOKUP(_xlfn.CONCAT(Buildings_Water_Backend[[#This Row],[Level 1]:[Level 6]]),rng_EFConcat,rng_EF3TD)*Buildings_Water_Backend[[#This Row],[Converted data]]/1000</f>
        <v>#N/A</v>
      </c>
      <c r="AK319" s="210" t="e">
        <f>_xlfn.XLOOKUP(_xlfn.CONCAT(Buildings_Water_Backend[[#This Row],[Level 1]:[Level 6]]),rng_EFConcat,rng_EF3WTTTD)*Buildings_Water_Backend[[#This Row],[Converted data]]/1000</f>
        <v>#N/A</v>
      </c>
      <c r="AL319" s="220" t="e">
        <f>SUM(Buildings_Water_Backend[[#This Row],[Scope 1 (tCO2e)]:[Scope 3 WTT T&amp;D (tCO2e)]])</f>
        <v>#N/A</v>
      </c>
      <c r="AM319" s="220" t="e">
        <f>Buildings_Water_Backend[[#This Row],[Total (tCO2e)]]*(1-Buildings_Water_Backend[[#This Row],[RSD]])</f>
        <v>#N/A</v>
      </c>
      <c r="AN319" s="220" t="e">
        <f>Buildings_Water_Backend[[#This Row],[Total (tCO2e)]]*(1+Buildings_Water_Backend[[#This Row],[RSD]])</f>
        <v>#N/A</v>
      </c>
      <c r="AO319" s="210" t="e">
        <f>_xlfn.XLOOKUP(_xlfn.CONCAT(Buildings_Water_Backend[[#This Row],[Level 1]:[Level 6]]),rng_EFConcat,rng_EFOOS)*Buildings_Water_Backend[[#This Row],[Converted data]]/1000</f>
        <v>#N/A</v>
      </c>
      <c r="AP319" s="174">
        <f>Buildings_Water_Frontend[[#This Row],[Ease of collection]]</f>
        <v>0</v>
      </c>
      <c r="AQ319" s="174">
        <f>Buildings_Water_Frontend[[#This Row],[Completeness]]</f>
        <v>0</v>
      </c>
      <c r="AR319" s="174">
        <f>Buildings_Water_Frontend[[#This Row],[Notes]]</f>
        <v>0</v>
      </c>
    </row>
    <row r="320" spans="5:44" x14ac:dyDescent="0.3">
      <c r="E320" s="346"/>
      <c r="F320" s="364"/>
      <c r="G320" s="336"/>
      <c r="H320" s="336"/>
      <c r="I320" s="334"/>
      <c r="J320" s="336"/>
      <c r="K320" s="336"/>
      <c r="L320" s="336"/>
      <c r="M320" s="337"/>
      <c r="N320" s="242">
        <f t="shared" si="9"/>
        <v>5</v>
      </c>
      <c r="Q320" s="212" t="str">
        <f t="shared" si="8"/>
        <v/>
      </c>
      <c r="R320" s="174" t="s">
        <v>265</v>
      </c>
      <c r="S320" s="174" t="s">
        <v>273</v>
      </c>
      <c r="T320" s="174" t="e">
        <f>_xlfn.XLOOKUP(Buildings_Water_Backend[[#This Row],[Info 1]],Buildings_SiteInfo[Site name],Buildings_SiteInfo[Site type])</f>
        <v>#N/A</v>
      </c>
      <c r="U320" s="174" t="s">
        <v>327</v>
      </c>
      <c r="V320" s="174">
        <f>Buildings_Water_Frontend[[#This Row],[Type]]</f>
        <v>0</v>
      </c>
      <c r="W320" s="174" t="e" cm="1">
        <f t="array" aca="1" ref="W320" ca="1">_xlfn.XLOOKUP(Buildings_Water_Backend[[#This Row],[Level 5]],rng_Level5Long,rng_Level6Long)</f>
        <v>#N/A</v>
      </c>
      <c r="X320" s="174">
        <f>Buildings_Water_Frontend[[#This Row],[Site Name]]</f>
        <v>0</v>
      </c>
      <c r="Y320" s="174">
        <f>Buildings_Water_Frontend[[#This Row],[Meter Reference]]</f>
        <v>0</v>
      </c>
      <c r="Z320" s="220">
        <f>Buildings_Water_Frontend[[#This Row],[Methodology]]</f>
        <v>0</v>
      </c>
      <c r="AA320" s="229" t="e" cm="1">
        <f t="array" ref="AA320">INDEX(_xlfn.SWITCH(Buildings_Water_Backend[[#This Row],[Methodology]],"Tier 1",rng_RSD1,"Tier 2",rng_RSD2,"Tier 3",rng_RSD3),MATCH(_xlfn.CONCAT(Buildings_Water_Backend[[#This Row],[Level 1]:[Level 6]]),rng_LevelsConcat,0))</f>
        <v>#N/A</v>
      </c>
      <c r="AB320" s="224">
        <f>Buildings_Water_Frontend[[#This Row],[Data]]</f>
        <v>0</v>
      </c>
      <c r="AC320" s="174">
        <f>Buildings_Water_Frontend[[#This Row],[Units]]</f>
        <v>0</v>
      </c>
      <c r="AD320" s="220" t="e">
        <f>IF(Buildings_Water_Backend[[#This Row],[Units]]=Buildings_Water_Backend[[#This Row],[Standard units]],Buildings_Water_Backend[[#This Row],[Data]],Buildings_Water_Backend[[#This Row],[Data]]*_xlfn.XLOOKUP(_xlfn.CONCAT(Buildings_Water_Backend[[#This Row],[Level 1]:[Level 6]]),rng_EFConcat,rng_EFConversion))</f>
        <v>#N/A</v>
      </c>
      <c r="AE320" s="174" t="e" cm="1">
        <f t="array" ref="AE320">_xlfn.XLOOKUP(_xlfn.CONCAT(Buildings_Water_Backend[[#This Row],[Level 1]:[Level 6]]),rng_LevelsConcat,rng_UnitsLong)</f>
        <v>#N/A</v>
      </c>
      <c r="AF320" s="210" t="e">
        <f>_xlfn.XLOOKUP(_xlfn.CONCAT(Buildings_Water_Backend[[#This Row],[Level 1]:[Level 6]]),rng_EFConcat,rng_EF1)*Buildings_Water_Backend[[#This Row],[Converted data]]/1000</f>
        <v>#N/A</v>
      </c>
      <c r="AG320" s="210" t="e">
        <f>_xlfn.XLOOKUP(_xlfn.CONCAT(Buildings_Water_Backend[[#This Row],[Level 1]:[Level 6]]),rng_EFConcat,rng_EF2)*Buildings_Water_Backend[[#This Row],[Converted data]]/1000</f>
        <v>#N/A</v>
      </c>
      <c r="AH320" s="210" t="e">
        <f>_xlfn.XLOOKUP(_xlfn.CONCAT(Buildings_Water_Backend[[#This Row],[Level 1]:[Level 6]]),rng_EFConcat,rng_EF3)*Buildings_Water_Backend[[#This Row],[Converted data]]/1000</f>
        <v>#N/A</v>
      </c>
      <c r="AI320" s="210" t="e">
        <f>_xlfn.XLOOKUP(_xlfn.CONCAT(Buildings_Water_Backend[[#This Row],[Level 1]:[Level 6]]),rng_EFConcat,rng_EF3WTT)*Buildings_Water_Backend[[#This Row],[Converted data]]/1000</f>
        <v>#N/A</v>
      </c>
      <c r="AJ320" s="210" t="e">
        <f>_xlfn.XLOOKUP(_xlfn.CONCAT(Buildings_Water_Backend[[#This Row],[Level 1]:[Level 6]]),rng_EFConcat,rng_EF3TD)*Buildings_Water_Backend[[#This Row],[Converted data]]/1000</f>
        <v>#N/A</v>
      </c>
      <c r="AK320" s="210" t="e">
        <f>_xlfn.XLOOKUP(_xlfn.CONCAT(Buildings_Water_Backend[[#This Row],[Level 1]:[Level 6]]),rng_EFConcat,rng_EF3WTTTD)*Buildings_Water_Backend[[#This Row],[Converted data]]/1000</f>
        <v>#N/A</v>
      </c>
      <c r="AL320" s="220" t="e">
        <f>SUM(Buildings_Water_Backend[[#This Row],[Scope 1 (tCO2e)]:[Scope 3 WTT T&amp;D (tCO2e)]])</f>
        <v>#N/A</v>
      </c>
      <c r="AM320" s="220" t="e">
        <f>Buildings_Water_Backend[[#This Row],[Total (tCO2e)]]*(1-Buildings_Water_Backend[[#This Row],[RSD]])</f>
        <v>#N/A</v>
      </c>
      <c r="AN320" s="220" t="e">
        <f>Buildings_Water_Backend[[#This Row],[Total (tCO2e)]]*(1+Buildings_Water_Backend[[#This Row],[RSD]])</f>
        <v>#N/A</v>
      </c>
      <c r="AO320" s="210" t="e">
        <f>_xlfn.XLOOKUP(_xlfn.CONCAT(Buildings_Water_Backend[[#This Row],[Level 1]:[Level 6]]),rng_EFConcat,rng_EFOOS)*Buildings_Water_Backend[[#This Row],[Converted data]]/1000</f>
        <v>#N/A</v>
      </c>
      <c r="AP320" s="174">
        <f>Buildings_Water_Frontend[[#This Row],[Ease of collection]]</f>
        <v>0</v>
      </c>
      <c r="AQ320" s="174">
        <f>Buildings_Water_Frontend[[#This Row],[Completeness]]</f>
        <v>0</v>
      </c>
      <c r="AR320" s="174">
        <f>Buildings_Water_Frontend[[#This Row],[Notes]]</f>
        <v>0</v>
      </c>
    </row>
    <row r="321" spans="5:44" x14ac:dyDescent="0.3">
      <c r="E321" s="346"/>
      <c r="F321" s="364"/>
      <c r="G321" s="336"/>
      <c r="H321" s="336"/>
      <c r="I321" s="334"/>
      <c r="J321" s="336"/>
      <c r="K321" s="336"/>
      <c r="L321" s="336"/>
      <c r="M321" s="337"/>
      <c r="N321" s="242">
        <f t="shared" si="9"/>
        <v>5</v>
      </c>
      <c r="Q321" s="212" t="str">
        <f t="shared" si="8"/>
        <v/>
      </c>
      <c r="R321" s="174" t="s">
        <v>265</v>
      </c>
      <c r="S321" s="174" t="s">
        <v>273</v>
      </c>
      <c r="T321" s="174" t="e">
        <f>_xlfn.XLOOKUP(Buildings_Water_Backend[[#This Row],[Info 1]],Buildings_SiteInfo[Site name],Buildings_SiteInfo[Site type])</f>
        <v>#N/A</v>
      </c>
      <c r="U321" s="174" t="s">
        <v>327</v>
      </c>
      <c r="V321" s="174">
        <f>Buildings_Water_Frontend[[#This Row],[Type]]</f>
        <v>0</v>
      </c>
      <c r="W321" s="174" t="e" cm="1">
        <f t="array" aca="1" ref="W321" ca="1">_xlfn.XLOOKUP(Buildings_Water_Backend[[#This Row],[Level 5]],rng_Level5Long,rng_Level6Long)</f>
        <v>#N/A</v>
      </c>
      <c r="X321" s="174">
        <f>Buildings_Water_Frontend[[#This Row],[Site Name]]</f>
        <v>0</v>
      </c>
      <c r="Y321" s="174">
        <f>Buildings_Water_Frontend[[#This Row],[Meter Reference]]</f>
        <v>0</v>
      </c>
      <c r="Z321" s="220">
        <f>Buildings_Water_Frontend[[#This Row],[Methodology]]</f>
        <v>0</v>
      </c>
      <c r="AA321" s="229" t="e" cm="1">
        <f t="array" ref="AA321">INDEX(_xlfn.SWITCH(Buildings_Water_Backend[[#This Row],[Methodology]],"Tier 1",rng_RSD1,"Tier 2",rng_RSD2,"Tier 3",rng_RSD3),MATCH(_xlfn.CONCAT(Buildings_Water_Backend[[#This Row],[Level 1]:[Level 6]]),rng_LevelsConcat,0))</f>
        <v>#N/A</v>
      </c>
      <c r="AB321" s="224">
        <f>Buildings_Water_Frontend[[#This Row],[Data]]</f>
        <v>0</v>
      </c>
      <c r="AC321" s="174">
        <f>Buildings_Water_Frontend[[#This Row],[Units]]</f>
        <v>0</v>
      </c>
      <c r="AD321" s="220" t="e">
        <f>IF(Buildings_Water_Backend[[#This Row],[Units]]=Buildings_Water_Backend[[#This Row],[Standard units]],Buildings_Water_Backend[[#This Row],[Data]],Buildings_Water_Backend[[#This Row],[Data]]*_xlfn.XLOOKUP(_xlfn.CONCAT(Buildings_Water_Backend[[#This Row],[Level 1]:[Level 6]]),rng_EFConcat,rng_EFConversion))</f>
        <v>#N/A</v>
      </c>
      <c r="AE321" s="174" t="e" cm="1">
        <f t="array" ref="AE321">_xlfn.XLOOKUP(_xlfn.CONCAT(Buildings_Water_Backend[[#This Row],[Level 1]:[Level 6]]),rng_LevelsConcat,rng_UnitsLong)</f>
        <v>#N/A</v>
      </c>
      <c r="AF321" s="210" t="e">
        <f>_xlfn.XLOOKUP(_xlfn.CONCAT(Buildings_Water_Backend[[#This Row],[Level 1]:[Level 6]]),rng_EFConcat,rng_EF1)*Buildings_Water_Backend[[#This Row],[Converted data]]/1000</f>
        <v>#N/A</v>
      </c>
      <c r="AG321" s="210" t="e">
        <f>_xlfn.XLOOKUP(_xlfn.CONCAT(Buildings_Water_Backend[[#This Row],[Level 1]:[Level 6]]),rng_EFConcat,rng_EF2)*Buildings_Water_Backend[[#This Row],[Converted data]]/1000</f>
        <v>#N/A</v>
      </c>
      <c r="AH321" s="210" t="e">
        <f>_xlfn.XLOOKUP(_xlfn.CONCAT(Buildings_Water_Backend[[#This Row],[Level 1]:[Level 6]]),rng_EFConcat,rng_EF3)*Buildings_Water_Backend[[#This Row],[Converted data]]/1000</f>
        <v>#N/A</v>
      </c>
      <c r="AI321" s="210" t="e">
        <f>_xlfn.XLOOKUP(_xlfn.CONCAT(Buildings_Water_Backend[[#This Row],[Level 1]:[Level 6]]),rng_EFConcat,rng_EF3WTT)*Buildings_Water_Backend[[#This Row],[Converted data]]/1000</f>
        <v>#N/A</v>
      </c>
      <c r="AJ321" s="210" t="e">
        <f>_xlfn.XLOOKUP(_xlfn.CONCAT(Buildings_Water_Backend[[#This Row],[Level 1]:[Level 6]]),rng_EFConcat,rng_EF3TD)*Buildings_Water_Backend[[#This Row],[Converted data]]/1000</f>
        <v>#N/A</v>
      </c>
      <c r="AK321" s="210" t="e">
        <f>_xlfn.XLOOKUP(_xlfn.CONCAT(Buildings_Water_Backend[[#This Row],[Level 1]:[Level 6]]),rng_EFConcat,rng_EF3WTTTD)*Buildings_Water_Backend[[#This Row],[Converted data]]/1000</f>
        <v>#N/A</v>
      </c>
      <c r="AL321" s="220" t="e">
        <f>SUM(Buildings_Water_Backend[[#This Row],[Scope 1 (tCO2e)]:[Scope 3 WTT T&amp;D (tCO2e)]])</f>
        <v>#N/A</v>
      </c>
      <c r="AM321" s="220" t="e">
        <f>Buildings_Water_Backend[[#This Row],[Total (tCO2e)]]*(1-Buildings_Water_Backend[[#This Row],[RSD]])</f>
        <v>#N/A</v>
      </c>
      <c r="AN321" s="220" t="e">
        <f>Buildings_Water_Backend[[#This Row],[Total (tCO2e)]]*(1+Buildings_Water_Backend[[#This Row],[RSD]])</f>
        <v>#N/A</v>
      </c>
      <c r="AO321" s="210" t="e">
        <f>_xlfn.XLOOKUP(_xlfn.CONCAT(Buildings_Water_Backend[[#This Row],[Level 1]:[Level 6]]),rng_EFConcat,rng_EFOOS)*Buildings_Water_Backend[[#This Row],[Converted data]]/1000</f>
        <v>#N/A</v>
      </c>
      <c r="AP321" s="174">
        <f>Buildings_Water_Frontend[[#This Row],[Ease of collection]]</f>
        <v>0</v>
      </c>
      <c r="AQ321" s="174">
        <f>Buildings_Water_Frontend[[#This Row],[Completeness]]</f>
        <v>0</v>
      </c>
      <c r="AR321" s="174">
        <f>Buildings_Water_Frontend[[#This Row],[Notes]]</f>
        <v>0</v>
      </c>
    </row>
    <row r="322" spans="5:44" x14ac:dyDescent="0.3">
      <c r="E322" s="346"/>
      <c r="F322" s="364"/>
      <c r="G322" s="336"/>
      <c r="H322" s="336"/>
      <c r="I322" s="334"/>
      <c r="J322" s="336"/>
      <c r="K322" s="336"/>
      <c r="L322" s="336"/>
      <c r="M322" s="337"/>
      <c r="N322" s="242">
        <f t="shared" si="9"/>
        <v>5</v>
      </c>
      <c r="Q322" s="212" t="str">
        <f t="shared" si="8"/>
        <v/>
      </c>
      <c r="R322" s="174" t="s">
        <v>265</v>
      </c>
      <c r="S322" s="174" t="s">
        <v>273</v>
      </c>
      <c r="T322" s="174" t="e">
        <f>_xlfn.XLOOKUP(Buildings_Water_Backend[[#This Row],[Info 1]],Buildings_SiteInfo[Site name],Buildings_SiteInfo[Site type])</f>
        <v>#N/A</v>
      </c>
      <c r="U322" s="174" t="s">
        <v>327</v>
      </c>
      <c r="V322" s="174">
        <f>Buildings_Water_Frontend[[#This Row],[Type]]</f>
        <v>0</v>
      </c>
      <c r="W322" s="174" t="e" cm="1">
        <f t="array" aca="1" ref="W322" ca="1">_xlfn.XLOOKUP(Buildings_Water_Backend[[#This Row],[Level 5]],rng_Level5Long,rng_Level6Long)</f>
        <v>#N/A</v>
      </c>
      <c r="X322" s="174">
        <f>Buildings_Water_Frontend[[#This Row],[Site Name]]</f>
        <v>0</v>
      </c>
      <c r="Y322" s="174">
        <f>Buildings_Water_Frontend[[#This Row],[Meter Reference]]</f>
        <v>0</v>
      </c>
      <c r="Z322" s="220">
        <f>Buildings_Water_Frontend[[#This Row],[Methodology]]</f>
        <v>0</v>
      </c>
      <c r="AA322" s="229" t="e" cm="1">
        <f t="array" ref="AA322">INDEX(_xlfn.SWITCH(Buildings_Water_Backend[[#This Row],[Methodology]],"Tier 1",rng_RSD1,"Tier 2",rng_RSD2,"Tier 3",rng_RSD3),MATCH(_xlfn.CONCAT(Buildings_Water_Backend[[#This Row],[Level 1]:[Level 6]]),rng_LevelsConcat,0))</f>
        <v>#N/A</v>
      </c>
      <c r="AB322" s="224">
        <f>Buildings_Water_Frontend[[#This Row],[Data]]</f>
        <v>0</v>
      </c>
      <c r="AC322" s="174">
        <f>Buildings_Water_Frontend[[#This Row],[Units]]</f>
        <v>0</v>
      </c>
      <c r="AD322" s="220" t="e">
        <f>IF(Buildings_Water_Backend[[#This Row],[Units]]=Buildings_Water_Backend[[#This Row],[Standard units]],Buildings_Water_Backend[[#This Row],[Data]],Buildings_Water_Backend[[#This Row],[Data]]*_xlfn.XLOOKUP(_xlfn.CONCAT(Buildings_Water_Backend[[#This Row],[Level 1]:[Level 6]]),rng_EFConcat,rng_EFConversion))</f>
        <v>#N/A</v>
      </c>
      <c r="AE322" s="174" t="e" cm="1">
        <f t="array" ref="AE322">_xlfn.XLOOKUP(_xlfn.CONCAT(Buildings_Water_Backend[[#This Row],[Level 1]:[Level 6]]),rng_LevelsConcat,rng_UnitsLong)</f>
        <v>#N/A</v>
      </c>
      <c r="AF322" s="210" t="e">
        <f>_xlfn.XLOOKUP(_xlfn.CONCAT(Buildings_Water_Backend[[#This Row],[Level 1]:[Level 6]]),rng_EFConcat,rng_EF1)*Buildings_Water_Backend[[#This Row],[Converted data]]/1000</f>
        <v>#N/A</v>
      </c>
      <c r="AG322" s="210" t="e">
        <f>_xlfn.XLOOKUP(_xlfn.CONCAT(Buildings_Water_Backend[[#This Row],[Level 1]:[Level 6]]),rng_EFConcat,rng_EF2)*Buildings_Water_Backend[[#This Row],[Converted data]]/1000</f>
        <v>#N/A</v>
      </c>
      <c r="AH322" s="210" t="e">
        <f>_xlfn.XLOOKUP(_xlfn.CONCAT(Buildings_Water_Backend[[#This Row],[Level 1]:[Level 6]]),rng_EFConcat,rng_EF3)*Buildings_Water_Backend[[#This Row],[Converted data]]/1000</f>
        <v>#N/A</v>
      </c>
      <c r="AI322" s="210" t="e">
        <f>_xlfn.XLOOKUP(_xlfn.CONCAT(Buildings_Water_Backend[[#This Row],[Level 1]:[Level 6]]),rng_EFConcat,rng_EF3WTT)*Buildings_Water_Backend[[#This Row],[Converted data]]/1000</f>
        <v>#N/A</v>
      </c>
      <c r="AJ322" s="210" t="e">
        <f>_xlfn.XLOOKUP(_xlfn.CONCAT(Buildings_Water_Backend[[#This Row],[Level 1]:[Level 6]]),rng_EFConcat,rng_EF3TD)*Buildings_Water_Backend[[#This Row],[Converted data]]/1000</f>
        <v>#N/A</v>
      </c>
      <c r="AK322" s="210" t="e">
        <f>_xlfn.XLOOKUP(_xlfn.CONCAT(Buildings_Water_Backend[[#This Row],[Level 1]:[Level 6]]),rng_EFConcat,rng_EF3WTTTD)*Buildings_Water_Backend[[#This Row],[Converted data]]/1000</f>
        <v>#N/A</v>
      </c>
      <c r="AL322" s="220" t="e">
        <f>SUM(Buildings_Water_Backend[[#This Row],[Scope 1 (tCO2e)]:[Scope 3 WTT T&amp;D (tCO2e)]])</f>
        <v>#N/A</v>
      </c>
      <c r="AM322" s="220" t="e">
        <f>Buildings_Water_Backend[[#This Row],[Total (tCO2e)]]*(1-Buildings_Water_Backend[[#This Row],[RSD]])</f>
        <v>#N/A</v>
      </c>
      <c r="AN322" s="220" t="e">
        <f>Buildings_Water_Backend[[#This Row],[Total (tCO2e)]]*(1+Buildings_Water_Backend[[#This Row],[RSD]])</f>
        <v>#N/A</v>
      </c>
      <c r="AO322" s="210" t="e">
        <f>_xlfn.XLOOKUP(_xlfn.CONCAT(Buildings_Water_Backend[[#This Row],[Level 1]:[Level 6]]),rng_EFConcat,rng_EFOOS)*Buildings_Water_Backend[[#This Row],[Converted data]]/1000</f>
        <v>#N/A</v>
      </c>
      <c r="AP322" s="174">
        <f>Buildings_Water_Frontend[[#This Row],[Ease of collection]]</f>
        <v>0</v>
      </c>
      <c r="AQ322" s="174">
        <f>Buildings_Water_Frontend[[#This Row],[Completeness]]</f>
        <v>0</v>
      </c>
      <c r="AR322" s="174">
        <f>Buildings_Water_Frontend[[#This Row],[Notes]]</f>
        <v>0</v>
      </c>
    </row>
    <row r="323" spans="5:44" x14ac:dyDescent="0.3">
      <c r="E323" s="346"/>
      <c r="F323" s="364"/>
      <c r="G323" s="336"/>
      <c r="H323" s="336"/>
      <c r="I323" s="334"/>
      <c r="J323" s="336"/>
      <c r="K323" s="336"/>
      <c r="L323" s="336"/>
      <c r="M323" s="337"/>
      <c r="N323" s="242">
        <f t="shared" si="9"/>
        <v>5</v>
      </c>
      <c r="Q323" s="212" t="str">
        <f t="shared" si="8"/>
        <v/>
      </c>
      <c r="R323" s="174" t="s">
        <v>265</v>
      </c>
      <c r="S323" s="174" t="s">
        <v>273</v>
      </c>
      <c r="T323" s="174" t="e">
        <f>_xlfn.XLOOKUP(Buildings_Water_Backend[[#This Row],[Info 1]],Buildings_SiteInfo[Site name],Buildings_SiteInfo[Site type])</f>
        <v>#N/A</v>
      </c>
      <c r="U323" s="174" t="s">
        <v>327</v>
      </c>
      <c r="V323" s="174">
        <f>Buildings_Water_Frontend[[#This Row],[Type]]</f>
        <v>0</v>
      </c>
      <c r="W323" s="174" t="e" cm="1">
        <f t="array" aca="1" ref="W323" ca="1">_xlfn.XLOOKUP(Buildings_Water_Backend[[#This Row],[Level 5]],rng_Level5Long,rng_Level6Long)</f>
        <v>#N/A</v>
      </c>
      <c r="X323" s="174">
        <f>Buildings_Water_Frontend[[#This Row],[Site Name]]</f>
        <v>0</v>
      </c>
      <c r="Y323" s="174">
        <f>Buildings_Water_Frontend[[#This Row],[Meter Reference]]</f>
        <v>0</v>
      </c>
      <c r="Z323" s="220">
        <f>Buildings_Water_Frontend[[#This Row],[Methodology]]</f>
        <v>0</v>
      </c>
      <c r="AA323" s="229" t="e" cm="1">
        <f t="array" ref="AA323">INDEX(_xlfn.SWITCH(Buildings_Water_Backend[[#This Row],[Methodology]],"Tier 1",rng_RSD1,"Tier 2",rng_RSD2,"Tier 3",rng_RSD3),MATCH(_xlfn.CONCAT(Buildings_Water_Backend[[#This Row],[Level 1]:[Level 6]]),rng_LevelsConcat,0))</f>
        <v>#N/A</v>
      </c>
      <c r="AB323" s="224">
        <f>Buildings_Water_Frontend[[#This Row],[Data]]</f>
        <v>0</v>
      </c>
      <c r="AC323" s="174">
        <f>Buildings_Water_Frontend[[#This Row],[Units]]</f>
        <v>0</v>
      </c>
      <c r="AD323" s="220" t="e">
        <f>IF(Buildings_Water_Backend[[#This Row],[Units]]=Buildings_Water_Backend[[#This Row],[Standard units]],Buildings_Water_Backend[[#This Row],[Data]],Buildings_Water_Backend[[#This Row],[Data]]*_xlfn.XLOOKUP(_xlfn.CONCAT(Buildings_Water_Backend[[#This Row],[Level 1]:[Level 6]]),rng_EFConcat,rng_EFConversion))</f>
        <v>#N/A</v>
      </c>
      <c r="AE323" s="174" t="e" cm="1">
        <f t="array" ref="AE323">_xlfn.XLOOKUP(_xlfn.CONCAT(Buildings_Water_Backend[[#This Row],[Level 1]:[Level 6]]),rng_LevelsConcat,rng_UnitsLong)</f>
        <v>#N/A</v>
      </c>
      <c r="AF323" s="210" t="e">
        <f>_xlfn.XLOOKUP(_xlfn.CONCAT(Buildings_Water_Backend[[#This Row],[Level 1]:[Level 6]]),rng_EFConcat,rng_EF1)*Buildings_Water_Backend[[#This Row],[Converted data]]/1000</f>
        <v>#N/A</v>
      </c>
      <c r="AG323" s="210" t="e">
        <f>_xlfn.XLOOKUP(_xlfn.CONCAT(Buildings_Water_Backend[[#This Row],[Level 1]:[Level 6]]),rng_EFConcat,rng_EF2)*Buildings_Water_Backend[[#This Row],[Converted data]]/1000</f>
        <v>#N/A</v>
      </c>
      <c r="AH323" s="210" t="e">
        <f>_xlfn.XLOOKUP(_xlfn.CONCAT(Buildings_Water_Backend[[#This Row],[Level 1]:[Level 6]]),rng_EFConcat,rng_EF3)*Buildings_Water_Backend[[#This Row],[Converted data]]/1000</f>
        <v>#N/A</v>
      </c>
      <c r="AI323" s="210" t="e">
        <f>_xlfn.XLOOKUP(_xlfn.CONCAT(Buildings_Water_Backend[[#This Row],[Level 1]:[Level 6]]),rng_EFConcat,rng_EF3WTT)*Buildings_Water_Backend[[#This Row],[Converted data]]/1000</f>
        <v>#N/A</v>
      </c>
      <c r="AJ323" s="210" t="e">
        <f>_xlfn.XLOOKUP(_xlfn.CONCAT(Buildings_Water_Backend[[#This Row],[Level 1]:[Level 6]]),rng_EFConcat,rng_EF3TD)*Buildings_Water_Backend[[#This Row],[Converted data]]/1000</f>
        <v>#N/A</v>
      </c>
      <c r="AK323" s="210" t="e">
        <f>_xlfn.XLOOKUP(_xlfn.CONCAT(Buildings_Water_Backend[[#This Row],[Level 1]:[Level 6]]),rng_EFConcat,rng_EF3WTTTD)*Buildings_Water_Backend[[#This Row],[Converted data]]/1000</f>
        <v>#N/A</v>
      </c>
      <c r="AL323" s="220" t="e">
        <f>SUM(Buildings_Water_Backend[[#This Row],[Scope 1 (tCO2e)]:[Scope 3 WTT T&amp;D (tCO2e)]])</f>
        <v>#N/A</v>
      </c>
      <c r="AM323" s="220" t="e">
        <f>Buildings_Water_Backend[[#This Row],[Total (tCO2e)]]*(1-Buildings_Water_Backend[[#This Row],[RSD]])</f>
        <v>#N/A</v>
      </c>
      <c r="AN323" s="220" t="e">
        <f>Buildings_Water_Backend[[#This Row],[Total (tCO2e)]]*(1+Buildings_Water_Backend[[#This Row],[RSD]])</f>
        <v>#N/A</v>
      </c>
      <c r="AO323" s="210" t="e">
        <f>_xlfn.XLOOKUP(_xlfn.CONCAT(Buildings_Water_Backend[[#This Row],[Level 1]:[Level 6]]),rng_EFConcat,rng_EFOOS)*Buildings_Water_Backend[[#This Row],[Converted data]]/1000</f>
        <v>#N/A</v>
      </c>
      <c r="AP323" s="174">
        <f>Buildings_Water_Frontend[[#This Row],[Ease of collection]]</f>
        <v>0</v>
      </c>
      <c r="AQ323" s="174">
        <f>Buildings_Water_Frontend[[#This Row],[Completeness]]</f>
        <v>0</v>
      </c>
      <c r="AR323" s="174">
        <f>Buildings_Water_Frontend[[#This Row],[Notes]]</f>
        <v>0</v>
      </c>
    </row>
    <row r="324" spans="5:44" x14ac:dyDescent="0.3">
      <c r="E324" s="346"/>
      <c r="F324" s="364"/>
      <c r="G324" s="336"/>
      <c r="H324" s="336"/>
      <c r="I324" s="334"/>
      <c r="J324" s="336"/>
      <c r="K324" s="336"/>
      <c r="L324" s="336"/>
      <c r="M324" s="337"/>
      <c r="N324" s="242">
        <f t="shared" si="9"/>
        <v>5</v>
      </c>
      <c r="Q324" s="212" t="str">
        <f t="shared" si="8"/>
        <v/>
      </c>
      <c r="R324" s="174" t="s">
        <v>265</v>
      </c>
      <c r="S324" s="174" t="s">
        <v>273</v>
      </c>
      <c r="T324" s="174" t="e">
        <f>_xlfn.XLOOKUP(Buildings_Water_Backend[[#This Row],[Info 1]],Buildings_SiteInfo[Site name],Buildings_SiteInfo[Site type])</f>
        <v>#N/A</v>
      </c>
      <c r="U324" s="174" t="s">
        <v>327</v>
      </c>
      <c r="V324" s="174">
        <f>Buildings_Water_Frontend[[#This Row],[Type]]</f>
        <v>0</v>
      </c>
      <c r="W324" s="174" t="e" cm="1">
        <f t="array" aca="1" ref="W324" ca="1">_xlfn.XLOOKUP(Buildings_Water_Backend[[#This Row],[Level 5]],rng_Level5Long,rng_Level6Long)</f>
        <v>#N/A</v>
      </c>
      <c r="X324" s="174">
        <f>Buildings_Water_Frontend[[#This Row],[Site Name]]</f>
        <v>0</v>
      </c>
      <c r="Y324" s="174">
        <f>Buildings_Water_Frontend[[#This Row],[Meter Reference]]</f>
        <v>0</v>
      </c>
      <c r="Z324" s="220">
        <f>Buildings_Water_Frontend[[#This Row],[Methodology]]</f>
        <v>0</v>
      </c>
      <c r="AA324" s="229" t="e" cm="1">
        <f t="array" ref="AA324">INDEX(_xlfn.SWITCH(Buildings_Water_Backend[[#This Row],[Methodology]],"Tier 1",rng_RSD1,"Tier 2",rng_RSD2,"Tier 3",rng_RSD3),MATCH(_xlfn.CONCAT(Buildings_Water_Backend[[#This Row],[Level 1]:[Level 6]]),rng_LevelsConcat,0))</f>
        <v>#N/A</v>
      </c>
      <c r="AB324" s="224">
        <f>Buildings_Water_Frontend[[#This Row],[Data]]</f>
        <v>0</v>
      </c>
      <c r="AC324" s="174">
        <f>Buildings_Water_Frontend[[#This Row],[Units]]</f>
        <v>0</v>
      </c>
      <c r="AD324" s="220" t="e">
        <f>IF(Buildings_Water_Backend[[#This Row],[Units]]=Buildings_Water_Backend[[#This Row],[Standard units]],Buildings_Water_Backend[[#This Row],[Data]],Buildings_Water_Backend[[#This Row],[Data]]*_xlfn.XLOOKUP(_xlfn.CONCAT(Buildings_Water_Backend[[#This Row],[Level 1]:[Level 6]]),rng_EFConcat,rng_EFConversion))</f>
        <v>#N/A</v>
      </c>
      <c r="AE324" s="174" t="e" cm="1">
        <f t="array" ref="AE324">_xlfn.XLOOKUP(_xlfn.CONCAT(Buildings_Water_Backend[[#This Row],[Level 1]:[Level 6]]),rng_LevelsConcat,rng_UnitsLong)</f>
        <v>#N/A</v>
      </c>
      <c r="AF324" s="210" t="e">
        <f>_xlfn.XLOOKUP(_xlfn.CONCAT(Buildings_Water_Backend[[#This Row],[Level 1]:[Level 6]]),rng_EFConcat,rng_EF1)*Buildings_Water_Backend[[#This Row],[Converted data]]/1000</f>
        <v>#N/A</v>
      </c>
      <c r="AG324" s="210" t="e">
        <f>_xlfn.XLOOKUP(_xlfn.CONCAT(Buildings_Water_Backend[[#This Row],[Level 1]:[Level 6]]),rng_EFConcat,rng_EF2)*Buildings_Water_Backend[[#This Row],[Converted data]]/1000</f>
        <v>#N/A</v>
      </c>
      <c r="AH324" s="210" t="e">
        <f>_xlfn.XLOOKUP(_xlfn.CONCAT(Buildings_Water_Backend[[#This Row],[Level 1]:[Level 6]]),rng_EFConcat,rng_EF3)*Buildings_Water_Backend[[#This Row],[Converted data]]/1000</f>
        <v>#N/A</v>
      </c>
      <c r="AI324" s="210" t="e">
        <f>_xlfn.XLOOKUP(_xlfn.CONCAT(Buildings_Water_Backend[[#This Row],[Level 1]:[Level 6]]),rng_EFConcat,rng_EF3WTT)*Buildings_Water_Backend[[#This Row],[Converted data]]/1000</f>
        <v>#N/A</v>
      </c>
      <c r="AJ324" s="210" t="e">
        <f>_xlfn.XLOOKUP(_xlfn.CONCAT(Buildings_Water_Backend[[#This Row],[Level 1]:[Level 6]]),rng_EFConcat,rng_EF3TD)*Buildings_Water_Backend[[#This Row],[Converted data]]/1000</f>
        <v>#N/A</v>
      </c>
      <c r="AK324" s="210" t="e">
        <f>_xlfn.XLOOKUP(_xlfn.CONCAT(Buildings_Water_Backend[[#This Row],[Level 1]:[Level 6]]),rng_EFConcat,rng_EF3WTTTD)*Buildings_Water_Backend[[#This Row],[Converted data]]/1000</f>
        <v>#N/A</v>
      </c>
      <c r="AL324" s="220" t="e">
        <f>SUM(Buildings_Water_Backend[[#This Row],[Scope 1 (tCO2e)]:[Scope 3 WTT T&amp;D (tCO2e)]])</f>
        <v>#N/A</v>
      </c>
      <c r="AM324" s="220" t="e">
        <f>Buildings_Water_Backend[[#This Row],[Total (tCO2e)]]*(1-Buildings_Water_Backend[[#This Row],[RSD]])</f>
        <v>#N/A</v>
      </c>
      <c r="AN324" s="220" t="e">
        <f>Buildings_Water_Backend[[#This Row],[Total (tCO2e)]]*(1+Buildings_Water_Backend[[#This Row],[RSD]])</f>
        <v>#N/A</v>
      </c>
      <c r="AO324" s="210" t="e">
        <f>_xlfn.XLOOKUP(_xlfn.CONCAT(Buildings_Water_Backend[[#This Row],[Level 1]:[Level 6]]),rng_EFConcat,rng_EFOOS)*Buildings_Water_Backend[[#This Row],[Converted data]]/1000</f>
        <v>#N/A</v>
      </c>
      <c r="AP324" s="174">
        <f>Buildings_Water_Frontend[[#This Row],[Ease of collection]]</f>
        <v>0</v>
      </c>
      <c r="AQ324" s="174">
        <f>Buildings_Water_Frontend[[#This Row],[Completeness]]</f>
        <v>0</v>
      </c>
      <c r="AR324" s="174">
        <f>Buildings_Water_Frontend[[#This Row],[Notes]]</f>
        <v>0</v>
      </c>
    </row>
    <row r="325" spans="5:44" x14ac:dyDescent="0.3">
      <c r="E325" s="346"/>
      <c r="F325" s="364"/>
      <c r="G325" s="336"/>
      <c r="H325" s="336"/>
      <c r="I325" s="334"/>
      <c r="J325" s="336"/>
      <c r="K325" s="336"/>
      <c r="L325" s="336"/>
      <c r="M325" s="337"/>
      <c r="N325" s="242">
        <f t="shared" si="9"/>
        <v>5</v>
      </c>
      <c r="Q325" s="212" t="str">
        <f t="shared" si="8"/>
        <v/>
      </c>
      <c r="R325" s="174" t="s">
        <v>265</v>
      </c>
      <c r="S325" s="174" t="s">
        <v>273</v>
      </c>
      <c r="T325" s="174" t="e">
        <f>_xlfn.XLOOKUP(Buildings_Water_Backend[[#This Row],[Info 1]],Buildings_SiteInfo[Site name],Buildings_SiteInfo[Site type])</f>
        <v>#N/A</v>
      </c>
      <c r="U325" s="174" t="s">
        <v>327</v>
      </c>
      <c r="V325" s="174">
        <f>Buildings_Water_Frontend[[#This Row],[Type]]</f>
        <v>0</v>
      </c>
      <c r="W325" s="174" t="e" cm="1">
        <f t="array" aca="1" ref="W325" ca="1">_xlfn.XLOOKUP(Buildings_Water_Backend[[#This Row],[Level 5]],rng_Level5Long,rng_Level6Long)</f>
        <v>#N/A</v>
      </c>
      <c r="X325" s="174">
        <f>Buildings_Water_Frontend[[#This Row],[Site Name]]</f>
        <v>0</v>
      </c>
      <c r="Y325" s="174">
        <f>Buildings_Water_Frontend[[#This Row],[Meter Reference]]</f>
        <v>0</v>
      </c>
      <c r="Z325" s="220">
        <f>Buildings_Water_Frontend[[#This Row],[Methodology]]</f>
        <v>0</v>
      </c>
      <c r="AA325" s="229" t="e" cm="1">
        <f t="array" ref="AA325">INDEX(_xlfn.SWITCH(Buildings_Water_Backend[[#This Row],[Methodology]],"Tier 1",rng_RSD1,"Tier 2",rng_RSD2,"Tier 3",rng_RSD3),MATCH(_xlfn.CONCAT(Buildings_Water_Backend[[#This Row],[Level 1]:[Level 6]]),rng_LevelsConcat,0))</f>
        <v>#N/A</v>
      </c>
      <c r="AB325" s="224">
        <f>Buildings_Water_Frontend[[#This Row],[Data]]</f>
        <v>0</v>
      </c>
      <c r="AC325" s="174">
        <f>Buildings_Water_Frontend[[#This Row],[Units]]</f>
        <v>0</v>
      </c>
      <c r="AD325" s="220" t="e">
        <f>IF(Buildings_Water_Backend[[#This Row],[Units]]=Buildings_Water_Backend[[#This Row],[Standard units]],Buildings_Water_Backend[[#This Row],[Data]],Buildings_Water_Backend[[#This Row],[Data]]*_xlfn.XLOOKUP(_xlfn.CONCAT(Buildings_Water_Backend[[#This Row],[Level 1]:[Level 6]]),rng_EFConcat,rng_EFConversion))</f>
        <v>#N/A</v>
      </c>
      <c r="AE325" s="174" t="e" cm="1">
        <f t="array" ref="AE325">_xlfn.XLOOKUP(_xlfn.CONCAT(Buildings_Water_Backend[[#This Row],[Level 1]:[Level 6]]),rng_LevelsConcat,rng_UnitsLong)</f>
        <v>#N/A</v>
      </c>
      <c r="AF325" s="210" t="e">
        <f>_xlfn.XLOOKUP(_xlfn.CONCAT(Buildings_Water_Backend[[#This Row],[Level 1]:[Level 6]]),rng_EFConcat,rng_EF1)*Buildings_Water_Backend[[#This Row],[Converted data]]/1000</f>
        <v>#N/A</v>
      </c>
      <c r="AG325" s="210" t="e">
        <f>_xlfn.XLOOKUP(_xlfn.CONCAT(Buildings_Water_Backend[[#This Row],[Level 1]:[Level 6]]),rng_EFConcat,rng_EF2)*Buildings_Water_Backend[[#This Row],[Converted data]]/1000</f>
        <v>#N/A</v>
      </c>
      <c r="AH325" s="210" t="e">
        <f>_xlfn.XLOOKUP(_xlfn.CONCAT(Buildings_Water_Backend[[#This Row],[Level 1]:[Level 6]]),rng_EFConcat,rng_EF3)*Buildings_Water_Backend[[#This Row],[Converted data]]/1000</f>
        <v>#N/A</v>
      </c>
      <c r="AI325" s="210" t="e">
        <f>_xlfn.XLOOKUP(_xlfn.CONCAT(Buildings_Water_Backend[[#This Row],[Level 1]:[Level 6]]),rng_EFConcat,rng_EF3WTT)*Buildings_Water_Backend[[#This Row],[Converted data]]/1000</f>
        <v>#N/A</v>
      </c>
      <c r="AJ325" s="210" t="e">
        <f>_xlfn.XLOOKUP(_xlfn.CONCAT(Buildings_Water_Backend[[#This Row],[Level 1]:[Level 6]]),rng_EFConcat,rng_EF3TD)*Buildings_Water_Backend[[#This Row],[Converted data]]/1000</f>
        <v>#N/A</v>
      </c>
      <c r="AK325" s="210" t="e">
        <f>_xlfn.XLOOKUP(_xlfn.CONCAT(Buildings_Water_Backend[[#This Row],[Level 1]:[Level 6]]),rng_EFConcat,rng_EF3WTTTD)*Buildings_Water_Backend[[#This Row],[Converted data]]/1000</f>
        <v>#N/A</v>
      </c>
      <c r="AL325" s="220" t="e">
        <f>SUM(Buildings_Water_Backend[[#This Row],[Scope 1 (tCO2e)]:[Scope 3 WTT T&amp;D (tCO2e)]])</f>
        <v>#N/A</v>
      </c>
      <c r="AM325" s="220" t="e">
        <f>Buildings_Water_Backend[[#This Row],[Total (tCO2e)]]*(1-Buildings_Water_Backend[[#This Row],[RSD]])</f>
        <v>#N/A</v>
      </c>
      <c r="AN325" s="220" t="e">
        <f>Buildings_Water_Backend[[#This Row],[Total (tCO2e)]]*(1+Buildings_Water_Backend[[#This Row],[RSD]])</f>
        <v>#N/A</v>
      </c>
      <c r="AO325" s="210" t="e">
        <f>_xlfn.XLOOKUP(_xlfn.CONCAT(Buildings_Water_Backend[[#This Row],[Level 1]:[Level 6]]),rng_EFConcat,rng_EFOOS)*Buildings_Water_Backend[[#This Row],[Converted data]]/1000</f>
        <v>#N/A</v>
      </c>
      <c r="AP325" s="174">
        <f>Buildings_Water_Frontend[[#This Row],[Ease of collection]]</f>
        <v>0</v>
      </c>
      <c r="AQ325" s="174">
        <f>Buildings_Water_Frontend[[#This Row],[Completeness]]</f>
        <v>0</v>
      </c>
      <c r="AR325" s="174">
        <f>Buildings_Water_Frontend[[#This Row],[Notes]]</f>
        <v>0</v>
      </c>
    </row>
    <row r="326" spans="5:44" x14ac:dyDescent="0.3">
      <c r="E326" s="346"/>
      <c r="F326" s="364"/>
      <c r="G326" s="336"/>
      <c r="H326" s="336"/>
      <c r="I326" s="334"/>
      <c r="J326" s="336"/>
      <c r="K326" s="336"/>
      <c r="L326" s="336"/>
      <c r="M326" s="337"/>
      <c r="N326" s="242">
        <f t="shared" si="9"/>
        <v>5</v>
      </c>
      <c r="Q326" s="212" t="str">
        <f t="shared" si="8"/>
        <v/>
      </c>
      <c r="R326" s="174" t="s">
        <v>265</v>
      </c>
      <c r="S326" s="174" t="s">
        <v>273</v>
      </c>
      <c r="T326" s="174" t="e">
        <f>_xlfn.XLOOKUP(Buildings_Water_Backend[[#This Row],[Info 1]],Buildings_SiteInfo[Site name],Buildings_SiteInfo[Site type])</f>
        <v>#N/A</v>
      </c>
      <c r="U326" s="174" t="s">
        <v>327</v>
      </c>
      <c r="V326" s="174">
        <f>Buildings_Water_Frontend[[#This Row],[Type]]</f>
        <v>0</v>
      </c>
      <c r="W326" s="174" t="e" cm="1">
        <f t="array" aca="1" ref="W326" ca="1">_xlfn.XLOOKUP(Buildings_Water_Backend[[#This Row],[Level 5]],rng_Level5Long,rng_Level6Long)</f>
        <v>#N/A</v>
      </c>
      <c r="X326" s="174">
        <f>Buildings_Water_Frontend[[#This Row],[Site Name]]</f>
        <v>0</v>
      </c>
      <c r="Y326" s="174">
        <f>Buildings_Water_Frontend[[#This Row],[Meter Reference]]</f>
        <v>0</v>
      </c>
      <c r="Z326" s="220">
        <f>Buildings_Water_Frontend[[#This Row],[Methodology]]</f>
        <v>0</v>
      </c>
      <c r="AA326" s="229" t="e" cm="1">
        <f t="array" ref="AA326">INDEX(_xlfn.SWITCH(Buildings_Water_Backend[[#This Row],[Methodology]],"Tier 1",rng_RSD1,"Tier 2",rng_RSD2,"Tier 3",rng_RSD3),MATCH(_xlfn.CONCAT(Buildings_Water_Backend[[#This Row],[Level 1]:[Level 6]]),rng_LevelsConcat,0))</f>
        <v>#N/A</v>
      </c>
      <c r="AB326" s="224">
        <f>Buildings_Water_Frontend[[#This Row],[Data]]</f>
        <v>0</v>
      </c>
      <c r="AC326" s="174">
        <f>Buildings_Water_Frontend[[#This Row],[Units]]</f>
        <v>0</v>
      </c>
      <c r="AD326" s="220" t="e">
        <f>IF(Buildings_Water_Backend[[#This Row],[Units]]=Buildings_Water_Backend[[#This Row],[Standard units]],Buildings_Water_Backend[[#This Row],[Data]],Buildings_Water_Backend[[#This Row],[Data]]*_xlfn.XLOOKUP(_xlfn.CONCAT(Buildings_Water_Backend[[#This Row],[Level 1]:[Level 6]]),rng_EFConcat,rng_EFConversion))</f>
        <v>#N/A</v>
      </c>
      <c r="AE326" s="174" t="e" cm="1">
        <f t="array" ref="AE326">_xlfn.XLOOKUP(_xlfn.CONCAT(Buildings_Water_Backend[[#This Row],[Level 1]:[Level 6]]),rng_LevelsConcat,rng_UnitsLong)</f>
        <v>#N/A</v>
      </c>
      <c r="AF326" s="210" t="e">
        <f>_xlfn.XLOOKUP(_xlfn.CONCAT(Buildings_Water_Backend[[#This Row],[Level 1]:[Level 6]]),rng_EFConcat,rng_EF1)*Buildings_Water_Backend[[#This Row],[Converted data]]/1000</f>
        <v>#N/A</v>
      </c>
      <c r="AG326" s="210" t="e">
        <f>_xlfn.XLOOKUP(_xlfn.CONCAT(Buildings_Water_Backend[[#This Row],[Level 1]:[Level 6]]),rng_EFConcat,rng_EF2)*Buildings_Water_Backend[[#This Row],[Converted data]]/1000</f>
        <v>#N/A</v>
      </c>
      <c r="AH326" s="210" t="e">
        <f>_xlfn.XLOOKUP(_xlfn.CONCAT(Buildings_Water_Backend[[#This Row],[Level 1]:[Level 6]]),rng_EFConcat,rng_EF3)*Buildings_Water_Backend[[#This Row],[Converted data]]/1000</f>
        <v>#N/A</v>
      </c>
      <c r="AI326" s="210" t="e">
        <f>_xlfn.XLOOKUP(_xlfn.CONCAT(Buildings_Water_Backend[[#This Row],[Level 1]:[Level 6]]),rng_EFConcat,rng_EF3WTT)*Buildings_Water_Backend[[#This Row],[Converted data]]/1000</f>
        <v>#N/A</v>
      </c>
      <c r="AJ326" s="210" t="e">
        <f>_xlfn.XLOOKUP(_xlfn.CONCAT(Buildings_Water_Backend[[#This Row],[Level 1]:[Level 6]]),rng_EFConcat,rng_EF3TD)*Buildings_Water_Backend[[#This Row],[Converted data]]/1000</f>
        <v>#N/A</v>
      </c>
      <c r="AK326" s="210" t="e">
        <f>_xlfn.XLOOKUP(_xlfn.CONCAT(Buildings_Water_Backend[[#This Row],[Level 1]:[Level 6]]),rng_EFConcat,rng_EF3WTTTD)*Buildings_Water_Backend[[#This Row],[Converted data]]/1000</f>
        <v>#N/A</v>
      </c>
      <c r="AL326" s="220" t="e">
        <f>SUM(Buildings_Water_Backend[[#This Row],[Scope 1 (tCO2e)]:[Scope 3 WTT T&amp;D (tCO2e)]])</f>
        <v>#N/A</v>
      </c>
      <c r="AM326" s="220" t="e">
        <f>Buildings_Water_Backend[[#This Row],[Total (tCO2e)]]*(1-Buildings_Water_Backend[[#This Row],[RSD]])</f>
        <v>#N/A</v>
      </c>
      <c r="AN326" s="220" t="e">
        <f>Buildings_Water_Backend[[#This Row],[Total (tCO2e)]]*(1+Buildings_Water_Backend[[#This Row],[RSD]])</f>
        <v>#N/A</v>
      </c>
      <c r="AO326" s="210" t="e">
        <f>_xlfn.XLOOKUP(_xlfn.CONCAT(Buildings_Water_Backend[[#This Row],[Level 1]:[Level 6]]),rng_EFConcat,rng_EFOOS)*Buildings_Water_Backend[[#This Row],[Converted data]]/1000</f>
        <v>#N/A</v>
      </c>
      <c r="AP326" s="174">
        <f>Buildings_Water_Frontend[[#This Row],[Ease of collection]]</f>
        <v>0</v>
      </c>
      <c r="AQ326" s="174">
        <f>Buildings_Water_Frontend[[#This Row],[Completeness]]</f>
        <v>0</v>
      </c>
      <c r="AR326" s="174">
        <f>Buildings_Water_Frontend[[#This Row],[Notes]]</f>
        <v>0</v>
      </c>
    </row>
    <row r="327" spans="5:44" x14ac:dyDescent="0.3">
      <c r="E327" s="346"/>
      <c r="F327" s="364"/>
      <c r="G327" s="336"/>
      <c r="H327" s="336"/>
      <c r="I327" s="334"/>
      <c r="J327" s="336"/>
      <c r="K327" s="336"/>
      <c r="L327" s="336"/>
      <c r="M327" s="337"/>
      <c r="N327" s="242">
        <f t="shared" si="9"/>
        <v>5</v>
      </c>
      <c r="Q327" s="212" t="str">
        <f t="shared" si="8"/>
        <v/>
      </c>
      <c r="R327" s="174" t="s">
        <v>265</v>
      </c>
      <c r="S327" s="174" t="s">
        <v>273</v>
      </c>
      <c r="T327" s="174" t="e">
        <f>_xlfn.XLOOKUP(Buildings_Water_Backend[[#This Row],[Info 1]],Buildings_SiteInfo[Site name],Buildings_SiteInfo[Site type])</f>
        <v>#N/A</v>
      </c>
      <c r="U327" s="174" t="s">
        <v>327</v>
      </c>
      <c r="V327" s="174">
        <f>Buildings_Water_Frontend[[#This Row],[Type]]</f>
        <v>0</v>
      </c>
      <c r="W327" s="174" t="e" cm="1">
        <f t="array" aca="1" ref="W327" ca="1">_xlfn.XLOOKUP(Buildings_Water_Backend[[#This Row],[Level 5]],rng_Level5Long,rng_Level6Long)</f>
        <v>#N/A</v>
      </c>
      <c r="X327" s="174">
        <f>Buildings_Water_Frontend[[#This Row],[Site Name]]</f>
        <v>0</v>
      </c>
      <c r="Y327" s="174">
        <f>Buildings_Water_Frontend[[#This Row],[Meter Reference]]</f>
        <v>0</v>
      </c>
      <c r="Z327" s="220">
        <f>Buildings_Water_Frontend[[#This Row],[Methodology]]</f>
        <v>0</v>
      </c>
      <c r="AA327" s="229" t="e" cm="1">
        <f t="array" ref="AA327">INDEX(_xlfn.SWITCH(Buildings_Water_Backend[[#This Row],[Methodology]],"Tier 1",rng_RSD1,"Tier 2",rng_RSD2,"Tier 3",rng_RSD3),MATCH(_xlfn.CONCAT(Buildings_Water_Backend[[#This Row],[Level 1]:[Level 6]]),rng_LevelsConcat,0))</f>
        <v>#N/A</v>
      </c>
      <c r="AB327" s="224">
        <f>Buildings_Water_Frontend[[#This Row],[Data]]</f>
        <v>0</v>
      </c>
      <c r="AC327" s="174">
        <f>Buildings_Water_Frontend[[#This Row],[Units]]</f>
        <v>0</v>
      </c>
      <c r="AD327" s="220" t="e">
        <f>IF(Buildings_Water_Backend[[#This Row],[Units]]=Buildings_Water_Backend[[#This Row],[Standard units]],Buildings_Water_Backend[[#This Row],[Data]],Buildings_Water_Backend[[#This Row],[Data]]*_xlfn.XLOOKUP(_xlfn.CONCAT(Buildings_Water_Backend[[#This Row],[Level 1]:[Level 6]]),rng_EFConcat,rng_EFConversion))</f>
        <v>#N/A</v>
      </c>
      <c r="AE327" s="174" t="e" cm="1">
        <f t="array" ref="AE327">_xlfn.XLOOKUP(_xlfn.CONCAT(Buildings_Water_Backend[[#This Row],[Level 1]:[Level 6]]),rng_LevelsConcat,rng_UnitsLong)</f>
        <v>#N/A</v>
      </c>
      <c r="AF327" s="210" t="e">
        <f>_xlfn.XLOOKUP(_xlfn.CONCAT(Buildings_Water_Backend[[#This Row],[Level 1]:[Level 6]]),rng_EFConcat,rng_EF1)*Buildings_Water_Backend[[#This Row],[Converted data]]/1000</f>
        <v>#N/A</v>
      </c>
      <c r="AG327" s="210" t="e">
        <f>_xlfn.XLOOKUP(_xlfn.CONCAT(Buildings_Water_Backend[[#This Row],[Level 1]:[Level 6]]),rng_EFConcat,rng_EF2)*Buildings_Water_Backend[[#This Row],[Converted data]]/1000</f>
        <v>#N/A</v>
      </c>
      <c r="AH327" s="210" t="e">
        <f>_xlfn.XLOOKUP(_xlfn.CONCAT(Buildings_Water_Backend[[#This Row],[Level 1]:[Level 6]]),rng_EFConcat,rng_EF3)*Buildings_Water_Backend[[#This Row],[Converted data]]/1000</f>
        <v>#N/A</v>
      </c>
      <c r="AI327" s="210" t="e">
        <f>_xlfn.XLOOKUP(_xlfn.CONCAT(Buildings_Water_Backend[[#This Row],[Level 1]:[Level 6]]),rng_EFConcat,rng_EF3WTT)*Buildings_Water_Backend[[#This Row],[Converted data]]/1000</f>
        <v>#N/A</v>
      </c>
      <c r="AJ327" s="210" t="e">
        <f>_xlfn.XLOOKUP(_xlfn.CONCAT(Buildings_Water_Backend[[#This Row],[Level 1]:[Level 6]]),rng_EFConcat,rng_EF3TD)*Buildings_Water_Backend[[#This Row],[Converted data]]/1000</f>
        <v>#N/A</v>
      </c>
      <c r="AK327" s="210" t="e">
        <f>_xlfn.XLOOKUP(_xlfn.CONCAT(Buildings_Water_Backend[[#This Row],[Level 1]:[Level 6]]),rng_EFConcat,rng_EF3WTTTD)*Buildings_Water_Backend[[#This Row],[Converted data]]/1000</f>
        <v>#N/A</v>
      </c>
      <c r="AL327" s="220" t="e">
        <f>SUM(Buildings_Water_Backend[[#This Row],[Scope 1 (tCO2e)]:[Scope 3 WTT T&amp;D (tCO2e)]])</f>
        <v>#N/A</v>
      </c>
      <c r="AM327" s="220" t="e">
        <f>Buildings_Water_Backend[[#This Row],[Total (tCO2e)]]*(1-Buildings_Water_Backend[[#This Row],[RSD]])</f>
        <v>#N/A</v>
      </c>
      <c r="AN327" s="220" t="e">
        <f>Buildings_Water_Backend[[#This Row],[Total (tCO2e)]]*(1+Buildings_Water_Backend[[#This Row],[RSD]])</f>
        <v>#N/A</v>
      </c>
      <c r="AO327" s="210" t="e">
        <f>_xlfn.XLOOKUP(_xlfn.CONCAT(Buildings_Water_Backend[[#This Row],[Level 1]:[Level 6]]),rng_EFConcat,rng_EFOOS)*Buildings_Water_Backend[[#This Row],[Converted data]]/1000</f>
        <v>#N/A</v>
      </c>
      <c r="AP327" s="174">
        <f>Buildings_Water_Frontend[[#This Row],[Ease of collection]]</f>
        <v>0</v>
      </c>
      <c r="AQ327" s="174">
        <f>Buildings_Water_Frontend[[#This Row],[Completeness]]</f>
        <v>0</v>
      </c>
      <c r="AR327" s="174">
        <f>Buildings_Water_Frontend[[#This Row],[Notes]]</f>
        <v>0</v>
      </c>
    </row>
    <row r="328" spans="5:44" x14ac:dyDescent="0.3">
      <c r="E328" s="346"/>
      <c r="F328" s="364"/>
      <c r="G328" s="336"/>
      <c r="H328" s="336"/>
      <c r="I328" s="334"/>
      <c r="J328" s="336"/>
      <c r="K328" s="336"/>
      <c r="L328" s="336"/>
      <c r="M328" s="337"/>
      <c r="N328" s="242">
        <f t="shared" si="9"/>
        <v>5</v>
      </c>
      <c r="Q328" s="212" t="str">
        <f t="shared" si="8"/>
        <v/>
      </c>
      <c r="R328" s="174" t="s">
        <v>265</v>
      </c>
      <c r="S328" s="174" t="s">
        <v>273</v>
      </c>
      <c r="T328" s="174" t="e">
        <f>_xlfn.XLOOKUP(Buildings_Water_Backend[[#This Row],[Info 1]],Buildings_SiteInfo[Site name],Buildings_SiteInfo[Site type])</f>
        <v>#N/A</v>
      </c>
      <c r="U328" s="174" t="s">
        <v>327</v>
      </c>
      <c r="V328" s="174">
        <f>Buildings_Water_Frontend[[#This Row],[Type]]</f>
        <v>0</v>
      </c>
      <c r="W328" s="174" t="e" cm="1">
        <f t="array" aca="1" ref="W328" ca="1">_xlfn.XLOOKUP(Buildings_Water_Backend[[#This Row],[Level 5]],rng_Level5Long,rng_Level6Long)</f>
        <v>#N/A</v>
      </c>
      <c r="X328" s="174">
        <f>Buildings_Water_Frontend[[#This Row],[Site Name]]</f>
        <v>0</v>
      </c>
      <c r="Y328" s="174">
        <f>Buildings_Water_Frontend[[#This Row],[Meter Reference]]</f>
        <v>0</v>
      </c>
      <c r="Z328" s="220">
        <f>Buildings_Water_Frontend[[#This Row],[Methodology]]</f>
        <v>0</v>
      </c>
      <c r="AA328" s="229" t="e" cm="1">
        <f t="array" ref="AA328">INDEX(_xlfn.SWITCH(Buildings_Water_Backend[[#This Row],[Methodology]],"Tier 1",rng_RSD1,"Tier 2",rng_RSD2,"Tier 3",rng_RSD3),MATCH(_xlfn.CONCAT(Buildings_Water_Backend[[#This Row],[Level 1]:[Level 6]]),rng_LevelsConcat,0))</f>
        <v>#N/A</v>
      </c>
      <c r="AB328" s="224">
        <f>Buildings_Water_Frontend[[#This Row],[Data]]</f>
        <v>0</v>
      </c>
      <c r="AC328" s="174">
        <f>Buildings_Water_Frontend[[#This Row],[Units]]</f>
        <v>0</v>
      </c>
      <c r="AD328" s="220" t="e">
        <f>IF(Buildings_Water_Backend[[#This Row],[Units]]=Buildings_Water_Backend[[#This Row],[Standard units]],Buildings_Water_Backend[[#This Row],[Data]],Buildings_Water_Backend[[#This Row],[Data]]*_xlfn.XLOOKUP(_xlfn.CONCAT(Buildings_Water_Backend[[#This Row],[Level 1]:[Level 6]]),rng_EFConcat,rng_EFConversion))</f>
        <v>#N/A</v>
      </c>
      <c r="AE328" s="174" t="e" cm="1">
        <f t="array" ref="AE328">_xlfn.XLOOKUP(_xlfn.CONCAT(Buildings_Water_Backend[[#This Row],[Level 1]:[Level 6]]),rng_LevelsConcat,rng_UnitsLong)</f>
        <v>#N/A</v>
      </c>
      <c r="AF328" s="210" t="e">
        <f>_xlfn.XLOOKUP(_xlfn.CONCAT(Buildings_Water_Backend[[#This Row],[Level 1]:[Level 6]]),rng_EFConcat,rng_EF1)*Buildings_Water_Backend[[#This Row],[Converted data]]/1000</f>
        <v>#N/A</v>
      </c>
      <c r="AG328" s="210" t="e">
        <f>_xlfn.XLOOKUP(_xlfn.CONCAT(Buildings_Water_Backend[[#This Row],[Level 1]:[Level 6]]),rng_EFConcat,rng_EF2)*Buildings_Water_Backend[[#This Row],[Converted data]]/1000</f>
        <v>#N/A</v>
      </c>
      <c r="AH328" s="210" t="e">
        <f>_xlfn.XLOOKUP(_xlfn.CONCAT(Buildings_Water_Backend[[#This Row],[Level 1]:[Level 6]]),rng_EFConcat,rng_EF3)*Buildings_Water_Backend[[#This Row],[Converted data]]/1000</f>
        <v>#N/A</v>
      </c>
      <c r="AI328" s="210" t="e">
        <f>_xlfn.XLOOKUP(_xlfn.CONCAT(Buildings_Water_Backend[[#This Row],[Level 1]:[Level 6]]),rng_EFConcat,rng_EF3WTT)*Buildings_Water_Backend[[#This Row],[Converted data]]/1000</f>
        <v>#N/A</v>
      </c>
      <c r="AJ328" s="210" t="e">
        <f>_xlfn.XLOOKUP(_xlfn.CONCAT(Buildings_Water_Backend[[#This Row],[Level 1]:[Level 6]]),rng_EFConcat,rng_EF3TD)*Buildings_Water_Backend[[#This Row],[Converted data]]/1000</f>
        <v>#N/A</v>
      </c>
      <c r="AK328" s="210" t="e">
        <f>_xlfn.XLOOKUP(_xlfn.CONCAT(Buildings_Water_Backend[[#This Row],[Level 1]:[Level 6]]),rng_EFConcat,rng_EF3WTTTD)*Buildings_Water_Backend[[#This Row],[Converted data]]/1000</f>
        <v>#N/A</v>
      </c>
      <c r="AL328" s="220" t="e">
        <f>SUM(Buildings_Water_Backend[[#This Row],[Scope 1 (tCO2e)]:[Scope 3 WTT T&amp;D (tCO2e)]])</f>
        <v>#N/A</v>
      </c>
      <c r="AM328" s="220" t="e">
        <f>Buildings_Water_Backend[[#This Row],[Total (tCO2e)]]*(1-Buildings_Water_Backend[[#This Row],[RSD]])</f>
        <v>#N/A</v>
      </c>
      <c r="AN328" s="220" t="e">
        <f>Buildings_Water_Backend[[#This Row],[Total (tCO2e)]]*(1+Buildings_Water_Backend[[#This Row],[RSD]])</f>
        <v>#N/A</v>
      </c>
      <c r="AO328" s="210" t="e">
        <f>_xlfn.XLOOKUP(_xlfn.CONCAT(Buildings_Water_Backend[[#This Row],[Level 1]:[Level 6]]),rng_EFConcat,rng_EFOOS)*Buildings_Water_Backend[[#This Row],[Converted data]]/1000</f>
        <v>#N/A</v>
      </c>
      <c r="AP328" s="174">
        <f>Buildings_Water_Frontend[[#This Row],[Ease of collection]]</f>
        <v>0</v>
      </c>
      <c r="AQ328" s="174">
        <f>Buildings_Water_Frontend[[#This Row],[Completeness]]</f>
        <v>0</v>
      </c>
      <c r="AR328" s="174">
        <f>Buildings_Water_Frontend[[#This Row],[Notes]]</f>
        <v>0</v>
      </c>
    </row>
    <row r="329" spans="5:44" x14ac:dyDescent="0.3">
      <c r="E329" s="346"/>
      <c r="F329" s="364"/>
      <c r="G329" s="336"/>
      <c r="H329" s="336"/>
      <c r="I329" s="334"/>
      <c r="J329" s="336"/>
      <c r="K329" s="336"/>
      <c r="L329" s="336"/>
      <c r="M329" s="337"/>
      <c r="N329" s="242">
        <f t="shared" si="9"/>
        <v>5</v>
      </c>
      <c r="Q329" s="212" t="str">
        <f t="shared" si="8"/>
        <v/>
      </c>
      <c r="R329" s="174" t="s">
        <v>265</v>
      </c>
      <c r="S329" s="174" t="s">
        <v>273</v>
      </c>
      <c r="T329" s="174" t="e">
        <f>_xlfn.XLOOKUP(Buildings_Water_Backend[[#This Row],[Info 1]],Buildings_SiteInfo[Site name],Buildings_SiteInfo[Site type])</f>
        <v>#N/A</v>
      </c>
      <c r="U329" s="174" t="s">
        <v>327</v>
      </c>
      <c r="V329" s="174">
        <f>Buildings_Water_Frontend[[#This Row],[Type]]</f>
        <v>0</v>
      </c>
      <c r="W329" s="174" t="e" cm="1">
        <f t="array" aca="1" ref="W329" ca="1">_xlfn.XLOOKUP(Buildings_Water_Backend[[#This Row],[Level 5]],rng_Level5Long,rng_Level6Long)</f>
        <v>#N/A</v>
      </c>
      <c r="X329" s="174">
        <f>Buildings_Water_Frontend[[#This Row],[Site Name]]</f>
        <v>0</v>
      </c>
      <c r="Y329" s="174">
        <f>Buildings_Water_Frontend[[#This Row],[Meter Reference]]</f>
        <v>0</v>
      </c>
      <c r="Z329" s="220">
        <f>Buildings_Water_Frontend[[#This Row],[Methodology]]</f>
        <v>0</v>
      </c>
      <c r="AA329" s="229" t="e" cm="1">
        <f t="array" ref="AA329">INDEX(_xlfn.SWITCH(Buildings_Water_Backend[[#This Row],[Methodology]],"Tier 1",rng_RSD1,"Tier 2",rng_RSD2,"Tier 3",rng_RSD3),MATCH(_xlfn.CONCAT(Buildings_Water_Backend[[#This Row],[Level 1]:[Level 6]]),rng_LevelsConcat,0))</f>
        <v>#N/A</v>
      </c>
      <c r="AB329" s="224">
        <f>Buildings_Water_Frontend[[#This Row],[Data]]</f>
        <v>0</v>
      </c>
      <c r="AC329" s="174">
        <f>Buildings_Water_Frontend[[#This Row],[Units]]</f>
        <v>0</v>
      </c>
      <c r="AD329" s="220" t="e">
        <f>IF(Buildings_Water_Backend[[#This Row],[Units]]=Buildings_Water_Backend[[#This Row],[Standard units]],Buildings_Water_Backend[[#This Row],[Data]],Buildings_Water_Backend[[#This Row],[Data]]*_xlfn.XLOOKUP(_xlfn.CONCAT(Buildings_Water_Backend[[#This Row],[Level 1]:[Level 6]]),rng_EFConcat,rng_EFConversion))</f>
        <v>#N/A</v>
      </c>
      <c r="AE329" s="174" t="e" cm="1">
        <f t="array" ref="AE329">_xlfn.XLOOKUP(_xlfn.CONCAT(Buildings_Water_Backend[[#This Row],[Level 1]:[Level 6]]),rng_LevelsConcat,rng_UnitsLong)</f>
        <v>#N/A</v>
      </c>
      <c r="AF329" s="210" t="e">
        <f>_xlfn.XLOOKUP(_xlfn.CONCAT(Buildings_Water_Backend[[#This Row],[Level 1]:[Level 6]]),rng_EFConcat,rng_EF1)*Buildings_Water_Backend[[#This Row],[Converted data]]/1000</f>
        <v>#N/A</v>
      </c>
      <c r="AG329" s="210" t="e">
        <f>_xlfn.XLOOKUP(_xlfn.CONCAT(Buildings_Water_Backend[[#This Row],[Level 1]:[Level 6]]),rng_EFConcat,rng_EF2)*Buildings_Water_Backend[[#This Row],[Converted data]]/1000</f>
        <v>#N/A</v>
      </c>
      <c r="AH329" s="210" t="e">
        <f>_xlfn.XLOOKUP(_xlfn.CONCAT(Buildings_Water_Backend[[#This Row],[Level 1]:[Level 6]]),rng_EFConcat,rng_EF3)*Buildings_Water_Backend[[#This Row],[Converted data]]/1000</f>
        <v>#N/A</v>
      </c>
      <c r="AI329" s="210" t="e">
        <f>_xlfn.XLOOKUP(_xlfn.CONCAT(Buildings_Water_Backend[[#This Row],[Level 1]:[Level 6]]),rng_EFConcat,rng_EF3WTT)*Buildings_Water_Backend[[#This Row],[Converted data]]/1000</f>
        <v>#N/A</v>
      </c>
      <c r="AJ329" s="210" t="e">
        <f>_xlfn.XLOOKUP(_xlfn.CONCAT(Buildings_Water_Backend[[#This Row],[Level 1]:[Level 6]]),rng_EFConcat,rng_EF3TD)*Buildings_Water_Backend[[#This Row],[Converted data]]/1000</f>
        <v>#N/A</v>
      </c>
      <c r="AK329" s="210" t="e">
        <f>_xlfn.XLOOKUP(_xlfn.CONCAT(Buildings_Water_Backend[[#This Row],[Level 1]:[Level 6]]),rng_EFConcat,rng_EF3WTTTD)*Buildings_Water_Backend[[#This Row],[Converted data]]/1000</f>
        <v>#N/A</v>
      </c>
      <c r="AL329" s="220" t="e">
        <f>SUM(Buildings_Water_Backend[[#This Row],[Scope 1 (tCO2e)]:[Scope 3 WTT T&amp;D (tCO2e)]])</f>
        <v>#N/A</v>
      </c>
      <c r="AM329" s="220" t="e">
        <f>Buildings_Water_Backend[[#This Row],[Total (tCO2e)]]*(1-Buildings_Water_Backend[[#This Row],[RSD]])</f>
        <v>#N/A</v>
      </c>
      <c r="AN329" s="220" t="e">
        <f>Buildings_Water_Backend[[#This Row],[Total (tCO2e)]]*(1+Buildings_Water_Backend[[#This Row],[RSD]])</f>
        <v>#N/A</v>
      </c>
      <c r="AO329" s="210" t="e">
        <f>_xlfn.XLOOKUP(_xlfn.CONCAT(Buildings_Water_Backend[[#This Row],[Level 1]:[Level 6]]),rng_EFConcat,rng_EFOOS)*Buildings_Water_Backend[[#This Row],[Converted data]]/1000</f>
        <v>#N/A</v>
      </c>
      <c r="AP329" s="174">
        <f>Buildings_Water_Frontend[[#This Row],[Ease of collection]]</f>
        <v>0</v>
      </c>
      <c r="AQ329" s="174">
        <f>Buildings_Water_Frontend[[#This Row],[Completeness]]</f>
        <v>0</v>
      </c>
      <c r="AR329" s="174">
        <f>Buildings_Water_Frontend[[#This Row],[Notes]]</f>
        <v>0</v>
      </c>
    </row>
    <row r="330" spans="5:44" x14ac:dyDescent="0.3">
      <c r="E330" s="346"/>
      <c r="F330" s="364"/>
      <c r="G330" s="336"/>
      <c r="H330" s="336"/>
      <c r="I330" s="334"/>
      <c r="J330" s="336"/>
      <c r="K330" s="336"/>
      <c r="L330" s="336"/>
      <c r="M330" s="337"/>
      <c r="N330" s="242">
        <f t="shared" si="9"/>
        <v>5</v>
      </c>
      <c r="Q330" s="212" t="str">
        <f t="shared" si="8"/>
        <v/>
      </c>
      <c r="R330" s="174" t="s">
        <v>265</v>
      </c>
      <c r="S330" s="174" t="s">
        <v>273</v>
      </c>
      <c r="T330" s="174" t="e">
        <f>_xlfn.XLOOKUP(Buildings_Water_Backend[[#This Row],[Info 1]],Buildings_SiteInfo[Site name],Buildings_SiteInfo[Site type])</f>
        <v>#N/A</v>
      </c>
      <c r="U330" s="174" t="s">
        <v>327</v>
      </c>
      <c r="V330" s="174">
        <f>Buildings_Water_Frontend[[#This Row],[Type]]</f>
        <v>0</v>
      </c>
      <c r="W330" s="174" t="e" cm="1">
        <f t="array" aca="1" ref="W330" ca="1">_xlfn.XLOOKUP(Buildings_Water_Backend[[#This Row],[Level 5]],rng_Level5Long,rng_Level6Long)</f>
        <v>#N/A</v>
      </c>
      <c r="X330" s="174">
        <f>Buildings_Water_Frontend[[#This Row],[Site Name]]</f>
        <v>0</v>
      </c>
      <c r="Y330" s="174">
        <f>Buildings_Water_Frontend[[#This Row],[Meter Reference]]</f>
        <v>0</v>
      </c>
      <c r="Z330" s="220">
        <f>Buildings_Water_Frontend[[#This Row],[Methodology]]</f>
        <v>0</v>
      </c>
      <c r="AA330" s="229" t="e" cm="1">
        <f t="array" ref="AA330">INDEX(_xlfn.SWITCH(Buildings_Water_Backend[[#This Row],[Methodology]],"Tier 1",rng_RSD1,"Tier 2",rng_RSD2,"Tier 3",rng_RSD3),MATCH(_xlfn.CONCAT(Buildings_Water_Backend[[#This Row],[Level 1]:[Level 6]]),rng_LevelsConcat,0))</f>
        <v>#N/A</v>
      </c>
      <c r="AB330" s="224">
        <f>Buildings_Water_Frontend[[#This Row],[Data]]</f>
        <v>0</v>
      </c>
      <c r="AC330" s="174">
        <f>Buildings_Water_Frontend[[#This Row],[Units]]</f>
        <v>0</v>
      </c>
      <c r="AD330" s="220" t="e">
        <f>IF(Buildings_Water_Backend[[#This Row],[Units]]=Buildings_Water_Backend[[#This Row],[Standard units]],Buildings_Water_Backend[[#This Row],[Data]],Buildings_Water_Backend[[#This Row],[Data]]*_xlfn.XLOOKUP(_xlfn.CONCAT(Buildings_Water_Backend[[#This Row],[Level 1]:[Level 6]]),rng_EFConcat,rng_EFConversion))</f>
        <v>#N/A</v>
      </c>
      <c r="AE330" s="174" t="e" cm="1">
        <f t="array" ref="AE330">_xlfn.XLOOKUP(_xlfn.CONCAT(Buildings_Water_Backend[[#This Row],[Level 1]:[Level 6]]),rng_LevelsConcat,rng_UnitsLong)</f>
        <v>#N/A</v>
      </c>
      <c r="AF330" s="210" t="e">
        <f>_xlfn.XLOOKUP(_xlfn.CONCAT(Buildings_Water_Backend[[#This Row],[Level 1]:[Level 6]]),rng_EFConcat,rng_EF1)*Buildings_Water_Backend[[#This Row],[Converted data]]/1000</f>
        <v>#N/A</v>
      </c>
      <c r="AG330" s="210" t="e">
        <f>_xlfn.XLOOKUP(_xlfn.CONCAT(Buildings_Water_Backend[[#This Row],[Level 1]:[Level 6]]),rng_EFConcat,rng_EF2)*Buildings_Water_Backend[[#This Row],[Converted data]]/1000</f>
        <v>#N/A</v>
      </c>
      <c r="AH330" s="210" t="e">
        <f>_xlfn.XLOOKUP(_xlfn.CONCAT(Buildings_Water_Backend[[#This Row],[Level 1]:[Level 6]]),rng_EFConcat,rng_EF3)*Buildings_Water_Backend[[#This Row],[Converted data]]/1000</f>
        <v>#N/A</v>
      </c>
      <c r="AI330" s="210" t="e">
        <f>_xlfn.XLOOKUP(_xlfn.CONCAT(Buildings_Water_Backend[[#This Row],[Level 1]:[Level 6]]),rng_EFConcat,rng_EF3WTT)*Buildings_Water_Backend[[#This Row],[Converted data]]/1000</f>
        <v>#N/A</v>
      </c>
      <c r="AJ330" s="210" t="e">
        <f>_xlfn.XLOOKUP(_xlfn.CONCAT(Buildings_Water_Backend[[#This Row],[Level 1]:[Level 6]]),rng_EFConcat,rng_EF3TD)*Buildings_Water_Backend[[#This Row],[Converted data]]/1000</f>
        <v>#N/A</v>
      </c>
      <c r="AK330" s="210" t="e">
        <f>_xlfn.XLOOKUP(_xlfn.CONCAT(Buildings_Water_Backend[[#This Row],[Level 1]:[Level 6]]),rng_EFConcat,rng_EF3WTTTD)*Buildings_Water_Backend[[#This Row],[Converted data]]/1000</f>
        <v>#N/A</v>
      </c>
      <c r="AL330" s="220" t="e">
        <f>SUM(Buildings_Water_Backend[[#This Row],[Scope 1 (tCO2e)]:[Scope 3 WTT T&amp;D (tCO2e)]])</f>
        <v>#N/A</v>
      </c>
      <c r="AM330" s="220" t="e">
        <f>Buildings_Water_Backend[[#This Row],[Total (tCO2e)]]*(1-Buildings_Water_Backend[[#This Row],[RSD]])</f>
        <v>#N/A</v>
      </c>
      <c r="AN330" s="220" t="e">
        <f>Buildings_Water_Backend[[#This Row],[Total (tCO2e)]]*(1+Buildings_Water_Backend[[#This Row],[RSD]])</f>
        <v>#N/A</v>
      </c>
      <c r="AO330" s="210" t="e">
        <f>_xlfn.XLOOKUP(_xlfn.CONCAT(Buildings_Water_Backend[[#This Row],[Level 1]:[Level 6]]),rng_EFConcat,rng_EFOOS)*Buildings_Water_Backend[[#This Row],[Converted data]]/1000</f>
        <v>#N/A</v>
      </c>
      <c r="AP330" s="174">
        <f>Buildings_Water_Frontend[[#This Row],[Ease of collection]]</f>
        <v>0</v>
      </c>
      <c r="AQ330" s="174">
        <f>Buildings_Water_Frontend[[#This Row],[Completeness]]</f>
        <v>0</v>
      </c>
      <c r="AR330" s="174">
        <f>Buildings_Water_Frontend[[#This Row],[Notes]]</f>
        <v>0</v>
      </c>
    </row>
    <row r="331" spans="5:44" x14ac:dyDescent="0.3">
      <c r="E331" s="346"/>
      <c r="F331" s="364"/>
      <c r="G331" s="336"/>
      <c r="H331" s="336"/>
      <c r="I331" s="334"/>
      <c r="J331" s="336"/>
      <c r="K331" s="336"/>
      <c r="L331" s="336"/>
      <c r="M331" s="337"/>
      <c r="N331" s="242">
        <f t="shared" si="9"/>
        <v>5</v>
      </c>
      <c r="Q331" s="212" t="str">
        <f t="shared" si="8"/>
        <v/>
      </c>
      <c r="R331" s="174" t="s">
        <v>265</v>
      </c>
      <c r="S331" s="174" t="s">
        <v>273</v>
      </c>
      <c r="T331" s="174" t="e">
        <f>_xlfn.XLOOKUP(Buildings_Water_Backend[[#This Row],[Info 1]],Buildings_SiteInfo[Site name],Buildings_SiteInfo[Site type])</f>
        <v>#N/A</v>
      </c>
      <c r="U331" s="174" t="s">
        <v>327</v>
      </c>
      <c r="V331" s="174">
        <f>Buildings_Water_Frontend[[#This Row],[Type]]</f>
        <v>0</v>
      </c>
      <c r="W331" s="174" t="e" cm="1">
        <f t="array" aca="1" ref="W331" ca="1">_xlfn.XLOOKUP(Buildings_Water_Backend[[#This Row],[Level 5]],rng_Level5Long,rng_Level6Long)</f>
        <v>#N/A</v>
      </c>
      <c r="X331" s="174">
        <f>Buildings_Water_Frontend[[#This Row],[Site Name]]</f>
        <v>0</v>
      </c>
      <c r="Y331" s="174">
        <f>Buildings_Water_Frontend[[#This Row],[Meter Reference]]</f>
        <v>0</v>
      </c>
      <c r="Z331" s="220">
        <f>Buildings_Water_Frontend[[#This Row],[Methodology]]</f>
        <v>0</v>
      </c>
      <c r="AA331" s="229" t="e" cm="1">
        <f t="array" ref="AA331">INDEX(_xlfn.SWITCH(Buildings_Water_Backend[[#This Row],[Methodology]],"Tier 1",rng_RSD1,"Tier 2",rng_RSD2,"Tier 3",rng_RSD3),MATCH(_xlfn.CONCAT(Buildings_Water_Backend[[#This Row],[Level 1]:[Level 6]]),rng_LevelsConcat,0))</f>
        <v>#N/A</v>
      </c>
      <c r="AB331" s="224">
        <f>Buildings_Water_Frontend[[#This Row],[Data]]</f>
        <v>0</v>
      </c>
      <c r="AC331" s="174">
        <f>Buildings_Water_Frontend[[#This Row],[Units]]</f>
        <v>0</v>
      </c>
      <c r="AD331" s="220" t="e">
        <f>IF(Buildings_Water_Backend[[#This Row],[Units]]=Buildings_Water_Backend[[#This Row],[Standard units]],Buildings_Water_Backend[[#This Row],[Data]],Buildings_Water_Backend[[#This Row],[Data]]*_xlfn.XLOOKUP(_xlfn.CONCAT(Buildings_Water_Backend[[#This Row],[Level 1]:[Level 6]]),rng_EFConcat,rng_EFConversion))</f>
        <v>#N/A</v>
      </c>
      <c r="AE331" s="174" t="e" cm="1">
        <f t="array" ref="AE331">_xlfn.XLOOKUP(_xlfn.CONCAT(Buildings_Water_Backend[[#This Row],[Level 1]:[Level 6]]),rng_LevelsConcat,rng_UnitsLong)</f>
        <v>#N/A</v>
      </c>
      <c r="AF331" s="210" t="e">
        <f>_xlfn.XLOOKUP(_xlfn.CONCAT(Buildings_Water_Backend[[#This Row],[Level 1]:[Level 6]]),rng_EFConcat,rng_EF1)*Buildings_Water_Backend[[#This Row],[Converted data]]/1000</f>
        <v>#N/A</v>
      </c>
      <c r="AG331" s="210" t="e">
        <f>_xlfn.XLOOKUP(_xlfn.CONCAT(Buildings_Water_Backend[[#This Row],[Level 1]:[Level 6]]),rng_EFConcat,rng_EF2)*Buildings_Water_Backend[[#This Row],[Converted data]]/1000</f>
        <v>#N/A</v>
      </c>
      <c r="AH331" s="210" t="e">
        <f>_xlfn.XLOOKUP(_xlfn.CONCAT(Buildings_Water_Backend[[#This Row],[Level 1]:[Level 6]]),rng_EFConcat,rng_EF3)*Buildings_Water_Backend[[#This Row],[Converted data]]/1000</f>
        <v>#N/A</v>
      </c>
      <c r="AI331" s="210" t="e">
        <f>_xlfn.XLOOKUP(_xlfn.CONCAT(Buildings_Water_Backend[[#This Row],[Level 1]:[Level 6]]),rng_EFConcat,rng_EF3WTT)*Buildings_Water_Backend[[#This Row],[Converted data]]/1000</f>
        <v>#N/A</v>
      </c>
      <c r="AJ331" s="210" t="e">
        <f>_xlfn.XLOOKUP(_xlfn.CONCAT(Buildings_Water_Backend[[#This Row],[Level 1]:[Level 6]]),rng_EFConcat,rng_EF3TD)*Buildings_Water_Backend[[#This Row],[Converted data]]/1000</f>
        <v>#N/A</v>
      </c>
      <c r="AK331" s="210" t="e">
        <f>_xlfn.XLOOKUP(_xlfn.CONCAT(Buildings_Water_Backend[[#This Row],[Level 1]:[Level 6]]),rng_EFConcat,rng_EF3WTTTD)*Buildings_Water_Backend[[#This Row],[Converted data]]/1000</f>
        <v>#N/A</v>
      </c>
      <c r="AL331" s="220" t="e">
        <f>SUM(Buildings_Water_Backend[[#This Row],[Scope 1 (tCO2e)]:[Scope 3 WTT T&amp;D (tCO2e)]])</f>
        <v>#N/A</v>
      </c>
      <c r="AM331" s="220" t="e">
        <f>Buildings_Water_Backend[[#This Row],[Total (tCO2e)]]*(1-Buildings_Water_Backend[[#This Row],[RSD]])</f>
        <v>#N/A</v>
      </c>
      <c r="AN331" s="220" t="e">
        <f>Buildings_Water_Backend[[#This Row],[Total (tCO2e)]]*(1+Buildings_Water_Backend[[#This Row],[RSD]])</f>
        <v>#N/A</v>
      </c>
      <c r="AO331" s="210" t="e">
        <f>_xlfn.XLOOKUP(_xlfn.CONCAT(Buildings_Water_Backend[[#This Row],[Level 1]:[Level 6]]),rng_EFConcat,rng_EFOOS)*Buildings_Water_Backend[[#This Row],[Converted data]]/1000</f>
        <v>#N/A</v>
      </c>
      <c r="AP331" s="174">
        <f>Buildings_Water_Frontend[[#This Row],[Ease of collection]]</f>
        <v>0</v>
      </c>
      <c r="AQ331" s="174">
        <f>Buildings_Water_Frontend[[#This Row],[Completeness]]</f>
        <v>0</v>
      </c>
      <c r="AR331" s="174">
        <f>Buildings_Water_Frontend[[#This Row],[Notes]]</f>
        <v>0</v>
      </c>
    </row>
    <row r="332" spans="5:44" x14ac:dyDescent="0.3">
      <c r="E332" s="346"/>
      <c r="F332" s="364"/>
      <c r="G332" s="336"/>
      <c r="H332" s="336"/>
      <c r="I332" s="334"/>
      <c r="J332" s="336"/>
      <c r="K332" s="336"/>
      <c r="L332" s="336"/>
      <c r="M332" s="337"/>
      <c r="N332" s="242">
        <f t="shared" si="9"/>
        <v>5</v>
      </c>
      <c r="Q332" s="212" t="str">
        <f t="shared" si="8"/>
        <v/>
      </c>
      <c r="R332" s="174" t="s">
        <v>265</v>
      </c>
      <c r="S332" s="174" t="s">
        <v>273</v>
      </c>
      <c r="T332" s="174" t="e">
        <f>_xlfn.XLOOKUP(Buildings_Water_Backend[[#This Row],[Info 1]],Buildings_SiteInfo[Site name],Buildings_SiteInfo[Site type])</f>
        <v>#N/A</v>
      </c>
      <c r="U332" s="174" t="s">
        <v>327</v>
      </c>
      <c r="V332" s="174">
        <f>Buildings_Water_Frontend[[#This Row],[Type]]</f>
        <v>0</v>
      </c>
      <c r="W332" s="174" t="e" cm="1">
        <f t="array" aca="1" ref="W332" ca="1">_xlfn.XLOOKUP(Buildings_Water_Backend[[#This Row],[Level 5]],rng_Level5Long,rng_Level6Long)</f>
        <v>#N/A</v>
      </c>
      <c r="X332" s="174">
        <f>Buildings_Water_Frontend[[#This Row],[Site Name]]</f>
        <v>0</v>
      </c>
      <c r="Y332" s="174">
        <f>Buildings_Water_Frontend[[#This Row],[Meter Reference]]</f>
        <v>0</v>
      </c>
      <c r="Z332" s="220">
        <f>Buildings_Water_Frontend[[#This Row],[Methodology]]</f>
        <v>0</v>
      </c>
      <c r="AA332" s="229" t="e" cm="1">
        <f t="array" ref="AA332">INDEX(_xlfn.SWITCH(Buildings_Water_Backend[[#This Row],[Methodology]],"Tier 1",rng_RSD1,"Tier 2",rng_RSD2,"Tier 3",rng_RSD3),MATCH(_xlfn.CONCAT(Buildings_Water_Backend[[#This Row],[Level 1]:[Level 6]]),rng_LevelsConcat,0))</f>
        <v>#N/A</v>
      </c>
      <c r="AB332" s="224">
        <f>Buildings_Water_Frontend[[#This Row],[Data]]</f>
        <v>0</v>
      </c>
      <c r="AC332" s="174">
        <f>Buildings_Water_Frontend[[#This Row],[Units]]</f>
        <v>0</v>
      </c>
      <c r="AD332" s="220" t="e">
        <f>IF(Buildings_Water_Backend[[#This Row],[Units]]=Buildings_Water_Backend[[#This Row],[Standard units]],Buildings_Water_Backend[[#This Row],[Data]],Buildings_Water_Backend[[#This Row],[Data]]*_xlfn.XLOOKUP(_xlfn.CONCAT(Buildings_Water_Backend[[#This Row],[Level 1]:[Level 6]]),rng_EFConcat,rng_EFConversion))</f>
        <v>#N/A</v>
      </c>
      <c r="AE332" s="174" t="e" cm="1">
        <f t="array" ref="AE332">_xlfn.XLOOKUP(_xlfn.CONCAT(Buildings_Water_Backend[[#This Row],[Level 1]:[Level 6]]),rng_LevelsConcat,rng_UnitsLong)</f>
        <v>#N/A</v>
      </c>
      <c r="AF332" s="210" t="e">
        <f>_xlfn.XLOOKUP(_xlfn.CONCAT(Buildings_Water_Backend[[#This Row],[Level 1]:[Level 6]]),rng_EFConcat,rng_EF1)*Buildings_Water_Backend[[#This Row],[Converted data]]/1000</f>
        <v>#N/A</v>
      </c>
      <c r="AG332" s="210" t="e">
        <f>_xlfn.XLOOKUP(_xlfn.CONCAT(Buildings_Water_Backend[[#This Row],[Level 1]:[Level 6]]),rng_EFConcat,rng_EF2)*Buildings_Water_Backend[[#This Row],[Converted data]]/1000</f>
        <v>#N/A</v>
      </c>
      <c r="AH332" s="210" t="e">
        <f>_xlfn.XLOOKUP(_xlfn.CONCAT(Buildings_Water_Backend[[#This Row],[Level 1]:[Level 6]]),rng_EFConcat,rng_EF3)*Buildings_Water_Backend[[#This Row],[Converted data]]/1000</f>
        <v>#N/A</v>
      </c>
      <c r="AI332" s="210" t="e">
        <f>_xlfn.XLOOKUP(_xlfn.CONCAT(Buildings_Water_Backend[[#This Row],[Level 1]:[Level 6]]),rng_EFConcat,rng_EF3WTT)*Buildings_Water_Backend[[#This Row],[Converted data]]/1000</f>
        <v>#N/A</v>
      </c>
      <c r="AJ332" s="210" t="e">
        <f>_xlfn.XLOOKUP(_xlfn.CONCAT(Buildings_Water_Backend[[#This Row],[Level 1]:[Level 6]]),rng_EFConcat,rng_EF3TD)*Buildings_Water_Backend[[#This Row],[Converted data]]/1000</f>
        <v>#N/A</v>
      </c>
      <c r="AK332" s="210" t="e">
        <f>_xlfn.XLOOKUP(_xlfn.CONCAT(Buildings_Water_Backend[[#This Row],[Level 1]:[Level 6]]),rng_EFConcat,rng_EF3WTTTD)*Buildings_Water_Backend[[#This Row],[Converted data]]/1000</f>
        <v>#N/A</v>
      </c>
      <c r="AL332" s="220" t="e">
        <f>SUM(Buildings_Water_Backend[[#This Row],[Scope 1 (tCO2e)]:[Scope 3 WTT T&amp;D (tCO2e)]])</f>
        <v>#N/A</v>
      </c>
      <c r="AM332" s="220" t="e">
        <f>Buildings_Water_Backend[[#This Row],[Total (tCO2e)]]*(1-Buildings_Water_Backend[[#This Row],[RSD]])</f>
        <v>#N/A</v>
      </c>
      <c r="AN332" s="220" t="e">
        <f>Buildings_Water_Backend[[#This Row],[Total (tCO2e)]]*(1+Buildings_Water_Backend[[#This Row],[RSD]])</f>
        <v>#N/A</v>
      </c>
      <c r="AO332" s="210" t="e">
        <f>_xlfn.XLOOKUP(_xlfn.CONCAT(Buildings_Water_Backend[[#This Row],[Level 1]:[Level 6]]),rng_EFConcat,rng_EFOOS)*Buildings_Water_Backend[[#This Row],[Converted data]]/1000</f>
        <v>#N/A</v>
      </c>
      <c r="AP332" s="174">
        <f>Buildings_Water_Frontend[[#This Row],[Ease of collection]]</f>
        <v>0</v>
      </c>
      <c r="AQ332" s="174">
        <f>Buildings_Water_Frontend[[#This Row],[Completeness]]</f>
        <v>0</v>
      </c>
      <c r="AR332" s="174">
        <f>Buildings_Water_Frontend[[#This Row],[Notes]]</f>
        <v>0</v>
      </c>
    </row>
    <row r="333" spans="5:44" x14ac:dyDescent="0.3">
      <c r="E333" s="346"/>
      <c r="F333" s="364"/>
      <c r="G333" s="336"/>
      <c r="H333" s="336"/>
      <c r="I333" s="334"/>
      <c r="J333" s="336"/>
      <c r="K333" s="336"/>
      <c r="L333" s="336"/>
      <c r="M333" s="337"/>
      <c r="N333" s="242">
        <f t="shared" si="9"/>
        <v>5</v>
      </c>
      <c r="Q333" s="212" t="str">
        <f t="shared" si="8"/>
        <v/>
      </c>
      <c r="R333" s="174" t="s">
        <v>265</v>
      </c>
      <c r="S333" s="174" t="s">
        <v>273</v>
      </c>
      <c r="T333" s="174" t="e">
        <f>_xlfn.XLOOKUP(Buildings_Water_Backend[[#This Row],[Info 1]],Buildings_SiteInfo[Site name],Buildings_SiteInfo[Site type])</f>
        <v>#N/A</v>
      </c>
      <c r="U333" s="174" t="s">
        <v>327</v>
      </c>
      <c r="V333" s="174">
        <f>Buildings_Water_Frontend[[#This Row],[Type]]</f>
        <v>0</v>
      </c>
      <c r="W333" s="174" t="e" cm="1">
        <f t="array" aca="1" ref="W333" ca="1">_xlfn.XLOOKUP(Buildings_Water_Backend[[#This Row],[Level 5]],rng_Level5Long,rng_Level6Long)</f>
        <v>#N/A</v>
      </c>
      <c r="X333" s="174">
        <f>Buildings_Water_Frontend[[#This Row],[Site Name]]</f>
        <v>0</v>
      </c>
      <c r="Y333" s="174">
        <f>Buildings_Water_Frontend[[#This Row],[Meter Reference]]</f>
        <v>0</v>
      </c>
      <c r="Z333" s="220">
        <f>Buildings_Water_Frontend[[#This Row],[Methodology]]</f>
        <v>0</v>
      </c>
      <c r="AA333" s="229" t="e" cm="1">
        <f t="array" ref="AA333">INDEX(_xlfn.SWITCH(Buildings_Water_Backend[[#This Row],[Methodology]],"Tier 1",rng_RSD1,"Tier 2",rng_RSD2,"Tier 3",rng_RSD3),MATCH(_xlfn.CONCAT(Buildings_Water_Backend[[#This Row],[Level 1]:[Level 6]]),rng_LevelsConcat,0))</f>
        <v>#N/A</v>
      </c>
      <c r="AB333" s="224">
        <f>Buildings_Water_Frontend[[#This Row],[Data]]</f>
        <v>0</v>
      </c>
      <c r="AC333" s="174">
        <f>Buildings_Water_Frontend[[#This Row],[Units]]</f>
        <v>0</v>
      </c>
      <c r="AD333" s="220" t="e">
        <f>IF(Buildings_Water_Backend[[#This Row],[Units]]=Buildings_Water_Backend[[#This Row],[Standard units]],Buildings_Water_Backend[[#This Row],[Data]],Buildings_Water_Backend[[#This Row],[Data]]*_xlfn.XLOOKUP(_xlfn.CONCAT(Buildings_Water_Backend[[#This Row],[Level 1]:[Level 6]]),rng_EFConcat,rng_EFConversion))</f>
        <v>#N/A</v>
      </c>
      <c r="AE333" s="174" t="e" cm="1">
        <f t="array" ref="AE333">_xlfn.XLOOKUP(_xlfn.CONCAT(Buildings_Water_Backend[[#This Row],[Level 1]:[Level 6]]),rng_LevelsConcat,rng_UnitsLong)</f>
        <v>#N/A</v>
      </c>
      <c r="AF333" s="210" t="e">
        <f>_xlfn.XLOOKUP(_xlfn.CONCAT(Buildings_Water_Backend[[#This Row],[Level 1]:[Level 6]]),rng_EFConcat,rng_EF1)*Buildings_Water_Backend[[#This Row],[Converted data]]/1000</f>
        <v>#N/A</v>
      </c>
      <c r="AG333" s="210" t="e">
        <f>_xlfn.XLOOKUP(_xlfn.CONCAT(Buildings_Water_Backend[[#This Row],[Level 1]:[Level 6]]),rng_EFConcat,rng_EF2)*Buildings_Water_Backend[[#This Row],[Converted data]]/1000</f>
        <v>#N/A</v>
      </c>
      <c r="AH333" s="210" t="e">
        <f>_xlfn.XLOOKUP(_xlfn.CONCAT(Buildings_Water_Backend[[#This Row],[Level 1]:[Level 6]]),rng_EFConcat,rng_EF3)*Buildings_Water_Backend[[#This Row],[Converted data]]/1000</f>
        <v>#N/A</v>
      </c>
      <c r="AI333" s="210" t="e">
        <f>_xlfn.XLOOKUP(_xlfn.CONCAT(Buildings_Water_Backend[[#This Row],[Level 1]:[Level 6]]),rng_EFConcat,rng_EF3WTT)*Buildings_Water_Backend[[#This Row],[Converted data]]/1000</f>
        <v>#N/A</v>
      </c>
      <c r="AJ333" s="210" t="e">
        <f>_xlfn.XLOOKUP(_xlfn.CONCAT(Buildings_Water_Backend[[#This Row],[Level 1]:[Level 6]]),rng_EFConcat,rng_EF3TD)*Buildings_Water_Backend[[#This Row],[Converted data]]/1000</f>
        <v>#N/A</v>
      </c>
      <c r="AK333" s="210" t="e">
        <f>_xlfn.XLOOKUP(_xlfn.CONCAT(Buildings_Water_Backend[[#This Row],[Level 1]:[Level 6]]),rng_EFConcat,rng_EF3WTTTD)*Buildings_Water_Backend[[#This Row],[Converted data]]/1000</f>
        <v>#N/A</v>
      </c>
      <c r="AL333" s="220" t="e">
        <f>SUM(Buildings_Water_Backend[[#This Row],[Scope 1 (tCO2e)]:[Scope 3 WTT T&amp;D (tCO2e)]])</f>
        <v>#N/A</v>
      </c>
      <c r="AM333" s="220" t="e">
        <f>Buildings_Water_Backend[[#This Row],[Total (tCO2e)]]*(1-Buildings_Water_Backend[[#This Row],[RSD]])</f>
        <v>#N/A</v>
      </c>
      <c r="AN333" s="220" t="e">
        <f>Buildings_Water_Backend[[#This Row],[Total (tCO2e)]]*(1+Buildings_Water_Backend[[#This Row],[RSD]])</f>
        <v>#N/A</v>
      </c>
      <c r="AO333" s="210" t="e">
        <f>_xlfn.XLOOKUP(_xlfn.CONCAT(Buildings_Water_Backend[[#This Row],[Level 1]:[Level 6]]),rng_EFConcat,rng_EFOOS)*Buildings_Water_Backend[[#This Row],[Converted data]]/1000</f>
        <v>#N/A</v>
      </c>
      <c r="AP333" s="174">
        <f>Buildings_Water_Frontend[[#This Row],[Ease of collection]]</f>
        <v>0</v>
      </c>
      <c r="AQ333" s="174">
        <f>Buildings_Water_Frontend[[#This Row],[Completeness]]</f>
        <v>0</v>
      </c>
      <c r="AR333" s="174">
        <f>Buildings_Water_Frontend[[#This Row],[Notes]]</f>
        <v>0</v>
      </c>
    </row>
    <row r="334" spans="5:44" x14ac:dyDescent="0.3">
      <c r="E334" s="346"/>
      <c r="F334" s="364"/>
      <c r="G334" s="336"/>
      <c r="H334" s="336"/>
      <c r="I334" s="334"/>
      <c r="J334" s="336"/>
      <c r="K334" s="336"/>
      <c r="L334" s="336"/>
      <c r="M334" s="337"/>
      <c r="N334" s="242">
        <f t="shared" si="9"/>
        <v>5</v>
      </c>
      <c r="Q334" s="212" t="str">
        <f t="shared" si="8"/>
        <v/>
      </c>
      <c r="R334" s="174" t="s">
        <v>265</v>
      </c>
      <c r="S334" s="174" t="s">
        <v>273</v>
      </c>
      <c r="T334" s="174" t="e">
        <f>_xlfn.XLOOKUP(Buildings_Water_Backend[[#This Row],[Info 1]],Buildings_SiteInfo[Site name],Buildings_SiteInfo[Site type])</f>
        <v>#N/A</v>
      </c>
      <c r="U334" s="174" t="s">
        <v>327</v>
      </c>
      <c r="V334" s="174">
        <f>Buildings_Water_Frontend[[#This Row],[Type]]</f>
        <v>0</v>
      </c>
      <c r="W334" s="174" t="e" cm="1">
        <f t="array" aca="1" ref="W334" ca="1">_xlfn.XLOOKUP(Buildings_Water_Backend[[#This Row],[Level 5]],rng_Level5Long,rng_Level6Long)</f>
        <v>#N/A</v>
      </c>
      <c r="X334" s="174">
        <f>Buildings_Water_Frontend[[#This Row],[Site Name]]</f>
        <v>0</v>
      </c>
      <c r="Y334" s="174">
        <f>Buildings_Water_Frontend[[#This Row],[Meter Reference]]</f>
        <v>0</v>
      </c>
      <c r="Z334" s="220">
        <f>Buildings_Water_Frontend[[#This Row],[Methodology]]</f>
        <v>0</v>
      </c>
      <c r="AA334" s="229" t="e" cm="1">
        <f t="array" ref="AA334">INDEX(_xlfn.SWITCH(Buildings_Water_Backend[[#This Row],[Methodology]],"Tier 1",rng_RSD1,"Tier 2",rng_RSD2,"Tier 3",rng_RSD3),MATCH(_xlfn.CONCAT(Buildings_Water_Backend[[#This Row],[Level 1]:[Level 6]]),rng_LevelsConcat,0))</f>
        <v>#N/A</v>
      </c>
      <c r="AB334" s="224">
        <f>Buildings_Water_Frontend[[#This Row],[Data]]</f>
        <v>0</v>
      </c>
      <c r="AC334" s="174">
        <f>Buildings_Water_Frontend[[#This Row],[Units]]</f>
        <v>0</v>
      </c>
      <c r="AD334" s="220" t="e">
        <f>IF(Buildings_Water_Backend[[#This Row],[Units]]=Buildings_Water_Backend[[#This Row],[Standard units]],Buildings_Water_Backend[[#This Row],[Data]],Buildings_Water_Backend[[#This Row],[Data]]*_xlfn.XLOOKUP(_xlfn.CONCAT(Buildings_Water_Backend[[#This Row],[Level 1]:[Level 6]]),rng_EFConcat,rng_EFConversion))</f>
        <v>#N/A</v>
      </c>
      <c r="AE334" s="174" t="e" cm="1">
        <f t="array" ref="AE334">_xlfn.XLOOKUP(_xlfn.CONCAT(Buildings_Water_Backend[[#This Row],[Level 1]:[Level 6]]),rng_LevelsConcat,rng_UnitsLong)</f>
        <v>#N/A</v>
      </c>
      <c r="AF334" s="210" t="e">
        <f>_xlfn.XLOOKUP(_xlfn.CONCAT(Buildings_Water_Backend[[#This Row],[Level 1]:[Level 6]]),rng_EFConcat,rng_EF1)*Buildings_Water_Backend[[#This Row],[Converted data]]/1000</f>
        <v>#N/A</v>
      </c>
      <c r="AG334" s="210" t="e">
        <f>_xlfn.XLOOKUP(_xlfn.CONCAT(Buildings_Water_Backend[[#This Row],[Level 1]:[Level 6]]),rng_EFConcat,rng_EF2)*Buildings_Water_Backend[[#This Row],[Converted data]]/1000</f>
        <v>#N/A</v>
      </c>
      <c r="AH334" s="210" t="e">
        <f>_xlfn.XLOOKUP(_xlfn.CONCAT(Buildings_Water_Backend[[#This Row],[Level 1]:[Level 6]]),rng_EFConcat,rng_EF3)*Buildings_Water_Backend[[#This Row],[Converted data]]/1000</f>
        <v>#N/A</v>
      </c>
      <c r="AI334" s="210" t="e">
        <f>_xlfn.XLOOKUP(_xlfn.CONCAT(Buildings_Water_Backend[[#This Row],[Level 1]:[Level 6]]),rng_EFConcat,rng_EF3WTT)*Buildings_Water_Backend[[#This Row],[Converted data]]/1000</f>
        <v>#N/A</v>
      </c>
      <c r="AJ334" s="210" t="e">
        <f>_xlfn.XLOOKUP(_xlfn.CONCAT(Buildings_Water_Backend[[#This Row],[Level 1]:[Level 6]]),rng_EFConcat,rng_EF3TD)*Buildings_Water_Backend[[#This Row],[Converted data]]/1000</f>
        <v>#N/A</v>
      </c>
      <c r="AK334" s="210" t="e">
        <f>_xlfn.XLOOKUP(_xlfn.CONCAT(Buildings_Water_Backend[[#This Row],[Level 1]:[Level 6]]),rng_EFConcat,rng_EF3WTTTD)*Buildings_Water_Backend[[#This Row],[Converted data]]/1000</f>
        <v>#N/A</v>
      </c>
      <c r="AL334" s="220" t="e">
        <f>SUM(Buildings_Water_Backend[[#This Row],[Scope 1 (tCO2e)]:[Scope 3 WTT T&amp;D (tCO2e)]])</f>
        <v>#N/A</v>
      </c>
      <c r="AM334" s="220" t="e">
        <f>Buildings_Water_Backend[[#This Row],[Total (tCO2e)]]*(1-Buildings_Water_Backend[[#This Row],[RSD]])</f>
        <v>#N/A</v>
      </c>
      <c r="AN334" s="220" t="e">
        <f>Buildings_Water_Backend[[#This Row],[Total (tCO2e)]]*(1+Buildings_Water_Backend[[#This Row],[RSD]])</f>
        <v>#N/A</v>
      </c>
      <c r="AO334" s="210" t="e">
        <f>_xlfn.XLOOKUP(_xlfn.CONCAT(Buildings_Water_Backend[[#This Row],[Level 1]:[Level 6]]),rng_EFConcat,rng_EFOOS)*Buildings_Water_Backend[[#This Row],[Converted data]]/1000</f>
        <v>#N/A</v>
      </c>
      <c r="AP334" s="174">
        <f>Buildings_Water_Frontend[[#This Row],[Ease of collection]]</f>
        <v>0</v>
      </c>
      <c r="AQ334" s="174">
        <f>Buildings_Water_Frontend[[#This Row],[Completeness]]</f>
        <v>0</v>
      </c>
      <c r="AR334" s="174">
        <f>Buildings_Water_Frontend[[#This Row],[Notes]]</f>
        <v>0</v>
      </c>
    </row>
    <row r="335" spans="5:44" x14ac:dyDescent="0.3">
      <c r="E335" s="346"/>
      <c r="F335" s="364"/>
      <c r="G335" s="336"/>
      <c r="H335" s="336"/>
      <c r="I335" s="334"/>
      <c r="J335" s="336"/>
      <c r="K335" s="336"/>
      <c r="L335" s="336"/>
      <c r="M335" s="337"/>
      <c r="N335" s="242">
        <f t="shared" si="9"/>
        <v>5</v>
      </c>
      <c r="Q335" s="212" t="str">
        <f t="shared" ref="Q335:Q398" si="10">IF(N335=0,SUBSTITUTE(2025&amp;TRIM(cl_org_name_select)&amp;TRIM($E$12)&amp;(ROW(N335)-ROW($N$15))," ",""),"")</f>
        <v/>
      </c>
      <c r="R335" s="174" t="s">
        <v>265</v>
      </c>
      <c r="S335" s="174" t="s">
        <v>273</v>
      </c>
      <c r="T335" s="174" t="e">
        <f>_xlfn.XLOOKUP(Buildings_Water_Backend[[#This Row],[Info 1]],Buildings_SiteInfo[Site name],Buildings_SiteInfo[Site type])</f>
        <v>#N/A</v>
      </c>
      <c r="U335" s="174" t="s">
        <v>327</v>
      </c>
      <c r="V335" s="174">
        <f>Buildings_Water_Frontend[[#This Row],[Type]]</f>
        <v>0</v>
      </c>
      <c r="W335" s="174" t="e" cm="1">
        <f t="array" aca="1" ref="W335" ca="1">_xlfn.XLOOKUP(Buildings_Water_Backend[[#This Row],[Level 5]],rng_Level5Long,rng_Level6Long)</f>
        <v>#N/A</v>
      </c>
      <c r="X335" s="174">
        <f>Buildings_Water_Frontend[[#This Row],[Site Name]]</f>
        <v>0</v>
      </c>
      <c r="Y335" s="174">
        <f>Buildings_Water_Frontend[[#This Row],[Meter Reference]]</f>
        <v>0</v>
      </c>
      <c r="Z335" s="220">
        <f>Buildings_Water_Frontend[[#This Row],[Methodology]]</f>
        <v>0</v>
      </c>
      <c r="AA335" s="229" t="e" cm="1">
        <f t="array" ref="AA335">INDEX(_xlfn.SWITCH(Buildings_Water_Backend[[#This Row],[Methodology]],"Tier 1",rng_RSD1,"Tier 2",rng_RSD2,"Tier 3",rng_RSD3),MATCH(_xlfn.CONCAT(Buildings_Water_Backend[[#This Row],[Level 1]:[Level 6]]),rng_LevelsConcat,0))</f>
        <v>#N/A</v>
      </c>
      <c r="AB335" s="224">
        <f>Buildings_Water_Frontend[[#This Row],[Data]]</f>
        <v>0</v>
      </c>
      <c r="AC335" s="174">
        <f>Buildings_Water_Frontend[[#This Row],[Units]]</f>
        <v>0</v>
      </c>
      <c r="AD335" s="220" t="e">
        <f>IF(Buildings_Water_Backend[[#This Row],[Units]]=Buildings_Water_Backend[[#This Row],[Standard units]],Buildings_Water_Backend[[#This Row],[Data]],Buildings_Water_Backend[[#This Row],[Data]]*_xlfn.XLOOKUP(_xlfn.CONCAT(Buildings_Water_Backend[[#This Row],[Level 1]:[Level 6]]),rng_EFConcat,rng_EFConversion))</f>
        <v>#N/A</v>
      </c>
      <c r="AE335" s="174" t="e" cm="1">
        <f t="array" ref="AE335">_xlfn.XLOOKUP(_xlfn.CONCAT(Buildings_Water_Backend[[#This Row],[Level 1]:[Level 6]]),rng_LevelsConcat,rng_UnitsLong)</f>
        <v>#N/A</v>
      </c>
      <c r="AF335" s="210" t="e">
        <f>_xlfn.XLOOKUP(_xlfn.CONCAT(Buildings_Water_Backend[[#This Row],[Level 1]:[Level 6]]),rng_EFConcat,rng_EF1)*Buildings_Water_Backend[[#This Row],[Converted data]]/1000</f>
        <v>#N/A</v>
      </c>
      <c r="AG335" s="210" t="e">
        <f>_xlfn.XLOOKUP(_xlfn.CONCAT(Buildings_Water_Backend[[#This Row],[Level 1]:[Level 6]]),rng_EFConcat,rng_EF2)*Buildings_Water_Backend[[#This Row],[Converted data]]/1000</f>
        <v>#N/A</v>
      </c>
      <c r="AH335" s="210" t="e">
        <f>_xlfn.XLOOKUP(_xlfn.CONCAT(Buildings_Water_Backend[[#This Row],[Level 1]:[Level 6]]),rng_EFConcat,rng_EF3)*Buildings_Water_Backend[[#This Row],[Converted data]]/1000</f>
        <v>#N/A</v>
      </c>
      <c r="AI335" s="210" t="e">
        <f>_xlfn.XLOOKUP(_xlfn.CONCAT(Buildings_Water_Backend[[#This Row],[Level 1]:[Level 6]]),rng_EFConcat,rng_EF3WTT)*Buildings_Water_Backend[[#This Row],[Converted data]]/1000</f>
        <v>#N/A</v>
      </c>
      <c r="AJ335" s="210" t="e">
        <f>_xlfn.XLOOKUP(_xlfn.CONCAT(Buildings_Water_Backend[[#This Row],[Level 1]:[Level 6]]),rng_EFConcat,rng_EF3TD)*Buildings_Water_Backend[[#This Row],[Converted data]]/1000</f>
        <v>#N/A</v>
      </c>
      <c r="AK335" s="210" t="e">
        <f>_xlfn.XLOOKUP(_xlfn.CONCAT(Buildings_Water_Backend[[#This Row],[Level 1]:[Level 6]]),rng_EFConcat,rng_EF3WTTTD)*Buildings_Water_Backend[[#This Row],[Converted data]]/1000</f>
        <v>#N/A</v>
      </c>
      <c r="AL335" s="220" t="e">
        <f>SUM(Buildings_Water_Backend[[#This Row],[Scope 1 (tCO2e)]:[Scope 3 WTT T&amp;D (tCO2e)]])</f>
        <v>#N/A</v>
      </c>
      <c r="AM335" s="220" t="e">
        <f>Buildings_Water_Backend[[#This Row],[Total (tCO2e)]]*(1-Buildings_Water_Backend[[#This Row],[RSD]])</f>
        <v>#N/A</v>
      </c>
      <c r="AN335" s="220" t="e">
        <f>Buildings_Water_Backend[[#This Row],[Total (tCO2e)]]*(1+Buildings_Water_Backend[[#This Row],[RSD]])</f>
        <v>#N/A</v>
      </c>
      <c r="AO335" s="210" t="e">
        <f>_xlfn.XLOOKUP(_xlfn.CONCAT(Buildings_Water_Backend[[#This Row],[Level 1]:[Level 6]]),rng_EFConcat,rng_EFOOS)*Buildings_Water_Backend[[#This Row],[Converted data]]/1000</f>
        <v>#N/A</v>
      </c>
      <c r="AP335" s="174">
        <f>Buildings_Water_Frontend[[#This Row],[Ease of collection]]</f>
        <v>0</v>
      </c>
      <c r="AQ335" s="174">
        <f>Buildings_Water_Frontend[[#This Row],[Completeness]]</f>
        <v>0</v>
      </c>
      <c r="AR335" s="174">
        <f>Buildings_Water_Frontend[[#This Row],[Notes]]</f>
        <v>0</v>
      </c>
    </row>
    <row r="336" spans="5:44" x14ac:dyDescent="0.3">
      <c r="E336" s="346"/>
      <c r="F336" s="364"/>
      <c r="G336" s="336"/>
      <c r="H336" s="336"/>
      <c r="I336" s="334"/>
      <c r="J336" s="336"/>
      <c r="K336" s="336"/>
      <c r="L336" s="336"/>
      <c r="M336" s="337"/>
      <c r="N336" s="242">
        <f t="shared" ref="N336:N399" si="11">ISBLANK(E336)+ISBLANK(G336)+ISBLANK(H336)+ISBLANK(I336)+ISBLANK(J336)</f>
        <v>5</v>
      </c>
      <c r="Q336" s="212" t="str">
        <f t="shared" si="10"/>
        <v/>
      </c>
      <c r="R336" s="174" t="s">
        <v>265</v>
      </c>
      <c r="S336" s="174" t="s">
        <v>273</v>
      </c>
      <c r="T336" s="174" t="e">
        <f>_xlfn.XLOOKUP(Buildings_Water_Backend[[#This Row],[Info 1]],Buildings_SiteInfo[Site name],Buildings_SiteInfo[Site type])</f>
        <v>#N/A</v>
      </c>
      <c r="U336" s="174" t="s">
        <v>327</v>
      </c>
      <c r="V336" s="174">
        <f>Buildings_Water_Frontend[[#This Row],[Type]]</f>
        <v>0</v>
      </c>
      <c r="W336" s="174" t="e" cm="1">
        <f t="array" aca="1" ref="W336" ca="1">_xlfn.XLOOKUP(Buildings_Water_Backend[[#This Row],[Level 5]],rng_Level5Long,rng_Level6Long)</f>
        <v>#N/A</v>
      </c>
      <c r="X336" s="174">
        <f>Buildings_Water_Frontend[[#This Row],[Site Name]]</f>
        <v>0</v>
      </c>
      <c r="Y336" s="174">
        <f>Buildings_Water_Frontend[[#This Row],[Meter Reference]]</f>
        <v>0</v>
      </c>
      <c r="Z336" s="220">
        <f>Buildings_Water_Frontend[[#This Row],[Methodology]]</f>
        <v>0</v>
      </c>
      <c r="AA336" s="229" t="e" cm="1">
        <f t="array" ref="AA336">INDEX(_xlfn.SWITCH(Buildings_Water_Backend[[#This Row],[Methodology]],"Tier 1",rng_RSD1,"Tier 2",rng_RSD2,"Tier 3",rng_RSD3),MATCH(_xlfn.CONCAT(Buildings_Water_Backend[[#This Row],[Level 1]:[Level 6]]),rng_LevelsConcat,0))</f>
        <v>#N/A</v>
      </c>
      <c r="AB336" s="224">
        <f>Buildings_Water_Frontend[[#This Row],[Data]]</f>
        <v>0</v>
      </c>
      <c r="AC336" s="174">
        <f>Buildings_Water_Frontend[[#This Row],[Units]]</f>
        <v>0</v>
      </c>
      <c r="AD336" s="220" t="e">
        <f>IF(Buildings_Water_Backend[[#This Row],[Units]]=Buildings_Water_Backend[[#This Row],[Standard units]],Buildings_Water_Backend[[#This Row],[Data]],Buildings_Water_Backend[[#This Row],[Data]]*_xlfn.XLOOKUP(_xlfn.CONCAT(Buildings_Water_Backend[[#This Row],[Level 1]:[Level 6]]),rng_EFConcat,rng_EFConversion))</f>
        <v>#N/A</v>
      </c>
      <c r="AE336" s="174" t="e" cm="1">
        <f t="array" ref="AE336">_xlfn.XLOOKUP(_xlfn.CONCAT(Buildings_Water_Backend[[#This Row],[Level 1]:[Level 6]]),rng_LevelsConcat,rng_UnitsLong)</f>
        <v>#N/A</v>
      </c>
      <c r="AF336" s="210" t="e">
        <f>_xlfn.XLOOKUP(_xlfn.CONCAT(Buildings_Water_Backend[[#This Row],[Level 1]:[Level 6]]),rng_EFConcat,rng_EF1)*Buildings_Water_Backend[[#This Row],[Converted data]]/1000</f>
        <v>#N/A</v>
      </c>
      <c r="AG336" s="210" t="e">
        <f>_xlfn.XLOOKUP(_xlfn.CONCAT(Buildings_Water_Backend[[#This Row],[Level 1]:[Level 6]]),rng_EFConcat,rng_EF2)*Buildings_Water_Backend[[#This Row],[Converted data]]/1000</f>
        <v>#N/A</v>
      </c>
      <c r="AH336" s="210" t="e">
        <f>_xlfn.XLOOKUP(_xlfn.CONCAT(Buildings_Water_Backend[[#This Row],[Level 1]:[Level 6]]),rng_EFConcat,rng_EF3)*Buildings_Water_Backend[[#This Row],[Converted data]]/1000</f>
        <v>#N/A</v>
      </c>
      <c r="AI336" s="210" t="e">
        <f>_xlfn.XLOOKUP(_xlfn.CONCAT(Buildings_Water_Backend[[#This Row],[Level 1]:[Level 6]]),rng_EFConcat,rng_EF3WTT)*Buildings_Water_Backend[[#This Row],[Converted data]]/1000</f>
        <v>#N/A</v>
      </c>
      <c r="AJ336" s="210" t="e">
        <f>_xlfn.XLOOKUP(_xlfn.CONCAT(Buildings_Water_Backend[[#This Row],[Level 1]:[Level 6]]),rng_EFConcat,rng_EF3TD)*Buildings_Water_Backend[[#This Row],[Converted data]]/1000</f>
        <v>#N/A</v>
      </c>
      <c r="AK336" s="210" t="e">
        <f>_xlfn.XLOOKUP(_xlfn.CONCAT(Buildings_Water_Backend[[#This Row],[Level 1]:[Level 6]]),rng_EFConcat,rng_EF3WTTTD)*Buildings_Water_Backend[[#This Row],[Converted data]]/1000</f>
        <v>#N/A</v>
      </c>
      <c r="AL336" s="220" t="e">
        <f>SUM(Buildings_Water_Backend[[#This Row],[Scope 1 (tCO2e)]:[Scope 3 WTT T&amp;D (tCO2e)]])</f>
        <v>#N/A</v>
      </c>
      <c r="AM336" s="220" t="e">
        <f>Buildings_Water_Backend[[#This Row],[Total (tCO2e)]]*(1-Buildings_Water_Backend[[#This Row],[RSD]])</f>
        <v>#N/A</v>
      </c>
      <c r="AN336" s="220" t="e">
        <f>Buildings_Water_Backend[[#This Row],[Total (tCO2e)]]*(1+Buildings_Water_Backend[[#This Row],[RSD]])</f>
        <v>#N/A</v>
      </c>
      <c r="AO336" s="210" t="e">
        <f>_xlfn.XLOOKUP(_xlfn.CONCAT(Buildings_Water_Backend[[#This Row],[Level 1]:[Level 6]]),rng_EFConcat,rng_EFOOS)*Buildings_Water_Backend[[#This Row],[Converted data]]/1000</f>
        <v>#N/A</v>
      </c>
      <c r="AP336" s="174">
        <f>Buildings_Water_Frontend[[#This Row],[Ease of collection]]</f>
        <v>0</v>
      </c>
      <c r="AQ336" s="174">
        <f>Buildings_Water_Frontend[[#This Row],[Completeness]]</f>
        <v>0</v>
      </c>
      <c r="AR336" s="174">
        <f>Buildings_Water_Frontend[[#This Row],[Notes]]</f>
        <v>0</v>
      </c>
    </row>
    <row r="337" spans="5:44" x14ac:dyDescent="0.3">
      <c r="E337" s="346"/>
      <c r="F337" s="364"/>
      <c r="G337" s="336"/>
      <c r="H337" s="336"/>
      <c r="I337" s="334"/>
      <c r="J337" s="336"/>
      <c r="K337" s="336"/>
      <c r="L337" s="336"/>
      <c r="M337" s="337"/>
      <c r="N337" s="242">
        <f t="shared" si="11"/>
        <v>5</v>
      </c>
      <c r="Q337" s="212" t="str">
        <f t="shared" si="10"/>
        <v/>
      </c>
      <c r="R337" s="174" t="s">
        <v>265</v>
      </c>
      <c r="S337" s="174" t="s">
        <v>273</v>
      </c>
      <c r="T337" s="174" t="e">
        <f>_xlfn.XLOOKUP(Buildings_Water_Backend[[#This Row],[Info 1]],Buildings_SiteInfo[Site name],Buildings_SiteInfo[Site type])</f>
        <v>#N/A</v>
      </c>
      <c r="U337" s="174" t="s">
        <v>327</v>
      </c>
      <c r="V337" s="174">
        <f>Buildings_Water_Frontend[[#This Row],[Type]]</f>
        <v>0</v>
      </c>
      <c r="W337" s="174" t="e" cm="1">
        <f t="array" aca="1" ref="W337" ca="1">_xlfn.XLOOKUP(Buildings_Water_Backend[[#This Row],[Level 5]],rng_Level5Long,rng_Level6Long)</f>
        <v>#N/A</v>
      </c>
      <c r="X337" s="174">
        <f>Buildings_Water_Frontend[[#This Row],[Site Name]]</f>
        <v>0</v>
      </c>
      <c r="Y337" s="174">
        <f>Buildings_Water_Frontend[[#This Row],[Meter Reference]]</f>
        <v>0</v>
      </c>
      <c r="Z337" s="220">
        <f>Buildings_Water_Frontend[[#This Row],[Methodology]]</f>
        <v>0</v>
      </c>
      <c r="AA337" s="229" t="e" cm="1">
        <f t="array" ref="AA337">INDEX(_xlfn.SWITCH(Buildings_Water_Backend[[#This Row],[Methodology]],"Tier 1",rng_RSD1,"Tier 2",rng_RSD2,"Tier 3",rng_RSD3),MATCH(_xlfn.CONCAT(Buildings_Water_Backend[[#This Row],[Level 1]:[Level 6]]),rng_LevelsConcat,0))</f>
        <v>#N/A</v>
      </c>
      <c r="AB337" s="224">
        <f>Buildings_Water_Frontend[[#This Row],[Data]]</f>
        <v>0</v>
      </c>
      <c r="AC337" s="174">
        <f>Buildings_Water_Frontend[[#This Row],[Units]]</f>
        <v>0</v>
      </c>
      <c r="AD337" s="220" t="e">
        <f>IF(Buildings_Water_Backend[[#This Row],[Units]]=Buildings_Water_Backend[[#This Row],[Standard units]],Buildings_Water_Backend[[#This Row],[Data]],Buildings_Water_Backend[[#This Row],[Data]]*_xlfn.XLOOKUP(_xlfn.CONCAT(Buildings_Water_Backend[[#This Row],[Level 1]:[Level 6]]),rng_EFConcat,rng_EFConversion))</f>
        <v>#N/A</v>
      </c>
      <c r="AE337" s="174" t="e" cm="1">
        <f t="array" ref="AE337">_xlfn.XLOOKUP(_xlfn.CONCAT(Buildings_Water_Backend[[#This Row],[Level 1]:[Level 6]]),rng_LevelsConcat,rng_UnitsLong)</f>
        <v>#N/A</v>
      </c>
      <c r="AF337" s="210" t="e">
        <f>_xlfn.XLOOKUP(_xlfn.CONCAT(Buildings_Water_Backend[[#This Row],[Level 1]:[Level 6]]),rng_EFConcat,rng_EF1)*Buildings_Water_Backend[[#This Row],[Converted data]]/1000</f>
        <v>#N/A</v>
      </c>
      <c r="AG337" s="210" t="e">
        <f>_xlfn.XLOOKUP(_xlfn.CONCAT(Buildings_Water_Backend[[#This Row],[Level 1]:[Level 6]]),rng_EFConcat,rng_EF2)*Buildings_Water_Backend[[#This Row],[Converted data]]/1000</f>
        <v>#N/A</v>
      </c>
      <c r="AH337" s="210" t="e">
        <f>_xlfn.XLOOKUP(_xlfn.CONCAT(Buildings_Water_Backend[[#This Row],[Level 1]:[Level 6]]),rng_EFConcat,rng_EF3)*Buildings_Water_Backend[[#This Row],[Converted data]]/1000</f>
        <v>#N/A</v>
      </c>
      <c r="AI337" s="210" t="e">
        <f>_xlfn.XLOOKUP(_xlfn.CONCAT(Buildings_Water_Backend[[#This Row],[Level 1]:[Level 6]]),rng_EFConcat,rng_EF3WTT)*Buildings_Water_Backend[[#This Row],[Converted data]]/1000</f>
        <v>#N/A</v>
      </c>
      <c r="AJ337" s="210" t="e">
        <f>_xlfn.XLOOKUP(_xlfn.CONCAT(Buildings_Water_Backend[[#This Row],[Level 1]:[Level 6]]),rng_EFConcat,rng_EF3TD)*Buildings_Water_Backend[[#This Row],[Converted data]]/1000</f>
        <v>#N/A</v>
      </c>
      <c r="AK337" s="210" t="e">
        <f>_xlfn.XLOOKUP(_xlfn.CONCAT(Buildings_Water_Backend[[#This Row],[Level 1]:[Level 6]]),rng_EFConcat,rng_EF3WTTTD)*Buildings_Water_Backend[[#This Row],[Converted data]]/1000</f>
        <v>#N/A</v>
      </c>
      <c r="AL337" s="220" t="e">
        <f>SUM(Buildings_Water_Backend[[#This Row],[Scope 1 (tCO2e)]:[Scope 3 WTT T&amp;D (tCO2e)]])</f>
        <v>#N/A</v>
      </c>
      <c r="AM337" s="220" t="e">
        <f>Buildings_Water_Backend[[#This Row],[Total (tCO2e)]]*(1-Buildings_Water_Backend[[#This Row],[RSD]])</f>
        <v>#N/A</v>
      </c>
      <c r="AN337" s="220" t="e">
        <f>Buildings_Water_Backend[[#This Row],[Total (tCO2e)]]*(1+Buildings_Water_Backend[[#This Row],[RSD]])</f>
        <v>#N/A</v>
      </c>
      <c r="AO337" s="210" t="e">
        <f>_xlfn.XLOOKUP(_xlfn.CONCAT(Buildings_Water_Backend[[#This Row],[Level 1]:[Level 6]]),rng_EFConcat,rng_EFOOS)*Buildings_Water_Backend[[#This Row],[Converted data]]/1000</f>
        <v>#N/A</v>
      </c>
      <c r="AP337" s="174">
        <f>Buildings_Water_Frontend[[#This Row],[Ease of collection]]</f>
        <v>0</v>
      </c>
      <c r="AQ337" s="174">
        <f>Buildings_Water_Frontend[[#This Row],[Completeness]]</f>
        <v>0</v>
      </c>
      <c r="AR337" s="174">
        <f>Buildings_Water_Frontend[[#This Row],[Notes]]</f>
        <v>0</v>
      </c>
    </row>
    <row r="338" spans="5:44" x14ac:dyDescent="0.3">
      <c r="E338" s="346"/>
      <c r="F338" s="364"/>
      <c r="G338" s="336"/>
      <c r="H338" s="336"/>
      <c r="I338" s="334"/>
      <c r="J338" s="336"/>
      <c r="K338" s="336"/>
      <c r="L338" s="336"/>
      <c r="M338" s="337"/>
      <c r="N338" s="242">
        <f t="shared" si="11"/>
        <v>5</v>
      </c>
      <c r="Q338" s="212" t="str">
        <f t="shared" si="10"/>
        <v/>
      </c>
      <c r="R338" s="174" t="s">
        <v>265</v>
      </c>
      <c r="S338" s="174" t="s">
        <v>273</v>
      </c>
      <c r="T338" s="174" t="e">
        <f>_xlfn.XLOOKUP(Buildings_Water_Backend[[#This Row],[Info 1]],Buildings_SiteInfo[Site name],Buildings_SiteInfo[Site type])</f>
        <v>#N/A</v>
      </c>
      <c r="U338" s="174" t="s">
        <v>327</v>
      </c>
      <c r="V338" s="174">
        <f>Buildings_Water_Frontend[[#This Row],[Type]]</f>
        <v>0</v>
      </c>
      <c r="W338" s="174" t="e" cm="1">
        <f t="array" aca="1" ref="W338" ca="1">_xlfn.XLOOKUP(Buildings_Water_Backend[[#This Row],[Level 5]],rng_Level5Long,rng_Level6Long)</f>
        <v>#N/A</v>
      </c>
      <c r="X338" s="174">
        <f>Buildings_Water_Frontend[[#This Row],[Site Name]]</f>
        <v>0</v>
      </c>
      <c r="Y338" s="174">
        <f>Buildings_Water_Frontend[[#This Row],[Meter Reference]]</f>
        <v>0</v>
      </c>
      <c r="Z338" s="220">
        <f>Buildings_Water_Frontend[[#This Row],[Methodology]]</f>
        <v>0</v>
      </c>
      <c r="AA338" s="229" t="e" cm="1">
        <f t="array" ref="AA338">INDEX(_xlfn.SWITCH(Buildings_Water_Backend[[#This Row],[Methodology]],"Tier 1",rng_RSD1,"Tier 2",rng_RSD2,"Tier 3",rng_RSD3),MATCH(_xlfn.CONCAT(Buildings_Water_Backend[[#This Row],[Level 1]:[Level 6]]),rng_LevelsConcat,0))</f>
        <v>#N/A</v>
      </c>
      <c r="AB338" s="224">
        <f>Buildings_Water_Frontend[[#This Row],[Data]]</f>
        <v>0</v>
      </c>
      <c r="AC338" s="174">
        <f>Buildings_Water_Frontend[[#This Row],[Units]]</f>
        <v>0</v>
      </c>
      <c r="AD338" s="220" t="e">
        <f>IF(Buildings_Water_Backend[[#This Row],[Units]]=Buildings_Water_Backend[[#This Row],[Standard units]],Buildings_Water_Backend[[#This Row],[Data]],Buildings_Water_Backend[[#This Row],[Data]]*_xlfn.XLOOKUP(_xlfn.CONCAT(Buildings_Water_Backend[[#This Row],[Level 1]:[Level 6]]),rng_EFConcat,rng_EFConversion))</f>
        <v>#N/A</v>
      </c>
      <c r="AE338" s="174" t="e" cm="1">
        <f t="array" ref="AE338">_xlfn.XLOOKUP(_xlfn.CONCAT(Buildings_Water_Backend[[#This Row],[Level 1]:[Level 6]]),rng_LevelsConcat,rng_UnitsLong)</f>
        <v>#N/A</v>
      </c>
      <c r="AF338" s="210" t="e">
        <f>_xlfn.XLOOKUP(_xlfn.CONCAT(Buildings_Water_Backend[[#This Row],[Level 1]:[Level 6]]),rng_EFConcat,rng_EF1)*Buildings_Water_Backend[[#This Row],[Converted data]]/1000</f>
        <v>#N/A</v>
      </c>
      <c r="AG338" s="210" t="e">
        <f>_xlfn.XLOOKUP(_xlfn.CONCAT(Buildings_Water_Backend[[#This Row],[Level 1]:[Level 6]]),rng_EFConcat,rng_EF2)*Buildings_Water_Backend[[#This Row],[Converted data]]/1000</f>
        <v>#N/A</v>
      </c>
      <c r="AH338" s="210" t="e">
        <f>_xlfn.XLOOKUP(_xlfn.CONCAT(Buildings_Water_Backend[[#This Row],[Level 1]:[Level 6]]),rng_EFConcat,rng_EF3)*Buildings_Water_Backend[[#This Row],[Converted data]]/1000</f>
        <v>#N/A</v>
      </c>
      <c r="AI338" s="210" t="e">
        <f>_xlfn.XLOOKUP(_xlfn.CONCAT(Buildings_Water_Backend[[#This Row],[Level 1]:[Level 6]]),rng_EFConcat,rng_EF3WTT)*Buildings_Water_Backend[[#This Row],[Converted data]]/1000</f>
        <v>#N/A</v>
      </c>
      <c r="AJ338" s="210" t="e">
        <f>_xlfn.XLOOKUP(_xlfn.CONCAT(Buildings_Water_Backend[[#This Row],[Level 1]:[Level 6]]),rng_EFConcat,rng_EF3TD)*Buildings_Water_Backend[[#This Row],[Converted data]]/1000</f>
        <v>#N/A</v>
      </c>
      <c r="AK338" s="210" t="e">
        <f>_xlfn.XLOOKUP(_xlfn.CONCAT(Buildings_Water_Backend[[#This Row],[Level 1]:[Level 6]]),rng_EFConcat,rng_EF3WTTTD)*Buildings_Water_Backend[[#This Row],[Converted data]]/1000</f>
        <v>#N/A</v>
      </c>
      <c r="AL338" s="220" t="e">
        <f>SUM(Buildings_Water_Backend[[#This Row],[Scope 1 (tCO2e)]:[Scope 3 WTT T&amp;D (tCO2e)]])</f>
        <v>#N/A</v>
      </c>
      <c r="AM338" s="220" t="e">
        <f>Buildings_Water_Backend[[#This Row],[Total (tCO2e)]]*(1-Buildings_Water_Backend[[#This Row],[RSD]])</f>
        <v>#N/A</v>
      </c>
      <c r="AN338" s="220" t="e">
        <f>Buildings_Water_Backend[[#This Row],[Total (tCO2e)]]*(1+Buildings_Water_Backend[[#This Row],[RSD]])</f>
        <v>#N/A</v>
      </c>
      <c r="AO338" s="210" t="e">
        <f>_xlfn.XLOOKUP(_xlfn.CONCAT(Buildings_Water_Backend[[#This Row],[Level 1]:[Level 6]]),rng_EFConcat,rng_EFOOS)*Buildings_Water_Backend[[#This Row],[Converted data]]/1000</f>
        <v>#N/A</v>
      </c>
      <c r="AP338" s="174">
        <f>Buildings_Water_Frontend[[#This Row],[Ease of collection]]</f>
        <v>0</v>
      </c>
      <c r="AQ338" s="174">
        <f>Buildings_Water_Frontend[[#This Row],[Completeness]]</f>
        <v>0</v>
      </c>
      <c r="AR338" s="174">
        <f>Buildings_Water_Frontend[[#This Row],[Notes]]</f>
        <v>0</v>
      </c>
    </row>
    <row r="339" spans="5:44" x14ac:dyDescent="0.3">
      <c r="E339" s="346"/>
      <c r="F339" s="364"/>
      <c r="G339" s="336"/>
      <c r="H339" s="336"/>
      <c r="I339" s="334"/>
      <c r="J339" s="336"/>
      <c r="K339" s="336"/>
      <c r="L339" s="336"/>
      <c r="M339" s="337"/>
      <c r="N339" s="242">
        <f t="shared" si="11"/>
        <v>5</v>
      </c>
      <c r="Q339" s="212" t="str">
        <f t="shared" si="10"/>
        <v/>
      </c>
      <c r="R339" s="174" t="s">
        <v>265</v>
      </c>
      <c r="S339" s="174" t="s">
        <v>273</v>
      </c>
      <c r="T339" s="174" t="e">
        <f>_xlfn.XLOOKUP(Buildings_Water_Backend[[#This Row],[Info 1]],Buildings_SiteInfo[Site name],Buildings_SiteInfo[Site type])</f>
        <v>#N/A</v>
      </c>
      <c r="U339" s="174" t="s">
        <v>327</v>
      </c>
      <c r="V339" s="174">
        <f>Buildings_Water_Frontend[[#This Row],[Type]]</f>
        <v>0</v>
      </c>
      <c r="W339" s="174" t="e" cm="1">
        <f t="array" aca="1" ref="W339" ca="1">_xlfn.XLOOKUP(Buildings_Water_Backend[[#This Row],[Level 5]],rng_Level5Long,rng_Level6Long)</f>
        <v>#N/A</v>
      </c>
      <c r="X339" s="174">
        <f>Buildings_Water_Frontend[[#This Row],[Site Name]]</f>
        <v>0</v>
      </c>
      <c r="Y339" s="174">
        <f>Buildings_Water_Frontend[[#This Row],[Meter Reference]]</f>
        <v>0</v>
      </c>
      <c r="Z339" s="220">
        <f>Buildings_Water_Frontend[[#This Row],[Methodology]]</f>
        <v>0</v>
      </c>
      <c r="AA339" s="229" t="e" cm="1">
        <f t="array" ref="AA339">INDEX(_xlfn.SWITCH(Buildings_Water_Backend[[#This Row],[Methodology]],"Tier 1",rng_RSD1,"Tier 2",rng_RSD2,"Tier 3",rng_RSD3),MATCH(_xlfn.CONCAT(Buildings_Water_Backend[[#This Row],[Level 1]:[Level 6]]),rng_LevelsConcat,0))</f>
        <v>#N/A</v>
      </c>
      <c r="AB339" s="224">
        <f>Buildings_Water_Frontend[[#This Row],[Data]]</f>
        <v>0</v>
      </c>
      <c r="AC339" s="174">
        <f>Buildings_Water_Frontend[[#This Row],[Units]]</f>
        <v>0</v>
      </c>
      <c r="AD339" s="220" t="e">
        <f>IF(Buildings_Water_Backend[[#This Row],[Units]]=Buildings_Water_Backend[[#This Row],[Standard units]],Buildings_Water_Backend[[#This Row],[Data]],Buildings_Water_Backend[[#This Row],[Data]]*_xlfn.XLOOKUP(_xlfn.CONCAT(Buildings_Water_Backend[[#This Row],[Level 1]:[Level 6]]),rng_EFConcat,rng_EFConversion))</f>
        <v>#N/A</v>
      </c>
      <c r="AE339" s="174" t="e" cm="1">
        <f t="array" ref="AE339">_xlfn.XLOOKUP(_xlfn.CONCAT(Buildings_Water_Backend[[#This Row],[Level 1]:[Level 6]]),rng_LevelsConcat,rng_UnitsLong)</f>
        <v>#N/A</v>
      </c>
      <c r="AF339" s="210" t="e">
        <f>_xlfn.XLOOKUP(_xlfn.CONCAT(Buildings_Water_Backend[[#This Row],[Level 1]:[Level 6]]),rng_EFConcat,rng_EF1)*Buildings_Water_Backend[[#This Row],[Converted data]]/1000</f>
        <v>#N/A</v>
      </c>
      <c r="AG339" s="210" t="e">
        <f>_xlfn.XLOOKUP(_xlfn.CONCAT(Buildings_Water_Backend[[#This Row],[Level 1]:[Level 6]]),rng_EFConcat,rng_EF2)*Buildings_Water_Backend[[#This Row],[Converted data]]/1000</f>
        <v>#N/A</v>
      </c>
      <c r="AH339" s="210" t="e">
        <f>_xlfn.XLOOKUP(_xlfn.CONCAT(Buildings_Water_Backend[[#This Row],[Level 1]:[Level 6]]),rng_EFConcat,rng_EF3)*Buildings_Water_Backend[[#This Row],[Converted data]]/1000</f>
        <v>#N/A</v>
      </c>
      <c r="AI339" s="210" t="e">
        <f>_xlfn.XLOOKUP(_xlfn.CONCAT(Buildings_Water_Backend[[#This Row],[Level 1]:[Level 6]]),rng_EFConcat,rng_EF3WTT)*Buildings_Water_Backend[[#This Row],[Converted data]]/1000</f>
        <v>#N/A</v>
      </c>
      <c r="AJ339" s="210" t="e">
        <f>_xlfn.XLOOKUP(_xlfn.CONCAT(Buildings_Water_Backend[[#This Row],[Level 1]:[Level 6]]),rng_EFConcat,rng_EF3TD)*Buildings_Water_Backend[[#This Row],[Converted data]]/1000</f>
        <v>#N/A</v>
      </c>
      <c r="AK339" s="210" t="e">
        <f>_xlfn.XLOOKUP(_xlfn.CONCAT(Buildings_Water_Backend[[#This Row],[Level 1]:[Level 6]]),rng_EFConcat,rng_EF3WTTTD)*Buildings_Water_Backend[[#This Row],[Converted data]]/1000</f>
        <v>#N/A</v>
      </c>
      <c r="AL339" s="220" t="e">
        <f>SUM(Buildings_Water_Backend[[#This Row],[Scope 1 (tCO2e)]:[Scope 3 WTT T&amp;D (tCO2e)]])</f>
        <v>#N/A</v>
      </c>
      <c r="AM339" s="220" t="e">
        <f>Buildings_Water_Backend[[#This Row],[Total (tCO2e)]]*(1-Buildings_Water_Backend[[#This Row],[RSD]])</f>
        <v>#N/A</v>
      </c>
      <c r="AN339" s="220" t="e">
        <f>Buildings_Water_Backend[[#This Row],[Total (tCO2e)]]*(1+Buildings_Water_Backend[[#This Row],[RSD]])</f>
        <v>#N/A</v>
      </c>
      <c r="AO339" s="210" t="e">
        <f>_xlfn.XLOOKUP(_xlfn.CONCAT(Buildings_Water_Backend[[#This Row],[Level 1]:[Level 6]]),rng_EFConcat,rng_EFOOS)*Buildings_Water_Backend[[#This Row],[Converted data]]/1000</f>
        <v>#N/A</v>
      </c>
      <c r="AP339" s="174">
        <f>Buildings_Water_Frontend[[#This Row],[Ease of collection]]</f>
        <v>0</v>
      </c>
      <c r="AQ339" s="174">
        <f>Buildings_Water_Frontend[[#This Row],[Completeness]]</f>
        <v>0</v>
      </c>
      <c r="AR339" s="174">
        <f>Buildings_Water_Frontend[[#This Row],[Notes]]</f>
        <v>0</v>
      </c>
    </row>
    <row r="340" spans="5:44" x14ac:dyDescent="0.3">
      <c r="E340" s="346"/>
      <c r="F340" s="364"/>
      <c r="G340" s="336"/>
      <c r="H340" s="336"/>
      <c r="I340" s="334"/>
      <c r="J340" s="336"/>
      <c r="K340" s="336"/>
      <c r="L340" s="336"/>
      <c r="M340" s="337"/>
      <c r="N340" s="242">
        <f t="shared" si="11"/>
        <v>5</v>
      </c>
      <c r="Q340" s="212" t="str">
        <f t="shared" si="10"/>
        <v/>
      </c>
      <c r="R340" s="174" t="s">
        <v>265</v>
      </c>
      <c r="S340" s="174" t="s">
        <v>273</v>
      </c>
      <c r="T340" s="174" t="e">
        <f>_xlfn.XLOOKUP(Buildings_Water_Backend[[#This Row],[Info 1]],Buildings_SiteInfo[Site name],Buildings_SiteInfo[Site type])</f>
        <v>#N/A</v>
      </c>
      <c r="U340" s="174" t="s">
        <v>327</v>
      </c>
      <c r="V340" s="174">
        <f>Buildings_Water_Frontend[[#This Row],[Type]]</f>
        <v>0</v>
      </c>
      <c r="W340" s="174" t="e" cm="1">
        <f t="array" aca="1" ref="W340" ca="1">_xlfn.XLOOKUP(Buildings_Water_Backend[[#This Row],[Level 5]],rng_Level5Long,rng_Level6Long)</f>
        <v>#N/A</v>
      </c>
      <c r="X340" s="174">
        <f>Buildings_Water_Frontend[[#This Row],[Site Name]]</f>
        <v>0</v>
      </c>
      <c r="Y340" s="174">
        <f>Buildings_Water_Frontend[[#This Row],[Meter Reference]]</f>
        <v>0</v>
      </c>
      <c r="Z340" s="220">
        <f>Buildings_Water_Frontend[[#This Row],[Methodology]]</f>
        <v>0</v>
      </c>
      <c r="AA340" s="229" t="e" cm="1">
        <f t="array" ref="AA340">INDEX(_xlfn.SWITCH(Buildings_Water_Backend[[#This Row],[Methodology]],"Tier 1",rng_RSD1,"Tier 2",rng_RSD2,"Tier 3",rng_RSD3),MATCH(_xlfn.CONCAT(Buildings_Water_Backend[[#This Row],[Level 1]:[Level 6]]),rng_LevelsConcat,0))</f>
        <v>#N/A</v>
      </c>
      <c r="AB340" s="224">
        <f>Buildings_Water_Frontend[[#This Row],[Data]]</f>
        <v>0</v>
      </c>
      <c r="AC340" s="174">
        <f>Buildings_Water_Frontend[[#This Row],[Units]]</f>
        <v>0</v>
      </c>
      <c r="AD340" s="220" t="e">
        <f>IF(Buildings_Water_Backend[[#This Row],[Units]]=Buildings_Water_Backend[[#This Row],[Standard units]],Buildings_Water_Backend[[#This Row],[Data]],Buildings_Water_Backend[[#This Row],[Data]]*_xlfn.XLOOKUP(_xlfn.CONCAT(Buildings_Water_Backend[[#This Row],[Level 1]:[Level 6]]),rng_EFConcat,rng_EFConversion))</f>
        <v>#N/A</v>
      </c>
      <c r="AE340" s="174" t="e" cm="1">
        <f t="array" ref="AE340">_xlfn.XLOOKUP(_xlfn.CONCAT(Buildings_Water_Backend[[#This Row],[Level 1]:[Level 6]]),rng_LevelsConcat,rng_UnitsLong)</f>
        <v>#N/A</v>
      </c>
      <c r="AF340" s="210" t="e">
        <f>_xlfn.XLOOKUP(_xlfn.CONCAT(Buildings_Water_Backend[[#This Row],[Level 1]:[Level 6]]),rng_EFConcat,rng_EF1)*Buildings_Water_Backend[[#This Row],[Converted data]]/1000</f>
        <v>#N/A</v>
      </c>
      <c r="AG340" s="210" t="e">
        <f>_xlfn.XLOOKUP(_xlfn.CONCAT(Buildings_Water_Backend[[#This Row],[Level 1]:[Level 6]]),rng_EFConcat,rng_EF2)*Buildings_Water_Backend[[#This Row],[Converted data]]/1000</f>
        <v>#N/A</v>
      </c>
      <c r="AH340" s="210" t="e">
        <f>_xlfn.XLOOKUP(_xlfn.CONCAT(Buildings_Water_Backend[[#This Row],[Level 1]:[Level 6]]),rng_EFConcat,rng_EF3)*Buildings_Water_Backend[[#This Row],[Converted data]]/1000</f>
        <v>#N/A</v>
      </c>
      <c r="AI340" s="210" t="e">
        <f>_xlfn.XLOOKUP(_xlfn.CONCAT(Buildings_Water_Backend[[#This Row],[Level 1]:[Level 6]]),rng_EFConcat,rng_EF3WTT)*Buildings_Water_Backend[[#This Row],[Converted data]]/1000</f>
        <v>#N/A</v>
      </c>
      <c r="AJ340" s="210" t="e">
        <f>_xlfn.XLOOKUP(_xlfn.CONCAT(Buildings_Water_Backend[[#This Row],[Level 1]:[Level 6]]),rng_EFConcat,rng_EF3TD)*Buildings_Water_Backend[[#This Row],[Converted data]]/1000</f>
        <v>#N/A</v>
      </c>
      <c r="AK340" s="210" t="e">
        <f>_xlfn.XLOOKUP(_xlfn.CONCAT(Buildings_Water_Backend[[#This Row],[Level 1]:[Level 6]]),rng_EFConcat,rng_EF3WTTTD)*Buildings_Water_Backend[[#This Row],[Converted data]]/1000</f>
        <v>#N/A</v>
      </c>
      <c r="AL340" s="220" t="e">
        <f>SUM(Buildings_Water_Backend[[#This Row],[Scope 1 (tCO2e)]:[Scope 3 WTT T&amp;D (tCO2e)]])</f>
        <v>#N/A</v>
      </c>
      <c r="AM340" s="220" t="e">
        <f>Buildings_Water_Backend[[#This Row],[Total (tCO2e)]]*(1-Buildings_Water_Backend[[#This Row],[RSD]])</f>
        <v>#N/A</v>
      </c>
      <c r="AN340" s="220" t="e">
        <f>Buildings_Water_Backend[[#This Row],[Total (tCO2e)]]*(1+Buildings_Water_Backend[[#This Row],[RSD]])</f>
        <v>#N/A</v>
      </c>
      <c r="AO340" s="210" t="e">
        <f>_xlfn.XLOOKUP(_xlfn.CONCAT(Buildings_Water_Backend[[#This Row],[Level 1]:[Level 6]]),rng_EFConcat,rng_EFOOS)*Buildings_Water_Backend[[#This Row],[Converted data]]/1000</f>
        <v>#N/A</v>
      </c>
      <c r="AP340" s="174">
        <f>Buildings_Water_Frontend[[#This Row],[Ease of collection]]</f>
        <v>0</v>
      </c>
      <c r="AQ340" s="174">
        <f>Buildings_Water_Frontend[[#This Row],[Completeness]]</f>
        <v>0</v>
      </c>
      <c r="AR340" s="174">
        <f>Buildings_Water_Frontend[[#This Row],[Notes]]</f>
        <v>0</v>
      </c>
    </row>
    <row r="341" spans="5:44" x14ac:dyDescent="0.3">
      <c r="E341" s="346"/>
      <c r="F341" s="364"/>
      <c r="G341" s="336"/>
      <c r="H341" s="336"/>
      <c r="I341" s="334"/>
      <c r="J341" s="336"/>
      <c r="K341" s="336"/>
      <c r="L341" s="336"/>
      <c r="M341" s="337"/>
      <c r="N341" s="242">
        <f t="shared" si="11"/>
        <v>5</v>
      </c>
      <c r="Q341" s="212" t="str">
        <f t="shared" si="10"/>
        <v/>
      </c>
      <c r="R341" s="174" t="s">
        <v>265</v>
      </c>
      <c r="S341" s="174" t="s">
        <v>273</v>
      </c>
      <c r="T341" s="174" t="e">
        <f>_xlfn.XLOOKUP(Buildings_Water_Backend[[#This Row],[Info 1]],Buildings_SiteInfo[Site name],Buildings_SiteInfo[Site type])</f>
        <v>#N/A</v>
      </c>
      <c r="U341" s="174" t="s">
        <v>327</v>
      </c>
      <c r="V341" s="174">
        <f>Buildings_Water_Frontend[[#This Row],[Type]]</f>
        <v>0</v>
      </c>
      <c r="W341" s="174" t="e" cm="1">
        <f t="array" aca="1" ref="W341" ca="1">_xlfn.XLOOKUP(Buildings_Water_Backend[[#This Row],[Level 5]],rng_Level5Long,rng_Level6Long)</f>
        <v>#N/A</v>
      </c>
      <c r="X341" s="174">
        <f>Buildings_Water_Frontend[[#This Row],[Site Name]]</f>
        <v>0</v>
      </c>
      <c r="Y341" s="174">
        <f>Buildings_Water_Frontend[[#This Row],[Meter Reference]]</f>
        <v>0</v>
      </c>
      <c r="Z341" s="220">
        <f>Buildings_Water_Frontend[[#This Row],[Methodology]]</f>
        <v>0</v>
      </c>
      <c r="AA341" s="229" t="e" cm="1">
        <f t="array" ref="AA341">INDEX(_xlfn.SWITCH(Buildings_Water_Backend[[#This Row],[Methodology]],"Tier 1",rng_RSD1,"Tier 2",rng_RSD2,"Tier 3",rng_RSD3),MATCH(_xlfn.CONCAT(Buildings_Water_Backend[[#This Row],[Level 1]:[Level 6]]),rng_LevelsConcat,0))</f>
        <v>#N/A</v>
      </c>
      <c r="AB341" s="224">
        <f>Buildings_Water_Frontend[[#This Row],[Data]]</f>
        <v>0</v>
      </c>
      <c r="AC341" s="174">
        <f>Buildings_Water_Frontend[[#This Row],[Units]]</f>
        <v>0</v>
      </c>
      <c r="AD341" s="220" t="e">
        <f>IF(Buildings_Water_Backend[[#This Row],[Units]]=Buildings_Water_Backend[[#This Row],[Standard units]],Buildings_Water_Backend[[#This Row],[Data]],Buildings_Water_Backend[[#This Row],[Data]]*_xlfn.XLOOKUP(_xlfn.CONCAT(Buildings_Water_Backend[[#This Row],[Level 1]:[Level 6]]),rng_EFConcat,rng_EFConversion))</f>
        <v>#N/A</v>
      </c>
      <c r="AE341" s="174" t="e" cm="1">
        <f t="array" ref="AE341">_xlfn.XLOOKUP(_xlfn.CONCAT(Buildings_Water_Backend[[#This Row],[Level 1]:[Level 6]]),rng_LevelsConcat,rng_UnitsLong)</f>
        <v>#N/A</v>
      </c>
      <c r="AF341" s="210" t="e">
        <f>_xlfn.XLOOKUP(_xlfn.CONCAT(Buildings_Water_Backend[[#This Row],[Level 1]:[Level 6]]),rng_EFConcat,rng_EF1)*Buildings_Water_Backend[[#This Row],[Converted data]]/1000</f>
        <v>#N/A</v>
      </c>
      <c r="AG341" s="210" t="e">
        <f>_xlfn.XLOOKUP(_xlfn.CONCAT(Buildings_Water_Backend[[#This Row],[Level 1]:[Level 6]]),rng_EFConcat,rng_EF2)*Buildings_Water_Backend[[#This Row],[Converted data]]/1000</f>
        <v>#N/A</v>
      </c>
      <c r="AH341" s="210" t="e">
        <f>_xlfn.XLOOKUP(_xlfn.CONCAT(Buildings_Water_Backend[[#This Row],[Level 1]:[Level 6]]),rng_EFConcat,rng_EF3)*Buildings_Water_Backend[[#This Row],[Converted data]]/1000</f>
        <v>#N/A</v>
      </c>
      <c r="AI341" s="210" t="e">
        <f>_xlfn.XLOOKUP(_xlfn.CONCAT(Buildings_Water_Backend[[#This Row],[Level 1]:[Level 6]]),rng_EFConcat,rng_EF3WTT)*Buildings_Water_Backend[[#This Row],[Converted data]]/1000</f>
        <v>#N/A</v>
      </c>
      <c r="AJ341" s="210" t="e">
        <f>_xlfn.XLOOKUP(_xlfn.CONCAT(Buildings_Water_Backend[[#This Row],[Level 1]:[Level 6]]),rng_EFConcat,rng_EF3TD)*Buildings_Water_Backend[[#This Row],[Converted data]]/1000</f>
        <v>#N/A</v>
      </c>
      <c r="AK341" s="210" t="e">
        <f>_xlfn.XLOOKUP(_xlfn.CONCAT(Buildings_Water_Backend[[#This Row],[Level 1]:[Level 6]]),rng_EFConcat,rng_EF3WTTTD)*Buildings_Water_Backend[[#This Row],[Converted data]]/1000</f>
        <v>#N/A</v>
      </c>
      <c r="AL341" s="220" t="e">
        <f>SUM(Buildings_Water_Backend[[#This Row],[Scope 1 (tCO2e)]:[Scope 3 WTT T&amp;D (tCO2e)]])</f>
        <v>#N/A</v>
      </c>
      <c r="AM341" s="220" t="e">
        <f>Buildings_Water_Backend[[#This Row],[Total (tCO2e)]]*(1-Buildings_Water_Backend[[#This Row],[RSD]])</f>
        <v>#N/A</v>
      </c>
      <c r="AN341" s="220" t="e">
        <f>Buildings_Water_Backend[[#This Row],[Total (tCO2e)]]*(1+Buildings_Water_Backend[[#This Row],[RSD]])</f>
        <v>#N/A</v>
      </c>
      <c r="AO341" s="210" t="e">
        <f>_xlfn.XLOOKUP(_xlfn.CONCAT(Buildings_Water_Backend[[#This Row],[Level 1]:[Level 6]]),rng_EFConcat,rng_EFOOS)*Buildings_Water_Backend[[#This Row],[Converted data]]/1000</f>
        <v>#N/A</v>
      </c>
      <c r="AP341" s="174">
        <f>Buildings_Water_Frontend[[#This Row],[Ease of collection]]</f>
        <v>0</v>
      </c>
      <c r="AQ341" s="174">
        <f>Buildings_Water_Frontend[[#This Row],[Completeness]]</f>
        <v>0</v>
      </c>
      <c r="AR341" s="174">
        <f>Buildings_Water_Frontend[[#This Row],[Notes]]</f>
        <v>0</v>
      </c>
    </row>
    <row r="342" spans="5:44" x14ac:dyDescent="0.3">
      <c r="E342" s="346"/>
      <c r="F342" s="364"/>
      <c r="G342" s="336"/>
      <c r="H342" s="336"/>
      <c r="I342" s="334"/>
      <c r="J342" s="336"/>
      <c r="K342" s="336"/>
      <c r="L342" s="336"/>
      <c r="M342" s="337"/>
      <c r="N342" s="242">
        <f t="shared" si="11"/>
        <v>5</v>
      </c>
      <c r="Q342" s="212" t="str">
        <f t="shared" si="10"/>
        <v/>
      </c>
      <c r="R342" s="174" t="s">
        <v>265</v>
      </c>
      <c r="S342" s="174" t="s">
        <v>273</v>
      </c>
      <c r="T342" s="174" t="e">
        <f>_xlfn.XLOOKUP(Buildings_Water_Backend[[#This Row],[Info 1]],Buildings_SiteInfo[Site name],Buildings_SiteInfo[Site type])</f>
        <v>#N/A</v>
      </c>
      <c r="U342" s="174" t="s">
        <v>327</v>
      </c>
      <c r="V342" s="174">
        <f>Buildings_Water_Frontend[[#This Row],[Type]]</f>
        <v>0</v>
      </c>
      <c r="W342" s="174" t="e" cm="1">
        <f t="array" aca="1" ref="W342" ca="1">_xlfn.XLOOKUP(Buildings_Water_Backend[[#This Row],[Level 5]],rng_Level5Long,rng_Level6Long)</f>
        <v>#N/A</v>
      </c>
      <c r="X342" s="174">
        <f>Buildings_Water_Frontend[[#This Row],[Site Name]]</f>
        <v>0</v>
      </c>
      <c r="Y342" s="174">
        <f>Buildings_Water_Frontend[[#This Row],[Meter Reference]]</f>
        <v>0</v>
      </c>
      <c r="Z342" s="220">
        <f>Buildings_Water_Frontend[[#This Row],[Methodology]]</f>
        <v>0</v>
      </c>
      <c r="AA342" s="229" t="e" cm="1">
        <f t="array" ref="AA342">INDEX(_xlfn.SWITCH(Buildings_Water_Backend[[#This Row],[Methodology]],"Tier 1",rng_RSD1,"Tier 2",rng_RSD2,"Tier 3",rng_RSD3),MATCH(_xlfn.CONCAT(Buildings_Water_Backend[[#This Row],[Level 1]:[Level 6]]),rng_LevelsConcat,0))</f>
        <v>#N/A</v>
      </c>
      <c r="AB342" s="224">
        <f>Buildings_Water_Frontend[[#This Row],[Data]]</f>
        <v>0</v>
      </c>
      <c r="AC342" s="174">
        <f>Buildings_Water_Frontend[[#This Row],[Units]]</f>
        <v>0</v>
      </c>
      <c r="AD342" s="220" t="e">
        <f>IF(Buildings_Water_Backend[[#This Row],[Units]]=Buildings_Water_Backend[[#This Row],[Standard units]],Buildings_Water_Backend[[#This Row],[Data]],Buildings_Water_Backend[[#This Row],[Data]]*_xlfn.XLOOKUP(_xlfn.CONCAT(Buildings_Water_Backend[[#This Row],[Level 1]:[Level 6]]),rng_EFConcat,rng_EFConversion))</f>
        <v>#N/A</v>
      </c>
      <c r="AE342" s="174" t="e" cm="1">
        <f t="array" ref="AE342">_xlfn.XLOOKUP(_xlfn.CONCAT(Buildings_Water_Backend[[#This Row],[Level 1]:[Level 6]]),rng_LevelsConcat,rng_UnitsLong)</f>
        <v>#N/A</v>
      </c>
      <c r="AF342" s="210" t="e">
        <f>_xlfn.XLOOKUP(_xlfn.CONCAT(Buildings_Water_Backend[[#This Row],[Level 1]:[Level 6]]),rng_EFConcat,rng_EF1)*Buildings_Water_Backend[[#This Row],[Converted data]]/1000</f>
        <v>#N/A</v>
      </c>
      <c r="AG342" s="210" t="e">
        <f>_xlfn.XLOOKUP(_xlfn.CONCAT(Buildings_Water_Backend[[#This Row],[Level 1]:[Level 6]]),rng_EFConcat,rng_EF2)*Buildings_Water_Backend[[#This Row],[Converted data]]/1000</f>
        <v>#N/A</v>
      </c>
      <c r="AH342" s="210" t="e">
        <f>_xlfn.XLOOKUP(_xlfn.CONCAT(Buildings_Water_Backend[[#This Row],[Level 1]:[Level 6]]),rng_EFConcat,rng_EF3)*Buildings_Water_Backend[[#This Row],[Converted data]]/1000</f>
        <v>#N/A</v>
      </c>
      <c r="AI342" s="210" t="e">
        <f>_xlfn.XLOOKUP(_xlfn.CONCAT(Buildings_Water_Backend[[#This Row],[Level 1]:[Level 6]]),rng_EFConcat,rng_EF3WTT)*Buildings_Water_Backend[[#This Row],[Converted data]]/1000</f>
        <v>#N/A</v>
      </c>
      <c r="AJ342" s="210" t="e">
        <f>_xlfn.XLOOKUP(_xlfn.CONCAT(Buildings_Water_Backend[[#This Row],[Level 1]:[Level 6]]),rng_EFConcat,rng_EF3TD)*Buildings_Water_Backend[[#This Row],[Converted data]]/1000</f>
        <v>#N/A</v>
      </c>
      <c r="AK342" s="210" t="e">
        <f>_xlfn.XLOOKUP(_xlfn.CONCAT(Buildings_Water_Backend[[#This Row],[Level 1]:[Level 6]]),rng_EFConcat,rng_EF3WTTTD)*Buildings_Water_Backend[[#This Row],[Converted data]]/1000</f>
        <v>#N/A</v>
      </c>
      <c r="AL342" s="220" t="e">
        <f>SUM(Buildings_Water_Backend[[#This Row],[Scope 1 (tCO2e)]:[Scope 3 WTT T&amp;D (tCO2e)]])</f>
        <v>#N/A</v>
      </c>
      <c r="AM342" s="220" t="e">
        <f>Buildings_Water_Backend[[#This Row],[Total (tCO2e)]]*(1-Buildings_Water_Backend[[#This Row],[RSD]])</f>
        <v>#N/A</v>
      </c>
      <c r="AN342" s="220" t="e">
        <f>Buildings_Water_Backend[[#This Row],[Total (tCO2e)]]*(1+Buildings_Water_Backend[[#This Row],[RSD]])</f>
        <v>#N/A</v>
      </c>
      <c r="AO342" s="210" t="e">
        <f>_xlfn.XLOOKUP(_xlfn.CONCAT(Buildings_Water_Backend[[#This Row],[Level 1]:[Level 6]]),rng_EFConcat,rng_EFOOS)*Buildings_Water_Backend[[#This Row],[Converted data]]/1000</f>
        <v>#N/A</v>
      </c>
      <c r="AP342" s="174">
        <f>Buildings_Water_Frontend[[#This Row],[Ease of collection]]</f>
        <v>0</v>
      </c>
      <c r="AQ342" s="174">
        <f>Buildings_Water_Frontend[[#This Row],[Completeness]]</f>
        <v>0</v>
      </c>
      <c r="AR342" s="174">
        <f>Buildings_Water_Frontend[[#This Row],[Notes]]</f>
        <v>0</v>
      </c>
    </row>
    <row r="343" spans="5:44" x14ac:dyDescent="0.3">
      <c r="E343" s="346"/>
      <c r="F343" s="364"/>
      <c r="G343" s="336"/>
      <c r="H343" s="336"/>
      <c r="I343" s="334"/>
      <c r="J343" s="336"/>
      <c r="K343" s="336"/>
      <c r="L343" s="336"/>
      <c r="M343" s="337"/>
      <c r="N343" s="242">
        <f t="shared" si="11"/>
        <v>5</v>
      </c>
      <c r="Q343" s="212" t="str">
        <f t="shared" si="10"/>
        <v/>
      </c>
      <c r="R343" s="174" t="s">
        <v>265</v>
      </c>
      <c r="S343" s="174" t="s">
        <v>273</v>
      </c>
      <c r="T343" s="174" t="e">
        <f>_xlfn.XLOOKUP(Buildings_Water_Backend[[#This Row],[Info 1]],Buildings_SiteInfo[Site name],Buildings_SiteInfo[Site type])</f>
        <v>#N/A</v>
      </c>
      <c r="U343" s="174" t="s">
        <v>327</v>
      </c>
      <c r="V343" s="174">
        <f>Buildings_Water_Frontend[[#This Row],[Type]]</f>
        <v>0</v>
      </c>
      <c r="W343" s="174" t="e" cm="1">
        <f t="array" aca="1" ref="W343" ca="1">_xlfn.XLOOKUP(Buildings_Water_Backend[[#This Row],[Level 5]],rng_Level5Long,rng_Level6Long)</f>
        <v>#N/A</v>
      </c>
      <c r="X343" s="174">
        <f>Buildings_Water_Frontend[[#This Row],[Site Name]]</f>
        <v>0</v>
      </c>
      <c r="Y343" s="174">
        <f>Buildings_Water_Frontend[[#This Row],[Meter Reference]]</f>
        <v>0</v>
      </c>
      <c r="Z343" s="220">
        <f>Buildings_Water_Frontend[[#This Row],[Methodology]]</f>
        <v>0</v>
      </c>
      <c r="AA343" s="229" t="e" cm="1">
        <f t="array" ref="AA343">INDEX(_xlfn.SWITCH(Buildings_Water_Backend[[#This Row],[Methodology]],"Tier 1",rng_RSD1,"Tier 2",rng_RSD2,"Tier 3",rng_RSD3),MATCH(_xlfn.CONCAT(Buildings_Water_Backend[[#This Row],[Level 1]:[Level 6]]),rng_LevelsConcat,0))</f>
        <v>#N/A</v>
      </c>
      <c r="AB343" s="224">
        <f>Buildings_Water_Frontend[[#This Row],[Data]]</f>
        <v>0</v>
      </c>
      <c r="AC343" s="174">
        <f>Buildings_Water_Frontend[[#This Row],[Units]]</f>
        <v>0</v>
      </c>
      <c r="AD343" s="220" t="e">
        <f>IF(Buildings_Water_Backend[[#This Row],[Units]]=Buildings_Water_Backend[[#This Row],[Standard units]],Buildings_Water_Backend[[#This Row],[Data]],Buildings_Water_Backend[[#This Row],[Data]]*_xlfn.XLOOKUP(_xlfn.CONCAT(Buildings_Water_Backend[[#This Row],[Level 1]:[Level 6]]),rng_EFConcat,rng_EFConversion))</f>
        <v>#N/A</v>
      </c>
      <c r="AE343" s="174" t="e" cm="1">
        <f t="array" ref="AE343">_xlfn.XLOOKUP(_xlfn.CONCAT(Buildings_Water_Backend[[#This Row],[Level 1]:[Level 6]]),rng_LevelsConcat,rng_UnitsLong)</f>
        <v>#N/A</v>
      </c>
      <c r="AF343" s="210" t="e">
        <f>_xlfn.XLOOKUP(_xlfn.CONCAT(Buildings_Water_Backend[[#This Row],[Level 1]:[Level 6]]),rng_EFConcat,rng_EF1)*Buildings_Water_Backend[[#This Row],[Converted data]]/1000</f>
        <v>#N/A</v>
      </c>
      <c r="AG343" s="210" t="e">
        <f>_xlfn.XLOOKUP(_xlfn.CONCAT(Buildings_Water_Backend[[#This Row],[Level 1]:[Level 6]]),rng_EFConcat,rng_EF2)*Buildings_Water_Backend[[#This Row],[Converted data]]/1000</f>
        <v>#N/A</v>
      </c>
      <c r="AH343" s="210" t="e">
        <f>_xlfn.XLOOKUP(_xlfn.CONCAT(Buildings_Water_Backend[[#This Row],[Level 1]:[Level 6]]),rng_EFConcat,rng_EF3)*Buildings_Water_Backend[[#This Row],[Converted data]]/1000</f>
        <v>#N/A</v>
      </c>
      <c r="AI343" s="210" t="e">
        <f>_xlfn.XLOOKUP(_xlfn.CONCAT(Buildings_Water_Backend[[#This Row],[Level 1]:[Level 6]]),rng_EFConcat,rng_EF3WTT)*Buildings_Water_Backend[[#This Row],[Converted data]]/1000</f>
        <v>#N/A</v>
      </c>
      <c r="AJ343" s="210" t="e">
        <f>_xlfn.XLOOKUP(_xlfn.CONCAT(Buildings_Water_Backend[[#This Row],[Level 1]:[Level 6]]),rng_EFConcat,rng_EF3TD)*Buildings_Water_Backend[[#This Row],[Converted data]]/1000</f>
        <v>#N/A</v>
      </c>
      <c r="AK343" s="210" t="e">
        <f>_xlfn.XLOOKUP(_xlfn.CONCAT(Buildings_Water_Backend[[#This Row],[Level 1]:[Level 6]]),rng_EFConcat,rng_EF3WTTTD)*Buildings_Water_Backend[[#This Row],[Converted data]]/1000</f>
        <v>#N/A</v>
      </c>
      <c r="AL343" s="220" t="e">
        <f>SUM(Buildings_Water_Backend[[#This Row],[Scope 1 (tCO2e)]:[Scope 3 WTT T&amp;D (tCO2e)]])</f>
        <v>#N/A</v>
      </c>
      <c r="AM343" s="220" t="e">
        <f>Buildings_Water_Backend[[#This Row],[Total (tCO2e)]]*(1-Buildings_Water_Backend[[#This Row],[RSD]])</f>
        <v>#N/A</v>
      </c>
      <c r="AN343" s="220" t="e">
        <f>Buildings_Water_Backend[[#This Row],[Total (tCO2e)]]*(1+Buildings_Water_Backend[[#This Row],[RSD]])</f>
        <v>#N/A</v>
      </c>
      <c r="AO343" s="210" t="e">
        <f>_xlfn.XLOOKUP(_xlfn.CONCAT(Buildings_Water_Backend[[#This Row],[Level 1]:[Level 6]]),rng_EFConcat,rng_EFOOS)*Buildings_Water_Backend[[#This Row],[Converted data]]/1000</f>
        <v>#N/A</v>
      </c>
      <c r="AP343" s="174">
        <f>Buildings_Water_Frontend[[#This Row],[Ease of collection]]</f>
        <v>0</v>
      </c>
      <c r="AQ343" s="174">
        <f>Buildings_Water_Frontend[[#This Row],[Completeness]]</f>
        <v>0</v>
      </c>
      <c r="AR343" s="174">
        <f>Buildings_Water_Frontend[[#This Row],[Notes]]</f>
        <v>0</v>
      </c>
    </row>
    <row r="344" spans="5:44" x14ac:dyDescent="0.3">
      <c r="E344" s="346"/>
      <c r="F344" s="364"/>
      <c r="G344" s="336"/>
      <c r="H344" s="336"/>
      <c r="I344" s="334"/>
      <c r="J344" s="336"/>
      <c r="K344" s="336"/>
      <c r="L344" s="336"/>
      <c r="M344" s="337"/>
      <c r="N344" s="242">
        <f t="shared" si="11"/>
        <v>5</v>
      </c>
      <c r="Q344" s="212" t="str">
        <f t="shared" si="10"/>
        <v/>
      </c>
      <c r="R344" s="174" t="s">
        <v>265</v>
      </c>
      <c r="S344" s="174" t="s">
        <v>273</v>
      </c>
      <c r="T344" s="174" t="e">
        <f>_xlfn.XLOOKUP(Buildings_Water_Backend[[#This Row],[Info 1]],Buildings_SiteInfo[Site name],Buildings_SiteInfo[Site type])</f>
        <v>#N/A</v>
      </c>
      <c r="U344" s="174" t="s">
        <v>327</v>
      </c>
      <c r="V344" s="174">
        <f>Buildings_Water_Frontend[[#This Row],[Type]]</f>
        <v>0</v>
      </c>
      <c r="W344" s="174" t="e" cm="1">
        <f t="array" aca="1" ref="W344" ca="1">_xlfn.XLOOKUP(Buildings_Water_Backend[[#This Row],[Level 5]],rng_Level5Long,rng_Level6Long)</f>
        <v>#N/A</v>
      </c>
      <c r="X344" s="174">
        <f>Buildings_Water_Frontend[[#This Row],[Site Name]]</f>
        <v>0</v>
      </c>
      <c r="Y344" s="174">
        <f>Buildings_Water_Frontend[[#This Row],[Meter Reference]]</f>
        <v>0</v>
      </c>
      <c r="Z344" s="220">
        <f>Buildings_Water_Frontend[[#This Row],[Methodology]]</f>
        <v>0</v>
      </c>
      <c r="AA344" s="229" t="e" cm="1">
        <f t="array" ref="AA344">INDEX(_xlfn.SWITCH(Buildings_Water_Backend[[#This Row],[Methodology]],"Tier 1",rng_RSD1,"Tier 2",rng_RSD2,"Tier 3",rng_RSD3),MATCH(_xlfn.CONCAT(Buildings_Water_Backend[[#This Row],[Level 1]:[Level 6]]),rng_LevelsConcat,0))</f>
        <v>#N/A</v>
      </c>
      <c r="AB344" s="224">
        <f>Buildings_Water_Frontend[[#This Row],[Data]]</f>
        <v>0</v>
      </c>
      <c r="AC344" s="174">
        <f>Buildings_Water_Frontend[[#This Row],[Units]]</f>
        <v>0</v>
      </c>
      <c r="AD344" s="220" t="e">
        <f>IF(Buildings_Water_Backend[[#This Row],[Units]]=Buildings_Water_Backend[[#This Row],[Standard units]],Buildings_Water_Backend[[#This Row],[Data]],Buildings_Water_Backend[[#This Row],[Data]]*_xlfn.XLOOKUP(_xlfn.CONCAT(Buildings_Water_Backend[[#This Row],[Level 1]:[Level 6]]),rng_EFConcat,rng_EFConversion))</f>
        <v>#N/A</v>
      </c>
      <c r="AE344" s="174" t="e" cm="1">
        <f t="array" ref="AE344">_xlfn.XLOOKUP(_xlfn.CONCAT(Buildings_Water_Backend[[#This Row],[Level 1]:[Level 6]]),rng_LevelsConcat,rng_UnitsLong)</f>
        <v>#N/A</v>
      </c>
      <c r="AF344" s="210" t="e">
        <f>_xlfn.XLOOKUP(_xlfn.CONCAT(Buildings_Water_Backend[[#This Row],[Level 1]:[Level 6]]),rng_EFConcat,rng_EF1)*Buildings_Water_Backend[[#This Row],[Converted data]]/1000</f>
        <v>#N/A</v>
      </c>
      <c r="AG344" s="210" t="e">
        <f>_xlfn.XLOOKUP(_xlfn.CONCAT(Buildings_Water_Backend[[#This Row],[Level 1]:[Level 6]]),rng_EFConcat,rng_EF2)*Buildings_Water_Backend[[#This Row],[Converted data]]/1000</f>
        <v>#N/A</v>
      </c>
      <c r="AH344" s="210" t="e">
        <f>_xlfn.XLOOKUP(_xlfn.CONCAT(Buildings_Water_Backend[[#This Row],[Level 1]:[Level 6]]),rng_EFConcat,rng_EF3)*Buildings_Water_Backend[[#This Row],[Converted data]]/1000</f>
        <v>#N/A</v>
      </c>
      <c r="AI344" s="210" t="e">
        <f>_xlfn.XLOOKUP(_xlfn.CONCAT(Buildings_Water_Backend[[#This Row],[Level 1]:[Level 6]]),rng_EFConcat,rng_EF3WTT)*Buildings_Water_Backend[[#This Row],[Converted data]]/1000</f>
        <v>#N/A</v>
      </c>
      <c r="AJ344" s="210" t="e">
        <f>_xlfn.XLOOKUP(_xlfn.CONCAT(Buildings_Water_Backend[[#This Row],[Level 1]:[Level 6]]),rng_EFConcat,rng_EF3TD)*Buildings_Water_Backend[[#This Row],[Converted data]]/1000</f>
        <v>#N/A</v>
      </c>
      <c r="AK344" s="210" t="e">
        <f>_xlfn.XLOOKUP(_xlfn.CONCAT(Buildings_Water_Backend[[#This Row],[Level 1]:[Level 6]]),rng_EFConcat,rng_EF3WTTTD)*Buildings_Water_Backend[[#This Row],[Converted data]]/1000</f>
        <v>#N/A</v>
      </c>
      <c r="AL344" s="220" t="e">
        <f>SUM(Buildings_Water_Backend[[#This Row],[Scope 1 (tCO2e)]:[Scope 3 WTT T&amp;D (tCO2e)]])</f>
        <v>#N/A</v>
      </c>
      <c r="AM344" s="220" t="e">
        <f>Buildings_Water_Backend[[#This Row],[Total (tCO2e)]]*(1-Buildings_Water_Backend[[#This Row],[RSD]])</f>
        <v>#N/A</v>
      </c>
      <c r="AN344" s="220" t="e">
        <f>Buildings_Water_Backend[[#This Row],[Total (tCO2e)]]*(1+Buildings_Water_Backend[[#This Row],[RSD]])</f>
        <v>#N/A</v>
      </c>
      <c r="AO344" s="210" t="e">
        <f>_xlfn.XLOOKUP(_xlfn.CONCAT(Buildings_Water_Backend[[#This Row],[Level 1]:[Level 6]]),rng_EFConcat,rng_EFOOS)*Buildings_Water_Backend[[#This Row],[Converted data]]/1000</f>
        <v>#N/A</v>
      </c>
      <c r="AP344" s="174">
        <f>Buildings_Water_Frontend[[#This Row],[Ease of collection]]</f>
        <v>0</v>
      </c>
      <c r="AQ344" s="174">
        <f>Buildings_Water_Frontend[[#This Row],[Completeness]]</f>
        <v>0</v>
      </c>
      <c r="AR344" s="174">
        <f>Buildings_Water_Frontend[[#This Row],[Notes]]</f>
        <v>0</v>
      </c>
    </row>
    <row r="345" spans="5:44" x14ac:dyDescent="0.3">
      <c r="E345" s="346"/>
      <c r="F345" s="364"/>
      <c r="G345" s="336"/>
      <c r="H345" s="336"/>
      <c r="I345" s="334"/>
      <c r="J345" s="336"/>
      <c r="K345" s="336"/>
      <c r="L345" s="336"/>
      <c r="M345" s="337"/>
      <c r="N345" s="242">
        <f t="shared" si="11"/>
        <v>5</v>
      </c>
      <c r="Q345" s="212" t="str">
        <f t="shared" si="10"/>
        <v/>
      </c>
      <c r="R345" s="174" t="s">
        <v>265</v>
      </c>
      <c r="S345" s="174" t="s">
        <v>273</v>
      </c>
      <c r="T345" s="174" t="e">
        <f>_xlfn.XLOOKUP(Buildings_Water_Backend[[#This Row],[Info 1]],Buildings_SiteInfo[Site name],Buildings_SiteInfo[Site type])</f>
        <v>#N/A</v>
      </c>
      <c r="U345" s="174" t="s">
        <v>327</v>
      </c>
      <c r="V345" s="174">
        <f>Buildings_Water_Frontend[[#This Row],[Type]]</f>
        <v>0</v>
      </c>
      <c r="W345" s="174" t="e" cm="1">
        <f t="array" aca="1" ref="W345" ca="1">_xlfn.XLOOKUP(Buildings_Water_Backend[[#This Row],[Level 5]],rng_Level5Long,rng_Level6Long)</f>
        <v>#N/A</v>
      </c>
      <c r="X345" s="174">
        <f>Buildings_Water_Frontend[[#This Row],[Site Name]]</f>
        <v>0</v>
      </c>
      <c r="Y345" s="174">
        <f>Buildings_Water_Frontend[[#This Row],[Meter Reference]]</f>
        <v>0</v>
      </c>
      <c r="Z345" s="220">
        <f>Buildings_Water_Frontend[[#This Row],[Methodology]]</f>
        <v>0</v>
      </c>
      <c r="AA345" s="229" t="e" cm="1">
        <f t="array" ref="AA345">INDEX(_xlfn.SWITCH(Buildings_Water_Backend[[#This Row],[Methodology]],"Tier 1",rng_RSD1,"Tier 2",rng_RSD2,"Tier 3",rng_RSD3),MATCH(_xlfn.CONCAT(Buildings_Water_Backend[[#This Row],[Level 1]:[Level 6]]),rng_LevelsConcat,0))</f>
        <v>#N/A</v>
      </c>
      <c r="AB345" s="224">
        <f>Buildings_Water_Frontend[[#This Row],[Data]]</f>
        <v>0</v>
      </c>
      <c r="AC345" s="174">
        <f>Buildings_Water_Frontend[[#This Row],[Units]]</f>
        <v>0</v>
      </c>
      <c r="AD345" s="220" t="e">
        <f>IF(Buildings_Water_Backend[[#This Row],[Units]]=Buildings_Water_Backend[[#This Row],[Standard units]],Buildings_Water_Backend[[#This Row],[Data]],Buildings_Water_Backend[[#This Row],[Data]]*_xlfn.XLOOKUP(_xlfn.CONCAT(Buildings_Water_Backend[[#This Row],[Level 1]:[Level 6]]),rng_EFConcat,rng_EFConversion))</f>
        <v>#N/A</v>
      </c>
      <c r="AE345" s="174" t="e" cm="1">
        <f t="array" ref="AE345">_xlfn.XLOOKUP(_xlfn.CONCAT(Buildings_Water_Backend[[#This Row],[Level 1]:[Level 6]]),rng_LevelsConcat,rng_UnitsLong)</f>
        <v>#N/A</v>
      </c>
      <c r="AF345" s="210" t="e">
        <f>_xlfn.XLOOKUP(_xlfn.CONCAT(Buildings_Water_Backend[[#This Row],[Level 1]:[Level 6]]),rng_EFConcat,rng_EF1)*Buildings_Water_Backend[[#This Row],[Converted data]]/1000</f>
        <v>#N/A</v>
      </c>
      <c r="AG345" s="210" t="e">
        <f>_xlfn.XLOOKUP(_xlfn.CONCAT(Buildings_Water_Backend[[#This Row],[Level 1]:[Level 6]]),rng_EFConcat,rng_EF2)*Buildings_Water_Backend[[#This Row],[Converted data]]/1000</f>
        <v>#N/A</v>
      </c>
      <c r="AH345" s="210" t="e">
        <f>_xlfn.XLOOKUP(_xlfn.CONCAT(Buildings_Water_Backend[[#This Row],[Level 1]:[Level 6]]),rng_EFConcat,rng_EF3)*Buildings_Water_Backend[[#This Row],[Converted data]]/1000</f>
        <v>#N/A</v>
      </c>
      <c r="AI345" s="210" t="e">
        <f>_xlfn.XLOOKUP(_xlfn.CONCAT(Buildings_Water_Backend[[#This Row],[Level 1]:[Level 6]]),rng_EFConcat,rng_EF3WTT)*Buildings_Water_Backend[[#This Row],[Converted data]]/1000</f>
        <v>#N/A</v>
      </c>
      <c r="AJ345" s="210" t="e">
        <f>_xlfn.XLOOKUP(_xlfn.CONCAT(Buildings_Water_Backend[[#This Row],[Level 1]:[Level 6]]),rng_EFConcat,rng_EF3TD)*Buildings_Water_Backend[[#This Row],[Converted data]]/1000</f>
        <v>#N/A</v>
      </c>
      <c r="AK345" s="210" t="e">
        <f>_xlfn.XLOOKUP(_xlfn.CONCAT(Buildings_Water_Backend[[#This Row],[Level 1]:[Level 6]]),rng_EFConcat,rng_EF3WTTTD)*Buildings_Water_Backend[[#This Row],[Converted data]]/1000</f>
        <v>#N/A</v>
      </c>
      <c r="AL345" s="220" t="e">
        <f>SUM(Buildings_Water_Backend[[#This Row],[Scope 1 (tCO2e)]:[Scope 3 WTT T&amp;D (tCO2e)]])</f>
        <v>#N/A</v>
      </c>
      <c r="AM345" s="220" t="e">
        <f>Buildings_Water_Backend[[#This Row],[Total (tCO2e)]]*(1-Buildings_Water_Backend[[#This Row],[RSD]])</f>
        <v>#N/A</v>
      </c>
      <c r="AN345" s="220" t="e">
        <f>Buildings_Water_Backend[[#This Row],[Total (tCO2e)]]*(1+Buildings_Water_Backend[[#This Row],[RSD]])</f>
        <v>#N/A</v>
      </c>
      <c r="AO345" s="210" t="e">
        <f>_xlfn.XLOOKUP(_xlfn.CONCAT(Buildings_Water_Backend[[#This Row],[Level 1]:[Level 6]]),rng_EFConcat,rng_EFOOS)*Buildings_Water_Backend[[#This Row],[Converted data]]/1000</f>
        <v>#N/A</v>
      </c>
      <c r="AP345" s="174">
        <f>Buildings_Water_Frontend[[#This Row],[Ease of collection]]</f>
        <v>0</v>
      </c>
      <c r="AQ345" s="174">
        <f>Buildings_Water_Frontend[[#This Row],[Completeness]]</f>
        <v>0</v>
      </c>
      <c r="AR345" s="174">
        <f>Buildings_Water_Frontend[[#This Row],[Notes]]</f>
        <v>0</v>
      </c>
    </row>
    <row r="346" spans="5:44" x14ac:dyDescent="0.3">
      <c r="E346" s="346"/>
      <c r="F346" s="364"/>
      <c r="G346" s="336"/>
      <c r="H346" s="336"/>
      <c r="I346" s="334"/>
      <c r="J346" s="336"/>
      <c r="K346" s="336"/>
      <c r="L346" s="336"/>
      <c r="M346" s="337"/>
      <c r="N346" s="242">
        <f t="shared" si="11"/>
        <v>5</v>
      </c>
      <c r="Q346" s="212" t="str">
        <f t="shared" si="10"/>
        <v/>
      </c>
      <c r="R346" s="174" t="s">
        <v>265</v>
      </c>
      <c r="S346" s="174" t="s">
        <v>273</v>
      </c>
      <c r="T346" s="174" t="e">
        <f>_xlfn.XLOOKUP(Buildings_Water_Backend[[#This Row],[Info 1]],Buildings_SiteInfo[Site name],Buildings_SiteInfo[Site type])</f>
        <v>#N/A</v>
      </c>
      <c r="U346" s="174" t="s">
        <v>327</v>
      </c>
      <c r="V346" s="174">
        <f>Buildings_Water_Frontend[[#This Row],[Type]]</f>
        <v>0</v>
      </c>
      <c r="W346" s="174" t="e" cm="1">
        <f t="array" aca="1" ref="W346" ca="1">_xlfn.XLOOKUP(Buildings_Water_Backend[[#This Row],[Level 5]],rng_Level5Long,rng_Level6Long)</f>
        <v>#N/A</v>
      </c>
      <c r="X346" s="174">
        <f>Buildings_Water_Frontend[[#This Row],[Site Name]]</f>
        <v>0</v>
      </c>
      <c r="Y346" s="174">
        <f>Buildings_Water_Frontend[[#This Row],[Meter Reference]]</f>
        <v>0</v>
      </c>
      <c r="Z346" s="220">
        <f>Buildings_Water_Frontend[[#This Row],[Methodology]]</f>
        <v>0</v>
      </c>
      <c r="AA346" s="229" t="e" cm="1">
        <f t="array" ref="AA346">INDEX(_xlfn.SWITCH(Buildings_Water_Backend[[#This Row],[Methodology]],"Tier 1",rng_RSD1,"Tier 2",rng_RSD2,"Tier 3",rng_RSD3),MATCH(_xlfn.CONCAT(Buildings_Water_Backend[[#This Row],[Level 1]:[Level 6]]),rng_LevelsConcat,0))</f>
        <v>#N/A</v>
      </c>
      <c r="AB346" s="224">
        <f>Buildings_Water_Frontend[[#This Row],[Data]]</f>
        <v>0</v>
      </c>
      <c r="AC346" s="174">
        <f>Buildings_Water_Frontend[[#This Row],[Units]]</f>
        <v>0</v>
      </c>
      <c r="AD346" s="220" t="e">
        <f>IF(Buildings_Water_Backend[[#This Row],[Units]]=Buildings_Water_Backend[[#This Row],[Standard units]],Buildings_Water_Backend[[#This Row],[Data]],Buildings_Water_Backend[[#This Row],[Data]]*_xlfn.XLOOKUP(_xlfn.CONCAT(Buildings_Water_Backend[[#This Row],[Level 1]:[Level 6]]),rng_EFConcat,rng_EFConversion))</f>
        <v>#N/A</v>
      </c>
      <c r="AE346" s="174" t="e" cm="1">
        <f t="array" ref="AE346">_xlfn.XLOOKUP(_xlfn.CONCAT(Buildings_Water_Backend[[#This Row],[Level 1]:[Level 6]]),rng_LevelsConcat,rng_UnitsLong)</f>
        <v>#N/A</v>
      </c>
      <c r="AF346" s="210" t="e">
        <f>_xlfn.XLOOKUP(_xlfn.CONCAT(Buildings_Water_Backend[[#This Row],[Level 1]:[Level 6]]),rng_EFConcat,rng_EF1)*Buildings_Water_Backend[[#This Row],[Converted data]]/1000</f>
        <v>#N/A</v>
      </c>
      <c r="AG346" s="210" t="e">
        <f>_xlfn.XLOOKUP(_xlfn.CONCAT(Buildings_Water_Backend[[#This Row],[Level 1]:[Level 6]]),rng_EFConcat,rng_EF2)*Buildings_Water_Backend[[#This Row],[Converted data]]/1000</f>
        <v>#N/A</v>
      </c>
      <c r="AH346" s="210" t="e">
        <f>_xlfn.XLOOKUP(_xlfn.CONCAT(Buildings_Water_Backend[[#This Row],[Level 1]:[Level 6]]),rng_EFConcat,rng_EF3)*Buildings_Water_Backend[[#This Row],[Converted data]]/1000</f>
        <v>#N/A</v>
      </c>
      <c r="AI346" s="210" t="e">
        <f>_xlfn.XLOOKUP(_xlfn.CONCAT(Buildings_Water_Backend[[#This Row],[Level 1]:[Level 6]]),rng_EFConcat,rng_EF3WTT)*Buildings_Water_Backend[[#This Row],[Converted data]]/1000</f>
        <v>#N/A</v>
      </c>
      <c r="AJ346" s="210" t="e">
        <f>_xlfn.XLOOKUP(_xlfn.CONCAT(Buildings_Water_Backend[[#This Row],[Level 1]:[Level 6]]),rng_EFConcat,rng_EF3TD)*Buildings_Water_Backend[[#This Row],[Converted data]]/1000</f>
        <v>#N/A</v>
      </c>
      <c r="AK346" s="210" t="e">
        <f>_xlfn.XLOOKUP(_xlfn.CONCAT(Buildings_Water_Backend[[#This Row],[Level 1]:[Level 6]]),rng_EFConcat,rng_EF3WTTTD)*Buildings_Water_Backend[[#This Row],[Converted data]]/1000</f>
        <v>#N/A</v>
      </c>
      <c r="AL346" s="220" t="e">
        <f>SUM(Buildings_Water_Backend[[#This Row],[Scope 1 (tCO2e)]:[Scope 3 WTT T&amp;D (tCO2e)]])</f>
        <v>#N/A</v>
      </c>
      <c r="AM346" s="220" t="e">
        <f>Buildings_Water_Backend[[#This Row],[Total (tCO2e)]]*(1-Buildings_Water_Backend[[#This Row],[RSD]])</f>
        <v>#N/A</v>
      </c>
      <c r="AN346" s="220" t="e">
        <f>Buildings_Water_Backend[[#This Row],[Total (tCO2e)]]*(1+Buildings_Water_Backend[[#This Row],[RSD]])</f>
        <v>#N/A</v>
      </c>
      <c r="AO346" s="210" t="e">
        <f>_xlfn.XLOOKUP(_xlfn.CONCAT(Buildings_Water_Backend[[#This Row],[Level 1]:[Level 6]]),rng_EFConcat,rng_EFOOS)*Buildings_Water_Backend[[#This Row],[Converted data]]/1000</f>
        <v>#N/A</v>
      </c>
      <c r="AP346" s="174">
        <f>Buildings_Water_Frontend[[#This Row],[Ease of collection]]</f>
        <v>0</v>
      </c>
      <c r="AQ346" s="174">
        <f>Buildings_Water_Frontend[[#This Row],[Completeness]]</f>
        <v>0</v>
      </c>
      <c r="AR346" s="174">
        <f>Buildings_Water_Frontend[[#This Row],[Notes]]</f>
        <v>0</v>
      </c>
    </row>
    <row r="347" spans="5:44" x14ac:dyDescent="0.3">
      <c r="E347" s="346"/>
      <c r="F347" s="364"/>
      <c r="G347" s="336"/>
      <c r="H347" s="336"/>
      <c r="I347" s="334"/>
      <c r="J347" s="336"/>
      <c r="K347" s="336"/>
      <c r="L347" s="336"/>
      <c r="M347" s="337"/>
      <c r="N347" s="242">
        <f t="shared" si="11"/>
        <v>5</v>
      </c>
      <c r="Q347" s="212" t="str">
        <f t="shared" si="10"/>
        <v/>
      </c>
      <c r="R347" s="174" t="s">
        <v>265</v>
      </c>
      <c r="S347" s="174" t="s">
        <v>273</v>
      </c>
      <c r="T347" s="174" t="e">
        <f>_xlfn.XLOOKUP(Buildings_Water_Backend[[#This Row],[Info 1]],Buildings_SiteInfo[Site name],Buildings_SiteInfo[Site type])</f>
        <v>#N/A</v>
      </c>
      <c r="U347" s="174" t="s">
        <v>327</v>
      </c>
      <c r="V347" s="174">
        <f>Buildings_Water_Frontend[[#This Row],[Type]]</f>
        <v>0</v>
      </c>
      <c r="W347" s="174" t="e" cm="1">
        <f t="array" aca="1" ref="W347" ca="1">_xlfn.XLOOKUP(Buildings_Water_Backend[[#This Row],[Level 5]],rng_Level5Long,rng_Level6Long)</f>
        <v>#N/A</v>
      </c>
      <c r="X347" s="174">
        <f>Buildings_Water_Frontend[[#This Row],[Site Name]]</f>
        <v>0</v>
      </c>
      <c r="Y347" s="174">
        <f>Buildings_Water_Frontend[[#This Row],[Meter Reference]]</f>
        <v>0</v>
      </c>
      <c r="Z347" s="220">
        <f>Buildings_Water_Frontend[[#This Row],[Methodology]]</f>
        <v>0</v>
      </c>
      <c r="AA347" s="229" t="e" cm="1">
        <f t="array" ref="AA347">INDEX(_xlfn.SWITCH(Buildings_Water_Backend[[#This Row],[Methodology]],"Tier 1",rng_RSD1,"Tier 2",rng_RSD2,"Tier 3",rng_RSD3),MATCH(_xlfn.CONCAT(Buildings_Water_Backend[[#This Row],[Level 1]:[Level 6]]),rng_LevelsConcat,0))</f>
        <v>#N/A</v>
      </c>
      <c r="AB347" s="224">
        <f>Buildings_Water_Frontend[[#This Row],[Data]]</f>
        <v>0</v>
      </c>
      <c r="AC347" s="174">
        <f>Buildings_Water_Frontend[[#This Row],[Units]]</f>
        <v>0</v>
      </c>
      <c r="AD347" s="220" t="e">
        <f>IF(Buildings_Water_Backend[[#This Row],[Units]]=Buildings_Water_Backend[[#This Row],[Standard units]],Buildings_Water_Backend[[#This Row],[Data]],Buildings_Water_Backend[[#This Row],[Data]]*_xlfn.XLOOKUP(_xlfn.CONCAT(Buildings_Water_Backend[[#This Row],[Level 1]:[Level 6]]),rng_EFConcat,rng_EFConversion))</f>
        <v>#N/A</v>
      </c>
      <c r="AE347" s="174" t="e" cm="1">
        <f t="array" ref="AE347">_xlfn.XLOOKUP(_xlfn.CONCAT(Buildings_Water_Backend[[#This Row],[Level 1]:[Level 6]]),rng_LevelsConcat,rng_UnitsLong)</f>
        <v>#N/A</v>
      </c>
      <c r="AF347" s="210" t="e">
        <f>_xlfn.XLOOKUP(_xlfn.CONCAT(Buildings_Water_Backend[[#This Row],[Level 1]:[Level 6]]),rng_EFConcat,rng_EF1)*Buildings_Water_Backend[[#This Row],[Converted data]]/1000</f>
        <v>#N/A</v>
      </c>
      <c r="AG347" s="210" t="e">
        <f>_xlfn.XLOOKUP(_xlfn.CONCAT(Buildings_Water_Backend[[#This Row],[Level 1]:[Level 6]]),rng_EFConcat,rng_EF2)*Buildings_Water_Backend[[#This Row],[Converted data]]/1000</f>
        <v>#N/A</v>
      </c>
      <c r="AH347" s="210" t="e">
        <f>_xlfn.XLOOKUP(_xlfn.CONCAT(Buildings_Water_Backend[[#This Row],[Level 1]:[Level 6]]),rng_EFConcat,rng_EF3)*Buildings_Water_Backend[[#This Row],[Converted data]]/1000</f>
        <v>#N/A</v>
      </c>
      <c r="AI347" s="210" t="e">
        <f>_xlfn.XLOOKUP(_xlfn.CONCAT(Buildings_Water_Backend[[#This Row],[Level 1]:[Level 6]]),rng_EFConcat,rng_EF3WTT)*Buildings_Water_Backend[[#This Row],[Converted data]]/1000</f>
        <v>#N/A</v>
      </c>
      <c r="AJ347" s="210" t="e">
        <f>_xlfn.XLOOKUP(_xlfn.CONCAT(Buildings_Water_Backend[[#This Row],[Level 1]:[Level 6]]),rng_EFConcat,rng_EF3TD)*Buildings_Water_Backend[[#This Row],[Converted data]]/1000</f>
        <v>#N/A</v>
      </c>
      <c r="AK347" s="210" t="e">
        <f>_xlfn.XLOOKUP(_xlfn.CONCAT(Buildings_Water_Backend[[#This Row],[Level 1]:[Level 6]]),rng_EFConcat,rng_EF3WTTTD)*Buildings_Water_Backend[[#This Row],[Converted data]]/1000</f>
        <v>#N/A</v>
      </c>
      <c r="AL347" s="220" t="e">
        <f>SUM(Buildings_Water_Backend[[#This Row],[Scope 1 (tCO2e)]:[Scope 3 WTT T&amp;D (tCO2e)]])</f>
        <v>#N/A</v>
      </c>
      <c r="AM347" s="220" t="e">
        <f>Buildings_Water_Backend[[#This Row],[Total (tCO2e)]]*(1-Buildings_Water_Backend[[#This Row],[RSD]])</f>
        <v>#N/A</v>
      </c>
      <c r="AN347" s="220" t="e">
        <f>Buildings_Water_Backend[[#This Row],[Total (tCO2e)]]*(1+Buildings_Water_Backend[[#This Row],[RSD]])</f>
        <v>#N/A</v>
      </c>
      <c r="AO347" s="210" t="e">
        <f>_xlfn.XLOOKUP(_xlfn.CONCAT(Buildings_Water_Backend[[#This Row],[Level 1]:[Level 6]]),rng_EFConcat,rng_EFOOS)*Buildings_Water_Backend[[#This Row],[Converted data]]/1000</f>
        <v>#N/A</v>
      </c>
      <c r="AP347" s="174">
        <f>Buildings_Water_Frontend[[#This Row],[Ease of collection]]</f>
        <v>0</v>
      </c>
      <c r="AQ347" s="174">
        <f>Buildings_Water_Frontend[[#This Row],[Completeness]]</f>
        <v>0</v>
      </c>
      <c r="AR347" s="174">
        <f>Buildings_Water_Frontend[[#This Row],[Notes]]</f>
        <v>0</v>
      </c>
    </row>
    <row r="348" spans="5:44" x14ac:dyDescent="0.3">
      <c r="E348" s="346"/>
      <c r="F348" s="364"/>
      <c r="G348" s="336"/>
      <c r="H348" s="336"/>
      <c r="I348" s="334"/>
      <c r="J348" s="336"/>
      <c r="K348" s="336"/>
      <c r="L348" s="336"/>
      <c r="M348" s="337"/>
      <c r="N348" s="242">
        <f t="shared" si="11"/>
        <v>5</v>
      </c>
      <c r="Q348" s="212" t="str">
        <f t="shared" si="10"/>
        <v/>
      </c>
      <c r="R348" s="174" t="s">
        <v>265</v>
      </c>
      <c r="S348" s="174" t="s">
        <v>273</v>
      </c>
      <c r="T348" s="174" t="e">
        <f>_xlfn.XLOOKUP(Buildings_Water_Backend[[#This Row],[Info 1]],Buildings_SiteInfo[Site name],Buildings_SiteInfo[Site type])</f>
        <v>#N/A</v>
      </c>
      <c r="U348" s="174" t="s">
        <v>327</v>
      </c>
      <c r="V348" s="174">
        <f>Buildings_Water_Frontend[[#This Row],[Type]]</f>
        <v>0</v>
      </c>
      <c r="W348" s="174" t="e" cm="1">
        <f t="array" aca="1" ref="W348" ca="1">_xlfn.XLOOKUP(Buildings_Water_Backend[[#This Row],[Level 5]],rng_Level5Long,rng_Level6Long)</f>
        <v>#N/A</v>
      </c>
      <c r="X348" s="174">
        <f>Buildings_Water_Frontend[[#This Row],[Site Name]]</f>
        <v>0</v>
      </c>
      <c r="Y348" s="174">
        <f>Buildings_Water_Frontend[[#This Row],[Meter Reference]]</f>
        <v>0</v>
      </c>
      <c r="Z348" s="220">
        <f>Buildings_Water_Frontend[[#This Row],[Methodology]]</f>
        <v>0</v>
      </c>
      <c r="AA348" s="229" t="e" cm="1">
        <f t="array" ref="AA348">INDEX(_xlfn.SWITCH(Buildings_Water_Backend[[#This Row],[Methodology]],"Tier 1",rng_RSD1,"Tier 2",rng_RSD2,"Tier 3",rng_RSD3),MATCH(_xlfn.CONCAT(Buildings_Water_Backend[[#This Row],[Level 1]:[Level 6]]),rng_LevelsConcat,0))</f>
        <v>#N/A</v>
      </c>
      <c r="AB348" s="224">
        <f>Buildings_Water_Frontend[[#This Row],[Data]]</f>
        <v>0</v>
      </c>
      <c r="AC348" s="174">
        <f>Buildings_Water_Frontend[[#This Row],[Units]]</f>
        <v>0</v>
      </c>
      <c r="AD348" s="220" t="e">
        <f>IF(Buildings_Water_Backend[[#This Row],[Units]]=Buildings_Water_Backend[[#This Row],[Standard units]],Buildings_Water_Backend[[#This Row],[Data]],Buildings_Water_Backend[[#This Row],[Data]]*_xlfn.XLOOKUP(_xlfn.CONCAT(Buildings_Water_Backend[[#This Row],[Level 1]:[Level 6]]),rng_EFConcat,rng_EFConversion))</f>
        <v>#N/A</v>
      </c>
      <c r="AE348" s="174" t="e" cm="1">
        <f t="array" ref="AE348">_xlfn.XLOOKUP(_xlfn.CONCAT(Buildings_Water_Backend[[#This Row],[Level 1]:[Level 6]]),rng_LevelsConcat,rng_UnitsLong)</f>
        <v>#N/A</v>
      </c>
      <c r="AF348" s="210" t="e">
        <f>_xlfn.XLOOKUP(_xlfn.CONCAT(Buildings_Water_Backend[[#This Row],[Level 1]:[Level 6]]),rng_EFConcat,rng_EF1)*Buildings_Water_Backend[[#This Row],[Converted data]]/1000</f>
        <v>#N/A</v>
      </c>
      <c r="AG348" s="210" t="e">
        <f>_xlfn.XLOOKUP(_xlfn.CONCAT(Buildings_Water_Backend[[#This Row],[Level 1]:[Level 6]]),rng_EFConcat,rng_EF2)*Buildings_Water_Backend[[#This Row],[Converted data]]/1000</f>
        <v>#N/A</v>
      </c>
      <c r="AH348" s="210" t="e">
        <f>_xlfn.XLOOKUP(_xlfn.CONCAT(Buildings_Water_Backend[[#This Row],[Level 1]:[Level 6]]),rng_EFConcat,rng_EF3)*Buildings_Water_Backend[[#This Row],[Converted data]]/1000</f>
        <v>#N/A</v>
      </c>
      <c r="AI348" s="210" t="e">
        <f>_xlfn.XLOOKUP(_xlfn.CONCAT(Buildings_Water_Backend[[#This Row],[Level 1]:[Level 6]]),rng_EFConcat,rng_EF3WTT)*Buildings_Water_Backend[[#This Row],[Converted data]]/1000</f>
        <v>#N/A</v>
      </c>
      <c r="AJ348" s="210" t="e">
        <f>_xlfn.XLOOKUP(_xlfn.CONCAT(Buildings_Water_Backend[[#This Row],[Level 1]:[Level 6]]),rng_EFConcat,rng_EF3TD)*Buildings_Water_Backend[[#This Row],[Converted data]]/1000</f>
        <v>#N/A</v>
      </c>
      <c r="AK348" s="210" t="e">
        <f>_xlfn.XLOOKUP(_xlfn.CONCAT(Buildings_Water_Backend[[#This Row],[Level 1]:[Level 6]]),rng_EFConcat,rng_EF3WTTTD)*Buildings_Water_Backend[[#This Row],[Converted data]]/1000</f>
        <v>#N/A</v>
      </c>
      <c r="AL348" s="220" t="e">
        <f>SUM(Buildings_Water_Backend[[#This Row],[Scope 1 (tCO2e)]:[Scope 3 WTT T&amp;D (tCO2e)]])</f>
        <v>#N/A</v>
      </c>
      <c r="AM348" s="220" t="e">
        <f>Buildings_Water_Backend[[#This Row],[Total (tCO2e)]]*(1-Buildings_Water_Backend[[#This Row],[RSD]])</f>
        <v>#N/A</v>
      </c>
      <c r="AN348" s="220" t="e">
        <f>Buildings_Water_Backend[[#This Row],[Total (tCO2e)]]*(1+Buildings_Water_Backend[[#This Row],[RSD]])</f>
        <v>#N/A</v>
      </c>
      <c r="AO348" s="210" t="e">
        <f>_xlfn.XLOOKUP(_xlfn.CONCAT(Buildings_Water_Backend[[#This Row],[Level 1]:[Level 6]]),rng_EFConcat,rng_EFOOS)*Buildings_Water_Backend[[#This Row],[Converted data]]/1000</f>
        <v>#N/A</v>
      </c>
      <c r="AP348" s="174">
        <f>Buildings_Water_Frontend[[#This Row],[Ease of collection]]</f>
        <v>0</v>
      </c>
      <c r="AQ348" s="174">
        <f>Buildings_Water_Frontend[[#This Row],[Completeness]]</f>
        <v>0</v>
      </c>
      <c r="AR348" s="174">
        <f>Buildings_Water_Frontend[[#This Row],[Notes]]</f>
        <v>0</v>
      </c>
    </row>
    <row r="349" spans="5:44" x14ac:dyDescent="0.3">
      <c r="E349" s="346"/>
      <c r="F349" s="364"/>
      <c r="G349" s="336"/>
      <c r="H349" s="336"/>
      <c r="I349" s="334"/>
      <c r="J349" s="336"/>
      <c r="K349" s="336"/>
      <c r="L349" s="336"/>
      <c r="M349" s="337"/>
      <c r="N349" s="242">
        <f t="shared" si="11"/>
        <v>5</v>
      </c>
      <c r="Q349" s="212" t="str">
        <f t="shared" si="10"/>
        <v/>
      </c>
      <c r="R349" s="174" t="s">
        <v>265</v>
      </c>
      <c r="S349" s="174" t="s">
        <v>273</v>
      </c>
      <c r="T349" s="174" t="e">
        <f>_xlfn.XLOOKUP(Buildings_Water_Backend[[#This Row],[Info 1]],Buildings_SiteInfo[Site name],Buildings_SiteInfo[Site type])</f>
        <v>#N/A</v>
      </c>
      <c r="U349" s="174" t="s">
        <v>327</v>
      </c>
      <c r="V349" s="174">
        <f>Buildings_Water_Frontend[[#This Row],[Type]]</f>
        <v>0</v>
      </c>
      <c r="W349" s="174" t="e" cm="1">
        <f t="array" aca="1" ref="W349" ca="1">_xlfn.XLOOKUP(Buildings_Water_Backend[[#This Row],[Level 5]],rng_Level5Long,rng_Level6Long)</f>
        <v>#N/A</v>
      </c>
      <c r="X349" s="174">
        <f>Buildings_Water_Frontend[[#This Row],[Site Name]]</f>
        <v>0</v>
      </c>
      <c r="Y349" s="174">
        <f>Buildings_Water_Frontend[[#This Row],[Meter Reference]]</f>
        <v>0</v>
      </c>
      <c r="Z349" s="220">
        <f>Buildings_Water_Frontend[[#This Row],[Methodology]]</f>
        <v>0</v>
      </c>
      <c r="AA349" s="229" t="e" cm="1">
        <f t="array" ref="AA349">INDEX(_xlfn.SWITCH(Buildings_Water_Backend[[#This Row],[Methodology]],"Tier 1",rng_RSD1,"Tier 2",rng_RSD2,"Tier 3",rng_RSD3),MATCH(_xlfn.CONCAT(Buildings_Water_Backend[[#This Row],[Level 1]:[Level 6]]),rng_LevelsConcat,0))</f>
        <v>#N/A</v>
      </c>
      <c r="AB349" s="224">
        <f>Buildings_Water_Frontend[[#This Row],[Data]]</f>
        <v>0</v>
      </c>
      <c r="AC349" s="174">
        <f>Buildings_Water_Frontend[[#This Row],[Units]]</f>
        <v>0</v>
      </c>
      <c r="AD349" s="220" t="e">
        <f>IF(Buildings_Water_Backend[[#This Row],[Units]]=Buildings_Water_Backend[[#This Row],[Standard units]],Buildings_Water_Backend[[#This Row],[Data]],Buildings_Water_Backend[[#This Row],[Data]]*_xlfn.XLOOKUP(_xlfn.CONCAT(Buildings_Water_Backend[[#This Row],[Level 1]:[Level 6]]),rng_EFConcat,rng_EFConversion))</f>
        <v>#N/A</v>
      </c>
      <c r="AE349" s="174" t="e" cm="1">
        <f t="array" ref="AE349">_xlfn.XLOOKUP(_xlfn.CONCAT(Buildings_Water_Backend[[#This Row],[Level 1]:[Level 6]]),rng_LevelsConcat,rng_UnitsLong)</f>
        <v>#N/A</v>
      </c>
      <c r="AF349" s="210" t="e">
        <f>_xlfn.XLOOKUP(_xlfn.CONCAT(Buildings_Water_Backend[[#This Row],[Level 1]:[Level 6]]),rng_EFConcat,rng_EF1)*Buildings_Water_Backend[[#This Row],[Converted data]]/1000</f>
        <v>#N/A</v>
      </c>
      <c r="AG349" s="210" t="e">
        <f>_xlfn.XLOOKUP(_xlfn.CONCAT(Buildings_Water_Backend[[#This Row],[Level 1]:[Level 6]]),rng_EFConcat,rng_EF2)*Buildings_Water_Backend[[#This Row],[Converted data]]/1000</f>
        <v>#N/A</v>
      </c>
      <c r="AH349" s="210" t="e">
        <f>_xlfn.XLOOKUP(_xlfn.CONCAT(Buildings_Water_Backend[[#This Row],[Level 1]:[Level 6]]),rng_EFConcat,rng_EF3)*Buildings_Water_Backend[[#This Row],[Converted data]]/1000</f>
        <v>#N/A</v>
      </c>
      <c r="AI349" s="210" t="e">
        <f>_xlfn.XLOOKUP(_xlfn.CONCAT(Buildings_Water_Backend[[#This Row],[Level 1]:[Level 6]]),rng_EFConcat,rng_EF3WTT)*Buildings_Water_Backend[[#This Row],[Converted data]]/1000</f>
        <v>#N/A</v>
      </c>
      <c r="AJ349" s="210" t="e">
        <f>_xlfn.XLOOKUP(_xlfn.CONCAT(Buildings_Water_Backend[[#This Row],[Level 1]:[Level 6]]),rng_EFConcat,rng_EF3TD)*Buildings_Water_Backend[[#This Row],[Converted data]]/1000</f>
        <v>#N/A</v>
      </c>
      <c r="AK349" s="210" t="e">
        <f>_xlfn.XLOOKUP(_xlfn.CONCAT(Buildings_Water_Backend[[#This Row],[Level 1]:[Level 6]]),rng_EFConcat,rng_EF3WTTTD)*Buildings_Water_Backend[[#This Row],[Converted data]]/1000</f>
        <v>#N/A</v>
      </c>
      <c r="AL349" s="220" t="e">
        <f>SUM(Buildings_Water_Backend[[#This Row],[Scope 1 (tCO2e)]:[Scope 3 WTT T&amp;D (tCO2e)]])</f>
        <v>#N/A</v>
      </c>
      <c r="AM349" s="220" t="e">
        <f>Buildings_Water_Backend[[#This Row],[Total (tCO2e)]]*(1-Buildings_Water_Backend[[#This Row],[RSD]])</f>
        <v>#N/A</v>
      </c>
      <c r="AN349" s="220" t="e">
        <f>Buildings_Water_Backend[[#This Row],[Total (tCO2e)]]*(1+Buildings_Water_Backend[[#This Row],[RSD]])</f>
        <v>#N/A</v>
      </c>
      <c r="AO349" s="210" t="e">
        <f>_xlfn.XLOOKUP(_xlfn.CONCAT(Buildings_Water_Backend[[#This Row],[Level 1]:[Level 6]]),rng_EFConcat,rng_EFOOS)*Buildings_Water_Backend[[#This Row],[Converted data]]/1000</f>
        <v>#N/A</v>
      </c>
      <c r="AP349" s="174">
        <f>Buildings_Water_Frontend[[#This Row],[Ease of collection]]</f>
        <v>0</v>
      </c>
      <c r="AQ349" s="174">
        <f>Buildings_Water_Frontend[[#This Row],[Completeness]]</f>
        <v>0</v>
      </c>
      <c r="AR349" s="174">
        <f>Buildings_Water_Frontend[[#This Row],[Notes]]</f>
        <v>0</v>
      </c>
    </row>
    <row r="350" spans="5:44" x14ac:dyDescent="0.3">
      <c r="E350" s="346"/>
      <c r="F350" s="364"/>
      <c r="G350" s="336"/>
      <c r="H350" s="336"/>
      <c r="I350" s="334"/>
      <c r="J350" s="336"/>
      <c r="K350" s="336"/>
      <c r="L350" s="336"/>
      <c r="M350" s="337"/>
      <c r="N350" s="242">
        <f t="shared" si="11"/>
        <v>5</v>
      </c>
      <c r="Q350" s="212" t="str">
        <f t="shared" si="10"/>
        <v/>
      </c>
      <c r="R350" s="174" t="s">
        <v>265</v>
      </c>
      <c r="S350" s="174" t="s">
        <v>273</v>
      </c>
      <c r="T350" s="174" t="e">
        <f>_xlfn.XLOOKUP(Buildings_Water_Backend[[#This Row],[Info 1]],Buildings_SiteInfo[Site name],Buildings_SiteInfo[Site type])</f>
        <v>#N/A</v>
      </c>
      <c r="U350" s="174" t="s">
        <v>327</v>
      </c>
      <c r="V350" s="174">
        <f>Buildings_Water_Frontend[[#This Row],[Type]]</f>
        <v>0</v>
      </c>
      <c r="W350" s="174" t="e" cm="1">
        <f t="array" aca="1" ref="W350" ca="1">_xlfn.XLOOKUP(Buildings_Water_Backend[[#This Row],[Level 5]],rng_Level5Long,rng_Level6Long)</f>
        <v>#N/A</v>
      </c>
      <c r="X350" s="174">
        <f>Buildings_Water_Frontend[[#This Row],[Site Name]]</f>
        <v>0</v>
      </c>
      <c r="Y350" s="174">
        <f>Buildings_Water_Frontend[[#This Row],[Meter Reference]]</f>
        <v>0</v>
      </c>
      <c r="Z350" s="220">
        <f>Buildings_Water_Frontend[[#This Row],[Methodology]]</f>
        <v>0</v>
      </c>
      <c r="AA350" s="229" t="e" cm="1">
        <f t="array" ref="AA350">INDEX(_xlfn.SWITCH(Buildings_Water_Backend[[#This Row],[Methodology]],"Tier 1",rng_RSD1,"Tier 2",rng_RSD2,"Tier 3",rng_RSD3),MATCH(_xlfn.CONCAT(Buildings_Water_Backend[[#This Row],[Level 1]:[Level 6]]),rng_LevelsConcat,0))</f>
        <v>#N/A</v>
      </c>
      <c r="AB350" s="224">
        <f>Buildings_Water_Frontend[[#This Row],[Data]]</f>
        <v>0</v>
      </c>
      <c r="AC350" s="174">
        <f>Buildings_Water_Frontend[[#This Row],[Units]]</f>
        <v>0</v>
      </c>
      <c r="AD350" s="220" t="e">
        <f>IF(Buildings_Water_Backend[[#This Row],[Units]]=Buildings_Water_Backend[[#This Row],[Standard units]],Buildings_Water_Backend[[#This Row],[Data]],Buildings_Water_Backend[[#This Row],[Data]]*_xlfn.XLOOKUP(_xlfn.CONCAT(Buildings_Water_Backend[[#This Row],[Level 1]:[Level 6]]),rng_EFConcat,rng_EFConversion))</f>
        <v>#N/A</v>
      </c>
      <c r="AE350" s="174" t="e" cm="1">
        <f t="array" ref="AE350">_xlfn.XLOOKUP(_xlfn.CONCAT(Buildings_Water_Backend[[#This Row],[Level 1]:[Level 6]]),rng_LevelsConcat,rng_UnitsLong)</f>
        <v>#N/A</v>
      </c>
      <c r="AF350" s="210" t="e">
        <f>_xlfn.XLOOKUP(_xlfn.CONCAT(Buildings_Water_Backend[[#This Row],[Level 1]:[Level 6]]),rng_EFConcat,rng_EF1)*Buildings_Water_Backend[[#This Row],[Converted data]]/1000</f>
        <v>#N/A</v>
      </c>
      <c r="AG350" s="210" t="e">
        <f>_xlfn.XLOOKUP(_xlfn.CONCAT(Buildings_Water_Backend[[#This Row],[Level 1]:[Level 6]]),rng_EFConcat,rng_EF2)*Buildings_Water_Backend[[#This Row],[Converted data]]/1000</f>
        <v>#N/A</v>
      </c>
      <c r="AH350" s="210" t="e">
        <f>_xlfn.XLOOKUP(_xlfn.CONCAT(Buildings_Water_Backend[[#This Row],[Level 1]:[Level 6]]),rng_EFConcat,rng_EF3)*Buildings_Water_Backend[[#This Row],[Converted data]]/1000</f>
        <v>#N/A</v>
      </c>
      <c r="AI350" s="210" t="e">
        <f>_xlfn.XLOOKUP(_xlfn.CONCAT(Buildings_Water_Backend[[#This Row],[Level 1]:[Level 6]]),rng_EFConcat,rng_EF3WTT)*Buildings_Water_Backend[[#This Row],[Converted data]]/1000</f>
        <v>#N/A</v>
      </c>
      <c r="AJ350" s="210" t="e">
        <f>_xlfn.XLOOKUP(_xlfn.CONCAT(Buildings_Water_Backend[[#This Row],[Level 1]:[Level 6]]),rng_EFConcat,rng_EF3TD)*Buildings_Water_Backend[[#This Row],[Converted data]]/1000</f>
        <v>#N/A</v>
      </c>
      <c r="AK350" s="210" t="e">
        <f>_xlfn.XLOOKUP(_xlfn.CONCAT(Buildings_Water_Backend[[#This Row],[Level 1]:[Level 6]]),rng_EFConcat,rng_EF3WTTTD)*Buildings_Water_Backend[[#This Row],[Converted data]]/1000</f>
        <v>#N/A</v>
      </c>
      <c r="AL350" s="220" t="e">
        <f>SUM(Buildings_Water_Backend[[#This Row],[Scope 1 (tCO2e)]:[Scope 3 WTT T&amp;D (tCO2e)]])</f>
        <v>#N/A</v>
      </c>
      <c r="AM350" s="220" t="e">
        <f>Buildings_Water_Backend[[#This Row],[Total (tCO2e)]]*(1-Buildings_Water_Backend[[#This Row],[RSD]])</f>
        <v>#N/A</v>
      </c>
      <c r="AN350" s="220" t="e">
        <f>Buildings_Water_Backend[[#This Row],[Total (tCO2e)]]*(1+Buildings_Water_Backend[[#This Row],[RSD]])</f>
        <v>#N/A</v>
      </c>
      <c r="AO350" s="210" t="e">
        <f>_xlfn.XLOOKUP(_xlfn.CONCAT(Buildings_Water_Backend[[#This Row],[Level 1]:[Level 6]]),rng_EFConcat,rng_EFOOS)*Buildings_Water_Backend[[#This Row],[Converted data]]/1000</f>
        <v>#N/A</v>
      </c>
      <c r="AP350" s="174">
        <f>Buildings_Water_Frontend[[#This Row],[Ease of collection]]</f>
        <v>0</v>
      </c>
      <c r="AQ350" s="174">
        <f>Buildings_Water_Frontend[[#This Row],[Completeness]]</f>
        <v>0</v>
      </c>
      <c r="AR350" s="174">
        <f>Buildings_Water_Frontend[[#This Row],[Notes]]</f>
        <v>0</v>
      </c>
    </row>
    <row r="351" spans="5:44" x14ac:dyDescent="0.3">
      <c r="E351" s="346"/>
      <c r="F351" s="364"/>
      <c r="G351" s="336"/>
      <c r="H351" s="336"/>
      <c r="I351" s="334"/>
      <c r="J351" s="336"/>
      <c r="K351" s="336"/>
      <c r="L351" s="336"/>
      <c r="M351" s="337"/>
      <c r="N351" s="242">
        <f t="shared" si="11"/>
        <v>5</v>
      </c>
      <c r="Q351" s="212" t="str">
        <f t="shared" si="10"/>
        <v/>
      </c>
      <c r="R351" s="174" t="s">
        <v>265</v>
      </c>
      <c r="S351" s="174" t="s">
        <v>273</v>
      </c>
      <c r="T351" s="174" t="e">
        <f>_xlfn.XLOOKUP(Buildings_Water_Backend[[#This Row],[Info 1]],Buildings_SiteInfo[Site name],Buildings_SiteInfo[Site type])</f>
        <v>#N/A</v>
      </c>
      <c r="U351" s="174" t="s">
        <v>327</v>
      </c>
      <c r="V351" s="174">
        <f>Buildings_Water_Frontend[[#This Row],[Type]]</f>
        <v>0</v>
      </c>
      <c r="W351" s="174" t="e" cm="1">
        <f t="array" aca="1" ref="W351" ca="1">_xlfn.XLOOKUP(Buildings_Water_Backend[[#This Row],[Level 5]],rng_Level5Long,rng_Level6Long)</f>
        <v>#N/A</v>
      </c>
      <c r="X351" s="174">
        <f>Buildings_Water_Frontend[[#This Row],[Site Name]]</f>
        <v>0</v>
      </c>
      <c r="Y351" s="174">
        <f>Buildings_Water_Frontend[[#This Row],[Meter Reference]]</f>
        <v>0</v>
      </c>
      <c r="Z351" s="220">
        <f>Buildings_Water_Frontend[[#This Row],[Methodology]]</f>
        <v>0</v>
      </c>
      <c r="AA351" s="229" t="e" cm="1">
        <f t="array" ref="AA351">INDEX(_xlfn.SWITCH(Buildings_Water_Backend[[#This Row],[Methodology]],"Tier 1",rng_RSD1,"Tier 2",rng_RSD2,"Tier 3",rng_RSD3),MATCH(_xlfn.CONCAT(Buildings_Water_Backend[[#This Row],[Level 1]:[Level 6]]),rng_LevelsConcat,0))</f>
        <v>#N/A</v>
      </c>
      <c r="AB351" s="224">
        <f>Buildings_Water_Frontend[[#This Row],[Data]]</f>
        <v>0</v>
      </c>
      <c r="AC351" s="174">
        <f>Buildings_Water_Frontend[[#This Row],[Units]]</f>
        <v>0</v>
      </c>
      <c r="AD351" s="220" t="e">
        <f>IF(Buildings_Water_Backend[[#This Row],[Units]]=Buildings_Water_Backend[[#This Row],[Standard units]],Buildings_Water_Backend[[#This Row],[Data]],Buildings_Water_Backend[[#This Row],[Data]]*_xlfn.XLOOKUP(_xlfn.CONCAT(Buildings_Water_Backend[[#This Row],[Level 1]:[Level 6]]),rng_EFConcat,rng_EFConversion))</f>
        <v>#N/A</v>
      </c>
      <c r="AE351" s="174" t="e" cm="1">
        <f t="array" ref="AE351">_xlfn.XLOOKUP(_xlfn.CONCAT(Buildings_Water_Backend[[#This Row],[Level 1]:[Level 6]]),rng_LevelsConcat,rng_UnitsLong)</f>
        <v>#N/A</v>
      </c>
      <c r="AF351" s="210" t="e">
        <f>_xlfn.XLOOKUP(_xlfn.CONCAT(Buildings_Water_Backend[[#This Row],[Level 1]:[Level 6]]),rng_EFConcat,rng_EF1)*Buildings_Water_Backend[[#This Row],[Converted data]]/1000</f>
        <v>#N/A</v>
      </c>
      <c r="AG351" s="210" t="e">
        <f>_xlfn.XLOOKUP(_xlfn.CONCAT(Buildings_Water_Backend[[#This Row],[Level 1]:[Level 6]]),rng_EFConcat,rng_EF2)*Buildings_Water_Backend[[#This Row],[Converted data]]/1000</f>
        <v>#N/A</v>
      </c>
      <c r="AH351" s="210" t="e">
        <f>_xlfn.XLOOKUP(_xlfn.CONCAT(Buildings_Water_Backend[[#This Row],[Level 1]:[Level 6]]),rng_EFConcat,rng_EF3)*Buildings_Water_Backend[[#This Row],[Converted data]]/1000</f>
        <v>#N/A</v>
      </c>
      <c r="AI351" s="210" t="e">
        <f>_xlfn.XLOOKUP(_xlfn.CONCAT(Buildings_Water_Backend[[#This Row],[Level 1]:[Level 6]]),rng_EFConcat,rng_EF3WTT)*Buildings_Water_Backend[[#This Row],[Converted data]]/1000</f>
        <v>#N/A</v>
      </c>
      <c r="AJ351" s="210" t="e">
        <f>_xlfn.XLOOKUP(_xlfn.CONCAT(Buildings_Water_Backend[[#This Row],[Level 1]:[Level 6]]),rng_EFConcat,rng_EF3TD)*Buildings_Water_Backend[[#This Row],[Converted data]]/1000</f>
        <v>#N/A</v>
      </c>
      <c r="AK351" s="210" t="e">
        <f>_xlfn.XLOOKUP(_xlfn.CONCAT(Buildings_Water_Backend[[#This Row],[Level 1]:[Level 6]]),rng_EFConcat,rng_EF3WTTTD)*Buildings_Water_Backend[[#This Row],[Converted data]]/1000</f>
        <v>#N/A</v>
      </c>
      <c r="AL351" s="220" t="e">
        <f>SUM(Buildings_Water_Backend[[#This Row],[Scope 1 (tCO2e)]:[Scope 3 WTT T&amp;D (tCO2e)]])</f>
        <v>#N/A</v>
      </c>
      <c r="AM351" s="220" t="e">
        <f>Buildings_Water_Backend[[#This Row],[Total (tCO2e)]]*(1-Buildings_Water_Backend[[#This Row],[RSD]])</f>
        <v>#N/A</v>
      </c>
      <c r="AN351" s="220" t="e">
        <f>Buildings_Water_Backend[[#This Row],[Total (tCO2e)]]*(1+Buildings_Water_Backend[[#This Row],[RSD]])</f>
        <v>#N/A</v>
      </c>
      <c r="AO351" s="210" t="e">
        <f>_xlfn.XLOOKUP(_xlfn.CONCAT(Buildings_Water_Backend[[#This Row],[Level 1]:[Level 6]]),rng_EFConcat,rng_EFOOS)*Buildings_Water_Backend[[#This Row],[Converted data]]/1000</f>
        <v>#N/A</v>
      </c>
      <c r="AP351" s="174">
        <f>Buildings_Water_Frontend[[#This Row],[Ease of collection]]</f>
        <v>0</v>
      </c>
      <c r="AQ351" s="174">
        <f>Buildings_Water_Frontend[[#This Row],[Completeness]]</f>
        <v>0</v>
      </c>
      <c r="AR351" s="174">
        <f>Buildings_Water_Frontend[[#This Row],[Notes]]</f>
        <v>0</v>
      </c>
    </row>
    <row r="352" spans="5:44" x14ac:dyDescent="0.3">
      <c r="E352" s="346"/>
      <c r="F352" s="364"/>
      <c r="G352" s="336"/>
      <c r="H352" s="336"/>
      <c r="I352" s="334"/>
      <c r="J352" s="336"/>
      <c r="K352" s="336"/>
      <c r="L352" s="336"/>
      <c r="M352" s="337"/>
      <c r="N352" s="242">
        <f t="shared" si="11"/>
        <v>5</v>
      </c>
      <c r="Q352" s="212" t="str">
        <f t="shared" si="10"/>
        <v/>
      </c>
      <c r="R352" s="174" t="s">
        <v>265</v>
      </c>
      <c r="S352" s="174" t="s">
        <v>273</v>
      </c>
      <c r="T352" s="174" t="e">
        <f>_xlfn.XLOOKUP(Buildings_Water_Backend[[#This Row],[Info 1]],Buildings_SiteInfo[Site name],Buildings_SiteInfo[Site type])</f>
        <v>#N/A</v>
      </c>
      <c r="U352" s="174" t="s">
        <v>327</v>
      </c>
      <c r="V352" s="174">
        <f>Buildings_Water_Frontend[[#This Row],[Type]]</f>
        <v>0</v>
      </c>
      <c r="W352" s="174" t="e" cm="1">
        <f t="array" aca="1" ref="W352" ca="1">_xlfn.XLOOKUP(Buildings_Water_Backend[[#This Row],[Level 5]],rng_Level5Long,rng_Level6Long)</f>
        <v>#N/A</v>
      </c>
      <c r="X352" s="174">
        <f>Buildings_Water_Frontend[[#This Row],[Site Name]]</f>
        <v>0</v>
      </c>
      <c r="Y352" s="174">
        <f>Buildings_Water_Frontend[[#This Row],[Meter Reference]]</f>
        <v>0</v>
      </c>
      <c r="Z352" s="220">
        <f>Buildings_Water_Frontend[[#This Row],[Methodology]]</f>
        <v>0</v>
      </c>
      <c r="AA352" s="229" t="e" cm="1">
        <f t="array" ref="AA352">INDEX(_xlfn.SWITCH(Buildings_Water_Backend[[#This Row],[Methodology]],"Tier 1",rng_RSD1,"Tier 2",rng_RSD2,"Tier 3",rng_RSD3),MATCH(_xlfn.CONCAT(Buildings_Water_Backend[[#This Row],[Level 1]:[Level 6]]),rng_LevelsConcat,0))</f>
        <v>#N/A</v>
      </c>
      <c r="AB352" s="224">
        <f>Buildings_Water_Frontend[[#This Row],[Data]]</f>
        <v>0</v>
      </c>
      <c r="AC352" s="174">
        <f>Buildings_Water_Frontend[[#This Row],[Units]]</f>
        <v>0</v>
      </c>
      <c r="AD352" s="220" t="e">
        <f>IF(Buildings_Water_Backend[[#This Row],[Units]]=Buildings_Water_Backend[[#This Row],[Standard units]],Buildings_Water_Backend[[#This Row],[Data]],Buildings_Water_Backend[[#This Row],[Data]]*_xlfn.XLOOKUP(_xlfn.CONCAT(Buildings_Water_Backend[[#This Row],[Level 1]:[Level 6]]),rng_EFConcat,rng_EFConversion))</f>
        <v>#N/A</v>
      </c>
      <c r="AE352" s="174" t="e" cm="1">
        <f t="array" ref="AE352">_xlfn.XLOOKUP(_xlfn.CONCAT(Buildings_Water_Backend[[#This Row],[Level 1]:[Level 6]]),rng_LevelsConcat,rng_UnitsLong)</f>
        <v>#N/A</v>
      </c>
      <c r="AF352" s="210" t="e">
        <f>_xlfn.XLOOKUP(_xlfn.CONCAT(Buildings_Water_Backend[[#This Row],[Level 1]:[Level 6]]),rng_EFConcat,rng_EF1)*Buildings_Water_Backend[[#This Row],[Converted data]]/1000</f>
        <v>#N/A</v>
      </c>
      <c r="AG352" s="210" t="e">
        <f>_xlfn.XLOOKUP(_xlfn.CONCAT(Buildings_Water_Backend[[#This Row],[Level 1]:[Level 6]]),rng_EFConcat,rng_EF2)*Buildings_Water_Backend[[#This Row],[Converted data]]/1000</f>
        <v>#N/A</v>
      </c>
      <c r="AH352" s="210" t="e">
        <f>_xlfn.XLOOKUP(_xlfn.CONCAT(Buildings_Water_Backend[[#This Row],[Level 1]:[Level 6]]),rng_EFConcat,rng_EF3)*Buildings_Water_Backend[[#This Row],[Converted data]]/1000</f>
        <v>#N/A</v>
      </c>
      <c r="AI352" s="210" t="e">
        <f>_xlfn.XLOOKUP(_xlfn.CONCAT(Buildings_Water_Backend[[#This Row],[Level 1]:[Level 6]]),rng_EFConcat,rng_EF3WTT)*Buildings_Water_Backend[[#This Row],[Converted data]]/1000</f>
        <v>#N/A</v>
      </c>
      <c r="AJ352" s="210" t="e">
        <f>_xlfn.XLOOKUP(_xlfn.CONCAT(Buildings_Water_Backend[[#This Row],[Level 1]:[Level 6]]),rng_EFConcat,rng_EF3TD)*Buildings_Water_Backend[[#This Row],[Converted data]]/1000</f>
        <v>#N/A</v>
      </c>
      <c r="AK352" s="210" t="e">
        <f>_xlfn.XLOOKUP(_xlfn.CONCAT(Buildings_Water_Backend[[#This Row],[Level 1]:[Level 6]]),rng_EFConcat,rng_EF3WTTTD)*Buildings_Water_Backend[[#This Row],[Converted data]]/1000</f>
        <v>#N/A</v>
      </c>
      <c r="AL352" s="220" t="e">
        <f>SUM(Buildings_Water_Backend[[#This Row],[Scope 1 (tCO2e)]:[Scope 3 WTT T&amp;D (tCO2e)]])</f>
        <v>#N/A</v>
      </c>
      <c r="AM352" s="220" t="e">
        <f>Buildings_Water_Backend[[#This Row],[Total (tCO2e)]]*(1-Buildings_Water_Backend[[#This Row],[RSD]])</f>
        <v>#N/A</v>
      </c>
      <c r="AN352" s="220" t="e">
        <f>Buildings_Water_Backend[[#This Row],[Total (tCO2e)]]*(1+Buildings_Water_Backend[[#This Row],[RSD]])</f>
        <v>#N/A</v>
      </c>
      <c r="AO352" s="210" t="e">
        <f>_xlfn.XLOOKUP(_xlfn.CONCAT(Buildings_Water_Backend[[#This Row],[Level 1]:[Level 6]]),rng_EFConcat,rng_EFOOS)*Buildings_Water_Backend[[#This Row],[Converted data]]/1000</f>
        <v>#N/A</v>
      </c>
      <c r="AP352" s="174">
        <f>Buildings_Water_Frontend[[#This Row],[Ease of collection]]</f>
        <v>0</v>
      </c>
      <c r="AQ352" s="174">
        <f>Buildings_Water_Frontend[[#This Row],[Completeness]]</f>
        <v>0</v>
      </c>
      <c r="AR352" s="174">
        <f>Buildings_Water_Frontend[[#This Row],[Notes]]</f>
        <v>0</v>
      </c>
    </row>
    <row r="353" spans="5:44" x14ac:dyDescent="0.3">
      <c r="E353" s="346"/>
      <c r="F353" s="364"/>
      <c r="G353" s="336"/>
      <c r="H353" s="336"/>
      <c r="I353" s="334"/>
      <c r="J353" s="336"/>
      <c r="K353" s="336"/>
      <c r="L353" s="336"/>
      <c r="M353" s="337"/>
      <c r="N353" s="242">
        <f t="shared" si="11"/>
        <v>5</v>
      </c>
      <c r="Q353" s="212" t="str">
        <f t="shared" si="10"/>
        <v/>
      </c>
      <c r="R353" s="174" t="s">
        <v>265</v>
      </c>
      <c r="S353" s="174" t="s">
        <v>273</v>
      </c>
      <c r="T353" s="174" t="e">
        <f>_xlfn.XLOOKUP(Buildings_Water_Backend[[#This Row],[Info 1]],Buildings_SiteInfo[Site name],Buildings_SiteInfo[Site type])</f>
        <v>#N/A</v>
      </c>
      <c r="U353" s="174" t="s">
        <v>327</v>
      </c>
      <c r="V353" s="174">
        <f>Buildings_Water_Frontend[[#This Row],[Type]]</f>
        <v>0</v>
      </c>
      <c r="W353" s="174" t="e" cm="1">
        <f t="array" aca="1" ref="W353" ca="1">_xlfn.XLOOKUP(Buildings_Water_Backend[[#This Row],[Level 5]],rng_Level5Long,rng_Level6Long)</f>
        <v>#N/A</v>
      </c>
      <c r="X353" s="174">
        <f>Buildings_Water_Frontend[[#This Row],[Site Name]]</f>
        <v>0</v>
      </c>
      <c r="Y353" s="174">
        <f>Buildings_Water_Frontend[[#This Row],[Meter Reference]]</f>
        <v>0</v>
      </c>
      <c r="Z353" s="220">
        <f>Buildings_Water_Frontend[[#This Row],[Methodology]]</f>
        <v>0</v>
      </c>
      <c r="AA353" s="229" t="e" cm="1">
        <f t="array" ref="AA353">INDEX(_xlfn.SWITCH(Buildings_Water_Backend[[#This Row],[Methodology]],"Tier 1",rng_RSD1,"Tier 2",rng_RSD2,"Tier 3",rng_RSD3),MATCH(_xlfn.CONCAT(Buildings_Water_Backend[[#This Row],[Level 1]:[Level 6]]),rng_LevelsConcat,0))</f>
        <v>#N/A</v>
      </c>
      <c r="AB353" s="224">
        <f>Buildings_Water_Frontend[[#This Row],[Data]]</f>
        <v>0</v>
      </c>
      <c r="AC353" s="174">
        <f>Buildings_Water_Frontend[[#This Row],[Units]]</f>
        <v>0</v>
      </c>
      <c r="AD353" s="220" t="e">
        <f>IF(Buildings_Water_Backend[[#This Row],[Units]]=Buildings_Water_Backend[[#This Row],[Standard units]],Buildings_Water_Backend[[#This Row],[Data]],Buildings_Water_Backend[[#This Row],[Data]]*_xlfn.XLOOKUP(_xlfn.CONCAT(Buildings_Water_Backend[[#This Row],[Level 1]:[Level 6]]),rng_EFConcat,rng_EFConversion))</f>
        <v>#N/A</v>
      </c>
      <c r="AE353" s="174" t="e" cm="1">
        <f t="array" ref="AE353">_xlfn.XLOOKUP(_xlfn.CONCAT(Buildings_Water_Backend[[#This Row],[Level 1]:[Level 6]]),rng_LevelsConcat,rng_UnitsLong)</f>
        <v>#N/A</v>
      </c>
      <c r="AF353" s="210" t="e">
        <f>_xlfn.XLOOKUP(_xlfn.CONCAT(Buildings_Water_Backend[[#This Row],[Level 1]:[Level 6]]),rng_EFConcat,rng_EF1)*Buildings_Water_Backend[[#This Row],[Converted data]]/1000</f>
        <v>#N/A</v>
      </c>
      <c r="AG353" s="210" t="e">
        <f>_xlfn.XLOOKUP(_xlfn.CONCAT(Buildings_Water_Backend[[#This Row],[Level 1]:[Level 6]]),rng_EFConcat,rng_EF2)*Buildings_Water_Backend[[#This Row],[Converted data]]/1000</f>
        <v>#N/A</v>
      </c>
      <c r="AH353" s="210" t="e">
        <f>_xlfn.XLOOKUP(_xlfn.CONCAT(Buildings_Water_Backend[[#This Row],[Level 1]:[Level 6]]),rng_EFConcat,rng_EF3)*Buildings_Water_Backend[[#This Row],[Converted data]]/1000</f>
        <v>#N/A</v>
      </c>
      <c r="AI353" s="210" t="e">
        <f>_xlfn.XLOOKUP(_xlfn.CONCAT(Buildings_Water_Backend[[#This Row],[Level 1]:[Level 6]]),rng_EFConcat,rng_EF3WTT)*Buildings_Water_Backend[[#This Row],[Converted data]]/1000</f>
        <v>#N/A</v>
      </c>
      <c r="AJ353" s="210" t="e">
        <f>_xlfn.XLOOKUP(_xlfn.CONCAT(Buildings_Water_Backend[[#This Row],[Level 1]:[Level 6]]),rng_EFConcat,rng_EF3TD)*Buildings_Water_Backend[[#This Row],[Converted data]]/1000</f>
        <v>#N/A</v>
      </c>
      <c r="AK353" s="210" t="e">
        <f>_xlfn.XLOOKUP(_xlfn.CONCAT(Buildings_Water_Backend[[#This Row],[Level 1]:[Level 6]]),rng_EFConcat,rng_EF3WTTTD)*Buildings_Water_Backend[[#This Row],[Converted data]]/1000</f>
        <v>#N/A</v>
      </c>
      <c r="AL353" s="220" t="e">
        <f>SUM(Buildings_Water_Backend[[#This Row],[Scope 1 (tCO2e)]:[Scope 3 WTT T&amp;D (tCO2e)]])</f>
        <v>#N/A</v>
      </c>
      <c r="AM353" s="220" t="e">
        <f>Buildings_Water_Backend[[#This Row],[Total (tCO2e)]]*(1-Buildings_Water_Backend[[#This Row],[RSD]])</f>
        <v>#N/A</v>
      </c>
      <c r="AN353" s="220" t="e">
        <f>Buildings_Water_Backend[[#This Row],[Total (tCO2e)]]*(1+Buildings_Water_Backend[[#This Row],[RSD]])</f>
        <v>#N/A</v>
      </c>
      <c r="AO353" s="210" t="e">
        <f>_xlfn.XLOOKUP(_xlfn.CONCAT(Buildings_Water_Backend[[#This Row],[Level 1]:[Level 6]]),rng_EFConcat,rng_EFOOS)*Buildings_Water_Backend[[#This Row],[Converted data]]/1000</f>
        <v>#N/A</v>
      </c>
      <c r="AP353" s="174">
        <f>Buildings_Water_Frontend[[#This Row],[Ease of collection]]</f>
        <v>0</v>
      </c>
      <c r="AQ353" s="174">
        <f>Buildings_Water_Frontend[[#This Row],[Completeness]]</f>
        <v>0</v>
      </c>
      <c r="AR353" s="174">
        <f>Buildings_Water_Frontend[[#This Row],[Notes]]</f>
        <v>0</v>
      </c>
    </row>
    <row r="354" spans="5:44" x14ac:dyDescent="0.3">
      <c r="E354" s="346"/>
      <c r="F354" s="364"/>
      <c r="G354" s="336"/>
      <c r="H354" s="336"/>
      <c r="I354" s="334"/>
      <c r="J354" s="336"/>
      <c r="K354" s="336"/>
      <c r="L354" s="336"/>
      <c r="M354" s="337"/>
      <c r="N354" s="242">
        <f t="shared" si="11"/>
        <v>5</v>
      </c>
      <c r="Q354" s="212" t="str">
        <f t="shared" si="10"/>
        <v/>
      </c>
      <c r="R354" s="174" t="s">
        <v>265</v>
      </c>
      <c r="S354" s="174" t="s">
        <v>273</v>
      </c>
      <c r="T354" s="174" t="e">
        <f>_xlfn.XLOOKUP(Buildings_Water_Backend[[#This Row],[Info 1]],Buildings_SiteInfo[Site name],Buildings_SiteInfo[Site type])</f>
        <v>#N/A</v>
      </c>
      <c r="U354" s="174" t="s">
        <v>327</v>
      </c>
      <c r="V354" s="174">
        <f>Buildings_Water_Frontend[[#This Row],[Type]]</f>
        <v>0</v>
      </c>
      <c r="W354" s="174" t="e" cm="1">
        <f t="array" aca="1" ref="W354" ca="1">_xlfn.XLOOKUP(Buildings_Water_Backend[[#This Row],[Level 5]],rng_Level5Long,rng_Level6Long)</f>
        <v>#N/A</v>
      </c>
      <c r="X354" s="174">
        <f>Buildings_Water_Frontend[[#This Row],[Site Name]]</f>
        <v>0</v>
      </c>
      <c r="Y354" s="174">
        <f>Buildings_Water_Frontend[[#This Row],[Meter Reference]]</f>
        <v>0</v>
      </c>
      <c r="Z354" s="220">
        <f>Buildings_Water_Frontend[[#This Row],[Methodology]]</f>
        <v>0</v>
      </c>
      <c r="AA354" s="229" t="e" cm="1">
        <f t="array" ref="AA354">INDEX(_xlfn.SWITCH(Buildings_Water_Backend[[#This Row],[Methodology]],"Tier 1",rng_RSD1,"Tier 2",rng_RSD2,"Tier 3",rng_RSD3),MATCH(_xlfn.CONCAT(Buildings_Water_Backend[[#This Row],[Level 1]:[Level 6]]),rng_LevelsConcat,0))</f>
        <v>#N/A</v>
      </c>
      <c r="AB354" s="224">
        <f>Buildings_Water_Frontend[[#This Row],[Data]]</f>
        <v>0</v>
      </c>
      <c r="AC354" s="174">
        <f>Buildings_Water_Frontend[[#This Row],[Units]]</f>
        <v>0</v>
      </c>
      <c r="AD354" s="220" t="e">
        <f>IF(Buildings_Water_Backend[[#This Row],[Units]]=Buildings_Water_Backend[[#This Row],[Standard units]],Buildings_Water_Backend[[#This Row],[Data]],Buildings_Water_Backend[[#This Row],[Data]]*_xlfn.XLOOKUP(_xlfn.CONCAT(Buildings_Water_Backend[[#This Row],[Level 1]:[Level 6]]),rng_EFConcat,rng_EFConversion))</f>
        <v>#N/A</v>
      </c>
      <c r="AE354" s="174" t="e" cm="1">
        <f t="array" ref="AE354">_xlfn.XLOOKUP(_xlfn.CONCAT(Buildings_Water_Backend[[#This Row],[Level 1]:[Level 6]]),rng_LevelsConcat,rng_UnitsLong)</f>
        <v>#N/A</v>
      </c>
      <c r="AF354" s="210" t="e">
        <f>_xlfn.XLOOKUP(_xlfn.CONCAT(Buildings_Water_Backend[[#This Row],[Level 1]:[Level 6]]),rng_EFConcat,rng_EF1)*Buildings_Water_Backend[[#This Row],[Converted data]]/1000</f>
        <v>#N/A</v>
      </c>
      <c r="AG354" s="210" t="e">
        <f>_xlfn.XLOOKUP(_xlfn.CONCAT(Buildings_Water_Backend[[#This Row],[Level 1]:[Level 6]]),rng_EFConcat,rng_EF2)*Buildings_Water_Backend[[#This Row],[Converted data]]/1000</f>
        <v>#N/A</v>
      </c>
      <c r="AH354" s="210" t="e">
        <f>_xlfn.XLOOKUP(_xlfn.CONCAT(Buildings_Water_Backend[[#This Row],[Level 1]:[Level 6]]),rng_EFConcat,rng_EF3)*Buildings_Water_Backend[[#This Row],[Converted data]]/1000</f>
        <v>#N/A</v>
      </c>
      <c r="AI354" s="210" t="e">
        <f>_xlfn.XLOOKUP(_xlfn.CONCAT(Buildings_Water_Backend[[#This Row],[Level 1]:[Level 6]]),rng_EFConcat,rng_EF3WTT)*Buildings_Water_Backend[[#This Row],[Converted data]]/1000</f>
        <v>#N/A</v>
      </c>
      <c r="AJ354" s="210" t="e">
        <f>_xlfn.XLOOKUP(_xlfn.CONCAT(Buildings_Water_Backend[[#This Row],[Level 1]:[Level 6]]),rng_EFConcat,rng_EF3TD)*Buildings_Water_Backend[[#This Row],[Converted data]]/1000</f>
        <v>#N/A</v>
      </c>
      <c r="AK354" s="210" t="e">
        <f>_xlfn.XLOOKUP(_xlfn.CONCAT(Buildings_Water_Backend[[#This Row],[Level 1]:[Level 6]]),rng_EFConcat,rng_EF3WTTTD)*Buildings_Water_Backend[[#This Row],[Converted data]]/1000</f>
        <v>#N/A</v>
      </c>
      <c r="AL354" s="220" t="e">
        <f>SUM(Buildings_Water_Backend[[#This Row],[Scope 1 (tCO2e)]:[Scope 3 WTT T&amp;D (tCO2e)]])</f>
        <v>#N/A</v>
      </c>
      <c r="AM354" s="220" t="e">
        <f>Buildings_Water_Backend[[#This Row],[Total (tCO2e)]]*(1-Buildings_Water_Backend[[#This Row],[RSD]])</f>
        <v>#N/A</v>
      </c>
      <c r="AN354" s="220" t="e">
        <f>Buildings_Water_Backend[[#This Row],[Total (tCO2e)]]*(1+Buildings_Water_Backend[[#This Row],[RSD]])</f>
        <v>#N/A</v>
      </c>
      <c r="AO354" s="210" t="e">
        <f>_xlfn.XLOOKUP(_xlfn.CONCAT(Buildings_Water_Backend[[#This Row],[Level 1]:[Level 6]]),rng_EFConcat,rng_EFOOS)*Buildings_Water_Backend[[#This Row],[Converted data]]/1000</f>
        <v>#N/A</v>
      </c>
      <c r="AP354" s="174">
        <f>Buildings_Water_Frontend[[#This Row],[Ease of collection]]</f>
        <v>0</v>
      </c>
      <c r="AQ354" s="174">
        <f>Buildings_Water_Frontend[[#This Row],[Completeness]]</f>
        <v>0</v>
      </c>
      <c r="AR354" s="174">
        <f>Buildings_Water_Frontend[[#This Row],[Notes]]</f>
        <v>0</v>
      </c>
    </row>
    <row r="355" spans="5:44" x14ac:dyDescent="0.3">
      <c r="E355" s="346"/>
      <c r="F355" s="364"/>
      <c r="G355" s="336"/>
      <c r="H355" s="336"/>
      <c r="I355" s="334"/>
      <c r="J355" s="336"/>
      <c r="K355" s="336"/>
      <c r="L355" s="336"/>
      <c r="M355" s="337"/>
      <c r="N355" s="242">
        <f t="shared" si="11"/>
        <v>5</v>
      </c>
      <c r="Q355" s="212" t="str">
        <f t="shared" si="10"/>
        <v/>
      </c>
      <c r="R355" s="174" t="s">
        <v>265</v>
      </c>
      <c r="S355" s="174" t="s">
        <v>273</v>
      </c>
      <c r="T355" s="174" t="e">
        <f>_xlfn.XLOOKUP(Buildings_Water_Backend[[#This Row],[Info 1]],Buildings_SiteInfo[Site name],Buildings_SiteInfo[Site type])</f>
        <v>#N/A</v>
      </c>
      <c r="U355" s="174" t="s">
        <v>327</v>
      </c>
      <c r="V355" s="174">
        <f>Buildings_Water_Frontend[[#This Row],[Type]]</f>
        <v>0</v>
      </c>
      <c r="W355" s="174" t="e" cm="1">
        <f t="array" aca="1" ref="W355" ca="1">_xlfn.XLOOKUP(Buildings_Water_Backend[[#This Row],[Level 5]],rng_Level5Long,rng_Level6Long)</f>
        <v>#N/A</v>
      </c>
      <c r="X355" s="174">
        <f>Buildings_Water_Frontend[[#This Row],[Site Name]]</f>
        <v>0</v>
      </c>
      <c r="Y355" s="174">
        <f>Buildings_Water_Frontend[[#This Row],[Meter Reference]]</f>
        <v>0</v>
      </c>
      <c r="Z355" s="220">
        <f>Buildings_Water_Frontend[[#This Row],[Methodology]]</f>
        <v>0</v>
      </c>
      <c r="AA355" s="229" t="e" cm="1">
        <f t="array" ref="AA355">INDEX(_xlfn.SWITCH(Buildings_Water_Backend[[#This Row],[Methodology]],"Tier 1",rng_RSD1,"Tier 2",rng_RSD2,"Tier 3",rng_RSD3),MATCH(_xlfn.CONCAT(Buildings_Water_Backend[[#This Row],[Level 1]:[Level 6]]),rng_LevelsConcat,0))</f>
        <v>#N/A</v>
      </c>
      <c r="AB355" s="224">
        <f>Buildings_Water_Frontend[[#This Row],[Data]]</f>
        <v>0</v>
      </c>
      <c r="AC355" s="174">
        <f>Buildings_Water_Frontend[[#This Row],[Units]]</f>
        <v>0</v>
      </c>
      <c r="AD355" s="220" t="e">
        <f>IF(Buildings_Water_Backend[[#This Row],[Units]]=Buildings_Water_Backend[[#This Row],[Standard units]],Buildings_Water_Backend[[#This Row],[Data]],Buildings_Water_Backend[[#This Row],[Data]]*_xlfn.XLOOKUP(_xlfn.CONCAT(Buildings_Water_Backend[[#This Row],[Level 1]:[Level 6]]),rng_EFConcat,rng_EFConversion))</f>
        <v>#N/A</v>
      </c>
      <c r="AE355" s="174" t="e" cm="1">
        <f t="array" ref="AE355">_xlfn.XLOOKUP(_xlfn.CONCAT(Buildings_Water_Backend[[#This Row],[Level 1]:[Level 6]]),rng_LevelsConcat,rng_UnitsLong)</f>
        <v>#N/A</v>
      </c>
      <c r="AF355" s="210" t="e">
        <f>_xlfn.XLOOKUP(_xlfn.CONCAT(Buildings_Water_Backend[[#This Row],[Level 1]:[Level 6]]),rng_EFConcat,rng_EF1)*Buildings_Water_Backend[[#This Row],[Converted data]]/1000</f>
        <v>#N/A</v>
      </c>
      <c r="AG355" s="210" t="e">
        <f>_xlfn.XLOOKUP(_xlfn.CONCAT(Buildings_Water_Backend[[#This Row],[Level 1]:[Level 6]]),rng_EFConcat,rng_EF2)*Buildings_Water_Backend[[#This Row],[Converted data]]/1000</f>
        <v>#N/A</v>
      </c>
      <c r="AH355" s="210" t="e">
        <f>_xlfn.XLOOKUP(_xlfn.CONCAT(Buildings_Water_Backend[[#This Row],[Level 1]:[Level 6]]),rng_EFConcat,rng_EF3)*Buildings_Water_Backend[[#This Row],[Converted data]]/1000</f>
        <v>#N/A</v>
      </c>
      <c r="AI355" s="210" t="e">
        <f>_xlfn.XLOOKUP(_xlfn.CONCAT(Buildings_Water_Backend[[#This Row],[Level 1]:[Level 6]]),rng_EFConcat,rng_EF3WTT)*Buildings_Water_Backend[[#This Row],[Converted data]]/1000</f>
        <v>#N/A</v>
      </c>
      <c r="AJ355" s="210" t="e">
        <f>_xlfn.XLOOKUP(_xlfn.CONCAT(Buildings_Water_Backend[[#This Row],[Level 1]:[Level 6]]),rng_EFConcat,rng_EF3TD)*Buildings_Water_Backend[[#This Row],[Converted data]]/1000</f>
        <v>#N/A</v>
      </c>
      <c r="AK355" s="210" t="e">
        <f>_xlfn.XLOOKUP(_xlfn.CONCAT(Buildings_Water_Backend[[#This Row],[Level 1]:[Level 6]]),rng_EFConcat,rng_EF3WTTTD)*Buildings_Water_Backend[[#This Row],[Converted data]]/1000</f>
        <v>#N/A</v>
      </c>
      <c r="AL355" s="220" t="e">
        <f>SUM(Buildings_Water_Backend[[#This Row],[Scope 1 (tCO2e)]:[Scope 3 WTT T&amp;D (tCO2e)]])</f>
        <v>#N/A</v>
      </c>
      <c r="AM355" s="220" t="e">
        <f>Buildings_Water_Backend[[#This Row],[Total (tCO2e)]]*(1-Buildings_Water_Backend[[#This Row],[RSD]])</f>
        <v>#N/A</v>
      </c>
      <c r="AN355" s="220" t="e">
        <f>Buildings_Water_Backend[[#This Row],[Total (tCO2e)]]*(1+Buildings_Water_Backend[[#This Row],[RSD]])</f>
        <v>#N/A</v>
      </c>
      <c r="AO355" s="210" t="e">
        <f>_xlfn.XLOOKUP(_xlfn.CONCAT(Buildings_Water_Backend[[#This Row],[Level 1]:[Level 6]]),rng_EFConcat,rng_EFOOS)*Buildings_Water_Backend[[#This Row],[Converted data]]/1000</f>
        <v>#N/A</v>
      </c>
      <c r="AP355" s="174">
        <f>Buildings_Water_Frontend[[#This Row],[Ease of collection]]</f>
        <v>0</v>
      </c>
      <c r="AQ355" s="174">
        <f>Buildings_Water_Frontend[[#This Row],[Completeness]]</f>
        <v>0</v>
      </c>
      <c r="AR355" s="174">
        <f>Buildings_Water_Frontend[[#This Row],[Notes]]</f>
        <v>0</v>
      </c>
    </row>
    <row r="356" spans="5:44" x14ac:dyDescent="0.3">
      <c r="E356" s="346"/>
      <c r="F356" s="364"/>
      <c r="G356" s="336"/>
      <c r="H356" s="336"/>
      <c r="I356" s="334"/>
      <c r="J356" s="336"/>
      <c r="K356" s="336"/>
      <c r="L356" s="336"/>
      <c r="M356" s="337"/>
      <c r="N356" s="242">
        <f t="shared" si="11"/>
        <v>5</v>
      </c>
      <c r="Q356" s="212" t="str">
        <f t="shared" si="10"/>
        <v/>
      </c>
      <c r="R356" s="174" t="s">
        <v>265</v>
      </c>
      <c r="S356" s="174" t="s">
        <v>273</v>
      </c>
      <c r="T356" s="174" t="e">
        <f>_xlfn.XLOOKUP(Buildings_Water_Backend[[#This Row],[Info 1]],Buildings_SiteInfo[Site name],Buildings_SiteInfo[Site type])</f>
        <v>#N/A</v>
      </c>
      <c r="U356" s="174" t="s">
        <v>327</v>
      </c>
      <c r="V356" s="174">
        <f>Buildings_Water_Frontend[[#This Row],[Type]]</f>
        <v>0</v>
      </c>
      <c r="W356" s="174" t="e" cm="1">
        <f t="array" aca="1" ref="W356" ca="1">_xlfn.XLOOKUP(Buildings_Water_Backend[[#This Row],[Level 5]],rng_Level5Long,rng_Level6Long)</f>
        <v>#N/A</v>
      </c>
      <c r="X356" s="174">
        <f>Buildings_Water_Frontend[[#This Row],[Site Name]]</f>
        <v>0</v>
      </c>
      <c r="Y356" s="174">
        <f>Buildings_Water_Frontend[[#This Row],[Meter Reference]]</f>
        <v>0</v>
      </c>
      <c r="Z356" s="220">
        <f>Buildings_Water_Frontend[[#This Row],[Methodology]]</f>
        <v>0</v>
      </c>
      <c r="AA356" s="229" t="e" cm="1">
        <f t="array" ref="AA356">INDEX(_xlfn.SWITCH(Buildings_Water_Backend[[#This Row],[Methodology]],"Tier 1",rng_RSD1,"Tier 2",rng_RSD2,"Tier 3",rng_RSD3),MATCH(_xlfn.CONCAT(Buildings_Water_Backend[[#This Row],[Level 1]:[Level 6]]),rng_LevelsConcat,0))</f>
        <v>#N/A</v>
      </c>
      <c r="AB356" s="224">
        <f>Buildings_Water_Frontend[[#This Row],[Data]]</f>
        <v>0</v>
      </c>
      <c r="AC356" s="174">
        <f>Buildings_Water_Frontend[[#This Row],[Units]]</f>
        <v>0</v>
      </c>
      <c r="AD356" s="220" t="e">
        <f>IF(Buildings_Water_Backend[[#This Row],[Units]]=Buildings_Water_Backend[[#This Row],[Standard units]],Buildings_Water_Backend[[#This Row],[Data]],Buildings_Water_Backend[[#This Row],[Data]]*_xlfn.XLOOKUP(_xlfn.CONCAT(Buildings_Water_Backend[[#This Row],[Level 1]:[Level 6]]),rng_EFConcat,rng_EFConversion))</f>
        <v>#N/A</v>
      </c>
      <c r="AE356" s="174" t="e" cm="1">
        <f t="array" ref="AE356">_xlfn.XLOOKUP(_xlfn.CONCAT(Buildings_Water_Backend[[#This Row],[Level 1]:[Level 6]]),rng_LevelsConcat,rng_UnitsLong)</f>
        <v>#N/A</v>
      </c>
      <c r="AF356" s="210" t="e">
        <f>_xlfn.XLOOKUP(_xlfn.CONCAT(Buildings_Water_Backend[[#This Row],[Level 1]:[Level 6]]),rng_EFConcat,rng_EF1)*Buildings_Water_Backend[[#This Row],[Converted data]]/1000</f>
        <v>#N/A</v>
      </c>
      <c r="AG356" s="210" t="e">
        <f>_xlfn.XLOOKUP(_xlfn.CONCAT(Buildings_Water_Backend[[#This Row],[Level 1]:[Level 6]]),rng_EFConcat,rng_EF2)*Buildings_Water_Backend[[#This Row],[Converted data]]/1000</f>
        <v>#N/A</v>
      </c>
      <c r="AH356" s="210" t="e">
        <f>_xlfn.XLOOKUP(_xlfn.CONCAT(Buildings_Water_Backend[[#This Row],[Level 1]:[Level 6]]),rng_EFConcat,rng_EF3)*Buildings_Water_Backend[[#This Row],[Converted data]]/1000</f>
        <v>#N/A</v>
      </c>
      <c r="AI356" s="210" t="e">
        <f>_xlfn.XLOOKUP(_xlfn.CONCAT(Buildings_Water_Backend[[#This Row],[Level 1]:[Level 6]]),rng_EFConcat,rng_EF3WTT)*Buildings_Water_Backend[[#This Row],[Converted data]]/1000</f>
        <v>#N/A</v>
      </c>
      <c r="AJ356" s="210" t="e">
        <f>_xlfn.XLOOKUP(_xlfn.CONCAT(Buildings_Water_Backend[[#This Row],[Level 1]:[Level 6]]),rng_EFConcat,rng_EF3TD)*Buildings_Water_Backend[[#This Row],[Converted data]]/1000</f>
        <v>#N/A</v>
      </c>
      <c r="AK356" s="210" t="e">
        <f>_xlfn.XLOOKUP(_xlfn.CONCAT(Buildings_Water_Backend[[#This Row],[Level 1]:[Level 6]]),rng_EFConcat,rng_EF3WTTTD)*Buildings_Water_Backend[[#This Row],[Converted data]]/1000</f>
        <v>#N/A</v>
      </c>
      <c r="AL356" s="220" t="e">
        <f>SUM(Buildings_Water_Backend[[#This Row],[Scope 1 (tCO2e)]:[Scope 3 WTT T&amp;D (tCO2e)]])</f>
        <v>#N/A</v>
      </c>
      <c r="AM356" s="220" t="e">
        <f>Buildings_Water_Backend[[#This Row],[Total (tCO2e)]]*(1-Buildings_Water_Backend[[#This Row],[RSD]])</f>
        <v>#N/A</v>
      </c>
      <c r="AN356" s="220" t="e">
        <f>Buildings_Water_Backend[[#This Row],[Total (tCO2e)]]*(1+Buildings_Water_Backend[[#This Row],[RSD]])</f>
        <v>#N/A</v>
      </c>
      <c r="AO356" s="210" t="e">
        <f>_xlfn.XLOOKUP(_xlfn.CONCAT(Buildings_Water_Backend[[#This Row],[Level 1]:[Level 6]]),rng_EFConcat,rng_EFOOS)*Buildings_Water_Backend[[#This Row],[Converted data]]/1000</f>
        <v>#N/A</v>
      </c>
      <c r="AP356" s="174">
        <f>Buildings_Water_Frontend[[#This Row],[Ease of collection]]</f>
        <v>0</v>
      </c>
      <c r="AQ356" s="174">
        <f>Buildings_Water_Frontend[[#This Row],[Completeness]]</f>
        <v>0</v>
      </c>
      <c r="AR356" s="174">
        <f>Buildings_Water_Frontend[[#This Row],[Notes]]</f>
        <v>0</v>
      </c>
    </row>
    <row r="357" spans="5:44" x14ac:dyDescent="0.3">
      <c r="E357" s="346"/>
      <c r="F357" s="364"/>
      <c r="G357" s="336"/>
      <c r="H357" s="336"/>
      <c r="I357" s="334"/>
      <c r="J357" s="336"/>
      <c r="K357" s="336"/>
      <c r="L357" s="336"/>
      <c r="M357" s="337"/>
      <c r="N357" s="242">
        <f t="shared" si="11"/>
        <v>5</v>
      </c>
      <c r="Q357" s="212" t="str">
        <f t="shared" si="10"/>
        <v/>
      </c>
      <c r="R357" s="174" t="s">
        <v>265</v>
      </c>
      <c r="S357" s="174" t="s">
        <v>273</v>
      </c>
      <c r="T357" s="174" t="e">
        <f>_xlfn.XLOOKUP(Buildings_Water_Backend[[#This Row],[Info 1]],Buildings_SiteInfo[Site name],Buildings_SiteInfo[Site type])</f>
        <v>#N/A</v>
      </c>
      <c r="U357" s="174" t="s">
        <v>327</v>
      </c>
      <c r="V357" s="174">
        <f>Buildings_Water_Frontend[[#This Row],[Type]]</f>
        <v>0</v>
      </c>
      <c r="W357" s="174" t="e" cm="1">
        <f t="array" aca="1" ref="W357" ca="1">_xlfn.XLOOKUP(Buildings_Water_Backend[[#This Row],[Level 5]],rng_Level5Long,rng_Level6Long)</f>
        <v>#N/A</v>
      </c>
      <c r="X357" s="174">
        <f>Buildings_Water_Frontend[[#This Row],[Site Name]]</f>
        <v>0</v>
      </c>
      <c r="Y357" s="174">
        <f>Buildings_Water_Frontend[[#This Row],[Meter Reference]]</f>
        <v>0</v>
      </c>
      <c r="Z357" s="220">
        <f>Buildings_Water_Frontend[[#This Row],[Methodology]]</f>
        <v>0</v>
      </c>
      <c r="AA357" s="229" t="e" cm="1">
        <f t="array" ref="AA357">INDEX(_xlfn.SWITCH(Buildings_Water_Backend[[#This Row],[Methodology]],"Tier 1",rng_RSD1,"Tier 2",rng_RSD2,"Tier 3",rng_RSD3),MATCH(_xlfn.CONCAT(Buildings_Water_Backend[[#This Row],[Level 1]:[Level 6]]),rng_LevelsConcat,0))</f>
        <v>#N/A</v>
      </c>
      <c r="AB357" s="224">
        <f>Buildings_Water_Frontend[[#This Row],[Data]]</f>
        <v>0</v>
      </c>
      <c r="AC357" s="174">
        <f>Buildings_Water_Frontend[[#This Row],[Units]]</f>
        <v>0</v>
      </c>
      <c r="AD357" s="220" t="e">
        <f>IF(Buildings_Water_Backend[[#This Row],[Units]]=Buildings_Water_Backend[[#This Row],[Standard units]],Buildings_Water_Backend[[#This Row],[Data]],Buildings_Water_Backend[[#This Row],[Data]]*_xlfn.XLOOKUP(_xlfn.CONCAT(Buildings_Water_Backend[[#This Row],[Level 1]:[Level 6]]),rng_EFConcat,rng_EFConversion))</f>
        <v>#N/A</v>
      </c>
      <c r="AE357" s="174" t="e" cm="1">
        <f t="array" ref="AE357">_xlfn.XLOOKUP(_xlfn.CONCAT(Buildings_Water_Backend[[#This Row],[Level 1]:[Level 6]]),rng_LevelsConcat,rng_UnitsLong)</f>
        <v>#N/A</v>
      </c>
      <c r="AF357" s="210" t="e">
        <f>_xlfn.XLOOKUP(_xlfn.CONCAT(Buildings_Water_Backend[[#This Row],[Level 1]:[Level 6]]),rng_EFConcat,rng_EF1)*Buildings_Water_Backend[[#This Row],[Converted data]]/1000</f>
        <v>#N/A</v>
      </c>
      <c r="AG357" s="210" t="e">
        <f>_xlfn.XLOOKUP(_xlfn.CONCAT(Buildings_Water_Backend[[#This Row],[Level 1]:[Level 6]]),rng_EFConcat,rng_EF2)*Buildings_Water_Backend[[#This Row],[Converted data]]/1000</f>
        <v>#N/A</v>
      </c>
      <c r="AH357" s="210" t="e">
        <f>_xlfn.XLOOKUP(_xlfn.CONCAT(Buildings_Water_Backend[[#This Row],[Level 1]:[Level 6]]),rng_EFConcat,rng_EF3)*Buildings_Water_Backend[[#This Row],[Converted data]]/1000</f>
        <v>#N/A</v>
      </c>
      <c r="AI357" s="210" t="e">
        <f>_xlfn.XLOOKUP(_xlfn.CONCAT(Buildings_Water_Backend[[#This Row],[Level 1]:[Level 6]]),rng_EFConcat,rng_EF3WTT)*Buildings_Water_Backend[[#This Row],[Converted data]]/1000</f>
        <v>#N/A</v>
      </c>
      <c r="AJ357" s="210" t="e">
        <f>_xlfn.XLOOKUP(_xlfn.CONCAT(Buildings_Water_Backend[[#This Row],[Level 1]:[Level 6]]),rng_EFConcat,rng_EF3TD)*Buildings_Water_Backend[[#This Row],[Converted data]]/1000</f>
        <v>#N/A</v>
      </c>
      <c r="AK357" s="210" t="e">
        <f>_xlfn.XLOOKUP(_xlfn.CONCAT(Buildings_Water_Backend[[#This Row],[Level 1]:[Level 6]]),rng_EFConcat,rng_EF3WTTTD)*Buildings_Water_Backend[[#This Row],[Converted data]]/1000</f>
        <v>#N/A</v>
      </c>
      <c r="AL357" s="220" t="e">
        <f>SUM(Buildings_Water_Backend[[#This Row],[Scope 1 (tCO2e)]:[Scope 3 WTT T&amp;D (tCO2e)]])</f>
        <v>#N/A</v>
      </c>
      <c r="AM357" s="220" t="e">
        <f>Buildings_Water_Backend[[#This Row],[Total (tCO2e)]]*(1-Buildings_Water_Backend[[#This Row],[RSD]])</f>
        <v>#N/A</v>
      </c>
      <c r="AN357" s="220" t="e">
        <f>Buildings_Water_Backend[[#This Row],[Total (tCO2e)]]*(1+Buildings_Water_Backend[[#This Row],[RSD]])</f>
        <v>#N/A</v>
      </c>
      <c r="AO357" s="210" t="e">
        <f>_xlfn.XLOOKUP(_xlfn.CONCAT(Buildings_Water_Backend[[#This Row],[Level 1]:[Level 6]]),rng_EFConcat,rng_EFOOS)*Buildings_Water_Backend[[#This Row],[Converted data]]/1000</f>
        <v>#N/A</v>
      </c>
      <c r="AP357" s="174">
        <f>Buildings_Water_Frontend[[#This Row],[Ease of collection]]</f>
        <v>0</v>
      </c>
      <c r="AQ357" s="174">
        <f>Buildings_Water_Frontend[[#This Row],[Completeness]]</f>
        <v>0</v>
      </c>
      <c r="AR357" s="174">
        <f>Buildings_Water_Frontend[[#This Row],[Notes]]</f>
        <v>0</v>
      </c>
    </row>
    <row r="358" spans="5:44" x14ac:dyDescent="0.3">
      <c r="E358" s="346"/>
      <c r="F358" s="364"/>
      <c r="G358" s="336"/>
      <c r="H358" s="336"/>
      <c r="I358" s="334"/>
      <c r="J358" s="336"/>
      <c r="K358" s="336"/>
      <c r="L358" s="336"/>
      <c r="M358" s="337"/>
      <c r="N358" s="242">
        <f t="shared" si="11"/>
        <v>5</v>
      </c>
      <c r="Q358" s="212" t="str">
        <f t="shared" si="10"/>
        <v/>
      </c>
      <c r="R358" s="174" t="s">
        <v>265</v>
      </c>
      <c r="S358" s="174" t="s">
        <v>273</v>
      </c>
      <c r="T358" s="174" t="e">
        <f>_xlfn.XLOOKUP(Buildings_Water_Backend[[#This Row],[Info 1]],Buildings_SiteInfo[Site name],Buildings_SiteInfo[Site type])</f>
        <v>#N/A</v>
      </c>
      <c r="U358" s="174" t="s">
        <v>327</v>
      </c>
      <c r="V358" s="174">
        <f>Buildings_Water_Frontend[[#This Row],[Type]]</f>
        <v>0</v>
      </c>
      <c r="W358" s="174" t="e" cm="1">
        <f t="array" aca="1" ref="W358" ca="1">_xlfn.XLOOKUP(Buildings_Water_Backend[[#This Row],[Level 5]],rng_Level5Long,rng_Level6Long)</f>
        <v>#N/A</v>
      </c>
      <c r="X358" s="174">
        <f>Buildings_Water_Frontend[[#This Row],[Site Name]]</f>
        <v>0</v>
      </c>
      <c r="Y358" s="174">
        <f>Buildings_Water_Frontend[[#This Row],[Meter Reference]]</f>
        <v>0</v>
      </c>
      <c r="Z358" s="220">
        <f>Buildings_Water_Frontend[[#This Row],[Methodology]]</f>
        <v>0</v>
      </c>
      <c r="AA358" s="229" t="e" cm="1">
        <f t="array" ref="AA358">INDEX(_xlfn.SWITCH(Buildings_Water_Backend[[#This Row],[Methodology]],"Tier 1",rng_RSD1,"Tier 2",rng_RSD2,"Tier 3",rng_RSD3),MATCH(_xlfn.CONCAT(Buildings_Water_Backend[[#This Row],[Level 1]:[Level 6]]),rng_LevelsConcat,0))</f>
        <v>#N/A</v>
      </c>
      <c r="AB358" s="224">
        <f>Buildings_Water_Frontend[[#This Row],[Data]]</f>
        <v>0</v>
      </c>
      <c r="AC358" s="174">
        <f>Buildings_Water_Frontend[[#This Row],[Units]]</f>
        <v>0</v>
      </c>
      <c r="AD358" s="220" t="e">
        <f>IF(Buildings_Water_Backend[[#This Row],[Units]]=Buildings_Water_Backend[[#This Row],[Standard units]],Buildings_Water_Backend[[#This Row],[Data]],Buildings_Water_Backend[[#This Row],[Data]]*_xlfn.XLOOKUP(_xlfn.CONCAT(Buildings_Water_Backend[[#This Row],[Level 1]:[Level 6]]),rng_EFConcat,rng_EFConversion))</f>
        <v>#N/A</v>
      </c>
      <c r="AE358" s="174" t="e" cm="1">
        <f t="array" ref="AE358">_xlfn.XLOOKUP(_xlfn.CONCAT(Buildings_Water_Backend[[#This Row],[Level 1]:[Level 6]]),rng_LevelsConcat,rng_UnitsLong)</f>
        <v>#N/A</v>
      </c>
      <c r="AF358" s="210" t="e">
        <f>_xlfn.XLOOKUP(_xlfn.CONCAT(Buildings_Water_Backend[[#This Row],[Level 1]:[Level 6]]),rng_EFConcat,rng_EF1)*Buildings_Water_Backend[[#This Row],[Converted data]]/1000</f>
        <v>#N/A</v>
      </c>
      <c r="AG358" s="210" t="e">
        <f>_xlfn.XLOOKUP(_xlfn.CONCAT(Buildings_Water_Backend[[#This Row],[Level 1]:[Level 6]]),rng_EFConcat,rng_EF2)*Buildings_Water_Backend[[#This Row],[Converted data]]/1000</f>
        <v>#N/A</v>
      </c>
      <c r="AH358" s="210" t="e">
        <f>_xlfn.XLOOKUP(_xlfn.CONCAT(Buildings_Water_Backend[[#This Row],[Level 1]:[Level 6]]),rng_EFConcat,rng_EF3)*Buildings_Water_Backend[[#This Row],[Converted data]]/1000</f>
        <v>#N/A</v>
      </c>
      <c r="AI358" s="210" t="e">
        <f>_xlfn.XLOOKUP(_xlfn.CONCAT(Buildings_Water_Backend[[#This Row],[Level 1]:[Level 6]]),rng_EFConcat,rng_EF3WTT)*Buildings_Water_Backend[[#This Row],[Converted data]]/1000</f>
        <v>#N/A</v>
      </c>
      <c r="AJ358" s="210" t="e">
        <f>_xlfn.XLOOKUP(_xlfn.CONCAT(Buildings_Water_Backend[[#This Row],[Level 1]:[Level 6]]),rng_EFConcat,rng_EF3TD)*Buildings_Water_Backend[[#This Row],[Converted data]]/1000</f>
        <v>#N/A</v>
      </c>
      <c r="AK358" s="210" t="e">
        <f>_xlfn.XLOOKUP(_xlfn.CONCAT(Buildings_Water_Backend[[#This Row],[Level 1]:[Level 6]]),rng_EFConcat,rng_EF3WTTTD)*Buildings_Water_Backend[[#This Row],[Converted data]]/1000</f>
        <v>#N/A</v>
      </c>
      <c r="AL358" s="220" t="e">
        <f>SUM(Buildings_Water_Backend[[#This Row],[Scope 1 (tCO2e)]:[Scope 3 WTT T&amp;D (tCO2e)]])</f>
        <v>#N/A</v>
      </c>
      <c r="AM358" s="220" t="e">
        <f>Buildings_Water_Backend[[#This Row],[Total (tCO2e)]]*(1-Buildings_Water_Backend[[#This Row],[RSD]])</f>
        <v>#N/A</v>
      </c>
      <c r="AN358" s="220" t="e">
        <f>Buildings_Water_Backend[[#This Row],[Total (tCO2e)]]*(1+Buildings_Water_Backend[[#This Row],[RSD]])</f>
        <v>#N/A</v>
      </c>
      <c r="AO358" s="210" t="e">
        <f>_xlfn.XLOOKUP(_xlfn.CONCAT(Buildings_Water_Backend[[#This Row],[Level 1]:[Level 6]]),rng_EFConcat,rng_EFOOS)*Buildings_Water_Backend[[#This Row],[Converted data]]/1000</f>
        <v>#N/A</v>
      </c>
      <c r="AP358" s="174">
        <f>Buildings_Water_Frontend[[#This Row],[Ease of collection]]</f>
        <v>0</v>
      </c>
      <c r="AQ358" s="174">
        <f>Buildings_Water_Frontend[[#This Row],[Completeness]]</f>
        <v>0</v>
      </c>
      <c r="AR358" s="174">
        <f>Buildings_Water_Frontend[[#This Row],[Notes]]</f>
        <v>0</v>
      </c>
    </row>
    <row r="359" spans="5:44" x14ac:dyDescent="0.3">
      <c r="E359" s="346"/>
      <c r="F359" s="364"/>
      <c r="G359" s="336"/>
      <c r="H359" s="336"/>
      <c r="I359" s="334"/>
      <c r="J359" s="336"/>
      <c r="K359" s="336"/>
      <c r="L359" s="336"/>
      <c r="M359" s="337"/>
      <c r="N359" s="242">
        <f t="shared" si="11"/>
        <v>5</v>
      </c>
      <c r="Q359" s="212" t="str">
        <f t="shared" si="10"/>
        <v/>
      </c>
      <c r="R359" s="174" t="s">
        <v>265</v>
      </c>
      <c r="S359" s="174" t="s">
        <v>273</v>
      </c>
      <c r="T359" s="174" t="e">
        <f>_xlfn.XLOOKUP(Buildings_Water_Backend[[#This Row],[Info 1]],Buildings_SiteInfo[Site name],Buildings_SiteInfo[Site type])</f>
        <v>#N/A</v>
      </c>
      <c r="U359" s="174" t="s">
        <v>327</v>
      </c>
      <c r="V359" s="174">
        <f>Buildings_Water_Frontend[[#This Row],[Type]]</f>
        <v>0</v>
      </c>
      <c r="W359" s="174" t="e" cm="1">
        <f t="array" aca="1" ref="W359" ca="1">_xlfn.XLOOKUP(Buildings_Water_Backend[[#This Row],[Level 5]],rng_Level5Long,rng_Level6Long)</f>
        <v>#N/A</v>
      </c>
      <c r="X359" s="174">
        <f>Buildings_Water_Frontend[[#This Row],[Site Name]]</f>
        <v>0</v>
      </c>
      <c r="Y359" s="174">
        <f>Buildings_Water_Frontend[[#This Row],[Meter Reference]]</f>
        <v>0</v>
      </c>
      <c r="Z359" s="220">
        <f>Buildings_Water_Frontend[[#This Row],[Methodology]]</f>
        <v>0</v>
      </c>
      <c r="AA359" s="229" t="e" cm="1">
        <f t="array" ref="AA359">INDEX(_xlfn.SWITCH(Buildings_Water_Backend[[#This Row],[Methodology]],"Tier 1",rng_RSD1,"Tier 2",rng_RSD2,"Tier 3",rng_RSD3),MATCH(_xlfn.CONCAT(Buildings_Water_Backend[[#This Row],[Level 1]:[Level 6]]),rng_LevelsConcat,0))</f>
        <v>#N/A</v>
      </c>
      <c r="AB359" s="224">
        <f>Buildings_Water_Frontend[[#This Row],[Data]]</f>
        <v>0</v>
      </c>
      <c r="AC359" s="174">
        <f>Buildings_Water_Frontend[[#This Row],[Units]]</f>
        <v>0</v>
      </c>
      <c r="AD359" s="220" t="e">
        <f>IF(Buildings_Water_Backend[[#This Row],[Units]]=Buildings_Water_Backend[[#This Row],[Standard units]],Buildings_Water_Backend[[#This Row],[Data]],Buildings_Water_Backend[[#This Row],[Data]]*_xlfn.XLOOKUP(_xlfn.CONCAT(Buildings_Water_Backend[[#This Row],[Level 1]:[Level 6]]),rng_EFConcat,rng_EFConversion))</f>
        <v>#N/A</v>
      </c>
      <c r="AE359" s="174" t="e" cm="1">
        <f t="array" ref="AE359">_xlfn.XLOOKUP(_xlfn.CONCAT(Buildings_Water_Backend[[#This Row],[Level 1]:[Level 6]]),rng_LevelsConcat,rng_UnitsLong)</f>
        <v>#N/A</v>
      </c>
      <c r="AF359" s="210" t="e">
        <f>_xlfn.XLOOKUP(_xlfn.CONCAT(Buildings_Water_Backend[[#This Row],[Level 1]:[Level 6]]),rng_EFConcat,rng_EF1)*Buildings_Water_Backend[[#This Row],[Converted data]]/1000</f>
        <v>#N/A</v>
      </c>
      <c r="AG359" s="210" t="e">
        <f>_xlfn.XLOOKUP(_xlfn.CONCAT(Buildings_Water_Backend[[#This Row],[Level 1]:[Level 6]]),rng_EFConcat,rng_EF2)*Buildings_Water_Backend[[#This Row],[Converted data]]/1000</f>
        <v>#N/A</v>
      </c>
      <c r="AH359" s="210" t="e">
        <f>_xlfn.XLOOKUP(_xlfn.CONCAT(Buildings_Water_Backend[[#This Row],[Level 1]:[Level 6]]),rng_EFConcat,rng_EF3)*Buildings_Water_Backend[[#This Row],[Converted data]]/1000</f>
        <v>#N/A</v>
      </c>
      <c r="AI359" s="210" t="e">
        <f>_xlfn.XLOOKUP(_xlfn.CONCAT(Buildings_Water_Backend[[#This Row],[Level 1]:[Level 6]]),rng_EFConcat,rng_EF3WTT)*Buildings_Water_Backend[[#This Row],[Converted data]]/1000</f>
        <v>#N/A</v>
      </c>
      <c r="AJ359" s="210" t="e">
        <f>_xlfn.XLOOKUP(_xlfn.CONCAT(Buildings_Water_Backend[[#This Row],[Level 1]:[Level 6]]),rng_EFConcat,rng_EF3TD)*Buildings_Water_Backend[[#This Row],[Converted data]]/1000</f>
        <v>#N/A</v>
      </c>
      <c r="AK359" s="210" t="e">
        <f>_xlfn.XLOOKUP(_xlfn.CONCAT(Buildings_Water_Backend[[#This Row],[Level 1]:[Level 6]]),rng_EFConcat,rng_EF3WTTTD)*Buildings_Water_Backend[[#This Row],[Converted data]]/1000</f>
        <v>#N/A</v>
      </c>
      <c r="AL359" s="220" t="e">
        <f>SUM(Buildings_Water_Backend[[#This Row],[Scope 1 (tCO2e)]:[Scope 3 WTT T&amp;D (tCO2e)]])</f>
        <v>#N/A</v>
      </c>
      <c r="AM359" s="220" t="e">
        <f>Buildings_Water_Backend[[#This Row],[Total (tCO2e)]]*(1-Buildings_Water_Backend[[#This Row],[RSD]])</f>
        <v>#N/A</v>
      </c>
      <c r="AN359" s="220" t="e">
        <f>Buildings_Water_Backend[[#This Row],[Total (tCO2e)]]*(1+Buildings_Water_Backend[[#This Row],[RSD]])</f>
        <v>#N/A</v>
      </c>
      <c r="AO359" s="210" t="e">
        <f>_xlfn.XLOOKUP(_xlfn.CONCAT(Buildings_Water_Backend[[#This Row],[Level 1]:[Level 6]]),rng_EFConcat,rng_EFOOS)*Buildings_Water_Backend[[#This Row],[Converted data]]/1000</f>
        <v>#N/A</v>
      </c>
      <c r="AP359" s="174">
        <f>Buildings_Water_Frontend[[#This Row],[Ease of collection]]</f>
        <v>0</v>
      </c>
      <c r="AQ359" s="174">
        <f>Buildings_Water_Frontend[[#This Row],[Completeness]]</f>
        <v>0</v>
      </c>
      <c r="AR359" s="174">
        <f>Buildings_Water_Frontend[[#This Row],[Notes]]</f>
        <v>0</v>
      </c>
    </row>
    <row r="360" spans="5:44" x14ac:dyDescent="0.3">
      <c r="E360" s="346"/>
      <c r="F360" s="364"/>
      <c r="G360" s="336"/>
      <c r="H360" s="336"/>
      <c r="I360" s="334"/>
      <c r="J360" s="336"/>
      <c r="K360" s="336"/>
      <c r="L360" s="336"/>
      <c r="M360" s="337"/>
      <c r="N360" s="242">
        <f t="shared" si="11"/>
        <v>5</v>
      </c>
      <c r="Q360" s="212" t="str">
        <f t="shared" si="10"/>
        <v/>
      </c>
      <c r="R360" s="174" t="s">
        <v>265</v>
      </c>
      <c r="S360" s="174" t="s">
        <v>273</v>
      </c>
      <c r="T360" s="174" t="e">
        <f>_xlfn.XLOOKUP(Buildings_Water_Backend[[#This Row],[Info 1]],Buildings_SiteInfo[Site name],Buildings_SiteInfo[Site type])</f>
        <v>#N/A</v>
      </c>
      <c r="U360" s="174" t="s">
        <v>327</v>
      </c>
      <c r="V360" s="174">
        <f>Buildings_Water_Frontend[[#This Row],[Type]]</f>
        <v>0</v>
      </c>
      <c r="W360" s="174" t="e" cm="1">
        <f t="array" aca="1" ref="W360" ca="1">_xlfn.XLOOKUP(Buildings_Water_Backend[[#This Row],[Level 5]],rng_Level5Long,rng_Level6Long)</f>
        <v>#N/A</v>
      </c>
      <c r="X360" s="174">
        <f>Buildings_Water_Frontend[[#This Row],[Site Name]]</f>
        <v>0</v>
      </c>
      <c r="Y360" s="174">
        <f>Buildings_Water_Frontend[[#This Row],[Meter Reference]]</f>
        <v>0</v>
      </c>
      <c r="Z360" s="220">
        <f>Buildings_Water_Frontend[[#This Row],[Methodology]]</f>
        <v>0</v>
      </c>
      <c r="AA360" s="229" t="e" cm="1">
        <f t="array" ref="AA360">INDEX(_xlfn.SWITCH(Buildings_Water_Backend[[#This Row],[Methodology]],"Tier 1",rng_RSD1,"Tier 2",rng_RSD2,"Tier 3",rng_RSD3),MATCH(_xlfn.CONCAT(Buildings_Water_Backend[[#This Row],[Level 1]:[Level 6]]),rng_LevelsConcat,0))</f>
        <v>#N/A</v>
      </c>
      <c r="AB360" s="224">
        <f>Buildings_Water_Frontend[[#This Row],[Data]]</f>
        <v>0</v>
      </c>
      <c r="AC360" s="174">
        <f>Buildings_Water_Frontend[[#This Row],[Units]]</f>
        <v>0</v>
      </c>
      <c r="AD360" s="220" t="e">
        <f>IF(Buildings_Water_Backend[[#This Row],[Units]]=Buildings_Water_Backend[[#This Row],[Standard units]],Buildings_Water_Backend[[#This Row],[Data]],Buildings_Water_Backend[[#This Row],[Data]]*_xlfn.XLOOKUP(_xlfn.CONCAT(Buildings_Water_Backend[[#This Row],[Level 1]:[Level 6]]),rng_EFConcat,rng_EFConversion))</f>
        <v>#N/A</v>
      </c>
      <c r="AE360" s="174" t="e" cm="1">
        <f t="array" ref="AE360">_xlfn.XLOOKUP(_xlfn.CONCAT(Buildings_Water_Backend[[#This Row],[Level 1]:[Level 6]]),rng_LevelsConcat,rng_UnitsLong)</f>
        <v>#N/A</v>
      </c>
      <c r="AF360" s="210" t="e">
        <f>_xlfn.XLOOKUP(_xlfn.CONCAT(Buildings_Water_Backend[[#This Row],[Level 1]:[Level 6]]),rng_EFConcat,rng_EF1)*Buildings_Water_Backend[[#This Row],[Converted data]]/1000</f>
        <v>#N/A</v>
      </c>
      <c r="AG360" s="210" t="e">
        <f>_xlfn.XLOOKUP(_xlfn.CONCAT(Buildings_Water_Backend[[#This Row],[Level 1]:[Level 6]]),rng_EFConcat,rng_EF2)*Buildings_Water_Backend[[#This Row],[Converted data]]/1000</f>
        <v>#N/A</v>
      </c>
      <c r="AH360" s="210" t="e">
        <f>_xlfn.XLOOKUP(_xlfn.CONCAT(Buildings_Water_Backend[[#This Row],[Level 1]:[Level 6]]),rng_EFConcat,rng_EF3)*Buildings_Water_Backend[[#This Row],[Converted data]]/1000</f>
        <v>#N/A</v>
      </c>
      <c r="AI360" s="210" t="e">
        <f>_xlfn.XLOOKUP(_xlfn.CONCAT(Buildings_Water_Backend[[#This Row],[Level 1]:[Level 6]]),rng_EFConcat,rng_EF3WTT)*Buildings_Water_Backend[[#This Row],[Converted data]]/1000</f>
        <v>#N/A</v>
      </c>
      <c r="AJ360" s="210" t="e">
        <f>_xlfn.XLOOKUP(_xlfn.CONCAT(Buildings_Water_Backend[[#This Row],[Level 1]:[Level 6]]),rng_EFConcat,rng_EF3TD)*Buildings_Water_Backend[[#This Row],[Converted data]]/1000</f>
        <v>#N/A</v>
      </c>
      <c r="AK360" s="210" t="e">
        <f>_xlfn.XLOOKUP(_xlfn.CONCAT(Buildings_Water_Backend[[#This Row],[Level 1]:[Level 6]]),rng_EFConcat,rng_EF3WTTTD)*Buildings_Water_Backend[[#This Row],[Converted data]]/1000</f>
        <v>#N/A</v>
      </c>
      <c r="AL360" s="220" t="e">
        <f>SUM(Buildings_Water_Backend[[#This Row],[Scope 1 (tCO2e)]:[Scope 3 WTT T&amp;D (tCO2e)]])</f>
        <v>#N/A</v>
      </c>
      <c r="AM360" s="220" t="e">
        <f>Buildings_Water_Backend[[#This Row],[Total (tCO2e)]]*(1-Buildings_Water_Backend[[#This Row],[RSD]])</f>
        <v>#N/A</v>
      </c>
      <c r="AN360" s="220" t="e">
        <f>Buildings_Water_Backend[[#This Row],[Total (tCO2e)]]*(1+Buildings_Water_Backend[[#This Row],[RSD]])</f>
        <v>#N/A</v>
      </c>
      <c r="AO360" s="210" t="e">
        <f>_xlfn.XLOOKUP(_xlfn.CONCAT(Buildings_Water_Backend[[#This Row],[Level 1]:[Level 6]]),rng_EFConcat,rng_EFOOS)*Buildings_Water_Backend[[#This Row],[Converted data]]/1000</f>
        <v>#N/A</v>
      </c>
      <c r="AP360" s="174">
        <f>Buildings_Water_Frontend[[#This Row],[Ease of collection]]</f>
        <v>0</v>
      </c>
      <c r="AQ360" s="174">
        <f>Buildings_Water_Frontend[[#This Row],[Completeness]]</f>
        <v>0</v>
      </c>
      <c r="AR360" s="174">
        <f>Buildings_Water_Frontend[[#This Row],[Notes]]</f>
        <v>0</v>
      </c>
    </row>
    <row r="361" spans="5:44" x14ac:dyDescent="0.3">
      <c r="E361" s="346"/>
      <c r="F361" s="364"/>
      <c r="G361" s="336"/>
      <c r="H361" s="336"/>
      <c r="I361" s="334"/>
      <c r="J361" s="336"/>
      <c r="K361" s="336"/>
      <c r="L361" s="336"/>
      <c r="M361" s="337"/>
      <c r="N361" s="242">
        <f t="shared" si="11"/>
        <v>5</v>
      </c>
      <c r="Q361" s="212" t="str">
        <f t="shared" si="10"/>
        <v/>
      </c>
      <c r="R361" s="174" t="s">
        <v>265</v>
      </c>
      <c r="S361" s="174" t="s">
        <v>273</v>
      </c>
      <c r="T361" s="174" t="e">
        <f>_xlfn.XLOOKUP(Buildings_Water_Backend[[#This Row],[Info 1]],Buildings_SiteInfo[Site name],Buildings_SiteInfo[Site type])</f>
        <v>#N/A</v>
      </c>
      <c r="U361" s="174" t="s">
        <v>327</v>
      </c>
      <c r="V361" s="174">
        <f>Buildings_Water_Frontend[[#This Row],[Type]]</f>
        <v>0</v>
      </c>
      <c r="W361" s="174" t="e" cm="1">
        <f t="array" aca="1" ref="W361" ca="1">_xlfn.XLOOKUP(Buildings_Water_Backend[[#This Row],[Level 5]],rng_Level5Long,rng_Level6Long)</f>
        <v>#N/A</v>
      </c>
      <c r="X361" s="174">
        <f>Buildings_Water_Frontend[[#This Row],[Site Name]]</f>
        <v>0</v>
      </c>
      <c r="Y361" s="174">
        <f>Buildings_Water_Frontend[[#This Row],[Meter Reference]]</f>
        <v>0</v>
      </c>
      <c r="Z361" s="220">
        <f>Buildings_Water_Frontend[[#This Row],[Methodology]]</f>
        <v>0</v>
      </c>
      <c r="AA361" s="229" t="e" cm="1">
        <f t="array" ref="AA361">INDEX(_xlfn.SWITCH(Buildings_Water_Backend[[#This Row],[Methodology]],"Tier 1",rng_RSD1,"Tier 2",rng_RSD2,"Tier 3",rng_RSD3),MATCH(_xlfn.CONCAT(Buildings_Water_Backend[[#This Row],[Level 1]:[Level 6]]),rng_LevelsConcat,0))</f>
        <v>#N/A</v>
      </c>
      <c r="AB361" s="224">
        <f>Buildings_Water_Frontend[[#This Row],[Data]]</f>
        <v>0</v>
      </c>
      <c r="AC361" s="174">
        <f>Buildings_Water_Frontend[[#This Row],[Units]]</f>
        <v>0</v>
      </c>
      <c r="AD361" s="220" t="e">
        <f>IF(Buildings_Water_Backend[[#This Row],[Units]]=Buildings_Water_Backend[[#This Row],[Standard units]],Buildings_Water_Backend[[#This Row],[Data]],Buildings_Water_Backend[[#This Row],[Data]]*_xlfn.XLOOKUP(_xlfn.CONCAT(Buildings_Water_Backend[[#This Row],[Level 1]:[Level 6]]),rng_EFConcat,rng_EFConversion))</f>
        <v>#N/A</v>
      </c>
      <c r="AE361" s="174" t="e" cm="1">
        <f t="array" ref="AE361">_xlfn.XLOOKUP(_xlfn.CONCAT(Buildings_Water_Backend[[#This Row],[Level 1]:[Level 6]]),rng_LevelsConcat,rng_UnitsLong)</f>
        <v>#N/A</v>
      </c>
      <c r="AF361" s="210" t="e">
        <f>_xlfn.XLOOKUP(_xlfn.CONCAT(Buildings_Water_Backend[[#This Row],[Level 1]:[Level 6]]),rng_EFConcat,rng_EF1)*Buildings_Water_Backend[[#This Row],[Converted data]]/1000</f>
        <v>#N/A</v>
      </c>
      <c r="AG361" s="210" t="e">
        <f>_xlfn.XLOOKUP(_xlfn.CONCAT(Buildings_Water_Backend[[#This Row],[Level 1]:[Level 6]]),rng_EFConcat,rng_EF2)*Buildings_Water_Backend[[#This Row],[Converted data]]/1000</f>
        <v>#N/A</v>
      </c>
      <c r="AH361" s="210" t="e">
        <f>_xlfn.XLOOKUP(_xlfn.CONCAT(Buildings_Water_Backend[[#This Row],[Level 1]:[Level 6]]),rng_EFConcat,rng_EF3)*Buildings_Water_Backend[[#This Row],[Converted data]]/1000</f>
        <v>#N/A</v>
      </c>
      <c r="AI361" s="210" t="e">
        <f>_xlfn.XLOOKUP(_xlfn.CONCAT(Buildings_Water_Backend[[#This Row],[Level 1]:[Level 6]]),rng_EFConcat,rng_EF3WTT)*Buildings_Water_Backend[[#This Row],[Converted data]]/1000</f>
        <v>#N/A</v>
      </c>
      <c r="AJ361" s="210" t="e">
        <f>_xlfn.XLOOKUP(_xlfn.CONCAT(Buildings_Water_Backend[[#This Row],[Level 1]:[Level 6]]),rng_EFConcat,rng_EF3TD)*Buildings_Water_Backend[[#This Row],[Converted data]]/1000</f>
        <v>#N/A</v>
      </c>
      <c r="AK361" s="210" t="e">
        <f>_xlfn.XLOOKUP(_xlfn.CONCAT(Buildings_Water_Backend[[#This Row],[Level 1]:[Level 6]]),rng_EFConcat,rng_EF3WTTTD)*Buildings_Water_Backend[[#This Row],[Converted data]]/1000</f>
        <v>#N/A</v>
      </c>
      <c r="AL361" s="220" t="e">
        <f>SUM(Buildings_Water_Backend[[#This Row],[Scope 1 (tCO2e)]:[Scope 3 WTT T&amp;D (tCO2e)]])</f>
        <v>#N/A</v>
      </c>
      <c r="AM361" s="220" t="e">
        <f>Buildings_Water_Backend[[#This Row],[Total (tCO2e)]]*(1-Buildings_Water_Backend[[#This Row],[RSD]])</f>
        <v>#N/A</v>
      </c>
      <c r="AN361" s="220" t="e">
        <f>Buildings_Water_Backend[[#This Row],[Total (tCO2e)]]*(1+Buildings_Water_Backend[[#This Row],[RSD]])</f>
        <v>#N/A</v>
      </c>
      <c r="AO361" s="210" t="e">
        <f>_xlfn.XLOOKUP(_xlfn.CONCAT(Buildings_Water_Backend[[#This Row],[Level 1]:[Level 6]]),rng_EFConcat,rng_EFOOS)*Buildings_Water_Backend[[#This Row],[Converted data]]/1000</f>
        <v>#N/A</v>
      </c>
      <c r="AP361" s="174">
        <f>Buildings_Water_Frontend[[#This Row],[Ease of collection]]</f>
        <v>0</v>
      </c>
      <c r="AQ361" s="174">
        <f>Buildings_Water_Frontend[[#This Row],[Completeness]]</f>
        <v>0</v>
      </c>
      <c r="AR361" s="174">
        <f>Buildings_Water_Frontend[[#This Row],[Notes]]</f>
        <v>0</v>
      </c>
    </row>
    <row r="362" spans="5:44" x14ac:dyDescent="0.3">
      <c r="E362" s="346"/>
      <c r="F362" s="364"/>
      <c r="G362" s="336"/>
      <c r="H362" s="336"/>
      <c r="I362" s="334"/>
      <c r="J362" s="336"/>
      <c r="K362" s="336"/>
      <c r="L362" s="336"/>
      <c r="M362" s="337"/>
      <c r="N362" s="242">
        <f t="shared" si="11"/>
        <v>5</v>
      </c>
      <c r="Q362" s="212" t="str">
        <f t="shared" si="10"/>
        <v/>
      </c>
      <c r="R362" s="174" t="s">
        <v>265</v>
      </c>
      <c r="S362" s="174" t="s">
        <v>273</v>
      </c>
      <c r="T362" s="174" t="e">
        <f>_xlfn.XLOOKUP(Buildings_Water_Backend[[#This Row],[Info 1]],Buildings_SiteInfo[Site name],Buildings_SiteInfo[Site type])</f>
        <v>#N/A</v>
      </c>
      <c r="U362" s="174" t="s">
        <v>327</v>
      </c>
      <c r="V362" s="174">
        <f>Buildings_Water_Frontend[[#This Row],[Type]]</f>
        <v>0</v>
      </c>
      <c r="W362" s="174" t="e" cm="1">
        <f t="array" aca="1" ref="W362" ca="1">_xlfn.XLOOKUP(Buildings_Water_Backend[[#This Row],[Level 5]],rng_Level5Long,rng_Level6Long)</f>
        <v>#N/A</v>
      </c>
      <c r="X362" s="174">
        <f>Buildings_Water_Frontend[[#This Row],[Site Name]]</f>
        <v>0</v>
      </c>
      <c r="Y362" s="174">
        <f>Buildings_Water_Frontend[[#This Row],[Meter Reference]]</f>
        <v>0</v>
      </c>
      <c r="Z362" s="220">
        <f>Buildings_Water_Frontend[[#This Row],[Methodology]]</f>
        <v>0</v>
      </c>
      <c r="AA362" s="229" t="e" cm="1">
        <f t="array" ref="AA362">INDEX(_xlfn.SWITCH(Buildings_Water_Backend[[#This Row],[Methodology]],"Tier 1",rng_RSD1,"Tier 2",rng_RSD2,"Tier 3",rng_RSD3),MATCH(_xlfn.CONCAT(Buildings_Water_Backend[[#This Row],[Level 1]:[Level 6]]),rng_LevelsConcat,0))</f>
        <v>#N/A</v>
      </c>
      <c r="AB362" s="224">
        <f>Buildings_Water_Frontend[[#This Row],[Data]]</f>
        <v>0</v>
      </c>
      <c r="AC362" s="174">
        <f>Buildings_Water_Frontend[[#This Row],[Units]]</f>
        <v>0</v>
      </c>
      <c r="AD362" s="220" t="e">
        <f>IF(Buildings_Water_Backend[[#This Row],[Units]]=Buildings_Water_Backend[[#This Row],[Standard units]],Buildings_Water_Backend[[#This Row],[Data]],Buildings_Water_Backend[[#This Row],[Data]]*_xlfn.XLOOKUP(_xlfn.CONCAT(Buildings_Water_Backend[[#This Row],[Level 1]:[Level 6]]),rng_EFConcat,rng_EFConversion))</f>
        <v>#N/A</v>
      </c>
      <c r="AE362" s="174" t="e" cm="1">
        <f t="array" ref="AE362">_xlfn.XLOOKUP(_xlfn.CONCAT(Buildings_Water_Backend[[#This Row],[Level 1]:[Level 6]]),rng_LevelsConcat,rng_UnitsLong)</f>
        <v>#N/A</v>
      </c>
      <c r="AF362" s="210" t="e">
        <f>_xlfn.XLOOKUP(_xlfn.CONCAT(Buildings_Water_Backend[[#This Row],[Level 1]:[Level 6]]),rng_EFConcat,rng_EF1)*Buildings_Water_Backend[[#This Row],[Converted data]]/1000</f>
        <v>#N/A</v>
      </c>
      <c r="AG362" s="210" t="e">
        <f>_xlfn.XLOOKUP(_xlfn.CONCAT(Buildings_Water_Backend[[#This Row],[Level 1]:[Level 6]]),rng_EFConcat,rng_EF2)*Buildings_Water_Backend[[#This Row],[Converted data]]/1000</f>
        <v>#N/A</v>
      </c>
      <c r="AH362" s="210" t="e">
        <f>_xlfn.XLOOKUP(_xlfn.CONCAT(Buildings_Water_Backend[[#This Row],[Level 1]:[Level 6]]),rng_EFConcat,rng_EF3)*Buildings_Water_Backend[[#This Row],[Converted data]]/1000</f>
        <v>#N/A</v>
      </c>
      <c r="AI362" s="210" t="e">
        <f>_xlfn.XLOOKUP(_xlfn.CONCAT(Buildings_Water_Backend[[#This Row],[Level 1]:[Level 6]]),rng_EFConcat,rng_EF3WTT)*Buildings_Water_Backend[[#This Row],[Converted data]]/1000</f>
        <v>#N/A</v>
      </c>
      <c r="AJ362" s="210" t="e">
        <f>_xlfn.XLOOKUP(_xlfn.CONCAT(Buildings_Water_Backend[[#This Row],[Level 1]:[Level 6]]),rng_EFConcat,rng_EF3TD)*Buildings_Water_Backend[[#This Row],[Converted data]]/1000</f>
        <v>#N/A</v>
      </c>
      <c r="AK362" s="210" t="e">
        <f>_xlfn.XLOOKUP(_xlfn.CONCAT(Buildings_Water_Backend[[#This Row],[Level 1]:[Level 6]]),rng_EFConcat,rng_EF3WTTTD)*Buildings_Water_Backend[[#This Row],[Converted data]]/1000</f>
        <v>#N/A</v>
      </c>
      <c r="AL362" s="220" t="e">
        <f>SUM(Buildings_Water_Backend[[#This Row],[Scope 1 (tCO2e)]:[Scope 3 WTT T&amp;D (tCO2e)]])</f>
        <v>#N/A</v>
      </c>
      <c r="AM362" s="220" t="e">
        <f>Buildings_Water_Backend[[#This Row],[Total (tCO2e)]]*(1-Buildings_Water_Backend[[#This Row],[RSD]])</f>
        <v>#N/A</v>
      </c>
      <c r="AN362" s="220" t="e">
        <f>Buildings_Water_Backend[[#This Row],[Total (tCO2e)]]*(1+Buildings_Water_Backend[[#This Row],[RSD]])</f>
        <v>#N/A</v>
      </c>
      <c r="AO362" s="210" t="e">
        <f>_xlfn.XLOOKUP(_xlfn.CONCAT(Buildings_Water_Backend[[#This Row],[Level 1]:[Level 6]]),rng_EFConcat,rng_EFOOS)*Buildings_Water_Backend[[#This Row],[Converted data]]/1000</f>
        <v>#N/A</v>
      </c>
      <c r="AP362" s="174">
        <f>Buildings_Water_Frontend[[#This Row],[Ease of collection]]</f>
        <v>0</v>
      </c>
      <c r="AQ362" s="174">
        <f>Buildings_Water_Frontend[[#This Row],[Completeness]]</f>
        <v>0</v>
      </c>
      <c r="AR362" s="174">
        <f>Buildings_Water_Frontend[[#This Row],[Notes]]</f>
        <v>0</v>
      </c>
    </row>
    <row r="363" spans="5:44" x14ac:dyDescent="0.3">
      <c r="E363" s="346"/>
      <c r="F363" s="364"/>
      <c r="G363" s="336"/>
      <c r="H363" s="336"/>
      <c r="I363" s="334"/>
      <c r="J363" s="336"/>
      <c r="K363" s="336"/>
      <c r="L363" s="336"/>
      <c r="M363" s="337"/>
      <c r="N363" s="242">
        <f t="shared" si="11"/>
        <v>5</v>
      </c>
      <c r="Q363" s="212" t="str">
        <f t="shared" si="10"/>
        <v/>
      </c>
      <c r="R363" s="174" t="s">
        <v>265</v>
      </c>
      <c r="S363" s="174" t="s">
        <v>273</v>
      </c>
      <c r="T363" s="174" t="e">
        <f>_xlfn.XLOOKUP(Buildings_Water_Backend[[#This Row],[Info 1]],Buildings_SiteInfo[Site name],Buildings_SiteInfo[Site type])</f>
        <v>#N/A</v>
      </c>
      <c r="U363" s="174" t="s">
        <v>327</v>
      </c>
      <c r="V363" s="174">
        <f>Buildings_Water_Frontend[[#This Row],[Type]]</f>
        <v>0</v>
      </c>
      <c r="W363" s="174" t="e" cm="1">
        <f t="array" aca="1" ref="W363" ca="1">_xlfn.XLOOKUP(Buildings_Water_Backend[[#This Row],[Level 5]],rng_Level5Long,rng_Level6Long)</f>
        <v>#N/A</v>
      </c>
      <c r="X363" s="174">
        <f>Buildings_Water_Frontend[[#This Row],[Site Name]]</f>
        <v>0</v>
      </c>
      <c r="Y363" s="174">
        <f>Buildings_Water_Frontend[[#This Row],[Meter Reference]]</f>
        <v>0</v>
      </c>
      <c r="Z363" s="220">
        <f>Buildings_Water_Frontend[[#This Row],[Methodology]]</f>
        <v>0</v>
      </c>
      <c r="AA363" s="229" t="e" cm="1">
        <f t="array" ref="AA363">INDEX(_xlfn.SWITCH(Buildings_Water_Backend[[#This Row],[Methodology]],"Tier 1",rng_RSD1,"Tier 2",rng_RSD2,"Tier 3",rng_RSD3),MATCH(_xlfn.CONCAT(Buildings_Water_Backend[[#This Row],[Level 1]:[Level 6]]),rng_LevelsConcat,0))</f>
        <v>#N/A</v>
      </c>
      <c r="AB363" s="224">
        <f>Buildings_Water_Frontend[[#This Row],[Data]]</f>
        <v>0</v>
      </c>
      <c r="AC363" s="174">
        <f>Buildings_Water_Frontend[[#This Row],[Units]]</f>
        <v>0</v>
      </c>
      <c r="AD363" s="220" t="e">
        <f>IF(Buildings_Water_Backend[[#This Row],[Units]]=Buildings_Water_Backend[[#This Row],[Standard units]],Buildings_Water_Backend[[#This Row],[Data]],Buildings_Water_Backend[[#This Row],[Data]]*_xlfn.XLOOKUP(_xlfn.CONCAT(Buildings_Water_Backend[[#This Row],[Level 1]:[Level 6]]),rng_EFConcat,rng_EFConversion))</f>
        <v>#N/A</v>
      </c>
      <c r="AE363" s="174" t="e" cm="1">
        <f t="array" ref="AE363">_xlfn.XLOOKUP(_xlfn.CONCAT(Buildings_Water_Backend[[#This Row],[Level 1]:[Level 6]]),rng_LevelsConcat,rng_UnitsLong)</f>
        <v>#N/A</v>
      </c>
      <c r="AF363" s="210" t="e">
        <f>_xlfn.XLOOKUP(_xlfn.CONCAT(Buildings_Water_Backend[[#This Row],[Level 1]:[Level 6]]),rng_EFConcat,rng_EF1)*Buildings_Water_Backend[[#This Row],[Converted data]]/1000</f>
        <v>#N/A</v>
      </c>
      <c r="AG363" s="210" t="e">
        <f>_xlfn.XLOOKUP(_xlfn.CONCAT(Buildings_Water_Backend[[#This Row],[Level 1]:[Level 6]]),rng_EFConcat,rng_EF2)*Buildings_Water_Backend[[#This Row],[Converted data]]/1000</f>
        <v>#N/A</v>
      </c>
      <c r="AH363" s="210" t="e">
        <f>_xlfn.XLOOKUP(_xlfn.CONCAT(Buildings_Water_Backend[[#This Row],[Level 1]:[Level 6]]),rng_EFConcat,rng_EF3)*Buildings_Water_Backend[[#This Row],[Converted data]]/1000</f>
        <v>#N/A</v>
      </c>
      <c r="AI363" s="210" t="e">
        <f>_xlfn.XLOOKUP(_xlfn.CONCAT(Buildings_Water_Backend[[#This Row],[Level 1]:[Level 6]]),rng_EFConcat,rng_EF3WTT)*Buildings_Water_Backend[[#This Row],[Converted data]]/1000</f>
        <v>#N/A</v>
      </c>
      <c r="AJ363" s="210" t="e">
        <f>_xlfn.XLOOKUP(_xlfn.CONCAT(Buildings_Water_Backend[[#This Row],[Level 1]:[Level 6]]),rng_EFConcat,rng_EF3TD)*Buildings_Water_Backend[[#This Row],[Converted data]]/1000</f>
        <v>#N/A</v>
      </c>
      <c r="AK363" s="210" t="e">
        <f>_xlfn.XLOOKUP(_xlfn.CONCAT(Buildings_Water_Backend[[#This Row],[Level 1]:[Level 6]]),rng_EFConcat,rng_EF3WTTTD)*Buildings_Water_Backend[[#This Row],[Converted data]]/1000</f>
        <v>#N/A</v>
      </c>
      <c r="AL363" s="220" t="e">
        <f>SUM(Buildings_Water_Backend[[#This Row],[Scope 1 (tCO2e)]:[Scope 3 WTT T&amp;D (tCO2e)]])</f>
        <v>#N/A</v>
      </c>
      <c r="AM363" s="220" t="e">
        <f>Buildings_Water_Backend[[#This Row],[Total (tCO2e)]]*(1-Buildings_Water_Backend[[#This Row],[RSD]])</f>
        <v>#N/A</v>
      </c>
      <c r="AN363" s="220" t="e">
        <f>Buildings_Water_Backend[[#This Row],[Total (tCO2e)]]*(1+Buildings_Water_Backend[[#This Row],[RSD]])</f>
        <v>#N/A</v>
      </c>
      <c r="AO363" s="210" t="e">
        <f>_xlfn.XLOOKUP(_xlfn.CONCAT(Buildings_Water_Backend[[#This Row],[Level 1]:[Level 6]]),rng_EFConcat,rng_EFOOS)*Buildings_Water_Backend[[#This Row],[Converted data]]/1000</f>
        <v>#N/A</v>
      </c>
      <c r="AP363" s="174">
        <f>Buildings_Water_Frontend[[#This Row],[Ease of collection]]</f>
        <v>0</v>
      </c>
      <c r="AQ363" s="174">
        <f>Buildings_Water_Frontend[[#This Row],[Completeness]]</f>
        <v>0</v>
      </c>
      <c r="AR363" s="174">
        <f>Buildings_Water_Frontend[[#This Row],[Notes]]</f>
        <v>0</v>
      </c>
    </row>
    <row r="364" spans="5:44" x14ac:dyDescent="0.3">
      <c r="E364" s="346"/>
      <c r="F364" s="364"/>
      <c r="G364" s="336"/>
      <c r="H364" s="336"/>
      <c r="I364" s="334"/>
      <c r="J364" s="336"/>
      <c r="K364" s="336"/>
      <c r="L364" s="336"/>
      <c r="M364" s="337"/>
      <c r="N364" s="242">
        <f t="shared" si="11"/>
        <v>5</v>
      </c>
      <c r="Q364" s="212" t="str">
        <f t="shared" si="10"/>
        <v/>
      </c>
      <c r="R364" s="174" t="s">
        <v>265</v>
      </c>
      <c r="S364" s="174" t="s">
        <v>273</v>
      </c>
      <c r="T364" s="174" t="e">
        <f>_xlfn.XLOOKUP(Buildings_Water_Backend[[#This Row],[Info 1]],Buildings_SiteInfo[Site name],Buildings_SiteInfo[Site type])</f>
        <v>#N/A</v>
      </c>
      <c r="U364" s="174" t="s">
        <v>327</v>
      </c>
      <c r="V364" s="174">
        <f>Buildings_Water_Frontend[[#This Row],[Type]]</f>
        <v>0</v>
      </c>
      <c r="W364" s="174" t="e" cm="1">
        <f t="array" aca="1" ref="W364" ca="1">_xlfn.XLOOKUP(Buildings_Water_Backend[[#This Row],[Level 5]],rng_Level5Long,rng_Level6Long)</f>
        <v>#N/A</v>
      </c>
      <c r="X364" s="174">
        <f>Buildings_Water_Frontend[[#This Row],[Site Name]]</f>
        <v>0</v>
      </c>
      <c r="Y364" s="174">
        <f>Buildings_Water_Frontend[[#This Row],[Meter Reference]]</f>
        <v>0</v>
      </c>
      <c r="Z364" s="220">
        <f>Buildings_Water_Frontend[[#This Row],[Methodology]]</f>
        <v>0</v>
      </c>
      <c r="AA364" s="229" t="e" cm="1">
        <f t="array" ref="AA364">INDEX(_xlfn.SWITCH(Buildings_Water_Backend[[#This Row],[Methodology]],"Tier 1",rng_RSD1,"Tier 2",rng_RSD2,"Tier 3",rng_RSD3),MATCH(_xlfn.CONCAT(Buildings_Water_Backend[[#This Row],[Level 1]:[Level 6]]),rng_LevelsConcat,0))</f>
        <v>#N/A</v>
      </c>
      <c r="AB364" s="224">
        <f>Buildings_Water_Frontend[[#This Row],[Data]]</f>
        <v>0</v>
      </c>
      <c r="AC364" s="174">
        <f>Buildings_Water_Frontend[[#This Row],[Units]]</f>
        <v>0</v>
      </c>
      <c r="AD364" s="220" t="e">
        <f>IF(Buildings_Water_Backend[[#This Row],[Units]]=Buildings_Water_Backend[[#This Row],[Standard units]],Buildings_Water_Backend[[#This Row],[Data]],Buildings_Water_Backend[[#This Row],[Data]]*_xlfn.XLOOKUP(_xlfn.CONCAT(Buildings_Water_Backend[[#This Row],[Level 1]:[Level 6]]),rng_EFConcat,rng_EFConversion))</f>
        <v>#N/A</v>
      </c>
      <c r="AE364" s="174" t="e" cm="1">
        <f t="array" ref="AE364">_xlfn.XLOOKUP(_xlfn.CONCAT(Buildings_Water_Backend[[#This Row],[Level 1]:[Level 6]]),rng_LevelsConcat,rng_UnitsLong)</f>
        <v>#N/A</v>
      </c>
      <c r="AF364" s="210" t="e">
        <f>_xlfn.XLOOKUP(_xlfn.CONCAT(Buildings_Water_Backend[[#This Row],[Level 1]:[Level 6]]),rng_EFConcat,rng_EF1)*Buildings_Water_Backend[[#This Row],[Converted data]]/1000</f>
        <v>#N/A</v>
      </c>
      <c r="AG364" s="210" t="e">
        <f>_xlfn.XLOOKUP(_xlfn.CONCAT(Buildings_Water_Backend[[#This Row],[Level 1]:[Level 6]]),rng_EFConcat,rng_EF2)*Buildings_Water_Backend[[#This Row],[Converted data]]/1000</f>
        <v>#N/A</v>
      </c>
      <c r="AH364" s="210" t="e">
        <f>_xlfn.XLOOKUP(_xlfn.CONCAT(Buildings_Water_Backend[[#This Row],[Level 1]:[Level 6]]),rng_EFConcat,rng_EF3)*Buildings_Water_Backend[[#This Row],[Converted data]]/1000</f>
        <v>#N/A</v>
      </c>
      <c r="AI364" s="210" t="e">
        <f>_xlfn.XLOOKUP(_xlfn.CONCAT(Buildings_Water_Backend[[#This Row],[Level 1]:[Level 6]]),rng_EFConcat,rng_EF3WTT)*Buildings_Water_Backend[[#This Row],[Converted data]]/1000</f>
        <v>#N/A</v>
      </c>
      <c r="AJ364" s="210" t="e">
        <f>_xlfn.XLOOKUP(_xlfn.CONCAT(Buildings_Water_Backend[[#This Row],[Level 1]:[Level 6]]),rng_EFConcat,rng_EF3TD)*Buildings_Water_Backend[[#This Row],[Converted data]]/1000</f>
        <v>#N/A</v>
      </c>
      <c r="AK364" s="210" t="e">
        <f>_xlfn.XLOOKUP(_xlfn.CONCAT(Buildings_Water_Backend[[#This Row],[Level 1]:[Level 6]]),rng_EFConcat,rng_EF3WTTTD)*Buildings_Water_Backend[[#This Row],[Converted data]]/1000</f>
        <v>#N/A</v>
      </c>
      <c r="AL364" s="220" t="e">
        <f>SUM(Buildings_Water_Backend[[#This Row],[Scope 1 (tCO2e)]:[Scope 3 WTT T&amp;D (tCO2e)]])</f>
        <v>#N/A</v>
      </c>
      <c r="AM364" s="220" t="e">
        <f>Buildings_Water_Backend[[#This Row],[Total (tCO2e)]]*(1-Buildings_Water_Backend[[#This Row],[RSD]])</f>
        <v>#N/A</v>
      </c>
      <c r="AN364" s="220" t="e">
        <f>Buildings_Water_Backend[[#This Row],[Total (tCO2e)]]*(1+Buildings_Water_Backend[[#This Row],[RSD]])</f>
        <v>#N/A</v>
      </c>
      <c r="AO364" s="210" t="e">
        <f>_xlfn.XLOOKUP(_xlfn.CONCAT(Buildings_Water_Backend[[#This Row],[Level 1]:[Level 6]]),rng_EFConcat,rng_EFOOS)*Buildings_Water_Backend[[#This Row],[Converted data]]/1000</f>
        <v>#N/A</v>
      </c>
      <c r="AP364" s="174">
        <f>Buildings_Water_Frontend[[#This Row],[Ease of collection]]</f>
        <v>0</v>
      </c>
      <c r="AQ364" s="174">
        <f>Buildings_Water_Frontend[[#This Row],[Completeness]]</f>
        <v>0</v>
      </c>
      <c r="AR364" s="174">
        <f>Buildings_Water_Frontend[[#This Row],[Notes]]</f>
        <v>0</v>
      </c>
    </row>
    <row r="365" spans="5:44" x14ac:dyDescent="0.3">
      <c r="E365" s="346"/>
      <c r="F365" s="364"/>
      <c r="G365" s="336"/>
      <c r="H365" s="336"/>
      <c r="I365" s="334"/>
      <c r="J365" s="336"/>
      <c r="K365" s="336"/>
      <c r="L365" s="336"/>
      <c r="M365" s="337"/>
      <c r="N365" s="242">
        <f t="shared" si="11"/>
        <v>5</v>
      </c>
      <c r="Q365" s="212" t="str">
        <f t="shared" si="10"/>
        <v/>
      </c>
      <c r="R365" s="174" t="s">
        <v>265</v>
      </c>
      <c r="S365" s="174" t="s">
        <v>273</v>
      </c>
      <c r="T365" s="174" t="e">
        <f>_xlfn.XLOOKUP(Buildings_Water_Backend[[#This Row],[Info 1]],Buildings_SiteInfo[Site name],Buildings_SiteInfo[Site type])</f>
        <v>#N/A</v>
      </c>
      <c r="U365" s="174" t="s">
        <v>327</v>
      </c>
      <c r="V365" s="174">
        <f>Buildings_Water_Frontend[[#This Row],[Type]]</f>
        <v>0</v>
      </c>
      <c r="W365" s="174" t="e" cm="1">
        <f t="array" aca="1" ref="W365" ca="1">_xlfn.XLOOKUP(Buildings_Water_Backend[[#This Row],[Level 5]],rng_Level5Long,rng_Level6Long)</f>
        <v>#N/A</v>
      </c>
      <c r="X365" s="174">
        <f>Buildings_Water_Frontend[[#This Row],[Site Name]]</f>
        <v>0</v>
      </c>
      <c r="Y365" s="174">
        <f>Buildings_Water_Frontend[[#This Row],[Meter Reference]]</f>
        <v>0</v>
      </c>
      <c r="Z365" s="220">
        <f>Buildings_Water_Frontend[[#This Row],[Methodology]]</f>
        <v>0</v>
      </c>
      <c r="AA365" s="229" t="e" cm="1">
        <f t="array" ref="AA365">INDEX(_xlfn.SWITCH(Buildings_Water_Backend[[#This Row],[Methodology]],"Tier 1",rng_RSD1,"Tier 2",rng_RSD2,"Tier 3",rng_RSD3),MATCH(_xlfn.CONCAT(Buildings_Water_Backend[[#This Row],[Level 1]:[Level 6]]),rng_LevelsConcat,0))</f>
        <v>#N/A</v>
      </c>
      <c r="AB365" s="224">
        <f>Buildings_Water_Frontend[[#This Row],[Data]]</f>
        <v>0</v>
      </c>
      <c r="AC365" s="174">
        <f>Buildings_Water_Frontend[[#This Row],[Units]]</f>
        <v>0</v>
      </c>
      <c r="AD365" s="220" t="e">
        <f>IF(Buildings_Water_Backend[[#This Row],[Units]]=Buildings_Water_Backend[[#This Row],[Standard units]],Buildings_Water_Backend[[#This Row],[Data]],Buildings_Water_Backend[[#This Row],[Data]]*_xlfn.XLOOKUP(_xlfn.CONCAT(Buildings_Water_Backend[[#This Row],[Level 1]:[Level 6]]),rng_EFConcat,rng_EFConversion))</f>
        <v>#N/A</v>
      </c>
      <c r="AE365" s="174" t="e" cm="1">
        <f t="array" ref="AE365">_xlfn.XLOOKUP(_xlfn.CONCAT(Buildings_Water_Backend[[#This Row],[Level 1]:[Level 6]]),rng_LevelsConcat,rng_UnitsLong)</f>
        <v>#N/A</v>
      </c>
      <c r="AF365" s="210" t="e">
        <f>_xlfn.XLOOKUP(_xlfn.CONCAT(Buildings_Water_Backend[[#This Row],[Level 1]:[Level 6]]),rng_EFConcat,rng_EF1)*Buildings_Water_Backend[[#This Row],[Converted data]]/1000</f>
        <v>#N/A</v>
      </c>
      <c r="AG365" s="210" t="e">
        <f>_xlfn.XLOOKUP(_xlfn.CONCAT(Buildings_Water_Backend[[#This Row],[Level 1]:[Level 6]]),rng_EFConcat,rng_EF2)*Buildings_Water_Backend[[#This Row],[Converted data]]/1000</f>
        <v>#N/A</v>
      </c>
      <c r="AH365" s="210" t="e">
        <f>_xlfn.XLOOKUP(_xlfn.CONCAT(Buildings_Water_Backend[[#This Row],[Level 1]:[Level 6]]),rng_EFConcat,rng_EF3)*Buildings_Water_Backend[[#This Row],[Converted data]]/1000</f>
        <v>#N/A</v>
      </c>
      <c r="AI365" s="210" t="e">
        <f>_xlfn.XLOOKUP(_xlfn.CONCAT(Buildings_Water_Backend[[#This Row],[Level 1]:[Level 6]]),rng_EFConcat,rng_EF3WTT)*Buildings_Water_Backend[[#This Row],[Converted data]]/1000</f>
        <v>#N/A</v>
      </c>
      <c r="AJ365" s="210" t="e">
        <f>_xlfn.XLOOKUP(_xlfn.CONCAT(Buildings_Water_Backend[[#This Row],[Level 1]:[Level 6]]),rng_EFConcat,rng_EF3TD)*Buildings_Water_Backend[[#This Row],[Converted data]]/1000</f>
        <v>#N/A</v>
      </c>
      <c r="AK365" s="210" t="e">
        <f>_xlfn.XLOOKUP(_xlfn.CONCAT(Buildings_Water_Backend[[#This Row],[Level 1]:[Level 6]]),rng_EFConcat,rng_EF3WTTTD)*Buildings_Water_Backend[[#This Row],[Converted data]]/1000</f>
        <v>#N/A</v>
      </c>
      <c r="AL365" s="220" t="e">
        <f>SUM(Buildings_Water_Backend[[#This Row],[Scope 1 (tCO2e)]:[Scope 3 WTT T&amp;D (tCO2e)]])</f>
        <v>#N/A</v>
      </c>
      <c r="AM365" s="220" t="e">
        <f>Buildings_Water_Backend[[#This Row],[Total (tCO2e)]]*(1-Buildings_Water_Backend[[#This Row],[RSD]])</f>
        <v>#N/A</v>
      </c>
      <c r="AN365" s="220" t="e">
        <f>Buildings_Water_Backend[[#This Row],[Total (tCO2e)]]*(1+Buildings_Water_Backend[[#This Row],[RSD]])</f>
        <v>#N/A</v>
      </c>
      <c r="AO365" s="210" t="e">
        <f>_xlfn.XLOOKUP(_xlfn.CONCAT(Buildings_Water_Backend[[#This Row],[Level 1]:[Level 6]]),rng_EFConcat,rng_EFOOS)*Buildings_Water_Backend[[#This Row],[Converted data]]/1000</f>
        <v>#N/A</v>
      </c>
      <c r="AP365" s="174">
        <f>Buildings_Water_Frontend[[#This Row],[Ease of collection]]</f>
        <v>0</v>
      </c>
      <c r="AQ365" s="174">
        <f>Buildings_Water_Frontend[[#This Row],[Completeness]]</f>
        <v>0</v>
      </c>
      <c r="AR365" s="174">
        <f>Buildings_Water_Frontend[[#This Row],[Notes]]</f>
        <v>0</v>
      </c>
    </row>
    <row r="366" spans="5:44" x14ac:dyDescent="0.3">
      <c r="E366" s="346"/>
      <c r="F366" s="364"/>
      <c r="G366" s="336"/>
      <c r="H366" s="336"/>
      <c r="I366" s="334"/>
      <c r="J366" s="336"/>
      <c r="K366" s="336"/>
      <c r="L366" s="336"/>
      <c r="M366" s="337"/>
      <c r="N366" s="242">
        <f t="shared" si="11"/>
        <v>5</v>
      </c>
      <c r="Q366" s="212" t="str">
        <f t="shared" si="10"/>
        <v/>
      </c>
      <c r="R366" s="174" t="s">
        <v>265</v>
      </c>
      <c r="S366" s="174" t="s">
        <v>273</v>
      </c>
      <c r="T366" s="174" t="e">
        <f>_xlfn.XLOOKUP(Buildings_Water_Backend[[#This Row],[Info 1]],Buildings_SiteInfo[Site name],Buildings_SiteInfo[Site type])</f>
        <v>#N/A</v>
      </c>
      <c r="U366" s="174" t="s">
        <v>327</v>
      </c>
      <c r="V366" s="174">
        <f>Buildings_Water_Frontend[[#This Row],[Type]]</f>
        <v>0</v>
      </c>
      <c r="W366" s="174" t="e" cm="1">
        <f t="array" aca="1" ref="W366" ca="1">_xlfn.XLOOKUP(Buildings_Water_Backend[[#This Row],[Level 5]],rng_Level5Long,rng_Level6Long)</f>
        <v>#N/A</v>
      </c>
      <c r="X366" s="174">
        <f>Buildings_Water_Frontend[[#This Row],[Site Name]]</f>
        <v>0</v>
      </c>
      <c r="Y366" s="174">
        <f>Buildings_Water_Frontend[[#This Row],[Meter Reference]]</f>
        <v>0</v>
      </c>
      <c r="Z366" s="220">
        <f>Buildings_Water_Frontend[[#This Row],[Methodology]]</f>
        <v>0</v>
      </c>
      <c r="AA366" s="229" t="e" cm="1">
        <f t="array" ref="AA366">INDEX(_xlfn.SWITCH(Buildings_Water_Backend[[#This Row],[Methodology]],"Tier 1",rng_RSD1,"Tier 2",rng_RSD2,"Tier 3",rng_RSD3),MATCH(_xlfn.CONCAT(Buildings_Water_Backend[[#This Row],[Level 1]:[Level 6]]),rng_LevelsConcat,0))</f>
        <v>#N/A</v>
      </c>
      <c r="AB366" s="224">
        <f>Buildings_Water_Frontend[[#This Row],[Data]]</f>
        <v>0</v>
      </c>
      <c r="AC366" s="174">
        <f>Buildings_Water_Frontend[[#This Row],[Units]]</f>
        <v>0</v>
      </c>
      <c r="AD366" s="220" t="e">
        <f>IF(Buildings_Water_Backend[[#This Row],[Units]]=Buildings_Water_Backend[[#This Row],[Standard units]],Buildings_Water_Backend[[#This Row],[Data]],Buildings_Water_Backend[[#This Row],[Data]]*_xlfn.XLOOKUP(_xlfn.CONCAT(Buildings_Water_Backend[[#This Row],[Level 1]:[Level 6]]),rng_EFConcat,rng_EFConversion))</f>
        <v>#N/A</v>
      </c>
      <c r="AE366" s="174" t="e" cm="1">
        <f t="array" ref="AE366">_xlfn.XLOOKUP(_xlfn.CONCAT(Buildings_Water_Backend[[#This Row],[Level 1]:[Level 6]]),rng_LevelsConcat,rng_UnitsLong)</f>
        <v>#N/A</v>
      </c>
      <c r="AF366" s="210" t="e">
        <f>_xlfn.XLOOKUP(_xlfn.CONCAT(Buildings_Water_Backend[[#This Row],[Level 1]:[Level 6]]),rng_EFConcat,rng_EF1)*Buildings_Water_Backend[[#This Row],[Converted data]]/1000</f>
        <v>#N/A</v>
      </c>
      <c r="AG366" s="210" t="e">
        <f>_xlfn.XLOOKUP(_xlfn.CONCAT(Buildings_Water_Backend[[#This Row],[Level 1]:[Level 6]]),rng_EFConcat,rng_EF2)*Buildings_Water_Backend[[#This Row],[Converted data]]/1000</f>
        <v>#N/A</v>
      </c>
      <c r="AH366" s="210" t="e">
        <f>_xlfn.XLOOKUP(_xlfn.CONCAT(Buildings_Water_Backend[[#This Row],[Level 1]:[Level 6]]),rng_EFConcat,rng_EF3)*Buildings_Water_Backend[[#This Row],[Converted data]]/1000</f>
        <v>#N/A</v>
      </c>
      <c r="AI366" s="210" t="e">
        <f>_xlfn.XLOOKUP(_xlfn.CONCAT(Buildings_Water_Backend[[#This Row],[Level 1]:[Level 6]]),rng_EFConcat,rng_EF3WTT)*Buildings_Water_Backend[[#This Row],[Converted data]]/1000</f>
        <v>#N/A</v>
      </c>
      <c r="AJ366" s="210" t="e">
        <f>_xlfn.XLOOKUP(_xlfn.CONCAT(Buildings_Water_Backend[[#This Row],[Level 1]:[Level 6]]),rng_EFConcat,rng_EF3TD)*Buildings_Water_Backend[[#This Row],[Converted data]]/1000</f>
        <v>#N/A</v>
      </c>
      <c r="AK366" s="210" t="e">
        <f>_xlfn.XLOOKUP(_xlfn.CONCAT(Buildings_Water_Backend[[#This Row],[Level 1]:[Level 6]]),rng_EFConcat,rng_EF3WTTTD)*Buildings_Water_Backend[[#This Row],[Converted data]]/1000</f>
        <v>#N/A</v>
      </c>
      <c r="AL366" s="220" t="e">
        <f>SUM(Buildings_Water_Backend[[#This Row],[Scope 1 (tCO2e)]:[Scope 3 WTT T&amp;D (tCO2e)]])</f>
        <v>#N/A</v>
      </c>
      <c r="AM366" s="220" t="e">
        <f>Buildings_Water_Backend[[#This Row],[Total (tCO2e)]]*(1-Buildings_Water_Backend[[#This Row],[RSD]])</f>
        <v>#N/A</v>
      </c>
      <c r="AN366" s="220" t="e">
        <f>Buildings_Water_Backend[[#This Row],[Total (tCO2e)]]*(1+Buildings_Water_Backend[[#This Row],[RSD]])</f>
        <v>#N/A</v>
      </c>
      <c r="AO366" s="210" t="e">
        <f>_xlfn.XLOOKUP(_xlfn.CONCAT(Buildings_Water_Backend[[#This Row],[Level 1]:[Level 6]]),rng_EFConcat,rng_EFOOS)*Buildings_Water_Backend[[#This Row],[Converted data]]/1000</f>
        <v>#N/A</v>
      </c>
      <c r="AP366" s="174">
        <f>Buildings_Water_Frontend[[#This Row],[Ease of collection]]</f>
        <v>0</v>
      </c>
      <c r="AQ366" s="174">
        <f>Buildings_Water_Frontend[[#This Row],[Completeness]]</f>
        <v>0</v>
      </c>
      <c r="AR366" s="174">
        <f>Buildings_Water_Frontend[[#This Row],[Notes]]</f>
        <v>0</v>
      </c>
    </row>
    <row r="367" spans="5:44" x14ac:dyDescent="0.3">
      <c r="E367" s="346"/>
      <c r="F367" s="364"/>
      <c r="G367" s="336"/>
      <c r="H367" s="336"/>
      <c r="I367" s="334"/>
      <c r="J367" s="336"/>
      <c r="K367" s="336"/>
      <c r="L367" s="336"/>
      <c r="M367" s="337"/>
      <c r="N367" s="242">
        <f t="shared" si="11"/>
        <v>5</v>
      </c>
      <c r="Q367" s="212" t="str">
        <f t="shared" si="10"/>
        <v/>
      </c>
      <c r="R367" s="174" t="s">
        <v>265</v>
      </c>
      <c r="S367" s="174" t="s">
        <v>273</v>
      </c>
      <c r="T367" s="174" t="e">
        <f>_xlfn.XLOOKUP(Buildings_Water_Backend[[#This Row],[Info 1]],Buildings_SiteInfo[Site name],Buildings_SiteInfo[Site type])</f>
        <v>#N/A</v>
      </c>
      <c r="U367" s="174" t="s">
        <v>327</v>
      </c>
      <c r="V367" s="174">
        <f>Buildings_Water_Frontend[[#This Row],[Type]]</f>
        <v>0</v>
      </c>
      <c r="W367" s="174" t="e" cm="1">
        <f t="array" aca="1" ref="W367" ca="1">_xlfn.XLOOKUP(Buildings_Water_Backend[[#This Row],[Level 5]],rng_Level5Long,rng_Level6Long)</f>
        <v>#N/A</v>
      </c>
      <c r="X367" s="174">
        <f>Buildings_Water_Frontend[[#This Row],[Site Name]]</f>
        <v>0</v>
      </c>
      <c r="Y367" s="174">
        <f>Buildings_Water_Frontend[[#This Row],[Meter Reference]]</f>
        <v>0</v>
      </c>
      <c r="Z367" s="220">
        <f>Buildings_Water_Frontend[[#This Row],[Methodology]]</f>
        <v>0</v>
      </c>
      <c r="AA367" s="229" t="e" cm="1">
        <f t="array" ref="AA367">INDEX(_xlfn.SWITCH(Buildings_Water_Backend[[#This Row],[Methodology]],"Tier 1",rng_RSD1,"Tier 2",rng_RSD2,"Tier 3",rng_RSD3),MATCH(_xlfn.CONCAT(Buildings_Water_Backend[[#This Row],[Level 1]:[Level 6]]),rng_LevelsConcat,0))</f>
        <v>#N/A</v>
      </c>
      <c r="AB367" s="224">
        <f>Buildings_Water_Frontend[[#This Row],[Data]]</f>
        <v>0</v>
      </c>
      <c r="AC367" s="174">
        <f>Buildings_Water_Frontend[[#This Row],[Units]]</f>
        <v>0</v>
      </c>
      <c r="AD367" s="220" t="e">
        <f>IF(Buildings_Water_Backend[[#This Row],[Units]]=Buildings_Water_Backend[[#This Row],[Standard units]],Buildings_Water_Backend[[#This Row],[Data]],Buildings_Water_Backend[[#This Row],[Data]]*_xlfn.XLOOKUP(_xlfn.CONCAT(Buildings_Water_Backend[[#This Row],[Level 1]:[Level 6]]),rng_EFConcat,rng_EFConversion))</f>
        <v>#N/A</v>
      </c>
      <c r="AE367" s="174" t="e" cm="1">
        <f t="array" ref="AE367">_xlfn.XLOOKUP(_xlfn.CONCAT(Buildings_Water_Backend[[#This Row],[Level 1]:[Level 6]]),rng_LevelsConcat,rng_UnitsLong)</f>
        <v>#N/A</v>
      </c>
      <c r="AF367" s="210" t="e">
        <f>_xlfn.XLOOKUP(_xlfn.CONCAT(Buildings_Water_Backend[[#This Row],[Level 1]:[Level 6]]),rng_EFConcat,rng_EF1)*Buildings_Water_Backend[[#This Row],[Converted data]]/1000</f>
        <v>#N/A</v>
      </c>
      <c r="AG367" s="210" t="e">
        <f>_xlfn.XLOOKUP(_xlfn.CONCAT(Buildings_Water_Backend[[#This Row],[Level 1]:[Level 6]]),rng_EFConcat,rng_EF2)*Buildings_Water_Backend[[#This Row],[Converted data]]/1000</f>
        <v>#N/A</v>
      </c>
      <c r="AH367" s="210" t="e">
        <f>_xlfn.XLOOKUP(_xlfn.CONCAT(Buildings_Water_Backend[[#This Row],[Level 1]:[Level 6]]),rng_EFConcat,rng_EF3)*Buildings_Water_Backend[[#This Row],[Converted data]]/1000</f>
        <v>#N/A</v>
      </c>
      <c r="AI367" s="210" t="e">
        <f>_xlfn.XLOOKUP(_xlfn.CONCAT(Buildings_Water_Backend[[#This Row],[Level 1]:[Level 6]]),rng_EFConcat,rng_EF3WTT)*Buildings_Water_Backend[[#This Row],[Converted data]]/1000</f>
        <v>#N/A</v>
      </c>
      <c r="AJ367" s="210" t="e">
        <f>_xlfn.XLOOKUP(_xlfn.CONCAT(Buildings_Water_Backend[[#This Row],[Level 1]:[Level 6]]),rng_EFConcat,rng_EF3TD)*Buildings_Water_Backend[[#This Row],[Converted data]]/1000</f>
        <v>#N/A</v>
      </c>
      <c r="AK367" s="210" t="e">
        <f>_xlfn.XLOOKUP(_xlfn.CONCAT(Buildings_Water_Backend[[#This Row],[Level 1]:[Level 6]]),rng_EFConcat,rng_EF3WTTTD)*Buildings_Water_Backend[[#This Row],[Converted data]]/1000</f>
        <v>#N/A</v>
      </c>
      <c r="AL367" s="220" t="e">
        <f>SUM(Buildings_Water_Backend[[#This Row],[Scope 1 (tCO2e)]:[Scope 3 WTT T&amp;D (tCO2e)]])</f>
        <v>#N/A</v>
      </c>
      <c r="AM367" s="220" t="e">
        <f>Buildings_Water_Backend[[#This Row],[Total (tCO2e)]]*(1-Buildings_Water_Backend[[#This Row],[RSD]])</f>
        <v>#N/A</v>
      </c>
      <c r="AN367" s="220" t="e">
        <f>Buildings_Water_Backend[[#This Row],[Total (tCO2e)]]*(1+Buildings_Water_Backend[[#This Row],[RSD]])</f>
        <v>#N/A</v>
      </c>
      <c r="AO367" s="210" t="e">
        <f>_xlfn.XLOOKUP(_xlfn.CONCAT(Buildings_Water_Backend[[#This Row],[Level 1]:[Level 6]]),rng_EFConcat,rng_EFOOS)*Buildings_Water_Backend[[#This Row],[Converted data]]/1000</f>
        <v>#N/A</v>
      </c>
      <c r="AP367" s="174">
        <f>Buildings_Water_Frontend[[#This Row],[Ease of collection]]</f>
        <v>0</v>
      </c>
      <c r="AQ367" s="174">
        <f>Buildings_Water_Frontend[[#This Row],[Completeness]]</f>
        <v>0</v>
      </c>
      <c r="AR367" s="174">
        <f>Buildings_Water_Frontend[[#This Row],[Notes]]</f>
        <v>0</v>
      </c>
    </row>
    <row r="368" spans="5:44" x14ac:dyDescent="0.3">
      <c r="E368" s="346"/>
      <c r="F368" s="364"/>
      <c r="G368" s="336"/>
      <c r="H368" s="336"/>
      <c r="I368" s="334"/>
      <c r="J368" s="336"/>
      <c r="K368" s="336"/>
      <c r="L368" s="336"/>
      <c r="M368" s="337"/>
      <c r="N368" s="242">
        <f t="shared" si="11"/>
        <v>5</v>
      </c>
      <c r="Q368" s="212" t="str">
        <f t="shared" si="10"/>
        <v/>
      </c>
      <c r="R368" s="174" t="s">
        <v>265</v>
      </c>
      <c r="S368" s="174" t="s">
        <v>273</v>
      </c>
      <c r="T368" s="174" t="e">
        <f>_xlfn.XLOOKUP(Buildings_Water_Backend[[#This Row],[Info 1]],Buildings_SiteInfo[Site name],Buildings_SiteInfo[Site type])</f>
        <v>#N/A</v>
      </c>
      <c r="U368" s="174" t="s">
        <v>327</v>
      </c>
      <c r="V368" s="174">
        <f>Buildings_Water_Frontend[[#This Row],[Type]]</f>
        <v>0</v>
      </c>
      <c r="W368" s="174" t="e" cm="1">
        <f t="array" aca="1" ref="W368" ca="1">_xlfn.XLOOKUP(Buildings_Water_Backend[[#This Row],[Level 5]],rng_Level5Long,rng_Level6Long)</f>
        <v>#N/A</v>
      </c>
      <c r="X368" s="174">
        <f>Buildings_Water_Frontend[[#This Row],[Site Name]]</f>
        <v>0</v>
      </c>
      <c r="Y368" s="174">
        <f>Buildings_Water_Frontend[[#This Row],[Meter Reference]]</f>
        <v>0</v>
      </c>
      <c r="Z368" s="220">
        <f>Buildings_Water_Frontend[[#This Row],[Methodology]]</f>
        <v>0</v>
      </c>
      <c r="AA368" s="229" t="e" cm="1">
        <f t="array" ref="AA368">INDEX(_xlfn.SWITCH(Buildings_Water_Backend[[#This Row],[Methodology]],"Tier 1",rng_RSD1,"Tier 2",rng_RSD2,"Tier 3",rng_RSD3),MATCH(_xlfn.CONCAT(Buildings_Water_Backend[[#This Row],[Level 1]:[Level 6]]),rng_LevelsConcat,0))</f>
        <v>#N/A</v>
      </c>
      <c r="AB368" s="224">
        <f>Buildings_Water_Frontend[[#This Row],[Data]]</f>
        <v>0</v>
      </c>
      <c r="AC368" s="174">
        <f>Buildings_Water_Frontend[[#This Row],[Units]]</f>
        <v>0</v>
      </c>
      <c r="AD368" s="220" t="e">
        <f>IF(Buildings_Water_Backend[[#This Row],[Units]]=Buildings_Water_Backend[[#This Row],[Standard units]],Buildings_Water_Backend[[#This Row],[Data]],Buildings_Water_Backend[[#This Row],[Data]]*_xlfn.XLOOKUP(_xlfn.CONCAT(Buildings_Water_Backend[[#This Row],[Level 1]:[Level 6]]),rng_EFConcat,rng_EFConversion))</f>
        <v>#N/A</v>
      </c>
      <c r="AE368" s="174" t="e" cm="1">
        <f t="array" ref="AE368">_xlfn.XLOOKUP(_xlfn.CONCAT(Buildings_Water_Backend[[#This Row],[Level 1]:[Level 6]]),rng_LevelsConcat,rng_UnitsLong)</f>
        <v>#N/A</v>
      </c>
      <c r="AF368" s="210" t="e">
        <f>_xlfn.XLOOKUP(_xlfn.CONCAT(Buildings_Water_Backend[[#This Row],[Level 1]:[Level 6]]),rng_EFConcat,rng_EF1)*Buildings_Water_Backend[[#This Row],[Converted data]]/1000</f>
        <v>#N/A</v>
      </c>
      <c r="AG368" s="210" t="e">
        <f>_xlfn.XLOOKUP(_xlfn.CONCAT(Buildings_Water_Backend[[#This Row],[Level 1]:[Level 6]]),rng_EFConcat,rng_EF2)*Buildings_Water_Backend[[#This Row],[Converted data]]/1000</f>
        <v>#N/A</v>
      </c>
      <c r="AH368" s="210" t="e">
        <f>_xlfn.XLOOKUP(_xlfn.CONCAT(Buildings_Water_Backend[[#This Row],[Level 1]:[Level 6]]),rng_EFConcat,rng_EF3)*Buildings_Water_Backend[[#This Row],[Converted data]]/1000</f>
        <v>#N/A</v>
      </c>
      <c r="AI368" s="210" t="e">
        <f>_xlfn.XLOOKUP(_xlfn.CONCAT(Buildings_Water_Backend[[#This Row],[Level 1]:[Level 6]]),rng_EFConcat,rng_EF3WTT)*Buildings_Water_Backend[[#This Row],[Converted data]]/1000</f>
        <v>#N/A</v>
      </c>
      <c r="AJ368" s="210" t="e">
        <f>_xlfn.XLOOKUP(_xlfn.CONCAT(Buildings_Water_Backend[[#This Row],[Level 1]:[Level 6]]),rng_EFConcat,rng_EF3TD)*Buildings_Water_Backend[[#This Row],[Converted data]]/1000</f>
        <v>#N/A</v>
      </c>
      <c r="AK368" s="210" t="e">
        <f>_xlfn.XLOOKUP(_xlfn.CONCAT(Buildings_Water_Backend[[#This Row],[Level 1]:[Level 6]]),rng_EFConcat,rng_EF3WTTTD)*Buildings_Water_Backend[[#This Row],[Converted data]]/1000</f>
        <v>#N/A</v>
      </c>
      <c r="AL368" s="220" t="e">
        <f>SUM(Buildings_Water_Backend[[#This Row],[Scope 1 (tCO2e)]:[Scope 3 WTT T&amp;D (tCO2e)]])</f>
        <v>#N/A</v>
      </c>
      <c r="AM368" s="220" t="e">
        <f>Buildings_Water_Backend[[#This Row],[Total (tCO2e)]]*(1-Buildings_Water_Backend[[#This Row],[RSD]])</f>
        <v>#N/A</v>
      </c>
      <c r="AN368" s="220" t="e">
        <f>Buildings_Water_Backend[[#This Row],[Total (tCO2e)]]*(1+Buildings_Water_Backend[[#This Row],[RSD]])</f>
        <v>#N/A</v>
      </c>
      <c r="AO368" s="210" t="e">
        <f>_xlfn.XLOOKUP(_xlfn.CONCAT(Buildings_Water_Backend[[#This Row],[Level 1]:[Level 6]]),rng_EFConcat,rng_EFOOS)*Buildings_Water_Backend[[#This Row],[Converted data]]/1000</f>
        <v>#N/A</v>
      </c>
      <c r="AP368" s="174">
        <f>Buildings_Water_Frontend[[#This Row],[Ease of collection]]</f>
        <v>0</v>
      </c>
      <c r="AQ368" s="174">
        <f>Buildings_Water_Frontend[[#This Row],[Completeness]]</f>
        <v>0</v>
      </c>
      <c r="AR368" s="174">
        <f>Buildings_Water_Frontend[[#This Row],[Notes]]</f>
        <v>0</v>
      </c>
    </row>
    <row r="369" spans="5:44" x14ac:dyDescent="0.3">
      <c r="E369" s="346"/>
      <c r="F369" s="364"/>
      <c r="G369" s="336"/>
      <c r="H369" s="336"/>
      <c r="I369" s="334"/>
      <c r="J369" s="336"/>
      <c r="K369" s="336"/>
      <c r="L369" s="336"/>
      <c r="M369" s="337"/>
      <c r="N369" s="242">
        <f t="shared" si="11"/>
        <v>5</v>
      </c>
      <c r="Q369" s="212" t="str">
        <f t="shared" si="10"/>
        <v/>
      </c>
      <c r="R369" s="174" t="s">
        <v>265</v>
      </c>
      <c r="S369" s="174" t="s">
        <v>273</v>
      </c>
      <c r="T369" s="174" t="e">
        <f>_xlfn.XLOOKUP(Buildings_Water_Backend[[#This Row],[Info 1]],Buildings_SiteInfo[Site name],Buildings_SiteInfo[Site type])</f>
        <v>#N/A</v>
      </c>
      <c r="U369" s="174" t="s">
        <v>327</v>
      </c>
      <c r="V369" s="174">
        <f>Buildings_Water_Frontend[[#This Row],[Type]]</f>
        <v>0</v>
      </c>
      <c r="W369" s="174" t="e" cm="1">
        <f t="array" aca="1" ref="W369" ca="1">_xlfn.XLOOKUP(Buildings_Water_Backend[[#This Row],[Level 5]],rng_Level5Long,rng_Level6Long)</f>
        <v>#N/A</v>
      </c>
      <c r="X369" s="174">
        <f>Buildings_Water_Frontend[[#This Row],[Site Name]]</f>
        <v>0</v>
      </c>
      <c r="Y369" s="174">
        <f>Buildings_Water_Frontend[[#This Row],[Meter Reference]]</f>
        <v>0</v>
      </c>
      <c r="Z369" s="220">
        <f>Buildings_Water_Frontend[[#This Row],[Methodology]]</f>
        <v>0</v>
      </c>
      <c r="AA369" s="229" t="e" cm="1">
        <f t="array" ref="AA369">INDEX(_xlfn.SWITCH(Buildings_Water_Backend[[#This Row],[Methodology]],"Tier 1",rng_RSD1,"Tier 2",rng_RSD2,"Tier 3",rng_RSD3),MATCH(_xlfn.CONCAT(Buildings_Water_Backend[[#This Row],[Level 1]:[Level 6]]),rng_LevelsConcat,0))</f>
        <v>#N/A</v>
      </c>
      <c r="AB369" s="224">
        <f>Buildings_Water_Frontend[[#This Row],[Data]]</f>
        <v>0</v>
      </c>
      <c r="AC369" s="174">
        <f>Buildings_Water_Frontend[[#This Row],[Units]]</f>
        <v>0</v>
      </c>
      <c r="AD369" s="220" t="e">
        <f>IF(Buildings_Water_Backend[[#This Row],[Units]]=Buildings_Water_Backend[[#This Row],[Standard units]],Buildings_Water_Backend[[#This Row],[Data]],Buildings_Water_Backend[[#This Row],[Data]]*_xlfn.XLOOKUP(_xlfn.CONCAT(Buildings_Water_Backend[[#This Row],[Level 1]:[Level 6]]),rng_EFConcat,rng_EFConversion))</f>
        <v>#N/A</v>
      </c>
      <c r="AE369" s="174" t="e" cm="1">
        <f t="array" ref="AE369">_xlfn.XLOOKUP(_xlfn.CONCAT(Buildings_Water_Backend[[#This Row],[Level 1]:[Level 6]]),rng_LevelsConcat,rng_UnitsLong)</f>
        <v>#N/A</v>
      </c>
      <c r="AF369" s="210" t="e">
        <f>_xlfn.XLOOKUP(_xlfn.CONCAT(Buildings_Water_Backend[[#This Row],[Level 1]:[Level 6]]),rng_EFConcat,rng_EF1)*Buildings_Water_Backend[[#This Row],[Converted data]]/1000</f>
        <v>#N/A</v>
      </c>
      <c r="AG369" s="210" t="e">
        <f>_xlfn.XLOOKUP(_xlfn.CONCAT(Buildings_Water_Backend[[#This Row],[Level 1]:[Level 6]]),rng_EFConcat,rng_EF2)*Buildings_Water_Backend[[#This Row],[Converted data]]/1000</f>
        <v>#N/A</v>
      </c>
      <c r="AH369" s="210" t="e">
        <f>_xlfn.XLOOKUP(_xlfn.CONCAT(Buildings_Water_Backend[[#This Row],[Level 1]:[Level 6]]),rng_EFConcat,rng_EF3)*Buildings_Water_Backend[[#This Row],[Converted data]]/1000</f>
        <v>#N/A</v>
      </c>
      <c r="AI369" s="210" t="e">
        <f>_xlfn.XLOOKUP(_xlfn.CONCAT(Buildings_Water_Backend[[#This Row],[Level 1]:[Level 6]]),rng_EFConcat,rng_EF3WTT)*Buildings_Water_Backend[[#This Row],[Converted data]]/1000</f>
        <v>#N/A</v>
      </c>
      <c r="AJ369" s="210" t="e">
        <f>_xlfn.XLOOKUP(_xlfn.CONCAT(Buildings_Water_Backend[[#This Row],[Level 1]:[Level 6]]),rng_EFConcat,rng_EF3TD)*Buildings_Water_Backend[[#This Row],[Converted data]]/1000</f>
        <v>#N/A</v>
      </c>
      <c r="AK369" s="210" t="e">
        <f>_xlfn.XLOOKUP(_xlfn.CONCAT(Buildings_Water_Backend[[#This Row],[Level 1]:[Level 6]]),rng_EFConcat,rng_EF3WTTTD)*Buildings_Water_Backend[[#This Row],[Converted data]]/1000</f>
        <v>#N/A</v>
      </c>
      <c r="AL369" s="220" t="e">
        <f>SUM(Buildings_Water_Backend[[#This Row],[Scope 1 (tCO2e)]:[Scope 3 WTT T&amp;D (tCO2e)]])</f>
        <v>#N/A</v>
      </c>
      <c r="AM369" s="220" t="e">
        <f>Buildings_Water_Backend[[#This Row],[Total (tCO2e)]]*(1-Buildings_Water_Backend[[#This Row],[RSD]])</f>
        <v>#N/A</v>
      </c>
      <c r="AN369" s="220" t="e">
        <f>Buildings_Water_Backend[[#This Row],[Total (tCO2e)]]*(1+Buildings_Water_Backend[[#This Row],[RSD]])</f>
        <v>#N/A</v>
      </c>
      <c r="AO369" s="210" t="e">
        <f>_xlfn.XLOOKUP(_xlfn.CONCAT(Buildings_Water_Backend[[#This Row],[Level 1]:[Level 6]]),rng_EFConcat,rng_EFOOS)*Buildings_Water_Backend[[#This Row],[Converted data]]/1000</f>
        <v>#N/A</v>
      </c>
      <c r="AP369" s="174">
        <f>Buildings_Water_Frontend[[#This Row],[Ease of collection]]</f>
        <v>0</v>
      </c>
      <c r="AQ369" s="174">
        <f>Buildings_Water_Frontend[[#This Row],[Completeness]]</f>
        <v>0</v>
      </c>
      <c r="AR369" s="174">
        <f>Buildings_Water_Frontend[[#This Row],[Notes]]</f>
        <v>0</v>
      </c>
    </row>
    <row r="370" spans="5:44" x14ac:dyDescent="0.3">
      <c r="E370" s="346"/>
      <c r="F370" s="364"/>
      <c r="G370" s="336"/>
      <c r="H370" s="336"/>
      <c r="I370" s="334"/>
      <c r="J370" s="336"/>
      <c r="K370" s="336"/>
      <c r="L370" s="336"/>
      <c r="M370" s="337"/>
      <c r="N370" s="242">
        <f t="shared" si="11"/>
        <v>5</v>
      </c>
      <c r="Q370" s="212" t="str">
        <f t="shared" si="10"/>
        <v/>
      </c>
      <c r="R370" s="174" t="s">
        <v>265</v>
      </c>
      <c r="S370" s="174" t="s">
        <v>273</v>
      </c>
      <c r="T370" s="174" t="e">
        <f>_xlfn.XLOOKUP(Buildings_Water_Backend[[#This Row],[Info 1]],Buildings_SiteInfo[Site name],Buildings_SiteInfo[Site type])</f>
        <v>#N/A</v>
      </c>
      <c r="U370" s="174" t="s">
        <v>327</v>
      </c>
      <c r="V370" s="174">
        <f>Buildings_Water_Frontend[[#This Row],[Type]]</f>
        <v>0</v>
      </c>
      <c r="W370" s="174" t="e" cm="1">
        <f t="array" aca="1" ref="W370" ca="1">_xlfn.XLOOKUP(Buildings_Water_Backend[[#This Row],[Level 5]],rng_Level5Long,rng_Level6Long)</f>
        <v>#N/A</v>
      </c>
      <c r="X370" s="174">
        <f>Buildings_Water_Frontend[[#This Row],[Site Name]]</f>
        <v>0</v>
      </c>
      <c r="Y370" s="174">
        <f>Buildings_Water_Frontend[[#This Row],[Meter Reference]]</f>
        <v>0</v>
      </c>
      <c r="Z370" s="220">
        <f>Buildings_Water_Frontend[[#This Row],[Methodology]]</f>
        <v>0</v>
      </c>
      <c r="AA370" s="229" t="e" cm="1">
        <f t="array" ref="AA370">INDEX(_xlfn.SWITCH(Buildings_Water_Backend[[#This Row],[Methodology]],"Tier 1",rng_RSD1,"Tier 2",rng_RSD2,"Tier 3",rng_RSD3),MATCH(_xlfn.CONCAT(Buildings_Water_Backend[[#This Row],[Level 1]:[Level 6]]),rng_LevelsConcat,0))</f>
        <v>#N/A</v>
      </c>
      <c r="AB370" s="224">
        <f>Buildings_Water_Frontend[[#This Row],[Data]]</f>
        <v>0</v>
      </c>
      <c r="AC370" s="174">
        <f>Buildings_Water_Frontend[[#This Row],[Units]]</f>
        <v>0</v>
      </c>
      <c r="AD370" s="220" t="e">
        <f>IF(Buildings_Water_Backend[[#This Row],[Units]]=Buildings_Water_Backend[[#This Row],[Standard units]],Buildings_Water_Backend[[#This Row],[Data]],Buildings_Water_Backend[[#This Row],[Data]]*_xlfn.XLOOKUP(_xlfn.CONCAT(Buildings_Water_Backend[[#This Row],[Level 1]:[Level 6]]),rng_EFConcat,rng_EFConversion))</f>
        <v>#N/A</v>
      </c>
      <c r="AE370" s="174" t="e" cm="1">
        <f t="array" ref="AE370">_xlfn.XLOOKUP(_xlfn.CONCAT(Buildings_Water_Backend[[#This Row],[Level 1]:[Level 6]]),rng_LevelsConcat,rng_UnitsLong)</f>
        <v>#N/A</v>
      </c>
      <c r="AF370" s="210" t="e">
        <f>_xlfn.XLOOKUP(_xlfn.CONCAT(Buildings_Water_Backend[[#This Row],[Level 1]:[Level 6]]),rng_EFConcat,rng_EF1)*Buildings_Water_Backend[[#This Row],[Converted data]]/1000</f>
        <v>#N/A</v>
      </c>
      <c r="AG370" s="210" t="e">
        <f>_xlfn.XLOOKUP(_xlfn.CONCAT(Buildings_Water_Backend[[#This Row],[Level 1]:[Level 6]]),rng_EFConcat,rng_EF2)*Buildings_Water_Backend[[#This Row],[Converted data]]/1000</f>
        <v>#N/A</v>
      </c>
      <c r="AH370" s="210" t="e">
        <f>_xlfn.XLOOKUP(_xlfn.CONCAT(Buildings_Water_Backend[[#This Row],[Level 1]:[Level 6]]),rng_EFConcat,rng_EF3)*Buildings_Water_Backend[[#This Row],[Converted data]]/1000</f>
        <v>#N/A</v>
      </c>
      <c r="AI370" s="210" t="e">
        <f>_xlfn.XLOOKUP(_xlfn.CONCAT(Buildings_Water_Backend[[#This Row],[Level 1]:[Level 6]]),rng_EFConcat,rng_EF3WTT)*Buildings_Water_Backend[[#This Row],[Converted data]]/1000</f>
        <v>#N/A</v>
      </c>
      <c r="AJ370" s="210" t="e">
        <f>_xlfn.XLOOKUP(_xlfn.CONCAT(Buildings_Water_Backend[[#This Row],[Level 1]:[Level 6]]),rng_EFConcat,rng_EF3TD)*Buildings_Water_Backend[[#This Row],[Converted data]]/1000</f>
        <v>#N/A</v>
      </c>
      <c r="AK370" s="210" t="e">
        <f>_xlfn.XLOOKUP(_xlfn.CONCAT(Buildings_Water_Backend[[#This Row],[Level 1]:[Level 6]]),rng_EFConcat,rng_EF3WTTTD)*Buildings_Water_Backend[[#This Row],[Converted data]]/1000</f>
        <v>#N/A</v>
      </c>
      <c r="AL370" s="220" t="e">
        <f>SUM(Buildings_Water_Backend[[#This Row],[Scope 1 (tCO2e)]:[Scope 3 WTT T&amp;D (tCO2e)]])</f>
        <v>#N/A</v>
      </c>
      <c r="AM370" s="220" t="e">
        <f>Buildings_Water_Backend[[#This Row],[Total (tCO2e)]]*(1-Buildings_Water_Backend[[#This Row],[RSD]])</f>
        <v>#N/A</v>
      </c>
      <c r="AN370" s="220" t="e">
        <f>Buildings_Water_Backend[[#This Row],[Total (tCO2e)]]*(1+Buildings_Water_Backend[[#This Row],[RSD]])</f>
        <v>#N/A</v>
      </c>
      <c r="AO370" s="210" t="e">
        <f>_xlfn.XLOOKUP(_xlfn.CONCAT(Buildings_Water_Backend[[#This Row],[Level 1]:[Level 6]]),rng_EFConcat,rng_EFOOS)*Buildings_Water_Backend[[#This Row],[Converted data]]/1000</f>
        <v>#N/A</v>
      </c>
      <c r="AP370" s="174">
        <f>Buildings_Water_Frontend[[#This Row],[Ease of collection]]</f>
        <v>0</v>
      </c>
      <c r="AQ370" s="174">
        <f>Buildings_Water_Frontend[[#This Row],[Completeness]]</f>
        <v>0</v>
      </c>
      <c r="AR370" s="174">
        <f>Buildings_Water_Frontend[[#This Row],[Notes]]</f>
        <v>0</v>
      </c>
    </row>
    <row r="371" spans="5:44" x14ac:dyDescent="0.3">
      <c r="E371" s="346"/>
      <c r="F371" s="364"/>
      <c r="G371" s="336"/>
      <c r="H371" s="336"/>
      <c r="I371" s="334"/>
      <c r="J371" s="336"/>
      <c r="K371" s="336"/>
      <c r="L371" s="336"/>
      <c r="M371" s="337"/>
      <c r="N371" s="242">
        <f t="shared" si="11"/>
        <v>5</v>
      </c>
      <c r="Q371" s="212" t="str">
        <f t="shared" si="10"/>
        <v/>
      </c>
      <c r="R371" s="174" t="s">
        <v>265</v>
      </c>
      <c r="S371" s="174" t="s">
        <v>273</v>
      </c>
      <c r="T371" s="174" t="e">
        <f>_xlfn.XLOOKUP(Buildings_Water_Backend[[#This Row],[Info 1]],Buildings_SiteInfo[Site name],Buildings_SiteInfo[Site type])</f>
        <v>#N/A</v>
      </c>
      <c r="U371" s="174" t="s">
        <v>327</v>
      </c>
      <c r="V371" s="174">
        <f>Buildings_Water_Frontend[[#This Row],[Type]]</f>
        <v>0</v>
      </c>
      <c r="W371" s="174" t="e" cm="1">
        <f t="array" aca="1" ref="W371" ca="1">_xlfn.XLOOKUP(Buildings_Water_Backend[[#This Row],[Level 5]],rng_Level5Long,rng_Level6Long)</f>
        <v>#N/A</v>
      </c>
      <c r="X371" s="174">
        <f>Buildings_Water_Frontend[[#This Row],[Site Name]]</f>
        <v>0</v>
      </c>
      <c r="Y371" s="174">
        <f>Buildings_Water_Frontend[[#This Row],[Meter Reference]]</f>
        <v>0</v>
      </c>
      <c r="Z371" s="220">
        <f>Buildings_Water_Frontend[[#This Row],[Methodology]]</f>
        <v>0</v>
      </c>
      <c r="AA371" s="229" t="e" cm="1">
        <f t="array" ref="AA371">INDEX(_xlfn.SWITCH(Buildings_Water_Backend[[#This Row],[Methodology]],"Tier 1",rng_RSD1,"Tier 2",rng_RSD2,"Tier 3",rng_RSD3),MATCH(_xlfn.CONCAT(Buildings_Water_Backend[[#This Row],[Level 1]:[Level 6]]),rng_LevelsConcat,0))</f>
        <v>#N/A</v>
      </c>
      <c r="AB371" s="224">
        <f>Buildings_Water_Frontend[[#This Row],[Data]]</f>
        <v>0</v>
      </c>
      <c r="AC371" s="174">
        <f>Buildings_Water_Frontend[[#This Row],[Units]]</f>
        <v>0</v>
      </c>
      <c r="AD371" s="220" t="e">
        <f>IF(Buildings_Water_Backend[[#This Row],[Units]]=Buildings_Water_Backend[[#This Row],[Standard units]],Buildings_Water_Backend[[#This Row],[Data]],Buildings_Water_Backend[[#This Row],[Data]]*_xlfn.XLOOKUP(_xlfn.CONCAT(Buildings_Water_Backend[[#This Row],[Level 1]:[Level 6]]),rng_EFConcat,rng_EFConversion))</f>
        <v>#N/A</v>
      </c>
      <c r="AE371" s="174" t="e" cm="1">
        <f t="array" ref="AE371">_xlfn.XLOOKUP(_xlfn.CONCAT(Buildings_Water_Backend[[#This Row],[Level 1]:[Level 6]]),rng_LevelsConcat,rng_UnitsLong)</f>
        <v>#N/A</v>
      </c>
      <c r="AF371" s="210" t="e">
        <f>_xlfn.XLOOKUP(_xlfn.CONCAT(Buildings_Water_Backend[[#This Row],[Level 1]:[Level 6]]),rng_EFConcat,rng_EF1)*Buildings_Water_Backend[[#This Row],[Converted data]]/1000</f>
        <v>#N/A</v>
      </c>
      <c r="AG371" s="210" t="e">
        <f>_xlfn.XLOOKUP(_xlfn.CONCAT(Buildings_Water_Backend[[#This Row],[Level 1]:[Level 6]]),rng_EFConcat,rng_EF2)*Buildings_Water_Backend[[#This Row],[Converted data]]/1000</f>
        <v>#N/A</v>
      </c>
      <c r="AH371" s="210" t="e">
        <f>_xlfn.XLOOKUP(_xlfn.CONCAT(Buildings_Water_Backend[[#This Row],[Level 1]:[Level 6]]),rng_EFConcat,rng_EF3)*Buildings_Water_Backend[[#This Row],[Converted data]]/1000</f>
        <v>#N/A</v>
      </c>
      <c r="AI371" s="210" t="e">
        <f>_xlfn.XLOOKUP(_xlfn.CONCAT(Buildings_Water_Backend[[#This Row],[Level 1]:[Level 6]]),rng_EFConcat,rng_EF3WTT)*Buildings_Water_Backend[[#This Row],[Converted data]]/1000</f>
        <v>#N/A</v>
      </c>
      <c r="AJ371" s="210" t="e">
        <f>_xlfn.XLOOKUP(_xlfn.CONCAT(Buildings_Water_Backend[[#This Row],[Level 1]:[Level 6]]),rng_EFConcat,rng_EF3TD)*Buildings_Water_Backend[[#This Row],[Converted data]]/1000</f>
        <v>#N/A</v>
      </c>
      <c r="AK371" s="210" t="e">
        <f>_xlfn.XLOOKUP(_xlfn.CONCAT(Buildings_Water_Backend[[#This Row],[Level 1]:[Level 6]]),rng_EFConcat,rng_EF3WTTTD)*Buildings_Water_Backend[[#This Row],[Converted data]]/1000</f>
        <v>#N/A</v>
      </c>
      <c r="AL371" s="220" t="e">
        <f>SUM(Buildings_Water_Backend[[#This Row],[Scope 1 (tCO2e)]:[Scope 3 WTT T&amp;D (tCO2e)]])</f>
        <v>#N/A</v>
      </c>
      <c r="AM371" s="220" t="e">
        <f>Buildings_Water_Backend[[#This Row],[Total (tCO2e)]]*(1-Buildings_Water_Backend[[#This Row],[RSD]])</f>
        <v>#N/A</v>
      </c>
      <c r="AN371" s="220" t="e">
        <f>Buildings_Water_Backend[[#This Row],[Total (tCO2e)]]*(1+Buildings_Water_Backend[[#This Row],[RSD]])</f>
        <v>#N/A</v>
      </c>
      <c r="AO371" s="210" t="e">
        <f>_xlfn.XLOOKUP(_xlfn.CONCAT(Buildings_Water_Backend[[#This Row],[Level 1]:[Level 6]]),rng_EFConcat,rng_EFOOS)*Buildings_Water_Backend[[#This Row],[Converted data]]/1000</f>
        <v>#N/A</v>
      </c>
      <c r="AP371" s="174">
        <f>Buildings_Water_Frontend[[#This Row],[Ease of collection]]</f>
        <v>0</v>
      </c>
      <c r="AQ371" s="174">
        <f>Buildings_Water_Frontend[[#This Row],[Completeness]]</f>
        <v>0</v>
      </c>
      <c r="AR371" s="174">
        <f>Buildings_Water_Frontend[[#This Row],[Notes]]</f>
        <v>0</v>
      </c>
    </row>
    <row r="372" spans="5:44" x14ac:dyDescent="0.3">
      <c r="E372" s="346"/>
      <c r="F372" s="364"/>
      <c r="G372" s="336"/>
      <c r="H372" s="336"/>
      <c r="I372" s="334"/>
      <c r="J372" s="336"/>
      <c r="K372" s="336"/>
      <c r="L372" s="336"/>
      <c r="M372" s="337"/>
      <c r="N372" s="242">
        <f t="shared" si="11"/>
        <v>5</v>
      </c>
      <c r="Q372" s="212" t="str">
        <f t="shared" si="10"/>
        <v/>
      </c>
      <c r="R372" s="174" t="s">
        <v>265</v>
      </c>
      <c r="S372" s="174" t="s">
        <v>273</v>
      </c>
      <c r="T372" s="174" t="e">
        <f>_xlfn.XLOOKUP(Buildings_Water_Backend[[#This Row],[Info 1]],Buildings_SiteInfo[Site name],Buildings_SiteInfo[Site type])</f>
        <v>#N/A</v>
      </c>
      <c r="U372" s="174" t="s">
        <v>327</v>
      </c>
      <c r="V372" s="174">
        <f>Buildings_Water_Frontend[[#This Row],[Type]]</f>
        <v>0</v>
      </c>
      <c r="W372" s="174" t="e" cm="1">
        <f t="array" aca="1" ref="W372" ca="1">_xlfn.XLOOKUP(Buildings_Water_Backend[[#This Row],[Level 5]],rng_Level5Long,rng_Level6Long)</f>
        <v>#N/A</v>
      </c>
      <c r="X372" s="174">
        <f>Buildings_Water_Frontend[[#This Row],[Site Name]]</f>
        <v>0</v>
      </c>
      <c r="Y372" s="174">
        <f>Buildings_Water_Frontend[[#This Row],[Meter Reference]]</f>
        <v>0</v>
      </c>
      <c r="Z372" s="220">
        <f>Buildings_Water_Frontend[[#This Row],[Methodology]]</f>
        <v>0</v>
      </c>
      <c r="AA372" s="229" t="e" cm="1">
        <f t="array" ref="AA372">INDEX(_xlfn.SWITCH(Buildings_Water_Backend[[#This Row],[Methodology]],"Tier 1",rng_RSD1,"Tier 2",rng_RSD2,"Tier 3",rng_RSD3),MATCH(_xlfn.CONCAT(Buildings_Water_Backend[[#This Row],[Level 1]:[Level 6]]),rng_LevelsConcat,0))</f>
        <v>#N/A</v>
      </c>
      <c r="AB372" s="224">
        <f>Buildings_Water_Frontend[[#This Row],[Data]]</f>
        <v>0</v>
      </c>
      <c r="AC372" s="174">
        <f>Buildings_Water_Frontend[[#This Row],[Units]]</f>
        <v>0</v>
      </c>
      <c r="AD372" s="220" t="e">
        <f>IF(Buildings_Water_Backend[[#This Row],[Units]]=Buildings_Water_Backend[[#This Row],[Standard units]],Buildings_Water_Backend[[#This Row],[Data]],Buildings_Water_Backend[[#This Row],[Data]]*_xlfn.XLOOKUP(_xlfn.CONCAT(Buildings_Water_Backend[[#This Row],[Level 1]:[Level 6]]),rng_EFConcat,rng_EFConversion))</f>
        <v>#N/A</v>
      </c>
      <c r="AE372" s="174" t="e" cm="1">
        <f t="array" ref="AE372">_xlfn.XLOOKUP(_xlfn.CONCAT(Buildings_Water_Backend[[#This Row],[Level 1]:[Level 6]]),rng_LevelsConcat,rng_UnitsLong)</f>
        <v>#N/A</v>
      </c>
      <c r="AF372" s="210" t="e">
        <f>_xlfn.XLOOKUP(_xlfn.CONCAT(Buildings_Water_Backend[[#This Row],[Level 1]:[Level 6]]),rng_EFConcat,rng_EF1)*Buildings_Water_Backend[[#This Row],[Converted data]]/1000</f>
        <v>#N/A</v>
      </c>
      <c r="AG372" s="210" t="e">
        <f>_xlfn.XLOOKUP(_xlfn.CONCAT(Buildings_Water_Backend[[#This Row],[Level 1]:[Level 6]]),rng_EFConcat,rng_EF2)*Buildings_Water_Backend[[#This Row],[Converted data]]/1000</f>
        <v>#N/A</v>
      </c>
      <c r="AH372" s="210" t="e">
        <f>_xlfn.XLOOKUP(_xlfn.CONCAT(Buildings_Water_Backend[[#This Row],[Level 1]:[Level 6]]),rng_EFConcat,rng_EF3)*Buildings_Water_Backend[[#This Row],[Converted data]]/1000</f>
        <v>#N/A</v>
      </c>
      <c r="AI372" s="210" t="e">
        <f>_xlfn.XLOOKUP(_xlfn.CONCAT(Buildings_Water_Backend[[#This Row],[Level 1]:[Level 6]]),rng_EFConcat,rng_EF3WTT)*Buildings_Water_Backend[[#This Row],[Converted data]]/1000</f>
        <v>#N/A</v>
      </c>
      <c r="AJ372" s="210" t="e">
        <f>_xlfn.XLOOKUP(_xlfn.CONCAT(Buildings_Water_Backend[[#This Row],[Level 1]:[Level 6]]),rng_EFConcat,rng_EF3TD)*Buildings_Water_Backend[[#This Row],[Converted data]]/1000</f>
        <v>#N/A</v>
      </c>
      <c r="AK372" s="210" t="e">
        <f>_xlfn.XLOOKUP(_xlfn.CONCAT(Buildings_Water_Backend[[#This Row],[Level 1]:[Level 6]]),rng_EFConcat,rng_EF3WTTTD)*Buildings_Water_Backend[[#This Row],[Converted data]]/1000</f>
        <v>#N/A</v>
      </c>
      <c r="AL372" s="220" t="e">
        <f>SUM(Buildings_Water_Backend[[#This Row],[Scope 1 (tCO2e)]:[Scope 3 WTT T&amp;D (tCO2e)]])</f>
        <v>#N/A</v>
      </c>
      <c r="AM372" s="220" t="e">
        <f>Buildings_Water_Backend[[#This Row],[Total (tCO2e)]]*(1-Buildings_Water_Backend[[#This Row],[RSD]])</f>
        <v>#N/A</v>
      </c>
      <c r="AN372" s="220" t="e">
        <f>Buildings_Water_Backend[[#This Row],[Total (tCO2e)]]*(1+Buildings_Water_Backend[[#This Row],[RSD]])</f>
        <v>#N/A</v>
      </c>
      <c r="AO372" s="210" t="e">
        <f>_xlfn.XLOOKUP(_xlfn.CONCAT(Buildings_Water_Backend[[#This Row],[Level 1]:[Level 6]]),rng_EFConcat,rng_EFOOS)*Buildings_Water_Backend[[#This Row],[Converted data]]/1000</f>
        <v>#N/A</v>
      </c>
      <c r="AP372" s="174">
        <f>Buildings_Water_Frontend[[#This Row],[Ease of collection]]</f>
        <v>0</v>
      </c>
      <c r="AQ372" s="174">
        <f>Buildings_Water_Frontend[[#This Row],[Completeness]]</f>
        <v>0</v>
      </c>
      <c r="AR372" s="174">
        <f>Buildings_Water_Frontend[[#This Row],[Notes]]</f>
        <v>0</v>
      </c>
    </row>
    <row r="373" spans="5:44" x14ac:dyDescent="0.3">
      <c r="E373" s="346"/>
      <c r="F373" s="364"/>
      <c r="G373" s="336"/>
      <c r="H373" s="336"/>
      <c r="I373" s="334"/>
      <c r="J373" s="336"/>
      <c r="K373" s="336"/>
      <c r="L373" s="336"/>
      <c r="M373" s="337"/>
      <c r="N373" s="242">
        <f t="shared" si="11"/>
        <v>5</v>
      </c>
      <c r="Q373" s="212" t="str">
        <f t="shared" si="10"/>
        <v/>
      </c>
      <c r="R373" s="174" t="s">
        <v>265</v>
      </c>
      <c r="S373" s="174" t="s">
        <v>273</v>
      </c>
      <c r="T373" s="174" t="e">
        <f>_xlfn.XLOOKUP(Buildings_Water_Backend[[#This Row],[Info 1]],Buildings_SiteInfo[Site name],Buildings_SiteInfo[Site type])</f>
        <v>#N/A</v>
      </c>
      <c r="U373" s="174" t="s">
        <v>327</v>
      </c>
      <c r="V373" s="174">
        <f>Buildings_Water_Frontend[[#This Row],[Type]]</f>
        <v>0</v>
      </c>
      <c r="W373" s="174" t="e" cm="1">
        <f t="array" aca="1" ref="W373" ca="1">_xlfn.XLOOKUP(Buildings_Water_Backend[[#This Row],[Level 5]],rng_Level5Long,rng_Level6Long)</f>
        <v>#N/A</v>
      </c>
      <c r="X373" s="174">
        <f>Buildings_Water_Frontend[[#This Row],[Site Name]]</f>
        <v>0</v>
      </c>
      <c r="Y373" s="174">
        <f>Buildings_Water_Frontend[[#This Row],[Meter Reference]]</f>
        <v>0</v>
      </c>
      <c r="Z373" s="220">
        <f>Buildings_Water_Frontend[[#This Row],[Methodology]]</f>
        <v>0</v>
      </c>
      <c r="AA373" s="229" t="e" cm="1">
        <f t="array" ref="AA373">INDEX(_xlfn.SWITCH(Buildings_Water_Backend[[#This Row],[Methodology]],"Tier 1",rng_RSD1,"Tier 2",rng_RSD2,"Tier 3",rng_RSD3),MATCH(_xlfn.CONCAT(Buildings_Water_Backend[[#This Row],[Level 1]:[Level 6]]),rng_LevelsConcat,0))</f>
        <v>#N/A</v>
      </c>
      <c r="AB373" s="224">
        <f>Buildings_Water_Frontend[[#This Row],[Data]]</f>
        <v>0</v>
      </c>
      <c r="AC373" s="174">
        <f>Buildings_Water_Frontend[[#This Row],[Units]]</f>
        <v>0</v>
      </c>
      <c r="AD373" s="220" t="e">
        <f>IF(Buildings_Water_Backend[[#This Row],[Units]]=Buildings_Water_Backend[[#This Row],[Standard units]],Buildings_Water_Backend[[#This Row],[Data]],Buildings_Water_Backend[[#This Row],[Data]]*_xlfn.XLOOKUP(_xlfn.CONCAT(Buildings_Water_Backend[[#This Row],[Level 1]:[Level 6]]),rng_EFConcat,rng_EFConversion))</f>
        <v>#N/A</v>
      </c>
      <c r="AE373" s="174" t="e" cm="1">
        <f t="array" ref="AE373">_xlfn.XLOOKUP(_xlfn.CONCAT(Buildings_Water_Backend[[#This Row],[Level 1]:[Level 6]]),rng_LevelsConcat,rng_UnitsLong)</f>
        <v>#N/A</v>
      </c>
      <c r="AF373" s="210" t="e">
        <f>_xlfn.XLOOKUP(_xlfn.CONCAT(Buildings_Water_Backend[[#This Row],[Level 1]:[Level 6]]),rng_EFConcat,rng_EF1)*Buildings_Water_Backend[[#This Row],[Converted data]]/1000</f>
        <v>#N/A</v>
      </c>
      <c r="AG373" s="210" t="e">
        <f>_xlfn.XLOOKUP(_xlfn.CONCAT(Buildings_Water_Backend[[#This Row],[Level 1]:[Level 6]]),rng_EFConcat,rng_EF2)*Buildings_Water_Backend[[#This Row],[Converted data]]/1000</f>
        <v>#N/A</v>
      </c>
      <c r="AH373" s="210" t="e">
        <f>_xlfn.XLOOKUP(_xlfn.CONCAT(Buildings_Water_Backend[[#This Row],[Level 1]:[Level 6]]),rng_EFConcat,rng_EF3)*Buildings_Water_Backend[[#This Row],[Converted data]]/1000</f>
        <v>#N/A</v>
      </c>
      <c r="AI373" s="210" t="e">
        <f>_xlfn.XLOOKUP(_xlfn.CONCAT(Buildings_Water_Backend[[#This Row],[Level 1]:[Level 6]]),rng_EFConcat,rng_EF3WTT)*Buildings_Water_Backend[[#This Row],[Converted data]]/1000</f>
        <v>#N/A</v>
      </c>
      <c r="AJ373" s="210" t="e">
        <f>_xlfn.XLOOKUP(_xlfn.CONCAT(Buildings_Water_Backend[[#This Row],[Level 1]:[Level 6]]),rng_EFConcat,rng_EF3TD)*Buildings_Water_Backend[[#This Row],[Converted data]]/1000</f>
        <v>#N/A</v>
      </c>
      <c r="AK373" s="210" t="e">
        <f>_xlfn.XLOOKUP(_xlfn.CONCAT(Buildings_Water_Backend[[#This Row],[Level 1]:[Level 6]]),rng_EFConcat,rng_EF3WTTTD)*Buildings_Water_Backend[[#This Row],[Converted data]]/1000</f>
        <v>#N/A</v>
      </c>
      <c r="AL373" s="220" t="e">
        <f>SUM(Buildings_Water_Backend[[#This Row],[Scope 1 (tCO2e)]:[Scope 3 WTT T&amp;D (tCO2e)]])</f>
        <v>#N/A</v>
      </c>
      <c r="AM373" s="220" t="e">
        <f>Buildings_Water_Backend[[#This Row],[Total (tCO2e)]]*(1-Buildings_Water_Backend[[#This Row],[RSD]])</f>
        <v>#N/A</v>
      </c>
      <c r="AN373" s="220" t="e">
        <f>Buildings_Water_Backend[[#This Row],[Total (tCO2e)]]*(1+Buildings_Water_Backend[[#This Row],[RSD]])</f>
        <v>#N/A</v>
      </c>
      <c r="AO373" s="210" t="e">
        <f>_xlfn.XLOOKUP(_xlfn.CONCAT(Buildings_Water_Backend[[#This Row],[Level 1]:[Level 6]]),rng_EFConcat,rng_EFOOS)*Buildings_Water_Backend[[#This Row],[Converted data]]/1000</f>
        <v>#N/A</v>
      </c>
      <c r="AP373" s="174">
        <f>Buildings_Water_Frontend[[#This Row],[Ease of collection]]</f>
        <v>0</v>
      </c>
      <c r="AQ373" s="174">
        <f>Buildings_Water_Frontend[[#This Row],[Completeness]]</f>
        <v>0</v>
      </c>
      <c r="AR373" s="174">
        <f>Buildings_Water_Frontend[[#This Row],[Notes]]</f>
        <v>0</v>
      </c>
    </row>
    <row r="374" spans="5:44" x14ac:dyDescent="0.3">
      <c r="E374" s="346"/>
      <c r="F374" s="364"/>
      <c r="G374" s="336"/>
      <c r="H374" s="336"/>
      <c r="I374" s="334"/>
      <c r="J374" s="336"/>
      <c r="K374" s="336"/>
      <c r="L374" s="336"/>
      <c r="M374" s="337"/>
      <c r="N374" s="242">
        <f t="shared" si="11"/>
        <v>5</v>
      </c>
      <c r="Q374" s="212" t="str">
        <f t="shared" si="10"/>
        <v/>
      </c>
      <c r="R374" s="174" t="s">
        <v>265</v>
      </c>
      <c r="S374" s="174" t="s">
        <v>273</v>
      </c>
      <c r="T374" s="174" t="e">
        <f>_xlfn.XLOOKUP(Buildings_Water_Backend[[#This Row],[Info 1]],Buildings_SiteInfo[Site name],Buildings_SiteInfo[Site type])</f>
        <v>#N/A</v>
      </c>
      <c r="U374" s="174" t="s">
        <v>327</v>
      </c>
      <c r="V374" s="174">
        <f>Buildings_Water_Frontend[[#This Row],[Type]]</f>
        <v>0</v>
      </c>
      <c r="W374" s="174" t="e" cm="1">
        <f t="array" aca="1" ref="W374" ca="1">_xlfn.XLOOKUP(Buildings_Water_Backend[[#This Row],[Level 5]],rng_Level5Long,rng_Level6Long)</f>
        <v>#N/A</v>
      </c>
      <c r="X374" s="174">
        <f>Buildings_Water_Frontend[[#This Row],[Site Name]]</f>
        <v>0</v>
      </c>
      <c r="Y374" s="174">
        <f>Buildings_Water_Frontend[[#This Row],[Meter Reference]]</f>
        <v>0</v>
      </c>
      <c r="Z374" s="220">
        <f>Buildings_Water_Frontend[[#This Row],[Methodology]]</f>
        <v>0</v>
      </c>
      <c r="AA374" s="229" t="e" cm="1">
        <f t="array" ref="AA374">INDEX(_xlfn.SWITCH(Buildings_Water_Backend[[#This Row],[Methodology]],"Tier 1",rng_RSD1,"Tier 2",rng_RSD2,"Tier 3",rng_RSD3),MATCH(_xlfn.CONCAT(Buildings_Water_Backend[[#This Row],[Level 1]:[Level 6]]),rng_LevelsConcat,0))</f>
        <v>#N/A</v>
      </c>
      <c r="AB374" s="224">
        <f>Buildings_Water_Frontend[[#This Row],[Data]]</f>
        <v>0</v>
      </c>
      <c r="AC374" s="174">
        <f>Buildings_Water_Frontend[[#This Row],[Units]]</f>
        <v>0</v>
      </c>
      <c r="AD374" s="220" t="e">
        <f>IF(Buildings_Water_Backend[[#This Row],[Units]]=Buildings_Water_Backend[[#This Row],[Standard units]],Buildings_Water_Backend[[#This Row],[Data]],Buildings_Water_Backend[[#This Row],[Data]]*_xlfn.XLOOKUP(_xlfn.CONCAT(Buildings_Water_Backend[[#This Row],[Level 1]:[Level 6]]),rng_EFConcat,rng_EFConversion))</f>
        <v>#N/A</v>
      </c>
      <c r="AE374" s="174" t="e" cm="1">
        <f t="array" ref="AE374">_xlfn.XLOOKUP(_xlfn.CONCAT(Buildings_Water_Backend[[#This Row],[Level 1]:[Level 6]]),rng_LevelsConcat,rng_UnitsLong)</f>
        <v>#N/A</v>
      </c>
      <c r="AF374" s="210" t="e">
        <f>_xlfn.XLOOKUP(_xlfn.CONCAT(Buildings_Water_Backend[[#This Row],[Level 1]:[Level 6]]),rng_EFConcat,rng_EF1)*Buildings_Water_Backend[[#This Row],[Converted data]]/1000</f>
        <v>#N/A</v>
      </c>
      <c r="AG374" s="210" t="e">
        <f>_xlfn.XLOOKUP(_xlfn.CONCAT(Buildings_Water_Backend[[#This Row],[Level 1]:[Level 6]]),rng_EFConcat,rng_EF2)*Buildings_Water_Backend[[#This Row],[Converted data]]/1000</f>
        <v>#N/A</v>
      </c>
      <c r="AH374" s="210" t="e">
        <f>_xlfn.XLOOKUP(_xlfn.CONCAT(Buildings_Water_Backend[[#This Row],[Level 1]:[Level 6]]),rng_EFConcat,rng_EF3)*Buildings_Water_Backend[[#This Row],[Converted data]]/1000</f>
        <v>#N/A</v>
      </c>
      <c r="AI374" s="210" t="e">
        <f>_xlfn.XLOOKUP(_xlfn.CONCAT(Buildings_Water_Backend[[#This Row],[Level 1]:[Level 6]]),rng_EFConcat,rng_EF3WTT)*Buildings_Water_Backend[[#This Row],[Converted data]]/1000</f>
        <v>#N/A</v>
      </c>
      <c r="AJ374" s="210" t="e">
        <f>_xlfn.XLOOKUP(_xlfn.CONCAT(Buildings_Water_Backend[[#This Row],[Level 1]:[Level 6]]),rng_EFConcat,rng_EF3TD)*Buildings_Water_Backend[[#This Row],[Converted data]]/1000</f>
        <v>#N/A</v>
      </c>
      <c r="AK374" s="210" t="e">
        <f>_xlfn.XLOOKUP(_xlfn.CONCAT(Buildings_Water_Backend[[#This Row],[Level 1]:[Level 6]]),rng_EFConcat,rng_EF3WTTTD)*Buildings_Water_Backend[[#This Row],[Converted data]]/1000</f>
        <v>#N/A</v>
      </c>
      <c r="AL374" s="220" t="e">
        <f>SUM(Buildings_Water_Backend[[#This Row],[Scope 1 (tCO2e)]:[Scope 3 WTT T&amp;D (tCO2e)]])</f>
        <v>#N/A</v>
      </c>
      <c r="AM374" s="220" t="e">
        <f>Buildings_Water_Backend[[#This Row],[Total (tCO2e)]]*(1-Buildings_Water_Backend[[#This Row],[RSD]])</f>
        <v>#N/A</v>
      </c>
      <c r="AN374" s="220" t="e">
        <f>Buildings_Water_Backend[[#This Row],[Total (tCO2e)]]*(1+Buildings_Water_Backend[[#This Row],[RSD]])</f>
        <v>#N/A</v>
      </c>
      <c r="AO374" s="210" t="e">
        <f>_xlfn.XLOOKUP(_xlfn.CONCAT(Buildings_Water_Backend[[#This Row],[Level 1]:[Level 6]]),rng_EFConcat,rng_EFOOS)*Buildings_Water_Backend[[#This Row],[Converted data]]/1000</f>
        <v>#N/A</v>
      </c>
      <c r="AP374" s="174">
        <f>Buildings_Water_Frontend[[#This Row],[Ease of collection]]</f>
        <v>0</v>
      </c>
      <c r="AQ374" s="174">
        <f>Buildings_Water_Frontend[[#This Row],[Completeness]]</f>
        <v>0</v>
      </c>
      <c r="AR374" s="174">
        <f>Buildings_Water_Frontend[[#This Row],[Notes]]</f>
        <v>0</v>
      </c>
    </row>
    <row r="375" spans="5:44" x14ac:dyDescent="0.3">
      <c r="E375" s="346"/>
      <c r="F375" s="364"/>
      <c r="G375" s="336"/>
      <c r="H375" s="336"/>
      <c r="I375" s="334"/>
      <c r="J375" s="336"/>
      <c r="K375" s="336"/>
      <c r="L375" s="336"/>
      <c r="M375" s="337"/>
      <c r="N375" s="242">
        <f t="shared" si="11"/>
        <v>5</v>
      </c>
      <c r="Q375" s="212" t="str">
        <f t="shared" si="10"/>
        <v/>
      </c>
      <c r="R375" s="174" t="s">
        <v>265</v>
      </c>
      <c r="S375" s="174" t="s">
        <v>273</v>
      </c>
      <c r="T375" s="174" t="e">
        <f>_xlfn.XLOOKUP(Buildings_Water_Backend[[#This Row],[Info 1]],Buildings_SiteInfo[Site name],Buildings_SiteInfo[Site type])</f>
        <v>#N/A</v>
      </c>
      <c r="U375" s="174" t="s">
        <v>327</v>
      </c>
      <c r="V375" s="174">
        <f>Buildings_Water_Frontend[[#This Row],[Type]]</f>
        <v>0</v>
      </c>
      <c r="W375" s="174" t="e" cm="1">
        <f t="array" aca="1" ref="W375" ca="1">_xlfn.XLOOKUP(Buildings_Water_Backend[[#This Row],[Level 5]],rng_Level5Long,rng_Level6Long)</f>
        <v>#N/A</v>
      </c>
      <c r="X375" s="174">
        <f>Buildings_Water_Frontend[[#This Row],[Site Name]]</f>
        <v>0</v>
      </c>
      <c r="Y375" s="174">
        <f>Buildings_Water_Frontend[[#This Row],[Meter Reference]]</f>
        <v>0</v>
      </c>
      <c r="Z375" s="220">
        <f>Buildings_Water_Frontend[[#This Row],[Methodology]]</f>
        <v>0</v>
      </c>
      <c r="AA375" s="229" t="e" cm="1">
        <f t="array" ref="AA375">INDEX(_xlfn.SWITCH(Buildings_Water_Backend[[#This Row],[Methodology]],"Tier 1",rng_RSD1,"Tier 2",rng_RSD2,"Tier 3",rng_RSD3),MATCH(_xlfn.CONCAT(Buildings_Water_Backend[[#This Row],[Level 1]:[Level 6]]),rng_LevelsConcat,0))</f>
        <v>#N/A</v>
      </c>
      <c r="AB375" s="224">
        <f>Buildings_Water_Frontend[[#This Row],[Data]]</f>
        <v>0</v>
      </c>
      <c r="AC375" s="174">
        <f>Buildings_Water_Frontend[[#This Row],[Units]]</f>
        <v>0</v>
      </c>
      <c r="AD375" s="220" t="e">
        <f>IF(Buildings_Water_Backend[[#This Row],[Units]]=Buildings_Water_Backend[[#This Row],[Standard units]],Buildings_Water_Backend[[#This Row],[Data]],Buildings_Water_Backend[[#This Row],[Data]]*_xlfn.XLOOKUP(_xlfn.CONCAT(Buildings_Water_Backend[[#This Row],[Level 1]:[Level 6]]),rng_EFConcat,rng_EFConversion))</f>
        <v>#N/A</v>
      </c>
      <c r="AE375" s="174" t="e" cm="1">
        <f t="array" ref="AE375">_xlfn.XLOOKUP(_xlfn.CONCAT(Buildings_Water_Backend[[#This Row],[Level 1]:[Level 6]]),rng_LevelsConcat,rng_UnitsLong)</f>
        <v>#N/A</v>
      </c>
      <c r="AF375" s="210" t="e">
        <f>_xlfn.XLOOKUP(_xlfn.CONCAT(Buildings_Water_Backend[[#This Row],[Level 1]:[Level 6]]),rng_EFConcat,rng_EF1)*Buildings_Water_Backend[[#This Row],[Converted data]]/1000</f>
        <v>#N/A</v>
      </c>
      <c r="AG375" s="210" t="e">
        <f>_xlfn.XLOOKUP(_xlfn.CONCAT(Buildings_Water_Backend[[#This Row],[Level 1]:[Level 6]]),rng_EFConcat,rng_EF2)*Buildings_Water_Backend[[#This Row],[Converted data]]/1000</f>
        <v>#N/A</v>
      </c>
      <c r="AH375" s="210" t="e">
        <f>_xlfn.XLOOKUP(_xlfn.CONCAT(Buildings_Water_Backend[[#This Row],[Level 1]:[Level 6]]),rng_EFConcat,rng_EF3)*Buildings_Water_Backend[[#This Row],[Converted data]]/1000</f>
        <v>#N/A</v>
      </c>
      <c r="AI375" s="210" t="e">
        <f>_xlfn.XLOOKUP(_xlfn.CONCAT(Buildings_Water_Backend[[#This Row],[Level 1]:[Level 6]]),rng_EFConcat,rng_EF3WTT)*Buildings_Water_Backend[[#This Row],[Converted data]]/1000</f>
        <v>#N/A</v>
      </c>
      <c r="AJ375" s="210" t="e">
        <f>_xlfn.XLOOKUP(_xlfn.CONCAT(Buildings_Water_Backend[[#This Row],[Level 1]:[Level 6]]),rng_EFConcat,rng_EF3TD)*Buildings_Water_Backend[[#This Row],[Converted data]]/1000</f>
        <v>#N/A</v>
      </c>
      <c r="AK375" s="210" t="e">
        <f>_xlfn.XLOOKUP(_xlfn.CONCAT(Buildings_Water_Backend[[#This Row],[Level 1]:[Level 6]]),rng_EFConcat,rng_EF3WTTTD)*Buildings_Water_Backend[[#This Row],[Converted data]]/1000</f>
        <v>#N/A</v>
      </c>
      <c r="AL375" s="220" t="e">
        <f>SUM(Buildings_Water_Backend[[#This Row],[Scope 1 (tCO2e)]:[Scope 3 WTT T&amp;D (tCO2e)]])</f>
        <v>#N/A</v>
      </c>
      <c r="AM375" s="220" t="e">
        <f>Buildings_Water_Backend[[#This Row],[Total (tCO2e)]]*(1-Buildings_Water_Backend[[#This Row],[RSD]])</f>
        <v>#N/A</v>
      </c>
      <c r="AN375" s="220" t="e">
        <f>Buildings_Water_Backend[[#This Row],[Total (tCO2e)]]*(1+Buildings_Water_Backend[[#This Row],[RSD]])</f>
        <v>#N/A</v>
      </c>
      <c r="AO375" s="210" t="e">
        <f>_xlfn.XLOOKUP(_xlfn.CONCAT(Buildings_Water_Backend[[#This Row],[Level 1]:[Level 6]]),rng_EFConcat,rng_EFOOS)*Buildings_Water_Backend[[#This Row],[Converted data]]/1000</f>
        <v>#N/A</v>
      </c>
      <c r="AP375" s="174">
        <f>Buildings_Water_Frontend[[#This Row],[Ease of collection]]</f>
        <v>0</v>
      </c>
      <c r="AQ375" s="174">
        <f>Buildings_Water_Frontend[[#This Row],[Completeness]]</f>
        <v>0</v>
      </c>
      <c r="AR375" s="174">
        <f>Buildings_Water_Frontend[[#This Row],[Notes]]</f>
        <v>0</v>
      </c>
    </row>
    <row r="376" spans="5:44" x14ac:dyDescent="0.3">
      <c r="E376" s="346"/>
      <c r="F376" s="364"/>
      <c r="G376" s="336"/>
      <c r="H376" s="336"/>
      <c r="I376" s="334"/>
      <c r="J376" s="336"/>
      <c r="K376" s="336"/>
      <c r="L376" s="336"/>
      <c r="M376" s="337"/>
      <c r="N376" s="242">
        <f t="shared" si="11"/>
        <v>5</v>
      </c>
      <c r="Q376" s="212" t="str">
        <f t="shared" si="10"/>
        <v/>
      </c>
      <c r="R376" s="174" t="s">
        <v>265</v>
      </c>
      <c r="S376" s="174" t="s">
        <v>273</v>
      </c>
      <c r="T376" s="174" t="e">
        <f>_xlfn.XLOOKUP(Buildings_Water_Backend[[#This Row],[Info 1]],Buildings_SiteInfo[Site name],Buildings_SiteInfo[Site type])</f>
        <v>#N/A</v>
      </c>
      <c r="U376" s="174" t="s">
        <v>327</v>
      </c>
      <c r="V376" s="174">
        <f>Buildings_Water_Frontend[[#This Row],[Type]]</f>
        <v>0</v>
      </c>
      <c r="W376" s="174" t="e" cm="1">
        <f t="array" aca="1" ref="W376" ca="1">_xlfn.XLOOKUP(Buildings_Water_Backend[[#This Row],[Level 5]],rng_Level5Long,rng_Level6Long)</f>
        <v>#N/A</v>
      </c>
      <c r="X376" s="174">
        <f>Buildings_Water_Frontend[[#This Row],[Site Name]]</f>
        <v>0</v>
      </c>
      <c r="Y376" s="174">
        <f>Buildings_Water_Frontend[[#This Row],[Meter Reference]]</f>
        <v>0</v>
      </c>
      <c r="Z376" s="220">
        <f>Buildings_Water_Frontend[[#This Row],[Methodology]]</f>
        <v>0</v>
      </c>
      <c r="AA376" s="229" t="e" cm="1">
        <f t="array" ref="AA376">INDEX(_xlfn.SWITCH(Buildings_Water_Backend[[#This Row],[Methodology]],"Tier 1",rng_RSD1,"Tier 2",rng_RSD2,"Tier 3",rng_RSD3),MATCH(_xlfn.CONCAT(Buildings_Water_Backend[[#This Row],[Level 1]:[Level 6]]),rng_LevelsConcat,0))</f>
        <v>#N/A</v>
      </c>
      <c r="AB376" s="224">
        <f>Buildings_Water_Frontend[[#This Row],[Data]]</f>
        <v>0</v>
      </c>
      <c r="AC376" s="174">
        <f>Buildings_Water_Frontend[[#This Row],[Units]]</f>
        <v>0</v>
      </c>
      <c r="AD376" s="220" t="e">
        <f>IF(Buildings_Water_Backend[[#This Row],[Units]]=Buildings_Water_Backend[[#This Row],[Standard units]],Buildings_Water_Backend[[#This Row],[Data]],Buildings_Water_Backend[[#This Row],[Data]]*_xlfn.XLOOKUP(_xlfn.CONCAT(Buildings_Water_Backend[[#This Row],[Level 1]:[Level 6]]),rng_EFConcat,rng_EFConversion))</f>
        <v>#N/A</v>
      </c>
      <c r="AE376" s="174" t="e" cm="1">
        <f t="array" ref="AE376">_xlfn.XLOOKUP(_xlfn.CONCAT(Buildings_Water_Backend[[#This Row],[Level 1]:[Level 6]]),rng_LevelsConcat,rng_UnitsLong)</f>
        <v>#N/A</v>
      </c>
      <c r="AF376" s="210" t="e">
        <f>_xlfn.XLOOKUP(_xlfn.CONCAT(Buildings_Water_Backend[[#This Row],[Level 1]:[Level 6]]),rng_EFConcat,rng_EF1)*Buildings_Water_Backend[[#This Row],[Converted data]]/1000</f>
        <v>#N/A</v>
      </c>
      <c r="AG376" s="210" t="e">
        <f>_xlfn.XLOOKUP(_xlfn.CONCAT(Buildings_Water_Backend[[#This Row],[Level 1]:[Level 6]]),rng_EFConcat,rng_EF2)*Buildings_Water_Backend[[#This Row],[Converted data]]/1000</f>
        <v>#N/A</v>
      </c>
      <c r="AH376" s="210" t="e">
        <f>_xlfn.XLOOKUP(_xlfn.CONCAT(Buildings_Water_Backend[[#This Row],[Level 1]:[Level 6]]),rng_EFConcat,rng_EF3)*Buildings_Water_Backend[[#This Row],[Converted data]]/1000</f>
        <v>#N/A</v>
      </c>
      <c r="AI376" s="210" t="e">
        <f>_xlfn.XLOOKUP(_xlfn.CONCAT(Buildings_Water_Backend[[#This Row],[Level 1]:[Level 6]]),rng_EFConcat,rng_EF3WTT)*Buildings_Water_Backend[[#This Row],[Converted data]]/1000</f>
        <v>#N/A</v>
      </c>
      <c r="AJ376" s="210" t="e">
        <f>_xlfn.XLOOKUP(_xlfn.CONCAT(Buildings_Water_Backend[[#This Row],[Level 1]:[Level 6]]),rng_EFConcat,rng_EF3TD)*Buildings_Water_Backend[[#This Row],[Converted data]]/1000</f>
        <v>#N/A</v>
      </c>
      <c r="AK376" s="210" t="e">
        <f>_xlfn.XLOOKUP(_xlfn.CONCAT(Buildings_Water_Backend[[#This Row],[Level 1]:[Level 6]]),rng_EFConcat,rng_EF3WTTTD)*Buildings_Water_Backend[[#This Row],[Converted data]]/1000</f>
        <v>#N/A</v>
      </c>
      <c r="AL376" s="220" t="e">
        <f>SUM(Buildings_Water_Backend[[#This Row],[Scope 1 (tCO2e)]:[Scope 3 WTT T&amp;D (tCO2e)]])</f>
        <v>#N/A</v>
      </c>
      <c r="AM376" s="220" t="e">
        <f>Buildings_Water_Backend[[#This Row],[Total (tCO2e)]]*(1-Buildings_Water_Backend[[#This Row],[RSD]])</f>
        <v>#N/A</v>
      </c>
      <c r="AN376" s="220" t="e">
        <f>Buildings_Water_Backend[[#This Row],[Total (tCO2e)]]*(1+Buildings_Water_Backend[[#This Row],[RSD]])</f>
        <v>#N/A</v>
      </c>
      <c r="AO376" s="210" t="e">
        <f>_xlfn.XLOOKUP(_xlfn.CONCAT(Buildings_Water_Backend[[#This Row],[Level 1]:[Level 6]]),rng_EFConcat,rng_EFOOS)*Buildings_Water_Backend[[#This Row],[Converted data]]/1000</f>
        <v>#N/A</v>
      </c>
      <c r="AP376" s="174">
        <f>Buildings_Water_Frontend[[#This Row],[Ease of collection]]</f>
        <v>0</v>
      </c>
      <c r="AQ376" s="174">
        <f>Buildings_Water_Frontend[[#This Row],[Completeness]]</f>
        <v>0</v>
      </c>
      <c r="AR376" s="174">
        <f>Buildings_Water_Frontend[[#This Row],[Notes]]</f>
        <v>0</v>
      </c>
    </row>
    <row r="377" spans="5:44" x14ac:dyDescent="0.3">
      <c r="E377" s="346"/>
      <c r="F377" s="364"/>
      <c r="G377" s="336"/>
      <c r="H377" s="336"/>
      <c r="I377" s="334"/>
      <c r="J377" s="336"/>
      <c r="K377" s="336"/>
      <c r="L377" s="336"/>
      <c r="M377" s="337"/>
      <c r="N377" s="242">
        <f t="shared" si="11"/>
        <v>5</v>
      </c>
      <c r="Q377" s="212" t="str">
        <f t="shared" si="10"/>
        <v/>
      </c>
      <c r="R377" s="174" t="s">
        <v>265</v>
      </c>
      <c r="S377" s="174" t="s">
        <v>273</v>
      </c>
      <c r="T377" s="174" t="e">
        <f>_xlfn.XLOOKUP(Buildings_Water_Backend[[#This Row],[Info 1]],Buildings_SiteInfo[Site name],Buildings_SiteInfo[Site type])</f>
        <v>#N/A</v>
      </c>
      <c r="U377" s="174" t="s">
        <v>327</v>
      </c>
      <c r="V377" s="174">
        <f>Buildings_Water_Frontend[[#This Row],[Type]]</f>
        <v>0</v>
      </c>
      <c r="W377" s="174" t="e" cm="1">
        <f t="array" aca="1" ref="W377" ca="1">_xlfn.XLOOKUP(Buildings_Water_Backend[[#This Row],[Level 5]],rng_Level5Long,rng_Level6Long)</f>
        <v>#N/A</v>
      </c>
      <c r="X377" s="174">
        <f>Buildings_Water_Frontend[[#This Row],[Site Name]]</f>
        <v>0</v>
      </c>
      <c r="Y377" s="174">
        <f>Buildings_Water_Frontend[[#This Row],[Meter Reference]]</f>
        <v>0</v>
      </c>
      <c r="Z377" s="220">
        <f>Buildings_Water_Frontend[[#This Row],[Methodology]]</f>
        <v>0</v>
      </c>
      <c r="AA377" s="229" t="e" cm="1">
        <f t="array" ref="AA377">INDEX(_xlfn.SWITCH(Buildings_Water_Backend[[#This Row],[Methodology]],"Tier 1",rng_RSD1,"Tier 2",rng_RSD2,"Tier 3",rng_RSD3),MATCH(_xlfn.CONCAT(Buildings_Water_Backend[[#This Row],[Level 1]:[Level 6]]),rng_LevelsConcat,0))</f>
        <v>#N/A</v>
      </c>
      <c r="AB377" s="224">
        <f>Buildings_Water_Frontend[[#This Row],[Data]]</f>
        <v>0</v>
      </c>
      <c r="AC377" s="174">
        <f>Buildings_Water_Frontend[[#This Row],[Units]]</f>
        <v>0</v>
      </c>
      <c r="AD377" s="220" t="e">
        <f>IF(Buildings_Water_Backend[[#This Row],[Units]]=Buildings_Water_Backend[[#This Row],[Standard units]],Buildings_Water_Backend[[#This Row],[Data]],Buildings_Water_Backend[[#This Row],[Data]]*_xlfn.XLOOKUP(_xlfn.CONCAT(Buildings_Water_Backend[[#This Row],[Level 1]:[Level 6]]),rng_EFConcat,rng_EFConversion))</f>
        <v>#N/A</v>
      </c>
      <c r="AE377" s="174" t="e" cm="1">
        <f t="array" ref="AE377">_xlfn.XLOOKUP(_xlfn.CONCAT(Buildings_Water_Backend[[#This Row],[Level 1]:[Level 6]]),rng_LevelsConcat,rng_UnitsLong)</f>
        <v>#N/A</v>
      </c>
      <c r="AF377" s="210" t="e">
        <f>_xlfn.XLOOKUP(_xlfn.CONCAT(Buildings_Water_Backend[[#This Row],[Level 1]:[Level 6]]),rng_EFConcat,rng_EF1)*Buildings_Water_Backend[[#This Row],[Converted data]]/1000</f>
        <v>#N/A</v>
      </c>
      <c r="AG377" s="210" t="e">
        <f>_xlfn.XLOOKUP(_xlfn.CONCAT(Buildings_Water_Backend[[#This Row],[Level 1]:[Level 6]]),rng_EFConcat,rng_EF2)*Buildings_Water_Backend[[#This Row],[Converted data]]/1000</f>
        <v>#N/A</v>
      </c>
      <c r="AH377" s="210" t="e">
        <f>_xlfn.XLOOKUP(_xlfn.CONCAT(Buildings_Water_Backend[[#This Row],[Level 1]:[Level 6]]),rng_EFConcat,rng_EF3)*Buildings_Water_Backend[[#This Row],[Converted data]]/1000</f>
        <v>#N/A</v>
      </c>
      <c r="AI377" s="210" t="e">
        <f>_xlfn.XLOOKUP(_xlfn.CONCAT(Buildings_Water_Backend[[#This Row],[Level 1]:[Level 6]]),rng_EFConcat,rng_EF3WTT)*Buildings_Water_Backend[[#This Row],[Converted data]]/1000</f>
        <v>#N/A</v>
      </c>
      <c r="AJ377" s="210" t="e">
        <f>_xlfn.XLOOKUP(_xlfn.CONCAT(Buildings_Water_Backend[[#This Row],[Level 1]:[Level 6]]),rng_EFConcat,rng_EF3TD)*Buildings_Water_Backend[[#This Row],[Converted data]]/1000</f>
        <v>#N/A</v>
      </c>
      <c r="AK377" s="210" t="e">
        <f>_xlfn.XLOOKUP(_xlfn.CONCAT(Buildings_Water_Backend[[#This Row],[Level 1]:[Level 6]]),rng_EFConcat,rng_EF3WTTTD)*Buildings_Water_Backend[[#This Row],[Converted data]]/1000</f>
        <v>#N/A</v>
      </c>
      <c r="AL377" s="220" t="e">
        <f>SUM(Buildings_Water_Backend[[#This Row],[Scope 1 (tCO2e)]:[Scope 3 WTT T&amp;D (tCO2e)]])</f>
        <v>#N/A</v>
      </c>
      <c r="AM377" s="220" t="e">
        <f>Buildings_Water_Backend[[#This Row],[Total (tCO2e)]]*(1-Buildings_Water_Backend[[#This Row],[RSD]])</f>
        <v>#N/A</v>
      </c>
      <c r="AN377" s="220" t="e">
        <f>Buildings_Water_Backend[[#This Row],[Total (tCO2e)]]*(1+Buildings_Water_Backend[[#This Row],[RSD]])</f>
        <v>#N/A</v>
      </c>
      <c r="AO377" s="210" t="e">
        <f>_xlfn.XLOOKUP(_xlfn.CONCAT(Buildings_Water_Backend[[#This Row],[Level 1]:[Level 6]]),rng_EFConcat,rng_EFOOS)*Buildings_Water_Backend[[#This Row],[Converted data]]/1000</f>
        <v>#N/A</v>
      </c>
      <c r="AP377" s="174">
        <f>Buildings_Water_Frontend[[#This Row],[Ease of collection]]</f>
        <v>0</v>
      </c>
      <c r="AQ377" s="174">
        <f>Buildings_Water_Frontend[[#This Row],[Completeness]]</f>
        <v>0</v>
      </c>
      <c r="AR377" s="174">
        <f>Buildings_Water_Frontend[[#This Row],[Notes]]</f>
        <v>0</v>
      </c>
    </row>
    <row r="378" spans="5:44" x14ac:dyDescent="0.3">
      <c r="E378" s="346"/>
      <c r="F378" s="364"/>
      <c r="G378" s="336"/>
      <c r="H378" s="336"/>
      <c r="I378" s="334"/>
      <c r="J378" s="336"/>
      <c r="K378" s="336"/>
      <c r="L378" s="336"/>
      <c r="M378" s="337"/>
      <c r="N378" s="242">
        <f t="shared" si="11"/>
        <v>5</v>
      </c>
      <c r="Q378" s="212" t="str">
        <f t="shared" si="10"/>
        <v/>
      </c>
      <c r="R378" s="174" t="s">
        <v>265</v>
      </c>
      <c r="S378" s="174" t="s">
        <v>273</v>
      </c>
      <c r="T378" s="174" t="e">
        <f>_xlfn.XLOOKUP(Buildings_Water_Backend[[#This Row],[Info 1]],Buildings_SiteInfo[Site name],Buildings_SiteInfo[Site type])</f>
        <v>#N/A</v>
      </c>
      <c r="U378" s="174" t="s">
        <v>327</v>
      </c>
      <c r="V378" s="174">
        <f>Buildings_Water_Frontend[[#This Row],[Type]]</f>
        <v>0</v>
      </c>
      <c r="W378" s="174" t="e" cm="1">
        <f t="array" aca="1" ref="W378" ca="1">_xlfn.XLOOKUP(Buildings_Water_Backend[[#This Row],[Level 5]],rng_Level5Long,rng_Level6Long)</f>
        <v>#N/A</v>
      </c>
      <c r="X378" s="174">
        <f>Buildings_Water_Frontend[[#This Row],[Site Name]]</f>
        <v>0</v>
      </c>
      <c r="Y378" s="174">
        <f>Buildings_Water_Frontend[[#This Row],[Meter Reference]]</f>
        <v>0</v>
      </c>
      <c r="Z378" s="220">
        <f>Buildings_Water_Frontend[[#This Row],[Methodology]]</f>
        <v>0</v>
      </c>
      <c r="AA378" s="229" t="e" cm="1">
        <f t="array" ref="AA378">INDEX(_xlfn.SWITCH(Buildings_Water_Backend[[#This Row],[Methodology]],"Tier 1",rng_RSD1,"Tier 2",rng_RSD2,"Tier 3",rng_RSD3),MATCH(_xlfn.CONCAT(Buildings_Water_Backend[[#This Row],[Level 1]:[Level 6]]),rng_LevelsConcat,0))</f>
        <v>#N/A</v>
      </c>
      <c r="AB378" s="224">
        <f>Buildings_Water_Frontend[[#This Row],[Data]]</f>
        <v>0</v>
      </c>
      <c r="AC378" s="174">
        <f>Buildings_Water_Frontend[[#This Row],[Units]]</f>
        <v>0</v>
      </c>
      <c r="AD378" s="220" t="e">
        <f>IF(Buildings_Water_Backend[[#This Row],[Units]]=Buildings_Water_Backend[[#This Row],[Standard units]],Buildings_Water_Backend[[#This Row],[Data]],Buildings_Water_Backend[[#This Row],[Data]]*_xlfn.XLOOKUP(_xlfn.CONCAT(Buildings_Water_Backend[[#This Row],[Level 1]:[Level 6]]),rng_EFConcat,rng_EFConversion))</f>
        <v>#N/A</v>
      </c>
      <c r="AE378" s="174" t="e" cm="1">
        <f t="array" ref="AE378">_xlfn.XLOOKUP(_xlfn.CONCAT(Buildings_Water_Backend[[#This Row],[Level 1]:[Level 6]]),rng_LevelsConcat,rng_UnitsLong)</f>
        <v>#N/A</v>
      </c>
      <c r="AF378" s="210" t="e">
        <f>_xlfn.XLOOKUP(_xlfn.CONCAT(Buildings_Water_Backend[[#This Row],[Level 1]:[Level 6]]),rng_EFConcat,rng_EF1)*Buildings_Water_Backend[[#This Row],[Converted data]]/1000</f>
        <v>#N/A</v>
      </c>
      <c r="AG378" s="210" t="e">
        <f>_xlfn.XLOOKUP(_xlfn.CONCAT(Buildings_Water_Backend[[#This Row],[Level 1]:[Level 6]]),rng_EFConcat,rng_EF2)*Buildings_Water_Backend[[#This Row],[Converted data]]/1000</f>
        <v>#N/A</v>
      </c>
      <c r="AH378" s="210" t="e">
        <f>_xlfn.XLOOKUP(_xlfn.CONCAT(Buildings_Water_Backend[[#This Row],[Level 1]:[Level 6]]),rng_EFConcat,rng_EF3)*Buildings_Water_Backend[[#This Row],[Converted data]]/1000</f>
        <v>#N/A</v>
      </c>
      <c r="AI378" s="210" t="e">
        <f>_xlfn.XLOOKUP(_xlfn.CONCAT(Buildings_Water_Backend[[#This Row],[Level 1]:[Level 6]]),rng_EFConcat,rng_EF3WTT)*Buildings_Water_Backend[[#This Row],[Converted data]]/1000</f>
        <v>#N/A</v>
      </c>
      <c r="AJ378" s="210" t="e">
        <f>_xlfn.XLOOKUP(_xlfn.CONCAT(Buildings_Water_Backend[[#This Row],[Level 1]:[Level 6]]),rng_EFConcat,rng_EF3TD)*Buildings_Water_Backend[[#This Row],[Converted data]]/1000</f>
        <v>#N/A</v>
      </c>
      <c r="AK378" s="210" t="e">
        <f>_xlfn.XLOOKUP(_xlfn.CONCAT(Buildings_Water_Backend[[#This Row],[Level 1]:[Level 6]]),rng_EFConcat,rng_EF3WTTTD)*Buildings_Water_Backend[[#This Row],[Converted data]]/1000</f>
        <v>#N/A</v>
      </c>
      <c r="AL378" s="220" t="e">
        <f>SUM(Buildings_Water_Backend[[#This Row],[Scope 1 (tCO2e)]:[Scope 3 WTT T&amp;D (tCO2e)]])</f>
        <v>#N/A</v>
      </c>
      <c r="AM378" s="220" t="e">
        <f>Buildings_Water_Backend[[#This Row],[Total (tCO2e)]]*(1-Buildings_Water_Backend[[#This Row],[RSD]])</f>
        <v>#N/A</v>
      </c>
      <c r="AN378" s="220" t="e">
        <f>Buildings_Water_Backend[[#This Row],[Total (tCO2e)]]*(1+Buildings_Water_Backend[[#This Row],[RSD]])</f>
        <v>#N/A</v>
      </c>
      <c r="AO378" s="210" t="e">
        <f>_xlfn.XLOOKUP(_xlfn.CONCAT(Buildings_Water_Backend[[#This Row],[Level 1]:[Level 6]]),rng_EFConcat,rng_EFOOS)*Buildings_Water_Backend[[#This Row],[Converted data]]/1000</f>
        <v>#N/A</v>
      </c>
      <c r="AP378" s="174">
        <f>Buildings_Water_Frontend[[#This Row],[Ease of collection]]</f>
        <v>0</v>
      </c>
      <c r="AQ378" s="174">
        <f>Buildings_Water_Frontend[[#This Row],[Completeness]]</f>
        <v>0</v>
      </c>
      <c r="AR378" s="174">
        <f>Buildings_Water_Frontend[[#This Row],[Notes]]</f>
        <v>0</v>
      </c>
    </row>
    <row r="379" spans="5:44" x14ac:dyDescent="0.3">
      <c r="E379" s="346"/>
      <c r="F379" s="364"/>
      <c r="G379" s="336"/>
      <c r="H379" s="336"/>
      <c r="I379" s="334"/>
      <c r="J379" s="336"/>
      <c r="K379" s="336"/>
      <c r="L379" s="336"/>
      <c r="M379" s="337"/>
      <c r="N379" s="242">
        <f t="shared" si="11"/>
        <v>5</v>
      </c>
      <c r="Q379" s="212" t="str">
        <f t="shared" si="10"/>
        <v/>
      </c>
      <c r="R379" s="174" t="s">
        <v>265</v>
      </c>
      <c r="S379" s="174" t="s">
        <v>273</v>
      </c>
      <c r="T379" s="174" t="e">
        <f>_xlfn.XLOOKUP(Buildings_Water_Backend[[#This Row],[Info 1]],Buildings_SiteInfo[Site name],Buildings_SiteInfo[Site type])</f>
        <v>#N/A</v>
      </c>
      <c r="U379" s="174" t="s">
        <v>327</v>
      </c>
      <c r="V379" s="174">
        <f>Buildings_Water_Frontend[[#This Row],[Type]]</f>
        <v>0</v>
      </c>
      <c r="W379" s="174" t="e" cm="1">
        <f t="array" aca="1" ref="W379" ca="1">_xlfn.XLOOKUP(Buildings_Water_Backend[[#This Row],[Level 5]],rng_Level5Long,rng_Level6Long)</f>
        <v>#N/A</v>
      </c>
      <c r="X379" s="174">
        <f>Buildings_Water_Frontend[[#This Row],[Site Name]]</f>
        <v>0</v>
      </c>
      <c r="Y379" s="174">
        <f>Buildings_Water_Frontend[[#This Row],[Meter Reference]]</f>
        <v>0</v>
      </c>
      <c r="Z379" s="220">
        <f>Buildings_Water_Frontend[[#This Row],[Methodology]]</f>
        <v>0</v>
      </c>
      <c r="AA379" s="229" t="e" cm="1">
        <f t="array" ref="AA379">INDEX(_xlfn.SWITCH(Buildings_Water_Backend[[#This Row],[Methodology]],"Tier 1",rng_RSD1,"Tier 2",rng_RSD2,"Tier 3",rng_RSD3),MATCH(_xlfn.CONCAT(Buildings_Water_Backend[[#This Row],[Level 1]:[Level 6]]),rng_LevelsConcat,0))</f>
        <v>#N/A</v>
      </c>
      <c r="AB379" s="224">
        <f>Buildings_Water_Frontend[[#This Row],[Data]]</f>
        <v>0</v>
      </c>
      <c r="AC379" s="174">
        <f>Buildings_Water_Frontend[[#This Row],[Units]]</f>
        <v>0</v>
      </c>
      <c r="AD379" s="220" t="e">
        <f>IF(Buildings_Water_Backend[[#This Row],[Units]]=Buildings_Water_Backend[[#This Row],[Standard units]],Buildings_Water_Backend[[#This Row],[Data]],Buildings_Water_Backend[[#This Row],[Data]]*_xlfn.XLOOKUP(_xlfn.CONCAT(Buildings_Water_Backend[[#This Row],[Level 1]:[Level 6]]),rng_EFConcat,rng_EFConversion))</f>
        <v>#N/A</v>
      </c>
      <c r="AE379" s="174" t="e" cm="1">
        <f t="array" ref="AE379">_xlfn.XLOOKUP(_xlfn.CONCAT(Buildings_Water_Backend[[#This Row],[Level 1]:[Level 6]]),rng_LevelsConcat,rng_UnitsLong)</f>
        <v>#N/A</v>
      </c>
      <c r="AF379" s="210" t="e">
        <f>_xlfn.XLOOKUP(_xlfn.CONCAT(Buildings_Water_Backend[[#This Row],[Level 1]:[Level 6]]),rng_EFConcat,rng_EF1)*Buildings_Water_Backend[[#This Row],[Converted data]]/1000</f>
        <v>#N/A</v>
      </c>
      <c r="AG379" s="210" t="e">
        <f>_xlfn.XLOOKUP(_xlfn.CONCAT(Buildings_Water_Backend[[#This Row],[Level 1]:[Level 6]]),rng_EFConcat,rng_EF2)*Buildings_Water_Backend[[#This Row],[Converted data]]/1000</f>
        <v>#N/A</v>
      </c>
      <c r="AH379" s="210" t="e">
        <f>_xlfn.XLOOKUP(_xlfn.CONCAT(Buildings_Water_Backend[[#This Row],[Level 1]:[Level 6]]),rng_EFConcat,rng_EF3)*Buildings_Water_Backend[[#This Row],[Converted data]]/1000</f>
        <v>#N/A</v>
      </c>
      <c r="AI379" s="210" t="e">
        <f>_xlfn.XLOOKUP(_xlfn.CONCAT(Buildings_Water_Backend[[#This Row],[Level 1]:[Level 6]]),rng_EFConcat,rng_EF3WTT)*Buildings_Water_Backend[[#This Row],[Converted data]]/1000</f>
        <v>#N/A</v>
      </c>
      <c r="AJ379" s="210" t="e">
        <f>_xlfn.XLOOKUP(_xlfn.CONCAT(Buildings_Water_Backend[[#This Row],[Level 1]:[Level 6]]),rng_EFConcat,rng_EF3TD)*Buildings_Water_Backend[[#This Row],[Converted data]]/1000</f>
        <v>#N/A</v>
      </c>
      <c r="AK379" s="210" t="e">
        <f>_xlfn.XLOOKUP(_xlfn.CONCAT(Buildings_Water_Backend[[#This Row],[Level 1]:[Level 6]]),rng_EFConcat,rng_EF3WTTTD)*Buildings_Water_Backend[[#This Row],[Converted data]]/1000</f>
        <v>#N/A</v>
      </c>
      <c r="AL379" s="220" t="e">
        <f>SUM(Buildings_Water_Backend[[#This Row],[Scope 1 (tCO2e)]:[Scope 3 WTT T&amp;D (tCO2e)]])</f>
        <v>#N/A</v>
      </c>
      <c r="AM379" s="220" t="e">
        <f>Buildings_Water_Backend[[#This Row],[Total (tCO2e)]]*(1-Buildings_Water_Backend[[#This Row],[RSD]])</f>
        <v>#N/A</v>
      </c>
      <c r="AN379" s="220" t="e">
        <f>Buildings_Water_Backend[[#This Row],[Total (tCO2e)]]*(1+Buildings_Water_Backend[[#This Row],[RSD]])</f>
        <v>#N/A</v>
      </c>
      <c r="AO379" s="210" t="e">
        <f>_xlfn.XLOOKUP(_xlfn.CONCAT(Buildings_Water_Backend[[#This Row],[Level 1]:[Level 6]]),rng_EFConcat,rng_EFOOS)*Buildings_Water_Backend[[#This Row],[Converted data]]/1000</f>
        <v>#N/A</v>
      </c>
      <c r="AP379" s="174">
        <f>Buildings_Water_Frontend[[#This Row],[Ease of collection]]</f>
        <v>0</v>
      </c>
      <c r="AQ379" s="174">
        <f>Buildings_Water_Frontend[[#This Row],[Completeness]]</f>
        <v>0</v>
      </c>
      <c r="AR379" s="174">
        <f>Buildings_Water_Frontend[[#This Row],[Notes]]</f>
        <v>0</v>
      </c>
    </row>
    <row r="380" spans="5:44" x14ac:dyDescent="0.3">
      <c r="E380" s="346"/>
      <c r="F380" s="364"/>
      <c r="G380" s="336"/>
      <c r="H380" s="336"/>
      <c r="I380" s="334"/>
      <c r="J380" s="336"/>
      <c r="K380" s="336"/>
      <c r="L380" s="336"/>
      <c r="M380" s="337"/>
      <c r="N380" s="242">
        <f t="shared" si="11"/>
        <v>5</v>
      </c>
      <c r="Q380" s="212" t="str">
        <f t="shared" si="10"/>
        <v/>
      </c>
      <c r="R380" s="174" t="s">
        <v>265</v>
      </c>
      <c r="S380" s="174" t="s">
        <v>273</v>
      </c>
      <c r="T380" s="174" t="e">
        <f>_xlfn.XLOOKUP(Buildings_Water_Backend[[#This Row],[Info 1]],Buildings_SiteInfo[Site name],Buildings_SiteInfo[Site type])</f>
        <v>#N/A</v>
      </c>
      <c r="U380" s="174" t="s">
        <v>327</v>
      </c>
      <c r="V380" s="174">
        <f>Buildings_Water_Frontend[[#This Row],[Type]]</f>
        <v>0</v>
      </c>
      <c r="W380" s="174" t="e" cm="1">
        <f t="array" aca="1" ref="W380" ca="1">_xlfn.XLOOKUP(Buildings_Water_Backend[[#This Row],[Level 5]],rng_Level5Long,rng_Level6Long)</f>
        <v>#N/A</v>
      </c>
      <c r="X380" s="174">
        <f>Buildings_Water_Frontend[[#This Row],[Site Name]]</f>
        <v>0</v>
      </c>
      <c r="Y380" s="174">
        <f>Buildings_Water_Frontend[[#This Row],[Meter Reference]]</f>
        <v>0</v>
      </c>
      <c r="Z380" s="220">
        <f>Buildings_Water_Frontend[[#This Row],[Methodology]]</f>
        <v>0</v>
      </c>
      <c r="AA380" s="229" t="e" cm="1">
        <f t="array" ref="AA380">INDEX(_xlfn.SWITCH(Buildings_Water_Backend[[#This Row],[Methodology]],"Tier 1",rng_RSD1,"Tier 2",rng_RSD2,"Tier 3",rng_RSD3),MATCH(_xlfn.CONCAT(Buildings_Water_Backend[[#This Row],[Level 1]:[Level 6]]),rng_LevelsConcat,0))</f>
        <v>#N/A</v>
      </c>
      <c r="AB380" s="224">
        <f>Buildings_Water_Frontend[[#This Row],[Data]]</f>
        <v>0</v>
      </c>
      <c r="AC380" s="174">
        <f>Buildings_Water_Frontend[[#This Row],[Units]]</f>
        <v>0</v>
      </c>
      <c r="AD380" s="220" t="e">
        <f>IF(Buildings_Water_Backend[[#This Row],[Units]]=Buildings_Water_Backend[[#This Row],[Standard units]],Buildings_Water_Backend[[#This Row],[Data]],Buildings_Water_Backend[[#This Row],[Data]]*_xlfn.XLOOKUP(_xlfn.CONCAT(Buildings_Water_Backend[[#This Row],[Level 1]:[Level 6]]),rng_EFConcat,rng_EFConversion))</f>
        <v>#N/A</v>
      </c>
      <c r="AE380" s="174" t="e" cm="1">
        <f t="array" ref="AE380">_xlfn.XLOOKUP(_xlfn.CONCAT(Buildings_Water_Backend[[#This Row],[Level 1]:[Level 6]]),rng_LevelsConcat,rng_UnitsLong)</f>
        <v>#N/A</v>
      </c>
      <c r="AF380" s="210" t="e">
        <f>_xlfn.XLOOKUP(_xlfn.CONCAT(Buildings_Water_Backend[[#This Row],[Level 1]:[Level 6]]),rng_EFConcat,rng_EF1)*Buildings_Water_Backend[[#This Row],[Converted data]]/1000</f>
        <v>#N/A</v>
      </c>
      <c r="AG380" s="210" t="e">
        <f>_xlfn.XLOOKUP(_xlfn.CONCAT(Buildings_Water_Backend[[#This Row],[Level 1]:[Level 6]]),rng_EFConcat,rng_EF2)*Buildings_Water_Backend[[#This Row],[Converted data]]/1000</f>
        <v>#N/A</v>
      </c>
      <c r="AH380" s="210" t="e">
        <f>_xlfn.XLOOKUP(_xlfn.CONCAT(Buildings_Water_Backend[[#This Row],[Level 1]:[Level 6]]),rng_EFConcat,rng_EF3)*Buildings_Water_Backend[[#This Row],[Converted data]]/1000</f>
        <v>#N/A</v>
      </c>
      <c r="AI380" s="210" t="e">
        <f>_xlfn.XLOOKUP(_xlfn.CONCAT(Buildings_Water_Backend[[#This Row],[Level 1]:[Level 6]]),rng_EFConcat,rng_EF3WTT)*Buildings_Water_Backend[[#This Row],[Converted data]]/1000</f>
        <v>#N/A</v>
      </c>
      <c r="AJ380" s="210" t="e">
        <f>_xlfn.XLOOKUP(_xlfn.CONCAT(Buildings_Water_Backend[[#This Row],[Level 1]:[Level 6]]),rng_EFConcat,rng_EF3TD)*Buildings_Water_Backend[[#This Row],[Converted data]]/1000</f>
        <v>#N/A</v>
      </c>
      <c r="AK380" s="210" t="e">
        <f>_xlfn.XLOOKUP(_xlfn.CONCAT(Buildings_Water_Backend[[#This Row],[Level 1]:[Level 6]]),rng_EFConcat,rng_EF3WTTTD)*Buildings_Water_Backend[[#This Row],[Converted data]]/1000</f>
        <v>#N/A</v>
      </c>
      <c r="AL380" s="220" t="e">
        <f>SUM(Buildings_Water_Backend[[#This Row],[Scope 1 (tCO2e)]:[Scope 3 WTT T&amp;D (tCO2e)]])</f>
        <v>#N/A</v>
      </c>
      <c r="AM380" s="220" t="e">
        <f>Buildings_Water_Backend[[#This Row],[Total (tCO2e)]]*(1-Buildings_Water_Backend[[#This Row],[RSD]])</f>
        <v>#N/A</v>
      </c>
      <c r="AN380" s="220" t="e">
        <f>Buildings_Water_Backend[[#This Row],[Total (tCO2e)]]*(1+Buildings_Water_Backend[[#This Row],[RSD]])</f>
        <v>#N/A</v>
      </c>
      <c r="AO380" s="210" t="e">
        <f>_xlfn.XLOOKUP(_xlfn.CONCAT(Buildings_Water_Backend[[#This Row],[Level 1]:[Level 6]]),rng_EFConcat,rng_EFOOS)*Buildings_Water_Backend[[#This Row],[Converted data]]/1000</f>
        <v>#N/A</v>
      </c>
      <c r="AP380" s="174">
        <f>Buildings_Water_Frontend[[#This Row],[Ease of collection]]</f>
        <v>0</v>
      </c>
      <c r="AQ380" s="174">
        <f>Buildings_Water_Frontend[[#This Row],[Completeness]]</f>
        <v>0</v>
      </c>
      <c r="AR380" s="174">
        <f>Buildings_Water_Frontend[[#This Row],[Notes]]</f>
        <v>0</v>
      </c>
    </row>
    <row r="381" spans="5:44" x14ac:dyDescent="0.3">
      <c r="E381" s="346"/>
      <c r="F381" s="364"/>
      <c r="G381" s="336"/>
      <c r="H381" s="336"/>
      <c r="I381" s="334"/>
      <c r="J381" s="336"/>
      <c r="K381" s="336"/>
      <c r="L381" s="336"/>
      <c r="M381" s="337"/>
      <c r="N381" s="242">
        <f t="shared" si="11"/>
        <v>5</v>
      </c>
      <c r="Q381" s="212" t="str">
        <f t="shared" si="10"/>
        <v/>
      </c>
      <c r="R381" s="174" t="s">
        <v>265</v>
      </c>
      <c r="S381" s="174" t="s">
        <v>273</v>
      </c>
      <c r="T381" s="174" t="e">
        <f>_xlfn.XLOOKUP(Buildings_Water_Backend[[#This Row],[Info 1]],Buildings_SiteInfo[Site name],Buildings_SiteInfo[Site type])</f>
        <v>#N/A</v>
      </c>
      <c r="U381" s="174" t="s">
        <v>327</v>
      </c>
      <c r="V381" s="174">
        <f>Buildings_Water_Frontend[[#This Row],[Type]]</f>
        <v>0</v>
      </c>
      <c r="W381" s="174" t="e" cm="1">
        <f t="array" aca="1" ref="W381" ca="1">_xlfn.XLOOKUP(Buildings_Water_Backend[[#This Row],[Level 5]],rng_Level5Long,rng_Level6Long)</f>
        <v>#N/A</v>
      </c>
      <c r="X381" s="174">
        <f>Buildings_Water_Frontend[[#This Row],[Site Name]]</f>
        <v>0</v>
      </c>
      <c r="Y381" s="174">
        <f>Buildings_Water_Frontend[[#This Row],[Meter Reference]]</f>
        <v>0</v>
      </c>
      <c r="Z381" s="220">
        <f>Buildings_Water_Frontend[[#This Row],[Methodology]]</f>
        <v>0</v>
      </c>
      <c r="AA381" s="229" t="e" cm="1">
        <f t="array" ref="AA381">INDEX(_xlfn.SWITCH(Buildings_Water_Backend[[#This Row],[Methodology]],"Tier 1",rng_RSD1,"Tier 2",rng_RSD2,"Tier 3",rng_RSD3),MATCH(_xlfn.CONCAT(Buildings_Water_Backend[[#This Row],[Level 1]:[Level 6]]),rng_LevelsConcat,0))</f>
        <v>#N/A</v>
      </c>
      <c r="AB381" s="224">
        <f>Buildings_Water_Frontend[[#This Row],[Data]]</f>
        <v>0</v>
      </c>
      <c r="AC381" s="174">
        <f>Buildings_Water_Frontend[[#This Row],[Units]]</f>
        <v>0</v>
      </c>
      <c r="AD381" s="220" t="e">
        <f>IF(Buildings_Water_Backend[[#This Row],[Units]]=Buildings_Water_Backend[[#This Row],[Standard units]],Buildings_Water_Backend[[#This Row],[Data]],Buildings_Water_Backend[[#This Row],[Data]]*_xlfn.XLOOKUP(_xlfn.CONCAT(Buildings_Water_Backend[[#This Row],[Level 1]:[Level 6]]),rng_EFConcat,rng_EFConversion))</f>
        <v>#N/A</v>
      </c>
      <c r="AE381" s="174" t="e" cm="1">
        <f t="array" ref="AE381">_xlfn.XLOOKUP(_xlfn.CONCAT(Buildings_Water_Backend[[#This Row],[Level 1]:[Level 6]]),rng_LevelsConcat,rng_UnitsLong)</f>
        <v>#N/A</v>
      </c>
      <c r="AF381" s="210" t="e">
        <f>_xlfn.XLOOKUP(_xlfn.CONCAT(Buildings_Water_Backend[[#This Row],[Level 1]:[Level 6]]),rng_EFConcat,rng_EF1)*Buildings_Water_Backend[[#This Row],[Converted data]]/1000</f>
        <v>#N/A</v>
      </c>
      <c r="AG381" s="210" t="e">
        <f>_xlfn.XLOOKUP(_xlfn.CONCAT(Buildings_Water_Backend[[#This Row],[Level 1]:[Level 6]]),rng_EFConcat,rng_EF2)*Buildings_Water_Backend[[#This Row],[Converted data]]/1000</f>
        <v>#N/A</v>
      </c>
      <c r="AH381" s="210" t="e">
        <f>_xlfn.XLOOKUP(_xlfn.CONCAT(Buildings_Water_Backend[[#This Row],[Level 1]:[Level 6]]),rng_EFConcat,rng_EF3)*Buildings_Water_Backend[[#This Row],[Converted data]]/1000</f>
        <v>#N/A</v>
      </c>
      <c r="AI381" s="210" t="e">
        <f>_xlfn.XLOOKUP(_xlfn.CONCAT(Buildings_Water_Backend[[#This Row],[Level 1]:[Level 6]]),rng_EFConcat,rng_EF3WTT)*Buildings_Water_Backend[[#This Row],[Converted data]]/1000</f>
        <v>#N/A</v>
      </c>
      <c r="AJ381" s="210" t="e">
        <f>_xlfn.XLOOKUP(_xlfn.CONCAT(Buildings_Water_Backend[[#This Row],[Level 1]:[Level 6]]),rng_EFConcat,rng_EF3TD)*Buildings_Water_Backend[[#This Row],[Converted data]]/1000</f>
        <v>#N/A</v>
      </c>
      <c r="AK381" s="210" t="e">
        <f>_xlfn.XLOOKUP(_xlfn.CONCAT(Buildings_Water_Backend[[#This Row],[Level 1]:[Level 6]]),rng_EFConcat,rng_EF3WTTTD)*Buildings_Water_Backend[[#This Row],[Converted data]]/1000</f>
        <v>#N/A</v>
      </c>
      <c r="AL381" s="220" t="e">
        <f>SUM(Buildings_Water_Backend[[#This Row],[Scope 1 (tCO2e)]:[Scope 3 WTT T&amp;D (tCO2e)]])</f>
        <v>#N/A</v>
      </c>
      <c r="AM381" s="220" t="e">
        <f>Buildings_Water_Backend[[#This Row],[Total (tCO2e)]]*(1-Buildings_Water_Backend[[#This Row],[RSD]])</f>
        <v>#N/A</v>
      </c>
      <c r="AN381" s="220" t="e">
        <f>Buildings_Water_Backend[[#This Row],[Total (tCO2e)]]*(1+Buildings_Water_Backend[[#This Row],[RSD]])</f>
        <v>#N/A</v>
      </c>
      <c r="AO381" s="210" t="e">
        <f>_xlfn.XLOOKUP(_xlfn.CONCAT(Buildings_Water_Backend[[#This Row],[Level 1]:[Level 6]]),rng_EFConcat,rng_EFOOS)*Buildings_Water_Backend[[#This Row],[Converted data]]/1000</f>
        <v>#N/A</v>
      </c>
      <c r="AP381" s="174">
        <f>Buildings_Water_Frontend[[#This Row],[Ease of collection]]</f>
        <v>0</v>
      </c>
      <c r="AQ381" s="174">
        <f>Buildings_Water_Frontend[[#This Row],[Completeness]]</f>
        <v>0</v>
      </c>
      <c r="AR381" s="174">
        <f>Buildings_Water_Frontend[[#This Row],[Notes]]</f>
        <v>0</v>
      </c>
    </row>
    <row r="382" spans="5:44" x14ac:dyDescent="0.3">
      <c r="E382" s="346"/>
      <c r="F382" s="364"/>
      <c r="G382" s="336"/>
      <c r="H382" s="336"/>
      <c r="I382" s="334"/>
      <c r="J382" s="336"/>
      <c r="K382" s="336"/>
      <c r="L382" s="336"/>
      <c r="M382" s="337"/>
      <c r="N382" s="242">
        <f t="shared" si="11"/>
        <v>5</v>
      </c>
      <c r="Q382" s="212" t="str">
        <f t="shared" si="10"/>
        <v/>
      </c>
      <c r="R382" s="174" t="s">
        <v>265</v>
      </c>
      <c r="S382" s="174" t="s">
        <v>273</v>
      </c>
      <c r="T382" s="174" t="e">
        <f>_xlfn.XLOOKUP(Buildings_Water_Backend[[#This Row],[Info 1]],Buildings_SiteInfo[Site name],Buildings_SiteInfo[Site type])</f>
        <v>#N/A</v>
      </c>
      <c r="U382" s="174" t="s">
        <v>327</v>
      </c>
      <c r="V382" s="174">
        <f>Buildings_Water_Frontend[[#This Row],[Type]]</f>
        <v>0</v>
      </c>
      <c r="W382" s="174" t="e" cm="1">
        <f t="array" aca="1" ref="W382" ca="1">_xlfn.XLOOKUP(Buildings_Water_Backend[[#This Row],[Level 5]],rng_Level5Long,rng_Level6Long)</f>
        <v>#N/A</v>
      </c>
      <c r="X382" s="174">
        <f>Buildings_Water_Frontend[[#This Row],[Site Name]]</f>
        <v>0</v>
      </c>
      <c r="Y382" s="174">
        <f>Buildings_Water_Frontend[[#This Row],[Meter Reference]]</f>
        <v>0</v>
      </c>
      <c r="Z382" s="220">
        <f>Buildings_Water_Frontend[[#This Row],[Methodology]]</f>
        <v>0</v>
      </c>
      <c r="AA382" s="229" t="e" cm="1">
        <f t="array" ref="AA382">INDEX(_xlfn.SWITCH(Buildings_Water_Backend[[#This Row],[Methodology]],"Tier 1",rng_RSD1,"Tier 2",rng_RSD2,"Tier 3",rng_RSD3),MATCH(_xlfn.CONCAT(Buildings_Water_Backend[[#This Row],[Level 1]:[Level 6]]),rng_LevelsConcat,0))</f>
        <v>#N/A</v>
      </c>
      <c r="AB382" s="224">
        <f>Buildings_Water_Frontend[[#This Row],[Data]]</f>
        <v>0</v>
      </c>
      <c r="AC382" s="174">
        <f>Buildings_Water_Frontend[[#This Row],[Units]]</f>
        <v>0</v>
      </c>
      <c r="AD382" s="220" t="e">
        <f>IF(Buildings_Water_Backend[[#This Row],[Units]]=Buildings_Water_Backend[[#This Row],[Standard units]],Buildings_Water_Backend[[#This Row],[Data]],Buildings_Water_Backend[[#This Row],[Data]]*_xlfn.XLOOKUP(_xlfn.CONCAT(Buildings_Water_Backend[[#This Row],[Level 1]:[Level 6]]),rng_EFConcat,rng_EFConversion))</f>
        <v>#N/A</v>
      </c>
      <c r="AE382" s="174" t="e" cm="1">
        <f t="array" ref="AE382">_xlfn.XLOOKUP(_xlfn.CONCAT(Buildings_Water_Backend[[#This Row],[Level 1]:[Level 6]]),rng_LevelsConcat,rng_UnitsLong)</f>
        <v>#N/A</v>
      </c>
      <c r="AF382" s="210" t="e">
        <f>_xlfn.XLOOKUP(_xlfn.CONCAT(Buildings_Water_Backend[[#This Row],[Level 1]:[Level 6]]),rng_EFConcat,rng_EF1)*Buildings_Water_Backend[[#This Row],[Converted data]]/1000</f>
        <v>#N/A</v>
      </c>
      <c r="AG382" s="210" t="e">
        <f>_xlfn.XLOOKUP(_xlfn.CONCAT(Buildings_Water_Backend[[#This Row],[Level 1]:[Level 6]]),rng_EFConcat,rng_EF2)*Buildings_Water_Backend[[#This Row],[Converted data]]/1000</f>
        <v>#N/A</v>
      </c>
      <c r="AH382" s="210" t="e">
        <f>_xlfn.XLOOKUP(_xlfn.CONCAT(Buildings_Water_Backend[[#This Row],[Level 1]:[Level 6]]),rng_EFConcat,rng_EF3)*Buildings_Water_Backend[[#This Row],[Converted data]]/1000</f>
        <v>#N/A</v>
      </c>
      <c r="AI382" s="210" t="e">
        <f>_xlfn.XLOOKUP(_xlfn.CONCAT(Buildings_Water_Backend[[#This Row],[Level 1]:[Level 6]]),rng_EFConcat,rng_EF3WTT)*Buildings_Water_Backend[[#This Row],[Converted data]]/1000</f>
        <v>#N/A</v>
      </c>
      <c r="AJ382" s="210" t="e">
        <f>_xlfn.XLOOKUP(_xlfn.CONCAT(Buildings_Water_Backend[[#This Row],[Level 1]:[Level 6]]),rng_EFConcat,rng_EF3TD)*Buildings_Water_Backend[[#This Row],[Converted data]]/1000</f>
        <v>#N/A</v>
      </c>
      <c r="AK382" s="210" t="e">
        <f>_xlfn.XLOOKUP(_xlfn.CONCAT(Buildings_Water_Backend[[#This Row],[Level 1]:[Level 6]]),rng_EFConcat,rng_EF3WTTTD)*Buildings_Water_Backend[[#This Row],[Converted data]]/1000</f>
        <v>#N/A</v>
      </c>
      <c r="AL382" s="220" t="e">
        <f>SUM(Buildings_Water_Backend[[#This Row],[Scope 1 (tCO2e)]:[Scope 3 WTT T&amp;D (tCO2e)]])</f>
        <v>#N/A</v>
      </c>
      <c r="AM382" s="220" t="e">
        <f>Buildings_Water_Backend[[#This Row],[Total (tCO2e)]]*(1-Buildings_Water_Backend[[#This Row],[RSD]])</f>
        <v>#N/A</v>
      </c>
      <c r="AN382" s="220" t="e">
        <f>Buildings_Water_Backend[[#This Row],[Total (tCO2e)]]*(1+Buildings_Water_Backend[[#This Row],[RSD]])</f>
        <v>#N/A</v>
      </c>
      <c r="AO382" s="210" t="e">
        <f>_xlfn.XLOOKUP(_xlfn.CONCAT(Buildings_Water_Backend[[#This Row],[Level 1]:[Level 6]]),rng_EFConcat,rng_EFOOS)*Buildings_Water_Backend[[#This Row],[Converted data]]/1000</f>
        <v>#N/A</v>
      </c>
      <c r="AP382" s="174">
        <f>Buildings_Water_Frontend[[#This Row],[Ease of collection]]</f>
        <v>0</v>
      </c>
      <c r="AQ382" s="174">
        <f>Buildings_Water_Frontend[[#This Row],[Completeness]]</f>
        <v>0</v>
      </c>
      <c r="AR382" s="174">
        <f>Buildings_Water_Frontend[[#This Row],[Notes]]</f>
        <v>0</v>
      </c>
    </row>
    <row r="383" spans="5:44" x14ac:dyDescent="0.3">
      <c r="E383" s="346"/>
      <c r="F383" s="364"/>
      <c r="G383" s="336"/>
      <c r="H383" s="336"/>
      <c r="I383" s="334"/>
      <c r="J383" s="336"/>
      <c r="K383" s="336"/>
      <c r="L383" s="336"/>
      <c r="M383" s="337"/>
      <c r="N383" s="242">
        <f t="shared" si="11"/>
        <v>5</v>
      </c>
      <c r="Q383" s="212" t="str">
        <f t="shared" si="10"/>
        <v/>
      </c>
      <c r="R383" s="174" t="s">
        <v>265</v>
      </c>
      <c r="S383" s="174" t="s">
        <v>273</v>
      </c>
      <c r="T383" s="174" t="e">
        <f>_xlfn.XLOOKUP(Buildings_Water_Backend[[#This Row],[Info 1]],Buildings_SiteInfo[Site name],Buildings_SiteInfo[Site type])</f>
        <v>#N/A</v>
      </c>
      <c r="U383" s="174" t="s">
        <v>327</v>
      </c>
      <c r="V383" s="174">
        <f>Buildings_Water_Frontend[[#This Row],[Type]]</f>
        <v>0</v>
      </c>
      <c r="W383" s="174" t="e" cm="1">
        <f t="array" aca="1" ref="W383" ca="1">_xlfn.XLOOKUP(Buildings_Water_Backend[[#This Row],[Level 5]],rng_Level5Long,rng_Level6Long)</f>
        <v>#N/A</v>
      </c>
      <c r="X383" s="174">
        <f>Buildings_Water_Frontend[[#This Row],[Site Name]]</f>
        <v>0</v>
      </c>
      <c r="Y383" s="174">
        <f>Buildings_Water_Frontend[[#This Row],[Meter Reference]]</f>
        <v>0</v>
      </c>
      <c r="Z383" s="220">
        <f>Buildings_Water_Frontend[[#This Row],[Methodology]]</f>
        <v>0</v>
      </c>
      <c r="AA383" s="229" t="e" cm="1">
        <f t="array" ref="AA383">INDEX(_xlfn.SWITCH(Buildings_Water_Backend[[#This Row],[Methodology]],"Tier 1",rng_RSD1,"Tier 2",rng_RSD2,"Tier 3",rng_RSD3),MATCH(_xlfn.CONCAT(Buildings_Water_Backend[[#This Row],[Level 1]:[Level 6]]),rng_LevelsConcat,0))</f>
        <v>#N/A</v>
      </c>
      <c r="AB383" s="224">
        <f>Buildings_Water_Frontend[[#This Row],[Data]]</f>
        <v>0</v>
      </c>
      <c r="AC383" s="174">
        <f>Buildings_Water_Frontend[[#This Row],[Units]]</f>
        <v>0</v>
      </c>
      <c r="AD383" s="220" t="e">
        <f>IF(Buildings_Water_Backend[[#This Row],[Units]]=Buildings_Water_Backend[[#This Row],[Standard units]],Buildings_Water_Backend[[#This Row],[Data]],Buildings_Water_Backend[[#This Row],[Data]]*_xlfn.XLOOKUP(_xlfn.CONCAT(Buildings_Water_Backend[[#This Row],[Level 1]:[Level 6]]),rng_EFConcat,rng_EFConversion))</f>
        <v>#N/A</v>
      </c>
      <c r="AE383" s="174" t="e" cm="1">
        <f t="array" ref="AE383">_xlfn.XLOOKUP(_xlfn.CONCAT(Buildings_Water_Backend[[#This Row],[Level 1]:[Level 6]]),rng_LevelsConcat,rng_UnitsLong)</f>
        <v>#N/A</v>
      </c>
      <c r="AF383" s="210" t="e">
        <f>_xlfn.XLOOKUP(_xlfn.CONCAT(Buildings_Water_Backend[[#This Row],[Level 1]:[Level 6]]),rng_EFConcat,rng_EF1)*Buildings_Water_Backend[[#This Row],[Converted data]]/1000</f>
        <v>#N/A</v>
      </c>
      <c r="AG383" s="210" t="e">
        <f>_xlfn.XLOOKUP(_xlfn.CONCAT(Buildings_Water_Backend[[#This Row],[Level 1]:[Level 6]]),rng_EFConcat,rng_EF2)*Buildings_Water_Backend[[#This Row],[Converted data]]/1000</f>
        <v>#N/A</v>
      </c>
      <c r="AH383" s="210" t="e">
        <f>_xlfn.XLOOKUP(_xlfn.CONCAT(Buildings_Water_Backend[[#This Row],[Level 1]:[Level 6]]),rng_EFConcat,rng_EF3)*Buildings_Water_Backend[[#This Row],[Converted data]]/1000</f>
        <v>#N/A</v>
      </c>
      <c r="AI383" s="210" t="e">
        <f>_xlfn.XLOOKUP(_xlfn.CONCAT(Buildings_Water_Backend[[#This Row],[Level 1]:[Level 6]]),rng_EFConcat,rng_EF3WTT)*Buildings_Water_Backend[[#This Row],[Converted data]]/1000</f>
        <v>#N/A</v>
      </c>
      <c r="AJ383" s="210" t="e">
        <f>_xlfn.XLOOKUP(_xlfn.CONCAT(Buildings_Water_Backend[[#This Row],[Level 1]:[Level 6]]),rng_EFConcat,rng_EF3TD)*Buildings_Water_Backend[[#This Row],[Converted data]]/1000</f>
        <v>#N/A</v>
      </c>
      <c r="AK383" s="210" t="e">
        <f>_xlfn.XLOOKUP(_xlfn.CONCAT(Buildings_Water_Backend[[#This Row],[Level 1]:[Level 6]]),rng_EFConcat,rng_EF3WTTTD)*Buildings_Water_Backend[[#This Row],[Converted data]]/1000</f>
        <v>#N/A</v>
      </c>
      <c r="AL383" s="220" t="e">
        <f>SUM(Buildings_Water_Backend[[#This Row],[Scope 1 (tCO2e)]:[Scope 3 WTT T&amp;D (tCO2e)]])</f>
        <v>#N/A</v>
      </c>
      <c r="AM383" s="220" t="e">
        <f>Buildings_Water_Backend[[#This Row],[Total (tCO2e)]]*(1-Buildings_Water_Backend[[#This Row],[RSD]])</f>
        <v>#N/A</v>
      </c>
      <c r="AN383" s="220" t="e">
        <f>Buildings_Water_Backend[[#This Row],[Total (tCO2e)]]*(1+Buildings_Water_Backend[[#This Row],[RSD]])</f>
        <v>#N/A</v>
      </c>
      <c r="AO383" s="210" t="e">
        <f>_xlfn.XLOOKUP(_xlfn.CONCAT(Buildings_Water_Backend[[#This Row],[Level 1]:[Level 6]]),rng_EFConcat,rng_EFOOS)*Buildings_Water_Backend[[#This Row],[Converted data]]/1000</f>
        <v>#N/A</v>
      </c>
      <c r="AP383" s="174">
        <f>Buildings_Water_Frontend[[#This Row],[Ease of collection]]</f>
        <v>0</v>
      </c>
      <c r="AQ383" s="174">
        <f>Buildings_Water_Frontend[[#This Row],[Completeness]]</f>
        <v>0</v>
      </c>
      <c r="AR383" s="174">
        <f>Buildings_Water_Frontend[[#This Row],[Notes]]</f>
        <v>0</v>
      </c>
    </row>
    <row r="384" spans="5:44" x14ac:dyDescent="0.3">
      <c r="E384" s="346"/>
      <c r="F384" s="364"/>
      <c r="G384" s="336"/>
      <c r="H384" s="336"/>
      <c r="I384" s="334"/>
      <c r="J384" s="336"/>
      <c r="K384" s="336"/>
      <c r="L384" s="336"/>
      <c r="M384" s="337"/>
      <c r="N384" s="242">
        <f t="shared" si="11"/>
        <v>5</v>
      </c>
      <c r="Q384" s="212" t="str">
        <f t="shared" si="10"/>
        <v/>
      </c>
      <c r="R384" s="174" t="s">
        <v>265</v>
      </c>
      <c r="S384" s="174" t="s">
        <v>273</v>
      </c>
      <c r="T384" s="174" t="e">
        <f>_xlfn.XLOOKUP(Buildings_Water_Backend[[#This Row],[Info 1]],Buildings_SiteInfo[Site name],Buildings_SiteInfo[Site type])</f>
        <v>#N/A</v>
      </c>
      <c r="U384" s="174" t="s">
        <v>327</v>
      </c>
      <c r="V384" s="174">
        <f>Buildings_Water_Frontend[[#This Row],[Type]]</f>
        <v>0</v>
      </c>
      <c r="W384" s="174" t="e" cm="1">
        <f t="array" aca="1" ref="W384" ca="1">_xlfn.XLOOKUP(Buildings_Water_Backend[[#This Row],[Level 5]],rng_Level5Long,rng_Level6Long)</f>
        <v>#N/A</v>
      </c>
      <c r="X384" s="174">
        <f>Buildings_Water_Frontend[[#This Row],[Site Name]]</f>
        <v>0</v>
      </c>
      <c r="Y384" s="174">
        <f>Buildings_Water_Frontend[[#This Row],[Meter Reference]]</f>
        <v>0</v>
      </c>
      <c r="Z384" s="220">
        <f>Buildings_Water_Frontend[[#This Row],[Methodology]]</f>
        <v>0</v>
      </c>
      <c r="AA384" s="229" t="e" cm="1">
        <f t="array" ref="AA384">INDEX(_xlfn.SWITCH(Buildings_Water_Backend[[#This Row],[Methodology]],"Tier 1",rng_RSD1,"Tier 2",rng_RSD2,"Tier 3",rng_RSD3),MATCH(_xlfn.CONCAT(Buildings_Water_Backend[[#This Row],[Level 1]:[Level 6]]),rng_LevelsConcat,0))</f>
        <v>#N/A</v>
      </c>
      <c r="AB384" s="224">
        <f>Buildings_Water_Frontend[[#This Row],[Data]]</f>
        <v>0</v>
      </c>
      <c r="AC384" s="174">
        <f>Buildings_Water_Frontend[[#This Row],[Units]]</f>
        <v>0</v>
      </c>
      <c r="AD384" s="220" t="e">
        <f>IF(Buildings_Water_Backend[[#This Row],[Units]]=Buildings_Water_Backend[[#This Row],[Standard units]],Buildings_Water_Backend[[#This Row],[Data]],Buildings_Water_Backend[[#This Row],[Data]]*_xlfn.XLOOKUP(_xlfn.CONCAT(Buildings_Water_Backend[[#This Row],[Level 1]:[Level 6]]),rng_EFConcat,rng_EFConversion))</f>
        <v>#N/A</v>
      </c>
      <c r="AE384" s="174" t="e" cm="1">
        <f t="array" ref="AE384">_xlfn.XLOOKUP(_xlfn.CONCAT(Buildings_Water_Backend[[#This Row],[Level 1]:[Level 6]]),rng_LevelsConcat,rng_UnitsLong)</f>
        <v>#N/A</v>
      </c>
      <c r="AF384" s="210" t="e">
        <f>_xlfn.XLOOKUP(_xlfn.CONCAT(Buildings_Water_Backend[[#This Row],[Level 1]:[Level 6]]),rng_EFConcat,rng_EF1)*Buildings_Water_Backend[[#This Row],[Converted data]]/1000</f>
        <v>#N/A</v>
      </c>
      <c r="AG384" s="210" t="e">
        <f>_xlfn.XLOOKUP(_xlfn.CONCAT(Buildings_Water_Backend[[#This Row],[Level 1]:[Level 6]]),rng_EFConcat,rng_EF2)*Buildings_Water_Backend[[#This Row],[Converted data]]/1000</f>
        <v>#N/A</v>
      </c>
      <c r="AH384" s="210" t="e">
        <f>_xlfn.XLOOKUP(_xlfn.CONCAT(Buildings_Water_Backend[[#This Row],[Level 1]:[Level 6]]),rng_EFConcat,rng_EF3)*Buildings_Water_Backend[[#This Row],[Converted data]]/1000</f>
        <v>#N/A</v>
      </c>
      <c r="AI384" s="210" t="e">
        <f>_xlfn.XLOOKUP(_xlfn.CONCAT(Buildings_Water_Backend[[#This Row],[Level 1]:[Level 6]]),rng_EFConcat,rng_EF3WTT)*Buildings_Water_Backend[[#This Row],[Converted data]]/1000</f>
        <v>#N/A</v>
      </c>
      <c r="AJ384" s="210" t="e">
        <f>_xlfn.XLOOKUP(_xlfn.CONCAT(Buildings_Water_Backend[[#This Row],[Level 1]:[Level 6]]),rng_EFConcat,rng_EF3TD)*Buildings_Water_Backend[[#This Row],[Converted data]]/1000</f>
        <v>#N/A</v>
      </c>
      <c r="AK384" s="210" t="e">
        <f>_xlfn.XLOOKUP(_xlfn.CONCAT(Buildings_Water_Backend[[#This Row],[Level 1]:[Level 6]]),rng_EFConcat,rng_EF3WTTTD)*Buildings_Water_Backend[[#This Row],[Converted data]]/1000</f>
        <v>#N/A</v>
      </c>
      <c r="AL384" s="220" t="e">
        <f>SUM(Buildings_Water_Backend[[#This Row],[Scope 1 (tCO2e)]:[Scope 3 WTT T&amp;D (tCO2e)]])</f>
        <v>#N/A</v>
      </c>
      <c r="AM384" s="220" t="e">
        <f>Buildings_Water_Backend[[#This Row],[Total (tCO2e)]]*(1-Buildings_Water_Backend[[#This Row],[RSD]])</f>
        <v>#N/A</v>
      </c>
      <c r="AN384" s="220" t="e">
        <f>Buildings_Water_Backend[[#This Row],[Total (tCO2e)]]*(1+Buildings_Water_Backend[[#This Row],[RSD]])</f>
        <v>#N/A</v>
      </c>
      <c r="AO384" s="210" t="e">
        <f>_xlfn.XLOOKUP(_xlfn.CONCAT(Buildings_Water_Backend[[#This Row],[Level 1]:[Level 6]]),rng_EFConcat,rng_EFOOS)*Buildings_Water_Backend[[#This Row],[Converted data]]/1000</f>
        <v>#N/A</v>
      </c>
      <c r="AP384" s="174">
        <f>Buildings_Water_Frontend[[#This Row],[Ease of collection]]</f>
        <v>0</v>
      </c>
      <c r="AQ384" s="174">
        <f>Buildings_Water_Frontend[[#This Row],[Completeness]]</f>
        <v>0</v>
      </c>
      <c r="AR384" s="174">
        <f>Buildings_Water_Frontend[[#This Row],[Notes]]</f>
        <v>0</v>
      </c>
    </row>
    <row r="385" spans="5:44" x14ac:dyDescent="0.3">
      <c r="E385" s="346"/>
      <c r="F385" s="364"/>
      <c r="G385" s="336"/>
      <c r="H385" s="336"/>
      <c r="I385" s="334"/>
      <c r="J385" s="336"/>
      <c r="K385" s="336"/>
      <c r="L385" s="336"/>
      <c r="M385" s="337"/>
      <c r="N385" s="242">
        <f t="shared" si="11"/>
        <v>5</v>
      </c>
      <c r="Q385" s="212" t="str">
        <f t="shared" si="10"/>
        <v/>
      </c>
      <c r="R385" s="174" t="s">
        <v>265</v>
      </c>
      <c r="S385" s="174" t="s">
        <v>273</v>
      </c>
      <c r="T385" s="174" t="e">
        <f>_xlfn.XLOOKUP(Buildings_Water_Backend[[#This Row],[Info 1]],Buildings_SiteInfo[Site name],Buildings_SiteInfo[Site type])</f>
        <v>#N/A</v>
      </c>
      <c r="U385" s="174" t="s">
        <v>327</v>
      </c>
      <c r="V385" s="174">
        <f>Buildings_Water_Frontend[[#This Row],[Type]]</f>
        <v>0</v>
      </c>
      <c r="W385" s="174" t="e" cm="1">
        <f t="array" aca="1" ref="W385" ca="1">_xlfn.XLOOKUP(Buildings_Water_Backend[[#This Row],[Level 5]],rng_Level5Long,rng_Level6Long)</f>
        <v>#N/A</v>
      </c>
      <c r="X385" s="174">
        <f>Buildings_Water_Frontend[[#This Row],[Site Name]]</f>
        <v>0</v>
      </c>
      <c r="Y385" s="174">
        <f>Buildings_Water_Frontend[[#This Row],[Meter Reference]]</f>
        <v>0</v>
      </c>
      <c r="Z385" s="220">
        <f>Buildings_Water_Frontend[[#This Row],[Methodology]]</f>
        <v>0</v>
      </c>
      <c r="AA385" s="229" t="e" cm="1">
        <f t="array" ref="AA385">INDEX(_xlfn.SWITCH(Buildings_Water_Backend[[#This Row],[Methodology]],"Tier 1",rng_RSD1,"Tier 2",rng_RSD2,"Tier 3",rng_RSD3),MATCH(_xlfn.CONCAT(Buildings_Water_Backend[[#This Row],[Level 1]:[Level 6]]),rng_LevelsConcat,0))</f>
        <v>#N/A</v>
      </c>
      <c r="AB385" s="224">
        <f>Buildings_Water_Frontend[[#This Row],[Data]]</f>
        <v>0</v>
      </c>
      <c r="AC385" s="174">
        <f>Buildings_Water_Frontend[[#This Row],[Units]]</f>
        <v>0</v>
      </c>
      <c r="AD385" s="220" t="e">
        <f>IF(Buildings_Water_Backend[[#This Row],[Units]]=Buildings_Water_Backend[[#This Row],[Standard units]],Buildings_Water_Backend[[#This Row],[Data]],Buildings_Water_Backend[[#This Row],[Data]]*_xlfn.XLOOKUP(_xlfn.CONCAT(Buildings_Water_Backend[[#This Row],[Level 1]:[Level 6]]),rng_EFConcat,rng_EFConversion))</f>
        <v>#N/A</v>
      </c>
      <c r="AE385" s="174" t="e" cm="1">
        <f t="array" ref="AE385">_xlfn.XLOOKUP(_xlfn.CONCAT(Buildings_Water_Backend[[#This Row],[Level 1]:[Level 6]]),rng_LevelsConcat,rng_UnitsLong)</f>
        <v>#N/A</v>
      </c>
      <c r="AF385" s="210" t="e">
        <f>_xlfn.XLOOKUP(_xlfn.CONCAT(Buildings_Water_Backend[[#This Row],[Level 1]:[Level 6]]),rng_EFConcat,rng_EF1)*Buildings_Water_Backend[[#This Row],[Converted data]]/1000</f>
        <v>#N/A</v>
      </c>
      <c r="AG385" s="210" t="e">
        <f>_xlfn.XLOOKUP(_xlfn.CONCAT(Buildings_Water_Backend[[#This Row],[Level 1]:[Level 6]]),rng_EFConcat,rng_EF2)*Buildings_Water_Backend[[#This Row],[Converted data]]/1000</f>
        <v>#N/A</v>
      </c>
      <c r="AH385" s="210" t="e">
        <f>_xlfn.XLOOKUP(_xlfn.CONCAT(Buildings_Water_Backend[[#This Row],[Level 1]:[Level 6]]),rng_EFConcat,rng_EF3)*Buildings_Water_Backend[[#This Row],[Converted data]]/1000</f>
        <v>#N/A</v>
      </c>
      <c r="AI385" s="210" t="e">
        <f>_xlfn.XLOOKUP(_xlfn.CONCAT(Buildings_Water_Backend[[#This Row],[Level 1]:[Level 6]]),rng_EFConcat,rng_EF3WTT)*Buildings_Water_Backend[[#This Row],[Converted data]]/1000</f>
        <v>#N/A</v>
      </c>
      <c r="AJ385" s="210" t="e">
        <f>_xlfn.XLOOKUP(_xlfn.CONCAT(Buildings_Water_Backend[[#This Row],[Level 1]:[Level 6]]),rng_EFConcat,rng_EF3TD)*Buildings_Water_Backend[[#This Row],[Converted data]]/1000</f>
        <v>#N/A</v>
      </c>
      <c r="AK385" s="210" t="e">
        <f>_xlfn.XLOOKUP(_xlfn.CONCAT(Buildings_Water_Backend[[#This Row],[Level 1]:[Level 6]]),rng_EFConcat,rng_EF3WTTTD)*Buildings_Water_Backend[[#This Row],[Converted data]]/1000</f>
        <v>#N/A</v>
      </c>
      <c r="AL385" s="220" t="e">
        <f>SUM(Buildings_Water_Backend[[#This Row],[Scope 1 (tCO2e)]:[Scope 3 WTT T&amp;D (tCO2e)]])</f>
        <v>#N/A</v>
      </c>
      <c r="AM385" s="220" t="e">
        <f>Buildings_Water_Backend[[#This Row],[Total (tCO2e)]]*(1-Buildings_Water_Backend[[#This Row],[RSD]])</f>
        <v>#N/A</v>
      </c>
      <c r="AN385" s="220" t="e">
        <f>Buildings_Water_Backend[[#This Row],[Total (tCO2e)]]*(1+Buildings_Water_Backend[[#This Row],[RSD]])</f>
        <v>#N/A</v>
      </c>
      <c r="AO385" s="210" t="e">
        <f>_xlfn.XLOOKUP(_xlfn.CONCAT(Buildings_Water_Backend[[#This Row],[Level 1]:[Level 6]]),rng_EFConcat,rng_EFOOS)*Buildings_Water_Backend[[#This Row],[Converted data]]/1000</f>
        <v>#N/A</v>
      </c>
      <c r="AP385" s="174">
        <f>Buildings_Water_Frontend[[#This Row],[Ease of collection]]</f>
        <v>0</v>
      </c>
      <c r="AQ385" s="174">
        <f>Buildings_Water_Frontend[[#This Row],[Completeness]]</f>
        <v>0</v>
      </c>
      <c r="AR385" s="174">
        <f>Buildings_Water_Frontend[[#This Row],[Notes]]</f>
        <v>0</v>
      </c>
    </row>
    <row r="386" spans="5:44" x14ac:dyDescent="0.3">
      <c r="E386" s="346"/>
      <c r="F386" s="364"/>
      <c r="G386" s="336"/>
      <c r="H386" s="336"/>
      <c r="I386" s="334"/>
      <c r="J386" s="336"/>
      <c r="K386" s="336"/>
      <c r="L386" s="336"/>
      <c r="M386" s="337"/>
      <c r="N386" s="242">
        <f t="shared" si="11"/>
        <v>5</v>
      </c>
      <c r="Q386" s="212" t="str">
        <f t="shared" si="10"/>
        <v/>
      </c>
      <c r="R386" s="174" t="s">
        <v>265</v>
      </c>
      <c r="S386" s="174" t="s">
        <v>273</v>
      </c>
      <c r="T386" s="174" t="e">
        <f>_xlfn.XLOOKUP(Buildings_Water_Backend[[#This Row],[Info 1]],Buildings_SiteInfo[Site name],Buildings_SiteInfo[Site type])</f>
        <v>#N/A</v>
      </c>
      <c r="U386" s="174" t="s">
        <v>327</v>
      </c>
      <c r="V386" s="174">
        <f>Buildings_Water_Frontend[[#This Row],[Type]]</f>
        <v>0</v>
      </c>
      <c r="W386" s="174" t="e" cm="1">
        <f t="array" aca="1" ref="W386" ca="1">_xlfn.XLOOKUP(Buildings_Water_Backend[[#This Row],[Level 5]],rng_Level5Long,rng_Level6Long)</f>
        <v>#N/A</v>
      </c>
      <c r="X386" s="174">
        <f>Buildings_Water_Frontend[[#This Row],[Site Name]]</f>
        <v>0</v>
      </c>
      <c r="Y386" s="174">
        <f>Buildings_Water_Frontend[[#This Row],[Meter Reference]]</f>
        <v>0</v>
      </c>
      <c r="Z386" s="220">
        <f>Buildings_Water_Frontend[[#This Row],[Methodology]]</f>
        <v>0</v>
      </c>
      <c r="AA386" s="229" t="e" cm="1">
        <f t="array" ref="AA386">INDEX(_xlfn.SWITCH(Buildings_Water_Backend[[#This Row],[Methodology]],"Tier 1",rng_RSD1,"Tier 2",rng_RSD2,"Tier 3",rng_RSD3),MATCH(_xlfn.CONCAT(Buildings_Water_Backend[[#This Row],[Level 1]:[Level 6]]),rng_LevelsConcat,0))</f>
        <v>#N/A</v>
      </c>
      <c r="AB386" s="224">
        <f>Buildings_Water_Frontend[[#This Row],[Data]]</f>
        <v>0</v>
      </c>
      <c r="AC386" s="174">
        <f>Buildings_Water_Frontend[[#This Row],[Units]]</f>
        <v>0</v>
      </c>
      <c r="AD386" s="220" t="e">
        <f>IF(Buildings_Water_Backend[[#This Row],[Units]]=Buildings_Water_Backend[[#This Row],[Standard units]],Buildings_Water_Backend[[#This Row],[Data]],Buildings_Water_Backend[[#This Row],[Data]]*_xlfn.XLOOKUP(_xlfn.CONCAT(Buildings_Water_Backend[[#This Row],[Level 1]:[Level 6]]),rng_EFConcat,rng_EFConversion))</f>
        <v>#N/A</v>
      </c>
      <c r="AE386" s="174" t="e" cm="1">
        <f t="array" ref="AE386">_xlfn.XLOOKUP(_xlfn.CONCAT(Buildings_Water_Backend[[#This Row],[Level 1]:[Level 6]]),rng_LevelsConcat,rng_UnitsLong)</f>
        <v>#N/A</v>
      </c>
      <c r="AF386" s="210" t="e">
        <f>_xlfn.XLOOKUP(_xlfn.CONCAT(Buildings_Water_Backend[[#This Row],[Level 1]:[Level 6]]),rng_EFConcat,rng_EF1)*Buildings_Water_Backend[[#This Row],[Converted data]]/1000</f>
        <v>#N/A</v>
      </c>
      <c r="AG386" s="210" t="e">
        <f>_xlfn.XLOOKUP(_xlfn.CONCAT(Buildings_Water_Backend[[#This Row],[Level 1]:[Level 6]]),rng_EFConcat,rng_EF2)*Buildings_Water_Backend[[#This Row],[Converted data]]/1000</f>
        <v>#N/A</v>
      </c>
      <c r="AH386" s="210" t="e">
        <f>_xlfn.XLOOKUP(_xlfn.CONCAT(Buildings_Water_Backend[[#This Row],[Level 1]:[Level 6]]),rng_EFConcat,rng_EF3)*Buildings_Water_Backend[[#This Row],[Converted data]]/1000</f>
        <v>#N/A</v>
      </c>
      <c r="AI386" s="210" t="e">
        <f>_xlfn.XLOOKUP(_xlfn.CONCAT(Buildings_Water_Backend[[#This Row],[Level 1]:[Level 6]]),rng_EFConcat,rng_EF3WTT)*Buildings_Water_Backend[[#This Row],[Converted data]]/1000</f>
        <v>#N/A</v>
      </c>
      <c r="AJ386" s="210" t="e">
        <f>_xlfn.XLOOKUP(_xlfn.CONCAT(Buildings_Water_Backend[[#This Row],[Level 1]:[Level 6]]),rng_EFConcat,rng_EF3TD)*Buildings_Water_Backend[[#This Row],[Converted data]]/1000</f>
        <v>#N/A</v>
      </c>
      <c r="AK386" s="210" t="e">
        <f>_xlfn.XLOOKUP(_xlfn.CONCAT(Buildings_Water_Backend[[#This Row],[Level 1]:[Level 6]]),rng_EFConcat,rng_EF3WTTTD)*Buildings_Water_Backend[[#This Row],[Converted data]]/1000</f>
        <v>#N/A</v>
      </c>
      <c r="AL386" s="220" t="e">
        <f>SUM(Buildings_Water_Backend[[#This Row],[Scope 1 (tCO2e)]:[Scope 3 WTT T&amp;D (tCO2e)]])</f>
        <v>#N/A</v>
      </c>
      <c r="AM386" s="220" t="e">
        <f>Buildings_Water_Backend[[#This Row],[Total (tCO2e)]]*(1-Buildings_Water_Backend[[#This Row],[RSD]])</f>
        <v>#N/A</v>
      </c>
      <c r="AN386" s="220" t="e">
        <f>Buildings_Water_Backend[[#This Row],[Total (tCO2e)]]*(1+Buildings_Water_Backend[[#This Row],[RSD]])</f>
        <v>#N/A</v>
      </c>
      <c r="AO386" s="210" t="e">
        <f>_xlfn.XLOOKUP(_xlfn.CONCAT(Buildings_Water_Backend[[#This Row],[Level 1]:[Level 6]]),rng_EFConcat,rng_EFOOS)*Buildings_Water_Backend[[#This Row],[Converted data]]/1000</f>
        <v>#N/A</v>
      </c>
      <c r="AP386" s="174">
        <f>Buildings_Water_Frontend[[#This Row],[Ease of collection]]</f>
        <v>0</v>
      </c>
      <c r="AQ386" s="174">
        <f>Buildings_Water_Frontend[[#This Row],[Completeness]]</f>
        <v>0</v>
      </c>
      <c r="AR386" s="174">
        <f>Buildings_Water_Frontend[[#This Row],[Notes]]</f>
        <v>0</v>
      </c>
    </row>
    <row r="387" spans="5:44" x14ac:dyDescent="0.3">
      <c r="E387" s="346"/>
      <c r="F387" s="364"/>
      <c r="G387" s="336"/>
      <c r="H387" s="336"/>
      <c r="I387" s="334"/>
      <c r="J387" s="336"/>
      <c r="K387" s="336"/>
      <c r="L387" s="336"/>
      <c r="M387" s="337"/>
      <c r="N387" s="242">
        <f t="shared" si="11"/>
        <v>5</v>
      </c>
      <c r="Q387" s="212" t="str">
        <f t="shared" si="10"/>
        <v/>
      </c>
      <c r="R387" s="174" t="s">
        <v>265</v>
      </c>
      <c r="S387" s="174" t="s">
        <v>273</v>
      </c>
      <c r="T387" s="174" t="e">
        <f>_xlfn.XLOOKUP(Buildings_Water_Backend[[#This Row],[Info 1]],Buildings_SiteInfo[Site name],Buildings_SiteInfo[Site type])</f>
        <v>#N/A</v>
      </c>
      <c r="U387" s="174" t="s">
        <v>327</v>
      </c>
      <c r="V387" s="174">
        <f>Buildings_Water_Frontend[[#This Row],[Type]]</f>
        <v>0</v>
      </c>
      <c r="W387" s="174" t="e" cm="1">
        <f t="array" aca="1" ref="W387" ca="1">_xlfn.XLOOKUP(Buildings_Water_Backend[[#This Row],[Level 5]],rng_Level5Long,rng_Level6Long)</f>
        <v>#N/A</v>
      </c>
      <c r="X387" s="174">
        <f>Buildings_Water_Frontend[[#This Row],[Site Name]]</f>
        <v>0</v>
      </c>
      <c r="Y387" s="174">
        <f>Buildings_Water_Frontend[[#This Row],[Meter Reference]]</f>
        <v>0</v>
      </c>
      <c r="Z387" s="220">
        <f>Buildings_Water_Frontend[[#This Row],[Methodology]]</f>
        <v>0</v>
      </c>
      <c r="AA387" s="229" t="e" cm="1">
        <f t="array" ref="AA387">INDEX(_xlfn.SWITCH(Buildings_Water_Backend[[#This Row],[Methodology]],"Tier 1",rng_RSD1,"Tier 2",rng_RSD2,"Tier 3",rng_RSD3),MATCH(_xlfn.CONCAT(Buildings_Water_Backend[[#This Row],[Level 1]:[Level 6]]),rng_LevelsConcat,0))</f>
        <v>#N/A</v>
      </c>
      <c r="AB387" s="224">
        <f>Buildings_Water_Frontend[[#This Row],[Data]]</f>
        <v>0</v>
      </c>
      <c r="AC387" s="174">
        <f>Buildings_Water_Frontend[[#This Row],[Units]]</f>
        <v>0</v>
      </c>
      <c r="AD387" s="220" t="e">
        <f>IF(Buildings_Water_Backend[[#This Row],[Units]]=Buildings_Water_Backend[[#This Row],[Standard units]],Buildings_Water_Backend[[#This Row],[Data]],Buildings_Water_Backend[[#This Row],[Data]]*_xlfn.XLOOKUP(_xlfn.CONCAT(Buildings_Water_Backend[[#This Row],[Level 1]:[Level 6]]),rng_EFConcat,rng_EFConversion))</f>
        <v>#N/A</v>
      </c>
      <c r="AE387" s="174" t="e" cm="1">
        <f t="array" ref="AE387">_xlfn.XLOOKUP(_xlfn.CONCAT(Buildings_Water_Backend[[#This Row],[Level 1]:[Level 6]]),rng_LevelsConcat,rng_UnitsLong)</f>
        <v>#N/A</v>
      </c>
      <c r="AF387" s="210" t="e">
        <f>_xlfn.XLOOKUP(_xlfn.CONCAT(Buildings_Water_Backend[[#This Row],[Level 1]:[Level 6]]),rng_EFConcat,rng_EF1)*Buildings_Water_Backend[[#This Row],[Converted data]]/1000</f>
        <v>#N/A</v>
      </c>
      <c r="AG387" s="210" t="e">
        <f>_xlfn.XLOOKUP(_xlfn.CONCAT(Buildings_Water_Backend[[#This Row],[Level 1]:[Level 6]]),rng_EFConcat,rng_EF2)*Buildings_Water_Backend[[#This Row],[Converted data]]/1000</f>
        <v>#N/A</v>
      </c>
      <c r="AH387" s="210" t="e">
        <f>_xlfn.XLOOKUP(_xlfn.CONCAT(Buildings_Water_Backend[[#This Row],[Level 1]:[Level 6]]),rng_EFConcat,rng_EF3)*Buildings_Water_Backend[[#This Row],[Converted data]]/1000</f>
        <v>#N/A</v>
      </c>
      <c r="AI387" s="210" t="e">
        <f>_xlfn.XLOOKUP(_xlfn.CONCAT(Buildings_Water_Backend[[#This Row],[Level 1]:[Level 6]]),rng_EFConcat,rng_EF3WTT)*Buildings_Water_Backend[[#This Row],[Converted data]]/1000</f>
        <v>#N/A</v>
      </c>
      <c r="AJ387" s="210" t="e">
        <f>_xlfn.XLOOKUP(_xlfn.CONCAT(Buildings_Water_Backend[[#This Row],[Level 1]:[Level 6]]),rng_EFConcat,rng_EF3TD)*Buildings_Water_Backend[[#This Row],[Converted data]]/1000</f>
        <v>#N/A</v>
      </c>
      <c r="AK387" s="210" t="e">
        <f>_xlfn.XLOOKUP(_xlfn.CONCAT(Buildings_Water_Backend[[#This Row],[Level 1]:[Level 6]]),rng_EFConcat,rng_EF3WTTTD)*Buildings_Water_Backend[[#This Row],[Converted data]]/1000</f>
        <v>#N/A</v>
      </c>
      <c r="AL387" s="220" t="e">
        <f>SUM(Buildings_Water_Backend[[#This Row],[Scope 1 (tCO2e)]:[Scope 3 WTT T&amp;D (tCO2e)]])</f>
        <v>#N/A</v>
      </c>
      <c r="AM387" s="220" t="e">
        <f>Buildings_Water_Backend[[#This Row],[Total (tCO2e)]]*(1-Buildings_Water_Backend[[#This Row],[RSD]])</f>
        <v>#N/A</v>
      </c>
      <c r="AN387" s="220" t="e">
        <f>Buildings_Water_Backend[[#This Row],[Total (tCO2e)]]*(1+Buildings_Water_Backend[[#This Row],[RSD]])</f>
        <v>#N/A</v>
      </c>
      <c r="AO387" s="210" t="e">
        <f>_xlfn.XLOOKUP(_xlfn.CONCAT(Buildings_Water_Backend[[#This Row],[Level 1]:[Level 6]]),rng_EFConcat,rng_EFOOS)*Buildings_Water_Backend[[#This Row],[Converted data]]/1000</f>
        <v>#N/A</v>
      </c>
      <c r="AP387" s="174">
        <f>Buildings_Water_Frontend[[#This Row],[Ease of collection]]</f>
        <v>0</v>
      </c>
      <c r="AQ387" s="174">
        <f>Buildings_Water_Frontend[[#This Row],[Completeness]]</f>
        <v>0</v>
      </c>
      <c r="AR387" s="174">
        <f>Buildings_Water_Frontend[[#This Row],[Notes]]</f>
        <v>0</v>
      </c>
    </row>
    <row r="388" spans="5:44" x14ac:dyDescent="0.3">
      <c r="E388" s="346"/>
      <c r="F388" s="364"/>
      <c r="G388" s="336"/>
      <c r="H388" s="336"/>
      <c r="I388" s="334"/>
      <c r="J388" s="336"/>
      <c r="K388" s="336"/>
      <c r="L388" s="336"/>
      <c r="M388" s="337"/>
      <c r="N388" s="242">
        <f t="shared" si="11"/>
        <v>5</v>
      </c>
      <c r="Q388" s="212" t="str">
        <f t="shared" si="10"/>
        <v/>
      </c>
      <c r="R388" s="174" t="s">
        <v>265</v>
      </c>
      <c r="S388" s="174" t="s">
        <v>273</v>
      </c>
      <c r="T388" s="174" t="e">
        <f>_xlfn.XLOOKUP(Buildings_Water_Backend[[#This Row],[Info 1]],Buildings_SiteInfo[Site name],Buildings_SiteInfo[Site type])</f>
        <v>#N/A</v>
      </c>
      <c r="U388" s="174" t="s">
        <v>327</v>
      </c>
      <c r="V388" s="174">
        <f>Buildings_Water_Frontend[[#This Row],[Type]]</f>
        <v>0</v>
      </c>
      <c r="W388" s="174" t="e" cm="1">
        <f t="array" aca="1" ref="W388" ca="1">_xlfn.XLOOKUP(Buildings_Water_Backend[[#This Row],[Level 5]],rng_Level5Long,rng_Level6Long)</f>
        <v>#N/A</v>
      </c>
      <c r="X388" s="174">
        <f>Buildings_Water_Frontend[[#This Row],[Site Name]]</f>
        <v>0</v>
      </c>
      <c r="Y388" s="174">
        <f>Buildings_Water_Frontend[[#This Row],[Meter Reference]]</f>
        <v>0</v>
      </c>
      <c r="Z388" s="220">
        <f>Buildings_Water_Frontend[[#This Row],[Methodology]]</f>
        <v>0</v>
      </c>
      <c r="AA388" s="229" t="e" cm="1">
        <f t="array" ref="AA388">INDEX(_xlfn.SWITCH(Buildings_Water_Backend[[#This Row],[Methodology]],"Tier 1",rng_RSD1,"Tier 2",rng_RSD2,"Tier 3",rng_RSD3),MATCH(_xlfn.CONCAT(Buildings_Water_Backend[[#This Row],[Level 1]:[Level 6]]),rng_LevelsConcat,0))</f>
        <v>#N/A</v>
      </c>
      <c r="AB388" s="224">
        <f>Buildings_Water_Frontend[[#This Row],[Data]]</f>
        <v>0</v>
      </c>
      <c r="AC388" s="174">
        <f>Buildings_Water_Frontend[[#This Row],[Units]]</f>
        <v>0</v>
      </c>
      <c r="AD388" s="220" t="e">
        <f>IF(Buildings_Water_Backend[[#This Row],[Units]]=Buildings_Water_Backend[[#This Row],[Standard units]],Buildings_Water_Backend[[#This Row],[Data]],Buildings_Water_Backend[[#This Row],[Data]]*_xlfn.XLOOKUP(_xlfn.CONCAT(Buildings_Water_Backend[[#This Row],[Level 1]:[Level 6]]),rng_EFConcat,rng_EFConversion))</f>
        <v>#N/A</v>
      </c>
      <c r="AE388" s="174" t="e" cm="1">
        <f t="array" ref="AE388">_xlfn.XLOOKUP(_xlfn.CONCAT(Buildings_Water_Backend[[#This Row],[Level 1]:[Level 6]]),rng_LevelsConcat,rng_UnitsLong)</f>
        <v>#N/A</v>
      </c>
      <c r="AF388" s="210" t="e">
        <f>_xlfn.XLOOKUP(_xlfn.CONCAT(Buildings_Water_Backend[[#This Row],[Level 1]:[Level 6]]),rng_EFConcat,rng_EF1)*Buildings_Water_Backend[[#This Row],[Converted data]]/1000</f>
        <v>#N/A</v>
      </c>
      <c r="AG388" s="210" t="e">
        <f>_xlfn.XLOOKUP(_xlfn.CONCAT(Buildings_Water_Backend[[#This Row],[Level 1]:[Level 6]]),rng_EFConcat,rng_EF2)*Buildings_Water_Backend[[#This Row],[Converted data]]/1000</f>
        <v>#N/A</v>
      </c>
      <c r="AH388" s="210" t="e">
        <f>_xlfn.XLOOKUP(_xlfn.CONCAT(Buildings_Water_Backend[[#This Row],[Level 1]:[Level 6]]),rng_EFConcat,rng_EF3)*Buildings_Water_Backend[[#This Row],[Converted data]]/1000</f>
        <v>#N/A</v>
      </c>
      <c r="AI388" s="210" t="e">
        <f>_xlfn.XLOOKUP(_xlfn.CONCAT(Buildings_Water_Backend[[#This Row],[Level 1]:[Level 6]]),rng_EFConcat,rng_EF3WTT)*Buildings_Water_Backend[[#This Row],[Converted data]]/1000</f>
        <v>#N/A</v>
      </c>
      <c r="AJ388" s="210" t="e">
        <f>_xlfn.XLOOKUP(_xlfn.CONCAT(Buildings_Water_Backend[[#This Row],[Level 1]:[Level 6]]),rng_EFConcat,rng_EF3TD)*Buildings_Water_Backend[[#This Row],[Converted data]]/1000</f>
        <v>#N/A</v>
      </c>
      <c r="AK388" s="210" t="e">
        <f>_xlfn.XLOOKUP(_xlfn.CONCAT(Buildings_Water_Backend[[#This Row],[Level 1]:[Level 6]]),rng_EFConcat,rng_EF3WTTTD)*Buildings_Water_Backend[[#This Row],[Converted data]]/1000</f>
        <v>#N/A</v>
      </c>
      <c r="AL388" s="220" t="e">
        <f>SUM(Buildings_Water_Backend[[#This Row],[Scope 1 (tCO2e)]:[Scope 3 WTT T&amp;D (tCO2e)]])</f>
        <v>#N/A</v>
      </c>
      <c r="AM388" s="220" t="e">
        <f>Buildings_Water_Backend[[#This Row],[Total (tCO2e)]]*(1-Buildings_Water_Backend[[#This Row],[RSD]])</f>
        <v>#N/A</v>
      </c>
      <c r="AN388" s="220" t="e">
        <f>Buildings_Water_Backend[[#This Row],[Total (tCO2e)]]*(1+Buildings_Water_Backend[[#This Row],[RSD]])</f>
        <v>#N/A</v>
      </c>
      <c r="AO388" s="210" t="e">
        <f>_xlfn.XLOOKUP(_xlfn.CONCAT(Buildings_Water_Backend[[#This Row],[Level 1]:[Level 6]]),rng_EFConcat,rng_EFOOS)*Buildings_Water_Backend[[#This Row],[Converted data]]/1000</f>
        <v>#N/A</v>
      </c>
      <c r="AP388" s="174">
        <f>Buildings_Water_Frontend[[#This Row],[Ease of collection]]</f>
        <v>0</v>
      </c>
      <c r="AQ388" s="174">
        <f>Buildings_Water_Frontend[[#This Row],[Completeness]]</f>
        <v>0</v>
      </c>
      <c r="AR388" s="174">
        <f>Buildings_Water_Frontend[[#This Row],[Notes]]</f>
        <v>0</v>
      </c>
    </row>
    <row r="389" spans="5:44" x14ac:dyDescent="0.3">
      <c r="E389" s="346"/>
      <c r="F389" s="364"/>
      <c r="G389" s="336"/>
      <c r="H389" s="336"/>
      <c r="I389" s="334"/>
      <c r="J389" s="336"/>
      <c r="K389" s="336"/>
      <c r="L389" s="336"/>
      <c r="M389" s="337"/>
      <c r="N389" s="242">
        <f t="shared" si="11"/>
        <v>5</v>
      </c>
      <c r="Q389" s="212" t="str">
        <f t="shared" si="10"/>
        <v/>
      </c>
      <c r="R389" s="174" t="s">
        <v>265</v>
      </c>
      <c r="S389" s="174" t="s">
        <v>273</v>
      </c>
      <c r="T389" s="174" t="e">
        <f>_xlfn.XLOOKUP(Buildings_Water_Backend[[#This Row],[Info 1]],Buildings_SiteInfo[Site name],Buildings_SiteInfo[Site type])</f>
        <v>#N/A</v>
      </c>
      <c r="U389" s="174" t="s">
        <v>327</v>
      </c>
      <c r="V389" s="174">
        <f>Buildings_Water_Frontend[[#This Row],[Type]]</f>
        <v>0</v>
      </c>
      <c r="W389" s="174" t="e" cm="1">
        <f t="array" aca="1" ref="W389" ca="1">_xlfn.XLOOKUP(Buildings_Water_Backend[[#This Row],[Level 5]],rng_Level5Long,rng_Level6Long)</f>
        <v>#N/A</v>
      </c>
      <c r="X389" s="174">
        <f>Buildings_Water_Frontend[[#This Row],[Site Name]]</f>
        <v>0</v>
      </c>
      <c r="Y389" s="174">
        <f>Buildings_Water_Frontend[[#This Row],[Meter Reference]]</f>
        <v>0</v>
      </c>
      <c r="Z389" s="220">
        <f>Buildings_Water_Frontend[[#This Row],[Methodology]]</f>
        <v>0</v>
      </c>
      <c r="AA389" s="229" t="e" cm="1">
        <f t="array" ref="AA389">INDEX(_xlfn.SWITCH(Buildings_Water_Backend[[#This Row],[Methodology]],"Tier 1",rng_RSD1,"Tier 2",rng_RSD2,"Tier 3",rng_RSD3),MATCH(_xlfn.CONCAT(Buildings_Water_Backend[[#This Row],[Level 1]:[Level 6]]),rng_LevelsConcat,0))</f>
        <v>#N/A</v>
      </c>
      <c r="AB389" s="224">
        <f>Buildings_Water_Frontend[[#This Row],[Data]]</f>
        <v>0</v>
      </c>
      <c r="AC389" s="174">
        <f>Buildings_Water_Frontend[[#This Row],[Units]]</f>
        <v>0</v>
      </c>
      <c r="AD389" s="220" t="e">
        <f>IF(Buildings_Water_Backend[[#This Row],[Units]]=Buildings_Water_Backend[[#This Row],[Standard units]],Buildings_Water_Backend[[#This Row],[Data]],Buildings_Water_Backend[[#This Row],[Data]]*_xlfn.XLOOKUP(_xlfn.CONCAT(Buildings_Water_Backend[[#This Row],[Level 1]:[Level 6]]),rng_EFConcat,rng_EFConversion))</f>
        <v>#N/A</v>
      </c>
      <c r="AE389" s="174" t="e" cm="1">
        <f t="array" ref="AE389">_xlfn.XLOOKUP(_xlfn.CONCAT(Buildings_Water_Backend[[#This Row],[Level 1]:[Level 6]]),rng_LevelsConcat,rng_UnitsLong)</f>
        <v>#N/A</v>
      </c>
      <c r="AF389" s="210" t="e">
        <f>_xlfn.XLOOKUP(_xlfn.CONCAT(Buildings_Water_Backend[[#This Row],[Level 1]:[Level 6]]),rng_EFConcat,rng_EF1)*Buildings_Water_Backend[[#This Row],[Converted data]]/1000</f>
        <v>#N/A</v>
      </c>
      <c r="AG389" s="210" t="e">
        <f>_xlfn.XLOOKUP(_xlfn.CONCAT(Buildings_Water_Backend[[#This Row],[Level 1]:[Level 6]]),rng_EFConcat,rng_EF2)*Buildings_Water_Backend[[#This Row],[Converted data]]/1000</f>
        <v>#N/A</v>
      </c>
      <c r="AH389" s="210" t="e">
        <f>_xlfn.XLOOKUP(_xlfn.CONCAT(Buildings_Water_Backend[[#This Row],[Level 1]:[Level 6]]),rng_EFConcat,rng_EF3)*Buildings_Water_Backend[[#This Row],[Converted data]]/1000</f>
        <v>#N/A</v>
      </c>
      <c r="AI389" s="210" t="e">
        <f>_xlfn.XLOOKUP(_xlfn.CONCAT(Buildings_Water_Backend[[#This Row],[Level 1]:[Level 6]]),rng_EFConcat,rng_EF3WTT)*Buildings_Water_Backend[[#This Row],[Converted data]]/1000</f>
        <v>#N/A</v>
      </c>
      <c r="AJ389" s="210" t="e">
        <f>_xlfn.XLOOKUP(_xlfn.CONCAT(Buildings_Water_Backend[[#This Row],[Level 1]:[Level 6]]),rng_EFConcat,rng_EF3TD)*Buildings_Water_Backend[[#This Row],[Converted data]]/1000</f>
        <v>#N/A</v>
      </c>
      <c r="AK389" s="210" t="e">
        <f>_xlfn.XLOOKUP(_xlfn.CONCAT(Buildings_Water_Backend[[#This Row],[Level 1]:[Level 6]]),rng_EFConcat,rng_EF3WTTTD)*Buildings_Water_Backend[[#This Row],[Converted data]]/1000</f>
        <v>#N/A</v>
      </c>
      <c r="AL389" s="220" t="e">
        <f>SUM(Buildings_Water_Backend[[#This Row],[Scope 1 (tCO2e)]:[Scope 3 WTT T&amp;D (tCO2e)]])</f>
        <v>#N/A</v>
      </c>
      <c r="AM389" s="220" t="e">
        <f>Buildings_Water_Backend[[#This Row],[Total (tCO2e)]]*(1-Buildings_Water_Backend[[#This Row],[RSD]])</f>
        <v>#N/A</v>
      </c>
      <c r="AN389" s="220" t="e">
        <f>Buildings_Water_Backend[[#This Row],[Total (tCO2e)]]*(1+Buildings_Water_Backend[[#This Row],[RSD]])</f>
        <v>#N/A</v>
      </c>
      <c r="AO389" s="210" t="e">
        <f>_xlfn.XLOOKUP(_xlfn.CONCAT(Buildings_Water_Backend[[#This Row],[Level 1]:[Level 6]]),rng_EFConcat,rng_EFOOS)*Buildings_Water_Backend[[#This Row],[Converted data]]/1000</f>
        <v>#N/A</v>
      </c>
      <c r="AP389" s="174">
        <f>Buildings_Water_Frontend[[#This Row],[Ease of collection]]</f>
        <v>0</v>
      </c>
      <c r="AQ389" s="174">
        <f>Buildings_Water_Frontend[[#This Row],[Completeness]]</f>
        <v>0</v>
      </c>
      <c r="AR389" s="174">
        <f>Buildings_Water_Frontend[[#This Row],[Notes]]</f>
        <v>0</v>
      </c>
    </row>
    <row r="390" spans="5:44" x14ac:dyDescent="0.3">
      <c r="E390" s="346"/>
      <c r="F390" s="364"/>
      <c r="G390" s="336"/>
      <c r="H390" s="336"/>
      <c r="I390" s="334"/>
      <c r="J390" s="336"/>
      <c r="K390" s="336"/>
      <c r="L390" s="336"/>
      <c r="M390" s="337"/>
      <c r="N390" s="242">
        <f t="shared" si="11"/>
        <v>5</v>
      </c>
      <c r="Q390" s="212" t="str">
        <f t="shared" si="10"/>
        <v/>
      </c>
      <c r="R390" s="174" t="s">
        <v>265</v>
      </c>
      <c r="S390" s="174" t="s">
        <v>273</v>
      </c>
      <c r="T390" s="174" t="e">
        <f>_xlfn.XLOOKUP(Buildings_Water_Backend[[#This Row],[Info 1]],Buildings_SiteInfo[Site name],Buildings_SiteInfo[Site type])</f>
        <v>#N/A</v>
      </c>
      <c r="U390" s="174" t="s">
        <v>327</v>
      </c>
      <c r="V390" s="174">
        <f>Buildings_Water_Frontend[[#This Row],[Type]]</f>
        <v>0</v>
      </c>
      <c r="W390" s="174" t="e" cm="1">
        <f t="array" aca="1" ref="W390" ca="1">_xlfn.XLOOKUP(Buildings_Water_Backend[[#This Row],[Level 5]],rng_Level5Long,rng_Level6Long)</f>
        <v>#N/A</v>
      </c>
      <c r="X390" s="174">
        <f>Buildings_Water_Frontend[[#This Row],[Site Name]]</f>
        <v>0</v>
      </c>
      <c r="Y390" s="174">
        <f>Buildings_Water_Frontend[[#This Row],[Meter Reference]]</f>
        <v>0</v>
      </c>
      <c r="Z390" s="220">
        <f>Buildings_Water_Frontend[[#This Row],[Methodology]]</f>
        <v>0</v>
      </c>
      <c r="AA390" s="229" t="e" cm="1">
        <f t="array" ref="AA390">INDEX(_xlfn.SWITCH(Buildings_Water_Backend[[#This Row],[Methodology]],"Tier 1",rng_RSD1,"Tier 2",rng_RSD2,"Tier 3",rng_RSD3),MATCH(_xlfn.CONCAT(Buildings_Water_Backend[[#This Row],[Level 1]:[Level 6]]),rng_LevelsConcat,0))</f>
        <v>#N/A</v>
      </c>
      <c r="AB390" s="224">
        <f>Buildings_Water_Frontend[[#This Row],[Data]]</f>
        <v>0</v>
      </c>
      <c r="AC390" s="174">
        <f>Buildings_Water_Frontend[[#This Row],[Units]]</f>
        <v>0</v>
      </c>
      <c r="AD390" s="220" t="e">
        <f>IF(Buildings_Water_Backend[[#This Row],[Units]]=Buildings_Water_Backend[[#This Row],[Standard units]],Buildings_Water_Backend[[#This Row],[Data]],Buildings_Water_Backend[[#This Row],[Data]]*_xlfn.XLOOKUP(_xlfn.CONCAT(Buildings_Water_Backend[[#This Row],[Level 1]:[Level 6]]),rng_EFConcat,rng_EFConversion))</f>
        <v>#N/A</v>
      </c>
      <c r="AE390" s="174" t="e" cm="1">
        <f t="array" ref="AE390">_xlfn.XLOOKUP(_xlfn.CONCAT(Buildings_Water_Backend[[#This Row],[Level 1]:[Level 6]]),rng_LevelsConcat,rng_UnitsLong)</f>
        <v>#N/A</v>
      </c>
      <c r="AF390" s="210" t="e">
        <f>_xlfn.XLOOKUP(_xlfn.CONCAT(Buildings_Water_Backend[[#This Row],[Level 1]:[Level 6]]),rng_EFConcat,rng_EF1)*Buildings_Water_Backend[[#This Row],[Converted data]]/1000</f>
        <v>#N/A</v>
      </c>
      <c r="AG390" s="210" t="e">
        <f>_xlfn.XLOOKUP(_xlfn.CONCAT(Buildings_Water_Backend[[#This Row],[Level 1]:[Level 6]]),rng_EFConcat,rng_EF2)*Buildings_Water_Backend[[#This Row],[Converted data]]/1000</f>
        <v>#N/A</v>
      </c>
      <c r="AH390" s="210" t="e">
        <f>_xlfn.XLOOKUP(_xlfn.CONCAT(Buildings_Water_Backend[[#This Row],[Level 1]:[Level 6]]),rng_EFConcat,rng_EF3)*Buildings_Water_Backend[[#This Row],[Converted data]]/1000</f>
        <v>#N/A</v>
      </c>
      <c r="AI390" s="210" t="e">
        <f>_xlfn.XLOOKUP(_xlfn.CONCAT(Buildings_Water_Backend[[#This Row],[Level 1]:[Level 6]]),rng_EFConcat,rng_EF3WTT)*Buildings_Water_Backend[[#This Row],[Converted data]]/1000</f>
        <v>#N/A</v>
      </c>
      <c r="AJ390" s="210" t="e">
        <f>_xlfn.XLOOKUP(_xlfn.CONCAT(Buildings_Water_Backend[[#This Row],[Level 1]:[Level 6]]),rng_EFConcat,rng_EF3TD)*Buildings_Water_Backend[[#This Row],[Converted data]]/1000</f>
        <v>#N/A</v>
      </c>
      <c r="AK390" s="210" t="e">
        <f>_xlfn.XLOOKUP(_xlfn.CONCAT(Buildings_Water_Backend[[#This Row],[Level 1]:[Level 6]]),rng_EFConcat,rng_EF3WTTTD)*Buildings_Water_Backend[[#This Row],[Converted data]]/1000</f>
        <v>#N/A</v>
      </c>
      <c r="AL390" s="220" t="e">
        <f>SUM(Buildings_Water_Backend[[#This Row],[Scope 1 (tCO2e)]:[Scope 3 WTT T&amp;D (tCO2e)]])</f>
        <v>#N/A</v>
      </c>
      <c r="AM390" s="220" t="e">
        <f>Buildings_Water_Backend[[#This Row],[Total (tCO2e)]]*(1-Buildings_Water_Backend[[#This Row],[RSD]])</f>
        <v>#N/A</v>
      </c>
      <c r="AN390" s="220" t="e">
        <f>Buildings_Water_Backend[[#This Row],[Total (tCO2e)]]*(1+Buildings_Water_Backend[[#This Row],[RSD]])</f>
        <v>#N/A</v>
      </c>
      <c r="AO390" s="210" t="e">
        <f>_xlfn.XLOOKUP(_xlfn.CONCAT(Buildings_Water_Backend[[#This Row],[Level 1]:[Level 6]]),rng_EFConcat,rng_EFOOS)*Buildings_Water_Backend[[#This Row],[Converted data]]/1000</f>
        <v>#N/A</v>
      </c>
      <c r="AP390" s="174">
        <f>Buildings_Water_Frontend[[#This Row],[Ease of collection]]</f>
        <v>0</v>
      </c>
      <c r="AQ390" s="174">
        <f>Buildings_Water_Frontend[[#This Row],[Completeness]]</f>
        <v>0</v>
      </c>
      <c r="AR390" s="174">
        <f>Buildings_Water_Frontend[[#This Row],[Notes]]</f>
        <v>0</v>
      </c>
    </row>
    <row r="391" spans="5:44" x14ac:dyDescent="0.3">
      <c r="E391" s="346"/>
      <c r="F391" s="364"/>
      <c r="G391" s="336"/>
      <c r="H391" s="336"/>
      <c r="I391" s="334"/>
      <c r="J391" s="336"/>
      <c r="K391" s="336"/>
      <c r="L391" s="336"/>
      <c r="M391" s="337"/>
      <c r="N391" s="242">
        <f t="shared" si="11"/>
        <v>5</v>
      </c>
      <c r="Q391" s="212" t="str">
        <f t="shared" si="10"/>
        <v/>
      </c>
      <c r="R391" s="174" t="s">
        <v>265</v>
      </c>
      <c r="S391" s="174" t="s">
        <v>273</v>
      </c>
      <c r="T391" s="174" t="e">
        <f>_xlfn.XLOOKUP(Buildings_Water_Backend[[#This Row],[Info 1]],Buildings_SiteInfo[Site name],Buildings_SiteInfo[Site type])</f>
        <v>#N/A</v>
      </c>
      <c r="U391" s="174" t="s">
        <v>327</v>
      </c>
      <c r="V391" s="174">
        <f>Buildings_Water_Frontend[[#This Row],[Type]]</f>
        <v>0</v>
      </c>
      <c r="W391" s="174" t="e" cm="1">
        <f t="array" aca="1" ref="W391" ca="1">_xlfn.XLOOKUP(Buildings_Water_Backend[[#This Row],[Level 5]],rng_Level5Long,rng_Level6Long)</f>
        <v>#N/A</v>
      </c>
      <c r="X391" s="174">
        <f>Buildings_Water_Frontend[[#This Row],[Site Name]]</f>
        <v>0</v>
      </c>
      <c r="Y391" s="174">
        <f>Buildings_Water_Frontend[[#This Row],[Meter Reference]]</f>
        <v>0</v>
      </c>
      <c r="Z391" s="220">
        <f>Buildings_Water_Frontend[[#This Row],[Methodology]]</f>
        <v>0</v>
      </c>
      <c r="AA391" s="229" t="e" cm="1">
        <f t="array" ref="AA391">INDEX(_xlfn.SWITCH(Buildings_Water_Backend[[#This Row],[Methodology]],"Tier 1",rng_RSD1,"Tier 2",rng_RSD2,"Tier 3",rng_RSD3),MATCH(_xlfn.CONCAT(Buildings_Water_Backend[[#This Row],[Level 1]:[Level 6]]),rng_LevelsConcat,0))</f>
        <v>#N/A</v>
      </c>
      <c r="AB391" s="224">
        <f>Buildings_Water_Frontend[[#This Row],[Data]]</f>
        <v>0</v>
      </c>
      <c r="AC391" s="174">
        <f>Buildings_Water_Frontend[[#This Row],[Units]]</f>
        <v>0</v>
      </c>
      <c r="AD391" s="220" t="e">
        <f>IF(Buildings_Water_Backend[[#This Row],[Units]]=Buildings_Water_Backend[[#This Row],[Standard units]],Buildings_Water_Backend[[#This Row],[Data]],Buildings_Water_Backend[[#This Row],[Data]]*_xlfn.XLOOKUP(_xlfn.CONCAT(Buildings_Water_Backend[[#This Row],[Level 1]:[Level 6]]),rng_EFConcat,rng_EFConversion))</f>
        <v>#N/A</v>
      </c>
      <c r="AE391" s="174" t="e" cm="1">
        <f t="array" ref="AE391">_xlfn.XLOOKUP(_xlfn.CONCAT(Buildings_Water_Backend[[#This Row],[Level 1]:[Level 6]]),rng_LevelsConcat,rng_UnitsLong)</f>
        <v>#N/A</v>
      </c>
      <c r="AF391" s="210" t="e">
        <f>_xlfn.XLOOKUP(_xlfn.CONCAT(Buildings_Water_Backend[[#This Row],[Level 1]:[Level 6]]),rng_EFConcat,rng_EF1)*Buildings_Water_Backend[[#This Row],[Converted data]]/1000</f>
        <v>#N/A</v>
      </c>
      <c r="AG391" s="210" t="e">
        <f>_xlfn.XLOOKUP(_xlfn.CONCAT(Buildings_Water_Backend[[#This Row],[Level 1]:[Level 6]]),rng_EFConcat,rng_EF2)*Buildings_Water_Backend[[#This Row],[Converted data]]/1000</f>
        <v>#N/A</v>
      </c>
      <c r="AH391" s="210" t="e">
        <f>_xlfn.XLOOKUP(_xlfn.CONCAT(Buildings_Water_Backend[[#This Row],[Level 1]:[Level 6]]),rng_EFConcat,rng_EF3)*Buildings_Water_Backend[[#This Row],[Converted data]]/1000</f>
        <v>#N/A</v>
      </c>
      <c r="AI391" s="210" t="e">
        <f>_xlfn.XLOOKUP(_xlfn.CONCAT(Buildings_Water_Backend[[#This Row],[Level 1]:[Level 6]]),rng_EFConcat,rng_EF3WTT)*Buildings_Water_Backend[[#This Row],[Converted data]]/1000</f>
        <v>#N/A</v>
      </c>
      <c r="AJ391" s="210" t="e">
        <f>_xlfn.XLOOKUP(_xlfn.CONCAT(Buildings_Water_Backend[[#This Row],[Level 1]:[Level 6]]),rng_EFConcat,rng_EF3TD)*Buildings_Water_Backend[[#This Row],[Converted data]]/1000</f>
        <v>#N/A</v>
      </c>
      <c r="AK391" s="210" t="e">
        <f>_xlfn.XLOOKUP(_xlfn.CONCAT(Buildings_Water_Backend[[#This Row],[Level 1]:[Level 6]]),rng_EFConcat,rng_EF3WTTTD)*Buildings_Water_Backend[[#This Row],[Converted data]]/1000</f>
        <v>#N/A</v>
      </c>
      <c r="AL391" s="220" t="e">
        <f>SUM(Buildings_Water_Backend[[#This Row],[Scope 1 (tCO2e)]:[Scope 3 WTT T&amp;D (tCO2e)]])</f>
        <v>#N/A</v>
      </c>
      <c r="AM391" s="220" t="e">
        <f>Buildings_Water_Backend[[#This Row],[Total (tCO2e)]]*(1-Buildings_Water_Backend[[#This Row],[RSD]])</f>
        <v>#N/A</v>
      </c>
      <c r="AN391" s="220" t="e">
        <f>Buildings_Water_Backend[[#This Row],[Total (tCO2e)]]*(1+Buildings_Water_Backend[[#This Row],[RSD]])</f>
        <v>#N/A</v>
      </c>
      <c r="AO391" s="210" t="e">
        <f>_xlfn.XLOOKUP(_xlfn.CONCAT(Buildings_Water_Backend[[#This Row],[Level 1]:[Level 6]]),rng_EFConcat,rng_EFOOS)*Buildings_Water_Backend[[#This Row],[Converted data]]/1000</f>
        <v>#N/A</v>
      </c>
      <c r="AP391" s="174">
        <f>Buildings_Water_Frontend[[#This Row],[Ease of collection]]</f>
        <v>0</v>
      </c>
      <c r="AQ391" s="174">
        <f>Buildings_Water_Frontend[[#This Row],[Completeness]]</f>
        <v>0</v>
      </c>
      <c r="AR391" s="174">
        <f>Buildings_Water_Frontend[[#This Row],[Notes]]</f>
        <v>0</v>
      </c>
    </row>
    <row r="392" spans="5:44" x14ac:dyDescent="0.3">
      <c r="E392" s="346"/>
      <c r="F392" s="364"/>
      <c r="G392" s="336"/>
      <c r="H392" s="336"/>
      <c r="I392" s="334"/>
      <c r="J392" s="336"/>
      <c r="K392" s="336"/>
      <c r="L392" s="336"/>
      <c r="M392" s="337"/>
      <c r="N392" s="242">
        <f t="shared" si="11"/>
        <v>5</v>
      </c>
      <c r="Q392" s="212" t="str">
        <f t="shared" si="10"/>
        <v/>
      </c>
      <c r="R392" s="174" t="s">
        <v>265</v>
      </c>
      <c r="S392" s="174" t="s">
        <v>273</v>
      </c>
      <c r="T392" s="174" t="e">
        <f>_xlfn.XLOOKUP(Buildings_Water_Backend[[#This Row],[Info 1]],Buildings_SiteInfo[Site name],Buildings_SiteInfo[Site type])</f>
        <v>#N/A</v>
      </c>
      <c r="U392" s="174" t="s">
        <v>327</v>
      </c>
      <c r="V392" s="174">
        <f>Buildings_Water_Frontend[[#This Row],[Type]]</f>
        <v>0</v>
      </c>
      <c r="W392" s="174" t="e" cm="1">
        <f t="array" aca="1" ref="W392" ca="1">_xlfn.XLOOKUP(Buildings_Water_Backend[[#This Row],[Level 5]],rng_Level5Long,rng_Level6Long)</f>
        <v>#N/A</v>
      </c>
      <c r="X392" s="174">
        <f>Buildings_Water_Frontend[[#This Row],[Site Name]]</f>
        <v>0</v>
      </c>
      <c r="Y392" s="174">
        <f>Buildings_Water_Frontend[[#This Row],[Meter Reference]]</f>
        <v>0</v>
      </c>
      <c r="Z392" s="220">
        <f>Buildings_Water_Frontend[[#This Row],[Methodology]]</f>
        <v>0</v>
      </c>
      <c r="AA392" s="229" t="e" cm="1">
        <f t="array" ref="AA392">INDEX(_xlfn.SWITCH(Buildings_Water_Backend[[#This Row],[Methodology]],"Tier 1",rng_RSD1,"Tier 2",rng_RSD2,"Tier 3",rng_RSD3),MATCH(_xlfn.CONCAT(Buildings_Water_Backend[[#This Row],[Level 1]:[Level 6]]),rng_LevelsConcat,0))</f>
        <v>#N/A</v>
      </c>
      <c r="AB392" s="224">
        <f>Buildings_Water_Frontend[[#This Row],[Data]]</f>
        <v>0</v>
      </c>
      <c r="AC392" s="174">
        <f>Buildings_Water_Frontend[[#This Row],[Units]]</f>
        <v>0</v>
      </c>
      <c r="AD392" s="220" t="e">
        <f>IF(Buildings_Water_Backend[[#This Row],[Units]]=Buildings_Water_Backend[[#This Row],[Standard units]],Buildings_Water_Backend[[#This Row],[Data]],Buildings_Water_Backend[[#This Row],[Data]]*_xlfn.XLOOKUP(_xlfn.CONCAT(Buildings_Water_Backend[[#This Row],[Level 1]:[Level 6]]),rng_EFConcat,rng_EFConversion))</f>
        <v>#N/A</v>
      </c>
      <c r="AE392" s="174" t="e" cm="1">
        <f t="array" ref="AE392">_xlfn.XLOOKUP(_xlfn.CONCAT(Buildings_Water_Backend[[#This Row],[Level 1]:[Level 6]]),rng_LevelsConcat,rng_UnitsLong)</f>
        <v>#N/A</v>
      </c>
      <c r="AF392" s="210" t="e">
        <f>_xlfn.XLOOKUP(_xlfn.CONCAT(Buildings_Water_Backend[[#This Row],[Level 1]:[Level 6]]),rng_EFConcat,rng_EF1)*Buildings_Water_Backend[[#This Row],[Converted data]]/1000</f>
        <v>#N/A</v>
      </c>
      <c r="AG392" s="210" t="e">
        <f>_xlfn.XLOOKUP(_xlfn.CONCAT(Buildings_Water_Backend[[#This Row],[Level 1]:[Level 6]]),rng_EFConcat,rng_EF2)*Buildings_Water_Backend[[#This Row],[Converted data]]/1000</f>
        <v>#N/A</v>
      </c>
      <c r="AH392" s="210" t="e">
        <f>_xlfn.XLOOKUP(_xlfn.CONCAT(Buildings_Water_Backend[[#This Row],[Level 1]:[Level 6]]),rng_EFConcat,rng_EF3)*Buildings_Water_Backend[[#This Row],[Converted data]]/1000</f>
        <v>#N/A</v>
      </c>
      <c r="AI392" s="210" t="e">
        <f>_xlfn.XLOOKUP(_xlfn.CONCAT(Buildings_Water_Backend[[#This Row],[Level 1]:[Level 6]]),rng_EFConcat,rng_EF3WTT)*Buildings_Water_Backend[[#This Row],[Converted data]]/1000</f>
        <v>#N/A</v>
      </c>
      <c r="AJ392" s="210" t="e">
        <f>_xlfn.XLOOKUP(_xlfn.CONCAT(Buildings_Water_Backend[[#This Row],[Level 1]:[Level 6]]),rng_EFConcat,rng_EF3TD)*Buildings_Water_Backend[[#This Row],[Converted data]]/1000</f>
        <v>#N/A</v>
      </c>
      <c r="AK392" s="210" t="e">
        <f>_xlfn.XLOOKUP(_xlfn.CONCAT(Buildings_Water_Backend[[#This Row],[Level 1]:[Level 6]]),rng_EFConcat,rng_EF3WTTTD)*Buildings_Water_Backend[[#This Row],[Converted data]]/1000</f>
        <v>#N/A</v>
      </c>
      <c r="AL392" s="220" t="e">
        <f>SUM(Buildings_Water_Backend[[#This Row],[Scope 1 (tCO2e)]:[Scope 3 WTT T&amp;D (tCO2e)]])</f>
        <v>#N/A</v>
      </c>
      <c r="AM392" s="220" t="e">
        <f>Buildings_Water_Backend[[#This Row],[Total (tCO2e)]]*(1-Buildings_Water_Backend[[#This Row],[RSD]])</f>
        <v>#N/A</v>
      </c>
      <c r="AN392" s="220" t="e">
        <f>Buildings_Water_Backend[[#This Row],[Total (tCO2e)]]*(1+Buildings_Water_Backend[[#This Row],[RSD]])</f>
        <v>#N/A</v>
      </c>
      <c r="AO392" s="210" t="e">
        <f>_xlfn.XLOOKUP(_xlfn.CONCAT(Buildings_Water_Backend[[#This Row],[Level 1]:[Level 6]]),rng_EFConcat,rng_EFOOS)*Buildings_Water_Backend[[#This Row],[Converted data]]/1000</f>
        <v>#N/A</v>
      </c>
      <c r="AP392" s="174">
        <f>Buildings_Water_Frontend[[#This Row],[Ease of collection]]</f>
        <v>0</v>
      </c>
      <c r="AQ392" s="174">
        <f>Buildings_Water_Frontend[[#This Row],[Completeness]]</f>
        <v>0</v>
      </c>
      <c r="AR392" s="174">
        <f>Buildings_Water_Frontend[[#This Row],[Notes]]</f>
        <v>0</v>
      </c>
    </row>
    <row r="393" spans="5:44" x14ac:dyDescent="0.3">
      <c r="E393" s="346"/>
      <c r="F393" s="364"/>
      <c r="G393" s="336"/>
      <c r="H393" s="336"/>
      <c r="I393" s="334"/>
      <c r="J393" s="336"/>
      <c r="K393" s="336"/>
      <c r="L393" s="336"/>
      <c r="M393" s="337"/>
      <c r="N393" s="242">
        <f t="shared" si="11"/>
        <v>5</v>
      </c>
      <c r="Q393" s="212" t="str">
        <f t="shared" si="10"/>
        <v/>
      </c>
      <c r="R393" s="174" t="s">
        <v>265</v>
      </c>
      <c r="S393" s="174" t="s">
        <v>273</v>
      </c>
      <c r="T393" s="174" t="e">
        <f>_xlfn.XLOOKUP(Buildings_Water_Backend[[#This Row],[Info 1]],Buildings_SiteInfo[Site name],Buildings_SiteInfo[Site type])</f>
        <v>#N/A</v>
      </c>
      <c r="U393" s="174" t="s">
        <v>327</v>
      </c>
      <c r="V393" s="174">
        <f>Buildings_Water_Frontend[[#This Row],[Type]]</f>
        <v>0</v>
      </c>
      <c r="W393" s="174" t="e" cm="1">
        <f t="array" aca="1" ref="W393" ca="1">_xlfn.XLOOKUP(Buildings_Water_Backend[[#This Row],[Level 5]],rng_Level5Long,rng_Level6Long)</f>
        <v>#N/A</v>
      </c>
      <c r="X393" s="174">
        <f>Buildings_Water_Frontend[[#This Row],[Site Name]]</f>
        <v>0</v>
      </c>
      <c r="Y393" s="174">
        <f>Buildings_Water_Frontend[[#This Row],[Meter Reference]]</f>
        <v>0</v>
      </c>
      <c r="Z393" s="220">
        <f>Buildings_Water_Frontend[[#This Row],[Methodology]]</f>
        <v>0</v>
      </c>
      <c r="AA393" s="229" t="e" cm="1">
        <f t="array" ref="AA393">INDEX(_xlfn.SWITCH(Buildings_Water_Backend[[#This Row],[Methodology]],"Tier 1",rng_RSD1,"Tier 2",rng_RSD2,"Tier 3",rng_RSD3),MATCH(_xlfn.CONCAT(Buildings_Water_Backend[[#This Row],[Level 1]:[Level 6]]),rng_LevelsConcat,0))</f>
        <v>#N/A</v>
      </c>
      <c r="AB393" s="224">
        <f>Buildings_Water_Frontend[[#This Row],[Data]]</f>
        <v>0</v>
      </c>
      <c r="AC393" s="174">
        <f>Buildings_Water_Frontend[[#This Row],[Units]]</f>
        <v>0</v>
      </c>
      <c r="AD393" s="220" t="e">
        <f>IF(Buildings_Water_Backend[[#This Row],[Units]]=Buildings_Water_Backend[[#This Row],[Standard units]],Buildings_Water_Backend[[#This Row],[Data]],Buildings_Water_Backend[[#This Row],[Data]]*_xlfn.XLOOKUP(_xlfn.CONCAT(Buildings_Water_Backend[[#This Row],[Level 1]:[Level 6]]),rng_EFConcat,rng_EFConversion))</f>
        <v>#N/A</v>
      </c>
      <c r="AE393" s="174" t="e" cm="1">
        <f t="array" ref="AE393">_xlfn.XLOOKUP(_xlfn.CONCAT(Buildings_Water_Backend[[#This Row],[Level 1]:[Level 6]]),rng_LevelsConcat,rng_UnitsLong)</f>
        <v>#N/A</v>
      </c>
      <c r="AF393" s="210" t="e">
        <f>_xlfn.XLOOKUP(_xlfn.CONCAT(Buildings_Water_Backend[[#This Row],[Level 1]:[Level 6]]),rng_EFConcat,rng_EF1)*Buildings_Water_Backend[[#This Row],[Converted data]]/1000</f>
        <v>#N/A</v>
      </c>
      <c r="AG393" s="210" t="e">
        <f>_xlfn.XLOOKUP(_xlfn.CONCAT(Buildings_Water_Backend[[#This Row],[Level 1]:[Level 6]]),rng_EFConcat,rng_EF2)*Buildings_Water_Backend[[#This Row],[Converted data]]/1000</f>
        <v>#N/A</v>
      </c>
      <c r="AH393" s="210" t="e">
        <f>_xlfn.XLOOKUP(_xlfn.CONCAT(Buildings_Water_Backend[[#This Row],[Level 1]:[Level 6]]),rng_EFConcat,rng_EF3)*Buildings_Water_Backend[[#This Row],[Converted data]]/1000</f>
        <v>#N/A</v>
      </c>
      <c r="AI393" s="210" t="e">
        <f>_xlfn.XLOOKUP(_xlfn.CONCAT(Buildings_Water_Backend[[#This Row],[Level 1]:[Level 6]]),rng_EFConcat,rng_EF3WTT)*Buildings_Water_Backend[[#This Row],[Converted data]]/1000</f>
        <v>#N/A</v>
      </c>
      <c r="AJ393" s="210" t="e">
        <f>_xlfn.XLOOKUP(_xlfn.CONCAT(Buildings_Water_Backend[[#This Row],[Level 1]:[Level 6]]),rng_EFConcat,rng_EF3TD)*Buildings_Water_Backend[[#This Row],[Converted data]]/1000</f>
        <v>#N/A</v>
      </c>
      <c r="AK393" s="210" t="e">
        <f>_xlfn.XLOOKUP(_xlfn.CONCAT(Buildings_Water_Backend[[#This Row],[Level 1]:[Level 6]]),rng_EFConcat,rng_EF3WTTTD)*Buildings_Water_Backend[[#This Row],[Converted data]]/1000</f>
        <v>#N/A</v>
      </c>
      <c r="AL393" s="220" t="e">
        <f>SUM(Buildings_Water_Backend[[#This Row],[Scope 1 (tCO2e)]:[Scope 3 WTT T&amp;D (tCO2e)]])</f>
        <v>#N/A</v>
      </c>
      <c r="AM393" s="220" t="e">
        <f>Buildings_Water_Backend[[#This Row],[Total (tCO2e)]]*(1-Buildings_Water_Backend[[#This Row],[RSD]])</f>
        <v>#N/A</v>
      </c>
      <c r="AN393" s="220" t="e">
        <f>Buildings_Water_Backend[[#This Row],[Total (tCO2e)]]*(1+Buildings_Water_Backend[[#This Row],[RSD]])</f>
        <v>#N/A</v>
      </c>
      <c r="AO393" s="210" t="e">
        <f>_xlfn.XLOOKUP(_xlfn.CONCAT(Buildings_Water_Backend[[#This Row],[Level 1]:[Level 6]]),rng_EFConcat,rng_EFOOS)*Buildings_Water_Backend[[#This Row],[Converted data]]/1000</f>
        <v>#N/A</v>
      </c>
      <c r="AP393" s="174">
        <f>Buildings_Water_Frontend[[#This Row],[Ease of collection]]</f>
        <v>0</v>
      </c>
      <c r="AQ393" s="174">
        <f>Buildings_Water_Frontend[[#This Row],[Completeness]]</f>
        <v>0</v>
      </c>
      <c r="AR393" s="174">
        <f>Buildings_Water_Frontend[[#This Row],[Notes]]</f>
        <v>0</v>
      </c>
    </row>
    <row r="394" spans="5:44" x14ac:dyDescent="0.3">
      <c r="E394" s="346"/>
      <c r="F394" s="364"/>
      <c r="G394" s="336"/>
      <c r="H394" s="336"/>
      <c r="I394" s="334"/>
      <c r="J394" s="336"/>
      <c r="K394" s="336"/>
      <c r="L394" s="336"/>
      <c r="M394" s="337"/>
      <c r="N394" s="242">
        <f t="shared" si="11"/>
        <v>5</v>
      </c>
      <c r="Q394" s="212" t="str">
        <f t="shared" si="10"/>
        <v/>
      </c>
      <c r="R394" s="174" t="s">
        <v>265</v>
      </c>
      <c r="S394" s="174" t="s">
        <v>273</v>
      </c>
      <c r="T394" s="174" t="e">
        <f>_xlfn.XLOOKUP(Buildings_Water_Backend[[#This Row],[Info 1]],Buildings_SiteInfo[Site name],Buildings_SiteInfo[Site type])</f>
        <v>#N/A</v>
      </c>
      <c r="U394" s="174" t="s">
        <v>327</v>
      </c>
      <c r="V394" s="174">
        <f>Buildings_Water_Frontend[[#This Row],[Type]]</f>
        <v>0</v>
      </c>
      <c r="W394" s="174" t="e" cm="1">
        <f t="array" aca="1" ref="W394" ca="1">_xlfn.XLOOKUP(Buildings_Water_Backend[[#This Row],[Level 5]],rng_Level5Long,rng_Level6Long)</f>
        <v>#N/A</v>
      </c>
      <c r="X394" s="174">
        <f>Buildings_Water_Frontend[[#This Row],[Site Name]]</f>
        <v>0</v>
      </c>
      <c r="Y394" s="174">
        <f>Buildings_Water_Frontend[[#This Row],[Meter Reference]]</f>
        <v>0</v>
      </c>
      <c r="Z394" s="220">
        <f>Buildings_Water_Frontend[[#This Row],[Methodology]]</f>
        <v>0</v>
      </c>
      <c r="AA394" s="229" t="e" cm="1">
        <f t="array" ref="AA394">INDEX(_xlfn.SWITCH(Buildings_Water_Backend[[#This Row],[Methodology]],"Tier 1",rng_RSD1,"Tier 2",rng_RSD2,"Tier 3",rng_RSD3),MATCH(_xlfn.CONCAT(Buildings_Water_Backend[[#This Row],[Level 1]:[Level 6]]),rng_LevelsConcat,0))</f>
        <v>#N/A</v>
      </c>
      <c r="AB394" s="224">
        <f>Buildings_Water_Frontend[[#This Row],[Data]]</f>
        <v>0</v>
      </c>
      <c r="AC394" s="174">
        <f>Buildings_Water_Frontend[[#This Row],[Units]]</f>
        <v>0</v>
      </c>
      <c r="AD394" s="220" t="e">
        <f>IF(Buildings_Water_Backend[[#This Row],[Units]]=Buildings_Water_Backend[[#This Row],[Standard units]],Buildings_Water_Backend[[#This Row],[Data]],Buildings_Water_Backend[[#This Row],[Data]]*_xlfn.XLOOKUP(_xlfn.CONCAT(Buildings_Water_Backend[[#This Row],[Level 1]:[Level 6]]),rng_EFConcat,rng_EFConversion))</f>
        <v>#N/A</v>
      </c>
      <c r="AE394" s="174" t="e" cm="1">
        <f t="array" ref="AE394">_xlfn.XLOOKUP(_xlfn.CONCAT(Buildings_Water_Backend[[#This Row],[Level 1]:[Level 6]]),rng_LevelsConcat,rng_UnitsLong)</f>
        <v>#N/A</v>
      </c>
      <c r="AF394" s="210" t="e">
        <f>_xlfn.XLOOKUP(_xlfn.CONCAT(Buildings_Water_Backend[[#This Row],[Level 1]:[Level 6]]),rng_EFConcat,rng_EF1)*Buildings_Water_Backend[[#This Row],[Converted data]]/1000</f>
        <v>#N/A</v>
      </c>
      <c r="AG394" s="210" t="e">
        <f>_xlfn.XLOOKUP(_xlfn.CONCAT(Buildings_Water_Backend[[#This Row],[Level 1]:[Level 6]]),rng_EFConcat,rng_EF2)*Buildings_Water_Backend[[#This Row],[Converted data]]/1000</f>
        <v>#N/A</v>
      </c>
      <c r="AH394" s="210" t="e">
        <f>_xlfn.XLOOKUP(_xlfn.CONCAT(Buildings_Water_Backend[[#This Row],[Level 1]:[Level 6]]),rng_EFConcat,rng_EF3)*Buildings_Water_Backend[[#This Row],[Converted data]]/1000</f>
        <v>#N/A</v>
      </c>
      <c r="AI394" s="210" t="e">
        <f>_xlfn.XLOOKUP(_xlfn.CONCAT(Buildings_Water_Backend[[#This Row],[Level 1]:[Level 6]]),rng_EFConcat,rng_EF3WTT)*Buildings_Water_Backend[[#This Row],[Converted data]]/1000</f>
        <v>#N/A</v>
      </c>
      <c r="AJ394" s="210" t="e">
        <f>_xlfn.XLOOKUP(_xlfn.CONCAT(Buildings_Water_Backend[[#This Row],[Level 1]:[Level 6]]),rng_EFConcat,rng_EF3TD)*Buildings_Water_Backend[[#This Row],[Converted data]]/1000</f>
        <v>#N/A</v>
      </c>
      <c r="AK394" s="210" t="e">
        <f>_xlfn.XLOOKUP(_xlfn.CONCAT(Buildings_Water_Backend[[#This Row],[Level 1]:[Level 6]]),rng_EFConcat,rng_EF3WTTTD)*Buildings_Water_Backend[[#This Row],[Converted data]]/1000</f>
        <v>#N/A</v>
      </c>
      <c r="AL394" s="220" t="e">
        <f>SUM(Buildings_Water_Backend[[#This Row],[Scope 1 (tCO2e)]:[Scope 3 WTT T&amp;D (tCO2e)]])</f>
        <v>#N/A</v>
      </c>
      <c r="AM394" s="220" t="e">
        <f>Buildings_Water_Backend[[#This Row],[Total (tCO2e)]]*(1-Buildings_Water_Backend[[#This Row],[RSD]])</f>
        <v>#N/A</v>
      </c>
      <c r="AN394" s="220" t="e">
        <f>Buildings_Water_Backend[[#This Row],[Total (tCO2e)]]*(1+Buildings_Water_Backend[[#This Row],[RSD]])</f>
        <v>#N/A</v>
      </c>
      <c r="AO394" s="210" t="e">
        <f>_xlfn.XLOOKUP(_xlfn.CONCAT(Buildings_Water_Backend[[#This Row],[Level 1]:[Level 6]]),rng_EFConcat,rng_EFOOS)*Buildings_Water_Backend[[#This Row],[Converted data]]/1000</f>
        <v>#N/A</v>
      </c>
      <c r="AP394" s="174">
        <f>Buildings_Water_Frontend[[#This Row],[Ease of collection]]</f>
        <v>0</v>
      </c>
      <c r="AQ394" s="174">
        <f>Buildings_Water_Frontend[[#This Row],[Completeness]]</f>
        <v>0</v>
      </c>
      <c r="AR394" s="174">
        <f>Buildings_Water_Frontend[[#This Row],[Notes]]</f>
        <v>0</v>
      </c>
    </row>
    <row r="395" spans="5:44" x14ac:dyDescent="0.3">
      <c r="E395" s="346"/>
      <c r="F395" s="364"/>
      <c r="G395" s="336"/>
      <c r="H395" s="336"/>
      <c r="I395" s="334"/>
      <c r="J395" s="336"/>
      <c r="K395" s="336"/>
      <c r="L395" s="336"/>
      <c r="M395" s="337"/>
      <c r="N395" s="242">
        <f t="shared" si="11"/>
        <v>5</v>
      </c>
      <c r="Q395" s="212" t="str">
        <f t="shared" si="10"/>
        <v/>
      </c>
      <c r="R395" s="174" t="s">
        <v>265</v>
      </c>
      <c r="S395" s="174" t="s">
        <v>273</v>
      </c>
      <c r="T395" s="174" t="e">
        <f>_xlfn.XLOOKUP(Buildings_Water_Backend[[#This Row],[Info 1]],Buildings_SiteInfo[Site name],Buildings_SiteInfo[Site type])</f>
        <v>#N/A</v>
      </c>
      <c r="U395" s="174" t="s">
        <v>327</v>
      </c>
      <c r="V395" s="174">
        <f>Buildings_Water_Frontend[[#This Row],[Type]]</f>
        <v>0</v>
      </c>
      <c r="W395" s="174" t="e" cm="1">
        <f t="array" aca="1" ref="W395" ca="1">_xlfn.XLOOKUP(Buildings_Water_Backend[[#This Row],[Level 5]],rng_Level5Long,rng_Level6Long)</f>
        <v>#N/A</v>
      </c>
      <c r="X395" s="174">
        <f>Buildings_Water_Frontend[[#This Row],[Site Name]]</f>
        <v>0</v>
      </c>
      <c r="Y395" s="174">
        <f>Buildings_Water_Frontend[[#This Row],[Meter Reference]]</f>
        <v>0</v>
      </c>
      <c r="Z395" s="220">
        <f>Buildings_Water_Frontend[[#This Row],[Methodology]]</f>
        <v>0</v>
      </c>
      <c r="AA395" s="229" t="e" cm="1">
        <f t="array" ref="AA395">INDEX(_xlfn.SWITCH(Buildings_Water_Backend[[#This Row],[Methodology]],"Tier 1",rng_RSD1,"Tier 2",rng_RSD2,"Tier 3",rng_RSD3),MATCH(_xlfn.CONCAT(Buildings_Water_Backend[[#This Row],[Level 1]:[Level 6]]),rng_LevelsConcat,0))</f>
        <v>#N/A</v>
      </c>
      <c r="AB395" s="224">
        <f>Buildings_Water_Frontend[[#This Row],[Data]]</f>
        <v>0</v>
      </c>
      <c r="AC395" s="174">
        <f>Buildings_Water_Frontend[[#This Row],[Units]]</f>
        <v>0</v>
      </c>
      <c r="AD395" s="220" t="e">
        <f>IF(Buildings_Water_Backend[[#This Row],[Units]]=Buildings_Water_Backend[[#This Row],[Standard units]],Buildings_Water_Backend[[#This Row],[Data]],Buildings_Water_Backend[[#This Row],[Data]]*_xlfn.XLOOKUP(_xlfn.CONCAT(Buildings_Water_Backend[[#This Row],[Level 1]:[Level 6]]),rng_EFConcat,rng_EFConversion))</f>
        <v>#N/A</v>
      </c>
      <c r="AE395" s="174" t="e" cm="1">
        <f t="array" ref="AE395">_xlfn.XLOOKUP(_xlfn.CONCAT(Buildings_Water_Backend[[#This Row],[Level 1]:[Level 6]]),rng_LevelsConcat,rng_UnitsLong)</f>
        <v>#N/A</v>
      </c>
      <c r="AF395" s="210" t="e">
        <f>_xlfn.XLOOKUP(_xlfn.CONCAT(Buildings_Water_Backend[[#This Row],[Level 1]:[Level 6]]),rng_EFConcat,rng_EF1)*Buildings_Water_Backend[[#This Row],[Converted data]]/1000</f>
        <v>#N/A</v>
      </c>
      <c r="AG395" s="210" t="e">
        <f>_xlfn.XLOOKUP(_xlfn.CONCAT(Buildings_Water_Backend[[#This Row],[Level 1]:[Level 6]]),rng_EFConcat,rng_EF2)*Buildings_Water_Backend[[#This Row],[Converted data]]/1000</f>
        <v>#N/A</v>
      </c>
      <c r="AH395" s="210" t="e">
        <f>_xlfn.XLOOKUP(_xlfn.CONCAT(Buildings_Water_Backend[[#This Row],[Level 1]:[Level 6]]),rng_EFConcat,rng_EF3)*Buildings_Water_Backend[[#This Row],[Converted data]]/1000</f>
        <v>#N/A</v>
      </c>
      <c r="AI395" s="210" t="e">
        <f>_xlfn.XLOOKUP(_xlfn.CONCAT(Buildings_Water_Backend[[#This Row],[Level 1]:[Level 6]]),rng_EFConcat,rng_EF3WTT)*Buildings_Water_Backend[[#This Row],[Converted data]]/1000</f>
        <v>#N/A</v>
      </c>
      <c r="AJ395" s="210" t="e">
        <f>_xlfn.XLOOKUP(_xlfn.CONCAT(Buildings_Water_Backend[[#This Row],[Level 1]:[Level 6]]),rng_EFConcat,rng_EF3TD)*Buildings_Water_Backend[[#This Row],[Converted data]]/1000</f>
        <v>#N/A</v>
      </c>
      <c r="AK395" s="210" t="e">
        <f>_xlfn.XLOOKUP(_xlfn.CONCAT(Buildings_Water_Backend[[#This Row],[Level 1]:[Level 6]]),rng_EFConcat,rng_EF3WTTTD)*Buildings_Water_Backend[[#This Row],[Converted data]]/1000</f>
        <v>#N/A</v>
      </c>
      <c r="AL395" s="220" t="e">
        <f>SUM(Buildings_Water_Backend[[#This Row],[Scope 1 (tCO2e)]:[Scope 3 WTT T&amp;D (tCO2e)]])</f>
        <v>#N/A</v>
      </c>
      <c r="AM395" s="220" t="e">
        <f>Buildings_Water_Backend[[#This Row],[Total (tCO2e)]]*(1-Buildings_Water_Backend[[#This Row],[RSD]])</f>
        <v>#N/A</v>
      </c>
      <c r="AN395" s="220" t="e">
        <f>Buildings_Water_Backend[[#This Row],[Total (tCO2e)]]*(1+Buildings_Water_Backend[[#This Row],[RSD]])</f>
        <v>#N/A</v>
      </c>
      <c r="AO395" s="210" t="e">
        <f>_xlfn.XLOOKUP(_xlfn.CONCAT(Buildings_Water_Backend[[#This Row],[Level 1]:[Level 6]]),rng_EFConcat,rng_EFOOS)*Buildings_Water_Backend[[#This Row],[Converted data]]/1000</f>
        <v>#N/A</v>
      </c>
      <c r="AP395" s="174">
        <f>Buildings_Water_Frontend[[#This Row],[Ease of collection]]</f>
        <v>0</v>
      </c>
      <c r="AQ395" s="174">
        <f>Buildings_Water_Frontend[[#This Row],[Completeness]]</f>
        <v>0</v>
      </c>
      <c r="AR395" s="174">
        <f>Buildings_Water_Frontend[[#This Row],[Notes]]</f>
        <v>0</v>
      </c>
    </row>
    <row r="396" spans="5:44" x14ac:dyDescent="0.3">
      <c r="E396" s="346"/>
      <c r="F396" s="364"/>
      <c r="G396" s="336"/>
      <c r="H396" s="336"/>
      <c r="I396" s="334"/>
      <c r="J396" s="336"/>
      <c r="K396" s="336"/>
      <c r="L396" s="336"/>
      <c r="M396" s="337"/>
      <c r="N396" s="242">
        <f t="shared" si="11"/>
        <v>5</v>
      </c>
      <c r="Q396" s="212" t="str">
        <f t="shared" si="10"/>
        <v/>
      </c>
      <c r="R396" s="174" t="s">
        <v>265</v>
      </c>
      <c r="S396" s="174" t="s">
        <v>273</v>
      </c>
      <c r="T396" s="174" t="e">
        <f>_xlfn.XLOOKUP(Buildings_Water_Backend[[#This Row],[Info 1]],Buildings_SiteInfo[Site name],Buildings_SiteInfo[Site type])</f>
        <v>#N/A</v>
      </c>
      <c r="U396" s="174" t="s">
        <v>327</v>
      </c>
      <c r="V396" s="174">
        <f>Buildings_Water_Frontend[[#This Row],[Type]]</f>
        <v>0</v>
      </c>
      <c r="W396" s="174" t="e" cm="1">
        <f t="array" aca="1" ref="W396" ca="1">_xlfn.XLOOKUP(Buildings_Water_Backend[[#This Row],[Level 5]],rng_Level5Long,rng_Level6Long)</f>
        <v>#N/A</v>
      </c>
      <c r="X396" s="174">
        <f>Buildings_Water_Frontend[[#This Row],[Site Name]]</f>
        <v>0</v>
      </c>
      <c r="Y396" s="174">
        <f>Buildings_Water_Frontend[[#This Row],[Meter Reference]]</f>
        <v>0</v>
      </c>
      <c r="Z396" s="220">
        <f>Buildings_Water_Frontend[[#This Row],[Methodology]]</f>
        <v>0</v>
      </c>
      <c r="AA396" s="229" t="e" cm="1">
        <f t="array" ref="AA396">INDEX(_xlfn.SWITCH(Buildings_Water_Backend[[#This Row],[Methodology]],"Tier 1",rng_RSD1,"Tier 2",rng_RSD2,"Tier 3",rng_RSD3),MATCH(_xlfn.CONCAT(Buildings_Water_Backend[[#This Row],[Level 1]:[Level 6]]),rng_LevelsConcat,0))</f>
        <v>#N/A</v>
      </c>
      <c r="AB396" s="224">
        <f>Buildings_Water_Frontend[[#This Row],[Data]]</f>
        <v>0</v>
      </c>
      <c r="AC396" s="174">
        <f>Buildings_Water_Frontend[[#This Row],[Units]]</f>
        <v>0</v>
      </c>
      <c r="AD396" s="220" t="e">
        <f>IF(Buildings_Water_Backend[[#This Row],[Units]]=Buildings_Water_Backend[[#This Row],[Standard units]],Buildings_Water_Backend[[#This Row],[Data]],Buildings_Water_Backend[[#This Row],[Data]]*_xlfn.XLOOKUP(_xlfn.CONCAT(Buildings_Water_Backend[[#This Row],[Level 1]:[Level 6]]),rng_EFConcat,rng_EFConversion))</f>
        <v>#N/A</v>
      </c>
      <c r="AE396" s="174" t="e" cm="1">
        <f t="array" ref="AE396">_xlfn.XLOOKUP(_xlfn.CONCAT(Buildings_Water_Backend[[#This Row],[Level 1]:[Level 6]]),rng_LevelsConcat,rng_UnitsLong)</f>
        <v>#N/A</v>
      </c>
      <c r="AF396" s="210" t="e">
        <f>_xlfn.XLOOKUP(_xlfn.CONCAT(Buildings_Water_Backend[[#This Row],[Level 1]:[Level 6]]),rng_EFConcat,rng_EF1)*Buildings_Water_Backend[[#This Row],[Converted data]]/1000</f>
        <v>#N/A</v>
      </c>
      <c r="AG396" s="210" t="e">
        <f>_xlfn.XLOOKUP(_xlfn.CONCAT(Buildings_Water_Backend[[#This Row],[Level 1]:[Level 6]]),rng_EFConcat,rng_EF2)*Buildings_Water_Backend[[#This Row],[Converted data]]/1000</f>
        <v>#N/A</v>
      </c>
      <c r="AH396" s="210" t="e">
        <f>_xlfn.XLOOKUP(_xlfn.CONCAT(Buildings_Water_Backend[[#This Row],[Level 1]:[Level 6]]),rng_EFConcat,rng_EF3)*Buildings_Water_Backend[[#This Row],[Converted data]]/1000</f>
        <v>#N/A</v>
      </c>
      <c r="AI396" s="210" t="e">
        <f>_xlfn.XLOOKUP(_xlfn.CONCAT(Buildings_Water_Backend[[#This Row],[Level 1]:[Level 6]]),rng_EFConcat,rng_EF3WTT)*Buildings_Water_Backend[[#This Row],[Converted data]]/1000</f>
        <v>#N/A</v>
      </c>
      <c r="AJ396" s="210" t="e">
        <f>_xlfn.XLOOKUP(_xlfn.CONCAT(Buildings_Water_Backend[[#This Row],[Level 1]:[Level 6]]),rng_EFConcat,rng_EF3TD)*Buildings_Water_Backend[[#This Row],[Converted data]]/1000</f>
        <v>#N/A</v>
      </c>
      <c r="AK396" s="210" t="e">
        <f>_xlfn.XLOOKUP(_xlfn.CONCAT(Buildings_Water_Backend[[#This Row],[Level 1]:[Level 6]]),rng_EFConcat,rng_EF3WTTTD)*Buildings_Water_Backend[[#This Row],[Converted data]]/1000</f>
        <v>#N/A</v>
      </c>
      <c r="AL396" s="220" t="e">
        <f>SUM(Buildings_Water_Backend[[#This Row],[Scope 1 (tCO2e)]:[Scope 3 WTT T&amp;D (tCO2e)]])</f>
        <v>#N/A</v>
      </c>
      <c r="AM396" s="220" t="e">
        <f>Buildings_Water_Backend[[#This Row],[Total (tCO2e)]]*(1-Buildings_Water_Backend[[#This Row],[RSD]])</f>
        <v>#N/A</v>
      </c>
      <c r="AN396" s="220" t="e">
        <f>Buildings_Water_Backend[[#This Row],[Total (tCO2e)]]*(1+Buildings_Water_Backend[[#This Row],[RSD]])</f>
        <v>#N/A</v>
      </c>
      <c r="AO396" s="210" t="e">
        <f>_xlfn.XLOOKUP(_xlfn.CONCAT(Buildings_Water_Backend[[#This Row],[Level 1]:[Level 6]]),rng_EFConcat,rng_EFOOS)*Buildings_Water_Backend[[#This Row],[Converted data]]/1000</f>
        <v>#N/A</v>
      </c>
      <c r="AP396" s="174">
        <f>Buildings_Water_Frontend[[#This Row],[Ease of collection]]</f>
        <v>0</v>
      </c>
      <c r="AQ396" s="174">
        <f>Buildings_Water_Frontend[[#This Row],[Completeness]]</f>
        <v>0</v>
      </c>
      <c r="AR396" s="174">
        <f>Buildings_Water_Frontend[[#This Row],[Notes]]</f>
        <v>0</v>
      </c>
    </row>
    <row r="397" spans="5:44" x14ac:dyDescent="0.3">
      <c r="E397" s="346"/>
      <c r="F397" s="364"/>
      <c r="G397" s="336"/>
      <c r="H397" s="336"/>
      <c r="I397" s="334"/>
      <c r="J397" s="336"/>
      <c r="K397" s="336"/>
      <c r="L397" s="336"/>
      <c r="M397" s="337"/>
      <c r="N397" s="242">
        <f t="shared" si="11"/>
        <v>5</v>
      </c>
      <c r="Q397" s="212" t="str">
        <f t="shared" si="10"/>
        <v/>
      </c>
      <c r="R397" s="174" t="s">
        <v>265</v>
      </c>
      <c r="S397" s="174" t="s">
        <v>273</v>
      </c>
      <c r="T397" s="174" t="e">
        <f>_xlfn.XLOOKUP(Buildings_Water_Backend[[#This Row],[Info 1]],Buildings_SiteInfo[Site name],Buildings_SiteInfo[Site type])</f>
        <v>#N/A</v>
      </c>
      <c r="U397" s="174" t="s">
        <v>327</v>
      </c>
      <c r="V397" s="174">
        <f>Buildings_Water_Frontend[[#This Row],[Type]]</f>
        <v>0</v>
      </c>
      <c r="W397" s="174" t="e" cm="1">
        <f t="array" aca="1" ref="W397" ca="1">_xlfn.XLOOKUP(Buildings_Water_Backend[[#This Row],[Level 5]],rng_Level5Long,rng_Level6Long)</f>
        <v>#N/A</v>
      </c>
      <c r="X397" s="174">
        <f>Buildings_Water_Frontend[[#This Row],[Site Name]]</f>
        <v>0</v>
      </c>
      <c r="Y397" s="174">
        <f>Buildings_Water_Frontend[[#This Row],[Meter Reference]]</f>
        <v>0</v>
      </c>
      <c r="Z397" s="220">
        <f>Buildings_Water_Frontend[[#This Row],[Methodology]]</f>
        <v>0</v>
      </c>
      <c r="AA397" s="229" t="e" cm="1">
        <f t="array" ref="AA397">INDEX(_xlfn.SWITCH(Buildings_Water_Backend[[#This Row],[Methodology]],"Tier 1",rng_RSD1,"Tier 2",rng_RSD2,"Tier 3",rng_RSD3),MATCH(_xlfn.CONCAT(Buildings_Water_Backend[[#This Row],[Level 1]:[Level 6]]),rng_LevelsConcat,0))</f>
        <v>#N/A</v>
      </c>
      <c r="AB397" s="224">
        <f>Buildings_Water_Frontend[[#This Row],[Data]]</f>
        <v>0</v>
      </c>
      <c r="AC397" s="174">
        <f>Buildings_Water_Frontend[[#This Row],[Units]]</f>
        <v>0</v>
      </c>
      <c r="AD397" s="220" t="e">
        <f>IF(Buildings_Water_Backend[[#This Row],[Units]]=Buildings_Water_Backend[[#This Row],[Standard units]],Buildings_Water_Backend[[#This Row],[Data]],Buildings_Water_Backend[[#This Row],[Data]]*_xlfn.XLOOKUP(_xlfn.CONCAT(Buildings_Water_Backend[[#This Row],[Level 1]:[Level 6]]),rng_EFConcat,rng_EFConversion))</f>
        <v>#N/A</v>
      </c>
      <c r="AE397" s="174" t="e" cm="1">
        <f t="array" ref="AE397">_xlfn.XLOOKUP(_xlfn.CONCAT(Buildings_Water_Backend[[#This Row],[Level 1]:[Level 6]]),rng_LevelsConcat,rng_UnitsLong)</f>
        <v>#N/A</v>
      </c>
      <c r="AF397" s="210" t="e">
        <f>_xlfn.XLOOKUP(_xlfn.CONCAT(Buildings_Water_Backend[[#This Row],[Level 1]:[Level 6]]),rng_EFConcat,rng_EF1)*Buildings_Water_Backend[[#This Row],[Converted data]]/1000</f>
        <v>#N/A</v>
      </c>
      <c r="AG397" s="210" t="e">
        <f>_xlfn.XLOOKUP(_xlfn.CONCAT(Buildings_Water_Backend[[#This Row],[Level 1]:[Level 6]]),rng_EFConcat,rng_EF2)*Buildings_Water_Backend[[#This Row],[Converted data]]/1000</f>
        <v>#N/A</v>
      </c>
      <c r="AH397" s="210" t="e">
        <f>_xlfn.XLOOKUP(_xlfn.CONCAT(Buildings_Water_Backend[[#This Row],[Level 1]:[Level 6]]),rng_EFConcat,rng_EF3)*Buildings_Water_Backend[[#This Row],[Converted data]]/1000</f>
        <v>#N/A</v>
      </c>
      <c r="AI397" s="210" t="e">
        <f>_xlfn.XLOOKUP(_xlfn.CONCAT(Buildings_Water_Backend[[#This Row],[Level 1]:[Level 6]]),rng_EFConcat,rng_EF3WTT)*Buildings_Water_Backend[[#This Row],[Converted data]]/1000</f>
        <v>#N/A</v>
      </c>
      <c r="AJ397" s="210" t="e">
        <f>_xlfn.XLOOKUP(_xlfn.CONCAT(Buildings_Water_Backend[[#This Row],[Level 1]:[Level 6]]),rng_EFConcat,rng_EF3TD)*Buildings_Water_Backend[[#This Row],[Converted data]]/1000</f>
        <v>#N/A</v>
      </c>
      <c r="AK397" s="210" t="e">
        <f>_xlfn.XLOOKUP(_xlfn.CONCAT(Buildings_Water_Backend[[#This Row],[Level 1]:[Level 6]]),rng_EFConcat,rng_EF3WTTTD)*Buildings_Water_Backend[[#This Row],[Converted data]]/1000</f>
        <v>#N/A</v>
      </c>
      <c r="AL397" s="220" t="e">
        <f>SUM(Buildings_Water_Backend[[#This Row],[Scope 1 (tCO2e)]:[Scope 3 WTT T&amp;D (tCO2e)]])</f>
        <v>#N/A</v>
      </c>
      <c r="AM397" s="220" t="e">
        <f>Buildings_Water_Backend[[#This Row],[Total (tCO2e)]]*(1-Buildings_Water_Backend[[#This Row],[RSD]])</f>
        <v>#N/A</v>
      </c>
      <c r="AN397" s="220" t="e">
        <f>Buildings_Water_Backend[[#This Row],[Total (tCO2e)]]*(1+Buildings_Water_Backend[[#This Row],[RSD]])</f>
        <v>#N/A</v>
      </c>
      <c r="AO397" s="210" t="e">
        <f>_xlfn.XLOOKUP(_xlfn.CONCAT(Buildings_Water_Backend[[#This Row],[Level 1]:[Level 6]]),rng_EFConcat,rng_EFOOS)*Buildings_Water_Backend[[#This Row],[Converted data]]/1000</f>
        <v>#N/A</v>
      </c>
      <c r="AP397" s="174">
        <f>Buildings_Water_Frontend[[#This Row],[Ease of collection]]</f>
        <v>0</v>
      </c>
      <c r="AQ397" s="174">
        <f>Buildings_Water_Frontend[[#This Row],[Completeness]]</f>
        <v>0</v>
      </c>
      <c r="AR397" s="174">
        <f>Buildings_Water_Frontend[[#This Row],[Notes]]</f>
        <v>0</v>
      </c>
    </row>
    <row r="398" spans="5:44" x14ac:dyDescent="0.3">
      <c r="E398" s="346"/>
      <c r="F398" s="364"/>
      <c r="G398" s="336"/>
      <c r="H398" s="336"/>
      <c r="I398" s="334"/>
      <c r="J398" s="336"/>
      <c r="K398" s="336"/>
      <c r="L398" s="336"/>
      <c r="M398" s="337"/>
      <c r="N398" s="242">
        <f t="shared" si="11"/>
        <v>5</v>
      </c>
      <c r="Q398" s="212" t="str">
        <f t="shared" si="10"/>
        <v/>
      </c>
      <c r="R398" s="174" t="s">
        <v>265</v>
      </c>
      <c r="S398" s="174" t="s">
        <v>273</v>
      </c>
      <c r="T398" s="174" t="e">
        <f>_xlfn.XLOOKUP(Buildings_Water_Backend[[#This Row],[Info 1]],Buildings_SiteInfo[Site name],Buildings_SiteInfo[Site type])</f>
        <v>#N/A</v>
      </c>
      <c r="U398" s="174" t="s">
        <v>327</v>
      </c>
      <c r="V398" s="174">
        <f>Buildings_Water_Frontend[[#This Row],[Type]]</f>
        <v>0</v>
      </c>
      <c r="W398" s="174" t="e" cm="1">
        <f t="array" aca="1" ref="W398" ca="1">_xlfn.XLOOKUP(Buildings_Water_Backend[[#This Row],[Level 5]],rng_Level5Long,rng_Level6Long)</f>
        <v>#N/A</v>
      </c>
      <c r="X398" s="174">
        <f>Buildings_Water_Frontend[[#This Row],[Site Name]]</f>
        <v>0</v>
      </c>
      <c r="Y398" s="174">
        <f>Buildings_Water_Frontend[[#This Row],[Meter Reference]]</f>
        <v>0</v>
      </c>
      <c r="Z398" s="220">
        <f>Buildings_Water_Frontend[[#This Row],[Methodology]]</f>
        <v>0</v>
      </c>
      <c r="AA398" s="229" t="e" cm="1">
        <f t="array" ref="AA398">INDEX(_xlfn.SWITCH(Buildings_Water_Backend[[#This Row],[Methodology]],"Tier 1",rng_RSD1,"Tier 2",rng_RSD2,"Tier 3",rng_RSD3),MATCH(_xlfn.CONCAT(Buildings_Water_Backend[[#This Row],[Level 1]:[Level 6]]),rng_LevelsConcat,0))</f>
        <v>#N/A</v>
      </c>
      <c r="AB398" s="224">
        <f>Buildings_Water_Frontend[[#This Row],[Data]]</f>
        <v>0</v>
      </c>
      <c r="AC398" s="174">
        <f>Buildings_Water_Frontend[[#This Row],[Units]]</f>
        <v>0</v>
      </c>
      <c r="AD398" s="220" t="e">
        <f>IF(Buildings_Water_Backend[[#This Row],[Units]]=Buildings_Water_Backend[[#This Row],[Standard units]],Buildings_Water_Backend[[#This Row],[Data]],Buildings_Water_Backend[[#This Row],[Data]]*_xlfn.XLOOKUP(_xlfn.CONCAT(Buildings_Water_Backend[[#This Row],[Level 1]:[Level 6]]),rng_EFConcat,rng_EFConversion))</f>
        <v>#N/A</v>
      </c>
      <c r="AE398" s="174" t="e" cm="1">
        <f t="array" ref="AE398">_xlfn.XLOOKUP(_xlfn.CONCAT(Buildings_Water_Backend[[#This Row],[Level 1]:[Level 6]]),rng_LevelsConcat,rng_UnitsLong)</f>
        <v>#N/A</v>
      </c>
      <c r="AF398" s="210" t="e">
        <f>_xlfn.XLOOKUP(_xlfn.CONCAT(Buildings_Water_Backend[[#This Row],[Level 1]:[Level 6]]),rng_EFConcat,rng_EF1)*Buildings_Water_Backend[[#This Row],[Converted data]]/1000</f>
        <v>#N/A</v>
      </c>
      <c r="AG398" s="210" t="e">
        <f>_xlfn.XLOOKUP(_xlfn.CONCAT(Buildings_Water_Backend[[#This Row],[Level 1]:[Level 6]]),rng_EFConcat,rng_EF2)*Buildings_Water_Backend[[#This Row],[Converted data]]/1000</f>
        <v>#N/A</v>
      </c>
      <c r="AH398" s="210" t="e">
        <f>_xlfn.XLOOKUP(_xlfn.CONCAT(Buildings_Water_Backend[[#This Row],[Level 1]:[Level 6]]),rng_EFConcat,rng_EF3)*Buildings_Water_Backend[[#This Row],[Converted data]]/1000</f>
        <v>#N/A</v>
      </c>
      <c r="AI398" s="210" t="e">
        <f>_xlfn.XLOOKUP(_xlfn.CONCAT(Buildings_Water_Backend[[#This Row],[Level 1]:[Level 6]]),rng_EFConcat,rng_EF3WTT)*Buildings_Water_Backend[[#This Row],[Converted data]]/1000</f>
        <v>#N/A</v>
      </c>
      <c r="AJ398" s="210" t="e">
        <f>_xlfn.XLOOKUP(_xlfn.CONCAT(Buildings_Water_Backend[[#This Row],[Level 1]:[Level 6]]),rng_EFConcat,rng_EF3TD)*Buildings_Water_Backend[[#This Row],[Converted data]]/1000</f>
        <v>#N/A</v>
      </c>
      <c r="AK398" s="210" t="e">
        <f>_xlfn.XLOOKUP(_xlfn.CONCAT(Buildings_Water_Backend[[#This Row],[Level 1]:[Level 6]]),rng_EFConcat,rng_EF3WTTTD)*Buildings_Water_Backend[[#This Row],[Converted data]]/1000</f>
        <v>#N/A</v>
      </c>
      <c r="AL398" s="220" t="e">
        <f>SUM(Buildings_Water_Backend[[#This Row],[Scope 1 (tCO2e)]:[Scope 3 WTT T&amp;D (tCO2e)]])</f>
        <v>#N/A</v>
      </c>
      <c r="AM398" s="220" t="e">
        <f>Buildings_Water_Backend[[#This Row],[Total (tCO2e)]]*(1-Buildings_Water_Backend[[#This Row],[RSD]])</f>
        <v>#N/A</v>
      </c>
      <c r="AN398" s="220" t="e">
        <f>Buildings_Water_Backend[[#This Row],[Total (tCO2e)]]*(1+Buildings_Water_Backend[[#This Row],[RSD]])</f>
        <v>#N/A</v>
      </c>
      <c r="AO398" s="210" t="e">
        <f>_xlfn.XLOOKUP(_xlfn.CONCAT(Buildings_Water_Backend[[#This Row],[Level 1]:[Level 6]]),rng_EFConcat,rng_EFOOS)*Buildings_Water_Backend[[#This Row],[Converted data]]/1000</f>
        <v>#N/A</v>
      </c>
      <c r="AP398" s="174">
        <f>Buildings_Water_Frontend[[#This Row],[Ease of collection]]</f>
        <v>0</v>
      </c>
      <c r="AQ398" s="174">
        <f>Buildings_Water_Frontend[[#This Row],[Completeness]]</f>
        <v>0</v>
      </c>
      <c r="AR398" s="174">
        <f>Buildings_Water_Frontend[[#This Row],[Notes]]</f>
        <v>0</v>
      </c>
    </row>
    <row r="399" spans="5:44" x14ac:dyDescent="0.3">
      <c r="E399" s="346"/>
      <c r="F399" s="364"/>
      <c r="G399" s="336"/>
      <c r="H399" s="336"/>
      <c r="I399" s="334"/>
      <c r="J399" s="336"/>
      <c r="K399" s="336"/>
      <c r="L399" s="336"/>
      <c r="M399" s="337"/>
      <c r="N399" s="242">
        <f t="shared" si="11"/>
        <v>5</v>
      </c>
      <c r="Q399" s="212" t="str">
        <f t="shared" ref="Q399:Q462" si="12">IF(N399=0,SUBSTITUTE(2025&amp;TRIM(cl_org_name_select)&amp;TRIM($E$12)&amp;(ROW(N399)-ROW($N$15))," ",""),"")</f>
        <v/>
      </c>
      <c r="R399" s="174" t="s">
        <v>265</v>
      </c>
      <c r="S399" s="174" t="s">
        <v>273</v>
      </c>
      <c r="T399" s="174" t="e">
        <f>_xlfn.XLOOKUP(Buildings_Water_Backend[[#This Row],[Info 1]],Buildings_SiteInfo[Site name],Buildings_SiteInfo[Site type])</f>
        <v>#N/A</v>
      </c>
      <c r="U399" s="174" t="s">
        <v>327</v>
      </c>
      <c r="V399" s="174">
        <f>Buildings_Water_Frontend[[#This Row],[Type]]</f>
        <v>0</v>
      </c>
      <c r="W399" s="174" t="e" cm="1">
        <f t="array" aca="1" ref="W399" ca="1">_xlfn.XLOOKUP(Buildings_Water_Backend[[#This Row],[Level 5]],rng_Level5Long,rng_Level6Long)</f>
        <v>#N/A</v>
      </c>
      <c r="X399" s="174">
        <f>Buildings_Water_Frontend[[#This Row],[Site Name]]</f>
        <v>0</v>
      </c>
      <c r="Y399" s="174">
        <f>Buildings_Water_Frontend[[#This Row],[Meter Reference]]</f>
        <v>0</v>
      </c>
      <c r="Z399" s="220">
        <f>Buildings_Water_Frontend[[#This Row],[Methodology]]</f>
        <v>0</v>
      </c>
      <c r="AA399" s="229" t="e" cm="1">
        <f t="array" ref="AA399">INDEX(_xlfn.SWITCH(Buildings_Water_Backend[[#This Row],[Methodology]],"Tier 1",rng_RSD1,"Tier 2",rng_RSD2,"Tier 3",rng_RSD3),MATCH(_xlfn.CONCAT(Buildings_Water_Backend[[#This Row],[Level 1]:[Level 6]]),rng_LevelsConcat,0))</f>
        <v>#N/A</v>
      </c>
      <c r="AB399" s="224">
        <f>Buildings_Water_Frontend[[#This Row],[Data]]</f>
        <v>0</v>
      </c>
      <c r="AC399" s="174">
        <f>Buildings_Water_Frontend[[#This Row],[Units]]</f>
        <v>0</v>
      </c>
      <c r="AD399" s="220" t="e">
        <f>IF(Buildings_Water_Backend[[#This Row],[Units]]=Buildings_Water_Backend[[#This Row],[Standard units]],Buildings_Water_Backend[[#This Row],[Data]],Buildings_Water_Backend[[#This Row],[Data]]*_xlfn.XLOOKUP(_xlfn.CONCAT(Buildings_Water_Backend[[#This Row],[Level 1]:[Level 6]]),rng_EFConcat,rng_EFConversion))</f>
        <v>#N/A</v>
      </c>
      <c r="AE399" s="174" t="e" cm="1">
        <f t="array" ref="AE399">_xlfn.XLOOKUP(_xlfn.CONCAT(Buildings_Water_Backend[[#This Row],[Level 1]:[Level 6]]),rng_LevelsConcat,rng_UnitsLong)</f>
        <v>#N/A</v>
      </c>
      <c r="AF399" s="210" t="e">
        <f>_xlfn.XLOOKUP(_xlfn.CONCAT(Buildings_Water_Backend[[#This Row],[Level 1]:[Level 6]]),rng_EFConcat,rng_EF1)*Buildings_Water_Backend[[#This Row],[Converted data]]/1000</f>
        <v>#N/A</v>
      </c>
      <c r="AG399" s="210" t="e">
        <f>_xlfn.XLOOKUP(_xlfn.CONCAT(Buildings_Water_Backend[[#This Row],[Level 1]:[Level 6]]),rng_EFConcat,rng_EF2)*Buildings_Water_Backend[[#This Row],[Converted data]]/1000</f>
        <v>#N/A</v>
      </c>
      <c r="AH399" s="210" t="e">
        <f>_xlfn.XLOOKUP(_xlfn.CONCAT(Buildings_Water_Backend[[#This Row],[Level 1]:[Level 6]]),rng_EFConcat,rng_EF3)*Buildings_Water_Backend[[#This Row],[Converted data]]/1000</f>
        <v>#N/A</v>
      </c>
      <c r="AI399" s="210" t="e">
        <f>_xlfn.XLOOKUP(_xlfn.CONCAT(Buildings_Water_Backend[[#This Row],[Level 1]:[Level 6]]),rng_EFConcat,rng_EF3WTT)*Buildings_Water_Backend[[#This Row],[Converted data]]/1000</f>
        <v>#N/A</v>
      </c>
      <c r="AJ399" s="210" t="e">
        <f>_xlfn.XLOOKUP(_xlfn.CONCAT(Buildings_Water_Backend[[#This Row],[Level 1]:[Level 6]]),rng_EFConcat,rng_EF3TD)*Buildings_Water_Backend[[#This Row],[Converted data]]/1000</f>
        <v>#N/A</v>
      </c>
      <c r="AK399" s="210" t="e">
        <f>_xlfn.XLOOKUP(_xlfn.CONCAT(Buildings_Water_Backend[[#This Row],[Level 1]:[Level 6]]),rng_EFConcat,rng_EF3WTTTD)*Buildings_Water_Backend[[#This Row],[Converted data]]/1000</f>
        <v>#N/A</v>
      </c>
      <c r="AL399" s="220" t="e">
        <f>SUM(Buildings_Water_Backend[[#This Row],[Scope 1 (tCO2e)]:[Scope 3 WTT T&amp;D (tCO2e)]])</f>
        <v>#N/A</v>
      </c>
      <c r="AM399" s="220" t="e">
        <f>Buildings_Water_Backend[[#This Row],[Total (tCO2e)]]*(1-Buildings_Water_Backend[[#This Row],[RSD]])</f>
        <v>#N/A</v>
      </c>
      <c r="AN399" s="220" t="e">
        <f>Buildings_Water_Backend[[#This Row],[Total (tCO2e)]]*(1+Buildings_Water_Backend[[#This Row],[RSD]])</f>
        <v>#N/A</v>
      </c>
      <c r="AO399" s="210" t="e">
        <f>_xlfn.XLOOKUP(_xlfn.CONCAT(Buildings_Water_Backend[[#This Row],[Level 1]:[Level 6]]),rng_EFConcat,rng_EFOOS)*Buildings_Water_Backend[[#This Row],[Converted data]]/1000</f>
        <v>#N/A</v>
      </c>
      <c r="AP399" s="174">
        <f>Buildings_Water_Frontend[[#This Row],[Ease of collection]]</f>
        <v>0</v>
      </c>
      <c r="AQ399" s="174">
        <f>Buildings_Water_Frontend[[#This Row],[Completeness]]</f>
        <v>0</v>
      </c>
      <c r="AR399" s="174">
        <f>Buildings_Water_Frontend[[#This Row],[Notes]]</f>
        <v>0</v>
      </c>
    </row>
    <row r="400" spans="5:44" x14ac:dyDescent="0.3">
      <c r="E400" s="346"/>
      <c r="F400" s="364"/>
      <c r="G400" s="336"/>
      <c r="H400" s="336"/>
      <c r="I400" s="334"/>
      <c r="J400" s="336"/>
      <c r="K400" s="336"/>
      <c r="L400" s="336"/>
      <c r="M400" s="337"/>
      <c r="N400" s="242">
        <f t="shared" ref="N400:N463" si="13">ISBLANK(E400)+ISBLANK(G400)+ISBLANK(H400)+ISBLANK(I400)+ISBLANK(J400)</f>
        <v>5</v>
      </c>
      <c r="Q400" s="212" t="str">
        <f t="shared" si="12"/>
        <v/>
      </c>
      <c r="R400" s="174" t="s">
        <v>265</v>
      </c>
      <c r="S400" s="174" t="s">
        <v>273</v>
      </c>
      <c r="T400" s="174" t="e">
        <f>_xlfn.XLOOKUP(Buildings_Water_Backend[[#This Row],[Info 1]],Buildings_SiteInfo[Site name],Buildings_SiteInfo[Site type])</f>
        <v>#N/A</v>
      </c>
      <c r="U400" s="174" t="s">
        <v>327</v>
      </c>
      <c r="V400" s="174">
        <f>Buildings_Water_Frontend[[#This Row],[Type]]</f>
        <v>0</v>
      </c>
      <c r="W400" s="174" t="e" cm="1">
        <f t="array" aca="1" ref="W400" ca="1">_xlfn.XLOOKUP(Buildings_Water_Backend[[#This Row],[Level 5]],rng_Level5Long,rng_Level6Long)</f>
        <v>#N/A</v>
      </c>
      <c r="X400" s="174">
        <f>Buildings_Water_Frontend[[#This Row],[Site Name]]</f>
        <v>0</v>
      </c>
      <c r="Y400" s="174">
        <f>Buildings_Water_Frontend[[#This Row],[Meter Reference]]</f>
        <v>0</v>
      </c>
      <c r="Z400" s="220">
        <f>Buildings_Water_Frontend[[#This Row],[Methodology]]</f>
        <v>0</v>
      </c>
      <c r="AA400" s="229" t="e" cm="1">
        <f t="array" ref="AA400">INDEX(_xlfn.SWITCH(Buildings_Water_Backend[[#This Row],[Methodology]],"Tier 1",rng_RSD1,"Tier 2",rng_RSD2,"Tier 3",rng_RSD3),MATCH(_xlfn.CONCAT(Buildings_Water_Backend[[#This Row],[Level 1]:[Level 6]]),rng_LevelsConcat,0))</f>
        <v>#N/A</v>
      </c>
      <c r="AB400" s="224">
        <f>Buildings_Water_Frontend[[#This Row],[Data]]</f>
        <v>0</v>
      </c>
      <c r="AC400" s="174">
        <f>Buildings_Water_Frontend[[#This Row],[Units]]</f>
        <v>0</v>
      </c>
      <c r="AD400" s="220" t="e">
        <f>IF(Buildings_Water_Backend[[#This Row],[Units]]=Buildings_Water_Backend[[#This Row],[Standard units]],Buildings_Water_Backend[[#This Row],[Data]],Buildings_Water_Backend[[#This Row],[Data]]*_xlfn.XLOOKUP(_xlfn.CONCAT(Buildings_Water_Backend[[#This Row],[Level 1]:[Level 6]]),rng_EFConcat,rng_EFConversion))</f>
        <v>#N/A</v>
      </c>
      <c r="AE400" s="174" t="e" cm="1">
        <f t="array" ref="AE400">_xlfn.XLOOKUP(_xlfn.CONCAT(Buildings_Water_Backend[[#This Row],[Level 1]:[Level 6]]),rng_LevelsConcat,rng_UnitsLong)</f>
        <v>#N/A</v>
      </c>
      <c r="AF400" s="210" t="e">
        <f>_xlfn.XLOOKUP(_xlfn.CONCAT(Buildings_Water_Backend[[#This Row],[Level 1]:[Level 6]]),rng_EFConcat,rng_EF1)*Buildings_Water_Backend[[#This Row],[Converted data]]/1000</f>
        <v>#N/A</v>
      </c>
      <c r="AG400" s="210" t="e">
        <f>_xlfn.XLOOKUP(_xlfn.CONCAT(Buildings_Water_Backend[[#This Row],[Level 1]:[Level 6]]),rng_EFConcat,rng_EF2)*Buildings_Water_Backend[[#This Row],[Converted data]]/1000</f>
        <v>#N/A</v>
      </c>
      <c r="AH400" s="210" t="e">
        <f>_xlfn.XLOOKUP(_xlfn.CONCAT(Buildings_Water_Backend[[#This Row],[Level 1]:[Level 6]]),rng_EFConcat,rng_EF3)*Buildings_Water_Backend[[#This Row],[Converted data]]/1000</f>
        <v>#N/A</v>
      </c>
      <c r="AI400" s="210" t="e">
        <f>_xlfn.XLOOKUP(_xlfn.CONCAT(Buildings_Water_Backend[[#This Row],[Level 1]:[Level 6]]),rng_EFConcat,rng_EF3WTT)*Buildings_Water_Backend[[#This Row],[Converted data]]/1000</f>
        <v>#N/A</v>
      </c>
      <c r="AJ400" s="210" t="e">
        <f>_xlfn.XLOOKUP(_xlfn.CONCAT(Buildings_Water_Backend[[#This Row],[Level 1]:[Level 6]]),rng_EFConcat,rng_EF3TD)*Buildings_Water_Backend[[#This Row],[Converted data]]/1000</f>
        <v>#N/A</v>
      </c>
      <c r="AK400" s="210" t="e">
        <f>_xlfn.XLOOKUP(_xlfn.CONCAT(Buildings_Water_Backend[[#This Row],[Level 1]:[Level 6]]),rng_EFConcat,rng_EF3WTTTD)*Buildings_Water_Backend[[#This Row],[Converted data]]/1000</f>
        <v>#N/A</v>
      </c>
      <c r="AL400" s="220" t="e">
        <f>SUM(Buildings_Water_Backend[[#This Row],[Scope 1 (tCO2e)]:[Scope 3 WTT T&amp;D (tCO2e)]])</f>
        <v>#N/A</v>
      </c>
      <c r="AM400" s="220" t="e">
        <f>Buildings_Water_Backend[[#This Row],[Total (tCO2e)]]*(1-Buildings_Water_Backend[[#This Row],[RSD]])</f>
        <v>#N/A</v>
      </c>
      <c r="AN400" s="220" t="e">
        <f>Buildings_Water_Backend[[#This Row],[Total (tCO2e)]]*(1+Buildings_Water_Backend[[#This Row],[RSD]])</f>
        <v>#N/A</v>
      </c>
      <c r="AO400" s="210" t="e">
        <f>_xlfn.XLOOKUP(_xlfn.CONCAT(Buildings_Water_Backend[[#This Row],[Level 1]:[Level 6]]),rng_EFConcat,rng_EFOOS)*Buildings_Water_Backend[[#This Row],[Converted data]]/1000</f>
        <v>#N/A</v>
      </c>
      <c r="AP400" s="174">
        <f>Buildings_Water_Frontend[[#This Row],[Ease of collection]]</f>
        <v>0</v>
      </c>
      <c r="AQ400" s="174">
        <f>Buildings_Water_Frontend[[#This Row],[Completeness]]</f>
        <v>0</v>
      </c>
      <c r="AR400" s="174">
        <f>Buildings_Water_Frontend[[#This Row],[Notes]]</f>
        <v>0</v>
      </c>
    </row>
    <row r="401" spans="5:44" x14ac:dyDescent="0.3">
      <c r="E401" s="346"/>
      <c r="F401" s="364"/>
      <c r="G401" s="336"/>
      <c r="H401" s="336"/>
      <c r="I401" s="334"/>
      <c r="J401" s="336"/>
      <c r="K401" s="336"/>
      <c r="L401" s="336"/>
      <c r="M401" s="337"/>
      <c r="N401" s="242">
        <f t="shared" si="13"/>
        <v>5</v>
      </c>
      <c r="Q401" s="212" t="str">
        <f t="shared" si="12"/>
        <v/>
      </c>
      <c r="R401" s="174" t="s">
        <v>265</v>
      </c>
      <c r="S401" s="174" t="s">
        <v>273</v>
      </c>
      <c r="T401" s="174" t="e">
        <f>_xlfn.XLOOKUP(Buildings_Water_Backend[[#This Row],[Info 1]],Buildings_SiteInfo[Site name],Buildings_SiteInfo[Site type])</f>
        <v>#N/A</v>
      </c>
      <c r="U401" s="174" t="s">
        <v>327</v>
      </c>
      <c r="V401" s="174">
        <f>Buildings_Water_Frontend[[#This Row],[Type]]</f>
        <v>0</v>
      </c>
      <c r="W401" s="174" t="e" cm="1">
        <f t="array" aca="1" ref="W401" ca="1">_xlfn.XLOOKUP(Buildings_Water_Backend[[#This Row],[Level 5]],rng_Level5Long,rng_Level6Long)</f>
        <v>#N/A</v>
      </c>
      <c r="X401" s="174">
        <f>Buildings_Water_Frontend[[#This Row],[Site Name]]</f>
        <v>0</v>
      </c>
      <c r="Y401" s="174">
        <f>Buildings_Water_Frontend[[#This Row],[Meter Reference]]</f>
        <v>0</v>
      </c>
      <c r="Z401" s="220">
        <f>Buildings_Water_Frontend[[#This Row],[Methodology]]</f>
        <v>0</v>
      </c>
      <c r="AA401" s="229" t="e" cm="1">
        <f t="array" ref="AA401">INDEX(_xlfn.SWITCH(Buildings_Water_Backend[[#This Row],[Methodology]],"Tier 1",rng_RSD1,"Tier 2",rng_RSD2,"Tier 3",rng_RSD3),MATCH(_xlfn.CONCAT(Buildings_Water_Backend[[#This Row],[Level 1]:[Level 6]]),rng_LevelsConcat,0))</f>
        <v>#N/A</v>
      </c>
      <c r="AB401" s="224">
        <f>Buildings_Water_Frontend[[#This Row],[Data]]</f>
        <v>0</v>
      </c>
      <c r="AC401" s="174">
        <f>Buildings_Water_Frontend[[#This Row],[Units]]</f>
        <v>0</v>
      </c>
      <c r="AD401" s="220" t="e">
        <f>IF(Buildings_Water_Backend[[#This Row],[Units]]=Buildings_Water_Backend[[#This Row],[Standard units]],Buildings_Water_Backend[[#This Row],[Data]],Buildings_Water_Backend[[#This Row],[Data]]*_xlfn.XLOOKUP(_xlfn.CONCAT(Buildings_Water_Backend[[#This Row],[Level 1]:[Level 6]]),rng_EFConcat,rng_EFConversion))</f>
        <v>#N/A</v>
      </c>
      <c r="AE401" s="174" t="e" cm="1">
        <f t="array" ref="AE401">_xlfn.XLOOKUP(_xlfn.CONCAT(Buildings_Water_Backend[[#This Row],[Level 1]:[Level 6]]),rng_LevelsConcat,rng_UnitsLong)</f>
        <v>#N/A</v>
      </c>
      <c r="AF401" s="210" t="e">
        <f>_xlfn.XLOOKUP(_xlfn.CONCAT(Buildings_Water_Backend[[#This Row],[Level 1]:[Level 6]]),rng_EFConcat,rng_EF1)*Buildings_Water_Backend[[#This Row],[Converted data]]/1000</f>
        <v>#N/A</v>
      </c>
      <c r="AG401" s="210" t="e">
        <f>_xlfn.XLOOKUP(_xlfn.CONCAT(Buildings_Water_Backend[[#This Row],[Level 1]:[Level 6]]),rng_EFConcat,rng_EF2)*Buildings_Water_Backend[[#This Row],[Converted data]]/1000</f>
        <v>#N/A</v>
      </c>
      <c r="AH401" s="210" t="e">
        <f>_xlfn.XLOOKUP(_xlfn.CONCAT(Buildings_Water_Backend[[#This Row],[Level 1]:[Level 6]]),rng_EFConcat,rng_EF3)*Buildings_Water_Backend[[#This Row],[Converted data]]/1000</f>
        <v>#N/A</v>
      </c>
      <c r="AI401" s="210" t="e">
        <f>_xlfn.XLOOKUP(_xlfn.CONCAT(Buildings_Water_Backend[[#This Row],[Level 1]:[Level 6]]),rng_EFConcat,rng_EF3WTT)*Buildings_Water_Backend[[#This Row],[Converted data]]/1000</f>
        <v>#N/A</v>
      </c>
      <c r="AJ401" s="210" t="e">
        <f>_xlfn.XLOOKUP(_xlfn.CONCAT(Buildings_Water_Backend[[#This Row],[Level 1]:[Level 6]]),rng_EFConcat,rng_EF3TD)*Buildings_Water_Backend[[#This Row],[Converted data]]/1000</f>
        <v>#N/A</v>
      </c>
      <c r="AK401" s="210" t="e">
        <f>_xlfn.XLOOKUP(_xlfn.CONCAT(Buildings_Water_Backend[[#This Row],[Level 1]:[Level 6]]),rng_EFConcat,rng_EF3WTTTD)*Buildings_Water_Backend[[#This Row],[Converted data]]/1000</f>
        <v>#N/A</v>
      </c>
      <c r="AL401" s="220" t="e">
        <f>SUM(Buildings_Water_Backend[[#This Row],[Scope 1 (tCO2e)]:[Scope 3 WTT T&amp;D (tCO2e)]])</f>
        <v>#N/A</v>
      </c>
      <c r="AM401" s="220" t="e">
        <f>Buildings_Water_Backend[[#This Row],[Total (tCO2e)]]*(1-Buildings_Water_Backend[[#This Row],[RSD]])</f>
        <v>#N/A</v>
      </c>
      <c r="AN401" s="220" t="e">
        <f>Buildings_Water_Backend[[#This Row],[Total (tCO2e)]]*(1+Buildings_Water_Backend[[#This Row],[RSD]])</f>
        <v>#N/A</v>
      </c>
      <c r="AO401" s="210" t="e">
        <f>_xlfn.XLOOKUP(_xlfn.CONCAT(Buildings_Water_Backend[[#This Row],[Level 1]:[Level 6]]),rng_EFConcat,rng_EFOOS)*Buildings_Water_Backend[[#This Row],[Converted data]]/1000</f>
        <v>#N/A</v>
      </c>
      <c r="AP401" s="174">
        <f>Buildings_Water_Frontend[[#This Row],[Ease of collection]]</f>
        <v>0</v>
      </c>
      <c r="AQ401" s="174">
        <f>Buildings_Water_Frontend[[#This Row],[Completeness]]</f>
        <v>0</v>
      </c>
      <c r="AR401" s="174">
        <f>Buildings_Water_Frontend[[#This Row],[Notes]]</f>
        <v>0</v>
      </c>
    </row>
    <row r="402" spans="5:44" x14ac:dyDescent="0.3">
      <c r="E402" s="346"/>
      <c r="F402" s="364"/>
      <c r="G402" s="336"/>
      <c r="H402" s="336"/>
      <c r="I402" s="334"/>
      <c r="J402" s="336"/>
      <c r="K402" s="336"/>
      <c r="L402" s="336"/>
      <c r="M402" s="337"/>
      <c r="N402" s="242">
        <f t="shared" si="13"/>
        <v>5</v>
      </c>
      <c r="Q402" s="212" t="str">
        <f t="shared" si="12"/>
        <v/>
      </c>
      <c r="R402" s="174" t="s">
        <v>265</v>
      </c>
      <c r="S402" s="174" t="s">
        <v>273</v>
      </c>
      <c r="T402" s="174" t="e">
        <f>_xlfn.XLOOKUP(Buildings_Water_Backend[[#This Row],[Info 1]],Buildings_SiteInfo[Site name],Buildings_SiteInfo[Site type])</f>
        <v>#N/A</v>
      </c>
      <c r="U402" s="174" t="s">
        <v>327</v>
      </c>
      <c r="V402" s="174">
        <f>Buildings_Water_Frontend[[#This Row],[Type]]</f>
        <v>0</v>
      </c>
      <c r="W402" s="174" t="e" cm="1">
        <f t="array" aca="1" ref="W402" ca="1">_xlfn.XLOOKUP(Buildings_Water_Backend[[#This Row],[Level 5]],rng_Level5Long,rng_Level6Long)</f>
        <v>#N/A</v>
      </c>
      <c r="X402" s="174">
        <f>Buildings_Water_Frontend[[#This Row],[Site Name]]</f>
        <v>0</v>
      </c>
      <c r="Y402" s="174">
        <f>Buildings_Water_Frontend[[#This Row],[Meter Reference]]</f>
        <v>0</v>
      </c>
      <c r="Z402" s="220">
        <f>Buildings_Water_Frontend[[#This Row],[Methodology]]</f>
        <v>0</v>
      </c>
      <c r="AA402" s="229" t="e" cm="1">
        <f t="array" ref="AA402">INDEX(_xlfn.SWITCH(Buildings_Water_Backend[[#This Row],[Methodology]],"Tier 1",rng_RSD1,"Tier 2",rng_RSD2,"Tier 3",rng_RSD3),MATCH(_xlfn.CONCAT(Buildings_Water_Backend[[#This Row],[Level 1]:[Level 6]]),rng_LevelsConcat,0))</f>
        <v>#N/A</v>
      </c>
      <c r="AB402" s="224">
        <f>Buildings_Water_Frontend[[#This Row],[Data]]</f>
        <v>0</v>
      </c>
      <c r="AC402" s="174">
        <f>Buildings_Water_Frontend[[#This Row],[Units]]</f>
        <v>0</v>
      </c>
      <c r="AD402" s="220" t="e">
        <f>IF(Buildings_Water_Backend[[#This Row],[Units]]=Buildings_Water_Backend[[#This Row],[Standard units]],Buildings_Water_Backend[[#This Row],[Data]],Buildings_Water_Backend[[#This Row],[Data]]*_xlfn.XLOOKUP(_xlfn.CONCAT(Buildings_Water_Backend[[#This Row],[Level 1]:[Level 6]]),rng_EFConcat,rng_EFConversion))</f>
        <v>#N/A</v>
      </c>
      <c r="AE402" s="174" t="e" cm="1">
        <f t="array" ref="AE402">_xlfn.XLOOKUP(_xlfn.CONCAT(Buildings_Water_Backend[[#This Row],[Level 1]:[Level 6]]),rng_LevelsConcat,rng_UnitsLong)</f>
        <v>#N/A</v>
      </c>
      <c r="AF402" s="210" t="e">
        <f>_xlfn.XLOOKUP(_xlfn.CONCAT(Buildings_Water_Backend[[#This Row],[Level 1]:[Level 6]]),rng_EFConcat,rng_EF1)*Buildings_Water_Backend[[#This Row],[Converted data]]/1000</f>
        <v>#N/A</v>
      </c>
      <c r="AG402" s="210" t="e">
        <f>_xlfn.XLOOKUP(_xlfn.CONCAT(Buildings_Water_Backend[[#This Row],[Level 1]:[Level 6]]),rng_EFConcat,rng_EF2)*Buildings_Water_Backend[[#This Row],[Converted data]]/1000</f>
        <v>#N/A</v>
      </c>
      <c r="AH402" s="210" t="e">
        <f>_xlfn.XLOOKUP(_xlfn.CONCAT(Buildings_Water_Backend[[#This Row],[Level 1]:[Level 6]]),rng_EFConcat,rng_EF3)*Buildings_Water_Backend[[#This Row],[Converted data]]/1000</f>
        <v>#N/A</v>
      </c>
      <c r="AI402" s="210" t="e">
        <f>_xlfn.XLOOKUP(_xlfn.CONCAT(Buildings_Water_Backend[[#This Row],[Level 1]:[Level 6]]),rng_EFConcat,rng_EF3WTT)*Buildings_Water_Backend[[#This Row],[Converted data]]/1000</f>
        <v>#N/A</v>
      </c>
      <c r="AJ402" s="210" t="e">
        <f>_xlfn.XLOOKUP(_xlfn.CONCAT(Buildings_Water_Backend[[#This Row],[Level 1]:[Level 6]]),rng_EFConcat,rng_EF3TD)*Buildings_Water_Backend[[#This Row],[Converted data]]/1000</f>
        <v>#N/A</v>
      </c>
      <c r="AK402" s="210" t="e">
        <f>_xlfn.XLOOKUP(_xlfn.CONCAT(Buildings_Water_Backend[[#This Row],[Level 1]:[Level 6]]),rng_EFConcat,rng_EF3WTTTD)*Buildings_Water_Backend[[#This Row],[Converted data]]/1000</f>
        <v>#N/A</v>
      </c>
      <c r="AL402" s="220" t="e">
        <f>SUM(Buildings_Water_Backend[[#This Row],[Scope 1 (tCO2e)]:[Scope 3 WTT T&amp;D (tCO2e)]])</f>
        <v>#N/A</v>
      </c>
      <c r="AM402" s="220" t="e">
        <f>Buildings_Water_Backend[[#This Row],[Total (tCO2e)]]*(1-Buildings_Water_Backend[[#This Row],[RSD]])</f>
        <v>#N/A</v>
      </c>
      <c r="AN402" s="220" t="e">
        <f>Buildings_Water_Backend[[#This Row],[Total (tCO2e)]]*(1+Buildings_Water_Backend[[#This Row],[RSD]])</f>
        <v>#N/A</v>
      </c>
      <c r="AO402" s="210" t="e">
        <f>_xlfn.XLOOKUP(_xlfn.CONCAT(Buildings_Water_Backend[[#This Row],[Level 1]:[Level 6]]),rng_EFConcat,rng_EFOOS)*Buildings_Water_Backend[[#This Row],[Converted data]]/1000</f>
        <v>#N/A</v>
      </c>
      <c r="AP402" s="174">
        <f>Buildings_Water_Frontend[[#This Row],[Ease of collection]]</f>
        <v>0</v>
      </c>
      <c r="AQ402" s="174">
        <f>Buildings_Water_Frontend[[#This Row],[Completeness]]</f>
        <v>0</v>
      </c>
      <c r="AR402" s="174">
        <f>Buildings_Water_Frontend[[#This Row],[Notes]]</f>
        <v>0</v>
      </c>
    </row>
    <row r="403" spans="5:44" x14ac:dyDescent="0.3">
      <c r="E403" s="346"/>
      <c r="F403" s="364"/>
      <c r="G403" s="336"/>
      <c r="H403" s="336"/>
      <c r="I403" s="334"/>
      <c r="J403" s="336"/>
      <c r="K403" s="336"/>
      <c r="L403" s="336"/>
      <c r="M403" s="337"/>
      <c r="N403" s="242">
        <f t="shared" si="13"/>
        <v>5</v>
      </c>
      <c r="Q403" s="212" t="str">
        <f t="shared" si="12"/>
        <v/>
      </c>
      <c r="R403" s="174" t="s">
        <v>265</v>
      </c>
      <c r="S403" s="174" t="s">
        <v>273</v>
      </c>
      <c r="T403" s="174" t="e">
        <f>_xlfn.XLOOKUP(Buildings_Water_Backend[[#This Row],[Info 1]],Buildings_SiteInfo[Site name],Buildings_SiteInfo[Site type])</f>
        <v>#N/A</v>
      </c>
      <c r="U403" s="174" t="s">
        <v>327</v>
      </c>
      <c r="V403" s="174">
        <f>Buildings_Water_Frontend[[#This Row],[Type]]</f>
        <v>0</v>
      </c>
      <c r="W403" s="174" t="e" cm="1">
        <f t="array" aca="1" ref="W403" ca="1">_xlfn.XLOOKUP(Buildings_Water_Backend[[#This Row],[Level 5]],rng_Level5Long,rng_Level6Long)</f>
        <v>#N/A</v>
      </c>
      <c r="X403" s="174">
        <f>Buildings_Water_Frontend[[#This Row],[Site Name]]</f>
        <v>0</v>
      </c>
      <c r="Y403" s="174">
        <f>Buildings_Water_Frontend[[#This Row],[Meter Reference]]</f>
        <v>0</v>
      </c>
      <c r="Z403" s="220">
        <f>Buildings_Water_Frontend[[#This Row],[Methodology]]</f>
        <v>0</v>
      </c>
      <c r="AA403" s="229" t="e" cm="1">
        <f t="array" ref="AA403">INDEX(_xlfn.SWITCH(Buildings_Water_Backend[[#This Row],[Methodology]],"Tier 1",rng_RSD1,"Tier 2",rng_RSD2,"Tier 3",rng_RSD3),MATCH(_xlfn.CONCAT(Buildings_Water_Backend[[#This Row],[Level 1]:[Level 6]]),rng_LevelsConcat,0))</f>
        <v>#N/A</v>
      </c>
      <c r="AB403" s="224">
        <f>Buildings_Water_Frontend[[#This Row],[Data]]</f>
        <v>0</v>
      </c>
      <c r="AC403" s="174">
        <f>Buildings_Water_Frontend[[#This Row],[Units]]</f>
        <v>0</v>
      </c>
      <c r="AD403" s="220" t="e">
        <f>IF(Buildings_Water_Backend[[#This Row],[Units]]=Buildings_Water_Backend[[#This Row],[Standard units]],Buildings_Water_Backend[[#This Row],[Data]],Buildings_Water_Backend[[#This Row],[Data]]*_xlfn.XLOOKUP(_xlfn.CONCAT(Buildings_Water_Backend[[#This Row],[Level 1]:[Level 6]]),rng_EFConcat,rng_EFConversion))</f>
        <v>#N/A</v>
      </c>
      <c r="AE403" s="174" t="e" cm="1">
        <f t="array" ref="AE403">_xlfn.XLOOKUP(_xlfn.CONCAT(Buildings_Water_Backend[[#This Row],[Level 1]:[Level 6]]),rng_LevelsConcat,rng_UnitsLong)</f>
        <v>#N/A</v>
      </c>
      <c r="AF403" s="210" t="e">
        <f>_xlfn.XLOOKUP(_xlfn.CONCAT(Buildings_Water_Backend[[#This Row],[Level 1]:[Level 6]]),rng_EFConcat,rng_EF1)*Buildings_Water_Backend[[#This Row],[Converted data]]/1000</f>
        <v>#N/A</v>
      </c>
      <c r="AG403" s="210" t="e">
        <f>_xlfn.XLOOKUP(_xlfn.CONCAT(Buildings_Water_Backend[[#This Row],[Level 1]:[Level 6]]),rng_EFConcat,rng_EF2)*Buildings_Water_Backend[[#This Row],[Converted data]]/1000</f>
        <v>#N/A</v>
      </c>
      <c r="AH403" s="210" t="e">
        <f>_xlfn.XLOOKUP(_xlfn.CONCAT(Buildings_Water_Backend[[#This Row],[Level 1]:[Level 6]]),rng_EFConcat,rng_EF3)*Buildings_Water_Backend[[#This Row],[Converted data]]/1000</f>
        <v>#N/A</v>
      </c>
      <c r="AI403" s="210" t="e">
        <f>_xlfn.XLOOKUP(_xlfn.CONCAT(Buildings_Water_Backend[[#This Row],[Level 1]:[Level 6]]),rng_EFConcat,rng_EF3WTT)*Buildings_Water_Backend[[#This Row],[Converted data]]/1000</f>
        <v>#N/A</v>
      </c>
      <c r="AJ403" s="210" t="e">
        <f>_xlfn.XLOOKUP(_xlfn.CONCAT(Buildings_Water_Backend[[#This Row],[Level 1]:[Level 6]]),rng_EFConcat,rng_EF3TD)*Buildings_Water_Backend[[#This Row],[Converted data]]/1000</f>
        <v>#N/A</v>
      </c>
      <c r="AK403" s="210" t="e">
        <f>_xlfn.XLOOKUP(_xlfn.CONCAT(Buildings_Water_Backend[[#This Row],[Level 1]:[Level 6]]),rng_EFConcat,rng_EF3WTTTD)*Buildings_Water_Backend[[#This Row],[Converted data]]/1000</f>
        <v>#N/A</v>
      </c>
      <c r="AL403" s="220" t="e">
        <f>SUM(Buildings_Water_Backend[[#This Row],[Scope 1 (tCO2e)]:[Scope 3 WTT T&amp;D (tCO2e)]])</f>
        <v>#N/A</v>
      </c>
      <c r="AM403" s="220" t="e">
        <f>Buildings_Water_Backend[[#This Row],[Total (tCO2e)]]*(1-Buildings_Water_Backend[[#This Row],[RSD]])</f>
        <v>#N/A</v>
      </c>
      <c r="AN403" s="220" t="e">
        <f>Buildings_Water_Backend[[#This Row],[Total (tCO2e)]]*(1+Buildings_Water_Backend[[#This Row],[RSD]])</f>
        <v>#N/A</v>
      </c>
      <c r="AO403" s="210" t="e">
        <f>_xlfn.XLOOKUP(_xlfn.CONCAT(Buildings_Water_Backend[[#This Row],[Level 1]:[Level 6]]),rng_EFConcat,rng_EFOOS)*Buildings_Water_Backend[[#This Row],[Converted data]]/1000</f>
        <v>#N/A</v>
      </c>
      <c r="AP403" s="174">
        <f>Buildings_Water_Frontend[[#This Row],[Ease of collection]]</f>
        <v>0</v>
      </c>
      <c r="AQ403" s="174">
        <f>Buildings_Water_Frontend[[#This Row],[Completeness]]</f>
        <v>0</v>
      </c>
      <c r="AR403" s="174">
        <f>Buildings_Water_Frontend[[#This Row],[Notes]]</f>
        <v>0</v>
      </c>
    </row>
    <row r="404" spans="5:44" x14ac:dyDescent="0.3">
      <c r="E404" s="346"/>
      <c r="F404" s="364"/>
      <c r="G404" s="336"/>
      <c r="H404" s="336"/>
      <c r="I404" s="334"/>
      <c r="J404" s="336"/>
      <c r="K404" s="336"/>
      <c r="L404" s="336"/>
      <c r="M404" s="337"/>
      <c r="N404" s="242">
        <f t="shared" si="13"/>
        <v>5</v>
      </c>
      <c r="Q404" s="212" t="str">
        <f t="shared" si="12"/>
        <v/>
      </c>
      <c r="R404" s="174" t="s">
        <v>265</v>
      </c>
      <c r="S404" s="174" t="s">
        <v>273</v>
      </c>
      <c r="T404" s="174" t="e">
        <f>_xlfn.XLOOKUP(Buildings_Water_Backend[[#This Row],[Info 1]],Buildings_SiteInfo[Site name],Buildings_SiteInfo[Site type])</f>
        <v>#N/A</v>
      </c>
      <c r="U404" s="174" t="s">
        <v>327</v>
      </c>
      <c r="V404" s="174">
        <f>Buildings_Water_Frontend[[#This Row],[Type]]</f>
        <v>0</v>
      </c>
      <c r="W404" s="174" t="e" cm="1">
        <f t="array" aca="1" ref="W404" ca="1">_xlfn.XLOOKUP(Buildings_Water_Backend[[#This Row],[Level 5]],rng_Level5Long,rng_Level6Long)</f>
        <v>#N/A</v>
      </c>
      <c r="X404" s="174">
        <f>Buildings_Water_Frontend[[#This Row],[Site Name]]</f>
        <v>0</v>
      </c>
      <c r="Y404" s="174">
        <f>Buildings_Water_Frontend[[#This Row],[Meter Reference]]</f>
        <v>0</v>
      </c>
      <c r="Z404" s="220">
        <f>Buildings_Water_Frontend[[#This Row],[Methodology]]</f>
        <v>0</v>
      </c>
      <c r="AA404" s="229" t="e" cm="1">
        <f t="array" ref="AA404">INDEX(_xlfn.SWITCH(Buildings_Water_Backend[[#This Row],[Methodology]],"Tier 1",rng_RSD1,"Tier 2",rng_RSD2,"Tier 3",rng_RSD3),MATCH(_xlfn.CONCAT(Buildings_Water_Backend[[#This Row],[Level 1]:[Level 6]]),rng_LevelsConcat,0))</f>
        <v>#N/A</v>
      </c>
      <c r="AB404" s="224">
        <f>Buildings_Water_Frontend[[#This Row],[Data]]</f>
        <v>0</v>
      </c>
      <c r="AC404" s="174">
        <f>Buildings_Water_Frontend[[#This Row],[Units]]</f>
        <v>0</v>
      </c>
      <c r="AD404" s="220" t="e">
        <f>IF(Buildings_Water_Backend[[#This Row],[Units]]=Buildings_Water_Backend[[#This Row],[Standard units]],Buildings_Water_Backend[[#This Row],[Data]],Buildings_Water_Backend[[#This Row],[Data]]*_xlfn.XLOOKUP(_xlfn.CONCAT(Buildings_Water_Backend[[#This Row],[Level 1]:[Level 6]]),rng_EFConcat,rng_EFConversion))</f>
        <v>#N/A</v>
      </c>
      <c r="AE404" s="174" t="e" cm="1">
        <f t="array" ref="AE404">_xlfn.XLOOKUP(_xlfn.CONCAT(Buildings_Water_Backend[[#This Row],[Level 1]:[Level 6]]),rng_LevelsConcat,rng_UnitsLong)</f>
        <v>#N/A</v>
      </c>
      <c r="AF404" s="210" t="e">
        <f>_xlfn.XLOOKUP(_xlfn.CONCAT(Buildings_Water_Backend[[#This Row],[Level 1]:[Level 6]]),rng_EFConcat,rng_EF1)*Buildings_Water_Backend[[#This Row],[Converted data]]/1000</f>
        <v>#N/A</v>
      </c>
      <c r="AG404" s="210" t="e">
        <f>_xlfn.XLOOKUP(_xlfn.CONCAT(Buildings_Water_Backend[[#This Row],[Level 1]:[Level 6]]),rng_EFConcat,rng_EF2)*Buildings_Water_Backend[[#This Row],[Converted data]]/1000</f>
        <v>#N/A</v>
      </c>
      <c r="AH404" s="210" t="e">
        <f>_xlfn.XLOOKUP(_xlfn.CONCAT(Buildings_Water_Backend[[#This Row],[Level 1]:[Level 6]]),rng_EFConcat,rng_EF3)*Buildings_Water_Backend[[#This Row],[Converted data]]/1000</f>
        <v>#N/A</v>
      </c>
      <c r="AI404" s="210" t="e">
        <f>_xlfn.XLOOKUP(_xlfn.CONCAT(Buildings_Water_Backend[[#This Row],[Level 1]:[Level 6]]),rng_EFConcat,rng_EF3WTT)*Buildings_Water_Backend[[#This Row],[Converted data]]/1000</f>
        <v>#N/A</v>
      </c>
      <c r="AJ404" s="210" t="e">
        <f>_xlfn.XLOOKUP(_xlfn.CONCAT(Buildings_Water_Backend[[#This Row],[Level 1]:[Level 6]]),rng_EFConcat,rng_EF3TD)*Buildings_Water_Backend[[#This Row],[Converted data]]/1000</f>
        <v>#N/A</v>
      </c>
      <c r="AK404" s="210" t="e">
        <f>_xlfn.XLOOKUP(_xlfn.CONCAT(Buildings_Water_Backend[[#This Row],[Level 1]:[Level 6]]),rng_EFConcat,rng_EF3WTTTD)*Buildings_Water_Backend[[#This Row],[Converted data]]/1000</f>
        <v>#N/A</v>
      </c>
      <c r="AL404" s="220" t="e">
        <f>SUM(Buildings_Water_Backend[[#This Row],[Scope 1 (tCO2e)]:[Scope 3 WTT T&amp;D (tCO2e)]])</f>
        <v>#N/A</v>
      </c>
      <c r="AM404" s="220" t="e">
        <f>Buildings_Water_Backend[[#This Row],[Total (tCO2e)]]*(1-Buildings_Water_Backend[[#This Row],[RSD]])</f>
        <v>#N/A</v>
      </c>
      <c r="AN404" s="220" t="e">
        <f>Buildings_Water_Backend[[#This Row],[Total (tCO2e)]]*(1+Buildings_Water_Backend[[#This Row],[RSD]])</f>
        <v>#N/A</v>
      </c>
      <c r="AO404" s="210" t="e">
        <f>_xlfn.XLOOKUP(_xlfn.CONCAT(Buildings_Water_Backend[[#This Row],[Level 1]:[Level 6]]),rng_EFConcat,rng_EFOOS)*Buildings_Water_Backend[[#This Row],[Converted data]]/1000</f>
        <v>#N/A</v>
      </c>
      <c r="AP404" s="174">
        <f>Buildings_Water_Frontend[[#This Row],[Ease of collection]]</f>
        <v>0</v>
      </c>
      <c r="AQ404" s="174">
        <f>Buildings_Water_Frontend[[#This Row],[Completeness]]</f>
        <v>0</v>
      </c>
      <c r="AR404" s="174">
        <f>Buildings_Water_Frontend[[#This Row],[Notes]]</f>
        <v>0</v>
      </c>
    </row>
    <row r="405" spans="5:44" x14ac:dyDescent="0.3">
      <c r="E405" s="346"/>
      <c r="F405" s="364"/>
      <c r="G405" s="336"/>
      <c r="H405" s="336"/>
      <c r="I405" s="334"/>
      <c r="J405" s="336"/>
      <c r="K405" s="336"/>
      <c r="L405" s="336"/>
      <c r="M405" s="337"/>
      <c r="N405" s="242">
        <f t="shared" si="13"/>
        <v>5</v>
      </c>
      <c r="Q405" s="212" t="str">
        <f t="shared" si="12"/>
        <v/>
      </c>
      <c r="R405" s="174" t="s">
        <v>265</v>
      </c>
      <c r="S405" s="174" t="s">
        <v>273</v>
      </c>
      <c r="T405" s="174" t="e">
        <f>_xlfn.XLOOKUP(Buildings_Water_Backend[[#This Row],[Info 1]],Buildings_SiteInfo[Site name],Buildings_SiteInfo[Site type])</f>
        <v>#N/A</v>
      </c>
      <c r="U405" s="174" t="s">
        <v>327</v>
      </c>
      <c r="V405" s="174">
        <f>Buildings_Water_Frontend[[#This Row],[Type]]</f>
        <v>0</v>
      </c>
      <c r="W405" s="174" t="e" cm="1">
        <f t="array" aca="1" ref="W405" ca="1">_xlfn.XLOOKUP(Buildings_Water_Backend[[#This Row],[Level 5]],rng_Level5Long,rng_Level6Long)</f>
        <v>#N/A</v>
      </c>
      <c r="X405" s="174">
        <f>Buildings_Water_Frontend[[#This Row],[Site Name]]</f>
        <v>0</v>
      </c>
      <c r="Y405" s="174">
        <f>Buildings_Water_Frontend[[#This Row],[Meter Reference]]</f>
        <v>0</v>
      </c>
      <c r="Z405" s="220">
        <f>Buildings_Water_Frontend[[#This Row],[Methodology]]</f>
        <v>0</v>
      </c>
      <c r="AA405" s="229" t="e" cm="1">
        <f t="array" ref="AA405">INDEX(_xlfn.SWITCH(Buildings_Water_Backend[[#This Row],[Methodology]],"Tier 1",rng_RSD1,"Tier 2",rng_RSD2,"Tier 3",rng_RSD3),MATCH(_xlfn.CONCAT(Buildings_Water_Backend[[#This Row],[Level 1]:[Level 6]]),rng_LevelsConcat,0))</f>
        <v>#N/A</v>
      </c>
      <c r="AB405" s="224">
        <f>Buildings_Water_Frontend[[#This Row],[Data]]</f>
        <v>0</v>
      </c>
      <c r="AC405" s="174">
        <f>Buildings_Water_Frontend[[#This Row],[Units]]</f>
        <v>0</v>
      </c>
      <c r="AD405" s="220" t="e">
        <f>IF(Buildings_Water_Backend[[#This Row],[Units]]=Buildings_Water_Backend[[#This Row],[Standard units]],Buildings_Water_Backend[[#This Row],[Data]],Buildings_Water_Backend[[#This Row],[Data]]*_xlfn.XLOOKUP(_xlfn.CONCAT(Buildings_Water_Backend[[#This Row],[Level 1]:[Level 6]]),rng_EFConcat,rng_EFConversion))</f>
        <v>#N/A</v>
      </c>
      <c r="AE405" s="174" t="e" cm="1">
        <f t="array" ref="AE405">_xlfn.XLOOKUP(_xlfn.CONCAT(Buildings_Water_Backend[[#This Row],[Level 1]:[Level 6]]),rng_LevelsConcat,rng_UnitsLong)</f>
        <v>#N/A</v>
      </c>
      <c r="AF405" s="210" t="e">
        <f>_xlfn.XLOOKUP(_xlfn.CONCAT(Buildings_Water_Backend[[#This Row],[Level 1]:[Level 6]]),rng_EFConcat,rng_EF1)*Buildings_Water_Backend[[#This Row],[Converted data]]/1000</f>
        <v>#N/A</v>
      </c>
      <c r="AG405" s="210" t="e">
        <f>_xlfn.XLOOKUP(_xlfn.CONCAT(Buildings_Water_Backend[[#This Row],[Level 1]:[Level 6]]),rng_EFConcat,rng_EF2)*Buildings_Water_Backend[[#This Row],[Converted data]]/1000</f>
        <v>#N/A</v>
      </c>
      <c r="AH405" s="210" t="e">
        <f>_xlfn.XLOOKUP(_xlfn.CONCAT(Buildings_Water_Backend[[#This Row],[Level 1]:[Level 6]]),rng_EFConcat,rng_EF3)*Buildings_Water_Backend[[#This Row],[Converted data]]/1000</f>
        <v>#N/A</v>
      </c>
      <c r="AI405" s="210" t="e">
        <f>_xlfn.XLOOKUP(_xlfn.CONCAT(Buildings_Water_Backend[[#This Row],[Level 1]:[Level 6]]),rng_EFConcat,rng_EF3WTT)*Buildings_Water_Backend[[#This Row],[Converted data]]/1000</f>
        <v>#N/A</v>
      </c>
      <c r="AJ405" s="210" t="e">
        <f>_xlfn.XLOOKUP(_xlfn.CONCAT(Buildings_Water_Backend[[#This Row],[Level 1]:[Level 6]]),rng_EFConcat,rng_EF3TD)*Buildings_Water_Backend[[#This Row],[Converted data]]/1000</f>
        <v>#N/A</v>
      </c>
      <c r="AK405" s="210" t="e">
        <f>_xlfn.XLOOKUP(_xlfn.CONCAT(Buildings_Water_Backend[[#This Row],[Level 1]:[Level 6]]),rng_EFConcat,rng_EF3WTTTD)*Buildings_Water_Backend[[#This Row],[Converted data]]/1000</f>
        <v>#N/A</v>
      </c>
      <c r="AL405" s="220" t="e">
        <f>SUM(Buildings_Water_Backend[[#This Row],[Scope 1 (tCO2e)]:[Scope 3 WTT T&amp;D (tCO2e)]])</f>
        <v>#N/A</v>
      </c>
      <c r="AM405" s="220" t="e">
        <f>Buildings_Water_Backend[[#This Row],[Total (tCO2e)]]*(1-Buildings_Water_Backend[[#This Row],[RSD]])</f>
        <v>#N/A</v>
      </c>
      <c r="AN405" s="220" t="e">
        <f>Buildings_Water_Backend[[#This Row],[Total (tCO2e)]]*(1+Buildings_Water_Backend[[#This Row],[RSD]])</f>
        <v>#N/A</v>
      </c>
      <c r="AO405" s="210" t="e">
        <f>_xlfn.XLOOKUP(_xlfn.CONCAT(Buildings_Water_Backend[[#This Row],[Level 1]:[Level 6]]),rng_EFConcat,rng_EFOOS)*Buildings_Water_Backend[[#This Row],[Converted data]]/1000</f>
        <v>#N/A</v>
      </c>
      <c r="AP405" s="174">
        <f>Buildings_Water_Frontend[[#This Row],[Ease of collection]]</f>
        <v>0</v>
      </c>
      <c r="AQ405" s="174">
        <f>Buildings_Water_Frontend[[#This Row],[Completeness]]</f>
        <v>0</v>
      </c>
      <c r="AR405" s="174">
        <f>Buildings_Water_Frontend[[#This Row],[Notes]]</f>
        <v>0</v>
      </c>
    </row>
    <row r="406" spans="5:44" x14ac:dyDescent="0.3">
      <c r="E406" s="346"/>
      <c r="F406" s="364"/>
      <c r="G406" s="336"/>
      <c r="H406" s="336"/>
      <c r="I406" s="334"/>
      <c r="J406" s="336"/>
      <c r="K406" s="336"/>
      <c r="L406" s="336"/>
      <c r="M406" s="337"/>
      <c r="N406" s="242">
        <f t="shared" si="13"/>
        <v>5</v>
      </c>
      <c r="Q406" s="212" t="str">
        <f t="shared" si="12"/>
        <v/>
      </c>
      <c r="R406" s="174" t="s">
        <v>265</v>
      </c>
      <c r="S406" s="174" t="s">
        <v>273</v>
      </c>
      <c r="T406" s="174" t="e">
        <f>_xlfn.XLOOKUP(Buildings_Water_Backend[[#This Row],[Info 1]],Buildings_SiteInfo[Site name],Buildings_SiteInfo[Site type])</f>
        <v>#N/A</v>
      </c>
      <c r="U406" s="174" t="s">
        <v>327</v>
      </c>
      <c r="V406" s="174">
        <f>Buildings_Water_Frontend[[#This Row],[Type]]</f>
        <v>0</v>
      </c>
      <c r="W406" s="174" t="e" cm="1">
        <f t="array" aca="1" ref="W406" ca="1">_xlfn.XLOOKUP(Buildings_Water_Backend[[#This Row],[Level 5]],rng_Level5Long,rng_Level6Long)</f>
        <v>#N/A</v>
      </c>
      <c r="X406" s="174">
        <f>Buildings_Water_Frontend[[#This Row],[Site Name]]</f>
        <v>0</v>
      </c>
      <c r="Y406" s="174">
        <f>Buildings_Water_Frontend[[#This Row],[Meter Reference]]</f>
        <v>0</v>
      </c>
      <c r="Z406" s="220">
        <f>Buildings_Water_Frontend[[#This Row],[Methodology]]</f>
        <v>0</v>
      </c>
      <c r="AA406" s="229" t="e" cm="1">
        <f t="array" ref="AA406">INDEX(_xlfn.SWITCH(Buildings_Water_Backend[[#This Row],[Methodology]],"Tier 1",rng_RSD1,"Tier 2",rng_RSD2,"Tier 3",rng_RSD3),MATCH(_xlfn.CONCAT(Buildings_Water_Backend[[#This Row],[Level 1]:[Level 6]]),rng_LevelsConcat,0))</f>
        <v>#N/A</v>
      </c>
      <c r="AB406" s="224">
        <f>Buildings_Water_Frontend[[#This Row],[Data]]</f>
        <v>0</v>
      </c>
      <c r="AC406" s="174">
        <f>Buildings_Water_Frontend[[#This Row],[Units]]</f>
        <v>0</v>
      </c>
      <c r="AD406" s="220" t="e">
        <f>IF(Buildings_Water_Backend[[#This Row],[Units]]=Buildings_Water_Backend[[#This Row],[Standard units]],Buildings_Water_Backend[[#This Row],[Data]],Buildings_Water_Backend[[#This Row],[Data]]*_xlfn.XLOOKUP(_xlfn.CONCAT(Buildings_Water_Backend[[#This Row],[Level 1]:[Level 6]]),rng_EFConcat,rng_EFConversion))</f>
        <v>#N/A</v>
      </c>
      <c r="AE406" s="174" t="e" cm="1">
        <f t="array" ref="AE406">_xlfn.XLOOKUP(_xlfn.CONCAT(Buildings_Water_Backend[[#This Row],[Level 1]:[Level 6]]),rng_LevelsConcat,rng_UnitsLong)</f>
        <v>#N/A</v>
      </c>
      <c r="AF406" s="210" t="e">
        <f>_xlfn.XLOOKUP(_xlfn.CONCAT(Buildings_Water_Backend[[#This Row],[Level 1]:[Level 6]]),rng_EFConcat,rng_EF1)*Buildings_Water_Backend[[#This Row],[Converted data]]/1000</f>
        <v>#N/A</v>
      </c>
      <c r="AG406" s="210" t="e">
        <f>_xlfn.XLOOKUP(_xlfn.CONCAT(Buildings_Water_Backend[[#This Row],[Level 1]:[Level 6]]),rng_EFConcat,rng_EF2)*Buildings_Water_Backend[[#This Row],[Converted data]]/1000</f>
        <v>#N/A</v>
      </c>
      <c r="AH406" s="210" t="e">
        <f>_xlfn.XLOOKUP(_xlfn.CONCAT(Buildings_Water_Backend[[#This Row],[Level 1]:[Level 6]]),rng_EFConcat,rng_EF3)*Buildings_Water_Backend[[#This Row],[Converted data]]/1000</f>
        <v>#N/A</v>
      </c>
      <c r="AI406" s="210" t="e">
        <f>_xlfn.XLOOKUP(_xlfn.CONCAT(Buildings_Water_Backend[[#This Row],[Level 1]:[Level 6]]),rng_EFConcat,rng_EF3WTT)*Buildings_Water_Backend[[#This Row],[Converted data]]/1000</f>
        <v>#N/A</v>
      </c>
      <c r="AJ406" s="210" t="e">
        <f>_xlfn.XLOOKUP(_xlfn.CONCAT(Buildings_Water_Backend[[#This Row],[Level 1]:[Level 6]]),rng_EFConcat,rng_EF3TD)*Buildings_Water_Backend[[#This Row],[Converted data]]/1000</f>
        <v>#N/A</v>
      </c>
      <c r="AK406" s="210" t="e">
        <f>_xlfn.XLOOKUP(_xlfn.CONCAT(Buildings_Water_Backend[[#This Row],[Level 1]:[Level 6]]),rng_EFConcat,rng_EF3WTTTD)*Buildings_Water_Backend[[#This Row],[Converted data]]/1000</f>
        <v>#N/A</v>
      </c>
      <c r="AL406" s="220" t="e">
        <f>SUM(Buildings_Water_Backend[[#This Row],[Scope 1 (tCO2e)]:[Scope 3 WTT T&amp;D (tCO2e)]])</f>
        <v>#N/A</v>
      </c>
      <c r="AM406" s="220" t="e">
        <f>Buildings_Water_Backend[[#This Row],[Total (tCO2e)]]*(1-Buildings_Water_Backend[[#This Row],[RSD]])</f>
        <v>#N/A</v>
      </c>
      <c r="AN406" s="220" t="e">
        <f>Buildings_Water_Backend[[#This Row],[Total (tCO2e)]]*(1+Buildings_Water_Backend[[#This Row],[RSD]])</f>
        <v>#N/A</v>
      </c>
      <c r="AO406" s="210" t="e">
        <f>_xlfn.XLOOKUP(_xlfn.CONCAT(Buildings_Water_Backend[[#This Row],[Level 1]:[Level 6]]),rng_EFConcat,rng_EFOOS)*Buildings_Water_Backend[[#This Row],[Converted data]]/1000</f>
        <v>#N/A</v>
      </c>
      <c r="AP406" s="174">
        <f>Buildings_Water_Frontend[[#This Row],[Ease of collection]]</f>
        <v>0</v>
      </c>
      <c r="AQ406" s="174">
        <f>Buildings_Water_Frontend[[#This Row],[Completeness]]</f>
        <v>0</v>
      </c>
      <c r="AR406" s="174">
        <f>Buildings_Water_Frontend[[#This Row],[Notes]]</f>
        <v>0</v>
      </c>
    </row>
    <row r="407" spans="5:44" x14ac:dyDescent="0.3">
      <c r="E407" s="346"/>
      <c r="F407" s="364"/>
      <c r="G407" s="336"/>
      <c r="H407" s="336"/>
      <c r="I407" s="334"/>
      <c r="J407" s="336"/>
      <c r="K407" s="336"/>
      <c r="L407" s="336"/>
      <c r="M407" s="337"/>
      <c r="N407" s="242">
        <f t="shared" si="13"/>
        <v>5</v>
      </c>
      <c r="Q407" s="212" t="str">
        <f t="shared" si="12"/>
        <v/>
      </c>
      <c r="R407" s="174" t="s">
        <v>265</v>
      </c>
      <c r="S407" s="174" t="s">
        <v>273</v>
      </c>
      <c r="T407" s="174" t="e">
        <f>_xlfn.XLOOKUP(Buildings_Water_Backend[[#This Row],[Info 1]],Buildings_SiteInfo[Site name],Buildings_SiteInfo[Site type])</f>
        <v>#N/A</v>
      </c>
      <c r="U407" s="174" t="s">
        <v>327</v>
      </c>
      <c r="V407" s="174">
        <f>Buildings_Water_Frontend[[#This Row],[Type]]</f>
        <v>0</v>
      </c>
      <c r="W407" s="174" t="e" cm="1">
        <f t="array" aca="1" ref="W407" ca="1">_xlfn.XLOOKUP(Buildings_Water_Backend[[#This Row],[Level 5]],rng_Level5Long,rng_Level6Long)</f>
        <v>#N/A</v>
      </c>
      <c r="X407" s="174">
        <f>Buildings_Water_Frontend[[#This Row],[Site Name]]</f>
        <v>0</v>
      </c>
      <c r="Y407" s="174">
        <f>Buildings_Water_Frontend[[#This Row],[Meter Reference]]</f>
        <v>0</v>
      </c>
      <c r="Z407" s="220">
        <f>Buildings_Water_Frontend[[#This Row],[Methodology]]</f>
        <v>0</v>
      </c>
      <c r="AA407" s="229" t="e" cm="1">
        <f t="array" ref="AA407">INDEX(_xlfn.SWITCH(Buildings_Water_Backend[[#This Row],[Methodology]],"Tier 1",rng_RSD1,"Tier 2",rng_RSD2,"Tier 3",rng_RSD3),MATCH(_xlfn.CONCAT(Buildings_Water_Backend[[#This Row],[Level 1]:[Level 6]]),rng_LevelsConcat,0))</f>
        <v>#N/A</v>
      </c>
      <c r="AB407" s="224">
        <f>Buildings_Water_Frontend[[#This Row],[Data]]</f>
        <v>0</v>
      </c>
      <c r="AC407" s="174">
        <f>Buildings_Water_Frontend[[#This Row],[Units]]</f>
        <v>0</v>
      </c>
      <c r="AD407" s="220" t="e">
        <f>IF(Buildings_Water_Backend[[#This Row],[Units]]=Buildings_Water_Backend[[#This Row],[Standard units]],Buildings_Water_Backend[[#This Row],[Data]],Buildings_Water_Backend[[#This Row],[Data]]*_xlfn.XLOOKUP(_xlfn.CONCAT(Buildings_Water_Backend[[#This Row],[Level 1]:[Level 6]]),rng_EFConcat,rng_EFConversion))</f>
        <v>#N/A</v>
      </c>
      <c r="AE407" s="174" t="e" cm="1">
        <f t="array" ref="AE407">_xlfn.XLOOKUP(_xlfn.CONCAT(Buildings_Water_Backend[[#This Row],[Level 1]:[Level 6]]),rng_LevelsConcat,rng_UnitsLong)</f>
        <v>#N/A</v>
      </c>
      <c r="AF407" s="210" t="e">
        <f>_xlfn.XLOOKUP(_xlfn.CONCAT(Buildings_Water_Backend[[#This Row],[Level 1]:[Level 6]]),rng_EFConcat,rng_EF1)*Buildings_Water_Backend[[#This Row],[Converted data]]/1000</f>
        <v>#N/A</v>
      </c>
      <c r="AG407" s="210" t="e">
        <f>_xlfn.XLOOKUP(_xlfn.CONCAT(Buildings_Water_Backend[[#This Row],[Level 1]:[Level 6]]),rng_EFConcat,rng_EF2)*Buildings_Water_Backend[[#This Row],[Converted data]]/1000</f>
        <v>#N/A</v>
      </c>
      <c r="AH407" s="210" t="e">
        <f>_xlfn.XLOOKUP(_xlfn.CONCAT(Buildings_Water_Backend[[#This Row],[Level 1]:[Level 6]]),rng_EFConcat,rng_EF3)*Buildings_Water_Backend[[#This Row],[Converted data]]/1000</f>
        <v>#N/A</v>
      </c>
      <c r="AI407" s="210" t="e">
        <f>_xlfn.XLOOKUP(_xlfn.CONCAT(Buildings_Water_Backend[[#This Row],[Level 1]:[Level 6]]),rng_EFConcat,rng_EF3WTT)*Buildings_Water_Backend[[#This Row],[Converted data]]/1000</f>
        <v>#N/A</v>
      </c>
      <c r="AJ407" s="210" t="e">
        <f>_xlfn.XLOOKUP(_xlfn.CONCAT(Buildings_Water_Backend[[#This Row],[Level 1]:[Level 6]]),rng_EFConcat,rng_EF3TD)*Buildings_Water_Backend[[#This Row],[Converted data]]/1000</f>
        <v>#N/A</v>
      </c>
      <c r="AK407" s="210" t="e">
        <f>_xlfn.XLOOKUP(_xlfn.CONCAT(Buildings_Water_Backend[[#This Row],[Level 1]:[Level 6]]),rng_EFConcat,rng_EF3WTTTD)*Buildings_Water_Backend[[#This Row],[Converted data]]/1000</f>
        <v>#N/A</v>
      </c>
      <c r="AL407" s="220" t="e">
        <f>SUM(Buildings_Water_Backend[[#This Row],[Scope 1 (tCO2e)]:[Scope 3 WTT T&amp;D (tCO2e)]])</f>
        <v>#N/A</v>
      </c>
      <c r="AM407" s="220" t="e">
        <f>Buildings_Water_Backend[[#This Row],[Total (tCO2e)]]*(1-Buildings_Water_Backend[[#This Row],[RSD]])</f>
        <v>#N/A</v>
      </c>
      <c r="AN407" s="220" t="e">
        <f>Buildings_Water_Backend[[#This Row],[Total (tCO2e)]]*(1+Buildings_Water_Backend[[#This Row],[RSD]])</f>
        <v>#N/A</v>
      </c>
      <c r="AO407" s="210" t="e">
        <f>_xlfn.XLOOKUP(_xlfn.CONCAT(Buildings_Water_Backend[[#This Row],[Level 1]:[Level 6]]),rng_EFConcat,rng_EFOOS)*Buildings_Water_Backend[[#This Row],[Converted data]]/1000</f>
        <v>#N/A</v>
      </c>
      <c r="AP407" s="174">
        <f>Buildings_Water_Frontend[[#This Row],[Ease of collection]]</f>
        <v>0</v>
      </c>
      <c r="AQ407" s="174">
        <f>Buildings_Water_Frontend[[#This Row],[Completeness]]</f>
        <v>0</v>
      </c>
      <c r="AR407" s="174">
        <f>Buildings_Water_Frontend[[#This Row],[Notes]]</f>
        <v>0</v>
      </c>
    </row>
    <row r="408" spans="5:44" x14ac:dyDescent="0.3">
      <c r="E408" s="346"/>
      <c r="F408" s="364"/>
      <c r="G408" s="336"/>
      <c r="H408" s="336"/>
      <c r="I408" s="334"/>
      <c r="J408" s="336"/>
      <c r="K408" s="336"/>
      <c r="L408" s="336"/>
      <c r="M408" s="337"/>
      <c r="N408" s="242">
        <f t="shared" si="13"/>
        <v>5</v>
      </c>
      <c r="Q408" s="212" t="str">
        <f t="shared" si="12"/>
        <v/>
      </c>
      <c r="R408" s="174" t="s">
        <v>265</v>
      </c>
      <c r="S408" s="174" t="s">
        <v>273</v>
      </c>
      <c r="T408" s="174" t="e">
        <f>_xlfn.XLOOKUP(Buildings_Water_Backend[[#This Row],[Info 1]],Buildings_SiteInfo[Site name],Buildings_SiteInfo[Site type])</f>
        <v>#N/A</v>
      </c>
      <c r="U408" s="174" t="s">
        <v>327</v>
      </c>
      <c r="V408" s="174">
        <f>Buildings_Water_Frontend[[#This Row],[Type]]</f>
        <v>0</v>
      </c>
      <c r="W408" s="174" t="e" cm="1">
        <f t="array" aca="1" ref="W408" ca="1">_xlfn.XLOOKUP(Buildings_Water_Backend[[#This Row],[Level 5]],rng_Level5Long,rng_Level6Long)</f>
        <v>#N/A</v>
      </c>
      <c r="X408" s="174">
        <f>Buildings_Water_Frontend[[#This Row],[Site Name]]</f>
        <v>0</v>
      </c>
      <c r="Y408" s="174">
        <f>Buildings_Water_Frontend[[#This Row],[Meter Reference]]</f>
        <v>0</v>
      </c>
      <c r="Z408" s="220">
        <f>Buildings_Water_Frontend[[#This Row],[Methodology]]</f>
        <v>0</v>
      </c>
      <c r="AA408" s="229" t="e" cm="1">
        <f t="array" ref="AA408">INDEX(_xlfn.SWITCH(Buildings_Water_Backend[[#This Row],[Methodology]],"Tier 1",rng_RSD1,"Tier 2",rng_RSD2,"Tier 3",rng_RSD3),MATCH(_xlfn.CONCAT(Buildings_Water_Backend[[#This Row],[Level 1]:[Level 6]]),rng_LevelsConcat,0))</f>
        <v>#N/A</v>
      </c>
      <c r="AB408" s="224">
        <f>Buildings_Water_Frontend[[#This Row],[Data]]</f>
        <v>0</v>
      </c>
      <c r="AC408" s="174">
        <f>Buildings_Water_Frontend[[#This Row],[Units]]</f>
        <v>0</v>
      </c>
      <c r="AD408" s="220" t="e">
        <f>IF(Buildings_Water_Backend[[#This Row],[Units]]=Buildings_Water_Backend[[#This Row],[Standard units]],Buildings_Water_Backend[[#This Row],[Data]],Buildings_Water_Backend[[#This Row],[Data]]*_xlfn.XLOOKUP(_xlfn.CONCAT(Buildings_Water_Backend[[#This Row],[Level 1]:[Level 6]]),rng_EFConcat,rng_EFConversion))</f>
        <v>#N/A</v>
      </c>
      <c r="AE408" s="174" t="e" cm="1">
        <f t="array" ref="AE408">_xlfn.XLOOKUP(_xlfn.CONCAT(Buildings_Water_Backend[[#This Row],[Level 1]:[Level 6]]),rng_LevelsConcat,rng_UnitsLong)</f>
        <v>#N/A</v>
      </c>
      <c r="AF408" s="210" t="e">
        <f>_xlfn.XLOOKUP(_xlfn.CONCAT(Buildings_Water_Backend[[#This Row],[Level 1]:[Level 6]]),rng_EFConcat,rng_EF1)*Buildings_Water_Backend[[#This Row],[Converted data]]/1000</f>
        <v>#N/A</v>
      </c>
      <c r="AG408" s="210" t="e">
        <f>_xlfn.XLOOKUP(_xlfn.CONCAT(Buildings_Water_Backend[[#This Row],[Level 1]:[Level 6]]),rng_EFConcat,rng_EF2)*Buildings_Water_Backend[[#This Row],[Converted data]]/1000</f>
        <v>#N/A</v>
      </c>
      <c r="AH408" s="210" t="e">
        <f>_xlfn.XLOOKUP(_xlfn.CONCAT(Buildings_Water_Backend[[#This Row],[Level 1]:[Level 6]]),rng_EFConcat,rng_EF3)*Buildings_Water_Backend[[#This Row],[Converted data]]/1000</f>
        <v>#N/A</v>
      </c>
      <c r="AI408" s="210" t="e">
        <f>_xlfn.XLOOKUP(_xlfn.CONCAT(Buildings_Water_Backend[[#This Row],[Level 1]:[Level 6]]),rng_EFConcat,rng_EF3WTT)*Buildings_Water_Backend[[#This Row],[Converted data]]/1000</f>
        <v>#N/A</v>
      </c>
      <c r="AJ408" s="210" t="e">
        <f>_xlfn.XLOOKUP(_xlfn.CONCAT(Buildings_Water_Backend[[#This Row],[Level 1]:[Level 6]]),rng_EFConcat,rng_EF3TD)*Buildings_Water_Backend[[#This Row],[Converted data]]/1000</f>
        <v>#N/A</v>
      </c>
      <c r="AK408" s="210" t="e">
        <f>_xlfn.XLOOKUP(_xlfn.CONCAT(Buildings_Water_Backend[[#This Row],[Level 1]:[Level 6]]),rng_EFConcat,rng_EF3WTTTD)*Buildings_Water_Backend[[#This Row],[Converted data]]/1000</f>
        <v>#N/A</v>
      </c>
      <c r="AL408" s="220" t="e">
        <f>SUM(Buildings_Water_Backend[[#This Row],[Scope 1 (tCO2e)]:[Scope 3 WTT T&amp;D (tCO2e)]])</f>
        <v>#N/A</v>
      </c>
      <c r="AM408" s="220" t="e">
        <f>Buildings_Water_Backend[[#This Row],[Total (tCO2e)]]*(1-Buildings_Water_Backend[[#This Row],[RSD]])</f>
        <v>#N/A</v>
      </c>
      <c r="AN408" s="220" t="e">
        <f>Buildings_Water_Backend[[#This Row],[Total (tCO2e)]]*(1+Buildings_Water_Backend[[#This Row],[RSD]])</f>
        <v>#N/A</v>
      </c>
      <c r="AO408" s="210" t="e">
        <f>_xlfn.XLOOKUP(_xlfn.CONCAT(Buildings_Water_Backend[[#This Row],[Level 1]:[Level 6]]),rng_EFConcat,rng_EFOOS)*Buildings_Water_Backend[[#This Row],[Converted data]]/1000</f>
        <v>#N/A</v>
      </c>
      <c r="AP408" s="174">
        <f>Buildings_Water_Frontend[[#This Row],[Ease of collection]]</f>
        <v>0</v>
      </c>
      <c r="AQ408" s="174">
        <f>Buildings_Water_Frontend[[#This Row],[Completeness]]</f>
        <v>0</v>
      </c>
      <c r="AR408" s="174">
        <f>Buildings_Water_Frontend[[#This Row],[Notes]]</f>
        <v>0</v>
      </c>
    </row>
    <row r="409" spans="5:44" x14ac:dyDescent="0.3">
      <c r="E409" s="346"/>
      <c r="F409" s="364"/>
      <c r="G409" s="336"/>
      <c r="H409" s="336"/>
      <c r="I409" s="334"/>
      <c r="J409" s="336"/>
      <c r="K409" s="336"/>
      <c r="L409" s="336"/>
      <c r="M409" s="337"/>
      <c r="N409" s="242">
        <f t="shared" si="13"/>
        <v>5</v>
      </c>
      <c r="Q409" s="212" t="str">
        <f t="shared" si="12"/>
        <v/>
      </c>
      <c r="R409" s="174" t="s">
        <v>265</v>
      </c>
      <c r="S409" s="174" t="s">
        <v>273</v>
      </c>
      <c r="T409" s="174" t="e">
        <f>_xlfn.XLOOKUP(Buildings_Water_Backend[[#This Row],[Info 1]],Buildings_SiteInfo[Site name],Buildings_SiteInfo[Site type])</f>
        <v>#N/A</v>
      </c>
      <c r="U409" s="174" t="s">
        <v>327</v>
      </c>
      <c r="V409" s="174">
        <f>Buildings_Water_Frontend[[#This Row],[Type]]</f>
        <v>0</v>
      </c>
      <c r="W409" s="174" t="e" cm="1">
        <f t="array" aca="1" ref="W409" ca="1">_xlfn.XLOOKUP(Buildings_Water_Backend[[#This Row],[Level 5]],rng_Level5Long,rng_Level6Long)</f>
        <v>#N/A</v>
      </c>
      <c r="X409" s="174">
        <f>Buildings_Water_Frontend[[#This Row],[Site Name]]</f>
        <v>0</v>
      </c>
      <c r="Y409" s="174">
        <f>Buildings_Water_Frontend[[#This Row],[Meter Reference]]</f>
        <v>0</v>
      </c>
      <c r="Z409" s="220">
        <f>Buildings_Water_Frontend[[#This Row],[Methodology]]</f>
        <v>0</v>
      </c>
      <c r="AA409" s="229" t="e" cm="1">
        <f t="array" ref="AA409">INDEX(_xlfn.SWITCH(Buildings_Water_Backend[[#This Row],[Methodology]],"Tier 1",rng_RSD1,"Tier 2",rng_RSD2,"Tier 3",rng_RSD3),MATCH(_xlfn.CONCAT(Buildings_Water_Backend[[#This Row],[Level 1]:[Level 6]]),rng_LevelsConcat,0))</f>
        <v>#N/A</v>
      </c>
      <c r="AB409" s="224">
        <f>Buildings_Water_Frontend[[#This Row],[Data]]</f>
        <v>0</v>
      </c>
      <c r="AC409" s="174">
        <f>Buildings_Water_Frontend[[#This Row],[Units]]</f>
        <v>0</v>
      </c>
      <c r="AD409" s="220" t="e">
        <f>IF(Buildings_Water_Backend[[#This Row],[Units]]=Buildings_Water_Backend[[#This Row],[Standard units]],Buildings_Water_Backend[[#This Row],[Data]],Buildings_Water_Backend[[#This Row],[Data]]*_xlfn.XLOOKUP(_xlfn.CONCAT(Buildings_Water_Backend[[#This Row],[Level 1]:[Level 6]]),rng_EFConcat,rng_EFConversion))</f>
        <v>#N/A</v>
      </c>
      <c r="AE409" s="174" t="e" cm="1">
        <f t="array" ref="AE409">_xlfn.XLOOKUP(_xlfn.CONCAT(Buildings_Water_Backend[[#This Row],[Level 1]:[Level 6]]),rng_LevelsConcat,rng_UnitsLong)</f>
        <v>#N/A</v>
      </c>
      <c r="AF409" s="210" t="e">
        <f>_xlfn.XLOOKUP(_xlfn.CONCAT(Buildings_Water_Backend[[#This Row],[Level 1]:[Level 6]]),rng_EFConcat,rng_EF1)*Buildings_Water_Backend[[#This Row],[Converted data]]/1000</f>
        <v>#N/A</v>
      </c>
      <c r="AG409" s="210" t="e">
        <f>_xlfn.XLOOKUP(_xlfn.CONCAT(Buildings_Water_Backend[[#This Row],[Level 1]:[Level 6]]),rng_EFConcat,rng_EF2)*Buildings_Water_Backend[[#This Row],[Converted data]]/1000</f>
        <v>#N/A</v>
      </c>
      <c r="AH409" s="210" t="e">
        <f>_xlfn.XLOOKUP(_xlfn.CONCAT(Buildings_Water_Backend[[#This Row],[Level 1]:[Level 6]]),rng_EFConcat,rng_EF3)*Buildings_Water_Backend[[#This Row],[Converted data]]/1000</f>
        <v>#N/A</v>
      </c>
      <c r="AI409" s="210" t="e">
        <f>_xlfn.XLOOKUP(_xlfn.CONCAT(Buildings_Water_Backend[[#This Row],[Level 1]:[Level 6]]),rng_EFConcat,rng_EF3WTT)*Buildings_Water_Backend[[#This Row],[Converted data]]/1000</f>
        <v>#N/A</v>
      </c>
      <c r="AJ409" s="210" t="e">
        <f>_xlfn.XLOOKUP(_xlfn.CONCAT(Buildings_Water_Backend[[#This Row],[Level 1]:[Level 6]]),rng_EFConcat,rng_EF3TD)*Buildings_Water_Backend[[#This Row],[Converted data]]/1000</f>
        <v>#N/A</v>
      </c>
      <c r="AK409" s="210" t="e">
        <f>_xlfn.XLOOKUP(_xlfn.CONCAT(Buildings_Water_Backend[[#This Row],[Level 1]:[Level 6]]),rng_EFConcat,rng_EF3WTTTD)*Buildings_Water_Backend[[#This Row],[Converted data]]/1000</f>
        <v>#N/A</v>
      </c>
      <c r="AL409" s="220" t="e">
        <f>SUM(Buildings_Water_Backend[[#This Row],[Scope 1 (tCO2e)]:[Scope 3 WTT T&amp;D (tCO2e)]])</f>
        <v>#N/A</v>
      </c>
      <c r="AM409" s="220" t="e">
        <f>Buildings_Water_Backend[[#This Row],[Total (tCO2e)]]*(1-Buildings_Water_Backend[[#This Row],[RSD]])</f>
        <v>#N/A</v>
      </c>
      <c r="AN409" s="220" t="e">
        <f>Buildings_Water_Backend[[#This Row],[Total (tCO2e)]]*(1+Buildings_Water_Backend[[#This Row],[RSD]])</f>
        <v>#N/A</v>
      </c>
      <c r="AO409" s="210" t="e">
        <f>_xlfn.XLOOKUP(_xlfn.CONCAT(Buildings_Water_Backend[[#This Row],[Level 1]:[Level 6]]),rng_EFConcat,rng_EFOOS)*Buildings_Water_Backend[[#This Row],[Converted data]]/1000</f>
        <v>#N/A</v>
      </c>
      <c r="AP409" s="174">
        <f>Buildings_Water_Frontend[[#This Row],[Ease of collection]]</f>
        <v>0</v>
      </c>
      <c r="AQ409" s="174">
        <f>Buildings_Water_Frontend[[#This Row],[Completeness]]</f>
        <v>0</v>
      </c>
      <c r="AR409" s="174">
        <f>Buildings_Water_Frontend[[#This Row],[Notes]]</f>
        <v>0</v>
      </c>
    </row>
    <row r="410" spans="5:44" x14ac:dyDescent="0.3">
      <c r="E410" s="346"/>
      <c r="F410" s="364"/>
      <c r="G410" s="336"/>
      <c r="H410" s="336"/>
      <c r="I410" s="334"/>
      <c r="J410" s="336"/>
      <c r="K410" s="336"/>
      <c r="L410" s="336"/>
      <c r="M410" s="337"/>
      <c r="N410" s="242">
        <f t="shared" si="13"/>
        <v>5</v>
      </c>
      <c r="Q410" s="212" t="str">
        <f t="shared" si="12"/>
        <v/>
      </c>
      <c r="R410" s="174" t="s">
        <v>265</v>
      </c>
      <c r="S410" s="174" t="s">
        <v>273</v>
      </c>
      <c r="T410" s="174" t="e">
        <f>_xlfn.XLOOKUP(Buildings_Water_Backend[[#This Row],[Info 1]],Buildings_SiteInfo[Site name],Buildings_SiteInfo[Site type])</f>
        <v>#N/A</v>
      </c>
      <c r="U410" s="174" t="s">
        <v>327</v>
      </c>
      <c r="V410" s="174">
        <f>Buildings_Water_Frontend[[#This Row],[Type]]</f>
        <v>0</v>
      </c>
      <c r="W410" s="174" t="e" cm="1">
        <f t="array" aca="1" ref="W410" ca="1">_xlfn.XLOOKUP(Buildings_Water_Backend[[#This Row],[Level 5]],rng_Level5Long,rng_Level6Long)</f>
        <v>#N/A</v>
      </c>
      <c r="X410" s="174">
        <f>Buildings_Water_Frontend[[#This Row],[Site Name]]</f>
        <v>0</v>
      </c>
      <c r="Y410" s="174">
        <f>Buildings_Water_Frontend[[#This Row],[Meter Reference]]</f>
        <v>0</v>
      </c>
      <c r="Z410" s="220">
        <f>Buildings_Water_Frontend[[#This Row],[Methodology]]</f>
        <v>0</v>
      </c>
      <c r="AA410" s="229" t="e" cm="1">
        <f t="array" ref="AA410">INDEX(_xlfn.SWITCH(Buildings_Water_Backend[[#This Row],[Methodology]],"Tier 1",rng_RSD1,"Tier 2",rng_RSD2,"Tier 3",rng_RSD3),MATCH(_xlfn.CONCAT(Buildings_Water_Backend[[#This Row],[Level 1]:[Level 6]]),rng_LevelsConcat,0))</f>
        <v>#N/A</v>
      </c>
      <c r="AB410" s="224">
        <f>Buildings_Water_Frontend[[#This Row],[Data]]</f>
        <v>0</v>
      </c>
      <c r="AC410" s="174">
        <f>Buildings_Water_Frontend[[#This Row],[Units]]</f>
        <v>0</v>
      </c>
      <c r="AD410" s="220" t="e">
        <f>IF(Buildings_Water_Backend[[#This Row],[Units]]=Buildings_Water_Backend[[#This Row],[Standard units]],Buildings_Water_Backend[[#This Row],[Data]],Buildings_Water_Backend[[#This Row],[Data]]*_xlfn.XLOOKUP(_xlfn.CONCAT(Buildings_Water_Backend[[#This Row],[Level 1]:[Level 6]]),rng_EFConcat,rng_EFConversion))</f>
        <v>#N/A</v>
      </c>
      <c r="AE410" s="174" t="e" cm="1">
        <f t="array" ref="AE410">_xlfn.XLOOKUP(_xlfn.CONCAT(Buildings_Water_Backend[[#This Row],[Level 1]:[Level 6]]),rng_LevelsConcat,rng_UnitsLong)</f>
        <v>#N/A</v>
      </c>
      <c r="AF410" s="210" t="e">
        <f>_xlfn.XLOOKUP(_xlfn.CONCAT(Buildings_Water_Backend[[#This Row],[Level 1]:[Level 6]]),rng_EFConcat,rng_EF1)*Buildings_Water_Backend[[#This Row],[Converted data]]/1000</f>
        <v>#N/A</v>
      </c>
      <c r="AG410" s="210" t="e">
        <f>_xlfn.XLOOKUP(_xlfn.CONCAT(Buildings_Water_Backend[[#This Row],[Level 1]:[Level 6]]),rng_EFConcat,rng_EF2)*Buildings_Water_Backend[[#This Row],[Converted data]]/1000</f>
        <v>#N/A</v>
      </c>
      <c r="AH410" s="210" t="e">
        <f>_xlfn.XLOOKUP(_xlfn.CONCAT(Buildings_Water_Backend[[#This Row],[Level 1]:[Level 6]]),rng_EFConcat,rng_EF3)*Buildings_Water_Backend[[#This Row],[Converted data]]/1000</f>
        <v>#N/A</v>
      </c>
      <c r="AI410" s="210" t="e">
        <f>_xlfn.XLOOKUP(_xlfn.CONCAT(Buildings_Water_Backend[[#This Row],[Level 1]:[Level 6]]),rng_EFConcat,rng_EF3WTT)*Buildings_Water_Backend[[#This Row],[Converted data]]/1000</f>
        <v>#N/A</v>
      </c>
      <c r="AJ410" s="210" t="e">
        <f>_xlfn.XLOOKUP(_xlfn.CONCAT(Buildings_Water_Backend[[#This Row],[Level 1]:[Level 6]]),rng_EFConcat,rng_EF3TD)*Buildings_Water_Backend[[#This Row],[Converted data]]/1000</f>
        <v>#N/A</v>
      </c>
      <c r="AK410" s="210" t="e">
        <f>_xlfn.XLOOKUP(_xlfn.CONCAT(Buildings_Water_Backend[[#This Row],[Level 1]:[Level 6]]),rng_EFConcat,rng_EF3WTTTD)*Buildings_Water_Backend[[#This Row],[Converted data]]/1000</f>
        <v>#N/A</v>
      </c>
      <c r="AL410" s="220" t="e">
        <f>SUM(Buildings_Water_Backend[[#This Row],[Scope 1 (tCO2e)]:[Scope 3 WTT T&amp;D (tCO2e)]])</f>
        <v>#N/A</v>
      </c>
      <c r="AM410" s="220" t="e">
        <f>Buildings_Water_Backend[[#This Row],[Total (tCO2e)]]*(1-Buildings_Water_Backend[[#This Row],[RSD]])</f>
        <v>#N/A</v>
      </c>
      <c r="AN410" s="220" t="e">
        <f>Buildings_Water_Backend[[#This Row],[Total (tCO2e)]]*(1+Buildings_Water_Backend[[#This Row],[RSD]])</f>
        <v>#N/A</v>
      </c>
      <c r="AO410" s="210" t="e">
        <f>_xlfn.XLOOKUP(_xlfn.CONCAT(Buildings_Water_Backend[[#This Row],[Level 1]:[Level 6]]),rng_EFConcat,rng_EFOOS)*Buildings_Water_Backend[[#This Row],[Converted data]]/1000</f>
        <v>#N/A</v>
      </c>
      <c r="AP410" s="174">
        <f>Buildings_Water_Frontend[[#This Row],[Ease of collection]]</f>
        <v>0</v>
      </c>
      <c r="AQ410" s="174">
        <f>Buildings_Water_Frontend[[#This Row],[Completeness]]</f>
        <v>0</v>
      </c>
      <c r="AR410" s="174">
        <f>Buildings_Water_Frontend[[#This Row],[Notes]]</f>
        <v>0</v>
      </c>
    </row>
    <row r="411" spans="5:44" x14ac:dyDescent="0.3">
      <c r="E411" s="346"/>
      <c r="F411" s="364"/>
      <c r="G411" s="336"/>
      <c r="H411" s="336"/>
      <c r="I411" s="334"/>
      <c r="J411" s="336"/>
      <c r="K411" s="336"/>
      <c r="L411" s="336"/>
      <c r="M411" s="337"/>
      <c r="N411" s="242">
        <f t="shared" si="13"/>
        <v>5</v>
      </c>
      <c r="Q411" s="212" t="str">
        <f t="shared" si="12"/>
        <v/>
      </c>
      <c r="R411" s="174" t="s">
        <v>265</v>
      </c>
      <c r="S411" s="174" t="s">
        <v>273</v>
      </c>
      <c r="T411" s="174" t="e">
        <f>_xlfn.XLOOKUP(Buildings_Water_Backend[[#This Row],[Info 1]],Buildings_SiteInfo[Site name],Buildings_SiteInfo[Site type])</f>
        <v>#N/A</v>
      </c>
      <c r="U411" s="174" t="s">
        <v>327</v>
      </c>
      <c r="V411" s="174">
        <f>Buildings_Water_Frontend[[#This Row],[Type]]</f>
        <v>0</v>
      </c>
      <c r="W411" s="174" t="e" cm="1">
        <f t="array" aca="1" ref="W411" ca="1">_xlfn.XLOOKUP(Buildings_Water_Backend[[#This Row],[Level 5]],rng_Level5Long,rng_Level6Long)</f>
        <v>#N/A</v>
      </c>
      <c r="X411" s="174">
        <f>Buildings_Water_Frontend[[#This Row],[Site Name]]</f>
        <v>0</v>
      </c>
      <c r="Y411" s="174">
        <f>Buildings_Water_Frontend[[#This Row],[Meter Reference]]</f>
        <v>0</v>
      </c>
      <c r="Z411" s="220">
        <f>Buildings_Water_Frontend[[#This Row],[Methodology]]</f>
        <v>0</v>
      </c>
      <c r="AA411" s="229" t="e" cm="1">
        <f t="array" ref="AA411">INDEX(_xlfn.SWITCH(Buildings_Water_Backend[[#This Row],[Methodology]],"Tier 1",rng_RSD1,"Tier 2",rng_RSD2,"Tier 3",rng_RSD3),MATCH(_xlfn.CONCAT(Buildings_Water_Backend[[#This Row],[Level 1]:[Level 6]]),rng_LevelsConcat,0))</f>
        <v>#N/A</v>
      </c>
      <c r="AB411" s="224">
        <f>Buildings_Water_Frontend[[#This Row],[Data]]</f>
        <v>0</v>
      </c>
      <c r="AC411" s="174">
        <f>Buildings_Water_Frontend[[#This Row],[Units]]</f>
        <v>0</v>
      </c>
      <c r="AD411" s="220" t="e">
        <f>IF(Buildings_Water_Backend[[#This Row],[Units]]=Buildings_Water_Backend[[#This Row],[Standard units]],Buildings_Water_Backend[[#This Row],[Data]],Buildings_Water_Backend[[#This Row],[Data]]*_xlfn.XLOOKUP(_xlfn.CONCAT(Buildings_Water_Backend[[#This Row],[Level 1]:[Level 6]]),rng_EFConcat,rng_EFConversion))</f>
        <v>#N/A</v>
      </c>
      <c r="AE411" s="174" t="e" cm="1">
        <f t="array" ref="AE411">_xlfn.XLOOKUP(_xlfn.CONCAT(Buildings_Water_Backend[[#This Row],[Level 1]:[Level 6]]),rng_LevelsConcat,rng_UnitsLong)</f>
        <v>#N/A</v>
      </c>
      <c r="AF411" s="210" t="e">
        <f>_xlfn.XLOOKUP(_xlfn.CONCAT(Buildings_Water_Backend[[#This Row],[Level 1]:[Level 6]]),rng_EFConcat,rng_EF1)*Buildings_Water_Backend[[#This Row],[Converted data]]/1000</f>
        <v>#N/A</v>
      </c>
      <c r="AG411" s="210" t="e">
        <f>_xlfn.XLOOKUP(_xlfn.CONCAT(Buildings_Water_Backend[[#This Row],[Level 1]:[Level 6]]),rng_EFConcat,rng_EF2)*Buildings_Water_Backend[[#This Row],[Converted data]]/1000</f>
        <v>#N/A</v>
      </c>
      <c r="AH411" s="210" t="e">
        <f>_xlfn.XLOOKUP(_xlfn.CONCAT(Buildings_Water_Backend[[#This Row],[Level 1]:[Level 6]]),rng_EFConcat,rng_EF3)*Buildings_Water_Backend[[#This Row],[Converted data]]/1000</f>
        <v>#N/A</v>
      </c>
      <c r="AI411" s="210" t="e">
        <f>_xlfn.XLOOKUP(_xlfn.CONCAT(Buildings_Water_Backend[[#This Row],[Level 1]:[Level 6]]),rng_EFConcat,rng_EF3WTT)*Buildings_Water_Backend[[#This Row],[Converted data]]/1000</f>
        <v>#N/A</v>
      </c>
      <c r="AJ411" s="210" t="e">
        <f>_xlfn.XLOOKUP(_xlfn.CONCAT(Buildings_Water_Backend[[#This Row],[Level 1]:[Level 6]]),rng_EFConcat,rng_EF3TD)*Buildings_Water_Backend[[#This Row],[Converted data]]/1000</f>
        <v>#N/A</v>
      </c>
      <c r="AK411" s="210" t="e">
        <f>_xlfn.XLOOKUP(_xlfn.CONCAT(Buildings_Water_Backend[[#This Row],[Level 1]:[Level 6]]),rng_EFConcat,rng_EF3WTTTD)*Buildings_Water_Backend[[#This Row],[Converted data]]/1000</f>
        <v>#N/A</v>
      </c>
      <c r="AL411" s="220" t="e">
        <f>SUM(Buildings_Water_Backend[[#This Row],[Scope 1 (tCO2e)]:[Scope 3 WTT T&amp;D (tCO2e)]])</f>
        <v>#N/A</v>
      </c>
      <c r="AM411" s="220" t="e">
        <f>Buildings_Water_Backend[[#This Row],[Total (tCO2e)]]*(1-Buildings_Water_Backend[[#This Row],[RSD]])</f>
        <v>#N/A</v>
      </c>
      <c r="AN411" s="220" t="e">
        <f>Buildings_Water_Backend[[#This Row],[Total (tCO2e)]]*(1+Buildings_Water_Backend[[#This Row],[RSD]])</f>
        <v>#N/A</v>
      </c>
      <c r="AO411" s="210" t="e">
        <f>_xlfn.XLOOKUP(_xlfn.CONCAT(Buildings_Water_Backend[[#This Row],[Level 1]:[Level 6]]),rng_EFConcat,rng_EFOOS)*Buildings_Water_Backend[[#This Row],[Converted data]]/1000</f>
        <v>#N/A</v>
      </c>
      <c r="AP411" s="174">
        <f>Buildings_Water_Frontend[[#This Row],[Ease of collection]]</f>
        <v>0</v>
      </c>
      <c r="AQ411" s="174">
        <f>Buildings_Water_Frontend[[#This Row],[Completeness]]</f>
        <v>0</v>
      </c>
      <c r="AR411" s="174">
        <f>Buildings_Water_Frontend[[#This Row],[Notes]]</f>
        <v>0</v>
      </c>
    </row>
    <row r="412" spans="5:44" x14ac:dyDescent="0.3">
      <c r="E412" s="346"/>
      <c r="F412" s="364"/>
      <c r="G412" s="336"/>
      <c r="H412" s="336"/>
      <c r="I412" s="334"/>
      <c r="J412" s="336"/>
      <c r="K412" s="336"/>
      <c r="L412" s="336"/>
      <c r="M412" s="337"/>
      <c r="N412" s="242">
        <f t="shared" si="13"/>
        <v>5</v>
      </c>
      <c r="Q412" s="212" t="str">
        <f t="shared" si="12"/>
        <v/>
      </c>
      <c r="R412" s="174" t="s">
        <v>265</v>
      </c>
      <c r="S412" s="174" t="s">
        <v>273</v>
      </c>
      <c r="T412" s="174" t="e">
        <f>_xlfn.XLOOKUP(Buildings_Water_Backend[[#This Row],[Info 1]],Buildings_SiteInfo[Site name],Buildings_SiteInfo[Site type])</f>
        <v>#N/A</v>
      </c>
      <c r="U412" s="174" t="s">
        <v>327</v>
      </c>
      <c r="V412" s="174">
        <f>Buildings_Water_Frontend[[#This Row],[Type]]</f>
        <v>0</v>
      </c>
      <c r="W412" s="174" t="e" cm="1">
        <f t="array" aca="1" ref="W412" ca="1">_xlfn.XLOOKUP(Buildings_Water_Backend[[#This Row],[Level 5]],rng_Level5Long,rng_Level6Long)</f>
        <v>#N/A</v>
      </c>
      <c r="X412" s="174">
        <f>Buildings_Water_Frontend[[#This Row],[Site Name]]</f>
        <v>0</v>
      </c>
      <c r="Y412" s="174">
        <f>Buildings_Water_Frontend[[#This Row],[Meter Reference]]</f>
        <v>0</v>
      </c>
      <c r="Z412" s="220">
        <f>Buildings_Water_Frontend[[#This Row],[Methodology]]</f>
        <v>0</v>
      </c>
      <c r="AA412" s="229" t="e" cm="1">
        <f t="array" ref="AA412">INDEX(_xlfn.SWITCH(Buildings_Water_Backend[[#This Row],[Methodology]],"Tier 1",rng_RSD1,"Tier 2",rng_RSD2,"Tier 3",rng_RSD3),MATCH(_xlfn.CONCAT(Buildings_Water_Backend[[#This Row],[Level 1]:[Level 6]]),rng_LevelsConcat,0))</f>
        <v>#N/A</v>
      </c>
      <c r="AB412" s="224">
        <f>Buildings_Water_Frontend[[#This Row],[Data]]</f>
        <v>0</v>
      </c>
      <c r="AC412" s="174">
        <f>Buildings_Water_Frontend[[#This Row],[Units]]</f>
        <v>0</v>
      </c>
      <c r="AD412" s="220" t="e">
        <f>IF(Buildings_Water_Backend[[#This Row],[Units]]=Buildings_Water_Backend[[#This Row],[Standard units]],Buildings_Water_Backend[[#This Row],[Data]],Buildings_Water_Backend[[#This Row],[Data]]*_xlfn.XLOOKUP(_xlfn.CONCAT(Buildings_Water_Backend[[#This Row],[Level 1]:[Level 6]]),rng_EFConcat,rng_EFConversion))</f>
        <v>#N/A</v>
      </c>
      <c r="AE412" s="174" t="e" cm="1">
        <f t="array" ref="AE412">_xlfn.XLOOKUP(_xlfn.CONCAT(Buildings_Water_Backend[[#This Row],[Level 1]:[Level 6]]),rng_LevelsConcat,rng_UnitsLong)</f>
        <v>#N/A</v>
      </c>
      <c r="AF412" s="210" t="e">
        <f>_xlfn.XLOOKUP(_xlfn.CONCAT(Buildings_Water_Backend[[#This Row],[Level 1]:[Level 6]]),rng_EFConcat,rng_EF1)*Buildings_Water_Backend[[#This Row],[Converted data]]/1000</f>
        <v>#N/A</v>
      </c>
      <c r="AG412" s="210" t="e">
        <f>_xlfn.XLOOKUP(_xlfn.CONCAT(Buildings_Water_Backend[[#This Row],[Level 1]:[Level 6]]),rng_EFConcat,rng_EF2)*Buildings_Water_Backend[[#This Row],[Converted data]]/1000</f>
        <v>#N/A</v>
      </c>
      <c r="AH412" s="210" t="e">
        <f>_xlfn.XLOOKUP(_xlfn.CONCAT(Buildings_Water_Backend[[#This Row],[Level 1]:[Level 6]]),rng_EFConcat,rng_EF3)*Buildings_Water_Backend[[#This Row],[Converted data]]/1000</f>
        <v>#N/A</v>
      </c>
      <c r="AI412" s="210" t="e">
        <f>_xlfn.XLOOKUP(_xlfn.CONCAT(Buildings_Water_Backend[[#This Row],[Level 1]:[Level 6]]),rng_EFConcat,rng_EF3WTT)*Buildings_Water_Backend[[#This Row],[Converted data]]/1000</f>
        <v>#N/A</v>
      </c>
      <c r="AJ412" s="210" t="e">
        <f>_xlfn.XLOOKUP(_xlfn.CONCAT(Buildings_Water_Backend[[#This Row],[Level 1]:[Level 6]]),rng_EFConcat,rng_EF3TD)*Buildings_Water_Backend[[#This Row],[Converted data]]/1000</f>
        <v>#N/A</v>
      </c>
      <c r="AK412" s="210" t="e">
        <f>_xlfn.XLOOKUP(_xlfn.CONCAT(Buildings_Water_Backend[[#This Row],[Level 1]:[Level 6]]),rng_EFConcat,rng_EF3WTTTD)*Buildings_Water_Backend[[#This Row],[Converted data]]/1000</f>
        <v>#N/A</v>
      </c>
      <c r="AL412" s="220" t="e">
        <f>SUM(Buildings_Water_Backend[[#This Row],[Scope 1 (tCO2e)]:[Scope 3 WTT T&amp;D (tCO2e)]])</f>
        <v>#N/A</v>
      </c>
      <c r="AM412" s="220" t="e">
        <f>Buildings_Water_Backend[[#This Row],[Total (tCO2e)]]*(1-Buildings_Water_Backend[[#This Row],[RSD]])</f>
        <v>#N/A</v>
      </c>
      <c r="AN412" s="220" t="e">
        <f>Buildings_Water_Backend[[#This Row],[Total (tCO2e)]]*(1+Buildings_Water_Backend[[#This Row],[RSD]])</f>
        <v>#N/A</v>
      </c>
      <c r="AO412" s="210" t="e">
        <f>_xlfn.XLOOKUP(_xlfn.CONCAT(Buildings_Water_Backend[[#This Row],[Level 1]:[Level 6]]),rng_EFConcat,rng_EFOOS)*Buildings_Water_Backend[[#This Row],[Converted data]]/1000</f>
        <v>#N/A</v>
      </c>
      <c r="AP412" s="174">
        <f>Buildings_Water_Frontend[[#This Row],[Ease of collection]]</f>
        <v>0</v>
      </c>
      <c r="AQ412" s="174">
        <f>Buildings_Water_Frontend[[#This Row],[Completeness]]</f>
        <v>0</v>
      </c>
      <c r="AR412" s="174">
        <f>Buildings_Water_Frontend[[#This Row],[Notes]]</f>
        <v>0</v>
      </c>
    </row>
    <row r="413" spans="5:44" x14ac:dyDescent="0.3">
      <c r="E413" s="346"/>
      <c r="F413" s="364"/>
      <c r="G413" s="336"/>
      <c r="H413" s="336"/>
      <c r="I413" s="334"/>
      <c r="J413" s="336"/>
      <c r="K413" s="336"/>
      <c r="L413" s="336"/>
      <c r="M413" s="337"/>
      <c r="N413" s="242">
        <f t="shared" si="13"/>
        <v>5</v>
      </c>
      <c r="Q413" s="212" t="str">
        <f t="shared" si="12"/>
        <v/>
      </c>
      <c r="R413" s="174" t="s">
        <v>265</v>
      </c>
      <c r="S413" s="174" t="s">
        <v>273</v>
      </c>
      <c r="T413" s="174" t="e">
        <f>_xlfn.XLOOKUP(Buildings_Water_Backend[[#This Row],[Info 1]],Buildings_SiteInfo[Site name],Buildings_SiteInfo[Site type])</f>
        <v>#N/A</v>
      </c>
      <c r="U413" s="174" t="s">
        <v>327</v>
      </c>
      <c r="V413" s="174">
        <f>Buildings_Water_Frontend[[#This Row],[Type]]</f>
        <v>0</v>
      </c>
      <c r="W413" s="174" t="e" cm="1">
        <f t="array" aca="1" ref="W413" ca="1">_xlfn.XLOOKUP(Buildings_Water_Backend[[#This Row],[Level 5]],rng_Level5Long,rng_Level6Long)</f>
        <v>#N/A</v>
      </c>
      <c r="X413" s="174">
        <f>Buildings_Water_Frontend[[#This Row],[Site Name]]</f>
        <v>0</v>
      </c>
      <c r="Y413" s="174">
        <f>Buildings_Water_Frontend[[#This Row],[Meter Reference]]</f>
        <v>0</v>
      </c>
      <c r="Z413" s="220">
        <f>Buildings_Water_Frontend[[#This Row],[Methodology]]</f>
        <v>0</v>
      </c>
      <c r="AA413" s="229" t="e" cm="1">
        <f t="array" ref="AA413">INDEX(_xlfn.SWITCH(Buildings_Water_Backend[[#This Row],[Methodology]],"Tier 1",rng_RSD1,"Tier 2",rng_RSD2,"Tier 3",rng_RSD3),MATCH(_xlfn.CONCAT(Buildings_Water_Backend[[#This Row],[Level 1]:[Level 6]]),rng_LevelsConcat,0))</f>
        <v>#N/A</v>
      </c>
      <c r="AB413" s="224">
        <f>Buildings_Water_Frontend[[#This Row],[Data]]</f>
        <v>0</v>
      </c>
      <c r="AC413" s="174">
        <f>Buildings_Water_Frontend[[#This Row],[Units]]</f>
        <v>0</v>
      </c>
      <c r="AD413" s="220" t="e">
        <f>IF(Buildings_Water_Backend[[#This Row],[Units]]=Buildings_Water_Backend[[#This Row],[Standard units]],Buildings_Water_Backend[[#This Row],[Data]],Buildings_Water_Backend[[#This Row],[Data]]*_xlfn.XLOOKUP(_xlfn.CONCAT(Buildings_Water_Backend[[#This Row],[Level 1]:[Level 6]]),rng_EFConcat,rng_EFConversion))</f>
        <v>#N/A</v>
      </c>
      <c r="AE413" s="174" t="e" cm="1">
        <f t="array" ref="AE413">_xlfn.XLOOKUP(_xlfn.CONCAT(Buildings_Water_Backend[[#This Row],[Level 1]:[Level 6]]),rng_LevelsConcat,rng_UnitsLong)</f>
        <v>#N/A</v>
      </c>
      <c r="AF413" s="210" t="e">
        <f>_xlfn.XLOOKUP(_xlfn.CONCAT(Buildings_Water_Backend[[#This Row],[Level 1]:[Level 6]]),rng_EFConcat,rng_EF1)*Buildings_Water_Backend[[#This Row],[Converted data]]/1000</f>
        <v>#N/A</v>
      </c>
      <c r="AG413" s="210" t="e">
        <f>_xlfn.XLOOKUP(_xlfn.CONCAT(Buildings_Water_Backend[[#This Row],[Level 1]:[Level 6]]),rng_EFConcat,rng_EF2)*Buildings_Water_Backend[[#This Row],[Converted data]]/1000</f>
        <v>#N/A</v>
      </c>
      <c r="AH413" s="210" t="e">
        <f>_xlfn.XLOOKUP(_xlfn.CONCAT(Buildings_Water_Backend[[#This Row],[Level 1]:[Level 6]]),rng_EFConcat,rng_EF3)*Buildings_Water_Backend[[#This Row],[Converted data]]/1000</f>
        <v>#N/A</v>
      </c>
      <c r="AI413" s="210" t="e">
        <f>_xlfn.XLOOKUP(_xlfn.CONCAT(Buildings_Water_Backend[[#This Row],[Level 1]:[Level 6]]),rng_EFConcat,rng_EF3WTT)*Buildings_Water_Backend[[#This Row],[Converted data]]/1000</f>
        <v>#N/A</v>
      </c>
      <c r="AJ413" s="210" t="e">
        <f>_xlfn.XLOOKUP(_xlfn.CONCAT(Buildings_Water_Backend[[#This Row],[Level 1]:[Level 6]]),rng_EFConcat,rng_EF3TD)*Buildings_Water_Backend[[#This Row],[Converted data]]/1000</f>
        <v>#N/A</v>
      </c>
      <c r="AK413" s="210" t="e">
        <f>_xlfn.XLOOKUP(_xlfn.CONCAT(Buildings_Water_Backend[[#This Row],[Level 1]:[Level 6]]),rng_EFConcat,rng_EF3WTTTD)*Buildings_Water_Backend[[#This Row],[Converted data]]/1000</f>
        <v>#N/A</v>
      </c>
      <c r="AL413" s="220" t="e">
        <f>SUM(Buildings_Water_Backend[[#This Row],[Scope 1 (tCO2e)]:[Scope 3 WTT T&amp;D (tCO2e)]])</f>
        <v>#N/A</v>
      </c>
      <c r="AM413" s="220" t="e">
        <f>Buildings_Water_Backend[[#This Row],[Total (tCO2e)]]*(1-Buildings_Water_Backend[[#This Row],[RSD]])</f>
        <v>#N/A</v>
      </c>
      <c r="AN413" s="220" t="e">
        <f>Buildings_Water_Backend[[#This Row],[Total (tCO2e)]]*(1+Buildings_Water_Backend[[#This Row],[RSD]])</f>
        <v>#N/A</v>
      </c>
      <c r="AO413" s="210" t="e">
        <f>_xlfn.XLOOKUP(_xlfn.CONCAT(Buildings_Water_Backend[[#This Row],[Level 1]:[Level 6]]),rng_EFConcat,rng_EFOOS)*Buildings_Water_Backend[[#This Row],[Converted data]]/1000</f>
        <v>#N/A</v>
      </c>
      <c r="AP413" s="174">
        <f>Buildings_Water_Frontend[[#This Row],[Ease of collection]]</f>
        <v>0</v>
      </c>
      <c r="AQ413" s="174">
        <f>Buildings_Water_Frontend[[#This Row],[Completeness]]</f>
        <v>0</v>
      </c>
      <c r="AR413" s="174">
        <f>Buildings_Water_Frontend[[#This Row],[Notes]]</f>
        <v>0</v>
      </c>
    </row>
    <row r="414" spans="5:44" x14ac:dyDescent="0.3">
      <c r="E414" s="346"/>
      <c r="F414" s="364"/>
      <c r="G414" s="336"/>
      <c r="H414" s="336"/>
      <c r="I414" s="334"/>
      <c r="J414" s="336"/>
      <c r="K414" s="336"/>
      <c r="L414" s="336"/>
      <c r="M414" s="337"/>
      <c r="N414" s="242">
        <f t="shared" si="13"/>
        <v>5</v>
      </c>
      <c r="Q414" s="212" t="str">
        <f t="shared" si="12"/>
        <v/>
      </c>
      <c r="R414" s="174" t="s">
        <v>265</v>
      </c>
      <c r="S414" s="174" t="s">
        <v>273</v>
      </c>
      <c r="T414" s="174" t="e">
        <f>_xlfn.XLOOKUP(Buildings_Water_Backend[[#This Row],[Info 1]],Buildings_SiteInfo[Site name],Buildings_SiteInfo[Site type])</f>
        <v>#N/A</v>
      </c>
      <c r="U414" s="174" t="s">
        <v>327</v>
      </c>
      <c r="V414" s="174">
        <f>Buildings_Water_Frontend[[#This Row],[Type]]</f>
        <v>0</v>
      </c>
      <c r="W414" s="174" t="e" cm="1">
        <f t="array" aca="1" ref="W414" ca="1">_xlfn.XLOOKUP(Buildings_Water_Backend[[#This Row],[Level 5]],rng_Level5Long,rng_Level6Long)</f>
        <v>#N/A</v>
      </c>
      <c r="X414" s="174">
        <f>Buildings_Water_Frontend[[#This Row],[Site Name]]</f>
        <v>0</v>
      </c>
      <c r="Y414" s="174">
        <f>Buildings_Water_Frontend[[#This Row],[Meter Reference]]</f>
        <v>0</v>
      </c>
      <c r="Z414" s="220">
        <f>Buildings_Water_Frontend[[#This Row],[Methodology]]</f>
        <v>0</v>
      </c>
      <c r="AA414" s="229" t="e" cm="1">
        <f t="array" ref="AA414">INDEX(_xlfn.SWITCH(Buildings_Water_Backend[[#This Row],[Methodology]],"Tier 1",rng_RSD1,"Tier 2",rng_RSD2,"Tier 3",rng_RSD3),MATCH(_xlfn.CONCAT(Buildings_Water_Backend[[#This Row],[Level 1]:[Level 6]]),rng_LevelsConcat,0))</f>
        <v>#N/A</v>
      </c>
      <c r="AB414" s="224">
        <f>Buildings_Water_Frontend[[#This Row],[Data]]</f>
        <v>0</v>
      </c>
      <c r="AC414" s="174">
        <f>Buildings_Water_Frontend[[#This Row],[Units]]</f>
        <v>0</v>
      </c>
      <c r="AD414" s="220" t="e">
        <f>IF(Buildings_Water_Backend[[#This Row],[Units]]=Buildings_Water_Backend[[#This Row],[Standard units]],Buildings_Water_Backend[[#This Row],[Data]],Buildings_Water_Backend[[#This Row],[Data]]*_xlfn.XLOOKUP(_xlfn.CONCAT(Buildings_Water_Backend[[#This Row],[Level 1]:[Level 6]]),rng_EFConcat,rng_EFConversion))</f>
        <v>#N/A</v>
      </c>
      <c r="AE414" s="174" t="e" cm="1">
        <f t="array" ref="AE414">_xlfn.XLOOKUP(_xlfn.CONCAT(Buildings_Water_Backend[[#This Row],[Level 1]:[Level 6]]),rng_LevelsConcat,rng_UnitsLong)</f>
        <v>#N/A</v>
      </c>
      <c r="AF414" s="210" t="e">
        <f>_xlfn.XLOOKUP(_xlfn.CONCAT(Buildings_Water_Backend[[#This Row],[Level 1]:[Level 6]]),rng_EFConcat,rng_EF1)*Buildings_Water_Backend[[#This Row],[Converted data]]/1000</f>
        <v>#N/A</v>
      </c>
      <c r="AG414" s="210" t="e">
        <f>_xlfn.XLOOKUP(_xlfn.CONCAT(Buildings_Water_Backend[[#This Row],[Level 1]:[Level 6]]),rng_EFConcat,rng_EF2)*Buildings_Water_Backend[[#This Row],[Converted data]]/1000</f>
        <v>#N/A</v>
      </c>
      <c r="AH414" s="210" t="e">
        <f>_xlfn.XLOOKUP(_xlfn.CONCAT(Buildings_Water_Backend[[#This Row],[Level 1]:[Level 6]]),rng_EFConcat,rng_EF3)*Buildings_Water_Backend[[#This Row],[Converted data]]/1000</f>
        <v>#N/A</v>
      </c>
      <c r="AI414" s="210" t="e">
        <f>_xlfn.XLOOKUP(_xlfn.CONCAT(Buildings_Water_Backend[[#This Row],[Level 1]:[Level 6]]),rng_EFConcat,rng_EF3WTT)*Buildings_Water_Backend[[#This Row],[Converted data]]/1000</f>
        <v>#N/A</v>
      </c>
      <c r="AJ414" s="210" t="e">
        <f>_xlfn.XLOOKUP(_xlfn.CONCAT(Buildings_Water_Backend[[#This Row],[Level 1]:[Level 6]]),rng_EFConcat,rng_EF3TD)*Buildings_Water_Backend[[#This Row],[Converted data]]/1000</f>
        <v>#N/A</v>
      </c>
      <c r="AK414" s="210" t="e">
        <f>_xlfn.XLOOKUP(_xlfn.CONCAT(Buildings_Water_Backend[[#This Row],[Level 1]:[Level 6]]),rng_EFConcat,rng_EF3WTTTD)*Buildings_Water_Backend[[#This Row],[Converted data]]/1000</f>
        <v>#N/A</v>
      </c>
      <c r="AL414" s="220" t="e">
        <f>SUM(Buildings_Water_Backend[[#This Row],[Scope 1 (tCO2e)]:[Scope 3 WTT T&amp;D (tCO2e)]])</f>
        <v>#N/A</v>
      </c>
      <c r="AM414" s="220" t="e">
        <f>Buildings_Water_Backend[[#This Row],[Total (tCO2e)]]*(1-Buildings_Water_Backend[[#This Row],[RSD]])</f>
        <v>#N/A</v>
      </c>
      <c r="AN414" s="220" t="e">
        <f>Buildings_Water_Backend[[#This Row],[Total (tCO2e)]]*(1+Buildings_Water_Backend[[#This Row],[RSD]])</f>
        <v>#N/A</v>
      </c>
      <c r="AO414" s="210" t="e">
        <f>_xlfn.XLOOKUP(_xlfn.CONCAT(Buildings_Water_Backend[[#This Row],[Level 1]:[Level 6]]),rng_EFConcat,rng_EFOOS)*Buildings_Water_Backend[[#This Row],[Converted data]]/1000</f>
        <v>#N/A</v>
      </c>
      <c r="AP414" s="174">
        <f>Buildings_Water_Frontend[[#This Row],[Ease of collection]]</f>
        <v>0</v>
      </c>
      <c r="AQ414" s="174">
        <f>Buildings_Water_Frontend[[#This Row],[Completeness]]</f>
        <v>0</v>
      </c>
      <c r="AR414" s="174">
        <f>Buildings_Water_Frontend[[#This Row],[Notes]]</f>
        <v>0</v>
      </c>
    </row>
    <row r="415" spans="5:44" x14ac:dyDescent="0.3">
      <c r="E415" s="346"/>
      <c r="F415" s="364"/>
      <c r="G415" s="336"/>
      <c r="H415" s="336"/>
      <c r="I415" s="334"/>
      <c r="J415" s="336"/>
      <c r="K415" s="336"/>
      <c r="L415" s="336"/>
      <c r="M415" s="337"/>
      <c r="N415" s="242">
        <f t="shared" si="13"/>
        <v>5</v>
      </c>
      <c r="Q415" s="212" t="str">
        <f t="shared" si="12"/>
        <v/>
      </c>
      <c r="R415" s="174" t="s">
        <v>265</v>
      </c>
      <c r="S415" s="174" t="s">
        <v>273</v>
      </c>
      <c r="T415" s="174" t="e">
        <f>_xlfn.XLOOKUP(Buildings_Water_Backend[[#This Row],[Info 1]],Buildings_SiteInfo[Site name],Buildings_SiteInfo[Site type])</f>
        <v>#N/A</v>
      </c>
      <c r="U415" s="174" t="s">
        <v>327</v>
      </c>
      <c r="V415" s="174">
        <f>Buildings_Water_Frontend[[#This Row],[Type]]</f>
        <v>0</v>
      </c>
      <c r="W415" s="174" t="e" cm="1">
        <f t="array" aca="1" ref="W415" ca="1">_xlfn.XLOOKUP(Buildings_Water_Backend[[#This Row],[Level 5]],rng_Level5Long,rng_Level6Long)</f>
        <v>#N/A</v>
      </c>
      <c r="X415" s="174">
        <f>Buildings_Water_Frontend[[#This Row],[Site Name]]</f>
        <v>0</v>
      </c>
      <c r="Y415" s="174">
        <f>Buildings_Water_Frontend[[#This Row],[Meter Reference]]</f>
        <v>0</v>
      </c>
      <c r="Z415" s="220">
        <f>Buildings_Water_Frontend[[#This Row],[Methodology]]</f>
        <v>0</v>
      </c>
      <c r="AA415" s="229" t="e" cm="1">
        <f t="array" ref="AA415">INDEX(_xlfn.SWITCH(Buildings_Water_Backend[[#This Row],[Methodology]],"Tier 1",rng_RSD1,"Tier 2",rng_RSD2,"Tier 3",rng_RSD3),MATCH(_xlfn.CONCAT(Buildings_Water_Backend[[#This Row],[Level 1]:[Level 6]]),rng_LevelsConcat,0))</f>
        <v>#N/A</v>
      </c>
      <c r="AB415" s="224">
        <f>Buildings_Water_Frontend[[#This Row],[Data]]</f>
        <v>0</v>
      </c>
      <c r="AC415" s="174">
        <f>Buildings_Water_Frontend[[#This Row],[Units]]</f>
        <v>0</v>
      </c>
      <c r="AD415" s="220" t="e">
        <f>IF(Buildings_Water_Backend[[#This Row],[Units]]=Buildings_Water_Backend[[#This Row],[Standard units]],Buildings_Water_Backend[[#This Row],[Data]],Buildings_Water_Backend[[#This Row],[Data]]*_xlfn.XLOOKUP(_xlfn.CONCAT(Buildings_Water_Backend[[#This Row],[Level 1]:[Level 6]]),rng_EFConcat,rng_EFConversion))</f>
        <v>#N/A</v>
      </c>
      <c r="AE415" s="174" t="e" cm="1">
        <f t="array" ref="AE415">_xlfn.XLOOKUP(_xlfn.CONCAT(Buildings_Water_Backend[[#This Row],[Level 1]:[Level 6]]),rng_LevelsConcat,rng_UnitsLong)</f>
        <v>#N/A</v>
      </c>
      <c r="AF415" s="210" t="e">
        <f>_xlfn.XLOOKUP(_xlfn.CONCAT(Buildings_Water_Backend[[#This Row],[Level 1]:[Level 6]]),rng_EFConcat,rng_EF1)*Buildings_Water_Backend[[#This Row],[Converted data]]/1000</f>
        <v>#N/A</v>
      </c>
      <c r="AG415" s="210" t="e">
        <f>_xlfn.XLOOKUP(_xlfn.CONCAT(Buildings_Water_Backend[[#This Row],[Level 1]:[Level 6]]),rng_EFConcat,rng_EF2)*Buildings_Water_Backend[[#This Row],[Converted data]]/1000</f>
        <v>#N/A</v>
      </c>
      <c r="AH415" s="210" t="e">
        <f>_xlfn.XLOOKUP(_xlfn.CONCAT(Buildings_Water_Backend[[#This Row],[Level 1]:[Level 6]]),rng_EFConcat,rng_EF3)*Buildings_Water_Backend[[#This Row],[Converted data]]/1000</f>
        <v>#N/A</v>
      </c>
      <c r="AI415" s="210" t="e">
        <f>_xlfn.XLOOKUP(_xlfn.CONCAT(Buildings_Water_Backend[[#This Row],[Level 1]:[Level 6]]),rng_EFConcat,rng_EF3WTT)*Buildings_Water_Backend[[#This Row],[Converted data]]/1000</f>
        <v>#N/A</v>
      </c>
      <c r="AJ415" s="210" t="e">
        <f>_xlfn.XLOOKUP(_xlfn.CONCAT(Buildings_Water_Backend[[#This Row],[Level 1]:[Level 6]]),rng_EFConcat,rng_EF3TD)*Buildings_Water_Backend[[#This Row],[Converted data]]/1000</f>
        <v>#N/A</v>
      </c>
      <c r="AK415" s="210" t="e">
        <f>_xlfn.XLOOKUP(_xlfn.CONCAT(Buildings_Water_Backend[[#This Row],[Level 1]:[Level 6]]),rng_EFConcat,rng_EF3WTTTD)*Buildings_Water_Backend[[#This Row],[Converted data]]/1000</f>
        <v>#N/A</v>
      </c>
      <c r="AL415" s="220" t="e">
        <f>SUM(Buildings_Water_Backend[[#This Row],[Scope 1 (tCO2e)]:[Scope 3 WTT T&amp;D (tCO2e)]])</f>
        <v>#N/A</v>
      </c>
      <c r="AM415" s="220" t="e">
        <f>Buildings_Water_Backend[[#This Row],[Total (tCO2e)]]*(1-Buildings_Water_Backend[[#This Row],[RSD]])</f>
        <v>#N/A</v>
      </c>
      <c r="AN415" s="220" t="e">
        <f>Buildings_Water_Backend[[#This Row],[Total (tCO2e)]]*(1+Buildings_Water_Backend[[#This Row],[RSD]])</f>
        <v>#N/A</v>
      </c>
      <c r="AO415" s="210" t="e">
        <f>_xlfn.XLOOKUP(_xlfn.CONCAT(Buildings_Water_Backend[[#This Row],[Level 1]:[Level 6]]),rng_EFConcat,rng_EFOOS)*Buildings_Water_Backend[[#This Row],[Converted data]]/1000</f>
        <v>#N/A</v>
      </c>
      <c r="AP415" s="174">
        <f>Buildings_Water_Frontend[[#This Row],[Ease of collection]]</f>
        <v>0</v>
      </c>
      <c r="AQ415" s="174">
        <f>Buildings_Water_Frontend[[#This Row],[Completeness]]</f>
        <v>0</v>
      </c>
      <c r="AR415" s="174">
        <f>Buildings_Water_Frontend[[#This Row],[Notes]]</f>
        <v>0</v>
      </c>
    </row>
    <row r="416" spans="5:44" x14ac:dyDescent="0.3">
      <c r="E416" s="346"/>
      <c r="F416" s="364"/>
      <c r="G416" s="336"/>
      <c r="H416" s="336"/>
      <c r="I416" s="334"/>
      <c r="J416" s="336"/>
      <c r="K416" s="336"/>
      <c r="L416" s="336"/>
      <c r="M416" s="337"/>
      <c r="N416" s="242">
        <f t="shared" si="13"/>
        <v>5</v>
      </c>
      <c r="Q416" s="212" t="str">
        <f t="shared" si="12"/>
        <v/>
      </c>
      <c r="R416" s="174" t="s">
        <v>265</v>
      </c>
      <c r="S416" s="174" t="s">
        <v>273</v>
      </c>
      <c r="T416" s="174" t="e">
        <f>_xlfn.XLOOKUP(Buildings_Water_Backend[[#This Row],[Info 1]],Buildings_SiteInfo[Site name],Buildings_SiteInfo[Site type])</f>
        <v>#N/A</v>
      </c>
      <c r="U416" s="174" t="s">
        <v>327</v>
      </c>
      <c r="V416" s="174">
        <f>Buildings_Water_Frontend[[#This Row],[Type]]</f>
        <v>0</v>
      </c>
      <c r="W416" s="174" t="e" cm="1">
        <f t="array" aca="1" ref="W416" ca="1">_xlfn.XLOOKUP(Buildings_Water_Backend[[#This Row],[Level 5]],rng_Level5Long,rng_Level6Long)</f>
        <v>#N/A</v>
      </c>
      <c r="X416" s="174">
        <f>Buildings_Water_Frontend[[#This Row],[Site Name]]</f>
        <v>0</v>
      </c>
      <c r="Y416" s="174">
        <f>Buildings_Water_Frontend[[#This Row],[Meter Reference]]</f>
        <v>0</v>
      </c>
      <c r="Z416" s="220">
        <f>Buildings_Water_Frontend[[#This Row],[Methodology]]</f>
        <v>0</v>
      </c>
      <c r="AA416" s="229" t="e" cm="1">
        <f t="array" ref="AA416">INDEX(_xlfn.SWITCH(Buildings_Water_Backend[[#This Row],[Methodology]],"Tier 1",rng_RSD1,"Tier 2",rng_RSD2,"Tier 3",rng_RSD3),MATCH(_xlfn.CONCAT(Buildings_Water_Backend[[#This Row],[Level 1]:[Level 6]]),rng_LevelsConcat,0))</f>
        <v>#N/A</v>
      </c>
      <c r="AB416" s="224">
        <f>Buildings_Water_Frontend[[#This Row],[Data]]</f>
        <v>0</v>
      </c>
      <c r="AC416" s="174">
        <f>Buildings_Water_Frontend[[#This Row],[Units]]</f>
        <v>0</v>
      </c>
      <c r="AD416" s="220" t="e">
        <f>IF(Buildings_Water_Backend[[#This Row],[Units]]=Buildings_Water_Backend[[#This Row],[Standard units]],Buildings_Water_Backend[[#This Row],[Data]],Buildings_Water_Backend[[#This Row],[Data]]*_xlfn.XLOOKUP(_xlfn.CONCAT(Buildings_Water_Backend[[#This Row],[Level 1]:[Level 6]]),rng_EFConcat,rng_EFConversion))</f>
        <v>#N/A</v>
      </c>
      <c r="AE416" s="174" t="e" cm="1">
        <f t="array" ref="AE416">_xlfn.XLOOKUP(_xlfn.CONCAT(Buildings_Water_Backend[[#This Row],[Level 1]:[Level 6]]),rng_LevelsConcat,rng_UnitsLong)</f>
        <v>#N/A</v>
      </c>
      <c r="AF416" s="210" t="e">
        <f>_xlfn.XLOOKUP(_xlfn.CONCAT(Buildings_Water_Backend[[#This Row],[Level 1]:[Level 6]]),rng_EFConcat,rng_EF1)*Buildings_Water_Backend[[#This Row],[Converted data]]/1000</f>
        <v>#N/A</v>
      </c>
      <c r="AG416" s="210" t="e">
        <f>_xlfn.XLOOKUP(_xlfn.CONCAT(Buildings_Water_Backend[[#This Row],[Level 1]:[Level 6]]),rng_EFConcat,rng_EF2)*Buildings_Water_Backend[[#This Row],[Converted data]]/1000</f>
        <v>#N/A</v>
      </c>
      <c r="AH416" s="210" t="e">
        <f>_xlfn.XLOOKUP(_xlfn.CONCAT(Buildings_Water_Backend[[#This Row],[Level 1]:[Level 6]]),rng_EFConcat,rng_EF3)*Buildings_Water_Backend[[#This Row],[Converted data]]/1000</f>
        <v>#N/A</v>
      </c>
      <c r="AI416" s="210" t="e">
        <f>_xlfn.XLOOKUP(_xlfn.CONCAT(Buildings_Water_Backend[[#This Row],[Level 1]:[Level 6]]),rng_EFConcat,rng_EF3WTT)*Buildings_Water_Backend[[#This Row],[Converted data]]/1000</f>
        <v>#N/A</v>
      </c>
      <c r="AJ416" s="210" t="e">
        <f>_xlfn.XLOOKUP(_xlfn.CONCAT(Buildings_Water_Backend[[#This Row],[Level 1]:[Level 6]]),rng_EFConcat,rng_EF3TD)*Buildings_Water_Backend[[#This Row],[Converted data]]/1000</f>
        <v>#N/A</v>
      </c>
      <c r="AK416" s="210" t="e">
        <f>_xlfn.XLOOKUP(_xlfn.CONCAT(Buildings_Water_Backend[[#This Row],[Level 1]:[Level 6]]),rng_EFConcat,rng_EF3WTTTD)*Buildings_Water_Backend[[#This Row],[Converted data]]/1000</f>
        <v>#N/A</v>
      </c>
      <c r="AL416" s="220" t="e">
        <f>SUM(Buildings_Water_Backend[[#This Row],[Scope 1 (tCO2e)]:[Scope 3 WTT T&amp;D (tCO2e)]])</f>
        <v>#N/A</v>
      </c>
      <c r="AM416" s="220" t="e">
        <f>Buildings_Water_Backend[[#This Row],[Total (tCO2e)]]*(1-Buildings_Water_Backend[[#This Row],[RSD]])</f>
        <v>#N/A</v>
      </c>
      <c r="AN416" s="220" t="e">
        <f>Buildings_Water_Backend[[#This Row],[Total (tCO2e)]]*(1+Buildings_Water_Backend[[#This Row],[RSD]])</f>
        <v>#N/A</v>
      </c>
      <c r="AO416" s="210" t="e">
        <f>_xlfn.XLOOKUP(_xlfn.CONCAT(Buildings_Water_Backend[[#This Row],[Level 1]:[Level 6]]),rng_EFConcat,rng_EFOOS)*Buildings_Water_Backend[[#This Row],[Converted data]]/1000</f>
        <v>#N/A</v>
      </c>
      <c r="AP416" s="174">
        <f>Buildings_Water_Frontend[[#This Row],[Ease of collection]]</f>
        <v>0</v>
      </c>
      <c r="AQ416" s="174">
        <f>Buildings_Water_Frontend[[#This Row],[Completeness]]</f>
        <v>0</v>
      </c>
      <c r="AR416" s="174">
        <f>Buildings_Water_Frontend[[#This Row],[Notes]]</f>
        <v>0</v>
      </c>
    </row>
    <row r="417" spans="5:44" x14ac:dyDescent="0.3">
      <c r="E417" s="346"/>
      <c r="F417" s="364"/>
      <c r="G417" s="336"/>
      <c r="H417" s="336"/>
      <c r="I417" s="334"/>
      <c r="J417" s="336"/>
      <c r="K417" s="336"/>
      <c r="L417" s="336"/>
      <c r="M417" s="337"/>
      <c r="N417" s="242">
        <f t="shared" si="13"/>
        <v>5</v>
      </c>
      <c r="Q417" s="212" t="str">
        <f t="shared" si="12"/>
        <v/>
      </c>
      <c r="R417" s="174" t="s">
        <v>265</v>
      </c>
      <c r="S417" s="174" t="s">
        <v>273</v>
      </c>
      <c r="T417" s="174" t="e">
        <f>_xlfn.XLOOKUP(Buildings_Water_Backend[[#This Row],[Info 1]],Buildings_SiteInfo[Site name],Buildings_SiteInfo[Site type])</f>
        <v>#N/A</v>
      </c>
      <c r="U417" s="174" t="s">
        <v>327</v>
      </c>
      <c r="V417" s="174">
        <f>Buildings_Water_Frontend[[#This Row],[Type]]</f>
        <v>0</v>
      </c>
      <c r="W417" s="174" t="e" cm="1">
        <f t="array" aca="1" ref="W417" ca="1">_xlfn.XLOOKUP(Buildings_Water_Backend[[#This Row],[Level 5]],rng_Level5Long,rng_Level6Long)</f>
        <v>#N/A</v>
      </c>
      <c r="X417" s="174">
        <f>Buildings_Water_Frontend[[#This Row],[Site Name]]</f>
        <v>0</v>
      </c>
      <c r="Y417" s="174">
        <f>Buildings_Water_Frontend[[#This Row],[Meter Reference]]</f>
        <v>0</v>
      </c>
      <c r="Z417" s="220">
        <f>Buildings_Water_Frontend[[#This Row],[Methodology]]</f>
        <v>0</v>
      </c>
      <c r="AA417" s="229" t="e" cm="1">
        <f t="array" ref="AA417">INDEX(_xlfn.SWITCH(Buildings_Water_Backend[[#This Row],[Methodology]],"Tier 1",rng_RSD1,"Tier 2",rng_RSD2,"Tier 3",rng_RSD3),MATCH(_xlfn.CONCAT(Buildings_Water_Backend[[#This Row],[Level 1]:[Level 6]]),rng_LevelsConcat,0))</f>
        <v>#N/A</v>
      </c>
      <c r="AB417" s="224">
        <f>Buildings_Water_Frontend[[#This Row],[Data]]</f>
        <v>0</v>
      </c>
      <c r="AC417" s="174">
        <f>Buildings_Water_Frontend[[#This Row],[Units]]</f>
        <v>0</v>
      </c>
      <c r="AD417" s="220" t="e">
        <f>IF(Buildings_Water_Backend[[#This Row],[Units]]=Buildings_Water_Backend[[#This Row],[Standard units]],Buildings_Water_Backend[[#This Row],[Data]],Buildings_Water_Backend[[#This Row],[Data]]*_xlfn.XLOOKUP(_xlfn.CONCAT(Buildings_Water_Backend[[#This Row],[Level 1]:[Level 6]]),rng_EFConcat,rng_EFConversion))</f>
        <v>#N/A</v>
      </c>
      <c r="AE417" s="174" t="e" cm="1">
        <f t="array" ref="AE417">_xlfn.XLOOKUP(_xlfn.CONCAT(Buildings_Water_Backend[[#This Row],[Level 1]:[Level 6]]),rng_LevelsConcat,rng_UnitsLong)</f>
        <v>#N/A</v>
      </c>
      <c r="AF417" s="210" t="e">
        <f>_xlfn.XLOOKUP(_xlfn.CONCAT(Buildings_Water_Backend[[#This Row],[Level 1]:[Level 6]]),rng_EFConcat,rng_EF1)*Buildings_Water_Backend[[#This Row],[Converted data]]/1000</f>
        <v>#N/A</v>
      </c>
      <c r="AG417" s="210" t="e">
        <f>_xlfn.XLOOKUP(_xlfn.CONCAT(Buildings_Water_Backend[[#This Row],[Level 1]:[Level 6]]),rng_EFConcat,rng_EF2)*Buildings_Water_Backend[[#This Row],[Converted data]]/1000</f>
        <v>#N/A</v>
      </c>
      <c r="AH417" s="210" t="e">
        <f>_xlfn.XLOOKUP(_xlfn.CONCAT(Buildings_Water_Backend[[#This Row],[Level 1]:[Level 6]]),rng_EFConcat,rng_EF3)*Buildings_Water_Backend[[#This Row],[Converted data]]/1000</f>
        <v>#N/A</v>
      </c>
      <c r="AI417" s="210" t="e">
        <f>_xlfn.XLOOKUP(_xlfn.CONCAT(Buildings_Water_Backend[[#This Row],[Level 1]:[Level 6]]),rng_EFConcat,rng_EF3WTT)*Buildings_Water_Backend[[#This Row],[Converted data]]/1000</f>
        <v>#N/A</v>
      </c>
      <c r="AJ417" s="210" t="e">
        <f>_xlfn.XLOOKUP(_xlfn.CONCAT(Buildings_Water_Backend[[#This Row],[Level 1]:[Level 6]]),rng_EFConcat,rng_EF3TD)*Buildings_Water_Backend[[#This Row],[Converted data]]/1000</f>
        <v>#N/A</v>
      </c>
      <c r="AK417" s="210" t="e">
        <f>_xlfn.XLOOKUP(_xlfn.CONCAT(Buildings_Water_Backend[[#This Row],[Level 1]:[Level 6]]),rng_EFConcat,rng_EF3WTTTD)*Buildings_Water_Backend[[#This Row],[Converted data]]/1000</f>
        <v>#N/A</v>
      </c>
      <c r="AL417" s="220" t="e">
        <f>SUM(Buildings_Water_Backend[[#This Row],[Scope 1 (tCO2e)]:[Scope 3 WTT T&amp;D (tCO2e)]])</f>
        <v>#N/A</v>
      </c>
      <c r="AM417" s="220" t="e">
        <f>Buildings_Water_Backend[[#This Row],[Total (tCO2e)]]*(1-Buildings_Water_Backend[[#This Row],[RSD]])</f>
        <v>#N/A</v>
      </c>
      <c r="AN417" s="220" t="e">
        <f>Buildings_Water_Backend[[#This Row],[Total (tCO2e)]]*(1+Buildings_Water_Backend[[#This Row],[RSD]])</f>
        <v>#N/A</v>
      </c>
      <c r="AO417" s="210" t="e">
        <f>_xlfn.XLOOKUP(_xlfn.CONCAT(Buildings_Water_Backend[[#This Row],[Level 1]:[Level 6]]),rng_EFConcat,rng_EFOOS)*Buildings_Water_Backend[[#This Row],[Converted data]]/1000</f>
        <v>#N/A</v>
      </c>
      <c r="AP417" s="174">
        <f>Buildings_Water_Frontend[[#This Row],[Ease of collection]]</f>
        <v>0</v>
      </c>
      <c r="AQ417" s="174">
        <f>Buildings_Water_Frontend[[#This Row],[Completeness]]</f>
        <v>0</v>
      </c>
      <c r="AR417" s="174">
        <f>Buildings_Water_Frontend[[#This Row],[Notes]]</f>
        <v>0</v>
      </c>
    </row>
    <row r="418" spans="5:44" x14ac:dyDescent="0.3">
      <c r="E418" s="346"/>
      <c r="F418" s="364"/>
      <c r="G418" s="336"/>
      <c r="H418" s="336"/>
      <c r="I418" s="334"/>
      <c r="J418" s="336"/>
      <c r="K418" s="336"/>
      <c r="L418" s="336"/>
      <c r="M418" s="337"/>
      <c r="N418" s="242">
        <f t="shared" si="13"/>
        <v>5</v>
      </c>
      <c r="Q418" s="212" t="str">
        <f t="shared" si="12"/>
        <v/>
      </c>
      <c r="R418" s="174" t="s">
        <v>265</v>
      </c>
      <c r="S418" s="174" t="s">
        <v>273</v>
      </c>
      <c r="T418" s="174" t="e">
        <f>_xlfn.XLOOKUP(Buildings_Water_Backend[[#This Row],[Info 1]],Buildings_SiteInfo[Site name],Buildings_SiteInfo[Site type])</f>
        <v>#N/A</v>
      </c>
      <c r="U418" s="174" t="s">
        <v>327</v>
      </c>
      <c r="V418" s="174">
        <f>Buildings_Water_Frontend[[#This Row],[Type]]</f>
        <v>0</v>
      </c>
      <c r="W418" s="174" t="e" cm="1">
        <f t="array" aca="1" ref="W418" ca="1">_xlfn.XLOOKUP(Buildings_Water_Backend[[#This Row],[Level 5]],rng_Level5Long,rng_Level6Long)</f>
        <v>#N/A</v>
      </c>
      <c r="X418" s="174">
        <f>Buildings_Water_Frontend[[#This Row],[Site Name]]</f>
        <v>0</v>
      </c>
      <c r="Y418" s="174">
        <f>Buildings_Water_Frontend[[#This Row],[Meter Reference]]</f>
        <v>0</v>
      </c>
      <c r="Z418" s="220">
        <f>Buildings_Water_Frontend[[#This Row],[Methodology]]</f>
        <v>0</v>
      </c>
      <c r="AA418" s="229" t="e" cm="1">
        <f t="array" ref="AA418">INDEX(_xlfn.SWITCH(Buildings_Water_Backend[[#This Row],[Methodology]],"Tier 1",rng_RSD1,"Tier 2",rng_RSD2,"Tier 3",rng_RSD3),MATCH(_xlfn.CONCAT(Buildings_Water_Backend[[#This Row],[Level 1]:[Level 6]]),rng_LevelsConcat,0))</f>
        <v>#N/A</v>
      </c>
      <c r="AB418" s="224">
        <f>Buildings_Water_Frontend[[#This Row],[Data]]</f>
        <v>0</v>
      </c>
      <c r="AC418" s="174">
        <f>Buildings_Water_Frontend[[#This Row],[Units]]</f>
        <v>0</v>
      </c>
      <c r="AD418" s="220" t="e">
        <f>IF(Buildings_Water_Backend[[#This Row],[Units]]=Buildings_Water_Backend[[#This Row],[Standard units]],Buildings_Water_Backend[[#This Row],[Data]],Buildings_Water_Backend[[#This Row],[Data]]*_xlfn.XLOOKUP(_xlfn.CONCAT(Buildings_Water_Backend[[#This Row],[Level 1]:[Level 6]]),rng_EFConcat,rng_EFConversion))</f>
        <v>#N/A</v>
      </c>
      <c r="AE418" s="174" t="e" cm="1">
        <f t="array" ref="AE418">_xlfn.XLOOKUP(_xlfn.CONCAT(Buildings_Water_Backend[[#This Row],[Level 1]:[Level 6]]),rng_LevelsConcat,rng_UnitsLong)</f>
        <v>#N/A</v>
      </c>
      <c r="AF418" s="210" t="e">
        <f>_xlfn.XLOOKUP(_xlfn.CONCAT(Buildings_Water_Backend[[#This Row],[Level 1]:[Level 6]]),rng_EFConcat,rng_EF1)*Buildings_Water_Backend[[#This Row],[Converted data]]/1000</f>
        <v>#N/A</v>
      </c>
      <c r="AG418" s="210" t="e">
        <f>_xlfn.XLOOKUP(_xlfn.CONCAT(Buildings_Water_Backend[[#This Row],[Level 1]:[Level 6]]),rng_EFConcat,rng_EF2)*Buildings_Water_Backend[[#This Row],[Converted data]]/1000</f>
        <v>#N/A</v>
      </c>
      <c r="AH418" s="210" t="e">
        <f>_xlfn.XLOOKUP(_xlfn.CONCAT(Buildings_Water_Backend[[#This Row],[Level 1]:[Level 6]]),rng_EFConcat,rng_EF3)*Buildings_Water_Backend[[#This Row],[Converted data]]/1000</f>
        <v>#N/A</v>
      </c>
      <c r="AI418" s="210" t="e">
        <f>_xlfn.XLOOKUP(_xlfn.CONCAT(Buildings_Water_Backend[[#This Row],[Level 1]:[Level 6]]),rng_EFConcat,rng_EF3WTT)*Buildings_Water_Backend[[#This Row],[Converted data]]/1000</f>
        <v>#N/A</v>
      </c>
      <c r="AJ418" s="210" t="e">
        <f>_xlfn.XLOOKUP(_xlfn.CONCAT(Buildings_Water_Backend[[#This Row],[Level 1]:[Level 6]]),rng_EFConcat,rng_EF3TD)*Buildings_Water_Backend[[#This Row],[Converted data]]/1000</f>
        <v>#N/A</v>
      </c>
      <c r="AK418" s="210" t="e">
        <f>_xlfn.XLOOKUP(_xlfn.CONCAT(Buildings_Water_Backend[[#This Row],[Level 1]:[Level 6]]),rng_EFConcat,rng_EF3WTTTD)*Buildings_Water_Backend[[#This Row],[Converted data]]/1000</f>
        <v>#N/A</v>
      </c>
      <c r="AL418" s="220" t="e">
        <f>SUM(Buildings_Water_Backend[[#This Row],[Scope 1 (tCO2e)]:[Scope 3 WTT T&amp;D (tCO2e)]])</f>
        <v>#N/A</v>
      </c>
      <c r="AM418" s="220" t="e">
        <f>Buildings_Water_Backend[[#This Row],[Total (tCO2e)]]*(1-Buildings_Water_Backend[[#This Row],[RSD]])</f>
        <v>#N/A</v>
      </c>
      <c r="AN418" s="220" t="e">
        <f>Buildings_Water_Backend[[#This Row],[Total (tCO2e)]]*(1+Buildings_Water_Backend[[#This Row],[RSD]])</f>
        <v>#N/A</v>
      </c>
      <c r="AO418" s="210" t="e">
        <f>_xlfn.XLOOKUP(_xlfn.CONCAT(Buildings_Water_Backend[[#This Row],[Level 1]:[Level 6]]),rng_EFConcat,rng_EFOOS)*Buildings_Water_Backend[[#This Row],[Converted data]]/1000</f>
        <v>#N/A</v>
      </c>
      <c r="AP418" s="174">
        <f>Buildings_Water_Frontend[[#This Row],[Ease of collection]]</f>
        <v>0</v>
      </c>
      <c r="AQ418" s="174">
        <f>Buildings_Water_Frontend[[#This Row],[Completeness]]</f>
        <v>0</v>
      </c>
      <c r="AR418" s="174">
        <f>Buildings_Water_Frontend[[#This Row],[Notes]]</f>
        <v>0</v>
      </c>
    </row>
    <row r="419" spans="5:44" x14ac:dyDescent="0.3">
      <c r="E419" s="346"/>
      <c r="F419" s="364"/>
      <c r="G419" s="336"/>
      <c r="H419" s="336"/>
      <c r="I419" s="334"/>
      <c r="J419" s="336"/>
      <c r="K419" s="336"/>
      <c r="L419" s="336"/>
      <c r="M419" s="337"/>
      <c r="N419" s="242">
        <f t="shared" si="13"/>
        <v>5</v>
      </c>
      <c r="Q419" s="212" t="str">
        <f t="shared" si="12"/>
        <v/>
      </c>
      <c r="R419" s="174" t="s">
        <v>265</v>
      </c>
      <c r="S419" s="174" t="s">
        <v>273</v>
      </c>
      <c r="T419" s="174" t="e">
        <f>_xlfn.XLOOKUP(Buildings_Water_Backend[[#This Row],[Info 1]],Buildings_SiteInfo[Site name],Buildings_SiteInfo[Site type])</f>
        <v>#N/A</v>
      </c>
      <c r="U419" s="174" t="s">
        <v>327</v>
      </c>
      <c r="V419" s="174">
        <f>Buildings_Water_Frontend[[#This Row],[Type]]</f>
        <v>0</v>
      </c>
      <c r="W419" s="174" t="e" cm="1">
        <f t="array" aca="1" ref="W419" ca="1">_xlfn.XLOOKUP(Buildings_Water_Backend[[#This Row],[Level 5]],rng_Level5Long,rng_Level6Long)</f>
        <v>#N/A</v>
      </c>
      <c r="X419" s="174">
        <f>Buildings_Water_Frontend[[#This Row],[Site Name]]</f>
        <v>0</v>
      </c>
      <c r="Y419" s="174">
        <f>Buildings_Water_Frontend[[#This Row],[Meter Reference]]</f>
        <v>0</v>
      </c>
      <c r="Z419" s="220">
        <f>Buildings_Water_Frontend[[#This Row],[Methodology]]</f>
        <v>0</v>
      </c>
      <c r="AA419" s="229" t="e" cm="1">
        <f t="array" ref="AA419">INDEX(_xlfn.SWITCH(Buildings_Water_Backend[[#This Row],[Methodology]],"Tier 1",rng_RSD1,"Tier 2",rng_RSD2,"Tier 3",rng_RSD3),MATCH(_xlfn.CONCAT(Buildings_Water_Backend[[#This Row],[Level 1]:[Level 6]]),rng_LevelsConcat,0))</f>
        <v>#N/A</v>
      </c>
      <c r="AB419" s="224">
        <f>Buildings_Water_Frontend[[#This Row],[Data]]</f>
        <v>0</v>
      </c>
      <c r="AC419" s="174">
        <f>Buildings_Water_Frontend[[#This Row],[Units]]</f>
        <v>0</v>
      </c>
      <c r="AD419" s="220" t="e">
        <f>IF(Buildings_Water_Backend[[#This Row],[Units]]=Buildings_Water_Backend[[#This Row],[Standard units]],Buildings_Water_Backend[[#This Row],[Data]],Buildings_Water_Backend[[#This Row],[Data]]*_xlfn.XLOOKUP(_xlfn.CONCAT(Buildings_Water_Backend[[#This Row],[Level 1]:[Level 6]]),rng_EFConcat,rng_EFConversion))</f>
        <v>#N/A</v>
      </c>
      <c r="AE419" s="174" t="e" cm="1">
        <f t="array" ref="AE419">_xlfn.XLOOKUP(_xlfn.CONCAT(Buildings_Water_Backend[[#This Row],[Level 1]:[Level 6]]),rng_LevelsConcat,rng_UnitsLong)</f>
        <v>#N/A</v>
      </c>
      <c r="AF419" s="210" t="e">
        <f>_xlfn.XLOOKUP(_xlfn.CONCAT(Buildings_Water_Backend[[#This Row],[Level 1]:[Level 6]]),rng_EFConcat,rng_EF1)*Buildings_Water_Backend[[#This Row],[Converted data]]/1000</f>
        <v>#N/A</v>
      </c>
      <c r="AG419" s="210" t="e">
        <f>_xlfn.XLOOKUP(_xlfn.CONCAT(Buildings_Water_Backend[[#This Row],[Level 1]:[Level 6]]),rng_EFConcat,rng_EF2)*Buildings_Water_Backend[[#This Row],[Converted data]]/1000</f>
        <v>#N/A</v>
      </c>
      <c r="AH419" s="210" t="e">
        <f>_xlfn.XLOOKUP(_xlfn.CONCAT(Buildings_Water_Backend[[#This Row],[Level 1]:[Level 6]]),rng_EFConcat,rng_EF3)*Buildings_Water_Backend[[#This Row],[Converted data]]/1000</f>
        <v>#N/A</v>
      </c>
      <c r="AI419" s="210" t="e">
        <f>_xlfn.XLOOKUP(_xlfn.CONCAT(Buildings_Water_Backend[[#This Row],[Level 1]:[Level 6]]),rng_EFConcat,rng_EF3WTT)*Buildings_Water_Backend[[#This Row],[Converted data]]/1000</f>
        <v>#N/A</v>
      </c>
      <c r="AJ419" s="210" t="e">
        <f>_xlfn.XLOOKUP(_xlfn.CONCAT(Buildings_Water_Backend[[#This Row],[Level 1]:[Level 6]]),rng_EFConcat,rng_EF3TD)*Buildings_Water_Backend[[#This Row],[Converted data]]/1000</f>
        <v>#N/A</v>
      </c>
      <c r="AK419" s="210" t="e">
        <f>_xlfn.XLOOKUP(_xlfn.CONCAT(Buildings_Water_Backend[[#This Row],[Level 1]:[Level 6]]),rng_EFConcat,rng_EF3WTTTD)*Buildings_Water_Backend[[#This Row],[Converted data]]/1000</f>
        <v>#N/A</v>
      </c>
      <c r="AL419" s="220" t="e">
        <f>SUM(Buildings_Water_Backend[[#This Row],[Scope 1 (tCO2e)]:[Scope 3 WTT T&amp;D (tCO2e)]])</f>
        <v>#N/A</v>
      </c>
      <c r="AM419" s="220" t="e">
        <f>Buildings_Water_Backend[[#This Row],[Total (tCO2e)]]*(1-Buildings_Water_Backend[[#This Row],[RSD]])</f>
        <v>#N/A</v>
      </c>
      <c r="AN419" s="220" t="e">
        <f>Buildings_Water_Backend[[#This Row],[Total (tCO2e)]]*(1+Buildings_Water_Backend[[#This Row],[RSD]])</f>
        <v>#N/A</v>
      </c>
      <c r="AO419" s="210" t="e">
        <f>_xlfn.XLOOKUP(_xlfn.CONCAT(Buildings_Water_Backend[[#This Row],[Level 1]:[Level 6]]),rng_EFConcat,rng_EFOOS)*Buildings_Water_Backend[[#This Row],[Converted data]]/1000</f>
        <v>#N/A</v>
      </c>
      <c r="AP419" s="174">
        <f>Buildings_Water_Frontend[[#This Row],[Ease of collection]]</f>
        <v>0</v>
      </c>
      <c r="AQ419" s="174">
        <f>Buildings_Water_Frontend[[#This Row],[Completeness]]</f>
        <v>0</v>
      </c>
      <c r="AR419" s="174">
        <f>Buildings_Water_Frontend[[#This Row],[Notes]]</f>
        <v>0</v>
      </c>
    </row>
    <row r="420" spans="5:44" x14ac:dyDescent="0.3">
      <c r="E420" s="346"/>
      <c r="F420" s="364"/>
      <c r="G420" s="336"/>
      <c r="H420" s="336"/>
      <c r="I420" s="334"/>
      <c r="J420" s="336"/>
      <c r="K420" s="336"/>
      <c r="L420" s="336"/>
      <c r="M420" s="337"/>
      <c r="N420" s="242">
        <f t="shared" si="13"/>
        <v>5</v>
      </c>
      <c r="Q420" s="212" t="str">
        <f t="shared" si="12"/>
        <v/>
      </c>
      <c r="R420" s="174" t="s">
        <v>265</v>
      </c>
      <c r="S420" s="174" t="s">
        <v>273</v>
      </c>
      <c r="T420" s="174" t="e">
        <f>_xlfn.XLOOKUP(Buildings_Water_Backend[[#This Row],[Info 1]],Buildings_SiteInfo[Site name],Buildings_SiteInfo[Site type])</f>
        <v>#N/A</v>
      </c>
      <c r="U420" s="174" t="s">
        <v>327</v>
      </c>
      <c r="V420" s="174">
        <f>Buildings_Water_Frontend[[#This Row],[Type]]</f>
        <v>0</v>
      </c>
      <c r="W420" s="174" t="e" cm="1">
        <f t="array" aca="1" ref="W420" ca="1">_xlfn.XLOOKUP(Buildings_Water_Backend[[#This Row],[Level 5]],rng_Level5Long,rng_Level6Long)</f>
        <v>#N/A</v>
      </c>
      <c r="X420" s="174">
        <f>Buildings_Water_Frontend[[#This Row],[Site Name]]</f>
        <v>0</v>
      </c>
      <c r="Y420" s="174">
        <f>Buildings_Water_Frontend[[#This Row],[Meter Reference]]</f>
        <v>0</v>
      </c>
      <c r="Z420" s="220">
        <f>Buildings_Water_Frontend[[#This Row],[Methodology]]</f>
        <v>0</v>
      </c>
      <c r="AA420" s="229" t="e" cm="1">
        <f t="array" ref="AA420">INDEX(_xlfn.SWITCH(Buildings_Water_Backend[[#This Row],[Methodology]],"Tier 1",rng_RSD1,"Tier 2",rng_RSD2,"Tier 3",rng_RSD3),MATCH(_xlfn.CONCAT(Buildings_Water_Backend[[#This Row],[Level 1]:[Level 6]]),rng_LevelsConcat,0))</f>
        <v>#N/A</v>
      </c>
      <c r="AB420" s="224">
        <f>Buildings_Water_Frontend[[#This Row],[Data]]</f>
        <v>0</v>
      </c>
      <c r="AC420" s="174">
        <f>Buildings_Water_Frontend[[#This Row],[Units]]</f>
        <v>0</v>
      </c>
      <c r="AD420" s="220" t="e">
        <f>IF(Buildings_Water_Backend[[#This Row],[Units]]=Buildings_Water_Backend[[#This Row],[Standard units]],Buildings_Water_Backend[[#This Row],[Data]],Buildings_Water_Backend[[#This Row],[Data]]*_xlfn.XLOOKUP(_xlfn.CONCAT(Buildings_Water_Backend[[#This Row],[Level 1]:[Level 6]]),rng_EFConcat,rng_EFConversion))</f>
        <v>#N/A</v>
      </c>
      <c r="AE420" s="174" t="e" cm="1">
        <f t="array" ref="AE420">_xlfn.XLOOKUP(_xlfn.CONCAT(Buildings_Water_Backend[[#This Row],[Level 1]:[Level 6]]),rng_LevelsConcat,rng_UnitsLong)</f>
        <v>#N/A</v>
      </c>
      <c r="AF420" s="210" t="e">
        <f>_xlfn.XLOOKUP(_xlfn.CONCAT(Buildings_Water_Backend[[#This Row],[Level 1]:[Level 6]]),rng_EFConcat,rng_EF1)*Buildings_Water_Backend[[#This Row],[Converted data]]/1000</f>
        <v>#N/A</v>
      </c>
      <c r="AG420" s="210" t="e">
        <f>_xlfn.XLOOKUP(_xlfn.CONCAT(Buildings_Water_Backend[[#This Row],[Level 1]:[Level 6]]),rng_EFConcat,rng_EF2)*Buildings_Water_Backend[[#This Row],[Converted data]]/1000</f>
        <v>#N/A</v>
      </c>
      <c r="AH420" s="210" t="e">
        <f>_xlfn.XLOOKUP(_xlfn.CONCAT(Buildings_Water_Backend[[#This Row],[Level 1]:[Level 6]]),rng_EFConcat,rng_EF3)*Buildings_Water_Backend[[#This Row],[Converted data]]/1000</f>
        <v>#N/A</v>
      </c>
      <c r="AI420" s="210" t="e">
        <f>_xlfn.XLOOKUP(_xlfn.CONCAT(Buildings_Water_Backend[[#This Row],[Level 1]:[Level 6]]),rng_EFConcat,rng_EF3WTT)*Buildings_Water_Backend[[#This Row],[Converted data]]/1000</f>
        <v>#N/A</v>
      </c>
      <c r="AJ420" s="210" t="e">
        <f>_xlfn.XLOOKUP(_xlfn.CONCAT(Buildings_Water_Backend[[#This Row],[Level 1]:[Level 6]]),rng_EFConcat,rng_EF3TD)*Buildings_Water_Backend[[#This Row],[Converted data]]/1000</f>
        <v>#N/A</v>
      </c>
      <c r="AK420" s="210" t="e">
        <f>_xlfn.XLOOKUP(_xlfn.CONCAT(Buildings_Water_Backend[[#This Row],[Level 1]:[Level 6]]),rng_EFConcat,rng_EF3WTTTD)*Buildings_Water_Backend[[#This Row],[Converted data]]/1000</f>
        <v>#N/A</v>
      </c>
      <c r="AL420" s="220" t="e">
        <f>SUM(Buildings_Water_Backend[[#This Row],[Scope 1 (tCO2e)]:[Scope 3 WTT T&amp;D (tCO2e)]])</f>
        <v>#N/A</v>
      </c>
      <c r="AM420" s="220" t="e">
        <f>Buildings_Water_Backend[[#This Row],[Total (tCO2e)]]*(1-Buildings_Water_Backend[[#This Row],[RSD]])</f>
        <v>#N/A</v>
      </c>
      <c r="AN420" s="220" t="e">
        <f>Buildings_Water_Backend[[#This Row],[Total (tCO2e)]]*(1+Buildings_Water_Backend[[#This Row],[RSD]])</f>
        <v>#N/A</v>
      </c>
      <c r="AO420" s="210" t="e">
        <f>_xlfn.XLOOKUP(_xlfn.CONCAT(Buildings_Water_Backend[[#This Row],[Level 1]:[Level 6]]),rng_EFConcat,rng_EFOOS)*Buildings_Water_Backend[[#This Row],[Converted data]]/1000</f>
        <v>#N/A</v>
      </c>
      <c r="AP420" s="174">
        <f>Buildings_Water_Frontend[[#This Row],[Ease of collection]]</f>
        <v>0</v>
      </c>
      <c r="AQ420" s="174">
        <f>Buildings_Water_Frontend[[#This Row],[Completeness]]</f>
        <v>0</v>
      </c>
      <c r="AR420" s="174">
        <f>Buildings_Water_Frontend[[#This Row],[Notes]]</f>
        <v>0</v>
      </c>
    </row>
    <row r="421" spans="5:44" x14ac:dyDescent="0.3">
      <c r="E421" s="346"/>
      <c r="F421" s="364"/>
      <c r="G421" s="336"/>
      <c r="H421" s="336"/>
      <c r="I421" s="334"/>
      <c r="J421" s="336"/>
      <c r="K421" s="336"/>
      <c r="L421" s="336"/>
      <c r="M421" s="337"/>
      <c r="N421" s="242">
        <f t="shared" si="13"/>
        <v>5</v>
      </c>
      <c r="Q421" s="212" t="str">
        <f t="shared" si="12"/>
        <v/>
      </c>
      <c r="R421" s="174" t="s">
        <v>265</v>
      </c>
      <c r="S421" s="174" t="s">
        <v>273</v>
      </c>
      <c r="T421" s="174" t="e">
        <f>_xlfn.XLOOKUP(Buildings_Water_Backend[[#This Row],[Info 1]],Buildings_SiteInfo[Site name],Buildings_SiteInfo[Site type])</f>
        <v>#N/A</v>
      </c>
      <c r="U421" s="174" t="s">
        <v>327</v>
      </c>
      <c r="V421" s="174">
        <f>Buildings_Water_Frontend[[#This Row],[Type]]</f>
        <v>0</v>
      </c>
      <c r="W421" s="174" t="e" cm="1">
        <f t="array" aca="1" ref="W421" ca="1">_xlfn.XLOOKUP(Buildings_Water_Backend[[#This Row],[Level 5]],rng_Level5Long,rng_Level6Long)</f>
        <v>#N/A</v>
      </c>
      <c r="X421" s="174">
        <f>Buildings_Water_Frontend[[#This Row],[Site Name]]</f>
        <v>0</v>
      </c>
      <c r="Y421" s="174">
        <f>Buildings_Water_Frontend[[#This Row],[Meter Reference]]</f>
        <v>0</v>
      </c>
      <c r="Z421" s="220">
        <f>Buildings_Water_Frontend[[#This Row],[Methodology]]</f>
        <v>0</v>
      </c>
      <c r="AA421" s="229" t="e" cm="1">
        <f t="array" ref="AA421">INDEX(_xlfn.SWITCH(Buildings_Water_Backend[[#This Row],[Methodology]],"Tier 1",rng_RSD1,"Tier 2",rng_RSD2,"Tier 3",rng_RSD3),MATCH(_xlfn.CONCAT(Buildings_Water_Backend[[#This Row],[Level 1]:[Level 6]]),rng_LevelsConcat,0))</f>
        <v>#N/A</v>
      </c>
      <c r="AB421" s="224">
        <f>Buildings_Water_Frontend[[#This Row],[Data]]</f>
        <v>0</v>
      </c>
      <c r="AC421" s="174">
        <f>Buildings_Water_Frontend[[#This Row],[Units]]</f>
        <v>0</v>
      </c>
      <c r="AD421" s="220" t="e">
        <f>IF(Buildings_Water_Backend[[#This Row],[Units]]=Buildings_Water_Backend[[#This Row],[Standard units]],Buildings_Water_Backend[[#This Row],[Data]],Buildings_Water_Backend[[#This Row],[Data]]*_xlfn.XLOOKUP(_xlfn.CONCAT(Buildings_Water_Backend[[#This Row],[Level 1]:[Level 6]]),rng_EFConcat,rng_EFConversion))</f>
        <v>#N/A</v>
      </c>
      <c r="AE421" s="174" t="e" cm="1">
        <f t="array" ref="AE421">_xlfn.XLOOKUP(_xlfn.CONCAT(Buildings_Water_Backend[[#This Row],[Level 1]:[Level 6]]),rng_LevelsConcat,rng_UnitsLong)</f>
        <v>#N/A</v>
      </c>
      <c r="AF421" s="210" t="e">
        <f>_xlfn.XLOOKUP(_xlfn.CONCAT(Buildings_Water_Backend[[#This Row],[Level 1]:[Level 6]]),rng_EFConcat,rng_EF1)*Buildings_Water_Backend[[#This Row],[Converted data]]/1000</f>
        <v>#N/A</v>
      </c>
      <c r="AG421" s="210" t="e">
        <f>_xlfn.XLOOKUP(_xlfn.CONCAT(Buildings_Water_Backend[[#This Row],[Level 1]:[Level 6]]),rng_EFConcat,rng_EF2)*Buildings_Water_Backend[[#This Row],[Converted data]]/1000</f>
        <v>#N/A</v>
      </c>
      <c r="AH421" s="210" t="e">
        <f>_xlfn.XLOOKUP(_xlfn.CONCAT(Buildings_Water_Backend[[#This Row],[Level 1]:[Level 6]]),rng_EFConcat,rng_EF3)*Buildings_Water_Backend[[#This Row],[Converted data]]/1000</f>
        <v>#N/A</v>
      </c>
      <c r="AI421" s="210" t="e">
        <f>_xlfn.XLOOKUP(_xlfn.CONCAT(Buildings_Water_Backend[[#This Row],[Level 1]:[Level 6]]),rng_EFConcat,rng_EF3WTT)*Buildings_Water_Backend[[#This Row],[Converted data]]/1000</f>
        <v>#N/A</v>
      </c>
      <c r="AJ421" s="210" t="e">
        <f>_xlfn.XLOOKUP(_xlfn.CONCAT(Buildings_Water_Backend[[#This Row],[Level 1]:[Level 6]]),rng_EFConcat,rng_EF3TD)*Buildings_Water_Backend[[#This Row],[Converted data]]/1000</f>
        <v>#N/A</v>
      </c>
      <c r="AK421" s="210" t="e">
        <f>_xlfn.XLOOKUP(_xlfn.CONCAT(Buildings_Water_Backend[[#This Row],[Level 1]:[Level 6]]),rng_EFConcat,rng_EF3WTTTD)*Buildings_Water_Backend[[#This Row],[Converted data]]/1000</f>
        <v>#N/A</v>
      </c>
      <c r="AL421" s="220" t="e">
        <f>SUM(Buildings_Water_Backend[[#This Row],[Scope 1 (tCO2e)]:[Scope 3 WTT T&amp;D (tCO2e)]])</f>
        <v>#N/A</v>
      </c>
      <c r="AM421" s="220" t="e">
        <f>Buildings_Water_Backend[[#This Row],[Total (tCO2e)]]*(1-Buildings_Water_Backend[[#This Row],[RSD]])</f>
        <v>#N/A</v>
      </c>
      <c r="AN421" s="220" t="e">
        <f>Buildings_Water_Backend[[#This Row],[Total (tCO2e)]]*(1+Buildings_Water_Backend[[#This Row],[RSD]])</f>
        <v>#N/A</v>
      </c>
      <c r="AO421" s="210" t="e">
        <f>_xlfn.XLOOKUP(_xlfn.CONCAT(Buildings_Water_Backend[[#This Row],[Level 1]:[Level 6]]),rng_EFConcat,rng_EFOOS)*Buildings_Water_Backend[[#This Row],[Converted data]]/1000</f>
        <v>#N/A</v>
      </c>
      <c r="AP421" s="174">
        <f>Buildings_Water_Frontend[[#This Row],[Ease of collection]]</f>
        <v>0</v>
      </c>
      <c r="AQ421" s="174">
        <f>Buildings_Water_Frontend[[#This Row],[Completeness]]</f>
        <v>0</v>
      </c>
      <c r="AR421" s="174">
        <f>Buildings_Water_Frontend[[#This Row],[Notes]]</f>
        <v>0</v>
      </c>
    </row>
    <row r="422" spans="5:44" x14ac:dyDescent="0.3">
      <c r="E422" s="346"/>
      <c r="F422" s="364"/>
      <c r="G422" s="336"/>
      <c r="H422" s="336"/>
      <c r="I422" s="334"/>
      <c r="J422" s="336"/>
      <c r="K422" s="336"/>
      <c r="L422" s="336"/>
      <c r="M422" s="337"/>
      <c r="N422" s="242">
        <f t="shared" si="13"/>
        <v>5</v>
      </c>
      <c r="Q422" s="212" t="str">
        <f t="shared" si="12"/>
        <v/>
      </c>
      <c r="R422" s="174" t="s">
        <v>265</v>
      </c>
      <c r="S422" s="174" t="s">
        <v>273</v>
      </c>
      <c r="T422" s="174" t="e">
        <f>_xlfn.XLOOKUP(Buildings_Water_Backend[[#This Row],[Info 1]],Buildings_SiteInfo[Site name],Buildings_SiteInfo[Site type])</f>
        <v>#N/A</v>
      </c>
      <c r="U422" s="174" t="s">
        <v>327</v>
      </c>
      <c r="V422" s="174">
        <f>Buildings_Water_Frontend[[#This Row],[Type]]</f>
        <v>0</v>
      </c>
      <c r="W422" s="174" t="e" cm="1">
        <f t="array" aca="1" ref="W422" ca="1">_xlfn.XLOOKUP(Buildings_Water_Backend[[#This Row],[Level 5]],rng_Level5Long,rng_Level6Long)</f>
        <v>#N/A</v>
      </c>
      <c r="X422" s="174">
        <f>Buildings_Water_Frontend[[#This Row],[Site Name]]</f>
        <v>0</v>
      </c>
      <c r="Y422" s="174">
        <f>Buildings_Water_Frontend[[#This Row],[Meter Reference]]</f>
        <v>0</v>
      </c>
      <c r="Z422" s="220">
        <f>Buildings_Water_Frontend[[#This Row],[Methodology]]</f>
        <v>0</v>
      </c>
      <c r="AA422" s="229" t="e" cm="1">
        <f t="array" ref="AA422">INDEX(_xlfn.SWITCH(Buildings_Water_Backend[[#This Row],[Methodology]],"Tier 1",rng_RSD1,"Tier 2",rng_RSD2,"Tier 3",rng_RSD3),MATCH(_xlfn.CONCAT(Buildings_Water_Backend[[#This Row],[Level 1]:[Level 6]]),rng_LevelsConcat,0))</f>
        <v>#N/A</v>
      </c>
      <c r="AB422" s="224">
        <f>Buildings_Water_Frontend[[#This Row],[Data]]</f>
        <v>0</v>
      </c>
      <c r="AC422" s="174">
        <f>Buildings_Water_Frontend[[#This Row],[Units]]</f>
        <v>0</v>
      </c>
      <c r="AD422" s="220" t="e">
        <f>IF(Buildings_Water_Backend[[#This Row],[Units]]=Buildings_Water_Backend[[#This Row],[Standard units]],Buildings_Water_Backend[[#This Row],[Data]],Buildings_Water_Backend[[#This Row],[Data]]*_xlfn.XLOOKUP(_xlfn.CONCAT(Buildings_Water_Backend[[#This Row],[Level 1]:[Level 6]]),rng_EFConcat,rng_EFConversion))</f>
        <v>#N/A</v>
      </c>
      <c r="AE422" s="174" t="e" cm="1">
        <f t="array" ref="AE422">_xlfn.XLOOKUP(_xlfn.CONCAT(Buildings_Water_Backend[[#This Row],[Level 1]:[Level 6]]),rng_LevelsConcat,rng_UnitsLong)</f>
        <v>#N/A</v>
      </c>
      <c r="AF422" s="210" t="e">
        <f>_xlfn.XLOOKUP(_xlfn.CONCAT(Buildings_Water_Backend[[#This Row],[Level 1]:[Level 6]]),rng_EFConcat,rng_EF1)*Buildings_Water_Backend[[#This Row],[Converted data]]/1000</f>
        <v>#N/A</v>
      </c>
      <c r="AG422" s="210" t="e">
        <f>_xlfn.XLOOKUP(_xlfn.CONCAT(Buildings_Water_Backend[[#This Row],[Level 1]:[Level 6]]),rng_EFConcat,rng_EF2)*Buildings_Water_Backend[[#This Row],[Converted data]]/1000</f>
        <v>#N/A</v>
      </c>
      <c r="AH422" s="210" t="e">
        <f>_xlfn.XLOOKUP(_xlfn.CONCAT(Buildings_Water_Backend[[#This Row],[Level 1]:[Level 6]]),rng_EFConcat,rng_EF3)*Buildings_Water_Backend[[#This Row],[Converted data]]/1000</f>
        <v>#N/A</v>
      </c>
      <c r="AI422" s="210" t="e">
        <f>_xlfn.XLOOKUP(_xlfn.CONCAT(Buildings_Water_Backend[[#This Row],[Level 1]:[Level 6]]),rng_EFConcat,rng_EF3WTT)*Buildings_Water_Backend[[#This Row],[Converted data]]/1000</f>
        <v>#N/A</v>
      </c>
      <c r="AJ422" s="210" t="e">
        <f>_xlfn.XLOOKUP(_xlfn.CONCAT(Buildings_Water_Backend[[#This Row],[Level 1]:[Level 6]]),rng_EFConcat,rng_EF3TD)*Buildings_Water_Backend[[#This Row],[Converted data]]/1000</f>
        <v>#N/A</v>
      </c>
      <c r="AK422" s="210" t="e">
        <f>_xlfn.XLOOKUP(_xlfn.CONCAT(Buildings_Water_Backend[[#This Row],[Level 1]:[Level 6]]),rng_EFConcat,rng_EF3WTTTD)*Buildings_Water_Backend[[#This Row],[Converted data]]/1000</f>
        <v>#N/A</v>
      </c>
      <c r="AL422" s="220" t="e">
        <f>SUM(Buildings_Water_Backend[[#This Row],[Scope 1 (tCO2e)]:[Scope 3 WTT T&amp;D (tCO2e)]])</f>
        <v>#N/A</v>
      </c>
      <c r="AM422" s="220" t="e">
        <f>Buildings_Water_Backend[[#This Row],[Total (tCO2e)]]*(1-Buildings_Water_Backend[[#This Row],[RSD]])</f>
        <v>#N/A</v>
      </c>
      <c r="AN422" s="220" t="e">
        <f>Buildings_Water_Backend[[#This Row],[Total (tCO2e)]]*(1+Buildings_Water_Backend[[#This Row],[RSD]])</f>
        <v>#N/A</v>
      </c>
      <c r="AO422" s="210" t="e">
        <f>_xlfn.XLOOKUP(_xlfn.CONCAT(Buildings_Water_Backend[[#This Row],[Level 1]:[Level 6]]),rng_EFConcat,rng_EFOOS)*Buildings_Water_Backend[[#This Row],[Converted data]]/1000</f>
        <v>#N/A</v>
      </c>
      <c r="AP422" s="174">
        <f>Buildings_Water_Frontend[[#This Row],[Ease of collection]]</f>
        <v>0</v>
      </c>
      <c r="AQ422" s="174">
        <f>Buildings_Water_Frontend[[#This Row],[Completeness]]</f>
        <v>0</v>
      </c>
      <c r="AR422" s="174">
        <f>Buildings_Water_Frontend[[#This Row],[Notes]]</f>
        <v>0</v>
      </c>
    </row>
    <row r="423" spans="5:44" x14ac:dyDescent="0.3">
      <c r="E423" s="346"/>
      <c r="F423" s="364"/>
      <c r="G423" s="336"/>
      <c r="H423" s="336"/>
      <c r="I423" s="334"/>
      <c r="J423" s="336"/>
      <c r="K423" s="336"/>
      <c r="L423" s="336"/>
      <c r="M423" s="337"/>
      <c r="N423" s="242">
        <f t="shared" si="13"/>
        <v>5</v>
      </c>
      <c r="Q423" s="212" t="str">
        <f t="shared" si="12"/>
        <v/>
      </c>
      <c r="R423" s="174" t="s">
        <v>265</v>
      </c>
      <c r="S423" s="174" t="s">
        <v>273</v>
      </c>
      <c r="T423" s="174" t="e">
        <f>_xlfn.XLOOKUP(Buildings_Water_Backend[[#This Row],[Info 1]],Buildings_SiteInfo[Site name],Buildings_SiteInfo[Site type])</f>
        <v>#N/A</v>
      </c>
      <c r="U423" s="174" t="s">
        <v>327</v>
      </c>
      <c r="V423" s="174">
        <f>Buildings_Water_Frontend[[#This Row],[Type]]</f>
        <v>0</v>
      </c>
      <c r="W423" s="174" t="e" cm="1">
        <f t="array" aca="1" ref="W423" ca="1">_xlfn.XLOOKUP(Buildings_Water_Backend[[#This Row],[Level 5]],rng_Level5Long,rng_Level6Long)</f>
        <v>#N/A</v>
      </c>
      <c r="X423" s="174">
        <f>Buildings_Water_Frontend[[#This Row],[Site Name]]</f>
        <v>0</v>
      </c>
      <c r="Y423" s="174">
        <f>Buildings_Water_Frontend[[#This Row],[Meter Reference]]</f>
        <v>0</v>
      </c>
      <c r="Z423" s="220">
        <f>Buildings_Water_Frontend[[#This Row],[Methodology]]</f>
        <v>0</v>
      </c>
      <c r="AA423" s="229" t="e" cm="1">
        <f t="array" ref="AA423">INDEX(_xlfn.SWITCH(Buildings_Water_Backend[[#This Row],[Methodology]],"Tier 1",rng_RSD1,"Tier 2",rng_RSD2,"Tier 3",rng_RSD3),MATCH(_xlfn.CONCAT(Buildings_Water_Backend[[#This Row],[Level 1]:[Level 6]]),rng_LevelsConcat,0))</f>
        <v>#N/A</v>
      </c>
      <c r="AB423" s="224">
        <f>Buildings_Water_Frontend[[#This Row],[Data]]</f>
        <v>0</v>
      </c>
      <c r="AC423" s="174">
        <f>Buildings_Water_Frontend[[#This Row],[Units]]</f>
        <v>0</v>
      </c>
      <c r="AD423" s="220" t="e">
        <f>IF(Buildings_Water_Backend[[#This Row],[Units]]=Buildings_Water_Backend[[#This Row],[Standard units]],Buildings_Water_Backend[[#This Row],[Data]],Buildings_Water_Backend[[#This Row],[Data]]*_xlfn.XLOOKUP(_xlfn.CONCAT(Buildings_Water_Backend[[#This Row],[Level 1]:[Level 6]]),rng_EFConcat,rng_EFConversion))</f>
        <v>#N/A</v>
      </c>
      <c r="AE423" s="174" t="e" cm="1">
        <f t="array" ref="AE423">_xlfn.XLOOKUP(_xlfn.CONCAT(Buildings_Water_Backend[[#This Row],[Level 1]:[Level 6]]),rng_LevelsConcat,rng_UnitsLong)</f>
        <v>#N/A</v>
      </c>
      <c r="AF423" s="210" t="e">
        <f>_xlfn.XLOOKUP(_xlfn.CONCAT(Buildings_Water_Backend[[#This Row],[Level 1]:[Level 6]]),rng_EFConcat,rng_EF1)*Buildings_Water_Backend[[#This Row],[Converted data]]/1000</f>
        <v>#N/A</v>
      </c>
      <c r="AG423" s="210" t="e">
        <f>_xlfn.XLOOKUP(_xlfn.CONCAT(Buildings_Water_Backend[[#This Row],[Level 1]:[Level 6]]),rng_EFConcat,rng_EF2)*Buildings_Water_Backend[[#This Row],[Converted data]]/1000</f>
        <v>#N/A</v>
      </c>
      <c r="AH423" s="210" t="e">
        <f>_xlfn.XLOOKUP(_xlfn.CONCAT(Buildings_Water_Backend[[#This Row],[Level 1]:[Level 6]]),rng_EFConcat,rng_EF3)*Buildings_Water_Backend[[#This Row],[Converted data]]/1000</f>
        <v>#N/A</v>
      </c>
      <c r="AI423" s="210" t="e">
        <f>_xlfn.XLOOKUP(_xlfn.CONCAT(Buildings_Water_Backend[[#This Row],[Level 1]:[Level 6]]),rng_EFConcat,rng_EF3WTT)*Buildings_Water_Backend[[#This Row],[Converted data]]/1000</f>
        <v>#N/A</v>
      </c>
      <c r="AJ423" s="210" t="e">
        <f>_xlfn.XLOOKUP(_xlfn.CONCAT(Buildings_Water_Backend[[#This Row],[Level 1]:[Level 6]]),rng_EFConcat,rng_EF3TD)*Buildings_Water_Backend[[#This Row],[Converted data]]/1000</f>
        <v>#N/A</v>
      </c>
      <c r="AK423" s="210" t="e">
        <f>_xlfn.XLOOKUP(_xlfn.CONCAT(Buildings_Water_Backend[[#This Row],[Level 1]:[Level 6]]),rng_EFConcat,rng_EF3WTTTD)*Buildings_Water_Backend[[#This Row],[Converted data]]/1000</f>
        <v>#N/A</v>
      </c>
      <c r="AL423" s="220" t="e">
        <f>SUM(Buildings_Water_Backend[[#This Row],[Scope 1 (tCO2e)]:[Scope 3 WTT T&amp;D (tCO2e)]])</f>
        <v>#N/A</v>
      </c>
      <c r="AM423" s="220" t="e">
        <f>Buildings_Water_Backend[[#This Row],[Total (tCO2e)]]*(1-Buildings_Water_Backend[[#This Row],[RSD]])</f>
        <v>#N/A</v>
      </c>
      <c r="AN423" s="220" t="e">
        <f>Buildings_Water_Backend[[#This Row],[Total (tCO2e)]]*(1+Buildings_Water_Backend[[#This Row],[RSD]])</f>
        <v>#N/A</v>
      </c>
      <c r="AO423" s="210" t="e">
        <f>_xlfn.XLOOKUP(_xlfn.CONCAT(Buildings_Water_Backend[[#This Row],[Level 1]:[Level 6]]),rng_EFConcat,rng_EFOOS)*Buildings_Water_Backend[[#This Row],[Converted data]]/1000</f>
        <v>#N/A</v>
      </c>
      <c r="AP423" s="174">
        <f>Buildings_Water_Frontend[[#This Row],[Ease of collection]]</f>
        <v>0</v>
      </c>
      <c r="AQ423" s="174">
        <f>Buildings_Water_Frontend[[#This Row],[Completeness]]</f>
        <v>0</v>
      </c>
      <c r="AR423" s="174">
        <f>Buildings_Water_Frontend[[#This Row],[Notes]]</f>
        <v>0</v>
      </c>
    </row>
    <row r="424" spans="5:44" x14ac:dyDescent="0.3">
      <c r="E424" s="346"/>
      <c r="F424" s="364"/>
      <c r="G424" s="336"/>
      <c r="H424" s="336"/>
      <c r="I424" s="334"/>
      <c r="J424" s="336"/>
      <c r="K424" s="336"/>
      <c r="L424" s="336"/>
      <c r="M424" s="337"/>
      <c r="N424" s="242">
        <f t="shared" si="13"/>
        <v>5</v>
      </c>
      <c r="Q424" s="212" t="str">
        <f t="shared" si="12"/>
        <v/>
      </c>
      <c r="R424" s="174" t="s">
        <v>265</v>
      </c>
      <c r="S424" s="174" t="s">
        <v>273</v>
      </c>
      <c r="T424" s="174" t="e">
        <f>_xlfn.XLOOKUP(Buildings_Water_Backend[[#This Row],[Info 1]],Buildings_SiteInfo[Site name],Buildings_SiteInfo[Site type])</f>
        <v>#N/A</v>
      </c>
      <c r="U424" s="174" t="s">
        <v>327</v>
      </c>
      <c r="V424" s="174">
        <f>Buildings_Water_Frontend[[#This Row],[Type]]</f>
        <v>0</v>
      </c>
      <c r="W424" s="174" t="e" cm="1">
        <f t="array" aca="1" ref="W424" ca="1">_xlfn.XLOOKUP(Buildings_Water_Backend[[#This Row],[Level 5]],rng_Level5Long,rng_Level6Long)</f>
        <v>#N/A</v>
      </c>
      <c r="X424" s="174">
        <f>Buildings_Water_Frontend[[#This Row],[Site Name]]</f>
        <v>0</v>
      </c>
      <c r="Y424" s="174">
        <f>Buildings_Water_Frontend[[#This Row],[Meter Reference]]</f>
        <v>0</v>
      </c>
      <c r="Z424" s="220">
        <f>Buildings_Water_Frontend[[#This Row],[Methodology]]</f>
        <v>0</v>
      </c>
      <c r="AA424" s="229" t="e" cm="1">
        <f t="array" ref="AA424">INDEX(_xlfn.SWITCH(Buildings_Water_Backend[[#This Row],[Methodology]],"Tier 1",rng_RSD1,"Tier 2",rng_RSD2,"Tier 3",rng_RSD3),MATCH(_xlfn.CONCAT(Buildings_Water_Backend[[#This Row],[Level 1]:[Level 6]]),rng_LevelsConcat,0))</f>
        <v>#N/A</v>
      </c>
      <c r="AB424" s="224">
        <f>Buildings_Water_Frontend[[#This Row],[Data]]</f>
        <v>0</v>
      </c>
      <c r="AC424" s="174">
        <f>Buildings_Water_Frontend[[#This Row],[Units]]</f>
        <v>0</v>
      </c>
      <c r="AD424" s="220" t="e">
        <f>IF(Buildings_Water_Backend[[#This Row],[Units]]=Buildings_Water_Backend[[#This Row],[Standard units]],Buildings_Water_Backend[[#This Row],[Data]],Buildings_Water_Backend[[#This Row],[Data]]*_xlfn.XLOOKUP(_xlfn.CONCAT(Buildings_Water_Backend[[#This Row],[Level 1]:[Level 6]]),rng_EFConcat,rng_EFConversion))</f>
        <v>#N/A</v>
      </c>
      <c r="AE424" s="174" t="e" cm="1">
        <f t="array" ref="AE424">_xlfn.XLOOKUP(_xlfn.CONCAT(Buildings_Water_Backend[[#This Row],[Level 1]:[Level 6]]),rng_LevelsConcat,rng_UnitsLong)</f>
        <v>#N/A</v>
      </c>
      <c r="AF424" s="210" t="e">
        <f>_xlfn.XLOOKUP(_xlfn.CONCAT(Buildings_Water_Backend[[#This Row],[Level 1]:[Level 6]]),rng_EFConcat,rng_EF1)*Buildings_Water_Backend[[#This Row],[Converted data]]/1000</f>
        <v>#N/A</v>
      </c>
      <c r="AG424" s="210" t="e">
        <f>_xlfn.XLOOKUP(_xlfn.CONCAT(Buildings_Water_Backend[[#This Row],[Level 1]:[Level 6]]),rng_EFConcat,rng_EF2)*Buildings_Water_Backend[[#This Row],[Converted data]]/1000</f>
        <v>#N/A</v>
      </c>
      <c r="AH424" s="210" t="e">
        <f>_xlfn.XLOOKUP(_xlfn.CONCAT(Buildings_Water_Backend[[#This Row],[Level 1]:[Level 6]]),rng_EFConcat,rng_EF3)*Buildings_Water_Backend[[#This Row],[Converted data]]/1000</f>
        <v>#N/A</v>
      </c>
      <c r="AI424" s="210" t="e">
        <f>_xlfn.XLOOKUP(_xlfn.CONCAT(Buildings_Water_Backend[[#This Row],[Level 1]:[Level 6]]),rng_EFConcat,rng_EF3WTT)*Buildings_Water_Backend[[#This Row],[Converted data]]/1000</f>
        <v>#N/A</v>
      </c>
      <c r="AJ424" s="210" t="e">
        <f>_xlfn.XLOOKUP(_xlfn.CONCAT(Buildings_Water_Backend[[#This Row],[Level 1]:[Level 6]]),rng_EFConcat,rng_EF3TD)*Buildings_Water_Backend[[#This Row],[Converted data]]/1000</f>
        <v>#N/A</v>
      </c>
      <c r="AK424" s="210" t="e">
        <f>_xlfn.XLOOKUP(_xlfn.CONCAT(Buildings_Water_Backend[[#This Row],[Level 1]:[Level 6]]),rng_EFConcat,rng_EF3WTTTD)*Buildings_Water_Backend[[#This Row],[Converted data]]/1000</f>
        <v>#N/A</v>
      </c>
      <c r="AL424" s="220" t="e">
        <f>SUM(Buildings_Water_Backend[[#This Row],[Scope 1 (tCO2e)]:[Scope 3 WTT T&amp;D (tCO2e)]])</f>
        <v>#N/A</v>
      </c>
      <c r="AM424" s="220" t="e">
        <f>Buildings_Water_Backend[[#This Row],[Total (tCO2e)]]*(1-Buildings_Water_Backend[[#This Row],[RSD]])</f>
        <v>#N/A</v>
      </c>
      <c r="AN424" s="220" t="e">
        <f>Buildings_Water_Backend[[#This Row],[Total (tCO2e)]]*(1+Buildings_Water_Backend[[#This Row],[RSD]])</f>
        <v>#N/A</v>
      </c>
      <c r="AO424" s="210" t="e">
        <f>_xlfn.XLOOKUP(_xlfn.CONCAT(Buildings_Water_Backend[[#This Row],[Level 1]:[Level 6]]),rng_EFConcat,rng_EFOOS)*Buildings_Water_Backend[[#This Row],[Converted data]]/1000</f>
        <v>#N/A</v>
      </c>
      <c r="AP424" s="174">
        <f>Buildings_Water_Frontend[[#This Row],[Ease of collection]]</f>
        <v>0</v>
      </c>
      <c r="AQ424" s="174">
        <f>Buildings_Water_Frontend[[#This Row],[Completeness]]</f>
        <v>0</v>
      </c>
      <c r="AR424" s="174">
        <f>Buildings_Water_Frontend[[#This Row],[Notes]]</f>
        <v>0</v>
      </c>
    </row>
    <row r="425" spans="5:44" x14ac:dyDescent="0.3">
      <c r="E425" s="346"/>
      <c r="F425" s="364"/>
      <c r="G425" s="336"/>
      <c r="H425" s="336"/>
      <c r="I425" s="334"/>
      <c r="J425" s="336"/>
      <c r="K425" s="336"/>
      <c r="L425" s="336"/>
      <c r="M425" s="337"/>
      <c r="N425" s="242">
        <f t="shared" si="13"/>
        <v>5</v>
      </c>
      <c r="Q425" s="212" t="str">
        <f t="shared" si="12"/>
        <v/>
      </c>
      <c r="R425" s="174" t="s">
        <v>265</v>
      </c>
      <c r="S425" s="174" t="s">
        <v>273</v>
      </c>
      <c r="T425" s="174" t="e">
        <f>_xlfn.XLOOKUP(Buildings_Water_Backend[[#This Row],[Info 1]],Buildings_SiteInfo[Site name],Buildings_SiteInfo[Site type])</f>
        <v>#N/A</v>
      </c>
      <c r="U425" s="174" t="s">
        <v>327</v>
      </c>
      <c r="V425" s="174">
        <f>Buildings_Water_Frontend[[#This Row],[Type]]</f>
        <v>0</v>
      </c>
      <c r="W425" s="174" t="e" cm="1">
        <f t="array" aca="1" ref="W425" ca="1">_xlfn.XLOOKUP(Buildings_Water_Backend[[#This Row],[Level 5]],rng_Level5Long,rng_Level6Long)</f>
        <v>#N/A</v>
      </c>
      <c r="X425" s="174">
        <f>Buildings_Water_Frontend[[#This Row],[Site Name]]</f>
        <v>0</v>
      </c>
      <c r="Y425" s="174">
        <f>Buildings_Water_Frontend[[#This Row],[Meter Reference]]</f>
        <v>0</v>
      </c>
      <c r="Z425" s="220">
        <f>Buildings_Water_Frontend[[#This Row],[Methodology]]</f>
        <v>0</v>
      </c>
      <c r="AA425" s="229" t="e" cm="1">
        <f t="array" ref="AA425">INDEX(_xlfn.SWITCH(Buildings_Water_Backend[[#This Row],[Methodology]],"Tier 1",rng_RSD1,"Tier 2",rng_RSD2,"Tier 3",rng_RSD3),MATCH(_xlfn.CONCAT(Buildings_Water_Backend[[#This Row],[Level 1]:[Level 6]]),rng_LevelsConcat,0))</f>
        <v>#N/A</v>
      </c>
      <c r="AB425" s="224">
        <f>Buildings_Water_Frontend[[#This Row],[Data]]</f>
        <v>0</v>
      </c>
      <c r="AC425" s="174">
        <f>Buildings_Water_Frontend[[#This Row],[Units]]</f>
        <v>0</v>
      </c>
      <c r="AD425" s="220" t="e">
        <f>IF(Buildings_Water_Backend[[#This Row],[Units]]=Buildings_Water_Backend[[#This Row],[Standard units]],Buildings_Water_Backend[[#This Row],[Data]],Buildings_Water_Backend[[#This Row],[Data]]*_xlfn.XLOOKUP(_xlfn.CONCAT(Buildings_Water_Backend[[#This Row],[Level 1]:[Level 6]]),rng_EFConcat,rng_EFConversion))</f>
        <v>#N/A</v>
      </c>
      <c r="AE425" s="174" t="e" cm="1">
        <f t="array" ref="AE425">_xlfn.XLOOKUP(_xlfn.CONCAT(Buildings_Water_Backend[[#This Row],[Level 1]:[Level 6]]),rng_LevelsConcat,rng_UnitsLong)</f>
        <v>#N/A</v>
      </c>
      <c r="AF425" s="210" t="e">
        <f>_xlfn.XLOOKUP(_xlfn.CONCAT(Buildings_Water_Backend[[#This Row],[Level 1]:[Level 6]]),rng_EFConcat,rng_EF1)*Buildings_Water_Backend[[#This Row],[Converted data]]/1000</f>
        <v>#N/A</v>
      </c>
      <c r="AG425" s="210" t="e">
        <f>_xlfn.XLOOKUP(_xlfn.CONCAT(Buildings_Water_Backend[[#This Row],[Level 1]:[Level 6]]),rng_EFConcat,rng_EF2)*Buildings_Water_Backend[[#This Row],[Converted data]]/1000</f>
        <v>#N/A</v>
      </c>
      <c r="AH425" s="210" t="e">
        <f>_xlfn.XLOOKUP(_xlfn.CONCAT(Buildings_Water_Backend[[#This Row],[Level 1]:[Level 6]]),rng_EFConcat,rng_EF3)*Buildings_Water_Backend[[#This Row],[Converted data]]/1000</f>
        <v>#N/A</v>
      </c>
      <c r="AI425" s="210" t="e">
        <f>_xlfn.XLOOKUP(_xlfn.CONCAT(Buildings_Water_Backend[[#This Row],[Level 1]:[Level 6]]),rng_EFConcat,rng_EF3WTT)*Buildings_Water_Backend[[#This Row],[Converted data]]/1000</f>
        <v>#N/A</v>
      </c>
      <c r="AJ425" s="210" t="e">
        <f>_xlfn.XLOOKUP(_xlfn.CONCAT(Buildings_Water_Backend[[#This Row],[Level 1]:[Level 6]]),rng_EFConcat,rng_EF3TD)*Buildings_Water_Backend[[#This Row],[Converted data]]/1000</f>
        <v>#N/A</v>
      </c>
      <c r="AK425" s="210" t="e">
        <f>_xlfn.XLOOKUP(_xlfn.CONCAT(Buildings_Water_Backend[[#This Row],[Level 1]:[Level 6]]),rng_EFConcat,rng_EF3WTTTD)*Buildings_Water_Backend[[#This Row],[Converted data]]/1000</f>
        <v>#N/A</v>
      </c>
      <c r="AL425" s="220" t="e">
        <f>SUM(Buildings_Water_Backend[[#This Row],[Scope 1 (tCO2e)]:[Scope 3 WTT T&amp;D (tCO2e)]])</f>
        <v>#N/A</v>
      </c>
      <c r="AM425" s="220" t="e">
        <f>Buildings_Water_Backend[[#This Row],[Total (tCO2e)]]*(1-Buildings_Water_Backend[[#This Row],[RSD]])</f>
        <v>#N/A</v>
      </c>
      <c r="AN425" s="220" t="e">
        <f>Buildings_Water_Backend[[#This Row],[Total (tCO2e)]]*(1+Buildings_Water_Backend[[#This Row],[RSD]])</f>
        <v>#N/A</v>
      </c>
      <c r="AO425" s="210" t="e">
        <f>_xlfn.XLOOKUP(_xlfn.CONCAT(Buildings_Water_Backend[[#This Row],[Level 1]:[Level 6]]),rng_EFConcat,rng_EFOOS)*Buildings_Water_Backend[[#This Row],[Converted data]]/1000</f>
        <v>#N/A</v>
      </c>
      <c r="AP425" s="174">
        <f>Buildings_Water_Frontend[[#This Row],[Ease of collection]]</f>
        <v>0</v>
      </c>
      <c r="AQ425" s="174">
        <f>Buildings_Water_Frontend[[#This Row],[Completeness]]</f>
        <v>0</v>
      </c>
      <c r="AR425" s="174">
        <f>Buildings_Water_Frontend[[#This Row],[Notes]]</f>
        <v>0</v>
      </c>
    </row>
    <row r="426" spans="5:44" x14ac:dyDescent="0.3">
      <c r="E426" s="346"/>
      <c r="F426" s="364"/>
      <c r="G426" s="336"/>
      <c r="H426" s="336"/>
      <c r="I426" s="334"/>
      <c r="J426" s="336"/>
      <c r="K426" s="336"/>
      <c r="L426" s="336"/>
      <c r="M426" s="337"/>
      <c r="N426" s="242">
        <f t="shared" si="13"/>
        <v>5</v>
      </c>
      <c r="Q426" s="212" t="str">
        <f t="shared" si="12"/>
        <v/>
      </c>
      <c r="R426" s="174" t="s">
        <v>265</v>
      </c>
      <c r="S426" s="174" t="s">
        <v>273</v>
      </c>
      <c r="T426" s="174" t="e">
        <f>_xlfn.XLOOKUP(Buildings_Water_Backend[[#This Row],[Info 1]],Buildings_SiteInfo[Site name],Buildings_SiteInfo[Site type])</f>
        <v>#N/A</v>
      </c>
      <c r="U426" s="174" t="s">
        <v>327</v>
      </c>
      <c r="V426" s="174">
        <f>Buildings_Water_Frontend[[#This Row],[Type]]</f>
        <v>0</v>
      </c>
      <c r="W426" s="174" t="e" cm="1">
        <f t="array" aca="1" ref="W426" ca="1">_xlfn.XLOOKUP(Buildings_Water_Backend[[#This Row],[Level 5]],rng_Level5Long,rng_Level6Long)</f>
        <v>#N/A</v>
      </c>
      <c r="X426" s="174">
        <f>Buildings_Water_Frontend[[#This Row],[Site Name]]</f>
        <v>0</v>
      </c>
      <c r="Y426" s="174">
        <f>Buildings_Water_Frontend[[#This Row],[Meter Reference]]</f>
        <v>0</v>
      </c>
      <c r="Z426" s="220">
        <f>Buildings_Water_Frontend[[#This Row],[Methodology]]</f>
        <v>0</v>
      </c>
      <c r="AA426" s="229" t="e" cm="1">
        <f t="array" ref="AA426">INDEX(_xlfn.SWITCH(Buildings_Water_Backend[[#This Row],[Methodology]],"Tier 1",rng_RSD1,"Tier 2",rng_RSD2,"Tier 3",rng_RSD3),MATCH(_xlfn.CONCAT(Buildings_Water_Backend[[#This Row],[Level 1]:[Level 6]]),rng_LevelsConcat,0))</f>
        <v>#N/A</v>
      </c>
      <c r="AB426" s="224">
        <f>Buildings_Water_Frontend[[#This Row],[Data]]</f>
        <v>0</v>
      </c>
      <c r="AC426" s="174">
        <f>Buildings_Water_Frontend[[#This Row],[Units]]</f>
        <v>0</v>
      </c>
      <c r="AD426" s="220" t="e">
        <f>IF(Buildings_Water_Backend[[#This Row],[Units]]=Buildings_Water_Backend[[#This Row],[Standard units]],Buildings_Water_Backend[[#This Row],[Data]],Buildings_Water_Backend[[#This Row],[Data]]*_xlfn.XLOOKUP(_xlfn.CONCAT(Buildings_Water_Backend[[#This Row],[Level 1]:[Level 6]]),rng_EFConcat,rng_EFConversion))</f>
        <v>#N/A</v>
      </c>
      <c r="AE426" s="174" t="e" cm="1">
        <f t="array" ref="AE426">_xlfn.XLOOKUP(_xlfn.CONCAT(Buildings_Water_Backend[[#This Row],[Level 1]:[Level 6]]),rng_LevelsConcat,rng_UnitsLong)</f>
        <v>#N/A</v>
      </c>
      <c r="AF426" s="210" t="e">
        <f>_xlfn.XLOOKUP(_xlfn.CONCAT(Buildings_Water_Backend[[#This Row],[Level 1]:[Level 6]]),rng_EFConcat,rng_EF1)*Buildings_Water_Backend[[#This Row],[Converted data]]/1000</f>
        <v>#N/A</v>
      </c>
      <c r="AG426" s="210" t="e">
        <f>_xlfn.XLOOKUP(_xlfn.CONCAT(Buildings_Water_Backend[[#This Row],[Level 1]:[Level 6]]),rng_EFConcat,rng_EF2)*Buildings_Water_Backend[[#This Row],[Converted data]]/1000</f>
        <v>#N/A</v>
      </c>
      <c r="AH426" s="210" t="e">
        <f>_xlfn.XLOOKUP(_xlfn.CONCAT(Buildings_Water_Backend[[#This Row],[Level 1]:[Level 6]]),rng_EFConcat,rng_EF3)*Buildings_Water_Backend[[#This Row],[Converted data]]/1000</f>
        <v>#N/A</v>
      </c>
      <c r="AI426" s="210" t="e">
        <f>_xlfn.XLOOKUP(_xlfn.CONCAT(Buildings_Water_Backend[[#This Row],[Level 1]:[Level 6]]),rng_EFConcat,rng_EF3WTT)*Buildings_Water_Backend[[#This Row],[Converted data]]/1000</f>
        <v>#N/A</v>
      </c>
      <c r="AJ426" s="210" t="e">
        <f>_xlfn.XLOOKUP(_xlfn.CONCAT(Buildings_Water_Backend[[#This Row],[Level 1]:[Level 6]]),rng_EFConcat,rng_EF3TD)*Buildings_Water_Backend[[#This Row],[Converted data]]/1000</f>
        <v>#N/A</v>
      </c>
      <c r="AK426" s="210" t="e">
        <f>_xlfn.XLOOKUP(_xlfn.CONCAT(Buildings_Water_Backend[[#This Row],[Level 1]:[Level 6]]),rng_EFConcat,rng_EF3WTTTD)*Buildings_Water_Backend[[#This Row],[Converted data]]/1000</f>
        <v>#N/A</v>
      </c>
      <c r="AL426" s="220" t="e">
        <f>SUM(Buildings_Water_Backend[[#This Row],[Scope 1 (tCO2e)]:[Scope 3 WTT T&amp;D (tCO2e)]])</f>
        <v>#N/A</v>
      </c>
      <c r="AM426" s="220" t="e">
        <f>Buildings_Water_Backend[[#This Row],[Total (tCO2e)]]*(1-Buildings_Water_Backend[[#This Row],[RSD]])</f>
        <v>#N/A</v>
      </c>
      <c r="AN426" s="220" t="e">
        <f>Buildings_Water_Backend[[#This Row],[Total (tCO2e)]]*(1+Buildings_Water_Backend[[#This Row],[RSD]])</f>
        <v>#N/A</v>
      </c>
      <c r="AO426" s="210" t="e">
        <f>_xlfn.XLOOKUP(_xlfn.CONCAT(Buildings_Water_Backend[[#This Row],[Level 1]:[Level 6]]),rng_EFConcat,rng_EFOOS)*Buildings_Water_Backend[[#This Row],[Converted data]]/1000</f>
        <v>#N/A</v>
      </c>
      <c r="AP426" s="174">
        <f>Buildings_Water_Frontend[[#This Row],[Ease of collection]]</f>
        <v>0</v>
      </c>
      <c r="AQ426" s="174">
        <f>Buildings_Water_Frontend[[#This Row],[Completeness]]</f>
        <v>0</v>
      </c>
      <c r="AR426" s="174">
        <f>Buildings_Water_Frontend[[#This Row],[Notes]]</f>
        <v>0</v>
      </c>
    </row>
    <row r="427" spans="5:44" x14ac:dyDescent="0.3">
      <c r="E427" s="346"/>
      <c r="F427" s="364"/>
      <c r="G427" s="336"/>
      <c r="H427" s="336"/>
      <c r="I427" s="334"/>
      <c r="J427" s="336"/>
      <c r="K427" s="336"/>
      <c r="L427" s="336"/>
      <c r="M427" s="337"/>
      <c r="N427" s="242">
        <f t="shared" si="13"/>
        <v>5</v>
      </c>
      <c r="Q427" s="212" t="str">
        <f t="shared" si="12"/>
        <v/>
      </c>
      <c r="R427" s="174" t="s">
        <v>265</v>
      </c>
      <c r="S427" s="174" t="s">
        <v>273</v>
      </c>
      <c r="T427" s="174" t="e">
        <f>_xlfn.XLOOKUP(Buildings_Water_Backend[[#This Row],[Info 1]],Buildings_SiteInfo[Site name],Buildings_SiteInfo[Site type])</f>
        <v>#N/A</v>
      </c>
      <c r="U427" s="174" t="s">
        <v>327</v>
      </c>
      <c r="V427" s="174">
        <f>Buildings_Water_Frontend[[#This Row],[Type]]</f>
        <v>0</v>
      </c>
      <c r="W427" s="174" t="e" cm="1">
        <f t="array" aca="1" ref="W427" ca="1">_xlfn.XLOOKUP(Buildings_Water_Backend[[#This Row],[Level 5]],rng_Level5Long,rng_Level6Long)</f>
        <v>#N/A</v>
      </c>
      <c r="X427" s="174">
        <f>Buildings_Water_Frontend[[#This Row],[Site Name]]</f>
        <v>0</v>
      </c>
      <c r="Y427" s="174">
        <f>Buildings_Water_Frontend[[#This Row],[Meter Reference]]</f>
        <v>0</v>
      </c>
      <c r="Z427" s="220">
        <f>Buildings_Water_Frontend[[#This Row],[Methodology]]</f>
        <v>0</v>
      </c>
      <c r="AA427" s="229" t="e" cm="1">
        <f t="array" ref="AA427">INDEX(_xlfn.SWITCH(Buildings_Water_Backend[[#This Row],[Methodology]],"Tier 1",rng_RSD1,"Tier 2",rng_RSD2,"Tier 3",rng_RSD3),MATCH(_xlfn.CONCAT(Buildings_Water_Backend[[#This Row],[Level 1]:[Level 6]]),rng_LevelsConcat,0))</f>
        <v>#N/A</v>
      </c>
      <c r="AB427" s="224">
        <f>Buildings_Water_Frontend[[#This Row],[Data]]</f>
        <v>0</v>
      </c>
      <c r="AC427" s="174">
        <f>Buildings_Water_Frontend[[#This Row],[Units]]</f>
        <v>0</v>
      </c>
      <c r="AD427" s="220" t="e">
        <f>IF(Buildings_Water_Backend[[#This Row],[Units]]=Buildings_Water_Backend[[#This Row],[Standard units]],Buildings_Water_Backend[[#This Row],[Data]],Buildings_Water_Backend[[#This Row],[Data]]*_xlfn.XLOOKUP(_xlfn.CONCAT(Buildings_Water_Backend[[#This Row],[Level 1]:[Level 6]]),rng_EFConcat,rng_EFConversion))</f>
        <v>#N/A</v>
      </c>
      <c r="AE427" s="174" t="e" cm="1">
        <f t="array" ref="AE427">_xlfn.XLOOKUP(_xlfn.CONCAT(Buildings_Water_Backend[[#This Row],[Level 1]:[Level 6]]),rng_LevelsConcat,rng_UnitsLong)</f>
        <v>#N/A</v>
      </c>
      <c r="AF427" s="210" t="e">
        <f>_xlfn.XLOOKUP(_xlfn.CONCAT(Buildings_Water_Backend[[#This Row],[Level 1]:[Level 6]]),rng_EFConcat,rng_EF1)*Buildings_Water_Backend[[#This Row],[Converted data]]/1000</f>
        <v>#N/A</v>
      </c>
      <c r="AG427" s="210" t="e">
        <f>_xlfn.XLOOKUP(_xlfn.CONCAT(Buildings_Water_Backend[[#This Row],[Level 1]:[Level 6]]),rng_EFConcat,rng_EF2)*Buildings_Water_Backend[[#This Row],[Converted data]]/1000</f>
        <v>#N/A</v>
      </c>
      <c r="AH427" s="210" t="e">
        <f>_xlfn.XLOOKUP(_xlfn.CONCAT(Buildings_Water_Backend[[#This Row],[Level 1]:[Level 6]]),rng_EFConcat,rng_EF3)*Buildings_Water_Backend[[#This Row],[Converted data]]/1000</f>
        <v>#N/A</v>
      </c>
      <c r="AI427" s="210" t="e">
        <f>_xlfn.XLOOKUP(_xlfn.CONCAT(Buildings_Water_Backend[[#This Row],[Level 1]:[Level 6]]),rng_EFConcat,rng_EF3WTT)*Buildings_Water_Backend[[#This Row],[Converted data]]/1000</f>
        <v>#N/A</v>
      </c>
      <c r="AJ427" s="210" t="e">
        <f>_xlfn.XLOOKUP(_xlfn.CONCAT(Buildings_Water_Backend[[#This Row],[Level 1]:[Level 6]]),rng_EFConcat,rng_EF3TD)*Buildings_Water_Backend[[#This Row],[Converted data]]/1000</f>
        <v>#N/A</v>
      </c>
      <c r="AK427" s="210" t="e">
        <f>_xlfn.XLOOKUP(_xlfn.CONCAT(Buildings_Water_Backend[[#This Row],[Level 1]:[Level 6]]),rng_EFConcat,rng_EF3WTTTD)*Buildings_Water_Backend[[#This Row],[Converted data]]/1000</f>
        <v>#N/A</v>
      </c>
      <c r="AL427" s="220" t="e">
        <f>SUM(Buildings_Water_Backend[[#This Row],[Scope 1 (tCO2e)]:[Scope 3 WTT T&amp;D (tCO2e)]])</f>
        <v>#N/A</v>
      </c>
      <c r="AM427" s="220" t="e">
        <f>Buildings_Water_Backend[[#This Row],[Total (tCO2e)]]*(1-Buildings_Water_Backend[[#This Row],[RSD]])</f>
        <v>#N/A</v>
      </c>
      <c r="AN427" s="220" t="e">
        <f>Buildings_Water_Backend[[#This Row],[Total (tCO2e)]]*(1+Buildings_Water_Backend[[#This Row],[RSD]])</f>
        <v>#N/A</v>
      </c>
      <c r="AO427" s="210" t="e">
        <f>_xlfn.XLOOKUP(_xlfn.CONCAT(Buildings_Water_Backend[[#This Row],[Level 1]:[Level 6]]),rng_EFConcat,rng_EFOOS)*Buildings_Water_Backend[[#This Row],[Converted data]]/1000</f>
        <v>#N/A</v>
      </c>
      <c r="AP427" s="174">
        <f>Buildings_Water_Frontend[[#This Row],[Ease of collection]]</f>
        <v>0</v>
      </c>
      <c r="AQ427" s="174">
        <f>Buildings_Water_Frontend[[#This Row],[Completeness]]</f>
        <v>0</v>
      </c>
      <c r="AR427" s="174">
        <f>Buildings_Water_Frontend[[#This Row],[Notes]]</f>
        <v>0</v>
      </c>
    </row>
    <row r="428" spans="5:44" x14ac:dyDescent="0.3">
      <c r="E428" s="346"/>
      <c r="F428" s="364"/>
      <c r="G428" s="336"/>
      <c r="H428" s="336"/>
      <c r="I428" s="334"/>
      <c r="J428" s="336"/>
      <c r="K428" s="336"/>
      <c r="L428" s="336"/>
      <c r="M428" s="337"/>
      <c r="N428" s="242">
        <f t="shared" si="13"/>
        <v>5</v>
      </c>
      <c r="Q428" s="212" t="str">
        <f t="shared" si="12"/>
        <v/>
      </c>
      <c r="R428" s="174" t="s">
        <v>265</v>
      </c>
      <c r="S428" s="174" t="s">
        <v>273</v>
      </c>
      <c r="T428" s="174" t="e">
        <f>_xlfn.XLOOKUP(Buildings_Water_Backend[[#This Row],[Info 1]],Buildings_SiteInfo[Site name],Buildings_SiteInfo[Site type])</f>
        <v>#N/A</v>
      </c>
      <c r="U428" s="174" t="s">
        <v>327</v>
      </c>
      <c r="V428" s="174">
        <f>Buildings_Water_Frontend[[#This Row],[Type]]</f>
        <v>0</v>
      </c>
      <c r="W428" s="174" t="e" cm="1">
        <f t="array" aca="1" ref="W428" ca="1">_xlfn.XLOOKUP(Buildings_Water_Backend[[#This Row],[Level 5]],rng_Level5Long,rng_Level6Long)</f>
        <v>#N/A</v>
      </c>
      <c r="X428" s="174">
        <f>Buildings_Water_Frontend[[#This Row],[Site Name]]</f>
        <v>0</v>
      </c>
      <c r="Y428" s="174">
        <f>Buildings_Water_Frontend[[#This Row],[Meter Reference]]</f>
        <v>0</v>
      </c>
      <c r="Z428" s="220">
        <f>Buildings_Water_Frontend[[#This Row],[Methodology]]</f>
        <v>0</v>
      </c>
      <c r="AA428" s="229" t="e" cm="1">
        <f t="array" ref="AA428">INDEX(_xlfn.SWITCH(Buildings_Water_Backend[[#This Row],[Methodology]],"Tier 1",rng_RSD1,"Tier 2",rng_RSD2,"Tier 3",rng_RSD3),MATCH(_xlfn.CONCAT(Buildings_Water_Backend[[#This Row],[Level 1]:[Level 6]]),rng_LevelsConcat,0))</f>
        <v>#N/A</v>
      </c>
      <c r="AB428" s="224">
        <f>Buildings_Water_Frontend[[#This Row],[Data]]</f>
        <v>0</v>
      </c>
      <c r="AC428" s="174">
        <f>Buildings_Water_Frontend[[#This Row],[Units]]</f>
        <v>0</v>
      </c>
      <c r="AD428" s="220" t="e">
        <f>IF(Buildings_Water_Backend[[#This Row],[Units]]=Buildings_Water_Backend[[#This Row],[Standard units]],Buildings_Water_Backend[[#This Row],[Data]],Buildings_Water_Backend[[#This Row],[Data]]*_xlfn.XLOOKUP(_xlfn.CONCAT(Buildings_Water_Backend[[#This Row],[Level 1]:[Level 6]]),rng_EFConcat,rng_EFConversion))</f>
        <v>#N/A</v>
      </c>
      <c r="AE428" s="174" t="e" cm="1">
        <f t="array" ref="AE428">_xlfn.XLOOKUP(_xlfn.CONCAT(Buildings_Water_Backend[[#This Row],[Level 1]:[Level 6]]),rng_LevelsConcat,rng_UnitsLong)</f>
        <v>#N/A</v>
      </c>
      <c r="AF428" s="210" t="e">
        <f>_xlfn.XLOOKUP(_xlfn.CONCAT(Buildings_Water_Backend[[#This Row],[Level 1]:[Level 6]]),rng_EFConcat,rng_EF1)*Buildings_Water_Backend[[#This Row],[Converted data]]/1000</f>
        <v>#N/A</v>
      </c>
      <c r="AG428" s="210" t="e">
        <f>_xlfn.XLOOKUP(_xlfn.CONCAT(Buildings_Water_Backend[[#This Row],[Level 1]:[Level 6]]),rng_EFConcat,rng_EF2)*Buildings_Water_Backend[[#This Row],[Converted data]]/1000</f>
        <v>#N/A</v>
      </c>
      <c r="AH428" s="210" t="e">
        <f>_xlfn.XLOOKUP(_xlfn.CONCAT(Buildings_Water_Backend[[#This Row],[Level 1]:[Level 6]]),rng_EFConcat,rng_EF3)*Buildings_Water_Backend[[#This Row],[Converted data]]/1000</f>
        <v>#N/A</v>
      </c>
      <c r="AI428" s="210" t="e">
        <f>_xlfn.XLOOKUP(_xlfn.CONCAT(Buildings_Water_Backend[[#This Row],[Level 1]:[Level 6]]),rng_EFConcat,rng_EF3WTT)*Buildings_Water_Backend[[#This Row],[Converted data]]/1000</f>
        <v>#N/A</v>
      </c>
      <c r="AJ428" s="210" t="e">
        <f>_xlfn.XLOOKUP(_xlfn.CONCAT(Buildings_Water_Backend[[#This Row],[Level 1]:[Level 6]]),rng_EFConcat,rng_EF3TD)*Buildings_Water_Backend[[#This Row],[Converted data]]/1000</f>
        <v>#N/A</v>
      </c>
      <c r="AK428" s="210" t="e">
        <f>_xlfn.XLOOKUP(_xlfn.CONCAT(Buildings_Water_Backend[[#This Row],[Level 1]:[Level 6]]),rng_EFConcat,rng_EF3WTTTD)*Buildings_Water_Backend[[#This Row],[Converted data]]/1000</f>
        <v>#N/A</v>
      </c>
      <c r="AL428" s="220" t="e">
        <f>SUM(Buildings_Water_Backend[[#This Row],[Scope 1 (tCO2e)]:[Scope 3 WTT T&amp;D (tCO2e)]])</f>
        <v>#N/A</v>
      </c>
      <c r="AM428" s="220" t="e">
        <f>Buildings_Water_Backend[[#This Row],[Total (tCO2e)]]*(1-Buildings_Water_Backend[[#This Row],[RSD]])</f>
        <v>#N/A</v>
      </c>
      <c r="AN428" s="220" t="e">
        <f>Buildings_Water_Backend[[#This Row],[Total (tCO2e)]]*(1+Buildings_Water_Backend[[#This Row],[RSD]])</f>
        <v>#N/A</v>
      </c>
      <c r="AO428" s="210" t="e">
        <f>_xlfn.XLOOKUP(_xlfn.CONCAT(Buildings_Water_Backend[[#This Row],[Level 1]:[Level 6]]),rng_EFConcat,rng_EFOOS)*Buildings_Water_Backend[[#This Row],[Converted data]]/1000</f>
        <v>#N/A</v>
      </c>
      <c r="AP428" s="174">
        <f>Buildings_Water_Frontend[[#This Row],[Ease of collection]]</f>
        <v>0</v>
      </c>
      <c r="AQ428" s="174">
        <f>Buildings_Water_Frontend[[#This Row],[Completeness]]</f>
        <v>0</v>
      </c>
      <c r="AR428" s="174">
        <f>Buildings_Water_Frontend[[#This Row],[Notes]]</f>
        <v>0</v>
      </c>
    </row>
    <row r="429" spans="5:44" x14ac:dyDescent="0.3">
      <c r="E429" s="346"/>
      <c r="F429" s="364"/>
      <c r="G429" s="336"/>
      <c r="H429" s="336"/>
      <c r="I429" s="334"/>
      <c r="J429" s="336"/>
      <c r="K429" s="336"/>
      <c r="L429" s="336"/>
      <c r="M429" s="337"/>
      <c r="N429" s="242">
        <f t="shared" si="13"/>
        <v>5</v>
      </c>
      <c r="Q429" s="212" t="str">
        <f t="shared" si="12"/>
        <v/>
      </c>
      <c r="R429" s="174" t="s">
        <v>265</v>
      </c>
      <c r="S429" s="174" t="s">
        <v>273</v>
      </c>
      <c r="T429" s="174" t="e">
        <f>_xlfn.XLOOKUP(Buildings_Water_Backend[[#This Row],[Info 1]],Buildings_SiteInfo[Site name],Buildings_SiteInfo[Site type])</f>
        <v>#N/A</v>
      </c>
      <c r="U429" s="174" t="s">
        <v>327</v>
      </c>
      <c r="V429" s="174">
        <f>Buildings_Water_Frontend[[#This Row],[Type]]</f>
        <v>0</v>
      </c>
      <c r="W429" s="174" t="e" cm="1">
        <f t="array" aca="1" ref="W429" ca="1">_xlfn.XLOOKUP(Buildings_Water_Backend[[#This Row],[Level 5]],rng_Level5Long,rng_Level6Long)</f>
        <v>#N/A</v>
      </c>
      <c r="X429" s="174">
        <f>Buildings_Water_Frontend[[#This Row],[Site Name]]</f>
        <v>0</v>
      </c>
      <c r="Y429" s="174">
        <f>Buildings_Water_Frontend[[#This Row],[Meter Reference]]</f>
        <v>0</v>
      </c>
      <c r="Z429" s="220">
        <f>Buildings_Water_Frontend[[#This Row],[Methodology]]</f>
        <v>0</v>
      </c>
      <c r="AA429" s="229" t="e" cm="1">
        <f t="array" ref="AA429">INDEX(_xlfn.SWITCH(Buildings_Water_Backend[[#This Row],[Methodology]],"Tier 1",rng_RSD1,"Tier 2",rng_RSD2,"Tier 3",rng_RSD3),MATCH(_xlfn.CONCAT(Buildings_Water_Backend[[#This Row],[Level 1]:[Level 6]]),rng_LevelsConcat,0))</f>
        <v>#N/A</v>
      </c>
      <c r="AB429" s="224">
        <f>Buildings_Water_Frontend[[#This Row],[Data]]</f>
        <v>0</v>
      </c>
      <c r="AC429" s="174">
        <f>Buildings_Water_Frontend[[#This Row],[Units]]</f>
        <v>0</v>
      </c>
      <c r="AD429" s="220" t="e">
        <f>IF(Buildings_Water_Backend[[#This Row],[Units]]=Buildings_Water_Backend[[#This Row],[Standard units]],Buildings_Water_Backend[[#This Row],[Data]],Buildings_Water_Backend[[#This Row],[Data]]*_xlfn.XLOOKUP(_xlfn.CONCAT(Buildings_Water_Backend[[#This Row],[Level 1]:[Level 6]]),rng_EFConcat,rng_EFConversion))</f>
        <v>#N/A</v>
      </c>
      <c r="AE429" s="174" t="e" cm="1">
        <f t="array" ref="AE429">_xlfn.XLOOKUP(_xlfn.CONCAT(Buildings_Water_Backend[[#This Row],[Level 1]:[Level 6]]),rng_LevelsConcat,rng_UnitsLong)</f>
        <v>#N/A</v>
      </c>
      <c r="AF429" s="210" t="e">
        <f>_xlfn.XLOOKUP(_xlfn.CONCAT(Buildings_Water_Backend[[#This Row],[Level 1]:[Level 6]]),rng_EFConcat,rng_EF1)*Buildings_Water_Backend[[#This Row],[Converted data]]/1000</f>
        <v>#N/A</v>
      </c>
      <c r="AG429" s="210" t="e">
        <f>_xlfn.XLOOKUP(_xlfn.CONCAT(Buildings_Water_Backend[[#This Row],[Level 1]:[Level 6]]),rng_EFConcat,rng_EF2)*Buildings_Water_Backend[[#This Row],[Converted data]]/1000</f>
        <v>#N/A</v>
      </c>
      <c r="AH429" s="210" t="e">
        <f>_xlfn.XLOOKUP(_xlfn.CONCAT(Buildings_Water_Backend[[#This Row],[Level 1]:[Level 6]]),rng_EFConcat,rng_EF3)*Buildings_Water_Backend[[#This Row],[Converted data]]/1000</f>
        <v>#N/A</v>
      </c>
      <c r="AI429" s="210" t="e">
        <f>_xlfn.XLOOKUP(_xlfn.CONCAT(Buildings_Water_Backend[[#This Row],[Level 1]:[Level 6]]),rng_EFConcat,rng_EF3WTT)*Buildings_Water_Backend[[#This Row],[Converted data]]/1000</f>
        <v>#N/A</v>
      </c>
      <c r="AJ429" s="210" t="e">
        <f>_xlfn.XLOOKUP(_xlfn.CONCAT(Buildings_Water_Backend[[#This Row],[Level 1]:[Level 6]]),rng_EFConcat,rng_EF3TD)*Buildings_Water_Backend[[#This Row],[Converted data]]/1000</f>
        <v>#N/A</v>
      </c>
      <c r="AK429" s="210" t="e">
        <f>_xlfn.XLOOKUP(_xlfn.CONCAT(Buildings_Water_Backend[[#This Row],[Level 1]:[Level 6]]),rng_EFConcat,rng_EF3WTTTD)*Buildings_Water_Backend[[#This Row],[Converted data]]/1000</f>
        <v>#N/A</v>
      </c>
      <c r="AL429" s="220" t="e">
        <f>SUM(Buildings_Water_Backend[[#This Row],[Scope 1 (tCO2e)]:[Scope 3 WTT T&amp;D (tCO2e)]])</f>
        <v>#N/A</v>
      </c>
      <c r="AM429" s="220" t="e">
        <f>Buildings_Water_Backend[[#This Row],[Total (tCO2e)]]*(1-Buildings_Water_Backend[[#This Row],[RSD]])</f>
        <v>#N/A</v>
      </c>
      <c r="AN429" s="220" t="e">
        <f>Buildings_Water_Backend[[#This Row],[Total (tCO2e)]]*(1+Buildings_Water_Backend[[#This Row],[RSD]])</f>
        <v>#N/A</v>
      </c>
      <c r="AO429" s="210" t="e">
        <f>_xlfn.XLOOKUP(_xlfn.CONCAT(Buildings_Water_Backend[[#This Row],[Level 1]:[Level 6]]),rng_EFConcat,rng_EFOOS)*Buildings_Water_Backend[[#This Row],[Converted data]]/1000</f>
        <v>#N/A</v>
      </c>
      <c r="AP429" s="174">
        <f>Buildings_Water_Frontend[[#This Row],[Ease of collection]]</f>
        <v>0</v>
      </c>
      <c r="AQ429" s="174">
        <f>Buildings_Water_Frontend[[#This Row],[Completeness]]</f>
        <v>0</v>
      </c>
      <c r="AR429" s="174">
        <f>Buildings_Water_Frontend[[#This Row],[Notes]]</f>
        <v>0</v>
      </c>
    </row>
    <row r="430" spans="5:44" x14ac:dyDescent="0.3">
      <c r="E430" s="346"/>
      <c r="F430" s="364"/>
      <c r="G430" s="336"/>
      <c r="H430" s="336"/>
      <c r="I430" s="334"/>
      <c r="J430" s="336"/>
      <c r="K430" s="336"/>
      <c r="L430" s="336"/>
      <c r="M430" s="337"/>
      <c r="N430" s="242">
        <f t="shared" si="13"/>
        <v>5</v>
      </c>
      <c r="Q430" s="212" t="str">
        <f t="shared" si="12"/>
        <v/>
      </c>
      <c r="R430" s="174" t="s">
        <v>265</v>
      </c>
      <c r="S430" s="174" t="s">
        <v>273</v>
      </c>
      <c r="T430" s="174" t="e">
        <f>_xlfn.XLOOKUP(Buildings_Water_Backend[[#This Row],[Info 1]],Buildings_SiteInfo[Site name],Buildings_SiteInfo[Site type])</f>
        <v>#N/A</v>
      </c>
      <c r="U430" s="174" t="s">
        <v>327</v>
      </c>
      <c r="V430" s="174">
        <f>Buildings_Water_Frontend[[#This Row],[Type]]</f>
        <v>0</v>
      </c>
      <c r="W430" s="174" t="e" cm="1">
        <f t="array" aca="1" ref="W430" ca="1">_xlfn.XLOOKUP(Buildings_Water_Backend[[#This Row],[Level 5]],rng_Level5Long,rng_Level6Long)</f>
        <v>#N/A</v>
      </c>
      <c r="X430" s="174">
        <f>Buildings_Water_Frontend[[#This Row],[Site Name]]</f>
        <v>0</v>
      </c>
      <c r="Y430" s="174">
        <f>Buildings_Water_Frontend[[#This Row],[Meter Reference]]</f>
        <v>0</v>
      </c>
      <c r="Z430" s="220">
        <f>Buildings_Water_Frontend[[#This Row],[Methodology]]</f>
        <v>0</v>
      </c>
      <c r="AA430" s="229" t="e" cm="1">
        <f t="array" ref="AA430">INDEX(_xlfn.SWITCH(Buildings_Water_Backend[[#This Row],[Methodology]],"Tier 1",rng_RSD1,"Tier 2",rng_RSD2,"Tier 3",rng_RSD3),MATCH(_xlfn.CONCAT(Buildings_Water_Backend[[#This Row],[Level 1]:[Level 6]]),rng_LevelsConcat,0))</f>
        <v>#N/A</v>
      </c>
      <c r="AB430" s="224">
        <f>Buildings_Water_Frontend[[#This Row],[Data]]</f>
        <v>0</v>
      </c>
      <c r="AC430" s="174">
        <f>Buildings_Water_Frontend[[#This Row],[Units]]</f>
        <v>0</v>
      </c>
      <c r="AD430" s="220" t="e">
        <f>IF(Buildings_Water_Backend[[#This Row],[Units]]=Buildings_Water_Backend[[#This Row],[Standard units]],Buildings_Water_Backend[[#This Row],[Data]],Buildings_Water_Backend[[#This Row],[Data]]*_xlfn.XLOOKUP(_xlfn.CONCAT(Buildings_Water_Backend[[#This Row],[Level 1]:[Level 6]]),rng_EFConcat,rng_EFConversion))</f>
        <v>#N/A</v>
      </c>
      <c r="AE430" s="174" t="e" cm="1">
        <f t="array" ref="AE430">_xlfn.XLOOKUP(_xlfn.CONCAT(Buildings_Water_Backend[[#This Row],[Level 1]:[Level 6]]),rng_LevelsConcat,rng_UnitsLong)</f>
        <v>#N/A</v>
      </c>
      <c r="AF430" s="210" t="e">
        <f>_xlfn.XLOOKUP(_xlfn.CONCAT(Buildings_Water_Backend[[#This Row],[Level 1]:[Level 6]]),rng_EFConcat,rng_EF1)*Buildings_Water_Backend[[#This Row],[Converted data]]/1000</f>
        <v>#N/A</v>
      </c>
      <c r="AG430" s="210" t="e">
        <f>_xlfn.XLOOKUP(_xlfn.CONCAT(Buildings_Water_Backend[[#This Row],[Level 1]:[Level 6]]),rng_EFConcat,rng_EF2)*Buildings_Water_Backend[[#This Row],[Converted data]]/1000</f>
        <v>#N/A</v>
      </c>
      <c r="AH430" s="210" t="e">
        <f>_xlfn.XLOOKUP(_xlfn.CONCAT(Buildings_Water_Backend[[#This Row],[Level 1]:[Level 6]]),rng_EFConcat,rng_EF3)*Buildings_Water_Backend[[#This Row],[Converted data]]/1000</f>
        <v>#N/A</v>
      </c>
      <c r="AI430" s="210" t="e">
        <f>_xlfn.XLOOKUP(_xlfn.CONCAT(Buildings_Water_Backend[[#This Row],[Level 1]:[Level 6]]),rng_EFConcat,rng_EF3WTT)*Buildings_Water_Backend[[#This Row],[Converted data]]/1000</f>
        <v>#N/A</v>
      </c>
      <c r="AJ430" s="210" t="e">
        <f>_xlfn.XLOOKUP(_xlfn.CONCAT(Buildings_Water_Backend[[#This Row],[Level 1]:[Level 6]]),rng_EFConcat,rng_EF3TD)*Buildings_Water_Backend[[#This Row],[Converted data]]/1000</f>
        <v>#N/A</v>
      </c>
      <c r="AK430" s="210" t="e">
        <f>_xlfn.XLOOKUP(_xlfn.CONCAT(Buildings_Water_Backend[[#This Row],[Level 1]:[Level 6]]),rng_EFConcat,rng_EF3WTTTD)*Buildings_Water_Backend[[#This Row],[Converted data]]/1000</f>
        <v>#N/A</v>
      </c>
      <c r="AL430" s="220" t="e">
        <f>SUM(Buildings_Water_Backend[[#This Row],[Scope 1 (tCO2e)]:[Scope 3 WTT T&amp;D (tCO2e)]])</f>
        <v>#N/A</v>
      </c>
      <c r="AM430" s="220" t="e">
        <f>Buildings_Water_Backend[[#This Row],[Total (tCO2e)]]*(1-Buildings_Water_Backend[[#This Row],[RSD]])</f>
        <v>#N/A</v>
      </c>
      <c r="AN430" s="220" t="e">
        <f>Buildings_Water_Backend[[#This Row],[Total (tCO2e)]]*(1+Buildings_Water_Backend[[#This Row],[RSD]])</f>
        <v>#N/A</v>
      </c>
      <c r="AO430" s="210" t="e">
        <f>_xlfn.XLOOKUP(_xlfn.CONCAT(Buildings_Water_Backend[[#This Row],[Level 1]:[Level 6]]),rng_EFConcat,rng_EFOOS)*Buildings_Water_Backend[[#This Row],[Converted data]]/1000</f>
        <v>#N/A</v>
      </c>
      <c r="AP430" s="174">
        <f>Buildings_Water_Frontend[[#This Row],[Ease of collection]]</f>
        <v>0</v>
      </c>
      <c r="AQ430" s="174">
        <f>Buildings_Water_Frontend[[#This Row],[Completeness]]</f>
        <v>0</v>
      </c>
      <c r="AR430" s="174">
        <f>Buildings_Water_Frontend[[#This Row],[Notes]]</f>
        <v>0</v>
      </c>
    </row>
    <row r="431" spans="5:44" x14ac:dyDescent="0.3">
      <c r="E431" s="346"/>
      <c r="F431" s="364"/>
      <c r="G431" s="336"/>
      <c r="H431" s="336"/>
      <c r="I431" s="334"/>
      <c r="J431" s="336"/>
      <c r="K431" s="336"/>
      <c r="L431" s="336"/>
      <c r="M431" s="337"/>
      <c r="N431" s="242">
        <f t="shared" si="13"/>
        <v>5</v>
      </c>
      <c r="Q431" s="212" t="str">
        <f t="shared" si="12"/>
        <v/>
      </c>
      <c r="R431" s="174" t="s">
        <v>265</v>
      </c>
      <c r="S431" s="174" t="s">
        <v>273</v>
      </c>
      <c r="T431" s="174" t="e">
        <f>_xlfn.XLOOKUP(Buildings_Water_Backend[[#This Row],[Info 1]],Buildings_SiteInfo[Site name],Buildings_SiteInfo[Site type])</f>
        <v>#N/A</v>
      </c>
      <c r="U431" s="174" t="s">
        <v>327</v>
      </c>
      <c r="V431" s="174">
        <f>Buildings_Water_Frontend[[#This Row],[Type]]</f>
        <v>0</v>
      </c>
      <c r="W431" s="174" t="e" cm="1">
        <f t="array" aca="1" ref="W431" ca="1">_xlfn.XLOOKUP(Buildings_Water_Backend[[#This Row],[Level 5]],rng_Level5Long,rng_Level6Long)</f>
        <v>#N/A</v>
      </c>
      <c r="X431" s="174">
        <f>Buildings_Water_Frontend[[#This Row],[Site Name]]</f>
        <v>0</v>
      </c>
      <c r="Y431" s="174">
        <f>Buildings_Water_Frontend[[#This Row],[Meter Reference]]</f>
        <v>0</v>
      </c>
      <c r="Z431" s="220">
        <f>Buildings_Water_Frontend[[#This Row],[Methodology]]</f>
        <v>0</v>
      </c>
      <c r="AA431" s="229" t="e" cm="1">
        <f t="array" ref="AA431">INDEX(_xlfn.SWITCH(Buildings_Water_Backend[[#This Row],[Methodology]],"Tier 1",rng_RSD1,"Tier 2",rng_RSD2,"Tier 3",rng_RSD3),MATCH(_xlfn.CONCAT(Buildings_Water_Backend[[#This Row],[Level 1]:[Level 6]]),rng_LevelsConcat,0))</f>
        <v>#N/A</v>
      </c>
      <c r="AB431" s="224">
        <f>Buildings_Water_Frontend[[#This Row],[Data]]</f>
        <v>0</v>
      </c>
      <c r="AC431" s="174">
        <f>Buildings_Water_Frontend[[#This Row],[Units]]</f>
        <v>0</v>
      </c>
      <c r="AD431" s="220" t="e">
        <f>IF(Buildings_Water_Backend[[#This Row],[Units]]=Buildings_Water_Backend[[#This Row],[Standard units]],Buildings_Water_Backend[[#This Row],[Data]],Buildings_Water_Backend[[#This Row],[Data]]*_xlfn.XLOOKUP(_xlfn.CONCAT(Buildings_Water_Backend[[#This Row],[Level 1]:[Level 6]]),rng_EFConcat,rng_EFConversion))</f>
        <v>#N/A</v>
      </c>
      <c r="AE431" s="174" t="e" cm="1">
        <f t="array" ref="AE431">_xlfn.XLOOKUP(_xlfn.CONCAT(Buildings_Water_Backend[[#This Row],[Level 1]:[Level 6]]),rng_LevelsConcat,rng_UnitsLong)</f>
        <v>#N/A</v>
      </c>
      <c r="AF431" s="210" t="e">
        <f>_xlfn.XLOOKUP(_xlfn.CONCAT(Buildings_Water_Backend[[#This Row],[Level 1]:[Level 6]]),rng_EFConcat,rng_EF1)*Buildings_Water_Backend[[#This Row],[Converted data]]/1000</f>
        <v>#N/A</v>
      </c>
      <c r="AG431" s="210" t="e">
        <f>_xlfn.XLOOKUP(_xlfn.CONCAT(Buildings_Water_Backend[[#This Row],[Level 1]:[Level 6]]),rng_EFConcat,rng_EF2)*Buildings_Water_Backend[[#This Row],[Converted data]]/1000</f>
        <v>#N/A</v>
      </c>
      <c r="AH431" s="210" t="e">
        <f>_xlfn.XLOOKUP(_xlfn.CONCAT(Buildings_Water_Backend[[#This Row],[Level 1]:[Level 6]]),rng_EFConcat,rng_EF3)*Buildings_Water_Backend[[#This Row],[Converted data]]/1000</f>
        <v>#N/A</v>
      </c>
      <c r="AI431" s="210" t="e">
        <f>_xlfn.XLOOKUP(_xlfn.CONCAT(Buildings_Water_Backend[[#This Row],[Level 1]:[Level 6]]),rng_EFConcat,rng_EF3WTT)*Buildings_Water_Backend[[#This Row],[Converted data]]/1000</f>
        <v>#N/A</v>
      </c>
      <c r="AJ431" s="210" t="e">
        <f>_xlfn.XLOOKUP(_xlfn.CONCAT(Buildings_Water_Backend[[#This Row],[Level 1]:[Level 6]]),rng_EFConcat,rng_EF3TD)*Buildings_Water_Backend[[#This Row],[Converted data]]/1000</f>
        <v>#N/A</v>
      </c>
      <c r="AK431" s="210" t="e">
        <f>_xlfn.XLOOKUP(_xlfn.CONCAT(Buildings_Water_Backend[[#This Row],[Level 1]:[Level 6]]),rng_EFConcat,rng_EF3WTTTD)*Buildings_Water_Backend[[#This Row],[Converted data]]/1000</f>
        <v>#N/A</v>
      </c>
      <c r="AL431" s="220" t="e">
        <f>SUM(Buildings_Water_Backend[[#This Row],[Scope 1 (tCO2e)]:[Scope 3 WTT T&amp;D (tCO2e)]])</f>
        <v>#N/A</v>
      </c>
      <c r="AM431" s="220" t="e">
        <f>Buildings_Water_Backend[[#This Row],[Total (tCO2e)]]*(1-Buildings_Water_Backend[[#This Row],[RSD]])</f>
        <v>#N/A</v>
      </c>
      <c r="AN431" s="220" t="e">
        <f>Buildings_Water_Backend[[#This Row],[Total (tCO2e)]]*(1+Buildings_Water_Backend[[#This Row],[RSD]])</f>
        <v>#N/A</v>
      </c>
      <c r="AO431" s="210" t="e">
        <f>_xlfn.XLOOKUP(_xlfn.CONCAT(Buildings_Water_Backend[[#This Row],[Level 1]:[Level 6]]),rng_EFConcat,rng_EFOOS)*Buildings_Water_Backend[[#This Row],[Converted data]]/1000</f>
        <v>#N/A</v>
      </c>
      <c r="AP431" s="174">
        <f>Buildings_Water_Frontend[[#This Row],[Ease of collection]]</f>
        <v>0</v>
      </c>
      <c r="AQ431" s="174">
        <f>Buildings_Water_Frontend[[#This Row],[Completeness]]</f>
        <v>0</v>
      </c>
      <c r="AR431" s="174">
        <f>Buildings_Water_Frontend[[#This Row],[Notes]]</f>
        <v>0</v>
      </c>
    </row>
    <row r="432" spans="5:44" x14ac:dyDescent="0.3">
      <c r="E432" s="346"/>
      <c r="F432" s="364"/>
      <c r="G432" s="336"/>
      <c r="H432" s="336"/>
      <c r="I432" s="334"/>
      <c r="J432" s="336"/>
      <c r="K432" s="336"/>
      <c r="L432" s="336"/>
      <c r="M432" s="337"/>
      <c r="N432" s="242">
        <f t="shared" si="13"/>
        <v>5</v>
      </c>
      <c r="Q432" s="212" t="str">
        <f t="shared" si="12"/>
        <v/>
      </c>
      <c r="R432" s="174" t="s">
        <v>265</v>
      </c>
      <c r="S432" s="174" t="s">
        <v>273</v>
      </c>
      <c r="T432" s="174" t="e">
        <f>_xlfn.XLOOKUP(Buildings_Water_Backend[[#This Row],[Info 1]],Buildings_SiteInfo[Site name],Buildings_SiteInfo[Site type])</f>
        <v>#N/A</v>
      </c>
      <c r="U432" s="174" t="s">
        <v>327</v>
      </c>
      <c r="V432" s="174">
        <f>Buildings_Water_Frontend[[#This Row],[Type]]</f>
        <v>0</v>
      </c>
      <c r="W432" s="174" t="e" cm="1">
        <f t="array" aca="1" ref="W432" ca="1">_xlfn.XLOOKUP(Buildings_Water_Backend[[#This Row],[Level 5]],rng_Level5Long,rng_Level6Long)</f>
        <v>#N/A</v>
      </c>
      <c r="X432" s="174">
        <f>Buildings_Water_Frontend[[#This Row],[Site Name]]</f>
        <v>0</v>
      </c>
      <c r="Y432" s="174">
        <f>Buildings_Water_Frontend[[#This Row],[Meter Reference]]</f>
        <v>0</v>
      </c>
      <c r="Z432" s="220">
        <f>Buildings_Water_Frontend[[#This Row],[Methodology]]</f>
        <v>0</v>
      </c>
      <c r="AA432" s="229" t="e" cm="1">
        <f t="array" ref="AA432">INDEX(_xlfn.SWITCH(Buildings_Water_Backend[[#This Row],[Methodology]],"Tier 1",rng_RSD1,"Tier 2",rng_RSD2,"Tier 3",rng_RSD3),MATCH(_xlfn.CONCAT(Buildings_Water_Backend[[#This Row],[Level 1]:[Level 6]]),rng_LevelsConcat,0))</f>
        <v>#N/A</v>
      </c>
      <c r="AB432" s="224">
        <f>Buildings_Water_Frontend[[#This Row],[Data]]</f>
        <v>0</v>
      </c>
      <c r="AC432" s="174">
        <f>Buildings_Water_Frontend[[#This Row],[Units]]</f>
        <v>0</v>
      </c>
      <c r="AD432" s="220" t="e">
        <f>IF(Buildings_Water_Backend[[#This Row],[Units]]=Buildings_Water_Backend[[#This Row],[Standard units]],Buildings_Water_Backend[[#This Row],[Data]],Buildings_Water_Backend[[#This Row],[Data]]*_xlfn.XLOOKUP(_xlfn.CONCAT(Buildings_Water_Backend[[#This Row],[Level 1]:[Level 6]]),rng_EFConcat,rng_EFConversion))</f>
        <v>#N/A</v>
      </c>
      <c r="AE432" s="174" t="e" cm="1">
        <f t="array" ref="AE432">_xlfn.XLOOKUP(_xlfn.CONCAT(Buildings_Water_Backend[[#This Row],[Level 1]:[Level 6]]),rng_LevelsConcat,rng_UnitsLong)</f>
        <v>#N/A</v>
      </c>
      <c r="AF432" s="210" t="e">
        <f>_xlfn.XLOOKUP(_xlfn.CONCAT(Buildings_Water_Backend[[#This Row],[Level 1]:[Level 6]]),rng_EFConcat,rng_EF1)*Buildings_Water_Backend[[#This Row],[Converted data]]/1000</f>
        <v>#N/A</v>
      </c>
      <c r="AG432" s="210" t="e">
        <f>_xlfn.XLOOKUP(_xlfn.CONCAT(Buildings_Water_Backend[[#This Row],[Level 1]:[Level 6]]),rng_EFConcat,rng_EF2)*Buildings_Water_Backend[[#This Row],[Converted data]]/1000</f>
        <v>#N/A</v>
      </c>
      <c r="AH432" s="210" t="e">
        <f>_xlfn.XLOOKUP(_xlfn.CONCAT(Buildings_Water_Backend[[#This Row],[Level 1]:[Level 6]]),rng_EFConcat,rng_EF3)*Buildings_Water_Backend[[#This Row],[Converted data]]/1000</f>
        <v>#N/A</v>
      </c>
      <c r="AI432" s="210" t="e">
        <f>_xlfn.XLOOKUP(_xlfn.CONCAT(Buildings_Water_Backend[[#This Row],[Level 1]:[Level 6]]),rng_EFConcat,rng_EF3WTT)*Buildings_Water_Backend[[#This Row],[Converted data]]/1000</f>
        <v>#N/A</v>
      </c>
      <c r="AJ432" s="210" t="e">
        <f>_xlfn.XLOOKUP(_xlfn.CONCAT(Buildings_Water_Backend[[#This Row],[Level 1]:[Level 6]]),rng_EFConcat,rng_EF3TD)*Buildings_Water_Backend[[#This Row],[Converted data]]/1000</f>
        <v>#N/A</v>
      </c>
      <c r="AK432" s="210" t="e">
        <f>_xlfn.XLOOKUP(_xlfn.CONCAT(Buildings_Water_Backend[[#This Row],[Level 1]:[Level 6]]),rng_EFConcat,rng_EF3WTTTD)*Buildings_Water_Backend[[#This Row],[Converted data]]/1000</f>
        <v>#N/A</v>
      </c>
      <c r="AL432" s="220" t="e">
        <f>SUM(Buildings_Water_Backend[[#This Row],[Scope 1 (tCO2e)]:[Scope 3 WTT T&amp;D (tCO2e)]])</f>
        <v>#N/A</v>
      </c>
      <c r="AM432" s="220" t="e">
        <f>Buildings_Water_Backend[[#This Row],[Total (tCO2e)]]*(1-Buildings_Water_Backend[[#This Row],[RSD]])</f>
        <v>#N/A</v>
      </c>
      <c r="AN432" s="220" t="e">
        <f>Buildings_Water_Backend[[#This Row],[Total (tCO2e)]]*(1+Buildings_Water_Backend[[#This Row],[RSD]])</f>
        <v>#N/A</v>
      </c>
      <c r="AO432" s="210" t="e">
        <f>_xlfn.XLOOKUP(_xlfn.CONCAT(Buildings_Water_Backend[[#This Row],[Level 1]:[Level 6]]),rng_EFConcat,rng_EFOOS)*Buildings_Water_Backend[[#This Row],[Converted data]]/1000</f>
        <v>#N/A</v>
      </c>
      <c r="AP432" s="174">
        <f>Buildings_Water_Frontend[[#This Row],[Ease of collection]]</f>
        <v>0</v>
      </c>
      <c r="AQ432" s="174">
        <f>Buildings_Water_Frontend[[#This Row],[Completeness]]</f>
        <v>0</v>
      </c>
      <c r="AR432" s="174">
        <f>Buildings_Water_Frontend[[#This Row],[Notes]]</f>
        <v>0</v>
      </c>
    </row>
    <row r="433" spans="5:44" x14ac:dyDescent="0.3">
      <c r="E433" s="346"/>
      <c r="F433" s="364"/>
      <c r="G433" s="336"/>
      <c r="H433" s="336"/>
      <c r="I433" s="334"/>
      <c r="J433" s="336"/>
      <c r="K433" s="336"/>
      <c r="L433" s="336"/>
      <c r="M433" s="337"/>
      <c r="N433" s="242">
        <f t="shared" si="13"/>
        <v>5</v>
      </c>
      <c r="Q433" s="212" t="str">
        <f t="shared" si="12"/>
        <v/>
      </c>
      <c r="R433" s="174" t="s">
        <v>265</v>
      </c>
      <c r="S433" s="174" t="s">
        <v>273</v>
      </c>
      <c r="T433" s="174" t="e">
        <f>_xlfn.XLOOKUP(Buildings_Water_Backend[[#This Row],[Info 1]],Buildings_SiteInfo[Site name],Buildings_SiteInfo[Site type])</f>
        <v>#N/A</v>
      </c>
      <c r="U433" s="174" t="s">
        <v>327</v>
      </c>
      <c r="V433" s="174">
        <f>Buildings_Water_Frontend[[#This Row],[Type]]</f>
        <v>0</v>
      </c>
      <c r="W433" s="174" t="e" cm="1">
        <f t="array" aca="1" ref="W433" ca="1">_xlfn.XLOOKUP(Buildings_Water_Backend[[#This Row],[Level 5]],rng_Level5Long,rng_Level6Long)</f>
        <v>#N/A</v>
      </c>
      <c r="X433" s="174">
        <f>Buildings_Water_Frontend[[#This Row],[Site Name]]</f>
        <v>0</v>
      </c>
      <c r="Y433" s="174">
        <f>Buildings_Water_Frontend[[#This Row],[Meter Reference]]</f>
        <v>0</v>
      </c>
      <c r="Z433" s="220">
        <f>Buildings_Water_Frontend[[#This Row],[Methodology]]</f>
        <v>0</v>
      </c>
      <c r="AA433" s="229" t="e" cm="1">
        <f t="array" ref="AA433">INDEX(_xlfn.SWITCH(Buildings_Water_Backend[[#This Row],[Methodology]],"Tier 1",rng_RSD1,"Tier 2",rng_RSD2,"Tier 3",rng_RSD3),MATCH(_xlfn.CONCAT(Buildings_Water_Backend[[#This Row],[Level 1]:[Level 6]]),rng_LevelsConcat,0))</f>
        <v>#N/A</v>
      </c>
      <c r="AB433" s="224">
        <f>Buildings_Water_Frontend[[#This Row],[Data]]</f>
        <v>0</v>
      </c>
      <c r="AC433" s="174">
        <f>Buildings_Water_Frontend[[#This Row],[Units]]</f>
        <v>0</v>
      </c>
      <c r="AD433" s="220" t="e">
        <f>IF(Buildings_Water_Backend[[#This Row],[Units]]=Buildings_Water_Backend[[#This Row],[Standard units]],Buildings_Water_Backend[[#This Row],[Data]],Buildings_Water_Backend[[#This Row],[Data]]*_xlfn.XLOOKUP(_xlfn.CONCAT(Buildings_Water_Backend[[#This Row],[Level 1]:[Level 6]]),rng_EFConcat,rng_EFConversion))</f>
        <v>#N/A</v>
      </c>
      <c r="AE433" s="174" t="e" cm="1">
        <f t="array" ref="AE433">_xlfn.XLOOKUP(_xlfn.CONCAT(Buildings_Water_Backend[[#This Row],[Level 1]:[Level 6]]),rng_LevelsConcat,rng_UnitsLong)</f>
        <v>#N/A</v>
      </c>
      <c r="AF433" s="210" t="e">
        <f>_xlfn.XLOOKUP(_xlfn.CONCAT(Buildings_Water_Backend[[#This Row],[Level 1]:[Level 6]]),rng_EFConcat,rng_EF1)*Buildings_Water_Backend[[#This Row],[Converted data]]/1000</f>
        <v>#N/A</v>
      </c>
      <c r="AG433" s="210" t="e">
        <f>_xlfn.XLOOKUP(_xlfn.CONCAT(Buildings_Water_Backend[[#This Row],[Level 1]:[Level 6]]),rng_EFConcat,rng_EF2)*Buildings_Water_Backend[[#This Row],[Converted data]]/1000</f>
        <v>#N/A</v>
      </c>
      <c r="AH433" s="210" t="e">
        <f>_xlfn.XLOOKUP(_xlfn.CONCAT(Buildings_Water_Backend[[#This Row],[Level 1]:[Level 6]]),rng_EFConcat,rng_EF3)*Buildings_Water_Backend[[#This Row],[Converted data]]/1000</f>
        <v>#N/A</v>
      </c>
      <c r="AI433" s="210" t="e">
        <f>_xlfn.XLOOKUP(_xlfn.CONCAT(Buildings_Water_Backend[[#This Row],[Level 1]:[Level 6]]),rng_EFConcat,rng_EF3WTT)*Buildings_Water_Backend[[#This Row],[Converted data]]/1000</f>
        <v>#N/A</v>
      </c>
      <c r="AJ433" s="210" t="e">
        <f>_xlfn.XLOOKUP(_xlfn.CONCAT(Buildings_Water_Backend[[#This Row],[Level 1]:[Level 6]]),rng_EFConcat,rng_EF3TD)*Buildings_Water_Backend[[#This Row],[Converted data]]/1000</f>
        <v>#N/A</v>
      </c>
      <c r="AK433" s="210" t="e">
        <f>_xlfn.XLOOKUP(_xlfn.CONCAT(Buildings_Water_Backend[[#This Row],[Level 1]:[Level 6]]),rng_EFConcat,rng_EF3WTTTD)*Buildings_Water_Backend[[#This Row],[Converted data]]/1000</f>
        <v>#N/A</v>
      </c>
      <c r="AL433" s="220" t="e">
        <f>SUM(Buildings_Water_Backend[[#This Row],[Scope 1 (tCO2e)]:[Scope 3 WTT T&amp;D (tCO2e)]])</f>
        <v>#N/A</v>
      </c>
      <c r="AM433" s="220" t="e">
        <f>Buildings_Water_Backend[[#This Row],[Total (tCO2e)]]*(1-Buildings_Water_Backend[[#This Row],[RSD]])</f>
        <v>#N/A</v>
      </c>
      <c r="AN433" s="220" t="e">
        <f>Buildings_Water_Backend[[#This Row],[Total (tCO2e)]]*(1+Buildings_Water_Backend[[#This Row],[RSD]])</f>
        <v>#N/A</v>
      </c>
      <c r="AO433" s="210" t="e">
        <f>_xlfn.XLOOKUP(_xlfn.CONCAT(Buildings_Water_Backend[[#This Row],[Level 1]:[Level 6]]),rng_EFConcat,rng_EFOOS)*Buildings_Water_Backend[[#This Row],[Converted data]]/1000</f>
        <v>#N/A</v>
      </c>
      <c r="AP433" s="174">
        <f>Buildings_Water_Frontend[[#This Row],[Ease of collection]]</f>
        <v>0</v>
      </c>
      <c r="AQ433" s="174">
        <f>Buildings_Water_Frontend[[#This Row],[Completeness]]</f>
        <v>0</v>
      </c>
      <c r="AR433" s="174">
        <f>Buildings_Water_Frontend[[#This Row],[Notes]]</f>
        <v>0</v>
      </c>
    </row>
    <row r="434" spans="5:44" x14ac:dyDescent="0.3">
      <c r="E434" s="346"/>
      <c r="F434" s="364"/>
      <c r="G434" s="336"/>
      <c r="H434" s="336"/>
      <c r="I434" s="334"/>
      <c r="J434" s="336"/>
      <c r="K434" s="336"/>
      <c r="L434" s="336"/>
      <c r="M434" s="337"/>
      <c r="N434" s="242">
        <f t="shared" si="13"/>
        <v>5</v>
      </c>
      <c r="Q434" s="212" t="str">
        <f t="shared" si="12"/>
        <v/>
      </c>
      <c r="R434" s="174" t="s">
        <v>265</v>
      </c>
      <c r="S434" s="174" t="s">
        <v>273</v>
      </c>
      <c r="T434" s="174" t="e">
        <f>_xlfn.XLOOKUP(Buildings_Water_Backend[[#This Row],[Info 1]],Buildings_SiteInfo[Site name],Buildings_SiteInfo[Site type])</f>
        <v>#N/A</v>
      </c>
      <c r="U434" s="174" t="s">
        <v>327</v>
      </c>
      <c r="V434" s="174">
        <f>Buildings_Water_Frontend[[#This Row],[Type]]</f>
        <v>0</v>
      </c>
      <c r="W434" s="174" t="e" cm="1">
        <f t="array" aca="1" ref="W434" ca="1">_xlfn.XLOOKUP(Buildings_Water_Backend[[#This Row],[Level 5]],rng_Level5Long,rng_Level6Long)</f>
        <v>#N/A</v>
      </c>
      <c r="X434" s="174">
        <f>Buildings_Water_Frontend[[#This Row],[Site Name]]</f>
        <v>0</v>
      </c>
      <c r="Y434" s="174">
        <f>Buildings_Water_Frontend[[#This Row],[Meter Reference]]</f>
        <v>0</v>
      </c>
      <c r="Z434" s="220">
        <f>Buildings_Water_Frontend[[#This Row],[Methodology]]</f>
        <v>0</v>
      </c>
      <c r="AA434" s="229" t="e" cm="1">
        <f t="array" ref="AA434">INDEX(_xlfn.SWITCH(Buildings_Water_Backend[[#This Row],[Methodology]],"Tier 1",rng_RSD1,"Tier 2",rng_RSD2,"Tier 3",rng_RSD3),MATCH(_xlfn.CONCAT(Buildings_Water_Backend[[#This Row],[Level 1]:[Level 6]]),rng_LevelsConcat,0))</f>
        <v>#N/A</v>
      </c>
      <c r="AB434" s="224">
        <f>Buildings_Water_Frontend[[#This Row],[Data]]</f>
        <v>0</v>
      </c>
      <c r="AC434" s="174">
        <f>Buildings_Water_Frontend[[#This Row],[Units]]</f>
        <v>0</v>
      </c>
      <c r="AD434" s="220" t="e">
        <f>IF(Buildings_Water_Backend[[#This Row],[Units]]=Buildings_Water_Backend[[#This Row],[Standard units]],Buildings_Water_Backend[[#This Row],[Data]],Buildings_Water_Backend[[#This Row],[Data]]*_xlfn.XLOOKUP(_xlfn.CONCAT(Buildings_Water_Backend[[#This Row],[Level 1]:[Level 6]]),rng_EFConcat,rng_EFConversion))</f>
        <v>#N/A</v>
      </c>
      <c r="AE434" s="174" t="e" cm="1">
        <f t="array" ref="AE434">_xlfn.XLOOKUP(_xlfn.CONCAT(Buildings_Water_Backend[[#This Row],[Level 1]:[Level 6]]),rng_LevelsConcat,rng_UnitsLong)</f>
        <v>#N/A</v>
      </c>
      <c r="AF434" s="210" t="e">
        <f>_xlfn.XLOOKUP(_xlfn.CONCAT(Buildings_Water_Backend[[#This Row],[Level 1]:[Level 6]]),rng_EFConcat,rng_EF1)*Buildings_Water_Backend[[#This Row],[Converted data]]/1000</f>
        <v>#N/A</v>
      </c>
      <c r="AG434" s="210" t="e">
        <f>_xlfn.XLOOKUP(_xlfn.CONCAT(Buildings_Water_Backend[[#This Row],[Level 1]:[Level 6]]),rng_EFConcat,rng_EF2)*Buildings_Water_Backend[[#This Row],[Converted data]]/1000</f>
        <v>#N/A</v>
      </c>
      <c r="AH434" s="210" t="e">
        <f>_xlfn.XLOOKUP(_xlfn.CONCAT(Buildings_Water_Backend[[#This Row],[Level 1]:[Level 6]]),rng_EFConcat,rng_EF3)*Buildings_Water_Backend[[#This Row],[Converted data]]/1000</f>
        <v>#N/A</v>
      </c>
      <c r="AI434" s="210" t="e">
        <f>_xlfn.XLOOKUP(_xlfn.CONCAT(Buildings_Water_Backend[[#This Row],[Level 1]:[Level 6]]),rng_EFConcat,rng_EF3WTT)*Buildings_Water_Backend[[#This Row],[Converted data]]/1000</f>
        <v>#N/A</v>
      </c>
      <c r="AJ434" s="210" t="e">
        <f>_xlfn.XLOOKUP(_xlfn.CONCAT(Buildings_Water_Backend[[#This Row],[Level 1]:[Level 6]]),rng_EFConcat,rng_EF3TD)*Buildings_Water_Backend[[#This Row],[Converted data]]/1000</f>
        <v>#N/A</v>
      </c>
      <c r="AK434" s="210" t="e">
        <f>_xlfn.XLOOKUP(_xlfn.CONCAT(Buildings_Water_Backend[[#This Row],[Level 1]:[Level 6]]),rng_EFConcat,rng_EF3WTTTD)*Buildings_Water_Backend[[#This Row],[Converted data]]/1000</f>
        <v>#N/A</v>
      </c>
      <c r="AL434" s="220" t="e">
        <f>SUM(Buildings_Water_Backend[[#This Row],[Scope 1 (tCO2e)]:[Scope 3 WTT T&amp;D (tCO2e)]])</f>
        <v>#N/A</v>
      </c>
      <c r="AM434" s="220" t="e">
        <f>Buildings_Water_Backend[[#This Row],[Total (tCO2e)]]*(1-Buildings_Water_Backend[[#This Row],[RSD]])</f>
        <v>#N/A</v>
      </c>
      <c r="AN434" s="220" t="e">
        <f>Buildings_Water_Backend[[#This Row],[Total (tCO2e)]]*(1+Buildings_Water_Backend[[#This Row],[RSD]])</f>
        <v>#N/A</v>
      </c>
      <c r="AO434" s="210" t="e">
        <f>_xlfn.XLOOKUP(_xlfn.CONCAT(Buildings_Water_Backend[[#This Row],[Level 1]:[Level 6]]),rng_EFConcat,rng_EFOOS)*Buildings_Water_Backend[[#This Row],[Converted data]]/1000</f>
        <v>#N/A</v>
      </c>
      <c r="AP434" s="174">
        <f>Buildings_Water_Frontend[[#This Row],[Ease of collection]]</f>
        <v>0</v>
      </c>
      <c r="AQ434" s="174">
        <f>Buildings_Water_Frontend[[#This Row],[Completeness]]</f>
        <v>0</v>
      </c>
      <c r="AR434" s="174">
        <f>Buildings_Water_Frontend[[#This Row],[Notes]]</f>
        <v>0</v>
      </c>
    </row>
    <row r="435" spans="5:44" x14ac:dyDescent="0.3">
      <c r="E435" s="346"/>
      <c r="F435" s="364"/>
      <c r="G435" s="336"/>
      <c r="H435" s="336"/>
      <c r="I435" s="334"/>
      <c r="J435" s="336"/>
      <c r="K435" s="336"/>
      <c r="L435" s="336"/>
      <c r="M435" s="337"/>
      <c r="N435" s="242">
        <f t="shared" si="13"/>
        <v>5</v>
      </c>
      <c r="Q435" s="212" t="str">
        <f t="shared" si="12"/>
        <v/>
      </c>
      <c r="R435" s="174" t="s">
        <v>265</v>
      </c>
      <c r="S435" s="174" t="s">
        <v>273</v>
      </c>
      <c r="T435" s="174" t="e">
        <f>_xlfn.XLOOKUP(Buildings_Water_Backend[[#This Row],[Info 1]],Buildings_SiteInfo[Site name],Buildings_SiteInfo[Site type])</f>
        <v>#N/A</v>
      </c>
      <c r="U435" s="174" t="s">
        <v>327</v>
      </c>
      <c r="V435" s="174">
        <f>Buildings_Water_Frontend[[#This Row],[Type]]</f>
        <v>0</v>
      </c>
      <c r="W435" s="174" t="e" cm="1">
        <f t="array" aca="1" ref="W435" ca="1">_xlfn.XLOOKUP(Buildings_Water_Backend[[#This Row],[Level 5]],rng_Level5Long,rng_Level6Long)</f>
        <v>#N/A</v>
      </c>
      <c r="X435" s="174">
        <f>Buildings_Water_Frontend[[#This Row],[Site Name]]</f>
        <v>0</v>
      </c>
      <c r="Y435" s="174">
        <f>Buildings_Water_Frontend[[#This Row],[Meter Reference]]</f>
        <v>0</v>
      </c>
      <c r="Z435" s="220">
        <f>Buildings_Water_Frontend[[#This Row],[Methodology]]</f>
        <v>0</v>
      </c>
      <c r="AA435" s="229" t="e" cm="1">
        <f t="array" ref="AA435">INDEX(_xlfn.SWITCH(Buildings_Water_Backend[[#This Row],[Methodology]],"Tier 1",rng_RSD1,"Tier 2",rng_RSD2,"Tier 3",rng_RSD3),MATCH(_xlfn.CONCAT(Buildings_Water_Backend[[#This Row],[Level 1]:[Level 6]]),rng_LevelsConcat,0))</f>
        <v>#N/A</v>
      </c>
      <c r="AB435" s="224">
        <f>Buildings_Water_Frontend[[#This Row],[Data]]</f>
        <v>0</v>
      </c>
      <c r="AC435" s="174">
        <f>Buildings_Water_Frontend[[#This Row],[Units]]</f>
        <v>0</v>
      </c>
      <c r="AD435" s="220" t="e">
        <f>IF(Buildings_Water_Backend[[#This Row],[Units]]=Buildings_Water_Backend[[#This Row],[Standard units]],Buildings_Water_Backend[[#This Row],[Data]],Buildings_Water_Backend[[#This Row],[Data]]*_xlfn.XLOOKUP(_xlfn.CONCAT(Buildings_Water_Backend[[#This Row],[Level 1]:[Level 6]]),rng_EFConcat,rng_EFConversion))</f>
        <v>#N/A</v>
      </c>
      <c r="AE435" s="174" t="e" cm="1">
        <f t="array" ref="AE435">_xlfn.XLOOKUP(_xlfn.CONCAT(Buildings_Water_Backend[[#This Row],[Level 1]:[Level 6]]),rng_LevelsConcat,rng_UnitsLong)</f>
        <v>#N/A</v>
      </c>
      <c r="AF435" s="210" t="e">
        <f>_xlfn.XLOOKUP(_xlfn.CONCAT(Buildings_Water_Backend[[#This Row],[Level 1]:[Level 6]]),rng_EFConcat,rng_EF1)*Buildings_Water_Backend[[#This Row],[Converted data]]/1000</f>
        <v>#N/A</v>
      </c>
      <c r="AG435" s="210" t="e">
        <f>_xlfn.XLOOKUP(_xlfn.CONCAT(Buildings_Water_Backend[[#This Row],[Level 1]:[Level 6]]),rng_EFConcat,rng_EF2)*Buildings_Water_Backend[[#This Row],[Converted data]]/1000</f>
        <v>#N/A</v>
      </c>
      <c r="AH435" s="210" t="e">
        <f>_xlfn.XLOOKUP(_xlfn.CONCAT(Buildings_Water_Backend[[#This Row],[Level 1]:[Level 6]]),rng_EFConcat,rng_EF3)*Buildings_Water_Backend[[#This Row],[Converted data]]/1000</f>
        <v>#N/A</v>
      </c>
      <c r="AI435" s="210" t="e">
        <f>_xlfn.XLOOKUP(_xlfn.CONCAT(Buildings_Water_Backend[[#This Row],[Level 1]:[Level 6]]),rng_EFConcat,rng_EF3WTT)*Buildings_Water_Backend[[#This Row],[Converted data]]/1000</f>
        <v>#N/A</v>
      </c>
      <c r="AJ435" s="210" t="e">
        <f>_xlfn.XLOOKUP(_xlfn.CONCAT(Buildings_Water_Backend[[#This Row],[Level 1]:[Level 6]]),rng_EFConcat,rng_EF3TD)*Buildings_Water_Backend[[#This Row],[Converted data]]/1000</f>
        <v>#N/A</v>
      </c>
      <c r="AK435" s="210" t="e">
        <f>_xlfn.XLOOKUP(_xlfn.CONCAT(Buildings_Water_Backend[[#This Row],[Level 1]:[Level 6]]),rng_EFConcat,rng_EF3WTTTD)*Buildings_Water_Backend[[#This Row],[Converted data]]/1000</f>
        <v>#N/A</v>
      </c>
      <c r="AL435" s="220" t="e">
        <f>SUM(Buildings_Water_Backend[[#This Row],[Scope 1 (tCO2e)]:[Scope 3 WTT T&amp;D (tCO2e)]])</f>
        <v>#N/A</v>
      </c>
      <c r="AM435" s="220" t="e">
        <f>Buildings_Water_Backend[[#This Row],[Total (tCO2e)]]*(1-Buildings_Water_Backend[[#This Row],[RSD]])</f>
        <v>#N/A</v>
      </c>
      <c r="AN435" s="220" t="e">
        <f>Buildings_Water_Backend[[#This Row],[Total (tCO2e)]]*(1+Buildings_Water_Backend[[#This Row],[RSD]])</f>
        <v>#N/A</v>
      </c>
      <c r="AO435" s="210" t="e">
        <f>_xlfn.XLOOKUP(_xlfn.CONCAT(Buildings_Water_Backend[[#This Row],[Level 1]:[Level 6]]),rng_EFConcat,rng_EFOOS)*Buildings_Water_Backend[[#This Row],[Converted data]]/1000</f>
        <v>#N/A</v>
      </c>
      <c r="AP435" s="174">
        <f>Buildings_Water_Frontend[[#This Row],[Ease of collection]]</f>
        <v>0</v>
      </c>
      <c r="AQ435" s="174">
        <f>Buildings_Water_Frontend[[#This Row],[Completeness]]</f>
        <v>0</v>
      </c>
      <c r="AR435" s="174">
        <f>Buildings_Water_Frontend[[#This Row],[Notes]]</f>
        <v>0</v>
      </c>
    </row>
    <row r="436" spans="5:44" x14ac:dyDescent="0.3">
      <c r="E436" s="346"/>
      <c r="F436" s="364"/>
      <c r="G436" s="336"/>
      <c r="H436" s="336"/>
      <c r="I436" s="334"/>
      <c r="J436" s="336"/>
      <c r="K436" s="336"/>
      <c r="L436" s="336"/>
      <c r="M436" s="337"/>
      <c r="N436" s="242">
        <f t="shared" si="13"/>
        <v>5</v>
      </c>
      <c r="Q436" s="212" t="str">
        <f t="shared" si="12"/>
        <v/>
      </c>
      <c r="R436" s="174" t="s">
        <v>265</v>
      </c>
      <c r="S436" s="174" t="s">
        <v>273</v>
      </c>
      <c r="T436" s="174" t="e">
        <f>_xlfn.XLOOKUP(Buildings_Water_Backend[[#This Row],[Info 1]],Buildings_SiteInfo[Site name],Buildings_SiteInfo[Site type])</f>
        <v>#N/A</v>
      </c>
      <c r="U436" s="174" t="s">
        <v>327</v>
      </c>
      <c r="V436" s="174">
        <f>Buildings_Water_Frontend[[#This Row],[Type]]</f>
        <v>0</v>
      </c>
      <c r="W436" s="174" t="e" cm="1">
        <f t="array" aca="1" ref="W436" ca="1">_xlfn.XLOOKUP(Buildings_Water_Backend[[#This Row],[Level 5]],rng_Level5Long,rng_Level6Long)</f>
        <v>#N/A</v>
      </c>
      <c r="X436" s="174">
        <f>Buildings_Water_Frontend[[#This Row],[Site Name]]</f>
        <v>0</v>
      </c>
      <c r="Y436" s="174">
        <f>Buildings_Water_Frontend[[#This Row],[Meter Reference]]</f>
        <v>0</v>
      </c>
      <c r="Z436" s="220">
        <f>Buildings_Water_Frontend[[#This Row],[Methodology]]</f>
        <v>0</v>
      </c>
      <c r="AA436" s="229" t="e" cm="1">
        <f t="array" ref="AA436">INDEX(_xlfn.SWITCH(Buildings_Water_Backend[[#This Row],[Methodology]],"Tier 1",rng_RSD1,"Tier 2",rng_RSD2,"Tier 3",rng_RSD3),MATCH(_xlfn.CONCAT(Buildings_Water_Backend[[#This Row],[Level 1]:[Level 6]]),rng_LevelsConcat,0))</f>
        <v>#N/A</v>
      </c>
      <c r="AB436" s="224">
        <f>Buildings_Water_Frontend[[#This Row],[Data]]</f>
        <v>0</v>
      </c>
      <c r="AC436" s="174">
        <f>Buildings_Water_Frontend[[#This Row],[Units]]</f>
        <v>0</v>
      </c>
      <c r="AD436" s="220" t="e">
        <f>IF(Buildings_Water_Backend[[#This Row],[Units]]=Buildings_Water_Backend[[#This Row],[Standard units]],Buildings_Water_Backend[[#This Row],[Data]],Buildings_Water_Backend[[#This Row],[Data]]*_xlfn.XLOOKUP(_xlfn.CONCAT(Buildings_Water_Backend[[#This Row],[Level 1]:[Level 6]]),rng_EFConcat,rng_EFConversion))</f>
        <v>#N/A</v>
      </c>
      <c r="AE436" s="174" t="e" cm="1">
        <f t="array" ref="AE436">_xlfn.XLOOKUP(_xlfn.CONCAT(Buildings_Water_Backend[[#This Row],[Level 1]:[Level 6]]),rng_LevelsConcat,rng_UnitsLong)</f>
        <v>#N/A</v>
      </c>
      <c r="AF436" s="210" t="e">
        <f>_xlfn.XLOOKUP(_xlfn.CONCAT(Buildings_Water_Backend[[#This Row],[Level 1]:[Level 6]]),rng_EFConcat,rng_EF1)*Buildings_Water_Backend[[#This Row],[Converted data]]/1000</f>
        <v>#N/A</v>
      </c>
      <c r="AG436" s="210" t="e">
        <f>_xlfn.XLOOKUP(_xlfn.CONCAT(Buildings_Water_Backend[[#This Row],[Level 1]:[Level 6]]),rng_EFConcat,rng_EF2)*Buildings_Water_Backend[[#This Row],[Converted data]]/1000</f>
        <v>#N/A</v>
      </c>
      <c r="AH436" s="210" t="e">
        <f>_xlfn.XLOOKUP(_xlfn.CONCAT(Buildings_Water_Backend[[#This Row],[Level 1]:[Level 6]]),rng_EFConcat,rng_EF3)*Buildings_Water_Backend[[#This Row],[Converted data]]/1000</f>
        <v>#N/A</v>
      </c>
      <c r="AI436" s="210" t="e">
        <f>_xlfn.XLOOKUP(_xlfn.CONCAT(Buildings_Water_Backend[[#This Row],[Level 1]:[Level 6]]),rng_EFConcat,rng_EF3WTT)*Buildings_Water_Backend[[#This Row],[Converted data]]/1000</f>
        <v>#N/A</v>
      </c>
      <c r="AJ436" s="210" t="e">
        <f>_xlfn.XLOOKUP(_xlfn.CONCAT(Buildings_Water_Backend[[#This Row],[Level 1]:[Level 6]]),rng_EFConcat,rng_EF3TD)*Buildings_Water_Backend[[#This Row],[Converted data]]/1000</f>
        <v>#N/A</v>
      </c>
      <c r="AK436" s="210" t="e">
        <f>_xlfn.XLOOKUP(_xlfn.CONCAT(Buildings_Water_Backend[[#This Row],[Level 1]:[Level 6]]),rng_EFConcat,rng_EF3WTTTD)*Buildings_Water_Backend[[#This Row],[Converted data]]/1000</f>
        <v>#N/A</v>
      </c>
      <c r="AL436" s="220" t="e">
        <f>SUM(Buildings_Water_Backend[[#This Row],[Scope 1 (tCO2e)]:[Scope 3 WTT T&amp;D (tCO2e)]])</f>
        <v>#N/A</v>
      </c>
      <c r="AM436" s="220" t="e">
        <f>Buildings_Water_Backend[[#This Row],[Total (tCO2e)]]*(1-Buildings_Water_Backend[[#This Row],[RSD]])</f>
        <v>#N/A</v>
      </c>
      <c r="AN436" s="220" t="e">
        <f>Buildings_Water_Backend[[#This Row],[Total (tCO2e)]]*(1+Buildings_Water_Backend[[#This Row],[RSD]])</f>
        <v>#N/A</v>
      </c>
      <c r="AO436" s="210" t="e">
        <f>_xlfn.XLOOKUP(_xlfn.CONCAT(Buildings_Water_Backend[[#This Row],[Level 1]:[Level 6]]),rng_EFConcat,rng_EFOOS)*Buildings_Water_Backend[[#This Row],[Converted data]]/1000</f>
        <v>#N/A</v>
      </c>
      <c r="AP436" s="174">
        <f>Buildings_Water_Frontend[[#This Row],[Ease of collection]]</f>
        <v>0</v>
      </c>
      <c r="AQ436" s="174">
        <f>Buildings_Water_Frontend[[#This Row],[Completeness]]</f>
        <v>0</v>
      </c>
      <c r="AR436" s="174">
        <f>Buildings_Water_Frontend[[#This Row],[Notes]]</f>
        <v>0</v>
      </c>
    </row>
    <row r="437" spans="5:44" x14ac:dyDescent="0.3">
      <c r="E437" s="346"/>
      <c r="F437" s="364"/>
      <c r="G437" s="336"/>
      <c r="H437" s="336"/>
      <c r="I437" s="334"/>
      <c r="J437" s="336"/>
      <c r="K437" s="336"/>
      <c r="L437" s="336"/>
      <c r="M437" s="337"/>
      <c r="N437" s="242">
        <f t="shared" si="13"/>
        <v>5</v>
      </c>
      <c r="Q437" s="212" t="str">
        <f t="shared" si="12"/>
        <v/>
      </c>
      <c r="R437" s="174" t="s">
        <v>265</v>
      </c>
      <c r="S437" s="174" t="s">
        <v>273</v>
      </c>
      <c r="T437" s="174" t="e">
        <f>_xlfn.XLOOKUP(Buildings_Water_Backend[[#This Row],[Info 1]],Buildings_SiteInfo[Site name],Buildings_SiteInfo[Site type])</f>
        <v>#N/A</v>
      </c>
      <c r="U437" s="174" t="s">
        <v>327</v>
      </c>
      <c r="V437" s="174">
        <f>Buildings_Water_Frontend[[#This Row],[Type]]</f>
        <v>0</v>
      </c>
      <c r="W437" s="174" t="e" cm="1">
        <f t="array" aca="1" ref="W437" ca="1">_xlfn.XLOOKUP(Buildings_Water_Backend[[#This Row],[Level 5]],rng_Level5Long,rng_Level6Long)</f>
        <v>#N/A</v>
      </c>
      <c r="X437" s="174">
        <f>Buildings_Water_Frontend[[#This Row],[Site Name]]</f>
        <v>0</v>
      </c>
      <c r="Y437" s="174">
        <f>Buildings_Water_Frontend[[#This Row],[Meter Reference]]</f>
        <v>0</v>
      </c>
      <c r="Z437" s="220">
        <f>Buildings_Water_Frontend[[#This Row],[Methodology]]</f>
        <v>0</v>
      </c>
      <c r="AA437" s="229" t="e" cm="1">
        <f t="array" ref="AA437">INDEX(_xlfn.SWITCH(Buildings_Water_Backend[[#This Row],[Methodology]],"Tier 1",rng_RSD1,"Tier 2",rng_RSD2,"Tier 3",rng_RSD3),MATCH(_xlfn.CONCAT(Buildings_Water_Backend[[#This Row],[Level 1]:[Level 6]]),rng_LevelsConcat,0))</f>
        <v>#N/A</v>
      </c>
      <c r="AB437" s="224">
        <f>Buildings_Water_Frontend[[#This Row],[Data]]</f>
        <v>0</v>
      </c>
      <c r="AC437" s="174">
        <f>Buildings_Water_Frontend[[#This Row],[Units]]</f>
        <v>0</v>
      </c>
      <c r="AD437" s="220" t="e">
        <f>IF(Buildings_Water_Backend[[#This Row],[Units]]=Buildings_Water_Backend[[#This Row],[Standard units]],Buildings_Water_Backend[[#This Row],[Data]],Buildings_Water_Backend[[#This Row],[Data]]*_xlfn.XLOOKUP(_xlfn.CONCAT(Buildings_Water_Backend[[#This Row],[Level 1]:[Level 6]]),rng_EFConcat,rng_EFConversion))</f>
        <v>#N/A</v>
      </c>
      <c r="AE437" s="174" t="e" cm="1">
        <f t="array" ref="AE437">_xlfn.XLOOKUP(_xlfn.CONCAT(Buildings_Water_Backend[[#This Row],[Level 1]:[Level 6]]),rng_LevelsConcat,rng_UnitsLong)</f>
        <v>#N/A</v>
      </c>
      <c r="AF437" s="210" t="e">
        <f>_xlfn.XLOOKUP(_xlfn.CONCAT(Buildings_Water_Backend[[#This Row],[Level 1]:[Level 6]]),rng_EFConcat,rng_EF1)*Buildings_Water_Backend[[#This Row],[Converted data]]/1000</f>
        <v>#N/A</v>
      </c>
      <c r="AG437" s="210" t="e">
        <f>_xlfn.XLOOKUP(_xlfn.CONCAT(Buildings_Water_Backend[[#This Row],[Level 1]:[Level 6]]),rng_EFConcat,rng_EF2)*Buildings_Water_Backend[[#This Row],[Converted data]]/1000</f>
        <v>#N/A</v>
      </c>
      <c r="AH437" s="210" t="e">
        <f>_xlfn.XLOOKUP(_xlfn.CONCAT(Buildings_Water_Backend[[#This Row],[Level 1]:[Level 6]]),rng_EFConcat,rng_EF3)*Buildings_Water_Backend[[#This Row],[Converted data]]/1000</f>
        <v>#N/A</v>
      </c>
      <c r="AI437" s="210" t="e">
        <f>_xlfn.XLOOKUP(_xlfn.CONCAT(Buildings_Water_Backend[[#This Row],[Level 1]:[Level 6]]),rng_EFConcat,rng_EF3WTT)*Buildings_Water_Backend[[#This Row],[Converted data]]/1000</f>
        <v>#N/A</v>
      </c>
      <c r="AJ437" s="210" t="e">
        <f>_xlfn.XLOOKUP(_xlfn.CONCAT(Buildings_Water_Backend[[#This Row],[Level 1]:[Level 6]]),rng_EFConcat,rng_EF3TD)*Buildings_Water_Backend[[#This Row],[Converted data]]/1000</f>
        <v>#N/A</v>
      </c>
      <c r="AK437" s="210" t="e">
        <f>_xlfn.XLOOKUP(_xlfn.CONCAT(Buildings_Water_Backend[[#This Row],[Level 1]:[Level 6]]),rng_EFConcat,rng_EF3WTTTD)*Buildings_Water_Backend[[#This Row],[Converted data]]/1000</f>
        <v>#N/A</v>
      </c>
      <c r="AL437" s="220" t="e">
        <f>SUM(Buildings_Water_Backend[[#This Row],[Scope 1 (tCO2e)]:[Scope 3 WTT T&amp;D (tCO2e)]])</f>
        <v>#N/A</v>
      </c>
      <c r="AM437" s="220" t="e">
        <f>Buildings_Water_Backend[[#This Row],[Total (tCO2e)]]*(1-Buildings_Water_Backend[[#This Row],[RSD]])</f>
        <v>#N/A</v>
      </c>
      <c r="AN437" s="220" t="e">
        <f>Buildings_Water_Backend[[#This Row],[Total (tCO2e)]]*(1+Buildings_Water_Backend[[#This Row],[RSD]])</f>
        <v>#N/A</v>
      </c>
      <c r="AO437" s="210" t="e">
        <f>_xlfn.XLOOKUP(_xlfn.CONCAT(Buildings_Water_Backend[[#This Row],[Level 1]:[Level 6]]),rng_EFConcat,rng_EFOOS)*Buildings_Water_Backend[[#This Row],[Converted data]]/1000</f>
        <v>#N/A</v>
      </c>
      <c r="AP437" s="174">
        <f>Buildings_Water_Frontend[[#This Row],[Ease of collection]]</f>
        <v>0</v>
      </c>
      <c r="AQ437" s="174">
        <f>Buildings_Water_Frontend[[#This Row],[Completeness]]</f>
        <v>0</v>
      </c>
      <c r="AR437" s="174">
        <f>Buildings_Water_Frontend[[#This Row],[Notes]]</f>
        <v>0</v>
      </c>
    </row>
    <row r="438" spans="5:44" x14ac:dyDescent="0.3">
      <c r="E438" s="346"/>
      <c r="F438" s="364"/>
      <c r="G438" s="336"/>
      <c r="H438" s="336"/>
      <c r="I438" s="334"/>
      <c r="J438" s="336"/>
      <c r="K438" s="336"/>
      <c r="L438" s="336"/>
      <c r="M438" s="337"/>
      <c r="N438" s="242">
        <f t="shared" si="13"/>
        <v>5</v>
      </c>
      <c r="Q438" s="212" t="str">
        <f t="shared" si="12"/>
        <v/>
      </c>
      <c r="R438" s="174" t="s">
        <v>265</v>
      </c>
      <c r="S438" s="174" t="s">
        <v>273</v>
      </c>
      <c r="T438" s="174" t="e">
        <f>_xlfn.XLOOKUP(Buildings_Water_Backend[[#This Row],[Info 1]],Buildings_SiteInfo[Site name],Buildings_SiteInfo[Site type])</f>
        <v>#N/A</v>
      </c>
      <c r="U438" s="174" t="s">
        <v>327</v>
      </c>
      <c r="V438" s="174">
        <f>Buildings_Water_Frontend[[#This Row],[Type]]</f>
        <v>0</v>
      </c>
      <c r="W438" s="174" t="e" cm="1">
        <f t="array" aca="1" ref="W438" ca="1">_xlfn.XLOOKUP(Buildings_Water_Backend[[#This Row],[Level 5]],rng_Level5Long,rng_Level6Long)</f>
        <v>#N/A</v>
      </c>
      <c r="X438" s="174">
        <f>Buildings_Water_Frontend[[#This Row],[Site Name]]</f>
        <v>0</v>
      </c>
      <c r="Y438" s="174">
        <f>Buildings_Water_Frontend[[#This Row],[Meter Reference]]</f>
        <v>0</v>
      </c>
      <c r="Z438" s="220">
        <f>Buildings_Water_Frontend[[#This Row],[Methodology]]</f>
        <v>0</v>
      </c>
      <c r="AA438" s="229" t="e" cm="1">
        <f t="array" ref="AA438">INDEX(_xlfn.SWITCH(Buildings_Water_Backend[[#This Row],[Methodology]],"Tier 1",rng_RSD1,"Tier 2",rng_RSD2,"Tier 3",rng_RSD3),MATCH(_xlfn.CONCAT(Buildings_Water_Backend[[#This Row],[Level 1]:[Level 6]]),rng_LevelsConcat,0))</f>
        <v>#N/A</v>
      </c>
      <c r="AB438" s="224">
        <f>Buildings_Water_Frontend[[#This Row],[Data]]</f>
        <v>0</v>
      </c>
      <c r="AC438" s="174">
        <f>Buildings_Water_Frontend[[#This Row],[Units]]</f>
        <v>0</v>
      </c>
      <c r="AD438" s="220" t="e">
        <f>IF(Buildings_Water_Backend[[#This Row],[Units]]=Buildings_Water_Backend[[#This Row],[Standard units]],Buildings_Water_Backend[[#This Row],[Data]],Buildings_Water_Backend[[#This Row],[Data]]*_xlfn.XLOOKUP(_xlfn.CONCAT(Buildings_Water_Backend[[#This Row],[Level 1]:[Level 6]]),rng_EFConcat,rng_EFConversion))</f>
        <v>#N/A</v>
      </c>
      <c r="AE438" s="174" t="e" cm="1">
        <f t="array" ref="AE438">_xlfn.XLOOKUP(_xlfn.CONCAT(Buildings_Water_Backend[[#This Row],[Level 1]:[Level 6]]),rng_LevelsConcat,rng_UnitsLong)</f>
        <v>#N/A</v>
      </c>
      <c r="AF438" s="210" t="e">
        <f>_xlfn.XLOOKUP(_xlfn.CONCAT(Buildings_Water_Backend[[#This Row],[Level 1]:[Level 6]]),rng_EFConcat,rng_EF1)*Buildings_Water_Backend[[#This Row],[Converted data]]/1000</f>
        <v>#N/A</v>
      </c>
      <c r="AG438" s="210" t="e">
        <f>_xlfn.XLOOKUP(_xlfn.CONCAT(Buildings_Water_Backend[[#This Row],[Level 1]:[Level 6]]),rng_EFConcat,rng_EF2)*Buildings_Water_Backend[[#This Row],[Converted data]]/1000</f>
        <v>#N/A</v>
      </c>
      <c r="AH438" s="210" t="e">
        <f>_xlfn.XLOOKUP(_xlfn.CONCAT(Buildings_Water_Backend[[#This Row],[Level 1]:[Level 6]]),rng_EFConcat,rng_EF3)*Buildings_Water_Backend[[#This Row],[Converted data]]/1000</f>
        <v>#N/A</v>
      </c>
      <c r="AI438" s="210" t="e">
        <f>_xlfn.XLOOKUP(_xlfn.CONCAT(Buildings_Water_Backend[[#This Row],[Level 1]:[Level 6]]),rng_EFConcat,rng_EF3WTT)*Buildings_Water_Backend[[#This Row],[Converted data]]/1000</f>
        <v>#N/A</v>
      </c>
      <c r="AJ438" s="210" t="e">
        <f>_xlfn.XLOOKUP(_xlfn.CONCAT(Buildings_Water_Backend[[#This Row],[Level 1]:[Level 6]]),rng_EFConcat,rng_EF3TD)*Buildings_Water_Backend[[#This Row],[Converted data]]/1000</f>
        <v>#N/A</v>
      </c>
      <c r="AK438" s="210" t="e">
        <f>_xlfn.XLOOKUP(_xlfn.CONCAT(Buildings_Water_Backend[[#This Row],[Level 1]:[Level 6]]),rng_EFConcat,rng_EF3WTTTD)*Buildings_Water_Backend[[#This Row],[Converted data]]/1000</f>
        <v>#N/A</v>
      </c>
      <c r="AL438" s="220" t="e">
        <f>SUM(Buildings_Water_Backend[[#This Row],[Scope 1 (tCO2e)]:[Scope 3 WTT T&amp;D (tCO2e)]])</f>
        <v>#N/A</v>
      </c>
      <c r="AM438" s="220" t="e">
        <f>Buildings_Water_Backend[[#This Row],[Total (tCO2e)]]*(1-Buildings_Water_Backend[[#This Row],[RSD]])</f>
        <v>#N/A</v>
      </c>
      <c r="AN438" s="220" t="e">
        <f>Buildings_Water_Backend[[#This Row],[Total (tCO2e)]]*(1+Buildings_Water_Backend[[#This Row],[RSD]])</f>
        <v>#N/A</v>
      </c>
      <c r="AO438" s="210" t="e">
        <f>_xlfn.XLOOKUP(_xlfn.CONCAT(Buildings_Water_Backend[[#This Row],[Level 1]:[Level 6]]),rng_EFConcat,rng_EFOOS)*Buildings_Water_Backend[[#This Row],[Converted data]]/1000</f>
        <v>#N/A</v>
      </c>
      <c r="AP438" s="174">
        <f>Buildings_Water_Frontend[[#This Row],[Ease of collection]]</f>
        <v>0</v>
      </c>
      <c r="AQ438" s="174">
        <f>Buildings_Water_Frontend[[#This Row],[Completeness]]</f>
        <v>0</v>
      </c>
      <c r="AR438" s="174">
        <f>Buildings_Water_Frontend[[#This Row],[Notes]]</f>
        <v>0</v>
      </c>
    </row>
    <row r="439" spans="5:44" x14ac:dyDescent="0.3">
      <c r="E439" s="346"/>
      <c r="F439" s="364"/>
      <c r="G439" s="336"/>
      <c r="H439" s="336"/>
      <c r="I439" s="334"/>
      <c r="J439" s="336"/>
      <c r="K439" s="336"/>
      <c r="L439" s="336"/>
      <c r="M439" s="337"/>
      <c r="N439" s="242">
        <f t="shared" si="13"/>
        <v>5</v>
      </c>
      <c r="Q439" s="212" t="str">
        <f t="shared" si="12"/>
        <v/>
      </c>
      <c r="R439" s="174" t="s">
        <v>265</v>
      </c>
      <c r="S439" s="174" t="s">
        <v>273</v>
      </c>
      <c r="T439" s="174" t="e">
        <f>_xlfn.XLOOKUP(Buildings_Water_Backend[[#This Row],[Info 1]],Buildings_SiteInfo[Site name],Buildings_SiteInfo[Site type])</f>
        <v>#N/A</v>
      </c>
      <c r="U439" s="174" t="s">
        <v>327</v>
      </c>
      <c r="V439" s="174">
        <f>Buildings_Water_Frontend[[#This Row],[Type]]</f>
        <v>0</v>
      </c>
      <c r="W439" s="174" t="e" cm="1">
        <f t="array" aca="1" ref="W439" ca="1">_xlfn.XLOOKUP(Buildings_Water_Backend[[#This Row],[Level 5]],rng_Level5Long,rng_Level6Long)</f>
        <v>#N/A</v>
      </c>
      <c r="X439" s="174">
        <f>Buildings_Water_Frontend[[#This Row],[Site Name]]</f>
        <v>0</v>
      </c>
      <c r="Y439" s="174">
        <f>Buildings_Water_Frontend[[#This Row],[Meter Reference]]</f>
        <v>0</v>
      </c>
      <c r="Z439" s="220">
        <f>Buildings_Water_Frontend[[#This Row],[Methodology]]</f>
        <v>0</v>
      </c>
      <c r="AA439" s="229" t="e" cm="1">
        <f t="array" ref="AA439">INDEX(_xlfn.SWITCH(Buildings_Water_Backend[[#This Row],[Methodology]],"Tier 1",rng_RSD1,"Tier 2",rng_RSD2,"Tier 3",rng_RSD3),MATCH(_xlfn.CONCAT(Buildings_Water_Backend[[#This Row],[Level 1]:[Level 6]]),rng_LevelsConcat,0))</f>
        <v>#N/A</v>
      </c>
      <c r="AB439" s="224">
        <f>Buildings_Water_Frontend[[#This Row],[Data]]</f>
        <v>0</v>
      </c>
      <c r="AC439" s="174">
        <f>Buildings_Water_Frontend[[#This Row],[Units]]</f>
        <v>0</v>
      </c>
      <c r="AD439" s="220" t="e">
        <f>IF(Buildings_Water_Backend[[#This Row],[Units]]=Buildings_Water_Backend[[#This Row],[Standard units]],Buildings_Water_Backend[[#This Row],[Data]],Buildings_Water_Backend[[#This Row],[Data]]*_xlfn.XLOOKUP(_xlfn.CONCAT(Buildings_Water_Backend[[#This Row],[Level 1]:[Level 6]]),rng_EFConcat,rng_EFConversion))</f>
        <v>#N/A</v>
      </c>
      <c r="AE439" s="174" t="e" cm="1">
        <f t="array" ref="AE439">_xlfn.XLOOKUP(_xlfn.CONCAT(Buildings_Water_Backend[[#This Row],[Level 1]:[Level 6]]),rng_LevelsConcat,rng_UnitsLong)</f>
        <v>#N/A</v>
      </c>
      <c r="AF439" s="210" t="e">
        <f>_xlfn.XLOOKUP(_xlfn.CONCAT(Buildings_Water_Backend[[#This Row],[Level 1]:[Level 6]]),rng_EFConcat,rng_EF1)*Buildings_Water_Backend[[#This Row],[Converted data]]/1000</f>
        <v>#N/A</v>
      </c>
      <c r="AG439" s="210" t="e">
        <f>_xlfn.XLOOKUP(_xlfn.CONCAT(Buildings_Water_Backend[[#This Row],[Level 1]:[Level 6]]),rng_EFConcat,rng_EF2)*Buildings_Water_Backend[[#This Row],[Converted data]]/1000</f>
        <v>#N/A</v>
      </c>
      <c r="AH439" s="210" t="e">
        <f>_xlfn.XLOOKUP(_xlfn.CONCAT(Buildings_Water_Backend[[#This Row],[Level 1]:[Level 6]]),rng_EFConcat,rng_EF3)*Buildings_Water_Backend[[#This Row],[Converted data]]/1000</f>
        <v>#N/A</v>
      </c>
      <c r="AI439" s="210" t="e">
        <f>_xlfn.XLOOKUP(_xlfn.CONCAT(Buildings_Water_Backend[[#This Row],[Level 1]:[Level 6]]),rng_EFConcat,rng_EF3WTT)*Buildings_Water_Backend[[#This Row],[Converted data]]/1000</f>
        <v>#N/A</v>
      </c>
      <c r="AJ439" s="210" t="e">
        <f>_xlfn.XLOOKUP(_xlfn.CONCAT(Buildings_Water_Backend[[#This Row],[Level 1]:[Level 6]]),rng_EFConcat,rng_EF3TD)*Buildings_Water_Backend[[#This Row],[Converted data]]/1000</f>
        <v>#N/A</v>
      </c>
      <c r="AK439" s="210" t="e">
        <f>_xlfn.XLOOKUP(_xlfn.CONCAT(Buildings_Water_Backend[[#This Row],[Level 1]:[Level 6]]),rng_EFConcat,rng_EF3WTTTD)*Buildings_Water_Backend[[#This Row],[Converted data]]/1000</f>
        <v>#N/A</v>
      </c>
      <c r="AL439" s="220" t="e">
        <f>SUM(Buildings_Water_Backend[[#This Row],[Scope 1 (tCO2e)]:[Scope 3 WTT T&amp;D (tCO2e)]])</f>
        <v>#N/A</v>
      </c>
      <c r="AM439" s="220" t="e">
        <f>Buildings_Water_Backend[[#This Row],[Total (tCO2e)]]*(1-Buildings_Water_Backend[[#This Row],[RSD]])</f>
        <v>#N/A</v>
      </c>
      <c r="AN439" s="220" t="e">
        <f>Buildings_Water_Backend[[#This Row],[Total (tCO2e)]]*(1+Buildings_Water_Backend[[#This Row],[RSD]])</f>
        <v>#N/A</v>
      </c>
      <c r="AO439" s="210" t="e">
        <f>_xlfn.XLOOKUP(_xlfn.CONCAT(Buildings_Water_Backend[[#This Row],[Level 1]:[Level 6]]),rng_EFConcat,rng_EFOOS)*Buildings_Water_Backend[[#This Row],[Converted data]]/1000</f>
        <v>#N/A</v>
      </c>
      <c r="AP439" s="174">
        <f>Buildings_Water_Frontend[[#This Row],[Ease of collection]]</f>
        <v>0</v>
      </c>
      <c r="AQ439" s="174">
        <f>Buildings_Water_Frontend[[#This Row],[Completeness]]</f>
        <v>0</v>
      </c>
      <c r="AR439" s="174">
        <f>Buildings_Water_Frontend[[#This Row],[Notes]]</f>
        <v>0</v>
      </c>
    </row>
    <row r="440" spans="5:44" x14ac:dyDescent="0.3">
      <c r="E440" s="346"/>
      <c r="F440" s="364"/>
      <c r="G440" s="336"/>
      <c r="H440" s="336"/>
      <c r="I440" s="334"/>
      <c r="J440" s="336"/>
      <c r="K440" s="336"/>
      <c r="L440" s="336"/>
      <c r="M440" s="337"/>
      <c r="N440" s="242">
        <f t="shared" si="13"/>
        <v>5</v>
      </c>
      <c r="Q440" s="212" t="str">
        <f t="shared" si="12"/>
        <v/>
      </c>
      <c r="R440" s="174" t="s">
        <v>265</v>
      </c>
      <c r="S440" s="174" t="s">
        <v>273</v>
      </c>
      <c r="T440" s="174" t="e">
        <f>_xlfn.XLOOKUP(Buildings_Water_Backend[[#This Row],[Info 1]],Buildings_SiteInfo[Site name],Buildings_SiteInfo[Site type])</f>
        <v>#N/A</v>
      </c>
      <c r="U440" s="174" t="s">
        <v>327</v>
      </c>
      <c r="V440" s="174">
        <f>Buildings_Water_Frontend[[#This Row],[Type]]</f>
        <v>0</v>
      </c>
      <c r="W440" s="174" t="e" cm="1">
        <f t="array" aca="1" ref="W440" ca="1">_xlfn.XLOOKUP(Buildings_Water_Backend[[#This Row],[Level 5]],rng_Level5Long,rng_Level6Long)</f>
        <v>#N/A</v>
      </c>
      <c r="X440" s="174">
        <f>Buildings_Water_Frontend[[#This Row],[Site Name]]</f>
        <v>0</v>
      </c>
      <c r="Y440" s="174">
        <f>Buildings_Water_Frontend[[#This Row],[Meter Reference]]</f>
        <v>0</v>
      </c>
      <c r="Z440" s="220">
        <f>Buildings_Water_Frontend[[#This Row],[Methodology]]</f>
        <v>0</v>
      </c>
      <c r="AA440" s="229" t="e" cm="1">
        <f t="array" ref="AA440">INDEX(_xlfn.SWITCH(Buildings_Water_Backend[[#This Row],[Methodology]],"Tier 1",rng_RSD1,"Tier 2",rng_RSD2,"Tier 3",rng_RSD3),MATCH(_xlfn.CONCAT(Buildings_Water_Backend[[#This Row],[Level 1]:[Level 6]]),rng_LevelsConcat,0))</f>
        <v>#N/A</v>
      </c>
      <c r="AB440" s="224">
        <f>Buildings_Water_Frontend[[#This Row],[Data]]</f>
        <v>0</v>
      </c>
      <c r="AC440" s="174">
        <f>Buildings_Water_Frontend[[#This Row],[Units]]</f>
        <v>0</v>
      </c>
      <c r="AD440" s="220" t="e">
        <f>IF(Buildings_Water_Backend[[#This Row],[Units]]=Buildings_Water_Backend[[#This Row],[Standard units]],Buildings_Water_Backend[[#This Row],[Data]],Buildings_Water_Backend[[#This Row],[Data]]*_xlfn.XLOOKUP(_xlfn.CONCAT(Buildings_Water_Backend[[#This Row],[Level 1]:[Level 6]]),rng_EFConcat,rng_EFConversion))</f>
        <v>#N/A</v>
      </c>
      <c r="AE440" s="174" t="e" cm="1">
        <f t="array" ref="AE440">_xlfn.XLOOKUP(_xlfn.CONCAT(Buildings_Water_Backend[[#This Row],[Level 1]:[Level 6]]),rng_LevelsConcat,rng_UnitsLong)</f>
        <v>#N/A</v>
      </c>
      <c r="AF440" s="210" t="e">
        <f>_xlfn.XLOOKUP(_xlfn.CONCAT(Buildings_Water_Backend[[#This Row],[Level 1]:[Level 6]]),rng_EFConcat,rng_EF1)*Buildings_Water_Backend[[#This Row],[Converted data]]/1000</f>
        <v>#N/A</v>
      </c>
      <c r="AG440" s="210" t="e">
        <f>_xlfn.XLOOKUP(_xlfn.CONCAT(Buildings_Water_Backend[[#This Row],[Level 1]:[Level 6]]),rng_EFConcat,rng_EF2)*Buildings_Water_Backend[[#This Row],[Converted data]]/1000</f>
        <v>#N/A</v>
      </c>
      <c r="AH440" s="210" t="e">
        <f>_xlfn.XLOOKUP(_xlfn.CONCAT(Buildings_Water_Backend[[#This Row],[Level 1]:[Level 6]]),rng_EFConcat,rng_EF3)*Buildings_Water_Backend[[#This Row],[Converted data]]/1000</f>
        <v>#N/A</v>
      </c>
      <c r="AI440" s="210" t="e">
        <f>_xlfn.XLOOKUP(_xlfn.CONCAT(Buildings_Water_Backend[[#This Row],[Level 1]:[Level 6]]),rng_EFConcat,rng_EF3WTT)*Buildings_Water_Backend[[#This Row],[Converted data]]/1000</f>
        <v>#N/A</v>
      </c>
      <c r="AJ440" s="210" t="e">
        <f>_xlfn.XLOOKUP(_xlfn.CONCAT(Buildings_Water_Backend[[#This Row],[Level 1]:[Level 6]]),rng_EFConcat,rng_EF3TD)*Buildings_Water_Backend[[#This Row],[Converted data]]/1000</f>
        <v>#N/A</v>
      </c>
      <c r="AK440" s="210" t="e">
        <f>_xlfn.XLOOKUP(_xlfn.CONCAT(Buildings_Water_Backend[[#This Row],[Level 1]:[Level 6]]),rng_EFConcat,rng_EF3WTTTD)*Buildings_Water_Backend[[#This Row],[Converted data]]/1000</f>
        <v>#N/A</v>
      </c>
      <c r="AL440" s="220" t="e">
        <f>SUM(Buildings_Water_Backend[[#This Row],[Scope 1 (tCO2e)]:[Scope 3 WTT T&amp;D (tCO2e)]])</f>
        <v>#N/A</v>
      </c>
      <c r="AM440" s="220" t="e">
        <f>Buildings_Water_Backend[[#This Row],[Total (tCO2e)]]*(1-Buildings_Water_Backend[[#This Row],[RSD]])</f>
        <v>#N/A</v>
      </c>
      <c r="AN440" s="220" t="e">
        <f>Buildings_Water_Backend[[#This Row],[Total (tCO2e)]]*(1+Buildings_Water_Backend[[#This Row],[RSD]])</f>
        <v>#N/A</v>
      </c>
      <c r="AO440" s="210" t="e">
        <f>_xlfn.XLOOKUP(_xlfn.CONCAT(Buildings_Water_Backend[[#This Row],[Level 1]:[Level 6]]),rng_EFConcat,rng_EFOOS)*Buildings_Water_Backend[[#This Row],[Converted data]]/1000</f>
        <v>#N/A</v>
      </c>
      <c r="AP440" s="174">
        <f>Buildings_Water_Frontend[[#This Row],[Ease of collection]]</f>
        <v>0</v>
      </c>
      <c r="AQ440" s="174">
        <f>Buildings_Water_Frontend[[#This Row],[Completeness]]</f>
        <v>0</v>
      </c>
      <c r="AR440" s="174">
        <f>Buildings_Water_Frontend[[#This Row],[Notes]]</f>
        <v>0</v>
      </c>
    </row>
    <row r="441" spans="5:44" x14ac:dyDescent="0.3">
      <c r="E441" s="346"/>
      <c r="F441" s="364"/>
      <c r="G441" s="336"/>
      <c r="H441" s="336"/>
      <c r="I441" s="334"/>
      <c r="J441" s="336"/>
      <c r="K441" s="336"/>
      <c r="L441" s="336"/>
      <c r="M441" s="337"/>
      <c r="N441" s="242">
        <f t="shared" si="13"/>
        <v>5</v>
      </c>
      <c r="Q441" s="212" t="str">
        <f t="shared" si="12"/>
        <v/>
      </c>
      <c r="R441" s="174" t="s">
        <v>265</v>
      </c>
      <c r="S441" s="174" t="s">
        <v>273</v>
      </c>
      <c r="T441" s="174" t="e">
        <f>_xlfn.XLOOKUP(Buildings_Water_Backend[[#This Row],[Info 1]],Buildings_SiteInfo[Site name],Buildings_SiteInfo[Site type])</f>
        <v>#N/A</v>
      </c>
      <c r="U441" s="174" t="s">
        <v>327</v>
      </c>
      <c r="V441" s="174">
        <f>Buildings_Water_Frontend[[#This Row],[Type]]</f>
        <v>0</v>
      </c>
      <c r="W441" s="174" t="e" cm="1">
        <f t="array" aca="1" ref="W441" ca="1">_xlfn.XLOOKUP(Buildings_Water_Backend[[#This Row],[Level 5]],rng_Level5Long,rng_Level6Long)</f>
        <v>#N/A</v>
      </c>
      <c r="X441" s="174">
        <f>Buildings_Water_Frontend[[#This Row],[Site Name]]</f>
        <v>0</v>
      </c>
      <c r="Y441" s="174">
        <f>Buildings_Water_Frontend[[#This Row],[Meter Reference]]</f>
        <v>0</v>
      </c>
      <c r="Z441" s="220">
        <f>Buildings_Water_Frontend[[#This Row],[Methodology]]</f>
        <v>0</v>
      </c>
      <c r="AA441" s="229" t="e" cm="1">
        <f t="array" ref="AA441">INDEX(_xlfn.SWITCH(Buildings_Water_Backend[[#This Row],[Methodology]],"Tier 1",rng_RSD1,"Tier 2",rng_RSD2,"Tier 3",rng_RSD3),MATCH(_xlfn.CONCAT(Buildings_Water_Backend[[#This Row],[Level 1]:[Level 6]]),rng_LevelsConcat,0))</f>
        <v>#N/A</v>
      </c>
      <c r="AB441" s="224">
        <f>Buildings_Water_Frontend[[#This Row],[Data]]</f>
        <v>0</v>
      </c>
      <c r="AC441" s="174">
        <f>Buildings_Water_Frontend[[#This Row],[Units]]</f>
        <v>0</v>
      </c>
      <c r="AD441" s="220" t="e">
        <f>IF(Buildings_Water_Backend[[#This Row],[Units]]=Buildings_Water_Backend[[#This Row],[Standard units]],Buildings_Water_Backend[[#This Row],[Data]],Buildings_Water_Backend[[#This Row],[Data]]*_xlfn.XLOOKUP(_xlfn.CONCAT(Buildings_Water_Backend[[#This Row],[Level 1]:[Level 6]]),rng_EFConcat,rng_EFConversion))</f>
        <v>#N/A</v>
      </c>
      <c r="AE441" s="174" t="e" cm="1">
        <f t="array" ref="AE441">_xlfn.XLOOKUP(_xlfn.CONCAT(Buildings_Water_Backend[[#This Row],[Level 1]:[Level 6]]),rng_LevelsConcat,rng_UnitsLong)</f>
        <v>#N/A</v>
      </c>
      <c r="AF441" s="210" t="e">
        <f>_xlfn.XLOOKUP(_xlfn.CONCAT(Buildings_Water_Backend[[#This Row],[Level 1]:[Level 6]]),rng_EFConcat,rng_EF1)*Buildings_Water_Backend[[#This Row],[Converted data]]/1000</f>
        <v>#N/A</v>
      </c>
      <c r="AG441" s="210" t="e">
        <f>_xlfn.XLOOKUP(_xlfn.CONCAT(Buildings_Water_Backend[[#This Row],[Level 1]:[Level 6]]),rng_EFConcat,rng_EF2)*Buildings_Water_Backend[[#This Row],[Converted data]]/1000</f>
        <v>#N/A</v>
      </c>
      <c r="AH441" s="210" t="e">
        <f>_xlfn.XLOOKUP(_xlfn.CONCAT(Buildings_Water_Backend[[#This Row],[Level 1]:[Level 6]]),rng_EFConcat,rng_EF3)*Buildings_Water_Backend[[#This Row],[Converted data]]/1000</f>
        <v>#N/A</v>
      </c>
      <c r="AI441" s="210" t="e">
        <f>_xlfn.XLOOKUP(_xlfn.CONCAT(Buildings_Water_Backend[[#This Row],[Level 1]:[Level 6]]),rng_EFConcat,rng_EF3WTT)*Buildings_Water_Backend[[#This Row],[Converted data]]/1000</f>
        <v>#N/A</v>
      </c>
      <c r="AJ441" s="210" t="e">
        <f>_xlfn.XLOOKUP(_xlfn.CONCAT(Buildings_Water_Backend[[#This Row],[Level 1]:[Level 6]]),rng_EFConcat,rng_EF3TD)*Buildings_Water_Backend[[#This Row],[Converted data]]/1000</f>
        <v>#N/A</v>
      </c>
      <c r="AK441" s="210" t="e">
        <f>_xlfn.XLOOKUP(_xlfn.CONCAT(Buildings_Water_Backend[[#This Row],[Level 1]:[Level 6]]),rng_EFConcat,rng_EF3WTTTD)*Buildings_Water_Backend[[#This Row],[Converted data]]/1000</f>
        <v>#N/A</v>
      </c>
      <c r="AL441" s="220" t="e">
        <f>SUM(Buildings_Water_Backend[[#This Row],[Scope 1 (tCO2e)]:[Scope 3 WTT T&amp;D (tCO2e)]])</f>
        <v>#N/A</v>
      </c>
      <c r="AM441" s="220" t="e">
        <f>Buildings_Water_Backend[[#This Row],[Total (tCO2e)]]*(1-Buildings_Water_Backend[[#This Row],[RSD]])</f>
        <v>#N/A</v>
      </c>
      <c r="AN441" s="220" t="e">
        <f>Buildings_Water_Backend[[#This Row],[Total (tCO2e)]]*(1+Buildings_Water_Backend[[#This Row],[RSD]])</f>
        <v>#N/A</v>
      </c>
      <c r="AO441" s="210" t="e">
        <f>_xlfn.XLOOKUP(_xlfn.CONCAT(Buildings_Water_Backend[[#This Row],[Level 1]:[Level 6]]),rng_EFConcat,rng_EFOOS)*Buildings_Water_Backend[[#This Row],[Converted data]]/1000</f>
        <v>#N/A</v>
      </c>
      <c r="AP441" s="174">
        <f>Buildings_Water_Frontend[[#This Row],[Ease of collection]]</f>
        <v>0</v>
      </c>
      <c r="AQ441" s="174">
        <f>Buildings_Water_Frontend[[#This Row],[Completeness]]</f>
        <v>0</v>
      </c>
      <c r="AR441" s="174">
        <f>Buildings_Water_Frontend[[#This Row],[Notes]]</f>
        <v>0</v>
      </c>
    </row>
    <row r="442" spans="5:44" x14ac:dyDescent="0.3">
      <c r="E442" s="346"/>
      <c r="F442" s="364"/>
      <c r="G442" s="336"/>
      <c r="H442" s="336"/>
      <c r="I442" s="334"/>
      <c r="J442" s="336"/>
      <c r="K442" s="336"/>
      <c r="L442" s="336"/>
      <c r="M442" s="337"/>
      <c r="N442" s="242">
        <f t="shared" si="13"/>
        <v>5</v>
      </c>
      <c r="Q442" s="212" t="str">
        <f t="shared" si="12"/>
        <v/>
      </c>
      <c r="R442" s="174" t="s">
        <v>265</v>
      </c>
      <c r="S442" s="174" t="s">
        <v>273</v>
      </c>
      <c r="T442" s="174" t="e">
        <f>_xlfn.XLOOKUP(Buildings_Water_Backend[[#This Row],[Info 1]],Buildings_SiteInfo[Site name],Buildings_SiteInfo[Site type])</f>
        <v>#N/A</v>
      </c>
      <c r="U442" s="174" t="s">
        <v>327</v>
      </c>
      <c r="V442" s="174">
        <f>Buildings_Water_Frontend[[#This Row],[Type]]</f>
        <v>0</v>
      </c>
      <c r="W442" s="174" t="e" cm="1">
        <f t="array" aca="1" ref="W442" ca="1">_xlfn.XLOOKUP(Buildings_Water_Backend[[#This Row],[Level 5]],rng_Level5Long,rng_Level6Long)</f>
        <v>#N/A</v>
      </c>
      <c r="X442" s="174">
        <f>Buildings_Water_Frontend[[#This Row],[Site Name]]</f>
        <v>0</v>
      </c>
      <c r="Y442" s="174">
        <f>Buildings_Water_Frontend[[#This Row],[Meter Reference]]</f>
        <v>0</v>
      </c>
      <c r="Z442" s="220">
        <f>Buildings_Water_Frontend[[#This Row],[Methodology]]</f>
        <v>0</v>
      </c>
      <c r="AA442" s="229" t="e" cm="1">
        <f t="array" ref="AA442">INDEX(_xlfn.SWITCH(Buildings_Water_Backend[[#This Row],[Methodology]],"Tier 1",rng_RSD1,"Tier 2",rng_RSD2,"Tier 3",rng_RSD3),MATCH(_xlfn.CONCAT(Buildings_Water_Backend[[#This Row],[Level 1]:[Level 6]]),rng_LevelsConcat,0))</f>
        <v>#N/A</v>
      </c>
      <c r="AB442" s="224">
        <f>Buildings_Water_Frontend[[#This Row],[Data]]</f>
        <v>0</v>
      </c>
      <c r="AC442" s="174">
        <f>Buildings_Water_Frontend[[#This Row],[Units]]</f>
        <v>0</v>
      </c>
      <c r="AD442" s="220" t="e">
        <f>IF(Buildings_Water_Backend[[#This Row],[Units]]=Buildings_Water_Backend[[#This Row],[Standard units]],Buildings_Water_Backend[[#This Row],[Data]],Buildings_Water_Backend[[#This Row],[Data]]*_xlfn.XLOOKUP(_xlfn.CONCAT(Buildings_Water_Backend[[#This Row],[Level 1]:[Level 6]]),rng_EFConcat,rng_EFConversion))</f>
        <v>#N/A</v>
      </c>
      <c r="AE442" s="174" t="e" cm="1">
        <f t="array" ref="AE442">_xlfn.XLOOKUP(_xlfn.CONCAT(Buildings_Water_Backend[[#This Row],[Level 1]:[Level 6]]),rng_LevelsConcat,rng_UnitsLong)</f>
        <v>#N/A</v>
      </c>
      <c r="AF442" s="210" t="e">
        <f>_xlfn.XLOOKUP(_xlfn.CONCAT(Buildings_Water_Backend[[#This Row],[Level 1]:[Level 6]]),rng_EFConcat,rng_EF1)*Buildings_Water_Backend[[#This Row],[Converted data]]/1000</f>
        <v>#N/A</v>
      </c>
      <c r="AG442" s="210" t="e">
        <f>_xlfn.XLOOKUP(_xlfn.CONCAT(Buildings_Water_Backend[[#This Row],[Level 1]:[Level 6]]),rng_EFConcat,rng_EF2)*Buildings_Water_Backend[[#This Row],[Converted data]]/1000</f>
        <v>#N/A</v>
      </c>
      <c r="AH442" s="210" t="e">
        <f>_xlfn.XLOOKUP(_xlfn.CONCAT(Buildings_Water_Backend[[#This Row],[Level 1]:[Level 6]]),rng_EFConcat,rng_EF3)*Buildings_Water_Backend[[#This Row],[Converted data]]/1000</f>
        <v>#N/A</v>
      </c>
      <c r="AI442" s="210" t="e">
        <f>_xlfn.XLOOKUP(_xlfn.CONCAT(Buildings_Water_Backend[[#This Row],[Level 1]:[Level 6]]),rng_EFConcat,rng_EF3WTT)*Buildings_Water_Backend[[#This Row],[Converted data]]/1000</f>
        <v>#N/A</v>
      </c>
      <c r="AJ442" s="210" t="e">
        <f>_xlfn.XLOOKUP(_xlfn.CONCAT(Buildings_Water_Backend[[#This Row],[Level 1]:[Level 6]]),rng_EFConcat,rng_EF3TD)*Buildings_Water_Backend[[#This Row],[Converted data]]/1000</f>
        <v>#N/A</v>
      </c>
      <c r="AK442" s="210" t="e">
        <f>_xlfn.XLOOKUP(_xlfn.CONCAT(Buildings_Water_Backend[[#This Row],[Level 1]:[Level 6]]),rng_EFConcat,rng_EF3WTTTD)*Buildings_Water_Backend[[#This Row],[Converted data]]/1000</f>
        <v>#N/A</v>
      </c>
      <c r="AL442" s="220" t="e">
        <f>SUM(Buildings_Water_Backend[[#This Row],[Scope 1 (tCO2e)]:[Scope 3 WTT T&amp;D (tCO2e)]])</f>
        <v>#N/A</v>
      </c>
      <c r="AM442" s="220" t="e">
        <f>Buildings_Water_Backend[[#This Row],[Total (tCO2e)]]*(1-Buildings_Water_Backend[[#This Row],[RSD]])</f>
        <v>#N/A</v>
      </c>
      <c r="AN442" s="220" t="e">
        <f>Buildings_Water_Backend[[#This Row],[Total (tCO2e)]]*(1+Buildings_Water_Backend[[#This Row],[RSD]])</f>
        <v>#N/A</v>
      </c>
      <c r="AO442" s="210" t="e">
        <f>_xlfn.XLOOKUP(_xlfn.CONCAT(Buildings_Water_Backend[[#This Row],[Level 1]:[Level 6]]),rng_EFConcat,rng_EFOOS)*Buildings_Water_Backend[[#This Row],[Converted data]]/1000</f>
        <v>#N/A</v>
      </c>
      <c r="AP442" s="174">
        <f>Buildings_Water_Frontend[[#This Row],[Ease of collection]]</f>
        <v>0</v>
      </c>
      <c r="AQ442" s="174">
        <f>Buildings_Water_Frontend[[#This Row],[Completeness]]</f>
        <v>0</v>
      </c>
      <c r="AR442" s="174">
        <f>Buildings_Water_Frontend[[#This Row],[Notes]]</f>
        <v>0</v>
      </c>
    </row>
    <row r="443" spans="5:44" x14ac:dyDescent="0.3">
      <c r="E443" s="346"/>
      <c r="F443" s="364"/>
      <c r="G443" s="336"/>
      <c r="H443" s="336"/>
      <c r="I443" s="334"/>
      <c r="J443" s="336"/>
      <c r="K443" s="336"/>
      <c r="L443" s="336"/>
      <c r="M443" s="337"/>
      <c r="N443" s="242">
        <f t="shared" si="13"/>
        <v>5</v>
      </c>
      <c r="Q443" s="212" t="str">
        <f t="shared" si="12"/>
        <v/>
      </c>
      <c r="R443" s="174" t="s">
        <v>265</v>
      </c>
      <c r="S443" s="174" t="s">
        <v>273</v>
      </c>
      <c r="T443" s="174" t="e">
        <f>_xlfn.XLOOKUP(Buildings_Water_Backend[[#This Row],[Info 1]],Buildings_SiteInfo[Site name],Buildings_SiteInfo[Site type])</f>
        <v>#N/A</v>
      </c>
      <c r="U443" s="174" t="s">
        <v>327</v>
      </c>
      <c r="V443" s="174">
        <f>Buildings_Water_Frontend[[#This Row],[Type]]</f>
        <v>0</v>
      </c>
      <c r="W443" s="174" t="e" cm="1">
        <f t="array" aca="1" ref="W443" ca="1">_xlfn.XLOOKUP(Buildings_Water_Backend[[#This Row],[Level 5]],rng_Level5Long,rng_Level6Long)</f>
        <v>#N/A</v>
      </c>
      <c r="X443" s="174">
        <f>Buildings_Water_Frontend[[#This Row],[Site Name]]</f>
        <v>0</v>
      </c>
      <c r="Y443" s="174">
        <f>Buildings_Water_Frontend[[#This Row],[Meter Reference]]</f>
        <v>0</v>
      </c>
      <c r="Z443" s="220">
        <f>Buildings_Water_Frontend[[#This Row],[Methodology]]</f>
        <v>0</v>
      </c>
      <c r="AA443" s="229" t="e" cm="1">
        <f t="array" ref="AA443">INDEX(_xlfn.SWITCH(Buildings_Water_Backend[[#This Row],[Methodology]],"Tier 1",rng_RSD1,"Tier 2",rng_RSD2,"Tier 3",rng_RSD3),MATCH(_xlfn.CONCAT(Buildings_Water_Backend[[#This Row],[Level 1]:[Level 6]]),rng_LevelsConcat,0))</f>
        <v>#N/A</v>
      </c>
      <c r="AB443" s="224">
        <f>Buildings_Water_Frontend[[#This Row],[Data]]</f>
        <v>0</v>
      </c>
      <c r="AC443" s="174">
        <f>Buildings_Water_Frontend[[#This Row],[Units]]</f>
        <v>0</v>
      </c>
      <c r="AD443" s="220" t="e">
        <f>IF(Buildings_Water_Backend[[#This Row],[Units]]=Buildings_Water_Backend[[#This Row],[Standard units]],Buildings_Water_Backend[[#This Row],[Data]],Buildings_Water_Backend[[#This Row],[Data]]*_xlfn.XLOOKUP(_xlfn.CONCAT(Buildings_Water_Backend[[#This Row],[Level 1]:[Level 6]]),rng_EFConcat,rng_EFConversion))</f>
        <v>#N/A</v>
      </c>
      <c r="AE443" s="174" t="e" cm="1">
        <f t="array" ref="AE443">_xlfn.XLOOKUP(_xlfn.CONCAT(Buildings_Water_Backend[[#This Row],[Level 1]:[Level 6]]),rng_LevelsConcat,rng_UnitsLong)</f>
        <v>#N/A</v>
      </c>
      <c r="AF443" s="210" t="e">
        <f>_xlfn.XLOOKUP(_xlfn.CONCAT(Buildings_Water_Backend[[#This Row],[Level 1]:[Level 6]]),rng_EFConcat,rng_EF1)*Buildings_Water_Backend[[#This Row],[Converted data]]/1000</f>
        <v>#N/A</v>
      </c>
      <c r="AG443" s="210" t="e">
        <f>_xlfn.XLOOKUP(_xlfn.CONCAT(Buildings_Water_Backend[[#This Row],[Level 1]:[Level 6]]),rng_EFConcat,rng_EF2)*Buildings_Water_Backend[[#This Row],[Converted data]]/1000</f>
        <v>#N/A</v>
      </c>
      <c r="AH443" s="210" t="e">
        <f>_xlfn.XLOOKUP(_xlfn.CONCAT(Buildings_Water_Backend[[#This Row],[Level 1]:[Level 6]]),rng_EFConcat,rng_EF3)*Buildings_Water_Backend[[#This Row],[Converted data]]/1000</f>
        <v>#N/A</v>
      </c>
      <c r="AI443" s="210" t="e">
        <f>_xlfn.XLOOKUP(_xlfn.CONCAT(Buildings_Water_Backend[[#This Row],[Level 1]:[Level 6]]),rng_EFConcat,rng_EF3WTT)*Buildings_Water_Backend[[#This Row],[Converted data]]/1000</f>
        <v>#N/A</v>
      </c>
      <c r="AJ443" s="210" t="e">
        <f>_xlfn.XLOOKUP(_xlfn.CONCAT(Buildings_Water_Backend[[#This Row],[Level 1]:[Level 6]]),rng_EFConcat,rng_EF3TD)*Buildings_Water_Backend[[#This Row],[Converted data]]/1000</f>
        <v>#N/A</v>
      </c>
      <c r="AK443" s="210" t="e">
        <f>_xlfn.XLOOKUP(_xlfn.CONCAT(Buildings_Water_Backend[[#This Row],[Level 1]:[Level 6]]),rng_EFConcat,rng_EF3WTTTD)*Buildings_Water_Backend[[#This Row],[Converted data]]/1000</f>
        <v>#N/A</v>
      </c>
      <c r="AL443" s="220" t="e">
        <f>SUM(Buildings_Water_Backend[[#This Row],[Scope 1 (tCO2e)]:[Scope 3 WTT T&amp;D (tCO2e)]])</f>
        <v>#N/A</v>
      </c>
      <c r="AM443" s="220" t="e">
        <f>Buildings_Water_Backend[[#This Row],[Total (tCO2e)]]*(1-Buildings_Water_Backend[[#This Row],[RSD]])</f>
        <v>#N/A</v>
      </c>
      <c r="AN443" s="220" t="e">
        <f>Buildings_Water_Backend[[#This Row],[Total (tCO2e)]]*(1+Buildings_Water_Backend[[#This Row],[RSD]])</f>
        <v>#N/A</v>
      </c>
      <c r="AO443" s="210" t="e">
        <f>_xlfn.XLOOKUP(_xlfn.CONCAT(Buildings_Water_Backend[[#This Row],[Level 1]:[Level 6]]),rng_EFConcat,rng_EFOOS)*Buildings_Water_Backend[[#This Row],[Converted data]]/1000</f>
        <v>#N/A</v>
      </c>
      <c r="AP443" s="174">
        <f>Buildings_Water_Frontend[[#This Row],[Ease of collection]]</f>
        <v>0</v>
      </c>
      <c r="AQ443" s="174">
        <f>Buildings_Water_Frontend[[#This Row],[Completeness]]</f>
        <v>0</v>
      </c>
      <c r="AR443" s="174">
        <f>Buildings_Water_Frontend[[#This Row],[Notes]]</f>
        <v>0</v>
      </c>
    </row>
    <row r="444" spans="5:44" x14ac:dyDescent="0.3">
      <c r="E444" s="346"/>
      <c r="F444" s="364"/>
      <c r="G444" s="336"/>
      <c r="H444" s="336"/>
      <c r="I444" s="334"/>
      <c r="J444" s="336"/>
      <c r="K444" s="336"/>
      <c r="L444" s="336"/>
      <c r="M444" s="337"/>
      <c r="N444" s="242">
        <f t="shared" si="13"/>
        <v>5</v>
      </c>
      <c r="Q444" s="212" t="str">
        <f t="shared" si="12"/>
        <v/>
      </c>
      <c r="R444" s="174" t="s">
        <v>265</v>
      </c>
      <c r="S444" s="174" t="s">
        <v>273</v>
      </c>
      <c r="T444" s="174" t="e">
        <f>_xlfn.XLOOKUP(Buildings_Water_Backend[[#This Row],[Info 1]],Buildings_SiteInfo[Site name],Buildings_SiteInfo[Site type])</f>
        <v>#N/A</v>
      </c>
      <c r="U444" s="174" t="s">
        <v>327</v>
      </c>
      <c r="V444" s="174">
        <f>Buildings_Water_Frontend[[#This Row],[Type]]</f>
        <v>0</v>
      </c>
      <c r="W444" s="174" t="e" cm="1">
        <f t="array" aca="1" ref="W444" ca="1">_xlfn.XLOOKUP(Buildings_Water_Backend[[#This Row],[Level 5]],rng_Level5Long,rng_Level6Long)</f>
        <v>#N/A</v>
      </c>
      <c r="X444" s="174">
        <f>Buildings_Water_Frontend[[#This Row],[Site Name]]</f>
        <v>0</v>
      </c>
      <c r="Y444" s="174">
        <f>Buildings_Water_Frontend[[#This Row],[Meter Reference]]</f>
        <v>0</v>
      </c>
      <c r="Z444" s="220">
        <f>Buildings_Water_Frontend[[#This Row],[Methodology]]</f>
        <v>0</v>
      </c>
      <c r="AA444" s="229" t="e" cm="1">
        <f t="array" ref="AA444">INDEX(_xlfn.SWITCH(Buildings_Water_Backend[[#This Row],[Methodology]],"Tier 1",rng_RSD1,"Tier 2",rng_RSD2,"Tier 3",rng_RSD3),MATCH(_xlfn.CONCAT(Buildings_Water_Backend[[#This Row],[Level 1]:[Level 6]]),rng_LevelsConcat,0))</f>
        <v>#N/A</v>
      </c>
      <c r="AB444" s="224">
        <f>Buildings_Water_Frontend[[#This Row],[Data]]</f>
        <v>0</v>
      </c>
      <c r="AC444" s="174">
        <f>Buildings_Water_Frontend[[#This Row],[Units]]</f>
        <v>0</v>
      </c>
      <c r="AD444" s="220" t="e">
        <f>IF(Buildings_Water_Backend[[#This Row],[Units]]=Buildings_Water_Backend[[#This Row],[Standard units]],Buildings_Water_Backend[[#This Row],[Data]],Buildings_Water_Backend[[#This Row],[Data]]*_xlfn.XLOOKUP(_xlfn.CONCAT(Buildings_Water_Backend[[#This Row],[Level 1]:[Level 6]]),rng_EFConcat,rng_EFConversion))</f>
        <v>#N/A</v>
      </c>
      <c r="AE444" s="174" t="e" cm="1">
        <f t="array" ref="AE444">_xlfn.XLOOKUP(_xlfn.CONCAT(Buildings_Water_Backend[[#This Row],[Level 1]:[Level 6]]),rng_LevelsConcat,rng_UnitsLong)</f>
        <v>#N/A</v>
      </c>
      <c r="AF444" s="210" t="e">
        <f>_xlfn.XLOOKUP(_xlfn.CONCAT(Buildings_Water_Backend[[#This Row],[Level 1]:[Level 6]]),rng_EFConcat,rng_EF1)*Buildings_Water_Backend[[#This Row],[Converted data]]/1000</f>
        <v>#N/A</v>
      </c>
      <c r="AG444" s="210" t="e">
        <f>_xlfn.XLOOKUP(_xlfn.CONCAT(Buildings_Water_Backend[[#This Row],[Level 1]:[Level 6]]),rng_EFConcat,rng_EF2)*Buildings_Water_Backend[[#This Row],[Converted data]]/1000</f>
        <v>#N/A</v>
      </c>
      <c r="AH444" s="210" t="e">
        <f>_xlfn.XLOOKUP(_xlfn.CONCAT(Buildings_Water_Backend[[#This Row],[Level 1]:[Level 6]]),rng_EFConcat,rng_EF3)*Buildings_Water_Backend[[#This Row],[Converted data]]/1000</f>
        <v>#N/A</v>
      </c>
      <c r="AI444" s="210" t="e">
        <f>_xlfn.XLOOKUP(_xlfn.CONCAT(Buildings_Water_Backend[[#This Row],[Level 1]:[Level 6]]),rng_EFConcat,rng_EF3WTT)*Buildings_Water_Backend[[#This Row],[Converted data]]/1000</f>
        <v>#N/A</v>
      </c>
      <c r="AJ444" s="210" t="e">
        <f>_xlfn.XLOOKUP(_xlfn.CONCAT(Buildings_Water_Backend[[#This Row],[Level 1]:[Level 6]]),rng_EFConcat,rng_EF3TD)*Buildings_Water_Backend[[#This Row],[Converted data]]/1000</f>
        <v>#N/A</v>
      </c>
      <c r="AK444" s="210" t="e">
        <f>_xlfn.XLOOKUP(_xlfn.CONCAT(Buildings_Water_Backend[[#This Row],[Level 1]:[Level 6]]),rng_EFConcat,rng_EF3WTTTD)*Buildings_Water_Backend[[#This Row],[Converted data]]/1000</f>
        <v>#N/A</v>
      </c>
      <c r="AL444" s="220" t="e">
        <f>SUM(Buildings_Water_Backend[[#This Row],[Scope 1 (tCO2e)]:[Scope 3 WTT T&amp;D (tCO2e)]])</f>
        <v>#N/A</v>
      </c>
      <c r="AM444" s="220" t="e">
        <f>Buildings_Water_Backend[[#This Row],[Total (tCO2e)]]*(1-Buildings_Water_Backend[[#This Row],[RSD]])</f>
        <v>#N/A</v>
      </c>
      <c r="AN444" s="220" t="e">
        <f>Buildings_Water_Backend[[#This Row],[Total (tCO2e)]]*(1+Buildings_Water_Backend[[#This Row],[RSD]])</f>
        <v>#N/A</v>
      </c>
      <c r="AO444" s="210" t="e">
        <f>_xlfn.XLOOKUP(_xlfn.CONCAT(Buildings_Water_Backend[[#This Row],[Level 1]:[Level 6]]),rng_EFConcat,rng_EFOOS)*Buildings_Water_Backend[[#This Row],[Converted data]]/1000</f>
        <v>#N/A</v>
      </c>
      <c r="AP444" s="174">
        <f>Buildings_Water_Frontend[[#This Row],[Ease of collection]]</f>
        <v>0</v>
      </c>
      <c r="AQ444" s="174">
        <f>Buildings_Water_Frontend[[#This Row],[Completeness]]</f>
        <v>0</v>
      </c>
      <c r="AR444" s="174">
        <f>Buildings_Water_Frontend[[#This Row],[Notes]]</f>
        <v>0</v>
      </c>
    </row>
    <row r="445" spans="5:44" x14ac:dyDescent="0.3">
      <c r="E445" s="346"/>
      <c r="F445" s="364"/>
      <c r="G445" s="336"/>
      <c r="H445" s="336"/>
      <c r="I445" s="334"/>
      <c r="J445" s="336"/>
      <c r="K445" s="336"/>
      <c r="L445" s="336"/>
      <c r="M445" s="337"/>
      <c r="N445" s="242">
        <f t="shared" si="13"/>
        <v>5</v>
      </c>
      <c r="Q445" s="212" t="str">
        <f t="shared" si="12"/>
        <v/>
      </c>
      <c r="R445" s="174" t="s">
        <v>265</v>
      </c>
      <c r="S445" s="174" t="s">
        <v>273</v>
      </c>
      <c r="T445" s="174" t="e">
        <f>_xlfn.XLOOKUP(Buildings_Water_Backend[[#This Row],[Info 1]],Buildings_SiteInfo[Site name],Buildings_SiteInfo[Site type])</f>
        <v>#N/A</v>
      </c>
      <c r="U445" s="174" t="s">
        <v>327</v>
      </c>
      <c r="V445" s="174">
        <f>Buildings_Water_Frontend[[#This Row],[Type]]</f>
        <v>0</v>
      </c>
      <c r="W445" s="174" t="e" cm="1">
        <f t="array" aca="1" ref="W445" ca="1">_xlfn.XLOOKUP(Buildings_Water_Backend[[#This Row],[Level 5]],rng_Level5Long,rng_Level6Long)</f>
        <v>#N/A</v>
      </c>
      <c r="X445" s="174">
        <f>Buildings_Water_Frontend[[#This Row],[Site Name]]</f>
        <v>0</v>
      </c>
      <c r="Y445" s="174">
        <f>Buildings_Water_Frontend[[#This Row],[Meter Reference]]</f>
        <v>0</v>
      </c>
      <c r="Z445" s="220">
        <f>Buildings_Water_Frontend[[#This Row],[Methodology]]</f>
        <v>0</v>
      </c>
      <c r="AA445" s="229" t="e" cm="1">
        <f t="array" ref="AA445">INDEX(_xlfn.SWITCH(Buildings_Water_Backend[[#This Row],[Methodology]],"Tier 1",rng_RSD1,"Tier 2",rng_RSD2,"Tier 3",rng_RSD3),MATCH(_xlfn.CONCAT(Buildings_Water_Backend[[#This Row],[Level 1]:[Level 6]]),rng_LevelsConcat,0))</f>
        <v>#N/A</v>
      </c>
      <c r="AB445" s="224">
        <f>Buildings_Water_Frontend[[#This Row],[Data]]</f>
        <v>0</v>
      </c>
      <c r="AC445" s="174">
        <f>Buildings_Water_Frontend[[#This Row],[Units]]</f>
        <v>0</v>
      </c>
      <c r="AD445" s="220" t="e">
        <f>IF(Buildings_Water_Backend[[#This Row],[Units]]=Buildings_Water_Backend[[#This Row],[Standard units]],Buildings_Water_Backend[[#This Row],[Data]],Buildings_Water_Backend[[#This Row],[Data]]*_xlfn.XLOOKUP(_xlfn.CONCAT(Buildings_Water_Backend[[#This Row],[Level 1]:[Level 6]]),rng_EFConcat,rng_EFConversion))</f>
        <v>#N/A</v>
      </c>
      <c r="AE445" s="174" t="e" cm="1">
        <f t="array" ref="AE445">_xlfn.XLOOKUP(_xlfn.CONCAT(Buildings_Water_Backend[[#This Row],[Level 1]:[Level 6]]),rng_LevelsConcat,rng_UnitsLong)</f>
        <v>#N/A</v>
      </c>
      <c r="AF445" s="210" t="e">
        <f>_xlfn.XLOOKUP(_xlfn.CONCAT(Buildings_Water_Backend[[#This Row],[Level 1]:[Level 6]]),rng_EFConcat,rng_EF1)*Buildings_Water_Backend[[#This Row],[Converted data]]/1000</f>
        <v>#N/A</v>
      </c>
      <c r="AG445" s="210" t="e">
        <f>_xlfn.XLOOKUP(_xlfn.CONCAT(Buildings_Water_Backend[[#This Row],[Level 1]:[Level 6]]),rng_EFConcat,rng_EF2)*Buildings_Water_Backend[[#This Row],[Converted data]]/1000</f>
        <v>#N/A</v>
      </c>
      <c r="AH445" s="210" t="e">
        <f>_xlfn.XLOOKUP(_xlfn.CONCAT(Buildings_Water_Backend[[#This Row],[Level 1]:[Level 6]]),rng_EFConcat,rng_EF3)*Buildings_Water_Backend[[#This Row],[Converted data]]/1000</f>
        <v>#N/A</v>
      </c>
      <c r="AI445" s="210" t="e">
        <f>_xlfn.XLOOKUP(_xlfn.CONCAT(Buildings_Water_Backend[[#This Row],[Level 1]:[Level 6]]),rng_EFConcat,rng_EF3WTT)*Buildings_Water_Backend[[#This Row],[Converted data]]/1000</f>
        <v>#N/A</v>
      </c>
      <c r="AJ445" s="210" t="e">
        <f>_xlfn.XLOOKUP(_xlfn.CONCAT(Buildings_Water_Backend[[#This Row],[Level 1]:[Level 6]]),rng_EFConcat,rng_EF3TD)*Buildings_Water_Backend[[#This Row],[Converted data]]/1000</f>
        <v>#N/A</v>
      </c>
      <c r="AK445" s="210" t="e">
        <f>_xlfn.XLOOKUP(_xlfn.CONCAT(Buildings_Water_Backend[[#This Row],[Level 1]:[Level 6]]),rng_EFConcat,rng_EF3WTTTD)*Buildings_Water_Backend[[#This Row],[Converted data]]/1000</f>
        <v>#N/A</v>
      </c>
      <c r="AL445" s="220" t="e">
        <f>SUM(Buildings_Water_Backend[[#This Row],[Scope 1 (tCO2e)]:[Scope 3 WTT T&amp;D (tCO2e)]])</f>
        <v>#N/A</v>
      </c>
      <c r="AM445" s="220" t="e">
        <f>Buildings_Water_Backend[[#This Row],[Total (tCO2e)]]*(1-Buildings_Water_Backend[[#This Row],[RSD]])</f>
        <v>#N/A</v>
      </c>
      <c r="AN445" s="220" t="e">
        <f>Buildings_Water_Backend[[#This Row],[Total (tCO2e)]]*(1+Buildings_Water_Backend[[#This Row],[RSD]])</f>
        <v>#N/A</v>
      </c>
      <c r="AO445" s="210" t="e">
        <f>_xlfn.XLOOKUP(_xlfn.CONCAT(Buildings_Water_Backend[[#This Row],[Level 1]:[Level 6]]),rng_EFConcat,rng_EFOOS)*Buildings_Water_Backend[[#This Row],[Converted data]]/1000</f>
        <v>#N/A</v>
      </c>
      <c r="AP445" s="174">
        <f>Buildings_Water_Frontend[[#This Row],[Ease of collection]]</f>
        <v>0</v>
      </c>
      <c r="AQ445" s="174">
        <f>Buildings_Water_Frontend[[#This Row],[Completeness]]</f>
        <v>0</v>
      </c>
      <c r="AR445" s="174">
        <f>Buildings_Water_Frontend[[#This Row],[Notes]]</f>
        <v>0</v>
      </c>
    </row>
    <row r="446" spans="5:44" x14ac:dyDescent="0.3">
      <c r="E446" s="346"/>
      <c r="F446" s="364"/>
      <c r="G446" s="336"/>
      <c r="H446" s="336"/>
      <c r="I446" s="334"/>
      <c r="J446" s="336"/>
      <c r="K446" s="336"/>
      <c r="L446" s="336"/>
      <c r="M446" s="337"/>
      <c r="N446" s="242">
        <f t="shared" si="13"/>
        <v>5</v>
      </c>
      <c r="Q446" s="212" t="str">
        <f t="shared" si="12"/>
        <v/>
      </c>
      <c r="R446" s="174" t="s">
        <v>265</v>
      </c>
      <c r="S446" s="174" t="s">
        <v>273</v>
      </c>
      <c r="T446" s="174" t="e">
        <f>_xlfn.XLOOKUP(Buildings_Water_Backend[[#This Row],[Info 1]],Buildings_SiteInfo[Site name],Buildings_SiteInfo[Site type])</f>
        <v>#N/A</v>
      </c>
      <c r="U446" s="174" t="s">
        <v>327</v>
      </c>
      <c r="V446" s="174">
        <f>Buildings_Water_Frontend[[#This Row],[Type]]</f>
        <v>0</v>
      </c>
      <c r="W446" s="174" t="e" cm="1">
        <f t="array" aca="1" ref="W446" ca="1">_xlfn.XLOOKUP(Buildings_Water_Backend[[#This Row],[Level 5]],rng_Level5Long,rng_Level6Long)</f>
        <v>#N/A</v>
      </c>
      <c r="X446" s="174">
        <f>Buildings_Water_Frontend[[#This Row],[Site Name]]</f>
        <v>0</v>
      </c>
      <c r="Y446" s="174">
        <f>Buildings_Water_Frontend[[#This Row],[Meter Reference]]</f>
        <v>0</v>
      </c>
      <c r="Z446" s="220">
        <f>Buildings_Water_Frontend[[#This Row],[Methodology]]</f>
        <v>0</v>
      </c>
      <c r="AA446" s="229" t="e" cm="1">
        <f t="array" ref="AA446">INDEX(_xlfn.SWITCH(Buildings_Water_Backend[[#This Row],[Methodology]],"Tier 1",rng_RSD1,"Tier 2",rng_RSD2,"Tier 3",rng_RSD3),MATCH(_xlfn.CONCAT(Buildings_Water_Backend[[#This Row],[Level 1]:[Level 6]]),rng_LevelsConcat,0))</f>
        <v>#N/A</v>
      </c>
      <c r="AB446" s="224">
        <f>Buildings_Water_Frontend[[#This Row],[Data]]</f>
        <v>0</v>
      </c>
      <c r="AC446" s="174">
        <f>Buildings_Water_Frontend[[#This Row],[Units]]</f>
        <v>0</v>
      </c>
      <c r="AD446" s="220" t="e">
        <f>IF(Buildings_Water_Backend[[#This Row],[Units]]=Buildings_Water_Backend[[#This Row],[Standard units]],Buildings_Water_Backend[[#This Row],[Data]],Buildings_Water_Backend[[#This Row],[Data]]*_xlfn.XLOOKUP(_xlfn.CONCAT(Buildings_Water_Backend[[#This Row],[Level 1]:[Level 6]]),rng_EFConcat,rng_EFConversion))</f>
        <v>#N/A</v>
      </c>
      <c r="AE446" s="174" t="e" cm="1">
        <f t="array" ref="AE446">_xlfn.XLOOKUP(_xlfn.CONCAT(Buildings_Water_Backend[[#This Row],[Level 1]:[Level 6]]),rng_LevelsConcat,rng_UnitsLong)</f>
        <v>#N/A</v>
      </c>
      <c r="AF446" s="210" t="e">
        <f>_xlfn.XLOOKUP(_xlfn.CONCAT(Buildings_Water_Backend[[#This Row],[Level 1]:[Level 6]]),rng_EFConcat,rng_EF1)*Buildings_Water_Backend[[#This Row],[Converted data]]/1000</f>
        <v>#N/A</v>
      </c>
      <c r="AG446" s="210" t="e">
        <f>_xlfn.XLOOKUP(_xlfn.CONCAT(Buildings_Water_Backend[[#This Row],[Level 1]:[Level 6]]),rng_EFConcat,rng_EF2)*Buildings_Water_Backend[[#This Row],[Converted data]]/1000</f>
        <v>#N/A</v>
      </c>
      <c r="AH446" s="210" t="e">
        <f>_xlfn.XLOOKUP(_xlfn.CONCAT(Buildings_Water_Backend[[#This Row],[Level 1]:[Level 6]]),rng_EFConcat,rng_EF3)*Buildings_Water_Backend[[#This Row],[Converted data]]/1000</f>
        <v>#N/A</v>
      </c>
      <c r="AI446" s="210" t="e">
        <f>_xlfn.XLOOKUP(_xlfn.CONCAT(Buildings_Water_Backend[[#This Row],[Level 1]:[Level 6]]),rng_EFConcat,rng_EF3WTT)*Buildings_Water_Backend[[#This Row],[Converted data]]/1000</f>
        <v>#N/A</v>
      </c>
      <c r="AJ446" s="210" t="e">
        <f>_xlfn.XLOOKUP(_xlfn.CONCAT(Buildings_Water_Backend[[#This Row],[Level 1]:[Level 6]]),rng_EFConcat,rng_EF3TD)*Buildings_Water_Backend[[#This Row],[Converted data]]/1000</f>
        <v>#N/A</v>
      </c>
      <c r="AK446" s="210" t="e">
        <f>_xlfn.XLOOKUP(_xlfn.CONCAT(Buildings_Water_Backend[[#This Row],[Level 1]:[Level 6]]),rng_EFConcat,rng_EF3WTTTD)*Buildings_Water_Backend[[#This Row],[Converted data]]/1000</f>
        <v>#N/A</v>
      </c>
      <c r="AL446" s="220" t="e">
        <f>SUM(Buildings_Water_Backend[[#This Row],[Scope 1 (tCO2e)]:[Scope 3 WTT T&amp;D (tCO2e)]])</f>
        <v>#N/A</v>
      </c>
      <c r="AM446" s="220" t="e">
        <f>Buildings_Water_Backend[[#This Row],[Total (tCO2e)]]*(1-Buildings_Water_Backend[[#This Row],[RSD]])</f>
        <v>#N/A</v>
      </c>
      <c r="AN446" s="220" t="e">
        <f>Buildings_Water_Backend[[#This Row],[Total (tCO2e)]]*(1+Buildings_Water_Backend[[#This Row],[RSD]])</f>
        <v>#N/A</v>
      </c>
      <c r="AO446" s="210" t="e">
        <f>_xlfn.XLOOKUP(_xlfn.CONCAT(Buildings_Water_Backend[[#This Row],[Level 1]:[Level 6]]),rng_EFConcat,rng_EFOOS)*Buildings_Water_Backend[[#This Row],[Converted data]]/1000</f>
        <v>#N/A</v>
      </c>
      <c r="AP446" s="174">
        <f>Buildings_Water_Frontend[[#This Row],[Ease of collection]]</f>
        <v>0</v>
      </c>
      <c r="AQ446" s="174">
        <f>Buildings_Water_Frontend[[#This Row],[Completeness]]</f>
        <v>0</v>
      </c>
      <c r="AR446" s="174">
        <f>Buildings_Water_Frontend[[#This Row],[Notes]]</f>
        <v>0</v>
      </c>
    </row>
    <row r="447" spans="5:44" x14ac:dyDescent="0.3">
      <c r="E447" s="346"/>
      <c r="F447" s="364"/>
      <c r="G447" s="336"/>
      <c r="H447" s="336"/>
      <c r="I447" s="334"/>
      <c r="J447" s="336"/>
      <c r="K447" s="336"/>
      <c r="L447" s="336"/>
      <c r="M447" s="337"/>
      <c r="N447" s="242">
        <f t="shared" si="13"/>
        <v>5</v>
      </c>
      <c r="Q447" s="212" t="str">
        <f t="shared" si="12"/>
        <v/>
      </c>
      <c r="R447" s="174" t="s">
        <v>265</v>
      </c>
      <c r="S447" s="174" t="s">
        <v>273</v>
      </c>
      <c r="T447" s="174" t="e">
        <f>_xlfn.XLOOKUP(Buildings_Water_Backend[[#This Row],[Info 1]],Buildings_SiteInfo[Site name],Buildings_SiteInfo[Site type])</f>
        <v>#N/A</v>
      </c>
      <c r="U447" s="174" t="s">
        <v>327</v>
      </c>
      <c r="V447" s="174">
        <f>Buildings_Water_Frontend[[#This Row],[Type]]</f>
        <v>0</v>
      </c>
      <c r="W447" s="174" t="e" cm="1">
        <f t="array" aca="1" ref="W447" ca="1">_xlfn.XLOOKUP(Buildings_Water_Backend[[#This Row],[Level 5]],rng_Level5Long,rng_Level6Long)</f>
        <v>#N/A</v>
      </c>
      <c r="X447" s="174">
        <f>Buildings_Water_Frontend[[#This Row],[Site Name]]</f>
        <v>0</v>
      </c>
      <c r="Y447" s="174">
        <f>Buildings_Water_Frontend[[#This Row],[Meter Reference]]</f>
        <v>0</v>
      </c>
      <c r="Z447" s="220">
        <f>Buildings_Water_Frontend[[#This Row],[Methodology]]</f>
        <v>0</v>
      </c>
      <c r="AA447" s="229" t="e" cm="1">
        <f t="array" ref="AA447">INDEX(_xlfn.SWITCH(Buildings_Water_Backend[[#This Row],[Methodology]],"Tier 1",rng_RSD1,"Tier 2",rng_RSD2,"Tier 3",rng_RSD3),MATCH(_xlfn.CONCAT(Buildings_Water_Backend[[#This Row],[Level 1]:[Level 6]]),rng_LevelsConcat,0))</f>
        <v>#N/A</v>
      </c>
      <c r="AB447" s="224">
        <f>Buildings_Water_Frontend[[#This Row],[Data]]</f>
        <v>0</v>
      </c>
      <c r="AC447" s="174">
        <f>Buildings_Water_Frontend[[#This Row],[Units]]</f>
        <v>0</v>
      </c>
      <c r="AD447" s="220" t="e">
        <f>IF(Buildings_Water_Backend[[#This Row],[Units]]=Buildings_Water_Backend[[#This Row],[Standard units]],Buildings_Water_Backend[[#This Row],[Data]],Buildings_Water_Backend[[#This Row],[Data]]*_xlfn.XLOOKUP(_xlfn.CONCAT(Buildings_Water_Backend[[#This Row],[Level 1]:[Level 6]]),rng_EFConcat,rng_EFConversion))</f>
        <v>#N/A</v>
      </c>
      <c r="AE447" s="174" t="e" cm="1">
        <f t="array" ref="AE447">_xlfn.XLOOKUP(_xlfn.CONCAT(Buildings_Water_Backend[[#This Row],[Level 1]:[Level 6]]),rng_LevelsConcat,rng_UnitsLong)</f>
        <v>#N/A</v>
      </c>
      <c r="AF447" s="210" t="e">
        <f>_xlfn.XLOOKUP(_xlfn.CONCAT(Buildings_Water_Backend[[#This Row],[Level 1]:[Level 6]]),rng_EFConcat,rng_EF1)*Buildings_Water_Backend[[#This Row],[Converted data]]/1000</f>
        <v>#N/A</v>
      </c>
      <c r="AG447" s="210" t="e">
        <f>_xlfn.XLOOKUP(_xlfn.CONCAT(Buildings_Water_Backend[[#This Row],[Level 1]:[Level 6]]),rng_EFConcat,rng_EF2)*Buildings_Water_Backend[[#This Row],[Converted data]]/1000</f>
        <v>#N/A</v>
      </c>
      <c r="AH447" s="210" t="e">
        <f>_xlfn.XLOOKUP(_xlfn.CONCAT(Buildings_Water_Backend[[#This Row],[Level 1]:[Level 6]]),rng_EFConcat,rng_EF3)*Buildings_Water_Backend[[#This Row],[Converted data]]/1000</f>
        <v>#N/A</v>
      </c>
      <c r="AI447" s="210" t="e">
        <f>_xlfn.XLOOKUP(_xlfn.CONCAT(Buildings_Water_Backend[[#This Row],[Level 1]:[Level 6]]),rng_EFConcat,rng_EF3WTT)*Buildings_Water_Backend[[#This Row],[Converted data]]/1000</f>
        <v>#N/A</v>
      </c>
      <c r="AJ447" s="210" t="e">
        <f>_xlfn.XLOOKUP(_xlfn.CONCAT(Buildings_Water_Backend[[#This Row],[Level 1]:[Level 6]]),rng_EFConcat,rng_EF3TD)*Buildings_Water_Backend[[#This Row],[Converted data]]/1000</f>
        <v>#N/A</v>
      </c>
      <c r="AK447" s="210" t="e">
        <f>_xlfn.XLOOKUP(_xlfn.CONCAT(Buildings_Water_Backend[[#This Row],[Level 1]:[Level 6]]),rng_EFConcat,rng_EF3WTTTD)*Buildings_Water_Backend[[#This Row],[Converted data]]/1000</f>
        <v>#N/A</v>
      </c>
      <c r="AL447" s="220" t="e">
        <f>SUM(Buildings_Water_Backend[[#This Row],[Scope 1 (tCO2e)]:[Scope 3 WTT T&amp;D (tCO2e)]])</f>
        <v>#N/A</v>
      </c>
      <c r="AM447" s="220" t="e">
        <f>Buildings_Water_Backend[[#This Row],[Total (tCO2e)]]*(1-Buildings_Water_Backend[[#This Row],[RSD]])</f>
        <v>#N/A</v>
      </c>
      <c r="AN447" s="220" t="e">
        <f>Buildings_Water_Backend[[#This Row],[Total (tCO2e)]]*(1+Buildings_Water_Backend[[#This Row],[RSD]])</f>
        <v>#N/A</v>
      </c>
      <c r="AO447" s="210" t="e">
        <f>_xlfn.XLOOKUP(_xlfn.CONCAT(Buildings_Water_Backend[[#This Row],[Level 1]:[Level 6]]),rng_EFConcat,rng_EFOOS)*Buildings_Water_Backend[[#This Row],[Converted data]]/1000</f>
        <v>#N/A</v>
      </c>
      <c r="AP447" s="174">
        <f>Buildings_Water_Frontend[[#This Row],[Ease of collection]]</f>
        <v>0</v>
      </c>
      <c r="AQ447" s="174">
        <f>Buildings_Water_Frontend[[#This Row],[Completeness]]</f>
        <v>0</v>
      </c>
      <c r="AR447" s="174">
        <f>Buildings_Water_Frontend[[#This Row],[Notes]]</f>
        <v>0</v>
      </c>
    </row>
    <row r="448" spans="5:44" x14ac:dyDescent="0.3">
      <c r="E448" s="346"/>
      <c r="F448" s="364"/>
      <c r="G448" s="336"/>
      <c r="H448" s="336"/>
      <c r="I448" s="334"/>
      <c r="J448" s="336"/>
      <c r="K448" s="336"/>
      <c r="L448" s="336"/>
      <c r="M448" s="337"/>
      <c r="N448" s="242">
        <f t="shared" si="13"/>
        <v>5</v>
      </c>
      <c r="Q448" s="212" t="str">
        <f t="shared" si="12"/>
        <v/>
      </c>
      <c r="R448" s="174" t="s">
        <v>265</v>
      </c>
      <c r="S448" s="174" t="s">
        <v>273</v>
      </c>
      <c r="T448" s="174" t="e">
        <f>_xlfn.XLOOKUP(Buildings_Water_Backend[[#This Row],[Info 1]],Buildings_SiteInfo[Site name],Buildings_SiteInfo[Site type])</f>
        <v>#N/A</v>
      </c>
      <c r="U448" s="174" t="s">
        <v>327</v>
      </c>
      <c r="V448" s="174">
        <f>Buildings_Water_Frontend[[#This Row],[Type]]</f>
        <v>0</v>
      </c>
      <c r="W448" s="174" t="e" cm="1">
        <f t="array" aca="1" ref="W448" ca="1">_xlfn.XLOOKUP(Buildings_Water_Backend[[#This Row],[Level 5]],rng_Level5Long,rng_Level6Long)</f>
        <v>#N/A</v>
      </c>
      <c r="X448" s="174">
        <f>Buildings_Water_Frontend[[#This Row],[Site Name]]</f>
        <v>0</v>
      </c>
      <c r="Y448" s="174">
        <f>Buildings_Water_Frontend[[#This Row],[Meter Reference]]</f>
        <v>0</v>
      </c>
      <c r="Z448" s="220">
        <f>Buildings_Water_Frontend[[#This Row],[Methodology]]</f>
        <v>0</v>
      </c>
      <c r="AA448" s="229" t="e" cm="1">
        <f t="array" ref="AA448">INDEX(_xlfn.SWITCH(Buildings_Water_Backend[[#This Row],[Methodology]],"Tier 1",rng_RSD1,"Tier 2",rng_RSD2,"Tier 3",rng_RSD3),MATCH(_xlfn.CONCAT(Buildings_Water_Backend[[#This Row],[Level 1]:[Level 6]]),rng_LevelsConcat,0))</f>
        <v>#N/A</v>
      </c>
      <c r="AB448" s="224">
        <f>Buildings_Water_Frontend[[#This Row],[Data]]</f>
        <v>0</v>
      </c>
      <c r="AC448" s="174">
        <f>Buildings_Water_Frontend[[#This Row],[Units]]</f>
        <v>0</v>
      </c>
      <c r="AD448" s="220" t="e">
        <f>IF(Buildings_Water_Backend[[#This Row],[Units]]=Buildings_Water_Backend[[#This Row],[Standard units]],Buildings_Water_Backend[[#This Row],[Data]],Buildings_Water_Backend[[#This Row],[Data]]*_xlfn.XLOOKUP(_xlfn.CONCAT(Buildings_Water_Backend[[#This Row],[Level 1]:[Level 6]]),rng_EFConcat,rng_EFConversion))</f>
        <v>#N/A</v>
      </c>
      <c r="AE448" s="174" t="e" cm="1">
        <f t="array" ref="AE448">_xlfn.XLOOKUP(_xlfn.CONCAT(Buildings_Water_Backend[[#This Row],[Level 1]:[Level 6]]),rng_LevelsConcat,rng_UnitsLong)</f>
        <v>#N/A</v>
      </c>
      <c r="AF448" s="210" t="e">
        <f>_xlfn.XLOOKUP(_xlfn.CONCAT(Buildings_Water_Backend[[#This Row],[Level 1]:[Level 6]]),rng_EFConcat,rng_EF1)*Buildings_Water_Backend[[#This Row],[Converted data]]/1000</f>
        <v>#N/A</v>
      </c>
      <c r="AG448" s="210" t="e">
        <f>_xlfn.XLOOKUP(_xlfn.CONCAT(Buildings_Water_Backend[[#This Row],[Level 1]:[Level 6]]),rng_EFConcat,rng_EF2)*Buildings_Water_Backend[[#This Row],[Converted data]]/1000</f>
        <v>#N/A</v>
      </c>
      <c r="AH448" s="210" t="e">
        <f>_xlfn.XLOOKUP(_xlfn.CONCAT(Buildings_Water_Backend[[#This Row],[Level 1]:[Level 6]]),rng_EFConcat,rng_EF3)*Buildings_Water_Backend[[#This Row],[Converted data]]/1000</f>
        <v>#N/A</v>
      </c>
      <c r="AI448" s="210" t="e">
        <f>_xlfn.XLOOKUP(_xlfn.CONCAT(Buildings_Water_Backend[[#This Row],[Level 1]:[Level 6]]),rng_EFConcat,rng_EF3WTT)*Buildings_Water_Backend[[#This Row],[Converted data]]/1000</f>
        <v>#N/A</v>
      </c>
      <c r="AJ448" s="210" t="e">
        <f>_xlfn.XLOOKUP(_xlfn.CONCAT(Buildings_Water_Backend[[#This Row],[Level 1]:[Level 6]]),rng_EFConcat,rng_EF3TD)*Buildings_Water_Backend[[#This Row],[Converted data]]/1000</f>
        <v>#N/A</v>
      </c>
      <c r="AK448" s="210" t="e">
        <f>_xlfn.XLOOKUP(_xlfn.CONCAT(Buildings_Water_Backend[[#This Row],[Level 1]:[Level 6]]),rng_EFConcat,rng_EF3WTTTD)*Buildings_Water_Backend[[#This Row],[Converted data]]/1000</f>
        <v>#N/A</v>
      </c>
      <c r="AL448" s="220" t="e">
        <f>SUM(Buildings_Water_Backend[[#This Row],[Scope 1 (tCO2e)]:[Scope 3 WTT T&amp;D (tCO2e)]])</f>
        <v>#N/A</v>
      </c>
      <c r="AM448" s="220" t="e">
        <f>Buildings_Water_Backend[[#This Row],[Total (tCO2e)]]*(1-Buildings_Water_Backend[[#This Row],[RSD]])</f>
        <v>#N/A</v>
      </c>
      <c r="AN448" s="220" t="e">
        <f>Buildings_Water_Backend[[#This Row],[Total (tCO2e)]]*(1+Buildings_Water_Backend[[#This Row],[RSD]])</f>
        <v>#N/A</v>
      </c>
      <c r="AO448" s="210" t="e">
        <f>_xlfn.XLOOKUP(_xlfn.CONCAT(Buildings_Water_Backend[[#This Row],[Level 1]:[Level 6]]),rng_EFConcat,rng_EFOOS)*Buildings_Water_Backend[[#This Row],[Converted data]]/1000</f>
        <v>#N/A</v>
      </c>
      <c r="AP448" s="174">
        <f>Buildings_Water_Frontend[[#This Row],[Ease of collection]]</f>
        <v>0</v>
      </c>
      <c r="AQ448" s="174">
        <f>Buildings_Water_Frontend[[#This Row],[Completeness]]</f>
        <v>0</v>
      </c>
      <c r="AR448" s="174">
        <f>Buildings_Water_Frontend[[#This Row],[Notes]]</f>
        <v>0</v>
      </c>
    </row>
    <row r="449" spans="5:44" x14ac:dyDescent="0.3">
      <c r="E449" s="346"/>
      <c r="F449" s="364"/>
      <c r="G449" s="336"/>
      <c r="H449" s="336"/>
      <c r="I449" s="334"/>
      <c r="J449" s="336"/>
      <c r="K449" s="336"/>
      <c r="L449" s="336"/>
      <c r="M449" s="337"/>
      <c r="N449" s="242">
        <f t="shared" si="13"/>
        <v>5</v>
      </c>
      <c r="Q449" s="212" t="str">
        <f t="shared" si="12"/>
        <v/>
      </c>
      <c r="R449" s="174" t="s">
        <v>265</v>
      </c>
      <c r="S449" s="174" t="s">
        <v>273</v>
      </c>
      <c r="T449" s="174" t="e">
        <f>_xlfn.XLOOKUP(Buildings_Water_Backend[[#This Row],[Info 1]],Buildings_SiteInfo[Site name],Buildings_SiteInfo[Site type])</f>
        <v>#N/A</v>
      </c>
      <c r="U449" s="174" t="s">
        <v>327</v>
      </c>
      <c r="V449" s="174">
        <f>Buildings_Water_Frontend[[#This Row],[Type]]</f>
        <v>0</v>
      </c>
      <c r="W449" s="174" t="e" cm="1">
        <f t="array" aca="1" ref="W449" ca="1">_xlfn.XLOOKUP(Buildings_Water_Backend[[#This Row],[Level 5]],rng_Level5Long,rng_Level6Long)</f>
        <v>#N/A</v>
      </c>
      <c r="X449" s="174">
        <f>Buildings_Water_Frontend[[#This Row],[Site Name]]</f>
        <v>0</v>
      </c>
      <c r="Y449" s="174">
        <f>Buildings_Water_Frontend[[#This Row],[Meter Reference]]</f>
        <v>0</v>
      </c>
      <c r="Z449" s="220">
        <f>Buildings_Water_Frontend[[#This Row],[Methodology]]</f>
        <v>0</v>
      </c>
      <c r="AA449" s="229" t="e" cm="1">
        <f t="array" ref="AA449">INDEX(_xlfn.SWITCH(Buildings_Water_Backend[[#This Row],[Methodology]],"Tier 1",rng_RSD1,"Tier 2",rng_RSD2,"Tier 3",rng_RSD3),MATCH(_xlfn.CONCAT(Buildings_Water_Backend[[#This Row],[Level 1]:[Level 6]]),rng_LevelsConcat,0))</f>
        <v>#N/A</v>
      </c>
      <c r="AB449" s="224">
        <f>Buildings_Water_Frontend[[#This Row],[Data]]</f>
        <v>0</v>
      </c>
      <c r="AC449" s="174">
        <f>Buildings_Water_Frontend[[#This Row],[Units]]</f>
        <v>0</v>
      </c>
      <c r="AD449" s="220" t="e">
        <f>IF(Buildings_Water_Backend[[#This Row],[Units]]=Buildings_Water_Backend[[#This Row],[Standard units]],Buildings_Water_Backend[[#This Row],[Data]],Buildings_Water_Backend[[#This Row],[Data]]*_xlfn.XLOOKUP(_xlfn.CONCAT(Buildings_Water_Backend[[#This Row],[Level 1]:[Level 6]]),rng_EFConcat,rng_EFConversion))</f>
        <v>#N/A</v>
      </c>
      <c r="AE449" s="174" t="e" cm="1">
        <f t="array" ref="AE449">_xlfn.XLOOKUP(_xlfn.CONCAT(Buildings_Water_Backend[[#This Row],[Level 1]:[Level 6]]),rng_LevelsConcat,rng_UnitsLong)</f>
        <v>#N/A</v>
      </c>
      <c r="AF449" s="210" t="e">
        <f>_xlfn.XLOOKUP(_xlfn.CONCAT(Buildings_Water_Backend[[#This Row],[Level 1]:[Level 6]]),rng_EFConcat,rng_EF1)*Buildings_Water_Backend[[#This Row],[Converted data]]/1000</f>
        <v>#N/A</v>
      </c>
      <c r="AG449" s="210" t="e">
        <f>_xlfn.XLOOKUP(_xlfn.CONCAT(Buildings_Water_Backend[[#This Row],[Level 1]:[Level 6]]),rng_EFConcat,rng_EF2)*Buildings_Water_Backend[[#This Row],[Converted data]]/1000</f>
        <v>#N/A</v>
      </c>
      <c r="AH449" s="210" t="e">
        <f>_xlfn.XLOOKUP(_xlfn.CONCAT(Buildings_Water_Backend[[#This Row],[Level 1]:[Level 6]]),rng_EFConcat,rng_EF3)*Buildings_Water_Backend[[#This Row],[Converted data]]/1000</f>
        <v>#N/A</v>
      </c>
      <c r="AI449" s="210" t="e">
        <f>_xlfn.XLOOKUP(_xlfn.CONCAT(Buildings_Water_Backend[[#This Row],[Level 1]:[Level 6]]),rng_EFConcat,rng_EF3WTT)*Buildings_Water_Backend[[#This Row],[Converted data]]/1000</f>
        <v>#N/A</v>
      </c>
      <c r="AJ449" s="210" t="e">
        <f>_xlfn.XLOOKUP(_xlfn.CONCAT(Buildings_Water_Backend[[#This Row],[Level 1]:[Level 6]]),rng_EFConcat,rng_EF3TD)*Buildings_Water_Backend[[#This Row],[Converted data]]/1000</f>
        <v>#N/A</v>
      </c>
      <c r="AK449" s="210" t="e">
        <f>_xlfn.XLOOKUP(_xlfn.CONCAT(Buildings_Water_Backend[[#This Row],[Level 1]:[Level 6]]),rng_EFConcat,rng_EF3WTTTD)*Buildings_Water_Backend[[#This Row],[Converted data]]/1000</f>
        <v>#N/A</v>
      </c>
      <c r="AL449" s="220" t="e">
        <f>SUM(Buildings_Water_Backend[[#This Row],[Scope 1 (tCO2e)]:[Scope 3 WTT T&amp;D (tCO2e)]])</f>
        <v>#N/A</v>
      </c>
      <c r="AM449" s="220" t="e">
        <f>Buildings_Water_Backend[[#This Row],[Total (tCO2e)]]*(1-Buildings_Water_Backend[[#This Row],[RSD]])</f>
        <v>#N/A</v>
      </c>
      <c r="AN449" s="220" t="e">
        <f>Buildings_Water_Backend[[#This Row],[Total (tCO2e)]]*(1+Buildings_Water_Backend[[#This Row],[RSD]])</f>
        <v>#N/A</v>
      </c>
      <c r="AO449" s="210" t="e">
        <f>_xlfn.XLOOKUP(_xlfn.CONCAT(Buildings_Water_Backend[[#This Row],[Level 1]:[Level 6]]),rng_EFConcat,rng_EFOOS)*Buildings_Water_Backend[[#This Row],[Converted data]]/1000</f>
        <v>#N/A</v>
      </c>
      <c r="AP449" s="174">
        <f>Buildings_Water_Frontend[[#This Row],[Ease of collection]]</f>
        <v>0</v>
      </c>
      <c r="AQ449" s="174">
        <f>Buildings_Water_Frontend[[#This Row],[Completeness]]</f>
        <v>0</v>
      </c>
      <c r="AR449" s="174">
        <f>Buildings_Water_Frontend[[#This Row],[Notes]]</f>
        <v>0</v>
      </c>
    </row>
    <row r="450" spans="5:44" x14ac:dyDescent="0.3">
      <c r="E450" s="346"/>
      <c r="F450" s="364"/>
      <c r="G450" s="336"/>
      <c r="H450" s="336"/>
      <c r="I450" s="334"/>
      <c r="J450" s="336"/>
      <c r="K450" s="336"/>
      <c r="L450" s="336"/>
      <c r="M450" s="337"/>
      <c r="N450" s="242">
        <f t="shared" si="13"/>
        <v>5</v>
      </c>
      <c r="Q450" s="212" t="str">
        <f t="shared" si="12"/>
        <v/>
      </c>
      <c r="R450" s="174" t="s">
        <v>265</v>
      </c>
      <c r="S450" s="174" t="s">
        <v>273</v>
      </c>
      <c r="T450" s="174" t="e">
        <f>_xlfn.XLOOKUP(Buildings_Water_Backend[[#This Row],[Info 1]],Buildings_SiteInfo[Site name],Buildings_SiteInfo[Site type])</f>
        <v>#N/A</v>
      </c>
      <c r="U450" s="174" t="s">
        <v>327</v>
      </c>
      <c r="V450" s="174">
        <f>Buildings_Water_Frontend[[#This Row],[Type]]</f>
        <v>0</v>
      </c>
      <c r="W450" s="174" t="e" cm="1">
        <f t="array" aca="1" ref="W450" ca="1">_xlfn.XLOOKUP(Buildings_Water_Backend[[#This Row],[Level 5]],rng_Level5Long,rng_Level6Long)</f>
        <v>#N/A</v>
      </c>
      <c r="X450" s="174">
        <f>Buildings_Water_Frontend[[#This Row],[Site Name]]</f>
        <v>0</v>
      </c>
      <c r="Y450" s="174">
        <f>Buildings_Water_Frontend[[#This Row],[Meter Reference]]</f>
        <v>0</v>
      </c>
      <c r="Z450" s="220">
        <f>Buildings_Water_Frontend[[#This Row],[Methodology]]</f>
        <v>0</v>
      </c>
      <c r="AA450" s="229" t="e" cm="1">
        <f t="array" ref="AA450">INDEX(_xlfn.SWITCH(Buildings_Water_Backend[[#This Row],[Methodology]],"Tier 1",rng_RSD1,"Tier 2",rng_RSD2,"Tier 3",rng_RSD3),MATCH(_xlfn.CONCAT(Buildings_Water_Backend[[#This Row],[Level 1]:[Level 6]]),rng_LevelsConcat,0))</f>
        <v>#N/A</v>
      </c>
      <c r="AB450" s="224">
        <f>Buildings_Water_Frontend[[#This Row],[Data]]</f>
        <v>0</v>
      </c>
      <c r="AC450" s="174">
        <f>Buildings_Water_Frontend[[#This Row],[Units]]</f>
        <v>0</v>
      </c>
      <c r="AD450" s="220" t="e">
        <f>IF(Buildings_Water_Backend[[#This Row],[Units]]=Buildings_Water_Backend[[#This Row],[Standard units]],Buildings_Water_Backend[[#This Row],[Data]],Buildings_Water_Backend[[#This Row],[Data]]*_xlfn.XLOOKUP(_xlfn.CONCAT(Buildings_Water_Backend[[#This Row],[Level 1]:[Level 6]]),rng_EFConcat,rng_EFConversion))</f>
        <v>#N/A</v>
      </c>
      <c r="AE450" s="174" t="e" cm="1">
        <f t="array" ref="AE450">_xlfn.XLOOKUP(_xlfn.CONCAT(Buildings_Water_Backend[[#This Row],[Level 1]:[Level 6]]),rng_LevelsConcat,rng_UnitsLong)</f>
        <v>#N/A</v>
      </c>
      <c r="AF450" s="210" t="e">
        <f>_xlfn.XLOOKUP(_xlfn.CONCAT(Buildings_Water_Backend[[#This Row],[Level 1]:[Level 6]]),rng_EFConcat,rng_EF1)*Buildings_Water_Backend[[#This Row],[Converted data]]/1000</f>
        <v>#N/A</v>
      </c>
      <c r="AG450" s="210" t="e">
        <f>_xlfn.XLOOKUP(_xlfn.CONCAT(Buildings_Water_Backend[[#This Row],[Level 1]:[Level 6]]),rng_EFConcat,rng_EF2)*Buildings_Water_Backend[[#This Row],[Converted data]]/1000</f>
        <v>#N/A</v>
      </c>
      <c r="AH450" s="210" t="e">
        <f>_xlfn.XLOOKUP(_xlfn.CONCAT(Buildings_Water_Backend[[#This Row],[Level 1]:[Level 6]]),rng_EFConcat,rng_EF3)*Buildings_Water_Backend[[#This Row],[Converted data]]/1000</f>
        <v>#N/A</v>
      </c>
      <c r="AI450" s="210" t="e">
        <f>_xlfn.XLOOKUP(_xlfn.CONCAT(Buildings_Water_Backend[[#This Row],[Level 1]:[Level 6]]),rng_EFConcat,rng_EF3WTT)*Buildings_Water_Backend[[#This Row],[Converted data]]/1000</f>
        <v>#N/A</v>
      </c>
      <c r="AJ450" s="210" t="e">
        <f>_xlfn.XLOOKUP(_xlfn.CONCAT(Buildings_Water_Backend[[#This Row],[Level 1]:[Level 6]]),rng_EFConcat,rng_EF3TD)*Buildings_Water_Backend[[#This Row],[Converted data]]/1000</f>
        <v>#N/A</v>
      </c>
      <c r="AK450" s="210" t="e">
        <f>_xlfn.XLOOKUP(_xlfn.CONCAT(Buildings_Water_Backend[[#This Row],[Level 1]:[Level 6]]),rng_EFConcat,rng_EF3WTTTD)*Buildings_Water_Backend[[#This Row],[Converted data]]/1000</f>
        <v>#N/A</v>
      </c>
      <c r="AL450" s="220" t="e">
        <f>SUM(Buildings_Water_Backend[[#This Row],[Scope 1 (tCO2e)]:[Scope 3 WTT T&amp;D (tCO2e)]])</f>
        <v>#N/A</v>
      </c>
      <c r="AM450" s="220" t="e">
        <f>Buildings_Water_Backend[[#This Row],[Total (tCO2e)]]*(1-Buildings_Water_Backend[[#This Row],[RSD]])</f>
        <v>#N/A</v>
      </c>
      <c r="AN450" s="220" t="e">
        <f>Buildings_Water_Backend[[#This Row],[Total (tCO2e)]]*(1+Buildings_Water_Backend[[#This Row],[RSD]])</f>
        <v>#N/A</v>
      </c>
      <c r="AO450" s="210" t="e">
        <f>_xlfn.XLOOKUP(_xlfn.CONCAT(Buildings_Water_Backend[[#This Row],[Level 1]:[Level 6]]),rng_EFConcat,rng_EFOOS)*Buildings_Water_Backend[[#This Row],[Converted data]]/1000</f>
        <v>#N/A</v>
      </c>
      <c r="AP450" s="174">
        <f>Buildings_Water_Frontend[[#This Row],[Ease of collection]]</f>
        <v>0</v>
      </c>
      <c r="AQ450" s="174">
        <f>Buildings_Water_Frontend[[#This Row],[Completeness]]</f>
        <v>0</v>
      </c>
      <c r="AR450" s="174">
        <f>Buildings_Water_Frontend[[#This Row],[Notes]]</f>
        <v>0</v>
      </c>
    </row>
    <row r="451" spans="5:44" x14ac:dyDescent="0.3">
      <c r="E451" s="346"/>
      <c r="F451" s="364"/>
      <c r="G451" s="336"/>
      <c r="H451" s="336"/>
      <c r="I451" s="334"/>
      <c r="J451" s="336"/>
      <c r="K451" s="336"/>
      <c r="L451" s="336"/>
      <c r="M451" s="337"/>
      <c r="N451" s="242">
        <f t="shared" si="13"/>
        <v>5</v>
      </c>
      <c r="Q451" s="212" t="str">
        <f t="shared" si="12"/>
        <v/>
      </c>
      <c r="R451" s="174" t="s">
        <v>265</v>
      </c>
      <c r="S451" s="174" t="s">
        <v>273</v>
      </c>
      <c r="T451" s="174" t="e">
        <f>_xlfn.XLOOKUP(Buildings_Water_Backend[[#This Row],[Info 1]],Buildings_SiteInfo[Site name],Buildings_SiteInfo[Site type])</f>
        <v>#N/A</v>
      </c>
      <c r="U451" s="174" t="s">
        <v>327</v>
      </c>
      <c r="V451" s="174">
        <f>Buildings_Water_Frontend[[#This Row],[Type]]</f>
        <v>0</v>
      </c>
      <c r="W451" s="174" t="e" cm="1">
        <f t="array" aca="1" ref="W451" ca="1">_xlfn.XLOOKUP(Buildings_Water_Backend[[#This Row],[Level 5]],rng_Level5Long,rng_Level6Long)</f>
        <v>#N/A</v>
      </c>
      <c r="X451" s="174">
        <f>Buildings_Water_Frontend[[#This Row],[Site Name]]</f>
        <v>0</v>
      </c>
      <c r="Y451" s="174">
        <f>Buildings_Water_Frontend[[#This Row],[Meter Reference]]</f>
        <v>0</v>
      </c>
      <c r="Z451" s="220">
        <f>Buildings_Water_Frontend[[#This Row],[Methodology]]</f>
        <v>0</v>
      </c>
      <c r="AA451" s="229" t="e" cm="1">
        <f t="array" ref="AA451">INDEX(_xlfn.SWITCH(Buildings_Water_Backend[[#This Row],[Methodology]],"Tier 1",rng_RSD1,"Tier 2",rng_RSD2,"Tier 3",rng_RSD3),MATCH(_xlfn.CONCAT(Buildings_Water_Backend[[#This Row],[Level 1]:[Level 6]]),rng_LevelsConcat,0))</f>
        <v>#N/A</v>
      </c>
      <c r="AB451" s="224">
        <f>Buildings_Water_Frontend[[#This Row],[Data]]</f>
        <v>0</v>
      </c>
      <c r="AC451" s="174">
        <f>Buildings_Water_Frontend[[#This Row],[Units]]</f>
        <v>0</v>
      </c>
      <c r="AD451" s="220" t="e">
        <f>IF(Buildings_Water_Backend[[#This Row],[Units]]=Buildings_Water_Backend[[#This Row],[Standard units]],Buildings_Water_Backend[[#This Row],[Data]],Buildings_Water_Backend[[#This Row],[Data]]*_xlfn.XLOOKUP(_xlfn.CONCAT(Buildings_Water_Backend[[#This Row],[Level 1]:[Level 6]]),rng_EFConcat,rng_EFConversion))</f>
        <v>#N/A</v>
      </c>
      <c r="AE451" s="174" t="e" cm="1">
        <f t="array" ref="AE451">_xlfn.XLOOKUP(_xlfn.CONCAT(Buildings_Water_Backend[[#This Row],[Level 1]:[Level 6]]),rng_LevelsConcat,rng_UnitsLong)</f>
        <v>#N/A</v>
      </c>
      <c r="AF451" s="210" t="e">
        <f>_xlfn.XLOOKUP(_xlfn.CONCAT(Buildings_Water_Backend[[#This Row],[Level 1]:[Level 6]]),rng_EFConcat,rng_EF1)*Buildings_Water_Backend[[#This Row],[Converted data]]/1000</f>
        <v>#N/A</v>
      </c>
      <c r="AG451" s="210" t="e">
        <f>_xlfn.XLOOKUP(_xlfn.CONCAT(Buildings_Water_Backend[[#This Row],[Level 1]:[Level 6]]),rng_EFConcat,rng_EF2)*Buildings_Water_Backend[[#This Row],[Converted data]]/1000</f>
        <v>#N/A</v>
      </c>
      <c r="AH451" s="210" t="e">
        <f>_xlfn.XLOOKUP(_xlfn.CONCAT(Buildings_Water_Backend[[#This Row],[Level 1]:[Level 6]]),rng_EFConcat,rng_EF3)*Buildings_Water_Backend[[#This Row],[Converted data]]/1000</f>
        <v>#N/A</v>
      </c>
      <c r="AI451" s="210" t="e">
        <f>_xlfn.XLOOKUP(_xlfn.CONCAT(Buildings_Water_Backend[[#This Row],[Level 1]:[Level 6]]),rng_EFConcat,rng_EF3WTT)*Buildings_Water_Backend[[#This Row],[Converted data]]/1000</f>
        <v>#N/A</v>
      </c>
      <c r="AJ451" s="210" t="e">
        <f>_xlfn.XLOOKUP(_xlfn.CONCAT(Buildings_Water_Backend[[#This Row],[Level 1]:[Level 6]]),rng_EFConcat,rng_EF3TD)*Buildings_Water_Backend[[#This Row],[Converted data]]/1000</f>
        <v>#N/A</v>
      </c>
      <c r="AK451" s="210" t="e">
        <f>_xlfn.XLOOKUP(_xlfn.CONCAT(Buildings_Water_Backend[[#This Row],[Level 1]:[Level 6]]),rng_EFConcat,rng_EF3WTTTD)*Buildings_Water_Backend[[#This Row],[Converted data]]/1000</f>
        <v>#N/A</v>
      </c>
      <c r="AL451" s="220" t="e">
        <f>SUM(Buildings_Water_Backend[[#This Row],[Scope 1 (tCO2e)]:[Scope 3 WTT T&amp;D (tCO2e)]])</f>
        <v>#N/A</v>
      </c>
      <c r="AM451" s="220" t="e">
        <f>Buildings_Water_Backend[[#This Row],[Total (tCO2e)]]*(1-Buildings_Water_Backend[[#This Row],[RSD]])</f>
        <v>#N/A</v>
      </c>
      <c r="AN451" s="220" t="e">
        <f>Buildings_Water_Backend[[#This Row],[Total (tCO2e)]]*(1+Buildings_Water_Backend[[#This Row],[RSD]])</f>
        <v>#N/A</v>
      </c>
      <c r="AO451" s="210" t="e">
        <f>_xlfn.XLOOKUP(_xlfn.CONCAT(Buildings_Water_Backend[[#This Row],[Level 1]:[Level 6]]),rng_EFConcat,rng_EFOOS)*Buildings_Water_Backend[[#This Row],[Converted data]]/1000</f>
        <v>#N/A</v>
      </c>
      <c r="AP451" s="174">
        <f>Buildings_Water_Frontend[[#This Row],[Ease of collection]]</f>
        <v>0</v>
      </c>
      <c r="AQ451" s="174">
        <f>Buildings_Water_Frontend[[#This Row],[Completeness]]</f>
        <v>0</v>
      </c>
      <c r="AR451" s="174">
        <f>Buildings_Water_Frontend[[#This Row],[Notes]]</f>
        <v>0</v>
      </c>
    </row>
    <row r="452" spans="5:44" x14ac:dyDescent="0.3">
      <c r="E452" s="346"/>
      <c r="F452" s="364"/>
      <c r="G452" s="336"/>
      <c r="H452" s="336"/>
      <c r="I452" s="334"/>
      <c r="J452" s="336"/>
      <c r="K452" s="336"/>
      <c r="L452" s="336"/>
      <c r="M452" s="337"/>
      <c r="N452" s="242">
        <f t="shared" si="13"/>
        <v>5</v>
      </c>
      <c r="Q452" s="212" t="str">
        <f t="shared" si="12"/>
        <v/>
      </c>
      <c r="R452" s="174" t="s">
        <v>265</v>
      </c>
      <c r="S452" s="174" t="s">
        <v>273</v>
      </c>
      <c r="T452" s="174" t="e">
        <f>_xlfn.XLOOKUP(Buildings_Water_Backend[[#This Row],[Info 1]],Buildings_SiteInfo[Site name],Buildings_SiteInfo[Site type])</f>
        <v>#N/A</v>
      </c>
      <c r="U452" s="174" t="s">
        <v>327</v>
      </c>
      <c r="V452" s="174">
        <f>Buildings_Water_Frontend[[#This Row],[Type]]</f>
        <v>0</v>
      </c>
      <c r="W452" s="174" t="e" cm="1">
        <f t="array" aca="1" ref="W452" ca="1">_xlfn.XLOOKUP(Buildings_Water_Backend[[#This Row],[Level 5]],rng_Level5Long,rng_Level6Long)</f>
        <v>#N/A</v>
      </c>
      <c r="X452" s="174">
        <f>Buildings_Water_Frontend[[#This Row],[Site Name]]</f>
        <v>0</v>
      </c>
      <c r="Y452" s="174">
        <f>Buildings_Water_Frontend[[#This Row],[Meter Reference]]</f>
        <v>0</v>
      </c>
      <c r="Z452" s="220">
        <f>Buildings_Water_Frontend[[#This Row],[Methodology]]</f>
        <v>0</v>
      </c>
      <c r="AA452" s="229" t="e" cm="1">
        <f t="array" ref="AA452">INDEX(_xlfn.SWITCH(Buildings_Water_Backend[[#This Row],[Methodology]],"Tier 1",rng_RSD1,"Tier 2",rng_RSD2,"Tier 3",rng_RSD3),MATCH(_xlfn.CONCAT(Buildings_Water_Backend[[#This Row],[Level 1]:[Level 6]]),rng_LevelsConcat,0))</f>
        <v>#N/A</v>
      </c>
      <c r="AB452" s="224">
        <f>Buildings_Water_Frontend[[#This Row],[Data]]</f>
        <v>0</v>
      </c>
      <c r="AC452" s="174">
        <f>Buildings_Water_Frontend[[#This Row],[Units]]</f>
        <v>0</v>
      </c>
      <c r="AD452" s="220" t="e">
        <f>IF(Buildings_Water_Backend[[#This Row],[Units]]=Buildings_Water_Backend[[#This Row],[Standard units]],Buildings_Water_Backend[[#This Row],[Data]],Buildings_Water_Backend[[#This Row],[Data]]*_xlfn.XLOOKUP(_xlfn.CONCAT(Buildings_Water_Backend[[#This Row],[Level 1]:[Level 6]]),rng_EFConcat,rng_EFConversion))</f>
        <v>#N/A</v>
      </c>
      <c r="AE452" s="174" t="e" cm="1">
        <f t="array" ref="AE452">_xlfn.XLOOKUP(_xlfn.CONCAT(Buildings_Water_Backend[[#This Row],[Level 1]:[Level 6]]),rng_LevelsConcat,rng_UnitsLong)</f>
        <v>#N/A</v>
      </c>
      <c r="AF452" s="210" t="e">
        <f>_xlfn.XLOOKUP(_xlfn.CONCAT(Buildings_Water_Backend[[#This Row],[Level 1]:[Level 6]]),rng_EFConcat,rng_EF1)*Buildings_Water_Backend[[#This Row],[Converted data]]/1000</f>
        <v>#N/A</v>
      </c>
      <c r="AG452" s="210" t="e">
        <f>_xlfn.XLOOKUP(_xlfn.CONCAT(Buildings_Water_Backend[[#This Row],[Level 1]:[Level 6]]),rng_EFConcat,rng_EF2)*Buildings_Water_Backend[[#This Row],[Converted data]]/1000</f>
        <v>#N/A</v>
      </c>
      <c r="AH452" s="210" t="e">
        <f>_xlfn.XLOOKUP(_xlfn.CONCAT(Buildings_Water_Backend[[#This Row],[Level 1]:[Level 6]]),rng_EFConcat,rng_EF3)*Buildings_Water_Backend[[#This Row],[Converted data]]/1000</f>
        <v>#N/A</v>
      </c>
      <c r="AI452" s="210" t="e">
        <f>_xlfn.XLOOKUP(_xlfn.CONCAT(Buildings_Water_Backend[[#This Row],[Level 1]:[Level 6]]),rng_EFConcat,rng_EF3WTT)*Buildings_Water_Backend[[#This Row],[Converted data]]/1000</f>
        <v>#N/A</v>
      </c>
      <c r="AJ452" s="210" t="e">
        <f>_xlfn.XLOOKUP(_xlfn.CONCAT(Buildings_Water_Backend[[#This Row],[Level 1]:[Level 6]]),rng_EFConcat,rng_EF3TD)*Buildings_Water_Backend[[#This Row],[Converted data]]/1000</f>
        <v>#N/A</v>
      </c>
      <c r="AK452" s="210" t="e">
        <f>_xlfn.XLOOKUP(_xlfn.CONCAT(Buildings_Water_Backend[[#This Row],[Level 1]:[Level 6]]),rng_EFConcat,rng_EF3WTTTD)*Buildings_Water_Backend[[#This Row],[Converted data]]/1000</f>
        <v>#N/A</v>
      </c>
      <c r="AL452" s="220" t="e">
        <f>SUM(Buildings_Water_Backend[[#This Row],[Scope 1 (tCO2e)]:[Scope 3 WTT T&amp;D (tCO2e)]])</f>
        <v>#N/A</v>
      </c>
      <c r="AM452" s="220" t="e">
        <f>Buildings_Water_Backend[[#This Row],[Total (tCO2e)]]*(1-Buildings_Water_Backend[[#This Row],[RSD]])</f>
        <v>#N/A</v>
      </c>
      <c r="AN452" s="220" t="e">
        <f>Buildings_Water_Backend[[#This Row],[Total (tCO2e)]]*(1+Buildings_Water_Backend[[#This Row],[RSD]])</f>
        <v>#N/A</v>
      </c>
      <c r="AO452" s="210" t="e">
        <f>_xlfn.XLOOKUP(_xlfn.CONCAT(Buildings_Water_Backend[[#This Row],[Level 1]:[Level 6]]),rng_EFConcat,rng_EFOOS)*Buildings_Water_Backend[[#This Row],[Converted data]]/1000</f>
        <v>#N/A</v>
      </c>
      <c r="AP452" s="174">
        <f>Buildings_Water_Frontend[[#This Row],[Ease of collection]]</f>
        <v>0</v>
      </c>
      <c r="AQ452" s="174">
        <f>Buildings_Water_Frontend[[#This Row],[Completeness]]</f>
        <v>0</v>
      </c>
      <c r="AR452" s="174">
        <f>Buildings_Water_Frontend[[#This Row],[Notes]]</f>
        <v>0</v>
      </c>
    </row>
    <row r="453" spans="5:44" x14ac:dyDescent="0.3">
      <c r="E453" s="346"/>
      <c r="F453" s="364"/>
      <c r="G453" s="336"/>
      <c r="H453" s="336"/>
      <c r="I453" s="334"/>
      <c r="J453" s="336"/>
      <c r="K453" s="336"/>
      <c r="L453" s="336"/>
      <c r="M453" s="337"/>
      <c r="N453" s="242">
        <f t="shared" si="13"/>
        <v>5</v>
      </c>
      <c r="Q453" s="212" t="str">
        <f t="shared" si="12"/>
        <v/>
      </c>
      <c r="R453" s="174" t="s">
        <v>265</v>
      </c>
      <c r="S453" s="174" t="s">
        <v>273</v>
      </c>
      <c r="T453" s="174" t="e">
        <f>_xlfn.XLOOKUP(Buildings_Water_Backend[[#This Row],[Info 1]],Buildings_SiteInfo[Site name],Buildings_SiteInfo[Site type])</f>
        <v>#N/A</v>
      </c>
      <c r="U453" s="174" t="s">
        <v>327</v>
      </c>
      <c r="V453" s="174">
        <f>Buildings_Water_Frontend[[#This Row],[Type]]</f>
        <v>0</v>
      </c>
      <c r="W453" s="174" t="e" cm="1">
        <f t="array" aca="1" ref="W453" ca="1">_xlfn.XLOOKUP(Buildings_Water_Backend[[#This Row],[Level 5]],rng_Level5Long,rng_Level6Long)</f>
        <v>#N/A</v>
      </c>
      <c r="X453" s="174">
        <f>Buildings_Water_Frontend[[#This Row],[Site Name]]</f>
        <v>0</v>
      </c>
      <c r="Y453" s="174">
        <f>Buildings_Water_Frontend[[#This Row],[Meter Reference]]</f>
        <v>0</v>
      </c>
      <c r="Z453" s="220">
        <f>Buildings_Water_Frontend[[#This Row],[Methodology]]</f>
        <v>0</v>
      </c>
      <c r="AA453" s="229" t="e" cm="1">
        <f t="array" ref="AA453">INDEX(_xlfn.SWITCH(Buildings_Water_Backend[[#This Row],[Methodology]],"Tier 1",rng_RSD1,"Tier 2",rng_RSD2,"Tier 3",rng_RSD3),MATCH(_xlfn.CONCAT(Buildings_Water_Backend[[#This Row],[Level 1]:[Level 6]]),rng_LevelsConcat,0))</f>
        <v>#N/A</v>
      </c>
      <c r="AB453" s="224">
        <f>Buildings_Water_Frontend[[#This Row],[Data]]</f>
        <v>0</v>
      </c>
      <c r="AC453" s="174">
        <f>Buildings_Water_Frontend[[#This Row],[Units]]</f>
        <v>0</v>
      </c>
      <c r="AD453" s="220" t="e">
        <f>IF(Buildings_Water_Backend[[#This Row],[Units]]=Buildings_Water_Backend[[#This Row],[Standard units]],Buildings_Water_Backend[[#This Row],[Data]],Buildings_Water_Backend[[#This Row],[Data]]*_xlfn.XLOOKUP(_xlfn.CONCAT(Buildings_Water_Backend[[#This Row],[Level 1]:[Level 6]]),rng_EFConcat,rng_EFConversion))</f>
        <v>#N/A</v>
      </c>
      <c r="AE453" s="174" t="e" cm="1">
        <f t="array" ref="AE453">_xlfn.XLOOKUP(_xlfn.CONCAT(Buildings_Water_Backend[[#This Row],[Level 1]:[Level 6]]),rng_LevelsConcat,rng_UnitsLong)</f>
        <v>#N/A</v>
      </c>
      <c r="AF453" s="210" t="e">
        <f>_xlfn.XLOOKUP(_xlfn.CONCAT(Buildings_Water_Backend[[#This Row],[Level 1]:[Level 6]]),rng_EFConcat,rng_EF1)*Buildings_Water_Backend[[#This Row],[Converted data]]/1000</f>
        <v>#N/A</v>
      </c>
      <c r="AG453" s="210" t="e">
        <f>_xlfn.XLOOKUP(_xlfn.CONCAT(Buildings_Water_Backend[[#This Row],[Level 1]:[Level 6]]),rng_EFConcat,rng_EF2)*Buildings_Water_Backend[[#This Row],[Converted data]]/1000</f>
        <v>#N/A</v>
      </c>
      <c r="AH453" s="210" t="e">
        <f>_xlfn.XLOOKUP(_xlfn.CONCAT(Buildings_Water_Backend[[#This Row],[Level 1]:[Level 6]]),rng_EFConcat,rng_EF3)*Buildings_Water_Backend[[#This Row],[Converted data]]/1000</f>
        <v>#N/A</v>
      </c>
      <c r="AI453" s="210" t="e">
        <f>_xlfn.XLOOKUP(_xlfn.CONCAT(Buildings_Water_Backend[[#This Row],[Level 1]:[Level 6]]),rng_EFConcat,rng_EF3WTT)*Buildings_Water_Backend[[#This Row],[Converted data]]/1000</f>
        <v>#N/A</v>
      </c>
      <c r="AJ453" s="210" t="e">
        <f>_xlfn.XLOOKUP(_xlfn.CONCAT(Buildings_Water_Backend[[#This Row],[Level 1]:[Level 6]]),rng_EFConcat,rng_EF3TD)*Buildings_Water_Backend[[#This Row],[Converted data]]/1000</f>
        <v>#N/A</v>
      </c>
      <c r="AK453" s="210" t="e">
        <f>_xlfn.XLOOKUP(_xlfn.CONCAT(Buildings_Water_Backend[[#This Row],[Level 1]:[Level 6]]),rng_EFConcat,rng_EF3WTTTD)*Buildings_Water_Backend[[#This Row],[Converted data]]/1000</f>
        <v>#N/A</v>
      </c>
      <c r="AL453" s="220" t="e">
        <f>SUM(Buildings_Water_Backend[[#This Row],[Scope 1 (tCO2e)]:[Scope 3 WTT T&amp;D (tCO2e)]])</f>
        <v>#N/A</v>
      </c>
      <c r="AM453" s="220" t="e">
        <f>Buildings_Water_Backend[[#This Row],[Total (tCO2e)]]*(1-Buildings_Water_Backend[[#This Row],[RSD]])</f>
        <v>#N/A</v>
      </c>
      <c r="AN453" s="220" t="e">
        <f>Buildings_Water_Backend[[#This Row],[Total (tCO2e)]]*(1+Buildings_Water_Backend[[#This Row],[RSD]])</f>
        <v>#N/A</v>
      </c>
      <c r="AO453" s="210" t="e">
        <f>_xlfn.XLOOKUP(_xlfn.CONCAT(Buildings_Water_Backend[[#This Row],[Level 1]:[Level 6]]),rng_EFConcat,rng_EFOOS)*Buildings_Water_Backend[[#This Row],[Converted data]]/1000</f>
        <v>#N/A</v>
      </c>
      <c r="AP453" s="174">
        <f>Buildings_Water_Frontend[[#This Row],[Ease of collection]]</f>
        <v>0</v>
      </c>
      <c r="AQ453" s="174">
        <f>Buildings_Water_Frontend[[#This Row],[Completeness]]</f>
        <v>0</v>
      </c>
      <c r="AR453" s="174">
        <f>Buildings_Water_Frontend[[#This Row],[Notes]]</f>
        <v>0</v>
      </c>
    </row>
    <row r="454" spans="5:44" x14ac:dyDescent="0.3">
      <c r="E454" s="346"/>
      <c r="F454" s="364"/>
      <c r="G454" s="336"/>
      <c r="H454" s="336"/>
      <c r="I454" s="334"/>
      <c r="J454" s="336"/>
      <c r="K454" s="336"/>
      <c r="L454" s="336"/>
      <c r="M454" s="337"/>
      <c r="N454" s="242">
        <f t="shared" si="13"/>
        <v>5</v>
      </c>
      <c r="Q454" s="212" t="str">
        <f t="shared" si="12"/>
        <v/>
      </c>
      <c r="R454" s="174" t="s">
        <v>265</v>
      </c>
      <c r="S454" s="174" t="s">
        <v>273</v>
      </c>
      <c r="T454" s="174" t="e">
        <f>_xlfn.XLOOKUP(Buildings_Water_Backend[[#This Row],[Info 1]],Buildings_SiteInfo[Site name],Buildings_SiteInfo[Site type])</f>
        <v>#N/A</v>
      </c>
      <c r="U454" s="174" t="s">
        <v>327</v>
      </c>
      <c r="V454" s="174">
        <f>Buildings_Water_Frontend[[#This Row],[Type]]</f>
        <v>0</v>
      </c>
      <c r="W454" s="174" t="e" cm="1">
        <f t="array" aca="1" ref="W454" ca="1">_xlfn.XLOOKUP(Buildings_Water_Backend[[#This Row],[Level 5]],rng_Level5Long,rng_Level6Long)</f>
        <v>#N/A</v>
      </c>
      <c r="X454" s="174">
        <f>Buildings_Water_Frontend[[#This Row],[Site Name]]</f>
        <v>0</v>
      </c>
      <c r="Y454" s="174">
        <f>Buildings_Water_Frontend[[#This Row],[Meter Reference]]</f>
        <v>0</v>
      </c>
      <c r="Z454" s="220">
        <f>Buildings_Water_Frontend[[#This Row],[Methodology]]</f>
        <v>0</v>
      </c>
      <c r="AA454" s="229" t="e" cm="1">
        <f t="array" ref="AA454">INDEX(_xlfn.SWITCH(Buildings_Water_Backend[[#This Row],[Methodology]],"Tier 1",rng_RSD1,"Tier 2",rng_RSD2,"Tier 3",rng_RSD3),MATCH(_xlfn.CONCAT(Buildings_Water_Backend[[#This Row],[Level 1]:[Level 6]]),rng_LevelsConcat,0))</f>
        <v>#N/A</v>
      </c>
      <c r="AB454" s="224">
        <f>Buildings_Water_Frontend[[#This Row],[Data]]</f>
        <v>0</v>
      </c>
      <c r="AC454" s="174">
        <f>Buildings_Water_Frontend[[#This Row],[Units]]</f>
        <v>0</v>
      </c>
      <c r="AD454" s="220" t="e">
        <f>IF(Buildings_Water_Backend[[#This Row],[Units]]=Buildings_Water_Backend[[#This Row],[Standard units]],Buildings_Water_Backend[[#This Row],[Data]],Buildings_Water_Backend[[#This Row],[Data]]*_xlfn.XLOOKUP(_xlfn.CONCAT(Buildings_Water_Backend[[#This Row],[Level 1]:[Level 6]]),rng_EFConcat,rng_EFConversion))</f>
        <v>#N/A</v>
      </c>
      <c r="AE454" s="174" t="e" cm="1">
        <f t="array" ref="AE454">_xlfn.XLOOKUP(_xlfn.CONCAT(Buildings_Water_Backend[[#This Row],[Level 1]:[Level 6]]),rng_LevelsConcat,rng_UnitsLong)</f>
        <v>#N/A</v>
      </c>
      <c r="AF454" s="210" t="e">
        <f>_xlfn.XLOOKUP(_xlfn.CONCAT(Buildings_Water_Backend[[#This Row],[Level 1]:[Level 6]]),rng_EFConcat,rng_EF1)*Buildings_Water_Backend[[#This Row],[Converted data]]/1000</f>
        <v>#N/A</v>
      </c>
      <c r="AG454" s="210" t="e">
        <f>_xlfn.XLOOKUP(_xlfn.CONCAT(Buildings_Water_Backend[[#This Row],[Level 1]:[Level 6]]),rng_EFConcat,rng_EF2)*Buildings_Water_Backend[[#This Row],[Converted data]]/1000</f>
        <v>#N/A</v>
      </c>
      <c r="AH454" s="210" t="e">
        <f>_xlfn.XLOOKUP(_xlfn.CONCAT(Buildings_Water_Backend[[#This Row],[Level 1]:[Level 6]]),rng_EFConcat,rng_EF3)*Buildings_Water_Backend[[#This Row],[Converted data]]/1000</f>
        <v>#N/A</v>
      </c>
      <c r="AI454" s="210" t="e">
        <f>_xlfn.XLOOKUP(_xlfn.CONCAT(Buildings_Water_Backend[[#This Row],[Level 1]:[Level 6]]),rng_EFConcat,rng_EF3WTT)*Buildings_Water_Backend[[#This Row],[Converted data]]/1000</f>
        <v>#N/A</v>
      </c>
      <c r="AJ454" s="210" t="e">
        <f>_xlfn.XLOOKUP(_xlfn.CONCAT(Buildings_Water_Backend[[#This Row],[Level 1]:[Level 6]]),rng_EFConcat,rng_EF3TD)*Buildings_Water_Backend[[#This Row],[Converted data]]/1000</f>
        <v>#N/A</v>
      </c>
      <c r="AK454" s="210" t="e">
        <f>_xlfn.XLOOKUP(_xlfn.CONCAT(Buildings_Water_Backend[[#This Row],[Level 1]:[Level 6]]),rng_EFConcat,rng_EF3WTTTD)*Buildings_Water_Backend[[#This Row],[Converted data]]/1000</f>
        <v>#N/A</v>
      </c>
      <c r="AL454" s="220" t="e">
        <f>SUM(Buildings_Water_Backend[[#This Row],[Scope 1 (tCO2e)]:[Scope 3 WTT T&amp;D (tCO2e)]])</f>
        <v>#N/A</v>
      </c>
      <c r="AM454" s="220" t="e">
        <f>Buildings_Water_Backend[[#This Row],[Total (tCO2e)]]*(1-Buildings_Water_Backend[[#This Row],[RSD]])</f>
        <v>#N/A</v>
      </c>
      <c r="AN454" s="220" t="e">
        <f>Buildings_Water_Backend[[#This Row],[Total (tCO2e)]]*(1+Buildings_Water_Backend[[#This Row],[RSD]])</f>
        <v>#N/A</v>
      </c>
      <c r="AO454" s="210" t="e">
        <f>_xlfn.XLOOKUP(_xlfn.CONCAT(Buildings_Water_Backend[[#This Row],[Level 1]:[Level 6]]),rng_EFConcat,rng_EFOOS)*Buildings_Water_Backend[[#This Row],[Converted data]]/1000</f>
        <v>#N/A</v>
      </c>
      <c r="AP454" s="174">
        <f>Buildings_Water_Frontend[[#This Row],[Ease of collection]]</f>
        <v>0</v>
      </c>
      <c r="AQ454" s="174">
        <f>Buildings_Water_Frontend[[#This Row],[Completeness]]</f>
        <v>0</v>
      </c>
      <c r="AR454" s="174">
        <f>Buildings_Water_Frontend[[#This Row],[Notes]]</f>
        <v>0</v>
      </c>
    </row>
    <row r="455" spans="5:44" x14ac:dyDescent="0.3">
      <c r="E455" s="346"/>
      <c r="F455" s="364"/>
      <c r="G455" s="336"/>
      <c r="H455" s="336"/>
      <c r="I455" s="334"/>
      <c r="J455" s="336"/>
      <c r="K455" s="336"/>
      <c r="L455" s="336"/>
      <c r="M455" s="337"/>
      <c r="N455" s="242">
        <f t="shared" si="13"/>
        <v>5</v>
      </c>
      <c r="Q455" s="212" t="str">
        <f t="shared" si="12"/>
        <v/>
      </c>
      <c r="R455" s="174" t="s">
        <v>265</v>
      </c>
      <c r="S455" s="174" t="s">
        <v>273</v>
      </c>
      <c r="T455" s="174" t="e">
        <f>_xlfn.XLOOKUP(Buildings_Water_Backend[[#This Row],[Info 1]],Buildings_SiteInfo[Site name],Buildings_SiteInfo[Site type])</f>
        <v>#N/A</v>
      </c>
      <c r="U455" s="174" t="s">
        <v>327</v>
      </c>
      <c r="V455" s="174">
        <f>Buildings_Water_Frontend[[#This Row],[Type]]</f>
        <v>0</v>
      </c>
      <c r="W455" s="174" t="e" cm="1">
        <f t="array" aca="1" ref="W455" ca="1">_xlfn.XLOOKUP(Buildings_Water_Backend[[#This Row],[Level 5]],rng_Level5Long,rng_Level6Long)</f>
        <v>#N/A</v>
      </c>
      <c r="X455" s="174">
        <f>Buildings_Water_Frontend[[#This Row],[Site Name]]</f>
        <v>0</v>
      </c>
      <c r="Y455" s="174">
        <f>Buildings_Water_Frontend[[#This Row],[Meter Reference]]</f>
        <v>0</v>
      </c>
      <c r="Z455" s="220">
        <f>Buildings_Water_Frontend[[#This Row],[Methodology]]</f>
        <v>0</v>
      </c>
      <c r="AA455" s="229" t="e" cm="1">
        <f t="array" ref="AA455">INDEX(_xlfn.SWITCH(Buildings_Water_Backend[[#This Row],[Methodology]],"Tier 1",rng_RSD1,"Tier 2",rng_RSD2,"Tier 3",rng_RSD3),MATCH(_xlfn.CONCAT(Buildings_Water_Backend[[#This Row],[Level 1]:[Level 6]]),rng_LevelsConcat,0))</f>
        <v>#N/A</v>
      </c>
      <c r="AB455" s="224">
        <f>Buildings_Water_Frontend[[#This Row],[Data]]</f>
        <v>0</v>
      </c>
      <c r="AC455" s="174">
        <f>Buildings_Water_Frontend[[#This Row],[Units]]</f>
        <v>0</v>
      </c>
      <c r="AD455" s="220" t="e">
        <f>IF(Buildings_Water_Backend[[#This Row],[Units]]=Buildings_Water_Backend[[#This Row],[Standard units]],Buildings_Water_Backend[[#This Row],[Data]],Buildings_Water_Backend[[#This Row],[Data]]*_xlfn.XLOOKUP(_xlfn.CONCAT(Buildings_Water_Backend[[#This Row],[Level 1]:[Level 6]]),rng_EFConcat,rng_EFConversion))</f>
        <v>#N/A</v>
      </c>
      <c r="AE455" s="174" t="e" cm="1">
        <f t="array" ref="AE455">_xlfn.XLOOKUP(_xlfn.CONCAT(Buildings_Water_Backend[[#This Row],[Level 1]:[Level 6]]),rng_LevelsConcat,rng_UnitsLong)</f>
        <v>#N/A</v>
      </c>
      <c r="AF455" s="210" t="e">
        <f>_xlfn.XLOOKUP(_xlfn.CONCAT(Buildings_Water_Backend[[#This Row],[Level 1]:[Level 6]]),rng_EFConcat,rng_EF1)*Buildings_Water_Backend[[#This Row],[Converted data]]/1000</f>
        <v>#N/A</v>
      </c>
      <c r="AG455" s="210" t="e">
        <f>_xlfn.XLOOKUP(_xlfn.CONCAT(Buildings_Water_Backend[[#This Row],[Level 1]:[Level 6]]),rng_EFConcat,rng_EF2)*Buildings_Water_Backend[[#This Row],[Converted data]]/1000</f>
        <v>#N/A</v>
      </c>
      <c r="AH455" s="210" t="e">
        <f>_xlfn.XLOOKUP(_xlfn.CONCAT(Buildings_Water_Backend[[#This Row],[Level 1]:[Level 6]]),rng_EFConcat,rng_EF3)*Buildings_Water_Backend[[#This Row],[Converted data]]/1000</f>
        <v>#N/A</v>
      </c>
      <c r="AI455" s="210" t="e">
        <f>_xlfn.XLOOKUP(_xlfn.CONCAT(Buildings_Water_Backend[[#This Row],[Level 1]:[Level 6]]),rng_EFConcat,rng_EF3WTT)*Buildings_Water_Backend[[#This Row],[Converted data]]/1000</f>
        <v>#N/A</v>
      </c>
      <c r="AJ455" s="210" t="e">
        <f>_xlfn.XLOOKUP(_xlfn.CONCAT(Buildings_Water_Backend[[#This Row],[Level 1]:[Level 6]]),rng_EFConcat,rng_EF3TD)*Buildings_Water_Backend[[#This Row],[Converted data]]/1000</f>
        <v>#N/A</v>
      </c>
      <c r="AK455" s="210" t="e">
        <f>_xlfn.XLOOKUP(_xlfn.CONCAT(Buildings_Water_Backend[[#This Row],[Level 1]:[Level 6]]),rng_EFConcat,rng_EF3WTTTD)*Buildings_Water_Backend[[#This Row],[Converted data]]/1000</f>
        <v>#N/A</v>
      </c>
      <c r="AL455" s="220" t="e">
        <f>SUM(Buildings_Water_Backend[[#This Row],[Scope 1 (tCO2e)]:[Scope 3 WTT T&amp;D (tCO2e)]])</f>
        <v>#N/A</v>
      </c>
      <c r="AM455" s="220" t="e">
        <f>Buildings_Water_Backend[[#This Row],[Total (tCO2e)]]*(1-Buildings_Water_Backend[[#This Row],[RSD]])</f>
        <v>#N/A</v>
      </c>
      <c r="AN455" s="220" t="e">
        <f>Buildings_Water_Backend[[#This Row],[Total (tCO2e)]]*(1+Buildings_Water_Backend[[#This Row],[RSD]])</f>
        <v>#N/A</v>
      </c>
      <c r="AO455" s="210" t="e">
        <f>_xlfn.XLOOKUP(_xlfn.CONCAT(Buildings_Water_Backend[[#This Row],[Level 1]:[Level 6]]),rng_EFConcat,rng_EFOOS)*Buildings_Water_Backend[[#This Row],[Converted data]]/1000</f>
        <v>#N/A</v>
      </c>
      <c r="AP455" s="174">
        <f>Buildings_Water_Frontend[[#This Row],[Ease of collection]]</f>
        <v>0</v>
      </c>
      <c r="AQ455" s="174">
        <f>Buildings_Water_Frontend[[#This Row],[Completeness]]</f>
        <v>0</v>
      </c>
      <c r="AR455" s="174">
        <f>Buildings_Water_Frontend[[#This Row],[Notes]]</f>
        <v>0</v>
      </c>
    </row>
    <row r="456" spans="5:44" x14ac:dyDescent="0.3">
      <c r="E456" s="346"/>
      <c r="F456" s="364"/>
      <c r="G456" s="336"/>
      <c r="H456" s="336"/>
      <c r="I456" s="334"/>
      <c r="J456" s="336"/>
      <c r="K456" s="336"/>
      <c r="L456" s="336"/>
      <c r="M456" s="337"/>
      <c r="N456" s="242">
        <f t="shared" si="13"/>
        <v>5</v>
      </c>
      <c r="Q456" s="212" t="str">
        <f t="shared" si="12"/>
        <v/>
      </c>
      <c r="R456" s="174" t="s">
        <v>265</v>
      </c>
      <c r="S456" s="174" t="s">
        <v>273</v>
      </c>
      <c r="T456" s="174" t="e">
        <f>_xlfn.XLOOKUP(Buildings_Water_Backend[[#This Row],[Info 1]],Buildings_SiteInfo[Site name],Buildings_SiteInfo[Site type])</f>
        <v>#N/A</v>
      </c>
      <c r="U456" s="174" t="s">
        <v>327</v>
      </c>
      <c r="V456" s="174">
        <f>Buildings_Water_Frontend[[#This Row],[Type]]</f>
        <v>0</v>
      </c>
      <c r="W456" s="174" t="e" cm="1">
        <f t="array" aca="1" ref="W456" ca="1">_xlfn.XLOOKUP(Buildings_Water_Backend[[#This Row],[Level 5]],rng_Level5Long,rng_Level6Long)</f>
        <v>#N/A</v>
      </c>
      <c r="X456" s="174">
        <f>Buildings_Water_Frontend[[#This Row],[Site Name]]</f>
        <v>0</v>
      </c>
      <c r="Y456" s="174">
        <f>Buildings_Water_Frontend[[#This Row],[Meter Reference]]</f>
        <v>0</v>
      </c>
      <c r="Z456" s="220">
        <f>Buildings_Water_Frontend[[#This Row],[Methodology]]</f>
        <v>0</v>
      </c>
      <c r="AA456" s="229" t="e" cm="1">
        <f t="array" ref="AA456">INDEX(_xlfn.SWITCH(Buildings_Water_Backend[[#This Row],[Methodology]],"Tier 1",rng_RSD1,"Tier 2",rng_RSD2,"Tier 3",rng_RSD3),MATCH(_xlfn.CONCAT(Buildings_Water_Backend[[#This Row],[Level 1]:[Level 6]]),rng_LevelsConcat,0))</f>
        <v>#N/A</v>
      </c>
      <c r="AB456" s="224">
        <f>Buildings_Water_Frontend[[#This Row],[Data]]</f>
        <v>0</v>
      </c>
      <c r="AC456" s="174">
        <f>Buildings_Water_Frontend[[#This Row],[Units]]</f>
        <v>0</v>
      </c>
      <c r="AD456" s="220" t="e">
        <f>IF(Buildings_Water_Backend[[#This Row],[Units]]=Buildings_Water_Backend[[#This Row],[Standard units]],Buildings_Water_Backend[[#This Row],[Data]],Buildings_Water_Backend[[#This Row],[Data]]*_xlfn.XLOOKUP(_xlfn.CONCAT(Buildings_Water_Backend[[#This Row],[Level 1]:[Level 6]]),rng_EFConcat,rng_EFConversion))</f>
        <v>#N/A</v>
      </c>
      <c r="AE456" s="174" t="e" cm="1">
        <f t="array" ref="AE456">_xlfn.XLOOKUP(_xlfn.CONCAT(Buildings_Water_Backend[[#This Row],[Level 1]:[Level 6]]),rng_LevelsConcat,rng_UnitsLong)</f>
        <v>#N/A</v>
      </c>
      <c r="AF456" s="210" t="e">
        <f>_xlfn.XLOOKUP(_xlfn.CONCAT(Buildings_Water_Backend[[#This Row],[Level 1]:[Level 6]]),rng_EFConcat,rng_EF1)*Buildings_Water_Backend[[#This Row],[Converted data]]/1000</f>
        <v>#N/A</v>
      </c>
      <c r="AG456" s="210" t="e">
        <f>_xlfn.XLOOKUP(_xlfn.CONCAT(Buildings_Water_Backend[[#This Row],[Level 1]:[Level 6]]),rng_EFConcat,rng_EF2)*Buildings_Water_Backend[[#This Row],[Converted data]]/1000</f>
        <v>#N/A</v>
      </c>
      <c r="AH456" s="210" t="e">
        <f>_xlfn.XLOOKUP(_xlfn.CONCAT(Buildings_Water_Backend[[#This Row],[Level 1]:[Level 6]]),rng_EFConcat,rng_EF3)*Buildings_Water_Backend[[#This Row],[Converted data]]/1000</f>
        <v>#N/A</v>
      </c>
      <c r="AI456" s="210" t="e">
        <f>_xlfn.XLOOKUP(_xlfn.CONCAT(Buildings_Water_Backend[[#This Row],[Level 1]:[Level 6]]),rng_EFConcat,rng_EF3WTT)*Buildings_Water_Backend[[#This Row],[Converted data]]/1000</f>
        <v>#N/A</v>
      </c>
      <c r="AJ456" s="210" t="e">
        <f>_xlfn.XLOOKUP(_xlfn.CONCAT(Buildings_Water_Backend[[#This Row],[Level 1]:[Level 6]]),rng_EFConcat,rng_EF3TD)*Buildings_Water_Backend[[#This Row],[Converted data]]/1000</f>
        <v>#N/A</v>
      </c>
      <c r="AK456" s="210" t="e">
        <f>_xlfn.XLOOKUP(_xlfn.CONCAT(Buildings_Water_Backend[[#This Row],[Level 1]:[Level 6]]),rng_EFConcat,rng_EF3WTTTD)*Buildings_Water_Backend[[#This Row],[Converted data]]/1000</f>
        <v>#N/A</v>
      </c>
      <c r="AL456" s="220" t="e">
        <f>SUM(Buildings_Water_Backend[[#This Row],[Scope 1 (tCO2e)]:[Scope 3 WTT T&amp;D (tCO2e)]])</f>
        <v>#N/A</v>
      </c>
      <c r="AM456" s="220" t="e">
        <f>Buildings_Water_Backend[[#This Row],[Total (tCO2e)]]*(1-Buildings_Water_Backend[[#This Row],[RSD]])</f>
        <v>#N/A</v>
      </c>
      <c r="AN456" s="220" t="e">
        <f>Buildings_Water_Backend[[#This Row],[Total (tCO2e)]]*(1+Buildings_Water_Backend[[#This Row],[RSD]])</f>
        <v>#N/A</v>
      </c>
      <c r="AO456" s="210" t="e">
        <f>_xlfn.XLOOKUP(_xlfn.CONCAT(Buildings_Water_Backend[[#This Row],[Level 1]:[Level 6]]),rng_EFConcat,rng_EFOOS)*Buildings_Water_Backend[[#This Row],[Converted data]]/1000</f>
        <v>#N/A</v>
      </c>
      <c r="AP456" s="174">
        <f>Buildings_Water_Frontend[[#This Row],[Ease of collection]]</f>
        <v>0</v>
      </c>
      <c r="AQ456" s="174">
        <f>Buildings_Water_Frontend[[#This Row],[Completeness]]</f>
        <v>0</v>
      </c>
      <c r="AR456" s="174">
        <f>Buildings_Water_Frontend[[#This Row],[Notes]]</f>
        <v>0</v>
      </c>
    </row>
    <row r="457" spans="5:44" x14ac:dyDescent="0.3">
      <c r="E457" s="346"/>
      <c r="F457" s="364"/>
      <c r="G457" s="336"/>
      <c r="H457" s="336"/>
      <c r="I457" s="334"/>
      <c r="J457" s="336"/>
      <c r="K457" s="336"/>
      <c r="L457" s="336"/>
      <c r="M457" s="337"/>
      <c r="N457" s="242">
        <f t="shared" si="13"/>
        <v>5</v>
      </c>
      <c r="Q457" s="212" t="str">
        <f t="shared" si="12"/>
        <v/>
      </c>
      <c r="R457" s="174" t="s">
        <v>265</v>
      </c>
      <c r="S457" s="174" t="s">
        <v>273</v>
      </c>
      <c r="T457" s="174" t="e">
        <f>_xlfn.XLOOKUP(Buildings_Water_Backend[[#This Row],[Info 1]],Buildings_SiteInfo[Site name],Buildings_SiteInfo[Site type])</f>
        <v>#N/A</v>
      </c>
      <c r="U457" s="174" t="s">
        <v>327</v>
      </c>
      <c r="V457" s="174">
        <f>Buildings_Water_Frontend[[#This Row],[Type]]</f>
        <v>0</v>
      </c>
      <c r="W457" s="174" t="e" cm="1">
        <f t="array" aca="1" ref="W457" ca="1">_xlfn.XLOOKUP(Buildings_Water_Backend[[#This Row],[Level 5]],rng_Level5Long,rng_Level6Long)</f>
        <v>#N/A</v>
      </c>
      <c r="X457" s="174">
        <f>Buildings_Water_Frontend[[#This Row],[Site Name]]</f>
        <v>0</v>
      </c>
      <c r="Y457" s="174">
        <f>Buildings_Water_Frontend[[#This Row],[Meter Reference]]</f>
        <v>0</v>
      </c>
      <c r="Z457" s="220">
        <f>Buildings_Water_Frontend[[#This Row],[Methodology]]</f>
        <v>0</v>
      </c>
      <c r="AA457" s="229" t="e" cm="1">
        <f t="array" ref="AA457">INDEX(_xlfn.SWITCH(Buildings_Water_Backend[[#This Row],[Methodology]],"Tier 1",rng_RSD1,"Tier 2",rng_RSD2,"Tier 3",rng_RSD3),MATCH(_xlfn.CONCAT(Buildings_Water_Backend[[#This Row],[Level 1]:[Level 6]]),rng_LevelsConcat,0))</f>
        <v>#N/A</v>
      </c>
      <c r="AB457" s="224">
        <f>Buildings_Water_Frontend[[#This Row],[Data]]</f>
        <v>0</v>
      </c>
      <c r="AC457" s="174">
        <f>Buildings_Water_Frontend[[#This Row],[Units]]</f>
        <v>0</v>
      </c>
      <c r="AD457" s="220" t="e">
        <f>IF(Buildings_Water_Backend[[#This Row],[Units]]=Buildings_Water_Backend[[#This Row],[Standard units]],Buildings_Water_Backend[[#This Row],[Data]],Buildings_Water_Backend[[#This Row],[Data]]*_xlfn.XLOOKUP(_xlfn.CONCAT(Buildings_Water_Backend[[#This Row],[Level 1]:[Level 6]]),rng_EFConcat,rng_EFConversion))</f>
        <v>#N/A</v>
      </c>
      <c r="AE457" s="174" t="e" cm="1">
        <f t="array" ref="AE457">_xlfn.XLOOKUP(_xlfn.CONCAT(Buildings_Water_Backend[[#This Row],[Level 1]:[Level 6]]),rng_LevelsConcat,rng_UnitsLong)</f>
        <v>#N/A</v>
      </c>
      <c r="AF457" s="210" t="e">
        <f>_xlfn.XLOOKUP(_xlfn.CONCAT(Buildings_Water_Backend[[#This Row],[Level 1]:[Level 6]]),rng_EFConcat,rng_EF1)*Buildings_Water_Backend[[#This Row],[Converted data]]/1000</f>
        <v>#N/A</v>
      </c>
      <c r="AG457" s="210" t="e">
        <f>_xlfn.XLOOKUP(_xlfn.CONCAT(Buildings_Water_Backend[[#This Row],[Level 1]:[Level 6]]),rng_EFConcat,rng_EF2)*Buildings_Water_Backend[[#This Row],[Converted data]]/1000</f>
        <v>#N/A</v>
      </c>
      <c r="AH457" s="210" t="e">
        <f>_xlfn.XLOOKUP(_xlfn.CONCAT(Buildings_Water_Backend[[#This Row],[Level 1]:[Level 6]]),rng_EFConcat,rng_EF3)*Buildings_Water_Backend[[#This Row],[Converted data]]/1000</f>
        <v>#N/A</v>
      </c>
      <c r="AI457" s="210" t="e">
        <f>_xlfn.XLOOKUP(_xlfn.CONCAT(Buildings_Water_Backend[[#This Row],[Level 1]:[Level 6]]),rng_EFConcat,rng_EF3WTT)*Buildings_Water_Backend[[#This Row],[Converted data]]/1000</f>
        <v>#N/A</v>
      </c>
      <c r="AJ457" s="210" t="e">
        <f>_xlfn.XLOOKUP(_xlfn.CONCAT(Buildings_Water_Backend[[#This Row],[Level 1]:[Level 6]]),rng_EFConcat,rng_EF3TD)*Buildings_Water_Backend[[#This Row],[Converted data]]/1000</f>
        <v>#N/A</v>
      </c>
      <c r="AK457" s="210" t="e">
        <f>_xlfn.XLOOKUP(_xlfn.CONCAT(Buildings_Water_Backend[[#This Row],[Level 1]:[Level 6]]),rng_EFConcat,rng_EF3WTTTD)*Buildings_Water_Backend[[#This Row],[Converted data]]/1000</f>
        <v>#N/A</v>
      </c>
      <c r="AL457" s="220" t="e">
        <f>SUM(Buildings_Water_Backend[[#This Row],[Scope 1 (tCO2e)]:[Scope 3 WTT T&amp;D (tCO2e)]])</f>
        <v>#N/A</v>
      </c>
      <c r="AM457" s="220" t="e">
        <f>Buildings_Water_Backend[[#This Row],[Total (tCO2e)]]*(1-Buildings_Water_Backend[[#This Row],[RSD]])</f>
        <v>#N/A</v>
      </c>
      <c r="AN457" s="220" t="e">
        <f>Buildings_Water_Backend[[#This Row],[Total (tCO2e)]]*(1+Buildings_Water_Backend[[#This Row],[RSD]])</f>
        <v>#N/A</v>
      </c>
      <c r="AO457" s="210" t="e">
        <f>_xlfn.XLOOKUP(_xlfn.CONCAT(Buildings_Water_Backend[[#This Row],[Level 1]:[Level 6]]),rng_EFConcat,rng_EFOOS)*Buildings_Water_Backend[[#This Row],[Converted data]]/1000</f>
        <v>#N/A</v>
      </c>
      <c r="AP457" s="174">
        <f>Buildings_Water_Frontend[[#This Row],[Ease of collection]]</f>
        <v>0</v>
      </c>
      <c r="AQ457" s="174">
        <f>Buildings_Water_Frontend[[#This Row],[Completeness]]</f>
        <v>0</v>
      </c>
      <c r="AR457" s="174">
        <f>Buildings_Water_Frontend[[#This Row],[Notes]]</f>
        <v>0</v>
      </c>
    </row>
    <row r="458" spans="5:44" x14ac:dyDescent="0.3">
      <c r="E458" s="346"/>
      <c r="F458" s="364"/>
      <c r="G458" s="336"/>
      <c r="H458" s="336"/>
      <c r="I458" s="334"/>
      <c r="J458" s="336"/>
      <c r="K458" s="336"/>
      <c r="L458" s="336"/>
      <c r="M458" s="337"/>
      <c r="N458" s="242">
        <f t="shared" si="13"/>
        <v>5</v>
      </c>
      <c r="Q458" s="212" t="str">
        <f t="shared" si="12"/>
        <v/>
      </c>
      <c r="R458" s="174" t="s">
        <v>265</v>
      </c>
      <c r="S458" s="174" t="s">
        <v>273</v>
      </c>
      <c r="T458" s="174" t="e">
        <f>_xlfn.XLOOKUP(Buildings_Water_Backend[[#This Row],[Info 1]],Buildings_SiteInfo[Site name],Buildings_SiteInfo[Site type])</f>
        <v>#N/A</v>
      </c>
      <c r="U458" s="174" t="s">
        <v>327</v>
      </c>
      <c r="V458" s="174">
        <f>Buildings_Water_Frontend[[#This Row],[Type]]</f>
        <v>0</v>
      </c>
      <c r="W458" s="174" t="e" cm="1">
        <f t="array" aca="1" ref="W458" ca="1">_xlfn.XLOOKUP(Buildings_Water_Backend[[#This Row],[Level 5]],rng_Level5Long,rng_Level6Long)</f>
        <v>#N/A</v>
      </c>
      <c r="X458" s="174">
        <f>Buildings_Water_Frontend[[#This Row],[Site Name]]</f>
        <v>0</v>
      </c>
      <c r="Y458" s="174">
        <f>Buildings_Water_Frontend[[#This Row],[Meter Reference]]</f>
        <v>0</v>
      </c>
      <c r="Z458" s="220">
        <f>Buildings_Water_Frontend[[#This Row],[Methodology]]</f>
        <v>0</v>
      </c>
      <c r="AA458" s="229" t="e" cm="1">
        <f t="array" ref="AA458">INDEX(_xlfn.SWITCH(Buildings_Water_Backend[[#This Row],[Methodology]],"Tier 1",rng_RSD1,"Tier 2",rng_RSD2,"Tier 3",rng_RSD3),MATCH(_xlfn.CONCAT(Buildings_Water_Backend[[#This Row],[Level 1]:[Level 6]]),rng_LevelsConcat,0))</f>
        <v>#N/A</v>
      </c>
      <c r="AB458" s="224">
        <f>Buildings_Water_Frontend[[#This Row],[Data]]</f>
        <v>0</v>
      </c>
      <c r="AC458" s="174">
        <f>Buildings_Water_Frontend[[#This Row],[Units]]</f>
        <v>0</v>
      </c>
      <c r="AD458" s="220" t="e">
        <f>IF(Buildings_Water_Backend[[#This Row],[Units]]=Buildings_Water_Backend[[#This Row],[Standard units]],Buildings_Water_Backend[[#This Row],[Data]],Buildings_Water_Backend[[#This Row],[Data]]*_xlfn.XLOOKUP(_xlfn.CONCAT(Buildings_Water_Backend[[#This Row],[Level 1]:[Level 6]]),rng_EFConcat,rng_EFConversion))</f>
        <v>#N/A</v>
      </c>
      <c r="AE458" s="174" t="e" cm="1">
        <f t="array" ref="AE458">_xlfn.XLOOKUP(_xlfn.CONCAT(Buildings_Water_Backend[[#This Row],[Level 1]:[Level 6]]),rng_LevelsConcat,rng_UnitsLong)</f>
        <v>#N/A</v>
      </c>
      <c r="AF458" s="210" t="e">
        <f>_xlfn.XLOOKUP(_xlfn.CONCAT(Buildings_Water_Backend[[#This Row],[Level 1]:[Level 6]]),rng_EFConcat,rng_EF1)*Buildings_Water_Backend[[#This Row],[Converted data]]/1000</f>
        <v>#N/A</v>
      </c>
      <c r="AG458" s="210" t="e">
        <f>_xlfn.XLOOKUP(_xlfn.CONCAT(Buildings_Water_Backend[[#This Row],[Level 1]:[Level 6]]),rng_EFConcat,rng_EF2)*Buildings_Water_Backend[[#This Row],[Converted data]]/1000</f>
        <v>#N/A</v>
      </c>
      <c r="AH458" s="210" t="e">
        <f>_xlfn.XLOOKUP(_xlfn.CONCAT(Buildings_Water_Backend[[#This Row],[Level 1]:[Level 6]]),rng_EFConcat,rng_EF3)*Buildings_Water_Backend[[#This Row],[Converted data]]/1000</f>
        <v>#N/A</v>
      </c>
      <c r="AI458" s="210" t="e">
        <f>_xlfn.XLOOKUP(_xlfn.CONCAT(Buildings_Water_Backend[[#This Row],[Level 1]:[Level 6]]),rng_EFConcat,rng_EF3WTT)*Buildings_Water_Backend[[#This Row],[Converted data]]/1000</f>
        <v>#N/A</v>
      </c>
      <c r="AJ458" s="210" t="e">
        <f>_xlfn.XLOOKUP(_xlfn.CONCAT(Buildings_Water_Backend[[#This Row],[Level 1]:[Level 6]]),rng_EFConcat,rng_EF3TD)*Buildings_Water_Backend[[#This Row],[Converted data]]/1000</f>
        <v>#N/A</v>
      </c>
      <c r="AK458" s="210" t="e">
        <f>_xlfn.XLOOKUP(_xlfn.CONCAT(Buildings_Water_Backend[[#This Row],[Level 1]:[Level 6]]),rng_EFConcat,rng_EF3WTTTD)*Buildings_Water_Backend[[#This Row],[Converted data]]/1000</f>
        <v>#N/A</v>
      </c>
      <c r="AL458" s="220" t="e">
        <f>SUM(Buildings_Water_Backend[[#This Row],[Scope 1 (tCO2e)]:[Scope 3 WTT T&amp;D (tCO2e)]])</f>
        <v>#N/A</v>
      </c>
      <c r="AM458" s="220" t="e">
        <f>Buildings_Water_Backend[[#This Row],[Total (tCO2e)]]*(1-Buildings_Water_Backend[[#This Row],[RSD]])</f>
        <v>#N/A</v>
      </c>
      <c r="AN458" s="220" t="e">
        <f>Buildings_Water_Backend[[#This Row],[Total (tCO2e)]]*(1+Buildings_Water_Backend[[#This Row],[RSD]])</f>
        <v>#N/A</v>
      </c>
      <c r="AO458" s="210" t="e">
        <f>_xlfn.XLOOKUP(_xlfn.CONCAT(Buildings_Water_Backend[[#This Row],[Level 1]:[Level 6]]),rng_EFConcat,rng_EFOOS)*Buildings_Water_Backend[[#This Row],[Converted data]]/1000</f>
        <v>#N/A</v>
      </c>
      <c r="AP458" s="174">
        <f>Buildings_Water_Frontend[[#This Row],[Ease of collection]]</f>
        <v>0</v>
      </c>
      <c r="AQ458" s="174">
        <f>Buildings_Water_Frontend[[#This Row],[Completeness]]</f>
        <v>0</v>
      </c>
      <c r="AR458" s="174">
        <f>Buildings_Water_Frontend[[#This Row],[Notes]]</f>
        <v>0</v>
      </c>
    </row>
    <row r="459" spans="5:44" x14ac:dyDescent="0.3">
      <c r="E459" s="346"/>
      <c r="F459" s="364"/>
      <c r="G459" s="336"/>
      <c r="H459" s="336"/>
      <c r="I459" s="334"/>
      <c r="J459" s="336"/>
      <c r="K459" s="336"/>
      <c r="L459" s="336"/>
      <c r="M459" s="337"/>
      <c r="N459" s="242">
        <f t="shared" si="13"/>
        <v>5</v>
      </c>
      <c r="Q459" s="212" t="str">
        <f t="shared" si="12"/>
        <v/>
      </c>
      <c r="R459" s="174" t="s">
        <v>265</v>
      </c>
      <c r="S459" s="174" t="s">
        <v>273</v>
      </c>
      <c r="T459" s="174" t="e">
        <f>_xlfn.XLOOKUP(Buildings_Water_Backend[[#This Row],[Info 1]],Buildings_SiteInfo[Site name],Buildings_SiteInfo[Site type])</f>
        <v>#N/A</v>
      </c>
      <c r="U459" s="174" t="s">
        <v>327</v>
      </c>
      <c r="V459" s="174">
        <f>Buildings_Water_Frontend[[#This Row],[Type]]</f>
        <v>0</v>
      </c>
      <c r="W459" s="174" t="e" cm="1">
        <f t="array" aca="1" ref="W459" ca="1">_xlfn.XLOOKUP(Buildings_Water_Backend[[#This Row],[Level 5]],rng_Level5Long,rng_Level6Long)</f>
        <v>#N/A</v>
      </c>
      <c r="X459" s="174">
        <f>Buildings_Water_Frontend[[#This Row],[Site Name]]</f>
        <v>0</v>
      </c>
      <c r="Y459" s="174">
        <f>Buildings_Water_Frontend[[#This Row],[Meter Reference]]</f>
        <v>0</v>
      </c>
      <c r="Z459" s="220">
        <f>Buildings_Water_Frontend[[#This Row],[Methodology]]</f>
        <v>0</v>
      </c>
      <c r="AA459" s="229" t="e" cm="1">
        <f t="array" ref="AA459">INDEX(_xlfn.SWITCH(Buildings_Water_Backend[[#This Row],[Methodology]],"Tier 1",rng_RSD1,"Tier 2",rng_RSD2,"Tier 3",rng_RSD3),MATCH(_xlfn.CONCAT(Buildings_Water_Backend[[#This Row],[Level 1]:[Level 6]]),rng_LevelsConcat,0))</f>
        <v>#N/A</v>
      </c>
      <c r="AB459" s="224">
        <f>Buildings_Water_Frontend[[#This Row],[Data]]</f>
        <v>0</v>
      </c>
      <c r="AC459" s="174">
        <f>Buildings_Water_Frontend[[#This Row],[Units]]</f>
        <v>0</v>
      </c>
      <c r="AD459" s="220" t="e">
        <f>IF(Buildings_Water_Backend[[#This Row],[Units]]=Buildings_Water_Backend[[#This Row],[Standard units]],Buildings_Water_Backend[[#This Row],[Data]],Buildings_Water_Backend[[#This Row],[Data]]*_xlfn.XLOOKUP(_xlfn.CONCAT(Buildings_Water_Backend[[#This Row],[Level 1]:[Level 6]]),rng_EFConcat,rng_EFConversion))</f>
        <v>#N/A</v>
      </c>
      <c r="AE459" s="174" t="e" cm="1">
        <f t="array" ref="AE459">_xlfn.XLOOKUP(_xlfn.CONCAT(Buildings_Water_Backend[[#This Row],[Level 1]:[Level 6]]),rng_LevelsConcat,rng_UnitsLong)</f>
        <v>#N/A</v>
      </c>
      <c r="AF459" s="210" t="e">
        <f>_xlfn.XLOOKUP(_xlfn.CONCAT(Buildings_Water_Backend[[#This Row],[Level 1]:[Level 6]]),rng_EFConcat,rng_EF1)*Buildings_Water_Backend[[#This Row],[Converted data]]/1000</f>
        <v>#N/A</v>
      </c>
      <c r="AG459" s="210" t="e">
        <f>_xlfn.XLOOKUP(_xlfn.CONCAT(Buildings_Water_Backend[[#This Row],[Level 1]:[Level 6]]),rng_EFConcat,rng_EF2)*Buildings_Water_Backend[[#This Row],[Converted data]]/1000</f>
        <v>#N/A</v>
      </c>
      <c r="AH459" s="210" t="e">
        <f>_xlfn.XLOOKUP(_xlfn.CONCAT(Buildings_Water_Backend[[#This Row],[Level 1]:[Level 6]]),rng_EFConcat,rng_EF3)*Buildings_Water_Backend[[#This Row],[Converted data]]/1000</f>
        <v>#N/A</v>
      </c>
      <c r="AI459" s="210" t="e">
        <f>_xlfn.XLOOKUP(_xlfn.CONCAT(Buildings_Water_Backend[[#This Row],[Level 1]:[Level 6]]),rng_EFConcat,rng_EF3WTT)*Buildings_Water_Backend[[#This Row],[Converted data]]/1000</f>
        <v>#N/A</v>
      </c>
      <c r="AJ459" s="210" t="e">
        <f>_xlfn.XLOOKUP(_xlfn.CONCAT(Buildings_Water_Backend[[#This Row],[Level 1]:[Level 6]]),rng_EFConcat,rng_EF3TD)*Buildings_Water_Backend[[#This Row],[Converted data]]/1000</f>
        <v>#N/A</v>
      </c>
      <c r="AK459" s="210" t="e">
        <f>_xlfn.XLOOKUP(_xlfn.CONCAT(Buildings_Water_Backend[[#This Row],[Level 1]:[Level 6]]),rng_EFConcat,rng_EF3WTTTD)*Buildings_Water_Backend[[#This Row],[Converted data]]/1000</f>
        <v>#N/A</v>
      </c>
      <c r="AL459" s="220" t="e">
        <f>SUM(Buildings_Water_Backend[[#This Row],[Scope 1 (tCO2e)]:[Scope 3 WTT T&amp;D (tCO2e)]])</f>
        <v>#N/A</v>
      </c>
      <c r="AM459" s="220" t="e">
        <f>Buildings_Water_Backend[[#This Row],[Total (tCO2e)]]*(1-Buildings_Water_Backend[[#This Row],[RSD]])</f>
        <v>#N/A</v>
      </c>
      <c r="AN459" s="220" t="e">
        <f>Buildings_Water_Backend[[#This Row],[Total (tCO2e)]]*(1+Buildings_Water_Backend[[#This Row],[RSD]])</f>
        <v>#N/A</v>
      </c>
      <c r="AO459" s="210" t="e">
        <f>_xlfn.XLOOKUP(_xlfn.CONCAT(Buildings_Water_Backend[[#This Row],[Level 1]:[Level 6]]),rng_EFConcat,rng_EFOOS)*Buildings_Water_Backend[[#This Row],[Converted data]]/1000</f>
        <v>#N/A</v>
      </c>
      <c r="AP459" s="174">
        <f>Buildings_Water_Frontend[[#This Row],[Ease of collection]]</f>
        <v>0</v>
      </c>
      <c r="AQ459" s="174">
        <f>Buildings_Water_Frontend[[#This Row],[Completeness]]</f>
        <v>0</v>
      </c>
      <c r="AR459" s="174">
        <f>Buildings_Water_Frontend[[#This Row],[Notes]]</f>
        <v>0</v>
      </c>
    </row>
    <row r="460" spans="5:44" x14ac:dyDescent="0.3">
      <c r="E460" s="346"/>
      <c r="F460" s="364"/>
      <c r="G460" s="336"/>
      <c r="H460" s="336"/>
      <c r="I460" s="334"/>
      <c r="J460" s="336"/>
      <c r="K460" s="336"/>
      <c r="L460" s="336"/>
      <c r="M460" s="337"/>
      <c r="N460" s="242">
        <f t="shared" si="13"/>
        <v>5</v>
      </c>
      <c r="Q460" s="212" t="str">
        <f t="shared" si="12"/>
        <v/>
      </c>
      <c r="R460" s="174" t="s">
        <v>265</v>
      </c>
      <c r="S460" s="174" t="s">
        <v>273</v>
      </c>
      <c r="T460" s="174" t="e">
        <f>_xlfn.XLOOKUP(Buildings_Water_Backend[[#This Row],[Info 1]],Buildings_SiteInfo[Site name],Buildings_SiteInfo[Site type])</f>
        <v>#N/A</v>
      </c>
      <c r="U460" s="174" t="s">
        <v>327</v>
      </c>
      <c r="V460" s="174">
        <f>Buildings_Water_Frontend[[#This Row],[Type]]</f>
        <v>0</v>
      </c>
      <c r="W460" s="174" t="e" cm="1">
        <f t="array" aca="1" ref="W460" ca="1">_xlfn.XLOOKUP(Buildings_Water_Backend[[#This Row],[Level 5]],rng_Level5Long,rng_Level6Long)</f>
        <v>#N/A</v>
      </c>
      <c r="X460" s="174">
        <f>Buildings_Water_Frontend[[#This Row],[Site Name]]</f>
        <v>0</v>
      </c>
      <c r="Y460" s="174">
        <f>Buildings_Water_Frontend[[#This Row],[Meter Reference]]</f>
        <v>0</v>
      </c>
      <c r="Z460" s="220">
        <f>Buildings_Water_Frontend[[#This Row],[Methodology]]</f>
        <v>0</v>
      </c>
      <c r="AA460" s="229" t="e" cm="1">
        <f t="array" ref="AA460">INDEX(_xlfn.SWITCH(Buildings_Water_Backend[[#This Row],[Methodology]],"Tier 1",rng_RSD1,"Tier 2",rng_RSD2,"Tier 3",rng_RSD3),MATCH(_xlfn.CONCAT(Buildings_Water_Backend[[#This Row],[Level 1]:[Level 6]]),rng_LevelsConcat,0))</f>
        <v>#N/A</v>
      </c>
      <c r="AB460" s="224">
        <f>Buildings_Water_Frontend[[#This Row],[Data]]</f>
        <v>0</v>
      </c>
      <c r="AC460" s="174">
        <f>Buildings_Water_Frontend[[#This Row],[Units]]</f>
        <v>0</v>
      </c>
      <c r="AD460" s="220" t="e">
        <f>IF(Buildings_Water_Backend[[#This Row],[Units]]=Buildings_Water_Backend[[#This Row],[Standard units]],Buildings_Water_Backend[[#This Row],[Data]],Buildings_Water_Backend[[#This Row],[Data]]*_xlfn.XLOOKUP(_xlfn.CONCAT(Buildings_Water_Backend[[#This Row],[Level 1]:[Level 6]]),rng_EFConcat,rng_EFConversion))</f>
        <v>#N/A</v>
      </c>
      <c r="AE460" s="174" t="e" cm="1">
        <f t="array" ref="AE460">_xlfn.XLOOKUP(_xlfn.CONCAT(Buildings_Water_Backend[[#This Row],[Level 1]:[Level 6]]),rng_LevelsConcat,rng_UnitsLong)</f>
        <v>#N/A</v>
      </c>
      <c r="AF460" s="210" t="e">
        <f>_xlfn.XLOOKUP(_xlfn.CONCAT(Buildings_Water_Backend[[#This Row],[Level 1]:[Level 6]]),rng_EFConcat,rng_EF1)*Buildings_Water_Backend[[#This Row],[Converted data]]/1000</f>
        <v>#N/A</v>
      </c>
      <c r="AG460" s="210" t="e">
        <f>_xlfn.XLOOKUP(_xlfn.CONCAT(Buildings_Water_Backend[[#This Row],[Level 1]:[Level 6]]),rng_EFConcat,rng_EF2)*Buildings_Water_Backend[[#This Row],[Converted data]]/1000</f>
        <v>#N/A</v>
      </c>
      <c r="AH460" s="210" t="e">
        <f>_xlfn.XLOOKUP(_xlfn.CONCAT(Buildings_Water_Backend[[#This Row],[Level 1]:[Level 6]]),rng_EFConcat,rng_EF3)*Buildings_Water_Backend[[#This Row],[Converted data]]/1000</f>
        <v>#N/A</v>
      </c>
      <c r="AI460" s="210" t="e">
        <f>_xlfn.XLOOKUP(_xlfn.CONCAT(Buildings_Water_Backend[[#This Row],[Level 1]:[Level 6]]),rng_EFConcat,rng_EF3WTT)*Buildings_Water_Backend[[#This Row],[Converted data]]/1000</f>
        <v>#N/A</v>
      </c>
      <c r="AJ460" s="210" t="e">
        <f>_xlfn.XLOOKUP(_xlfn.CONCAT(Buildings_Water_Backend[[#This Row],[Level 1]:[Level 6]]),rng_EFConcat,rng_EF3TD)*Buildings_Water_Backend[[#This Row],[Converted data]]/1000</f>
        <v>#N/A</v>
      </c>
      <c r="AK460" s="210" t="e">
        <f>_xlfn.XLOOKUP(_xlfn.CONCAT(Buildings_Water_Backend[[#This Row],[Level 1]:[Level 6]]),rng_EFConcat,rng_EF3WTTTD)*Buildings_Water_Backend[[#This Row],[Converted data]]/1000</f>
        <v>#N/A</v>
      </c>
      <c r="AL460" s="220" t="e">
        <f>SUM(Buildings_Water_Backend[[#This Row],[Scope 1 (tCO2e)]:[Scope 3 WTT T&amp;D (tCO2e)]])</f>
        <v>#N/A</v>
      </c>
      <c r="AM460" s="220" t="e">
        <f>Buildings_Water_Backend[[#This Row],[Total (tCO2e)]]*(1-Buildings_Water_Backend[[#This Row],[RSD]])</f>
        <v>#N/A</v>
      </c>
      <c r="AN460" s="220" t="e">
        <f>Buildings_Water_Backend[[#This Row],[Total (tCO2e)]]*(1+Buildings_Water_Backend[[#This Row],[RSD]])</f>
        <v>#N/A</v>
      </c>
      <c r="AO460" s="210" t="e">
        <f>_xlfn.XLOOKUP(_xlfn.CONCAT(Buildings_Water_Backend[[#This Row],[Level 1]:[Level 6]]),rng_EFConcat,rng_EFOOS)*Buildings_Water_Backend[[#This Row],[Converted data]]/1000</f>
        <v>#N/A</v>
      </c>
      <c r="AP460" s="174">
        <f>Buildings_Water_Frontend[[#This Row],[Ease of collection]]</f>
        <v>0</v>
      </c>
      <c r="AQ460" s="174">
        <f>Buildings_Water_Frontend[[#This Row],[Completeness]]</f>
        <v>0</v>
      </c>
      <c r="AR460" s="174">
        <f>Buildings_Water_Frontend[[#This Row],[Notes]]</f>
        <v>0</v>
      </c>
    </row>
    <row r="461" spans="5:44" x14ac:dyDescent="0.3">
      <c r="E461" s="346"/>
      <c r="F461" s="364"/>
      <c r="G461" s="336"/>
      <c r="H461" s="336"/>
      <c r="I461" s="334"/>
      <c r="J461" s="336"/>
      <c r="K461" s="336"/>
      <c r="L461" s="336"/>
      <c r="M461" s="337"/>
      <c r="N461" s="242">
        <f t="shared" si="13"/>
        <v>5</v>
      </c>
      <c r="Q461" s="212" t="str">
        <f t="shared" si="12"/>
        <v/>
      </c>
      <c r="R461" s="174" t="s">
        <v>265</v>
      </c>
      <c r="S461" s="174" t="s">
        <v>273</v>
      </c>
      <c r="T461" s="174" t="e">
        <f>_xlfn.XLOOKUP(Buildings_Water_Backend[[#This Row],[Info 1]],Buildings_SiteInfo[Site name],Buildings_SiteInfo[Site type])</f>
        <v>#N/A</v>
      </c>
      <c r="U461" s="174" t="s">
        <v>327</v>
      </c>
      <c r="V461" s="174">
        <f>Buildings_Water_Frontend[[#This Row],[Type]]</f>
        <v>0</v>
      </c>
      <c r="W461" s="174" t="e" cm="1">
        <f t="array" aca="1" ref="W461" ca="1">_xlfn.XLOOKUP(Buildings_Water_Backend[[#This Row],[Level 5]],rng_Level5Long,rng_Level6Long)</f>
        <v>#N/A</v>
      </c>
      <c r="X461" s="174">
        <f>Buildings_Water_Frontend[[#This Row],[Site Name]]</f>
        <v>0</v>
      </c>
      <c r="Y461" s="174">
        <f>Buildings_Water_Frontend[[#This Row],[Meter Reference]]</f>
        <v>0</v>
      </c>
      <c r="Z461" s="220">
        <f>Buildings_Water_Frontend[[#This Row],[Methodology]]</f>
        <v>0</v>
      </c>
      <c r="AA461" s="229" t="e" cm="1">
        <f t="array" ref="AA461">INDEX(_xlfn.SWITCH(Buildings_Water_Backend[[#This Row],[Methodology]],"Tier 1",rng_RSD1,"Tier 2",rng_RSD2,"Tier 3",rng_RSD3),MATCH(_xlfn.CONCAT(Buildings_Water_Backend[[#This Row],[Level 1]:[Level 6]]),rng_LevelsConcat,0))</f>
        <v>#N/A</v>
      </c>
      <c r="AB461" s="224">
        <f>Buildings_Water_Frontend[[#This Row],[Data]]</f>
        <v>0</v>
      </c>
      <c r="AC461" s="174">
        <f>Buildings_Water_Frontend[[#This Row],[Units]]</f>
        <v>0</v>
      </c>
      <c r="AD461" s="220" t="e">
        <f>IF(Buildings_Water_Backend[[#This Row],[Units]]=Buildings_Water_Backend[[#This Row],[Standard units]],Buildings_Water_Backend[[#This Row],[Data]],Buildings_Water_Backend[[#This Row],[Data]]*_xlfn.XLOOKUP(_xlfn.CONCAT(Buildings_Water_Backend[[#This Row],[Level 1]:[Level 6]]),rng_EFConcat,rng_EFConversion))</f>
        <v>#N/A</v>
      </c>
      <c r="AE461" s="174" t="e" cm="1">
        <f t="array" ref="AE461">_xlfn.XLOOKUP(_xlfn.CONCAT(Buildings_Water_Backend[[#This Row],[Level 1]:[Level 6]]),rng_LevelsConcat,rng_UnitsLong)</f>
        <v>#N/A</v>
      </c>
      <c r="AF461" s="210" t="e">
        <f>_xlfn.XLOOKUP(_xlfn.CONCAT(Buildings_Water_Backend[[#This Row],[Level 1]:[Level 6]]),rng_EFConcat,rng_EF1)*Buildings_Water_Backend[[#This Row],[Converted data]]/1000</f>
        <v>#N/A</v>
      </c>
      <c r="AG461" s="210" t="e">
        <f>_xlfn.XLOOKUP(_xlfn.CONCAT(Buildings_Water_Backend[[#This Row],[Level 1]:[Level 6]]),rng_EFConcat,rng_EF2)*Buildings_Water_Backend[[#This Row],[Converted data]]/1000</f>
        <v>#N/A</v>
      </c>
      <c r="AH461" s="210" t="e">
        <f>_xlfn.XLOOKUP(_xlfn.CONCAT(Buildings_Water_Backend[[#This Row],[Level 1]:[Level 6]]),rng_EFConcat,rng_EF3)*Buildings_Water_Backend[[#This Row],[Converted data]]/1000</f>
        <v>#N/A</v>
      </c>
      <c r="AI461" s="210" t="e">
        <f>_xlfn.XLOOKUP(_xlfn.CONCAT(Buildings_Water_Backend[[#This Row],[Level 1]:[Level 6]]),rng_EFConcat,rng_EF3WTT)*Buildings_Water_Backend[[#This Row],[Converted data]]/1000</f>
        <v>#N/A</v>
      </c>
      <c r="AJ461" s="210" t="e">
        <f>_xlfn.XLOOKUP(_xlfn.CONCAT(Buildings_Water_Backend[[#This Row],[Level 1]:[Level 6]]),rng_EFConcat,rng_EF3TD)*Buildings_Water_Backend[[#This Row],[Converted data]]/1000</f>
        <v>#N/A</v>
      </c>
      <c r="AK461" s="210" t="e">
        <f>_xlfn.XLOOKUP(_xlfn.CONCAT(Buildings_Water_Backend[[#This Row],[Level 1]:[Level 6]]),rng_EFConcat,rng_EF3WTTTD)*Buildings_Water_Backend[[#This Row],[Converted data]]/1000</f>
        <v>#N/A</v>
      </c>
      <c r="AL461" s="220" t="e">
        <f>SUM(Buildings_Water_Backend[[#This Row],[Scope 1 (tCO2e)]:[Scope 3 WTT T&amp;D (tCO2e)]])</f>
        <v>#N/A</v>
      </c>
      <c r="AM461" s="220" t="e">
        <f>Buildings_Water_Backend[[#This Row],[Total (tCO2e)]]*(1-Buildings_Water_Backend[[#This Row],[RSD]])</f>
        <v>#N/A</v>
      </c>
      <c r="AN461" s="220" t="e">
        <f>Buildings_Water_Backend[[#This Row],[Total (tCO2e)]]*(1+Buildings_Water_Backend[[#This Row],[RSD]])</f>
        <v>#N/A</v>
      </c>
      <c r="AO461" s="210" t="e">
        <f>_xlfn.XLOOKUP(_xlfn.CONCAT(Buildings_Water_Backend[[#This Row],[Level 1]:[Level 6]]),rng_EFConcat,rng_EFOOS)*Buildings_Water_Backend[[#This Row],[Converted data]]/1000</f>
        <v>#N/A</v>
      </c>
      <c r="AP461" s="174">
        <f>Buildings_Water_Frontend[[#This Row],[Ease of collection]]</f>
        <v>0</v>
      </c>
      <c r="AQ461" s="174">
        <f>Buildings_Water_Frontend[[#This Row],[Completeness]]</f>
        <v>0</v>
      </c>
      <c r="AR461" s="174">
        <f>Buildings_Water_Frontend[[#This Row],[Notes]]</f>
        <v>0</v>
      </c>
    </row>
    <row r="462" spans="5:44" x14ac:dyDescent="0.3">
      <c r="E462" s="346"/>
      <c r="F462" s="364"/>
      <c r="G462" s="336"/>
      <c r="H462" s="336"/>
      <c r="I462" s="334"/>
      <c r="J462" s="336"/>
      <c r="K462" s="336"/>
      <c r="L462" s="336"/>
      <c r="M462" s="337"/>
      <c r="N462" s="242">
        <f t="shared" si="13"/>
        <v>5</v>
      </c>
      <c r="Q462" s="212" t="str">
        <f t="shared" si="12"/>
        <v/>
      </c>
      <c r="R462" s="174" t="s">
        <v>265</v>
      </c>
      <c r="S462" s="174" t="s">
        <v>273</v>
      </c>
      <c r="T462" s="174" t="e">
        <f>_xlfn.XLOOKUP(Buildings_Water_Backend[[#This Row],[Info 1]],Buildings_SiteInfo[Site name],Buildings_SiteInfo[Site type])</f>
        <v>#N/A</v>
      </c>
      <c r="U462" s="174" t="s">
        <v>327</v>
      </c>
      <c r="V462" s="174">
        <f>Buildings_Water_Frontend[[#This Row],[Type]]</f>
        <v>0</v>
      </c>
      <c r="W462" s="174" t="e" cm="1">
        <f t="array" aca="1" ref="W462" ca="1">_xlfn.XLOOKUP(Buildings_Water_Backend[[#This Row],[Level 5]],rng_Level5Long,rng_Level6Long)</f>
        <v>#N/A</v>
      </c>
      <c r="X462" s="174">
        <f>Buildings_Water_Frontend[[#This Row],[Site Name]]</f>
        <v>0</v>
      </c>
      <c r="Y462" s="174">
        <f>Buildings_Water_Frontend[[#This Row],[Meter Reference]]</f>
        <v>0</v>
      </c>
      <c r="Z462" s="220">
        <f>Buildings_Water_Frontend[[#This Row],[Methodology]]</f>
        <v>0</v>
      </c>
      <c r="AA462" s="229" t="e" cm="1">
        <f t="array" ref="AA462">INDEX(_xlfn.SWITCH(Buildings_Water_Backend[[#This Row],[Methodology]],"Tier 1",rng_RSD1,"Tier 2",rng_RSD2,"Tier 3",rng_RSD3),MATCH(_xlfn.CONCAT(Buildings_Water_Backend[[#This Row],[Level 1]:[Level 6]]),rng_LevelsConcat,0))</f>
        <v>#N/A</v>
      </c>
      <c r="AB462" s="224">
        <f>Buildings_Water_Frontend[[#This Row],[Data]]</f>
        <v>0</v>
      </c>
      <c r="AC462" s="174">
        <f>Buildings_Water_Frontend[[#This Row],[Units]]</f>
        <v>0</v>
      </c>
      <c r="AD462" s="220" t="e">
        <f>IF(Buildings_Water_Backend[[#This Row],[Units]]=Buildings_Water_Backend[[#This Row],[Standard units]],Buildings_Water_Backend[[#This Row],[Data]],Buildings_Water_Backend[[#This Row],[Data]]*_xlfn.XLOOKUP(_xlfn.CONCAT(Buildings_Water_Backend[[#This Row],[Level 1]:[Level 6]]),rng_EFConcat,rng_EFConversion))</f>
        <v>#N/A</v>
      </c>
      <c r="AE462" s="174" t="e" cm="1">
        <f t="array" ref="AE462">_xlfn.XLOOKUP(_xlfn.CONCAT(Buildings_Water_Backend[[#This Row],[Level 1]:[Level 6]]),rng_LevelsConcat,rng_UnitsLong)</f>
        <v>#N/A</v>
      </c>
      <c r="AF462" s="210" t="e">
        <f>_xlfn.XLOOKUP(_xlfn.CONCAT(Buildings_Water_Backend[[#This Row],[Level 1]:[Level 6]]),rng_EFConcat,rng_EF1)*Buildings_Water_Backend[[#This Row],[Converted data]]/1000</f>
        <v>#N/A</v>
      </c>
      <c r="AG462" s="210" t="e">
        <f>_xlfn.XLOOKUP(_xlfn.CONCAT(Buildings_Water_Backend[[#This Row],[Level 1]:[Level 6]]),rng_EFConcat,rng_EF2)*Buildings_Water_Backend[[#This Row],[Converted data]]/1000</f>
        <v>#N/A</v>
      </c>
      <c r="AH462" s="210" t="e">
        <f>_xlfn.XLOOKUP(_xlfn.CONCAT(Buildings_Water_Backend[[#This Row],[Level 1]:[Level 6]]),rng_EFConcat,rng_EF3)*Buildings_Water_Backend[[#This Row],[Converted data]]/1000</f>
        <v>#N/A</v>
      </c>
      <c r="AI462" s="210" t="e">
        <f>_xlfn.XLOOKUP(_xlfn.CONCAT(Buildings_Water_Backend[[#This Row],[Level 1]:[Level 6]]),rng_EFConcat,rng_EF3WTT)*Buildings_Water_Backend[[#This Row],[Converted data]]/1000</f>
        <v>#N/A</v>
      </c>
      <c r="AJ462" s="210" t="e">
        <f>_xlfn.XLOOKUP(_xlfn.CONCAT(Buildings_Water_Backend[[#This Row],[Level 1]:[Level 6]]),rng_EFConcat,rng_EF3TD)*Buildings_Water_Backend[[#This Row],[Converted data]]/1000</f>
        <v>#N/A</v>
      </c>
      <c r="AK462" s="210" t="e">
        <f>_xlfn.XLOOKUP(_xlfn.CONCAT(Buildings_Water_Backend[[#This Row],[Level 1]:[Level 6]]),rng_EFConcat,rng_EF3WTTTD)*Buildings_Water_Backend[[#This Row],[Converted data]]/1000</f>
        <v>#N/A</v>
      </c>
      <c r="AL462" s="220" t="e">
        <f>SUM(Buildings_Water_Backend[[#This Row],[Scope 1 (tCO2e)]:[Scope 3 WTT T&amp;D (tCO2e)]])</f>
        <v>#N/A</v>
      </c>
      <c r="AM462" s="220" t="e">
        <f>Buildings_Water_Backend[[#This Row],[Total (tCO2e)]]*(1-Buildings_Water_Backend[[#This Row],[RSD]])</f>
        <v>#N/A</v>
      </c>
      <c r="AN462" s="220" t="e">
        <f>Buildings_Water_Backend[[#This Row],[Total (tCO2e)]]*(1+Buildings_Water_Backend[[#This Row],[RSD]])</f>
        <v>#N/A</v>
      </c>
      <c r="AO462" s="210" t="e">
        <f>_xlfn.XLOOKUP(_xlfn.CONCAT(Buildings_Water_Backend[[#This Row],[Level 1]:[Level 6]]),rng_EFConcat,rng_EFOOS)*Buildings_Water_Backend[[#This Row],[Converted data]]/1000</f>
        <v>#N/A</v>
      </c>
      <c r="AP462" s="174">
        <f>Buildings_Water_Frontend[[#This Row],[Ease of collection]]</f>
        <v>0</v>
      </c>
      <c r="AQ462" s="174">
        <f>Buildings_Water_Frontend[[#This Row],[Completeness]]</f>
        <v>0</v>
      </c>
      <c r="AR462" s="174">
        <f>Buildings_Water_Frontend[[#This Row],[Notes]]</f>
        <v>0</v>
      </c>
    </row>
    <row r="463" spans="5:44" x14ac:dyDescent="0.3">
      <c r="E463" s="346"/>
      <c r="F463" s="364"/>
      <c r="G463" s="336"/>
      <c r="H463" s="336"/>
      <c r="I463" s="334"/>
      <c r="J463" s="336"/>
      <c r="K463" s="336"/>
      <c r="L463" s="336"/>
      <c r="M463" s="337"/>
      <c r="N463" s="242">
        <f t="shared" si="13"/>
        <v>5</v>
      </c>
      <c r="Q463" s="212" t="str">
        <f t="shared" ref="Q463:Q514" si="14">IF(N463=0,SUBSTITUTE(2025&amp;TRIM(cl_org_name_select)&amp;TRIM($E$12)&amp;(ROW(N463)-ROW($N$15))," ",""),"")</f>
        <v/>
      </c>
      <c r="R463" s="174" t="s">
        <v>265</v>
      </c>
      <c r="S463" s="174" t="s">
        <v>273</v>
      </c>
      <c r="T463" s="174" t="e">
        <f>_xlfn.XLOOKUP(Buildings_Water_Backend[[#This Row],[Info 1]],Buildings_SiteInfo[Site name],Buildings_SiteInfo[Site type])</f>
        <v>#N/A</v>
      </c>
      <c r="U463" s="174" t="s">
        <v>327</v>
      </c>
      <c r="V463" s="174">
        <f>Buildings_Water_Frontend[[#This Row],[Type]]</f>
        <v>0</v>
      </c>
      <c r="W463" s="174" t="e" cm="1">
        <f t="array" aca="1" ref="W463" ca="1">_xlfn.XLOOKUP(Buildings_Water_Backend[[#This Row],[Level 5]],rng_Level5Long,rng_Level6Long)</f>
        <v>#N/A</v>
      </c>
      <c r="X463" s="174">
        <f>Buildings_Water_Frontend[[#This Row],[Site Name]]</f>
        <v>0</v>
      </c>
      <c r="Y463" s="174">
        <f>Buildings_Water_Frontend[[#This Row],[Meter Reference]]</f>
        <v>0</v>
      </c>
      <c r="Z463" s="220">
        <f>Buildings_Water_Frontend[[#This Row],[Methodology]]</f>
        <v>0</v>
      </c>
      <c r="AA463" s="229" t="e" cm="1">
        <f t="array" ref="AA463">INDEX(_xlfn.SWITCH(Buildings_Water_Backend[[#This Row],[Methodology]],"Tier 1",rng_RSD1,"Tier 2",rng_RSD2,"Tier 3",rng_RSD3),MATCH(_xlfn.CONCAT(Buildings_Water_Backend[[#This Row],[Level 1]:[Level 6]]),rng_LevelsConcat,0))</f>
        <v>#N/A</v>
      </c>
      <c r="AB463" s="224">
        <f>Buildings_Water_Frontend[[#This Row],[Data]]</f>
        <v>0</v>
      </c>
      <c r="AC463" s="174">
        <f>Buildings_Water_Frontend[[#This Row],[Units]]</f>
        <v>0</v>
      </c>
      <c r="AD463" s="220" t="e">
        <f>IF(Buildings_Water_Backend[[#This Row],[Units]]=Buildings_Water_Backend[[#This Row],[Standard units]],Buildings_Water_Backend[[#This Row],[Data]],Buildings_Water_Backend[[#This Row],[Data]]*_xlfn.XLOOKUP(_xlfn.CONCAT(Buildings_Water_Backend[[#This Row],[Level 1]:[Level 6]]),rng_EFConcat,rng_EFConversion))</f>
        <v>#N/A</v>
      </c>
      <c r="AE463" s="174" t="e" cm="1">
        <f t="array" ref="AE463">_xlfn.XLOOKUP(_xlfn.CONCAT(Buildings_Water_Backend[[#This Row],[Level 1]:[Level 6]]),rng_LevelsConcat,rng_UnitsLong)</f>
        <v>#N/A</v>
      </c>
      <c r="AF463" s="210" t="e">
        <f>_xlfn.XLOOKUP(_xlfn.CONCAT(Buildings_Water_Backend[[#This Row],[Level 1]:[Level 6]]),rng_EFConcat,rng_EF1)*Buildings_Water_Backend[[#This Row],[Converted data]]/1000</f>
        <v>#N/A</v>
      </c>
      <c r="AG463" s="210" t="e">
        <f>_xlfn.XLOOKUP(_xlfn.CONCAT(Buildings_Water_Backend[[#This Row],[Level 1]:[Level 6]]),rng_EFConcat,rng_EF2)*Buildings_Water_Backend[[#This Row],[Converted data]]/1000</f>
        <v>#N/A</v>
      </c>
      <c r="AH463" s="210" t="e">
        <f>_xlfn.XLOOKUP(_xlfn.CONCAT(Buildings_Water_Backend[[#This Row],[Level 1]:[Level 6]]),rng_EFConcat,rng_EF3)*Buildings_Water_Backend[[#This Row],[Converted data]]/1000</f>
        <v>#N/A</v>
      </c>
      <c r="AI463" s="210" t="e">
        <f>_xlfn.XLOOKUP(_xlfn.CONCAT(Buildings_Water_Backend[[#This Row],[Level 1]:[Level 6]]),rng_EFConcat,rng_EF3WTT)*Buildings_Water_Backend[[#This Row],[Converted data]]/1000</f>
        <v>#N/A</v>
      </c>
      <c r="AJ463" s="210" t="e">
        <f>_xlfn.XLOOKUP(_xlfn.CONCAT(Buildings_Water_Backend[[#This Row],[Level 1]:[Level 6]]),rng_EFConcat,rng_EF3TD)*Buildings_Water_Backend[[#This Row],[Converted data]]/1000</f>
        <v>#N/A</v>
      </c>
      <c r="AK463" s="210" t="e">
        <f>_xlfn.XLOOKUP(_xlfn.CONCAT(Buildings_Water_Backend[[#This Row],[Level 1]:[Level 6]]),rng_EFConcat,rng_EF3WTTTD)*Buildings_Water_Backend[[#This Row],[Converted data]]/1000</f>
        <v>#N/A</v>
      </c>
      <c r="AL463" s="220" t="e">
        <f>SUM(Buildings_Water_Backend[[#This Row],[Scope 1 (tCO2e)]:[Scope 3 WTT T&amp;D (tCO2e)]])</f>
        <v>#N/A</v>
      </c>
      <c r="AM463" s="220" t="e">
        <f>Buildings_Water_Backend[[#This Row],[Total (tCO2e)]]*(1-Buildings_Water_Backend[[#This Row],[RSD]])</f>
        <v>#N/A</v>
      </c>
      <c r="AN463" s="220" t="e">
        <f>Buildings_Water_Backend[[#This Row],[Total (tCO2e)]]*(1+Buildings_Water_Backend[[#This Row],[RSD]])</f>
        <v>#N/A</v>
      </c>
      <c r="AO463" s="210" t="e">
        <f>_xlfn.XLOOKUP(_xlfn.CONCAT(Buildings_Water_Backend[[#This Row],[Level 1]:[Level 6]]),rng_EFConcat,rng_EFOOS)*Buildings_Water_Backend[[#This Row],[Converted data]]/1000</f>
        <v>#N/A</v>
      </c>
      <c r="AP463" s="174">
        <f>Buildings_Water_Frontend[[#This Row],[Ease of collection]]</f>
        <v>0</v>
      </c>
      <c r="AQ463" s="174">
        <f>Buildings_Water_Frontend[[#This Row],[Completeness]]</f>
        <v>0</v>
      </c>
      <c r="AR463" s="174">
        <f>Buildings_Water_Frontend[[#This Row],[Notes]]</f>
        <v>0</v>
      </c>
    </row>
    <row r="464" spans="5:44" x14ac:dyDescent="0.3">
      <c r="E464" s="346"/>
      <c r="F464" s="364"/>
      <c r="G464" s="336"/>
      <c r="H464" s="336"/>
      <c r="I464" s="334"/>
      <c r="J464" s="336"/>
      <c r="K464" s="336"/>
      <c r="L464" s="336"/>
      <c r="M464" s="337"/>
      <c r="N464" s="242">
        <f t="shared" ref="N464:N514" si="15">ISBLANK(E464)+ISBLANK(G464)+ISBLANK(H464)+ISBLANK(I464)+ISBLANK(J464)</f>
        <v>5</v>
      </c>
      <c r="Q464" s="212" t="str">
        <f t="shared" si="14"/>
        <v/>
      </c>
      <c r="R464" s="174" t="s">
        <v>265</v>
      </c>
      <c r="S464" s="174" t="s">
        <v>273</v>
      </c>
      <c r="T464" s="174" t="e">
        <f>_xlfn.XLOOKUP(Buildings_Water_Backend[[#This Row],[Info 1]],Buildings_SiteInfo[Site name],Buildings_SiteInfo[Site type])</f>
        <v>#N/A</v>
      </c>
      <c r="U464" s="174" t="s">
        <v>327</v>
      </c>
      <c r="V464" s="174">
        <f>Buildings_Water_Frontend[[#This Row],[Type]]</f>
        <v>0</v>
      </c>
      <c r="W464" s="174" t="e" cm="1">
        <f t="array" aca="1" ref="W464" ca="1">_xlfn.XLOOKUP(Buildings_Water_Backend[[#This Row],[Level 5]],rng_Level5Long,rng_Level6Long)</f>
        <v>#N/A</v>
      </c>
      <c r="X464" s="174">
        <f>Buildings_Water_Frontend[[#This Row],[Site Name]]</f>
        <v>0</v>
      </c>
      <c r="Y464" s="174">
        <f>Buildings_Water_Frontend[[#This Row],[Meter Reference]]</f>
        <v>0</v>
      </c>
      <c r="Z464" s="220">
        <f>Buildings_Water_Frontend[[#This Row],[Methodology]]</f>
        <v>0</v>
      </c>
      <c r="AA464" s="229" t="e" cm="1">
        <f t="array" ref="AA464">INDEX(_xlfn.SWITCH(Buildings_Water_Backend[[#This Row],[Methodology]],"Tier 1",rng_RSD1,"Tier 2",rng_RSD2,"Tier 3",rng_RSD3),MATCH(_xlfn.CONCAT(Buildings_Water_Backend[[#This Row],[Level 1]:[Level 6]]),rng_LevelsConcat,0))</f>
        <v>#N/A</v>
      </c>
      <c r="AB464" s="224">
        <f>Buildings_Water_Frontend[[#This Row],[Data]]</f>
        <v>0</v>
      </c>
      <c r="AC464" s="174">
        <f>Buildings_Water_Frontend[[#This Row],[Units]]</f>
        <v>0</v>
      </c>
      <c r="AD464" s="220" t="e">
        <f>IF(Buildings_Water_Backend[[#This Row],[Units]]=Buildings_Water_Backend[[#This Row],[Standard units]],Buildings_Water_Backend[[#This Row],[Data]],Buildings_Water_Backend[[#This Row],[Data]]*_xlfn.XLOOKUP(_xlfn.CONCAT(Buildings_Water_Backend[[#This Row],[Level 1]:[Level 6]]),rng_EFConcat,rng_EFConversion))</f>
        <v>#N/A</v>
      </c>
      <c r="AE464" s="174" t="e" cm="1">
        <f t="array" ref="AE464">_xlfn.XLOOKUP(_xlfn.CONCAT(Buildings_Water_Backend[[#This Row],[Level 1]:[Level 6]]),rng_LevelsConcat,rng_UnitsLong)</f>
        <v>#N/A</v>
      </c>
      <c r="AF464" s="210" t="e">
        <f>_xlfn.XLOOKUP(_xlfn.CONCAT(Buildings_Water_Backend[[#This Row],[Level 1]:[Level 6]]),rng_EFConcat,rng_EF1)*Buildings_Water_Backend[[#This Row],[Converted data]]/1000</f>
        <v>#N/A</v>
      </c>
      <c r="AG464" s="210" t="e">
        <f>_xlfn.XLOOKUP(_xlfn.CONCAT(Buildings_Water_Backend[[#This Row],[Level 1]:[Level 6]]),rng_EFConcat,rng_EF2)*Buildings_Water_Backend[[#This Row],[Converted data]]/1000</f>
        <v>#N/A</v>
      </c>
      <c r="AH464" s="210" t="e">
        <f>_xlfn.XLOOKUP(_xlfn.CONCAT(Buildings_Water_Backend[[#This Row],[Level 1]:[Level 6]]),rng_EFConcat,rng_EF3)*Buildings_Water_Backend[[#This Row],[Converted data]]/1000</f>
        <v>#N/A</v>
      </c>
      <c r="AI464" s="210" t="e">
        <f>_xlfn.XLOOKUP(_xlfn.CONCAT(Buildings_Water_Backend[[#This Row],[Level 1]:[Level 6]]),rng_EFConcat,rng_EF3WTT)*Buildings_Water_Backend[[#This Row],[Converted data]]/1000</f>
        <v>#N/A</v>
      </c>
      <c r="AJ464" s="210" t="e">
        <f>_xlfn.XLOOKUP(_xlfn.CONCAT(Buildings_Water_Backend[[#This Row],[Level 1]:[Level 6]]),rng_EFConcat,rng_EF3TD)*Buildings_Water_Backend[[#This Row],[Converted data]]/1000</f>
        <v>#N/A</v>
      </c>
      <c r="AK464" s="210" t="e">
        <f>_xlfn.XLOOKUP(_xlfn.CONCAT(Buildings_Water_Backend[[#This Row],[Level 1]:[Level 6]]),rng_EFConcat,rng_EF3WTTTD)*Buildings_Water_Backend[[#This Row],[Converted data]]/1000</f>
        <v>#N/A</v>
      </c>
      <c r="AL464" s="220" t="e">
        <f>SUM(Buildings_Water_Backend[[#This Row],[Scope 1 (tCO2e)]:[Scope 3 WTT T&amp;D (tCO2e)]])</f>
        <v>#N/A</v>
      </c>
      <c r="AM464" s="220" t="e">
        <f>Buildings_Water_Backend[[#This Row],[Total (tCO2e)]]*(1-Buildings_Water_Backend[[#This Row],[RSD]])</f>
        <v>#N/A</v>
      </c>
      <c r="AN464" s="220" t="e">
        <f>Buildings_Water_Backend[[#This Row],[Total (tCO2e)]]*(1+Buildings_Water_Backend[[#This Row],[RSD]])</f>
        <v>#N/A</v>
      </c>
      <c r="AO464" s="210" t="e">
        <f>_xlfn.XLOOKUP(_xlfn.CONCAT(Buildings_Water_Backend[[#This Row],[Level 1]:[Level 6]]),rng_EFConcat,rng_EFOOS)*Buildings_Water_Backend[[#This Row],[Converted data]]/1000</f>
        <v>#N/A</v>
      </c>
      <c r="AP464" s="174">
        <f>Buildings_Water_Frontend[[#This Row],[Ease of collection]]</f>
        <v>0</v>
      </c>
      <c r="AQ464" s="174">
        <f>Buildings_Water_Frontend[[#This Row],[Completeness]]</f>
        <v>0</v>
      </c>
      <c r="AR464" s="174">
        <f>Buildings_Water_Frontend[[#This Row],[Notes]]</f>
        <v>0</v>
      </c>
    </row>
    <row r="465" spans="5:44" x14ac:dyDescent="0.3">
      <c r="E465" s="346"/>
      <c r="F465" s="364"/>
      <c r="G465" s="336"/>
      <c r="H465" s="336"/>
      <c r="I465" s="334"/>
      <c r="J465" s="336"/>
      <c r="K465" s="336"/>
      <c r="L465" s="336"/>
      <c r="M465" s="337"/>
      <c r="N465" s="242">
        <f t="shared" si="15"/>
        <v>5</v>
      </c>
      <c r="Q465" s="212" t="str">
        <f t="shared" si="14"/>
        <v/>
      </c>
      <c r="R465" s="174" t="s">
        <v>265</v>
      </c>
      <c r="S465" s="174" t="s">
        <v>273</v>
      </c>
      <c r="T465" s="174" t="e">
        <f>_xlfn.XLOOKUP(Buildings_Water_Backend[[#This Row],[Info 1]],Buildings_SiteInfo[Site name],Buildings_SiteInfo[Site type])</f>
        <v>#N/A</v>
      </c>
      <c r="U465" s="174" t="s">
        <v>327</v>
      </c>
      <c r="V465" s="174">
        <f>Buildings_Water_Frontend[[#This Row],[Type]]</f>
        <v>0</v>
      </c>
      <c r="W465" s="174" t="e" cm="1">
        <f t="array" aca="1" ref="W465" ca="1">_xlfn.XLOOKUP(Buildings_Water_Backend[[#This Row],[Level 5]],rng_Level5Long,rng_Level6Long)</f>
        <v>#N/A</v>
      </c>
      <c r="X465" s="174">
        <f>Buildings_Water_Frontend[[#This Row],[Site Name]]</f>
        <v>0</v>
      </c>
      <c r="Y465" s="174">
        <f>Buildings_Water_Frontend[[#This Row],[Meter Reference]]</f>
        <v>0</v>
      </c>
      <c r="Z465" s="220">
        <f>Buildings_Water_Frontend[[#This Row],[Methodology]]</f>
        <v>0</v>
      </c>
      <c r="AA465" s="229" t="e" cm="1">
        <f t="array" ref="AA465">INDEX(_xlfn.SWITCH(Buildings_Water_Backend[[#This Row],[Methodology]],"Tier 1",rng_RSD1,"Tier 2",rng_RSD2,"Tier 3",rng_RSD3),MATCH(_xlfn.CONCAT(Buildings_Water_Backend[[#This Row],[Level 1]:[Level 6]]),rng_LevelsConcat,0))</f>
        <v>#N/A</v>
      </c>
      <c r="AB465" s="224">
        <f>Buildings_Water_Frontend[[#This Row],[Data]]</f>
        <v>0</v>
      </c>
      <c r="AC465" s="174">
        <f>Buildings_Water_Frontend[[#This Row],[Units]]</f>
        <v>0</v>
      </c>
      <c r="AD465" s="220" t="e">
        <f>IF(Buildings_Water_Backend[[#This Row],[Units]]=Buildings_Water_Backend[[#This Row],[Standard units]],Buildings_Water_Backend[[#This Row],[Data]],Buildings_Water_Backend[[#This Row],[Data]]*_xlfn.XLOOKUP(_xlfn.CONCAT(Buildings_Water_Backend[[#This Row],[Level 1]:[Level 6]]),rng_EFConcat,rng_EFConversion))</f>
        <v>#N/A</v>
      </c>
      <c r="AE465" s="174" t="e" cm="1">
        <f t="array" ref="AE465">_xlfn.XLOOKUP(_xlfn.CONCAT(Buildings_Water_Backend[[#This Row],[Level 1]:[Level 6]]),rng_LevelsConcat,rng_UnitsLong)</f>
        <v>#N/A</v>
      </c>
      <c r="AF465" s="210" t="e">
        <f>_xlfn.XLOOKUP(_xlfn.CONCAT(Buildings_Water_Backend[[#This Row],[Level 1]:[Level 6]]),rng_EFConcat,rng_EF1)*Buildings_Water_Backend[[#This Row],[Converted data]]/1000</f>
        <v>#N/A</v>
      </c>
      <c r="AG465" s="210" t="e">
        <f>_xlfn.XLOOKUP(_xlfn.CONCAT(Buildings_Water_Backend[[#This Row],[Level 1]:[Level 6]]),rng_EFConcat,rng_EF2)*Buildings_Water_Backend[[#This Row],[Converted data]]/1000</f>
        <v>#N/A</v>
      </c>
      <c r="AH465" s="210" t="e">
        <f>_xlfn.XLOOKUP(_xlfn.CONCAT(Buildings_Water_Backend[[#This Row],[Level 1]:[Level 6]]),rng_EFConcat,rng_EF3)*Buildings_Water_Backend[[#This Row],[Converted data]]/1000</f>
        <v>#N/A</v>
      </c>
      <c r="AI465" s="210" t="e">
        <f>_xlfn.XLOOKUP(_xlfn.CONCAT(Buildings_Water_Backend[[#This Row],[Level 1]:[Level 6]]),rng_EFConcat,rng_EF3WTT)*Buildings_Water_Backend[[#This Row],[Converted data]]/1000</f>
        <v>#N/A</v>
      </c>
      <c r="AJ465" s="210" t="e">
        <f>_xlfn.XLOOKUP(_xlfn.CONCAT(Buildings_Water_Backend[[#This Row],[Level 1]:[Level 6]]),rng_EFConcat,rng_EF3TD)*Buildings_Water_Backend[[#This Row],[Converted data]]/1000</f>
        <v>#N/A</v>
      </c>
      <c r="AK465" s="210" t="e">
        <f>_xlfn.XLOOKUP(_xlfn.CONCAT(Buildings_Water_Backend[[#This Row],[Level 1]:[Level 6]]),rng_EFConcat,rng_EF3WTTTD)*Buildings_Water_Backend[[#This Row],[Converted data]]/1000</f>
        <v>#N/A</v>
      </c>
      <c r="AL465" s="220" t="e">
        <f>SUM(Buildings_Water_Backend[[#This Row],[Scope 1 (tCO2e)]:[Scope 3 WTT T&amp;D (tCO2e)]])</f>
        <v>#N/A</v>
      </c>
      <c r="AM465" s="220" t="e">
        <f>Buildings_Water_Backend[[#This Row],[Total (tCO2e)]]*(1-Buildings_Water_Backend[[#This Row],[RSD]])</f>
        <v>#N/A</v>
      </c>
      <c r="AN465" s="220" t="e">
        <f>Buildings_Water_Backend[[#This Row],[Total (tCO2e)]]*(1+Buildings_Water_Backend[[#This Row],[RSD]])</f>
        <v>#N/A</v>
      </c>
      <c r="AO465" s="210" t="e">
        <f>_xlfn.XLOOKUP(_xlfn.CONCAT(Buildings_Water_Backend[[#This Row],[Level 1]:[Level 6]]),rng_EFConcat,rng_EFOOS)*Buildings_Water_Backend[[#This Row],[Converted data]]/1000</f>
        <v>#N/A</v>
      </c>
      <c r="AP465" s="174">
        <f>Buildings_Water_Frontend[[#This Row],[Ease of collection]]</f>
        <v>0</v>
      </c>
      <c r="AQ465" s="174">
        <f>Buildings_Water_Frontend[[#This Row],[Completeness]]</f>
        <v>0</v>
      </c>
      <c r="AR465" s="174">
        <f>Buildings_Water_Frontend[[#This Row],[Notes]]</f>
        <v>0</v>
      </c>
    </row>
    <row r="466" spans="5:44" x14ac:dyDescent="0.3">
      <c r="E466" s="346"/>
      <c r="F466" s="364"/>
      <c r="G466" s="336"/>
      <c r="H466" s="336"/>
      <c r="I466" s="334"/>
      <c r="J466" s="336"/>
      <c r="K466" s="336"/>
      <c r="L466" s="336"/>
      <c r="M466" s="337"/>
      <c r="N466" s="242">
        <f t="shared" si="15"/>
        <v>5</v>
      </c>
      <c r="Q466" s="212" t="str">
        <f t="shared" si="14"/>
        <v/>
      </c>
      <c r="R466" s="174" t="s">
        <v>265</v>
      </c>
      <c r="S466" s="174" t="s">
        <v>273</v>
      </c>
      <c r="T466" s="174" t="e">
        <f>_xlfn.XLOOKUP(Buildings_Water_Backend[[#This Row],[Info 1]],Buildings_SiteInfo[Site name],Buildings_SiteInfo[Site type])</f>
        <v>#N/A</v>
      </c>
      <c r="U466" s="174" t="s">
        <v>327</v>
      </c>
      <c r="V466" s="174">
        <f>Buildings_Water_Frontend[[#This Row],[Type]]</f>
        <v>0</v>
      </c>
      <c r="W466" s="174" t="e" cm="1">
        <f t="array" aca="1" ref="W466" ca="1">_xlfn.XLOOKUP(Buildings_Water_Backend[[#This Row],[Level 5]],rng_Level5Long,rng_Level6Long)</f>
        <v>#N/A</v>
      </c>
      <c r="X466" s="174">
        <f>Buildings_Water_Frontend[[#This Row],[Site Name]]</f>
        <v>0</v>
      </c>
      <c r="Y466" s="174">
        <f>Buildings_Water_Frontend[[#This Row],[Meter Reference]]</f>
        <v>0</v>
      </c>
      <c r="Z466" s="220">
        <f>Buildings_Water_Frontend[[#This Row],[Methodology]]</f>
        <v>0</v>
      </c>
      <c r="AA466" s="229" t="e" cm="1">
        <f t="array" ref="AA466">INDEX(_xlfn.SWITCH(Buildings_Water_Backend[[#This Row],[Methodology]],"Tier 1",rng_RSD1,"Tier 2",rng_RSD2,"Tier 3",rng_RSD3),MATCH(_xlfn.CONCAT(Buildings_Water_Backend[[#This Row],[Level 1]:[Level 6]]),rng_LevelsConcat,0))</f>
        <v>#N/A</v>
      </c>
      <c r="AB466" s="224">
        <f>Buildings_Water_Frontend[[#This Row],[Data]]</f>
        <v>0</v>
      </c>
      <c r="AC466" s="174">
        <f>Buildings_Water_Frontend[[#This Row],[Units]]</f>
        <v>0</v>
      </c>
      <c r="AD466" s="220" t="e">
        <f>IF(Buildings_Water_Backend[[#This Row],[Units]]=Buildings_Water_Backend[[#This Row],[Standard units]],Buildings_Water_Backend[[#This Row],[Data]],Buildings_Water_Backend[[#This Row],[Data]]*_xlfn.XLOOKUP(_xlfn.CONCAT(Buildings_Water_Backend[[#This Row],[Level 1]:[Level 6]]),rng_EFConcat,rng_EFConversion))</f>
        <v>#N/A</v>
      </c>
      <c r="AE466" s="174" t="e" cm="1">
        <f t="array" ref="AE466">_xlfn.XLOOKUP(_xlfn.CONCAT(Buildings_Water_Backend[[#This Row],[Level 1]:[Level 6]]),rng_LevelsConcat,rng_UnitsLong)</f>
        <v>#N/A</v>
      </c>
      <c r="AF466" s="210" t="e">
        <f>_xlfn.XLOOKUP(_xlfn.CONCAT(Buildings_Water_Backend[[#This Row],[Level 1]:[Level 6]]),rng_EFConcat,rng_EF1)*Buildings_Water_Backend[[#This Row],[Converted data]]/1000</f>
        <v>#N/A</v>
      </c>
      <c r="AG466" s="210" t="e">
        <f>_xlfn.XLOOKUP(_xlfn.CONCAT(Buildings_Water_Backend[[#This Row],[Level 1]:[Level 6]]),rng_EFConcat,rng_EF2)*Buildings_Water_Backend[[#This Row],[Converted data]]/1000</f>
        <v>#N/A</v>
      </c>
      <c r="AH466" s="210" t="e">
        <f>_xlfn.XLOOKUP(_xlfn.CONCAT(Buildings_Water_Backend[[#This Row],[Level 1]:[Level 6]]),rng_EFConcat,rng_EF3)*Buildings_Water_Backend[[#This Row],[Converted data]]/1000</f>
        <v>#N/A</v>
      </c>
      <c r="AI466" s="210" t="e">
        <f>_xlfn.XLOOKUP(_xlfn.CONCAT(Buildings_Water_Backend[[#This Row],[Level 1]:[Level 6]]),rng_EFConcat,rng_EF3WTT)*Buildings_Water_Backend[[#This Row],[Converted data]]/1000</f>
        <v>#N/A</v>
      </c>
      <c r="AJ466" s="210" t="e">
        <f>_xlfn.XLOOKUP(_xlfn.CONCAT(Buildings_Water_Backend[[#This Row],[Level 1]:[Level 6]]),rng_EFConcat,rng_EF3TD)*Buildings_Water_Backend[[#This Row],[Converted data]]/1000</f>
        <v>#N/A</v>
      </c>
      <c r="AK466" s="210" t="e">
        <f>_xlfn.XLOOKUP(_xlfn.CONCAT(Buildings_Water_Backend[[#This Row],[Level 1]:[Level 6]]),rng_EFConcat,rng_EF3WTTTD)*Buildings_Water_Backend[[#This Row],[Converted data]]/1000</f>
        <v>#N/A</v>
      </c>
      <c r="AL466" s="220" t="e">
        <f>SUM(Buildings_Water_Backend[[#This Row],[Scope 1 (tCO2e)]:[Scope 3 WTT T&amp;D (tCO2e)]])</f>
        <v>#N/A</v>
      </c>
      <c r="AM466" s="220" t="e">
        <f>Buildings_Water_Backend[[#This Row],[Total (tCO2e)]]*(1-Buildings_Water_Backend[[#This Row],[RSD]])</f>
        <v>#N/A</v>
      </c>
      <c r="AN466" s="220" t="e">
        <f>Buildings_Water_Backend[[#This Row],[Total (tCO2e)]]*(1+Buildings_Water_Backend[[#This Row],[RSD]])</f>
        <v>#N/A</v>
      </c>
      <c r="AO466" s="210" t="e">
        <f>_xlfn.XLOOKUP(_xlfn.CONCAT(Buildings_Water_Backend[[#This Row],[Level 1]:[Level 6]]),rng_EFConcat,rng_EFOOS)*Buildings_Water_Backend[[#This Row],[Converted data]]/1000</f>
        <v>#N/A</v>
      </c>
      <c r="AP466" s="174">
        <f>Buildings_Water_Frontend[[#This Row],[Ease of collection]]</f>
        <v>0</v>
      </c>
      <c r="AQ466" s="174">
        <f>Buildings_Water_Frontend[[#This Row],[Completeness]]</f>
        <v>0</v>
      </c>
      <c r="AR466" s="174">
        <f>Buildings_Water_Frontend[[#This Row],[Notes]]</f>
        <v>0</v>
      </c>
    </row>
    <row r="467" spans="5:44" x14ac:dyDescent="0.3">
      <c r="E467" s="346"/>
      <c r="F467" s="364"/>
      <c r="G467" s="336"/>
      <c r="H467" s="336"/>
      <c r="I467" s="334"/>
      <c r="J467" s="336"/>
      <c r="K467" s="336"/>
      <c r="L467" s="336"/>
      <c r="M467" s="337"/>
      <c r="N467" s="242">
        <f t="shared" si="15"/>
        <v>5</v>
      </c>
      <c r="Q467" s="212" t="str">
        <f t="shared" si="14"/>
        <v/>
      </c>
      <c r="R467" s="174" t="s">
        <v>265</v>
      </c>
      <c r="S467" s="174" t="s">
        <v>273</v>
      </c>
      <c r="T467" s="174" t="e">
        <f>_xlfn.XLOOKUP(Buildings_Water_Backend[[#This Row],[Info 1]],Buildings_SiteInfo[Site name],Buildings_SiteInfo[Site type])</f>
        <v>#N/A</v>
      </c>
      <c r="U467" s="174" t="s">
        <v>327</v>
      </c>
      <c r="V467" s="174">
        <f>Buildings_Water_Frontend[[#This Row],[Type]]</f>
        <v>0</v>
      </c>
      <c r="W467" s="174" t="e" cm="1">
        <f t="array" aca="1" ref="W467" ca="1">_xlfn.XLOOKUP(Buildings_Water_Backend[[#This Row],[Level 5]],rng_Level5Long,rng_Level6Long)</f>
        <v>#N/A</v>
      </c>
      <c r="X467" s="174">
        <f>Buildings_Water_Frontend[[#This Row],[Site Name]]</f>
        <v>0</v>
      </c>
      <c r="Y467" s="174">
        <f>Buildings_Water_Frontend[[#This Row],[Meter Reference]]</f>
        <v>0</v>
      </c>
      <c r="Z467" s="220">
        <f>Buildings_Water_Frontend[[#This Row],[Methodology]]</f>
        <v>0</v>
      </c>
      <c r="AA467" s="229" t="e" cm="1">
        <f t="array" ref="AA467">INDEX(_xlfn.SWITCH(Buildings_Water_Backend[[#This Row],[Methodology]],"Tier 1",rng_RSD1,"Tier 2",rng_RSD2,"Tier 3",rng_RSD3),MATCH(_xlfn.CONCAT(Buildings_Water_Backend[[#This Row],[Level 1]:[Level 6]]),rng_LevelsConcat,0))</f>
        <v>#N/A</v>
      </c>
      <c r="AB467" s="224">
        <f>Buildings_Water_Frontend[[#This Row],[Data]]</f>
        <v>0</v>
      </c>
      <c r="AC467" s="174">
        <f>Buildings_Water_Frontend[[#This Row],[Units]]</f>
        <v>0</v>
      </c>
      <c r="AD467" s="220" t="e">
        <f>IF(Buildings_Water_Backend[[#This Row],[Units]]=Buildings_Water_Backend[[#This Row],[Standard units]],Buildings_Water_Backend[[#This Row],[Data]],Buildings_Water_Backend[[#This Row],[Data]]*_xlfn.XLOOKUP(_xlfn.CONCAT(Buildings_Water_Backend[[#This Row],[Level 1]:[Level 6]]),rng_EFConcat,rng_EFConversion))</f>
        <v>#N/A</v>
      </c>
      <c r="AE467" s="174" t="e" cm="1">
        <f t="array" ref="AE467">_xlfn.XLOOKUP(_xlfn.CONCAT(Buildings_Water_Backend[[#This Row],[Level 1]:[Level 6]]),rng_LevelsConcat,rng_UnitsLong)</f>
        <v>#N/A</v>
      </c>
      <c r="AF467" s="210" t="e">
        <f>_xlfn.XLOOKUP(_xlfn.CONCAT(Buildings_Water_Backend[[#This Row],[Level 1]:[Level 6]]),rng_EFConcat,rng_EF1)*Buildings_Water_Backend[[#This Row],[Converted data]]/1000</f>
        <v>#N/A</v>
      </c>
      <c r="AG467" s="210" t="e">
        <f>_xlfn.XLOOKUP(_xlfn.CONCAT(Buildings_Water_Backend[[#This Row],[Level 1]:[Level 6]]),rng_EFConcat,rng_EF2)*Buildings_Water_Backend[[#This Row],[Converted data]]/1000</f>
        <v>#N/A</v>
      </c>
      <c r="AH467" s="210" t="e">
        <f>_xlfn.XLOOKUP(_xlfn.CONCAT(Buildings_Water_Backend[[#This Row],[Level 1]:[Level 6]]),rng_EFConcat,rng_EF3)*Buildings_Water_Backend[[#This Row],[Converted data]]/1000</f>
        <v>#N/A</v>
      </c>
      <c r="AI467" s="210" t="e">
        <f>_xlfn.XLOOKUP(_xlfn.CONCAT(Buildings_Water_Backend[[#This Row],[Level 1]:[Level 6]]),rng_EFConcat,rng_EF3WTT)*Buildings_Water_Backend[[#This Row],[Converted data]]/1000</f>
        <v>#N/A</v>
      </c>
      <c r="AJ467" s="210" t="e">
        <f>_xlfn.XLOOKUP(_xlfn.CONCAT(Buildings_Water_Backend[[#This Row],[Level 1]:[Level 6]]),rng_EFConcat,rng_EF3TD)*Buildings_Water_Backend[[#This Row],[Converted data]]/1000</f>
        <v>#N/A</v>
      </c>
      <c r="AK467" s="210" t="e">
        <f>_xlfn.XLOOKUP(_xlfn.CONCAT(Buildings_Water_Backend[[#This Row],[Level 1]:[Level 6]]),rng_EFConcat,rng_EF3WTTTD)*Buildings_Water_Backend[[#This Row],[Converted data]]/1000</f>
        <v>#N/A</v>
      </c>
      <c r="AL467" s="220" t="e">
        <f>SUM(Buildings_Water_Backend[[#This Row],[Scope 1 (tCO2e)]:[Scope 3 WTT T&amp;D (tCO2e)]])</f>
        <v>#N/A</v>
      </c>
      <c r="AM467" s="220" t="e">
        <f>Buildings_Water_Backend[[#This Row],[Total (tCO2e)]]*(1-Buildings_Water_Backend[[#This Row],[RSD]])</f>
        <v>#N/A</v>
      </c>
      <c r="AN467" s="220" t="e">
        <f>Buildings_Water_Backend[[#This Row],[Total (tCO2e)]]*(1+Buildings_Water_Backend[[#This Row],[RSD]])</f>
        <v>#N/A</v>
      </c>
      <c r="AO467" s="210" t="e">
        <f>_xlfn.XLOOKUP(_xlfn.CONCAT(Buildings_Water_Backend[[#This Row],[Level 1]:[Level 6]]),rng_EFConcat,rng_EFOOS)*Buildings_Water_Backend[[#This Row],[Converted data]]/1000</f>
        <v>#N/A</v>
      </c>
      <c r="AP467" s="174">
        <f>Buildings_Water_Frontend[[#This Row],[Ease of collection]]</f>
        <v>0</v>
      </c>
      <c r="AQ467" s="174">
        <f>Buildings_Water_Frontend[[#This Row],[Completeness]]</f>
        <v>0</v>
      </c>
      <c r="AR467" s="174">
        <f>Buildings_Water_Frontend[[#This Row],[Notes]]</f>
        <v>0</v>
      </c>
    </row>
    <row r="468" spans="5:44" x14ac:dyDescent="0.3">
      <c r="E468" s="346"/>
      <c r="F468" s="364"/>
      <c r="G468" s="336"/>
      <c r="H468" s="336"/>
      <c r="I468" s="334"/>
      <c r="J468" s="336"/>
      <c r="K468" s="336"/>
      <c r="L468" s="336"/>
      <c r="M468" s="337"/>
      <c r="N468" s="242">
        <f t="shared" si="15"/>
        <v>5</v>
      </c>
      <c r="Q468" s="212" t="str">
        <f t="shared" si="14"/>
        <v/>
      </c>
      <c r="R468" s="174" t="s">
        <v>265</v>
      </c>
      <c r="S468" s="174" t="s">
        <v>273</v>
      </c>
      <c r="T468" s="174" t="e">
        <f>_xlfn.XLOOKUP(Buildings_Water_Backend[[#This Row],[Info 1]],Buildings_SiteInfo[Site name],Buildings_SiteInfo[Site type])</f>
        <v>#N/A</v>
      </c>
      <c r="U468" s="174" t="s">
        <v>327</v>
      </c>
      <c r="V468" s="174">
        <f>Buildings_Water_Frontend[[#This Row],[Type]]</f>
        <v>0</v>
      </c>
      <c r="W468" s="174" t="e" cm="1">
        <f t="array" aca="1" ref="W468" ca="1">_xlfn.XLOOKUP(Buildings_Water_Backend[[#This Row],[Level 5]],rng_Level5Long,rng_Level6Long)</f>
        <v>#N/A</v>
      </c>
      <c r="X468" s="174">
        <f>Buildings_Water_Frontend[[#This Row],[Site Name]]</f>
        <v>0</v>
      </c>
      <c r="Y468" s="174">
        <f>Buildings_Water_Frontend[[#This Row],[Meter Reference]]</f>
        <v>0</v>
      </c>
      <c r="Z468" s="220">
        <f>Buildings_Water_Frontend[[#This Row],[Methodology]]</f>
        <v>0</v>
      </c>
      <c r="AA468" s="229" t="e" cm="1">
        <f t="array" ref="AA468">INDEX(_xlfn.SWITCH(Buildings_Water_Backend[[#This Row],[Methodology]],"Tier 1",rng_RSD1,"Tier 2",rng_RSD2,"Tier 3",rng_RSD3),MATCH(_xlfn.CONCAT(Buildings_Water_Backend[[#This Row],[Level 1]:[Level 6]]),rng_LevelsConcat,0))</f>
        <v>#N/A</v>
      </c>
      <c r="AB468" s="224">
        <f>Buildings_Water_Frontend[[#This Row],[Data]]</f>
        <v>0</v>
      </c>
      <c r="AC468" s="174">
        <f>Buildings_Water_Frontend[[#This Row],[Units]]</f>
        <v>0</v>
      </c>
      <c r="AD468" s="220" t="e">
        <f>IF(Buildings_Water_Backend[[#This Row],[Units]]=Buildings_Water_Backend[[#This Row],[Standard units]],Buildings_Water_Backend[[#This Row],[Data]],Buildings_Water_Backend[[#This Row],[Data]]*_xlfn.XLOOKUP(_xlfn.CONCAT(Buildings_Water_Backend[[#This Row],[Level 1]:[Level 6]]),rng_EFConcat,rng_EFConversion))</f>
        <v>#N/A</v>
      </c>
      <c r="AE468" s="174" t="e" cm="1">
        <f t="array" ref="AE468">_xlfn.XLOOKUP(_xlfn.CONCAT(Buildings_Water_Backend[[#This Row],[Level 1]:[Level 6]]),rng_LevelsConcat,rng_UnitsLong)</f>
        <v>#N/A</v>
      </c>
      <c r="AF468" s="210" t="e">
        <f>_xlfn.XLOOKUP(_xlfn.CONCAT(Buildings_Water_Backend[[#This Row],[Level 1]:[Level 6]]),rng_EFConcat,rng_EF1)*Buildings_Water_Backend[[#This Row],[Converted data]]/1000</f>
        <v>#N/A</v>
      </c>
      <c r="AG468" s="210" t="e">
        <f>_xlfn.XLOOKUP(_xlfn.CONCAT(Buildings_Water_Backend[[#This Row],[Level 1]:[Level 6]]),rng_EFConcat,rng_EF2)*Buildings_Water_Backend[[#This Row],[Converted data]]/1000</f>
        <v>#N/A</v>
      </c>
      <c r="AH468" s="210" t="e">
        <f>_xlfn.XLOOKUP(_xlfn.CONCAT(Buildings_Water_Backend[[#This Row],[Level 1]:[Level 6]]),rng_EFConcat,rng_EF3)*Buildings_Water_Backend[[#This Row],[Converted data]]/1000</f>
        <v>#N/A</v>
      </c>
      <c r="AI468" s="210" t="e">
        <f>_xlfn.XLOOKUP(_xlfn.CONCAT(Buildings_Water_Backend[[#This Row],[Level 1]:[Level 6]]),rng_EFConcat,rng_EF3WTT)*Buildings_Water_Backend[[#This Row],[Converted data]]/1000</f>
        <v>#N/A</v>
      </c>
      <c r="AJ468" s="210" t="e">
        <f>_xlfn.XLOOKUP(_xlfn.CONCAT(Buildings_Water_Backend[[#This Row],[Level 1]:[Level 6]]),rng_EFConcat,rng_EF3TD)*Buildings_Water_Backend[[#This Row],[Converted data]]/1000</f>
        <v>#N/A</v>
      </c>
      <c r="AK468" s="210" t="e">
        <f>_xlfn.XLOOKUP(_xlfn.CONCAT(Buildings_Water_Backend[[#This Row],[Level 1]:[Level 6]]),rng_EFConcat,rng_EF3WTTTD)*Buildings_Water_Backend[[#This Row],[Converted data]]/1000</f>
        <v>#N/A</v>
      </c>
      <c r="AL468" s="220" t="e">
        <f>SUM(Buildings_Water_Backend[[#This Row],[Scope 1 (tCO2e)]:[Scope 3 WTT T&amp;D (tCO2e)]])</f>
        <v>#N/A</v>
      </c>
      <c r="AM468" s="220" t="e">
        <f>Buildings_Water_Backend[[#This Row],[Total (tCO2e)]]*(1-Buildings_Water_Backend[[#This Row],[RSD]])</f>
        <v>#N/A</v>
      </c>
      <c r="AN468" s="220" t="e">
        <f>Buildings_Water_Backend[[#This Row],[Total (tCO2e)]]*(1+Buildings_Water_Backend[[#This Row],[RSD]])</f>
        <v>#N/A</v>
      </c>
      <c r="AO468" s="210" t="e">
        <f>_xlfn.XLOOKUP(_xlfn.CONCAT(Buildings_Water_Backend[[#This Row],[Level 1]:[Level 6]]),rng_EFConcat,rng_EFOOS)*Buildings_Water_Backend[[#This Row],[Converted data]]/1000</f>
        <v>#N/A</v>
      </c>
      <c r="AP468" s="174">
        <f>Buildings_Water_Frontend[[#This Row],[Ease of collection]]</f>
        <v>0</v>
      </c>
      <c r="AQ468" s="174">
        <f>Buildings_Water_Frontend[[#This Row],[Completeness]]</f>
        <v>0</v>
      </c>
      <c r="AR468" s="174">
        <f>Buildings_Water_Frontend[[#This Row],[Notes]]</f>
        <v>0</v>
      </c>
    </row>
    <row r="469" spans="5:44" x14ac:dyDescent="0.3">
      <c r="E469" s="346"/>
      <c r="F469" s="364"/>
      <c r="G469" s="336"/>
      <c r="H469" s="336"/>
      <c r="I469" s="334"/>
      <c r="J469" s="336"/>
      <c r="K469" s="336"/>
      <c r="L469" s="336"/>
      <c r="M469" s="337"/>
      <c r="N469" s="242">
        <f t="shared" si="15"/>
        <v>5</v>
      </c>
      <c r="Q469" s="212" t="str">
        <f t="shared" si="14"/>
        <v/>
      </c>
      <c r="R469" s="174" t="s">
        <v>265</v>
      </c>
      <c r="S469" s="174" t="s">
        <v>273</v>
      </c>
      <c r="T469" s="174" t="e">
        <f>_xlfn.XLOOKUP(Buildings_Water_Backend[[#This Row],[Info 1]],Buildings_SiteInfo[Site name],Buildings_SiteInfo[Site type])</f>
        <v>#N/A</v>
      </c>
      <c r="U469" s="174" t="s">
        <v>327</v>
      </c>
      <c r="V469" s="174">
        <f>Buildings_Water_Frontend[[#This Row],[Type]]</f>
        <v>0</v>
      </c>
      <c r="W469" s="174" t="e" cm="1">
        <f t="array" aca="1" ref="W469" ca="1">_xlfn.XLOOKUP(Buildings_Water_Backend[[#This Row],[Level 5]],rng_Level5Long,rng_Level6Long)</f>
        <v>#N/A</v>
      </c>
      <c r="X469" s="174">
        <f>Buildings_Water_Frontend[[#This Row],[Site Name]]</f>
        <v>0</v>
      </c>
      <c r="Y469" s="174">
        <f>Buildings_Water_Frontend[[#This Row],[Meter Reference]]</f>
        <v>0</v>
      </c>
      <c r="Z469" s="220">
        <f>Buildings_Water_Frontend[[#This Row],[Methodology]]</f>
        <v>0</v>
      </c>
      <c r="AA469" s="229" t="e" cm="1">
        <f t="array" ref="AA469">INDEX(_xlfn.SWITCH(Buildings_Water_Backend[[#This Row],[Methodology]],"Tier 1",rng_RSD1,"Tier 2",rng_RSD2,"Tier 3",rng_RSD3),MATCH(_xlfn.CONCAT(Buildings_Water_Backend[[#This Row],[Level 1]:[Level 6]]),rng_LevelsConcat,0))</f>
        <v>#N/A</v>
      </c>
      <c r="AB469" s="224">
        <f>Buildings_Water_Frontend[[#This Row],[Data]]</f>
        <v>0</v>
      </c>
      <c r="AC469" s="174">
        <f>Buildings_Water_Frontend[[#This Row],[Units]]</f>
        <v>0</v>
      </c>
      <c r="AD469" s="220" t="e">
        <f>IF(Buildings_Water_Backend[[#This Row],[Units]]=Buildings_Water_Backend[[#This Row],[Standard units]],Buildings_Water_Backend[[#This Row],[Data]],Buildings_Water_Backend[[#This Row],[Data]]*_xlfn.XLOOKUP(_xlfn.CONCAT(Buildings_Water_Backend[[#This Row],[Level 1]:[Level 6]]),rng_EFConcat,rng_EFConversion))</f>
        <v>#N/A</v>
      </c>
      <c r="AE469" s="174" t="e" cm="1">
        <f t="array" ref="AE469">_xlfn.XLOOKUP(_xlfn.CONCAT(Buildings_Water_Backend[[#This Row],[Level 1]:[Level 6]]),rng_LevelsConcat,rng_UnitsLong)</f>
        <v>#N/A</v>
      </c>
      <c r="AF469" s="210" t="e">
        <f>_xlfn.XLOOKUP(_xlfn.CONCAT(Buildings_Water_Backend[[#This Row],[Level 1]:[Level 6]]),rng_EFConcat,rng_EF1)*Buildings_Water_Backend[[#This Row],[Converted data]]/1000</f>
        <v>#N/A</v>
      </c>
      <c r="AG469" s="210" t="e">
        <f>_xlfn.XLOOKUP(_xlfn.CONCAT(Buildings_Water_Backend[[#This Row],[Level 1]:[Level 6]]),rng_EFConcat,rng_EF2)*Buildings_Water_Backend[[#This Row],[Converted data]]/1000</f>
        <v>#N/A</v>
      </c>
      <c r="AH469" s="210" t="e">
        <f>_xlfn.XLOOKUP(_xlfn.CONCAT(Buildings_Water_Backend[[#This Row],[Level 1]:[Level 6]]),rng_EFConcat,rng_EF3)*Buildings_Water_Backend[[#This Row],[Converted data]]/1000</f>
        <v>#N/A</v>
      </c>
      <c r="AI469" s="210" t="e">
        <f>_xlfn.XLOOKUP(_xlfn.CONCAT(Buildings_Water_Backend[[#This Row],[Level 1]:[Level 6]]),rng_EFConcat,rng_EF3WTT)*Buildings_Water_Backend[[#This Row],[Converted data]]/1000</f>
        <v>#N/A</v>
      </c>
      <c r="AJ469" s="210" t="e">
        <f>_xlfn.XLOOKUP(_xlfn.CONCAT(Buildings_Water_Backend[[#This Row],[Level 1]:[Level 6]]),rng_EFConcat,rng_EF3TD)*Buildings_Water_Backend[[#This Row],[Converted data]]/1000</f>
        <v>#N/A</v>
      </c>
      <c r="AK469" s="210" t="e">
        <f>_xlfn.XLOOKUP(_xlfn.CONCAT(Buildings_Water_Backend[[#This Row],[Level 1]:[Level 6]]),rng_EFConcat,rng_EF3WTTTD)*Buildings_Water_Backend[[#This Row],[Converted data]]/1000</f>
        <v>#N/A</v>
      </c>
      <c r="AL469" s="220" t="e">
        <f>SUM(Buildings_Water_Backend[[#This Row],[Scope 1 (tCO2e)]:[Scope 3 WTT T&amp;D (tCO2e)]])</f>
        <v>#N/A</v>
      </c>
      <c r="AM469" s="220" t="e">
        <f>Buildings_Water_Backend[[#This Row],[Total (tCO2e)]]*(1-Buildings_Water_Backend[[#This Row],[RSD]])</f>
        <v>#N/A</v>
      </c>
      <c r="AN469" s="220" t="e">
        <f>Buildings_Water_Backend[[#This Row],[Total (tCO2e)]]*(1+Buildings_Water_Backend[[#This Row],[RSD]])</f>
        <v>#N/A</v>
      </c>
      <c r="AO469" s="210" t="e">
        <f>_xlfn.XLOOKUP(_xlfn.CONCAT(Buildings_Water_Backend[[#This Row],[Level 1]:[Level 6]]),rng_EFConcat,rng_EFOOS)*Buildings_Water_Backend[[#This Row],[Converted data]]/1000</f>
        <v>#N/A</v>
      </c>
      <c r="AP469" s="174">
        <f>Buildings_Water_Frontend[[#This Row],[Ease of collection]]</f>
        <v>0</v>
      </c>
      <c r="AQ469" s="174">
        <f>Buildings_Water_Frontend[[#This Row],[Completeness]]</f>
        <v>0</v>
      </c>
      <c r="AR469" s="174">
        <f>Buildings_Water_Frontend[[#This Row],[Notes]]</f>
        <v>0</v>
      </c>
    </row>
    <row r="470" spans="5:44" x14ac:dyDescent="0.3">
      <c r="E470" s="346"/>
      <c r="F470" s="364"/>
      <c r="G470" s="336"/>
      <c r="H470" s="336"/>
      <c r="I470" s="334"/>
      <c r="J470" s="336"/>
      <c r="K470" s="336"/>
      <c r="L470" s="336"/>
      <c r="M470" s="337"/>
      <c r="N470" s="242">
        <f t="shared" si="15"/>
        <v>5</v>
      </c>
      <c r="Q470" s="212" t="str">
        <f t="shared" si="14"/>
        <v/>
      </c>
      <c r="R470" s="174" t="s">
        <v>265</v>
      </c>
      <c r="S470" s="174" t="s">
        <v>273</v>
      </c>
      <c r="T470" s="174" t="e">
        <f>_xlfn.XLOOKUP(Buildings_Water_Backend[[#This Row],[Info 1]],Buildings_SiteInfo[Site name],Buildings_SiteInfo[Site type])</f>
        <v>#N/A</v>
      </c>
      <c r="U470" s="174" t="s">
        <v>327</v>
      </c>
      <c r="V470" s="174">
        <f>Buildings_Water_Frontend[[#This Row],[Type]]</f>
        <v>0</v>
      </c>
      <c r="W470" s="174" t="e" cm="1">
        <f t="array" aca="1" ref="W470" ca="1">_xlfn.XLOOKUP(Buildings_Water_Backend[[#This Row],[Level 5]],rng_Level5Long,rng_Level6Long)</f>
        <v>#N/A</v>
      </c>
      <c r="X470" s="174">
        <f>Buildings_Water_Frontend[[#This Row],[Site Name]]</f>
        <v>0</v>
      </c>
      <c r="Y470" s="174">
        <f>Buildings_Water_Frontend[[#This Row],[Meter Reference]]</f>
        <v>0</v>
      </c>
      <c r="Z470" s="220">
        <f>Buildings_Water_Frontend[[#This Row],[Methodology]]</f>
        <v>0</v>
      </c>
      <c r="AA470" s="229" t="e" cm="1">
        <f t="array" ref="AA470">INDEX(_xlfn.SWITCH(Buildings_Water_Backend[[#This Row],[Methodology]],"Tier 1",rng_RSD1,"Tier 2",rng_RSD2,"Tier 3",rng_RSD3),MATCH(_xlfn.CONCAT(Buildings_Water_Backend[[#This Row],[Level 1]:[Level 6]]),rng_LevelsConcat,0))</f>
        <v>#N/A</v>
      </c>
      <c r="AB470" s="224">
        <f>Buildings_Water_Frontend[[#This Row],[Data]]</f>
        <v>0</v>
      </c>
      <c r="AC470" s="174">
        <f>Buildings_Water_Frontend[[#This Row],[Units]]</f>
        <v>0</v>
      </c>
      <c r="AD470" s="220" t="e">
        <f>IF(Buildings_Water_Backend[[#This Row],[Units]]=Buildings_Water_Backend[[#This Row],[Standard units]],Buildings_Water_Backend[[#This Row],[Data]],Buildings_Water_Backend[[#This Row],[Data]]*_xlfn.XLOOKUP(_xlfn.CONCAT(Buildings_Water_Backend[[#This Row],[Level 1]:[Level 6]]),rng_EFConcat,rng_EFConversion))</f>
        <v>#N/A</v>
      </c>
      <c r="AE470" s="174" t="e" cm="1">
        <f t="array" ref="AE470">_xlfn.XLOOKUP(_xlfn.CONCAT(Buildings_Water_Backend[[#This Row],[Level 1]:[Level 6]]),rng_LevelsConcat,rng_UnitsLong)</f>
        <v>#N/A</v>
      </c>
      <c r="AF470" s="210" t="e">
        <f>_xlfn.XLOOKUP(_xlfn.CONCAT(Buildings_Water_Backend[[#This Row],[Level 1]:[Level 6]]),rng_EFConcat,rng_EF1)*Buildings_Water_Backend[[#This Row],[Converted data]]/1000</f>
        <v>#N/A</v>
      </c>
      <c r="AG470" s="210" t="e">
        <f>_xlfn.XLOOKUP(_xlfn.CONCAT(Buildings_Water_Backend[[#This Row],[Level 1]:[Level 6]]),rng_EFConcat,rng_EF2)*Buildings_Water_Backend[[#This Row],[Converted data]]/1000</f>
        <v>#N/A</v>
      </c>
      <c r="AH470" s="210" t="e">
        <f>_xlfn.XLOOKUP(_xlfn.CONCAT(Buildings_Water_Backend[[#This Row],[Level 1]:[Level 6]]),rng_EFConcat,rng_EF3)*Buildings_Water_Backend[[#This Row],[Converted data]]/1000</f>
        <v>#N/A</v>
      </c>
      <c r="AI470" s="210" t="e">
        <f>_xlfn.XLOOKUP(_xlfn.CONCAT(Buildings_Water_Backend[[#This Row],[Level 1]:[Level 6]]),rng_EFConcat,rng_EF3WTT)*Buildings_Water_Backend[[#This Row],[Converted data]]/1000</f>
        <v>#N/A</v>
      </c>
      <c r="AJ470" s="210" t="e">
        <f>_xlfn.XLOOKUP(_xlfn.CONCAT(Buildings_Water_Backend[[#This Row],[Level 1]:[Level 6]]),rng_EFConcat,rng_EF3TD)*Buildings_Water_Backend[[#This Row],[Converted data]]/1000</f>
        <v>#N/A</v>
      </c>
      <c r="AK470" s="210" t="e">
        <f>_xlfn.XLOOKUP(_xlfn.CONCAT(Buildings_Water_Backend[[#This Row],[Level 1]:[Level 6]]),rng_EFConcat,rng_EF3WTTTD)*Buildings_Water_Backend[[#This Row],[Converted data]]/1000</f>
        <v>#N/A</v>
      </c>
      <c r="AL470" s="220" t="e">
        <f>SUM(Buildings_Water_Backend[[#This Row],[Scope 1 (tCO2e)]:[Scope 3 WTT T&amp;D (tCO2e)]])</f>
        <v>#N/A</v>
      </c>
      <c r="AM470" s="220" t="e">
        <f>Buildings_Water_Backend[[#This Row],[Total (tCO2e)]]*(1-Buildings_Water_Backend[[#This Row],[RSD]])</f>
        <v>#N/A</v>
      </c>
      <c r="AN470" s="220" t="e">
        <f>Buildings_Water_Backend[[#This Row],[Total (tCO2e)]]*(1+Buildings_Water_Backend[[#This Row],[RSD]])</f>
        <v>#N/A</v>
      </c>
      <c r="AO470" s="210" t="e">
        <f>_xlfn.XLOOKUP(_xlfn.CONCAT(Buildings_Water_Backend[[#This Row],[Level 1]:[Level 6]]),rng_EFConcat,rng_EFOOS)*Buildings_Water_Backend[[#This Row],[Converted data]]/1000</f>
        <v>#N/A</v>
      </c>
      <c r="AP470" s="174">
        <f>Buildings_Water_Frontend[[#This Row],[Ease of collection]]</f>
        <v>0</v>
      </c>
      <c r="AQ470" s="174">
        <f>Buildings_Water_Frontend[[#This Row],[Completeness]]</f>
        <v>0</v>
      </c>
      <c r="AR470" s="174">
        <f>Buildings_Water_Frontend[[#This Row],[Notes]]</f>
        <v>0</v>
      </c>
    </row>
    <row r="471" spans="5:44" x14ac:dyDescent="0.3">
      <c r="E471" s="346"/>
      <c r="F471" s="364"/>
      <c r="G471" s="336"/>
      <c r="H471" s="336"/>
      <c r="I471" s="334"/>
      <c r="J471" s="336"/>
      <c r="K471" s="336"/>
      <c r="L471" s="336"/>
      <c r="M471" s="337"/>
      <c r="N471" s="242">
        <f t="shared" si="15"/>
        <v>5</v>
      </c>
      <c r="Q471" s="212" t="str">
        <f t="shared" si="14"/>
        <v/>
      </c>
      <c r="R471" s="174" t="s">
        <v>265</v>
      </c>
      <c r="S471" s="174" t="s">
        <v>273</v>
      </c>
      <c r="T471" s="174" t="e">
        <f>_xlfn.XLOOKUP(Buildings_Water_Backend[[#This Row],[Info 1]],Buildings_SiteInfo[Site name],Buildings_SiteInfo[Site type])</f>
        <v>#N/A</v>
      </c>
      <c r="U471" s="174" t="s">
        <v>327</v>
      </c>
      <c r="V471" s="174">
        <f>Buildings_Water_Frontend[[#This Row],[Type]]</f>
        <v>0</v>
      </c>
      <c r="W471" s="174" t="e" cm="1">
        <f t="array" aca="1" ref="W471" ca="1">_xlfn.XLOOKUP(Buildings_Water_Backend[[#This Row],[Level 5]],rng_Level5Long,rng_Level6Long)</f>
        <v>#N/A</v>
      </c>
      <c r="X471" s="174">
        <f>Buildings_Water_Frontend[[#This Row],[Site Name]]</f>
        <v>0</v>
      </c>
      <c r="Y471" s="174">
        <f>Buildings_Water_Frontend[[#This Row],[Meter Reference]]</f>
        <v>0</v>
      </c>
      <c r="Z471" s="220">
        <f>Buildings_Water_Frontend[[#This Row],[Methodology]]</f>
        <v>0</v>
      </c>
      <c r="AA471" s="229" t="e" cm="1">
        <f t="array" ref="AA471">INDEX(_xlfn.SWITCH(Buildings_Water_Backend[[#This Row],[Methodology]],"Tier 1",rng_RSD1,"Tier 2",rng_RSD2,"Tier 3",rng_RSD3),MATCH(_xlfn.CONCAT(Buildings_Water_Backend[[#This Row],[Level 1]:[Level 6]]),rng_LevelsConcat,0))</f>
        <v>#N/A</v>
      </c>
      <c r="AB471" s="224">
        <f>Buildings_Water_Frontend[[#This Row],[Data]]</f>
        <v>0</v>
      </c>
      <c r="AC471" s="174">
        <f>Buildings_Water_Frontend[[#This Row],[Units]]</f>
        <v>0</v>
      </c>
      <c r="AD471" s="220" t="e">
        <f>IF(Buildings_Water_Backend[[#This Row],[Units]]=Buildings_Water_Backend[[#This Row],[Standard units]],Buildings_Water_Backend[[#This Row],[Data]],Buildings_Water_Backend[[#This Row],[Data]]*_xlfn.XLOOKUP(_xlfn.CONCAT(Buildings_Water_Backend[[#This Row],[Level 1]:[Level 6]]),rng_EFConcat,rng_EFConversion))</f>
        <v>#N/A</v>
      </c>
      <c r="AE471" s="174" t="e" cm="1">
        <f t="array" ref="AE471">_xlfn.XLOOKUP(_xlfn.CONCAT(Buildings_Water_Backend[[#This Row],[Level 1]:[Level 6]]),rng_LevelsConcat,rng_UnitsLong)</f>
        <v>#N/A</v>
      </c>
      <c r="AF471" s="210" t="e">
        <f>_xlfn.XLOOKUP(_xlfn.CONCAT(Buildings_Water_Backend[[#This Row],[Level 1]:[Level 6]]),rng_EFConcat,rng_EF1)*Buildings_Water_Backend[[#This Row],[Converted data]]/1000</f>
        <v>#N/A</v>
      </c>
      <c r="AG471" s="210" t="e">
        <f>_xlfn.XLOOKUP(_xlfn.CONCAT(Buildings_Water_Backend[[#This Row],[Level 1]:[Level 6]]),rng_EFConcat,rng_EF2)*Buildings_Water_Backend[[#This Row],[Converted data]]/1000</f>
        <v>#N/A</v>
      </c>
      <c r="AH471" s="210" t="e">
        <f>_xlfn.XLOOKUP(_xlfn.CONCAT(Buildings_Water_Backend[[#This Row],[Level 1]:[Level 6]]),rng_EFConcat,rng_EF3)*Buildings_Water_Backend[[#This Row],[Converted data]]/1000</f>
        <v>#N/A</v>
      </c>
      <c r="AI471" s="210" t="e">
        <f>_xlfn.XLOOKUP(_xlfn.CONCAT(Buildings_Water_Backend[[#This Row],[Level 1]:[Level 6]]),rng_EFConcat,rng_EF3WTT)*Buildings_Water_Backend[[#This Row],[Converted data]]/1000</f>
        <v>#N/A</v>
      </c>
      <c r="AJ471" s="210" t="e">
        <f>_xlfn.XLOOKUP(_xlfn.CONCAT(Buildings_Water_Backend[[#This Row],[Level 1]:[Level 6]]),rng_EFConcat,rng_EF3TD)*Buildings_Water_Backend[[#This Row],[Converted data]]/1000</f>
        <v>#N/A</v>
      </c>
      <c r="AK471" s="210" t="e">
        <f>_xlfn.XLOOKUP(_xlfn.CONCAT(Buildings_Water_Backend[[#This Row],[Level 1]:[Level 6]]),rng_EFConcat,rng_EF3WTTTD)*Buildings_Water_Backend[[#This Row],[Converted data]]/1000</f>
        <v>#N/A</v>
      </c>
      <c r="AL471" s="220" t="e">
        <f>SUM(Buildings_Water_Backend[[#This Row],[Scope 1 (tCO2e)]:[Scope 3 WTT T&amp;D (tCO2e)]])</f>
        <v>#N/A</v>
      </c>
      <c r="AM471" s="220" t="e">
        <f>Buildings_Water_Backend[[#This Row],[Total (tCO2e)]]*(1-Buildings_Water_Backend[[#This Row],[RSD]])</f>
        <v>#N/A</v>
      </c>
      <c r="AN471" s="220" t="e">
        <f>Buildings_Water_Backend[[#This Row],[Total (tCO2e)]]*(1+Buildings_Water_Backend[[#This Row],[RSD]])</f>
        <v>#N/A</v>
      </c>
      <c r="AO471" s="210" t="e">
        <f>_xlfn.XLOOKUP(_xlfn.CONCAT(Buildings_Water_Backend[[#This Row],[Level 1]:[Level 6]]),rng_EFConcat,rng_EFOOS)*Buildings_Water_Backend[[#This Row],[Converted data]]/1000</f>
        <v>#N/A</v>
      </c>
      <c r="AP471" s="174">
        <f>Buildings_Water_Frontend[[#This Row],[Ease of collection]]</f>
        <v>0</v>
      </c>
      <c r="AQ471" s="174">
        <f>Buildings_Water_Frontend[[#This Row],[Completeness]]</f>
        <v>0</v>
      </c>
      <c r="AR471" s="174">
        <f>Buildings_Water_Frontend[[#This Row],[Notes]]</f>
        <v>0</v>
      </c>
    </row>
    <row r="472" spans="5:44" x14ac:dyDescent="0.3">
      <c r="E472" s="346"/>
      <c r="F472" s="364"/>
      <c r="G472" s="336"/>
      <c r="H472" s="336"/>
      <c r="I472" s="334"/>
      <c r="J472" s="336"/>
      <c r="K472" s="336"/>
      <c r="L472" s="336"/>
      <c r="M472" s="337"/>
      <c r="N472" s="242">
        <f t="shared" si="15"/>
        <v>5</v>
      </c>
      <c r="Q472" s="212" t="str">
        <f t="shared" si="14"/>
        <v/>
      </c>
      <c r="R472" s="174" t="s">
        <v>265</v>
      </c>
      <c r="S472" s="174" t="s">
        <v>273</v>
      </c>
      <c r="T472" s="174" t="e">
        <f>_xlfn.XLOOKUP(Buildings_Water_Backend[[#This Row],[Info 1]],Buildings_SiteInfo[Site name],Buildings_SiteInfo[Site type])</f>
        <v>#N/A</v>
      </c>
      <c r="U472" s="174" t="s">
        <v>327</v>
      </c>
      <c r="V472" s="174">
        <f>Buildings_Water_Frontend[[#This Row],[Type]]</f>
        <v>0</v>
      </c>
      <c r="W472" s="174" t="e" cm="1">
        <f t="array" aca="1" ref="W472" ca="1">_xlfn.XLOOKUP(Buildings_Water_Backend[[#This Row],[Level 5]],rng_Level5Long,rng_Level6Long)</f>
        <v>#N/A</v>
      </c>
      <c r="X472" s="174">
        <f>Buildings_Water_Frontend[[#This Row],[Site Name]]</f>
        <v>0</v>
      </c>
      <c r="Y472" s="174">
        <f>Buildings_Water_Frontend[[#This Row],[Meter Reference]]</f>
        <v>0</v>
      </c>
      <c r="Z472" s="220">
        <f>Buildings_Water_Frontend[[#This Row],[Methodology]]</f>
        <v>0</v>
      </c>
      <c r="AA472" s="229" t="e" cm="1">
        <f t="array" ref="AA472">INDEX(_xlfn.SWITCH(Buildings_Water_Backend[[#This Row],[Methodology]],"Tier 1",rng_RSD1,"Tier 2",rng_RSD2,"Tier 3",rng_RSD3),MATCH(_xlfn.CONCAT(Buildings_Water_Backend[[#This Row],[Level 1]:[Level 6]]),rng_LevelsConcat,0))</f>
        <v>#N/A</v>
      </c>
      <c r="AB472" s="224">
        <f>Buildings_Water_Frontend[[#This Row],[Data]]</f>
        <v>0</v>
      </c>
      <c r="AC472" s="174">
        <f>Buildings_Water_Frontend[[#This Row],[Units]]</f>
        <v>0</v>
      </c>
      <c r="AD472" s="220" t="e">
        <f>IF(Buildings_Water_Backend[[#This Row],[Units]]=Buildings_Water_Backend[[#This Row],[Standard units]],Buildings_Water_Backend[[#This Row],[Data]],Buildings_Water_Backend[[#This Row],[Data]]*_xlfn.XLOOKUP(_xlfn.CONCAT(Buildings_Water_Backend[[#This Row],[Level 1]:[Level 6]]),rng_EFConcat,rng_EFConversion))</f>
        <v>#N/A</v>
      </c>
      <c r="AE472" s="174" t="e" cm="1">
        <f t="array" ref="AE472">_xlfn.XLOOKUP(_xlfn.CONCAT(Buildings_Water_Backend[[#This Row],[Level 1]:[Level 6]]),rng_LevelsConcat,rng_UnitsLong)</f>
        <v>#N/A</v>
      </c>
      <c r="AF472" s="210" t="e">
        <f>_xlfn.XLOOKUP(_xlfn.CONCAT(Buildings_Water_Backend[[#This Row],[Level 1]:[Level 6]]),rng_EFConcat,rng_EF1)*Buildings_Water_Backend[[#This Row],[Converted data]]/1000</f>
        <v>#N/A</v>
      </c>
      <c r="AG472" s="210" t="e">
        <f>_xlfn.XLOOKUP(_xlfn.CONCAT(Buildings_Water_Backend[[#This Row],[Level 1]:[Level 6]]),rng_EFConcat,rng_EF2)*Buildings_Water_Backend[[#This Row],[Converted data]]/1000</f>
        <v>#N/A</v>
      </c>
      <c r="AH472" s="210" t="e">
        <f>_xlfn.XLOOKUP(_xlfn.CONCAT(Buildings_Water_Backend[[#This Row],[Level 1]:[Level 6]]),rng_EFConcat,rng_EF3)*Buildings_Water_Backend[[#This Row],[Converted data]]/1000</f>
        <v>#N/A</v>
      </c>
      <c r="AI472" s="210" t="e">
        <f>_xlfn.XLOOKUP(_xlfn.CONCAT(Buildings_Water_Backend[[#This Row],[Level 1]:[Level 6]]),rng_EFConcat,rng_EF3WTT)*Buildings_Water_Backend[[#This Row],[Converted data]]/1000</f>
        <v>#N/A</v>
      </c>
      <c r="AJ472" s="210" t="e">
        <f>_xlfn.XLOOKUP(_xlfn.CONCAT(Buildings_Water_Backend[[#This Row],[Level 1]:[Level 6]]),rng_EFConcat,rng_EF3TD)*Buildings_Water_Backend[[#This Row],[Converted data]]/1000</f>
        <v>#N/A</v>
      </c>
      <c r="AK472" s="210" t="e">
        <f>_xlfn.XLOOKUP(_xlfn.CONCAT(Buildings_Water_Backend[[#This Row],[Level 1]:[Level 6]]),rng_EFConcat,rng_EF3WTTTD)*Buildings_Water_Backend[[#This Row],[Converted data]]/1000</f>
        <v>#N/A</v>
      </c>
      <c r="AL472" s="220" t="e">
        <f>SUM(Buildings_Water_Backend[[#This Row],[Scope 1 (tCO2e)]:[Scope 3 WTT T&amp;D (tCO2e)]])</f>
        <v>#N/A</v>
      </c>
      <c r="AM472" s="220" t="e">
        <f>Buildings_Water_Backend[[#This Row],[Total (tCO2e)]]*(1-Buildings_Water_Backend[[#This Row],[RSD]])</f>
        <v>#N/A</v>
      </c>
      <c r="AN472" s="220" t="e">
        <f>Buildings_Water_Backend[[#This Row],[Total (tCO2e)]]*(1+Buildings_Water_Backend[[#This Row],[RSD]])</f>
        <v>#N/A</v>
      </c>
      <c r="AO472" s="210" t="e">
        <f>_xlfn.XLOOKUP(_xlfn.CONCAT(Buildings_Water_Backend[[#This Row],[Level 1]:[Level 6]]),rng_EFConcat,rng_EFOOS)*Buildings_Water_Backend[[#This Row],[Converted data]]/1000</f>
        <v>#N/A</v>
      </c>
      <c r="AP472" s="174">
        <f>Buildings_Water_Frontend[[#This Row],[Ease of collection]]</f>
        <v>0</v>
      </c>
      <c r="AQ472" s="174">
        <f>Buildings_Water_Frontend[[#This Row],[Completeness]]</f>
        <v>0</v>
      </c>
      <c r="AR472" s="174">
        <f>Buildings_Water_Frontend[[#This Row],[Notes]]</f>
        <v>0</v>
      </c>
    </row>
    <row r="473" spans="5:44" x14ac:dyDescent="0.3">
      <c r="E473" s="346"/>
      <c r="F473" s="364"/>
      <c r="G473" s="336"/>
      <c r="H473" s="336"/>
      <c r="I473" s="334"/>
      <c r="J473" s="336"/>
      <c r="K473" s="336"/>
      <c r="L473" s="336"/>
      <c r="M473" s="337"/>
      <c r="N473" s="242">
        <f t="shared" si="15"/>
        <v>5</v>
      </c>
      <c r="Q473" s="212" t="str">
        <f t="shared" si="14"/>
        <v/>
      </c>
      <c r="R473" s="174" t="s">
        <v>265</v>
      </c>
      <c r="S473" s="174" t="s">
        <v>273</v>
      </c>
      <c r="T473" s="174" t="e">
        <f>_xlfn.XLOOKUP(Buildings_Water_Backend[[#This Row],[Info 1]],Buildings_SiteInfo[Site name],Buildings_SiteInfo[Site type])</f>
        <v>#N/A</v>
      </c>
      <c r="U473" s="174" t="s">
        <v>327</v>
      </c>
      <c r="V473" s="174">
        <f>Buildings_Water_Frontend[[#This Row],[Type]]</f>
        <v>0</v>
      </c>
      <c r="W473" s="174" t="e" cm="1">
        <f t="array" aca="1" ref="W473" ca="1">_xlfn.XLOOKUP(Buildings_Water_Backend[[#This Row],[Level 5]],rng_Level5Long,rng_Level6Long)</f>
        <v>#N/A</v>
      </c>
      <c r="X473" s="174">
        <f>Buildings_Water_Frontend[[#This Row],[Site Name]]</f>
        <v>0</v>
      </c>
      <c r="Y473" s="174">
        <f>Buildings_Water_Frontend[[#This Row],[Meter Reference]]</f>
        <v>0</v>
      </c>
      <c r="Z473" s="220">
        <f>Buildings_Water_Frontend[[#This Row],[Methodology]]</f>
        <v>0</v>
      </c>
      <c r="AA473" s="229" t="e" cm="1">
        <f t="array" ref="AA473">INDEX(_xlfn.SWITCH(Buildings_Water_Backend[[#This Row],[Methodology]],"Tier 1",rng_RSD1,"Tier 2",rng_RSD2,"Tier 3",rng_RSD3),MATCH(_xlfn.CONCAT(Buildings_Water_Backend[[#This Row],[Level 1]:[Level 6]]),rng_LevelsConcat,0))</f>
        <v>#N/A</v>
      </c>
      <c r="AB473" s="224">
        <f>Buildings_Water_Frontend[[#This Row],[Data]]</f>
        <v>0</v>
      </c>
      <c r="AC473" s="174">
        <f>Buildings_Water_Frontend[[#This Row],[Units]]</f>
        <v>0</v>
      </c>
      <c r="AD473" s="220" t="e">
        <f>IF(Buildings_Water_Backend[[#This Row],[Units]]=Buildings_Water_Backend[[#This Row],[Standard units]],Buildings_Water_Backend[[#This Row],[Data]],Buildings_Water_Backend[[#This Row],[Data]]*_xlfn.XLOOKUP(_xlfn.CONCAT(Buildings_Water_Backend[[#This Row],[Level 1]:[Level 6]]),rng_EFConcat,rng_EFConversion))</f>
        <v>#N/A</v>
      </c>
      <c r="AE473" s="174" t="e" cm="1">
        <f t="array" ref="AE473">_xlfn.XLOOKUP(_xlfn.CONCAT(Buildings_Water_Backend[[#This Row],[Level 1]:[Level 6]]),rng_LevelsConcat,rng_UnitsLong)</f>
        <v>#N/A</v>
      </c>
      <c r="AF473" s="210" t="e">
        <f>_xlfn.XLOOKUP(_xlfn.CONCAT(Buildings_Water_Backend[[#This Row],[Level 1]:[Level 6]]),rng_EFConcat,rng_EF1)*Buildings_Water_Backend[[#This Row],[Converted data]]/1000</f>
        <v>#N/A</v>
      </c>
      <c r="AG473" s="210" t="e">
        <f>_xlfn.XLOOKUP(_xlfn.CONCAT(Buildings_Water_Backend[[#This Row],[Level 1]:[Level 6]]),rng_EFConcat,rng_EF2)*Buildings_Water_Backend[[#This Row],[Converted data]]/1000</f>
        <v>#N/A</v>
      </c>
      <c r="AH473" s="210" t="e">
        <f>_xlfn.XLOOKUP(_xlfn.CONCAT(Buildings_Water_Backend[[#This Row],[Level 1]:[Level 6]]),rng_EFConcat,rng_EF3)*Buildings_Water_Backend[[#This Row],[Converted data]]/1000</f>
        <v>#N/A</v>
      </c>
      <c r="AI473" s="210" t="e">
        <f>_xlfn.XLOOKUP(_xlfn.CONCAT(Buildings_Water_Backend[[#This Row],[Level 1]:[Level 6]]),rng_EFConcat,rng_EF3WTT)*Buildings_Water_Backend[[#This Row],[Converted data]]/1000</f>
        <v>#N/A</v>
      </c>
      <c r="AJ473" s="210" t="e">
        <f>_xlfn.XLOOKUP(_xlfn.CONCAT(Buildings_Water_Backend[[#This Row],[Level 1]:[Level 6]]),rng_EFConcat,rng_EF3TD)*Buildings_Water_Backend[[#This Row],[Converted data]]/1000</f>
        <v>#N/A</v>
      </c>
      <c r="AK473" s="210" t="e">
        <f>_xlfn.XLOOKUP(_xlfn.CONCAT(Buildings_Water_Backend[[#This Row],[Level 1]:[Level 6]]),rng_EFConcat,rng_EF3WTTTD)*Buildings_Water_Backend[[#This Row],[Converted data]]/1000</f>
        <v>#N/A</v>
      </c>
      <c r="AL473" s="220" t="e">
        <f>SUM(Buildings_Water_Backend[[#This Row],[Scope 1 (tCO2e)]:[Scope 3 WTT T&amp;D (tCO2e)]])</f>
        <v>#N/A</v>
      </c>
      <c r="AM473" s="220" t="e">
        <f>Buildings_Water_Backend[[#This Row],[Total (tCO2e)]]*(1-Buildings_Water_Backend[[#This Row],[RSD]])</f>
        <v>#N/A</v>
      </c>
      <c r="AN473" s="220" t="e">
        <f>Buildings_Water_Backend[[#This Row],[Total (tCO2e)]]*(1+Buildings_Water_Backend[[#This Row],[RSD]])</f>
        <v>#N/A</v>
      </c>
      <c r="AO473" s="210" t="e">
        <f>_xlfn.XLOOKUP(_xlfn.CONCAT(Buildings_Water_Backend[[#This Row],[Level 1]:[Level 6]]),rng_EFConcat,rng_EFOOS)*Buildings_Water_Backend[[#This Row],[Converted data]]/1000</f>
        <v>#N/A</v>
      </c>
      <c r="AP473" s="174">
        <f>Buildings_Water_Frontend[[#This Row],[Ease of collection]]</f>
        <v>0</v>
      </c>
      <c r="AQ473" s="174">
        <f>Buildings_Water_Frontend[[#This Row],[Completeness]]</f>
        <v>0</v>
      </c>
      <c r="AR473" s="174">
        <f>Buildings_Water_Frontend[[#This Row],[Notes]]</f>
        <v>0</v>
      </c>
    </row>
    <row r="474" spans="5:44" x14ac:dyDescent="0.3">
      <c r="E474" s="346"/>
      <c r="F474" s="364"/>
      <c r="G474" s="336"/>
      <c r="H474" s="336"/>
      <c r="I474" s="334"/>
      <c r="J474" s="336"/>
      <c r="K474" s="336"/>
      <c r="L474" s="336"/>
      <c r="M474" s="337"/>
      <c r="N474" s="242">
        <f t="shared" si="15"/>
        <v>5</v>
      </c>
      <c r="Q474" s="212" t="str">
        <f t="shared" si="14"/>
        <v/>
      </c>
      <c r="R474" s="174" t="s">
        <v>265</v>
      </c>
      <c r="S474" s="174" t="s">
        <v>273</v>
      </c>
      <c r="T474" s="174" t="e">
        <f>_xlfn.XLOOKUP(Buildings_Water_Backend[[#This Row],[Info 1]],Buildings_SiteInfo[Site name],Buildings_SiteInfo[Site type])</f>
        <v>#N/A</v>
      </c>
      <c r="U474" s="174" t="s">
        <v>327</v>
      </c>
      <c r="V474" s="174">
        <f>Buildings_Water_Frontend[[#This Row],[Type]]</f>
        <v>0</v>
      </c>
      <c r="W474" s="174" t="e" cm="1">
        <f t="array" aca="1" ref="W474" ca="1">_xlfn.XLOOKUP(Buildings_Water_Backend[[#This Row],[Level 5]],rng_Level5Long,rng_Level6Long)</f>
        <v>#N/A</v>
      </c>
      <c r="X474" s="174">
        <f>Buildings_Water_Frontend[[#This Row],[Site Name]]</f>
        <v>0</v>
      </c>
      <c r="Y474" s="174">
        <f>Buildings_Water_Frontend[[#This Row],[Meter Reference]]</f>
        <v>0</v>
      </c>
      <c r="Z474" s="220">
        <f>Buildings_Water_Frontend[[#This Row],[Methodology]]</f>
        <v>0</v>
      </c>
      <c r="AA474" s="229" t="e" cm="1">
        <f t="array" ref="AA474">INDEX(_xlfn.SWITCH(Buildings_Water_Backend[[#This Row],[Methodology]],"Tier 1",rng_RSD1,"Tier 2",rng_RSD2,"Tier 3",rng_RSD3),MATCH(_xlfn.CONCAT(Buildings_Water_Backend[[#This Row],[Level 1]:[Level 6]]),rng_LevelsConcat,0))</f>
        <v>#N/A</v>
      </c>
      <c r="AB474" s="224">
        <f>Buildings_Water_Frontend[[#This Row],[Data]]</f>
        <v>0</v>
      </c>
      <c r="AC474" s="174">
        <f>Buildings_Water_Frontend[[#This Row],[Units]]</f>
        <v>0</v>
      </c>
      <c r="AD474" s="220" t="e">
        <f>IF(Buildings_Water_Backend[[#This Row],[Units]]=Buildings_Water_Backend[[#This Row],[Standard units]],Buildings_Water_Backend[[#This Row],[Data]],Buildings_Water_Backend[[#This Row],[Data]]*_xlfn.XLOOKUP(_xlfn.CONCAT(Buildings_Water_Backend[[#This Row],[Level 1]:[Level 6]]),rng_EFConcat,rng_EFConversion))</f>
        <v>#N/A</v>
      </c>
      <c r="AE474" s="174" t="e" cm="1">
        <f t="array" ref="AE474">_xlfn.XLOOKUP(_xlfn.CONCAT(Buildings_Water_Backend[[#This Row],[Level 1]:[Level 6]]),rng_LevelsConcat,rng_UnitsLong)</f>
        <v>#N/A</v>
      </c>
      <c r="AF474" s="210" t="e">
        <f>_xlfn.XLOOKUP(_xlfn.CONCAT(Buildings_Water_Backend[[#This Row],[Level 1]:[Level 6]]),rng_EFConcat,rng_EF1)*Buildings_Water_Backend[[#This Row],[Converted data]]/1000</f>
        <v>#N/A</v>
      </c>
      <c r="AG474" s="210" t="e">
        <f>_xlfn.XLOOKUP(_xlfn.CONCAT(Buildings_Water_Backend[[#This Row],[Level 1]:[Level 6]]),rng_EFConcat,rng_EF2)*Buildings_Water_Backend[[#This Row],[Converted data]]/1000</f>
        <v>#N/A</v>
      </c>
      <c r="AH474" s="210" t="e">
        <f>_xlfn.XLOOKUP(_xlfn.CONCAT(Buildings_Water_Backend[[#This Row],[Level 1]:[Level 6]]),rng_EFConcat,rng_EF3)*Buildings_Water_Backend[[#This Row],[Converted data]]/1000</f>
        <v>#N/A</v>
      </c>
      <c r="AI474" s="210" t="e">
        <f>_xlfn.XLOOKUP(_xlfn.CONCAT(Buildings_Water_Backend[[#This Row],[Level 1]:[Level 6]]),rng_EFConcat,rng_EF3WTT)*Buildings_Water_Backend[[#This Row],[Converted data]]/1000</f>
        <v>#N/A</v>
      </c>
      <c r="AJ474" s="210" t="e">
        <f>_xlfn.XLOOKUP(_xlfn.CONCAT(Buildings_Water_Backend[[#This Row],[Level 1]:[Level 6]]),rng_EFConcat,rng_EF3TD)*Buildings_Water_Backend[[#This Row],[Converted data]]/1000</f>
        <v>#N/A</v>
      </c>
      <c r="AK474" s="210" t="e">
        <f>_xlfn.XLOOKUP(_xlfn.CONCAT(Buildings_Water_Backend[[#This Row],[Level 1]:[Level 6]]),rng_EFConcat,rng_EF3WTTTD)*Buildings_Water_Backend[[#This Row],[Converted data]]/1000</f>
        <v>#N/A</v>
      </c>
      <c r="AL474" s="220" t="e">
        <f>SUM(Buildings_Water_Backend[[#This Row],[Scope 1 (tCO2e)]:[Scope 3 WTT T&amp;D (tCO2e)]])</f>
        <v>#N/A</v>
      </c>
      <c r="AM474" s="220" t="e">
        <f>Buildings_Water_Backend[[#This Row],[Total (tCO2e)]]*(1-Buildings_Water_Backend[[#This Row],[RSD]])</f>
        <v>#N/A</v>
      </c>
      <c r="AN474" s="220" t="e">
        <f>Buildings_Water_Backend[[#This Row],[Total (tCO2e)]]*(1+Buildings_Water_Backend[[#This Row],[RSD]])</f>
        <v>#N/A</v>
      </c>
      <c r="AO474" s="210" t="e">
        <f>_xlfn.XLOOKUP(_xlfn.CONCAT(Buildings_Water_Backend[[#This Row],[Level 1]:[Level 6]]),rng_EFConcat,rng_EFOOS)*Buildings_Water_Backend[[#This Row],[Converted data]]/1000</f>
        <v>#N/A</v>
      </c>
      <c r="AP474" s="174">
        <f>Buildings_Water_Frontend[[#This Row],[Ease of collection]]</f>
        <v>0</v>
      </c>
      <c r="AQ474" s="174">
        <f>Buildings_Water_Frontend[[#This Row],[Completeness]]</f>
        <v>0</v>
      </c>
      <c r="AR474" s="174">
        <f>Buildings_Water_Frontend[[#This Row],[Notes]]</f>
        <v>0</v>
      </c>
    </row>
    <row r="475" spans="5:44" x14ac:dyDescent="0.3">
      <c r="E475" s="346"/>
      <c r="F475" s="364"/>
      <c r="G475" s="336"/>
      <c r="H475" s="336"/>
      <c r="I475" s="334"/>
      <c r="J475" s="336"/>
      <c r="K475" s="336"/>
      <c r="L475" s="336"/>
      <c r="M475" s="337"/>
      <c r="N475" s="242">
        <f t="shared" si="15"/>
        <v>5</v>
      </c>
      <c r="Q475" s="212" t="str">
        <f t="shared" si="14"/>
        <v/>
      </c>
      <c r="R475" s="174" t="s">
        <v>265</v>
      </c>
      <c r="S475" s="174" t="s">
        <v>273</v>
      </c>
      <c r="T475" s="174" t="e">
        <f>_xlfn.XLOOKUP(Buildings_Water_Backend[[#This Row],[Info 1]],Buildings_SiteInfo[Site name],Buildings_SiteInfo[Site type])</f>
        <v>#N/A</v>
      </c>
      <c r="U475" s="174" t="s">
        <v>327</v>
      </c>
      <c r="V475" s="174">
        <f>Buildings_Water_Frontend[[#This Row],[Type]]</f>
        <v>0</v>
      </c>
      <c r="W475" s="174" t="e" cm="1">
        <f t="array" aca="1" ref="W475" ca="1">_xlfn.XLOOKUP(Buildings_Water_Backend[[#This Row],[Level 5]],rng_Level5Long,rng_Level6Long)</f>
        <v>#N/A</v>
      </c>
      <c r="X475" s="174">
        <f>Buildings_Water_Frontend[[#This Row],[Site Name]]</f>
        <v>0</v>
      </c>
      <c r="Y475" s="174">
        <f>Buildings_Water_Frontend[[#This Row],[Meter Reference]]</f>
        <v>0</v>
      </c>
      <c r="Z475" s="220">
        <f>Buildings_Water_Frontend[[#This Row],[Methodology]]</f>
        <v>0</v>
      </c>
      <c r="AA475" s="229" t="e" cm="1">
        <f t="array" ref="AA475">INDEX(_xlfn.SWITCH(Buildings_Water_Backend[[#This Row],[Methodology]],"Tier 1",rng_RSD1,"Tier 2",rng_RSD2,"Tier 3",rng_RSD3),MATCH(_xlfn.CONCAT(Buildings_Water_Backend[[#This Row],[Level 1]:[Level 6]]),rng_LevelsConcat,0))</f>
        <v>#N/A</v>
      </c>
      <c r="AB475" s="224">
        <f>Buildings_Water_Frontend[[#This Row],[Data]]</f>
        <v>0</v>
      </c>
      <c r="AC475" s="174">
        <f>Buildings_Water_Frontend[[#This Row],[Units]]</f>
        <v>0</v>
      </c>
      <c r="AD475" s="220" t="e">
        <f>IF(Buildings_Water_Backend[[#This Row],[Units]]=Buildings_Water_Backend[[#This Row],[Standard units]],Buildings_Water_Backend[[#This Row],[Data]],Buildings_Water_Backend[[#This Row],[Data]]*_xlfn.XLOOKUP(_xlfn.CONCAT(Buildings_Water_Backend[[#This Row],[Level 1]:[Level 6]]),rng_EFConcat,rng_EFConversion))</f>
        <v>#N/A</v>
      </c>
      <c r="AE475" s="174" t="e" cm="1">
        <f t="array" ref="AE475">_xlfn.XLOOKUP(_xlfn.CONCAT(Buildings_Water_Backend[[#This Row],[Level 1]:[Level 6]]),rng_LevelsConcat,rng_UnitsLong)</f>
        <v>#N/A</v>
      </c>
      <c r="AF475" s="210" t="e">
        <f>_xlfn.XLOOKUP(_xlfn.CONCAT(Buildings_Water_Backend[[#This Row],[Level 1]:[Level 6]]),rng_EFConcat,rng_EF1)*Buildings_Water_Backend[[#This Row],[Converted data]]/1000</f>
        <v>#N/A</v>
      </c>
      <c r="AG475" s="210" t="e">
        <f>_xlfn.XLOOKUP(_xlfn.CONCAT(Buildings_Water_Backend[[#This Row],[Level 1]:[Level 6]]),rng_EFConcat,rng_EF2)*Buildings_Water_Backend[[#This Row],[Converted data]]/1000</f>
        <v>#N/A</v>
      </c>
      <c r="AH475" s="210" t="e">
        <f>_xlfn.XLOOKUP(_xlfn.CONCAT(Buildings_Water_Backend[[#This Row],[Level 1]:[Level 6]]),rng_EFConcat,rng_EF3)*Buildings_Water_Backend[[#This Row],[Converted data]]/1000</f>
        <v>#N/A</v>
      </c>
      <c r="AI475" s="210" t="e">
        <f>_xlfn.XLOOKUP(_xlfn.CONCAT(Buildings_Water_Backend[[#This Row],[Level 1]:[Level 6]]),rng_EFConcat,rng_EF3WTT)*Buildings_Water_Backend[[#This Row],[Converted data]]/1000</f>
        <v>#N/A</v>
      </c>
      <c r="AJ475" s="210" t="e">
        <f>_xlfn.XLOOKUP(_xlfn.CONCAT(Buildings_Water_Backend[[#This Row],[Level 1]:[Level 6]]),rng_EFConcat,rng_EF3TD)*Buildings_Water_Backend[[#This Row],[Converted data]]/1000</f>
        <v>#N/A</v>
      </c>
      <c r="AK475" s="210" t="e">
        <f>_xlfn.XLOOKUP(_xlfn.CONCAT(Buildings_Water_Backend[[#This Row],[Level 1]:[Level 6]]),rng_EFConcat,rng_EF3WTTTD)*Buildings_Water_Backend[[#This Row],[Converted data]]/1000</f>
        <v>#N/A</v>
      </c>
      <c r="AL475" s="220" t="e">
        <f>SUM(Buildings_Water_Backend[[#This Row],[Scope 1 (tCO2e)]:[Scope 3 WTT T&amp;D (tCO2e)]])</f>
        <v>#N/A</v>
      </c>
      <c r="AM475" s="220" t="e">
        <f>Buildings_Water_Backend[[#This Row],[Total (tCO2e)]]*(1-Buildings_Water_Backend[[#This Row],[RSD]])</f>
        <v>#N/A</v>
      </c>
      <c r="AN475" s="220" t="e">
        <f>Buildings_Water_Backend[[#This Row],[Total (tCO2e)]]*(1+Buildings_Water_Backend[[#This Row],[RSD]])</f>
        <v>#N/A</v>
      </c>
      <c r="AO475" s="210" t="e">
        <f>_xlfn.XLOOKUP(_xlfn.CONCAT(Buildings_Water_Backend[[#This Row],[Level 1]:[Level 6]]),rng_EFConcat,rng_EFOOS)*Buildings_Water_Backend[[#This Row],[Converted data]]/1000</f>
        <v>#N/A</v>
      </c>
      <c r="AP475" s="174">
        <f>Buildings_Water_Frontend[[#This Row],[Ease of collection]]</f>
        <v>0</v>
      </c>
      <c r="AQ475" s="174">
        <f>Buildings_Water_Frontend[[#This Row],[Completeness]]</f>
        <v>0</v>
      </c>
      <c r="AR475" s="174">
        <f>Buildings_Water_Frontend[[#This Row],[Notes]]</f>
        <v>0</v>
      </c>
    </row>
    <row r="476" spans="5:44" x14ac:dyDescent="0.3">
      <c r="E476" s="346"/>
      <c r="F476" s="364"/>
      <c r="G476" s="336"/>
      <c r="H476" s="336"/>
      <c r="I476" s="334"/>
      <c r="J476" s="336"/>
      <c r="K476" s="336"/>
      <c r="L476" s="336"/>
      <c r="M476" s="337"/>
      <c r="N476" s="242">
        <f t="shared" si="15"/>
        <v>5</v>
      </c>
      <c r="Q476" s="212" t="str">
        <f t="shared" si="14"/>
        <v/>
      </c>
      <c r="R476" s="174" t="s">
        <v>265</v>
      </c>
      <c r="S476" s="174" t="s">
        <v>273</v>
      </c>
      <c r="T476" s="174" t="e">
        <f>_xlfn.XLOOKUP(Buildings_Water_Backend[[#This Row],[Info 1]],Buildings_SiteInfo[Site name],Buildings_SiteInfo[Site type])</f>
        <v>#N/A</v>
      </c>
      <c r="U476" s="174" t="s">
        <v>327</v>
      </c>
      <c r="V476" s="174">
        <f>Buildings_Water_Frontend[[#This Row],[Type]]</f>
        <v>0</v>
      </c>
      <c r="W476" s="174" t="e" cm="1">
        <f t="array" aca="1" ref="W476" ca="1">_xlfn.XLOOKUP(Buildings_Water_Backend[[#This Row],[Level 5]],rng_Level5Long,rng_Level6Long)</f>
        <v>#N/A</v>
      </c>
      <c r="X476" s="174">
        <f>Buildings_Water_Frontend[[#This Row],[Site Name]]</f>
        <v>0</v>
      </c>
      <c r="Y476" s="174">
        <f>Buildings_Water_Frontend[[#This Row],[Meter Reference]]</f>
        <v>0</v>
      </c>
      <c r="Z476" s="220">
        <f>Buildings_Water_Frontend[[#This Row],[Methodology]]</f>
        <v>0</v>
      </c>
      <c r="AA476" s="229" t="e" cm="1">
        <f t="array" ref="AA476">INDEX(_xlfn.SWITCH(Buildings_Water_Backend[[#This Row],[Methodology]],"Tier 1",rng_RSD1,"Tier 2",rng_RSD2,"Tier 3",rng_RSD3),MATCH(_xlfn.CONCAT(Buildings_Water_Backend[[#This Row],[Level 1]:[Level 6]]),rng_LevelsConcat,0))</f>
        <v>#N/A</v>
      </c>
      <c r="AB476" s="224">
        <f>Buildings_Water_Frontend[[#This Row],[Data]]</f>
        <v>0</v>
      </c>
      <c r="AC476" s="174">
        <f>Buildings_Water_Frontend[[#This Row],[Units]]</f>
        <v>0</v>
      </c>
      <c r="AD476" s="220" t="e">
        <f>IF(Buildings_Water_Backend[[#This Row],[Units]]=Buildings_Water_Backend[[#This Row],[Standard units]],Buildings_Water_Backend[[#This Row],[Data]],Buildings_Water_Backend[[#This Row],[Data]]*_xlfn.XLOOKUP(_xlfn.CONCAT(Buildings_Water_Backend[[#This Row],[Level 1]:[Level 6]]),rng_EFConcat,rng_EFConversion))</f>
        <v>#N/A</v>
      </c>
      <c r="AE476" s="174" t="e" cm="1">
        <f t="array" ref="AE476">_xlfn.XLOOKUP(_xlfn.CONCAT(Buildings_Water_Backend[[#This Row],[Level 1]:[Level 6]]),rng_LevelsConcat,rng_UnitsLong)</f>
        <v>#N/A</v>
      </c>
      <c r="AF476" s="210" t="e">
        <f>_xlfn.XLOOKUP(_xlfn.CONCAT(Buildings_Water_Backend[[#This Row],[Level 1]:[Level 6]]),rng_EFConcat,rng_EF1)*Buildings_Water_Backend[[#This Row],[Converted data]]/1000</f>
        <v>#N/A</v>
      </c>
      <c r="AG476" s="210" t="e">
        <f>_xlfn.XLOOKUP(_xlfn.CONCAT(Buildings_Water_Backend[[#This Row],[Level 1]:[Level 6]]),rng_EFConcat,rng_EF2)*Buildings_Water_Backend[[#This Row],[Converted data]]/1000</f>
        <v>#N/A</v>
      </c>
      <c r="AH476" s="210" t="e">
        <f>_xlfn.XLOOKUP(_xlfn.CONCAT(Buildings_Water_Backend[[#This Row],[Level 1]:[Level 6]]),rng_EFConcat,rng_EF3)*Buildings_Water_Backend[[#This Row],[Converted data]]/1000</f>
        <v>#N/A</v>
      </c>
      <c r="AI476" s="210" t="e">
        <f>_xlfn.XLOOKUP(_xlfn.CONCAT(Buildings_Water_Backend[[#This Row],[Level 1]:[Level 6]]),rng_EFConcat,rng_EF3WTT)*Buildings_Water_Backend[[#This Row],[Converted data]]/1000</f>
        <v>#N/A</v>
      </c>
      <c r="AJ476" s="210" t="e">
        <f>_xlfn.XLOOKUP(_xlfn.CONCAT(Buildings_Water_Backend[[#This Row],[Level 1]:[Level 6]]),rng_EFConcat,rng_EF3TD)*Buildings_Water_Backend[[#This Row],[Converted data]]/1000</f>
        <v>#N/A</v>
      </c>
      <c r="AK476" s="210" t="e">
        <f>_xlfn.XLOOKUP(_xlfn.CONCAT(Buildings_Water_Backend[[#This Row],[Level 1]:[Level 6]]),rng_EFConcat,rng_EF3WTTTD)*Buildings_Water_Backend[[#This Row],[Converted data]]/1000</f>
        <v>#N/A</v>
      </c>
      <c r="AL476" s="220" t="e">
        <f>SUM(Buildings_Water_Backend[[#This Row],[Scope 1 (tCO2e)]:[Scope 3 WTT T&amp;D (tCO2e)]])</f>
        <v>#N/A</v>
      </c>
      <c r="AM476" s="220" t="e">
        <f>Buildings_Water_Backend[[#This Row],[Total (tCO2e)]]*(1-Buildings_Water_Backend[[#This Row],[RSD]])</f>
        <v>#N/A</v>
      </c>
      <c r="AN476" s="220" t="e">
        <f>Buildings_Water_Backend[[#This Row],[Total (tCO2e)]]*(1+Buildings_Water_Backend[[#This Row],[RSD]])</f>
        <v>#N/A</v>
      </c>
      <c r="AO476" s="210" t="e">
        <f>_xlfn.XLOOKUP(_xlfn.CONCAT(Buildings_Water_Backend[[#This Row],[Level 1]:[Level 6]]),rng_EFConcat,rng_EFOOS)*Buildings_Water_Backend[[#This Row],[Converted data]]/1000</f>
        <v>#N/A</v>
      </c>
      <c r="AP476" s="174">
        <f>Buildings_Water_Frontend[[#This Row],[Ease of collection]]</f>
        <v>0</v>
      </c>
      <c r="AQ476" s="174">
        <f>Buildings_Water_Frontend[[#This Row],[Completeness]]</f>
        <v>0</v>
      </c>
      <c r="AR476" s="174">
        <f>Buildings_Water_Frontend[[#This Row],[Notes]]</f>
        <v>0</v>
      </c>
    </row>
    <row r="477" spans="5:44" x14ac:dyDescent="0.3">
      <c r="E477" s="346"/>
      <c r="F477" s="364"/>
      <c r="G477" s="336"/>
      <c r="H477" s="336"/>
      <c r="I477" s="334"/>
      <c r="J477" s="336"/>
      <c r="K477" s="336"/>
      <c r="L477" s="336"/>
      <c r="M477" s="337"/>
      <c r="N477" s="242">
        <f t="shared" si="15"/>
        <v>5</v>
      </c>
      <c r="Q477" s="212" t="str">
        <f t="shared" si="14"/>
        <v/>
      </c>
      <c r="R477" s="174" t="s">
        <v>265</v>
      </c>
      <c r="S477" s="174" t="s">
        <v>273</v>
      </c>
      <c r="T477" s="174" t="e">
        <f>_xlfn.XLOOKUP(Buildings_Water_Backend[[#This Row],[Info 1]],Buildings_SiteInfo[Site name],Buildings_SiteInfo[Site type])</f>
        <v>#N/A</v>
      </c>
      <c r="U477" s="174" t="s">
        <v>327</v>
      </c>
      <c r="V477" s="174">
        <f>Buildings_Water_Frontend[[#This Row],[Type]]</f>
        <v>0</v>
      </c>
      <c r="W477" s="174" t="e" cm="1">
        <f t="array" aca="1" ref="W477" ca="1">_xlfn.XLOOKUP(Buildings_Water_Backend[[#This Row],[Level 5]],rng_Level5Long,rng_Level6Long)</f>
        <v>#N/A</v>
      </c>
      <c r="X477" s="174">
        <f>Buildings_Water_Frontend[[#This Row],[Site Name]]</f>
        <v>0</v>
      </c>
      <c r="Y477" s="174">
        <f>Buildings_Water_Frontend[[#This Row],[Meter Reference]]</f>
        <v>0</v>
      </c>
      <c r="Z477" s="220">
        <f>Buildings_Water_Frontend[[#This Row],[Methodology]]</f>
        <v>0</v>
      </c>
      <c r="AA477" s="229" t="e" cm="1">
        <f t="array" ref="AA477">INDEX(_xlfn.SWITCH(Buildings_Water_Backend[[#This Row],[Methodology]],"Tier 1",rng_RSD1,"Tier 2",rng_RSD2,"Tier 3",rng_RSD3),MATCH(_xlfn.CONCAT(Buildings_Water_Backend[[#This Row],[Level 1]:[Level 6]]),rng_LevelsConcat,0))</f>
        <v>#N/A</v>
      </c>
      <c r="AB477" s="224">
        <f>Buildings_Water_Frontend[[#This Row],[Data]]</f>
        <v>0</v>
      </c>
      <c r="AC477" s="174">
        <f>Buildings_Water_Frontend[[#This Row],[Units]]</f>
        <v>0</v>
      </c>
      <c r="AD477" s="220" t="e">
        <f>IF(Buildings_Water_Backend[[#This Row],[Units]]=Buildings_Water_Backend[[#This Row],[Standard units]],Buildings_Water_Backend[[#This Row],[Data]],Buildings_Water_Backend[[#This Row],[Data]]*_xlfn.XLOOKUP(_xlfn.CONCAT(Buildings_Water_Backend[[#This Row],[Level 1]:[Level 6]]),rng_EFConcat,rng_EFConversion))</f>
        <v>#N/A</v>
      </c>
      <c r="AE477" s="174" t="e" cm="1">
        <f t="array" ref="AE477">_xlfn.XLOOKUP(_xlfn.CONCAT(Buildings_Water_Backend[[#This Row],[Level 1]:[Level 6]]),rng_LevelsConcat,rng_UnitsLong)</f>
        <v>#N/A</v>
      </c>
      <c r="AF477" s="210" t="e">
        <f>_xlfn.XLOOKUP(_xlfn.CONCAT(Buildings_Water_Backend[[#This Row],[Level 1]:[Level 6]]),rng_EFConcat,rng_EF1)*Buildings_Water_Backend[[#This Row],[Converted data]]/1000</f>
        <v>#N/A</v>
      </c>
      <c r="AG477" s="210" t="e">
        <f>_xlfn.XLOOKUP(_xlfn.CONCAT(Buildings_Water_Backend[[#This Row],[Level 1]:[Level 6]]),rng_EFConcat,rng_EF2)*Buildings_Water_Backend[[#This Row],[Converted data]]/1000</f>
        <v>#N/A</v>
      </c>
      <c r="AH477" s="210" t="e">
        <f>_xlfn.XLOOKUP(_xlfn.CONCAT(Buildings_Water_Backend[[#This Row],[Level 1]:[Level 6]]),rng_EFConcat,rng_EF3)*Buildings_Water_Backend[[#This Row],[Converted data]]/1000</f>
        <v>#N/A</v>
      </c>
      <c r="AI477" s="210" t="e">
        <f>_xlfn.XLOOKUP(_xlfn.CONCAT(Buildings_Water_Backend[[#This Row],[Level 1]:[Level 6]]),rng_EFConcat,rng_EF3WTT)*Buildings_Water_Backend[[#This Row],[Converted data]]/1000</f>
        <v>#N/A</v>
      </c>
      <c r="AJ477" s="210" t="e">
        <f>_xlfn.XLOOKUP(_xlfn.CONCAT(Buildings_Water_Backend[[#This Row],[Level 1]:[Level 6]]),rng_EFConcat,rng_EF3TD)*Buildings_Water_Backend[[#This Row],[Converted data]]/1000</f>
        <v>#N/A</v>
      </c>
      <c r="AK477" s="210" t="e">
        <f>_xlfn.XLOOKUP(_xlfn.CONCAT(Buildings_Water_Backend[[#This Row],[Level 1]:[Level 6]]),rng_EFConcat,rng_EF3WTTTD)*Buildings_Water_Backend[[#This Row],[Converted data]]/1000</f>
        <v>#N/A</v>
      </c>
      <c r="AL477" s="220" t="e">
        <f>SUM(Buildings_Water_Backend[[#This Row],[Scope 1 (tCO2e)]:[Scope 3 WTT T&amp;D (tCO2e)]])</f>
        <v>#N/A</v>
      </c>
      <c r="AM477" s="220" t="e">
        <f>Buildings_Water_Backend[[#This Row],[Total (tCO2e)]]*(1-Buildings_Water_Backend[[#This Row],[RSD]])</f>
        <v>#N/A</v>
      </c>
      <c r="AN477" s="220" t="e">
        <f>Buildings_Water_Backend[[#This Row],[Total (tCO2e)]]*(1+Buildings_Water_Backend[[#This Row],[RSD]])</f>
        <v>#N/A</v>
      </c>
      <c r="AO477" s="210" t="e">
        <f>_xlfn.XLOOKUP(_xlfn.CONCAT(Buildings_Water_Backend[[#This Row],[Level 1]:[Level 6]]),rng_EFConcat,rng_EFOOS)*Buildings_Water_Backend[[#This Row],[Converted data]]/1000</f>
        <v>#N/A</v>
      </c>
      <c r="AP477" s="174">
        <f>Buildings_Water_Frontend[[#This Row],[Ease of collection]]</f>
        <v>0</v>
      </c>
      <c r="AQ477" s="174">
        <f>Buildings_Water_Frontend[[#This Row],[Completeness]]</f>
        <v>0</v>
      </c>
      <c r="AR477" s="174">
        <f>Buildings_Water_Frontend[[#This Row],[Notes]]</f>
        <v>0</v>
      </c>
    </row>
    <row r="478" spans="5:44" x14ac:dyDescent="0.3">
      <c r="E478" s="346"/>
      <c r="F478" s="364"/>
      <c r="G478" s="336"/>
      <c r="H478" s="336"/>
      <c r="I478" s="334"/>
      <c r="J478" s="336"/>
      <c r="K478" s="336"/>
      <c r="L478" s="336"/>
      <c r="M478" s="337"/>
      <c r="N478" s="242">
        <f t="shared" si="15"/>
        <v>5</v>
      </c>
      <c r="Q478" s="212" t="str">
        <f t="shared" si="14"/>
        <v/>
      </c>
      <c r="R478" s="174" t="s">
        <v>265</v>
      </c>
      <c r="S478" s="174" t="s">
        <v>273</v>
      </c>
      <c r="T478" s="174" t="e">
        <f>_xlfn.XLOOKUP(Buildings_Water_Backend[[#This Row],[Info 1]],Buildings_SiteInfo[Site name],Buildings_SiteInfo[Site type])</f>
        <v>#N/A</v>
      </c>
      <c r="U478" s="174" t="s">
        <v>327</v>
      </c>
      <c r="V478" s="174">
        <f>Buildings_Water_Frontend[[#This Row],[Type]]</f>
        <v>0</v>
      </c>
      <c r="W478" s="174" t="e" cm="1">
        <f t="array" aca="1" ref="W478" ca="1">_xlfn.XLOOKUP(Buildings_Water_Backend[[#This Row],[Level 5]],rng_Level5Long,rng_Level6Long)</f>
        <v>#N/A</v>
      </c>
      <c r="X478" s="174">
        <f>Buildings_Water_Frontend[[#This Row],[Site Name]]</f>
        <v>0</v>
      </c>
      <c r="Y478" s="174">
        <f>Buildings_Water_Frontend[[#This Row],[Meter Reference]]</f>
        <v>0</v>
      </c>
      <c r="Z478" s="220">
        <f>Buildings_Water_Frontend[[#This Row],[Methodology]]</f>
        <v>0</v>
      </c>
      <c r="AA478" s="229" t="e" cm="1">
        <f t="array" ref="AA478">INDEX(_xlfn.SWITCH(Buildings_Water_Backend[[#This Row],[Methodology]],"Tier 1",rng_RSD1,"Tier 2",rng_RSD2,"Tier 3",rng_RSD3),MATCH(_xlfn.CONCAT(Buildings_Water_Backend[[#This Row],[Level 1]:[Level 6]]),rng_LevelsConcat,0))</f>
        <v>#N/A</v>
      </c>
      <c r="AB478" s="224">
        <f>Buildings_Water_Frontend[[#This Row],[Data]]</f>
        <v>0</v>
      </c>
      <c r="AC478" s="174">
        <f>Buildings_Water_Frontend[[#This Row],[Units]]</f>
        <v>0</v>
      </c>
      <c r="AD478" s="220" t="e">
        <f>IF(Buildings_Water_Backend[[#This Row],[Units]]=Buildings_Water_Backend[[#This Row],[Standard units]],Buildings_Water_Backend[[#This Row],[Data]],Buildings_Water_Backend[[#This Row],[Data]]*_xlfn.XLOOKUP(_xlfn.CONCAT(Buildings_Water_Backend[[#This Row],[Level 1]:[Level 6]]),rng_EFConcat,rng_EFConversion))</f>
        <v>#N/A</v>
      </c>
      <c r="AE478" s="174" t="e" cm="1">
        <f t="array" ref="AE478">_xlfn.XLOOKUP(_xlfn.CONCAT(Buildings_Water_Backend[[#This Row],[Level 1]:[Level 6]]),rng_LevelsConcat,rng_UnitsLong)</f>
        <v>#N/A</v>
      </c>
      <c r="AF478" s="210" t="e">
        <f>_xlfn.XLOOKUP(_xlfn.CONCAT(Buildings_Water_Backend[[#This Row],[Level 1]:[Level 6]]),rng_EFConcat,rng_EF1)*Buildings_Water_Backend[[#This Row],[Converted data]]/1000</f>
        <v>#N/A</v>
      </c>
      <c r="AG478" s="210" t="e">
        <f>_xlfn.XLOOKUP(_xlfn.CONCAT(Buildings_Water_Backend[[#This Row],[Level 1]:[Level 6]]),rng_EFConcat,rng_EF2)*Buildings_Water_Backend[[#This Row],[Converted data]]/1000</f>
        <v>#N/A</v>
      </c>
      <c r="AH478" s="210" t="e">
        <f>_xlfn.XLOOKUP(_xlfn.CONCAT(Buildings_Water_Backend[[#This Row],[Level 1]:[Level 6]]),rng_EFConcat,rng_EF3)*Buildings_Water_Backend[[#This Row],[Converted data]]/1000</f>
        <v>#N/A</v>
      </c>
      <c r="AI478" s="210" t="e">
        <f>_xlfn.XLOOKUP(_xlfn.CONCAT(Buildings_Water_Backend[[#This Row],[Level 1]:[Level 6]]),rng_EFConcat,rng_EF3WTT)*Buildings_Water_Backend[[#This Row],[Converted data]]/1000</f>
        <v>#N/A</v>
      </c>
      <c r="AJ478" s="210" t="e">
        <f>_xlfn.XLOOKUP(_xlfn.CONCAT(Buildings_Water_Backend[[#This Row],[Level 1]:[Level 6]]),rng_EFConcat,rng_EF3TD)*Buildings_Water_Backend[[#This Row],[Converted data]]/1000</f>
        <v>#N/A</v>
      </c>
      <c r="AK478" s="210" t="e">
        <f>_xlfn.XLOOKUP(_xlfn.CONCAT(Buildings_Water_Backend[[#This Row],[Level 1]:[Level 6]]),rng_EFConcat,rng_EF3WTTTD)*Buildings_Water_Backend[[#This Row],[Converted data]]/1000</f>
        <v>#N/A</v>
      </c>
      <c r="AL478" s="220" t="e">
        <f>SUM(Buildings_Water_Backend[[#This Row],[Scope 1 (tCO2e)]:[Scope 3 WTT T&amp;D (tCO2e)]])</f>
        <v>#N/A</v>
      </c>
      <c r="AM478" s="220" t="e">
        <f>Buildings_Water_Backend[[#This Row],[Total (tCO2e)]]*(1-Buildings_Water_Backend[[#This Row],[RSD]])</f>
        <v>#N/A</v>
      </c>
      <c r="AN478" s="220" t="e">
        <f>Buildings_Water_Backend[[#This Row],[Total (tCO2e)]]*(1+Buildings_Water_Backend[[#This Row],[RSD]])</f>
        <v>#N/A</v>
      </c>
      <c r="AO478" s="210" t="e">
        <f>_xlfn.XLOOKUP(_xlfn.CONCAT(Buildings_Water_Backend[[#This Row],[Level 1]:[Level 6]]),rng_EFConcat,rng_EFOOS)*Buildings_Water_Backend[[#This Row],[Converted data]]/1000</f>
        <v>#N/A</v>
      </c>
      <c r="AP478" s="174">
        <f>Buildings_Water_Frontend[[#This Row],[Ease of collection]]</f>
        <v>0</v>
      </c>
      <c r="AQ478" s="174">
        <f>Buildings_Water_Frontend[[#This Row],[Completeness]]</f>
        <v>0</v>
      </c>
      <c r="AR478" s="174">
        <f>Buildings_Water_Frontend[[#This Row],[Notes]]</f>
        <v>0</v>
      </c>
    </row>
    <row r="479" spans="5:44" x14ac:dyDescent="0.3">
      <c r="E479" s="346"/>
      <c r="F479" s="364"/>
      <c r="G479" s="336"/>
      <c r="H479" s="336"/>
      <c r="I479" s="334"/>
      <c r="J479" s="336"/>
      <c r="K479" s="336"/>
      <c r="L479" s="336"/>
      <c r="M479" s="337"/>
      <c r="N479" s="242">
        <f t="shared" si="15"/>
        <v>5</v>
      </c>
      <c r="Q479" s="212" t="str">
        <f t="shared" si="14"/>
        <v/>
      </c>
      <c r="R479" s="174" t="s">
        <v>265</v>
      </c>
      <c r="S479" s="174" t="s">
        <v>273</v>
      </c>
      <c r="T479" s="174" t="e">
        <f>_xlfn.XLOOKUP(Buildings_Water_Backend[[#This Row],[Info 1]],Buildings_SiteInfo[Site name],Buildings_SiteInfo[Site type])</f>
        <v>#N/A</v>
      </c>
      <c r="U479" s="174" t="s">
        <v>327</v>
      </c>
      <c r="V479" s="174">
        <f>Buildings_Water_Frontend[[#This Row],[Type]]</f>
        <v>0</v>
      </c>
      <c r="W479" s="174" t="e" cm="1">
        <f t="array" aca="1" ref="W479" ca="1">_xlfn.XLOOKUP(Buildings_Water_Backend[[#This Row],[Level 5]],rng_Level5Long,rng_Level6Long)</f>
        <v>#N/A</v>
      </c>
      <c r="X479" s="174">
        <f>Buildings_Water_Frontend[[#This Row],[Site Name]]</f>
        <v>0</v>
      </c>
      <c r="Y479" s="174">
        <f>Buildings_Water_Frontend[[#This Row],[Meter Reference]]</f>
        <v>0</v>
      </c>
      <c r="Z479" s="220">
        <f>Buildings_Water_Frontend[[#This Row],[Methodology]]</f>
        <v>0</v>
      </c>
      <c r="AA479" s="229" t="e" cm="1">
        <f t="array" ref="AA479">INDEX(_xlfn.SWITCH(Buildings_Water_Backend[[#This Row],[Methodology]],"Tier 1",rng_RSD1,"Tier 2",rng_RSD2,"Tier 3",rng_RSD3),MATCH(_xlfn.CONCAT(Buildings_Water_Backend[[#This Row],[Level 1]:[Level 6]]),rng_LevelsConcat,0))</f>
        <v>#N/A</v>
      </c>
      <c r="AB479" s="224">
        <f>Buildings_Water_Frontend[[#This Row],[Data]]</f>
        <v>0</v>
      </c>
      <c r="AC479" s="174">
        <f>Buildings_Water_Frontend[[#This Row],[Units]]</f>
        <v>0</v>
      </c>
      <c r="AD479" s="220" t="e">
        <f>IF(Buildings_Water_Backend[[#This Row],[Units]]=Buildings_Water_Backend[[#This Row],[Standard units]],Buildings_Water_Backend[[#This Row],[Data]],Buildings_Water_Backend[[#This Row],[Data]]*_xlfn.XLOOKUP(_xlfn.CONCAT(Buildings_Water_Backend[[#This Row],[Level 1]:[Level 6]]),rng_EFConcat,rng_EFConversion))</f>
        <v>#N/A</v>
      </c>
      <c r="AE479" s="174" t="e" cm="1">
        <f t="array" ref="AE479">_xlfn.XLOOKUP(_xlfn.CONCAT(Buildings_Water_Backend[[#This Row],[Level 1]:[Level 6]]),rng_LevelsConcat,rng_UnitsLong)</f>
        <v>#N/A</v>
      </c>
      <c r="AF479" s="210" t="e">
        <f>_xlfn.XLOOKUP(_xlfn.CONCAT(Buildings_Water_Backend[[#This Row],[Level 1]:[Level 6]]),rng_EFConcat,rng_EF1)*Buildings_Water_Backend[[#This Row],[Converted data]]/1000</f>
        <v>#N/A</v>
      </c>
      <c r="AG479" s="210" t="e">
        <f>_xlfn.XLOOKUP(_xlfn.CONCAT(Buildings_Water_Backend[[#This Row],[Level 1]:[Level 6]]),rng_EFConcat,rng_EF2)*Buildings_Water_Backend[[#This Row],[Converted data]]/1000</f>
        <v>#N/A</v>
      </c>
      <c r="AH479" s="210" t="e">
        <f>_xlfn.XLOOKUP(_xlfn.CONCAT(Buildings_Water_Backend[[#This Row],[Level 1]:[Level 6]]),rng_EFConcat,rng_EF3)*Buildings_Water_Backend[[#This Row],[Converted data]]/1000</f>
        <v>#N/A</v>
      </c>
      <c r="AI479" s="210" t="e">
        <f>_xlfn.XLOOKUP(_xlfn.CONCAT(Buildings_Water_Backend[[#This Row],[Level 1]:[Level 6]]),rng_EFConcat,rng_EF3WTT)*Buildings_Water_Backend[[#This Row],[Converted data]]/1000</f>
        <v>#N/A</v>
      </c>
      <c r="AJ479" s="210" t="e">
        <f>_xlfn.XLOOKUP(_xlfn.CONCAT(Buildings_Water_Backend[[#This Row],[Level 1]:[Level 6]]),rng_EFConcat,rng_EF3TD)*Buildings_Water_Backend[[#This Row],[Converted data]]/1000</f>
        <v>#N/A</v>
      </c>
      <c r="AK479" s="210" t="e">
        <f>_xlfn.XLOOKUP(_xlfn.CONCAT(Buildings_Water_Backend[[#This Row],[Level 1]:[Level 6]]),rng_EFConcat,rng_EF3WTTTD)*Buildings_Water_Backend[[#This Row],[Converted data]]/1000</f>
        <v>#N/A</v>
      </c>
      <c r="AL479" s="220" t="e">
        <f>SUM(Buildings_Water_Backend[[#This Row],[Scope 1 (tCO2e)]:[Scope 3 WTT T&amp;D (tCO2e)]])</f>
        <v>#N/A</v>
      </c>
      <c r="AM479" s="220" t="e">
        <f>Buildings_Water_Backend[[#This Row],[Total (tCO2e)]]*(1-Buildings_Water_Backend[[#This Row],[RSD]])</f>
        <v>#N/A</v>
      </c>
      <c r="AN479" s="220" t="e">
        <f>Buildings_Water_Backend[[#This Row],[Total (tCO2e)]]*(1+Buildings_Water_Backend[[#This Row],[RSD]])</f>
        <v>#N/A</v>
      </c>
      <c r="AO479" s="210" t="e">
        <f>_xlfn.XLOOKUP(_xlfn.CONCAT(Buildings_Water_Backend[[#This Row],[Level 1]:[Level 6]]),rng_EFConcat,rng_EFOOS)*Buildings_Water_Backend[[#This Row],[Converted data]]/1000</f>
        <v>#N/A</v>
      </c>
      <c r="AP479" s="174">
        <f>Buildings_Water_Frontend[[#This Row],[Ease of collection]]</f>
        <v>0</v>
      </c>
      <c r="AQ479" s="174">
        <f>Buildings_Water_Frontend[[#This Row],[Completeness]]</f>
        <v>0</v>
      </c>
      <c r="AR479" s="174">
        <f>Buildings_Water_Frontend[[#This Row],[Notes]]</f>
        <v>0</v>
      </c>
    </row>
    <row r="480" spans="5:44" x14ac:dyDescent="0.3">
      <c r="E480" s="346"/>
      <c r="F480" s="364"/>
      <c r="G480" s="336"/>
      <c r="H480" s="336"/>
      <c r="I480" s="334"/>
      <c r="J480" s="336"/>
      <c r="K480" s="336"/>
      <c r="L480" s="336"/>
      <c r="M480" s="337"/>
      <c r="N480" s="242">
        <f t="shared" si="15"/>
        <v>5</v>
      </c>
      <c r="Q480" s="212" t="str">
        <f t="shared" si="14"/>
        <v/>
      </c>
      <c r="R480" s="174" t="s">
        <v>265</v>
      </c>
      <c r="S480" s="174" t="s">
        <v>273</v>
      </c>
      <c r="T480" s="174" t="e">
        <f>_xlfn.XLOOKUP(Buildings_Water_Backend[[#This Row],[Info 1]],Buildings_SiteInfo[Site name],Buildings_SiteInfo[Site type])</f>
        <v>#N/A</v>
      </c>
      <c r="U480" s="174" t="s">
        <v>327</v>
      </c>
      <c r="V480" s="174">
        <f>Buildings_Water_Frontend[[#This Row],[Type]]</f>
        <v>0</v>
      </c>
      <c r="W480" s="174" t="e" cm="1">
        <f t="array" aca="1" ref="W480" ca="1">_xlfn.XLOOKUP(Buildings_Water_Backend[[#This Row],[Level 5]],rng_Level5Long,rng_Level6Long)</f>
        <v>#N/A</v>
      </c>
      <c r="X480" s="174">
        <f>Buildings_Water_Frontend[[#This Row],[Site Name]]</f>
        <v>0</v>
      </c>
      <c r="Y480" s="174">
        <f>Buildings_Water_Frontend[[#This Row],[Meter Reference]]</f>
        <v>0</v>
      </c>
      <c r="Z480" s="220">
        <f>Buildings_Water_Frontend[[#This Row],[Methodology]]</f>
        <v>0</v>
      </c>
      <c r="AA480" s="229" t="e" cm="1">
        <f t="array" ref="AA480">INDEX(_xlfn.SWITCH(Buildings_Water_Backend[[#This Row],[Methodology]],"Tier 1",rng_RSD1,"Tier 2",rng_RSD2,"Tier 3",rng_RSD3),MATCH(_xlfn.CONCAT(Buildings_Water_Backend[[#This Row],[Level 1]:[Level 6]]),rng_LevelsConcat,0))</f>
        <v>#N/A</v>
      </c>
      <c r="AB480" s="224">
        <f>Buildings_Water_Frontend[[#This Row],[Data]]</f>
        <v>0</v>
      </c>
      <c r="AC480" s="174">
        <f>Buildings_Water_Frontend[[#This Row],[Units]]</f>
        <v>0</v>
      </c>
      <c r="AD480" s="220" t="e">
        <f>IF(Buildings_Water_Backend[[#This Row],[Units]]=Buildings_Water_Backend[[#This Row],[Standard units]],Buildings_Water_Backend[[#This Row],[Data]],Buildings_Water_Backend[[#This Row],[Data]]*_xlfn.XLOOKUP(_xlfn.CONCAT(Buildings_Water_Backend[[#This Row],[Level 1]:[Level 6]]),rng_EFConcat,rng_EFConversion))</f>
        <v>#N/A</v>
      </c>
      <c r="AE480" s="174" t="e" cm="1">
        <f t="array" ref="AE480">_xlfn.XLOOKUP(_xlfn.CONCAT(Buildings_Water_Backend[[#This Row],[Level 1]:[Level 6]]),rng_LevelsConcat,rng_UnitsLong)</f>
        <v>#N/A</v>
      </c>
      <c r="AF480" s="210" t="e">
        <f>_xlfn.XLOOKUP(_xlfn.CONCAT(Buildings_Water_Backend[[#This Row],[Level 1]:[Level 6]]),rng_EFConcat,rng_EF1)*Buildings_Water_Backend[[#This Row],[Converted data]]/1000</f>
        <v>#N/A</v>
      </c>
      <c r="AG480" s="210" t="e">
        <f>_xlfn.XLOOKUP(_xlfn.CONCAT(Buildings_Water_Backend[[#This Row],[Level 1]:[Level 6]]),rng_EFConcat,rng_EF2)*Buildings_Water_Backend[[#This Row],[Converted data]]/1000</f>
        <v>#N/A</v>
      </c>
      <c r="AH480" s="210" t="e">
        <f>_xlfn.XLOOKUP(_xlfn.CONCAT(Buildings_Water_Backend[[#This Row],[Level 1]:[Level 6]]),rng_EFConcat,rng_EF3)*Buildings_Water_Backend[[#This Row],[Converted data]]/1000</f>
        <v>#N/A</v>
      </c>
      <c r="AI480" s="210" t="e">
        <f>_xlfn.XLOOKUP(_xlfn.CONCAT(Buildings_Water_Backend[[#This Row],[Level 1]:[Level 6]]),rng_EFConcat,rng_EF3WTT)*Buildings_Water_Backend[[#This Row],[Converted data]]/1000</f>
        <v>#N/A</v>
      </c>
      <c r="AJ480" s="210" t="e">
        <f>_xlfn.XLOOKUP(_xlfn.CONCAT(Buildings_Water_Backend[[#This Row],[Level 1]:[Level 6]]),rng_EFConcat,rng_EF3TD)*Buildings_Water_Backend[[#This Row],[Converted data]]/1000</f>
        <v>#N/A</v>
      </c>
      <c r="AK480" s="210" t="e">
        <f>_xlfn.XLOOKUP(_xlfn.CONCAT(Buildings_Water_Backend[[#This Row],[Level 1]:[Level 6]]),rng_EFConcat,rng_EF3WTTTD)*Buildings_Water_Backend[[#This Row],[Converted data]]/1000</f>
        <v>#N/A</v>
      </c>
      <c r="AL480" s="220" t="e">
        <f>SUM(Buildings_Water_Backend[[#This Row],[Scope 1 (tCO2e)]:[Scope 3 WTT T&amp;D (tCO2e)]])</f>
        <v>#N/A</v>
      </c>
      <c r="AM480" s="220" t="e">
        <f>Buildings_Water_Backend[[#This Row],[Total (tCO2e)]]*(1-Buildings_Water_Backend[[#This Row],[RSD]])</f>
        <v>#N/A</v>
      </c>
      <c r="AN480" s="220" t="e">
        <f>Buildings_Water_Backend[[#This Row],[Total (tCO2e)]]*(1+Buildings_Water_Backend[[#This Row],[RSD]])</f>
        <v>#N/A</v>
      </c>
      <c r="AO480" s="210" t="e">
        <f>_xlfn.XLOOKUP(_xlfn.CONCAT(Buildings_Water_Backend[[#This Row],[Level 1]:[Level 6]]),rng_EFConcat,rng_EFOOS)*Buildings_Water_Backend[[#This Row],[Converted data]]/1000</f>
        <v>#N/A</v>
      </c>
      <c r="AP480" s="174">
        <f>Buildings_Water_Frontend[[#This Row],[Ease of collection]]</f>
        <v>0</v>
      </c>
      <c r="AQ480" s="174">
        <f>Buildings_Water_Frontend[[#This Row],[Completeness]]</f>
        <v>0</v>
      </c>
      <c r="AR480" s="174">
        <f>Buildings_Water_Frontend[[#This Row],[Notes]]</f>
        <v>0</v>
      </c>
    </row>
    <row r="481" spans="5:44" x14ac:dyDescent="0.3">
      <c r="E481" s="346"/>
      <c r="F481" s="364"/>
      <c r="G481" s="336"/>
      <c r="H481" s="336"/>
      <c r="I481" s="334"/>
      <c r="J481" s="336"/>
      <c r="K481" s="336"/>
      <c r="L481" s="336"/>
      <c r="M481" s="337"/>
      <c r="N481" s="242">
        <f t="shared" si="15"/>
        <v>5</v>
      </c>
      <c r="Q481" s="212" t="str">
        <f t="shared" si="14"/>
        <v/>
      </c>
      <c r="R481" s="174" t="s">
        <v>265</v>
      </c>
      <c r="S481" s="174" t="s">
        <v>273</v>
      </c>
      <c r="T481" s="174" t="e">
        <f>_xlfn.XLOOKUP(Buildings_Water_Backend[[#This Row],[Info 1]],Buildings_SiteInfo[Site name],Buildings_SiteInfo[Site type])</f>
        <v>#N/A</v>
      </c>
      <c r="U481" s="174" t="s">
        <v>327</v>
      </c>
      <c r="V481" s="174">
        <f>Buildings_Water_Frontend[[#This Row],[Type]]</f>
        <v>0</v>
      </c>
      <c r="W481" s="174" t="e" cm="1">
        <f t="array" aca="1" ref="W481" ca="1">_xlfn.XLOOKUP(Buildings_Water_Backend[[#This Row],[Level 5]],rng_Level5Long,rng_Level6Long)</f>
        <v>#N/A</v>
      </c>
      <c r="X481" s="174">
        <f>Buildings_Water_Frontend[[#This Row],[Site Name]]</f>
        <v>0</v>
      </c>
      <c r="Y481" s="174">
        <f>Buildings_Water_Frontend[[#This Row],[Meter Reference]]</f>
        <v>0</v>
      </c>
      <c r="Z481" s="220">
        <f>Buildings_Water_Frontend[[#This Row],[Methodology]]</f>
        <v>0</v>
      </c>
      <c r="AA481" s="229" t="e" cm="1">
        <f t="array" ref="AA481">INDEX(_xlfn.SWITCH(Buildings_Water_Backend[[#This Row],[Methodology]],"Tier 1",rng_RSD1,"Tier 2",rng_RSD2,"Tier 3",rng_RSD3),MATCH(_xlfn.CONCAT(Buildings_Water_Backend[[#This Row],[Level 1]:[Level 6]]),rng_LevelsConcat,0))</f>
        <v>#N/A</v>
      </c>
      <c r="AB481" s="224">
        <f>Buildings_Water_Frontend[[#This Row],[Data]]</f>
        <v>0</v>
      </c>
      <c r="AC481" s="174">
        <f>Buildings_Water_Frontend[[#This Row],[Units]]</f>
        <v>0</v>
      </c>
      <c r="AD481" s="220" t="e">
        <f>IF(Buildings_Water_Backend[[#This Row],[Units]]=Buildings_Water_Backend[[#This Row],[Standard units]],Buildings_Water_Backend[[#This Row],[Data]],Buildings_Water_Backend[[#This Row],[Data]]*_xlfn.XLOOKUP(_xlfn.CONCAT(Buildings_Water_Backend[[#This Row],[Level 1]:[Level 6]]),rng_EFConcat,rng_EFConversion))</f>
        <v>#N/A</v>
      </c>
      <c r="AE481" s="174" t="e" cm="1">
        <f t="array" ref="AE481">_xlfn.XLOOKUP(_xlfn.CONCAT(Buildings_Water_Backend[[#This Row],[Level 1]:[Level 6]]),rng_LevelsConcat,rng_UnitsLong)</f>
        <v>#N/A</v>
      </c>
      <c r="AF481" s="210" t="e">
        <f>_xlfn.XLOOKUP(_xlfn.CONCAT(Buildings_Water_Backend[[#This Row],[Level 1]:[Level 6]]),rng_EFConcat,rng_EF1)*Buildings_Water_Backend[[#This Row],[Converted data]]/1000</f>
        <v>#N/A</v>
      </c>
      <c r="AG481" s="210" t="e">
        <f>_xlfn.XLOOKUP(_xlfn.CONCAT(Buildings_Water_Backend[[#This Row],[Level 1]:[Level 6]]),rng_EFConcat,rng_EF2)*Buildings_Water_Backend[[#This Row],[Converted data]]/1000</f>
        <v>#N/A</v>
      </c>
      <c r="AH481" s="210" t="e">
        <f>_xlfn.XLOOKUP(_xlfn.CONCAT(Buildings_Water_Backend[[#This Row],[Level 1]:[Level 6]]),rng_EFConcat,rng_EF3)*Buildings_Water_Backend[[#This Row],[Converted data]]/1000</f>
        <v>#N/A</v>
      </c>
      <c r="AI481" s="210" t="e">
        <f>_xlfn.XLOOKUP(_xlfn.CONCAT(Buildings_Water_Backend[[#This Row],[Level 1]:[Level 6]]),rng_EFConcat,rng_EF3WTT)*Buildings_Water_Backend[[#This Row],[Converted data]]/1000</f>
        <v>#N/A</v>
      </c>
      <c r="AJ481" s="210" t="e">
        <f>_xlfn.XLOOKUP(_xlfn.CONCAT(Buildings_Water_Backend[[#This Row],[Level 1]:[Level 6]]),rng_EFConcat,rng_EF3TD)*Buildings_Water_Backend[[#This Row],[Converted data]]/1000</f>
        <v>#N/A</v>
      </c>
      <c r="AK481" s="210" t="e">
        <f>_xlfn.XLOOKUP(_xlfn.CONCAT(Buildings_Water_Backend[[#This Row],[Level 1]:[Level 6]]),rng_EFConcat,rng_EF3WTTTD)*Buildings_Water_Backend[[#This Row],[Converted data]]/1000</f>
        <v>#N/A</v>
      </c>
      <c r="AL481" s="220" t="e">
        <f>SUM(Buildings_Water_Backend[[#This Row],[Scope 1 (tCO2e)]:[Scope 3 WTT T&amp;D (tCO2e)]])</f>
        <v>#N/A</v>
      </c>
      <c r="AM481" s="220" t="e">
        <f>Buildings_Water_Backend[[#This Row],[Total (tCO2e)]]*(1-Buildings_Water_Backend[[#This Row],[RSD]])</f>
        <v>#N/A</v>
      </c>
      <c r="AN481" s="220" t="e">
        <f>Buildings_Water_Backend[[#This Row],[Total (tCO2e)]]*(1+Buildings_Water_Backend[[#This Row],[RSD]])</f>
        <v>#N/A</v>
      </c>
      <c r="AO481" s="210" t="e">
        <f>_xlfn.XLOOKUP(_xlfn.CONCAT(Buildings_Water_Backend[[#This Row],[Level 1]:[Level 6]]),rng_EFConcat,rng_EFOOS)*Buildings_Water_Backend[[#This Row],[Converted data]]/1000</f>
        <v>#N/A</v>
      </c>
      <c r="AP481" s="174">
        <f>Buildings_Water_Frontend[[#This Row],[Ease of collection]]</f>
        <v>0</v>
      </c>
      <c r="AQ481" s="174">
        <f>Buildings_Water_Frontend[[#This Row],[Completeness]]</f>
        <v>0</v>
      </c>
      <c r="AR481" s="174">
        <f>Buildings_Water_Frontend[[#This Row],[Notes]]</f>
        <v>0</v>
      </c>
    </row>
    <row r="482" spans="5:44" x14ac:dyDescent="0.3">
      <c r="E482" s="346"/>
      <c r="F482" s="364"/>
      <c r="G482" s="336"/>
      <c r="H482" s="336"/>
      <c r="I482" s="334"/>
      <c r="J482" s="336"/>
      <c r="K482" s="336"/>
      <c r="L482" s="336"/>
      <c r="M482" s="337"/>
      <c r="N482" s="242">
        <f t="shared" si="15"/>
        <v>5</v>
      </c>
      <c r="Q482" s="212" t="str">
        <f t="shared" si="14"/>
        <v/>
      </c>
      <c r="R482" s="174" t="s">
        <v>265</v>
      </c>
      <c r="S482" s="174" t="s">
        <v>273</v>
      </c>
      <c r="T482" s="174" t="e">
        <f>_xlfn.XLOOKUP(Buildings_Water_Backend[[#This Row],[Info 1]],Buildings_SiteInfo[Site name],Buildings_SiteInfo[Site type])</f>
        <v>#N/A</v>
      </c>
      <c r="U482" s="174" t="s">
        <v>327</v>
      </c>
      <c r="V482" s="174">
        <f>Buildings_Water_Frontend[[#This Row],[Type]]</f>
        <v>0</v>
      </c>
      <c r="W482" s="174" t="e" cm="1">
        <f t="array" aca="1" ref="W482" ca="1">_xlfn.XLOOKUP(Buildings_Water_Backend[[#This Row],[Level 5]],rng_Level5Long,rng_Level6Long)</f>
        <v>#N/A</v>
      </c>
      <c r="X482" s="174">
        <f>Buildings_Water_Frontend[[#This Row],[Site Name]]</f>
        <v>0</v>
      </c>
      <c r="Y482" s="174">
        <f>Buildings_Water_Frontend[[#This Row],[Meter Reference]]</f>
        <v>0</v>
      </c>
      <c r="Z482" s="220">
        <f>Buildings_Water_Frontend[[#This Row],[Methodology]]</f>
        <v>0</v>
      </c>
      <c r="AA482" s="229" t="e" cm="1">
        <f t="array" ref="AA482">INDEX(_xlfn.SWITCH(Buildings_Water_Backend[[#This Row],[Methodology]],"Tier 1",rng_RSD1,"Tier 2",rng_RSD2,"Tier 3",rng_RSD3),MATCH(_xlfn.CONCAT(Buildings_Water_Backend[[#This Row],[Level 1]:[Level 6]]),rng_LevelsConcat,0))</f>
        <v>#N/A</v>
      </c>
      <c r="AB482" s="224">
        <f>Buildings_Water_Frontend[[#This Row],[Data]]</f>
        <v>0</v>
      </c>
      <c r="AC482" s="174">
        <f>Buildings_Water_Frontend[[#This Row],[Units]]</f>
        <v>0</v>
      </c>
      <c r="AD482" s="220" t="e">
        <f>IF(Buildings_Water_Backend[[#This Row],[Units]]=Buildings_Water_Backend[[#This Row],[Standard units]],Buildings_Water_Backend[[#This Row],[Data]],Buildings_Water_Backend[[#This Row],[Data]]*_xlfn.XLOOKUP(_xlfn.CONCAT(Buildings_Water_Backend[[#This Row],[Level 1]:[Level 6]]),rng_EFConcat,rng_EFConversion))</f>
        <v>#N/A</v>
      </c>
      <c r="AE482" s="174" t="e" cm="1">
        <f t="array" ref="AE482">_xlfn.XLOOKUP(_xlfn.CONCAT(Buildings_Water_Backend[[#This Row],[Level 1]:[Level 6]]),rng_LevelsConcat,rng_UnitsLong)</f>
        <v>#N/A</v>
      </c>
      <c r="AF482" s="210" t="e">
        <f>_xlfn.XLOOKUP(_xlfn.CONCAT(Buildings_Water_Backend[[#This Row],[Level 1]:[Level 6]]),rng_EFConcat,rng_EF1)*Buildings_Water_Backend[[#This Row],[Converted data]]/1000</f>
        <v>#N/A</v>
      </c>
      <c r="AG482" s="210" t="e">
        <f>_xlfn.XLOOKUP(_xlfn.CONCAT(Buildings_Water_Backend[[#This Row],[Level 1]:[Level 6]]),rng_EFConcat,rng_EF2)*Buildings_Water_Backend[[#This Row],[Converted data]]/1000</f>
        <v>#N/A</v>
      </c>
      <c r="AH482" s="210" t="e">
        <f>_xlfn.XLOOKUP(_xlfn.CONCAT(Buildings_Water_Backend[[#This Row],[Level 1]:[Level 6]]),rng_EFConcat,rng_EF3)*Buildings_Water_Backend[[#This Row],[Converted data]]/1000</f>
        <v>#N/A</v>
      </c>
      <c r="AI482" s="210" t="e">
        <f>_xlfn.XLOOKUP(_xlfn.CONCAT(Buildings_Water_Backend[[#This Row],[Level 1]:[Level 6]]),rng_EFConcat,rng_EF3WTT)*Buildings_Water_Backend[[#This Row],[Converted data]]/1000</f>
        <v>#N/A</v>
      </c>
      <c r="AJ482" s="210" t="e">
        <f>_xlfn.XLOOKUP(_xlfn.CONCAT(Buildings_Water_Backend[[#This Row],[Level 1]:[Level 6]]),rng_EFConcat,rng_EF3TD)*Buildings_Water_Backend[[#This Row],[Converted data]]/1000</f>
        <v>#N/A</v>
      </c>
      <c r="AK482" s="210" t="e">
        <f>_xlfn.XLOOKUP(_xlfn.CONCAT(Buildings_Water_Backend[[#This Row],[Level 1]:[Level 6]]),rng_EFConcat,rng_EF3WTTTD)*Buildings_Water_Backend[[#This Row],[Converted data]]/1000</f>
        <v>#N/A</v>
      </c>
      <c r="AL482" s="220" t="e">
        <f>SUM(Buildings_Water_Backend[[#This Row],[Scope 1 (tCO2e)]:[Scope 3 WTT T&amp;D (tCO2e)]])</f>
        <v>#N/A</v>
      </c>
      <c r="AM482" s="220" t="e">
        <f>Buildings_Water_Backend[[#This Row],[Total (tCO2e)]]*(1-Buildings_Water_Backend[[#This Row],[RSD]])</f>
        <v>#N/A</v>
      </c>
      <c r="AN482" s="220" t="e">
        <f>Buildings_Water_Backend[[#This Row],[Total (tCO2e)]]*(1+Buildings_Water_Backend[[#This Row],[RSD]])</f>
        <v>#N/A</v>
      </c>
      <c r="AO482" s="210" t="e">
        <f>_xlfn.XLOOKUP(_xlfn.CONCAT(Buildings_Water_Backend[[#This Row],[Level 1]:[Level 6]]),rng_EFConcat,rng_EFOOS)*Buildings_Water_Backend[[#This Row],[Converted data]]/1000</f>
        <v>#N/A</v>
      </c>
      <c r="AP482" s="174">
        <f>Buildings_Water_Frontend[[#This Row],[Ease of collection]]</f>
        <v>0</v>
      </c>
      <c r="AQ482" s="174">
        <f>Buildings_Water_Frontend[[#This Row],[Completeness]]</f>
        <v>0</v>
      </c>
      <c r="AR482" s="174">
        <f>Buildings_Water_Frontend[[#This Row],[Notes]]</f>
        <v>0</v>
      </c>
    </row>
    <row r="483" spans="5:44" x14ac:dyDescent="0.3">
      <c r="E483" s="346"/>
      <c r="F483" s="364"/>
      <c r="G483" s="336"/>
      <c r="H483" s="336"/>
      <c r="I483" s="334"/>
      <c r="J483" s="336"/>
      <c r="K483" s="336"/>
      <c r="L483" s="336"/>
      <c r="M483" s="337"/>
      <c r="N483" s="242">
        <f t="shared" si="15"/>
        <v>5</v>
      </c>
      <c r="Q483" s="212" t="str">
        <f t="shared" si="14"/>
        <v/>
      </c>
      <c r="R483" s="174" t="s">
        <v>265</v>
      </c>
      <c r="S483" s="174" t="s">
        <v>273</v>
      </c>
      <c r="T483" s="174" t="e">
        <f>_xlfn.XLOOKUP(Buildings_Water_Backend[[#This Row],[Info 1]],Buildings_SiteInfo[Site name],Buildings_SiteInfo[Site type])</f>
        <v>#N/A</v>
      </c>
      <c r="U483" s="174" t="s">
        <v>327</v>
      </c>
      <c r="V483" s="174">
        <f>Buildings_Water_Frontend[[#This Row],[Type]]</f>
        <v>0</v>
      </c>
      <c r="W483" s="174" t="e" cm="1">
        <f t="array" aca="1" ref="W483" ca="1">_xlfn.XLOOKUP(Buildings_Water_Backend[[#This Row],[Level 5]],rng_Level5Long,rng_Level6Long)</f>
        <v>#N/A</v>
      </c>
      <c r="X483" s="174">
        <f>Buildings_Water_Frontend[[#This Row],[Site Name]]</f>
        <v>0</v>
      </c>
      <c r="Y483" s="174">
        <f>Buildings_Water_Frontend[[#This Row],[Meter Reference]]</f>
        <v>0</v>
      </c>
      <c r="Z483" s="220">
        <f>Buildings_Water_Frontend[[#This Row],[Methodology]]</f>
        <v>0</v>
      </c>
      <c r="AA483" s="229" t="e" cm="1">
        <f t="array" ref="AA483">INDEX(_xlfn.SWITCH(Buildings_Water_Backend[[#This Row],[Methodology]],"Tier 1",rng_RSD1,"Tier 2",rng_RSD2,"Tier 3",rng_RSD3),MATCH(_xlfn.CONCAT(Buildings_Water_Backend[[#This Row],[Level 1]:[Level 6]]),rng_LevelsConcat,0))</f>
        <v>#N/A</v>
      </c>
      <c r="AB483" s="224">
        <f>Buildings_Water_Frontend[[#This Row],[Data]]</f>
        <v>0</v>
      </c>
      <c r="AC483" s="174">
        <f>Buildings_Water_Frontend[[#This Row],[Units]]</f>
        <v>0</v>
      </c>
      <c r="AD483" s="220" t="e">
        <f>IF(Buildings_Water_Backend[[#This Row],[Units]]=Buildings_Water_Backend[[#This Row],[Standard units]],Buildings_Water_Backend[[#This Row],[Data]],Buildings_Water_Backend[[#This Row],[Data]]*_xlfn.XLOOKUP(_xlfn.CONCAT(Buildings_Water_Backend[[#This Row],[Level 1]:[Level 6]]),rng_EFConcat,rng_EFConversion))</f>
        <v>#N/A</v>
      </c>
      <c r="AE483" s="174" t="e" cm="1">
        <f t="array" ref="AE483">_xlfn.XLOOKUP(_xlfn.CONCAT(Buildings_Water_Backend[[#This Row],[Level 1]:[Level 6]]),rng_LevelsConcat,rng_UnitsLong)</f>
        <v>#N/A</v>
      </c>
      <c r="AF483" s="210" t="e">
        <f>_xlfn.XLOOKUP(_xlfn.CONCAT(Buildings_Water_Backend[[#This Row],[Level 1]:[Level 6]]),rng_EFConcat,rng_EF1)*Buildings_Water_Backend[[#This Row],[Converted data]]/1000</f>
        <v>#N/A</v>
      </c>
      <c r="AG483" s="210" t="e">
        <f>_xlfn.XLOOKUP(_xlfn.CONCAT(Buildings_Water_Backend[[#This Row],[Level 1]:[Level 6]]),rng_EFConcat,rng_EF2)*Buildings_Water_Backend[[#This Row],[Converted data]]/1000</f>
        <v>#N/A</v>
      </c>
      <c r="AH483" s="210" t="e">
        <f>_xlfn.XLOOKUP(_xlfn.CONCAT(Buildings_Water_Backend[[#This Row],[Level 1]:[Level 6]]),rng_EFConcat,rng_EF3)*Buildings_Water_Backend[[#This Row],[Converted data]]/1000</f>
        <v>#N/A</v>
      </c>
      <c r="AI483" s="210" t="e">
        <f>_xlfn.XLOOKUP(_xlfn.CONCAT(Buildings_Water_Backend[[#This Row],[Level 1]:[Level 6]]),rng_EFConcat,rng_EF3WTT)*Buildings_Water_Backend[[#This Row],[Converted data]]/1000</f>
        <v>#N/A</v>
      </c>
      <c r="AJ483" s="210" t="e">
        <f>_xlfn.XLOOKUP(_xlfn.CONCAT(Buildings_Water_Backend[[#This Row],[Level 1]:[Level 6]]),rng_EFConcat,rng_EF3TD)*Buildings_Water_Backend[[#This Row],[Converted data]]/1000</f>
        <v>#N/A</v>
      </c>
      <c r="AK483" s="210" t="e">
        <f>_xlfn.XLOOKUP(_xlfn.CONCAT(Buildings_Water_Backend[[#This Row],[Level 1]:[Level 6]]),rng_EFConcat,rng_EF3WTTTD)*Buildings_Water_Backend[[#This Row],[Converted data]]/1000</f>
        <v>#N/A</v>
      </c>
      <c r="AL483" s="220" t="e">
        <f>SUM(Buildings_Water_Backend[[#This Row],[Scope 1 (tCO2e)]:[Scope 3 WTT T&amp;D (tCO2e)]])</f>
        <v>#N/A</v>
      </c>
      <c r="AM483" s="220" t="e">
        <f>Buildings_Water_Backend[[#This Row],[Total (tCO2e)]]*(1-Buildings_Water_Backend[[#This Row],[RSD]])</f>
        <v>#N/A</v>
      </c>
      <c r="AN483" s="220" t="e">
        <f>Buildings_Water_Backend[[#This Row],[Total (tCO2e)]]*(1+Buildings_Water_Backend[[#This Row],[RSD]])</f>
        <v>#N/A</v>
      </c>
      <c r="AO483" s="210" t="e">
        <f>_xlfn.XLOOKUP(_xlfn.CONCAT(Buildings_Water_Backend[[#This Row],[Level 1]:[Level 6]]),rng_EFConcat,rng_EFOOS)*Buildings_Water_Backend[[#This Row],[Converted data]]/1000</f>
        <v>#N/A</v>
      </c>
      <c r="AP483" s="174">
        <f>Buildings_Water_Frontend[[#This Row],[Ease of collection]]</f>
        <v>0</v>
      </c>
      <c r="AQ483" s="174">
        <f>Buildings_Water_Frontend[[#This Row],[Completeness]]</f>
        <v>0</v>
      </c>
      <c r="AR483" s="174">
        <f>Buildings_Water_Frontend[[#This Row],[Notes]]</f>
        <v>0</v>
      </c>
    </row>
    <row r="484" spans="5:44" x14ac:dyDescent="0.3">
      <c r="E484" s="346"/>
      <c r="F484" s="364"/>
      <c r="G484" s="336"/>
      <c r="H484" s="336"/>
      <c r="I484" s="334"/>
      <c r="J484" s="336"/>
      <c r="K484" s="336"/>
      <c r="L484" s="336"/>
      <c r="M484" s="337"/>
      <c r="N484" s="242">
        <f t="shared" si="15"/>
        <v>5</v>
      </c>
      <c r="Q484" s="212" t="str">
        <f t="shared" si="14"/>
        <v/>
      </c>
      <c r="R484" s="174" t="s">
        <v>265</v>
      </c>
      <c r="S484" s="174" t="s">
        <v>273</v>
      </c>
      <c r="T484" s="174" t="e">
        <f>_xlfn.XLOOKUP(Buildings_Water_Backend[[#This Row],[Info 1]],Buildings_SiteInfo[Site name],Buildings_SiteInfo[Site type])</f>
        <v>#N/A</v>
      </c>
      <c r="U484" s="174" t="s">
        <v>327</v>
      </c>
      <c r="V484" s="174">
        <f>Buildings_Water_Frontend[[#This Row],[Type]]</f>
        <v>0</v>
      </c>
      <c r="W484" s="174" t="e" cm="1">
        <f t="array" aca="1" ref="W484" ca="1">_xlfn.XLOOKUP(Buildings_Water_Backend[[#This Row],[Level 5]],rng_Level5Long,rng_Level6Long)</f>
        <v>#N/A</v>
      </c>
      <c r="X484" s="174">
        <f>Buildings_Water_Frontend[[#This Row],[Site Name]]</f>
        <v>0</v>
      </c>
      <c r="Y484" s="174">
        <f>Buildings_Water_Frontend[[#This Row],[Meter Reference]]</f>
        <v>0</v>
      </c>
      <c r="Z484" s="220">
        <f>Buildings_Water_Frontend[[#This Row],[Methodology]]</f>
        <v>0</v>
      </c>
      <c r="AA484" s="229" t="e" cm="1">
        <f t="array" ref="AA484">INDEX(_xlfn.SWITCH(Buildings_Water_Backend[[#This Row],[Methodology]],"Tier 1",rng_RSD1,"Tier 2",rng_RSD2,"Tier 3",rng_RSD3),MATCH(_xlfn.CONCAT(Buildings_Water_Backend[[#This Row],[Level 1]:[Level 6]]),rng_LevelsConcat,0))</f>
        <v>#N/A</v>
      </c>
      <c r="AB484" s="224">
        <f>Buildings_Water_Frontend[[#This Row],[Data]]</f>
        <v>0</v>
      </c>
      <c r="AC484" s="174">
        <f>Buildings_Water_Frontend[[#This Row],[Units]]</f>
        <v>0</v>
      </c>
      <c r="AD484" s="220" t="e">
        <f>IF(Buildings_Water_Backend[[#This Row],[Units]]=Buildings_Water_Backend[[#This Row],[Standard units]],Buildings_Water_Backend[[#This Row],[Data]],Buildings_Water_Backend[[#This Row],[Data]]*_xlfn.XLOOKUP(_xlfn.CONCAT(Buildings_Water_Backend[[#This Row],[Level 1]:[Level 6]]),rng_EFConcat,rng_EFConversion))</f>
        <v>#N/A</v>
      </c>
      <c r="AE484" s="174" t="e" cm="1">
        <f t="array" ref="AE484">_xlfn.XLOOKUP(_xlfn.CONCAT(Buildings_Water_Backend[[#This Row],[Level 1]:[Level 6]]),rng_LevelsConcat,rng_UnitsLong)</f>
        <v>#N/A</v>
      </c>
      <c r="AF484" s="210" t="e">
        <f>_xlfn.XLOOKUP(_xlfn.CONCAT(Buildings_Water_Backend[[#This Row],[Level 1]:[Level 6]]),rng_EFConcat,rng_EF1)*Buildings_Water_Backend[[#This Row],[Converted data]]/1000</f>
        <v>#N/A</v>
      </c>
      <c r="AG484" s="210" t="e">
        <f>_xlfn.XLOOKUP(_xlfn.CONCAT(Buildings_Water_Backend[[#This Row],[Level 1]:[Level 6]]),rng_EFConcat,rng_EF2)*Buildings_Water_Backend[[#This Row],[Converted data]]/1000</f>
        <v>#N/A</v>
      </c>
      <c r="AH484" s="210" t="e">
        <f>_xlfn.XLOOKUP(_xlfn.CONCAT(Buildings_Water_Backend[[#This Row],[Level 1]:[Level 6]]),rng_EFConcat,rng_EF3)*Buildings_Water_Backend[[#This Row],[Converted data]]/1000</f>
        <v>#N/A</v>
      </c>
      <c r="AI484" s="210" t="e">
        <f>_xlfn.XLOOKUP(_xlfn.CONCAT(Buildings_Water_Backend[[#This Row],[Level 1]:[Level 6]]),rng_EFConcat,rng_EF3WTT)*Buildings_Water_Backend[[#This Row],[Converted data]]/1000</f>
        <v>#N/A</v>
      </c>
      <c r="AJ484" s="210" t="e">
        <f>_xlfn.XLOOKUP(_xlfn.CONCAT(Buildings_Water_Backend[[#This Row],[Level 1]:[Level 6]]),rng_EFConcat,rng_EF3TD)*Buildings_Water_Backend[[#This Row],[Converted data]]/1000</f>
        <v>#N/A</v>
      </c>
      <c r="AK484" s="210" t="e">
        <f>_xlfn.XLOOKUP(_xlfn.CONCAT(Buildings_Water_Backend[[#This Row],[Level 1]:[Level 6]]),rng_EFConcat,rng_EF3WTTTD)*Buildings_Water_Backend[[#This Row],[Converted data]]/1000</f>
        <v>#N/A</v>
      </c>
      <c r="AL484" s="220" t="e">
        <f>SUM(Buildings_Water_Backend[[#This Row],[Scope 1 (tCO2e)]:[Scope 3 WTT T&amp;D (tCO2e)]])</f>
        <v>#N/A</v>
      </c>
      <c r="AM484" s="220" t="e">
        <f>Buildings_Water_Backend[[#This Row],[Total (tCO2e)]]*(1-Buildings_Water_Backend[[#This Row],[RSD]])</f>
        <v>#N/A</v>
      </c>
      <c r="AN484" s="220" t="e">
        <f>Buildings_Water_Backend[[#This Row],[Total (tCO2e)]]*(1+Buildings_Water_Backend[[#This Row],[RSD]])</f>
        <v>#N/A</v>
      </c>
      <c r="AO484" s="210" t="e">
        <f>_xlfn.XLOOKUP(_xlfn.CONCAT(Buildings_Water_Backend[[#This Row],[Level 1]:[Level 6]]),rng_EFConcat,rng_EFOOS)*Buildings_Water_Backend[[#This Row],[Converted data]]/1000</f>
        <v>#N/A</v>
      </c>
      <c r="AP484" s="174">
        <f>Buildings_Water_Frontend[[#This Row],[Ease of collection]]</f>
        <v>0</v>
      </c>
      <c r="AQ484" s="174">
        <f>Buildings_Water_Frontend[[#This Row],[Completeness]]</f>
        <v>0</v>
      </c>
      <c r="AR484" s="174">
        <f>Buildings_Water_Frontend[[#This Row],[Notes]]</f>
        <v>0</v>
      </c>
    </row>
    <row r="485" spans="5:44" x14ac:dyDescent="0.3">
      <c r="E485" s="346"/>
      <c r="F485" s="364"/>
      <c r="G485" s="336"/>
      <c r="H485" s="336"/>
      <c r="I485" s="334"/>
      <c r="J485" s="336"/>
      <c r="K485" s="336"/>
      <c r="L485" s="336"/>
      <c r="M485" s="337"/>
      <c r="N485" s="242">
        <f t="shared" si="15"/>
        <v>5</v>
      </c>
      <c r="Q485" s="212" t="str">
        <f t="shared" si="14"/>
        <v/>
      </c>
      <c r="R485" s="174" t="s">
        <v>265</v>
      </c>
      <c r="S485" s="174" t="s">
        <v>273</v>
      </c>
      <c r="T485" s="174" t="e">
        <f>_xlfn.XLOOKUP(Buildings_Water_Backend[[#This Row],[Info 1]],Buildings_SiteInfo[Site name],Buildings_SiteInfo[Site type])</f>
        <v>#N/A</v>
      </c>
      <c r="U485" s="174" t="s">
        <v>327</v>
      </c>
      <c r="V485" s="174">
        <f>Buildings_Water_Frontend[[#This Row],[Type]]</f>
        <v>0</v>
      </c>
      <c r="W485" s="174" t="e" cm="1">
        <f t="array" aca="1" ref="W485" ca="1">_xlfn.XLOOKUP(Buildings_Water_Backend[[#This Row],[Level 5]],rng_Level5Long,rng_Level6Long)</f>
        <v>#N/A</v>
      </c>
      <c r="X485" s="174">
        <f>Buildings_Water_Frontend[[#This Row],[Site Name]]</f>
        <v>0</v>
      </c>
      <c r="Y485" s="174">
        <f>Buildings_Water_Frontend[[#This Row],[Meter Reference]]</f>
        <v>0</v>
      </c>
      <c r="Z485" s="220">
        <f>Buildings_Water_Frontend[[#This Row],[Methodology]]</f>
        <v>0</v>
      </c>
      <c r="AA485" s="229" t="e" cm="1">
        <f t="array" ref="AA485">INDEX(_xlfn.SWITCH(Buildings_Water_Backend[[#This Row],[Methodology]],"Tier 1",rng_RSD1,"Tier 2",rng_RSD2,"Tier 3",rng_RSD3),MATCH(_xlfn.CONCAT(Buildings_Water_Backend[[#This Row],[Level 1]:[Level 6]]),rng_LevelsConcat,0))</f>
        <v>#N/A</v>
      </c>
      <c r="AB485" s="224">
        <f>Buildings_Water_Frontend[[#This Row],[Data]]</f>
        <v>0</v>
      </c>
      <c r="AC485" s="174">
        <f>Buildings_Water_Frontend[[#This Row],[Units]]</f>
        <v>0</v>
      </c>
      <c r="AD485" s="220" t="e">
        <f>IF(Buildings_Water_Backend[[#This Row],[Units]]=Buildings_Water_Backend[[#This Row],[Standard units]],Buildings_Water_Backend[[#This Row],[Data]],Buildings_Water_Backend[[#This Row],[Data]]*_xlfn.XLOOKUP(_xlfn.CONCAT(Buildings_Water_Backend[[#This Row],[Level 1]:[Level 6]]),rng_EFConcat,rng_EFConversion))</f>
        <v>#N/A</v>
      </c>
      <c r="AE485" s="174" t="e" cm="1">
        <f t="array" ref="AE485">_xlfn.XLOOKUP(_xlfn.CONCAT(Buildings_Water_Backend[[#This Row],[Level 1]:[Level 6]]),rng_LevelsConcat,rng_UnitsLong)</f>
        <v>#N/A</v>
      </c>
      <c r="AF485" s="210" t="e">
        <f>_xlfn.XLOOKUP(_xlfn.CONCAT(Buildings_Water_Backend[[#This Row],[Level 1]:[Level 6]]),rng_EFConcat,rng_EF1)*Buildings_Water_Backend[[#This Row],[Converted data]]/1000</f>
        <v>#N/A</v>
      </c>
      <c r="AG485" s="210" t="e">
        <f>_xlfn.XLOOKUP(_xlfn.CONCAT(Buildings_Water_Backend[[#This Row],[Level 1]:[Level 6]]),rng_EFConcat,rng_EF2)*Buildings_Water_Backend[[#This Row],[Converted data]]/1000</f>
        <v>#N/A</v>
      </c>
      <c r="AH485" s="210" t="e">
        <f>_xlfn.XLOOKUP(_xlfn.CONCAT(Buildings_Water_Backend[[#This Row],[Level 1]:[Level 6]]),rng_EFConcat,rng_EF3)*Buildings_Water_Backend[[#This Row],[Converted data]]/1000</f>
        <v>#N/A</v>
      </c>
      <c r="AI485" s="210" t="e">
        <f>_xlfn.XLOOKUP(_xlfn.CONCAT(Buildings_Water_Backend[[#This Row],[Level 1]:[Level 6]]),rng_EFConcat,rng_EF3WTT)*Buildings_Water_Backend[[#This Row],[Converted data]]/1000</f>
        <v>#N/A</v>
      </c>
      <c r="AJ485" s="210" t="e">
        <f>_xlfn.XLOOKUP(_xlfn.CONCAT(Buildings_Water_Backend[[#This Row],[Level 1]:[Level 6]]),rng_EFConcat,rng_EF3TD)*Buildings_Water_Backend[[#This Row],[Converted data]]/1000</f>
        <v>#N/A</v>
      </c>
      <c r="AK485" s="210" t="e">
        <f>_xlfn.XLOOKUP(_xlfn.CONCAT(Buildings_Water_Backend[[#This Row],[Level 1]:[Level 6]]),rng_EFConcat,rng_EF3WTTTD)*Buildings_Water_Backend[[#This Row],[Converted data]]/1000</f>
        <v>#N/A</v>
      </c>
      <c r="AL485" s="220" t="e">
        <f>SUM(Buildings_Water_Backend[[#This Row],[Scope 1 (tCO2e)]:[Scope 3 WTT T&amp;D (tCO2e)]])</f>
        <v>#N/A</v>
      </c>
      <c r="AM485" s="220" t="e">
        <f>Buildings_Water_Backend[[#This Row],[Total (tCO2e)]]*(1-Buildings_Water_Backend[[#This Row],[RSD]])</f>
        <v>#N/A</v>
      </c>
      <c r="AN485" s="220" t="e">
        <f>Buildings_Water_Backend[[#This Row],[Total (tCO2e)]]*(1+Buildings_Water_Backend[[#This Row],[RSD]])</f>
        <v>#N/A</v>
      </c>
      <c r="AO485" s="210" t="e">
        <f>_xlfn.XLOOKUP(_xlfn.CONCAT(Buildings_Water_Backend[[#This Row],[Level 1]:[Level 6]]),rng_EFConcat,rng_EFOOS)*Buildings_Water_Backend[[#This Row],[Converted data]]/1000</f>
        <v>#N/A</v>
      </c>
      <c r="AP485" s="174">
        <f>Buildings_Water_Frontend[[#This Row],[Ease of collection]]</f>
        <v>0</v>
      </c>
      <c r="AQ485" s="174">
        <f>Buildings_Water_Frontend[[#This Row],[Completeness]]</f>
        <v>0</v>
      </c>
      <c r="AR485" s="174">
        <f>Buildings_Water_Frontend[[#This Row],[Notes]]</f>
        <v>0</v>
      </c>
    </row>
    <row r="486" spans="5:44" x14ac:dyDescent="0.3">
      <c r="E486" s="346"/>
      <c r="F486" s="364"/>
      <c r="G486" s="336"/>
      <c r="H486" s="336"/>
      <c r="I486" s="334"/>
      <c r="J486" s="336"/>
      <c r="K486" s="336"/>
      <c r="L486" s="336"/>
      <c r="M486" s="337"/>
      <c r="N486" s="242">
        <f t="shared" si="15"/>
        <v>5</v>
      </c>
      <c r="Q486" s="212" t="str">
        <f t="shared" si="14"/>
        <v/>
      </c>
      <c r="R486" s="174" t="s">
        <v>265</v>
      </c>
      <c r="S486" s="174" t="s">
        <v>273</v>
      </c>
      <c r="T486" s="174" t="e">
        <f>_xlfn.XLOOKUP(Buildings_Water_Backend[[#This Row],[Info 1]],Buildings_SiteInfo[Site name],Buildings_SiteInfo[Site type])</f>
        <v>#N/A</v>
      </c>
      <c r="U486" s="174" t="s">
        <v>327</v>
      </c>
      <c r="V486" s="174">
        <f>Buildings_Water_Frontend[[#This Row],[Type]]</f>
        <v>0</v>
      </c>
      <c r="W486" s="174" t="e" cm="1">
        <f t="array" aca="1" ref="W486" ca="1">_xlfn.XLOOKUP(Buildings_Water_Backend[[#This Row],[Level 5]],rng_Level5Long,rng_Level6Long)</f>
        <v>#N/A</v>
      </c>
      <c r="X486" s="174">
        <f>Buildings_Water_Frontend[[#This Row],[Site Name]]</f>
        <v>0</v>
      </c>
      <c r="Y486" s="174">
        <f>Buildings_Water_Frontend[[#This Row],[Meter Reference]]</f>
        <v>0</v>
      </c>
      <c r="Z486" s="220">
        <f>Buildings_Water_Frontend[[#This Row],[Methodology]]</f>
        <v>0</v>
      </c>
      <c r="AA486" s="229" t="e" cm="1">
        <f t="array" ref="AA486">INDEX(_xlfn.SWITCH(Buildings_Water_Backend[[#This Row],[Methodology]],"Tier 1",rng_RSD1,"Tier 2",rng_RSD2,"Tier 3",rng_RSD3),MATCH(_xlfn.CONCAT(Buildings_Water_Backend[[#This Row],[Level 1]:[Level 6]]),rng_LevelsConcat,0))</f>
        <v>#N/A</v>
      </c>
      <c r="AB486" s="224">
        <f>Buildings_Water_Frontend[[#This Row],[Data]]</f>
        <v>0</v>
      </c>
      <c r="AC486" s="174">
        <f>Buildings_Water_Frontend[[#This Row],[Units]]</f>
        <v>0</v>
      </c>
      <c r="AD486" s="220" t="e">
        <f>IF(Buildings_Water_Backend[[#This Row],[Units]]=Buildings_Water_Backend[[#This Row],[Standard units]],Buildings_Water_Backend[[#This Row],[Data]],Buildings_Water_Backend[[#This Row],[Data]]*_xlfn.XLOOKUP(_xlfn.CONCAT(Buildings_Water_Backend[[#This Row],[Level 1]:[Level 6]]),rng_EFConcat,rng_EFConversion))</f>
        <v>#N/A</v>
      </c>
      <c r="AE486" s="174" t="e" cm="1">
        <f t="array" ref="AE486">_xlfn.XLOOKUP(_xlfn.CONCAT(Buildings_Water_Backend[[#This Row],[Level 1]:[Level 6]]),rng_LevelsConcat,rng_UnitsLong)</f>
        <v>#N/A</v>
      </c>
      <c r="AF486" s="210" t="e">
        <f>_xlfn.XLOOKUP(_xlfn.CONCAT(Buildings_Water_Backend[[#This Row],[Level 1]:[Level 6]]),rng_EFConcat,rng_EF1)*Buildings_Water_Backend[[#This Row],[Converted data]]/1000</f>
        <v>#N/A</v>
      </c>
      <c r="AG486" s="210" t="e">
        <f>_xlfn.XLOOKUP(_xlfn.CONCAT(Buildings_Water_Backend[[#This Row],[Level 1]:[Level 6]]),rng_EFConcat,rng_EF2)*Buildings_Water_Backend[[#This Row],[Converted data]]/1000</f>
        <v>#N/A</v>
      </c>
      <c r="AH486" s="210" t="e">
        <f>_xlfn.XLOOKUP(_xlfn.CONCAT(Buildings_Water_Backend[[#This Row],[Level 1]:[Level 6]]),rng_EFConcat,rng_EF3)*Buildings_Water_Backend[[#This Row],[Converted data]]/1000</f>
        <v>#N/A</v>
      </c>
      <c r="AI486" s="210" t="e">
        <f>_xlfn.XLOOKUP(_xlfn.CONCAT(Buildings_Water_Backend[[#This Row],[Level 1]:[Level 6]]),rng_EFConcat,rng_EF3WTT)*Buildings_Water_Backend[[#This Row],[Converted data]]/1000</f>
        <v>#N/A</v>
      </c>
      <c r="AJ486" s="210" t="e">
        <f>_xlfn.XLOOKUP(_xlfn.CONCAT(Buildings_Water_Backend[[#This Row],[Level 1]:[Level 6]]),rng_EFConcat,rng_EF3TD)*Buildings_Water_Backend[[#This Row],[Converted data]]/1000</f>
        <v>#N/A</v>
      </c>
      <c r="AK486" s="210" t="e">
        <f>_xlfn.XLOOKUP(_xlfn.CONCAT(Buildings_Water_Backend[[#This Row],[Level 1]:[Level 6]]),rng_EFConcat,rng_EF3WTTTD)*Buildings_Water_Backend[[#This Row],[Converted data]]/1000</f>
        <v>#N/A</v>
      </c>
      <c r="AL486" s="220" t="e">
        <f>SUM(Buildings_Water_Backend[[#This Row],[Scope 1 (tCO2e)]:[Scope 3 WTT T&amp;D (tCO2e)]])</f>
        <v>#N/A</v>
      </c>
      <c r="AM486" s="220" t="e">
        <f>Buildings_Water_Backend[[#This Row],[Total (tCO2e)]]*(1-Buildings_Water_Backend[[#This Row],[RSD]])</f>
        <v>#N/A</v>
      </c>
      <c r="AN486" s="220" t="e">
        <f>Buildings_Water_Backend[[#This Row],[Total (tCO2e)]]*(1+Buildings_Water_Backend[[#This Row],[RSD]])</f>
        <v>#N/A</v>
      </c>
      <c r="AO486" s="210" t="e">
        <f>_xlfn.XLOOKUP(_xlfn.CONCAT(Buildings_Water_Backend[[#This Row],[Level 1]:[Level 6]]),rng_EFConcat,rng_EFOOS)*Buildings_Water_Backend[[#This Row],[Converted data]]/1000</f>
        <v>#N/A</v>
      </c>
      <c r="AP486" s="174">
        <f>Buildings_Water_Frontend[[#This Row],[Ease of collection]]</f>
        <v>0</v>
      </c>
      <c r="AQ486" s="174">
        <f>Buildings_Water_Frontend[[#This Row],[Completeness]]</f>
        <v>0</v>
      </c>
      <c r="AR486" s="174">
        <f>Buildings_Water_Frontend[[#This Row],[Notes]]</f>
        <v>0</v>
      </c>
    </row>
    <row r="487" spans="5:44" x14ac:dyDescent="0.3">
      <c r="E487" s="346"/>
      <c r="F487" s="364"/>
      <c r="G487" s="336"/>
      <c r="H487" s="336"/>
      <c r="I487" s="334"/>
      <c r="J487" s="336"/>
      <c r="K487" s="336"/>
      <c r="L487" s="336"/>
      <c r="M487" s="337"/>
      <c r="N487" s="242">
        <f t="shared" si="15"/>
        <v>5</v>
      </c>
      <c r="Q487" s="212" t="str">
        <f t="shared" si="14"/>
        <v/>
      </c>
      <c r="R487" s="174" t="s">
        <v>265</v>
      </c>
      <c r="S487" s="174" t="s">
        <v>273</v>
      </c>
      <c r="T487" s="174" t="e">
        <f>_xlfn.XLOOKUP(Buildings_Water_Backend[[#This Row],[Info 1]],Buildings_SiteInfo[Site name],Buildings_SiteInfo[Site type])</f>
        <v>#N/A</v>
      </c>
      <c r="U487" s="174" t="s">
        <v>327</v>
      </c>
      <c r="V487" s="174">
        <f>Buildings_Water_Frontend[[#This Row],[Type]]</f>
        <v>0</v>
      </c>
      <c r="W487" s="174" t="e" cm="1">
        <f t="array" aca="1" ref="W487" ca="1">_xlfn.XLOOKUP(Buildings_Water_Backend[[#This Row],[Level 5]],rng_Level5Long,rng_Level6Long)</f>
        <v>#N/A</v>
      </c>
      <c r="X487" s="174">
        <f>Buildings_Water_Frontend[[#This Row],[Site Name]]</f>
        <v>0</v>
      </c>
      <c r="Y487" s="174">
        <f>Buildings_Water_Frontend[[#This Row],[Meter Reference]]</f>
        <v>0</v>
      </c>
      <c r="Z487" s="220">
        <f>Buildings_Water_Frontend[[#This Row],[Methodology]]</f>
        <v>0</v>
      </c>
      <c r="AA487" s="229" t="e" cm="1">
        <f t="array" ref="AA487">INDEX(_xlfn.SWITCH(Buildings_Water_Backend[[#This Row],[Methodology]],"Tier 1",rng_RSD1,"Tier 2",rng_RSD2,"Tier 3",rng_RSD3),MATCH(_xlfn.CONCAT(Buildings_Water_Backend[[#This Row],[Level 1]:[Level 6]]),rng_LevelsConcat,0))</f>
        <v>#N/A</v>
      </c>
      <c r="AB487" s="224">
        <f>Buildings_Water_Frontend[[#This Row],[Data]]</f>
        <v>0</v>
      </c>
      <c r="AC487" s="174">
        <f>Buildings_Water_Frontend[[#This Row],[Units]]</f>
        <v>0</v>
      </c>
      <c r="AD487" s="220" t="e">
        <f>IF(Buildings_Water_Backend[[#This Row],[Units]]=Buildings_Water_Backend[[#This Row],[Standard units]],Buildings_Water_Backend[[#This Row],[Data]],Buildings_Water_Backend[[#This Row],[Data]]*_xlfn.XLOOKUP(_xlfn.CONCAT(Buildings_Water_Backend[[#This Row],[Level 1]:[Level 6]]),rng_EFConcat,rng_EFConversion))</f>
        <v>#N/A</v>
      </c>
      <c r="AE487" s="174" t="e" cm="1">
        <f t="array" ref="AE487">_xlfn.XLOOKUP(_xlfn.CONCAT(Buildings_Water_Backend[[#This Row],[Level 1]:[Level 6]]),rng_LevelsConcat,rng_UnitsLong)</f>
        <v>#N/A</v>
      </c>
      <c r="AF487" s="210" t="e">
        <f>_xlfn.XLOOKUP(_xlfn.CONCAT(Buildings_Water_Backend[[#This Row],[Level 1]:[Level 6]]),rng_EFConcat,rng_EF1)*Buildings_Water_Backend[[#This Row],[Converted data]]/1000</f>
        <v>#N/A</v>
      </c>
      <c r="AG487" s="210" t="e">
        <f>_xlfn.XLOOKUP(_xlfn.CONCAT(Buildings_Water_Backend[[#This Row],[Level 1]:[Level 6]]),rng_EFConcat,rng_EF2)*Buildings_Water_Backend[[#This Row],[Converted data]]/1000</f>
        <v>#N/A</v>
      </c>
      <c r="AH487" s="210" t="e">
        <f>_xlfn.XLOOKUP(_xlfn.CONCAT(Buildings_Water_Backend[[#This Row],[Level 1]:[Level 6]]),rng_EFConcat,rng_EF3)*Buildings_Water_Backend[[#This Row],[Converted data]]/1000</f>
        <v>#N/A</v>
      </c>
      <c r="AI487" s="210" t="e">
        <f>_xlfn.XLOOKUP(_xlfn.CONCAT(Buildings_Water_Backend[[#This Row],[Level 1]:[Level 6]]),rng_EFConcat,rng_EF3WTT)*Buildings_Water_Backend[[#This Row],[Converted data]]/1000</f>
        <v>#N/A</v>
      </c>
      <c r="AJ487" s="210" t="e">
        <f>_xlfn.XLOOKUP(_xlfn.CONCAT(Buildings_Water_Backend[[#This Row],[Level 1]:[Level 6]]),rng_EFConcat,rng_EF3TD)*Buildings_Water_Backend[[#This Row],[Converted data]]/1000</f>
        <v>#N/A</v>
      </c>
      <c r="AK487" s="210" t="e">
        <f>_xlfn.XLOOKUP(_xlfn.CONCAT(Buildings_Water_Backend[[#This Row],[Level 1]:[Level 6]]),rng_EFConcat,rng_EF3WTTTD)*Buildings_Water_Backend[[#This Row],[Converted data]]/1000</f>
        <v>#N/A</v>
      </c>
      <c r="AL487" s="220" t="e">
        <f>SUM(Buildings_Water_Backend[[#This Row],[Scope 1 (tCO2e)]:[Scope 3 WTT T&amp;D (tCO2e)]])</f>
        <v>#N/A</v>
      </c>
      <c r="AM487" s="220" t="e">
        <f>Buildings_Water_Backend[[#This Row],[Total (tCO2e)]]*(1-Buildings_Water_Backend[[#This Row],[RSD]])</f>
        <v>#N/A</v>
      </c>
      <c r="AN487" s="220" t="e">
        <f>Buildings_Water_Backend[[#This Row],[Total (tCO2e)]]*(1+Buildings_Water_Backend[[#This Row],[RSD]])</f>
        <v>#N/A</v>
      </c>
      <c r="AO487" s="210" t="e">
        <f>_xlfn.XLOOKUP(_xlfn.CONCAT(Buildings_Water_Backend[[#This Row],[Level 1]:[Level 6]]),rng_EFConcat,rng_EFOOS)*Buildings_Water_Backend[[#This Row],[Converted data]]/1000</f>
        <v>#N/A</v>
      </c>
      <c r="AP487" s="174">
        <f>Buildings_Water_Frontend[[#This Row],[Ease of collection]]</f>
        <v>0</v>
      </c>
      <c r="AQ487" s="174">
        <f>Buildings_Water_Frontend[[#This Row],[Completeness]]</f>
        <v>0</v>
      </c>
      <c r="AR487" s="174">
        <f>Buildings_Water_Frontend[[#This Row],[Notes]]</f>
        <v>0</v>
      </c>
    </row>
    <row r="488" spans="5:44" x14ac:dyDescent="0.3">
      <c r="E488" s="346"/>
      <c r="F488" s="364"/>
      <c r="G488" s="336"/>
      <c r="H488" s="336"/>
      <c r="I488" s="334"/>
      <c r="J488" s="336"/>
      <c r="K488" s="336"/>
      <c r="L488" s="336"/>
      <c r="M488" s="337"/>
      <c r="N488" s="242">
        <f t="shared" si="15"/>
        <v>5</v>
      </c>
      <c r="Q488" s="212" t="str">
        <f t="shared" si="14"/>
        <v/>
      </c>
      <c r="R488" s="174" t="s">
        <v>265</v>
      </c>
      <c r="S488" s="174" t="s">
        <v>273</v>
      </c>
      <c r="T488" s="174" t="e">
        <f>_xlfn.XLOOKUP(Buildings_Water_Backend[[#This Row],[Info 1]],Buildings_SiteInfo[Site name],Buildings_SiteInfo[Site type])</f>
        <v>#N/A</v>
      </c>
      <c r="U488" s="174" t="s">
        <v>327</v>
      </c>
      <c r="V488" s="174">
        <f>Buildings_Water_Frontend[[#This Row],[Type]]</f>
        <v>0</v>
      </c>
      <c r="W488" s="174" t="e" cm="1">
        <f t="array" aca="1" ref="W488" ca="1">_xlfn.XLOOKUP(Buildings_Water_Backend[[#This Row],[Level 5]],rng_Level5Long,rng_Level6Long)</f>
        <v>#N/A</v>
      </c>
      <c r="X488" s="174">
        <f>Buildings_Water_Frontend[[#This Row],[Site Name]]</f>
        <v>0</v>
      </c>
      <c r="Y488" s="174">
        <f>Buildings_Water_Frontend[[#This Row],[Meter Reference]]</f>
        <v>0</v>
      </c>
      <c r="Z488" s="220">
        <f>Buildings_Water_Frontend[[#This Row],[Methodology]]</f>
        <v>0</v>
      </c>
      <c r="AA488" s="229" t="e" cm="1">
        <f t="array" ref="AA488">INDEX(_xlfn.SWITCH(Buildings_Water_Backend[[#This Row],[Methodology]],"Tier 1",rng_RSD1,"Tier 2",rng_RSD2,"Tier 3",rng_RSD3),MATCH(_xlfn.CONCAT(Buildings_Water_Backend[[#This Row],[Level 1]:[Level 6]]),rng_LevelsConcat,0))</f>
        <v>#N/A</v>
      </c>
      <c r="AB488" s="224">
        <f>Buildings_Water_Frontend[[#This Row],[Data]]</f>
        <v>0</v>
      </c>
      <c r="AC488" s="174">
        <f>Buildings_Water_Frontend[[#This Row],[Units]]</f>
        <v>0</v>
      </c>
      <c r="AD488" s="220" t="e">
        <f>IF(Buildings_Water_Backend[[#This Row],[Units]]=Buildings_Water_Backend[[#This Row],[Standard units]],Buildings_Water_Backend[[#This Row],[Data]],Buildings_Water_Backend[[#This Row],[Data]]*_xlfn.XLOOKUP(_xlfn.CONCAT(Buildings_Water_Backend[[#This Row],[Level 1]:[Level 6]]),rng_EFConcat,rng_EFConversion))</f>
        <v>#N/A</v>
      </c>
      <c r="AE488" s="174" t="e" cm="1">
        <f t="array" ref="AE488">_xlfn.XLOOKUP(_xlfn.CONCAT(Buildings_Water_Backend[[#This Row],[Level 1]:[Level 6]]),rng_LevelsConcat,rng_UnitsLong)</f>
        <v>#N/A</v>
      </c>
      <c r="AF488" s="210" t="e">
        <f>_xlfn.XLOOKUP(_xlfn.CONCAT(Buildings_Water_Backend[[#This Row],[Level 1]:[Level 6]]),rng_EFConcat,rng_EF1)*Buildings_Water_Backend[[#This Row],[Converted data]]/1000</f>
        <v>#N/A</v>
      </c>
      <c r="AG488" s="210" t="e">
        <f>_xlfn.XLOOKUP(_xlfn.CONCAT(Buildings_Water_Backend[[#This Row],[Level 1]:[Level 6]]),rng_EFConcat,rng_EF2)*Buildings_Water_Backend[[#This Row],[Converted data]]/1000</f>
        <v>#N/A</v>
      </c>
      <c r="AH488" s="210" t="e">
        <f>_xlfn.XLOOKUP(_xlfn.CONCAT(Buildings_Water_Backend[[#This Row],[Level 1]:[Level 6]]),rng_EFConcat,rng_EF3)*Buildings_Water_Backend[[#This Row],[Converted data]]/1000</f>
        <v>#N/A</v>
      </c>
      <c r="AI488" s="210" t="e">
        <f>_xlfn.XLOOKUP(_xlfn.CONCAT(Buildings_Water_Backend[[#This Row],[Level 1]:[Level 6]]),rng_EFConcat,rng_EF3WTT)*Buildings_Water_Backend[[#This Row],[Converted data]]/1000</f>
        <v>#N/A</v>
      </c>
      <c r="AJ488" s="210" t="e">
        <f>_xlfn.XLOOKUP(_xlfn.CONCAT(Buildings_Water_Backend[[#This Row],[Level 1]:[Level 6]]),rng_EFConcat,rng_EF3TD)*Buildings_Water_Backend[[#This Row],[Converted data]]/1000</f>
        <v>#N/A</v>
      </c>
      <c r="AK488" s="210" t="e">
        <f>_xlfn.XLOOKUP(_xlfn.CONCAT(Buildings_Water_Backend[[#This Row],[Level 1]:[Level 6]]),rng_EFConcat,rng_EF3WTTTD)*Buildings_Water_Backend[[#This Row],[Converted data]]/1000</f>
        <v>#N/A</v>
      </c>
      <c r="AL488" s="220" t="e">
        <f>SUM(Buildings_Water_Backend[[#This Row],[Scope 1 (tCO2e)]:[Scope 3 WTT T&amp;D (tCO2e)]])</f>
        <v>#N/A</v>
      </c>
      <c r="AM488" s="220" t="e">
        <f>Buildings_Water_Backend[[#This Row],[Total (tCO2e)]]*(1-Buildings_Water_Backend[[#This Row],[RSD]])</f>
        <v>#N/A</v>
      </c>
      <c r="AN488" s="220" t="e">
        <f>Buildings_Water_Backend[[#This Row],[Total (tCO2e)]]*(1+Buildings_Water_Backend[[#This Row],[RSD]])</f>
        <v>#N/A</v>
      </c>
      <c r="AO488" s="210" t="e">
        <f>_xlfn.XLOOKUP(_xlfn.CONCAT(Buildings_Water_Backend[[#This Row],[Level 1]:[Level 6]]),rng_EFConcat,rng_EFOOS)*Buildings_Water_Backend[[#This Row],[Converted data]]/1000</f>
        <v>#N/A</v>
      </c>
      <c r="AP488" s="174">
        <f>Buildings_Water_Frontend[[#This Row],[Ease of collection]]</f>
        <v>0</v>
      </c>
      <c r="AQ488" s="174">
        <f>Buildings_Water_Frontend[[#This Row],[Completeness]]</f>
        <v>0</v>
      </c>
      <c r="AR488" s="174">
        <f>Buildings_Water_Frontend[[#This Row],[Notes]]</f>
        <v>0</v>
      </c>
    </row>
    <row r="489" spans="5:44" x14ac:dyDescent="0.3">
      <c r="E489" s="346"/>
      <c r="F489" s="364"/>
      <c r="G489" s="336"/>
      <c r="H489" s="336"/>
      <c r="I489" s="334"/>
      <c r="J489" s="336"/>
      <c r="K489" s="336"/>
      <c r="L489" s="336"/>
      <c r="M489" s="337"/>
      <c r="N489" s="242">
        <f t="shared" si="15"/>
        <v>5</v>
      </c>
      <c r="Q489" s="212" t="str">
        <f t="shared" si="14"/>
        <v/>
      </c>
      <c r="R489" s="174" t="s">
        <v>265</v>
      </c>
      <c r="S489" s="174" t="s">
        <v>273</v>
      </c>
      <c r="T489" s="174" t="e">
        <f>_xlfn.XLOOKUP(Buildings_Water_Backend[[#This Row],[Info 1]],Buildings_SiteInfo[Site name],Buildings_SiteInfo[Site type])</f>
        <v>#N/A</v>
      </c>
      <c r="U489" s="174" t="s">
        <v>327</v>
      </c>
      <c r="V489" s="174">
        <f>Buildings_Water_Frontend[[#This Row],[Type]]</f>
        <v>0</v>
      </c>
      <c r="W489" s="174" t="e" cm="1">
        <f t="array" aca="1" ref="W489" ca="1">_xlfn.XLOOKUP(Buildings_Water_Backend[[#This Row],[Level 5]],rng_Level5Long,rng_Level6Long)</f>
        <v>#N/A</v>
      </c>
      <c r="X489" s="174">
        <f>Buildings_Water_Frontend[[#This Row],[Site Name]]</f>
        <v>0</v>
      </c>
      <c r="Y489" s="174">
        <f>Buildings_Water_Frontend[[#This Row],[Meter Reference]]</f>
        <v>0</v>
      </c>
      <c r="Z489" s="220">
        <f>Buildings_Water_Frontend[[#This Row],[Methodology]]</f>
        <v>0</v>
      </c>
      <c r="AA489" s="229" t="e" cm="1">
        <f t="array" ref="AA489">INDEX(_xlfn.SWITCH(Buildings_Water_Backend[[#This Row],[Methodology]],"Tier 1",rng_RSD1,"Tier 2",rng_RSD2,"Tier 3",rng_RSD3),MATCH(_xlfn.CONCAT(Buildings_Water_Backend[[#This Row],[Level 1]:[Level 6]]),rng_LevelsConcat,0))</f>
        <v>#N/A</v>
      </c>
      <c r="AB489" s="224">
        <f>Buildings_Water_Frontend[[#This Row],[Data]]</f>
        <v>0</v>
      </c>
      <c r="AC489" s="174">
        <f>Buildings_Water_Frontend[[#This Row],[Units]]</f>
        <v>0</v>
      </c>
      <c r="AD489" s="220" t="e">
        <f>IF(Buildings_Water_Backend[[#This Row],[Units]]=Buildings_Water_Backend[[#This Row],[Standard units]],Buildings_Water_Backend[[#This Row],[Data]],Buildings_Water_Backend[[#This Row],[Data]]*_xlfn.XLOOKUP(_xlfn.CONCAT(Buildings_Water_Backend[[#This Row],[Level 1]:[Level 6]]),rng_EFConcat,rng_EFConversion))</f>
        <v>#N/A</v>
      </c>
      <c r="AE489" s="174" t="e" cm="1">
        <f t="array" ref="AE489">_xlfn.XLOOKUP(_xlfn.CONCAT(Buildings_Water_Backend[[#This Row],[Level 1]:[Level 6]]),rng_LevelsConcat,rng_UnitsLong)</f>
        <v>#N/A</v>
      </c>
      <c r="AF489" s="210" t="e">
        <f>_xlfn.XLOOKUP(_xlfn.CONCAT(Buildings_Water_Backend[[#This Row],[Level 1]:[Level 6]]),rng_EFConcat,rng_EF1)*Buildings_Water_Backend[[#This Row],[Converted data]]/1000</f>
        <v>#N/A</v>
      </c>
      <c r="AG489" s="210" t="e">
        <f>_xlfn.XLOOKUP(_xlfn.CONCAT(Buildings_Water_Backend[[#This Row],[Level 1]:[Level 6]]),rng_EFConcat,rng_EF2)*Buildings_Water_Backend[[#This Row],[Converted data]]/1000</f>
        <v>#N/A</v>
      </c>
      <c r="AH489" s="210" t="e">
        <f>_xlfn.XLOOKUP(_xlfn.CONCAT(Buildings_Water_Backend[[#This Row],[Level 1]:[Level 6]]),rng_EFConcat,rng_EF3)*Buildings_Water_Backend[[#This Row],[Converted data]]/1000</f>
        <v>#N/A</v>
      </c>
      <c r="AI489" s="210" t="e">
        <f>_xlfn.XLOOKUP(_xlfn.CONCAT(Buildings_Water_Backend[[#This Row],[Level 1]:[Level 6]]),rng_EFConcat,rng_EF3WTT)*Buildings_Water_Backend[[#This Row],[Converted data]]/1000</f>
        <v>#N/A</v>
      </c>
      <c r="AJ489" s="210" t="e">
        <f>_xlfn.XLOOKUP(_xlfn.CONCAT(Buildings_Water_Backend[[#This Row],[Level 1]:[Level 6]]),rng_EFConcat,rng_EF3TD)*Buildings_Water_Backend[[#This Row],[Converted data]]/1000</f>
        <v>#N/A</v>
      </c>
      <c r="AK489" s="210" t="e">
        <f>_xlfn.XLOOKUP(_xlfn.CONCAT(Buildings_Water_Backend[[#This Row],[Level 1]:[Level 6]]),rng_EFConcat,rng_EF3WTTTD)*Buildings_Water_Backend[[#This Row],[Converted data]]/1000</f>
        <v>#N/A</v>
      </c>
      <c r="AL489" s="220" t="e">
        <f>SUM(Buildings_Water_Backend[[#This Row],[Scope 1 (tCO2e)]:[Scope 3 WTT T&amp;D (tCO2e)]])</f>
        <v>#N/A</v>
      </c>
      <c r="AM489" s="220" t="e">
        <f>Buildings_Water_Backend[[#This Row],[Total (tCO2e)]]*(1-Buildings_Water_Backend[[#This Row],[RSD]])</f>
        <v>#N/A</v>
      </c>
      <c r="AN489" s="220" t="e">
        <f>Buildings_Water_Backend[[#This Row],[Total (tCO2e)]]*(1+Buildings_Water_Backend[[#This Row],[RSD]])</f>
        <v>#N/A</v>
      </c>
      <c r="AO489" s="210" t="e">
        <f>_xlfn.XLOOKUP(_xlfn.CONCAT(Buildings_Water_Backend[[#This Row],[Level 1]:[Level 6]]),rng_EFConcat,rng_EFOOS)*Buildings_Water_Backend[[#This Row],[Converted data]]/1000</f>
        <v>#N/A</v>
      </c>
      <c r="AP489" s="174">
        <f>Buildings_Water_Frontend[[#This Row],[Ease of collection]]</f>
        <v>0</v>
      </c>
      <c r="AQ489" s="174">
        <f>Buildings_Water_Frontend[[#This Row],[Completeness]]</f>
        <v>0</v>
      </c>
      <c r="AR489" s="174">
        <f>Buildings_Water_Frontend[[#This Row],[Notes]]</f>
        <v>0</v>
      </c>
    </row>
    <row r="490" spans="5:44" x14ac:dyDescent="0.3">
      <c r="E490" s="346"/>
      <c r="F490" s="364"/>
      <c r="G490" s="336"/>
      <c r="H490" s="336"/>
      <c r="I490" s="334"/>
      <c r="J490" s="336"/>
      <c r="K490" s="336"/>
      <c r="L490" s="336"/>
      <c r="M490" s="337"/>
      <c r="N490" s="242">
        <f t="shared" si="15"/>
        <v>5</v>
      </c>
      <c r="Q490" s="212" t="str">
        <f t="shared" si="14"/>
        <v/>
      </c>
      <c r="R490" s="174" t="s">
        <v>265</v>
      </c>
      <c r="S490" s="174" t="s">
        <v>273</v>
      </c>
      <c r="T490" s="174" t="e">
        <f>_xlfn.XLOOKUP(Buildings_Water_Backend[[#This Row],[Info 1]],Buildings_SiteInfo[Site name],Buildings_SiteInfo[Site type])</f>
        <v>#N/A</v>
      </c>
      <c r="U490" s="174" t="s">
        <v>327</v>
      </c>
      <c r="V490" s="174">
        <f>Buildings_Water_Frontend[[#This Row],[Type]]</f>
        <v>0</v>
      </c>
      <c r="W490" s="174" t="e" cm="1">
        <f t="array" aca="1" ref="W490" ca="1">_xlfn.XLOOKUP(Buildings_Water_Backend[[#This Row],[Level 5]],rng_Level5Long,rng_Level6Long)</f>
        <v>#N/A</v>
      </c>
      <c r="X490" s="174">
        <f>Buildings_Water_Frontend[[#This Row],[Site Name]]</f>
        <v>0</v>
      </c>
      <c r="Y490" s="174">
        <f>Buildings_Water_Frontend[[#This Row],[Meter Reference]]</f>
        <v>0</v>
      </c>
      <c r="Z490" s="220">
        <f>Buildings_Water_Frontend[[#This Row],[Methodology]]</f>
        <v>0</v>
      </c>
      <c r="AA490" s="229" t="e" cm="1">
        <f t="array" ref="AA490">INDEX(_xlfn.SWITCH(Buildings_Water_Backend[[#This Row],[Methodology]],"Tier 1",rng_RSD1,"Tier 2",rng_RSD2,"Tier 3",rng_RSD3),MATCH(_xlfn.CONCAT(Buildings_Water_Backend[[#This Row],[Level 1]:[Level 6]]),rng_LevelsConcat,0))</f>
        <v>#N/A</v>
      </c>
      <c r="AB490" s="224">
        <f>Buildings_Water_Frontend[[#This Row],[Data]]</f>
        <v>0</v>
      </c>
      <c r="AC490" s="174">
        <f>Buildings_Water_Frontend[[#This Row],[Units]]</f>
        <v>0</v>
      </c>
      <c r="AD490" s="220" t="e">
        <f>IF(Buildings_Water_Backend[[#This Row],[Units]]=Buildings_Water_Backend[[#This Row],[Standard units]],Buildings_Water_Backend[[#This Row],[Data]],Buildings_Water_Backend[[#This Row],[Data]]*_xlfn.XLOOKUP(_xlfn.CONCAT(Buildings_Water_Backend[[#This Row],[Level 1]:[Level 6]]),rng_EFConcat,rng_EFConversion))</f>
        <v>#N/A</v>
      </c>
      <c r="AE490" s="174" t="e" cm="1">
        <f t="array" ref="AE490">_xlfn.XLOOKUP(_xlfn.CONCAT(Buildings_Water_Backend[[#This Row],[Level 1]:[Level 6]]),rng_LevelsConcat,rng_UnitsLong)</f>
        <v>#N/A</v>
      </c>
      <c r="AF490" s="210" t="e">
        <f>_xlfn.XLOOKUP(_xlfn.CONCAT(Buildings_Water_Backend[[#This Row],[Level 1]:[Level 6]]),rng_EFConcat,rng_EF1)*Buildings_Water_Backend[[#This Row],[Converted data]]/1000</f>
        <v>#N/A</v>
      </c>
      <c r="AG490" s="210" t="e">
        <f>_xlfn.XLOOKUP(_xlfn.CONCAT(Buildings_Water_Backend[[#This Row],[Level 1]:[Level 6]]),rng_EFConcat,rng_EF2)*Buildings_Water_Backend[[#This Row],[Converted data]]/1000</f>
        <v>#N/A</v>
      </c>
      <c r="AH490" s="210" t="e">
        <f>_xlfn.XLOOKUP(_xlfn.CONCAT(Buildings_Water_Backend[[#This Row],[Level 1]:[Level 6]]),rng_EFConcat,rng_EF3)*Buildings_Water_Backend[[#This Row],[Converted data]]/1000</f>
        <v>#N/A</v>
      </c>
      <c r="AI490" s="210" t="e">
        <f>_xlfn.XLOOKUP(_xlfn.CONCAT(Buildings_Water_Backend[[#This Row],[Level 1]:[Level 6]]),rng_EFConcat,rng_EF3WTT)*Buildings_Water_Backend[[#This Row],[Converted data]]/1000</f>
        <v>#N/A</v>
      </c>
      <c r="AJ490" s="210" t="e">
        <f>_xlfn.XLOOKUP(_xlfn.CONCAT(Buildings_Water_Backend[[#This Row],[Level 1]:[Level 6]]),rng_EFConcat,rng_EF3TD)*Buildings_Water_Backend[[#This Row],[Converted data]]/1000</f>
        <v>#N/A</v>
      </c>
      <c r="AK490" s="210" t="e">
        <f>_xlfn.XLOOKUP(_xlfn.CONCAT(Buildings_Water_Backend[[#This Row],[Level 1]:[Level 6]]),rng_EFConcat,rng_EF3WTTTD)*Buildings_Water_Backend[[#This Row],[Converted data]]/1000</f>
        <v>#N/A</v>
      </c>
      <c r="AL490" s="220" t="e">
        <f>SUM(Buildings_Water_Backend[[#This Row],[Scope 1 (tCO2e)]:[Scope 3 WTT T&amp;D (tCO2e)]])</f>
        <v>#N/A</v>
      </c>
      <c r="AM490" s="220" t="e">
        <f>Buildings_Water_Backend[[#This Row],[Total (tCO2e)]]*(1-Buildings_Water_Backend[[#This Row],[RSD]])</f>
        <v>#N/A</v>
      </c>
      <c r="AN490" s="220" t="e">
        <f>Buildings_Water_Backend[[#This Row],[Total (tCO2e)]]*(1+Buildings_Water_Backend[[#This Row],[RSD]])</f>
        <v>#N/A</v>
      </c>
      <c r="AO490" s="210" t="e">
        <f>_xlfn.XLOOKUP(_xlfn.CONCAT(Buildings_Water_Backend[[#This Row],[Level 1]:[Level 6]]),rng_EFConcat,rng_EFOOS)*Buildings_Water_Backend[[#This Row],[Converted data]]/1000</f>
        <v>#N/A</v>
      </c>
      <c r="AP490" s="174">
        <f>Buildings_Water_Frontend[[#This Row],[Ease of collection]]</f>
        <v>0</v>
      </c>
      <c r="AQ490" s="174">
        <f>Buildings_Water_Frontend[[#This Row],[Completeness]]</f>
        <v>0</v>
      </c>
      <c r="AR490" s="174">
        <f>Buildings_Water_Frontend[[#This Row],[Notes]]</f>
        <v>0</v>
      </c>
    </row>
    <row r="491" spans="5:44" x14ac:dyDescent="0.3">
      <c r="E491" s="346"/>
      <c r="F491" s="364"/>
      <c r="G491" s="336"/>
      <c r="H491" s="336"/>
      <c r="I491" s="334"/>
      <c r="J491" s="336"/>
      <c r="K491" s="336"/>
      <c r="L491" s="336"/>
      <c r="M491" s="337"/>
      <c r="N491" s="242">
        <f t="shared" si="15"/>
        <v>5</v>
      </c>
      <c r="Q491" s="212" t="str">
        <f t="shared" si="14"/>
        <v/>
      </c>
      <c r="R491" s="174" t="s">
        <v>265</v>
      </c>
      <c r="S491" s="174" t="s">
        <v>273</v>
      </c>
      <c r="T491" s="174" t="e">
        <f>_xlfn.XLOOKUP(Buildings_Water_Backend[[#This Row],[Info 1]],Buildings_SiteInfo[Site name],Buildings_SiteInfo[Site type])</f>
        <v>#N/A</v>
      </c>
      <c r="U491" s="174" t="s">
        <v>327</v>
      </c>
      <c r="V491" s="174">
        <f>Buildings_Water_Frontend[[#This Row],[Type]]</f>
        <v>0</v>
      </c>
      <c r="W491" s="174" t="e" cm="1">
        <f t="array" aca="1" ref="W491" ca="1">_xlfn.XLOOKUP(Buildings_Water_Backend[[#This Row],[Level 5]],rng_Level5Long,rng_Level6Long)</f>
        <v>#N/A</v>
      </c>
      <c r="X491" s="174">
        <f>Buildings_Water_Frontend[[#This Row],[Site Name]]</f>
        <v>0</v>
      </c>
      <c r="Y491" s="174">
        <f>Buildings_Water_Frontend[[#This Row],[Meter Reference]]</f>
        <v>0</v>
      </c>
      <c r="Z491" s="220">
        <f>Buildings_Water_Frontend[[#This Row],[Methodology]]</f>
        <v>0</v>
      </c>
      <c r="AA491" s="229" t="e" cm="1">
        <f t="array" ref="AA491">INDEX(_xlfn.SWITCH(Buildings_Water_Backend[[#This Row],[Methodology]],"Tier 1",rng_RSD1,"Tier 2",rng_RSD2,"Tier 3",rng_RSD3),MATCH(_xlfn.CONCAT(Buildings_Water_Backend[[#This Row],[Level 1]:[Level 6]]),rng_LevelsConcat,0))</f>
        <v>#N/A</v>
      </c>
      <c r="AB491" s="224">
        <f>Buildings_Water_Frontend[[#This Row],[Data]]</f>
        <v>0</v>
      </c>
      <c r="AC491" s="174">
        <f>Buildings_Water_Frontend[[#This Row],[Units]]</f>
        <v>0</v>
      </c>
      <c r="AD491" s="220" t="e">
        <f>IF(Buildings_Water_Backend[[#This Row],[Units]]=Buildings_Water_Backend[[#This Row],[Standard units]],Buildings_Water_Backend[[#This Row],[Data]],Buildings_Water_Backend[[#This Row],[Data]]*_xlfn.XLOOKUP(_xlfn.CONCAT(Buildings_Water_Backend[[#This Row],[Level 1]:[Level 6]]),rng_EFConcat,rng_EFConversion))</f>
        <v>#N/A</v>
      </c>
      <c r="AE491" s="174" t="e" cm="1">
        <f t="array" ref="AE491">_xlfn.XLOOKUP(_xlfn.CONCAT(Buildings_Water_Backend[[#This Row],[Level 1]:[Level 6]]),rng_LevelsConcat,rng_UnitsLong)</f>
        <v>#N/A</v>
      </c>
      <c r="AF491" s="210" t="e">
        <f>_xlfn.XLOOKUP(_xlfn.CONCAT(Buildings_Water_Backend[[#This Row],[Level 1]:[Level 6]]),rng_EFConcat,rng_EF1)*Buildings_Water_Backend[[#This Row],[Converted data]]/1000</f>
        <v>#N/A</v>
      </c>
      <c r="AG491" s="210" t="e">
        <f>_xlfn.XLOOKUP(_xlfn.CONCAT(Buildings_Water_Backend[[#This Row],[Level 1]:[Level 6]]),rng_EFConcat,rng_EF2)*Buildings_Water_Backend[[#This Row],[Converted data]]/1000</f>
        <v>#N/A</v>
      </c>
      <c r="AH491" s="210" t="e">
        <f>_xlfn.XLOOKUP(_xlfn.CONCAT(Buildings_Water_Backend[[#This Row],[Level 1]:[Level 6]]),rng_EFConcat,rng_EF3)*Buildings_Water_Backend[[#This Row],[Converted data]]/1000</f>
        <v>#N/A</v>
      </c>
      <c r="AI491" s="210" t="e">
        <f>_xlfn.XLOOKUP(_xlfn.CONCAT(Buildings_Water_Backend[[#This Row],[Level 1]:[Level 6]]),rng_EFConcat,rng_EF3WTT)*Buildings_Water_Backend[[#This Row],[Converted data]]/1000</f>
        <v>#N/A</v>
      </c>
      <c r="AJ491" s="210" t="e">
        <f>_xlfn.XLOOKUP(_xlfn.CONCAT(Buildings_Water_Backend[[#This Row],[Level 1]:[Level 6]]),rng_EFConcat,rng_EF3TD)*Buildings_Water_Backend[[#This Row],[Converted data]]/1000</f>
        <v>#N/A</v>
      </c>
      <c r="AK491" s="210" t="e">
        <f>_xlfn.XLOOKUP(_xlfn.CONCAT(Buildings_Water_Backend[[#This Row],[Level 1]:[Level 6]]),rng_EFConcat,rng_EF3WTTTD)*Buildings_Water_Backend[[#This Row],[Converted data]]/1000</f>
        <v>#N/A</v>
      </c>
      <c r="AL491" s="220" t="e">
        <f>SUM(Buildings_Water_Backend[[#This Row],[Scope 1 (tCO2e)]:[Scope 3 WTT T&amp;D (tCO2e)]])</f>
        <v>#N/A</v>
      </c>
      <c r="AM491" s="220" t="e">
        <f>Buildings_Water_Backend[[#This Row],[Total (tCO2e)]]*(1-Buildings_Water_Backend[[#This Row],[RSD]])</f>
        <v>#N/A</v>
      </c>
      <c r="AN491" s="220" t="e">
        <f>Buildings_Water_Backend[[#This Row],[Total (tCO2e)]]*(1+Buildings_Water_Backend[[#This Row],[RSD]])</f>
        <v>#N/A</v>
      </c>
      <c r="AO491" s="210" t="e">
        <f>_xlfn.XLOOKUP(_xlfn.CONCAT(Buildings_Water_Backend[[#This Row],[Level 1]:[Level 6]]),rng_EFConcat,rng_EFOOS)*Buildings_Water_Backend[[#This Row],[Converted data]]/1000</f>
        <v>#N/A</v>
      </c>
      <c r="AP491" s="174">
        <f>Buildings_Water_Frontend[[#This Row],[Ease of collection]]</f>
        <v>0</v>
      </c>
      <c r="AQ491" s="174">
        <f>Buildings_Water_Frontend[[#This Row],[Completeness]]</f>
        <v>0</v>
      </c>
      <c r="AR491" s="174">
        <f>Buildings_Water_Frontend[[#This Row],[Notes]]</f>
        <v>0</v>
      </c>
    </row>
    <row r="492" spans="5:44" x14ac:dyDescent="0.3">
      <c r="E492" s="346"/>
      <c r="F492" s="364"/>
      <c r="G492" s="336"/>
      <c r="H492" s="336"/>
      <c r="I492" s="334"/>
      <c r="J492" s="336"/>
      <c r="K492" s="336"/>
      <c r="L492" s="336"/>
      <c r="M492" s="337"/>
      <c r="N492" s="242">
        <f t="shared" si="15"/>
        <v>5</v>
      </c>
      <c r="Q492" s="212" t="str">
        <f t="shared" si="14"/>
        <v/>
      </c>
      <c r="R492" s="174" t="s">
        <v>265</v>
      </c>
      <c r="S492" s="174" t="s">
        <v>273</v>
      </c>
      <c r="T492" s="174" t="e">
        <f>_xlfn.XLOOKUP(Buildings_Water_Backend[[#This Row],[Info 1]],Buildings_SiteInfo[Site name],Buildings_SiteInfo[Site type])</f>
        <v>#N/A</v>
      </c>
      <c r="U492" s="174" t="s">
        <v>327</v>
      </c>
      <c r="V492" s="174">
        <f>Buildings_Water_Frontend[[#This Row],[Type]]</f>
        <v>0</v>
      </c>
      <c r="W492" s="174" t="e" cm="1">
        <f t="array" aca="1" ref="W492" ca="1">_xlfn.XLOOKUP(Buildings_Water_Backend[[#This Row],[Level 5]],rng_Level5Long,rng_Level6Long)</f>
        <v>#N/A</v>
      </c>
      <c r="X492" s="174">
        <f>Buildings_Water_Frontend[[#This Row],[Site Name]]</f>
        <v>0</v>
      </c>
      <c r="Y492" s="174">
        <f>Buildings_Water_Frontend[[#This Row],[Meter Reference]]</f>
        <v>0</v>
      </c>
      <c r="Z492" s="220">
        <f>Buildings_Water_Frontend[[#This Row],[Methodology]]</f>
        <v>0</v>
      </c>
      <c r="AA492" s="229" t="e" cm="1">
        <f t="array" ref="AA492">INDEX(_xlfn.SWITCH(Buildings_Water_Backend[[#This Row],[Methodology]],"Tier 1",rng_RSD1,"Tier 2",rng_RSD2,"Tier 3",rng_RSD3),MATCH(_xlfn.CONCAT(Buildings_Water_Backend[[#This Row],[Level 1]:[Level 6]]),rng_LevelsConcat,0))</f>
        <v>#N/A</v>
      </c>
      <c r="AB492" s="224">
        <f>Buildings_Water_Frontend[[#This Row],[Data]]</f>
        <v>0</v>
      </c>
      <c r="AC492" s="174">
        <f>Buildings_Water_Frontend[[#This Row],[Units]]</f>
        <v>0</v>
      </c>
      <c r="AD492" s="220" t="e">
        <f>IF(Buildings_Water_Backend[[#This Row],[Units]]=Buildings_Water_Backend[[#This Row],[Standard units]],Buildings_Water_Backend[[#This Row],[Data]],Buildings_Water_Backend[[#This Row],[Data]]*_xlfn.XLOOKUP(_xlfn.CONCAT(Buildings_Water_Backend[[#This Row],[Level 1]:[Level 6]]),rng_EFConcat,rng_EFConversion))</f>
        <v>#N/A</v>
      </c>
      <c r="AE492" s="174" t="e" cm="1">
        <f t="array" ref="AE492">_xlfn.XLOOKUP(_xlfn.CONCAT(Buildings_Water_Backend[[#This Row],[Level 1]:[Level 6]]),rng_LevelsConcat,rng_UnitsLong)</f>
        <v>#N/A</v>
      </c>
      <c r="AF492" s="210" t="e">
        <f>_xlfn.XLOOKUP(_xlfn.CONCAT(Buildings_Water_Backend[[#This Row],[Level 1]:[Level 6]]),rng_EFConcat,rng_EF1)*Buildings_Water_Backend[[#This Row],[Converted data]]/1000</f>
        <v>#N/A</v>
      </c>
      <c r="AG492" s="210" t="e">
        <f>_xlfn.XLOOKUP(_xlfn.CONCAT(Buildings_Water_Backend[[#This Row],[Level 1]:[Level 6]]),rng_EFConcat,rng_EF2)*Buildings_Water_Backend[[#This Row],[Converted data]]/1000</f>
        <v>#N/A</v>
      </c>
      <c r="AH492" s="210" t="e">
        <f>_xlfn.XLOOKUP(_xlfn.CONCAT(Buildings_Water_Backend[[#This Row],[Level 1]:[Level 6]]),rng_EFConcat,rng_EF3)*Buildings_Water_Backend[[#This Row],[Converted data]]/1000</f>
        <v>#N/A</v>
      </c>
      <c r="AI492" s="210" t="e">
        <f>_xlfn.XLOOKUP(_xlfn.CONCAT(Buildings_Water_Backend[[#This Row],[Level 1]:[Level 6]]),rng_EFConcat,rng_EF3WTT)*Buildings_Water_Backend[[#This Row],[Converted data]]/1000</f>
        <v>#N/A</v>
      </c>
      <c r="AJ492" s="210" t="e">
        <f>_xlfn.XLOOKUP(_xlfn.CONCAT(Buildings_Water_Backend[[#This Row],[Level 1]:[Level 6]]),rng_EFConcat,rng_EF3TD)*Buildings_Water_Backend[[#This Row],[Converted data]]/1000</f>
        <v>#N/A</v>
      </c>
      <c r="AK492" s="210" t="e">
        <f>_xlfn.XLOOKUP(_xlfn.CONCAT(Buildings_Water_Backend[[#This Row],[Level 1]:[Level 6]]),rng_EFConcat,rng_EF3WTTTD)*Buildings_Water_Backend[[#This Row],[Converted data]]/1000</f>
        <v>#N/A</v>
      </c>
      <c r="AL492" s="220" t="e">
        <f>SUM(Buildings_Water_Backend[[#This Row],[Scope 1 (tCO2e)]:[Scope 3 WTT T&amp;D (tCO2e)]])</f>
        <v>#N/A</v>
      </c>
      <c r="AM492" s="220" t="e">
        <f>Buildings_Water_Backend[[#This Row],[Total (tCO2e)]]*(1-Buildings_Water_Backend[[#This Row],[RSD]])</f>
        <v>#N/A</v>
      </c>
      <c r="AN492" s="220" t="e">
        <f>Buildings_Water_Backend[[#This Row],[Total (tCO2e)]]*(1+Buildings_Water_Backend[[#This Row],[RSD]])</f>
        <v>#N/A</v>
      </c>
      <c r="AO492" s="210" t="e">
        <f>_xlfn.XLOOKUP(_xlfn.CONCAT(Buildings_Water_Backend[[#This Row],[Level 1]:[Level 6]]),rng_EFConcat,rng_EFOOS)*Buildings_Water_Backend[[#This Row],[Converted data]]/1000</f>
        <v>#N/A</v>
      </c>
      <c r="AP492" s="174">
        <f>Buildings_Water_Frontend[[#This Row],[Ease of collection]]</f>
        <v>0</v>
      </c>
      <c r="AQ492" s="174">
        <f>Buildings_Water_Frontend[[#This Row],[Completeness]]</f>
        <v>0</v>
      </c>
      <c r="AR492" s="174">
        <f>Buildings_Water_Frontend[[#This Row],[Notes]]</f>
        <v>0</v>
      </c>
    </row>
    <row r="493" spans="5:44" x14ac:dyDescent="0.3">
      <c r="E493" s="346"/>
      <c r="F493" s="364"/>
      <c r="G493" s="336"/>
      <c r="H493" s="336"/>
      <c r="I493" s="334"/>
      <c r="J493" s="336"/>
      <c r="K493" s="336"/>
      <c r="L493" s="336"/>
      <c r="M493" s="337"/>
      <c r="N493" s="242">
        <f t="shared" si="15"/>
        <v>5</v>
      </c>
      <c r="Q493" s="212" t="str">
        <f t="shared" si="14"/>
        <v/>
      </c>
      <c r="R493" s="174" t="s">
        <v>265</v>
      </c>
      <c r="S493" s="174" t="s">
        <v>273</v>
      </c>
      <c r="T493" s="174" t="e">
        <f>_xlfn.XLOOKUP(Buildings_Water_Backend[[#This Row],[Info 1]],Buildings_SiteInfo[Site name],Buildings_SiteInfo[Site type])</f>
        <v>#N/A</v>
      </c>
      <c r="U493" s="174" t="s">
        <v>327</v>
      </c>
      <c r="V493" s="174">
        <f>Buildings_Water_Frontend[[#This Row],[Type]]</f>
        <v>0</v>
      </c>
      <c r="W493" s="174" t="e" cm="1">
        <f t="array" aca="1" ref="W493" ca="1">_xlfn.XLOOKUP(Buildings_Water_Backend[[#This Row],[Level 5]],rng_Level5Long,rng_Level6Long)</f>
        <v>#N/A</v>
      </c>
      <c r="X493" s="174">
        <f>Buildings_Water_Frontend[[#This Row],[Site Name]]</f>
        <v>0</v>
      </c>
      <c r="Y493" s="174">
        <f>Buildings_Water_Frontend[[#This Row],[Meter Reference]]</f>
        <v>0</v>
      </c>
      <c r="Z493" s="220">
        <f>Buildings_Water_Frontend[[#This Row],[Methodology]]</f>
        <v>0</v>
      </c>
      <c r="AA493" s="229" t="e" cm="1">
        <f t="array" ref="AA493">INDEX(_xlfn.SWITCH(Buildings_Water_Backend[[#This Row],[Methodology]],"Tier 1",rng_RSD1,"Tier 2",rng_RSD2,"Tier 3",rng_RSD3),MATCH(_xlfn.CONCAT(Buildings_Water_Backend[[#This Row],[Level 1]:[Level 6]]),rng_LevelsConcat,0))</f>
        <v>#N/A</v>
      </c>
      <c r="AB493" s="224">
        <f>Buildings_Water_Frontend[[#This Row],[Data]]</f>
        <v>0</v>
      </c>
      <c r="AC493" s="174">
        <f>Buildings_Water_Frontend[[#This Row],[Units]]</f>
        <v>0</v>
      </c>
      <c r="AD493" s="220" t="e">
        <f>IF(Buildings_Water_Backend[[#This Row],[Units]]=Buildings_Water_Backend[[#This Row],[Standard units]],Buildings_Water_Backend[[#This Row],[Data]],Buildings_Water_Backend[[#This Row],[Data]]*_xlfn.XLOOKUP(_xlfn.CONCAT(Buildings_Water_Backend[[#This Row],[Level 1]:[Level 6]]),rng_EFConcat,rng_EFConversion))</f>
        <v>#N/A</v>
      </c>
      <c r="AE493" s="174" t="e" cm="1">
        <f t="array" ref="AE493">_xlfn.XLOOKUP(_xlfn.CONCAT(Buildings_Water_Backend[[#This Row],[Level 1]:[Level 6]]),rng_LevelsConcat,rng_UnitsLong)</f>
        <v>#N/A</v>
      </c>
      <c r="AF493" s="210" t="e">
        <f>_xlfn.XLOOKUP(_xlfn.CONCAT(Buildings_Water_Backend[[#This Row],[Level 1]:[Level 6]]),rng_EFConcat,rng_EF1)*Buildings_Water_Backend[[#This Row],[Converted data]]/1000</f>
        <v>#N/A</v>
      </c>
      <c r="AG493" s="210" t="e">
        <f>_xlfn.XLOOKUP(_xlfn.CONCAT(Buildings_Water_Backend[[#This Row],[Level 1]:[Level 6]]),rng_EFConcat,rng_EF2)*Buildings_Water_Backend[[#This Row],[Converted data]]/1000</f>
        <v>#N/A</v>
      </c>
      <c r="AH493" s="210" t="e">
        <f>_xlfn.XLOOKUP(_xlfn.CONCAT(Buildings_Water_Backend[[#This Row],[Level 1]:[Level 6]]),rng_EFConcat,rng_EF3)*Buildings_Water_Backend[[#This Row],[Converted data]]/1000</f>
        <v>#N/A</v>
      </c>
      <c r="AI493" s="210" t="e">
        <f>_xlfn.XLOOKUP(_xlfn.CONCAT(Buildings_Water_Backend[[#This Row],[Level 1]:[Level 6]]),rng_EFConcat,rng_EF3WTT)*Buildings_Water_Backend[[#This Row],[Converted data]]/1000</f>
        <v>#N/A</v>
      </c>
      <c r="AJ493" s="210" t="e">
        <f>_xlfn.XLOOKUP(_xlfn.CONCAT(Buildings_Water_Backend[[#This Row],[Level 1]:[Level 6]]),rng_EFConcat,rng_EF3TD)*Buildings_Water_Backend[[#This Row],[Converted data]]/1000</f>
        <v>#N/A</v>
      </c>
      <c r="AK493" s="210" t="e">
        <f>_xlfn.XLOOKUP(_xlfn.CONCAT(Buildings_Water_Backend[[#This Row],[Level 1]:[Level 6]]),rng_EFConcat,rng_EF3WTTTD)*Buildings_Water_Backend[[#This Row],[Converted data]]/1000</f>
        <v>#N/A</v>
      </c>
      <c r="AL493" s="220" t="e">
        <f>SUM(Buildings_Water_Backend[[#This Row],[Scope 1 (tCO2e)]:[Scope 3 WTT T&amp;D (tCO2e)]])</f>
        <v>#N/A</v>
      </c>
      <c r="AM493" s="220" t="e">
        <f>Buildings_Water_Backend[[#This Row],[Total (tCO2e)]]*(1-Buildings_Water_Backend[[#This Row],[RSD]])</f>
        <v>#N/A</v>
      </c>
      <c r="AN493" s="220" t="e">
        <f>Buildings_Water_Backend[[#This Row],[Total (tCO2e)]]*(1+Buildings_Water_Backend[[#This Row],[RSD]])</f>
        <v>#N/A</v>
      </c>
      <c r="AO493" s="210" t="e">
        <f>_xlfn.XLOOKUP(_xlfn.CONCAT(Buildings_Water_Backend[[#This Row],[Level 1]:[Level 6]]),rng_EFConcat,rng_EFOOS)*Buildings_Water_Backend[[#This Row],[Converted data]]/1000</f>
        <v>#N/A</v>
      </c>
      <c r="AP493" s="174">
        <f>Buildings_Water_Frontend[[#This Row],[Ease of collection]]</f>
        <v>0</v>
      </c>
      <c r="AQ493" s="174">
        <f>Buildings_Water_Frontend[[#This Row],[Completeness]]</f>
        <v>0</v>
      </c>
      <c r="AR493" s="174">
        <f>Buildings_Water_Frontend[[#This Row],[Notes]]</f>
        <v>0</v>
      </c>
    </row>
    <row r="494" spans="5:44" x14ac:dyDescent="0.3">
      <c r="E494" s="346"/>
      <c r="F494" s="364"/>
      <c r="G494" s="336"/>
      <c r="H494" s="336"/>
      <c r="I494" s="334"/>
      <c r="J494" s="336"/>
      <c r="K494" s="336"/>
      <c r="L494" s="336"/>
      <c r="M494" s="337"/>
      <c r="N494" s="242">
        <f t="shared" si="15"/>
        <v>5</v>
      </c>
      <c r="Q494" s="212" t="str">
        <f t="shared" si="14"/>
        <v/>
      </c>
      <c r="R494" s="174" t="s">
        <v>265</v>
      </c>
      <c r="S494" s="174" t="s">
        <v>273</v>
      </c>
      <c r="T494" s="174" t="e">
        <f>_xlfn.XLOOKUP(Buildings_Water_Backend[[#This Row],[Info 1]],Buildings_SiteInfo[Site name],Buildings_SiteInfo[Site type])</f>
        <v>#N/A</v>
      </c>
      <c r="U494" s="174" t="s">
        <v>327</v>
      </c>
      <c r="V494" s="174">
        <f>Buildings_Water_Frontend[[#This Row],[Type]]</f>
        <v>0</v>
      </c>
      <c r="W494" s="174" t="e" cm="1">
        <f t="array" aca="1" ref="W494" ca="1">_xlfn.XLOOKUP(Buildings_Water_Backend[[#This Row],[Level 5]],rng_Level5Long,rng_Level6Long)</f>
        <v>#N/A</v>
      </c>
      <c r="X494" s="174">
        <f>Buildings_Water_Frontend[[#This Row],[Site Name]]</f>
        <v>0</v>
      </c>
      <c r="Y494" s="174">
        <f>Buildings_Water_Frontend[[#This Row],[Meter Reference]]</f>
        <v>0</v>
      </c>
      <c r="Z494" s="220">
        <f>Buildings_Water_Frontend[[#This Row],[Methodology]]</f>
        <v>0</v>
      </c>
      <c r="AA494" s="229" t="e" cm="1">
        <f t="array" ref="AA494">INDEX(_xlfn.SWITCH(Buildings_Water_Backend[[#This Row],[Methodology]],"Tier 1",rng_RSD1,"Tier 2",rng_RSD2,"Tier 3",rng_RSD3),MATCH(_xlfn.CONCAT(Buildings_Water_Backend[[#This Row],[Level 1]:[Level 6]]),rng_LevelsConcat,0))</f>
        <v>#N/A</v>
      </c>
      <c r="AB494" s="224">
        <f>Buildings_Water_Frontend[[#This Row],[Data]]</f>
        <v>0</v>
      </c>
      <c r="AC494" s="174">
        <f>Buildings_Water_Frontend[[#This Row],[Units]]</f>
        <v>0</v>
      </c>
      <c r="AD494" s="220" t="e">
        <f>IF(Buildings_Water_Backend[[#This Row],[Units]]=Buildings_Water_Backend[[#This Row],[Standard units]],Buildings_Water_Backend[[#This Row],[Data]],Buildings_Water_Backend[[#This Row],[Data]]*_xlfn.XLOOKUP(_xlfn.CONCAT(Buildings_Water_Backend[[#This Row],[Level 1]:[Level 6]]),rng_EFConcat,rng_EFConversion))</f>
        <v>#N/A</v>
      </c>
      <c r="AE494" s="174" t="e" cm="1">
        <f t="array" ref="AE494">_xlfn.XLOOKUP(_xlfn.CONCAT(Buildings_Water_Backend[[#This Row],[Level 1]:[Level 6]]),rng_LevelsConcat,rng_UnitsLong)</f>
        <v>#N/A</v>
      </c>
      <c r="AF494" s="210" t="e">
        <f>_xlfn.XLOOKUP(_xlfn.CONCAT(Buildings_Water_Backend[[#This Row],[Level 1]:[Level 6]]),rng_EFConcat,rng_EF1)*Buildings_Water_Backend[[#This Row],[Converted data]]/1000</f>
        <v>#N/A</v>
      </c>
      <c r="AG494" s="210" t="e">
        <f>_xlfn.XLOOKUP(_xlfn.CONCAT(Buildings_Water_Backend[[#This Row],[Level 1]:[Level 6]]),rng_EFConcat,rng_EF2)*Buildings_Water_Backend[[#This Row],[Converted data]]/1000</f>
        <v>#N/A</v>
      </c>
      <c r="AH494" s="210" t="e">
        <f>_xlfn.XLOOKUP(_xlfn.CONCAT(Buildings_Water_Backend[[#This Row],[Level 1]:[Level 6]]),rng_EFConcat,rng_EF3)*Buildings_Water_Backend[[#This Row],[Converted data]]/1000</f>
        <v>#N/A</v>
      </c>
      <c r="AI494" s="210" t="e">
        <f>_xlfn.XLOOKUP(_xlfn.CONCAT(Buildings_Water_Backend[[#This Row],[Level 1]:[Level 6]]),rng_EFConcat,rng_EF3WTT)*Buildings_Water_Backend[[#This Row],[Converted data]]/1000</f>
        <v>#N/A</v>
      </c>
      <c r="AJ494" s="210" t="e">
        <f>_xlfn.XLOOKUP(_xlfn.CONCAT(Buildings_Water_Backend[[#This Row],[Level 1]:[Level 6]]),rng_EFConcat,rng_EF3TD)*Buildings_Water_Backend[[#This Row],[Converted data]]/1000</f>
        <v>#N/A</v>
      </c>
      <c r="AK494" s="210" t="e">
        <f>_xlfn.XLOOKUP(_xlfn.CONCAT(Buildings_Water_Backend[[#This Row],[Level 1]:[Level 6]]),rng_EFConcat,rng_EF3WTTTD)*Buildings_Water_Backend[[#This Row],[Converted data]]/1000</f>
        <v>#N/A</v>
      </c>
      <c r="AL494" s="220" t="e">
        <f>SUM(Buildings_Water_Backend[[#This Row],[Scope 1 (tCO2e)]:[Scope 3 WTT T&amp;D (tCO2e)]])</f>
        <v>#N/A</v>
      </c>
      <c r="AM494" s="220" t="e">
        <f>Buildings_Water_Backend[[#This Row],[Total (tCO2e)]]*(1-Buildings_Water_Backend[[#This Row],[RSD]])</f>
        <v>#N/A</v>
      </c>
      <c r="AN494" s="220" t="e">
        <f>Buildings_Water_Backend[[#This Row],[Total (tCO2e)]]*(1+Buildings_Water_Backend[[#This Row],[RSD]])</f>
        <v>#N/A</v>
      </c>
      <c r="AO494" s="210" t="e">
        <f>_xlfn.XLOOKUP(_xlfn.CONCAT(Buildings_Water_Backend[[#This Row],[Level 1]:[Level 6]]),rng_EFConcat,rng_EFOOS)*Buildings_Water_Backend[[#This Row],[Converted data]]/1000</f>
        <v>#N/A</v>
      </c>
      <c r="AP494" s="174">
        <f>Buildings_Water_Frontend[[#This Row],[Ease of collection]]</f>
        <v>0</v>
      </c>
      <c r="AQ494" s="174">
        <f>Buildings_Water_Frontend[[#This Row],[Completeness]]</f>
        <v>0</v>
      </c>
      <c r="AR494" s="174">
        <f>Buildings_Water_Frontend[[#This Row],[Notes]]</f>
        <v>0</v>
      </c>
    </row>
    <row r="495" spans="5:44" x14ac:dyDescent="0.3">
      <c r="E495" s="346"/>
      <c r="F495" s="364"/>
      <c r="G495" s="336"/>
      <c r="H495" s="336"/>
      <c r="I495" s="334"/>
      <c r="J495" s="336"/>
      <c r="K495" s="336"/>
      <c r="L495" s="336"/>
      <c r="M495" s="337"/>
      <c r="N495" s="242">
        <f t="shared" si="15"/>
        <v>5</v>
      </c>
      <c r="Q495" s="212" t="str">
        <f t="shared" si="14"/>
        <v/>
      </c>
      <c r="R495" s="174" t="s">
        <v>265</v>
      </c>
      <c r="S495" s="174" t="s">
        <v>273</v>
      </c>
      <c r="T495" s="174" t="e">
        <f>_xlfn.XLOOKUP(Buildings_Water_Backend[[#This Row],[Info 1]],Buildings_SiteInfo[Site name],Buildings_SiteInfo[Site type])</f>
        <v>#N/A</v>
      </c>
      <c r="U495" s="174" t="s">
        <v>327</v>
      </c>
      <c r="V495" s="174">
        <f>Buildings_Water_Frontend[[#This Row],[Type]]</f>
        <v>0</v>
      </c>
      <c r="W495" s="174" t="e" cm="1">
        <f t="array" aca="1" ref="W495" ca="1">_xlfn.XLOOKUP(Buildings_Water_Backend[[#This Row],[Level 5]],rng_Level5Long,rng_Level6Long)</f>
        <v>#N/A</v>
      </c>
      <c r="X495" s="174">
        <f>Buildings_Water_Frontend[[#This Row],[Site Name]]</f>
        <v>0</v>
      </c>
      <c r="Y495" s="174">
        <f>Buildings_Water_Frontend[[#This Row],[Meter Reference]]</f>
        <v>0</v>
      </c>
      <c r="Z495" s="220">
        <f>Buildings_Water_Frontend[[#This Row],[Methodology]]</f>
        <v>0</v>
      </c>
      <c r="AA495" s="229" t="e" cm="1">
        <f t="array" ref="AA495">INDEX(_xlfn.SWITCH(Buildings_Water_Backend[[#This Row],[Methodology]],"Tier 1",rng_RSD1,"Tier 2",rng_RSD2,"Tier 3",rng_RSD3),MATCH(_xlfn.CONCAT(Buildings_Water_Backend[[#This Row],[Level 1]:[Level 6]]),rng_LevelsConcat,0))</f>
        <v>#N/A</v>
      </c>
      <c r="AB495" s="224">
        <f>Buildings_Water_Frontend[[#This Row],[Data]]</f>
        <v>0</v>
      </c>
      <c r="AC495" s="174">
        <f>Buildings_Water_Frontend[[#This Row],[Units]]</f>
        <v>0</v>
      </c>
      <c r="AD495" s="220" t="e">
        <f>IF(Buildings_Water_Backend[[#This Row],[Units]]=Buildings_Water_Backend[[#This Row],[Standard units]],Buildings_Water_Backend[[#This Row],[Data]],Buildings_Water_Backend[[#This Row],[Data]]*_xlfn.XLOOKUP(_xlfn.CONCAT(Buildings_Water_Backend[[#This Row],[Level 1]:[Level 6]]),rng_EFConcat,rng_EFConversion))</f>
        <v>#N/A</v>
      </c>
      <c r="AE495" s="174" t="e" cm="1">
        <f t="array" ref="AE495">_xlfn.XLOOKUP(_xlfn.CONCAT(Buildings_Water_Backend[[#This Row],[Level 1]:[Level 6]]),rng_LevelsConcat,rng_UnitsLong)</f>
        <v>#N/A</v>
      </c>
      <c r="AF495" s="210" t="e">
        <f>_xlfn.XLOOKUP(_xlfn.CONCAT(Buildings_Water_Backend[[#This Row],[Level 1]:[Level 6]]),rng_EFConcat,rng_EF1)*Buildings_Water_Backend[[#This Row],[Converted data]]/1000</f>
        <v>#N/A</v>
      </c>
      <c r="AG495" s="210" t="e">
        <f>_xlfn.XLOOKUP(_xlfn.CONCAT(Buildings_Water_Backend[[#This Row],[Level 1]:[Level 6]]),rng_EFConcat,rng_EF2)*Buildings_Water_Backend[[#This Row],[Converted data]]/1000</f>
        <v>#N/A</v>
      </c>
      <c r="AH495" s="210" t="e">
        <f>_xlfn.XLOOKUP(_xlfn.CONCAT(Buildings_Water_Backend[[#This Row],[Level 1]:[Level 6]]),rng_EFConcat,rng_EF3)*Buildings_Water_Backend[[#This Row],[Converted data]]/1000</f>
        <v>#N/A</v>
      </c>
      <c r="AI495" s="210" t="e">
        <f>_xlfn.XLOOKUP(_xlfn.CONCAT(Buildings_Water_Backend[[#This Row],[Level 1]:[Level 6]]),rng_EFConcat,rng_EF3WTT)*Buildings_Water_Backend[[#This Row],[Converted data]]/1000</f>
        <v>#N/A</v>
      </c>
      <c r="AJ495" s="210" t="e">
        <f>_xlfn.XLOOKUP(_xlfn.CONCAT(Buildings_Water_Backend[[#This Row],[Level 1]:[Level 6]]),rng_EFConcat,rng_EF3TD)*Buildings_Water_Backend[[#This Row],[Converted data]]/1000</f>
        <v>#N/A</v>
      </c>
      <c r="AK495" s="210" t="e">
        <f>_xlfn.XLOOKUP(_xlfn.CONCAT(Buildings_Water_Backend[[#This Row],[Level 1]:[Level 6]]),rng_EFConcat,rng_EF3WTTTD)*Buildings_Water_Backend[[#This Row],[Converted data]]/1000</f>
        <v>#N/A</v>
      </c>
      <c r="AL495" s="220" t="e">
        <f>SUM(Buildings_Water_Backend[[#This Row],[Scope 1 (tCO2e)]:[Scope 3 WTT T&amp;D (tCO2e)]])</f>
        <v>#N/A</v>
      </c>
      <c r="AM495" s="220" t="e">
        <f>Buildings_Water_Backend[[#This Row],[Total (tCO2e)]]*(1-Buildings_Water_Backend[[#This Row],[RSD]])</f>
        <v>#N/A</v>
      </c>
      <c r="AN495" s="220" t="e">
        <f>Buildings_Water_Backend[[#This Row],[Total (tCO2e)]]*(1+Buildings_Water_Backend[[#This Row],[RSD]])</f>
        <v>#N/A</v>
      </c>
      <c r="AO495" s="210" t="e">
        <f>_xlfn.XLOOKUP(_xlfn.CONCAT(Buildings_Water_Backend[[#This Row],[Level 1]:[Level 6]]),rng_EFConcat,rng_EFOOS)*Buildings_Water_Backend[[#This Row],[Converted data]]/1000</f>
        <v>#N/A</v>
      </c>
      <c r="AP495" s="174">
        <f>Buildings_Water_Frontend[[#This Row],[Ease of collection]]</f>
        <v>0</v>
      </c>
      <c r="AQ495" s="174">
        <f>Buildings_Water_Frontend[[#This Row],[Completeness]]</f>
        <v>0</v>
      </c>
      <c r="AR495" s="174">
        <f>Buildings_Water_Frontend[[#This Row],[Notes]]</f>
        <v>0</v>
      </c>
    </row>
    <row r="496" spans="5:44" x14ac:dyDescent="0.3">
      <c r="E496" s="346"/>
      <c r="F496" s="364"/>
      <c r="G496" s="336"/>
      <c r="H496" s="336"/>
      <c r="I496" s="334"/>
      <c r="J496" s="336"/>
      <c r="K496" s="336"/>
      <c r="L496" s="336"/>
      <c r="M496" s="337"/>
      <c r="N496" s="242">
        <f t="shared" si="15"/>
        <v>5</v>
      </c>
      <c r="Q496" s="212" t="str">
        <f t="shared" si="14"/>
        <v/>
      </c>
      <c r="R496" s="174" t="s">
        <v>265</v>
      </c>
      <c r="S496" s="174" t="s">
        <v>273</v>
      </c>
      <c r="T496" s="174" t="e">
        <f>_xlfn.XLOOKUP(Buildings_Water_Backend[[#This Row],[Info 1]],Buildings_SiteInfo[Site name],Buildings_SiteInfo[Site type])</f>
        <v>#N/A</v>
      </c>
      <c r="U496" s="174" t="s">
        <v>327</v>
      </c>
      <c r="V496" s="174">
        <f>Buildings_Water_Frontend[[#This Row],[Type]]</f>
        <v>0</v>
      </c>
      <c r="W496" s="174" t="e" cm="1">
        <f t="array" aca="1" ref="W496" ca="1">_xlfn.XLOOKUP(Buildings_Water_Backend[[#This Row],[Level 5]],rng_Level5Long,rng_Level6Long)</f>
        <v>#N/A</v>
      </c>
      <c r="X496" s="174">
        <f>Buildings_Water_Frontend[[#This Row],[Site Name]]</f>
        <v>0</v>
      </c>
      <c r="Y496" s="174">
        <f>Buildings_Water_Frontend[[#This Row],[Meter Reference]]</f>
        <v>0</v>
      </c>
      <c r="Z496" s="220">
        <f>Buildings_Water_Frontend[[#This Row],[Methodology]]</f>
        <v>0</v>
      </c>
      <c r="AA496" s="229" t="e" cm="1">
        <f t="array" ref="AA496">INDEX(_xlfn.SWITCH(Buildings_Water_Backend[[#This Row],[Methodology]],"Tier 1",rng_RSD1,"Tier 2",rng_RSD2,"Tier 3",rng_RSD3),MATCH(_xlfn.CONCAT(Buildings_Water_Backend[[#This Row],[Level 1]:[Level 6]]),rng_LevelsConcat,0))</f>
        <v>#N/A</v>
      </c>
      <c r="AB496" s="224">
        <f>Buildings_Water_Frontend[[#This Row],[Data]]</f>
        <v>0</v>
      </c>
      <c r="AC496" s="174">
        <f>Buildings_Water_Frontend[[#This Row],[Units]]</f>
        <v>0</v>
      </c>
      <c r="AD496" s="220" t="e">
        <f>IF(Buildings_Water_Backend[[#This Row],[Units]]=Buildings_Water_Backend[[#This Row],[Standard units]],Buildings_Water_Backend[[#This Row],[Data]],Buildings_Water_Backend[[#This Row],[Data]]*_xlfn.XLOOKUP(_xlfn.CONCAT(Buildings_Water_Backend[[#This Row],[Level 1]:[Level 6]]),rng_EFConcat,rng_EFConversion))</f>
        <v>#N/A</v>
      </c>
      <c r="AE496" s="174" t="e" cm="1">
        <f t="array" ref="AE496">_xlfn.XLOOKUP(_xlfn.CONCAT(Buildings_Water_Backend[[#This Row],[Level 1]:[Level 6]]),rng_LevelsConcat,rng_UnitsLong)</f>
        <v>#N/A</v>
      </c>
      <c r="AF496" s="210" t="e">
        <f>_xlfn.XLOOKUP(_xlfn.CONCAT(Buildings_Water_Backend[[#This Row],[Level 1]:[Level 6]]),rng_EFConcat,rng_EF1)*Buildings_Water_Backend[[#This Row],[Converted data]]/1000</f>
        <v>#N/A</v>
      </c>
      <c r="AG496" s="210" t="e">
        <f>_xlfn.XLOOKUP(_xlfn.CONCAT(Buildings_Water_Backend[[#This Row],[Level 1]:[Level 6]]),rng_EFConcat,rng_EF2)*Buildings_Water_Backend[[#This Row],[Converted data]]/1000</f>
        <v>#N/A</v>
      </c>
      <c r="AH496" s="210" t="e">
        <f>_xlfn.XLOOKUP(_xlfn.CONCAT(Buildings_Water_Backend[[#This Row],[Level 1]:[Level 6]]),rng_EFConcat,rng_EF3)*Buildings_Water_Backend[[#This Row],[Converted data]]/1000</f>
        <v>#N/A</v>
      </c>
      <c r="AI496" s="210" t="e">
        <f>_xlfn.XLOOKUP(_xlfn.CONCAT(Buildings_Water_Backend[[#This Row],[Level 1]:[Level 6]]),rng_EFConcat,rng_EF3WTT)*Buildings_Water_Backend[[#This Row],[Converted data]]/1000</f>
        <v>#N/A</v>
      </c>
      <c r="AJ496" s="210" t="e">
        <f>_xlfn.XLOOKUP(_xlfn.CONCAT(Buildings_Water_Backend[[#This Row],[Level 1]:[Level 6]]),rng_EFConcat,rng_EF3TD)*Buildings_Water_Backend[[#This Row],[Converted data]]/1000</f>
        <v>#N/A</v>
      </c>
      <c r="AK496" s="210" t="e">
        <f>_xlfn.XLOOKUP(_xlfn.CONCAT(Buildings_Water_Backend[[#This Row],[Level 1]:[Level 6]]),rng_EFConcat,rng_EF3WTTTD)*Buildings_Water_Backend[[#This Row],[Converted data]]/1000</f>
        <v>#N/A</v>
      </c>
      <c r="AL496" s="220" t="e">
        <f>SUM(Buildings_Water_Backend[[#This Row],[Scope 1 (tCO2e)]:[Scope 3 WTT T&amp;D (tCO2e)]])</f>
        <v>#N/A</v>
      </c>
      <c r="AM496" s="220" t="e">
        <f>Buildings_Water_Backend[[#This Row],[Total (tCO2e)]]*(1-Buildings_Water_Backend[[#This Row],[RSD]])</f>
        <v>#N/A</v>
      </c>
      <c r="AN496" s="220" t="e">
        <f>Buildings_Water_Backend[[#This Row],[Total (tCO2e)]]*(1+Buildings_Water_Backend[[#This Row],[RSD]])</f>
        <v>#N/A</v>
      </c>
      <c r="AO496" s="210" t="e">
        <f>_xlfn.XLOOKUP(_xlfn.CONCAT(Buildings_Water_Backend[[#This Row],[Level 1]:[Level 6]]),rng_EFConcat,rng_EFOOS)*Buildings_Water_Backend[[#This Row],[Converted data]]/1000</f>
        <v>#N/A</v>
      </c>
      <c r="AP496" s="174">
        <f>Buildings_Water_Frontend[[#This Row],[Ease of collection]]</f>
        <v>0</v>
      </c>
      <c r="AQ496" s="174">
        <f>Buildings_Water_Frontend[[#This Row],[Completeness]]</f>
        <v>0</v>
      </c>
      <c r="AR496" s="174">
        <f>Buildings_Water_Frontend[[#This Row],[Notes]]</f>
        <v>0</v>
      </c>
    </row>
    <row r="497" spans="5:44" x14ac:dyDescent="0.3">
      <c r="E497" s="346"/>
      <c r="F497" s="364"/>
      <c r="G497" s="336"/>
      <c r="H497" s="336"/>
      <c r="I497" s="334"/>
      <c r="J497" s="336"/>
      <c r="K497" s="336"/>
      <c r="L497" s="336"/>
      <c r="M497" s="337"/>
      <c r="N497" s="242">
        <f t="shared" si="15"/>
        <v>5</v>
      </c>
      <c r="Q497" s="212" t="str">
        <f t="shared" si="14"/>
        <v/>
      </c>
      <c r="R497" s="174" t="s">
        <v>265</v>
      </c>
      <c r="S497" s="174" t="s">
        <v>273</v>
      </c>
      <c r="T497" s="174" t="e">
        <f>_xlfn.XLOOKUP(Buildings_Water_Backend[[#This Row],[Info 1]],Buildings_SiteInfo[Site name],Buildings_SiteInfo[Site type])</f>
        <v>#N/A</v>
      </c>
      <c r="U497" s="174" t="s">
        <v>327</v>
      </c>
      <c r="V497" s="174">
        <f>Buildings_Water_Frontend[[#This Row],[Type]]</f>
        <v>0</v>
      </c>
      <c r="W497" s="174" t="e" cm="1">
        <f t="array" aca="1" ref="W497" ca="1">_xlfn.XLOOKUP(Buildings_Water_Backend[[#This Row],[Level 5]],rng_Level5Long,rng_Level6Long)</f>
        <v>#N/A</v>
      </c>
      <c r="X497" s="174">
        <f>Buildings_Water_Frontend[[#This Row],[Site Name]]</f>
        <v>0</v>
      </c>
      <c r="Y497" s="174">
        <f>Buildings_Water_Frontend[[#This Row],[Meter Reference]]</f>
        <v>0</v>
      </c>
      <c r="Z497" s="220">
        <f>Buildings_Water_Frontend[[#This Row],[Methodology]]</f>
        <v>0</v>
      </c>
      <c r="AA497" s="229" t="e" cm="1">
        <f t="array" ref="AA497">INDEX(_xlfn.SWITCH(Buildings_Water_Backend[[#This Row],[Methodology]],"Tier 1",rng_RSD1,"Tier 2",rng_RSD2,"Tier 3",rng_RSD3),MATCH(_xlfn.CONCAT(Buildings_Water_Backend[[#This Row],[Level 1]:[Level 6]]),rng_LevelsConcat,0))</f>
        <v>#N/A</v>
      </c>
      <c r="AB497" s="224">
        <f>Buildings_Water_Frontend[[#This Row],[Data]]</f>
        <v>0</v>
      </c>
      <c r="AC497" s="174">
        <f>Buildings_Water_Frontend[[#This Row],[Units]]</f>
        <v>0</v>
      </c>
      <c r="AD497" s="220" t="e">
        <f>IF(Buildings_Water_Backend[[#This Row],[Units]]=Buildings_Water_Backend[[#This Row],[Standard units]],Buildings_Water_Backend[[#This Row],[Data]],Buildings_Water_Backend[[#This Row],[Data]]*_xlfn.XLOOKUP(_xlfn.CONCAT(Buildings_Water_Backend[[#This Row],[Level 1]:[Level 6]]),rng_EFConcat,rng_EFConversion))</f>
        <v>#N/A</v>
      </c>
      <c r="AE497" s="174" t="e" cm="1">
        <f t="array" ref="AE497">_xlfn.XLOOKUP(_xlfn.CONCAT(Buildings_Water_Backend[[#This Row],[Level 1]:[Level 6]]),rng_LevelsConcat,rng_UnitsLong)</f>
        <v>#N/A</v>
      </c>
      <c r="AF497" s="210" t="e">
        <f>_xlfn.XLOOKUP(_xlfn.CONCAT(Buildings_Water_Backend[[#This Row],[Level 1]:[Level 6]]),rng_EFConcat,rng_EF1)*Buildings_Water_Backend[[#This Row],[Converted data]]/1000</f>
        <v>#N/A</v>
      </c>
      <c r="AG497" s="210" t="e">
        <f>_xlfn.XLOOKUP(_xlfn.CONCAT(Buildings_Water_Backend[[#This Row],[Level 1]:[Level 6]]),rng_EFConcat,rng_EF2)*Buildings_Water_Backend[[#This Row],[Converted data]]/1000</f>
        <v>#N/A</v>
      </c>
      <c r="AH497" s="210" t="e">
        <f>_xlfn.XLOOKUP(_xlfn.CONCAT(Buildings_Water_Backend[[#This Row],[Level 1]:[Level 6]]),rng_EFConcat,rng_EF3)*Buildings_Water_Backend[[#This Row],[Converted data]]/1000</f>
        <v>#N/A</v>
      </c>
      <c r="AI497" s="210" t="e">
        <f>_xlfn.XLOOKUP(_xlfn.CONCAT(Buildings_Water_Backend[[#This Row],[Level 1]:[Level 6]]),rng_EFConcat,rng_EF3WTT)*Buildings_Water_Backend[[#This Row],[Converted data]]/1000</f>
        <v>#N/A</v>
      </c>
      <c r="AJ497" s="210" t="e">
        <f>_xlfn.XLOOKUP(_xlfn.CONCAT(Buildings_Water_Backend[[#This Row],[Level 1]:[Level 6]]),rng_EFConcat,rng_EF3TD)*Buildings_Water_Backend[[#This Row],[Converted data]]/1000</f>
        <v>#N/A</v>
      </c>
      <c r="AK497" s="210" t="e">
        <f>_xlfn.XLOOKUP(_xlfn.CONCAT(Buildings_Water_Backend[[#This Row],[Level 1]:[Level 6]]),rng_EFConcat,rng_EF3WTTTD)*Buildings_Water_Backend[[#This Row],[Converted data]]/1000</f>
        <v>#N/A</v>
      </c>
      <c r="AL497" s="220" t="e">
        <f>SUM(Buildings_Water_Backend[[#This Row],[Scope 1 (tCO2e)]:[Scope 3 WTT T&amp;D (tCO2e)]])</f>
        <v>#N/A</v>
      </c>
      <c r="AM497" s="220" t="e">
        <f>Buildings_Water_Backend[[#This Row],[Total (tCO2e)]]*(1-Buildings_Water_Backend[[#This Row],[RSD]])</f>
        <v>#N/A</v>
      </c>
      <c r="AN497" s="220" t="e">
        <f>Buildings_Water_Backend[[#This Row],[Total (tCO2e)]]*(1+Buildings_Water_Backend[[#This Row],[RSD]])</f>
        <v>#N/A</v>
      </c>
      <c r="AO497" s="210" t="e">
        <f>_xlfn.XLOOKUP(_xlfn.CONCAT(Buildings_Water_Backend[[#This Row],[Level 1]:[Level 6]]),rng_EFConcat,rng_EFOOS)*Buildings_Water_Backend[[#This Row],[Converted data]]/1000</f>
        <v>#N/A</v>
      </c>
      <c r="AP497" s="174">
        <f>Buildings_Water_Frontend[[#This Row],[Ease of collection]]</f>
        <v>0</v>
      </c>
      <c r="AQ497" s="174">
        <f>Buildings_Water_Frontend[[#This Row],[Completeness]]</f>
        <v>0</v>
      </c>
      <c r="AR497" s="174">
        <f>Buildings_Water_Frontend[[#This Row],[Notes]]</f>
        <v>0</v>
      </c>
    </row>
    <row r="498" spans="5:44" x14ac:dyDescent="0.3">
      <c r="E498" s="346"/>
      <c r="F498" s="364"/>
      <c r="G498" s="336"/>
      <c r="H498" s="336"/>
      <c r="I498" s="334"/>
      <c r="J498" s="336"/>
      <c r="K498" s="336"/>
      <c r="L498" s="336"/>
      <c r="M498" s="337"/>
      <c r="N498" s="242">
        <f t="shared" si="15"/>
        <v>5</v>
      </c>
      <c r="Q498" s="212" t="str">
        <f t="shared" si="14"/>
        <v/>
      </c>
      <c r="R498" s="174" t="s">
        <v>265</v>
      </c>
      <c r="S498" s="174" t="s">
        <v>273</v>
      </c>
      <c r="T498" s="174" t="e">
        <f>_xlfn.XLOOKUP(Buildings_Water_Backend[[#This Row],[Info 1]],Buildings_SiteInfo[Site name],Buildings_SiteInfo[Site type])</f>
        <v>#N/A</v>
      </c>
      <c r="U498" s="174" t="s">
        <v>327</v>
      </c>
      <c r="V498" s="174">
        <f>Buildings_Water_Frontend[[#This Row],[Type]]</f>
        <v>0</v>
      </c>
      <c r="W498" s="174" t="e" cm="1">
        <f t="array" aca="1" ref="W498" ca="1">_xlfn.XLOOKUP(Buildings_Water_Backend[[#This Row],[Level 5]],rng_Level5Long,rng_Level6Long)</f>
        <v>#N/A</v>
      </c>
      <c r="X498" s="174">
        <f>Buildings_Water_Frontend[[#This Row],[Site Name]]</f>
        <v>0</v>
      </c>
      <c r="Y498" s="174">
        <f>Buildings_Water_Frontend[[#This Row],[Meter Reference]]</f>
        <v>0</v>
      </c>
      <c r="Z498" s="220">
        <f>Buildings_Water_Frontend[[#This Row],[Methodology]]</f>
        <v>0</v>
      </c>
      <c r="AA498" s="229" t="e" cm="1">
        <f t="array" ref="AA498">INDEX(_xlfn.SWITCH(Buildings_Water_Backend[[#This Row],[Methodology]],"Tier 1",rng_RSD1,"Tier 2",rng_RSD2,"Tier 3",rng_RSD3),MATCH(_xlfn.CONCAT(Buildings_Water_Backend[[#This Row],[Level 1]:[Level 6]]),rng_LevelsConcat,0))</f>
        <v>#N/A</v>
      </c>
      <c r="AB498" s="224">
        <f>Buildings_Water_Frontend[[#This Row],[Data]]</f>
        <v>0</v>
      </c>
      <c r="AC498" s="174">
        <f>Buildings_Water_Frontend[[#This Row],[Units]]</f>
        <v>0</v>
      </c>
      <c r="AD498" s="220" t="e">
        <f>IF(Buildings_Water_Backend[[#This Row],[Units]]=Buildings_Water_Backend[[#This Row],[Standard units]],Buildings_Water_Backend[[#This Row],[Data]],Buildings_Water_Backend[[#This Row],[Data]]*_xlfn.XLOOKUP(_xlfn.CONCAT(Buildings_Water_Backend[[#This Row],[Level 1]:[Level 6]]),rng_EFConcat,rng_EFConversion))</f>
        <v>#N/A</v>
      </c>
      <c r="AE498" s="174" t="e" cm="1">
        <f t="array" ref="AE498">_xlfn.XLOOKUP(_xlfn.CONCAT(Buildings_Water_Backend[[#This Row],[Level 1]:[Level 6]]),rng_LevelsConcat,rng_UnitsLong)</f>
        <v>#N/A</v>
      </c>
      <c r="AF498" s="210" t="e">
        <f>_xlfn.XLOOKUP(_xlfn.CONCAT(Buildings_Water_Backend[[#This Row],[Level 1]:[Level 6]]),rng_EFConcat,rng_EF1)*Buildings_Water_Backend[[#This Row],[Converted data]]/1000</f>
        <v>#N/A</v>
      </c>
      <c r="AG498" s="210" t="e">
        <f>_xlfn.XLOOKUP(_xlfn.CONCAT(Buildings_Water_Backend[[#This Row],[Level 1]:[Level 6]]),rng_EFConcat,rng_EF2)*Buildings_Water_Backend[[#This Row],[Converted data]]/1000</f>
        <v>#N/A</v>
      </c>
      <c r="AH498" s="210" t="e">
        <f>_xlfn.XLOOKUP(_xlfn.CONCAT(Buildings_Water_Backend[[#This Row],[Level 1]:[Level 6]]),rng_EFConcat,rng_EF3)*Buildings_Water_Backend[[#This Row],[Converted data]]/1000</f>
        <v>#N/A</v>
      </c>
      <c r="AI498" s="210" t="e">
        <f>_xlfn.XLOOKUP(_xlfn.CONCAT(Buildings_Water_Backend[[#This Row],[Level 1]:[Level 6]]),rng_EFConcat,rng_EF3WTT)*Buildings_Water_Backend[[#This Row],[Converted data]]/1000</f>
        <v>#N/A</v>
      </c>
      <c r="AJ498" s="210" t="e">
        <f>_xlfn.XLOOKUP(_xlfn.CONCAT(Buildings_Water_Backend[[#This Row],[Level 1]:[Level 6]]),rng_EFConcat,rng_EF3TD)*Buildings_Water_Backend[[#This Row],[Converted data]]/1000</f>
        <v>#N/A</v>
      </c>
      <c r="AK498" s="210" t="e">
        <f>_xlfn.XLOOKUP(_xlfn.CONCAT(Buildings_Water_Backend[[#This Row],[Level 1]:[Level 6]]),rng_EFConcat,rng_EF3WTTTD)*Buildings_Water_Backend[[#This Row],[Converted data]]/1000</f>
        <v>#N/A</v>
      </c>
      <c r="AL498" s="220" t="e">
        <f>SUM(Buildings_Water_Backend[[#This Row],[Scope 1 (tCO2e)]:[Scope 3 WTT T&amp;D (tCO2e)]])</f>
        <v>#N/A</v>
      </c>
      <c r="AM498" s="220" t="e">
        <f>Buildings_Water_Backend[[#This Row],[Total (tCO2e)]]*(1-Buildings_Water_Backend[[#This Row],[RSD]])</f>
        <v>#N/A</v>
      </c>
      <c r="AN498" s="220" t="e">
        <f>Buildings_Water_Backend[[#This Row],[Total (tCO2e)]]*(1+Buildings_Water_Backend[[#This Row],[RSD]])</f>
        <v>#N/A</v>
      </c>
      <c r="AO498" s="210" t="e">
        <f>_xlfn.XLOOKUP(_xlfn.CONCAT(Buildings_Water_Backend[[#This Row],[Level 1]:[Level 6]]),rng_EFConcat,rng_EFOOS)*Buildings_Water_Backend[[#This Row],[Converted data]]/1000</f>
        <v>#N/A</v>
      </c>
      <c r="AP498" s="174">
        <f>Buildings_Water_Frontend[[#This Row],[Ease of collection]]</f>
        <v>0</v>
      </c>
      <c r="AQ498" s="174">
        <f>Buildings_Water_Frontend[[#This Row],[Completeness]]</f>
        <v>0</v>
      </c>
      <c r="AR498" s="174">
        <f>Buildings_Water_Frontend[[#This Row],[Notes]]</f>
        <v>0</v>
      </c>
    </row>
    <row r="499" spans="5:44" x14ac:dyDescent="0.3">
      <c r="E499" s="346"/>
      <c r="F499" s="364"/>
      <c r="G499" s="336"/>
      <c r="H499" s="336"/>
      <c r="I499" s="334"/>
      <c r="J499" s="336"/>
      <c r="K499" s="336"/>
      <c r="L499" s="336"/>
      <c r="M499" s="337"/>
      <c r="N499" s="242">
        <f t="shared" si="15"/>
        <v>5</v>
      </c>
      <c r="Q499" s="212" t="str">
        <f t="shared" si="14"/>
        <v/>
      </c>
      <c r="R499" s="174" t="s">
        <v>265</v>
      </c>
      <c r="S499" s="174" t="s">
        <v>273</v>
      </c>
      <c r="T499" s="174" t="e">
        <f>_xlfn.XLOOKUP(Buildings_Water_Backend[[#This Row],[Info 1]],Buildings_SiteInfo[Site name],Buildings_SiteInfo[Site type])</f>
        <v>#N/A</v>
      </c>
      <c r="U499" s="174" t="s">
        <v>327</v>
      </c>
      <c r="V499" s="174">
        <f>Buildings_Water_Frontend[[#This Row],[Type]]</f>
        <v>0</v>
      </c>
      <c r="W499" s="174" t="e" cm="1">
        <f t="array" aca="1" ref="W499" ca="1">_xlfn.XLOOKUP(Buildings_Water_Backend[[#This Row],[Level 5]],rng_Level5Long,rng_Level6Long)</f>
        <v>#N/A</v>
      </c>
      <c r="X499" s="174">
        <f>Buildings_Water_Frontend[[#This Row],[Site Name]]</f>
        <v>0</v>
      </c>
      <c r="Y499" s="174">
        <f>Buildings_Water_Frontend[[#This Row],[Meter Reference]]</f>
        <v>0</v>
      </c>
      <c r="Z499" s="220">
        <f>Buildings_Water_Frontend[[#This Row],[Methodology]]</f>
        <v>0</v>
      </c>
      <c r="AA499" s="229" t="e" cm="1">
        <f t="array" ref="AA499">INDEX(_xlfn.SWITCH(Buildings_Water_Backend[[#This Row],[Methodology]],"Tier 1",rng_RSD1,"Tier 2",rng_RSD2,"Tier 3",rng_RSD3),MATCH(_xlfn.CONCAT(Buildings_Water_Backend[[#This Row],[Level 1]:[Level 6]]),rng_LevelsConcat,0))</f>
        <v>#N/A</v>
      </c>
      <c r="AB499" s="224">
        <f>Buildings_Water_Frontend[[#This Row],[Data]]</f>
        <v>0</v>
      </c>
      <c r="AC499" s="174">
        <f>Buildings_Water_Frontend[[#This Row],[Units]]</f>
        <v>0</v>
      </c>
      <c r="AD499" s="220" t="e">
        <f>IF(Buildings_Water_Backend[[#This Row],[Units]]=Buildings_Water_Backend[[#This Row],[Standard units]],Buildings_Water_Backend[[#This Row],[Data]],Buildings_Water_Backend[[#This Row],[Data]]*_xlfn.XLOOKUP(_xlfn.CONCAT(Buildings_Water_Backend[[#This Row],[Level 1]:[Level 6]]),rng_EFConcat,rng_EFConversion))</f>
        <v>#N/A</v>
      </c>
      <c r="AE499" s="174" t="e" cm="1">
        <f t="array" ref="AE499">_xlfn.XLOOKUP(_xlfn.CONCAT(Buildings_Water_Backend[[#This Row],[Level 1]:[Level 6]]),rng_LevelsConcat,rng_UnitsLong)</f>
        <v>#N/A</v>
      </c>
      <c r="AF499" s="210" t="e">
        <f>_xlfn.XLOOKUP(_xlfn.CONCAT(Buildings_Water_Backend[[#This Row],[Level 1]:[Level 6]]),rng_EFConcat,rng_EF1)*Buildings_Water_Backend[[#This Row],[Converted data]]/1000</f>
        <v>#N/A</v>
      </c>
      <c r="AG499" s="210" t="e">
        <f>_xlfn.XLOOKUP(_xlfn.CONCAT(Buildings_Water_Backend[[#This Row],[Level 1]:[Level 6]]),rng_EFConcat,rng_EF2)*Buildings_Water_Backend[[#This Row],[Converted data]]/1000</f>
        <v>#N/A</v>
      </c>
      <c r="AH499" s="210" t="e">
        <f>_xlfn.XLOOKUP(_xlfn.CONCAT(Buildings_Water_Backend[[#This Row],[Level 1]:[Level 6]]),rng_EFConcat,rng_EF3)*Buildings_Water_Backend[[#This Row],[Converted data]]/1000</f>
        <v>#N/A</v>
      </c>
      <c r="AI499" s="210" t="e">
        <f>_xlfn.XLOOKUP(_xlfn.CONCAT(Buildings_Water_Backend[[#This Row],[Level 1]:[Level 6]]),rng_EFConcat,rng_EF3WTT)*Buildings_Water_Backend[[#This Row],[Converted data]]/1000</f>
        <v>#N/A</v>
      </c>
      <c r="AJ499" s="210" t="e">
        <f>_xlfn.XLOOKUP(_xlfn.CONCAT(Buildings_Water_Backend[[#This Row],[Level 1]:[Level 6]]),rng_EFConcat,rng_EF3TD)*Buildings_Water_Backend[[#This Row],[Converted data]]/1000</f>
        <v>#N/A</v>
      </c>
      <c r="AK499" s="210" t="e">
        <f>_xlfn.XLOOKUP(_xlfn.CONCAT(Buildings_Water_Backend[[#This Row],[Level 1]:[Level 6]]),rng_EFConcat,rng_EF3WTTTD)*Buildings_Water_Backend[[#This Row],[Converted data]]/1000</f>
        <v>#N/A</v>
      </c>
      <c r="AL499" s="220" t="e">
        <f>SUM(Buildings_Water_Backend[[#This Row],[Scope 1 (tCO2e)]:[Scope 3 WTT T&amp;D (tCO2e)]])</f>
        <v>#N/A</v>
      </c>
      <c r="AM499" s="220" t="e">
        <f>Buildings_Water_Backend[[#This Row],[Total (tCO2e)]]*(1-Buildings_Water_Backend[[#This Row],[RSD]])</f>
        <v>#N/A</v>
      </c>
      <c r="AN499" s="220" t="e">
        <f>Buildings_Water_Backend[[#This Row],[Total (tCO2e)]]*(1+Buildings_Water_Backend[[#This Row],[RSD]])</f>
        <v>#N/A</v>
      </c>
      <c r="AO499" s="210" t="e">
        <f>_xlfn.XLOOKUP(_xlfn.CONCAT(Buildings_Water_Backend[[#This Row],[Level 1]:[Level 6]]),rng_EFConcat,rng_EFOOS)*Buildings_Water_Backend[[#This Row],[Converted data]]/1000</f>
        <v>#N/A</v>
      </c>
      <c r="AP499" s="174">
        <f>Buildings_Water_Frontend[[#This Row],[Ease of collection]]</f>
        <v>0</v>
      </c>
      <c r="AQ499" s="174">
        <f>Buildings_Water_Frontend[[#This Row],[Completeness]]</f>
        <v>0</v>
      </c>
      <c r="AR499" s="174">
        <f>Buildings_Water_Frontend[[#This Row],[Notes]]</f>
        <v>0</v>
      </c>
    </row>
    <row r="500" spans="5:44" x14ac:dyDescent="0.3">
      <c r="E500" s="346"/>
      <c r="F500" s="364"/>
      <c r="G500" s="336"/>
      <c r="H500" s="336"/>
      <c r="I500" s="334"/>
      <c r="J500" s="336"/>
      <c r="K500" s="336"/>
      <c r="L500" s="336"/>
      <c r="M500" s="337"/>
      <c r="N500" s="242">
        <f t="shared" si="15"/>
        <v>5</v>
      </c>
      <c r="Q500" s="212" t="str">
        <f t="shared" si="14"/>
        <v/>
      </c>
      <c r="R500" s="174" t="s">
        <v>265</v>
      </c>
      <c r="S500" s="174" t="s">
        <v>273</v>
      </c>
      <c r="T500" s="174" t="e">
        <f>_xlfn.XLOOKUP(Buildings_Water_Backend[[#This Row],[Info 1]],Buildings_SiteInfo[Site name],Buildings_SiteInfo[Site type])</f>
        <v>#N/A</v>
      </c>
      <c r="U500" s="174" t="s">
        <v>327</v>
      </c>
      <c r="V500" s="174">
        <f>Buildings_Water_Frontend[[#This Row],[Type]]</f>
        <v>0</v>
      </c>
      <c r="W500" s="174" t="e" cm="1">
        <f t="array" aca="1" ref="W500" ca="1">_xlfn.XLOOKUP(Buildings_Water_Backend[[#This Row],[Level 5]],rng_Level5Long,rng_Level6Long)</f>
        <v>#N/A</v>
      </c>
      <c r="X500" s="174">
        <f>Buildings_Water_Frontend[[#This Row],[Site Name]]</f>
        <v>0</v>
      </c>
      <c r="Y500" s="174">
        <f>Buildings_Water_Frontend[[#This Row],[Meter Reference]]</f>
        <v>0</v>
      </c>
      <c r="Z500" s="220">
        <f>Buildings_Water_Frontend[[#This Row],[Methodology]]</f>
        <v>0</v>
      </c>
      <c r="AA500" s="229" t="e" cm="1">
        <f t="array" ref="AA500">INDEX(_xlfn.SWITCH(Buildings_Water_Backend[[#This Row],[Methodology]],"Tier 1",rng_RSD1,"Tier 2",rng_RSD2,"Tier 3",rng_RSD3),MATCH(_xlfn.CONCAT(Buildings_Water_Backend[[#This Row],[Level 1]:[Level 6]]),rng_LevelsConcat,0))</f>
        <v>#N/A</v>
      </c>
      <c r="AB500" s="224">
        <f>Buildings_Water_Frontend[[#This Row],[Data]]</f>
        <v>0</v>
      </c>
      <c r="AC500" s="174">
        <f>Buildings_Water_Frontend[[#This Row],[Units]]</f>
        <v>0</v>
      </c>
      <c r="AD500" s="220" t="e">
        <f>IF(Buildings_Water_Backend[[#This Row],[Units]]=Buildings_Water_Backend[[#This Row],[Standard units]],Buildings_Water_Backend[[#This Row],[Data]],Buildings_Water_Backend[[#This Row],[Data]]*_xlfn.XLOOKUP(_xlfn.CONCAT(Buildings_Water_Backend[[#This Row],[Level 1]:[Level 6]]),rng_EFConcat,rng_EFConversion))</f>
        <v>#N/A</v>
      </c>
      <c r="AE500" s="174" t="e" cm="1">
        <f t="array" ref="AE500">_xlfn.XLOOKUP(_xlfn.CONCAT(Buildings_Water_Backend[[#This Row],[Level 1]:[Level 6]]),rng_LevelsConcat,rng_UnitsLong)</f>
        <v>#N/A</v>
      </c>
      <c r="AF500" s="210" t="e">
        <f>_xlfn.XLOOKUP(_xlfn.CONCAT(Buildings_Water_Backend[[#This Row],[Level 1]:[Level 6]]),rng_EFConcat,rng_EF1)*Buildings_Water_Backend[[#This Row],[Converted data]]/1000</f>
        <v>#N/A</v>
      </c>
      <c r="AG500" s="210" t="e">
        <f>_xlfn.XLOOKUP(_xlfn.CONCAT(Buildings_Water_Backend[[#This Row],[Level 1]:[Level 6]]),rng_EFConcat,rng_EF2)*Buildings_Water_Backend[[#This Row],[Converted data]]/1000</f>
        <v>#N/A</v>
      </c>
      <c r="AH500" s="210" t="e">
        <f>_xlfn.XLOOKUP(_xlfn.CONCAT(Buildings_Water_Backend[[#This Row],[Level 1]:[Level 6]]),rng_EFConcat,rng_EF3)*Buildings_Water_Backend[[#This Row],[Converted data]]/1000</f>
        <v>#N/A</v>
      </c>
      <c r="AI500" s="210" t="e">
        <f>_xlfn.XLOOKUP(_xlfn.CONCAT(Buildings_Water_Backend[[#This Row],[Level 1]:[Level 6]]),rng_EFConcat,rng_EF3WTT)*Buildings_Water_Backend[[#This Row],[Converted data]]/1000</f>
        <v>#N/A</v>
      </c>
      <c r="AJ500" s="210" t="e">
        <f>_xlfn.XLOOKUP(_xlfn.CONCAT(Buildings_Water_Backend[[#This Row],[Level 1]:[Level 6]]),rng_EFConcat,rng_EF3TD)*Buildings_Water_Backend[[#This Row],[Converted data]]/1000</f>
        <v>#N/A</v>
      </c>
      <c r="AK500" s="210" t="e">
        <f>_xlfn.XLOOKUP(_xlfn.CONCAT(Buildings_Water_Backend[[#This Row],[Level 1]:[Level 6]]),rng_EFConcat,rng_EF3WTTTD)*Buildings_Water_Backend[[#This Row],[Converted data]]/1000</f>
        <v>#N/A</v>
      </c>
      <c r="AL500" s="220" t="e">
        <f>SUM(Buildings_Water_Backend[[#This Row],[Scope 1 (tCO2e)]:[Scope 3 WTT T&amp;D (tCO2e)]])</f>
        <v>#N/A</v>
      </c>
      <c r="AM500" s="220" t="e">
        <f>Buildings_Water_Backend[[#This Row],[Total (tCO2e)]]*(1-Buildings_Water_Backend[[#This Row],[RSD]])</f>
        <v>#N/A</v>
      </c>
      <c r="AN500" s="220" t="e">
        <f>Buildings_Water_Backend[[#This Row],[Total (tCO2e)]]*(1+Buildings_Water_Backend[[#This Row],[RSD]])</f>
        <v>#N/A</v>
      </c>
      <c r="AO500" s="210" t="e">
        <f>_xlfn.XLOOKUP(_xlfn.CONCAT(Buildings_Water_Backend[[#This Row],[Level 1]:[Level 6]]),rng_EFConcat,rng_EFOOS)*Buildings_Water_Backend[[#This Row],[Converted data]]/1000</f>
        <v>#N/A</v>
      </c>
      <c r="AP500" s="174">
        <f>Buildings_Water_Frontend[[#This Row],[Ease of collection]]</f>
        <v>0</v>
      </c>
      <c r="AQ500" s="174">
        <f>Buildings_Water_Frontend[[#This Row],[Completeness]]</f>
        <v>0</v>
      </c>
      <c r="AR500" s="174">
        <f>Buildings_Water_Frontend[[#This Row],[Notes]]</f>
        <v>0</v>
      </c>
    </row>
    <row r="501" spans="5:44" x14ac:dyDescent="0.3">
      <c r="E501" s="346"/>
      <c r="F501" s="364"/>
      <c r="G501" s="336"/>
      <c r="H501" s="336"/>
      <c r="I501" s="334"/>
      <c r="J501" s="336"/>
      <c r="K501" s="336"/>
      <c r="L501" s="336"/>
      <c r="M501" s="337"/>
      <c r="N501" s="242">
        <f t="shared" si="15"/>
        <v>5</v>
      </c>
      <c r="Q501" s="212" t="str">
        <f t="shared" si="14"/>
        <v/>
      </c>
      <c r="R501" s="174" t="s">
        <v>265</v>
      </c>
      <c r="S501" s="174" t="s">
        <v>273</v>
      </c>
      <c r="T501" s="174" t="e">
        <f>_xlfn.XLOOKUP(Buildings_Water_Backend[[#This Row],[Info 1]],Buildings_SiteInfo[Site name],Buildings_SiteInfo[Site type])</f>
        <v>#N/A</v>
      </c>
      <c r="U501" s="174" t="s">
        <v>327</v>
      </c>
      <c r="V501" s="174">
        <f>Buildings_Water_Frontend[[#This Row],[Type]]</f>
        <v>0</v>
      </c>
      <c r="W501" s="174" t="e" cm="1">
        <f t="array" aca="1" ref="W501" ca="1">_xlfn.XLOOKUP(Buildings_Water_Backend[[#This Row],[Level 5]],rng_Level5Long,rng_Level6Long)</f>
        <v>#N/A</v>
      </c>
      <c r="X501" s="174">
        <f>Buildings_Water_Frontend[[#This Row],[Site Name]]</f>
        <v>0</v>
      </c>
      <c r="Y501" s="174">
        <f>Buildings_Water_Frontend[[#This Row],[Meter Reference]]</f>
        <v>0</v>
      </c>
      <c r="Z501" s="220">
        <f>Buildings_Water_Frontend[[#This Row],[Methodology]]</f>
        <v>0</v>
      </c>
      <c r="AA501" s="229" t="e" cm="1">
        <f t="array" ref="AA501">INDEX(_xlfn.SWITCH(Buildings_Water_Backend[[#This Row],[Methodology]],"Tier 1",rng_RSD1,"Tier 2",rng_RSD2,"Tier 3",rng_RSD3),MATCH(_xlfn.CONCAT(Buildings_Water_Backend[[#This Row],[Level 1]:[Level 6]]),rng_LevelsConcat,0))</f>
        <v>#N/A</v>
      </c>
      <c r="AB501" s="224">
        <f>Buildings_Water_Frontend[[#This Row],[Data]]</f>
        <v>0</v>
      </c>
      <c r="AC501" s="174">
        <f>Buildings_Water_Frontend[[#This Row],[Units]]</f>
        <v>0</v>
      </c>
      <c r="AD501" s="220" t="e">
        <f>IF(Buildings_Water_Backend[[#This Row],[Units]]=Buildings_Water_Backend[[#This Row],[Standard units]],Buildings_Water_Backend[[#This Row],[Data]],Buildings_Water_Backend[[#This Row],[Data]]*_xlfn.XLOOKUP(_xlfn.CONCAT(Buildings_Water_Backend[[#This Row],[Level 1]:[Level 6]]),rng_EFConcat,rng_EFConversion))</f>
        <v>#N/A</v>
      </c>
      <c r="AE501" s="174" t="e" cm="1">
        <f t="array" ref="AE501">_xlfn.XLOOKUP(_xlfn.CONCAT(Buildings_Water_Backend[[#This Row],[Level 1]:[Level 6]]),rng_LevelsConcat,rng_UnitsLong)</f>
        <v>#N/A</v>
      </c>
      <c r="AF501" s="210" t="e">
        <f>_xlfn.XLOOKUP(_xlfn.CONCAT(Buildings_Water_Backend[[#This Row],[Level 1]:[Level 6]]),rng_EFConcat,rng_EF1)*Buildings_Water_Backend[[#This Row],[Converted data]]/1000</f>
        <v>#N/A</v>
      </c>
      <c r="AG501" s="210" t="e">
        <f>_xlfn.XLOOKUP(_xlfn.CONCAT(Buildings_Water_Backend[[#This Row],[Level 1]:[Level 6]]),rng_EFConcat,rng_EF2)*Buildings_Water_Backend[[#This Row],[Converted data]]/1000</f>
        <v>#N/A</v>
      </c>
      <c r="AH501" s="210" t="e">
        <f>_xlfn.XLOOKUP(_xlfn.CONCAT(Buildings_Water_Backend[[#This Row],[Level 1]:[Level 6]]),rng_EFConcat,rng_EF3)*Buildings_Water_Backend[[#This Row],[Converted data]]/1000</f>
        <v>#N/A</v>
      </c>
      <c r="AI501" s="210" t="e">
        <f>_xlfn.XLOOKUP(_xlfn.CONCAT(Buildings_Water_Backend[[#This Row],[Level 1]:[Level 6]]),rng_EFConcat,rng_EF3WTT)*Buildings_Water_Backend[[#This Row],[Converted data]]/1000</f>
        <v>#N/A</v>
      </c>
      <c r="AJ501" s="210" t="e">
        <f>_xlfn.XLOOKUP(_xlfn.CONCAT(Buildings_Water_Backend[[#This Row],[Level 1]:[Level 6]]),rng_EFConcat,rng_EF3TD)*Buildings_Water_Backend[[#This Row],[Converted data]]/1000</f>
        <v>#N/A</v>
      </c>
      <c r="AK501" s="210" t="e">
        <f>_xlfn.XLOOKUP(_xlfn.CONCAT(Buildings_Water_Backend[[#This Row],[Level 1]:[Level 6]]),rng_EFConcat,rng_EF3WTTTD)*Buildings_Water_Backend[[#This Row],[Converted data]]/1000</f>
        <v>#N/A</v>
      </c>
      <c r="AL501" s="220" t="e">
        <f>SUM(Buildings_Water_Backend[[#This Row],[Scope 1 (tCO2e)]:[Scope 3 WTT T&amp;D (tCO2e)]])</f>
        <v>#N/A</v>
      </c>
      <c r="AM501" s="220" t="e">
        <f>Buildings_Water_Backend[[#This Row],[Total (tCO2e)]]*(1-Buildings_Water_Backend[[#This Row],[RSD]])</f>
        <v>#N/A</v>
      </c>
      <c r="AN501" s="220" t="e">
        <f>Buildings_Water_Backend[[#This Row],[Total (tCO2e)]]*(1+Buildings_Water_Backend[[#This Row],[RSD]])</f>
        <v>#N/A</v>
      </c>
      <c r="AO501" s="210" t="e">
        <f>_xlfn.XLOOKUP(_xlfn.CONCAT(Buildings_Water_Backend[[#This Row],[Level 1]:[Level 6]]),rng_EFConcat,rng_EFOOS)*Buildings_Water_Backend[[#This Row],[Converted data]]/1000</f>
        <v>#N/A</v>
      </c>
      <c r="AP501" s="174">
        <f>Buildings_Water_Frontend[[#This Row],[Ease of collection]]</f>
        <v>0</v>
      </c>
      <c r="AQ501" s="174">
        <f>Buildings_Water_Frontend[[#This Row],[Completeness]]</f>
        <v>0</v>
      </c>
      <c r="AR501" s="174">
        <f>Buildings_Water_Frontend[[#This Row],[Notes]]</f>
        <v>0</v>
      </c>
    </row>
    <row r="502" spans="5:44" x14ac:dyDescent="0.3">
      <c r="E502" s="346"/>
      <c r="F502" s="364"/>
      <c r="G502" s="336"/>
      <c r="H502" s="336"/>
      <c r="I502" s="334"/>
      <c r="J502" s="336"/>
      <c r="K502" s="336"/>
      <c r="L502" s="336"/>
      <c r="M502" s="337"/>
      <c r="N502" s="242">
        <f t="shared" si="15"/>
        <v>5</v>
      </c>
      <c r="Q502" s="212" t="str">
        <f t="shared" si="14"/>
        <v/>
      </c>
      <c r="R502" s="174" t="s">
        <v>265</v>
      </c>
      <c r="S502" s="174" t="s">
        <v>273</v>
      </c>
      <c r="T502" s="174" t="e">
        <f>_xlfn.XLOOKUP(Buildings_Water_Backend[[#This Row],[Info 1]],Buildings_SiteInfo[Site name],Buildings_SiteInfo[Site type])</f>
        <v>#N/A</v>
      </c>
      <c r="U502" s="174" t="s">
        <v>327</v>
      </c>
      <c r="V502" s="174">
        <f>Buildings_Water_Frontend[[#This Row],[Type]]</f>
        <v>0</v>
      </c>
      <c r="W502" s="174" t="e" cm="1">
        <f t="array" aca="1" ref="W502" ca="1">_xlfn.XLOOKUP(Buildings_Water_Backend[[#This Row],[Level 5]],rng_Level5Long,rng_Level6Long)</f>
        <v>#N/A</v>
      </c>
      <c r="X502" s="174">
        <f>Buildings_Water_Frontend[[#This Row],[Site Name]]</f>
        <v>0</v>
      </c>
      <c r="Y502" s="174">
        <f>Buildings_Water_Frontend[[#This Row],[Meter Reference]]</f>
        <v>0</v>
      </c>
      <c r="Z502" s="220">
        <f>Buildings_Water_Frontend[[#This Row],[Methodology]]</f>
        <v>0</v>
      </c>
      <c r="AA502" s="229" t="e" cm="1">
        <f t="array" ref="AA502">INDEX(_xlfn.SWITCH(Buildings_Water_Backend[[#This Row],[Methodology]],"Tier 1",rng_RSD1,"Tier 2",rng_RSD2,"Tier 3",rng_RSD3),MATCH(_xlfn.CONCAT(Buildings_Water_Backend[[#This Row],[Level 1]:[Level 6]]),rng_LevelsConcat,0))</f>
        <v>#N/A</v>
      </c>
      <c r="AB502" s="224">
        <f>Buildings_Water_Frontend[[#This Row],[Data]]</f>
        <v>0</v>
      </c>
      <c r="AC502" s="174">
        <f>Buildings_Water_Frontend[[#This Row],[Units]]</f>
        <v>0</v>
      </c>
      <c r="AD502" s="220" t="e">
        <f>IF(Buildings_Water_Backend[[#This Row],[Units]]=Buildings_Water_Backend[[#This Row],[Standard units]],Buildings_Water_Backend[[#This Row],[Data]],Buildings_Water_Backend[[#This Row],[Data]]*_xlfn.XLOOKUP(_xlfn.CONCAT(Buildings_Water_Backend[[#This Row],[Level 1]:[Level 6]]),rng_EFConcat,rng_EFConversion))</f>
        <v>#N/A</v>
      </c>
      <c r="AE502" s="174" t="e" cm="1">
        <f t="array" ref="AE502">_xlfn.XLOOKUP(_xlfn.CONCAT(Buildings_Water_Backend[[#This Row],[Level 1]:[Level 6]]),rng_LevelsConcat,rng_UnitsLong)</f>
        <v>#N/A</v>
      </c>
      <c r="AF502" s="210" t="e">
        <f>_xlfn.XLOOKUP(_xlfn.CONCAT(Buildings_Water_Backend[[#This Row],[Level 1]:[Level 6]]),rng_EFConcat,rng_EF1)*Buildings_Water_Backend[[#This Row],[Converted data]]/1000</f>
        <v>#N/A</v>
      </c>
      <c r="AG502" s="210" t="e">
        <f>_xlfn.XLOOKUP(_xlfn.CONCAT(Buildings_Water_Backend[[#This Row],[Level 1]:[Level 6]]),rng_EFConcat,rng_EF2)*Buildings_Water_Backend[[#This Row],[Converted data]]/1000</f>
        <v>#N/A</v>
      </c>
      <c r="AH502" s="210" t="e">
        <f>_xlfn.XLOOKUP(_xlfn.CONCAT(Buildings_Water_Backend[[#This Row],[Level 1]:[Level 6]]),rng_EFConcat,rng_EF3)*Buildings_Water_Backend[[#This Row],[Converted data]]/1000</f>
        <v>#N/A</v>
      </c>
      <c r="AI502" s="210" t="e">
        <f>_xlfn.XLOOKUP(_xlfn.CONCAT(Buildings_Water_Backend[[#This Row],[Level 1]:[Level 6]]),rng_EFConcat,rng_EF3WTT)*Buildings_Water_Backend[[#This Row],[Converted data]]/1000</f>
        <v>#N/A</v>
      </c>
      <c r="AJ502" s="210" t="e">
        <f>_xlfn.XLOOKUP(_xlfn.CONCAT(Buildings_Water_Backend[[#This Row],[Level 1]:[Level 6]]),rng_EFConcat,rng_EF3TD)*Buildings_Water_Backend[[#This Row],[Converted data]]/1000</f>
        <v>#N/A</v>
      </c>
      <c r="AK502" s="210" t="e">
        <f>_xlfn.XLOOKUP(_xlfn.CONCAT(Buildings_Water_Backend[[#This Row],[Level 1]:[Level 6]]),rng_EFConcat,rng_EF3WTTTD)*Buildings_Water_Backend[[#This Row],[Converted data]]/1000</f>
        <v>#N/A</v>
      </c>
      <c r="AL502" s="220" t="e">
        <f>SUM(Buildings_Water_Backend[[#This Row],[Scope 1 (tCO2e)]:[Scope 3 WTT T&amp;D (tCO2e)]])</f>
        <v>#N/A</v>
      </c>
      <c r="AM502" s="220" t="e">
        <f>Buildings_Water_Backend[[#This Row],[Total (tCO2e)]]*(1-Buildings_Water_Backend[[#This Row],[RSD]])</f>
        <v>#N/A</v>
      </c>
      <c r="AN502" s="220" t="e">
        <f>Buildings_Water_Backend[[#This Row],[Total (tCO2e)]]*(1+Buildings_Water_Backend[[#This Row],[RSD]])</f>
        <v>#N/A</v>
      </c>
      <c r="AO502" s="210" t="e">
        <f>_xlfn.XLOOKUP(_xlfn.CONCAT(Buildings_Water_Backend[[#This Row],[Level 1]:[Level 6]]),rng_EFConcat,rng_EFOOS)*Buildings_Water_Backend[[#This Row],[Converted data]]/1000</f>
        <v>#N/A</v>
      </c>
      <c r="AP502" s="174">
        <f>Buildings_Water_Frontend[[#This Row],[Ease of collection]]</f>
        <v>0</v>
      </c>
      <c r="AQ502" s="174">
        <f>Buildings_Water_Frontend[[#This Row],[Completeness]]</f>
        <v>0</v>
      </c>
      <c r="AR502" s="174">
        <f>Buildings_Water_Frontend[[#This Row],[Notes]]</f>
        <v>0</v>
      </c>
    </row>
    <row r="503" spans="5:44" x14ac:dyDescent="0.3">
      <c r="E503" s="346"/>
      <c r="F503" s="364"/>
      <c r="G503" s="336"/>
      <c r="H503" s="336"/>
      <c r="I503" s="334"/>
      <c r="J503" s="336"/>
      <c r="K503" s="336"/>
      <c r="L503" s="336"/>
      <c r="M503" s="337"/>
      <c r="N503" s="242">
        <f t="shared" si="15"/>
        <v>5</v>
      </c>
      <c r="Q503" s="212" t="str">
        <f t="shared" si="14"/>
        <v/>
      </c>
      <c r="R503" s="174" t="s">
        <v>265</v>
      </c>
      <c r="S503" s="174" t="s">
        <v>273</v>
      </c>
      <c r="T503" s="174" t="e">
        <f>_xlfn.XLOOKUP(Buildings_Water_Backend[[#This Row],[Info 1]],Buildings_SiteInfo[Site name],Buildings_SiteInfo[Site type])</f>
        <v>#N/A</v>
      </c>
      <c r="U503" s="174" t="s">
        <v>327</v>
      </c>
      <c r="V503" s="174">
        <f>Buildings_Water_Frontend[[#This Row],[Type]]</f>
        <v>0</v>
      </c>
      <c r="W503" s="174" t="e" cm="1">
        <f t="array" aca="1" ref="W503" ca="1">_xlfn.XLOOKUP(Buildings_Water_Backend[[#This Row],[Level 5]],rng_Level5Long,rng_Level6Long)</f>
        <v>#N/A</v>
      </c>
      <c r="X503" s="174">
        <f>Buildings_Water_Frontend[[#This Row],[Site Name]]</f>
        <v>0</v>
      </c>
      <c r="Y503" s="174">
        <f>Buildings_Water_Frontend[[#This Row],[Meter Reference]]</f>
        <v>0</v>
      </c>
      <c r="Z503" s="220">
        <f>Buildings_Water_Frontend[[#This Row],[Methodology]]</f>
        <v>0</v>
      </c>
      <c r="AA503" s="229" t="e" cm="1">
        <f t="array" ref="AA503">INDEX(_xlfn.SWITCH(Buildings_Water_Backend[[#This Row],[Methodology]],"Tier 1",rng_RSD1,"Tier 2",rng_RSD2,"Tier 3",rng_RSD3),MATCH(_xlfn.CONCAT(Buildings_Water_Backend[[#This Row],[Level 1]:[Level 6]]),rng_LevelsConcat,0))</f>
        <v>#N/A</v>
      </c>
      <c r="AB503" s="224">
        <f>Buildings_Water_Frontend[[#This Row],[Data]]</f>
        <v>0</v>
      </c>
      <c r="AC503" s="174">
        <f>Buildings_Water_Frontend[[#This Row],[Units]]</f>
        <v>0</v>
      </c>
      <c r="AD503" s="220" t="e">
        <f>IF(Buildings_Water_Backend[[#This Row],[Units]]=Buildings_Water_Backend[[#This Row],[Standard units]],Buildings_Water_Backend[[#This Row],[Data]],Buildings_Water_Backend[[#This Row],[Data]]*_xlfn.XLOOKUP(_xlfn.CONCAT(Buildings_Water_Backend[[#This Row],[Level 1]:[Level 6]]),rng_EFConcat,rng_EFConversion))</f>
        <v>#N/A</v>
      </c>
      <c r="AE503" s="174" t="e" cm="1">
        <f t="array" ref="AE503">_xlfn.XLOOKUP(_xlfn.CONCAT(Buildings_Water_Backend[[#This Row],[Level 1]:[Level 6]]),rng_LevelsConcat,rng_UnitsLong)</f>
        <v>#N/A</v>
      </c>
      <c r="AF503" s="210" t="e">
        <f>_xlfn.XLOOKUP(_xlfn.CONCAT(Buildings_Water_Backend[[#This Row],[Level 1]:[Level 6]]),rng_EFConcat,rng_EF1)*Buildings_Water_Backend[[#This Row],[Converted data]]/1000</f>
        <v>#N/A</v>
      </c>
      <c r="AG503" s="210" t="e">
        <f>_xlfn.XLOOKUP(_xlfn.CONCAT(Buildings_Water_Backend[[#This Row],[Level 1]:[Level 6]]),rng_EFConcat,rng_EF2)*Buildings_Water_Backend[[#This Row],[Converted data]]/1000</f>
        <v>#N/A</v>
      </c>
      <c r="AH503" s="210" t="e">
        <f>_xlfn.XLOOKUP(_xlfn.CONCAT(Buildings_Water_Backend[[#This Row],[Level 1]:[Level 6]]),rng_EFConcat,rng_EF3)*Buildings_Water_Backend[[#This Row],[Converted data]]/1000</f>
        <v>#N/A</v>
      </c>
      <c r="AI503" s="210" t="e">
        <f>_xlfn.XLOOKUP(_xlfn.CONCAT(Buildings_Water_Backend[[#This Row],[Level 1]:[Level 6]]),rng_EFConcat,rng_EF3WTT)*Buildings_Water_Backend[[#This Row],[Converted data]]/1000</f>
        <v>#N/A</v>
      </c>
      <c r="AJ503" s="210" t="e">
        <f>_xlfn.XLOOKUP(_xlfn.CONCAT(Buildings_Water_Backend[[#This Row],[Level 1]:[Level 6]]),rng_EFConcat,rng_EF3TD)*Buildings_Water_Backend[[#This Row],[Converted data]]/1000</f>
        <v>#N/A</v>
      </c>
      <c r="AK503" s="210" t="e">
        <f>_xlfn.XLOOKUP(_xlfn.CONCAT(Buildings_Water_Backend[[#This Row],[Level 1]:[Level 6]]),rng_EFConcat,rng_EF3WTTTD)*Buildings_Water_Backend[[#This Row],[Converted data]]/1000</f>
        <v>#N/A</v>
      </c>
      <c r="AL503" s="220" t="e">
        <f>SUM(Buildings_Water_Backend[[#This Row],[Scope 1 (tCO2e)]:[Scope 3 WTT T&amp;D (tCO2e)]])</f>
        <v>#N/A</v>
      </c>
      <c r="AM503" s="220" t="e">
        <f>Buildings_Water_Backend[[#This Row],[Total (tCO2e)]]*(1-Buildings_Water_Backend[[#This Row],[RSD]])</f>
        <v>#N/A</v>
      </c>
      <c r="AN503" s="220" t="e">
        <f>Buildings_Water_Backend[[#This Row],[Total (tCO2e)]]*(1+Buildings_Water_Backend[[#This Row],[RSD]])</f>
        <v>#N/A</v>
      </c>
      <c r="AO503" s="210" t="e">
        <f>_xlfn.XLOOKUP(_xlfn.CONCAT(Buildings_Water_Backend[[#This Row],[Level 1]:[Level 6]]),rng_EFConcat,rng_EFOOS)*Buildings_Water_Backend[[#This Row],[Converted data]]/1000</f>
        <v>#N/A</v>
      </c>
      <c r="AP503" s="174">
        <f>Buildings_Water_Frontend[[#This Row],[Ease of collection]]</f>
        <v>0</v>
      </c>
      <c r="AQ503" s="174">
        <f>Buildings_Water_Frontend[[#This Row],[Completeness]]</f>
        <v>0</v>
      </c>
      <c r="AR503" s="174">
        <f>Buildings_Water_Frontend[[#This Row],[Notes]]</f>
        <v>0</v>
      </c>
    </row>
    <row r="504" spans="5:44" x14ac:dyDescent="0.3">
      <c r="E504" s="346"/>
      <c r="F504" s="364"/>
      <c r="G504" s="336"/>
      <c r="H504" s="336"/>
      <c r="I504" s="334"/>
      <c r="J504" s="336"/>
      <c r="K504" s="336"/>
      <c r="L504" s="336"/>
      <c r="M504" s="337"/>
      <c r="N504" s="242">
        <f t="shared" si="15"/>
        <v>5</v>
      </c>
      <c r="Q504" s="212" t="str">
        <f t="shared" si="14"/>
        <v/>
      </c>
      <c r="R504" s="174" t="s">
        <v>265</v>
      </c>
      <c r="S504" s="174" t="s">
        <v>273</v>
      </c>
      <c r="T504" s="174" t="e">
        <f>_xlfn.XLOOKUP(Buildings_Water_Backend[[#This Row],[Info 1]],Buildings_SiteInfo[Site name],Buildings_SiteInfo[Site type])</f>
        <v>#N/A</v>
      </c>
      <c r="U504" s="174" t="s">
        <v>327</v>
      </c>
      <c r="V504" s="174">
        <f>Buildings_Water_Frontend[[#This Row],[Type]]</f>
        <v>0</v>
      </c>
      <c r="W504" s="174" t="e" cm="1">
        <f t="array" aca="1" ref="W504" ca="1">_xlfn.XLOOKUP(Buildings_Water_Backend[[#This Row],[Level 5]],rng_Level5Long,rng_Level6Long)</f>
        <v>#N/A</v>
      </c>
      <c r="X504" s="174">
        <f>Buildings_Water_Frontend[[#This Row],[Site Name]]</f>
        <v>0</v>
      </c>
      <c r="Y504" s="174">
        <f>Buildings_Water_Frontend[[#This Row],[Meter Reference]]</f>
        <v>0</v>
      </c>
      <c r="Z504" s="220">
        <f>Buildings_Water_Frontend[[#This Row],[Methodology]]</f>
        <v>0</v>
      </c>
      <c r="AA504" s="229" t="e" cm="1">
        <f t="array" ref="AA504">INDEX(_xlfn.SWITCH(Buildings_Water_Backend[[#This Row],[Methodology]],"Tier 1",rng_RSD1,"Tier 2",rng_RSD2,"Tier 3",rng_RSD3),MATCH(_xlfn.CONCAT(Buildings_Water_Backend[[#This Row],[Level 1]:[Level 6]]),rng_LevelsConcat,0))</f>
        <v>#N/A</v>
      </c>
      <c r="AB504" s="224">
        <f>Buildings_Water_Frontend[[#This Row],[Data]]</f>
        <v>0</v>
      </c>
      <c r="AC504" s="174">
        <f>Buildings_Water_Frontend[[#This Row],[Units]]</f>
        <v>0</v>
      </c>
      <c r="AD504" s="220" t="e">
        <f>IF(Buildings_Water_Backend[[#This Row],[Units]]=Buildings_Water_Backend[[#This Row],[Standard units]],Buildings_Water_Backend[[#This Row],[Data]],Buildings_Water_Backend[[#This Row],[Data]]*_xlfn.XLOOKUP(_xlfn.CONCAT(Buildings_Water_Backend[[#This Row],[Level 1]:[Level 6]]),rng_EFConcat,rng_EFConversion))</f>
        <v>#N/A</v>
      </c>
      <c r="AE504" s="174" t="e" cm="1">
        <f t="array" ref="AE504">_xlfn.XLOOKUP(_xlfn.CONCAT(Buildings_Water_Backend[[#This Row],[Level 1]:[Level 6]]),rng_LevelsConcat,rng_UnitsLong)</f>
        <v>#N/A</v>
      </c>
      <c r="AF504" s="210" t="e">
        <f>_xlfn.XLOOKUP(_xlfn.CONCAT(Buildings_Water_Backend[[#This Row],[Level 1]:[Level 6]]),rng_EFConcat,rng_EF1)*Buildings_Water_Backend[[#This Row],[Converted data]]/1000</f>
        <v>#N/A</v>
      </c>
      <c r="AG504" s="210" t="e">
        <f>_xlfn.XLOOKUP(_xlfn.CONCAT(Buildings_Water_Backend[[#This Row],[Level 1]:[Level 6]]),rng_EFConcat,rng_EF2)*Buildings_Water_Backend[[#This Row],[Converted data]]/1000</f>
        <v>#N/A</v>
      </c>
      <c r="AH504" s="210" t="e">
        <f>_xlfn.XLOOKUP(_xlfn.CONCAT(Buildings_Water_Backend[[#This Row],[Level 1]:[Level 6]]),rng_EFConcat,rng_EF3)*Buildings_Water_Backend[[#This Row],[Converted data]]/1000</f>
        <v>#N/A</v>
      </c>
      <c r="AI504" s="210" t="e">
        <f>_xlfn.XLOOKUP(_xlfn.CONCAT(Buildings_Water_Backend[[#This Row],[Level 1]:[Level 6]]),rng_EFConcat,rng_EF3WTT)*Buildings_Water_Backend[[#This Row],[Converted data]]/1000</f>
        <v>#N/A</v>
      </c>
      <c r="AJ504" s="210" t="e">
        <f>_xlfn.XLOOKUP(_xlfn.CONCAT(Buildings_Water_Backend[[#This Row],[Level 1]:[Level 6]]),rng_EFConcat,rng_EF3TD)*Buildings_Water_Backend[[#This Row],[Converted data]]/1000</f>
        <v>#N/A</v>
      </c>
      <c r="AK504" s="210" t="e">
        <f>_xlfn.XLOOKUP(_xlfn.CONCAT(Buildings_Water_Backend[[#This Row],[Level 1]:[Level 6]]),rng_EFConcat,rng_EF3WTTTD)*Buildings_Water_Backend[[#This Row],[Converted data]]/1000</f>
        <v>#N/A</v>
      </c>
      <c r="AL504" s="220" t="e">
        <f>SUM(Buildings_Water_Backend[[#This Row],[Scope 1 (tCO2e)]:[Scope 3 WTT T&amp;D (tCO2e)]])</f>
        <v>#N/A</v>
      </c>
      <c r="AM504" s="220" t="e">
        <f>Buildings_Water_Backend[[#This Row],[Total (tCO2e)]]*(1-Buildings_Water_Backend[[#This Row],[RSD]])</f>
        <v>#N/A</v>
      </c>
      <c r="AN504" s="220" t="e">
        <f>Buildings_Water_Backend[[#This Row],[Total (tCO2e)]]*(1+Buildings_Water_Backend[[#This Row],[RSD]])</f>
        <v>#N/A</v>
      </c>
      <c r="AO504" s="210" t="e">
        <f>_xlfn.XLOOKUP(_xlfn.CONCAT(Buildings_Water_Backend[[#This Row],[Level 1]:[Level 6]]),rng_EFConcat,rng_EFOOS)*Buildings_Water_Backend[[#This Row],[Converted data]]/1000</f>
        <v>#N/A</v>
      </c>
      <c r="AP504" s="174">
        <f>Buildings_Water_Frontend[[#This Row],[Ease of collection]]</f>
        <v>0</v>
      </c>
      <c r="AQ504" s="174">
        <f>Buildings_Water_Frontend[[#This Row],[Completeness]]</f>
        <v>0</v>
      </c>
      <c r="AR504" s="174">
        <f>Buildings_Water_Frontend[[#This Row],[Notes]]</f>
        <v>0</v>
      </c>
    </row>
    <row r="505" spans="5:44" x14ac:dyDescent="0.3">
      <c r="E505" s="346"/>
      <c r="F505" s="364"/>
      <c r="G505" s="336"/>
      <c r="H505" s="336"/>
      <c r="I505" s="334"/>
      <c r="J505" s="336"/>
      <c r="K505" s="336"/>
      <c r="L505" s="336"/>
      <c r="M505" s="337"/>
      <c r="N505" s="242">
        <f t="shared" si="15"/>
        <v>5</v>
      </c>
      <c r="Q505" s="212" t="str">
        <f t="shared" si="14"/>
        <v/>
      </c>
      <c r="R505" s="174" t="s">
        <v>265</v>
      </c>
      <c r="S505" s="174" t="s">
        <v>273</v>
      </c>
      <c r="T505" s="174" t="e">
        <f>_xlfn.XLOOKUP(Buildings_Water_Backend[[#This Row],[Info 1]],Buildings_SiteInfo[Site name],Buildings_SiteInfo[Site type])</f>
        <v>#N/A</v>
      </c>
      <c r="U505" s="174" t="s">
        <v>327</v>
      </c>
      <c r="V505" s="174">
        <f>Buildings_Water_Frontend[[#This Row],[Type]]</f>
        <v>0</v>
      </c>
      <c r="W505" s="174" t="e" cm="1">
        <f t="array" aca="1" ref="W505" ca="1">_xlfn.XLOOKUP(Buildings_Water_Backend[[#This Row],[Level 5]],rng_Level5Long,rng_Level6Long)</f>
        <v>#N/A</v>
      </c>
      <c r="X505" s="174">
        <f>Buildings_Water_Frontend[[#This Row],[Site Name]]</f>
        <v>0</v>
      </c>
      <c r="Y505" s="174">
        <f>Buildings_Water_Frontend[[#This Row],[Meter Reference]]</f>
        <v>0</v>
      </c>
      <c r="Z505" s="220">
        <f>Buildings_Water_Frontend[[#This Row],[Methodology]]</f>
        <v>0</v>
      </c>
      <c r="AA505" s="229" t="e" cm="1">
        <f t="array" ref="AA505">INDEX(_xlfn.SWITCH(Buildings_Water_Backend[[#This Row],[Methodology]],"Tier 1",rng_RSD1,"Tier 2",rng_RSD2,"Tier 3",rng_RSD3),MATCH(_xlfn.CONCAT(Buildings_Water_Backend[[#This Row],[Level 1]:[Level 6]]),rng_LevelsConcat,0))</f>
        <v>#N/A</v>
      </c>
      <c r="AB505" s="224">
        <f>Buildings_Water_Frontend[[#This Row],[Data]]</f>
        <v>0</v>
      </c>
      <c r="AC505" s="174">
        <f>Buildings_Water_Frontend[[#This Row],[Units]]</f>
        <v>0</v>
      </c>
      <c r="AD505" s="220" t="e">
        <f>IF(Buildings_Water_Backend[[#This Row],[Units]]=Buildings_Water_Backend[[#This Row],[Standard units]],Buildings_Water_Backend[[#This Row],[Data]],Buildings_Water_Backend[[#This Row],[Data]]*_xlfn.XLOOKUP(_xlfn.CONCAT(Buildings_Water_Backend[[#This Row],[Level 1]:[Level 6]]),rng_EFConcat,rng_EFConversion))</f>
        <v>#N/A</v>
      </c>
      <c r="AE505" s="174" t="e" cm="1">
        <f t="array" ref="AE505">_xlfn.XLOOKUP(_xlfn.CONCAT(Buildings_Water_Backend[[#This Row],[Level 1]:[Level 6]]),rng_LevelsConcat,rng_UnitsLong)</f>
        <v>#N/A</v>
      </c>
      <c r="AF505" s="210" t="e">
        <f>_xlfn.XLOOKUP(_xlfn.CONCAT(Buildings_Water_Backend[[#This Row],[Level 1]:[Level 6]]),rng_EFConcat,rng_EF1)*Buildings_Water_Backend[[#This Row],[Converted data]]/1000</f>
        <v>#N/A</v>
      </c>
      <c r="AG505" s="210" t="e">
        <f>_xlfn.XLOOKUP(_xlfn.CONCAT(Buildings_Water_Backend[[#This Row],[Level 1]:[Level 6]]),rng_EFConcat,rng_EF2)*Buildings_Water_Backend[[#This Row],[Converted data]]/1000</f>
        <v>#N/A</v>
      </c>
      <c r="AH505" s="210" t="e">
        <f>_xlfn.XLOOKUP(_xlfn.CONCAT(Buildings_Water_Backend[[#This Row],[Level 1]:[Level 6]]),rng_EFConcat,rng_EF3)*Buildings_Water_Backend[[#This Row],[Converted data]]/1000</f>
        <v>#N/A</v>
      </c>
      <c r="AI505" s="210" t="e">
        <f>_xlfn.XLOOKUP(_xlfn.CONCAT(Buildings_Water_Backend[[#This Row],[Level 1]:[Level 6]]),rng_EFConcat,rng_EF3WTT)*Buildings_Water_Backend[[#This Row],[Converted data]]/1000</f>
        <v>#N/A</v>
      </c>
      <c r="AJ505" s="210" t="e">
        <f>_xlfn.XLOOKUP(_xlfn.CONCAT(Buildings_Water_Backend[[#This Row],[Level 1]:[Level 6]]),rng_EFConcat,rng_EF3TD)*Buildings_Water_Backend[[#This Row],[Converted data]]/1000</f>
        <v>#N/A</v>
      </c>
      <c r="AK505" s="210" t="e">
        <f>_xlfn.XLOOKUP(_xlfn.CONCAT(Buildings_Water_Backend[[#This Row],[Level 1]:[Level 6]]),rng_EFConcat,rng_EF3WTTTD)*Buildings_Water_Backend[[#This Row],[Converted data]]/1000</f>
        <v>#N/A</v>
      </c>
      <c r="AL505" s="220" t="e">
        <f>SUM(Buildings_Water_Backend[[#This Row],[Scope 1 (tCO2e)]:[Scope 3 WTT T&amp;D (tCO2e)]])</f>
        <v>#N/A</v>
      </c>
      <c r="AM505" s="220" t="e">
        <f>Buildings_Water_Backend[[#This Row],[Total (tCO2e)]]*(1-Buildings_Water_Backend[[#This Row],[RSD]])</f>
        <v>#N/A</v>
      </c>
      <c r="AN505" s="220" t="e">
        <f>Buildings_Water_Backend[[#This Row],[Total (tCO2e)]]*(1+Buildings_Water_Backend[[#This Row],[RSD]])</f>
        <v>#N/A</v>
      </c>
      <c r="AO505" s="210" t="e">
        <f>_xlfn.XLOOKUP(_xlfn.CONCAT(Buildings_Water_Backend[[#This Row],[Level 1]:[Level 6]]),rng_EFConcat,rng_EFOOS)*Buildings_Water_Backend[[#This Row],[Converted data]]/1000</f>
        <v>#N/A</v>
      </c>
      <c r="AP505" s="174">
        <f>Buildings_Water_Frontend[[#This Row],[Ease of collection]]</f>
        <v>0</v>
      </c>
      <c r="AQ505" s="174">
        <f>Buildings_Water_Frontend[[#This Row],[Completeness]]</f>
        <v>0</v>
      </c>
      <c r="AR505" s="174">
        <f>Buildings_Water_Frontend[[#This Row],[Notes]]</f>
        <v>0</v>
      </c>
    </row>
    <row r="506" spans="5:44" x14ac:dyDescent="0.3">
      <c r="E506" s="346"/>
      <c r="F506" s="364"/>
      <c r="G506" s="336"/>
      <c r="H506" s="336"/>
      <c r="I506" s="334"/>
      <c r="J506" s="336"/>
      <c r="K506" s="336"/>
      <c r="L506" s="336"/>
      <c r="M506" s="337"/>
      <c r="N506" s="242">
        <f t="shared" si="15"/>
        <v>5</v>
      </c>
      <c r="Q506" s="212" t="str">
        <f t="shared" si="14"/>
        <v/>
      </c>
      <c r="R506" s="174" t="s">
        <v>265</v>
      </c>
      <c r="S506" s="174" t="s">
        <v>273</v>
      </c>
      <c r="T506" s="174" t="e">
        <f>_xlfn.XLOOKUP(Buildings_Water_Backend[[#This Row],[Info 1]],Buildings_SiteInfo[Site name],Buildings_SiteInfo[Site type])</f>
        <v>#N/A</v>
      </c>
      <c r="U506" s="174" t="s">
        <v>327</v>
      </c>
      <c r="V506" s="174">
        <f>Buildings_Water_Frontend[[#This Row],[Type]]</f>
        <v>0</v>
      </c>
      <c r="W506" s="174" t="e" cm="1">
        <f t="array" aca="1" ref="W506" ca="1">_xlfn.XLOOKUP(Buildings_Water_Backend[[#This Row],[Level 5]],rng_Level5Long,rng_Level6Long)</f>
        <v>#N/A</v>
      </c>
      <c r="X506" s="174">
        <f>Buildings_Water_Frontend[[#This Row],[Site Name]]</f>
        <v>0</v>
      </c>
      <c r="Y506" s="174">
        <f>Buildings_Water_Frontend[[#This Row],[Meter Reference]]</f>
        <v>0</v>
      </c>
      <c r="Z506" s="220">
        <f>Buildings_Water_Frontend[[#This Row],[Methodology]]</f>
        <v>0</v>
      </c>
      <c r="AA506" s="229" t="e" cm="1">
        <f t="array" ref="AA506">INDEX(_xlfn.SWITCH(Buildings_Water_Backend[[#This Row],[Methodology]],"Tier 1",rng_RSD1,"Tier 2",rng_RSD2,"Tier 3",rng_RSD3),MATCH(_xlfn.CONCAT(Buildings_Water_Backend[[#This Row],[Level 1]:[Level 6]]),rng_LevelsConcat,0))</f>
        <v>#N/A</v>
      </c>
      <c r="AB506" s="224">
        <f>Buildings_Water_Frontend[[#This Row],[Data]]</f>
        <v>0</v>
      </c>
      <c r="AC506" s="174">
        <f>Buildings_Water_Frontend[[#This Row],[Units]]</f>
        <v>0</v>
      </c>
      <c r="AD506" s="220" t="e">
        <f>IF(Buildings_Water_Backend[[#This Row],[Units]]=Buildings_Water_Backend[[#This Row],[Standard units]],Buildings_Water_Backend[[#This Row],[Data]],Buildings_Water_Backend[[#This Row],[Data]]*_xlfn.XLOOKUP(_xlfn.CONCAT(Buildings_Water_Backend[[#This Row],[Level 1]:[Level 6]]),rng_EFConcat,rng_EFConversion))</f>
        <v>#N/A</v>
      </c>
      <c r="AE506" s="174" t="e" cm="1">
        <f t="array" ref="AE506">_xlfn.XLOOKUP(_xlfn.CONCAT(Buildings_Water_Backend[[#This Row],[Level 1]:[Level 6]]),rng_LevelsConcat,rng_UnitsLong)</f>
        <v>#N/A</v>
      </c>
      <c r="AF506" s="210" t="e">
        <f>_xlfn.XLOOKUP(_xlfn.CONCAT(Buildings_Water_Backend[[#This Row],[Level 1]:[Level 6]]),rng_EFConcat,rng_EF1)*Buildings_Water_Backend[[#This Row],[Converted data]]/1000</f>
        <v>#N/A</v>
      </c>
      <c r="AG506" s="210" t="e">
        <f>_xlfn.XLOOKUP(_xlfn.CONCAT(Buildings_Water_Backend[[#This Row],[Level 1]:[Level 6]]),rng_EFConcat,rng_EF2)*Buildings_Water_Backend[[#This Row],[Converted data]]/1000</f>
        <v>#N/A</v>
      </c>
      <c r="AH506" s="210" t="e">
        <f>_xlfn.XLOOKUP(_xlfn.CONCAT(Buildings_Water_Backend[[#This Row],[Level 1]:[Level 6]]),rng_EFConcat,rng_EF3)*Buildings_Water_Backend[[#This Row],[Converted data]]/1000</f>
        <v>#N/A</v>
      </c>
      <c r="AI506" s="210" t="e">
        <f>_xlfn.XLOOKUP(_xlfn.CONCAT(Buildings_Water_Backend[[#This Row],[Level 1]:[Level 6]]),rng_EFConcat,rng_EF3WTT)*Buildings_Water_Backend[[#This Row],[Converted data]]/1000</f>
        <v>#N/A</v>
      </c>
      <c r="AJ506" s="210" t="e">
        <f>_xlfn.XLOOKUP(_xlfn.CONCAT(Buildings_Water_Backend[[#This Row],[Level 1]:[Level 6]]),rng_EFConcat,rng_EF3TD)*Buildings_Water_Backend[[#This Row],[Converted data]]/1000</f>
        <v>#N/A</v>
      </c>
      <c r="AK506" s="210" t="e">
        <f>_xlfn.XLOOKUP(_xlfn.CONCAT(Buildings_Water_Backend[[#This Row],[Level 1]:[Level 6]]),rng_EFConcat,rng_EF3WTTTD)*Buildings_Water_Backend[[#This Row],[Converted data]]/1000</f>
        <v>#N/A</v>
      </c>
      <c r="AL506" s="220" t="e">
        <f>SUM(Buildings_Water_Backend[[#This Row],[Scope 1 (tCO2e)]:[Scope 3 WTT T&amp;D (tCO2e)]])</f>
        <v>#N/A</v>
      </c>
      <c r="AM506" s="220" t="e">
        <f>Buildings_Water_Backend[[#This Row],[Total (tCO2e)]]*(1-Buildings_Water_Backend[[#This Row],[RSD]])</f>
        <v>#N/A</v>
      </c>
      <c r="AN506" s="220" t="e">
        <f>Buildings_Water_Backend[[#This Row],[Total (tCO2e)]]*(1+Buildings_Water_Backend[[#This Row],[RSD]])</f>
        <v>#N/A</v>
      </c>
      <c r="AO506" s="210" t="e">
        <f>_xlfn.XLOOKUP(_xlfn.CONCAT(Buildings_Water_Backend[[#This Row],[Level 1]:[Level 6]]),rng_EFConcat,rng_EFOOS)*Buildings_Water_Backend[[#This Row],[Converted data]]/1000</f>
        <v>#N/A</v>
      </c>
      <c r="AP506" s="174">
        <f>Buildings_Water_Frontend[[#This Row],[Ease of collection]]</f>
        <v>0</v>
      </c>
      <c r="AQ506" s="174">
        <f>Buildings_Water_Frontend[[#This Row],[Completeness]]</f>
        <v>0</v>
      </c>
      <c r="AR506" s="174">
        <f>Buildings_Water_Frontend[[#This Row],[Notes]]</f>
        <v>0</v>
      </c>
    </row>
    <row r="507" spans="5:44" x14ac:dyDescent="0.3">
      <c r="E507" s="346"/>
      <c r="F507" s="364"/>
      <c r="G507" s="336"/>
      <c r="H507" s="336"/>
      <c r="I507" s="334"/>
      <c r="J507" s="336"/>
      <c r="K507" s="336"/>
      <c r="L507" s="336"/>
      <c r="M507" s="337"/>
      <c r="N507" s="242">
        <f t="shared" si="15"/>
        <v>5</v>
      </c>
      <c r="Q507" s="212" t="str">
        <f t="shared" si="14"/>
        <v/>
      </c>
      <c r="R507" s="174" t="s">
        <v>265</v>
      </c>
      <c r="S507" s="174" t="s">
        <v>273</v>
      </c>
      <c r="T507" s="174" t="e">
        <f>_xlfn.XLOOKUP(Buildings_Water_Backend[[#This Row],[Info 1]],Buildings_SiteInfo[Site name],Buildings_SiteInfo[Site type])</f>
        <v>#N/A</v>
      </c>
      <c r="U507" s="174" t="s">
        <v>327</v>
      </c>
      <c r="V507" s="174">
        <f>Buildings_Water_Frontend[[#This Row],[Type]]</f>
        <v>0</v>
      </c>
      <c r="W507" s="174" t="e" cm="1">
        <f t="array" aca="1" ref="W507" ca="1">_xlfn.XLOOKUP(Buildings_Water_Backend[[#This Row],[Level 5]],rng_Level5Long,rng_Level6Long)</f>
        <v>#N/A</v>
      </c>
      <c r="X507" s="174">
        <f>Buildings_Water_Frontend[[#This Row],[Site Name]]</f>
        <v>0</v>
      </c>
      <c r="Y507" s="174">
        <f>Buildings_Water_Frontend[[#This Row],[Meter Reference]]</f>
        <v>0</v>
      </c>
      <c r="Z507" s="220">
        <f>Buildings_Water_Frontend[[#This Row],[Methodology]]</f>
        <v>0</v>
      </c>
      <c r="AA507" s="229" t="e" cm="1">
        <f t="array" ref="AA507">INDEX(_xlfn.SWITCH(Buildings_Water_Backend[[#This Row],[Methodology]],"Tier 1",rng_RSD1,"Tier 2",rng_RSD2,"Tier 3",rng_RSD3),MATCH(_xlfn.CONCAT(Buildings_Water_Backend[[#This Row],[Level 1]:[Level 6]]),rng_LevelsConcat,0))</f>
        <v>#N/A</v>
      </c>
      <c r="AB507" s="224">
        <f>Buildings_Water_Frontend[[#This Row],[Data]]</f>
        <v>0</v>
      </c>
      <c r="AC507" s="174">
        <f>Buildings_Water_Frontend[[#This Row],[Units]]</f>
        <v>0</v>
      </c>
      <c r="AD507" s="220" t="e">
        <f>IF(Buildings_Water_Backend[[#This Row],[Units]]=Buildings_Water_Backend[[#This Row],[Standard units]],Buildings_Water_Backend[[#This Row],[Data]],Buildings_Water_Backend[[#This Row],[Data]]*_xlfn.XLOOKUP(_xlfn.CONCAT(Buildings_Water_Backend[[#This Row],[Level 1]:[Level 6]]),rng_EFConcat,rng_EFConversion))</f>
        <v>#N/A</v>
      </c>
      <c r="AE507" s="174" t="e" cm="1">
        <f t="array" ref="AE507">_xlfn.XLOOKUP(_xlfn.CONCAT(Buildings_Water_Backend[[#This Row],[Level 1]:[Level 6]]),rng_LevelsConcat,rng_UnitsLong)</f>
        <v>#N/A</v>
      </c>
      <c r="AF507" s="210" t="e">
        <f>_xlfn.XLOOKUP(_xlfn.CONCAT(Buildings_Water_Backend[[#This Row],[Level 1]:[Level 6]]),rng_EFConcat,rng_EF1)*Buildings_Water_Backend[[#This Row],[Converted data]]/1000</f>
        <v>#N/A</v>
      </c>
      <c r="AG507" s="210" t="e">
        <f>_xlfn.XLOOKUP(_xlfn.CONCAT(Buildings_Water_Backend[[#This Row],[Level 1]:[Level 6]]),rng_EFConcat,rng_EF2)*Buildings_Water_Backend[[#This Row],[Converted data]]/1000</f>
        <v>#N/A</v>
      </c>
      <c r="AH507" s="210" t="e">
        <f>_xlfn.XLOOKUP(_xlfn.CONCAT(Buildings_Water_Backend[[#This Row],[Level 1]:[Level 6]]),rng_EFConcat,rng_EF3)*Buildings_Water_Backend[[#This Row],[Converted data]]/1000</f>
        <v>#N/A</v>
      </c>
      <c r="AI507" s="210" t="e">
        <f>_xlfn.XLOOKUP(_xlfn.CONCAT(Buildings_Water_Backend[[#This Row],[Level 1]:[Level 6]]),rng_EFConcat,rng_EF3WTT)*Buildings_Water_Backend[[#This Row],[Converted data]]/1000</f>
        <v>#N/A</v>
      </c>
      <c r="AJ507" s="210" t="e">
        <f>_xlfn.XLOOKUP(_xlfn.CONCAT(Buildings_Water_Backend[[#This Row],[Level 1]:[Level 6]]),rng_EFConcat,rng_EF3TD)*Buildings_Water_Backend[[#This Row],[Converted data]]/1000</f>
        <v>#N/A</v>
      </c>
      <c r="AK507" s="210" t="e">
        <f>_xlfn.XLOOKUP(_xlfn.CONCAT(Buildings_Water_Backend[[#This Row],[Level 1]:[Level 6]]),rng_EFConcat,rng_EF3WTTTD)*Buildings_Water_Backend[[#This Row],[Converted data]]/1000</f>
        <v>#N/A</v>
      </c>
      <c r="AL507" s="220" t="e">
        <f>SUM(Buildings_Water_Backend[[#This Row],[Scope 1 (tCO2e)]:[Scope 3 WTT T&amp;D (tCO2e)]])</f>
        <v>#N/A</v>
      </c>
      <c r="AM507" s="220" t="e">
        <f>Buildings_Water_Backend[[#This Row],[Total (tCO2e)]]*(1-Buildings_Water_Backend[[#This Row],[RSD]])</f>
        <v>#N/A</v>
      </c>
      <c r="AN507" s="220" t="e">
        <f>Buildings_Water_Backend[[#This Row],[Total (tCO2e)]]*(1+Buildings_Water_Backend[[#This Row],[RSD]])</f>
        <v>#N/A</v>
      </c>
      <c r="AO507" s="210" t="e">
        <f>_xlfn.XLOOKUP(_xlfn.CONCAT(Buildings_Water_Backend[[#This Row],[Level 1]:[Level 6]]),rng_EFConcat,rng_EFOOS)*Buildings_Water_Backend[[#This Row],[Converted data]]/1000</f>
        <v>#N/A</v>
      </c>
      <c r="AP507" s="174">
        <f>Buildings_Water_Frontend[[#This Row],[Ease of collection]]</f>
        <v>0</v>
      </c>
      <c r="AQ507" s="174">
        <f>Buildings_Water_Frontend[[#This Row],[Completeness]]</f>
        <v>0</v>
      </c>
      <c r="AR507" s="174">
        <f>Buildings_Water_Frontend[[#This Row],[Notes]]</f>
        <v>0</v>
      </c>
    </row>
    <row r="508" spans="5:44" x14ac:dyDescent="0.3">
      <c r="E508" s="346"/>
      <c r="F508" s="364"/>
      <c r="G508" s="336"/>
      <c r="H508" s="336"/>
      <c r="I508" s="334"/>
      <c r="J508" s="336"/>
      <c r="K508" s="336"/>
      <c r="L508" s="336"/>
      <c r="M508" s="337"/>
      <c r="N508" s="242">
        <f t="shared" si="15"/>
        <v>5</v>
      </c>
      <c r="Q508" s="212" t="str">
        <f t="shared" si="14"/>
        <v/>
      </c>
      <c r="R508" s="174" t="s">
        <v>265</v>
      </c>
      <c r="S508" s="174" t="s">
        <v>273</v>
      </c>
      <c r="T508" s="174" t="e">
        <f>_xlfn.XLOOKUP(Buildings_Water_Backend[[#This Row],[Info 1]],Buildings_SiteInfo[Site name],Buildings_SiteInfo[Site type])</f>
        <v>#N/A</v>
      </c>
      <c r="U508" s="174" t="s">
        <v>327</v>
      </c>
      <c r="V508" s="174">
        <f>Buildings_Water_Frontend[[#This Row],[Type]]</f>
        <v>0</v>
      </c>
      <c r="W508" s="174" t="e" cm="1">
        <f t="array" aca="1" ref="W508" ca="1">_xlfn.XLOOKUP(Buildings_Water_Backend[[#This Row],[Level 5]],rng_Level5Long,rng_Level6Long)</f>
        <v>#N/A</v>
      </c>
      <c r="X508" s="174">
        <f>Buildings_Water_Frontend[[#This Row],[Site Name]]</f>
        <v>0</v>
      </c>
      <c r="Y508" s="174">
        <f>Buildings_Water_Frontend[[#This Row],[Meter Reference]]</f>
        <v>0</v>
      </c>
      <c r="Z508" s="220">
        <f>Buildings_Water_Frontend[[#This Row],[Methodology]]</f>
        <v>0</v>
      </c>
      <c r="AA508" s="229" t="e" cm="1">
        <f t="array" ref="AA508">INDEX(_xlfn.SWITCH(Buildings_Water_Backend[[#This Row],[Methodology]],"Tier 1",rng_RSD1,"Tier 2",rng_RSD2,"Tier 3",rng_RSD3),MATCH(_xlfn.CONCAT(Buildings_Water_Backend[[#This Row],[Level 1]:[Level 6]]),rng_LevelsConcat,0))</f>
        <v>#N/A</v>
      </c>
      <c r="AB508" s="224">
        <f>Buildings_Water_Frontend[[#This Row],[Data]]</f>
        <v>0</v>
      </c>
      <c r="AC508" s="174">
        <f>Buildings_Water_Frontend[[#This Row],[Units]]</f>
        <v>0</v>
      </c>
      <c r="AD508" s="220" t="e">
        <f>IF(Buildings_Water_Backend[[#This Row],[Units]]=Buildings_Water_Backend[[#This Row],[Standard units]],Buildings_Water_Backend[[#This Row],[Data]],Buildings_Water_Backend[[#This Row],[Data]]*_xlfn.XLOOKUP(_xlfn.CONCAT(Buildings_Water_Backend[[#This Row],[Level 1]:[Level 6]]),rng_EFConcat,rng_EFConversion))</f>
        <v>#N/A</v>
      </c>
      <c r="AE508" s="174" t="e" cm="1">
        <f t="array" ref="AE508">_xlfn.XLOOKUP(_xlfn.CONCAT(Buildings_Water_Backend[[#This Row],[Level 1]:[Level 6]]),rng_LevelsConcat,rng_UnitsLong)</f>
        <v>#N/A</v>
      </c>
      <c r="AF508" s="210" t="e">
        <f>_xlfn.XLOOKUP(_xlfn.CONCAT(Buildings_Water_Backend[[#This Row],[Level 1]:[Level 6]]),rng_EFConcat,rng_EF1)*Buildings_Water_Backend[[#This Row],[Converted data]]/1000</f>
        <v>#N/A</v>
      </c>
      <c r="AG508" s="210" t="e">
        <f>_xlfn.XLOOKUP(_xlfn.CONCAT(Buildings_Water_Backend[[#This Row],[Level 1]:[Level 6]]),rng_EFConcat,rng_EF2)*Buildings_Water_Backend[[#This Row],[Converted data]]/1000</f>
        <v>#N/A</v>
      </c>
      <c r="AH508" s="210" t="e">
        <f>_xlfn.XLOOKUP(_xlfn.CONCAT(Buildings_Water_Backend[[#This Row],[Level 1]:[Level 6]]),rng_EFConcat,rng_EF3)*Buildings_Water_Backend[[#This Row],[Converted data]]/1000</f>
        <v>#N/A</v>
      </c>
      <c r="AI508" s="210" t="e">
        <f>_xlfn.XLOOKUP(_xlfn.CONCAT(Buildings_Water_Backend[[#This Row],[Level 1]:[Level 6]]),rng_EFConcat,rng_EF3WTT)*Buildings_Water_Backend[[#This Row],[Converted data]]/1000</f>
        <v>#N/A</v>
      </c>
      <c r="AJ508" s="210" t="e">
        <f>_xlfn.XLOOKUP(_xlfn.CONCAT(Buildings_Water_Backend[[#This Row],[Level 1]:[Level 6]]),rng_EFConcat,rng_EF3TD)*Buildings_Water_Backend[[#This Row],[Converted data]]/1000</f>
        <v>#N/A</v>
      </c>
      <c r="AK508" s="210" t="e">
        <f>_xlfn.XLOOKUP(_xlfn.CONCAT(Buildings_Water_Backend[[#This Row],[Level 1]:[Level 6]]),rng_EFConcat,rng_EF3WTTTD)*Buildings_Water_Backend[[#This Row],[Converted data]]/1000</f>
        <v>#N/A</v>
      </c>
      <c r="AL508" s="220" t="e">
        <f>SUM(Buildings_Water_Backend[[#This Row],[Scope 1 (tCO2e)]:[Scope 3 WTT T&amp;D (tCO2e)]])</f>
        <v>#N/A</v>
      </c>
      <c r="AM508" s="220" t="e">
        <f>Buildings_Water_Backend[[#This Row],[Total (tCO2e)]]*(1-Buildings_Water_Backend[[#This Row],[RSD]])</f>
        <v>#N/A</v>
      </c>
      <c r="AN508" s="220" t="e">
        <f>Buildings_Water_Backend[[#This Row],[Total (tCO2e)]]*(1+Buildings_Water_Backend[[#This Row],[RSD]])</f>
        <v>#N/A</v>
      </c>
      <c r="AO508" s="210" t="e">
        <f>_xlfn.XLOOKUP(_xlfn.CONCAT(Buildings_Water_Backend[[#This Row],[Level 1]:[Level 6]]),rng_EFConcat,rng_EFOOS)*Buildings_Water_Backend[[#This Row],[Converted data]]/1000</f>
        <v>#N/A</v>
      </c>
      <c r="AP508" s="174">
        <f>Buildings_Water_Frontend[[#This Row],[Ease of collection]]</f>
        <v>0</v>
      </c>
      <c r="AQ508" s="174">
        <f>Buildings_Water_Frontend[[#This Row],[Completeness]]</f>
        <v>0</v>
      </c>
      <c r="AR508" s="174">
        <f>Buildings_Water_Frontend[[#This Row],[Notes]]</f>
        <v>0</v>
      </c>
    </row>
    <row r="509" spans="5:44" x14ac:dyDescent="0.3">
      <c r="E509" s="346"/>
      <c r="F509" s="364"/>
      <c r="G509" s="336"/>
      <c r="H509" s="336"/>
      <c r="I509" s="334"/>
      <c r="J509" s="336"/>
      <c r="K509" s="336"/>
      <c r="L509" s="336"/>
      <c r="M509" s="337"/>
      <c r="N509" s="242">
        <f t="shared" si="15"/>
        <v>5</v>
      </c>
      <c r="Q509" s="212" t="str">
        <f t="shared" si="14"/>
        <v/>
      </c>
      <c r="R509" s="174" t="s">
        <v>265</v>
      </c>
      <c r="S509" s="174" t="s">
        <v>273</v>
      </c>
      <c r="T509" s="174" t="e">
        <f>_xlfn.XLOOKUP(Buildings_Water_Backend[[#This Row],[Info 1]],Buildings_SiteInfo[Site name],Buildings_SiteInfo[Site type])</f>
        <v>#N/A</v>
      </c>
      <c r="U509" s="174" t="s">
        <v>327</v>
      </c>
      <c r="V509" s="174">
        <f>Buildings_Water_Frontend[[#This Row],[Type]]</f>
        <v>0</v>
      </c>
      <c r="W509" s="174" t="e" cm="1">
        <f t="array" aca="1" ref="W509" ca="1">_xlfn.XLOOKUP(Buildings_Water_Backend[[#This Row],[Level 5]],rng_Level5Long,rng_Level6Long)</f>
        <v>#N/A</v>
      </c>
      <c r="X509" s="174">
        <f>Buildings_Water_Frontend[[#This Row],[Site Name]]</f>
        <v>0</v>
      </c>
      <c r="Y509" s="174">
        <f>Buildings_Water_Frontend[[#This Row],[Meter Reference]]</f>
        <v>0</v>
      </c>
      <c r="Z509" s="220">
        <f>Buildings_Water_Frontend[[#This Row],[Methodology]]</f>
        <v>0</v>
      </c>
      <c r="AA509" s="229" t="e" cm="1">
        <f t="array" ref="AA509">INDEX(_xlfn.SWITCH(Buildings_Water_Backend[[#This Row],[Methodology]],"Tier 1",rng_RSD1,"Tier 2",rng_RSD2,"Tier 3",rng_RSD3),MATCH(_xlfn.CONCAT(Buildings_Water_Backend[[#This Row],[Level 1]:[Level 6]]),rng_LevelsConcat,0))</f>
        <v>#N/A</v>
      </c>
      <c r="AB509" s="224">
        <f>Buildings_Water_Frontend[[#This Row],[Data]]</f>
        <v>0</v>
      </c>
      <c r="AC509" s="174">
        <f>Buildings_Water_Frontend[[#This Row],[Units]]</f>
        <v>0</v>
      </c>
      <c r="AD509" s="220" t="e">
        <f>IF(Buildings_Water_Backend[[#This Row],[Units]]=Buildings_Water_Backend[[#This Row],[Standard units]],Buildings_Water_Backend[[#This Row],[Data]],Buildings_Water_Backend[[#This Row],[Data]]*_xlfn.XLOOKUP(_xlfn.CONCAT(Buildings_Water_Backend[[#This Row],[Level 1]:[Level 6]]),rng_EFConcat,rng_EFConversion))</f>
        <v>#N/A</v>
      </c>
      <c r="AE509" s="174" t="e" cm="1">
        <f t="array" ref="AE509">_xlfn.XLOOKUP(_xlfn.CONCAT(Buildings_Water_Backend[[#This Row],[Level 1]:[Level 6]]),rng_LevelsConcat,rng_UnitsLong)</f>
        <v>#N/A</v>
      </c>
      <c r="AF509" s="210" t="e">
        <f>_xlfn.XLOOKUP(_xlfn.CONCAT(Buildings_Water_Backend[[#This Row],[Level 1]:[Level 6]]),rng_EFConcat,rng_EF1)*Buildings_Water_Backend[[#This Row],[Converted data]]/1000</f>
        <v>#N/A</v>
      </c>
      <c r="AG509" s="210" t="e">
        <f>_xlfn.XLOOKUP(_xlfn.CONCAT(Buildings_Water_Backend[[#This Row],[Level 1]:[Level 6]]),rng_EFConcat,rng_EF2)*Buildings_Water_Backend[[#This Row],[Converted data]]/1000</f>
        <v>#N/A</v>
      </c>
      <c r="AH509" s="210" t="e">
        <f>_xlfn.XLOOKUP(_xlfn.CONCAT(Buildings_Water_Backend[[#This Row],[Level 1]:[Level 6]]),rng_EFConcat,rng_EF3)*Buildings_Water_Backend[[#This Row],[Converted data]]/1000</f>
        <v>#N/A</v>
      </c>
      <c r="AI509" s="210" t="e">
        <f>_xlfn.XLOOKUP(_xlfn.CONCAT(Buildings_Water_Backend[[#This Row],[Level 1]:[Level 6]]),rng_EFConcat,rng_EF3WTT)*Buildings_Water_Backend[[#This Row],[Converted data]]/1000</f>
        <v>#N/A</v>
      </c>
      <c r="AJ509" s="210" t="e">
        <f>_xlfn.XLOOKUP(_xlfn.CONCAT(Buildings_Water_Backend[[#This Row],[Level 1]:[Level 6]]),rng_EFConcat,rng_EF3TD)*Buildings_Water_Backend[[#This Row],[Converted data]]/1000</f>
        <v>#N/A</v>
      </c>
      <c r="AK509" s="210" t="e">
        <f>_xlfn.XLOOKUP(_xlfn.CONCAT(Buildings_Water_Backend[[#This Row],[Level 1]:[Level 6]]),rng_EFConcat,rng_EF3WTTTD)*Buildings_Water_Backend[[#This Row],[Converted data]]/1000</f>
        <v>#N/A</v>
      </c>
      <c r="AL509" s="220" t="e">
        <f>SUM(Buildings_Water_Backend[[#This Row],[Scope 1 (tCO2e)]:[Scope 3 WTT T&amp;D (tCO2e)]])</f>
        <v>#N/A</v>
      </c>
      <c r="AM509" s="220" t="e">
        <f>Buildings_Water_Backend[[#This Row],[Total (tCO2e)]]*(1-Buildings_Water_Backend[[#This Row],[RSD]])</f>
        <v>#N/A</v>
      </c>
      <c r="AN509" s="220" t="e">
        <f>Buildings_Water_Backend[[#This Row],[Total (tCO2e)]]*(1+Buildings_Water_Backend[[#This Row],[RSD]])</f>
        <v>#N/A</v>
      </c>
      <c r="AO509" s="210" t="e">
        <f>_xlfn.XLOOKUP(_xlfn.CONCAT(Buildings_Water_Backend[[#This Row],[Level 1]:[Level 6]]),rng_EFConcat,rng_EFOOS)*Buildings_Water_Backend[[#This Row],[Converted data]]/1000</f>
        <v>#N/A</v>
      </c>
      <c r="AP509" s="174">
        <f>Buildings_Water_Frontend[[#This Row],[Ease of collection]]</f>
        <v>0</v>
      </c>
      <c r="AQ509" s="174">
        <f>Buildings_Water_Frontend[[#This Row],[Completeness]]</f>
        <v>0</v>
      </c>
      <c r="AR509" s="174">
        <f>Buildings_Water_Frontend[[#This Row],[Notes]]</f>
        <v>0</v>
      </c>
    </row>
    <row r="510" spans="5:44" x14ac:dyDescent="0.3">
      <c r="E510" s="346"/>
      <c r="F510" s="364"/>
      <c r="G510" s="336"/>
      <c r="H510" s="336"/>
      <c r="I510" s="334"/>
      <c r="J510" s="336"/>
      <c r="K510" s="336"/>
      <c r="L510" s="336"/>
      <c r="M510" s="337"/>
      <c r="N510" s="242">
        <f t="shared" si="15"/>
        <v>5</v>
      </c>
      <c r="Q510" s="212" t="str">
        <f t="shared" si="14"/>
        <v/>
      </c>
      <c r="R510" s="174" t="s">
        <v>265</v>
      </c>
      <c r="S510" s="174" t="s">
        <v>273</v>
      </c>
      <c r="T510" s="174" t="e">
        <f>_xlfn.XLOOKUP(Buildings_Water_Backend[[#This Row],[Info 1]],Buildings_SiteInfo[Site name],Buildings_SiteInfo[Site type])</f>
        <v>#N/A</v>
      </c>
      <c r="U510" s="174" t="s">
        <v>327</v>
      </c>
      <c r="V510" s="174">
        <f>Buildings_Water_Frontend[[#This Row],[Type]]</f>
        <v>0</v>
      </c>
      <c r="W510" s="174" t="e" cm="1">
        <f t="array" aca="1" ref="W510" ca="1">_xlfn.XLOOKUP(Buildings_Water_Backend[[#This Row],[Level 5]],rng_Level5Long,rng_Level6Long)</f>
        <v>#N/A</v>
      </c>
      <c r="X510" s="174">
        <f>Buildings_Water_Frontend[[#This Row],[Site Name]]</f>
        <v>0</v>
      </c>
      <c r="Y510" s="174">
        <f>Buildings_Water_Frontend[[#This Row],[Meter Reference]]</f>
        <v>0</v>
      </c>
      <c r="Z510" s="220">
        <f>Buildings_Water_Frontend[[#This Row],[Methodology]]</f>
        <v>0</v>
      </c>
      <c r="AA510" s="229" t="e" cm="1">
        <f t="array" ref="AA510">INDEX(_xlfn.SWITCH(Buildings_Water_Backend[[#This Row],[Methodology]],"Tier 1",rng_RSD1,"Tier 2",rng_RSD2,"Tier 3",rng_RSD3),MATCH(_xlfn.CONCAT(Buildings_Water_Backend[[#This Row],[Level 1]:[Level 6]]),rng_LevelsConcat,0))</f>
        <v>#N/A</v>
      </c>
      <c r="AB510" s="224">
        <f>Buildings_Water_Frontend[[#This Row],[Data]]</f>
        <v>0</v>
      </c>
      <c r="AC510" s="174">
        <f>Buildings_Water_Frontend[[#This Row],[Units]]</f>
        <v>0</v>
      </c>
      <c r="AD510" s="220" t="e">
        <f>IF(Buildings_Water_Backend[[#This Row],[Units]]=Buildings_Water_Backend[[#This Row],[Standard units]],Buildings_Water_Backend[[#This Row],[Data]],Buildings_Water_Backend[[#This Row],[Data]]*_xlfn.XLOOKUP(_xlfn.CONCAT(Buildings_Water_Backend[[#This Row],[Level 1]:[Level 6]]),rng_EFConcat,rng_EFConversion))</f>
        <v>#N/A</v>
      </c>
      <c r="AE510" s="174" t="e" cm="1">
        <f t="array" ref="AE510">_xlfn.XLOOKUP(_xlfn.CONCAT(Buildings_Water_Backend[[#This Row],[Level 1]:[Level 6]]),rng_LevelsConcat,rng_UnitsLong)</f>
        <v>#N/A</v>
      </c>
      <c r="AF510" s="210" t="e">
        <f>_xlfn.XLOOKUP(_xlfn.CONCAT(Buildings_Water_Backend[[#This Row],[Level 1]:[Level 6]]),rng_EFConcat,rng_EF1)*Buildings_Water_Backend[[#This Row],[Converted data]]/1000</f>
        <v>#N/A</v>
      </c>
      <c r="AG510" s="210" t="e">
        <f>_xlfn.XLOOKUP(_xlfn.CONCAT(Buildings_Water_Backend[[#This Row],[Level 1]:[Level 6]]),rng_EFConcat,rng_EF2)*Buildings_Water_Backend[[#This Row],[Converted data]]/1000</f>
        <v>#N/A</v>
      </c>
      <c r="AH510" s="210" t="e">
        <f>_xlfn.XLOOKUP(_xlfn.CONCAT(Buildings_Water_Backend[[#This Row],[Level 1]:[Level 6]]),rng_EFConcat,rng_EF3)*Buildings_Water_Backend[[#This Row],[Converted data]]/1000</f>
        <v>#N/A</v>
      </c>
      <c r="AI510" s="210" t="e">
        <f>_xlfn.XLOOKUP(_xlfn.CONCAT(Buildings_Water_Backend[[#This Row],[Level 1]:[Level 6]]),rng_EFConcat,rng_EF3WTT)*Buildings_Water_Backend[[#This Row],[Converted data]]/1000</f>
        <v>#N/A</v>
      </c>
      <c r="AJ510" s="210" t="e">
        <f>_xlfn.XLOOKUP(_xlfn.CONCAT(Buildings_Water_Backend[[#This Row],[Level 1]:[Level 6]]),rng_EFConcat,rng_EF3TD)*Buildings_Water_Backend[[#This Row],[Converted data]]/1000</f>
        <v>#N/A</v>
      </c>
      <c r="AK510" s="210" t="e">
        <f>_xlfn.XLOOKUP(_xlfn.CONCAT(Buildings_Water_Backend[[#This Row],[Level 1]:[Level 6]]),rng_EFConcat,rng_EF3WTTTD)*Buildings_Water_Backend[[#This Row],[Converted data]]/1000</f>
        <v>#N/A</v>
      </c>
      <c r="AL510" s="220" t="e">
        <f>SUM(Buildings_Water_Backend[[#This Row],[Scope 1 (tCO2e)]:[Scope 3 WTT T&amp;D (tCO2e)]])</f>
        <v>#N/A</v>
      </c>
      <c r="AM510" s="220" t="e">
        <f>Buildings_Water_Backend[[#This Row],[Total (tCO2e)]]*(1-Buildings_Water_Backend[[#This Row],[RSD]])</f>
        <v>#N/A</v>
      </c>
      <c r="AN510" s="220" t="e">
        <f>Buildings_Water_Backend[[#This Row],[Total (tCO2e)]]*(1+Buildings_Water_Backend[[#This Row],[RSD]])</f>
        <v>#N/A</v>
      </c>
      <c r="AO510" s="210" t="e">
        <f>_xlfn.XLOOKUP(_xlfn.CONCAT(Buildings_Water_Backend[[#This Row],[Level 1]:[Level 6]]),rng_EFConcat,rng_EFOOS)*Buildings_Water_Backend[[#This Row],[Converted data]]/1000</f>
        <v>#N/A</v>
      </c>
      <c r="AP510" s="174">
        <f>Buildings_Water_Frontend[[#This Row],[Ease of collection]]</f>
        <v>0</v>
      </c>
      <c r="AQ510" s="174">
        <f>Buildings_Water_Frontend[[#This Row],[Completeness]]</f>
        <v>0</v>
      </c>
      <c r="AR510" s="174">
        <f>Buildings_Water_Frontend[[#This Row],[Notes]]</f>
        <v>0</v>
      </c>
    </row>
    <row r="511" spans="5:44" x14ac:dyDescent="0.3">
      <c r="E511" s="346"/>
      <c r="F511" s="364"/>
      <c r="G511" s="336"/>
      <c r="H511" s="336"/>
      <c r="I511" s="334"/>
      <c r="J511" s="336"/>
      <c r="K511" s="336"/>
      <c r="L511" s="336"/>
      <c r="M511" s="337"/>
      <c r="N511" s="242">
        <f t="shared" si="15"/>
        <v>5</v>
      </c>
      <c r="Q511" s="212" t="str">
        <f t="shared" si="14"/>
        <v/>
      </c>
      <c r="R511" s="174" t="s">
        <v>265</v>
      </c>
      <c r="S511" s="174" t="s">
        <v>273</v>
      </c>
      <c r="T511" s="174" t="e">
        <f>_xlfn.XLOOKUP(Buildings_Water_Backend[[#This Row],[Info 1]],Buildings_SiteInfo[Site name],Buildings_SiteInfo[Site type])</f>
        <v>#N/A</v>
      </c>
      <c r="U511" s="174" t="s">
        <v>327</v>
      </c>
      <c r="V511" s="174">
        <f>Buildings_Water_Frontend[[#This Row],[Type]]</f>
        <v>0</v>
      </c>
      <c r="W511" s="174" t="e" cm="1">
        <f t="array" aca="1" ref="W511" ca="1">_xlfn.XLOOKUP(Buildings_Water_Backend[[#This Row],[Level 5]],rng_Level5Long,rng_Level6Long)</f>
        <v>#N/A</v>
      </c>
      <c r="X511" s="174">
        <f>Buildings_Water_Frontend[[#This Row],[Site Name]]</f>
        <v>0</v>
      </c>
      <c r="Y511" s="174">
        <f>Buildings_Water_Frontend[[#This Row],[Meter Reference]]</f>
        <v>0</v>
      </c>
      <c r="Z511" s="220">
        <f>Buildings_Water_Frontend[[#This Row],[Methodology]]</f>
        <v>0</v>
      </c>
      <c r="AA511" s="229" t="e" cm="1">
        <f t="array" ref="AA511">INDEX(_xlfn.SWITCH(Buildings_Water_Backend[[#This Row],[Methodology]],"Tier 1",rng_RSD1,"Tier 2",rng_RSD2,"Tier 3",rng_RSD3),MATCH(_xlfn.CONCAT(Buildings_Water_Backend[[#This Row],[Level 1]:[Level 6]]),rng_LevelsConcat,0))</f>
        <v>#N/A</v>
      </c>
      <c r="AB511" s="224">
        <f>Buildings_Water_Frontend[[#This Row],[Data]]</f>
        <v>0</v>
      </c>
      <c r="AC511" s="174">
        <f>Buildings_Water_Frontend[[#This Row],[Units]]</f>
        <v>0</v>
      </c>
      <c r="AD511" s="220" t="e">
        <f>IF(Buildings_Water_Backend[[#This Row],[Units]]=Buildings_Water_Backend[[#This Row],[Standard units]],Buildings_Water_Backend[[#This Row],[Data]],Buildings_Water_Backend[[#This Row],[Data]]*_xlfn.XLOOKUP(_xlfn.CONCAT(Buildings_Water_Backend[[#This Row],[Level 1]:[Level 6]]),rng_EFConcat,rng_EFConversion))</f>
        <v>#N/A</v>
      </c>
      <c r="AE511" s="174" t="e" cm="1">
        <f t="array" ref="AE511">_xlfn.XLOOKUP(_xlfn.CONCAT(Buildings_Water_Backend[[#This Row],[Level 1]:[Level 6]]),rng_LevelsConcat,rng_UnitsLong)</f>
        <v>#N/A</v>
      </c>
      <c r="AF511" s="210" t="e">
        <f>_xlfn.XLOOKUP(_xlfn.CONCAT(Buildings_Water_Backend[[#This Row],[Level 1]:[Level 6]]),rng_EFConcat,rng_EF1)*Buildings_Water_Backend[[#This Row],[Converted data]]/1000</f>
        <v>#N/A</v>
      </c>
      <c r="AG511" s="210" t="e">
        <f>_xlfn.XLOOKUP(_xlfn.CONCAT(Buildings_Water_Backend[[#This Row],[Level 1]:[Level 6]]),rng_EFConcat,rng_EF2)*Buildings_Water_Backend[[#This Row],[Converted data]]/1000</f>
        <v>#N/A</v>
      </c>
      <c r="AH511" s="210" t="e">
        <f>_xlfn.XLOOKUP(_xlfn.CONCAT(Buildings_Water_Backend[[#This Row],[Level 1]:[Level 6]]),rng_EFConcat,rng_EF3)*Buildings_Water_Backend[[#This Row],[Converted data]]/1000</f>
        <v>#N/A</v>
      </c>
      <c r="AI511" s="210" t="e">
        <f>_xlfn.XLOOKUP(_xlfn.CONCAT(Buildings_Water_Backend[[#This Row],[Level 1]:[Level 6]]),rng_EFConcat,rng_EF3WTT)*Buildings_Water_Backend[[#This Row],[Converted data]]/1000</f>
        <v>#N/A</v>
      </c>
      <c r="AJ511" s="210" t="e">
        <f>_xlfn.XLOOKUP(_xlfn.CONCAT(Buildings_Water_Backend[[#This Row],[Level 1]:[Level 6]]),rng_EFConcat,rng_EF3TD)*Buildings_Water_Backend[[#This Row],[Converted data]]/1000</f>
        <v>#N/A</v>
      </c>
      <c r="AK511" s="210" t="e">
        <f>_xlfn.XLOOKUP(_xlfn.CONCAT(Buildings_Water_Backend[[#This Row],[Level 1]:[Level 6]]),rng_EFConcat,rng_EF3WTTTD)*Buildings_Water_Backend[[#This Row],[Converted data]]/1000</f>
        <v>#N/A</v>
      </c>
      <c r="AL511" s="220" t="e">
        <f>SUM(Buildings_Water_Backend[[#This Row],[Scope 1 (tCO2e)]:[Scope 3 WTT T&amp;D (tCO2e)]])</f>
        <v>#N/A</v>
      </c>
      <c r="AM511" s="220" t="e">
        <f>Buildings_Water_Backend[[#This Row],[Total (tCO2e)]]*(1-Buildings_Water_Backend[[#This Row],[RSD]])</f>
        <v>#N/A</v>
      </c>
      <c r="AN511" s="220" t="e">
        <f>Buildings_Water_Backend[[#This Row],[Total (tCO2e)]]*(1+Buildings_Water_Backend[[#This Row],[RSD]])</f>
        <v>#N/A</v>
      </c>
      <c r="AO511" s="210" t="e">
        <f>_xlfn.XLOOKUP(_xlfn.CONCAT(Buildings_Water_Backend[[#This Row],[Level 1]:[Level 6]]),rng_EFConcat,rng_EFOOS)*Buildings_Water_Backend[[#This Row],[Converted data]]/1000</f>
        <v>#N/A</v>
      </c>
      <c r="AP511" s="174">
        <f>Buildings_Water_Frontend[[#This Row],[Ease of collection]]</f>
        <v>0</v>
      </c>
      <c r="AQ511" s="174">
        <f>Buildings_Water_Frontend[[#This Row],[Completeness]]</f>
        <v>0</v>
      </c>
      <c r="AR511" s="174">
        <f>Buildings_Water_Frontend[[#This Row],[Notes]]</f>
        <v>0</v>
      </c>
    </row>
    <row r="512" spans="5:44" x14ac:dyDescent="0.3">
      <c r="E512" s="346"/>
      <c r="F512" s="364"/>
      <c r="G512" s="336"/>
      <c r="H512" s="336"/>
      <c r="I512" s="334"/>
      <c r="J512" s="336"/>
      <c r="K512" s="336"/>
      <c r="L512" s="336"/>
      <c r="M512" s="337"/>
      <c r="N512" s="242">
        <f t="shared" si="15"/>
        <v>5</v>
      </c>
      <c r="Q512" s="212" t="str">
        <f t="shared" si="14"/>
        <v/>
      </c>
      <c r="R512" s="174" t="s">
        <v>265</v>
      </c>
      <c r="S512" s="174" t="s">
        <v>273</v>
      </c>
      <c r="T512" s="174" t="e">
        <f>_xlfn.XLOOKUP(Buildings_Water_Backend[[#This Row],[Info 1]],Buildings_SiteInfo[Site name],Buildings_SiteInfo[Site type])</f>
        <v>#N/A</v>
      </c>
      <c r="U512" s="174" t="s">
        <v>327</v>
      </c>
      <c r="V512" s="174">
        <f>Buildings_Water_Frontend[[#This Row],[Type]]</f>
        <v>0</v>
      </c>
      <c r="W512" s="174" t="e" cm="1">
        <f t="array" aca="1" ref="W512" ca="1">_xlfn.XLOOKUP(Buildings_Water_Backend[[#This Row],[Level 5]],rng_Level5Long,rng_Level6Long)</f>
        <v>#N/A</v>
      </c>
      <c r="X512" s="174">
        <f>Buildings_Water_Frontend[[#This Row],[Site Name]]</f>
        <v>0</v>
      </c>
      <c r="Y512" s="174">
        <f>Buildings_Water_Frontend[[#This Row],[Meter Reference]]</f>
        <v>0</v>
      </c>
      <c r="Z512" s="220">
        <f>Buildings_Water_Frontend[[#This Row],[Methodology]]</f>
        <v>0</v>
      </c>
      <c r="AA512" s="229" t="e" cm="1">
        <f t="array" ref="AA512">INDEX(_xlfn.SWITCH(Buildings_Water_Backend[[#This Row],[Methodology]],"Tier 1",rng_RSD1,"Tier 2",rng_RSD2,"Tier 3",rng_RSD3),MATCH(_xlfn.CONCAT(Buildings_Water_Backend[[#This Row],[Level 1]:[Level 6]]),rng_LevelsConcat,0))</f>
        <v>#N/A</v>
      </c>
      <c r="AB512" s="224">
        <f>Buildings_Water_Frontend[[#This Row],[Data]]</f>
        <v>0</v>
      </c>
      <c r="AC512" s="174">
        <f>Buildings_Water_Frontend[[#This Row],[Units]]</f>
        <v>0</v>
      </c>
      <c r="AD512" s="220" t="e">
        <f>IF(Buildings_Water_Backend[[#This Row],[Units]]=Buildings_Water_Backend[[#This Row],[Standard units]],Buildings_Water_Backend[[#This Row],[Data]],Buildings_Water_Backend[[#This Row],[Data]]*_xlfn.XLOOKUP(_xlfn.CONCAT(Buildings_Water_Backend[[#This Row],[Level 1]:[Level 6]]),rng_EFConcat,rng_EFConversion))</f>
        <v>#N/A</v>
      </c>
      <c r="AE512" s="174" t="e" cm="1">
        <f t="array" ref="AE512">_xlfn.XLOOKUP(_xlfn.CONCAT(Buildings_Water_Backend[[#This Row],[Level 1]:[Level 6]]),rng_LevelsConcat,rng_UnitsLong)</f>
        <v>#N/A</v>
      </c>
      <c r="AF512" s="210" t="e">
        <f>_xlfn.XLOOKUP(_xlfn.CONCAT(Buildings_Water_Backend[[#This Row],[Level 1]:[Level 6]]),rng_EFConcat,rng_EF1)*Buildings_Water_Backend[[#This Row],[Converted data]]/1000</f>
        <v>#N/A</v>
      </c>
      <c r="AG512" s="210" t="e">
        <f>_xlfn.XLOOKUP(_xlfn.CONCAT(Buildings_Water_Backend[[#This Row],[Level 1]:[Level 6]]),rng_EFConcat,rng_EF2)*Buildings_Water_Backend[[#This Row],[Converted data]]/1000</f>
        <v>#N/A</v>
      </c>
      <c r="AH512" s="210" t="e">
        <f>_xlfn.XLOOKUP(_xlfn.CONCAT(Buildings_Water_Backend[[#This Row],[Level 1]:[Level 6]]),rng_EFConcat,rng_EF3)*Buildings_Water_Backend[[#This Row],[Converted data]]/1000</f>
        <v>#N/A</v>
      </c>
      <c r="AI512" s="210" t="e">
        <f>_xlfn.XLOOKUP(_xlfn.CONCAT(Buildings_Water_Backend[[#This Row],[Level 1]:[Level 6]]),rng_EFConcat,rng_EF3WTT)*Buildings_Water_Backend[[#This Row],[Converted data]]/1000</f>
        <v>#N/A</v>
      </c>
      <c r="AJ512" s="210" t="e">
        <f>_xlfn.XLOOKUP(_xlfn.CONCAT(Buildings_Water_Backend[[#This Row],[Level 1]:[Level 6]]),rng_EFConcat,rng_EF3TD)*Buildings_Water_Backend[[#This Row],[Converted data]]/1000</f>
        <v>#N/A</v>
      </c>
      <c r="AK512" s="210" t="e">
        <f>_xlfn.XLOOKUP(_xlfn.CONCAT(Buildings_Water_Backend[[#This Row],[Level 1]:[Level 6]]),rng_EFConcat,rng_EF3WTTTD)*Buildings_Water_Backend[[#This Row],[Converted data]]/1000</f>
        <v>#N/A</v>
      </c>
      <c r="AL512" s="220" t="e">
        <f>SUM(Buildings_Water_Backend[[#This Row],[Scope 1 (tCO2e)]:[Scope 3 WTT T&amp;D (tCO2e)]])</f>
        <v>#N/A</v>
      </c>
      <c r="AM512" s="220" t="e">
        <f>Buildings_Water_Backend[[#This Row],[Total (tCO2e)]]*(1-Buildings_Water_Backend[[#This Row],[RSD]])</f>
        <v>#N/A</v>
      </c>
      <c r="AN512" s="220" t="e">
        <f>Buildings_Water_Backend[[#This Row],[Total (tCO2e)]]*(1+Buildings_Water_Backend[[#This Row],[RSD]])</f>
        <v>#N/A</v>
      </c>
      <c r="AO512" s="210" t="e">
        <f>_xlfn.XLOOKUP(_xlfn.CONCAT(Buildings_Water_Backend[[#This Row],[Level 1]:[Level 6]]),rng_EFConcat,rng_EFOOS)*Buildings_Water_Backend[[#This Row],[Converted data]]/1000</f>
        <v>#N/A</v>
      </c>
      <c r="AP512" s="174">
        <f>Buildings_Water_Frontend[[#This Row],[Ease of collection]]</f>
        <v>0</v>
      </c>
      <c r="AQ512" s="174">
        <f>Buildings_Water_Frontend[[#This Row],[Completeness]]</f>
        <v>0</v>
      </c>
      <c r="AR512" s="174">
        <f>Buildings_Water_Frontend[[#This Row],[Notes]]</f>
        <v>0</v>
      </c>
    </row>
    <row r="513" spans="2:44" x14ac:dyDescent="0.3">
      <c r="E513" s="346"/>
      <c r="F513" s="364"/>
      <c r="G513" s="336"/>
      <c r="H513" s="336"/>
      <c r="I513" s="334"/>
      <c r="J513" s="336"/>
      <c r="K513" s="336"/>
      <c r="L513" s="336"/>
      <c r="M513" s="337"/>
      <c r="N513" s="242">
        <f t="shared" si="15"/>
        <v>5</v>
      </c>
      <c r="Q513" s="212" t="str">
        <f t="shared" si="14"/>
        <v/>
      </c>
      <c r="R513" s="174" t="s">
        <v>265</v>
      </c>
      <c r="S513" s="174" t="s">
        <v>273</v>
      </c>
      <c r="T513" s="174" t="e">
        <f>_xlfn.XLOOKUP(Buildings_Water_Backend[[#This Row],[Info 1]],Buildings_SiteInfo[Site name],Buildings_SiteInfo[Site type])</f>
        <v>#N/A</v>
      </c>
      <c r="U513" s="174" t="s">
        <v>327</v>
      </c>
      <c r="V513" s="174">
        <f>Buildings_Water_Frontend[[#This Row],[Type]]</f>
        <v>0</v>
      </c>
      <c r="W513" s="174" t="e" cm="1">
        <f t="array" aca="1" ref="W513" ca="1">_xlfn.XLOOKUP(Buildings_Water_Backend[[#This Row],[Level 5]],rng_Level5Long,rng_Level6Long)</f>
        <v>#N/A</v>
      </c>
      <c r="X513" s="174">
        <f>Buildings_Water_Frontend[[#This Row],[Site Name]]</f>
        <v>0</v>
      </c>
      <c r="Y513" s="174">
        <f>Buildings_Water_Frontend[[#This Row],[Meter Reference]]</f>
        <v>0</v>
      </c>
      <c r="Z513" s="220">
        <f>Buildings_Water_Frontend[[#This Row],[Methodology]]</f>
        <v>0</v>
      </c>
      <c r="AA513" s="229" t="e" cm="1">
        <f t="array" ref="AA513">INDEX(_xlfn.SWITCH(Buildings_Water_Backend[[#This Row],[Methodology]],"Tier 1",rng_RSD1,"Tier 2",rng_RSD2,"Tier 3",rng_RSD3),MATCH(_xlfn.CONCAT(Buildings_Water_Backend[[#This Row],[Level 1]:[Level 6]]),rng_LevelsConcat,0))</f>
        <v>#N/A</v>
      </c>
      <c r="AB513" s="224">
        <f>Buildings_Water_Frontend[[#This Row],[Data]]</f>
        <v>0</v>
      </c>
      <c r="AC513" s="174">
        <f>Buildings_Water_Frontend[[#This Row],[Units]]</f>
        <v>0</v>
      </c>
      <c r="AD513" s="220" t="e">
        <f>IF(Buildings_Water_Backend[[#This Row],[Units]]=Buildings_Water_Backend[[#This Row],[Standard units]],Buildings_Water_Backend[[#This Row],[Data]],Buildings_Water_Backend[[#This Row],[Data]]*_xlfn.XLOOKUP(_xlfn.CONCAT(Buildings_Water_Backend[[#This Row],[Level 1]:[Level 6]]),rng_EFConcat,rng_EFConversion))</f>
        <v>#N/A</v>
      </c>
      <c r="AE513" s="174" t="e" cm="1">
        <f t="array" ref="AE513">_xlfn.XLOOKUP(_xlfn.CONCAT(Buildings_Water_Backend[[#This Row],[Level 1]:[Level 6]]),rng_LevelsConcat,rng_UnitsLong)</f>
        <v>#N/A</v>
      </c>
      <c r="AF513" s="210" t="e">
        <f>_xlfn.XLOOKUP(_xlfn.CONCAT(Buildings_Water_Backend[[#This Row],[Level 1]:[Level 6]]),rng_EFConcat,rng_EF1)*Buildings_Water_Backend[[#This Row],[Converted data]]/1000</f>
        <v>#N/A</v>
      </c>
      <c r="AG513" s="210" t="e">
        <f>_xlfn.XLOOKUP(_xlfn.CONCAT(Buildings_Water_Backend[[#This Row],[Level 1]:[Level 6]]),rng_EFConcat,rng_EF2)*Buildings_Water_Backend[[#This Row],[Converted data]]/1000</f>
        <v>#N/A</v>
      </c>
      <c r="AH513" s="210" t="e">
        <f>_xlfn.XLOOKUP(_xlfn.CONCAT(Buildings_Water_Backend[[#This Row],[Level 1]:[Level 6]]),rng_EFConcat,rng_EF3)*Buildings_Water_Backend[[#This Row],[Converted data]]/1000</f>
        <v>#N/A</v>
      </c>
      <c r="AI513" s="210" t="e">
        <f>_xlfn.XLOOKUP(_xlfn.CONCAT(Buildings_Water_Backend[[#This Row],[Level 1]:[Level 6]]),rng_EFConcat,rng_EF3WTT)*Buildings_Water_Backend[[#This Row],[Converted data]]/1000</f>
        <v>#N/A</v>
      </c>
      <c r="AJ513" s="210" t="e">
        <f>_xlfn.XLOOKUP(_xlfn.CONCAT(Buildings_Water_Backend[[#This Row],[Level 1]:[Level 6]]),rng_EFConcat,rng_EF3TD)*Buildings_Water_Backend[[#This Row],[Converted data]]/1000</f>
        <v>#N/A</v>
      </c>
      <c r="AK513" s="210" t="e">
        <f>_xlfn.XLOOKUP(_xlfn.CONCAT(Buildings_Water_Backend[[#This Row],[Level 1]:[Level 6]]),rng_EFConcat,rng_EF3WTTTD)*Buildings_Water_Backend[[#This Row],[Converted data]]/1000</f>
        <v>#N/A</v>
      </c>
      <c r="AL513" s="220" t="e">
        <f>SUM(Buildings_Water_Backend[[#This Row],[Scope 1 (tCO2e)]:[Scope 3 WTT T&amp;D (tCO2e)]])</f>
        <v>#N/A</v>
      </c>
      <c r="AM513" s="220" t="e">
        <f>Buildings_Water_Backend[[#This Row],[Total (tCO2e)]]*(1-Buildings_Water_Backend[[#This Row],[RSD]])</f>
        <v>#N/A</v>
      </c>
      <c r="AN513" s="220" t="e">
        <f>Buildings_Water_Backend[[#This Row],[Total (tCO2e)]]*(1+Buildings_Water_Backend[[#This Row],[RSD]])</f>
        <v>#N/A</v>
      </c>
      <c r="AO513" s="210" t="e">
        <f>_xlfn.XLOOKUP(_xlfn.CONCAT(Buildings_Water_Backend[[#This Row],[Level 1]:[Level 6]]),rng_EFConcat,rng_EFOOS)*Buildings_Water_Backend[[#This Row],[Converted data]]/1000</f>
        <v>#N/A</v>
      </c>
      <c r="AP513" s="174">
        <f>Buildings_Water_Frontend[[#This Row],[Ease of collection]]</f>
        <v>0</v>
      </c>
      <c r="AQ513" s="174">
        <f>Buildings_Water_Frontend[[#This Row],[Completeness]]</f>
        <v>0</v>
      </c>
      <c r="AR513" s="174">
        <f>Buildings_Water_Frontend[[#This Row],[Notes]]</f>
        <v>0</v>
      </c>
    </row>
    <row r="514" spans="2:44" x14ac:dyDescent="0.3">
      <c r="E514" s="348"/>
      <c r="F514" s="365"/>
      <c r="G514" s="338"/>
      <c r="H514" s="338"/>
      <c r="I514" s="335"/>
      <c r="J514" s="336"/>
      <c r="K514" s="338"/>
      <c r="L514" s="338"/>
      <c r="M514" s="339"/>
      <c r="N514" s="242">
        <f t="shared" si="15"/>
        <v>5</v>
      </c>
      <c r="Q514" s="214" t="str">
        <f t="shared" si="14"/>
        <v/>
      </c>
      <c r="R514" s="174" t="s">
        <v>265</v>
      </c>
      <c r="S514" s="174" t="s">
        <v>273</v>
      </c>
      <c r="T514" s="216" t="e">
        <f>_xlfn.XLOOKUP(Buildings_Water_Backend[[#This Row],[Info 1]],Buildings_SiteInfo[Site name],Buildings_SiteInfo[Site type])</f>
        <v>#N/A</v>
      </c>
      <c r="U514" s="174" t="s">
        <v>327</v>
      </c>
      <c r="V514" s="174">
        <f>Buildings_Water_Frontend[[#This Row],[Type]]</f>
        <v>0</v>
      </c>
      <c r="W514" s="174" t="e" cm="1">
        <f t="array" aca="1" ref="W514" ca="1">_xlfn.XLOOKUP(Buildings_Water_Backend[[#This Row],[Level 5]],rng_Level5Long,rng_Level6Long)</f>
        <v>#N/A</v>
      </c>
      <c r="X514" s="174">
        <f>Buildings_Water_Frontend[[#This Row],[Site Name]]</f>
        <v>0</v>
      </c>
      <c r="Y514" s="174">
        <f>Buildings_Water_Frontend[[#This Row],[Meter Reference]]</f>
        <v>0</v>
      </c>
      <c r="Z514" s="220">
        <f>Buildings_Water_Frontend[[#This Row],[Methodology]]</f>
        <v>0</v>
      </c>
      <c r="AA514" s="229" t="e" cm="1">
        <f t="array" ref="AA514">INDEX(_xlfn.SWITCH(Buildings_Water_Backend[[#This Row],[Methodology]],"Tier 1",rng_RSD1,"Tier 2",rng_RSD2,"Tier 3",rng_RSD3),MATCH(_xlfn.CONCAT(Buildings_Water_Backend[[#This Row],[Level 1]:[Level 6]]),rng_LevelsConcat,0))</f>
        <v>#N/A</v>
      </c>
      <c r="AB514" s="224">
        <f>Buildings_Water_Frontend[[#This Row],[Data]]</f>
        <v>0</v>
      </c>
      <c r="AC514" s="174">
        <f>Buildings_Water_Frontend[[#This Row],[Units]]</f>
        <v>0</v>
      </c>
      <c r="AD514" s="220" t="e">
        <f>IF(Buildings_Water_Backend[[#This Row],[Units]]=Buildings_Water_Backend[[#This Row],[Standard units]],Buildings_Water_Backend[[#This Row],[Data]],Buildings_Water_Backend[[#This Row],[Data]]*_xlfn.XLOOKUP(_xlfn.CONCAT(Buildings_Water_Backend[[#This Row],[Level 1]:[Level 6]]),rng_EFConcat,rng_EFConversion))</f>
        <v>#N/A</v>
      </c>
      <c r="AE514" s="174" t="e" cm="1">
        <f t="array" ref="AE514">_xlfn.XLOOKUP(_xlfn.CONCAT(Buildings_Water_Backend[[#This Row],[Level 1]:[Level 6]]),rng_LevelsConcat,rng_UnitsLong)</f>
        <v>#N/A</v>
      </c>
      <c r="AF514" s="210" t="e">
        <f>_xlfn.XLOOKUP(_xlfn.CONCAT(Buildings_Water_Backend[[#This Row],[Level 1]:[Level 6]]),rng_EFConcat,rng_EF1)*Buildings_Water_Backend[[#This Row],[Converted data]]/1000</f>
        <v>#N/A</v>
      </c>
      <c r="AG514" s="210" t="e">
        <f>_xlfn.XLOOKUP(_xlfn.CONCAT(Buildings_Water_Backend[[#This Row],[Level 1]:[Level 6]]),rng_EFConcat,rng_EF2)*Buildings_Water_Backend[[#This Row],[Converted data]]/1000</f>
        <v>#N/A</v>
      </c>
      <c r="AH514" s="210" t="e">
        <f>_xlfn.XLOOKUP(_xlfn.CONCAT(Buildings_Water_Backend[[#This Row],[Level 1]:[Level 6]]),rng_EFConcat,rng_EF3)*Buildings_Water_Backend[[#This Row],[Converted data]]/1000</f>
        <v>#N/A</v>
      </c>
      <c r="AI514" s="210" t="e">
        <f>_xlfn.XLOOKUP(_xlfn.CONCAT(Buildings_Water_Backend[[#This Row],[Level 1]:[Level 6]]),rng_EFConcat,rng_EF3WTT)*Buildings_Water_Backend[[#This Row],[Converted data]]/1000</f>
        <v>#N/A</v>
      </c>
      <c r="AJ514" s="210" t="e">
        <f>_xlfn.XLOOKUP(_xlfn.CONCAT(Buildings_Water_Backend[[#This Row],[Level 1]:[Level 6]]),rng_EFConcat,rng_EF3TD)*Buildings_Water_Backend[[#This Row],[Converted data]]/1000</f>
        <v>#N/A</v>
      </c>
      <c r="AK514" s="210" t="e">
        <f>_xlfn.XLOOKUP(_xlfn.CONCAT(Buildings_Water_Backend[[#This Row],[Level 1]:[Level 6]]),rng_EFConcat,rng_EF3WTTTD)*Buildings_Water_Backend[[#This Row],[Converted data]]/1000</f>
        <v>#N/A</v>
      </c>
      <c r="AL514" s="220" t="e">
        <f>SUM(Buildings_Water_Backend[[#This Row],[Scope 1 (tCO2e)]:[Scope 3 WTT T&amp;D (tCO2e)]])</f>
        <v>#N/A</v>
      </c>
      <c r="AM514" s="220" t="e">
        <f>Buildings_Water_Backend[[#This Row],[Total (tCO2e)]]*(1-Buildings_Water_Backend[[#This Row],[RSD]])</f>
        <v>#N/A</v>
      </c>
      <c r="AN514" s="220" t="e">
        <f>Buildings_Water_Backend[[#This Row],[Total (tCO2e)]]*(1+Buildings_Water_Backend[[#This Row],[RSD]])</f>
        <v>#N/A</v>
      </c>
      <c r="AO514" s="210" t="e">
        <f>_xlfn.XLOOKUP(_xlfn.CONCAT(Buildings_Water_Backend[[#This Row],[Level 1]:[Level 6]]),rng_EFConcat,rng_EFOOS)*Buildings_Water_Backend[[#This Row],[Converted data]]/1000</f>
        <v>#N/A</v>
      </c>
      <c r="AP514" s="174">
        <f>Buildings_Water_Frontend[[#This Row],[Ease of collection]]</f>
        <v>0</v>
      </c>
      <c r="AQ514" s="174">
        <f>Buildings_Water_Frontend[[#This Row],[Completeness]]</f>
        <v>0</v>
      </c>
      <c r="AR514" s="174">
        <f>Buildings_Water_Frontend[[#This Row],[Notes]]</f>
        <v>0</v>
      </c>
    </row>
    <row r="515" spans="2:44" x14ac:dyDescent="0.3">
      <c r="B515" s="146" t="s">
        <v>101</v>
      </c>
    </row>
    <row r="516" spans="2:44" x14ac:dyDescent="0.3"/>
    <row r="517" spans="2:44" x14ac:dyDescent="0.3"/>
  </sheetData>
  <sheetProtection algorithmName="SHA-512" hashValue="2Y6L916mLqrUN2xPr2AwTg6WuIhuxJAVa383u+7UnOLkmTf3QzErBimav7uiX/aQmj8Q41EHg4og4VWo5eEqyg==" saltValue="JHFl67FLQ/elf6Jwk8EwcQ==" spinCount="100000" sheet="1" formatColumns="0"/>
  <mergeCells count="2">
    <mergeCell ref="B5:B10"/>
    <mergeCell ref="B14:B29"/>
  </mergeCells>
  <phoneticPr fontId="16" type="noConversion"/>
  <conditionalFormatting sqref="J1">
    <cfRule type="containsText" dxfId="18" priority="1" operator="containsText" text="No data missing">
      <formula>NOT(ISERROR(SEARCH("No data missing",J1)))</formula>
    </cfRule>
  </conditionalFormatting>
  <conditionalFormatting sqref="N14">
    <cfRule type="iconSet" priority="2">
      <iconSet showValue="0">
        <cfvo type="percent" val="0"/>
        <cfvo type="num" val="0.01"/>
        <cfvo type="num" val="5"/>
      </iconSet>
    </cfRule>
  </conditionalFormatting>
  <dataValidations count="13">
    <dataValidation type="list" showInputMessage="1" showErrorMessage="1" sqref="E15:E514" xr:uid="{D19F90CD-78C4-485A-8777-5D0F51B3BEE7}">
      <formula1>rng_sitename</formula1>
    </dataValidation>
    <dataValidation type="list" allowBlank="1" showInputMessage="1" showErrorMessage="1" sqref="K15:K514" xr:uid="{9900B43E-FF61-4141-80BD-B27314216346}">
      <formula1>rng_data_ease</formula1>
    </dataValidation>
    <dataValidation type="list" allowBlank="1" showInputMessage="1" showErrorMessage="1" sqref="L15:L514" xr:uid="{A12C585B-D683-4FFC-A0F9-9869E7DC685E}">
      <formula1>rng_data_completeness</formula1>
    </dataValidation>
    <dataValidation type="list" showInputMessage="1" showErrorMessage="1" sqref="H15:H514" xr:uid="{EAD7ED83-5EDA-4CB1-A9BF-2B534F5A55E7}">
      <formula1>rng_methodology</formula1>
    </dataValidation>
    <dataValidation type="list" showInputMessage="1" showErrorMessage="1" sqref="G15:G514" xr:uid="{6F543A53-6BD7-46D5-80A5-534EC18B6C30}">
      <formula1>DROPDOWN(rng_Level4,$U15,cl_Level5Target)</formula1>
    </dataValidation>
    <dataValidation type="list" allowBlank="1" showInputMessage="1" showErrorMessage="1" sqref="R15:R514" xr:uid="{AF911837-E1D2-4D82-B112-7E2E914B73FC}">
      <formula1>rng_Level1Unique</formula1>
    </dataValidation>
    <dataValidation type="list" allowBlank="1" showInputMessage="1" showErrorMessage="1" sqref="S15:S514" xr:uid="{35E1AA8C-CAB3-4423-B51A-DCCDCE3279E6}">
      <formula1>DROPDOWN(rng_Level1,$R15,cl_Level2Target)</formula1>
    </dataValidation>
    <dataValidation type="list" allowBlank="1" showInputMessage="1" showErrorMessage="1" sqref="T15" xr:uid="{E411038E-A8BC-4578-8E32-3989F34A7568}">
      <formula1>DROPDOWN(rng_Level2,$S15,cl_Level3Target)</formula1>
    </dataValidation>
    <dataValidation type="list" allowBlank="1" showInputMessage="1" showErrorMessage="1" sqref="U15:U514" xr:uid="{4590C906-C3B6-4CD6-8C62-1265D71B5421}">
      <formula1>DROPDOWN(rng_Level3,$T15,cl_Level4Target)</formula1>
    </dataValidation>
    <dataValidation allowBlank="1" showInputMessage="1" showErrorMessage="1" promptTitle="Information:" prompt="This column contains a drop down of all site names included in the 'Building - Site Info' tab. Add additional sites on that tab to have them included in the dropdown here. This data is required." sqref="E14" xr:uid="{4434FF2C-A6FE-4D42-A9F7-050AF8F49D85}"/>
    <dataValidation allowBlank="1" showInputMessage="1" showErrorMessage="1" promptTitle="Information:" prompt="Enter the meter number" sqref="F14" xr:uid="{03849C2C-C24C-4438-AA24-4558BF9901B1}"/>
    <dataValidation allowBlank="1" showInputMessage="1" showErrorMessage="1" promptTitle="Information:" prompt="Select whether the water used is in relation to supply, treatment or supply and treatment_x000a_" sqref="G14" xr:uid="{21E735FB-4F6B-483F-9B65-0914BB492D92}"/>
    <dataValidation allowBlank="1" showInputMessage="1" showErrorMessage="1" promptTitle="Information:" prompt="The units dropdown will not work if a site name is not selected or if a site type is not assigned in the 'Buildings - Site Info' tab" sqref="J14" xr:uid="{E0B864FB-4FCF-4735-AB6D-486D3E7F724E}"/>
  </dataValidations>
  <pageMargins left="0.7" right="0.7" top="0.75" bottom="0.75" header="0.3" footer="0.3"/>
  <ignoredErrors>
    <ignoredError sqref="R15:S514 U15:U514" calculatedColumn="1"/>
  </ignoredErrors>
  <tableParts count="2">
    <tablePart r:id="rId1"/>
    <tablePart r:id="rId2"/>
  </tableParts>
  <extLst>
    <ext xmlns:x14="http://schemas.microsoft.com/office/spreadsheetml/2009/9/main" uri="{78C0D931-6437-407d-A8EE-F0AAD7539E65}">
      <x14:conditionalFormattings>
        <x14:conditionalFormatting xmlns:xm="http://schemas.microsoft.com/office/excel/2006/main">
          <x14:cfRule type="iconSet" priority="3" id="{2F3BB1C1-C2D8-49D7-A0B8-3931130B0F99}">
            <x14:iconSet showValue="0" custom="1">
              <x14:cfvo type="percent">
                <xm:f>0</xm:f>
              </x14:cfvo>
              <x14:cfvo type="num">
                <xm:f>1</xm:f>
              </x14:cfvo>
              <x14:cfvo type="num">
                <xm:f>5</xm:f>
              </x14:cfvo>
              <x14:cfIcon iconSet="3TrafficLights1" iconId="2"/>
              <x14:cfIcon iconSet="3TrafficLights1" iconId="0"/>
              <x14:cfIcon iconSet="4TrafficLights" iconId="0"/>
            </x14:iconSet>
          </x14:cfRule>
          <xm:sqref>N15:N514</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10FB59C8-D09B-4814-B2B1-92413C43CB56}">
          <x14:formula1>
            <xm:f>OFFSET(Ranges!$AT$11,MATCH(_xlfn.CONCAT($R15:$W15),rng_LevelsConcat,0)-1,,,2)</xm:f>
          </x14:formula1>
          <xm:sqref>J15:J514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B30E-91A8-4277-8FC1-9451D9EE3EE5}">
  <sheetPr codeName="Sheet15">
    <tabColor theme="6"/>
  </sheetPr>
  <dimension ref="B1:AR66"/>
  <sheetViews>
    <sheetView showGridLines="0" topLeftCell="A15" zoomScaleNormal="100" workbookViewId="0">
      <selection activeCell="H41" sqref="H41:H45"/>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31" style="147" customWidth="1"/>
    <col min="6" max="6" width="18.81640625" style="147" customWidth="1"/>
    <col min="7" max="7" width="15.1796875" style="147" customWidth="1"/>
    <col min="8" max="8" width="12.54296875" style="147" customWidth="1"/>
    <col min="9" max="9" width="8.54296875" style="147" customWidth="1"/>
    <col min="10" max="10" width="19.81640625" style="147" customWidth="1"/>
    <col min="11" max="11" width="16.81640625" style="147" customWidth="1"/>
    <col min="12" max="12" width="56.1796875" style="147" customWidth="1"/>
    <col min="13" max="13" width="3.453125" style="147" customWidth="1"/>
    <col min="14" max="14" width="10.81640625" style="147" customWidth="1"/>
    <col min="15" max="15" width="13.453125" style="147" customWidth="1"/>
    <col min="16" max="16" width="15.453125" style="147" customWidth="1"/>
    <col min="17" max="17" width="4.81640625" style="147" customWidth="1" outlineLevel="1"/>
    <col min="18" max="18" width="11.54296875" style="147" customWidth="1" outlineLevel="1"/>
    <col min="19" max="19" width="15.81640625" style="147" customWidth="1" outlineLevel="1"/>
    <col min="20" max="22" width="14.81640625" style="147" customWidth="1" outlineLevel="1"/>
    <col min="23" max="23" width="10.81640625" style="147" customWidth="1" outlineLevel="1"/>
    <col min="24" max="24" width="15.1796875" style="147" customWidth="1" outlineLevel="1"/>
    <col min="25" max="25" width="8.81640625" style="147" customWidth="1" outlineLevel="1"/>
    <col min="26" max="26" width="16.54296875" style="147" customWidth="1" outlineLevel="1"/>
    <col min="27" max="27" width="7.81640625" style="147" customWidth="1" outlineLevel="1"/>
    <col min="28" max="28" width="11.453125" style="147" customWidth="1" outlineLevel="1"/>
    <col min="29" max="29" width="9" style="147" customWidth="1" outlineLevel="1"/>
    <col min="30" max="30" width="15.453125" style="147" customWidth="1" outlineLevel="1"/>
    <col min="31" max="31" width="14.1796875" style="147" customWidth="1" outlineLevel="1"/>
    <col min="32" max="32" width="11.54296875" style="147" customWidth="1" outlineLevel="1"/>
    <col min="33" max="33" width="12" style="147" customWidth="1" outlineLevel="1"/>
    <col min="34" max="34" width="12.453125" style="147" customWidth="1" outlineLevel="1"/>
    <col min="35" max="35" width="14.81640625" style="147" customWidth="1" outlineLevel="1"/>
    <col min="36" max="36" width="15.1796875" style="147" customWidth="1" outlineLevel="1"/>
    <col min="37" max="37" width="17.26953125" style="147" customWidth="1" outlineLevel="1"/>
    <col min="38" max="38" width="12.26953125" style="147" customWidth="1" outlineLevel="1"/>
    <col min="39" max="40" width="9.81640625" style="147" customWidth="1" outlineLevel="1"/>
    <col min="41" max="41" width="11" style="147" customWidth="1" outlineLevel="1"/>
    <col min="42" max="42" width="13.54296875" style="147" customWidth="1" outlineLevel="1"/>
    <col min="43" max="43" width="16.7265625" style="147" customWidth="1" outlineLevel="1"/>
    <col min="44" max="44" width="8.7265625" style="147" customWidth="1" outlineLevel="1"/>
    <col min="45" max="16384" width="8.7265625" style="147"/>
  </cols>
  <sheetData>
    <row r="1" spans="2:44" s="150" customFormat="1" ht="15.5" x14ac:dyDescent="0.35">
      <c r="B1" s="196" t="s">
        <v>273</v>
      </c>
      <c r="E1" s="200" t="s">
        <v>61</v>
      </c>
      <c r="F1" s="201">
        <f>cl_year_select</f>
        <v>0</v>
      </c>
      <c r="I1" s="200" t="s">
        <v>274</v>
      </c>
      <c r="J1" s="199" t="str">
        <f>IF(AVERAGE($M$15,$M$40)=2,"No data missing","Data missing, see traffic lights")</f>
        <v>Data missing, see traffic lights</v>
      </c>
    </row>
    <row r="2" spans="2:44" s="153" customFormat="1" x14ac:dyDescent="0.3">
      <c r="B2" s="197" t="s">
        <v>188</v>
      </c>
      <c r="E2" s="202" t="s">
        <v>64</v>
      </c>
      <c r="F2" s="203">
        <f>cl_org_name_select</f>
        <v>0</v>
      </c>
    </row>
    <row r="3" spans="2:44" x14ac:dyDescent="0.3"/>
    <row r="4" spans="2:44" x14ac:dyDescent="0.3">
      <c r="B4" s="159" t="s">
        <v>10</v>
      </c>
      <c r="E4" s="191" t="s">
        <v>1</v>
      </c>
    </row>
    <row r="5" spans="2:44" x14ac:dyDescent="0.3">
      <c r="B5" s="455" t="s">
        <v>332</v>
      </c>
      <c r="E5" s="162" t="s">
        <v>37</v>
      </c>
    </row>
    <row r="6" spans="2:44" x14ac:dyDescent="0.3">
      <c r="B6" s="455"/>
      <c r="E6" s="170" t="s">
        <v>38</v>
      </c>
      <c r="G6" s="151"/>
    </row>
    <row r="7" spans="2:44" x14ac:dyDescent="0.3">
      <c r="B7" s="455"/>
      <c r="E7" s="192" t="s">
        <v>283</v>
      </c>
      <c r="G7" s="151"/>
    </row>
    <row r="8" spans="2:44" x14ac:dyDescent="0.3">
      <c r="B8" s="455"/>
      <c r="E8" s="370"/>
      <c r="G8" s="151"/>
    </row>
    <row r="9" spans="2:44" x14ac:dyDescent="0.3">
      <c r="B9" s="455"/>
      <c r="E9" s="370"/>
      <c r="G9" s="151"/>
    </row>
    <row r="10" spans="2:44" x14ac:dyDescent="0.3">
      <c r="B10" s="455"/>
      <c r="E10" s="370"/>
      <c r="G10" s="151"/>
    </row>
    <row r="11" spans="2:44" ht="14.5" thickBot="1" x14ac:dyDescent="0.35">
      <c r="B11" s="455"/>
      <c r="E11" s="176"/>
      <c r="F11" s="176"/>
      <c r="G11" s="177"/>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row>
    <row r="12" spans="2:44" x14ac:dyDescent="0.3">
      <c r="G12" s="151"/>
    </row>
    <row r="13" spans="2:44" x14ac:dyDescent="0.3">
      <c r="B13" s="159" t="s">
        <v>12</v>
      </c>
      <c r="E13" s="160" t="s">
        <v>333</v>
      </c>
    </row>
    <row r="14" spans="2:44" x14ac:dyDescent="0.3"/>
    <row r="15" spans="2:44" ht="28" x14ac:dyDescent="0.3">
      <c r="B15" s="455" t="s">
        <v>334</v>
      </c>
      <c r="E15" s="257" t="s">
        <v>319</v>
      </c>
      <c r="F15" s="258" t="s">
        <v>335</v>
      </c>
      <c r="G15" s="258" t="s">
        <v>287</v>
      </c>
      <c r="H15" s="258" t="s">
        <v>288</v>
      </c>
      <c r="I15" s="258" t="s">
        <v>289</v>
      </c>
      <c r="J15" s="258" t="s">
        <v>291</v>
      </c>
      <c r="K15" s="258" t="s">
        <v>292</v>
      </c>
      <c r="L15" s="259" t="s">
        <v>293</v>
      </c>
      <c r="M15" s="188">
        <f>AVERAGEIF($M$16:$M$35,"&lt;&gt;0",$M$16:$M$35)</f>
        <v>3</v>
      </c>
      <c r="Q15" s="287" t="s">
        <v>294</v>
      </c>
      <c r="R15" s="286" t="s">
        <v>295</v>
      </c>
      <c r="S15" s="286" t="s">
        <v>296</v>
      </c>
      <c r="T15" s="286" t="s">
        <v>297</v>
      </c>
      <c r="U15" s="286" t="s">
        <v>298</v>
      </c>
      <c r="V15" s="286" t="s">
        <v>299</v>
      </c>
      <c r="W15" s="286" t="s">
        <v>300</v>
      </c>
      <c r="X15" s="286" t="s">
        <v>301</v>
      </c>
      <c r="Y15" s="286" t="s">
        <v>302</v>
      </c>
      <c r="Z15" s="286" t="s">
        <v>287</v>
      </c>
      <c r="AA15" s="286" t="s">
        <v>303</v>
      </c>
      <c r="AB15" s="286" t="s">
        <v>288</v>
      </c>
      <c r="AC15" s="286" t="s">
        <v>289</v>
      </c>
      <c r="AD15" s="286" t="s">
        <v>304</v>
      </c>
      <c r="AE15" s="286" t="s">
        <v>305</v>
      </c>
      <c r="AF15" s="286" t="s">
        <v>306</v>
      </c>
      <c r="AG15" s="286" t="s">
        <v>307</v>
      </c>
      <c r="AH15" s="286" t="s">
        <v>308</v>
      </c>
      <c r="AI15" s="286" t="s">
        <v>309</v>
      </c>
      <c r="AJ15" s="286" t="s">
        <v>310</v>
      </c>
      <c r="AK15" s="286" t="s">
        <v>311</v>
      </c>
      <c r="AL15" s="286" t="s">
        <v>312</v>
      </c>
      <c r="AM15" s="286" t="s">
        <v>313</v>
      </c>
      <c r="AN15" s="286" t="s">
        <v>314</v>
      </c>
      <c r="AO15" s="286" t="s">
        <v>315</v>
      </c>
      <c r="AP15" s="286" t="s">
        <v>291</v>
      </c>
      <c r="AQ15" s="288" t="s">
        <v>292</v>
      </c>
      <c r="AR15" s="288" t="s">
        <v>293</v>
      </c>
    </row>
    <row r="16" spans="2:44" x14ac:dyDescent="0.3">
      <c r="B16" s="455"/>
      <c r="E16" s="346"/>
      <c r="F16" s="336"/>
      <c r="G16" s="172" t="s">
        <v>336</v>
      </c>
      <c r="H16" s="334"/>
      <c r="I16" s="172" t="s">
        <v>337</v>
      </c>
      <c r="J16" s="336"/>
      <c r="K16" s="336"/>
      <c r="L16" s="350"/>
      <c r="M16" s="242">
        <f>ISBLANK(E16)+ISBLANK(F16)+ISBLANK(H16)</f>
        <v>3</v>
      </c>
      <c r="Q16" s="212" t="str">
        <f t="shared" ref="Q16:Q35" si="0">IF(M16=0,SUBSTITUTE(2025&amp;TRIM(cl_org_name_select)&amp;TRIM($E$13)&amp;(ROW(M16)-ROW($M$16))," ",""),"")</f>
        <v/>
      </c>
      <c r="R16" s="174" t="s">
        <v>265</v>
      </c>
      <c r="S16" s="174" t="s">
        <v>273</v>
      </c>
      <c r="T16" s="174" t="e">
        <f>_xlfn.XLOOKUP(FGases_Backend[[#This Row],[Info 1]],Buildings_SiteInfo[Site name],Buildings_SiteInfo[Site type])</f>
        <v>#N/A</v>
      </c>
      <c r="U16" s="174" t="s">
        <v>338</v>
      </c>
      <c r="V16" s="174">
        <f>FGases_Frontend[[#This Row],[Gas]]</f>
        <v>0</v>
      </c>
      <c r="W16" s="174" t="e" cm="1">
        <f t="array" aca="1" ref="W16" ca="1">_xlfn.XLOOKUP(FGases_Backend[[#This Row],[Level 5]],rng_Level5Long,rng_Level6Long)</f>
        <v>#N/A</v>
      </c>
      <c r="X16" s="174">
        <f>FGases_Frontend[[#This Row],[Site Name]]</f>
        <v>0</v>
      </c>
      <c r="Y16" s="174" t="s">
        <v>339</v>
      </c>
      <c r="Z16" s="174" t="str">
        <f>FGases_Frontend[[#This Row],[Methodology]]</f>
        <v>Tier 3</v>
      </c>
      <c r="AA16" s="229" t="e" cm="1">
        <f t="array" ref="AA16">INDEX(_xlfn.SWITCH(FGases_Backend[[#This Row],[Methodology]],"Tier 1",rng_RSD1,"Tier 2",rng_RSD2,"Tier 3",rng_RSD3),MATCH(_xlfn.CONCAT(FGases_Backend[[#This Row],[Level 1]:[Level 6]]),rng_LevelsConcat,0))</f>
        <v>#N/A</v>
      </c>
      <c r="AB16" s="220">
        <f>FGases_Frontend[[#This Row],[Data]]</f>
        <v>0</v>
      </c>
      <c r="AC16" s="174" t="str">
        <f>FGases_Frontend[[#This Row],[Units]]</f>
        <v>kg</v>
      </c>
      <c r="AD16" s="220">
        <f>FGases_Backend[[#This Row],[Data]]</f>
        <v>0</v>
      </c>
      <c r="AE16" s="174" t="str">
        <f>FGases_Frontend[[#This Row],[Units]]</f>
        <v>kg</v>
      </c>
      <c r="AF16" s="210" t="e">
        <f>_xlfn.XLOOKUP(_xlfn.CONCAT(FGases_Backend[[#This Row],[Level 1]:[Level 6]]),rng_EFConcat,rng_EF1)*FGases_Backend[[#This Row],[Converted data]]/1000</f>
        <v>#N/A</v>
      </c>
      <c r="AG16" s="210" t="e">
        <f>_xlfn.XLOOKUP(_xlfn.CONCAT(FGases_Backend[[#This Row],[Level 1]:[Level 6]]),rng_EFConcat,rng_EF2)*FGases_Backend[[#This Row],[Converted data]]/1000</f>
        <v>#N/A</v>
      </c>
      <c r="AH16" s="210" t="e">
        <f>_xlfn.XLOOKUP(_xlfn.CONCAT(FGases_Backend[[#This Row],[Level 1]:[Level 6]]),rng_EFConcat,rng_EF3)*FGases_Backend[[#This Row],[Converted data]]/1000</f>
        <v>#N/A</v>
      </c>
      <c r="AI16" s="210" t="e">
        <f>_xlfn.XLOOKUP(_xlfn.CONCAT(FGases_Backend[[#This Row],[Level 1]:[Level 6]]),rng_EFConcat,rng_EF3WTT)*FGases_Backend[[#This Row],[Converted data]]/1000</f>
        <v>#N/A</v>
      </c>
      <c r="AJ16" s="210" t="e">
        <f>_xlfn.XLOOKUP(_xlfn.CONCAT(FGases_Backend[[#This Row],[Level 1]:[Level 6]]),rng_EFConcat,rng_EF3TD)*FGases_Backend[[#This Row],[Converted data]]/1000</f>
        <v>#N/A</v>
      </c>
      <c r="AK16" s="210" t="e">
        <f>_xlfn.XLOOKUP(_xlfn.CONCAT(FGases_Backend[[#This Row],[Level 1]:[Level 6]]),rng_EFConcat,rng_EF3WTTTD)*FGases_Backend[[#This Row],[Converted data]]/1000</f>
        <v>#N/A</v>
      </c>
      <c r="AL16" s="220" t="e">
        <f>SUM(FGases_Backend[[#This Row],[Scope 1 (tCO2e)]:[Scope 3 WTT T&amp;D (tCO2e)]])</f>
        <v>#N/A</v>
      </c>
      <c r="AM16" s="220" t="e">
        <f>FGases_Backend[[#This Row],[Total (tCO2e)]]*(1-FGases_Backend[[#This Row],[RSD]])</f>
        <v>#N/A</v>
      </c>
      <c r="AN16" s="220" t="e">
        <f>FGases_Backend[[#This Row],[Total (tCO2e)]]*(1+FGases_Backend[[#This Row],[RSD]])</f>
        <v>#N/A</v>
      </c>
      <c r="AO16" s="210" t="e">
        <f>_xlfn.XLOOKUP(_xlfn.CONCAT(FGases_Backend[[#This Row],[Level 1]:[Level 6]]),rng_EFConcat,rng_EFOOS)*FGases_Backend[[#This Row],[Converted data]]/1000</f>
        <v>#N/A</v>
      </c>
      <c r="AP16" s="174">
        <f>FGases_Frontend[[#This Row],[Ease of collection]]</f>
        <v>0</v>
      </c>
      <c r="AQ16" s="174">
        <f>FGases_Frontend[[#This Row],[Completeness]]</f>
        <v>0</v>
      </c>
      <c r="AR16" s="174">
        <f>FGases_Frontend[[#This Row],[Notes]]</f>
        <v>0</v>
      </c>
    </row>
    <row r="17" spans="2:44" x14ac:dyDescent="0.3">
      <c r="B17" s="455"/>
      <c r="E17" s="346"/>
      <c r="F17" s="336"/>
      <c r="G17" s="172" t="s">
        <v>336</v>
      </c>
      <c r="H17" s="334"/>
      <c r="I17" s="172" t="s">
        <v>337</v>
      </c>
      <c r="J17" s="336"/>
      <c r="K17" s="336"/>
      <c r="L17" s="350"/>
      <c r="M17" s="242">
        <f t="shared" ref="M17:M35" si="1">ISBLANK(E17)+ISBLANK(F17)+ISBLANK(H17)</f>
        <v>3</v>
      </c>
      <c r="Q17" s="212" t="str">
        <f t="shared" si="0"/>
        <v/>
      </c>
      <c r="R17" s="174" t="s">
        <v>265</v>
      </c>
      <c r="S17" s="174" t="s">
        <v>273</v>
      </c>
      <c r="T17" s="174" t="e">
        <f>_xlfn.XLOOKUP(FGases_Backend[[#This Row],[Info 1]],Buildings_SiteInfo[Site name],Buildings_SiteInfo[Site type])</f>
        <v>#N/A</v>
      </c>
      <c r="U17" s="174" t="s">
        <v>338</v>
      </c>
      <c r="V17" s="174">
        <f>FGases_Frontend[[#This Row],[Gas]]</f>
        <v>0</v>
      </c>
      <c r="W17" s="174" t="e" cm="1">
        <f t="array" aca="1" ref="W17" ca="1">_xlfn.XLOOKUP(FGases_Backend[[#This Row],[Level 5]],rng_Level5Long,rng_Level6Long)</f>
        <v>#N/A</v>
      </c>
      <c r="X17" s="174">
        <f>FGases_Frontend[[#This Row],[Site Name]]</f>
        <v>0</v>
      </c>
      <c r="Y17" s="174" t="s">
        <v>339</v>
      </c>
      <c r="Z17" s="174" t="str">
        <f>FGases_Frontend[[#This Row],[Methodology]]</f>
        <v>Tier 3</v>
      </c>
      <c r="AA17" s="229" t="e" cm="1">
        <f t="array" ref="AA17">INDEX(_xlfn.SWITCH(FGases_Backend[[#This Row],[Methodology]],"Tier 1",rng_RSD1,"Tier 2",rng_RSD2,"Tier 3",rng_RSD3),MATCH(_xlfn.CONCAT(FGases_Backend[[#This Row],[Level 1]:[Level 6]]),rng_LevelsConcat,0))</f>
        <v>#N/A</v>
      </c>
      <c r="AB17" s="220">
        <f>FGases_Frontend[[#This Row],[Data]]</f>
        <v>0</v>
      </c>
      <c r="AC17" s="174" t="str">
        <f>FGases_Frontend[[#This Row],[Units]]</f>
        <v>kg</v>
      </c>
      <c r="AD17" s="220">
        <f>FGases_Backend[[#This Row],[Data]]</f>
        <v>0</v>
      </c>
      <c r="AE17" s="174" t="str">
        <f>FGases_Frontend[[#This Row],[Units]]</f>
        <v>kg</v>
      </c>
      <c r="AF17" s="210" t="e">
        <f>_xlfn.XLOOKUP(_xlfn.CONCAT(FGases_Backend[[#This Row],[Level 1]:[Level 6]]),rng_EFConcat,rng_EF1)*FGases_Backend[[#This Row],[Converted data]]/1000</f>
        <v>#N/A</v>
      </c>
      <c r="AG17" s="210" t="e">
        <f>_xlfn.XLOOKUP(_xlfn.CONCAT(FGases_Backend[[#This Row],[Level 1]:[Level 6]]),rng_EFConcat,rng_EF2)*FGases_Backend[[#This Row],[Converted data]]/1000</f>
        <v>#N/A</v>
      </c>
      <c r="AH17" s="210" t="e">
        <f>_xlfn.XLOOKUP(_xlfn.CONCAT(FGases_Backend[[#This Row],[Level 1]:[Level 6]]),rng_EFConcat,rng_EF3)*FGases_Backend[[#This Row],[Converted data]]/1000</f>
        <v>#N/A</v>
      </c>
      <c r="AI17" s="210" t="e">
        <f>_xlfn.XLOOKUP(_xlfn.CONCAT(FGases_Backend[[#This Row],[Level 1]:[Level 6]]),rng_EFConcat,rng_EF3WTT)*FGases_Backend[[#This Row],[Converted data]]/1000</f>
        <v>#N/A</v>
      </c>
      <c r="AJ17" s="210" t="e">
        <f>_xlfn.XLOOKUP(_xlfn.CONCAT(FGases_Backend[[#This Row],[Level 1]:[Level 6]]),rng_EFConcat,rng_EF3TD)*FGases_Backend[[#This Row],[Converted data]]/1000</f>
        <v>#N/A</v>
      </c>
      <c r="AK17" s="210" t="e">
        <f>_xlfn.XLOOKUP(_xlfn.CONCAT(FGases_Backend[[#This Row],[Level 1]:[Level 6]]),rng_EFConcat,rng_EF3WTTTD)*FGases_Backend[[#This Row],[Converted data]]/1000</f>
        <v>#N/A</v>
      </c>
      <c r="AL17" s="220" t="e">
        <f>SUM(FGases_Backend[[#This Row],[Scope 1 (tCO2e)]:[Scope 3 WTT T&amp;D (tCO2e)]])</f>
        <v>#N/A</v>
      </c>
      <c r="AM17" s="220" t="e">
        <f>FGases_Backend[[#This Row],[Total (tCO2e)]]*(1-FGases_Backend[[#This Row],[RSD]])</f>
        <v>#N/A</v>
      </c>
      <c r="AN17" s="220" t="e">
        <f>FGases_Backend[[#This Row],[Total (tCO2e)]]*(1+FGases_Backend[[#This Row],[RSD]])</f>
        <v>#N/A</v>
      </c>
      <c r="AO17" s="210" t="e">
        <f>_xlfn.XLOOKUP(_xlfn.CONCAT(FGases_Backend[[#This Row],[Level 1]:[Level 6]]),rng_EFConcat,rng_EFOOS)*FGases_Backend[[#This Row],[Converted data]]/1000</f>
        <v>#N/A</v>
      </c>
      <c r="AP17" s="174">
        <f>FGases_Frontend[[#This Row],[Ease of collection]]</f>
        <v>0</v>
      </c>
      <c r="AQ17" s="174">
        <f>FGases_Frontend[[#This Row],[Completeness]]</f>
        <v>0</v>
      </c>
      <c r="AR17" s="174">
        <f>FGases_Frontend[[#This Row],[Notes]]</f>
        <v>0</v>
      </c>
    </row>
    <row r="18" spans="2:44" x14ac:dyDescent="0.3">
      <c r="B18" s="455"/>
      <c r="E18" s="346"/>
      <c r="F18" s="336"/>
      <c r="G18" s="172" t="s">
        <v>336</v>
      </c>
      <c r="H18" s="334"/>
      <c r="I18" s="172" t="s">
        <v>337</v>
      </c>
      <c r="J18" s="336"/>
      <c r="K18" s="336"/>
      <c r="L18" s="350"/>
      <c r="M18" s="242">
        <f t="shared" si="1"/>
        <v>3</v>
      </c>
      <c r="Q18" s="212" t="str">
        <f t="shared" si="0"/>
        <v/>
      </c>
      <c r="R18" s="174" t="s">
        <v>265</v>
      </c>
      <c r="S18" s="174" t="s">
        <v>273</v>
      </c>
      <c r="T18" s="174" t="e">
        <f>_xlfn.XLOOKUP(FGases_Backend[[#This Row],[Info 1]],Buildings_SiteInfo[Site name],Buildings_SiteInfo[Site type])</f>
        <v>#N/A</v>
      </c>
      <c r="U18" s="174" t="s">
        <v>338</v>
      </c>
      <c r="V18" s="174">
        <f>FGases_Frontend[[#This Row],[Gas]]</f>
        <v>0</v>
      </c>
      <c r="W18" s="174" t="e" cm="1">
        <f t="array" aca="1" ref="W18" ca="1">_xlfn.XLOOKUP(FGases_Backend[[#This Row],[Level 5]],rng_Level5Long,rng_Level6Long)</f>
        <v>#N/A</v>
      </c>
      <c r="X18" s="174">
        <f>FGases_Frontend[[#This Row],[Site Name]]</f>
        <v>0</v>
      </c>
      <c r="Y18" s="174" t="s">
        <v>339</v>
      </c>
      <c r="Z18" s="174" t="str">
        <f>FGases_Frontend[[#This Row],[Methodology]]</f>
        <v>Tier 3</v>
      </c>
      <c r="AA18" s="229" t="e" cm="1">
        <f t="array" ref="AA18">INDEX(_xlfn.SWITCH(FGases_Backend[[#This Row],[Methodology]],"Tier 1",rng_RSD1,"Tier 2",rng_RSD2,"Tier 3",rng_RSD3),MATCH(_xlfn.CONCAT(FGases_Backend[[#This Row],[Level 1]:[Level 6]]),rng_LevelsConcat,0))</f>
        <v>#N/A</v>
      </c>
      <c r="AB18" s="220">
        <f>FGases_Frontend[[#This Row],[Data]]</f>
        <v>0</v>
      </c>
      <c r="AC18" s="174" t="str">
        <f>FGases_Frontend[[#This Row],[Units]]</f>
        <v>kg</v>
      </c>
      <c r="AD18" s="220">
        <f>FGases_Backend[[#This Row],[Data]]</f>
        <v>0</v>
      </c>
      <c r="AE18" s="174" t="str">
        <f>FGases_Frontend[[#This Row],[Units]]</f>
        <v>kg</v>
      </c>
      <c r="AF18" s="210" t="e">
        <f>_xlfn.XLOOKUP(_xlfn.CONCAT(FGases_Backend[[#This Row],[Level 1]:[Level 6]]),rng_EFConcat,rng_EF1)*FGases_Backend[[#This Row],[Converted data]]/1000</f>
        <v>#N/A</v>
      </c>
      <c r="AG18" s="210" t="e">
        <f>_xlfn.XLOOKUP(_xlfn.CONCAT(FGases_Backend[[#This Row],[Level 1]:[Level 6]]),rng_EFConcat,rng_EF2)*FGases_Backend[[#This Row],[Converted data]]/1000</f>
        <v>#N/A</v>
      </c>
      <c r="AH18" s="210" t="e">
        <f>_xlfn.XLOOKUP(_xlfn.CONCAT(FGases_Backend[[#This Row],[Level 1]:[Level 6]]),rng_EFConcat,rng_EF3)*FGases_Backend[[#This Row],[Converted data]]/1000</f>
        <v>#N/A</v>
      </c>
      <c r="AI18" s="210" t="e">
        <f>_xlfn.XLOOKUP(_xlfn.CONCAT(FGases_Backend[[#This Row],[Level 1]:[Level 6]]),rng_EFConcat,rng_EF3WTT)*FGases_Backend[[#This Row],[Converted data]]/1000</f>
        <v>#N/A</v>
      </c>
      <c r="AJ18" s="210" t="e">
        <f>_xlfn.XLOOKUP(_xlfn.CONCAT(FGases_Backend[[#This Row],[Level 1]:[Level 6]]),rng_EFConcat,rng_EF3TD)*FGases_Backend[[#This Row],[Converted data]]/1000</f>
        <v>#N/A</v>
      </c>
      <c r="AK18" s="210" t="e">
        <f>_xlfn.XLOOKUP(_xlfn.CONCAT(FGases_Backend[[#This Row],[Level 1]:[Level 6]]),rng_EFConcat,rng_EF3WTTTD)*FGases_Backend[[#This Row],[Converted data]]/1000</f>
        <v>#N/A</v>
      </c>
      <c r="AL18" s="220" t="e">
        <f>SUM(FGases_Backend[[#This Row],[Scope 1 (tCO2e)]:[Scope 3 WTT T&amp;D (tCO2e)]])</f>
        <v>#N/A</v>
      </c>
      <c r="AM18" s="220" t="e">
        <f>FGases_Backend[[#This Row],[Total (tCO2e)]]*(1-FGases_Backend[[#This Row],[RSD]])</f>
        <v>#N/A</v>
      </c>
      <c r="AN18" s="220" t="e">
        <f>FGases_Backend[[#This Row],[Total (tCO2e)]]*(1+FGases_Backend[[#This Row],[RSD]])</f>
        <v>#N/A</v>
      </c>
      <c r="AO18" s="210" t="e">
        <f>_xlfn.XLOOKUP(_xlfn.CONCAT(FGases_Backend[[#This Row],[Level 1]:[Level 6]]),rng_EFConcat,rng_EFOOS)*FGases_Backend[[#This Row],[Converted data]]/1000</f>
        <v>#N/A</v>
      </c>
      <c r="AP18" s="174">
        <f>FGases_Frontend[[#This Row],[Ease of collection]]</f>
        <v>0</v>
      </c>
      <c r="AQ18" s="174">
        <f>FGases_Frontend[[#This Row],[Completeness]]</f>
        <v>0</v>
      </c>
      <c r="AR18" s="174">
        <f>FGases_Frontend[[#This Row],[Notes]]</f>
        <v>0</v>
      </c>
    </row>
    <row r="19" spans="2:44" x14ac:dyDescent="0.3">
      <c r="B19" s="455"/>
      <c r="E19" s="346"/>
      <c r="F19" s="336"/>
      <c r="G19" s="172" t="s">
        <v>336</v>
      </c>
      <c r="H19" s="334"/>
      <c r="I19" s="172" t="s">
        <v>337</v>
      </c>
      <c r="J19" s="336"/>
      <c r="K19" s="336"/>
      <c r="L19" s="350"/>
      <c r="M19" s="242">
        <f t="shared" si="1"/>
        <v>3</v>
      </c>
      <c r="Q19" s="212" t="str">
        <f t="shared" si="0"/>
        <v/>
      </c>
      <c r="R19" s="174" t="s">
        <v>265</v>
      </c>
      <c r="S19" s="174" t="s">
        <v>273</v>
      </c>
      <c r="T19" s="174" t="e">
        <f>_xlfn.XLOOKUP(FGases_Backend[[#This Row],[Info 1]],Buildings_SiteInfo[Site name],Buildings_SiteInfo[Site type])</f>
        <v>#N/A</v>
      </c>
      <c r="U19" s="174" t="s">
        <v>338</v>
      </c>
      <c r="V19" s="174">
        <f>FGases_Frontend[[#This Row],[Gas]]</f>
        <v>0</v>
      </c>
      <c r="W19" s="174" t="e" cm="1">
        <f t="array" aca="1" ref="W19" ca="1">_xlfn.XLOOKUP(FGases_Backend[[#This Row],[Level 5]],rng_Level5Long,rng_Level6Long)</f>
        <v>#N/A</v>
      </c>
      <c r="X19" s="174">
        <f>FGases_Frontend[[#This Row],[Site Name]]</f>
        <v>0</v>
      </c>
      <c r="Y19" s="174" t="s">
        <v>339</v>
      </c>
      <c r="Z19" s="174" t="str">
        <f>FGases_Frontend[[#This Row],[Methodology]]</f>
        <v>Tier 3</v>
      </c>
      <c r="AA19" s="229" t="e" cm="1">
        <f t="array" ref="AA19">INDEX(_xlfn.SWITCH(FGases_Backend[[#This Row],[Methodology]],"Tier 1",rng_RSD1,"Tier 2",rng_RSD2,"Tier 3",rng_RSD3),MATCH(_xlfn.CONCAT(FGases_Backend[[#This Row],[Level 1]:[Level 6]]),rng_LevelsConcat,0))</f>
        <v>#N/A</v>
      </c>
      <c r="AB19" s="220">
        <f>FGases_Frontend[[#This Row],[Data]]</f>
        <v>0</v>
      </c>
      <c r="AC19" s="174" t="str">
        <f>FGases_Frontend[[#This Row],[Units]]</f>
        <v>kg</v>
      </c>
      <c r="AD19" s="220">
        <f>FGases_Backend[[#This Row],[Data]]</f>
        <v>0</v>
      </c>
      <c r="AE19" s="174" t="str">
        <f>FGases_Frontend[[#This Row],[Units]]</f>
        <v>kg</v>
      </c>
      <c r="AF19" s="210" t="e">
        <f>_xlfn.XLOOKUP(_xlfn.CONCAT(FGases_Backend[[#This Row],[Level 1]:[Level 6]]),rng_EFConcat,rng_EF1)*FGases_Backend[[#This Row],[Converted data]]/1000</f>
        <v>#N/A</v>
      </c>
      <c r="AG19" s="210" t="e">
        <f>_xlfn.XLOOKUP(_xlfn.CONCAT(FGases_Backend[[#This Row],[Level 1]:[Level 6]]),rng_EFConcat,rng_EF2)*FGases_Backend[[#This Row],[Converted data]]/1000</f>
        <v>#N/A</v>
      </c>
      <c r="AH19" s="210" t="e">
        <f>_xlfn.XLOOKUP(_xlfn.CONCAT(FGases_Backend[[#This Row],[Level 1]:[Level 6]]),rng_EFConcat,rng_EF3)*FGases_Backend[[#This Row],[Converted data]]/1000</f>
        <v>#N/A</v>
      </c>
      <c r="AI19" s="210" t="e">
        <f>_xlfn.XLOOKUP(_xlfn.CONCAT(FGases_Backend[[#This Row],[Level 1]:[Level 6]]),rng_EFConcat,rng_EF3WTT)*FGases_Backend[[#This Row],[Converted data]]/1000</f>
        <v>#N/A</v>
      </c>
      <c r="AJ19" s="210" t="e">
        <f>_xlfn.XLOOKUP(_xlfn.CONCAT(FGases_Backend[[#This Row],[Level 1]:[Level 6]]),rng_EFConcat,rng_EF3TD)*FGases_Backend[[#This Row],[Converted data]]/1000</f>
        <v>#N/A</v>
      </c>
      <c r="AK19" s="210" t="e">
        <f>_xlfn.XLOOKUP(_xlfn.CONCAT(FGases_Backend[[#This Row],[Level 1]:[Level 6]]),rng_EFConcat,rng_EF3WTTTD)*FGases_Backend[[#This Row],[Converted data]]/1000</f>
        <v>#N/A</v>
      </c>
      <c r="AL19" s="220" t="e">
        <f>SUM(FGases_Backend[[#This Row],[Scope 1 (tCO2e)]:[Scope 3 WTT T&amp;D (tCO2e)]])</f>
        <v>#N/A</v>
      </c>
      <c r="AM19" s="220" t="e">
        <f>FGases_Backend[[#This Row],[Total (tCO2e)]]*(1-FGases_Backend[[#This Row],[RSD]])</f>
        <v>#N/A</v>
      </c>
      <c r="AN19" s="220" t="e">
        <f>FGases_Backend[[#This Row],[Total (tCO2e)]]*(1+FGases_Backend[[#This Row],[RSD]])</f>
        <v>#N/A</v>
      </c>
      <c r="AO19" s="210" t="e">
        <f>_xlfn.XLOOKUP(_xlfn.CONCAT(FGases_Backend[[#This Row],[Level 1]:[Level 6]]),rng_EFConcat,rng_EFOOS)*FGases_Backend[[#This Row],[Converted data]]/1000</f>
        <v>#N/A</v>
      </c>
      <c r="AP19" s="174">
        <f>FGases_Frontend[[#This Row],[Ease of collection]]</f>
        <v>0</v>
      </c>
      <c r="AQ19" s="174">
        <f>FGases_Frontend[[#This Row],[Completeness]]</f>
        <v>0</v>
      </c>
      <c r="AR19" s="174">
        <f>FGases_Frontend[[#This Row],[Notes]]</f>
        <v>0</v>
      </c>
    </row>
    <row r="20" spans="2:44" x14ac:dyDescent="0.3">
      <c r="B20" s="455"/>
      <c r="E20" s="346"/>
      <c r="F20" s="336"/>
      <c r="G20" s="172" t="s">
        <v>336</v>
      </c>
      <c r="H20" s="334"/>
      <c r="I20" s="172" t="s">
        <v>337</v>
      </c>
      <c r="J20" s="336"/>
      <c r="K20" s="336"/>
      <c r="L20" s="350"/>
      <c r="M20" s="242">
        <f t="shared" si="1"/>
        <v>3</v>
      </c>
      <c r="Q20" s="212" t="str">
        <f t="shared" si="0"/>
        <v/>
      </c>
      <c r="R20" s="174" t="s">
        <v>265</v>
      </c>
      <c r="S20" s="174" t="s">
        <v>273</v>
      </c>
      <c r="T20" s="174" t="e">
        <f>_xlfn.XLOOKUP(FGases_Backend[[#This Row],[Info 1]],Buildings_SiteInfo[Site name],Buildings_SiteInfo[Site type])</f>
        <v>#N/A</v>
      </c>
      <c r="U20" s="174" t="s">
        <v>338</v>
      </c>
      <c r="V20" s="174">
        <f>FGases_Frontend[[#This Row],[Gas]]</f>
        <v>0</v>
      </c>
      <c r="W20" s="174" t="e" cm="1">
        <f t="array" aca="1" ref="W20" ca="1">_xlfn.XLOOKUP(FGases_Backend[[#This Row],[Level 5]],rng_Level5Long,rng_Level6Long)</f>
        <v>#N/A</v>
      </c>
      <c r="X20" s="174">
        <f>FGases_Frontend[[#This Row],[Site Name]]</f>
        <v>0</v>
      </c>
      <c r="Y20" s="174" t="s">
        <v>339</v>
      </c>
      <c r="Z20" s="174" t="str">
        <f>FGases_Frontend[[#This Row],[Methodology]]</f>
        <v>Tier 3</v>
      </c>
      <c r="AA20" s="229" t="e" cm="1">
        <f t="array" ref="AA20">INDEX(_xlfn.SWITCH(FGases_Backend[[#This Row],[Methodology]],"Tier 1",rng_RSD1,"Tier 2",rng_RSD2,"Tier 3",rng_RSD3),MATCH(_xlfn.CONCAT(FGases_Backend[[#This Row],[Level 1]:[Level 6]]),rng_LevelsConcat,0))</f>
        <v>#N/A</v>
      </c>
      <c r="AB20" s="220">
        <f>FGases_Frontend[[#This Row],[Data]]</f>
        <v>0</v>
      </c>
      <c r="AC20" s="174" t="str">
        <f>FGases_Frontend[[#This Row],[Units]]</f>
        <v>kg</v>
      </c>
      <c r="AD20" s="220">
        <f>FGases_Backend[[#This Row],[Data]]</f>
        <v>0</v>
      </c>
      <c r="AE20" s="174" t="str">
        <f>FGases_Frontend[[#This Row],[Units]]</f>
        <v>kg</v>
      </c>
      <c r="AF20" s="210" t="e">
        <f>_xlfn.XLOOKUP(_xlfn.CONCAT(FGases_Backend[[#This Row],[Level 1]:[Level 6]]),rng_EFConcat,rng_EF1)*FGases_Backend[[#This Row],[Converted data]]/1000</f>
        <v>#N/A</v>
      </c>
      <c r="AG20" s="210" t="e">
        <f>_xlfn.XLOOKUP(_xlfn.CONCAT(FGases_Backend[[#This Row],[Level 1]:[Level 6]]),rng_EFConcat,rng_EF2)*FGases_Backend[[#This Row],[Converted data]]/1000</f>
        <v>#N/A</v>
      </c>
      <c r="AH20" s="210" t="e">
        <f>_xlfn.XLOOKUP(_xlfn.CONCAT(FGases_Backend[[#This Row],[Level 1]:[Level 6]]),rng_EFConcat,rng_EF3)*FGases_Backend[[#This Row],[Converted data]]/1000</f>
        <v>#N/A</v>
      </c>
      <c r="AI20" s="210" t="e">
        <f>_xlfn.XLOOKUP(_xlfn.CONCAT(FGases_Backend[[#This Row],[Level 1]:[Level 6]]),rng_EFConcat,rng_EF3WTT)*FGases_Backend[[#This Row],[Converted data]]/1000</f>
        <v>#N/A</v>
      </c>
      <c r="AJ20" s="210" t="e">
        <f>_xlfn.XLOOKUP(_xlfn.CONCAT(FGases_Backend[[#This Row],[Level 1]:[Level 6]]),rng_EFConcat,rng_EF3TD)*FGases_Backend[[#This Row],[Converted data]]/1000</f>
        <v>#N/A</v>
      </c>
      <c r="AK20" s="210" t="e">
        <f>_xlfn.XLOOKUP(_xlfn.CONCAT(FGases_Backend[[#This Row],[Level 1]:[Level 6]]),rng_EFConcat,rng_EF3WTTTD)*FGases_Backend[[#This Row],[Converted data]]/1000</f>
        <v>#N/A</v>
      </c>
      <c r="AL20" s="220" t="e">
        <f>SUM(FGases_Backend[[#This Row],[Scope 1 (tCO2e)]:[Scope 3 WTT T&amp;D (tCO2e)]])</f>
        <v>#N/A</v>
      </c>
      <c r="AM20" s="220" t="e">
        <f>FGases_Backend[[#This Row],[Total (tCO2e)]]*(1-FGases_Backend[[#This Row],[RSD]])</f>
        <v>#N/A</v>
      </c>
      <c r="AN20" s="220" t="e">
        <f>FGases_Backend[[#This Row],[Total (tCO2e)]]*(1+FGases_Backend[[#This Row],[RSD]])</f>
        <v>#N/A</v>
      </c>
      <c r="AO20" s="210" t="e">
        <f>_xlfn.XLOOKUP(_xlfn.CONCAT(FGases_Backend[[#This Row],[Level 1]:[Level 6]]),rng_EFConcat,rng_EFOOS)*FGases_Backend[[#This Row],[Converted data]]/1000</f>
        <v>#N/A</v>
      </c>
      <c r="AP20" s="174">
        <f>FGases_Frontend[[#This Row],[Ease of collection]]</f>
        <v>0</v>
      </c>
      <c r="AQ20" s="174">
        <f>FGases_Frontend[[#This Row],[Completeness]]</f>
        <v>0</v>
      </c>
      <c r="AR20" s="174">
        <f>FGases_Frontend[[#This Row],[Notes]]</f>
        <v>0</v>
      </c>
    </row>
    <row r="21" spans="2:44" x14ac:dyDescent="0.3">
      <c r="B21" s="455"/>
      <c r="E21" s="346"/>
      <c r="F21" s="336"/>
      <c r="G21" s="172" t="s">
        <v>336</v>
      </c>
      <c r="H21" s="334"/>
      <c r="I21" s="172" t="s">
        <v>337</v>
      </c>
      <c r="J21" s="336"/>
      <c r="K21" s="336"/>
      <c r="L21" s="350"/>
      <c r="M21" s="242">
        <f t="shared" si="1"/>
        <v>3</v>
      </c>
      <c r="Q21" s="212" t="str">
        <f t="shared" si="0"/>
        <v/>
      </c>
      <c r="R21" s="174" t="s">
        <v>265</v>
      </c>
      <c r="S21" s="174" t="s">
        <v>273</v>
      </c>
      <c r="T21" s="174" t="e">
        <f>_xlfn.XLOOKUP(FGases_Backend[[#This Row],[Info 1]],Buildings_SiteInfo[Site name],Buildings_SiteInfo[Site type])</f>
        <v>#N/A</v>
      </c>
      <c r="U21" s="174" t="s">
        <v>338</v>
      </c>
      <c r="V21" s="174">
        <f>FGases_Frontend[[#This Row],[Gas]]</f>
        <v>0</v>
      </c>
      <c r="W21" s="174" t="e" cm="1">
        <f t="array" aca="1" ref="W21" ca="1">_xlfn.XLOOKUP(FGases_Backend[[#This Row],[Level 5]],rng_Level5Long,rng_Level6Long)</f>
        <v>#N/A</v>
      </c>
      <c r="X21" s="174">
        <f>FGases_Frontend[[#This Row],[Site Name]]</f>
        <v>0</v>
      </c>
      <c r="Y21" s="174" t="s">
        <v>339</v>
      </c>
      <c r="Z21" s="174" t="str">
        <f>FGases_Frontend[[#This Row],[Methodology]]</f>
        <v>Tier 3</v>
      </c>
      <c r="AA21" s="229" t="e" cm="1">
        <f t="array" ref="AA21">INDEX(_xlfn.SWITCH(FGases_Backend[[#This Row],[Methodology]],"Tier 1",rng_RSD1,"Tier 2",rng_RSD2,"Tier 3",rng_RSD3),MATCH(_xlfn.CONCAT(FGases_Backend[[#This Row],[Level 1]:[Level 6]]),rng_LevelsConcat,0))</f>
        <v>#N/A</v>
      </c>
      <c r="AB21" s="220">
        <f>FGases_Frontend[[#This Row],[Data]]</f>
        <v>0</v>
      </c>
      <c r="AC21" s="174" t="str">
        <f>FGases_Frontend[[#This Row],[Units]]</f>
        <v>kg</v>
      </c>
      <c r="AD21" s="220">
        <f>FGases_Backend[[#This Row],[Data]]</f>
        <v>0</v>
      </c>
      <c r="AE21" s="174" t="str">
        <f>FGases_Frontend[[#This Row],[Units]]</f>
        <v>kg</v>
      </c>
      <c r="AF21" s="210" t="e">
        <f>_xlfn.XLOOKUP(_xlfn.CONCAT(FGases_Backend[[#This Row],[Level 1]:[Level 6]]),rng_EFConcat,rng_EF1)*FGases_Backend[[#This Row],[Converted data]]/1000</f>
        <v>#N/A</v>
      </c>
      <c r="AG21" s="210" t="e">
        <f>_xlfn.XLOOKUP(_xlfn.CONCAT(FGases_Backend[[#This Row],[Level 1]:[Level 6]]),rng_EFConcat,rng_EF2)*FGases_Backend[[#This Row],[Converted data]]/1000</f>
        <v>#N/A</v>
      </c>
      <c r="AH21" s="210" t="e">
        <f>_xlfn.XLOOKUP(_xlfn.CONCAT(FGases_Backend[[#This Row],[Level 1]:[Level 6]]),rng_EFConcat,rng_EF3)*FGases_Backend[[#This Row],[Converted data]]/1000</f>
        <v>#N/A</v>
      </c>
      <c r="AI21" s="210" t="e">
        <f>_xlfn.XLOOKUP(_xlfn.CONCAT(FGases_Backend[[#This Row],[Level 1]:[Level 6]]),rng_EFConcat,rng_EF3WTT)*FGases_Backend[[#This Row],[Converted data]]/1000</f>
        <v>#N/A</v>
      </c>
      <c r="AJ21" s="210" t="e">
        <f>_xlfn.XLOOKUP(_xlfn.CONCAT(FGases_Backend[[#This Row],[Level 1]:[Level 6]]),rng_EFConcat,rng_EF3TD)*FGases_Backend[[#This Row],[Converted data]]/1000</f>
        <v>#N/A</v>
      </c>
      <c r="AK21" s="210" t="e">
        <f>_xlfn.XLOOKUP(_xlfn.CONCAT(FGases_Backend[[#This Row],[Level 1]:[Level 6]]),rng_EFConcat,rng_EF3WTTTD)*FGases_Backend[[#This Row],[Converted data]]/1000</f>
        <v>#N/A</v>
      </c>
      <c r="AL21" s="220" t="e">
        <f>SUM(FGases_Backend[[#This Row],[Scope 1 (tCO2e)]:[Scope 3 WTT T&amp;D (tCO2e)]])</f>
        <v>#N/A</v>
      </c>
      <c r="AM21" s="220" t="e">
        <f>FGases_Backend[[#This Row],[Total (tCO2e)]]*(1-FGases_Backend[[#This Row],[RSD]])</f>
        <v>#N/A</v>
      </c>
      <c r="AN21" s="220" t="e">
        <f>FGases_Backend[[#This Row],[Total (tCO2e)]]*(1+FGases_Backend[[#This Row],[RSD]])</f>
        <v>#N/A</v>
      </c>
      <c r="AO21" s="210" t="e">
        <f>_xlfn.XLOOKUP(_xlfn.CONCAT(FGases_Backend[[#This Row],[Level 1]:[Level 6]]),rng_EFConcat,rng_EFOOS)*FGases_Backend[[#This Row],[Converted data]]/1000</f>
        <v>#N/A</v>
      </c>
      <c r="AP21" s="174">
        <f>FGases_Frontend[[#This Row],[Ease of collection]]</f>
        <v>0</v>
      </c>
      <c r="AQ21" s="174">
        <f>FGases_Frontend[[#This Row],[Completeness]]</f>
        <v>0</v>
      </c>
      <c r="AR21" s="174">
        <f>FGases_Frontend[[#This Row],[Notes]]</f>
        <v>0</v>
      </c>
    </row>
    <row r="22" spans="2:44" x14ac:dyDescent="0.3">
      <c r="B22" s="455"/>
      <c r="E22" s="346"/>
      <c r="F22" s="336"/>
      <c r="G22" s="172" t="s">
        <v>336</v>
      </c>
      <c r="H22" s="334"/>
      <c r="I22" s="172" t="s">
        <v>337</v>
      </c>
      <c r="J22" s="336"/>
      <c r="K22" s="336"/>
      <c r="L22" s="350"/>
      <c r="M22" s="242">
        <f t="shared" si="1"/>
        <v>3</v>
      </c>
      <c r="Q22" s="212" t="str">
        <f t="shared" si="0"/>
        <v/>
      </c>
      <c r="R22" s="174" t="s">
        <v>265</v>
      </c>
      <c r="S22" s="174" t="s">
        <v>273</v>
      </c>
      <c r="T22" s="174" t="e">
        <f>_xlfn.XLOOKUP(FGases_Backend[[#This Row],[Info 1]],Buildings_SiteInfo[Site name],Buildings_SiteInfo[Site type])</f>
        <v>#N/A</v>
      </c>
      <c r="U22" s="174" t="s">
        <v>338</v>
      </c>
      <c r="V22" s="174">
        <f>FGases_Frontend[[#This Row],[Gas]]</f>
        <v>0</v>
      </c>
      <c r="W22" s="174" t="e" cm="1">
        <f t="array" aca="1" ref="W22" ca="1">_xlfn.XLOOKUP(FGases_Backend[[#This Row],[Level 5]],rng_Level5Long,rng_Level6Long)</f>
        <v>#N/A</v>
      </c>
      <c r="X22" s="174">
        <f>FGases_Frontend[[#This Row],[Site Name]]</f>
        <v>0</v>
      </c>
      <c r="Y22" s="174" t="s">
        <v>339</v>
      </c>
      <c r="Z22" s="174" t="str">
        <f>FGases_Frontend[[#This Row],[Methodology]]</f>
        <v>Tier 3</v>
      </c>
      <c r="AA22" s="229" t="e" cm="1">
        <f t="array" ref="AA22">INDEX(_xlfn.SWITCH(FGases_Backend[[#This Row],[Methodology]],"Tier 1",rng_RSD1,"Tier 2",rng_RSD2,"Tier 3",rng_RSD3),MATCH(_xlfn.CONCAT(FGases_Backend[[#This Row],[Level 1]:[Level 6]]),rng_LevelsConcat,0))</f>
        <v>#N/A</v>
      </c>
      <c r="AB22" s="220">
        <f>FGases_Frontend[[#This Row],[Data]]</f>
        <v>0</v>
      </c>
      <c r="AC22" s="174" t="str">
        <f>FGases_Frontend[[#This Row],[Units]]</f>
        <v>kg</v>
      </c>
      <c r="AD22" s="220">
        <f>FGases_Backend[[#This Row],[Data]]</f>
        <v>0</v>
      </c>
      <c r="AE22" s="174" t="str">
        <f>FGases_Frontend[[#This Row],[Units]]</f>
        <v>kg</v>
      </c>
      <c r="AF22" s="210" t="e">
        <f>_xlfn.XLOOKUP(_xlfn.CONCAT(FGases_Backend[[#This Row],[Level 1]:[Level 6]]),rng_EFConcat,rng_EF1)*FGases_Backend[[#This Row],[Converted data]]/1000</f>
        <v>#N/A</v>
      </c>
      <c r="AG22" s="210" t="e">
        <f>_xlfn.XLOOKUP(_xlfn.CONCAT(FGases_Backend[[#This Row],[Level 1]:[Level 6]]),rng_EFConcat,rng_EF2)*FGases_Backend[[#This Row],[Converted data]]/1000</f>
        <v>#N/A</v>
      </c>
      <c r="AH22" s="210" t="e">
        <f>_xlfn.XLOOKUP(_xlfn.CONCAT(FGases_Backend[[#This Row],[Level 1]:[Level 6]]),rng_EFConcat,rng_EF3)*FGases_Backend[[#This Row],[Converted data]]/1000</f>
        <v>#N/A</v>
      </c>
      <c r="AI22" s="210" t="e">
        <f>_xlfn.XLOOKUP(_xlfn.CONCAT(FGases_Backend[[#This Row],[Level 1]:[Level 6]]),rng_EFConcat,rng_EF3WTT)*FGases_Backend[[#This Row],[Converted data]]/1000</f>
        <v>#N/A</v>
      </c>
      <c r="AJ22" s="210" t="e">
        <f>_xlfn.XLOOKUP(_xlfn.CONCAT(FGases_Backend[[#This Row],[Level 1]:[Level 6]]),rng_EFConcat,rng_EF3TD)*FGases_Backend[[#This Row],[Converted data]]/1000</f>
        <v>#N/A</v>
      </c>
      <c r="AK22" s="210" t="e">
        <f>_xlfn.XLOOKUP(_xlfn.CONCAT(FGases_Backend[[#This Row],[Level 1]:[Level 6]]),rng_EFConcat,rng_EF3WTTTD)*FGases_Backend[[#This Row],[Converted data]]/1000</f>
        <v>#N/A</v>
      </c>
      <c r="AL22" s="220" t="e">
        <f>SUM(FGases_Backend[[#This Row],[Scope 1 (tCO2e)]:[Scope 3 WTT T&amp;D (tCO2e)]])</f>
        <v>#N/A</v>
      </c>
      <c r="AM22" s="220" t="e">
        <f>FGases_Backend[[#This Row],[Total (tCO2e)]]*(1-FGases_Backend[[#This Row],[RSD]])</f>
        <v>#N/A</v>
      </c>
      <c r="AN22" s="220" t="e">
        <f>FGases_Backend[[#This Row],[Total (tCO2e)]]*(1+FGases_Backend[[#This Row],[RSD]])</f>
        <v>#N/A</v>
      </c>
      <c r="AO22" s="210" t="e">
        <f>_xlfn.XLOOKUP(_xlfn.CONCAT(FGases_Backend[[#This Row],[Level 1]:[Level 6]]),rng_EFConcat,rng_EFOOS)*FGases_Backend[[#This Row],[Converted data]]/1000</f>
        <v>#N/A</v>
      </c>
      <c r="AP22" s="174">
        <f>FGases_Frontend[[#This Row],[Ease of collection]]</f>
        <v>0</v>
      </c>
      <c r="AQ22" s="174">
        <f>FGases_Frontend[[#This Row],[Completeness]]</f>
        <v>0</v>
      </c>
      <c r="AR22" s="174">
        <f>FGases_Frontend[[#This Row],[Notes]]</f>
        <v>0</v>
      </c>
    </row>
    <row r="23" spans="2:44" x14ac:dyDescent="0.3">
      <c r="B23" s="455"/>
      <c r="E23" s="346"/>
      <c r="F23" s="336"/>
      <c r="G23" s="172" t="s">
        <v>336</v>
      </c>
      <c r="H23" s="334"/>
      <c r="I23" s="172" t="s">
        <v>337</v>
      </c>
      <c r="J23" s="336"/>
      <c r="K23" s="336"/>
      <c r="L23" s="350"/>
      <c r="M23" s="242">
        <f t="shared" si="1"/>
        <v>3</v>
      </c>
      <c r="Q23" s="212" t="str">
        <f t="shared" si="0"/>
        <v/>
      </c>
      <c r="R23" s="174" t="s">
        <v>265</v>
      </c>
      <c r="S23" s="174" t="s">
        <v>273</v>
      </c>
      <c r="T23" s="174" t="e">
        <f>_xlfn.XLOOKUP(FGases_Backend[[#This Row],[Info 1]],Buildings_SiteInfo[Site name],Buildings_SiteInfo[Site type])</f>
        <v>#N/A</v>
      </c>
      <c r="U23" s="174" t="s">
        <v>338</v>
      </c>
      <c r="V23" s="174">
        <f>FGases_Frontend[[#This Row],[Gas]]</f>
        <v>0</v>
      </c>
      <c r="W23" s="174" t="e" cm="1">
        <f t="array" aca="1" ref="W23" ca="1">_xlfn.XLOOKUP(FGases_Backend[[#This Row],[Level 5]],rng_Level5Long,rng_Level6Long)</f>
        <v>#N/A</v>
      </c>
      <c r="X23" s="174">
        <f>FGases_Frontend[[#This Row],[Site Name]]</f>
        <v>0</v>
      </c>
      <c r="Y23" s="174" t="s">
        <v>339</v>
      </c>
      <c r="Z23" s="174" t="str">
        <f>FGases_Frontend[[#This Row],[Methodology]]</f>
        <v>Tier 3</v>
      </c>
      <c r="AA23" s="229" t="e" cm="1">
        <f t="array" ref="AA23">INDEX(_xlfn.SWITCH(FGases_Backend[[#This Row],[Methodology]],"Tier 1",rng_RSD1,"Tier 2",rng_RSD2,"Tier 3",rng_RSD3),MATCH(_xlfn.CONCAT(FGases_Backend[[#This Row],[Level 1]:[Level 6]]),rng_LevelsConcat,0))</f>
        <v>#N/A</v>
      </c>
      <c r="AB23" s="220">
        <f>FGases_Frontend[[#This Row],[Data]]</f>
        <v>0</v>
      </c>
      <c r="AC23" s="174" t="str">
        <f>FGases_Frontend[[#This Row],[Units]]</f>
        <v>kg</v>
      </c>
      <c r="AD23" s="220">
        <f>FGases_Backend[[#This Row],[Data]]</f>
        <v>0</v>
      </c>
      <c r="AE23" s="174" t="str">
        <f>FGases_Frontend[[#This Row],[Units]]</f>
        <v>kg</v>
      </c>
      <c r="AF23" s="210" t="e">
        <f>_xlfn.XLOOKUP(_xlfn.CONCAT(FGases_Backend[[#This Row],[Level 1]:[Level 6]]),rng_EFConcat,rng_EF1)*FGases_Backend[[#This Row],[Converted data]]/1000</f>
        <v>#N/A</v>
      </c>
      <c r="AG23" s="210" t="e">
        <f>_xlfn.XLOOKUP(_xlfn.CONCAT(FGases_Backend[[#This Row],[Level 1]:[Level 6]]),rng_EFConcat,rng_EF2)*FGases_Backend[[#This Row],[Converted data]]/1000</f>
        <v>#N/A</v>
      </c>
      <c r="AH23" s="210" t="e">
        <f>_xlfn.XLOOKUP(_xlfn.CONCAT(FGases_Backend[[#This Row],[Level 1]:[Level 6]]),rng_EFConcat,rng_EF3)*FGases_Backend[[#This Row],[Converted data]]/1000</f>
        <v>#N/A</v>
      </c>
      <c r="AI23" s="210" t="e">
        <f>_xlfn.XLOOKUP(_xlfn.CONCAT(FGases_Backend[[#This Row],[Level 1]:[Level 6]]),rng_EFConcat,rng_EF3WTT)*FGases_Backend[[#This Row],[Converted data]]/1000</f>
        <v>#N/A</v>
      </c>
      <c r="AJ23" s="210" t="e">
        <f>_xlfn.XLOOKUP(_xlfn.CONCAT(FGases_Backend[[#This Row],[Level 1]:[Level 6]]),rng_EFConcat,rng_EF3TD)*FGases_Backend[[#This Row],[Converted data]]/1000</f>
        <v>#N/A</v>
      </c>
      <c r="AK23" s="210" t="e">
        <f>_xlfn.XLOOKUP(_xlfn.CONCAT(FGases_Backend[[#This Row],[Level 1]:[Level 6]]),rng_EFConcat,rng_EF3WTTTD)*FGases_Backend[[#This Row],[Converted data]]/1000</f>
        <v>#N/A</v>
      </c>
      <c r="AL23" s="220" t="e">
        <f>SUM(FGases_Backend[[#This Row],[Scope 1 (tCO2e)]:[Scope 3 WTT T&amp;D (tCO2e)]])</f>
        <v>#N/A</v>
      </c>
      <c r="AM23" s="220" t="e">
        <f>FGases_Backend[[#This Row],[Total (tCO2e)]]*(1-FGases_Backend[[#This Row],[RSD]])</f>
        <v>#N/A</v>
      </c>
      <c r="AN23" s="220" t="e">
        <f>FGases_Backend[[#This Row],[Total (tCO2e)]]*(1+FGases_Backend[[#This Row],[RSD]])</f>
        <v>#N/A</v>
      </c>
      <c r="AO23" s="210" t="e">
        <f>_xlfn.XLOOKUP(_xlfn.CONCAT(FGases_Backend[[#This Row],[Level 1]:[Level 6]]),rng_EFConcat,rng_EFOOS)*FGases_Backend[[#This Row],[Converted data]]/1000</f>
        <v>#N/A</v>
      </c>
      <c r="AP23" s="174">
        <f>FGases_Frontend[[#This Row],[Ease of collection]]</f>
        <v>0</v>
      </c>
      <c r="AQ23" s="174">
        <f>FGases_Frontend[[#This Row],[Completeness]]</f>
        <v>0</v>
      </c>
      <c r="AR23" s="174">
        <f>FGases_Frontend[[#This Row],[Notes]]</f>
        <v>0</v>
      </c>
    </row>
    <row r="24" spans="2:44" x14ac:dyDescent="0.3">
      <c r="B24" s="455"/>
      <c r="E24" s="346"/>
      <c r="F24" s="336"/>
      <c r="G24" s="172" t="s">
        <v>336</v>
      </c>
      <c r="H24" s="334"/>
      <c r="I24" s="172" t="s">
        <v>337</v>
      </c>
      <c r="J24" s="336"/>
      <c r="K24" s="336"/>
      <c r="L24" s="350"/>
      <c r="M24" s="242">
        <f t="shared" si="1"/>
        <v>3</v>
      </c>
      <c r="Q24" s="212" t="str">
        <f t="shared" si="0"/>
        <v/>
      </c>
      <c r="R24" s="174" t="s">
        <v>265</v>
      </c>
      <c r="S24" s="174" t="s">
        <v>273</v>
      </c>
      <c r="T24" s="174" t="e">
        <f>_xlfn.XLOOKUP(FGases_Backend[[#This Row],[Info 1]],Buildings_SiteInfo[Site name],Buildings_SiteInfo[Site type])</f>
        <v>#N/A</v>
      </c>
      <c r="U24" s="174" t="s">
        <v>338</v>
      </c>
      <c r="V24" s="174">
        <f>FGases_Frontend[[#This Row],[Gas]]</f>
        <v>0</v>
      </c>
      <c r="W24" s="174" t="e" cm="1">
        <f t="array" aca="1" ref="W24" ca="1">_xlfn.XLOOKUP(FGases_Backend[[#This Row],[Level 5]],rng_Level5Long,rng_Level6Long)</f>
        <v>#N/A</v>
      </c>
      <c r="X24" s="174">
        <f>FGases_Frontend[[#This Row],[Site Name]]</f>
        <v>0</v>
      </c>
      <c r="Y24" s="174" t="s">
        <v>339</v>
      </c>
      <c r="Z24" s="174" t="str">
        <f>FGases_Frontend[[#This Row],[Methodology]]</f>
        <v>Tier 3</v>
      </c>
      <c r="AA24" s="229" t="e" cm="1">
        <f t="array" ref="AA24">INDEX(_xlfn.SWITCH(FGases_Backend[[#This Row],[Methodology]],"Tier 1",rng_RSD1,"Tier 2",rng_RSD2,"Tier 3",rng_RSD3),MATCH(_xlfn.CONCAT(FGases_Backend[[#This Row],[Level 1]:[Level 6]]),rng_LevelsConcat,0))</f>
        <v>#N/A</v>
      </c>
      <c r="AB24" s="220">
        <f>FGases_Frontend[[#This Row],[Data]]</f>
        <v>0</v>
      </c>
      <c r="AC24" s="174" t="str">
        <f>FGases_Frontend[[#This Row],[Units]]</f>
        <v>kg</v>
      </c>
      <c r="AD24" s="220">
        <f>FGases_Backend[[#This Row],[Data]]</f>
        <v>0</v>
      </c>
      <c r="AE24" s="174" t="str">
        <f>FGases_Frontend[[#This Row],[Units]]</f>
        <v>kg</v>
      </c>
      <c r="AF24" s="210" t="e">
        <f>_xlfn.XLOOKUP(_xlfn.CONCAT(FGases_Backend[[#This Row],[Level 1]:[Level 6]]),rng_EFConcat,rng_EF1)*FGases_Backend[[#This Row],[Converted data]]/1000</f>
        <v>#N/A</v>
      </c>
      <c r="AG24" s="210" t="e">
        <f>_xlfn.XLOOKUP(_xlfn.CONCAT(FGases_Backend[[#This Row],[Level 1]:[Level 6]]),rng_EFConcat,rng_EF2)*FGases_Backend[[#This Row],[Converted data]]/1000</f>
        <v>#N/A</v>
      </c>
      <c r="AH24" s="210" t="e">
        <f>_xlfn.XLOOKUP(_xlfn.CONCAT(FGases_Backend[[#This Row],[Level 1]:[Level 6]]),rng_EFConcat,rng_EF3)*FGases_Backend[[#This Row],[Converted data]]/1000</f>
        <v>#N/A</v>
      </c>
      <c r="AI24" s="210" t="e">
        <f>_xlfn.XLOOKUP(_xlfn.CONCAT(FGases_Backend[[#This Row],[Level 1]:[Level 6]]),rng_EFConcat,rng_EF3WTT)*FGases_Backend[[#This Row],[Converted data]]/1000</f>
        <v>#N/A</v>
      </c>
      <c r="AJ24" s="210" t="e">
        <f>_xlfn.XLOOKUP(_xlfn.CONCAT(FGases_Backend[[#This Row],[Level 1]:[Level 6]]),rng_EFConcat,rng_EF3TD)*FGases_Backend[[#This Row],[Converted data]]/1000</f>
        <v>#N/A</v>
      </c>
      <c r="AK24" s="210" t="e">
        <f>_xlfn.XLOOKUP(_xlfn.CONCAT(FGases_Backend[[#This Row],[Level 1]:[Level 6]]),rng_EFConcat,rng_EF3WTTTD)*FGases_Backend[[#This Row],[Converted data]]/1000</f>
        <v>#N/A</v>
      </c>
      <c r="AL24" s="220" t="e">
        <f>SUM(FGases_Backend[[#This Row],[Scope 1 (tCO2e)]:[Scope 3 WTT T&amp;D (tCO2e)]])</f>
        <v>#N/A</v>
      </c>
      <c r="AM24" s="220" t="e">
        <f>FGases_Backend[[#This Row],[Total (tCO2e)]]*(1-FGases_Backend[[#This Row],[RSD]])</f>
        <v>#N/A</v>
      </c>
      <c r="AN24" s="220" t="e">
        <f>FGases_Backend[[#This Row],[Total (tCO2e)]]*(1+FGases_Backend[[#This Row],[RSD]])</f>
        <v>#N/A</v>
      </c>
      <c r="AO24" s="210" t="e">
        <f>_xlfn.XLOOKUP(_xlfn.CONCAT(FGases_Backend[[#This Row],[Level 1]:[Level 6]]),rng_EFConcat,rng_EFOOS)*FGases_Backend[[#This Row],[Converted data]]/1000</f>
        <v>#N/A</v>
      </c>
      <c r="AP24" s="174">
        <f>FGases_Frontend[[#This Row],[Ease of collection]]</f>
        <v>0</v>
      </c>
      <c r="AQ24" s="174">
        <f>FGases_Frontend[[#This Row],[Completeness]]</f>
        <v>0</v>
      </c>
      <c r="AR24" s="174">
        <f>FGases_Frontend[[#This Row],[Notes]]</f>
        <v>0</v>
      </c>
    </row>
    <row r="25" spans="2:44" x14ac:dyDescent="0.3">
      <c r="B25" s="455"/>
      <c r="E25" s="346"/>
      <c r="F25" s="336"/>
      <c r="G25" s="172" t="s">
        <v>336</v>
      </c>
      <c r="H25" s="334"/>
      <c r="I25" s="172" t="s">
        <v>337</v>
      </c>
      <c r="J25" s="336"/>
      <c r="K25" s="336"/>
      <c r="L25" s="350"/>
      <c r="M25" s="242">
        <f t="shared" si="1"/>
        <v>3</v>
      </c>
      <c r="Q25" s="212" t="str">
        <f t="shared" si="0"/>
        <v/>
      </c>
      <c r="R25" s="174" t="s">
        <v>265</v>
      </c>
      <c r="S25" s="174" t="s">
        <v>273</v>
      </c>
      <c r="T25" s="174" t="e">
        <f>_xlfn.XLOOKUP(FGases_Backend[[#This Row],[Info 1]],Buildings_SiteInfo[Site name],Buildings_SiteInfo[Site type])</f>
        <v>#N/A</v>
      </c>
      <c r="U25" s="174" t="s">
        <v>338</v>
      </c>
      <c r="V25" s="174">
        <f>FGases_Frontend[[#This Row],[Gas]]</f>
        <v>0</v>
      </c>
      <c r="W25" s="216" t="e" cm="1">
        <f t="array" aca="1" ref="W25" ca="1">_xlfn.XLOOKUP(FGases_Backend[[#This Row],[Level 5]],rng_Level5Long,rng_Level6Long)</f>
        <v>#N/A</v>
      </c>
      <c r="X25" s="216">
        <f>FGases_Frontend[[#This Row],[Site Name]]</f>
        <v>0</v>
      </c>
      <c r="Y25" s="174" t="s">
        <v>339</v>
      </c>
      <c r="Z25" s="174" t="str">
        <f>FGases_Frontend[[#This Row],[Methodology]]</f>
        <v>Tier 3</v>
      </c>
      <c r="AA25" s="229" t="e" cm="1">
        <f t="array" ref="AA25">INDEX(_xlfn.SWITCH(FGases_Backend[[#This Row],[Methodology]],"Tier 1",rng_RSD1,"Tier 2",rng_RSD2,"Tier 3",rng_RSD3),MATCH(_xlfn.CONCAT(FGases_Backend[[#This Row],[Level 1]:[Level 6]]),rng_LevelsConcat,0))</f>
        <v>#N/A</v>
      </c>
      <c r="AB25" s="220">
        <f>FGases_Frontend[[#This Row],[Data]]</f>
        <v>0</v>
      </c>
      <c r="AC25" s="174" t="str">
        <f>FGases_Frontend[[#This Row],[Units]]</f>
        <v>kg</v>
      </c>
      <c r="AD25" s="220">
        <f>FGases_Backend[[#This Row],[Data]]</f>
        <v>0</v>
      </c>
      <c r="AE25" s="174" t="str">
        <f>FGases_Frontend[[#This Row],[Units]]</f>
        <v>kg</v>
      </c>
      <c r="AF25" s="210" t="e">
        <f>_xlfn.XLOOKUP(_xlfn.CONCAT(FGases_Backend[[#This Row],[Level 1]:[Level 6]]),rng_EFConcat,rng_EF1)*FGases_Backend[[#This Row],[Converted data]]/1000</f>
        <v>#N/A</v>
      </c>
      <c r="AG25" s="210" t="e">
        <f>_xlfn.XLOOKUP(_xlfn.CONCAT(FGases_Backend[[#This Row],[Level 1]:[Level 6]]),rng_EFConcat,rng_EF2)*FGases_Backend[[#This Row],[Converted data]]/1000</f>
        <v>#N/A</v>
      </c>
      <c r="AH25" s="210" t="e">
        <f>_xlfn.XLOOKUP(_xlfn.CONCAT(FGases_Backend[[#This Row],[Level 1]:[Level 6]]),rng_EFConcat,rng_EF3)*FGases_Backend[[#This Row],[Converted data]]/1000</f>
        <v>#N/A</v>
      </c>
      <c r="AI25" s="210" t="e">
        <f>_xlfn.XLOOKUP(_xlfn.CONCAT(FGases_Backend[[#This Row],[Level 1]:[Level 6]]),rng_EFConcat,rng_EF3WTT)*FGases_Backend[[#This Row],[Converted data]]/1000</f>
        <v>#N/A</v>
      </c>
      <c r="AJ25" s="210" t="e">
        <f>_xlfn.XLOOKUP(_xlfn.CONCAT(FGases_Backend[[#This Row],[Level 1]:[Level 6]]),rng_EFConcat,rng_EF3TD)*FGases_Backend[[#This Row],[Converted data]]/1000</f>
        <v>#N/A</v>
      </c>
      <c r="AK25" s="210" t="e">
        <f>_xlfn.XLOOKUP(_xlfn.CONCAT(FGases_Backend[[#This Row],[Level 1]:[Level 6]]),rng_EFConcat,rng_EF3WTTTD)*FGases_Backend[[#This Row],[Converted data]]/1000</f>
        <v>#N/A</v>
      </c>
      <c r="AL25" s="220" t="e">
        <f>SUM(FGases_Backend[[#This Row],[Scope 1 (tCO2e)]:[Scope 3 WTT T&amp;D (tCO2e)]])</f>
        <v>#N/A</v>
      </c>
      <c r="AM25" s="220" t="e">
        <f>FGases_Backend[[#This Row],[Total (tCO2e)]]*(1-FGases_Backend[[#This Row],[RSD]])</f>
        <v>#N/A</v>
      </c>
      <c r="AN25" s="220" t="e">
        <f>FGases_Backend[[#This Row],[Total (tCO2e)]]*(1+FGases_Backend[[#This Row],[RSD]])</f>
        <v>#N/A</v>
      </c>
      <c r="AO25" s="210" t="e">
        <f>_xlfn.XLOOKUP(_xlfn.CONCAT(FGases_Backend[[#This Row],[Level 1]:[Level 6]]),rng_EFConcat,rng_EFOOS)*FGases_Backend[[#This Row],[Converted data]]/1000</f>
        <v>#N/A</v>
      </c>
      <c r="AP25" s="174">
        <f>FGases_Frontend[[#This Row],[Ease of collection]]</f>
        <v>0</v>
      </c>
      <c r="AQ25" s="174">
        <f>FGases_Frontend[[#This Row],[Completeness]]</f>
        <v>0</v>
      </c>
      <c r="AR25" s="174">
        <f>FGases_Frontend[[#This Row],[Notes]]</f>
        <v>0</v>
      </c>
    </row>
    <row r="26" spans="2:44" x14ac:dyDescent="0.3">
      <c r="B26" s="455"/>
      <c r="E26" s="346"/>
      <c r="F26" s="336"/>
      <c r="G26" s="172" t="s">
        <v>336</v>
      </c>
      <c r="H26" s="334"/>
      <c r="I26" s="172" t="s">
        <v>337</v>
      </c>
      <c r="J26" s="336"/>
      <c r="K26" s="336"/>
      <c r="L26" s="350"/>
      <c r="M26" s="242">
        <f t="shared" si="1"/>
        <v>3</v>
      </c>
      <c r="Q26" s="212" t="str">
        <f t="shared" si="0"/>
        <v/>
      </c>
      <c r="R26" s="174" t="s">
        <v>265</v>
      </c>
      <c r="S26" s="174" t="s">
        <v>273</v>
      </c>
      <c r="T26" s="174" t="e">
        <f>_xlfn.XLOOKUP(FGases_Backend[[#This Row],[Info 1]],Buildings_SiteInfo[Site name],Buildings_SiteInfo[Site type])</f>
        <v>#N/A</v>
      </c>
      <c r="U26" s="174" t="s">
        <v>338</v>
      </c>
      <c r="V26" s="174">
        <f>FGases_Frontend[[#This Row],[Gas]]</f>
        <v>0</v>
      </c>
      <c r="W26" s="174" t="e" cm="1">
        <f t="array" aca="1" ref="W26" ca="1">_xlfn.XLOOKUP(FGases_Backend[[#This Row],[Level 5]],rng_Level5Long,rng_Level6Long)</f>
        <v>#N/A</v>
      </c>
      <c r="X26" s="174">
        <f>FGases_Frontend[[#This Row],[Site Name]]</f>
        <v>0</v>
      </c>
      <c r="Y26" s="174" t="s">
        <v>339</v>
      </c>
      <c r="Z26" s="174" t="str">
        <f>FGases_Frontend[[#This Row],[Methodology]]</f>
        <v>Tier 3</v>
      </c>
      <c r="AA26" s="229" t="e" cm="1">
        <f t="array" ref="AA26">INDEX(_xlfn.SWITCH(FGases_Backend[[#This Row],[Methodology]],"Tier 1",rng_RSD1,"Tier 2",rng_RSD2,"Tier 3",rng_RSD3),MATCH(_xlfn.CONCAT(FGases_Backend[[#This Row],[Level 1]:[Level 6]]),rng_LevelsConcat,0))</f>
        <v>#N/A</v>
      </c>
      <c r="AB26" s="220">
        <f>FGases_Frontend[[#This Row],[Data]]</f>
        <v>0</v>
      </c>
      <c r="AC26" s="174" t="str">
        <f>FGases_Frontend[[#This Row],[Units]]</f>
        <v>kg</v>
      </c>
      <c r="AD26" s="220">
        <f>FGases_Backend[[#This Row],[Data]]</f>
        <v>0</v>
      </c>
      <c r="AE26" s="174" t="str">
        <f>FGases_Frontend[[#This Row],[Units]]</f>
        <v>kg</v>
      </c>
      <c r="AF26" s="210" t="e">
        <f>_xlfn.XLOOKUP(_xlfn.CONCAT(FGases_Backend[[#This Row],[Level 1]:[Level 6]]),rng_EFConcat,rng_EF1)*FGases_Backend[[#This Row],[Converted data]]/1000</f>
        <v>#N/A</v>
      </c>
      <c r="AG26" s="210" t="e">
        <f>_xlfn.XLOOKUP(_xlfn.CONCAT(FGases_Backend[[#This Row],[Level 1]:[Level 6]]),rng_EFConcat,rng_EF2)*FGases_Backend[[#This Row],[Converted data]]/1000</f>
        <v>#N/A</v>
      </c>
      <c r="AH26" s="210" t="e">
        <f>_xlfn.XLOOKUP(_xlfn.CONCAT(FGases_Backend[[#This Row],[Level 1]:[Level 6]]),rng_EFConcat,rng_EF3)*FGases_Backend[[#This Row],[Converted data]]/1000</f>
        <v>#N/A</v>
      </c>
      <c r="AI26" s="210" t="e">
        <f>_xlfn.XLOOKUP(_xlfn.CONCAT(FGases_Backend[[#This Row],[Level 1]:[Level 6]]),rng_EFConcat,rng_EF3WTT)*FGases_Backend[[#This Row],[Converted data]]/1000</f>
        <v>#N/A</v>
      </c>
      <c r="AJ26" s="210" t="e">
        <f>_xlfn.XLOOKUP(_xlfn.CONCAT(FGases_Backend[[#This Row],[Level 1]:[Level 6]]),rng_EFConcat,rng_EF3TD)*FGases_Backend[[#This Row],[Converted data]]/1000</f>
        <v>#N/A</v>
      </c>
      <c r="AK26" s="210" t="e">
        <f>_xlfn.XLOOKUP(_xlfn.CONCAT(FGases_Backend[[#This Row],[Level 1]:[Level 6]]),rng_EFConcat,rng_EF3WTTTD)*FGases_Backend[[#This Row],[Converted data]]/1000</f>
        <v>#N/A</v>
      </c>
      <c r="AL26" s="220" t="e">
        <f>SUM(FGases_Backend[[#This Row],[Scope 1 (tCO2e)]:[Scope 3 WTT T&amp;D (tCO2e)]])</f>
        <v>#N/A</v>
      </c>
      <c r="AM26" s="220" t="e">
        <f>FGases_Backend[[#This Row],[Total (tCO2e)]]*(1-FGases_Backend[[#This Row],[RSD]])</f>
        <v>#N/A</v>
      </c>
      <c r="AN26" s="220" t="e">
        <f>FGases_Backend[[#This Row],[Total (tCO2e)]]*(1+FGases_Backend[[#This Row],[RSD]])</f>
        <v>#N/A</v>
      </c>
      <c r="AO26" s="210" t="e">
        <f>_xlfn.XLOOKUP(_xlfn.CONCAT(FGases_Backend[[#This Row],[Level 1]:[Level 6]]),rng_EFConcat,rng_EFOOS)*FGases_Backend[[#This Row],[Converted data]]/1000</f>
        <v>#N/A</v>
      </c>
      <c r="AP26" s="174">
        <f>FGases_Frontend[[#This Row],[Ease of collection]]</f>
        <v>0</v>
      </c>
      <c r="AQ26" s="174">
        <f>FGases_Frontend[[#This Row],[Completeness]]</f>
        <v>0</v>
      </c>
      <c r="AR26" s="174">
        <f>FGases_Frontend[[#This Row],[Notes]]</f>
        <v>0</v>
      </c>
    </row>
    <row r="27" spans="2:44" x14ac:dyDescent="0.3">
      <c r="B27" s="455"/>
      <c r="E27" s="346"/>
      <c r="F27" s="336"/>
      <c r="G27" s="172" t="s">
        <v>336</v>
      </c>
      <c r="H27" s="334"/>
      <c r="I27" s="172" t="s">
        <v>337</v>
      </c>
      <c r="J27" s="336"/>
      <c r="K27" s="336"/>
      <c r="L27" s="350"/>
      <c r="M27" s="242">
        <f t="shared" si="1"/>
        <v>3</v>
      </c>
      <c r="Q27" s="212" t="str">
        <f t="shared" si="0"/>
        <v/>
      </c>
      <c r="R27" s="174" t="s">
        <v>265</v>
      </c>
      <c r="S27" s="174" t="s">
        <v>273</v>
      </c>
      <c r="T27" s="174" t="e">
        <f>_xlfn.XLOOKUP(FGases_Backend[[#This Row],[Info 1]],Buildings_SiteInfo[Site name],Buildings_SiteInfo[Site type])</f>
        <v>#N/A</v>
      </c>
      <c r="U27" s="174" t="s">
        <v>338</v>
      </c>
      <c r="V27" s="174">
        <f>FGases_Frontend[[#This Row],[Gas]]</f>
        <v>0</v>
      </c>
      <c r="W27" s="174" t="e" cm="1">
        <f t="array" aca="1" ref="W27" ca="1">_xlfn.XLOOKUP(FGases_Backend[[#This Row],[Level 5]],rng_Level5Long,rng_Level6Long)</f>
        <v>#N/A</v>
      </c>
      <c r="X27" s="174">
        <f>FGases_Frontend[[#This Row],[Site Name]]</f>
        <v>0</v>
      </c>
      <c r="Y27" s="174" t="s">
        <v>339</v>
      </c>
      <c r="Z27" s="174" t="str">
        <f>FGases_Frontend[[#This Row],[Methodology]]</f>
        <v>Tier 3</v>
      </c>
      <c r="AA27" s="229" t="e" cm="1">
        <f t="array" ref="AA27">INDEX(_xlfn.SWITCH(FGases_Backend[[#This Row],[Methodology]],"Tier 1",rng_RSD1,"Tier 2",rng_RSD2,"Tier 3",rng_RSD3),MATCH(_xlfn.CONCAT(FGases_Backend[[#This Row],[Level 1]:[Level 6]]),rng_LevelsConcat,0))</f>
        <v>#N/A</v>
      </c>
      <c r="AB27" s="220">
        <f>FGases_Frontend[[#This Row],[Data]]</f>
        <v>0</v>
      </c>
      <c r="AC27" s="174" t="str">
        <f>FGases_Frontend[[#This Row],[Units]]</f>
        <v>kg</v>
      </c>
      <c r="AD27" s="220">
        <f>FGases_Backend[[#This Row],[Data]]</f>
        <v>0</v>
      </c>
      <c r="AE27" s="174" t="str">
        <f>FGases_Frontend[[#This Row],[Units]]</f>
        <v>kg</v>
      </c>
      <c r="AF27" s="210" t="e">
        <f>_xlfn.XLOOKUP(_xlfn.CONCAT(FGases_Backend[[#This Row],[Level 1]:[Level 6]]),rng_EFConcat,rng_EF1)*FGases_Backend[[#This Row],[Converted data]]/1000</f>
        <v>#N/A</v>
      </c>
      <c r="AG27" s="210" t="e">
        <f>_xlfn.XLOOKUP(_xlfn.CONCAT(FGases_Backend[[#This Row],[Level 1]:[Level 6]]),rng_EFConcat,rng_EF2)*FGases_Backend[[#This Row],[Converted data]]/1000</f>
        <v>#N/A</v>
      </c>
      <c r="AH27" s="210" t="e">
        <f>_xlfn.XLOOKUP(_xlfn.CONCAT(FGases_Backend[[#This Row],[Level 1]:[Level 6]]),rng_EFConcat,rng_EF3)*FGases_Backend[[#This Row],[Converted data]]/1000</f>
        <v>#N/A</v>
      </c>
      <c r="AI27" s="210" t="e">
        <f>_xlfn.XLOOKUP(_xlfn.CONCAT(FGases_Backend[[#This Row],[Level 1]:[Level 6]]),rng_EFConcat,rng_EF3WTT)*FGases_Backend[[#This Row],[Converted data]]/1000</f>
        <v>#N/A</v>
      </c>
      <c r="AJ27" s="210" t="e">
        <f>_xlfn.XLOOKUP(_xlfn.CONCAT(FGases_Backend[[#This Row],[Level 1]:[Level 6]]),rng_EFConcat,rng_EF3TD)*FGases_Backend[[#This Row],[Converted data]]/1000</f>
        <v>#N/A</v>
      </c>
      <c r="AK27" s="210" t="e">
        <f>_xlfn.XLOOKUP(_xlfn.CONCAT(FGases_Backend[[#This Row],[Level 1]:[Level 6]]),rng_EFConcat,rng_EF3WTTTD)*FGases_Backend[[#This Row],[Converted data]]/1000</f>
        <v>#N/A</v>
      </c>
      <c r="AL27" s="220" t="e">
        <f>SUM(FGases_Backend[[#This Row],[Scope 1 (tCO2e)]:[Scope 3 WTT T&amp;D (tCO2e)]])</f>
        <v>#N/A</v>
      </c>
      <c r="AM27" s="220" t="e">
        <f>FGases_Backend[[#This Row],[Total (tCO2e)]]*(1-FGases_Backend[[#This Row],[RSD]])</f>
        <v>#N/A</v>
      </c>
      <c r="AN27" s="220" t="e">
        <f>FGases_Backend[[#This Row],[Total (tCO2e)]]*(1+FGases_Backend[[#This Row],[RSD]])</f>
        <v>#N/A</v>
      </c>
      <c r="AO27" s="210" t="e">
        <f>_xlfn.XLOOKUP(_xlfn.CONCAT(FGases_Backend[[#This Row],[Level 1]:[Level 6]]),rng_EFConcat,rng_EFOOS)*FGases_Backend[[#This Row],[Converted data]]/1000</f>
        <v>#N/A</v>
      </c>
      <c r="AP27" s="174">
        <f>FGases_Frontend[[#This Row],[Ease of collection]]</f>
        <v>0</v>
      </c>
      <c r="AQ27" s="174">
        <f>FGases_Frontend[[#This Row],[Completeness]]</f>
        <v>0</v>
      </c>
      <c r="AR27" s="174">
        <f>FGases_Frontend[[#This Row],[Notes]]</f>
        <v>0</v>
      </c>
    </row>
    <row r="28" spans="2:44" x14ac:dyDescent="0.3">
      <c r="B28" s="455"/>
      <c r="E28" s="346"/>
      <c r="F28" s="336"/>
      <c r="G28" s="172" t="s">
        <v>336</v>
      </c>
      <c r="H28" s="334"/>
      <c r="I28" s="172" t="s">
        <v>337</v>
      </c>
      <c r="J28" s="336"/>
      <c r="K28" s="336"/>
      <c r="L28" s="350"/>
      <c r="M28" s="242">
        <f t="shared" si="1"/>
        <v>3</v>
      </c>
      <c r="Q28" s="212" t="str">
        <f t="shared" si="0"/>
        <v/>
      </c>
      <c r="R28" s="174" t="s">
        <v>265</v>
      </c>
      <c r="S28" s="174" t="s">
        <v>273</v>
      </c>
      <c r="T28" s="174" t="e">
        <f>_xlfn.XLOOKUP(FGases_Backend[[#This Row],[Info 1]],Buildings_SiteInfo[Site name],Buildings_SiteInfo[Site type])</f>
        <v>#N/A</v>
      </c>
      <c r="U28" s="174" t="s">
        <v>338</v>
      </c>
      <c r="V28" s="174">
        <f>FGases_Frontend[[#This Row],[Gas]]</f>
        <v>0</v>
      </c>
      <c r="W28" s="174" t="e" cm="1">
        <f t="array" aca="1" ref="W28" ca="1">_xlfn.XLOOKUP(FGases_Backend[[#This Row],[Level 5]],rng_Level5Long,rng_Level6Long)</f>
        <v>#N/A</v>
      </c>
      <c r="X28" s="174">
        <f>FGases_Frontend[[#This Row],[Site Name]]</f>
        <v>0</v>
      </c>
      <c r="Y28" s="174" t="s">
        <v>339</v>
      </c>
      <c r="Z28" s="174" t="str">
        <f>FGases_Frontend[[#This Row],[Methodology]]</f>
        <v>Tier 3</v>
      </c>
      <c r="AA28" s="229" t="e" cm="1">
        <f t="array" ref="AA28">INDEX(_xlfn.SWITCH(FGases_Backend[[#This Row],[Methodology]],"Tier 1",rng_RSD1,"Tier 2",rng_RSD2,"Tier 3",rng_RSD3),MATCH(_xlfn.CONCAT(FGases_Backend[[#This Row],[Level 1]:[Level 6]]),rng_LevelsConcat,0))</f>
        <v>#N/A</v>
      </c>
      <c r="AB28" s="220">
        <f>FGases_Frontend[[#This Row],[Data]]</f>
        <v>0</v>
      </c>
      <c r="AC28" s="174" t="str">
        <f>FGases_Frontend[[#This Row],[Units]]</f>
        <v>kg</v>
      </c>
      <c r="AD28" s="220">
        <f>FGases_Backend[[#This Row],[Data]]</f>
        <v>0</v>
      </c>
      <c r="AE28" s="174" t="str">
        <f>FGases_Frontend[[#This Row],[Units]]</f>
        <v>kg</v>
      </c>
      <c r="AF28" s="210" t="e">
        <f>_xlfn.XLOOKUP(_xlfn.CONCAT(FGases_Backend[[#This Row],[Level 1]:[Level 6]]),rng_EFConcat,rng_EF1)*FGases_Backend[[#This Row],[Converted data]]/1000</f>
        <v>#N/A</v>
      </c>
      <c r="AG28" s="210" t="e">
        <f>_xlfn.XLOOKUP(_xlfn.CONCAT(FGases_Backend[[#This Row],[Level 1]:[Level 6]]),rng_EFConcat,rng_EF2)*FGases_Backend[[#This Row],[Converted data]]/1000</f>
        <v>#N/A</v>
      </c>
      <c r="AH28" s="210" t="e">
        <f>_xlfn.XLOOKUP(_xlfn.CONCAT(FGases_Backend[[#This Row],[Level 1]:[Level 6]]),rng_EFConcat,rng_EF3)*FGases_Backend[[#This Row],[Converted data]]/1000</f>
        <v>#N/A</v>
      </c>
      <c r="AI28" s="210" t="e">
        <f>_xlfn.XLOOKUP(_xlfn.CONCAT(FGases_Backend[[#This Row],[Level 1]:[Level 6]]),rng_EFConcat,rng_EF3WTT)*FGases_Backend[[#This Row],[Converted data]]/1000</f>
        <v>#N/A</v>
      </c>
      <c r="AJ28" s="210" t="e">
        <f>_xlfn.XLOOKUP(_xlfn.CONCAT(FGases_Backend[[#This Row],[Level 1]:[Level 6]]),rng_EFConcat,rng_EF3TD)*FGases_Backend[[#This Row],[Converted data]]/1000</f>
        <v>#N/A</v>
      </c>
      <c r="AK28" s="210" t="e">
        <f>_xlfn.XLOOKUP(_xlfn.CONCAT(FGases_Backend[[#This Row],[Level 1]:[Level 6]]),rng_EFConcat,rng_EF3WTTTD)*FGases_Backend[[#This Row],[Converted data]]/1000</f>
        <v>#N/A</v>
      </c>
      <c r="AL28" s="220" t="e">
        <f>SUM(FGases_Backend[[#This Row],[Scope 1 (tCO2e)]:[Scope 3 WTT T&amp;D (tCO2e)]])</f>
        <v>#N/A</v>
      </c>
      <c r="AM28" s="220" t="e">
        <f>FGases_Backend[[#This Row],[Total (tCO2e)]]*(1-FGases_Backend[[#This Row],[RSD]])</f>
        <v>#N/A</v>
      </c>
      <c r="AN28" s="220" t="e">
        <f>FGases_Backend[[#This Row],[Total (tCO2e)]]*(1+FGases_Backend[[#This Row],[RSD]])</f>
        <v>#N/A</v>
      </c>
      <c r="AO28" s="210" t="e">
        <f>_xlfn.XLOOKUP(_xlfn.CONCAT(FGases_Backend[[#This Row],[Level 1]:[Level 6]]),rng_EFConcat,rng_EFOOS)*FGases_Backend[[#This Row],[Converted data]]/1000</f>
        <v>#N/A</v>
      </c>
      <c r="AP28" s="174">
        <f>FGases_Frontend[[#This Row],[Ease of collection]]</f>
        <v>0</v>
      </c>
      <c r="AQ28" s="174">
        <f>FGases_Frontend[[#This Row],[Completeness]]</f>
        <v>0</v>
      </c>
      <c r="AR28" s="174">
        <f>FGases_Frontend[[#This Row],[Notes]]</f>
        <v>0</v>
      </c>
    </row>
    <row r="29" spans="2:44" x14ac:dyDescent="0.3">
      <c r="B29" s="455"/>
      <c r="E29" s="346"/>
      <c r="F29" s="336"/>
      <c r="G29" s="172" t="s">
        <v>336</v>
      </c>
      <c r="H29" s="334"/>
      <c r="I29" s="172" t="s">
        <v>337</v>
      </c>
      <c r="J29" s="336"/>
      <c r="K29" s="336"/>
      <c r="L29" s="350"/>
      <c r="M29" s="242">
        <f t="shared" si="1"/>
        <v>3</v>
      </c>
      <c r="Q29" s="212" t="str">
        <f t="shared" si="0"/>
        <v/>
      </c>
      <c r="R29" s="174" t="s">
        <v>265</v>
      </c>
      <c r="S29" s="174" t="s">
        <v>273</v>
      </c>
      <c r="T29" s="174" t="e">
        <f>_xlfn.XLOOKUP(FGases_Backend[[#This Row],[Info 1]],Buildings_SiteInfo[Site name],Buildings_SiteInfo[Site type])</f>
        <v>#N/A</v>
      </c>
      <c r="U29" s="174" t="s">
        <v>338</v>
      </c>
      <c r="V29" s="174">
        <f>FGases_Frontend[[#This Row],[Gas]]</f>
        <v>0</v>
      </c>
      <c r="W29" s="174" t="e" cm="1">
        <f t="array" aca="1" ref="W29" ca="1">_xlfn.XLOOKUP(FGases_Backend[[#This Row],[Level 5]],rng_Level5Long,rng_Level6Long)</f>
        <v>#N/A</v>
      </c>
      <c r="X29" s="174">
        <f>FGases_Frontend[[#This Row],[Site Name]]</f>
        <v>0</v>
      </c>
      <c r="Y29" s="174" t="s">
        <v>339</v>
      </c>
      <c r="Z29" s="174" t="str">
        <f>FGases_Frontend[[#This Row],[Methodology]]</f>
        <v>Tier 3</v>
      </c>
      <c r="AA29" s="229" t="e" cm="1">
        <f t="array" ref="AA29">INDEX(_xlfn.SWITCH(FGases_Backend[[#This Row],[Methodology]],"Tier 1",rng_RSD1,"Tier 2",rng_RSD2,"Tier 3",rng_RSD3),MATCH(_xlfn.CONCAT(FGases_Backend[[#This Row],[Level 1]:[Level 6]]),rng_LevelsConcat,0))</f>
        <v>#N/A</v>
      </c>
      <c r="AB29" s="220">
        <f>FGases_Frontend[[#This Row],[Data]]</f>
        <v>0</v>
      </c>
      <c r="AC29" s="174" t="str">
        <f>FGases_Frontend[[#This Row],[Units]]</f>
        <v>kg</v>
      </c>
      <c r="AD29" s="220">
        <f>FGases_Backend[[#This Row],[Data]]</f>
        <v>0</v>
      </c>
      <c r="AE29" s="174" t="str">
        <f>FGases_Frontend[[#This Row],[Units]]</f>
        <v>kg</v>
      </c>
      <c r="AF29" s="210" t="e">
        <f>_xlfn.XLOOKUP(_xlfn.CONCAT(FGases_Backend[[#This Row],[Level 1]:[Level 6]]),rng_EFConcat,rng_EF1)*FGases_Backend[[#This Row],[Converted data]]/1000</f>
        <v>#N/A</v>
      </c>
      <c r="AG29" s="210" t="e">
        <f>_xlfn.XLOOKUP(_xlfn.CONCAT(FGases_Backend[[#This Row],[Level 1]:[Level 6]]),rng_EFConcat,rng_EF2)*FGases_Backend[[#This Row],[Converted data]]/1000</f>
        <v>#N/A</v>
      </c>
      <c r="AH29" s="210" t="e">
        <f>_xlfn.XLOOKUP(_xlfn.CONCAT(FGases_Backend[[#This Row],[Level 1]:[Level 6]]),rng_EFConcat,rng_EF3)*FGases_Backend[[#This Row],[Converted data]]/1000</f>
        <v>#N/A</v>
      </c>
      <c r="AI29" s="210" t="e">
        <f>_xlfn.XLOOKUP(_xlfn.CONCAT(FGases_Backend[[#This Row],[Level 1]:[Level 6]]),rng_EFConcat,rng_EF3WTT)*FGases_Backend[[#This Row],[Converted data]]/1000</f>
        <v>#N/A</v>
      </c>
      <c r="AJ29" s="210" t="e">
        <f>_xlfn.XLOOKUP(_xlfn.CONCAT(FGases_Backend[[#This Row],[Level 1]:[Level 6]]),rng_EFConcat,rng_EF3TD)*FGases_Backend[[#This Row],[Converted data]]/1000</f>
        <v>#N/A</v>
      </c>
      <c r="AK29" s="210" t="e">
        <f>_xlfn.XLOOKUP(_xlfn.CONCAT(FGases_Backend[[#This Row],[Level 1]:[Level 6]]),rng_EFConcat,rng_EF3WTTTD)*FGases_Backend[[#This Row],[Converted data]]/1000</f>
        <v>#N/A</v>
      </c>
      <c r="AL29" s="220" t="e">
        <f>SUM(FGases_Backend[[#This Row],[Scope 1 (tCO2e)]:[Scope 3 WTT T&amp;D (tCO2e)]])</f>
        <v>#N/A</v>
      </c>
      <c r="AM29" s="220" t="e">
        <f>FGases_Backend[[#This Row],[Total (tCO2e)]]*(1-FGases_Backend[[#This Row],[RSD]])</f>
        <v>#N/A</v>
      </c>
      <c r="AN29" s="220" t="e">
        <f>FGases_Backend[[#This Row],[Total (tCO2e)]]*(1+FGases_Backend[[#This Row],[RSD]])</f>
        <v>#N/A</v>
      </c>
      <c r="AO29" s="210" t="e">
        <f>_xlfn.XLOOKUP(_xlfn.CONCAT(FGases_Backend[[#This Row],[Level 1]:[Level 6]]),rng_EFConcat,rng_EFOOS)*FGases_Backend[[#This Row],[Converted data]]/1000</f>
        <v>#N/A</v>
      </c>
      <c r="AP29" s="174">
        <f>FGases_Frontend[[#This Row],[Ease of collection]]</f>
        <v>0</v>
      </c>
      <c r="AQ29" s="174">
        <f>FGases_Frontend[[#This Row],[Completeness]]</f>
        <v>0</v>
      </c>
      <c r="AR29" s="174">
        <f>FGases_Frontend[[#This Row],[Notes]]</f>
        <v>0</v>
      </c>
    </row>
    <row r="30" spans="2:44" x14ac:dyDescent="0.3">
      <c r="B30" s="455"/>
      <c r="E30" s="346"/>
      <c r="F30" s="336"/>
      <c r="G30" s="172" t="s">
        <v>336</v>
      </c>
      <c r="H30" s="334"/>
      <c r="I30" s="172" t="s">
        <v>337</v>
      </c>
      <c r="J30" s="336"/>
      <c r="K30" s="336"/>
      <c r="L30" s="350"/>
      <c r="M30" s="242">
        <f t="shared" si="1"/>
        <v>3</v>
      </c>
      <c r="Q30" s="212" t="str">
        <f t="shared" si="0"/>
        <v/>
      </c>
      <c r="R30" s="174" t="s">
        <v>265</v>
      </c>
      <c r="S30" s="174" t="s">
        <v>273</v>
      </c>
      <c r="T30" s="174" t="e">
        <f>_xlfn.XLOOKUP(FGases_Backend[[#This Row],[Info 1]],Buildings_SiteInfo[Site name],Buildings_SiteInfo[Site type])</f>
        <v>#N/A</v>
      </c>
      <c r="U30" s="174" t="s">
        <v>338</v>
      </c>
      <c r="V30" s="174">
        <f>FGases_Frontend[[#This Row],[Gas]]</f>
        <v>0</v>
      </c>
      <c r="W30" s="174" t="e" cm="1">
        <f t="array" aca="1" ref="W30" ca="1">_xlfn.XLOOKUP(FGases_Backend[[#This Row],[Level 5]],rng_Level5Long,rng_Level6Long)</f>
        <v>#N/A</v>
      </c>
      <c r="X30" s="174">
        <f>FGases_Frontend[[#This Row],[Site Name]]</f>
        <v>0</v>
      </c>
      <c r="Y30" s="174" t="s">
        <v>339</v>
      </c>
      <c r="Z30" s="174" t="str">
        <f>FGases_Frontend[[#This Row],[Methodology]]</f>
        <v>Tier 3</v>
      </c>
      <c r="AA30" s="229" t="e" cm="1">
        <f t="array" ref="AA30">INDEX(_xlfn.SWITCH(FGases_Backend[[#This Row],[Methodology]],"Tier 1",rng_RSD1,"Tier 2",rng_RSD2,"Tier 3",rng_RSD3),MATCH(_xlfn.CONCAT(FGases_Backend[[#This Row],[Level 1]:[Level 6]]),rng_LevelsConcat,0))</f>
        <v>#N/A</v>
      </c>
      <c r="AB30" s="220">
        <f>FGases_Frontend[[#This Row],[Data]]</f>
        <v>0</v>
      </c>
      <c r="AC30" s="174" t="str">
        <f>FGases_Frontend[[#This Row],[Units]]</f>
        <v>kg</v>
      </c>
      <c r="AD30" s="220">
        <f>FGases_Backend[[#This Row],[Data]]</f>
        <v>0</v>
      </c>
      <c r="AE30" s="174" t="str">
        <f>FGases_Frontend[[#This Row],[Units]]</f>
        <v>kg</v>
      </c>
      <c r="AF30" s="210" t="e">
        <f>_xlfn.XLOOKUP(_xlfn.CONCAT(FGases_Backend[[#This Row],[Level 1]:[Level 6]]),rng_EFConcat,rng_EF1)*FGases_Backend[[#This Row],[Converted data]]/1000</f>
        <v>#N/A</v>
      </c>
      <c r="AG30" s="210" t="e">
        <f>_xlfn.XLOOKUP(_xlfn.CONCAT(FGases_Backend[[#This Row],[Level 1]:[Level 6]]),rng_EFConcat,rng_EF2)*FGases_Backend[[#This Row],[Converted data]]/1000</f>
        <v>#N/A</v>
      </c>
      <c r="AH30" s="210" t="e">
        <f>_xlfn.XLOOKUP(_xlfn.CONCAT(FGases_Backend[[#This Row],[Level 1]:[Level 6]]),rng_EFConcat,rng_EF3)*FGases_Backend[[#This Row],[Converted data]]/1000</f>
        <v>#N/A</v>
      </c>
      <c r="AI30" s="210" t="e">
        <f>_xlfn.XLOOKUP(_xlfn.CONCAT(FGases_Backend[[#This Row],[Level 1]:[Level 6]]),rng_EFConcat,rng_EF3WTT)*FGases_Backend[[#This Row],[Converted data]]/1000</f>
        <v>#N/A</v>
      </c>
      <c r="AJ30" s="210" t="e">
        <f>_xlfn.XLOOKUP(_xlfn.CONCAT(FGases_Backend[[#This Row],[Level 1]:[Level 6]]),rng_EFConcat,rng_EF3TD)*FGases_Backend[[#This Row],[Converted data]]/1000</f>
        <v>#N/A</v>
      </c>
      <c r="AK30" s="210" t="e">
        <f>_xlfn.XLOOKUP(_xlfn.CONCAT(FGases_Backend[[#This Row],[Level 1]:[Level 6]]),rng_EFConcat,rng_EF3WTTTD)*FGases_Backend[[#This Row],[Converted data]]/1000</f>
        <v>#N/A</v>
      </c>
      <c r="AL30" s="220" t="e">
        <f>SUM(FGases_Backend[[#This Row],[Scope 1 (tCO2e)]:[Scope 3 WTT T&amp;D (tCO2e)]])</f>
        <v>#N/A</v>
      </c>
      <c r="AM30" s="220" t="e">
        <f>FGases_Backend[[#This Row],[Total (tCO2e)]]*(1-FGases_Backend[[#This Row],[RSD]])</f>
        <v>#N/A</v>
      </c>
      <c r="AN30" s="220" t="e">
        <f>FGases_Backend[[#This Row],[Total (tCO2e)]]*(1+FGases_Backend[[#This Row],[RSD]])</f>
        <v>#N/A</v>
      </c>
      <c r="AO30" s="210" t="e">
        <f>_xlfn.XLOOKUP(_xlfn.CONCAT(FGases_Backend[[#This Row],[Level 1]:[Level 6]]),rng_EFConcat,rng_EFOOS)*FGases_Backend[[#This Row],[Converted data]]/1000</f>
        <v>#N/A</v>
      </c>
      <c r="AP30" s="174">
        <f>FGases_Frontend[[#This Row],[Ease of collection]]</f>
        <v>0</v>
      </c>
      <c r="AQ30" s="174">
        <f>FGases_Frontend[[#This Row],[Completeness]]</f>
        <v>0</v>
      </c>
      <c r="AR30" s="174">
        <f>FGases_Frontend[[#This Row],[Notes]]</f>
        <v>0</v>
      </c>
    </row>
    <row r="31" spans="2:44" x14ac:dyDescent="0.3">
      <c r="B31" s="455"/>
      <c r="E31" s="346"/>
      <c r="F31" s="336"/>
      <c r="G31" s="172" t="s">
        <v>336</v>
      </c>
      <c r="H31" s="334"/>
      <c r="I31" s="172" t="s">
        <v>337</v>
      </c>
      <c r="J31" s="336"/>
      <c r="K31" s="336"/>
      <c r="L31" s="350"/>
      <c r="M31" s="242">
        <f t="shared" si="1"/>
        <v>3</v>
      </c>
      <c r="Q31" s="212" t="str">
        <f t="shared" si="0"/>
        <v/>
      </c>
      <c r="R31" s="174" t="s">
        <v>265</v>
      </c>
      <c r="S31" s="174" t="s">
        <v>273</v>
      </c>
      <c r="T31" s="174" t="e">
        <f>_xlfn.XLOOKUP(FGases_Backend[[#This Row],[Info 1]],Buildings_SiteInfo[Site name],Buildings_SiteInfo[Site type])</f>
        <v>#N/A</v>
      </c>
      <c r="U31" s="174" t="s">
        <v>338</v>
      </c>
      <c r="V31" s="174">
        <f>FGases_Frontend[[#This Row],[Gas]]</f>
        <v>0</v>
      </c>
      <c r="W31" s="174" t="e" cm="1">
        <f t="array" aca="1" ref="W31" ca="1">_xlfn.XLOOKUP(FGases_Backend[[#This Row],[Level 5]],rng_Level5Long,rng_Level6Long)</f>
        <v>#N/A</v>
      </c>
      <c r="X31" s="174">
        <f>FGases_Frontend[[#This Row],[Site Name]]</f>
        <v>0</v>
      </c>
      <c r="Y31" s="174" t="s">
        <v>339</v>
      </c>
      <c r="Z31" s="174" t="str">
        <f>FGases_Frontend[[#This Row],[Methodology]]</f>
        <v>Tier 3</v>
      </c>
      <c r="AA31" s="229" t="e" cm="1">
        <f t="array" ref="AA31">INDEX(_xlfn.SWITCH(FGases_Backend[[#This Row],[Methodology]],"Tier 1",rng_RSD1,"Tier 2",rng_RSD2,"Tier 3",rng_RSD3),MATCH(_xlfn.CONCAT(FGases_Backend[[#This Row],[Level 1]:[Level 6]]),rng_LevelsConcat,0))</f>
        <v>#N/A</v>
      </c>
      <c r="AB31" s="220">
        <f>FGases_Frontend[[#This Row],[Data]]</f>
        <v>0</v>
      </c>
      <c r="AC31" s="174" t="str">
        <f>FGases_Frontend[[#This Row],[Units]]</f>
        <v>kg</v>
      </c>
      <c r="AD31" s="220">
        <f>FGases_Backend[[#This Row],[Data]]</f>
        <v>0</v>
      </c>
      <c r="AE31" s="174" t="str">
        <f>FGases_Frontend[[#This Row],[Units]]</f>
        <v>kg</v>
      </c>
      <c r="AF31" s="210" t="e">
        <f>_xlfn.XLOOKUP(_xlfn.CONCAT(FGases_Backend[[#This Row],[Level 1]:[Level 6]]),rng_EFConcat,rng_EF1)*FGases_Backend[[#This Row],[Converted data]]/1000</f>
        <v>#N/A</v>
      </c>
      <c r="AG31" s="210" t="e">
        <f>_xlfn.XLOOKUP(_xlfn.CONCAT(FGases_Backend[[#This Row],[Level 1]:[Level 6]]),rng_EFConcat,rng_EF2)*FGases_Backend[[#This Row],[Converted data]]/1000</f>
        <v>#N/A</v>
      </c>
      <c r="AH31" s="210" t="e">
        <f>_xlfn.XLOOKUP(_xlfn.CONCAT(FGases_Backend[[#This Row],[Level 1]:[Level 6]]),rng_EFConcat,rng_EF3)*FGases_Backend[[#This Row],[Converted data]]/1000</f>
        <v>#N/A</v>
      </c>
      <c r="AI31" s="210" t="e">
        <f>_xlfn.XLOOKUP(_xlfn.CONCAT(FGases_Backend[[#This Row],[Level 1]:[Level 6]]),rng_EFConcat,rng_EF3WTT)*FGases_Backend[[#This Row],[Converted data]]/1000</f>
        <v>#N/A</v>
      </c>
      <c r="AJ31" s="210" t="e">
        <f>_xlfn.XLOOKUP(_xlfn.CONCAT(FGases_Backend[[#This Row],[Level 1]:[Level 6]]),rng_EFConcat,rng_EF3TD)*FGases_Backend[[#This Row],[Converted data]]/1000</f>
        <v>#N/A</v>
      </c>
      <c r="AK31" s="210" t="e">
        <f>_xlfn.XLOOKUP(_xlfn.CONCAT(FGases_Backend[[#This Row],[Level 1]:[Level 6]]),rng_EFConcat,rng_EF3WTTTD)*FGases_Backend[[#This Row],[Converted data]]/1000</f>
        <v>#N/A</v>
      </c>
      <c r="AL31" s="220" t="e">
        <f>SUM(FGases_Backend[[#This Row],[Scope 1 (tCO2e)]:[Scope 3 WTT T&amp;D (tCO2e)]])</f>
        <v>#N/A</v>
      </c>
      <c r="AM31" s="220" t="e">
        <f>FGases_Backend[[#This Row],[Total (tCO2e)]]*(1-FGases_Backend[[#This Row],[RSD]])</f>
        <v>#N/A</v>
      </c>
      <c r="AN31" s="220" t="e">
        <f>FGases_Backend[[#This Row],[Total (tCO2e)]]*(1+FGases_Backend[[#This Row],[RSD]])</f>
        <v>#N/A</v>
      </c>
      <c r="AO31" s="210" t="e">
        <f>_xlfn.XLOOKUP(_xlfn.CONCAT(FGases_Backend[[#This Row],[Level 1]:[Level 6]]),rng_EFConcat,rng_EFOOS)*FGases_Backend[[#This Row],[Converted data]]/1000</f>
        <v>#N/A</v>
      </c>
      <c r="AP31" s="174">
        <f>FGases_Frontend[[#This Row],[Ease of collection]]</f>
        <v>0</v>
      </c>
      <c r="AQ31" s="174">
        <f>FGases_Frontend[[#This Row],[Completeness]]</f>
        <v>0</v>
      </c>
      <c r="AR31" s="174">
        <f>FGases_Frontend[[#This Row],[Notes]]</f>
        <v>0</v>
      </c>
    </row>
    <row r="32" spans="2:44" x14ac:dyDescent="0.3">
      <c r="B32" s="455"/>
      <c r="E32" s="346"/>
      <c r="F32" s="336"/>
      <c r="G32" s="172" t="s">
        <v>336</v>
      </c>
      <c r="H32" s="334"/>
      <c r="I32" s="172" t="s">
        <v>337</v>
      </c>
      <c r="J32" s="336"/>
      <c r="K32" s="336"/>
      <c r="L32" s="350"/>
      <c r="M32" s="242">
        <f t="shared" si="1"/>
        <v>3</v>
      </c>
      <c r="Q32" s="212" t="str">
        <f t="shared" si="0"/>
        <v/>
      </c>
      <c r="R32" s="174" t="s">
        <v>265</v>
      </c>
      <c r="S32" s="174" t="s">
        <v>273</v>
      </c>
      <c r="T32" s="174" t="e">
        <f>_xlfn.XLOOKUP(FGases_Backend[[#This Row],[Info 1]],Buildings_SiteInfo[Site name],Buildings_SiteInfo[Site type])</f>
        <v>#N/A</v>
      </c>
      <c r="U32" s="174" t="s">
        <v>338</v>
      </c>
      <c r="V32" s="174">
        <f>FGases_Frontend[[#This Row],[Gas]]</f>
        <v>0</v>
      </c>
      <c r="W32" s="174" t="e" cm="1">
        <f t="array" aca="1" ref="W32" ca="1">_xlfn.XLOOKUP(FGases_Backend[[#This Row],[Level 5]],rng_Level5Long,rng_Level6Long)</f>
        <v>#N/A</v>
      </c>
      <c r="X32" s="174">
        <f>FGases_Frontend[[#This Row],[Site Name]]</f>
        <v>0</v>
      </c>
      <c r="Y32" s="174" t="s">
        <v>339</v>
      </c>
      <c r="Z32" s="174" t="str">
        <f>FGases_Frontend[[#This Row],[Methodology]]</f>
        <v>Tier 3</v>
      </c>
      <c r="AA32" s="229" t="e" cm="1">
        <f t="array" ref="AA32">INDEX(_xlfn.SWITCH(FGases_Backend[[#This Row],[Methodology]],"Tier 1",rng_RSD1,"Tier 2",rng_RSD2,"Tier 3",rng_RSD3),MATCH(_xlfn.CONCAT(FGases_Backend[[#This Row],[Level 1]:[Level 6]]),rng_LevelsConcat,0))</f>
        <v>#N/A</v>
      </c>
      <c r="AB32" s="220">
        <f>FGases_Frontend[[#This Row],[Data]]</f>
        <v>0</v>
      </c>
      <c r="AC32" s="174" t="str">
        <f>FGases_Frontend[[#This Row],[Units]]</f>
        <v>kg</v>
      </c>
      <c r="AD32" s="220">
        <f>FGases_Backend[[#This Row],[Data]]</f>
        <v>0</v>
      </c>
      <c r="AE32" s="174" t="str">
        <f>FGases_Frontend[[#This Row],[Units]]</f>
        <v>kg</v>
      </c>
      <c r="AF32" s="210" t="e">
        <f>_xlfn.XLOOKUP(_xlfn.CONCAT(FGases_Backend[[#This Row],[Level 1]:[Level 6]]),rng_EFConcat,rng_EF1)*FGases_Backend[[#This Row],[Converted data]]/1000</f>
        <v>#N/A</v>
      </c>
      <c r="AG32" s="210" t="e">
        <f>_xlfn.XLOOKUP(_xlfn.CONCAT(FGases_Backend[[#This Row],[Level 1]:[Level 6]]),rng_EFConcat,rng_EF2)*FGases_Backend[[#This Row],[Converted data]]/1000</f>
        <v>#N/A</v>
      </c>
      <c r="AH32" s="210" t="e">
        <f>_xlfn.XLOOKUP(_xlfn.CONCAT(FGases_Backend[[#This Row],[Level 1]:[Level 6]]),rng_EFConcat,rng_EF3)*FGases_Backend[[#This Row],[Converted data]]/1000</f>
        <v>#N/A</v>
      </c>
      <c r="AI32" s="210" t="e">
        <f>_xlfn.XLOOKUP(_xlfn.CONCAT(FGases_Backend[[#This Row],[Level 1]:[Level 6]]),rng_EFConcat,rng_EF3WTT)*FGases_Backend[[#This Row],[Converted data]]/1000</f>
        <v>#N/A</v>
      </c>
      <c r="AJ32" s="210" t="e">
        <f>_xlfn.XLOOKUP(_xlfn.CONCAT(FGases_Backend[[#This Row],[Level 1]:[Level 6]]),rng_EFConcat,rng_EF3TD)*FGases_Backend[[#This Row],[Converted data]]/1000</f>
        <v>#N/A</v>
      </c>
      <c r="AK32" s="210" t="e">
        <f>_xlfn.XLOOKUP(_xlfn.CONCAT(FGases_Backend[[#This Row],[Level 1]:[Level 6]]),rng_EFConcat,rng_EF3WTTTD)*FGases_Backend[[#This Row],[Converted data]]/1000</f>
        <v>#N/A</v>
      </c>
      <c r="AL32" s="220" t="e">
        <f>SUM(FGases_Backend[[#This Row],[Scope 1 (tCO2e)]:[Scope 3 WTT T&amp;D (tCO2e)]])</f>
        <v>#N/A</v>
      </c>
      <c r="AM32" s="220" t="e">
        <f>FGases_Backend[[#This Row],[Total (tCO2e)]]*(1-FGases_Backend[[#This Row],[RSD]])</f>
        <v>#N/A</v>
      </c>
      <c r="AN32" s="220" t="e">
        <f>FGases_Backend[[#This Row],[Total (tCO2e)]]*(1+FGases_Backend[[#This Row],[RSD]])</f>
        <v>#N/A</v>
      </c>
      <c r="AO32" s="210" t="e">
        <f>_xlfn.XLOOKUP(_xlfn.CONCAT(FGases_Backend[[#This Row],[Level 1]:[Level 6]]),rng_EFConcat,rng_EFOOS)*FGases_Backend[[#This Row],[Converted data]]/1000</f>
        <v>#N/A</v>
      </c>
      <c r="AP32" s="174">
        <f>FGases_Frontend[[#This Row],[Ease of collection]]</f>
        <v>0</v>
      </c>
      <c r="AQ32" s="174">
        <f>FGases_Frontend[[#This Row],[Completeness]]</f>
        <v>0</v>
      </c>
      <c r="AR32" s="174">
        <f>FGases_Frontend[[#This Row],[Notes]]</f>
        <v>0</v>
      </c>
    </row>
    <row r="33" spans="2:44" x14ac:dyDescent="0.3">
      <c r="B33" s="455"/>
      <c r="E33" s="346"/>
      <c r="F33" s="336"/>
      <c r="G33" s="172" t="s">
        <v>336</v>
      </c>
      <c r="H33" s="334"/>
      <c r="I33" s="172" t="s">
        <v>337</v>
      </c>
      <c r="J33" s="336"/>
      <c r="K33" s="336"/>
      <c r="L33" s="350"/>
      <c r="M33" s="242">
        <f t="shared" si="1"/>
        <v>3</v>
      </c>
      <c r="Q33" s="212" t="str">
        <f t="shared" si="0"/>
        <v/>
      </c>
      <c r="R33" s="174" t="s">
        <v>265</v>
      </c>
      <c r="S33" s="174" t="s">
        <v>273</v>
      </c>
      <c r="T33" s="174" t="e">
        <f>_xlfn.XLOOKUP(FGases_Backend[[#This Row],[Info 1]],Buildings_SiteInfo[Site name],Buildings_SiteInfo[Site type])</f>
        <v>#N/A</v>
      </c>
      <c r="U33" s="174" t="s">
        <v>338</v>
      </c>
      <c r="V33" s="174">
        <f>FGases_Frontend[[#This Row],[Gas]]</f>
        <v>0</v>
      </c>
      <c r="W33" s="174" t="e" cm="1">
        <f t="array" aca="1" ref="W33" ca="1">_xlfn.XLOOKUP(FGases_Backend[[#This Row],[Level 5]],rng_Level5Long,rng_Level6Long)</f>
        <v>#N/A</v>
      </c>
      <c r="X33" s="174">
        <f>FGases_Frontend[[#This Row],[Site Name]]</f>
        <v>0</v>
      </c>
      <c r="Y33" s="174" t="s">
        <v>339</v>
      </c>
      <c r="Z33" s="174" t="str">
        <f>FGases_Frontend[[#This Row],[Methodology]]</f>
        <v>Tier 3</v>
      </c>
      <c r="AA33" s="229" t="e" cm="1">
        <f t="array" ref="AA33">INDEX(_xlfn.SWITCH(FGases_Backend[[#This Row],[Methodology]],"Tier 1",rng_RSD1,"Tier 2",rng_RSD2,"Tier 3",rng_RSD3),MATCH(_xlfn.CONCAT(FGases_Backend[[#This Row],[Level 1]:[Level 6]]),rng_LevelsConcat,0))</f>
        <v>#N/A</v>
      </c>
      <c r="AB33" s="220">
        <f>FGases_Frontend[[#This Row],[Data]]</f>
        <v>0</v>
      </c>
      <c r="AC33" s="174" t="str">
        <f>FGases_Frontend[[#This Row],[Units]]</f>
        <v>kg</v>
      </c>
      <c r="AD33" s="220">
        <f>FGases_Backend[[#This Row],[Data]]</f>
        <v>0</v>
      </c>
      <c r="AE33" s="174" t="str">
        <f>FGases_Frontend[[#This Row],[Units]]</f>
        <v>kg</v>
      </c>
      <c r="AF33" s="210" t="e">
        <f>_xlfn.XLOOKUP(_xlfn.CONCAT(FGases_Backend[[#This Row],[Level 1]:[Level 6]]),rng_EFConcat,rng_EF1)*FGases_Backend[[#This Row],[Converted data]]/1000</f>
        <v>#N/A</v>
      </c>
      <c r="AG33" s="210" t="e">
        <f>_xlfn.XLOOKUP(_xlfn.CONCAT(FGases_Backend[[#This Row],[Level 1]:[Level 6]]),rng_EFConcat,rng_EF2)*FGases_Backend[[#This Row],[Converted data]]/1000</f>
        <v>#N/A</v>
      </c>
      <c r="AH33" s="210" t="e">
        <f>_xlfn.XLOOKUP(_xlfn.CONCAT(FGases_Backend[[#This Row],[Level 1]:[Level 6]]),rng_EFConcat,rng_EF3)*FGases_Backend[[#This Row],[Converted data]]/1000</f>
        <v>#N/A</v>
      </c>
      <c r="AI33" s="210" t="e">
        <f>_xlfn.XLOOKUP(_xlfn.CONCAT(FGases_Backend[[#This Row],[Level 1]:[Level 6]]),rng_EFConcat,rng_EF3WTT)*FGases_Backend[[#This Row],[Converted data]]/1000</f>
        <v>#N/A</v>
      </c>
      <c r="AJ33" s="210" t="e">
        <f>_xlfn.XLOOKUP(_xlfn.CONCAT(FGases_Backend[[#This Row],[Level 1]:[Level 6]]),rng_EFConcat,rng_EF3TD)*FGases_Backend[[#This Row],[Converted data]]/1000</f>
        <v>#N/A</v>
      </c>
      <c r="AK33" s="210" t="e">
        <f>_xlfn.XLOOKUP(_xlfn.CONCAT(FGases_Backend[[#This Row],[Level 1]:[Level 6]]),rng_EFConcat,rng_EF3WTTTD)*FGases_Backend[[#This Row],[Converted data]]/1000</f>
        <v>#N/A</v>
      </c>
      <c r="AL33" s="220" t="e">
        <f>SUM(FGases_Backend[[#This Row],[Scope 1 (tCO2e)]:[Scope 3 WTT T&amp;D (tCO2e)]])</f>
        <v>#N/A</v>
      </c>
      <c r="AM33" s="220" t="e">
        <f>FGases_Backend[[#This Row],[Total (tCO2e)]]*(1-FGases_Backend[[#This Row],[RSD]])</f>
        <v>#N/A</v>
      </c>
      <c r="AN33" s="220" t="e">
        <f>FGases_Backend[[#This Row],[Total (tCO2e)]]*(1+FGases_Backend[[#This Row],[RSD]])</f>
        <v>#N/A</v>
      </c>
      <c r="AO33" s="210" t="e">
        <f>_xlfn.XLOOKUP(_xlfn.CONCAT(FGases_Backend[[#This Row],[Level 1]:[Level 6]]),rng_EFConcat,rng_EFOOS)*FGases_Backend[[#This Row],[Converted data]]/1000</f>
        <v>#N/A</v>
      </c>
      <c r="AP33" s="174">
        <f>FGases_Frontend[[#This Row],[Ease of collection]]</f>
        <v>0</v>
      </c>
      <c r="AQ33" s="174">
        <f>FGases_Frontend[[#This Row],[Completeness]]</f>
        <v>0</v>
      </c>
      <c r="AR33" s="174">
        <f>FGases_Frontend[[#This Row],[Notes]]</f>
        <v>0</v>
      </c>
    </row>
    <row r="34" spans="2:44" x14ac:dyDescent="0.3">
      <c r="B34" s="455"/>
      <c r="E34" s="346"/>
      <c r="F34" s="336"/>
      <c r="G34" s="172" t="s">
        <v>336</v>
      </c>
      <c r="H34" s="334"/>
      <c r="I34" s="172" t="s">
        <v>337</v>
      </c>
      <c r="J34" s="336"/>
      <c r="K34" s="336"/>
      <c r="L34" s="350"/>
      <c r="M34" s="242">
        <f t="shared" si="1"/>
        <v>3</v>
      </c>
      <c r="Q34" s="212" t="str">
        <f t="shared" si="0"/>
        <v/>
      </c>
      <c r="R34" s="174" t="s">
        <v>265</v>
      </c>
      <c r="S34" s="174" t="s">
        <v>273</v>
      </c>
      <c r="T34" s="174" t="e">
        <f>_xlfn.XLOOKUP(FGases_Backend[[#This Row],[Info 1]],Buildings_SiteInfo[Site name],Buildings_SiteInfo[Site type])</f>
        <v>#N/A</v>
      </c>
      <c r="U34" s="174" t="s">
        <v>338</v>
      </c>
      <c r="V34" s="174">
        <f>FGases_Frontend[[#This Row],[Gas]]</f>
        <v>0</v>
      </c>
      <c r="W34" s="174" t="e" cm="1">
        <f t="array" aca="1" ref="W34" ca="1">_xlfn.XLOOKUP(FGases_Backend[[#This Row],[Level 5]],rng_Level5Long,rng_Level6Long)</f>
        <v>#N/A</v>
      </c>
      <c r="X34" s="174">
        <f>FGases_Frontend[[#This Row],[Site Name]]</f>
        <v>0</v>
      </c>
      <c r="Y34" s="174" t="s">
        <v>339</v>
      </c>
      <c r="Z34" s="174" t="str">
        <f>FGases_Frontend[[#This Row],[Methodology]]</f>
        <v>Tier 3</v>
      </c>
      <c r="AA34" s="229" t="e" cm="1">
        <f t="array" ref="AA34">INDEX(_xlfn.SWITCH(FGases_Backend[[#This Row],[Methodology]],"Tier 1",rng_RSD1,"Tier 2",rng_RSD2,"Tier 3",rng_RSD3),MATCH(_xlfn.CONCAT(FGases_Backend[[#This Row],[Level 1]:[Level 6]]),rng_LevelsConcat,0))</f>
        <v>#N/A</v>
      </c>
      <c r="AB34" s="220">
        <f>FGases_Frontend[[#This Row],[Data]]</f>
        <v>0</v>
      </c>
      <c r="AC34" s="174" t="str">
        <f>FGases_Frontend[[#This Row],[Units]]</f>
        <v>kg</v>
      </c>
      <c r="AD34" s="220">
        <f>FGases_Backend[[#This Row],[Data]]</f>
        <v>0</v>
      </c>
      <c r="AE34" s="174" t="str">
        <f>FGases_Frontend[[#This Row],[Units]]</f>
        <v>kg</v>
      </c>
      <c r="AF34" s="210" t="e">
        <f>_xlfn.XLOOKUP(_xlfn.CONCAT(FGases_Backend[[#This Row],[Level 1]:[Level 6]]),rng_EFConcat,rng_EF1)*FGases_Backend[[#This Row],[Converted data]]/1000</f>
        <v>#N/A</v>
      </c>
      <c r="AG34" s="210" t="e">
        <f>_xlfn.XLOOKUP(_xlfn.CONCAT(FGases_Backend[[#This Row],[Level 1]:[Level 6]]),rng_EFConcat,rng_EF2)*FGases_Backend[[#This Row],[Converted data]]/1000</f>
        <v>#N/A</v>
      </c>
      <c r="AH34" s="210" t="e">
        <f>_xlfn.XLOOKUP(_xlfn.CONCAT(FGases_Backend[[#This Row],[Level 1]:[Level 6]]),rng_EFConcat,rng_EF3)*FGases_Backend[[#This Row],[Converted data]]/1000</f>
        <v>#N/A</v>
      </c>
      <c r="AI34" s="210" t="e">
        <f>_xlfn.XLOOKUP(_xlfn.CONCAT(FGases_Backend[[#This Row],[Level 1]:[Level 6]]),rng_EFConcat,rng_EF3WTT)*FGases_Backend[[#This Row],[Converted data]]/1000</f>
        <v>#N/A</v>
      </c>
      <c r="AJ34" s="210" t="e">
        <f>_xlfn.XLOOKUP(_xlfn.CONCAT(FGases_Backend[[#This Row],[Level 1]:[Level 6]]),rng_EFConcat,rng_EF3TD)*FGases_Backend[[#This Row],[Converted data]]/1000</f>
        <v>#N/A</v>
      </c>
      <c r="AK34" s="210" t="e">
        <f>_xlfn.XLOOKUP(_xlfn.CONCAT(FGases_Backend[[#This Row],[Level 1]:[Level 6]]),rng_EFConcat,rng_EF3WTTTD)*FGases_Backend[[#This Row],[Converted data]]/1000</f>
        <v>#N/A</v>
      </c>
      <c r="AL34" s="220" t="e">
        <f>SUM(FGases_Backend[[#This Row],[Scope 1 (tCO2e)]:[Scope 3 WTT T&amp;D (tCO2e)]])</f>
        <v>#N/A</v>
      </c>
      <c r="AM34" s="220" t="e">
        <f>FGases_Backend[[#This Row],[Total (tCO2e)]]*(1-FGases_Backend[[#This Row],[RSD]])</f>
        <v>#N/A</v>
      </c>
      <c r="AN34" s="220" t="e">
        <f>FGases_Backend[[#This Row],[Total (tCO2e)]]*(1+FGases_Backend[[#This Row],[RSD]])</f>
        <v>#N/A</v>
      </c>
      <c r="AO34" s="210" t="e">
        <f>_xlfn.XLOOKUP(_xlfn.CONCAT(FGases_Backend[[#This Row],[Level 1]:[Level 6]]),rng_EFConcat,rng_EFOOS)*FGases_Backend[[#This Row],[Converted data]]/1000</f>
        <v>#N/A</v>
      </c>
      <c r="AP34" s="174">
        <f>FGases_Frontend[[#This Row],[Ease of collection]]</f>
        <v>0</v>
      </c>
      <c r="AQ34" s="174">
        <f>FGases_Frontend[[#This Row],[Completeness]]</f>
        <v>0</v>
      </c>
      <c r="AR34" s="174">
        <f>FGases_Frontend[[#This Row],[Notes]]</f>
        <v>0</v>
      </c>
    </row>
    <row r="35" spans="2:44" x14ac:dyDescent="0.3">
      <c r="B35" s="455"/>
      <c r="E35" s="346"/>
      <c r="F35" s="338"/>
      <c r="G35" s="172" t="s">
        <v>336</v>
      </c>
      <c r="H35" s="335"/>
      <c r="I35" s="222" t="s">
        <v>337</v>
      </c>
      <c r="J35" s="338"/>
      <c r="K35" s="338"/>
      <c r="L35" s="351"/>
      <c r="M35" s="242">
        <f t="shared" si="1"/>
        <v>3</v>
      </c>
      <c r="Q35" s="214" t="str">
        <f t="shared" si="0"/>
        <v/>
      </c>
      <c r="R35" s="174" t="s">
        <v>265</v>
      </c>
      <c r="S35" s="174" t="s">
        <v>273</v>
      </c>
      <c r="T35" s="174" t="e">
        <f>_xlfn.XLOOKUP(FGases_Backend[[#This Row],[Info 1]],Buildings_SiteInfo[Site name],Buildings_SiteInfo[Site type])</f>
        <v>#N/A</v>
      </c>
      <c r="U35" s="174" t="s">
        <v>338</v>
      </c>
      <c r="V35" s="174">
        <f>FGases_Frontend[[#This Row],[Gas]]</f>
        <v>0</v>
      </c>
      <c r="W35" s="216" t="e" cm="1">
        <f t="array" aca="1" ref="W35" ca="1">_xlfn.XLOOKUP(FGases_Backend[[#This Row],[Level 5]],rng_Level5Long,rng_Level6Long)</f>
        <v>#N/A</v>
      </c>
      <c r="X35" s="216">
        <f>FGases_Frontend[[#This Row],[Site Name]]</f>
        <v>0</v>
      </c>
      <c r="Y35" s="174" t="s">
        <v>339</v>
      </c>
      <c r="Z35" s="174" t="str">
        <f>FGases_Frontend[[#This Row],[Methodology]]</f>
        <v>Tier 3</v>
      </c>
      <c r="AA35" s="229" t="e" cm="1">
        <f t="array" ref="AA35">INDEX(_xlfn.SWITCH(FGases_Backend[[#This Row],[Methodology]],"Tier 1",rng_RSD1,"Tier 2",rng_RSD2,"Tier 3",rng_RSD3),MATCH(_xlfn.CONCAT(FGases_Backend[[#This Row],[Level 1]:[Level 6]]),rng_LevelsConcat,0))</f>
        <v>#N/A</v>
      </c>
      <c r="AB35" s="220">
        <f>FGases_Frontend[[#This Row],[Data]]</f>
        <v>0</v>
      </c>
      <c r="AC35" s="174" t="str">
        <f>FGases_Frontend[[#This Row],[Units]]</f>
        <v>kg</v>
      </c>
      <c r="AD35" s="220">
        <f>FGases_Backend[[#This Row],[Data]]</f>
        <v>0</v>
      </c>
      <c r="AE35" s="174" t="str">
        <f>FGases_Frontend[[#This Row],[Units]]</f>
        <v>kg</v>
      </c>
      <c r="AF35" s="210" t="e">
        <f>_xlfn.XLOOKUP(_xlfn.CONCAT(FGases_Backend[[#This Row],[Level 1]:[Level 6]]),rng_EFConcat,rng_EF1)*FGases_Backend[[#This Row],[Converted data]]/1000</f>
        <v>#N/A</v>
      </c>
      <c r="AG35" s="210" t="e">
        <f>_xlfn.XLOOKUP(_xlfn.CONCAT(FGases_Backend[[#This Row],[Level 1]:[Level 6]]),rng_EFConcat,rng_EF2)*FGases_Backend[[#This Row],[Converted data]]/1000</f>
        <v>#N/A</v>
      </c>
      <c r="AH35" s="210" t="e">
        <f>_xlfn.XLOOKUP(_xlfn.CONCAT(FGases_Backend[[#This Row],[Level 1]:[Level 6]]),rng_EFConcat,rng_EF3)*FGases_Backend[[#This Row],[Converted data]]/1000</f>
        <v>#N/A</v>
      </c>
      <c r="AI35" s="210" t="e">
        <f>_xlfn.XLOOKUP(_xlfn.CONCAT(FGases_Backend[[#This Row],[Level 1]:[Level 6]]),rng_EFConcat,rng_EF3WTT)*FGases_Backend[[#This Row],[Converted data]]/1000</f>
        <v>#N/A</v>
      </c>
      <c r="AJ35" s="210" t="e">
        <f>_xlfn.XLOOKUP(_xlfn.CONCAT(FGases_Backend[[#This Row],[Level 1]:[Level 6]]),rng_EFConcat,rng_EF3TD)*FGases_Backend[[#This Row],[Converted data]]/1000</f>
        <v>#N/A</v>
      </c>
      <c r="AK35" s="210" t="e">
        <f>_xlfn.XLOOKUP(_xlfn.CONCAT(FGases_Backend[[#This Row],[Level 1]:[Level 6]]),rng_EFConcat,rng_EF3WTTTD)*FGases_Backend[[#This Row],[Converted data]]/1000</f>
        <v>#N/A</v>
      </c>
      <c r="AL35" s="220" t="e">
        <f>SUM(FGases_Backend[[#This Row],[Scope 1 (tCO2e)]:[Scope 3 WTT T&amp;D (tCO2e)]])</f>
        <v>#N/A</v>
      </c>
      <c r="AM35" s="220" t="e">
        <f>FGases_Backend[[#This Row],[Total (tCO2e)]]*(1-FGases_Backend[[#This Row],[RSD]])</f>
        <v>#N/A</v>
      </c>
      <c r="AN35" s="220" t="e">
        <f>FGases_Backend[[#This Row],[Total (tCO2e)]]*(1+FGases_Backend[[#This Row],[RSD]])</f>
        <v>#N/A</v>
      </c>
      <c r="AO35" s="210" t="e">
        <f>_xlfn.XLOOKUP(_xlfn.CONCAT(FGases_Backend[[#This Row],[Level 1]:[Level 6]]),rng_EFConcat,rng_EFOOS)*FGases_Backend[[#This Row],[Converted data]]/1000</f>
        <v>#N/A</v>
      </c>
      <c r="AP35" s="174">
        <f>FGases_Frontend[[#This Row],[Ease of collection]]</f>
        <v>0</v>
      </c>
      <c r="AQ35" s="174">
        <f>FGases_Frontend[[#This Row],[Completeness]]</f>
        <v>0</v>
      </c>
      <c r="AR35" s="174">
        <f>FGases_Frontend[[#This Row],[Notes]]</f>
        <v>0</v>
      </c>
    </row>
    <row r="36" spans="2:44" ht="14.5" thickBot="1" x14ac:dyDescent="0.35">
      <c r="B36" s="16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row>
    <row r="37" spans="2:44" x14ac:dyDescent="0.3">
      <c r="B37" s="161"/>
    </row>
    <row r="38" spans="2:44" x14ac:dyDescent="0.3">
      <c r="B38" s="159" t="s">
        <v>12</v>
      </c>
      <c r="E38" s="160" t="s">
        <v>340</v>
      </c>
    </row>
    <row r="39" spans="2:44" x14ac:dyDescent="0.3"/>
    <row r="40" spans="2:44" s="265" customFormat="1" ht="28" x14ac:dyDescent="0.3">
      <c r="B40" s="455" t="s">
        <v>341</v>
      </c>
      <c r="E40" s="257" t="s">
        <v>319</v>
      </c>
      <c r="F40" s="258" t="s">
        <v>335</v>
      </c>
      <c r="G40" s="258" t="s">
        <v>287</v>
      </c>
      <c r="H40" s="258" t="s">
        <v>288</v>
      </c>
      <c r="I40" s="258" t="s">
        <v>289</v>
      </c>
      <c r="J40" s="258" t="s">
        <v>291</v>
      </c>
      <c r="K40" s="258" t="s">
        <v>292</v>
      </c>
      <c r="L40" s="259" t="s">
        <v>293</v>
      </c>
      <c r="M40" s="266">
        <f>AVERAGEIF($M$41:$M$61,"&lt;&gt;0",$M$41:$M$61)</f>
        <v>3</v>
      </c>
      <c r="Q40" s="290" t="s">
        <v>294</v>
      </c>
      <c r="R40" s="291" t="s">
        <v>295</v>
      </c>
      <c r="S40" s="291" t="s">
        <v>296</v>
      </c>
      <c r="T40" s="291" t="s">
        <v>297</v>
      </c>
      <c r="U40" s="291" t="s">
        <v>298</v>
      </c>
      <c r="V40" s="291" t="s">
        <v>299</v>
      </c>
      <c r="W40" s="291" t="s">
        <v>300</v>
      </c>
      <c r="X40" s="291" t="s">
        <v>342</v>
      </c>
      <c r="Y40" s="291" t="s">
        <v>302</v>
      </c>
      <c r="Z40" s="291" t="s">
        <v>287</v>
      </c>
      <c r="AA40" s="291" t="s">
        <v>303</v>
      </c>
      <c r="AB40" s="291" t="s">
        <v>288</v>
      </c>
      <c r="AC40" s="291" t="s">
        <v>289</v>
      </c>
      <c r="AD40" s="291" t="s">
        <v>304</v>
      </c>
      <c r="AE40" s="291" t="s">
        <v>305</v>
      </c>
      <c r="AF40" s="286" t="s">
        <v>306</v>
      </c>
      <c r="AG40" s="286" t="s">
        <v>307</v>
      </c>
      <c r="AH40" s="286" t="s">
        <v>308</v>
      </c>
      <c r="AI40" s="286" t="s">
        <v>309</v>
      </c>
      <c r="AJ40" s="286" t="s">
        <v>310</v>
      </c>
      <c r="AK40" s="286" t="s">
        <v>311</v>
      </c>
      <c r="AL40" s="286" t="s">
        <v>312</v>
      </c>
      <c r="AM40" s="286" t="s">
        <v>313</v>
      </c>
      <c r="AN40" s="286" t="s">
        <v>314</v>
      </c>
      <c r="AO40" s="286" t="s">
        <v>315</v>
      </c>
      <c r="AP40" s="291" t="s">
        <v>291</v>
      </c>
      <c r="AQ40" s="292" t="s">
        <v>292</v>
      </c>
      <c r="AR40" s="292" t="s">
        <v>293</v>
      </c>
    </row>
    <row r="41" spans="2:44" x14ac:dyDescent="0.3">
      <c r="B41" s="455"/>
      <c r="E41" s="346"/>
      <c r="F41" s="336"/>
      <c r="G41" s="172" t="s">
        <v>336</v>
      </c>
      <c r="H41" s="347"/>
      <c r="I41" s="172" t="s">
        <v>343</v>
      </c>
      <c r="J41" s="336"/>
      <c r="K41" s="336"/>
      <c r="L41" s="350"/>
      <c r="M41" s="230">
        <f>ISBLANK(E41)+ISBLANK(F41)+ISBLANK(H41)</f>
        <v>3</v>
      </c>
      <c r="Q41" s="212" t="str">
        <f t="shared" ref="Q41:Q61" si="2">IF(M41=0,SUBSTITUTE(2025&amp;TRIM(cl_org_name_select)&amp;TRIM($E$38)&amp;(ROW(M41)-ROW($M$41))," ",""),"")</f>
        <v/>
      </c>
      <c r="R41" s="174" t="s">
        <v>344</v>
      </c>
      <c r="S41" s="174" t="s">
        <v>344</v>
      </c>
      <c r="T41" s="174" t="s">
        <v>344</v>
      </c>
      <c r="U41" s="174" t="s">
        <v>344</v>
      </c>
      <c r="V41" s="174">
        <f>MedicalGases_Frontend[[#This Row],[Gas]]</f>
        <v>0</v>
      </c>
      <c r="W41" s="174" t="e" cm="1">
        <f t="array" aca="1" ref="W41" ca="1">_xlfn.XLOOKUP(MedicalGases_Backend[[#This Row],[Level 5]],rng_Level5Long,rng_Level6Long)</f>
        <v>#N/A</v>
      </c>
      <c r="X41" s="174">
        <f>MedicalGases_Frontend[[#This Row],[Site Name]]</f>
        <v>0</v>
      </c>
      <c r="Y41" s="174" t="s">
        <v>339</v>
      </c>
      <c r="Z41" s="174" t="str">
        <f>MedicalGases_Frontend[[#This Row],[Methodology]]</f>
        <v>Tier 3</v>
      </c>
      <c r="AA41" s="229" t="e" cm="1">
        <f t="array" aca="1" ref="AA41" ca="1">INDEX(_xlfn.SWITCH(MedicalGases_Backend[[#This Row],[Methodology]],"Tier 1",rng_RSD1,"Tier 2",rng_RSD2,"Tier 3",rng_RSD3),MATCH(_xlfn.CONCAT(MedicalGases_Backend[[#This Row],[Level 1]:[Level 6]]),rng_LevelsConcat,0))</f>
        <v>#N/A</v>
      </c>
      <c r="AB41" s="220">
        <f>MedicalGases_Frontend[[#This Row],[Data]]</f>
        <v>0</v>
      </c>
      <c r="AC41" s="174" t="str">
        <f>MedicalGases_Frontend[[#This Row],[Units]]</f>
        <v>litres</v>
      </c>
      <c r="AD41" s="220">
        <f>MedicalGases_Backend[[#This Row],[Data]]</f>
        <v>0</v>
      </c>
      <c r="AE41" s="174" t="str">
        <f>MedicalGases_Frontend[[#This Row],[Units]]</f>
        <v>litres</v>
      </c>
      <c r="AF41" s="210" t="e">
        <f ca="1">_xlfn.XLOOKUP(_xlfn.CONCAT(MedicalGases_Backend[[#This Row],[Level 1]:[Level 6]]),rng_EFConcat,rng_EF1)*MedicalGases_Backend[[#This Row],[Converted data]]/1000</f>
        <v>#N/A</v>
      </c>
      <c r="AG41" s="210" t="e">
        <f ca="1">_xlfn.XLOOKUP(_xlfn.CONCAT(MedicalGases_Backend[[#This Row],[Level 1]:[Level 6]]),rng_EFConcat,rng_EF2)*MedicalGases_Backend[[#This Row],[Converted data]]/1000</f>
        <v>#N/A</v>
      </c>
      <c r="AH41" s="210" t="e">
        <f ca="1">_xlfn.XLOOKUP(_xlfn.CONCAT(MedicalGases_Backend[[#This Row],[Level 1]:[Level 6]]),rng_EFConcat,rng_EF3)*MedicalGases_Backend[[#This Row],[Converted data]]/1000</f>
        <v>#N/A</v>
      </c>
      <c r="AI41" s="210" t="e">
        <f ca="1">_xlfn.XLOOKUP(_xlfn.CONCAT(MedicalGases_Backend[[#This Row],[Level 1]:[Level 6]]),rng_EFConcat,rng_EF3WTT)*MedicalGases_Backend[[#This Row],[Converted data]]/1000</f>
        <v>#N/A</v>
      </c>
      <c r="AJ41" s="210" t="e">
        <f ca="1">_xlfn.XLOOKUP(_xlfn.CONCAT(MedicalGases_Backend[[#This Row],[Level 1]:[Level 6]]),rng_EFConcat,rng_EF3TD)*MedicalGases_Backend[[#This Row],[Converted data]]/1000</f>
        <v>#N/A</v>
      </c>
      <c r="AK41" s="210" t="e">
        <f ca="1">_xlfn.XLOOKUP(_xlfn.CONCAT(MedicalGases_Backend[[#This Row],[Level 1]:[Level 6]]),rng_EFConcat,rng_EF3WTTTD)*MedicalGases_Backend[[#This Row],[Converted data]]/1000</f>
        <v>#N/A</v>
      </c>
      <c r="AL41" s="220" t="e">
        <f ca="1">SUM(MedicalGases_Backend[[#This Row],[Scope 1 (tCO2e)]:[Scope 3 WTT T&amp;D (tCO2e)]])</f>
        <v>#N/A</v>
      </c>
      <c r="AM41" s="220" t="e">
        <f ca="1">MedicalGases_Backend[[#This Row],[Total (tCO2e)]]*(1-MedicalGases_Backend[[#This Row],[RSD]])</f>
        <v>#N/A</v>
      </c>
      <c r="AN41" s="220" t="e">
        <f ca="1">MedicalGases_Backend[[#This Row],[Total (tCO2e)]]*(1+MedicalGases_Backend[[#This Row],[RSD]])</f>
        <v>#N/A</v>
      </c>
      <c r="AO41" s="210" t="e">
        <f ca="1">_xlfn.XLOOKUP(_xlfn.CONCAT(MedicalGases_Backend[[#This Row],[Level 1]:[Level 6]]),rng_EFConcat,rng_EFOOS)*MedicalGases_Backend[[#This Row],[Converted data]]/1000</f>
        <v>#N/A</v>
      </c>
      <c r="AP41" s="174">
        <f>MedicalGases_Frontend[[#This Row],[Ease of collection]]</f>
        <v>0</v>
      </c>
      <c r="AQ41" s="174">
        <f>MedicalGases_Frontend[[#This Row],[Completeness]]</f>
        <v>0</v>
      </c>
      <c r="AR41" s="174">
        <f>MedicalGases_Frontend[[#This Row],[Notes]]</f>
        <v>0</v>
      </c>
    </row>
    <row r="42" spans="2:44" x14ac:dyDescent="0.3">
      <c r="B42" s="455"/>
      <c r="E42" s="346"/>
      <c r="F42" s="336"/>
      <c r="G42" s="172" t="s">
        <v>336</v>
      </c>
      <c r="H42" s="347"/>
      <c r="I42" s="172" t="s">
        <v>343</v>
      </c>
      <c r="J42" s="336"/>
      <c r="K42" s="336"/>
      <c r="L42" s="350"/>
      <c r="M42" s="230">
        <f t="shared" ref="M42:M61" si="3">ISBLANK(E42)+ISBLANK(F42)+ISBLANK(H42)</f>
        <v>3</v>
      </c>
      <c r="Q42" s="212" t="str">
        <f t="shared" si="2"/>
        <v/>
      </c>
      <c r="R42" s="174" t="s">
        <v>344</v>
      </c>
      <c r="S42" s="174" t="s">
        <v>344</v>
      </c>
      <c r="T42" s="174" t="s">
        <v>344</v>
      </c>
      <c r="U42" s="174" t="s">
        <v>344</v>
      </c>
      <c r="V42" s="174">
        <f>MedicalGases_Frontend[[#This Row],[Gas]]</f>
        <v>0</v>
      </c>
      <c r="W42" s="174" t="e" cm="1">
        <f t="array" aca="1" ref="W42" ca="1">_xlfn.XLOOKUP(MedicalGases_Backend[[#This Row],[Level 5]],rng_Level5Long,rng_Level6Long)</f>
        <v>#N/A</v>
      </c>
      <c r="X42" s="174">
        <f>MedicalGases_Frontend[[#This Row],[Site Name]]</f>
        <v>0</v>
      </c>
      <c r="Y42" s="174" t="s">
        <v>339</v>
      </c>
      <c r="Z42" s="174" t="str">
        <f>MedicalGases_Frontend[[#This Row],[Methodology]]</f>
        <v>Tier 3</v>
      </c>
      <c r="AA42" s="229" t="e" cm="1">
        <f t="array" aca="1" ref="AA42" ca="1">INDEX(_xlfn.SWITCH(MedicalGases_Backend[[#This Row],[Methodology]],"Tier 1",rng_RSD1,"Tier 2",rng_RSD2,"Tier 3",rng_RSD3),MATCH(_xlfn.CONCAT(MedicalGases_Backend[[#This Row],[Level 1]:[Level 6]]),rng_LevelsConcat,0))</f>
        <v>#N/A</v>
      </c>
      <c r="AB42" s="220">
        <f>MedicalGases_Frontend[[#This Row],[Data]]</f>
        <v>0</v>
      </c>
      <c r="AC42" s="174" t="str">
        <f>MedicalGases_Frontend[[#This Row],[Units]]</f>
        <v>litres</v>
      </c>
      <c r="AD42" s="220">
        <f>MedicalGases_Backend[[#This Row],[Data]]</f>
        <v>0</v>
      </c>
      <c r="AE42" s="174" t="str">
        <f>MedicalGases_Frontend[[#This Row],[Units]]</f>
        <v>litres</v>
      </c>
      <c r="AF42" s="210" t="e">
        <f ca="1">_xlfn.XLOOKUP(_xlfn.CONCAT(MedicalGases_Backend[[#This Row],[Level 1]:[Level 6]]),rng_EFConcat,rng_EF1)*MedicalGases_Backend[[#This Row],[Converted data]]/1000</f>
        <v>#N/A</v>
      </c>
      <c r="AG42" s="210" t="e">
        <f ca="1">_xlfn.XLOOKUP(_xlfn.CONCAT(MedicalGases_Backend[[#This Row],[Level 1]:[Level 6]]),rng_EFConcat,rng_EF2)*MedicalGases_Backend[[#This Row],[Converted data]]/1000</f>
        <v>#N/A</v>
      </c>
      <c r="AH42" s="210" t="e">
        <f ca="1">_xlfn.XLOOKUP(_xlfn.CONCAT(MedicalGases_Backend[[#This Row],[Level 1]:[Level 6]]),rng_EFConcat,rng_EF3)*MedicalGases_Backend[[#This Row],[Converted data]]/1000</f>
        <v>#N/A</v>
      </c>
      <c r="AI42" s="210" t="e">
        <f ca="1">_xlfn.XLOOKUP(_xlfn.CONCAT(MedicalGases_Backend[[#This Row],[Level 1]:[Level 6]]),rng_EFConcat,rng_EF3WTT)*MedicalGases_Backend[[#This Row],[Converted data]]/1000</f>
        <v>#N/A</v>
      </c>
      <c r="AJ42" s="210" t="e">
        <f ca="1">_xlfn.XLOOKUP(_xlfn.CONCAT(MedicalGases_Backend[[#This Row],[Level 1]:[Level 6]]),rng_EFConcat,rng_EF3TD)*MedicalGases_Backend[[#This Row],[Converted data]]/1000</f>
        <v>#N/A</v>
      </c>
      <c r="AK42" s="210" t="e">
        <f ca="1">_xlfn.XLOOKUP(_xlfn.CONCAT(MedicalGases_Backend[[#This Row],[Level 1]:[Level 6]]),rng_EFConcat,rng_EF3WTTTD)*MedicalGases_Backend[[#This Row],[Converted data]]/1000</f>
        <v>#N/A</v>
      </c>
      <c r="AL42" s="220" t="e">
        <f ca="1">SUM(MedicalGases_Backend[[#This Row],[Scope 1 (tCO2e)]:[Scope 3 WTT T&amp;D (tCO2e)]])</f>
        <v>#N/A</v>
      </c>
      <c r="AM42" s="220" t="e">
        <f ca="1">MedicalGases_Backend[[#This Row],[Total (tCO2e)]]*(1-MedicalGases_Backend[[#This Row],[RSD]])</f>
        <v>#N/A</v>
      </c>
      <c r="AN42" s="220" t="e">
        <f ca="1">MedicalGases_Backend[[#This Row],[Total (tCO2e)]]*(1+MedicalGases_Backend[[#This Row],[RSD]])</f>
        <v>#N/A</v>
      </c>
      <c r="AO42" s="210" t="e">
        <f ca="1">_xlfn.XLOOKUP(_xlfn.CONCAT(MedicalGases_Backend[[#This Row],[Level 1]:[Level 6]]),rng_EFConcat,rng_EFOOS)*MedicalGases_Backend[[#This Row],[Converted data]]/1000</f>
        <v>#N/A</v>
      </c>
      <c r="AP42" s="174">
        <f>MedicalGases_Frontend[[#This Row],[Ease of collection]]</f>
        <v>0</v>
      </c>
      <c r="AQ42" s="174">
        <f>MedicalGases_Frontend[[#This Row],[Completeness]]</f>
        <v>0</v>
      </c>
      <c r="AR42" s="174">
        <f>MedicalGases_Frontend[[#This Row],[Notes]]</f>
        <v>0</v>
      </c>
    </row>
    <row r="43" spans="2:44" x14ac:dyDescent="0.3">
      <c r="B43" s="455"/>
      <c r="E43" s="346"/>
      <c r="F43" s="336"/>
      <c r="G43" s="172" t="s">
        <v>336</v>
      </c>
      <c r="H43" s="347"/>
      <c r="I43" s="172" t="s">
        <v>343</v>
      </c>
      <c r="J43" s="336"/>
      <c r="K43" s="336"/>
      <c r="L43" s="350"/>
      <c r="M43" s="230">
        <f t="shared" si="3"/>
        <v>3</v>
      </c>
      <c r="Q43" s="212" t="str">
        <f t="shared" si="2"/>
        <v/>
      </c>
      <c r="R43" s="174" t="s">
        <v>344</v>
      </c>
      <c r="S43" s="174" t="s">
        <v>344</v>
      </c>
      <c r="T43" s="174" t="s">
        <v>344</v>
      </c>
      <c r="U43" s="174" t="s">
        <v>344</v>
      </c>
      <c r="V43" s="174">
        <f>MedicalGases_Frontend[[#This Row],[Gas]]</f>
        <v>0</v>
      </c>
      <c r="W43" s="174" t="e" cm="1">
        <f t="array" aca="1" ref="W43" ca="1">_xlfn.XLOOKUP(MedicalGases_Backend[[#This Row],[Level 5]],rng_Level5Long,rng_Level6Long)</f>
        <v>#N/A</v>
      </c>
      <c r="X43" s="174">
        <f>MedicalGases_Frontend[[#This Row],[Site Name]]</f>
        <v>0</v>
      </c>
      <c r="Y43" s="174" t="s">
        <v>339</v>
      </c>
      <c r="Z43" s="174" t="str">
        <f>MedicalGases_Frontend[[#This Row],[Methodology]]</f>
        <v>Tier 3</v>
      </c>
      <c r="AA43" s="229" t="e" cm="1">
        <f t="array" aca="1" ref="AA43" ca="1">INDEX(_xlfn.SWITCH(MedicalGases_Backend[[#This Row],[Methodology]],"Tier 1",rng_RSD1,"Tier 2",rng_RSD2,"Tier 3",rng_RSD3),MATCH(_xlfn.CONCAT(MedicalGases_Backend[[#This Row],[Level 1]:[Level 6]]),rng_LevelsConcat,0))</f>
        <v>#N/A</v>
      </c>
      <c r="AB43" s="220">
        <f>MedicalGases_Frontend[[#This Row],[Data]]</f>
        <v>0</v>
      </c>
      <c r="AC43" s="174" t="str">
        <f>MedicalGases_Frontend[[#This Row],[Units]]</f>
        <v>litres</v>
      </c>
      <c r="AD43" s="220">
        <f>MedicalGases_Backend[[#This Row],[Data]]</f>
        <v>0</v>
      </c>
      <c r="AE43" s="174" t="str">
        <f>MedicalGases_Frontend[[#This Row],[Units]]</f>
        <v>litres</v>
      </c>
      <c r="AF43" s="210" t="e">
        <f ca="1">_xlfn.XLOOKUP(_xlfn.CONCAT(MedicalGases_Backend[[#This Row],[Level 1]:[Level 6]]),rng_EFConcat,rng_EF1)*MedicalGases_Backend[[#This Row],[Converted data]]/1000</f>
        <v>#N/A</v>
      </c>
      <c r="AG43" s="210" t="e">
        <f ca="1">_xlfn.XLOOKUP(_xlfn.CONCAT(MedicalGases_Backend[[#This Row],[Level 1]:[Level 6]]),rng_EFConcat,rng_EF2)*MedicalGases_Backend[[#This Row],[Converted data]]/1000</f>
        <v>#N/A</v>
      </c>
      <c r="AH43" s="210" t="e">
        <f ca="1">_xlfn.XLOOKUP(_xlfn.CONCAT(MedicalGases_Backend[[#This Row],[Level 1]:[Level 6]]),rng_EFConcat,rng_EF3)*MedicalGases_Backend[[#This Row],[Converted data]]/1000</f>
        <v>#N/A</v>
      </c>
      <c r="AI43" s="210" t="e">
        <f ca="1">_xlfn.XLOOKUP(_xlfn.CONCAT(MedicalGases_Backend[[#This Row],[Level 1]:[Level 6]]),rng_EFConcat,rng_EF3WTT)*MedicalGases_Backend[[#This Row],[Converted data]]/1000</f>
        <v>#N/A</v>
      </c>
      <c r="AJ43" s="210" t="e">
        <f ca="1">_xlfn.XLOOKUP(_xlfn.CONCAT(MedicalGases_Backend[[#This Row],[Level 1]:[Level 6]]),rng_EFConcat,rng_EF3TD)*MedicalGases_Backend[[#This Row],[Converted data]]/1000</f>
        <v>#N/A</v>
      </c>
      <c r="AK43" s="210" t="e">
        <f ca="1">_xlfn.XLOOKUP(_xlfn.CONCAT(MedicalGases_Backend[[#This Row],[Level 1]:[Level 6]]),rng_EFConcat,rng_EF3WTTTD)*MedicalGases_Backend[[#This Row],[Converted data]]/1000</f>
        <v>#N/A</v>
      </c>
      <c r="AL43" s="220" t="e">
        <f ca="1">SUM(MedicalGases_Backend[[#This Row],[Scope 1 (tCO2e)]:[Scope 3 WTT T&amp;D (tCO2e)]])</f>
        <v>#N/A</v>
      </c>
      <c r="AM43" s="220" t="e">
        <f ca="1">MedicalGases_Backend[[#This Row],[Total (tCO2e)]]*(1-MedicalGases_Backend[[#This Row],[RSD]])</f>
        <v>#N/A</v>
      </c>
      <c r="AN43" s="220" t="e">
        <f ca="1">MedicalGases_Backend[[#This Row],[Total (tCO2e)]]*(1+MedicalGases_Backend[[#This Row],[RSD]])</f>
        <v>#N/A</v>
      </c>
      <c r="AO43" s="210" t="e">
        <f ca="1">_xlfn.XLOOKUP(_xlfn.CONCAT(MedicalGases_Backend[[#This Row],[Level 1]:[Level 6]]),rng_EFConcat,rng_EFOOS)*MedicalGases_Backend[[#This Row],[Converted data]]/1000</f>
        <v>#N/A</v>
      </c>
      <c r="AP43" s="174">
        <f>MedicalGases_Frontend[[#This Row],[Ease of collection]]</f>
        <v>0</v>
      </c>
      <c r="AQ43" s="174">
        <f>MedicalGases_Frontend[[#This Row],[Completeness]]</f>
        <v>0</v>
      </c>
      <c r="AR43" s="174">
        <f>MedicalGases_Frontend[[#This Row],[Notes]]</f>
        <v>0</v>
      </c>
    </row>
    <row r="44" spans="2:44" x14ac:dyDescent="0.3">
      <c r="B44" s="455"/>
      <c r="E44" s="346"/>
      <c r="F44" s="336"/>
      <c r="G44" s="172" t="s">
        <v>336</v>
      </c>
      <c r="H44" s="347"/>
      <c r="I44" s="172" t="s">
        <v>343</v>
      </c>
      <c r="J44" s="336"/>
      <c r="K44" s="336"/>
      <c r="L44" s="350"/>
      <c r="M44" s="230">
        <f t="shared" si="3"/>
        <v>3</v>
      </c>
      <c r="Q44" s="212" t="str">
        <f t="shared" si="2"/>
        <v/>
      </c>
      <c r="R44" s="174" t="s">
        <v>344</v>
      </c>
      <c r="S44" s="174" t="s">
        <v>344</v>
      </c>
      <c r="T44" s="174" t="s">
        <v>344</v>
      </c>
      <c r="U44" s="174" t="s">
        <v>344</v>
      </c>
      <c r="V44" s="174">
        <f>MedicalGases_Frontend[[#This Row],[Gas]]</f>
        <v>0</v>
      </c>
      <c r="W44" s="174" t="e" cm="1">
        <f t="array" aca="1" ref="W44" ca="1">_xlfn.XLOOKUP(MedicalGases_Backend[[#This Row],[Level 5]],rng_Level5Long,rng_Level6Long)</f>
        <v>#N/A</v>
      </c>
      <c r="X44" s="174">
        <f>MedicalGases_Frontend[[#This Row],[Site Name]]</f>
        <v>0</v>
      </c>
      <c r="Y44" s="174" t="s">
        <v>339</v>
      </c>
      <c r="Z44" s="174" t="str">
        <f>MedicalGases_Frontend[[#This Row],[Methodology]]</f>
        <v>Tier 3</v>
      </c>
      <c r="AA44" s="229" t="e" cm="1">
        <f t="array" aca="1" ref="AA44" ca="1">INDEX(_xlfn.SWITCH(MedicalGases_Backend[[#This Row],[Methodology]],"Tier 1",rng_RSD1,"Tier 2",rng_RSD2,"Tier 3",rng_RSD3),MATCH(_xlfn.CONCAT(MedicalGases_Backend[[#This Row],[Level 1]:[Level 6]]),rng_LevelsConcat,0))</f>
        <v>#N/A</v>
      </c>
      <c r="AB44" s="220">
        <f>MedicalGases_Frontend[[#This Row],[Data]]</f>
        <v>0</v>
      </c>
      <c r="AC44" s="174" t="str">
        <f>MedicalGases_Frontend[[#This Row],[Units]]</f>
        <v>litres</v>
      </c>
      <c r="AD44" s="220">
        <f>MedicalGases_Backend[[#This Row],[Data]]</f>
        <v>0</v>
      </c>
      <c r="AE44" s="174" t="str">
        <f>MedicalGases_Frontend[[#This Row],[Units]]</f>
        <v>litres</v>
      </c>
      <c r="AF44" s="210" t="e">
        <f ca="1">_xlfn.XLOOKUP(_xlfn.CONCAT(MedicalGases_Backend[[#This Row],[Level 1]:[Level 6]]),rng_EFConcat,rng_EF1)*MedicalGases_Backend[[#This Row],[Converted data]]/1000</f>
        <v>#N/A</v>
      </c>
      <c r="AG44" s="210" t="e">
        <f ca="1">_xlfn.XLOOKUP(_xlfn.CONCAT(MedicalGases_Backend[[#This Row],[Level 1]:[Level 6]]),rng_EFConcat,rng_EF2)*MedicalGases_Backend[[#This Row],[Converted data]]/1000</f>
        <v>#N/A</v>
      </c>
      <c r="AH44" s="210" t="e">
        <f ca="1">_xlfn.XLOOKUP(_xlfn.CONCAT(MedicalGases_Backend[[#This Row],[Level 1]:[Level 6]]),rng_EFConcat,rng_EF3)*MedicalGases_Backend[[#This Row],[Converted data]]/1000</f>
        <v>#N/A</v>
      </c>
      <c r="AI44" s="210" t="e">
        <f ca="1">_xlfn.XLOOKUP(_xlfn.CONCAT(MedicalGases_Backend[[#This Row],[Level 1]:[Level 6]]),rng_EFConcat,rng_EF3WTT)*MedicalGases_Backend[[#This Row],[Converted data]]/1000</f>
        <v>#N/A</v>
      </c>
      <c r="AJ44" s="210" t="e">
        <f ca="1">_xlfn.XLOOKUP(_xlfn.CONCAT(MedicalGases_Backend[[#This Row],[Level 1]:[Level 6]]),rng_EFConcat,rng_EF3TD)*MedicalGases_Backend[[#This Row],[Converted data]]/1000</f>
        <v>#N/A</v>
      </c>
      <c r="AK44" s="210" t="e">
        <f ca="1">_xlfn.XLOOKUP(_xlfn.CONCAT(MedicalGases_Backend[[#This Row],[Level 1]:[Level 6]]),rng_EFConcat,rng_EF3WTTTD)*MedicalGases_Backend[[#This Row],[Converted data]]/1000</f>
        <v>#N/A</v>
      </c>
      <c r="AL44" s="220" t="e">
        <f ca="1">SUM(MedicalGases_Backend[[#This Row],[Scope 1 (tCO2e)]:[Scope 3 WTT T&amp;D (tCO2e)]])</f>
        <v>#N/A</v>
      </c>
      <c r="AM44" s="220" t="e">
        <f ca="1">MedicalGases_Backend[[#This Row],[Total (tCO2e)]]*(1-MedicalGases_Backend[[#This Row],[RSD]])</f>
        <v>#N/A</v>
      </c>
      <c r="AN44" s="220" t="e">
        <f ca="1">MedicalGases_Backend[[#This Row],[Total (tCO2e)]]*(1+MedicalGases_Backend[[#This Row],[RSD]])</f>
        <v>#N/A</v>
      </c>
      <c r="AO44" s="210" t="e">
        <f ca="1">_xlfn.XLOOKUP(_xlfn.CONCAT(MedicalGases_Backend[[#This Row],[Level 1]:[Level 6]]),rng_EFConcat,rng_EFOOS)*MedicalGases_Backend[[#This Row],[Converted data]]/1000</f>
        <v>#N/A</v>
      </c>
      <c r="AP44" s="174">
        <f>MedicalGases_Frontend[[#This Row],[Ease of collection]]</f>
        <v>0</v>
      </c>
      <c r="AQ44" s="174">
        <f>MedicalGases_Frontend[[#This Row],[Completeness]]</f>
        <v>0</v>
      </c>
      <c r="AR44" s="174">
        <f>MedicalGases_Frontend[[#This Row],[Notes]]</f>
        <v>0</v>
      </c>
    </row>
    <row r="45" spans="2:44" x14ac:dyDescent="0.3">
      <c r="B45" s="455"/>
      <c r="E45" s="346"/>
      <c r="F45" s="336"/>
      <c r="G45" s="172" t="s">
        <v>336</v>
      </c>
      <c r="H45" s="347"/>
      <c r="I45" s="172" t="s">
        <v>343</v>
      </c>
      <c r="J45" s="336"/>
      <c r="K45" s="336"/>
      <c r="L45" s="350"/>
      <c r="M45" s="230">
        <f t="shared" si="3"/>
        <v>3</v>
      </c>
      <c r="Q45" s="212" t="str">
        <f t="shared" si="2"/>
        <v/>
      </c>
      <c r="R45" s="174" t="s">
        <v>344</v>
      </c>
      <c r="S45" s="174" t="s">
        <v>344</v>
      </c>
      <c r="T45" s="174" t="s">
        <v>344</v>
      </c>
      <c r="U45" s="174" t="s">
        <v>344</v>
      </c>
      <c r="V45" s="174">
        <f>MedicalGases_Frontend[[#This Row],[Gas]]</f>
        <v>0</v>
      </c>
      <c r="W45" s="174" t="e" cm="1">
        <f t="array" aca="1" ref="W45" ca="1">_xlfn.XLOOKUP(MedicalGases_Backend[[#This Row],[Level 5]],rng_Level5Long,rng_Level6Long)</f>
        <v>#N/A</v>
      </c>
      <c r="X45" s="174">
        <f>MedicalGases_Frontend[[#This Row],[Site Name]]</f>
        <v>0</v>
      </c>
      <c r="Y45" s="174" t="s">
        <v>339</v>
      </c>
      <c r="Z45" s="174" t="str">
        <f>MedicalGases_Frontend[[#This Row],[Methodology]]</f>
        <v>Tier 3</v>
      </c>
      <c r="AA45" s="229" t="e" cm="1">
        <f t="array" aca="1" ref="AA45" ca="1">INDEX(_xlfn.SWITCH(MedicalGases_Backend[[#This Row],[Methodology]],"Tier 1",rng_RSD1,"Tier 2",rng_RSD2,"Tier 3",rng_RSD3),MATCH(_xlfn.CONCAT(MedicalGases_Backend[[#This Row],[Level 1]:[Level 6]]),rng_LevelsConcat,0))</f>
        <v>#N/A</v>
      </c>
      <c r="AB45" s="220">
        <f>MedicalGases_Frontend[[#This Row],[Data]]</f>
        <v>0</v>
      </c>
      <c r="AC45" s="174" t="str">
        <f>MedicalGases_Frontend[[#This Row],[Units]]</f>
        <v>litres</v>
      </c>
      <c r="AD45" s="220">
        <f>MedicalGases_Backend[[#This Row],[Data]]</f>
        <v>0</v>
      </c>
      <c r="AE45" s="174" t="str">
        <f>MedicalGases_Frontend[[#This Row],[Units]]</f>
        <v>litres</v>
      </c>
      <c r="AF45" s="210" t="e">
        <f ca="1">_xlfn.XLOOKUP(_xlfn.CONCAT(MedicalGases_Backend[[#This Row],[Level 1]:[Level 6]]),rng_EFConcat,rng_EF1)*MedicalGases_Backend[[#This Row],[Converted data]]/1000</f>
        <v>#N/A</v>
      </c>
      <c r="AG45" s="210" t="e">
        <f ca="1">_xlfn.XLOOKUP(_xlfn.CONCAT(MedicalGases_Backend[[#This Row],[Level 1]:[Level 6]]),rng_EFConcat,rng_EF2)*MedicalGases_Backend[[#This Row],[Converted data]]/1000</f>
        <v>#N/A</v>
      </c>
      <c r="AH45" s="210" t="e">
        <f ca="1">_xlfn.XLOOKUP(_xlfn.CONCAT(MedicalGases_Backend[[#This Row],[Level 1]:[Level 6]]),rng_EFConcat,rng_EF3)*MedicalGases_Backend[[#This Row],[Converted data]]/1000</f>
        <v>#N/A</v>
      </c>
      <c r="AI45" s="210" t="e">
        <f ca="1">_xlfn.XLOOKUP(_xlfn.CONCAT(MedicalGases_Backend[[#This Row],[Level 1]:[Level 6]]),rng_EFConcat,rng_EF3WTT)*MedicalGases_Backend[[#This Row],[Converted data]]/1000</f>
        <v>#N/A</v>
      </c>
      <c r="AJ45" s="210" t="e">
        <f ca="1">_xlfn.XLOOKUP(_xlfn.CONCAT(MedicalGases_Backend[[#This Row],[Level 1]:[Level 6]]),rng_EFConcat,rng_EF3TD)*MedicalGases_Backend[[#This Row],[Converted data]]/1000</f>
        <v>#N/A</v>
      </c>
      <c r="AK45" s="210" t="e">
        <f ca="1">_xlfn.XLOOKUP(_xlfn.CONCAT(MedicalGases_Backend[[#This Row],[Level 1]:[Level 6]]),rng_EFConcat,rng_EF3WTTTD)*MedicalGases_Backend[[#This Row],[Converted data]]/1000</f>
        <v>#N/A</v>
      </c>
      <c r="AL45" s="220" t="e">
        <f ca="1">SUM(MedicalGases_Backend[[#This Row],[Scope 1 (tCO2e)]:[Scope 3 WTT T&amp;D (tCO2e)]])</f>
        <v>#N/A</v>
      </c>
      <c r="AM45" s="220" t="e">
        <f ca="1">MedicalGases_Backend[[#This Row],[Total (tCO2e)]]*(1-MedicalGases_Backend[[#This Row],[RSD]])</f>
        <v>#N/A</v>
      </c>
      <c r="AN45" s="220" t="e">
        <f ca="1">MedicalGases_Backend[[#This Row],[Total (tCO2e)]]*(1+MedicalGases_Backend[[#This Row],[RSD]])</f>
        <v>#N/A</v>
      </c>
      <c r="AO45" s="210" t="e">
        <f ca="1">_xlfn.XLOOKUP(_xlfn.CONCAT(MedicalGases_Backend[[#This Row],[Level 1]:[Level 6]]),rng_EFConcat,rng_EFOOS)*MedicalGases_Backend[[#This Row],[Converted data]]/1000</f>
        <v>#N/A</v>
      </c>
      <c r="AP45" s="174">
        <f>MedicalGases_Frontend[[#This Row],[Ease of collection]]</f>
        <v>0</v>
      </c>
      <c r="AQ45" s="174">
        <f>MedicalGases_Frontend[[#This Row],[Completeness]]</f>
        <v>0</v>
      </c>
      <c r="AR45" s="174">
        <f>MedicalGases_Frontend[[#This Row],[Notes]]</f>
        <v>0</v>
      </c>
    </row>
    <row r="46" spans="2:44" x14ac:dyDescent="0.3">
      <c r="B46" s="455"/>
      <c r="E46" s="346"/>
      <c r="F46" s="336"/>
      <c r="G46" s="172" t="s">
        <v>336</v>
      </c>
      <c r="H46" s="347"/>
      <c r="I46" s="172" t="s">
        <v>343</v>
      </c>
      <c r="J46" s="336"/>
      <c r="K46" s="336"/>
      <c r="L46" s="350"/>
      <c r="M46" s="230">
        <f t="shared" si="3"/>
        <v>3</v>
      </c>
      <c r="Q46" s="212" t="str">
        <f t="shared" si="2"/>
        <v/>
      </c>
      <c r="R46" s="174" t="s">
        <v>344</v>
      </c>
      <c r="S46" s="174" t="s">
        <v>344</v>
      </c>
      <c r="T46" s="174" t="s">
        <v>344</v>
      </c>
      <c r="U46" s="174" t="s">
        <v>344</v>
      </c>
      <c r="V46" s="174">
        <f>MedicalGases_Frontend[[#This Row],[Gas]]</f>
        <v>0</v>
      </c>
      <c r="W46" s="174" t="e" cm="1">
        <f t="array" aca="1" ref="W46" ca="1">_xlfn.XLOOKUP(MedicalGases_Backend[[#This Row],[Level 5]],rng_Level5Long,rng_Level6Long)</f>
        <v>#N/A</v>
      </c>
      <c r="X46" s="174">
        <f>MedicalGases_Frontend[[#This Row],[Site Name]]</f>
        <v>0</v>
      </c>
      <c r="Y46" s="174" t="s">
        <v>339</v>
      </c>
      <c r="Z46" s="174" t="str">
        <f>MedicalGases_Frontend[[#This Row],[Methodology]]</f>
        <v>Tier 3</v>
      </c>
      <c r="AA46" s="229" t="e" cm="1">
        <f t="array" aca="1" ref="AA46" ca="1">INDEX(_xlfn.SWITCH(MedicalGases_Backend[[#This Row],[Methodology]],"Tier 1",rng_RSD1,"Tier 2",rng_RSD2,"Tier 3",rng_RSD3),MATCH(_xlfn.CONCAT(MedicalGases_Backend[[#This Row],[Level 1]:[Level 6]]),rng_LevelsConcat,0))</f>
        <v>#N/A</v>
      </c>
      <c r="AB46" s="220">
        <f>MedicalGases_Frontend[[#This Row],[Data]]</f>
        <v>0</v>
      </c>
      <c r="AC46" s="174" t="str">
        <f>MedicalGases_Frontend[[#This Row],[Units]]</f>
        <v>litres</v>
      </c>
      <c r="AD46" s="220">
        <f>MedicalGases_Backend[[#This Row],[Data]]</f>
        <v>0</v>
      </c>
      <c r="AE46" s="174" t="str">
        <f>MedicalGases_Frontend[[#This Row],[Units]]</f>
        <v>litres</v>
      </c>
      <c r="AF46" s="210" t="e">
        <f ca="1">_xlfn.XLOOKUP(_xlfn.CONCAT(MedicalGases_Backend[[#This Row],[Level 1]:[Level 6]]),rng_EFConcat,rng_EF1)*MedicalGases_Backend[[#This Row],[Converted data]]/1000</f>
        <v>#N/A</v>
      </c>
      <c r="AG46" s="210" t="e">
        <f ca="1">_xlfn.XLOOKUP(_xlfn.CONCAT(MedicalGases_Backend[[#This Row],[Level 1]:[Level 6]]),rng_EFConcat,rng_EF2)*MedicalGases_Backend[[#This Row],[Converted data]]/1000</f>
        <v>#N/A</v>
      </c>
      <c r="AH46" s="210" t="e">
        <f ca="1">_xlfn.XLOOKUP(_xlfn.CONCAT(MedicalGases_Backend[[#This Row],[Level 1]:[Level 6]]),rng_EFConcat,rng_EF3)*MedicalGases_Backend[[#This Row],[Converted data]]/1000</f>
        <v>#N/A</v>
      </c>
      <c r="AI46" s="210" t="e">
        <f ca="1">_xlfn.XLOOKUP(_xlfn.CONCAT(MedicalGases_Backend[[#This Row],[Level 1]:[Level 6]]),rng_EFConcat,rng_EF3WTT)*MedicalGases_Backend[[#This Row],[Converted data]]/1000</f>
        <v>#N/A</v>
      </c>
      <c r="AJ46" s="210" t="e">
        <f ca="1">_xlfn.XLOOKUP(_xlfn.CONCAT(MedicalGases_Backend[[#This Row],[Level 1]:[Level 6]]),rng_EFConcat,rng_EF3TD)*MedicalGases_Backend[[#This Row],[Converted data]]/1000</f>
        <v>#N/A</v>
      </c>
      <c r="AK46" s="210" t="e">
        <f ca="1">_xlfn.XLOOKUP(_xlfn.CONCAT(MedicalGases_Backend[[#This Row],[Level 1]:[Level 6]]),rng_EFConcat,rng_EF3WTTTD)*MedicalGases_Backend[[#This Row],[Converted data]]/1000</f>
        <v>#N/A</v>
      </c>
      <c r="AL46" s="220" t="e">
        <f ca="1">SUM(MedicalGases_Backend[[#This Row],[Scope 1 (tCO2e)]:[Scope 3 WTT T&amp;D (tCO2e)]])</f>
        <v>#N/A</v>
      </c>
      <c r="AM46" s="220" t="e">
        <f ca="1">MedicalGases_Backend[[#This Row],[Total (tCO2e)]]*(1-MedicalGases_Backend[[#This Row],[RSD]])</f>
        <v>#N/A</v>
      </c>
      <c r="AN46" s="220" t="e">
        <f ca="1">MedicalGases_Backend[[#This Row],[Total (tCO2e)]]*(1+MedicalGases_Backend[[#This Row],[RSD]])</f>
        <v>#N/A</v>
      </c>
      <c r="AO46" s="210" t="e">
        <f ca="1">_xlfn.XLOOKUP(_xlfn.CONCAT(MedicalGases_Backend[[#This Row],[Level 1]:[Level 6]]),rng_EFConcat,rng_EFOOS)*MedicalGases_Backend[[#This Row],[Converted data]]/1000</f>
        <v>#N/A</v>
      </c>
      <c r="AP46" s="174">
        <f>MedicalGases_Frontend[[#This Row],[Ease of collection]]</f>
        <v>0</v>
      </c>
      <c r="AQ46" s="174">
        <f>MedicalGases_Frontend[[#This Row],[Completeness]]</f>
        <v>0</v>
      </c>
      <c r="AR46" s="174">
        <f>MedicalGases_Frontend[[#This Row],[Notes]]</f>
        <v>0</v>
      </c>
    </row>
    <row r="47" spans="2:44" x14ac:dyDescent="0.3">
      <c r="B47" s="455"/>
      <c r="E47" s="346"/>
      <c r="F47" s="336"/>
      <c r="G47" s="172" t="s">
        <v>336</v>
      </c>
      <c r="H47" s="347"/>
      <c r="I47" s="172" t="s">
        <v>343</v>
      </c>
      <c r="J47" s="336"/>
      <c r="K47" s="336"/>
      <c r="L47" s="350"/>
      <c r="M47" s="230">
        <f t="shared" si="3"/>
        <v>3</v>
      </c>
      <c r="Q47" s="212" t="str">
        <f t="shared" si="2"/>
        <v/>
      </c>
      <c r="R47" s="174" t="s">
        <v>344</v>
      </c>
      <c r="S47" s="174" t="s">
        <v>344</v>
      </c>
      <c r="T47" s="174" t="s">
        <v>344</v>
      </c>
      <c r="U47" s="174" t="s">
        <v>344</v>
      </c>
      <c r="V47" s="174">
        <f>MedicalGases_Frontend[[#This Row],[Gas]]</f>
        <v>0</v>
      </c>
      <c r="W47" s="174" t="e" cm="1">
        <f t="array" aca="1" ref="W47" ca="1">_xlfn.XLOOKUP(MedicalGases_Backend[[#This Row],[Level 5]],rng_Level5Long,rng_Level6Long)</f>
        <v>#N/A</v>
      </c>
      <c r="X47" s="174">
        <f>MedicalGases_Frontend[[#This Row],[Site Name]]</f>
        <v>0</v>
      </c>
      <c r="Y47" s="174" t="s">
        <v>339</v>
      </c>
      <c r="Z47" s="174" t="str">
        <f>MedicalGases_Frontend[[#This Row],[Methodology]]</f>
        <v>Tier 3</v>
      </c>
      <c r="AA47" s="229" t="e" cm="1">
        <f t="array" aca="1" ref="AA47" ca="1">INDEX(_xlfn.SWITCH(MedicalGases_Backend[[#This Row],[Methodology]],"Tier 1",rng_RSD1,"Tier 2",rng_RSD2,"Tier 3",rng_RSD3),MATCH(_xlfn.CONCAT(MedicalGases_Backend[[#This Row],[Level 1]:[Level 6]]),rng_LevelsConcat,0))</f>
        <v>#N/A</v>
      </c>
      <c r="AB47" s="220">
        <f>MedicalGases_Frontend[[#This Row],[Data]]</f>
        <v>0</v>
      </c>
      <c r="AC47" s="174" t="str">
        <f>MedicalGases_Frontend[[#This Row],[Units]]</f>
        <v>litres</v>
      </c>
      <c r="AD47" s="220">
        <f>MedicalGases_Backend[[#This Row],[Data]]</f>
        <v>0</v>
      </c>
      <c r="AE47" s="174" t="str">
        <f>MedicalGases_Frontend[[#This Row],[Units]]</f>
        <v>litres</v>
      </c>
      <c r="AF47" s="210" t="e">
        <f ca="1">_xlfn.XLOOKUP(_xlfn.CONCAT(MedicalGases_Backend[[#This Row],[Level 1]:[Level 6]]),rng_EFConcat,rng_EF1)*MedicalGases_Backend[[#This Row],[Converted data]]/1000</f>
        <v>#N/A</v>
      </c>
      <c r="AG47" s="210" t="e">
        <f ca="1">_xlfn.XLOOKUP(_xlfn.CONCAT(MedicalGases_Backend[[#This Row],[Level 1]:[Level 6]]),rng_EFConcat,rng_EF2)*MedicalGases_Backend[[#This Row],[Converted data]]/1000</f>
        <v>#N/A</v>
      </c>
      <c r="AH47" s="210" t="e">
        <f ca="1">_xlfn.XLOOKUP(_xlfn.CONCAT(MedicalGases_Backend[[#This Row],[Level 1]:[Level 6]]),rng_EFConcat,rng_EF3)*MedicalGases_Backend[[#This Row],[Converted data]]/1000</f>
        <v>#N/A</v>
      </c>
      <c r="AI47" s="210" t="e">
        <f ca="1">_xlfn.XLOOKUP(_xlfn.CONCAT(MedicalGases_Backend[[#This Row],[Level 1]:[Level 6]]),rng_EFConcat,rng_EF3WTT)*MedicalGases_Backend[[#This Row],[Converted data]]/1000</f>
        <v>#N/A</v>
      </c>
      <c r="AJ47" s="210" t="e">
        <f ca="1">_xlfn.XLOOKUP(_xlfn.CONCAT(MedicalGases_Backend[[#This Row],[Level 1]:[Level 6]]),rng_EFConcat,rng_EF3TD)*MedicalGases_Backend[[#This Row],[Converted data]]/1000</f>
        <v>#N/A</v>
      </c>
      <c r="AK47" s="210" t="e">
        <f ca="1">_xlfn.XLOOKUP(_xlfn.CONCAT(MedicalGases_Backend[[#This Row],[Level 1]:[Level 6]]),rng_EFConcat,rng_EF3WTTTD)*MedicalGases_Backend[[#This Row],[Converted data]]/1000</f>
        <v>#N/A</v>
      </c>
      <c r="AL47" s="220" t="e">
        <f ca="1">SUM(MedicalGases_Backend[[#This Row],[Scope 1 (tCO2e)]:[Scope 3 WTT T&amp;D (tCO2e)]])</f>
        <v>#N/A</v>
      </c>
      <c r="AM47" s="220" t="e">
        <f ca="1">MedicalGases_Backend[[#This Row],[Total (tCO2e)]]*(1-MedicalGases_Backend[[#This Row],[RSD]])</f>
        <v>#N/A</v>
      </c>
      <c r="AN47" s="220" t="e">
        <f ca="1">MedicalGases_Backend[[#This Row],[Total (tCO2e)]]*(1+MedicalGases_Backend[[#This Row],[RSD]])</f>
        <v>#N/A</v>
      </c>
      <c r="AO47" s="210" t="e">
        <f ca="1">_xlfn.XLOOKUP(_xlfn.CONCAT(MedicalGases_Backend[[#This Row],[Level 1]:[Level 6]]),rng_EFConcat,rng_EFOOS)*MedicalGases_Backend[[#This Row],[Converted data]]/1000</f>
        <v>#N/A</v>
      </c>
      <c r="AP47" s="174">
        <f>MedicalGases_Frontend[[#This Row],[Ease of collection]]</f>
        <v>0</v>
      </c>
      <c r="AQ47" s="174">
        <f>MedicalGases_Frontend[[#This Row],[Completeness]]</f>
        <v>0</v>
      </c>
      <c r="AR47" s="174">
        <f>MedicalGases_Frontend[[#This Row],[Notes]]</f>
        <v>0</v>
      </c>
    </row>
    <row r="48" spans="2:44" x14ac:dyDescent="0.3">
      <c r="B48" s="455"/>
      <c r="E48" s="346"/>
      <c r="F48" s="336"/>
      <c r="G48" s="172" t="s">
        <v>336</v>
      </c>
      <c r="H48" s="347"/>
      <c r="I48" s="172" t="s">
        <v>343</v>
      </c>
      <c r="J48" s="336"/>
      <c r="K48" s="336"/>
      <c r="L48" s="350"/>
      <c r="M48" s="230">
        <f t="shared" si="3"/>
        <v>3</v>
      </c>
      <c r="Q48" s="212" t="str">
        <f t="shared" si="2"/>
        <v/>
      </c>
      <c r="R48" s="174" t="s">
        <v>344</v>
      </c>
      <c r="S48" s="174" t="s">
        <v>344</v>
      </c>
      <c r="T48" s="174" t="s">
        <v>344</v>
      </c>
      <c r="U48" s="174" t="s">
        <v>344</v>
      </c>
      <c r="V48" s="174">
        <f>MedicalGases_Frontend[[#This Row],[Gas]]</f>
        <v>0</v>
      </c>
      <c r="W48" s="174" t="e" cm="1">
        <f t="array" aca="1" ref="W48" ca="1">_xlfn.XLOOKUP(MedicalGases_Backend[[#This Row],[Level 5]],rng_Level5Long,rng_Level6Long)</f>
        <v>#N/A</v>
      </c>
      <c r="X48" s="174">
        <f>MedicalGases_Frontend[[#This Row],[Site Name]]</f>
        <v>0</v>
      </c>
      <c r="Y48" s="174" t="s">
        <v>339</v>
      </c>
      <c r="Z48" s="174" t="str">
        <f>MedicalGases_Frontend[[#This Row],[Methodology]]</f>
        <v>Tier 3</v>
      </c>
      <c r="AA48" s="229" t="e" cm="1">
        <f t="array" aca="1" ref="AA48" ca="1">INDEX(_xlfn.SWITCH(MedicalGases_Backend[[#This Row],[Methodology]],"Tier 1",rng_RSD1,"Tier 2",rng_RSD2,"Tier 3",rng_RSD3),MATCH(_xlfn.CONCAT(MedicalGases_Backend[[#This Row],[Level 1]:[Level 6]]),rng_LevelsConcat,0))</f>
        <v>#N/A</v>
      </c>
      <c r="AB48" s="220">
        <f>MedicalGases_Frontend[[#This Row],[Data]]</f>
        <v>0</v>
      </c>
      <c r="AC48" s="174" t="str">
        <f>MedicalGases_Frontend[[#This Row],[Units]]</f>
        <v>litres</v>
      </c>
      <c r="AD48" s="220">
        <f>MedicalGases_Backend[[#This Row],[Data]]</f>
        <v>0</v>
      </c>
      <c r="AE48" s="174" t="str">
        <f>MedicalGases_Frontend[[#This Row],[Units]]</f>
        <v>litres</v>
      </c>
      <c r="AF48" s="210" t="e">
        <f ca="1">_xlfn.XLOOKUP(_xlfn.CONCAT(MedicalGases_Backend[[#This Row],[Level 1]:[Level 6]]),rng_EFConcat,rng_EF1)*MedicalGases_Backend[[#This Row],[Converted data]]/1000</f>
        <v>#N/A</v>
      </c>
      <c r="AG48" s="210" t="e">
        <f ca="1">_xlfn.XLOOKUP(_xlfn.CONCAT(MedicalGases_Backend[[#This Row],[Level 1]:[Level 6]]),rng_EFConcat,rng_EF2)*MedicalGases_Backend[[#This Row],[Converted data]]/1000</f>
        <v>#N/A</v>
      </c>
      <c r="AH48" s="210" t="e">
        <f ca="1">_xlfn.XLOOKUP(_xlfn.CONCAT(MedicalGases_Backend[[#This Row],[Level 1]:[Level 6]]),rng_EFConcat,rng_EF3)*MedicalGases_Backend[[#This Row],[Converted data]]/1000</f>
        <v>#N/A</v>
      </c>
      <c r="AI48" s="210" t="e">
        <f ca="1">_xlfn.XLOOKUP(_xlfn.CONCAT(MedicalGases_Backend[[#This Row],[Level 1]:[Level 6]]),rng_EFConcat,rng_EF3WTT)*MedicalGases_Backend[[#This Row],[Converted data]]/1000</f>
        <v>#N/A</v>
      </c>
      <c r="AJ48" s="210" t="e">
        <f ca="1">_xlfn.XLOOKUP(_xlfn.CONCAT(MedicalGases_Backend[[#This Row],[Level 1]:[Level 6]]),rng_EFConcat,rng_EF3TD)*MedicalGases_Backend[[#This Row],[Converted data]]/1000</f>
        <v>#N/A</v>
      </c>
      <c r="AK48" s="210" t="e">
        <f ca="1">_xlfn.XLOOKUP(_xlfn.CONCAT(MedicalGases_Backend[[#This Row],[Level 1]:[Level 6]]),rng_EFConcat,rng_EF3WTTTD)*MedicalGases_Backend[[#This Row],[Converted data]]/1000</f>
        <v>#N/A</v>
      </c>
      <c r="AL48" s="220" t="e">
        <f ca="1">SUM(MedicalGases_Backend[[#This Row],[Scope 1 (tCO2e)]:[Scope 3 WTT T&amp;D (tCO2e)]])</f>
        <v>#N/A</v>
      </c>
      <c r="AM48" s="220" t="e">
        <f ca="1">MedicalGases_Backend[[#This Row],[Total (tCO2e)]]*(1-MedicalGases_Backend[[#This Row],[RSD]])</f>
        <v>#N/A</v>
      </c>
      <c r="AN48" s="220" t="e">
        <f ca="1">MedicalGases_Backend[[#This Row],[Total (tCO2e)]]*(1+MedicalGases_Backend[[#This Row],[RSD]])</f>
        <v>#N/A</v>
      </c>
      <c r="AO48" s="210" t="e">
        <f ca="1">_xlfn.XLOOKUP(_xlfn.CONCAT(MedicalGases_Backend[[#This Row],[Level 1]:[Level 6]]),rng_EFConcat,rng_EFOOS)*MedicalGases_Backend[[#This Row],[Converted data]]/1000</f>
        <v>#N/A</v>
      </c>
      <c r="AP48" s="174">
        <f>MedicalGases_Frontend[[#This Row],[Ease of collection]]</f>
        <v>0</v>
      </c>
      <c r="AQ48" s="174">
        <f>MedicalGases_Frontend[[#This Row],[Completeness]]</f>
        <v>0</v>
      </c>
      <c r="AR48" s="174">
        <f>MedicalGases_Frontend[[#This Row],[Notes]]</f>
        <v>0</v>
      </c>
    </row>
    <row r="49" spans="2:44" x14ac:dyDescent="0.3">
      <c r="B49" s="455"/>
      <c r="E49" s="346"/>
      <c r="F49" s="336"/>
      <c r="G49" s="172" t="s">
        <v>336</v>
      </c>
      <c r="H49" s="347"/>
      <c r="I49" s="172" t="s">
        <v>343</v>
      </c>
      <c r="J49" s="336"/>
      <c r="K49" s="336"/>
      <c r="L49" s="350"/>
      <c r="M49" s="230">
        <f t="shared" si="3"/>
        <v>3</v>
      </c>
      <c r="Q49" s="212" t="str">
        <f t="shared" si="2"/>
        <v/>
      </c>
      <c r="R49" s="174" t="s">
        <v>344</v>
      </c>
      <c r="S49" s="174" t="s">
        <v>344</v>
      </c>
      <c r="T49" s="174" t="s">
        <v>344</v>
      </c>
      <c r="U49" s="174" t="s">
        <v>344</v>
      </c>
      <c r="V49" s="174">
        <f>MedicalGases_Frontend[[#This Row],[Gas]]</f>
        <v>0</v>
      </c>
      <c r="W49" s="174" t="e" cm="1">
        <f t="array" aca="1" ref="W49" ca="1">_xlfn.XLOOKUP(MedicalGases_Backend[[#This Row],[Level 5]],rng_Level5Long,rng_Level6Long)</f>
        <v>#N/A</v>
      </c>
      <c r="X49" s="174">
        <f>MedicalGases_Frontend[[#This Row],[Site Name]]</f>
        <v>0</v>
      </c>
      <c r="Y49" s="174" t="s">
        <v>339</v>
      </c>
      <c r="Z49" s="174" t="str">
        <f>MedicalGases_Frontend[[#This Row],[Methodology]]</f>
        <v>Tier 3</v>
      </c>
      <c r="AA49" s="229" t="e" cm="1">
        <f t="array" aca="1" ref="AA49" ca="1">INDEX(_xlfn.SWITCH(MedicalGases_Backend[[#This Row],[Methodology]],"Tier 1",rng_RSD1,"Tier 2",rng_RSD2,"Tier 3",rng_RSD3),MATCH(_xlfn.CONCAT(MedicalGases_Backend[[#This Row],[Level 1]:[Level 6]]),rng_LevelsConcat,0))</f>
        <v>#N/A</v>
      </c>
      <c r="AB49" s="220">
        <f>MedicalGases_Frontend[[#This Row],[Data]]</f>
        <v>0</v>
      </c>
      <c r="AC49" s="174" t="str">
        <f>MedicalGases_Frontend[[#This Row],[Units]]</f>
        <v>litres</v>
      </c>
      <c r="AD49" s="220">
        <f>MedicalGases_Backend[[#This Row],[Data]]</f>
        <v>0</v>
      </c>
      <c r="AE49" s="174" t="str">
        <f>MedicalGases_Frontend[[#This Row],[Units]]</f>
        <v>litres</v>
      </c>
      <c r="AF49" s="210" t="e">
        <f ca="1">_xlfn.XLOOKUP(_xlfn.CONCAT(MedicalGases_Backend[[#This Row],[Level 1]:[Level 6]]),rng_EFConcat,rng_EF1)*MedicalGases_Backend[[#This Row],[Converted data]]/1000</f>
        <v>#N/A</v>
      </c>
      <c r="AG49" s="210" t="e">
        <f ca="1">_xlfn.XLOOKUP(_xlfn.CONCAT(MedicalGases_Backend[[#This Row],[Level 1]:[Level 6]]),rng_EFConcat,rng_EF2)*MedicalGases_Backend[[#This Row],[Converted data]]/1000</f>
        <v>#N/A</v>
      </c>
      <c r="AH49" s="210" t="e">
        <f ca="1">_xlfn.XLOOKUP(_xlfn.CONCAT(MedicalGases_Backend[[#This Row],[Level 1]:[Level 6]]),rng_EFConcat,rng_EF3)*MedicalGases_Backend[[#This Row],[Converted data]]/1000</f>
        <v>#N/A</v>
      </c>
      <c r="AI49" s="210" t="e">
        <f ca="1">_xlfn.XLOOKUP(_xlfn.CONCAT(MedicalGases_Backend[[#This Row],[Level 1]:[Level 6]]),rng_EFConcat,rng_EF3WTT)*MedicalGases_Backend[[#This Row],[Converted data]]/1000</f>
        <v>#N/A</v>
      </c>
      <c r="AJ49" s="210" t="e">
        <f ca="1">_xlfn.XLOOKUP(_xlfn.CONCAT(MedicalGases_Backend[[#This Row],[Level 1]:[Level 6]]),rng_EFConcat,rng_EF3TD)*MedicalGases_Backend[[#This Row],[Converted data]]/1000</f>
        <v>#N/A</v>
      </c>
      <c r="AK49" s="210" t="e">
        <f ca="1">_xlfn.XLOOKUP(_xlfn.CONCAT(MedicalGases_Backend[[#This Row],[Level 1]:[Level 6]]),rng_EFConcat,rng_EF3WTTTD)*MedicalGases_Backend[[#This Row],[Converted data]]/1000</f>
        <v>#N/A</v>
      </c>
      <c r="AL49" s="220" t="e">
        <f ca="1">SUM(MedicalGases_Backend[[#This Row],[Scope 1 (tCO2e)]:[Scope 3 WTT T&amp;D (tCO2e)]])</f>
        <v>#N/A</v>
      </c>
      <c r="AM49" s="220" t="e">
        <f ca="1">MedicalGases_Backend[[#This Row],[Total (tCO2e)]]*(1-MedicalGases_Backend[[#This Row],[RSD]])</f>
        <v>#N/A</v>
      </c>
      <c r="AN49" s="220" t="e">
        <f ca="1">MedicalGases_Backend[[#This Row],[Total (tCO2e)]]*(1+MedicalGases_Backend[[#This Row],[RSD]])</f>
        <v>#N/A</v>
      </c>
      <c r="AO49" s="210" t="e">
        <f ca="1">_xlfn.XLOOKUP(_xlfn.CONCAT(MedicalGases_Backend[[#This Row],[Level 1]:[Level 6]]),rng_EFConcat,rng_EFOOS)*MedicalGases_Backend[[#This Row],[Converted data]]/1000</f>
        <v>#N/A</v>
      </c>
      <c r="AP49" s="174">
        <f>MedicalGases_Frontend[[#This Row],[Ease of collection]]</f>
        <v>0</v>
      </c>
      <c r="AQ49" s="174">
        <f>MedicalGases_Frontend[[#This Row],[Completeness]]</f>
        <v>0</v>
      </c>
      <c r="AR49" s="174">
        <f>MedicalGases_Frontend[[#This Row],[Notes]]</f>
        <v>0</v>
      </c>
    </row>
    <row r="50" spans="2:44" x14ac:dyDescent="0.3">
      <c r="B50" s="455"/>
      <c r="E50" s="346"/>
      <c r="F50" s="336"/>
      <c r="G50" s="172" t="s">
        <v>336</v>
      </c>
      <c r="H50" s="347"/>
      <c r="I50" s="172" t="s">
        <v>343</v>
      </c>
      <c r="J50" s="336"/>
      <c r="K50" s="336"/>
      <c r="L50" s="350"/>
      <c r="M50" s="230">
        <f t="shared" si="3"/>
        <v>3</v>
      </c>
      <c r="Q50" s="212" t="str">
        <f t="shared" si="2"/>
        <v/>
      </c>
      <c r="R50" s="174" t="s">
        <v>344</v>
      </c>
      <c r="S50" s="174" t="s">
        <v>344</v>
      </c>
      <c r="T50" s="174" t="s">
        <v>344</v>
      </c>
      <c r="U50" s="174" t="s">
        <v>344</v>
      </c>
      <c r="V50" s="174">
        <f>MedicalGases_Frontend[[#This Row],[Gas]]</f>
        <v>0</v>
      </c>
      <c r="W50" s="174" t="e" cm="1">
        <f t="array" aca="1" ref="W50" ca="1">_xlfn.XLOOKUP(MedicalGases_Backend[[#This Row],[Level 5]],rng_Level5Long,rng_Level6Long)</f>
        <v>#N/A</v>
      </c>
      <c r="X50" s="174">
        <f>MedicalGases_Frontend[[#This Row],[Site Name]]</f>
        <v>0</v>
      </c>
      <c r="Y50" s="174" t="s">
        <v>339</v>
      </c>
      <c r="Z50" s="174" t="str">
        <f>MedicalGases_Frontend[[#This Row],[Methodology]]</f>
        <v>Tier 3</v>
      </c>
      <c r="AA50" s="229" t="e" cm="1">
        <f t="array" aca="1" ref="AA50" ca="1">INDEX(_xlfn.SWITCH(MedicalGases_Backend[[#This Row],[Methodology]],"Tier 1",rng_RSD1,"Tier 2",rng_RSD2,"Tier 3",rng_RSD3),MATCH(_xlfn.CONCAT(MedicalGases_Backend[[#This Row],[Level 1]:[Level 6]]),rng_LevelsConcat,0))</f>
        <v>#N/A</v>
      </c>
      <c r="AB50" s="220">
        <f>MedicalGases_Frontend[[#This Row],[Data]]</f>
        <v>0</v>
      </c>
      <c r="AC50" s="174" t="str">
        <f>MedicalGases_Frontend[[#This Row],[Units]]</f>
        <v>litres</v>
      </c>
      <c r="AD50" s="220">
        <f>MedicalGases_Backend[[#This Row],[Data]]</f>
        <v>0</v>
      </c>
      <c r="AE50" s="174" t="str">
        <f>MedicalGases_Frontend[[#This Row],[Units]]</f>
        <v>litres</v>
      </c>
      <c r="AF50" s="210" t="e">
        <f ca="1">_xlfn.XLOOKUP(_xlfn.CONCAT(MedicalGases_Backend[[#This Row],[Level 1]:[Level 6]]),rng_EFConcat,rng_EF1)*MedicalGases_Backend[[#This Row],[Converted data]]/1000</f>
        <v>#N/A</v>
      </c>
      <c r="AG50" s="210" t="e">
        <f ca="1">_xlfn.XLOOKUP(_xlfn.CONCAT(MedicalGases_Backend[[#This Row],[Level 1]:[Level 6]]),rng_EFConcat,rng_EF2)*MedicalGases_Backend[[#This Row],[Converted data]]/1000</f>
        <v>#N/A</v>
      </c>
      <c r="AH50" s="210" t="e">
        <f ca="1">_xlfn.XLOOKUP(_xlfn.CONCAT(MedicalGases_Backend[[#This Row],[Level 1]:[Level 6]]),rng_EFConcat,rng_EF3)*MedicalGases_Backend[[#This Row],[Converted data]]/1000</f>
        <v>#N/A</v>
      </c>
      <c r="AI50" s="210" t="e">
        <f ca="1">_xlfn.XLOOKUP(_xlfn.CONCAT(MedicalGases_Backend[[#This Row],[Level 1]:[Level 6]]),rng_EFConcat,rng_EF3WTT)*MedicalGases_Backend[[#This Row],[Converted data]]/1000</f>
        <v>#N/A</v>
      </c>
      <c r="AJ50" s="210" t="e">
        <f ca="1">_xlfn.XLOOKUP(_xlfn.CONCAT(MedicalGases_Backend[[#This Row],[Level 1]:[Level 6]]),rng_EFConcat,rng_EF3TD)*MedicalGases_Backend[[#This Row],[Converted data]]/1000</f>
        <v>#N/A</v>
      </c>
      <c r="AK50" s="210" t="e">
        <f ca="1">_xlfn.XLOOKUP(_xlfn.CONCAT(MedicalGases_Backend[[#This Row],[Level 1]:[Level 6]]),rng_EFConcat,rng_EF3WTTTD)*MedicalGases_Backend[[#This Row],[Converted data]]/1000</f>
        <v>#N/A</v>
      </c>
      <c r="AL50" s="220" t="e">
        <f ca="1">SUM(MedicalGases_Backend[[#This Row],[Scope 1 (tCO2e)]:[Scope 3 WTT T&amp;D (tCO2e)]])</f>
        <v>#N/A</v>
      </c>
      <c r="AM50" s="220" t="e">
        <f ca="1">MedicalGases_Backend[[#This Row],[Total (tCO2e)]]*(1-MedicalGases_Backend[[#This Row],[RSD]])</f>
        <v>#N/A</v>
      </c>
      <c r="AN50" s="220" t="e">
        <f ca="1">MedicalGases_Backend[[#This Row],[Total (tCO2e)]]*(1+MedicalGases_Backend[[#This Row],[RSD]])</f>
        <v>#N/A</v>
      </c>
      <c r="AO50" s="210" t="e">
        <f ca="1">_xlfn.XLOOKUP(_xlfn.CONCAT(MedicalGases_Backend[[#This Row],[Level 1]:[Level 6]]),rng_EFConcat,rng_EFOOS)*MedicalGases_Backend[[#This Row],[Converted data]]/1000</f>
        <v>#N/A</v>
      </c>
      <c r="AP50" s="174">
        <f>MedicalGases_Frontend[[#This Row],[Ease of collection]]</f>
        <v>0</v>
      </c>
      <c r="AQ50" s="174">
        <f>MedicalGases_Frontend[[#This Row],[Completeness]]</f>
        <v>0</v>
      </c>
      <c r="AR50" s="174">
        <f>MedicalGases_Frontend[[#This Row],[Notes]]</f>
        <v>0</v>
      </c>
    </row>
    <row r="51" spans="2:44" x14ac:dyDescent="0.3">
      <c r="B51" s="455"/>
      <c r="E51" s="346"/>
      <c r="F51" s="336"/>
      <c r="G51" s="172" t="s">
        <v>336</v>
      </c>
      <c r="H51" s="347"/>
      <c r="I51" s="172" t="s">
        <v>343</v>
      </c>
      <c r="J51" s="336"/>
      <c r="K51" s="336"/>
      <c r="L51" s="350"/>
      <c r="M51" s="230">
        <f t="shared" si="3"/>
        <v>3</v>
      </c>
      <c r="Q51" s="212" t="str">
        <f t="shared" si="2"/>
        <v/>
      </c>
      <c r="R51" s="174" t="s">
        <v>344</v>
      </c>
      <c r="S51" s="174" t="s">
        <v>344</v>
      </c>
      <c r="T51" s="174" t="s">
        <v>344</v>
      </c>
      <c r="U51" s="174" t="s">
        <v>344</v>
      </c>
      <c r="V51" s="174">
        <f>MedicalGases_Frontend[[#This Row],[Gas]]</f>
        <v>0</v>
      </c>
      <c r="W51" s="174" t="e" cm="1">
        <f t="array" aca="1" ref="W51" ca="1">_xlfn.XLOOKUP(MedicalGases_Backend[[#This Row],[Level 5]],rng_Level5Long,rng_Level6Long)</f>
        <v>#N/A</v>
      </c>
      <c r="X51" s="174">
        <f>MedicalGases_Frontend[[#This Row],[Site Name]]</f>
        <v>0</v>
      </c>
      <c r="Y51" s="174" t="s">
        <v>339</v>
      </c>
      <c r="Z51" s="174" t="str">
        <f>MedicalGases_Frontend[[#This Row],[Methodology]]</f>
        <v>Tier 3</v>
      </c>
      <c r="AA51" s="229" t="e" cm="1">
        <f t="array" aca="1" ref="AA51" ca="1">INDEX(_xlfn.SWITCH(MedicalGases_Backend[[#This Row],[Methodology]],"Tier 1",rng_RSD1,"Tier 2",rng_RSD2,"Tier 3",rng_RSD3),MATCH(_xlfn.CONCAT(MedicalGases_Backend[[#This Row],[Level 1]:[Level 6]]),rng_LevelsConcat,0))</f>
        <v>#N/A</v>
      </c>
      <c r="AB51" s="220">
        <f>MedicalGases_Frontend[[#This Row],[Data]]</f>
        <v>0</v>
      </c>
      <c r="AC51" s="174" t="str">
        <f>MedicalGases_Frontend[[#This Row],[Units]]</f>
        <v>litres</v>
      </c>
      <c r="AD51" s="220">
        <f>MedicalGases_Backend[[#This Row],[Data]]</f>
        <v>0</v>
      </c>
      <c r="AE51" s="174" t="str">
        <f>MedicalGases_Frontend[[#This Row],[Units]]</f>
        <v>litres</v>
      </c>
      <c r="AF51" s="210" t="e">
        <f ca="1">_xlfn.XLOOKUP(_xlfn.CONCAT(MedicalGases_Backend[[#This Row],[Level 1]:[Level 6]]),rng_EFConcat,rng_EF1)*MedicalGases_Backend[[#This Row],[Converted data]]/1000</f>
        <v>#N/A</v>
      </c>
      <c r="AG51" s="210" t="e">
        <f ca="1">_xlfn.XLOOKUP(_xlfn.CONCAT(MedicalGases_Backend[[#This Row],[Level 1]:[Level 6]]),rng_EFConcat,rng_EF2)*MedicalGases_Backend[[#This Row],[Converted data]]/1000</f>
        <v>#N/A</v>
      </c>
      <c r="AH51" s="210" t="e">
        <f ca="1">_xlfn.XLOOKUP(_xlfn.CONCAT(MedicalGases_Backend[[#This Row],[Level 1]:[Level 6]]),rng_EFConcat,rng_EF3)*MedicalGases_Backend[[#This Row],[Converted data]]/1000</f>
        <v>#N/A</v>
      </c>
      <c r="AI51" s="210" t="e">
        <f ca="1">_xlfn.XLOOKUP(_xlfn.CONCAT(MedicalGases_Backend[[#This Row],[Level 1]:[Level 6]]),rng_EFConcat,rng_EF3WTT)*MedicalGases_Backend[[#This Row],[Converted data]]/1000</f>
        <v>#N/A</v>
      </c>
      <c r="AJ51" s="210" t="e">
        <f ca="1">_xlfn.XLOOKUP(_xlfn.CONCAT(MedicalGases_Backend[[#This Row],[Level 1]:[Level 6]]),rng_EFConcat,rng_EF3TD)*MedicalGases_Backend[[#This Row],[Converted data]]/1000</f>
        <v>#N/A</v>
      </c>
      <c r="AK51" s="210" t="e">
        <f ca="1">_xlfn.XLOOKUP(_xlfn.CONCAT(MedicalGases_Backend[[#This Row],[Level 1]:[Level 6]]),rng_EFConcat,rng_EF3WTTTD)*MedicalGases_Backend[[#This Row],[Converted data]]/1000</f>
        <v>#N/A</v>
      </c>
      <c r="AL51" s="220" t="e">
        <f ca="1">SUM(MedicalGases_Backend[[#This Row],[Scope 1 (tCO2e)]:[Scope 3 WTT T&amp;D (tCO2e)]])</f>
        <v>#N/A</v>
      </c>
      <c r="AM51" s="220" t="e">
        <f ca="1">MedicalGases_Backend[[#This Row],[Total (tCO2e)]]*(1-MedicalGases_Backend[[#This Row],[RSD]])</f>
        <v>#N/A</v>
      </c>
      <c r="AN51" s="220" t="e">
        <f ca="1">MedicalGases_Backend[[#This Row],[Total (tCO2e)]]*(1+MedicalGases_Backend[[#This Row],[RSD]])</f>
        <v>#N/A</v>
      </c>
      <c r="AO51" s="210" t="e">
        <f ca="1">_xlfn.XLOOKUP(_xlfn.CONCAT(MedicalGases_Backend[[#This Row],[Level 1]:[Level 6]]),rng_EFConcat,rng_EFOOS)*MedicalGases_Backend[[#This Row],[Converted data]]/1000</f>
        <v>#N/A</v>
      </c>
      <c r="AP51" s="174">
        <f>MedicalGases_Frontend[[#This Row],[Ease of collection]]</f>
        <v>0</v>
      </c>
      <c r="AQ51" s="174">
        <f>MedicalGases_Frontend[[#This Row],[Completeness]]</f>
        <v>0</v>
      </c>
      <c r="AR51" s="174">
        <f>MedicalGases_Frontend[[#This Row],[Notes]]</f>
        <v>0</v>
      </c>
    </row>
    <row r="52" spans="2:44" x14ac:dyDescent="0.3">
      <c r="B52" s="455"/>
      <c r="E52" s="346"/>
      <c r="F52" s="336"/>
      <c r="G52" s="172" t="s">
        <v>336</v>
      </c>
      <c r="H52" s="347"/>
      <c r="I52" s="172" t="s">
        <v>343</v>
      </c>
      <c r="J52" s="336"/>
      <c r="K52" s="336"/>
      <c r="L52" s="350"/>
      <c r="M52" s="230">
        <f t="shared" si="3"/>
        <v>3</v>
      </c>
      <c r="Q52" s="212" t="str">
        <f t="shared" si="2"/>
        <v/>
      </c>
      <c r="R52" s="174" t="s">
        <v>344</v>
      </c>
      <c r="S52" s="174" t="s">
        <v>344</v>
      </c>
      <c r="T52" s="174" t="s">
        <v>344</v>
      </c>
      <c r="U52" s="174" t="s">
        <v>344</v>
      </c>
      <c r="V52" s="174">
        <f>MedicalGases_Frontend[[#This Row],[Gas]]</f>
        <v>0</v>
      </c>
      <c r="W52" s="174" t="e" cm="1">
        <f t="array" aca="1" ref="W52" ca="1">_xlfn.XLOOKUP(MedicalGases_Backend[[#This Row],[Level 5]],rng_Level5Long,rng_Level6Long)</f>
        <v>#N/A</v>
      </c>
      <c r="X52" s="174">
        <f>MedicalGases_Frontend[[#This Row],[Site Name]]</f>
        <v>0</v>
      </c>
      <c r="Y52" s="174" t="s">
        <v>339</v>
      </c>
      <c r="Z52" s="174" t="str">
        <f>MedicalGases_Frontend[[#This Row],[Methodology]]</f>
        <v>Tier 3</v>
      </c>
      <c r="AA52" s="229" t="e" cm="1">
        <f t="array" aca="1" ref="AA52" ca="1">INDEX(_xlfn.SWITCH(MedicalGases_Backend[[#This Row],[Methodology]],"Tier 1",rng_RSD1,"Tier 2",rng_RSD2,"Tier 3",rng_RSD3),MATCH(_xlfn.CONCAT(MedicalGases_Backend[[#This Row],[Level 1]:[Level 6]]),rng_LevelsConcat,0))</f>
        <v>#N/A</v>
      </c>
      <c r="AB52" s="220">
        <f>MedicalGases_Frontend[[#This Row],[Data]]</f>
        <v>0</v>
      </c>
      <c r="AC52" s="174" t="str">
        <f>MedicalGases_Frontend[[#This Row],[Units]]</f>
        <v>litres</v>
      </c>
      <c r="AD52" s="220">
        <f>MedicalGases_Backend[[#This Row],[Data]]</f>
        <v>0</v>
      </c>
      <c r="AE52" s="174" t="str">
        <f>MedicalGases_Frontend[[#This Row],[Units]]</f>
        <v>litres</v>
      </c>
      <c r="AF52" s="210" t="e">
        <f ca="1">_xlfn.XLOOKUP(_xlfn.CONCAT(MedicalGases_Backend[[#This Row],[Level 1]:[Level 6]]),rng_EFConcat,rng_EF1)*MedicalGases_Backend[[#This Row],[Converted data]]/1000</f>
        <v>#N/A</v>
      </c>
      <c r="AG52" s="210" t="e">
        <f ca="1">_xlfn.XLOOKUP(_xlfn.CONCAT(MedicalGases_Backend[[#This Row],[Level 1]:[Level 6]]),rng_EFConcat,rng_EF2)*MedicalGases_Backend[[#This Row],[Converted data]]/1000</f>
        <v>#N/A</v>
      </c>
      <c r="AH52" s="210" t="e">
        <f ca="1">_xlfn.XLOOKUP(_xlfn.CONCAT(MedicalGases_Backend[[#This Row],[Level 1]:[Level 6]]),rng_EFConcat,rng_EF3)*MedicalGases_Backend[[#This Row],[Converted data]]/1000</f>
        <v>#N/A</v>
      </c>
      <c r="AI52" s="210" t="e">
        <f ca="1">_xlfn.XLOOKUP(_xlfn.CONCAT(MedicalGases_Backend[[#This Row],[Level 1]:[Level 6]]),rng_EFConcat,rng_EF3WTT)*MedicalGases_Backend[[#This Row],[Converted data]]/1000</f>
        <v>#N/A</v>
      </c>
      <c r="AJ52" s="210" t="e">
        <f ca="1">_xlfn.XLOOKUP(_xlfn.CONCAT(MedicalGases_Backend[[#This Row],[Level 1]:[Level 6]]),rng_EFConcat,rng_EF3TD)*MedicalGases_Backend[[#This Row],[Converted data]]/1000</f>
        <v>#N/A</v>
      </c>
      <c r="AK52" s="210" t="e">
        <f ca="1">_xlfn.XLOOKUP(_xlfn.CONCAT(MedicalGases_Backend[[#This Row],[Level 1]:[Level 6]]),rng_EFConcat,rng_EF3WTTTD)*MedicalGases_Backend[[#This Row],[Converted data]]/1000</f>
        <v>#N/A</v>
      </c>
      <c r="AL52" s="220" t="e">
        <f ca="1">SUM(MedicalGases_Backend[[#This Row],[Scope 1 (tCO2e)]:[Scope 3 WTT T&amp;D (tCO2e)]])</f>
        <v>#N/A</v>
      </c>
      <c r="AM52" s="220" t="e">
        <f ca="1">MedicalGases_Backend[[#This Row],[Total (tCO2e)]]*(1-MedicalGases_Backend[[#This Row],[RSD]])</f>
        <v>#N/A</v>
      </c>
      <c r="AN52" s="220" t="e">
        <f ca="1">MedicalGases_Backend[[#This Row],[Total (tCO2e)]]*(1+MedicalGases_Backend[[#This Row],[RSD]])</f>
        <v>#N/A</v>
      </c>
      <c r="AO52" s="210" t="e">
        <f ca="1">_xlfn.XLOOKUP(_xlfn.CONCAT(MedicalGases_Backend[[#This Row],[Level 1]:[Level 6]]),rng_EFConcat,rng_EFOOS)*MedicalGases_Backend[[#This Row],[Converted data]]/1000</f>
        <v>#N/A</v>
      </c>
      <c r="AP52" s="174">
        <f>MedicalGases_Frontend[[#This Row],[Ease of collection]]</f>
        <v>0</v>
      </c>
      <c r="AQ52" s="174">
        <f>MedicalGases_Frontend[[#This Row],[Completeness]]</f>
        <v>0</v>
      </c>
      <c r="AR52" s="174">
        <f>MedicalGases_Frontend[[#This Row],[Notes]]</f>
        <v>0</v>
      </c>
    </row>
    <row r="53" spans="2:44" x14ac:dyDescent="0.3">
      <c r="B53" s="455"/>
      <c r="E53" s="346"/>
      <c r="F53" s="336"/>
      <c r="G53" s="172" t="s">
        <v>336</v>
      </c>
      <c r="H53" s="347"/>
      <c r="I53" s="172" t="s">
        <v>343</v>
      </c>
      <c r="J53" s="336"/>
      <c r="K53" s="336"/>
      <c r="L53" s="350"/>
      <c r="M53" s="230">
        <f t="shared" si="3"/>
        <v>3</v>
      </c>
      <c r="Q53" s="212" t="str">
        <f t="shared" si="2"/>
        <v/>
      </c>
      <c r="R53" s="174" t="s">
        <v>344</v>
      </c>
      <c r="S53" s="174" t="s">
        <v>344</v>
      </c>
      <c r="T53" s="174" t="s">
        <v>344</v>
      </c>
      <c r="U53" s="174" t="s">
        <v>344</v>
      </c>
      <c r="V53" s="174">
        <f>MedicalGases_Frontend[[#This Row],[Gas]]</f>
        <v>0</v>
      </c>
      <c r="W53" s="174" t="e" cm="1">
        <f t="array" aca="1" ref="W53" ca="1">_xlfn.XLOOKUP(MedicalGases_Backend[[#This Row],[Level 5]],rng_Level5Long,rng_Level6Long)</f>
        <v>#N/A</v>
      </c>
      <c r="X53" s="174">
        <f>MedicalGases_Frontend[[#This Row],[Site Name]]</f>
        <v>0</v>
      </c>
      <c r="Y53" s="174" t="s">
        <v>339</v>
      </c>
      <c r="Z53" s="174" t="str">
        <f>MedicalGases_Frontend[[#This Row],[Methodology]]</f>
        <v>Tier 3</v>
      </c>
      <c r="AA53" s="229" t="e" cm="1">
        <f t="array" aca="1" ref="AA53" ca="1">INDEX(_xlfn.SWITCH(MedicalGases_Backend[[#This Row],[Methodology]],"Tier 1",rng_RSD1,"Tier 2",rng_RSD2,"Tier 3",rng_RSD3),MATCH(_xlfn.CONCAT(MedicalGases_Backend[[#This Row],[Level 1]:[Level 6]]),rng_LevelsConcat,0))</f>
        <v>#N/A</v>
      </c>
      <c r="AB53" s="220">
        <f>MedicalGases_Frontend[[#This Row],[Data]]</f>
        <v>0</v>
      </c>
      <c r="AC53" s="174" t="str">
        <f>MedicalGases_Frontend[[#This Row],[Units]]</f>
        <v>litres</v>
      </c>
      <c r="AD53" s="220">
        <f>MedicalGases_Backend[[#This Row],[Data]]</f>
        <v>0</v>
      </c>
      <c r="AE53" s="174" t="str">
        <f>MedicalGases_Frontend[[#This Row],[Units]]</f>
        <v>litres</v>
      </c>
      <c r="AF53" s="210" t="e">
        <f ca="1">_xlfn.XLOOKUP(_xlfn.CONCAT(MedicalGases_Backend[[#This Row],[Level 1]:[Level 6]]),rng_EFConcat,rng_EF1)*MedicalGases_Backend[[#This Row],[Converted data]]/1000</f>
        <v>#N/A</v>
      </c>
      <c r="AG53" s="210" t="e">
        <f ca="1">_xlfn.XLOOKUP(_xlfn.CONCAT(MedicalGases_Backend[[#This Row],[Level 1]:[Level 6]]),rng_EFConcat,rng_EF2)*MedicalGases_Backend[[#This Row],[Converted data]]/1000</f>
        <v>#N/A</v>
      </c>
      <c r="AH53" s="210" t="e">
        <f ca="1">_xlfn.XLOOKUP(_xlfn.CONCAT(MedicalGases_Backend[[#This Row],[Level 1]:[Level 6]]),rng_EFConcat,rng_EF3)*MedicalGases_Backend[[#This Row],[Converted data]]/1000</f>
        <v>#N/A</v>
      </c>
      <c r="AI53" s="210" t="e">
        <f ca="1">_xlfn.XLOOKUP(_xlfn.CONCAT(MedicalGases_Backend[[#This Row],[Level 1]:[Level 6]]),rng_EFConcat,rng_EF3WTT)*MedicalGases_Backend[[#This Row],[Converted data]]/1000</f>
        <v>#N/A</v>
      </c>
      <c r="AJ53" s="210" t="e">
        <f ca="1">_xlfn.XLOOKUP(_xlfn.CONCAT(MedicalGases_Backend[[#This Row],[Level 1]:[Level 6]]),rng_EFConcat,rng_EF3TD)*MedicalGases_Backend[[#This Row],[Converted data]]/1000</f>
        <v>#N/A</v>
      </c>
      <c r="AK53" s="210" t="e">
        <f ca="1">_xlfn.XLOOKUP(_xlfn.CONCAT(MedicalGases_Backend[[#This Row],[Level 1]:[Level 6]]),rng_EFConcat,rng_EF3WTTTD)*MedicalGases_Backend[[#This Row],[Converted data]]/1000</f>
        <v>#N/A</v>
      </c>
      <c r="AL53" s="220" t="e">
        <f ca="1">SUM(MedicalGases_Backend[[#This Row],[Scope 1 (tCO2e)]:[Scope 3 WTT T&amp;D (tCO2e)]])</f>
        <v>#N/A</v>
      </c>
      <c r="AM53" s="220" t="e">
        <f ca="1">MedicalGases_Backend[[#This Row],[Total (tCO2e)]]*(1-MedicalGases_Backend[[#This Row],[RSD]])</f>
        <v>#N/A</v>
      </c>
      <c r="AN53" s="220" t="e">
        <f ca="1">MedicalGases_Backend[[#This Row],[Total (tCO2e)]]*(1+MedicalGases_Backend[[#This Row],[RSD]])</f>
        <v>#N/A</v>
      </c>
      <c r="AO53" s="210" t="e">
        <f ca="1">_xlfn.XLOOKUP(_xlfn.CONCAT(MedicalGases_Backend[[#This Row],[Level 1]:[Level 6]]),rng_EFConcat,rng_EFOOS)*MedicalGases_Backend[[#This Row],[Converted data]]/1000</f>
        <v>#N/A</v>
      </c>
      <c r="AP53" s="174">
        <f>MedicalGases_Frontend[[#This Row],[Ease of collection]]</f>
        <v>0</v>
      </c>
      <c r="AQ53" s="174">
        <f>MedicalGases_Frontend[[#This Row],[Completeness]]</f>
        <v>0</v>
      </c>
      <c r="AR53" s="174">
        <f>MedicalGases_Frontend[[#This Row],[Notes]]</f>
        <v>0</v>
      </c>
    </row>
    <row r="54" spans="2:44" x14ac:dyDescent="0.3">
      <c r="B54" s="455"/>
      <c r="E54" s="346"/>
      <c r="F54" s="336"/>
      <c r="G54" s="172" t="s">
        <v>336</v>
      </c>
      <c r="H54" s="347"/>
      <c r="I54" s="172" t="s">
        <v>343</v>
      </c>
      <c r="J54" s="336"/>
      <c r="K54" s="336"/>
      <c r="L54" s="350"/>
      <c r="M54" s="230">
        <f t="shared" si="3"/>
        <v>3</v>
      </c>
      <c r="Q54" s="212" t="str">
        <f t="shared" si="2"/>
        <v/>
      </c>
      <c r="R54" s="174" t="s">
        <v>344</v>
      </c>
      <c r="S54" s="174" t="s">
        <v>344</v>
      </c>
      <c r="T54" s="174" t="s">
        <v>344</v>
      </c>
      <c r="U54" s="174" t="s">
        <v>344</v>
      </c>
      <c r="V54" s="174">
        <f>MedicalGases_Frontend[[#This Row],[Gas]]</f>
        <v>0</v>
      </c>
      <c r="W54" s="174" t="e" cm="1">
        <f t="array" aca="1" ref="W54" ca="1">_xlfn.XLOOKUP(MedicalGases_Backend[[#This Row],[Level 5]],rng_Level5Long,rng_Level6Long)</f>
        <v>#N/A</v>
      </c>
      <c r="X54" s="174">
        <f>MedicalGases_Frontend[[#This Row],[Site Name]]</f>
        <v>0</v>
      </c>
      <c r="Y54" s="174" t="s">
        <v>339</v>
      </c>
      <c r="Z54" s="174" t="str">
        <f>MedicalGases_Frontend[[#This Row],[Methodology]]</f>
        <v>Tier 3</v>
      </c>
      <c r="AA54" s="229" t="e" cm="1">
        <f t="array" aca="1" ref="AA54" ca="1">INDEX(_xlfn.SWITCH(MedicalGases_Backend[[#This Row],[Methodology]],"Tier 1",rng_RSD1,"Tier 2",rng_RSD2,"Tier 3",rng_RSD3),MATCH(_xlfn.CONCAT(MedicalGases_Backend[[#This Row],[Level 1]:[Level 6]]),rng_LevelsConcat,0))</f>
        <v>#N/A</v>
      </c>
      <c r="AB54" s="220">
        <f>MedicalGases_Frontend[[#This Row],[Data]]</f>
        <v>0</v>
      </c>
      <c r="AC54" s="174" t="str">
        <f>MedicalGases_Frontend[[#This Row],[Units]]</f>
        <v>litres</v>
      </c>
      <c r="AD54" s="220">
        <f>MedicalGases_Backend[[#This Row],[Data]]</f>
        <v>0</v>
      </c>
      <c r="AE54" s="174" t="str">
        <f>MedicalGases_Frontend[[#This Row],[Units]]</f>
        <v>litres</v>
      </c>
      <c r="AF54" s="210" t="e">
        <f ca="1">_xlfn.XLOOKUP(_xlfn.CONCAT(MedicalGases_Backend[[#This Row],[Level 1]:[Level 6]]),rng_EFConcat,rng_EF1)*MedicalGases_Backend[[#This Row],[Converted data]]/1000</f>
        <v>#N/A</v>
      </c>
      <c r="AG54" s="210" t="e">
        <f ca="1">_xlfn.XLOOKUP(_xlfn.CONCAT(MedicalGases_Backend[[#This Row],[Level 1]:[Level 6]]),rng_EFConcat,rng_EF2)*MedicalGases_Backend[[#This Row],[Converted data]]/1000</f>
        <v>#N/A</v>
      </c>
      <c r="AH54" s="210" t="e">
        <f ca="1">_xlfn.XLOOKUP(_xlfn.CONCAT(MedicalGases_Backend[[#This Row],[Level 1]:[Level 6]]),rng_EFConcat,rng_EF3)*MedicalGases_Backend[[#This Row],[Converted data]]/1000</f>
        <v>#N/A</v>
      </c>
      <c r="AI54" s="210" t="e">
        <f ca="1">_xlfn.XLOOKUP(_xlfn.CONCAT(MedicalGases_Backend[[#This Row],[Level 1]:[Level 6]]),rng_EFConcat,rng_EF3WTT)*MedicalGases_Backend[[#This Row],[Converted data]]/1000</f>
        <v>#N/A</v>
      </c>
      <c r="AJ54" s="210" t="e">
        <f ca="1">_xlfn.XLOOKUP(_xlfn.CONCAT(MedicalGases_Backend[[#This Row],[Level 1]:[Level 6]]),rng_EFConcat,rng_EF3TD)*MedicalGases_Backend[[#This Row],[Converted data]]/1000</f>
        <v>#N/A</v>
      </c>
      <c r="AK54" s="210" t="e">
        <f ca="1">_xlfn.XLOOKUP(_xlfn.CONCAT(MedicalGases_Backend[[#This Row],[Level 1]:[Level 6]]),rng_EFConcat,rng_EF3WTTTD)*MedicalGases_Backend[[#This Row],[Converted data]]/1000</f>
        <v>#N/A</v>
      </c>
      <c r="AL54" s="220" t="e">
        <f ca="1">SUM(MedicalGases_Backend[[#This Row],[Scope 1 (tCO2e)]:[Scope 3 WTT T&amp;D (tCO2e)]])</f>
        <v>#N/A</v>
      </c>
      <c r="AM54" s="220" t="e">
        <f ca="1">MedicalGases_Backend[[#This Row],[Total (tCO2e)]]*(1-MedicalGases_Backend[[#This Row],[RSD]])</f>
        <v>#N/A</v>
      </c>
      <c r="AN54" s="220" t="e">
        <f ca="1">MedicalGases_Backend[[#This Row],[Total (tCO2e)]]*(1+MedicalGases_Backend[[#This Row],[RSD]])</f>
        <v>#N/A</v>
      </c>
      <c r="AO54" s="210" t="e">
        <f ca="1">_xlfn.XLOOKUP(_xlfn.CONCAT(MedicalGases_Backend[[#This Row],[Level 1]:[Level 6]]),rng_EFConcat,rng_EFOOS)*MedicalGases_Backend[[#This Row],[Converted data]]/1000</f>
        <v>#N/A</v>
      </c>
      <c r="AP54" s="174">
        <f>MedicalGases_Frontend[[#This Row],[Ease of collection]]</f>
        <v>0</v>
      </c>
      <c r="AQ54" s="174">
        <f>MedicalGases_Frontend[[#This Row],[Completeness]]</f>
        <v>0</v>
      </c>
      <c r="AR54" s="174">
        <f>MedicalGases_Frontend[[#This Row],[Notes]]</f>
        <v>0</v>
      </c>
    </row>
    <row r="55" spans="2:44" x14ac:dyDescent="0.3">
      <c r="B55" s="455"/>
      <c r="E55" s="346"/>
      <c r="F55" s="336"/>
      <c r="G55" s="172" t="s">
        <v>336</v>
      </c>
      <c r="H55" s="347"/>
      <c r="I55" s="172" t="s">
        <v>343</v>
      </c>
      <c r="J55" s="336"/>
      <c r="K55" s="336"/>
      <c r="L55" s="350"/>
      <c r="M55" s="230">
        <f t="shared" si="3"/>
        <v>3</v>
      </c>
      <c r="Q55" s="212" t="str">
        <f t="shared" si="2"/>
        <v/>
      </c>
      <c r="R55" s="174" t="s">
        <v>344</v>
      </c>
      <c r="S55" s="174" t="s">
        <v>344</v>
      </c>
      <c r="T55" s="174" t="s">
        <v>344</v>
      </c>
      <c r="U55" s="174" t="s">
        <v>344</v>
      </c>
      <c r="V55" s="174">
        <f>MedicalGases_Frontend[[#This Row],[Gas]]</f>
        <v>0</v>
      </c>
      <c r="W55" s="174" t="e" cm="1">
        <f t="array" aca="1" ref="W55" ca="1">_xlfn.XLOOKUP(MedicalGases_Backend[[#This Row],[Level 5]],rng_Level5Long,rng_Level6Long)</f>
        <v>#N/A</v>
      </c>
      <c r="X55" s="174">
        <f>MedicalGases_Frontend[[#This Row],[Site Name]]</f>
        <v>0</v>
      </c>
      <c r="Y55" s="174" t="s">
        <v>339</v>
      </c>
      <c r="Z55" s="174" t="str">
        <f>MedicalGases_Frontend[[#This Row],[Methodology]]</f>
        <v>Tier 3</v>
      </c>
      <c r="AA55" s="229" t="e" cm="1">
        <f t="array" aca="1" ref="AA55" ca="1">INDEX(_xlfn.SWITCH(MedicalGases_Backend[[#This Row],[Methodology]],"Tier 1",rng_RSD1,"Tier 2",rng_RSD2,"Tier 3",rng_RSD3),MATCH(_xlfn.CONCAT(MedicalGases_Backend[[#This Row],[Level 1]:[Level 6]]),rng_LevelsConcat,0))</f>
        <v>#N/A</v>
      </c>
      <c r="AB55" s="220">
        <f>MedicalGases_Frontend[[#This Row],[Data]]</f>
        <v>0</v>
      </c>
      <c r="AC55" s="174" t="str">
        <f>MedicalGases_Frontend[[#This Row],[Units]]</f>
        <v>litres</v>
      </c>
      <c r="AD55" s="220">
        <f>MedicalGases_Backend[[#This Row],[Data]]</f>
        <v>0</v>
      </c>
      <c r="AE55" s="174" t="str">
        <f>MedicalGases_Frontend[[#This Row],[Units]]</f>
        <v>litres</v>
      </c>
      <c r="AF55" s="210" t="e">
        <f ca="1">_xlfn.XLOOKUP(_xlfn.CONCAT(MedicalGases_Backend[[#This Row],[Level 1]:[Level 6]]),rng_EFConcat,rng_EF1)*MedicalGases_Backend[[#This Row],[Converted data]]/1000</f>
        <v>#N/A</v>
      </c>
      <c r="AG55" s="210" t="e">
        <f ca="1">_xlfn.XLOOKUP(_xlfn.CONCAT(MedicalGases_Backend[[#This Row],[Level 1]:[Level 6]]),rng_EFConcat,rng_EF2)*MedicalGases_Backend[[#This Row],[Converted data]]/1000</f>
        <v>#N/A</v>
      </c>
      <c r="AH55" s="210" t="e">
        <f ca="1">_xlfn.XLOOKUP(_xlfn.CONCAT(MedicalGases_Backend[[#This Row],[Level 1]:[Level 6]]),rng_EFConcat,rng_EF3)*MedicalGases_Backend[[#This Row],[Converted data]]/1000</f>
        <v>#N/A</v>
      </c>
      <c r="AI55" s="210" t="e">
        <f ca="1">_xlfn.XLOOKUP(_xlfn.CONCAT(MedicalGases_Backend[[#This Row],[Level 1]:[Level 6]]),rng_EFConcat,rng_EF3WTT)*MedicalGases_Backend[[#This Row],[Converted data]]/1000</f>
        <v>#N/A</v>
      </c>
      <c r="AJ55" s="210" t="e">
        <f ca="1">_xlfn.XLOOKUP(_xlfn.CONCAT(MedicalGases_Backend[[#This Row],[Level 1]:[Level 6]]),rng_EFConcat,rng_EF3TD)*MedicalGases_Backend[[#This Row],[Converted data]]/1000</f>
        <v>#N/A</v>
      </c>
      <c r="AK55" s="210" t="e">
        <f ca="1">_xlfn.XLOOKUP(_xlfn.CONCAT(MedicalGases_Backend[[#This Row],[Level 1]:[Level 6]]),rng_EFConcat,rng_EF3WTTTD)*MedicalGases_Backend[[#This Row],[Converted data]]/1000</f>
        <v>#N/A</v>
      </c>
      <c r="AL55" s="220" t="e">
        <f ca="1">SUM(MedicalGases_Backend[[#This Row],[Scope 1 (tCO2e)]:[Scope 3 WTT T&amp;D (tCO2e)]])</f>
        <v>#N/A</v>
      </c>
      <c r="AM55" s="220" t="e">
        <f ca="1">MedicalGases_Backend[[#This Row],[Total (tCO2e)]]*(1-MedicalGases_Backend[[#This Row],[RSD]])</f>
        <v>#N/A</v>
      </c>
      <c r="AN55" s="220" t="e">
        <f ca="1">MedicalGases_Backend[[#This Row],[Total (tCO2e)]]*(1+MedicalGases_Backend[[#This Row],[RSD]])</f>
        <v>#N/A</v>
      </c>
      <c r="AO55" s="210" t="e">
        <f ca="1">_xlfn.XLOOKUP(_xlfn.CONCAT(MedicalGases_Backend[[#This Row],[Level 1]:[Level 6]]),rng_EFConcat,rng_EFOOS)*MedicalGases_Backend[[#This Row],[Converted data]]/1000</f>
        <v>#N/A</v>
      </c>
      <c r="AP55" s="174">
        <f>MedicalGases_Frontend[[#This Row],[Ease of collection]]</f>
        <v>0</v>
      </c>
      <c r="AQ55" s="174">
        <f>MedicalGases_Frontend[[#This Row],[Completeness]]</f>
        <v>0</v>
      </c>
      <c r="AR55" s="174">
        <f>MedicalGases_Frontend[[#This Row],[Notes]]</f>
        <v>0</v>
      </c>
    </row>
    <row r="56" spans="2:44" x14ac:dyDescent="0.3">
      <c r="B56" s="455"/>
      <c r="E56" s="346"/>
      <c r="F56" s="336"/>
      <c r="G56" s="172" t="s">
        <v>336</v>
      </c>
      <c r="H56" s="347"/>
      <c r="I56" s="172" t="s">
        <v>343</v>
      </c>
      <c r="J56" s="336"/>
      <c r="K56" s="336"/>
      <c r="L56" s="350"/>
      <c r="M56" s="230">
        <f t="shared" si="3"/>
        <v>3</v>
      </c>
      <c r="Q56" s="212" t="str">
        <f t="shared" si="2"/>
        <v/>
      </c>
      <c r="R56" s="174" t="s">
        <v>344</v>
      </c>
      <c r="S56" s="174" t="s">
        <v>344</v>
      </c>
      <c r="T56" s="174" t="s">
        <v>344</v>
      </c>
      <c r="U56" s="174" t="s">
        <v>344</v>
      </c>
      <c r="V56" s="174">
        <f>MedicalGases_Frontend[[#This Row],[Gas]]</f>
        <v>0</v>
      </c>
      <c r="W56" s="174" t="e" cm="1">
        <f t="array" aca="1" ref="W56" ca="1">_xlfn.XLOOKUP(MedicalGases_Backend[[#This Row],[Level 5]],rng_Level5Long,rng_Level6Long)</f>
        <v>#N/A</v>
      </c>
      <c r="X56" s="174">
        <f>MedicalGases_Frontend[[#This Row],[Site Name]]</f>
        <v>0</v>
      </c>
      <c r="Y56" s="174" t="s">
        <v>339</v>
      </c>
      <c r="Z56" s="174" t="str">
        <f>MedicalGases_Frontend[[#This Row],[Methodology]]</f>
        <v>Tier 3</v>
      </c>
      <c r="AA56" s="229" t="e" cm="1">
        <f t="array" aca="1" ref="AA56" ca="1">INDEX(_xlfn.SWITCH(MedicalGases_Backend[[#This Row],[Methodology]],"Tier 1",rng_RSD1,"Tier 2",rng_RSD2,"Tier 3",rng_RSD3),MATCH(_xlfn.CONCAT(MedicalGases_Backend[[#This Row],[Level 1]:[Level 6]]),rng_LevelsConcat,0))</f>
        <v>#N/A</v>
      </c>
      <c r="AB56" s="220">
        <f>MedicalGases_Frontend[[#This Row],[Data]]</f>
        <v>0</v>
      </c>
      <c r="AC56" s="174" t="str">
        <f>MedicalGases_Frontend[[#This Row],[Units]]</f>
        <v>litres</v>
      </c>
      <c r="AD56" s="220">
        <f>MedicalGases_Backend[[#This Row],[Data]]</f>
        <v>0</v>
      </c>
      <c r="AE56" s="174" t="str">
        <f>MedicalGases_Frontend[[#This Row],[Units]]</f>
        <v>litres</v>
      </c>
      <c r="AF56" s="210" t="e">
        <f ca="1">_xlfn.XLOOKUP(_xlfn.CONCAT(MedicalGases_Backend[[#This Row],[Level 1]:[Level 6]]),rng_EFConcat,rng_EF1)*MedicalGases_Backend[[#This Row],[Converted data]]/1000</f>
        <v>#N/A</v>
      </c>
      <c r="AG56" s="210" t="e">
        <f ca="1">_xlfn.XLOOKUP(_xlfn.CONCAT(MedicalGases_Backend[[#This Row],[Level 1]:[Level 6]]),rng_EFConcat,rng_EF2)*MedicalGases_Backend[[#This Row],[Converted data]]/1000</f>
        <v>#N/A</v>
      </c>
      <c r="AH56" s="210" t="e">
        <f ca="1">_xlfn.XLOOKUP(_xlfn.CONCAT(MedicalGases_Backend[[#This Row],[Level 1]:[Level 6]]),rng_EFConcat,rng_EF3)*MedicalGases_Backend[[#This Row],[Converted data]]/1000</f>
        <v>#N/A</v>
      </c>
      <c r="AI56" s="210" t="e">
        <f ca="1">_xlfn.XLOOKUP(_xlfn.CONCAT(MedicalGases_Backend[[#This Row],[Level 1]:[Level 6]]),rng_EFConcat,rng_EF3WTT)*MedicalGases_Backend[[#This Row],[Converted data]]/1000</f>
        <v>#N/A</v>
      </c>
      <c r="AJ56" s="210" t="e">
        <f ca="1">_xlfn.XLOOKUP(_xlfn.CONCAT(MedicalGases_Backend[[#This Row],[Level 1]:[Level 6]]),rng_EFConcat,rng_EF3TD)*MedicalGases_Backend[[#This Row],[Converted data]]/1000</f>
        <v>#N/A</v>
      </c>
      <c r="AK56" s="210" t="e">
        <f ca="1">_xlfn.XLOOKUP(_xlfn.CONCAT(MedicalGases_Backend[[#This Row],[Level 1]:[Level 6]]),rng_EFConcat,rng_EF3WTTTD)*MedicalGases_Backend[[#This Row],[Converted data]]/1000</f>
        <v>#N/A</v>
      </c>
      <c r="AL56" s="220" t="e">
        <f ca="1">SUM(MedicalGases_Backend[[#This Row],[Scope 1 (tCO2e)]:[Scope 3 WTT T&amp;D (tCO2e)]])</f>
        <v>#N/A</v>
      </c>
      <c r="AM56" s="220" t="e">
        <f ca="1">MedicalGases_Backend[[#This Row],[Total (tCO2e)]]*(1-MedicalGases_Backend[[#This Row],[RSD]])</f>
        <v>#N/A</v>
      </c>
      <c r="AN56" s="220" t="e">
        <f ca="1">MedicalGases_Backend[[#This Row],[Total (tCO2e)]]*(1+MedicalGases_Backend[[#This Row],[RSD]])</f>
        <v>#N/A</v>
      </c>
      <c r="AO56" s="210" t="e">
        <f ca="1">_xlfn.XLOOKUP(_xlfn.CONCAT(MedicalGases_Backend[[#This Row],[Level 1]:[Level 6]]),rng_EFConcat,rng_EFOOS)*MedicalGases_Backend[[#This Row],[Converted data]]/1000</f>
        <v>#N/A</v>
      </c>
      <c r="AP56" s="174">
        <f>MedicalGases_Frontend[[#This Row],[Ease of collection]]</f>
        <v>0</v>
      </c>
      <c r="AQ56" s="174">
        <f>MedicalGases_Frontend[[#This Row],[Completeness]]</f>
        <v>0</v>
      </c>
      <c r="AR56" s="174">
        <f>MedicalGases_Frontend[[#This Row],[Notes]]</f>
        <v>0</v>
      </c>
    </row>
    <row r="57" spans="2:44" x14ac:dyDescent="0.3">
      <c r="B57" s="455"/>
      <c r="E57" s="346"/>
      <c r="F57" s="336"/>
      <c r="G57" s="172" t="s">
        <v>336</v>
      </c>
      <c r="H57" s="347"/>
      <c r="I57" s="172" t="s">
        <v>343</v>
      </c>
      <c r="J57" s="336"/>
      <c r="K57" s="336"/>
      <c r="L57" s="350"/>
      <c r="M57" s="230">
        <f t="shared" si="3"/>
        <v>3</v>
      </c>
      <c r="Q57" s="212" t="str">
        <f t="shared" si="2"/>
        <v/>
      </c>
      <c r="R57" s="174" t="s">
        <v>344</v>
      </c>
      <c r="S57" s="174" t="s">
        <v>344</v>
      </c>
      <c r="T57" s="174" t="s">
        <v>344</v>
      </c>
      <c r="U57" s="174" t="s">
        <v>344</v>
      </c>
      <c r="V57" s="174">
        <f>MedicalGases_Frontend[[#This Row],[Gas]]</f>
        <v>0</v>
      </c>
      <c r="W57" s="174" t="e" cm="1">
        <f t="array" aca="1" ref="W57" ca="1">_xlfn.XLOOKUP(MedicalGases_Backend[[#This Row],[Level 5]],rng_Level5Long,rng_Level6Long)</f>
        <v>#N/A</v>
      </c>
      <c r="X57" s="174">
        <f>MedicalGases_Frontend[[#This Row],[Site Name]]</f>
        <v>0</v>
      </c>
      <c r="Y57" s="174" t="s">
        <v>339</v>
      </c>
      <c r="Z57" s="174" t="str">
        <f>MedicalGases_Frontend[[#This Row],[Methodology]]</f>
        <v>Tier 3</v>
      </c>
      <c r="AA57" s="229" t="e" cm="1">
        <f t="array" aca="1" ref="AA57" ca="1">INDEX(_xlfn.SWITCH(MedicalGases_Backend[[#This Row],[Methodology]],"Tier 1",rng_RSD1,"Tier 2",rng_RSD2,"Tier 3",rng_RSD3),MATCH(_xlfn.CONCAT(MedicalGases_Backend[[#This Row],[Level 1]:[Level 6]]),rng_LevelsConcat,0))</f>
        <v>#N/A</v>
      </c>
      <c r="AB57" s="220">
        <f>MedicalGases_Frontend[[#This Row],[Data]]</f>
        <v>0</v>
      </c>
      <c r="AC57" s="174" t="str">
        <f>MedicalGases_Frontend[[#This Row],[Units]]</f>
        <v>litres</v>
      </c>
      <c r="AD57" s="220">
        <f>MedicalGases_Backend[[#This Row],[Data]]</f>
        <v>0</v>
      </c>
      <c r="AE57" s="174" t="str">
        <f>MedicalGases_Frontend[[#This Row],[Units]]</f>
        <v>litres</v>
      </c>
      <c r="AF57" s="210" t="e">
        <f ca="1">_xlfn.XLOOKUP(_xlfn.CONCAT(MedicalGases_Backend[[#This Row],[Level 1]:[Level 6]]),rng_EFConcat,rng_EF1)*MedicalGases_Backend[[#This Row],[Converted data]]/1000</f>
        <v>#N/A</v>
      </c>
      <c r="AG57" s="210" t="e">
        <f ca="1">_xlfn.XLOOKUP(_xlfn.CONCAT(MedicalGases_Backend[[#This Row],[Level 1]:[Level 6]]),rng_EFConcat,rng_EF2)*MedicalGases_Backend[[#This Row],[Converted data]]/1000</f>
        <v>#N/A</v>
      </c>
      <c r="AH57" s="210" t="e">
        <f ca="1">_xlfn.XLOOKUP(_xlfn.CONCAT(MedicalGases_Backend[[#This Row],[Level 1]:[Level 6]]),rng_EFConcat,rng_EF3)*MedicalGases_Backend[[#This Row],[Converted data]]/1000</f>
        <v>#N/A</v>
      </c>
      <c r="AI57" s="210" t="e">
        <f ca="1">_xlfn.XLOOKUP(_xlfn.CONCAT(MedicalGases_Backend[[#This Row],[Level 1]:[Level 6]]),rng_EFConcat,rng_EF3WTT)*MedicalGases_Backend[[#This Row],[Converted data]]/1000</f>
        <v>#N/A</v>
      </c>
      <c r="AJ57" s="210" t="e">
        <f ca="1">_xlfn.XLOOKUP(_xlfn.CONCAT(MedicalGases_Backend[[#This Row],[Level 1]:[Level 6]]),rng_EFConcat,rng_EF3TD)*MedicalGases_Backend[[#This Row],[Converted data]]/1000</f>
        <v>#N/A</v>
      </c>
      <c r="AK57" s="210" t="e">
        <f ca="1">_xlfn.XLOOKUP(_xlfn.CONCAT(MedicalGases_Backend[[#This Row],[Level 1]:[Level 6]]),rng_EFConcat,rng_EF3WTTTD)*MedicalGases_Backend[[#This Row],[Converted data]]/1000</f>
        <v>#N/A</v>
      </c>
      <c r="AL57" s="220" t="e">
        <f ca="1">SUM(MedicalGases_Backend[[#This Row],[Scope 1 (tCO2e)]:[Scope 3 WTT T&amp;D (tCO2e)]])</f>
        <v>#N/A</v>
      </c>
      <c r="AM57" s="220" t="e">
        <f ca="1">MedicalGases_Backend[[#This Row],[Total (tCO2e)]]*(1-MedicalGases_Backend[[#This Row],[RSD]])</f>
        <v>#N/A</v>
      </c>
      <c r="AN57" s="220" t="e">
        <f ca="1">MedicalGases_Backend[[#This Row],[Total (tCO2e)]]*(1+MedicalGases_Backend[[#This Row],[RSD]])</f>
        <v>#N/A</v>
      </c>
      <c r="AO57" s="210" t="e">
        <f ca="1">_xlfn.XLOOKUP(_xlfn.CONCAT(MedicalGases_Backend[[#This Row],[Level 1]:[Level 6]]),rng_EFConcat,rng_EFOOS)*MedicalGases_Backend[[#This Row],[Converted data]]/1000</f>
        <v>#N/A</v>
      </c>
      <c r="AP57" s="174">
        <f>MedicalGases_Frontend[[#This Row],[Ease of collection]]</f>
        <v>0</v>
      </c>
      <c r="AQ57" s="174">
        <f>MedicalGases_Frontend[[#This Row],[Completeness]]</f>
        <v>0</v>
      </c>
      <c r="AR57" s="174">
        <f>MedicalGases_Frontend[[#This Row],[Notes]]</f>
        <v>0</v>
      </c>
    </row>
    <row r="58" spans="2:44" x14ac:dyDescent="0.3">
      <c r="B58" s="455"/>
      <c r="E58" s="346"/>
      <c r="F58" s="336"/>
      <c r="G58" s="172" t="s">
        <v>336</v>
      </c>
      <c r="H58" s="347"/>
      <c r="I58" s="172" t="s">
        <v>343</v>
      </c>
      <c r="J58" s="336"/>
      <c r="K58" s="336"/>
      <c r="L58" s="350"/>
      <c r="M58" s="230">
        <f t="shared" si="3"/>
        <v>3</v>
      </c>
      <c r="Q58" s="212" t="str">
        <f t="shared" si="2"/>
        <v/>
      </c>
      <c r="R58" s="174" t="s">
        <v>344</v>
      </c>
      <c r="S58" s="174" t="s">
        <v>344</v>
      </c>
      <c r="T58" s="174" t="s">
        <v>344</v>
      </c>
      <c r="U58" s="174" t="s">
        <v>344</v>
      </c>
      <c r="V58" s="174">
        <f>MedicalGases_Frontend[[#This Row],[Gas]]</f>
        <v>0</v>
      </c>
      <c r="W58" s="174" t="e" cm="1">
        <f t="array" aca="1" ref="W58" ca="1">_xlfn.XLOOKUP(MedicalGases_Backend[[#This Row],[Level 5]],rng_Level5Long,rng_Level6Long)</f>
        <v>#N/A</v>
      </c>
      <c r="X58" s="174">
        <f>MedicalGases_Frontend[[#This Row],[Site Name]]</f>
        <v>0</v>
      </c>
      <c r="Y58" s="174" t="s">
        <v>339</v>
      </c>
      <c r="Z58" s="174" t="str">
        <f>MedicalGases_Frontend[[#This Row],[Methodology]]</f>
        <v>Tier 3</v>
      </c>
      <c r="AA58" s="229" t="e" cm="1">
        <f t="array" aca="1" ref="AA58" ca="1">INDEX(_xlfn.SWITCH(MedicalGases_Backend[[#This Row],[Methodology]],"Tier 1",rng_RSD1,"Tier 2",rng_RSD2,"Tier 3",rng_RSD3),MATCH(_xlfn.CONCAT(MedicalGases_Backend[[#This Row],[Level 1]:[Level 6]]),rng_LevelsConcat,0))</f>
        <v>#N/A</v>
      </c>
      <c r="AB58" s="220">
        <f>MedicalGases_Frontend[[#This Row],[Data]]</f>
        <v>0</v>
      </c>
      <c r="AC58" s="174" t="str">
        <f>MedicalGases_Frontend[[#This Row],[Units]]</f>
        <v>litres</v>
      </c>
      <c r="AD58" s="220">
        <f>MedicalGases_Backend[[#This Row],[Data]]</f>
        <v>0</v>
      </c>
      <c r="AE58" s="174" t="str">
        <f>MedicalGases_Frontend[[#This Row],[Units]]</f>
        <v>litres</v>
      </c>
      <c r="AF58" s="210" t="e">
        <f ca="1">_xlfn.XLOOKUP(_xlfn.CONCAT(MedicalGases_Backend[[#This Row],[Level 1]:[Level 6]]),rng_EFConcat,rng_EF1)*MedicalGases_Backend[[#This Row],[Converted data]]/1000</f>
        <v>#N/A</v>
      </c>
      <c r="AG58" s="210" t="e">
        <f ca="1">_xlfn.XLOOKUP(_xlfn.CONCAT(MedicalGases_Backend[[#This Row],[Level 1]:[Level 6]]),rng_EFConcat,rng_EF2)*MedicalGases_Backend[[#This Row],[Converted data]]/1000</f>
        <v>#N/A</v>
      </c>
      <c r="AH58" s="210" t="e">
        <f ca="1">_xlfn.XLOOKUP(_xlfn.CONCAT(MedicalGases_Backend[[#This Row],[Level 1]:[Level 6]]),rng_EFConcat,rng_EF3)*MedicalGases_Backend[[#This Row],[Converted data]]/1000</f>
        <v>#N/A</v>
      </c>
      <c r="AI58" s="210" t="e">
        <f ca="1">_xlfn.XLOOKUP(_xlfn.CONCAT(MedicalGases_Backend[[#This Row],[Level 1]:[Level 6]]),rng_EFConcat,rng_EF3WTT)*MedicalGases_Backend[[#This Row],[Converted data]]/1000</f>
        <v>#N/A</v>
      </c>
      <c r="AJ58" s="210" t="e">
        <f ca="1">_xlfn.XLOOKUP(_xlfn.CONCAT(MedicalGases_Backend[[#This Row],[Level 1]:[Level 6]]),rng_EFConcat,rng_EF3TD)*MedicalGases_Backend[[#This Row],[Converted data]]/1000</f>
        <v>#N/A</v>
      </c>
      <c r="AK58" s="210" t="e">
        <f ca="1">_xlfn.XLOOKUP(_xlfn.CONCAT(MedicalGases_Backend[[#This Row],[Level 1]:[Level 6]]),rng_EFConcat,rng_EF3WTTTD)*MedicalGases_Backend[[#This Row],[Converted data]]/1000</f>
        <v>#N/A</v>
      </c>
      <c r="AL58" s="220" t="e">
        <f ca="1">SUM(MedicalGases_Backend[[#This Row],[Scope 1 (tCO2e)]:[Scope 3 WTT T&amp;D (tCO2e)]])</f>
        <v>#N/A</v>
      </c>
      <c r="AM58" s="220" t="e">
        <f ca="1">MedicalGases_Backend[[#This Row],[Total (tCO2e)]]*(1-MedicalGases_Backend[[#This Row],[RSD]])</f>
        <v>#N/A</v>
      </c>
      <c r="AN58" s="220" t="e">
        <f ca="1">MedicalGases_Backend[[#This Row],[Total (tCO2e)]]*(1+MedicalGases_Backend[[#This Row],[RSD]])</f>
        <v>#N/A</v>
      </c>
      <c r="AO58" s="210" t="e">
        <f ca="1">_xlfn.XLOOKUP(_xlfn.CONCAT(MedicalGases_Backend[[#This Row],[Level 1]:[Level 6]]),rng_EFConcat,rng_EFOOS)*MedicalGases_Backend[[#This Row],[Converted data]]/1000</f>
        <v>#N/A</v>
      </c>
      <c r="AP58" s="174">
        <f>MedicalGases_Frontend[[#This Row],[Ease of collection]]</f>
        <v>0</v>
      </c>
      <c r="AQ58" s="174">
        <f>MedicalGases_Frontend[[#This Row],[Completeness]]</f>
        <v>0</v>
      </c>
      <c r="AR58" s="174">
        <f>MedicalGases_Frontend[[#This Row],[Notes]]</f>
        <v>0</v>
      </c>
    </row>
    <row r="59" spans="2:44" x14ac:dyDescent="0.3">
      <c r="B59" s="455"/>
      <c r="E59" s="346"/>
      <c r="F59" s="336"/>
      <c r="G59" s="172" t="s">
        <v>336</v>
      </c>
      <c r="H59" s="347"/>
      <c r="I59" s="172" t="s">
        <v>343</v>
      </c>
      <c r="J59" s="336"/>
      <c r="K59" s="336"/>
      <c r="L59" s="350"/>
      <c r="M59" s="230">
        <f t="shared" si="3"/>
        <v>3</v>
      </c>
      <c r="Q59" s="212" t="str">
        <f t="shared" si="2"/>
        <v/>
      </c>
      <c r="R59" s="174" t="s">
        <v>344</v>
      </c>
      <c r="S59" s="174" t="s">
        <v>344</v>
      </c>
      <c r="T59" s="174" t="s">
        <v>344</v>
      </c>
      <c r="U59" s="174" t="s">
        <v>344</v>
      </c>
      <c r="V59" s="174">
        <f>MedicalGases_Frontend[[#This Row],[Gas]]</f>
        <v>0</v>
      </c>
      <c r="W59" s="174" t="e" cm="1">
        <f t="array" aca="1" ref="W59" ca="1">_xlfn.XLOOKUP(MedicalGases_Backend[[#This Row],[Level 5]],rng_Level5Long,rng_Level6Long)</f>
        <v>#N/A</v>
      </c>
      <c r="X59" s="174">
        <f>MedicalGases_Frontend[[#This Row],[Site Name]]</f>
        <v>0</v>
      </c>
      <c r="Y59" s="174" t="s">
        <v>339</v>
      </c>
      <c r="Z59" s="174" t="str">
        <f>MedicalGases_Frontend[[#This Row],[Methodology]]</f>
        <v>Tier 3</v>
      </c>
      <c r="AA59" s="229" t="e" cm="1">
        <f t="array" aca="1" ref="AA59" ca="1">INDEX(_xlfn.SWITCH(MedicalGases_Backend[[#This Row],[Methodology]],"Tier 1",rng_RSD1,"Tier 2",rng_RSD2,"Tier 3",rng_RSD3),MATCH(_xlfn.CONCAT(MedicalGases_Backend[[#This Row],[Level 1]:[Level 6]]),rng_LevelsConcat,0))</f>
        <v>#N/A</v>
      </c>
      <c r="AB59" s="220">
        <f>MedicalGases_Frontend[[#This Row],[Data]]</f>
        <v>0</v>
      </c>
      <c r="AC59" s="174" t="str">
        <f>MedicalGases_Frontend[[#This Row],[Units]]</f>
        <v>litres</v>
      </c>
      <c r="AD59" s="220">
        <f>MedicalGases_Backend[[#This Row],[Data]]</f>
        <v>0</v>
      </c>
      <c r="AE59" s="174" t="str">
        <f>MedicalGases_Frontend[[#This Row],[Units]]</f>
        <v>litres</v>
      </c>
      <c r="AF59" s="210" t="e">
        <f ca="1">_xlfn.XLOOKUP(_xlfn.CONCAT(MedicalGases_Backend[[#This Row],[Level 1]:[Level 6]]),rng_EFConcat,rng_EF1)*MedicalGases_Backend[[#This Row],[Converted data]]/1000</f>
        <v>#N/A</v>
      </c>
      <c r="AG59" s="210" t="e">
        <f ca="1">_xlfn.XLOOKUP(_xlfn.CONCAT(MedicalGases_Backend[[#This Row],[Level 1]:[Level 6]]),rng_EFConcat,rng_EF2)*MedicalGases_Backend[[#This Row],[Converted data]]/1000</f>
        <v>#N/A</v>
      </c>
      <c r="AH59" s="210" t="e">
        <f ca="1">_xlfn.XLOOKUP(_xlfn.CONCAT(MedicalGases_Backend[[#This Row],[Level 1]:[Level 6]]),rng_EFConcat,rng_EF3)*MedicalGases_Backend[[#This Row],[Converted data]]/1000</f>
        <v>#N/A</v>
      </c>
      <c r="AI59" s="210" t="e">
        <f ca="1">_xlfn.XLOOKUP(_xlfn.CONCAT(MedicalGases_Backend[[#This Row],[Level 1]:[Level 6]]),rng_EFConcat,rng_EF3WTT)*MedicalGases_Backend[[#This Row],[Converted data]]/1000</f>
        <v>#N/A</v>
      </c>
      <c r="AJ59" s="210" t="e">
        <f ca="1">_xlfn.XLOOKUP(_xlfn.CONCAT(MedicalGases_Backend[[#This Row],[Level 1]:[Level 6]]),rng_EFConcat,rng_EF3TD)*MedicalGases_Backend[[#This Row],[Converted data]]/1000</f>
        <v>#N/A</v>
      </c>
      <c r="AK59" s="210" t="e">
        <f ca="1">_xlfn.XLOOKUP(_xlfn.CONCAT(MedicalGases_Backend[[#This Row],[Level 1]:[Level 6]]),rng_EFConcat,rng_EF3WTTTD)*MedicalGases_Backend[[#This Row],[Converted data]]/1000</f>
        <v>#N/A</v>
      </c>
      <c r="AL59" s="220" t="e">
        <f ca="1">SUM(MedicalGases_Backend[[#This Row],[Scope 1 (tCO2e)]:[Scope 3 WTT T&amp;D (tCO2e)]])</f>
        <v>#N/A</v>
      </c>
      <c r="AM59" s="220" t="e">
        <f ca="1">MedicalGases_Backend[[#This Row],[Total (tCO2e)]]*(1-MedicalGases_Backend[[#This Row],[RSD]])</f>
        <v>#N/A</v>
      </c>
      <c r="AN59" s="220" t="e">
        <f ca="1">MedicalGases_Backend[[#This Row],[Total (tCO2e)]]*(1+MedicalGases_Backend[[#This Row],[RSD]])</f>
        <v>#N/A</v>
      </c>
      <c r="AO59" s="210" t="e">
        <f ca="1">_xlfn.XLOOKUP(_xlfn.CONCAT(MedicalGases_Backend[[#This Row],[Level 1]:[Level 6]]),rng_EFConcat,rng_EFOOS)*MedicalGases_Backend[[#This Row],[Converted data]]/1000</f>
        <v>#N/A</v>
      </c>
      <c r="AP59" s="174">
        <f>MedicalGases_Frontend[[#This Row],[Ease of collection]]</f>
        <v>0</v>
      </c>
      <c r="AQ59" s="174">
        <f>MedicalGases_Frontend[[#This Row],[Completeness]]</f>
        <v>0</v>
      </c>
      <c r="AR59" s="174">
        <f>MedicalGases_Frontend[[#This Row],[Notes]]</f>
        <v>0</v>
      </c>
    </row>
    <row r="60" spans="2:44" x14ac:dyDescent="0.3">
      <c r="B60" s="455"/>
      <c r="E60" s="346"/>
      <c r="F60" s="336"/>
      <c r="G60" s="172" t="s">
        <v>336</v>
      </c>
      <c r="H60" s="347"/>
      <c r="I60" s="172" t="s">
        <v>343</v>
      </c>
      <c r="J60" s="336"/>
      <c r="K60" s="336"/>
      <c r="L60" s="350"/>
      <c r="M60" s="230">
        <f t="shared" si="3"/>
        <v>3</v>
      </c>
      <c r="Q60" s="212" t="str">
        <f t="shared" si="2"/>
        <v/>
      </c>
      <c r="R60" s="174" t="s">
        <v>344</v>
      </c>
      <c r="S60" s="174" t="s">
        <v>344</v>
      </c>
      <c r="T60" s="174" t="s">
        <v>344</v>
      </c>
      <c r="U60" s="174" t="s">
        <v>344</v>
      </c>
      <c r="V60" s="174">
        <f>MedicalGases_Frontend[[#This Row],[Gas]]</f>
        <v>0</v>
      </c>
      <c r="W60" s="174" t="e" cm="1">
        <f t="array" aca="1" ref="W60" ca="1">_xlfn.XLOOKUP(MedicalGases_Backend[[#This Row],[Level 5]],rng_Level5Long,rng_Level6Long)</f>
        <v>#N/A</v>
      </c>
      <c r="X60" s="174">
        <f>MedicalGases_Frontend[[#This Row],[Site Name]]</f>
        <v>0</v>
      </c>
      <c r="Y60" s="174" t="s">
        <v>339</v>
      </c>
      <c r="Z60" s="174" t="str">
        <f>MedicalGases_Frontend[[#This Row],[Methodology]]</f>
        <v>Tier 3</v>
      </c>
      <c r="AA60" s="229" t="e" cm="1">
        <f t="array" aca="1" ref="AA60" ca="1">INDEX(_xlfn.SWITCH(MedicalGases_Backend[[#This Row],[Methodology]],"Tier 1",rng_RSD1,"Tier 2",rng_RSD2,"Tier 3",rng_RSD3),MATCH(_xlfn.CONCAT(MedicalGases_Backend[[#This Row],[Level 1]:[Level 6]]),rng_LevelsConcat,0))</f>
        <v>#N/A</v>
      </c>
      <c r="AB60" s="220">
        <f>MedicalGases_Frontend[[#This Row],[Data]]</f>
        <v>0</v>
      </c>
      <c r="AC60" s="174" t="str">
        <f>MedicalGases_Frontend[[#This Row],[Units]]</f>
        <v>litres</v>
      </c>
      <c r="AD60" s="220">
        <f>MedicalGases_Backend[[#This Row],[Data]]</f>
        <v>0</v>
      </c>
      <c r="AE60" s="174" t="str">
        <f>MedicalGases_Frontend[[#This Row],[Units]]</f>
        <v>litres</v>
      </c>
      <c r="AF60" s="210" t="e">
        <f ca="1">_xlfn.XLOOKUP(_xlfn.CONCAT(MedicalGases_Backend[[#This Row],[Level 1]:[Level 6]]),rng_EFConcat,rng_EF1)*MedicalGases_Backend[[#This Row],[Converted data]]/1000</f>
        <v>#N/A</v>
      </c>
      <c r="AG60" s="210" t="e">
        <f ca="1">_xlfn.XLOOKUP(_xlfn.CONCAT(MedicalGases_Backend[[#This Row],[Level 1]:[Level 6]]),rng_EFConcat,rng_EF2)*MedicalGases_Backend[[#This Row],[Converted data]]/1000</f>
        <v>#N/A</v>
      </c>
      <c r="AH60" s="210" t="e">
        <f ca="1">_xlfn.XLOOKUP(_xlfn.CONCAT(MedicalGases_Backend[[#This Row],[Level 1]:[Level 6]]),rng_EFConcat,rng_EF3)*MedicalGases_Backend[[#This Row],[Converted data]]/1000</f>
        <v>#N/A</v>
      </c>
      <c r="AI60" s="210" t="e">
        <f ca="1">_xlfn.XLOOKUP(_xlfn.CONCAT(MedicalGases_Backend[[#This Row],[Level 1]:[Level 6]]),rng_EFConcat,rng_EF3WTT)*MedicalGases_Backend[[#This Row],[Converted data]]/1000</f>
        <v>#N/A</v>
      </c>
      <c r="AJ60" s="210" t="e">
        <f ca="1">_xlfn.XLOOKUP(_xlfn.CONCAT(MedicalGases_Backend[[#This Row],[Level 1]:[Level 6]]),rng_EFConcat,rng_EF3TD)*MedicalGases_Backend[[#This Row],[Converted data]]/1000</f>
        <v>#N/A</v>
      </c>
      <c r="AK60" s="210" t="e">
        <f ca="1">_xlfn.XLOOKUP(_xlfn.CONCAT(MedicalGases_Backend[[#This Row],[Level 1]:[Level 6]]),rng_EFConcat,rng_EF3WTTTD)*MedicalGases_Backend[[#This Row],[Converted data]]/1000</f>
        <v>#N/A</v>
      </c>
      <c r="AL60" s="220" t="e">
        <f ca="1">SUM(MedicalGases_Backend[[#This Row],[Scope 1 (tCO2e)]:[Scope 3 WTT T&amp;D (tCO2e)]])</f>
        <v>#N/A</v>
      </c>
      <c r="AM60" s="220" t="e">
        <f ca="1">MedicalGases_Backend[[#This Row],[Total (tCO2e)]]*(1-MedicalGases_Backend[[#This Row],[RSD]])</f>
        <v>#N/A</v>
      </c>
      <c r="AN60" s="220" t="e">
        <f ca="1">MedicalGases_Backend[[#This Row],[Total (tCO2e)]]*(1+MedicalGases_Backend[[#This Row],[RSD]])</f>
        <v>#N/A</v>
      </c>
      <c r="AO60" s="210" t="e">
        <f ca="1">_xlfn.XLOOKUP(_xlfn.CONCAT(MedicalGases_Backend[[#This Row],[Level 1]:[Level 6]]),rng_EFConcat,rng_EFOOS)*MedicalGases_Backend[[#This Row],[Converted data]]/1000</f>
        <v>#N/A</v>
      </c>
      <c r="AP60" s="174">
        <f>MedicalGases_Frontend[[#This Row],[Ease of collection]]</f>
        <v>0</v>
      </c>
      <c r="AQ60" s="174">
        <f>MedicalGases_Frontend[[#This Row],[Completeness]]</f>
        <v>0</v>
      </c>
      <c r="AR60" s="174">
        <f>MedicalGases_Frontend[[#This Row],[Notes]]</f>
        <v>0</v>
      </c>
    </row>
    <row r="61" spans="2:44" x14ac:dyDescent="0.3">
      <c r="B61" s="455"/>
      <c r="E61" s="346"/>
      <c r="F61" s="338"/>
      <c r="G61" s="172" t="s">
        <v>336</v>
      </c>
      <c r="H61" s="347"/>
      <c r="I61" s="222" t="s">
        <v>343</v>
      </c>
      <c r="J61" s="338"/>
      <c r="K61" s="338"/>
      <c r="L61" s="351"/>
      <c r="M61" s="230">
        <f t="shared" si="3"/>
        <v>3</v>
      </c>
      <c r="Q61" s="214" t="str">
        <f t="shared" si="2"/>
        <v/>
      </c>
      <c r="R61" s="174" t="s">
        <v>344</v>
      </c>
      <c r="S61" s="174" t="s">
        <v>344</v>
      </c>
      <c r="T61" s="174" t="s">
        <v>344</v>
      </c>
      <c r="U61" s="174" t="s">
        <v>344</v>
      </c>
      <c r="V61" s="174">
        <f>MedicalGases_Frontend[[#This Row],[Gas]]</f>
        <v>0</v>
      </c>
      <c r="W61" s="216" t="e" cm="1">
        <f t="array" aca="1" ref="W61" ca="1">_xlfn.XLOOKUP(MedicalGases_Backend[[#This Row],[Level 5]],rng_Level5Long,rng_Level6Long)</f>
        <v>#N/A</v>
      </c>
      <c r="X61" s="216">
        <f>MedicalGases_Frontend[[#This Row],[Site Name]]</f>
        <v>0</v>
      </c>
      <c r="Y61" s="174" t="s">
        <v>339</v>
      </c>
      <c r="Z61" s="174" t="str">
        <f>MedicalGases_Frontend[[#This Row],[Methodology]]</f>
        <v>Tier 3</v>
      </c>
      <c r="AA61" s="229" t="e" cm="1">
        <f t="array" aca="1" ref="AA61" ca="1">INDEX(_xlfn.SWITCH(MedicalGases_Backend[[#This Row],[Methodology]],"Tier 1",rng_RSD1,"Tier 2",rng_RSD2,"Tier 3",rng_RSD3),MATCH(_xlfn.CONCAT(MedicalGases_Backend[[#This Row],[Level 1]:[Level 6]]),rng_LevelsConcat,0))</f>
        <v>#N/A</v>
      </c>
      <c r="AB61" s="220">
        <f>MedicalGases_Frontend[[#This Row],[Data]]</f>
        <v>0</v>
      </c>
      <c r="AC61" s="174" t="str">
        <f>MedicalGases_Frontend[[#This Row],[Units]]</f>
        <v>litres</v>
      </c>
      <c r="AD61" s="220">
        <f>MedicalGases_Backend[[#This Row],[Data]]</f>
        <v>0</v>
      </c>
      <c r="AE61" s="174" t="str">
        <f>MedicalGases_Frontend[[#This Row],[Units]]</f>
        <v>litres</v>
      </c>
      <c r="AF61" s="210" t="e">
        <f ca="1">_xlfn.XLOOKUP(_xlfn.CONCAT(MedicalGases_Backend[[#This Row],[Level 1]:[Level 6]]),rng_EFConcat,rng_EF1)*MedicalGases_Backend[[#This Row],[Converted data]]/1000</f>
        <v>#N/A</v>
      </c>
      <c r="AG61" s="210" t="e">
        <f ca="1">_xlfn.XLOOKUP(_xlfn.CONCAT(MedicalGases_Backend[[#This Row],[Level 1]:[Level 6]]),rng_EFConcat,rng_EF2)*MedicalGases_Backend[[#This Row],[Converted data]]/1000</f>
        <v>#N/A</v>
      </c>
      <c r="AH61" s="210" t="e">
        <f ca="1">_xlfn.XLOOKUP(_xlfn.CONCAT(MedicalGases_Backend[[#This Row],[Level 1]:[Level 6]]),rng_EFConcat,rng_EF3)*MedicalGases_Backend[[#This Row],[Converted data]]/1000</f>
        <v>#N/A</v>
      </c>
      <c r="AI61" s="210" t="e">
        <f ca="1">_xlfn.XLOOKUP(_xlfn.CONCAT(MedicalGases_Backend[[#This Row],[Level 1]:[Level 6]]),rng_EFConcat,rng_EF3WTT)*MedicalGases_Backend[[#This Row],[Converted data]]/1000</f>
        <v>#N/A</v>
      </c>
      <c r="AJ61" s="210" t="e">
        <f ca="1">_xlfn.XLOOKUP(_xlfn.CONCAT(MedicalGases_Backend[[#This Row],[Level 1]:[Level 6]]),rng_EFConcat,rng_EF3TD)*MedicalGases_Backend[[#This Row],[Converted data]]/1000</f>
        <v>#N/A</v>
      </c>
      <c r="AK61" s="210" t="e">
        <f ca="1">_xlfn.XLOOKUP(_xlfn.CONCAT(MedicalGases_Backend[[#This Row],[Level 1]:[Level 6]]),rng_EFConcat,rng_EF3WTTTD)*MedicalGases_Backend[[#This Row],[Converted data]]/1000</f>
        <v>#N/A</v>
      </c>
      <c r="AL61" s="220" t="e">
        <f ca="1">SUM(MedicalGases_Backend[[#This Row],[Scope 1 (tCO2e)]:[Scope 3 WTT T&amp;D (tCO2e)]])</f>
        <v>#N/A</v>
      </c>
      <c r="AM61" s="220" t="e">
        <f ca="1">MedicalGases_Backend[[#This Row],[Total (tCO2e)]]*(1-MedicalGases_Backend[[#This Row],[RSD]])</f>
        <v>#N/A</v>
      </c>
      <c r="AN61" s="220" t="e">
        <f ca="1">MedicalGases_Backend[[#This Row],[Total (tCO2e)]]*(1+MedicalGases_Backend[[#This Row],[RSD]])</f>
        <v>#N/A</v>
      </c>
      <c r="AO61" s="210" t="e">
        <f ca="1">_xlfn.XLOOKUP(_xlfn.CONCAT(MedicalGases_Backend[[#This Row],[Level 1]:[Level 6]]),rng_EFConcat,rng_EFOOS)*MedicalGases_Backend[[#This Row],[Converted data]]/1000</f>
        <v>#N/A</v>
      </c>
      <c r="AP61" s="174">
        <f>MedicalGases_Frontend[[#This Row],[Ease of collection]]</f>
        <v>0</v>
      </c>
      <c r="AQ61" s="174">
        <f>MedicalGases_Frontend[[#This Row],[Completeness]]</f>
        <v>0</v>
      </c>
      <c r="AR61" s="174">
        <f>MedicalGases_Frontend[[#This Row],[Notes]]</f>
        <v>0</v>
      </c>
    </row>
    <row r="62" spans="2:44" x14ac:dyDescent="0.3"/>
    <row r="65" spans="2:2" x14ac:dyDescent="0.3"/>
    <row r="66" spans="2:2" hidden="1" x14ac:dyDescent="0.3">
      <c r="B66" s="146" t="s">
        <v>101</v>
      </c>
    </row>
  </sheetData>
  <sheetProtection algorithmName="SHA-512" hashValue="VzgS/rWG+x1OuXHP6p73m8d5mpfI0rz1nDfUeCPbX6aG4dnyK0oil7KBzd4vvqybeZbQt2Biq7/FPC1Pg/UUWg==" saltValue="qvlW5iivbY/ws9E4egOOjg==" spinCount="100000" sheet="1" formatColumns="0"/>
  <mergeCells count="3">
    <mergeCell ref="B5:B11"/>
    <mergeCell ref="B40:B61"/>
    <mergeCell ref="B15:B35"/>
  </mergeCells>
  <phoneticPr fontId="16" type="noConversion"/>
  <conditionalFormatting sqref="J1">
    <cfRule type="containsText" dxfId="17" priority="1" operator="containsText" text="No data missing">
      <formula>NOT(ISERROR(SEARCH("No data missing",J1)))</formula>
    </cfRule>
  </conditionalFormatting>
  <conditionalFormatting sqref="M15">
    <cfRule type="iconSet" priority="3">
      <iconSet showValue="0">
        <cfvo type="percent" val="0"/>
        <cfvo type="num" val="0.01"/>
        <cfvo type="num" val="3"/>
      </iconSet>
    </cfRule>
  </conditionalFormatting>
  <conditionalFormatting sqref="M40">
    <cfRule type="iconSet" priority="2">
      <iconSet showValue="0">
        <cfvo type="percent" val="0"/>
        <cfvo type="num" val="0.01"/>
        <cfvo type="num" val="3"/>
      </iconSet>
    </cfRule>
  </conditionalFormatting>
  <dataValidations count="12">
    <dataValidation type="list" allowBlank="1" showInputMessage="1" showErrorMessage="1" sqref="J41:J61 J16:J35" xr:uid="{4B275BAD-5B64-43E4-ADA2-AB94B867EDD7}">
      <formula1>rng_data_ease</formula1>
    </dataValidation>
    <dataValidation type="list" allowBlank="1" showInputMessage="1" showErrorMessage="1" sqref="K41:K61 K16:K35" xr:uid="{3F77B3DA-4138-4F5B-B6E2-74E9821DDC5D}">
      <formula1>rng_data_completeness</formula1>
    </dataValidation>
    <dataValidation type="decimal" operator="greaterThanOrEqual" allowBlank="1" showInputMessage="1" showErrorMessage="1" sqref="H16:H35" xr:uid="{97F5F806-6217-43F4-9BF8-AD744688B93C}">
      <formula1>0</formula1>
    </dataValidation>
    <dataValidation type="list" showInputMessage="1" showErrorMessage="1" sqref="F41:F61 F16:F35" xr:uid="{64529046-A274-4A8D-96C7-CB6E593CC47C}">
      <formula1>DROPDOWN(rng_Level4,$U16,cl_Level5Target)</formula1>
    </dataValidation>
    <dataValidation type="list" showInputMessage="1" showErrorMessage="1" sqref="E41:E61 E16:E35" xr:uid="{344BA709-4918-4CCD-BB8E-F5AD7AA89C95}">
      <formula1>rng_sitename</formula1>
    </dataValidation>
    <dataValidation type="decimal" operator="greaterThan" allowBlank="1" showInputMessage="1" showErrorMessage="1" sqref="H41:H61" xr:uid="{86D6CECF-0B5F-40C1-895C-961C23B019ED}">
      <formula1>0</formula1>
    </dataValidation>
    <dataValidation type="list" allowBlank="1" showInputMessage="1" showErrorMessage="1" sqref="U16:U35 U41:U61" xr:uid="{3EEEA00D-D924-42AC-B419-B202BA81E774}">
      <formula1>DROPDOWN(rng_Level3,$T16,cl_Level4Target)</formula1>
    </dataValidation>
    <dataValidation type="list" allowBlank="1" showInputMessage="1" showErrorMessage="1" sqref="T16:T35 T41:T61" xr:uid="{4AA89F47-7DE9-4391-BFC9-6EA9E98B510E}">
      <formula1>DROPDOWN(rng_Level2,$S16,cl_Level3Target)</formula1>
    </dataValidation>
    <dataValidation type="list" allowBlank="1" showInputMessage="1" showErrorMessage="1" sqref="S16:S35 S41:S61" xr:uid="{4B3D7A9F-6336-4537-85A6-54D05606D569}">
      <formula1>DROPDOWN(rng_Level1,$R16,cl_Level2Target)</formula1>
    </dataValidation>
    <dataValidation type="list" allowBlank="1" showInputMessage="1" showErrorMessage="1" sqref="R16:R35 R41:R61" xr:uid="{A26AFC73-3734-4CA2-B0C0-20558C6AA8D1}">
      <formula1>rng_Level1Unique</formula1>
    </dataValidation>
    <dataValidation allowBlank="1" showInputMessage="1" showErrorMessage="1" promptTitle="Information:" prompt="This column contains a drop down of all site names included in the 'Building - Site Info' tab. Add additional sites on that tab to have them included in the dropdown here. This data is required." sqref="E15 E40" xr:uid="{FA7C2F66-95A9-4DCE-B555-238F17833173}"/>
    <dataValidation allowBlank="1" showInputMessage="1" showErrorMessage="1" promptTitle="Information:" prompt="Select the gas being used" sqref="F15 F40" xr:uid="{7D762064-31AA-4E4B-9989-FEDFA8A7DDBD}"/>
  </dataValidations>
  <pageMargins left="0.7" right="0.7" top="0.75" bottom="0.75" header="0.3" footer="0.3"/>
  <ignoredErrors>
    <ignoredError sqref="R16:S35 R41:S61 U41:U61 U16:U35" calculatedColumn="1"/>
  </ignoredErrors>
  <tableParts count="4">
    <tablePart r:id="rId1"/>
    <tablePart r:id="rId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5" id="{D0C20204-5145-4F32-932A-FD224709A38B}">
            <x14:iconSet showValue="0" custom="1">
              <x14:cfvo type="percent">
                <xm:f>0</xm:f>
              </x14:cfvo>
              <x14:cfvo type="num">
                <xm:f>1</xm:f>
              </x14:cfvo>
              <x14:cfvo type="num">
                <xm:f>3</xm:f>
              </x14:cfvo>
              <x14:cfIcon iconSet="3TrafficLights1" iconId="2"/>
              <x14:cfIcon iconSet="3TrafficLights1" iconId="0"/>
              <x14:cfIcon iconSet="4TrafficLights" iconId="0"/>
            </x14:iconSet>
          </x14:cfRule>
          <xm:sqref>M16:M35</xm:sqref>
        </x14:conditionalFormatting>
        <x14:conditionalFormatting xmlns:xm="http://schemas.microsoft.com/office/excel/2006/main">
          <x14:cfRule type="iconSet" priority="4" id="{E24F53E8-5446-4F96-9153-6D695C59CE6B}">
            <x14:iconSet showValue="0" custom="1">
              <x14:cfvo type="percent">
                <xm:f>0</xm:f>
              </x14:cfvo>
              <x14:cfvo type="num">
                <xm:f>1</xm:f>
              </x14:cfvo>
              <x14:cfvo type="num">
                <xm:f>3</xm:f>
              </x14:cfvo>
              <x14:cfIcon iconSet="3TrafficLights1" iconId="2"/>
              <x14:cfIcon iconSet="3TrafficLights1" iconId="0"/>
              <x14:cfIcon iconSet="4TrafficLights" iconId="0"/>
            </x14:iconSet>
          </x14:cfRule>
          <xm:sqref>M41:M61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3A9B-3B60-4A10-BFD1-2E1E714D8828}">
  <sheetPr codeName="Sheet16">
    <tabColor theme="7"/>
  </sheetPr>
  <dimension ref="A1:BK67"/>
  <sheetViews>
    <sheetView showGridLines="0" topLeftCell="A37" zoomScaleNormal="100" workbookViewId="0">
      <selection activeCell="E41" sqref="E41:K51"/>
    </sheetView>
  </sheetViews>
  <sheetFormatPr defaultColWidth="0"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19.1796875" style="147" customWidth="1"/>
    <col min="6" max="6" width="28.1796875" style="147" customWidth="1"/>
    <col min="7" max="7" width="28.26953125" style="147" customWidth="1"/>
    <col min="8" max="8" width="11.81640625" style="147" customWidth="1"/>
    <col min="9" max="9" width="15.1796875" style="147" customWidth="1"/>
    <col min="10" max="10" width="10.1796875" style="147" customWidth="1"/>
    <col min="11" max="11" width="9.81640625" style="147" customWidth="1"/>
    <col min="12" max="12" width="15.1796875" style="147" customWidth="1"/>
    <col min="13" max="13" width="16.1796875" style="147" customWidth="1"/>
    <col min="14" max="14" width="46.54296875" style="147" customWidth="1"/>
    <col min="15" max="15" width="3.54296875" style="147" customWidth="1"/>
    <col min="16" max="16" width="4.1796875" style="147" customWidth="1"/>
    <col min="17" max="17" width="5.453125" style="147" customWidth="1" outlineLevel="1"/>
    <col min="18" max="18" width="12.81640625" style="147" customWidth="1" outlineLevel="1"/>
    <col min="19" max="19" width="17.7265625" style="147" customWidth="1" outlineLevel="1"/>
    <col min="20" max="20" width="24.453125" style="147" customWidth="1" outlineLevel="1"/>
    <col min="21" max="22" width="16.26953125" style="147" customWidth="1" outlineLevel="1"/>
    <col min="23" max="23" width="12.1796875" style="147" customWidth="1" outlineLevel="1"/>
    <col min="24" max="24" width="16.81640625" style="147" customWidth="1" outlineLevel="1"/>
    <col min="25" max="25" width="7.81640625" style="147" customWidth="1" outlineLevel="1"/>
    <col min="26" max="26" width="13.1796875" style="147" customWidth="1" outlineLevel="1"/>
    <col min="27" max="27" width="14.54296875" style="147" customWidth="1" outlineLevel="1"/>
    <col min="28" max="28" width="9" style="147" customWidth="1" outlineLevel="1"/>
    <col min="29" max="29" width="10.54296875" style="147" customWidth="1" outlineLevel="1"/>
    <col min="30" max="30" width="13.81640625" style="147" customWidth="1" outlineLevel="1"/>
    <col min="31" max="31" width="11.453125" style="147" customWidth="1" outlineLevel="1"/>
    <col min="32" max="32" width="9.54296875" style="147" customWidth="1" outlineLevel="1"/>
    <col min="33" max="34" width="10.81640625" style="147" customWidth="1" outlineLevel="1"/>
    <col min="35" max="35" width="16.453125" style="147" customWidth="1" outlineLevel="1"/>
    <col min="36" max="36" width="16.54296875" style="147" customWidth="1" outlineLevel="1"/>
    <col min="37" max="37" width="14.54296875" style="147" customWidth="1" outlineLevel="1"/>
    <col min="38" max="38" width="12" style="147" customWidth="1" outlineLevel="1"/>
    <col min="39" max="39" width="10.1796875" style="147" customWidth="1" outlineLevel="1"/>
    <col min="40" max="40" width="8.7265625" style="147" customWidth="1" outlineLevel="1"/>
    <col min="41" max="41" width="9.453125" style="147" customWidth="1" outlineLevel="1"/>
    <col min="42" max="42" width="14.1796875" style="147" customWidth="1" outlineLevel="1"/>
    <col min="43" max="43" width="15.453125" style="147" customWidth="1" outlineLevel="1"/>
    <col min="44" max="44" width="8.7265625" style="147" customWidth="1" outlineLevel="1"/>
    <col min="45" max="55" width="8.7265625" style="147" customWidth="1"/>
    <col min="56" max="56" width="9.1796875" style="147" customWidth="1"/>
    <col min="57" max="62" width="8.7265625" style="147" customWidth="1"/>
    <col min="63" max="16384" width="8.7265625" style="147" hidden="1"/>
  </cols>
  <sheetData>
    <row r="1" spans="2:63" s="150" customFormat="1" ht="15.5" x14ac:dyDescent="0.35">
      <c r="B1" s="196" t="s">
        <v>220</v>
      </c>
      <c r="C1" s="201"/>
      <c r="D1" s="201"/>
      <c r="E1" s="200" t="s">
        <v>61</v>
      </c>
      <c r="F1" s="201">
        <f>cl_year_select</f>
        <v>0</v>
      </c>
      <c r="I1" s="200" t="s">
        <v>274</v>
      </c>
      <c r="J1" s="199" t="str">
        <f>IF(AVERAGE($O$15,$O$40)=4,"No data missing","Data missing, see traffic lights")</f>
        <v>Data missing, see traffic lights</v>
      </c>
    </row>
    <row r="2" spans="2:63" s="153" customFormat="1" x14ac:dyDescent="0.3">
      <c r="B2" s="197" t="s">
        <v>189</v>
      </c>
      <c r="C2" s="203"/>
      <c r="D2" s="203"/>
      <c r="E2" s="202" t="s">
        <v>64</v>
      </c>
      <c r="F2" s="203">
        <f>cl_org_name_select</f>
        <v>0</v>
      </c>
    </row>
    <row r="3" spans="2:63" x14ac:dyDescent="0.3"/>
    <row r="4" spans="2:63" ht="14.5" x14ac:dyDescent="0.35">
      <c r="B4" s="159" t="s">
        <v>10</v>
      </c>
      <c r="E4" s="191" t="s">
        <v>1</v>
      </c>
      <c r="F4"/>
    </row>
    <row r="5" spans="2:63" ht="14.5" x14ac:dyDescent="0.35">
      <c r="B5" s="455" t="s">
        <v>345</v>
      </c>
      <c r="E5" s="162" t="s">
        <v>37</v>
      </c>
      <c r="F5"/>
    </row>
    <row r="6" spans="2:63" ht="14.5" x14ac:dyDescent="0.35">
      <c r="B6" s="455"/>
      <c r="E6" s="170" t="s">
        <v>38</v>
      </c>
      <c r="F6"/>
      <c r="G6" s="151"/>
      <c r="H6" s="151"/>
      <c r="I6" s="151"/>
    </row>
    <row r="7" spans="2:63" ht="14.5" x14ac:dyDescent="0.35">
      <c r="B7" s="455"/>
      <c r="E7" s="192" t="s">
        <v>283</v>
      </c>
      <c r="F7"/>
      <c r="G7" s="151"/>
      <c r="H7" s="151"/>
      <c r="I7" s="151"/>
    </row>
    <row r="8" spans="2:63" ht="14.5" x14ac:dyDescent="0.35">
      <c r="B8" s="455"/>
      <c r="E8" s="370"/>
      <c r="F8"/>
      <c r="G8" s="151"/>
      <c r="H8" s="151"/>
      <c r="I8" s="151"/>
    </row>
    <row r="9" spans="2:63" ht="14.5" x14ac:dyDescent="0.35">
      <c r="B9" s="455"/>
      <c r="E9" s="370"/>
      <c r="F9"/>
      <c r="G9" s="151"/>
      <c r="H9" s="151"/>
      <c r="I9" s="151"/>
    </row>
    <row r="10" spans="2:63" ht="14.5" x14ac:dyDescent="0.35">
      <c r="B10" s="455"/>
      <c r="E10" s="370"/>
      <c r="F10"/>
      <c r="G10" s="151"/>
      <c r="H10" s="151"/>
      <c r="I10" s="151"/>
    </row>
    <row r="11" spans="2:63" ht="14.5" thickBot="1" x14ac:dyDescent="0.35">
      <c r="B11" s="455"/>
      <c r="E11" s="176"/>
      <c r="F11" s="176"/>
      <c r="G11" s="177"/>
      <c r="H11" s="177"/>
      <c r="I11" s="177"/>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row>
    <row r="12" spans="2:63" x14ac:dyDescent="0.3">
      <c r="B12" s="194"/>
      <c r="G12" s="151"/>
      <c r="H12" s="151"/>
      <c r="I12" s="151"/>
    </row>
    <row r="13" spans="2:63" x14ac:dyDescent="0.3">
      <c r="B13" s="159" t="s">
        <v>12</v>
      </c>
      <c r="E13" s="160" t="s">
        <v>346</v>
      </c>
      <c r="AE13" s="234"/>
    </row>
    <row r="14" spans="2:63" x14ac:dyDescent="0.3"/>
    <row r="15" spans="2:63" ht="32.15" customHeight="1" x14ac:dyDescent="0.35">
      <c r="B15" s="455" t="s">
        <v>347</v>
      </c>
      <c r="E15" s="257" t="s">
        <v>331</v>
      </c>
      <c r="F15" s="258" t="s">
        <v>348</v>
      </c>
      <c r="G15" s="258" t="s">
        <v>325</v>
      </c>
      <c r="H15" s="258" t="s">
        <v>349</v>
      </c>
      <c r="I15" s="258" t="s">
        <v>287</v>
      </c>
      <c r="J15" s="258" t="s">
        <v>288</v>
      </c>
      <c r="K15" s="258" t="s">
        <v>289</v>
      </c>
      <c r="L15" s="331" t="s">
        <v>291</v>
      </c>
      <c r="M15" s="258" t="s">
        <v>292</v>
      </c>
      <c r="N15" s="259" t="s">
        <v>293</v>
      </c>
      <c r="O15" s="188">
        <f>AVERAGEIF($O$16:$O$35,"&lt;&gt;0",$O$16:$O$35)</f>
        <v>6</v>
      </c>
      <c r="P15"/>
      <c r="Q15" s="225" t="s">
        <v>294</v>
      </c>
      <c r="R15" s="226" t="s">
        <v>295</v>
      </c>
      <c r="S15" s="226" t="s">
        <v>296</v>
      </c>
      <c r="T15" s="226" t="s">
        <v>297</v>
      </c>
      <c r="U15" s="226" t="s">
        <v>298</v>
      </c>
      <c r="V15" s="226" t="s">
        <v>299</v>
      </c>
      <c r="W15" s="226" t="s">
        <v>300</v>
      </c>
      <c r="X15" s="226" t="s">
        <v>301</v>
      </c>
      <c r="Y15" s="226" t="s">
        <v>302</v>
      </c>
      <c r="Z15" s="226" t="s">
        <v>287</v>
      </c>
      <c r="AA15" s="226" t="s">
        <v>303</v>
      </c>
      <c r="AB15" s="226" t="s">
        <v>288</v>
      </c>
      <c r="AC15" s="226" t="s">
        <v>289</v>
      </c>
      <c r="AD15" s="286" t="s">
        <v>304</v>
      </c>
      <c r="AE15" s="286" t="s">
        <v>305</v>
      </c>
      <c r="AF15" s="286" t="s">
        <v>306</v>
      </c>
      <c r="AG15" s="286" t="s">
        <v>307</v>
      </c>
      <c r="AH15" s="286" t="s">
        <v>308</v>
      </c>
      <c r="AI15" s="286" t="s">
        <v>309</v>
      </c>
      <c r="AJ15" s="286" t="s">
        <v>310</v>
      </c>
      <c r="AK15" s="286" t="s">
        <v>311</v>
      </c>
      <c r="AL15" s="286" t="s">
        <v>312</v>
      </c>
      <c r="AM15" s="286" t="s">
        <v>313</v>
      </c>
      <c r="AN15" s="286" t="s">
        <v>314</v>
      </c>
      <c r="AO15" s="286" t="s">
        <v>315</v>
      </c>
      <c r="AP15" s="286" t="s">
        <v>291</v>
      </c>
      <c r="AQ15" s="227" t="s">
        <v>292</v>
      </c>
      <c r="AR15" s="227" t="s">
        <v>293</v>
      </c>
      <c r="AU15"/>
      <c r="AV15"/>
      <c r="AW15"/>
      <c r="AX15"/>
      <c r="AY15"/>
      <c r="AZ15"/>
      <c r="BA15"/>
      <c r="BB15"/>
      <c r="BC15"/>
      <c r="BD15"/>
      <c r="BE15"/>
      <c r="BF15"/>
      <c r="BG15"/>
      <c r="BH15"/>
      <c r="BI15"/>
      <c r="BJ15"/>
      <c r="BK15"/>
    </row>
    <row r="16" spans="2:63" ht="14.5" x14ac:dyDescent="0.35">
      <c r="B16" s="455"/>
      <c r="E16" s="346"/>
      <c r="F16" s="336"/>
      <c r="G16" s="336"/>
      <c r="H16" s="364"/>
      <c r="I16" s="336"/>
      <c r="J16" s="334"/>
      <c r="K16" s="336"/>
      <c r="L16" s="336"/>
      <c r="M16" s="336"/>
      <c r="N16" s="337"/>
      <c r="O16" s="242">
        <f>ISBLANK(E16)+ISBLANK(F16)+ISBLANK(G16)+ISBLANK(I16)+ISBLANK(J16)+ISBLANK(K16)</f>
        <v>6</v>
      </c>
      <c r="P16" s="308"/>
      <c r="Q16" s="212" t="str">
        <f t="shared" ref="Q16:Q35" si="0">IF(O16=0,SUBSTITUTE(2025&amp;TRIM(cl_org_name_select)&amp;TRIM($E$13)&amp;(ROW(O16)-ROW($O$16))," ",""),"")</f>
        <v/>
      </c>
      <c r="R16" s="174" t="s">
        <v>220</v>
      </c>
      <c r="S16" s="174" t="str">
        <f>IF($J16="", "", "Fleet")</f>
        <v/>
      </c>
      <c r="T16" s="174">
        <f>Fleet_Fuel_Frontend[[#This Row],[Type]]</f>
        <v>0</v>
      </c>
      <c r="U16" s="174">
        <f>Fleet_Fuel_Frontend[[#This Row],[Fleet type]]</f>
        <v>0</v>
      </c>
      <c r="V16" s="174">
        <f>Fleet_Fuel_Frontend[[#This Row],[Fuel]]</f>
        <v>0</v>
      </c>
      <c r="W16" s="174" t="s">
        <v>353</v>
      </c>
      <c r="X16" s="174">
        <f>Fleet_Fuel_Frontend[[#This Row],[Number of units]]</f>
        <v>0</v>
      </c>
      <c r="Y16" s="174" t="s">
        <v>339</v>
      </c>
      <c r="Z16" s="174">
        <f>Fleet_Fuel_Frontend[[#This Row],[Methodology]]</f>
        <v>0</v>
      </c>
      <c r="AA16" s="229" t="e" cm="1">
        <f t="array" ref="AA16">INDEX(_xlfn.SWITCH(Fleet_Fuel_Backend[[#This Row],[Methodology]],"Tier 1",rng_RSD1,"Tier 2",rng_RSD2,"Tier 3",rng_RSD3),MATCH(_xlfn.CONCAT(Fleet_Fuel_Backend[[#This Row],[Level 1]:[Level 6]]),rng_LevelsConcat,0))</f>
        <v>#N/A</v>
      </c>
      <c r="AB16" s="220">
        <f>Fleet_Fuel_Frontend[[#This Row],[Data]]</f>
        <v>0</v>
      </c>
      <c r="AC16" s="174">
        <f>Fleet_Fuel_Frontend[[#This Row],[Units]]</f>
        <v>0</v>
      </c>
      <c r="AD16" s="220" t="e">
        <f>IF(Fleet_Fuel_Backend[[#This Row],[Units]]=Fleet_Fuel_Backend[[#This Row],[Standard units]],Fleet_Fuel_Backend[[#This Row],[Data]],Fleet_Fuel_Backend[[#This Row],[Data]]*_xlfn.XLOOKUP(_xlfn.CONCAT(Fleet_Fuel_Backend[[#This Row],[Level 1]:[Level 6]]),rng_EFConcat,rng_EFConversion))</f>
        <v>#N/A</v>
      </c>
      <c r="AE16" s="174" t="s">
        <v>316</v>
      </c>
      <c r="AF16" s="210" t="e">
        <f>_xlfn.XLOOKUP(_xlfn.CONCAT(Fleet_Fuel_Backend[[#This Row],[Level 1]:[Level 6]]),rng_EFConcat,rng_EF1)*Fleet_Fuel_Backend[[#This Row],[Converted data]]/1000</f>
        <v>#N/A</v>
      </c>
      <c r="AG16" s="210" t="e">
        <f>_xlfn.XLOOKUP(_xlfn.CONCAT(Fleet_Fuel_Backend[[#This Row],[Level 1]:[Level 6]]),rng_EFConcat,rng_EF2)*Fleet_Fuel_Backend[[#This Row],[Converted data]]/1000</f>
        <v>#N/A</v>
      </c>
      <c r="AH16" s="210" t="e">
        <f>_xlfn.XLOOKUP(_xlfn.CONCAT(Fleet_Fuel_Backend[[#This Row],[Level 1]:[Level 6]]),rng_EFConcat,rng_EF3)*Fleet_Fuel_Backend[[#This Row],[Converted data]]/1000</f>
        <v>#N/A</v>
      </c>
      <c r="AI16" s="210" t="e">
        <f>_xlfn.XLOOKUP(_xlfn.CONCAT(Fleet_Fuel_Backend[[#This Row],[Level 1]:[Level 6]]),rng_EFConcat,rng_EF3WTT)*Fleet_Fuel_Backend[[#This Row],[Converted data]]/1000</f>
        <v>#N/A</v>
      </c>
      <c r="AJ16" s="210" t="e">
        <f>_xlfn.XLOOKUP(_xlfn.CONCAT(Fleet_Fuel_Backend[[#This Row],[Level 1]:[Level 6]]),rng_EFConcat,rng_EF3TD)*Fleet_Fuel_Backend[[#This Row],[Converted data]]/1000</f>
        <v>#N/A</v>
      </c>
      <c r="AK16" s="210" t="e">
        <f>_xlfn.XLOOKUP(_xlfn.CONCAT(Fleet_Fuel_Backend[[#This Row],[Level 1]:[Level 6]]),rng_EFConcat,rng_EF3WTTTD)*Fleet_Fuel_Backend[[#This Row],[Converted data]]/1000</f>
        <v>#N/A</v>
      </c>
      <c r="AL16" s="220" t="e">
        <f>SUM(Fleet_Fuel_Backend[[#This Row],[Scope 1 (tCO2e)]:[Scope 3 WTT T&amp;D (tCO2e)]])</f>
        <v>#N/A</v>
      </c>
      <c r="AM16" s="220" t="e">
        <f>Fleet_Fuel_Backend[[#This Row],[Total (tCO2e)]]*(1-Fleet_Fuel_Backend[[#This Row],[RSD]])</f>
        <v>#N/A</v>
      </c>
      <c r="AN16" s="220" t="e">
        <f>Fleet_Fuel_Backend[[#This Row],[Total (tCO2e)]]*(1+Fleet_Fuel_Backend[[#This Row],[RSD]])</f>
        <v>#N/A</v>
      </c>
      <c r="AO16" s="210" t="e">
        <f>_xlfn.XLOOKUP(_xlfn.CONCAT(Fleet_Fuel_Backend[[#This Row],[Level 1]:[Level 6]]),rng_EFConcat,rng_EFOOS)*Fleet_Fuel_Backend[[#This Row],[Converted data]]/1000</f>
        <v>#N/A</v>
      </c>
      <c r="AP16" s="174">
        <f>Fleet_Fuel_Frontend[[#This Row],[Ease of collection]]</f>
        <v>0</v>
      </c>
      <c r="AQ16" s="174">
        <f>Fleet_Fuel_Frontend[[#This Row],[Completeness]]</f>
        <v>0</v>
      </c>
      <c r="AR16" s="174">
        <f>Fleet_Fuel_Frontend[[#This Row],[Notes]]</f>
        <v>0</v>
      </c>
      <c r="AU16"/>
      <c r="AV16"/>
      <c r="AW16"/>
      <c r="AX16"/>
      <c r="AY16"/>
      <c r="AZ16"/>
      <c r="BA16"/>
      <c r="BB16"/>
      <c r="BC16"/>
      <c r="BD16"/>
      <c r="BE16"/>
      <c r="BF16"/>
      <c r="BG16"/>
      <c r="BH16"/>
      <c r="BI16"/>
      <c r="BJ16"/>
      <c r="BK16"/>
    </row>
    <row r="17" spans="2:63" ht="14.5" x14ac:dyDescent="0.35">
      <c r="B17" s="455"/>
      <c r="E17" s="346"/>
      <c r="F17" s="336"/>
      <c r="G17" s="336"/>
      <c r="H17" s="364"/>
      <c r="I17" s="336"/>
      <c r="J17" s="334"/>
      <c r="K17" s="336"/>
      <c r="L17" s="336"/>
      <c r="M17" s="336"/>
      <c r="N17" s="337"/>
      <c r="O17" s="242">
        <f t="shared" ref="O17:O35" si="1">ISBLANK(E17)+ISBLANK(F17)+ISBLANK(G17)+ISBLANK(I17)+ISBLANK(J17)+ISBLANK(K17)</f>
        <v>6</v>
      </c>
      <c r="P17" s="308"/>
      <c r="Q17" s="212" t="str">
        <f t="shared" si="0"/>
        <v/>
      </c>
      <c r="R17" s="174" t="s">
        <v>220</v>
      </c>
      <c r="S17" s="174" t="str">
        <f t="shared" ref="S17:S35" si="2">IF($J17="", "", "Fleet")</f>
        <v/>
      </c>
      <c r="T17" s="174">
        <f>Fleet_Fuel_Frontend[[#This Row],[Type]]</f>
        <v>0</v>
      </c>
      <c r="U17" s="174">
        <f>Fleet_Fuel_Frontend[[#This Row],[Fleet type]]</f>
        <v>0</v>
      </c>
      <c r="V17" s="174">
        <f>Fleet_Fuel_Frontend[[#This Row],[Fuel]]</f>
        <v>0</v>
      </c>
      <c r="W17" s="174" t="s">
        <v>353</v>
      </c>
      <c r="X17" s="174">
        <f>Fleet_Fuel_Frontend[[#This Row],[Number of units]]</f>
        <v>0</v>
      </c>
      <c r="Y17" s="174" t="s">
        <v>339</v>
      </c>
      <c r="Z17" s="174">
        <f>Fleet_Fuel_Frontend[[#This Row],[Methodology]]</f>
        <v>0</v>
      </c>
      <c r="AA17" s="229" t="e" cm="1">
        <f t="array" ref="AA17">INDEX(_xlfn.SWITCH(Fleet_Fuel_Backend[[#This Row],[Methodology]],"Tier 1",rng_RSD1,"Tier 2",rng_RSD2,"Tier 3",rng_RSD3),MATCH(_xlfn.CONCAT(Fleet_Fuel_Backend[[#This Row],[Level 1]:[Level 6]]),rng_LevelsConcat,0))</f>
        <v>#N/A</v>
      </c>
      <c r="AB17" s="220">
        <f>Fleet_Fuel_Frontend[[#This Row],[Data]]</f>
        <v>0</v>
      </c>
      <c r="AC17" s="174">
        <f>Fleet_Fuel_Frontend[[#This Row],[Units]]</f>
        <v>0</v>
      </c>
      <c r="AD17" s="220" t="e">
        <f>IF(Fleet_Fuel_Backend[[#This Row],[Units]]=Fleet_Fuel_Backend[[#This Row],[Standard units]],Fleet_Fuel_Backend[[#This Row],[Data]],Fleet_Fuel_Backend[[#This Row],[Data]]*_xlfn.XLOOKUP(_xlfn.CONCAT(Fleet_Fuel_Backend[[#This Row],[Level 1]:[Level 6]]),rng_EFConcat,rng_EFConversion))</f>
        <v>#N/A</v>
      </c>
      <c r="AE17" s="174" t="s">
        <v>316</v>
      </c>
      <c r="AF17" s="210" t="e">
        <f>_xlfn.XLOOKUP(_xlfn.CONCAT(Fleet_Fuel_Backend[[#This Row],[Level 1]:[Level 6]]),rng_EFConcat,rng_EF1)*Fleet_Fuel_Backend[[#This Row],[Converted data]]/1000</f>
        <v>#N/A</v>
      </c>
      <c r="AG17" s="210" t="e">
        <f>_xlfn.XLOOKUP(_xlfn.CONCAT(Fleet_Fuel_Backend[[#This Row],[Level 1]:[Level 6]]),rng_EFConcat,rng_EF2)*Fleet_Fuel_Backend[[#This Row],[Converted data]]/1000</f>
        <v>#N/A</v>
      </c>
      <c r="AH17" s="210" t="e">
        <f>_xlfn.XLOOKUP(_xlfn.CONCAT(Fleet_Fuel_Backend[[#This Row],[Level 1]:[Level 6]]),rng_EFConcat,rng_EF3)*Fleet_Fuel_Backend[[#This Row],[Converted data]]/1000</f>
        <v>#N/A</v>
      </c>
      <c r="AI17" s="210" t="e">
        <f>_xlfn.XLOOKUP(_xlfn.CONCAT(Fleet_Fuel_Backend[[#This Row],[Level 1]:[Level 6]]),rng_EFConcat,rng_EF3WTT)*Fleet_Fuel_Backend[[#This Row],[Converted data]]/1000</f>
        <v>#N/A</v>
      </c>
      <c r="AJ17" s="210" t="e">
        <f>_xlfn.XLOOKUP(_xlfn.CONCAT(Fleet_Fuel_Backend[[#This Row],[Level 1]:[Level 6]]),rng_EFConcat,rng_EF3TD)*Fleet_Fuel_Backend[[#This Row],[Converted data]]/1000</f>
        <v>#N/A</v>
      </c>
      <c r="AK17" s="210" t="e">
        <f>_xlfn.XLOOKUP(_xlfn.CONCAT(Fleet_Fuel_Backend[[#This Row],[Level 1]:[Level 6]]),rng_EFConcat,rng_EF3WTTTD)*Fleet_Fuel_Backend[[#This Row],[Converted data]]/1000</f>
        <v>#N/A</v>
      </c>
      <c r="AL17" s="220" t="e">
        <f>SUM(Fleet_Fuel_Backend[[#This Row],[Scope 1 (tCO2e)]:[Scope 3 WTT T&amp;D (tCO2e)]])</f>
        <v>#N/A</v>
      </c>
      <c r="AM17" s="220" t="e">
        <f>Fleet_Fuel_Backend[[#This Row],[Total (tCO2e)]]*(1-Fleet_Fuel_Backend[[#This Row],[RSD]])</f>
        <v>#N/A</v>
      </c>
      <c r="AN17" s="220" t="e">
        <f>Fleet_Fuel_Backend[[#This Row],[Total (tCO2e)]]*(1+Fleet_Fuel_Backend[[#This Row],[RSD]])</f>
        <v>#N/A</v>
      </c>
      <c r="AO17" s="210" t="e">
        <f>_xlfn.XLOOKUP(_xlfn.CONCAT(Fleet_Fuel_Backend[[#This Row],[Level 1]:[Level 6]]),rng_EFConcat,rng_EFOOS)*Fleet_Fuel_Backend[[#This Row],[Converted data]]/1000</f>
        <v>#N/A</v>
      </c>
      <c r="AP17" s="174">
        <f>Fleet_Fuel_Frontend[[#This Row],[Ease of collection]]</f>
        <v>0</v>
      </c>
      <c r="AQ17" s="174">
        <f>Fleet_Fuel_Frontend[[#This Row],[Completeness]]</f>
        <v>0</v>
      </c>
      <c r="AR17" s="174">
        <f>Fleet_Fuel_Frontend[[#This Row],[Notes]]</f>
        <v>0</v>
      </c>
      <c r="AU17"/>
      <c r="AV17"/>
      <c r="AW17"/>
      <c r="AX17"/>
      <c r="AY17"/>
      <c r="AZ17"/>
      <c r="BA17"/>
      <c r="BB17"/>
      <c r="BC17"/>
      <c r="BD17"/>
      <c r="BE17"/>
      <c r="BF17"/>
      <c r="BG17"/>
      <c r="BH17"/>
      <c r="BI17"/>
      <c r="BJ17"/>
      <c r="BK17"/>
    </row>
    <row r="18" spans="2:63" ht="14.5" x14ac:dyDescent="0.35">
      <c r="B18" s="455"/>
      <c r="E18" s="346"/>
      <c r="F18" s="336"/>
      <c r="G18" s="336"/>
      <c r="H18" s="364"/>
      <c r="I18" s="336"/>
      <c r="J18" s="334"/>
      <c r="K18" s="336"/>
      <c r="L18" s="336"/>
      <c r="M18" s="336"/>
      <c r="N18" s="337"/>
      <c r="O18" s="242">
        <f t="shared" si="1"/>
        <v>6</v>
      </c>
      <c r="P18" s="308"/>
      <c r="Q18" s="212" t="str">
        <f t="shared" si="0"/>
        <v/>
      </c>
      <c r="R18" s="174" t="s">
        <v>220</v>
      </c>
      <c r="S18" s="174" t="str">
        <f t="shared" si="2"/>
        <v/>
      </c>
      <c r="T18" s="174">
        <f>Fleet_Fuel_Frontend[[#This Row],[Type]]</f>
        <v>0</v>
      </c>
      <c r="U18" s="174">
        <f>Fleet_Fuel_Frontend[[#This Row],[Fleet type]]</f>
        <v>0</v>
      </c>
      <c r="V18" s="174">
        <f>Fleet_Fuel_Frontend[[#This Row],[Fuel]]</f>
        <v>0</v>
      </c>
      <c r="W18" s="174" t="s">
        <v>353</v>
      </c>
      <c r="X18" s="174">
        <f>Fleet_Fuel_Frontend[[#This Row],[Number of units]]</f>
        <v>0</v>
      </c>
      <c r="Y18" s="174" t="s">
        <v>339</v>
      </c>
      <c r="Z18" s="174">
        <f>Fleet_Fuel_Frontend[[#This Row],[Methodology]]</f>
        <v>0</v>
      </c>
      <c r="AA18" s="229" t="e" cm="1">
        <f t="array" ref="AA18">INDEX(_xlfn.SWITCH(Fleet_Fuel_Backend[[#This Row],[Methodology]],"Tier 1",rng_RSD1,"Tier 2",rng_RSD2,"Tier 3",rng_RSD3),MATCH(_xlfn.CONCAT(Fleet_Fuel_Backend[[#This Row],[Level 1]:[Level 6]]),rng_LevelsConcat,0))</f>
        <v>#N/A</v>
      </c>
      <c r="AB18" s="220">
        <f>Fleet_Fuel_Frontend[[#This Row],[Data]]</f>
        <v>0</v>
      </c>
      <c r="AC18" s="174">
        <f>Fleet_Fuel_Frontend[[#This Row],[Units]]</f>
        <v>0</v>
      </c>
      <c r="AD18" s="220" t="e">
        <f>IF(Fleet_Fuel_Backend[[#This Row],[Units]]=Fleet_Fuel_Backend[[#This Row],[Standard units]],Fleet_Fuel_Backend[[#This Row],[Data]],Fleet_Fuel_Backend[[#This Row],[Data]]*_xlfn.XLOOKUP(_xlfn.CONCAT(Fleet_Fuel_Backend[[#This Row],[Level 1]:[Level 6]]),rng_EFConcat,rng_EFConversion))</f>
        <v>#N/A</v>
      </c>
      <c r="AE18" s="174" t="s">
        <v>316</v>
      </c>
      <c r="AF18" s="210" t="e">
        <f>_xlfn.XLOOKUP(_xlfn.CONCAT(Fleet_Fuel_Backend[[#This Row],[Level 1]:[Level 6]]),rng_EFConcat,rng_EF1)*Fleet_Fuel_Backend[[#This Row],[Converted data]]/1000</f>
        <v>#N/A</v>
      </c>
      <c r="AG18" s="210" t="e">
        <f>_xlfn.XLOOKUP(_xlfn.CONCAT(Fleet_Fuel_Backend[[#This Row],[Level 1]:[Level 6]]),rng_EFConcat,rng_EF2)*Fleet_Fuel_Backend[[#This Row],[Converted data]]/1000</f>
        <v>#N/A</v>
      </c>
      <c r="AH18" s="210" t="e">
        <f>_xlfn.XLOOKUP(_xlfn.CONCAT(Fleet_Fuel_Backend[[#This Row],[Level 1]:[Level 6]]),rng_EFConcat,rng_EF3)*Fleet_Fuel_Backend[[#This Row],[Converted data]]/1000</f>
        <v>#N/A</v>
      </c>
      <c r="AI18" s="210" t="e">
        <f>_xlfn.XLOOKUP(_xlfn.CONCAT(Fleet_Fuel_Backend[[#This Row],[Level 1]:[Level 6]]),rng_EFConcat,rng_EF3WTT)*Fleet_Fuel_Backend[[#This Row],[Converted data]]/1000</f>
        <v>#N/A</v>
      </c>
      <c r="AJ18" s="210" t="e">
        <f>_xlfn.XLOOKUP(_xlfn.CONCAT(Fleet_Fuel_Backend[[#This Row],[Level 1]:[Level 6]]),rng_EFConcat,rng_EF3TD)*Fleet_Fuel_Backend[[#This Row],[Converted data]]/1000</f>
        <v>#N/A</v>
      </c>
      <c r="AK18" s="210" t="e">
        <f>_xlfn.XLOOKUP(_xlfn.CONCAT(Fleet_Fuel_Backend[[#This Row],[Level 1]:[Level 6]]),rng_EFConcat,rng_EF3WTTTD)*Fleet_Fuel_Backend[[#This Row],[Converted data]]/1000</f>
        <v>#N/A</v>
      </c>
      <c r="AL18" s="220" t="e">
        <f>SUM(Fleet_Fuel_Backend[[#This Row],[Scope 1 (tCO2e)]:[Scope 3 WTT T&amp;D (tCO2e)]])</f>
        <v>#N/A</v>
      </c>
      <c r="AM18" s="220" t="e">
        <f>Fleet_Fuel_Backend[[#This Row],[Total (tCO2e)]]*(1-Fleet_Fuel_Backend[[#This Row],[RSD]])</f>
        <v>#N/A</v>
      </c>
      <c r="AN18" s="220" t="e">
        <f>Fleet_Fuel_Backend[[#This Row],[Total (tCO2e)]]*(1+Fleet_Fuel_Backend[[#This Row],[RSD]])</f>
        <v>#N/A</v>
      </c>
      <c r="AO18" s="210" t="e">
        <f>_xlfn.XLOOKUP(_xlfn.CONCAT(Fleet_Fuel_Backend[[#This Row],[Level 1]:[Level 6]]),rng_EFConcat,rng_EFOOS)*Fleet_Fuel_Backend[[#This Row],[Converted data]]/1000</f>
        <v>#N/A</v>
      </c>
      <c r="AP18" s="174">
        <f>Fleet_Fuel_Frontend[[#This Row],[Ease of collection]]</f>
        <v>0</v>
      </c>
      <c r="AQ18" s="174">
        <f>Fleet_Fuel_Frontend[[#This Row],[Completeness]]</f>
        <v>0</v>
      </c>
      <c r="AR18" s="174">
        <f>Fleet_Fuel_Frontend[[#This Row],[Notes]]</f>
        <v>0</v>
      </c>
      <c r="AU18"/>
      <c r="AV18"/>
      <c r="AW18"/>
      <c r="AX18"/>
      <c r="AY18"/>
      <c r="AZ18"/>
      <c r="BA18"/>
      <c r="BB18"/>
      <c r="BC18"/>
      <c r="BD18"/>
      <c r="BE18"/>
      <c r="BF18"/>
      <c r="BG18"/>
      <c r="BH18"/>
      <c r="BI18"/>
      <c r="BJ18"/>
      <c r="BK18"/>
    </row>
    <row r="19" spans="2:63" ht="14.5" x14ac:dyDescent="0.35">
      <c r="B19" s="455"/>
      <c r="E19" s="346"/>
      <c r="F19" s="336"/>
      <c r="G19" s="336"/>
      <c r="H19" s="364"/>
      <c r="I19" s="336"/>
      <c r="J19" s="334"/>
      <c r="K19" s="336"/>
      <c r="L19" s="336"/>
      <c r="M19" s="336"/>
      <c r="N19" s="337"/>
      <c r="O19" s="242">
        <f t="shared" si="1"/>
        <v>6</v>
      </c>
      <c r="P19" s="308"/>
      <c r="Q19" s="212" t="str">
        <f t="shared" si="0"/>
        <v/>
      </c>
      <c r="R19" s="174" t="s">
        <v>220</v>
      </c>
      <c r="S19" s="174" t="str">
        <f t="shared" si="2"/>
        <v/>
      </c>
      <c r="T19" s="174">
        <f>Fleet_Fuel_Frontend[[#This Row],[Type]]</f>
        <v>0</v>
      </c>
      <c r="U19" s="174">
        <f>Fleet_Fuel_Frontend[[#This Row],[Fleet type]]</f>
        <v>0</v>
      </c>
      <c r="V19" s="174">
        <f>Fleet_Fuel_Frontend[[#This Row],[Fuel]]</f>
        <v>0</v>
      </c>
      <c r="W19" s="174" t="s">
        <v>353</v>
      </c>
      <c r="X19" s="174">
        <f>Fleet_Fuel_Frontend[[#This Row],[Number of units]]</f>
        <v>0</v>
      </c>
      <c r="Y19" s="174" t="s">
        <v>339</v>
      </c>
      <c r="Z19" s="174">
        <f>Fleet_Fuel_Frontend[[#This Row],[Methodology]]</f>
        <v>0</v>
      </c>
      <c r="AA19" s="229" t="e" cm="1">
        <f t="array" ref="AA19">INDEX(_xlfn.SWITCH(Fleet_Fuel_Backend[[#This Row],[Methodology]],"Tier 1",rng_RSD1,"Tier 2",rng_RSD2,"Tier 3",rng_RSD3),MATCH(_xlfn.CONCAT(Fleet_Fuel_Backend[[#This Row],[Level 1]:[Level 6]]),rng_LevelsConcat,0))</f>
        <v>#N/A</v>
      </c>
      <c r="AB19" s="220">
        <f>Fleet_Fuel_Frontend[[#This Row],[Data]]</f>
        <v>0</v>
      </c>
      <c r="AC19" s="174">
        <f>Fleet_Fuel_Frontend[[#This Row],[Units]]</f>
        <v>0</v>
      </c>
      <c r="AD19" s="220" t="e">
        <f>IF(Fleet_Fuel_Backend[[#This Row],[Units]]=Fleet_Fuel_Backend[[#This Row],[Standard units]],Fleet_Fuel_Backend[[#This Row],[Data]],Fleet_Fuel_Backend[[#This Row],[Data]]*_xlfn.XLOOKUP(_xlfn.CONCAT(Fleet_Fuel_Backend[[#This Row],[Level 1]:[Level 6]]),rng_EFConcat,rng_EFConversion))</f>
        <v>#N/A</v>
      </c>
      <c r="AE19" s="174" t="s">
        <v>316</v>
      </c>
      <c r="AF19" s="210" t="e">
        <f>_xlfn.XLOOKUP(_xlfn.CONCAT(Fleet_Fuel_Backend[[#This Row],[Level 1]:[Level 6]]),rng_EFConcat,rng_EF1)*Fleet_Fuel_Backend[[#This Row],[Converted data]]/1000</f>
        <v>#N/A</v>
      </c>
      <c r="AG19" s="210" t="e">
        <f>_xlfn.XLOOKUP(_xlfn.CONCAT(Fleet_Fuel_Backend[[#This Row],[Level 1]:[Level 6]]),rng_EFConcat,rng_EF2)*Fleet_Fuel_Backend[[#This Row],[Converted data]]/1000</f>
        <v>#N/A</v>
      </c>
      <c r="AH19" s="210" t="e">
        <f>_xlfn.XLOOKUP(_xlfn.CONCAT(Fleet_Fuel_Backend[[#This Row],[Level 1]:[Level 6]]),rng_EFConcat,rng_EF3)*Fleet_Fuel_Backend[[#This Row],[Converted data]]/1000</f>
        <v>#N/A</v>
      </c>
      <c r="AI19" s="210" t="e">
        <f>_xlfn.XLOOKUP(_xlfn.CONCAT(Fleet_Fuel_Backend[[#This Row],[Level 1]:[Level 6]]),rng_EFConcat,rng_EF3WTT)*Fleet_Fuel_Backend[[#This Row],[Converted data]]/1000</f>
        <v>#N/A</v>
      </c>
      <c r="AJ19" s="210" t="e">
        <f>_xlfn.XLOOKUP(_xlfn.CONCAT(Fleet_Fuel_Backend[[#This Row],[Level 1]:[Level 6]]),rng_EFConcat,rng_EF3TD)*Fleet_Fuel_Backend[[#This Row],[Converted data]]/1000</f>
        <v>#N/A</v>
      </c>
      <c r="AK19" s="210" t="e">
        <f>_xlfn.XLOOKUP(_xlfn.CONCAT(Fleet_Fuel_Backend[[#This Row],[Level 1]:[Level 6]]),rng_EFConcat,rng_EF3WTTTD)*Fleet_Fuel_Backend[[#This Row],[Converted data]]/1000</f>
        <v>#N/A</v>
      </c>
      <c r="AL19" s="220" t="e">
        <f>SUM(Fleet_Fuel_Backend[[#This Row],[Scope 1 (tCO2e)]:[Scope 3 WTT T&amp;D (tCO2e)]])</f>
        <v>#N/A</v>
      </c>
      <c r="AM19" s="220" t="e">
        <f>Fleet_Fuel_Backend[[#This Row],[Total (tCO2e)]]*(1-Fleet_Fuel_Backend[[#This Row],[RSD]])</f>
        <v>#N/A</v>
      </c>
      <c r="AN19" s="220" t="e">
        <f>Fleet_Fuel_Backend[[#This Row],[Total (tCO2e)]]*(1+Fleet_Fuel_Backend[[#This Row],[RSD]])</f>
        <v>#N/A</v>
      </c>
      <c r="AO19" s="210" t="e">
        <f>_xlfn.XLOOKUP(_xlfn.CONCAT(Fleet_Fuel_Backend[[#This Row],[Level 1]:[Level 6]]),rng_EFConcat,rng_EFOOS)*Fleet_Fuel_Backend[[#This Row],[Converted data]]/1000</f>
        <v>#N/A</v>
      </c>
      <c r="AP19" s="174">
        <f>Fleet_Fuel_Frontend[[#This Row],[Ease of collection]]</f>
        <v>0</v>
      </c>
      <c r="AQ19" s="174">
        <f>Fleet_Fuel_Frontend[[#This Row],[Completeness]]</f>
        <v>0</v>
      </c>
      <c r="AR19" s="174">
        <f>Fleet_Fuel_Frontend[[#This Row],[Notes]]</f>
        <v>0</v>
      </c>
      <c r="AU19"/>
      <c r="AV19"/>
      <c r="AW19"/>
      <c r="AX19"/>
      <c r="AY19"/>
      <c r="AZ19"/>
      <c r="BA19"/>
      <c r="BB19"/>
      <c r="BC19"/>
      <c r="BD19"/>
      <c r="BE19"/>
      <c r="BF19"/>
      <c r="BG19"/>
      <c r="BH19"/>
      <c r="BI19"/>
      <c r="BJ19"/>
      <c r="BK19"/>
    </row>
    <row r="20" spans="2:63" ht="14.5" x14ac:dyDescent="0.35">
      <c r="B20" s="455"/>
      <c r="E20" s="346"/>
      <c r="F20" s="336"/>
      <c r="G20" s="336"/>
      <c r="H20" s="364"/>
      <c r="I20" s="336"/>
      <c r="J20" s="334"/>
      <c r="K20" s="336"/>
      <c r="L20" s="336"/>
      <c r="M20" s="336"/>
      <c r="N20" s="337"/>
      <c r="O20" s="242">
        <f t="shared" si="1"/>
        <v>6</v>
      </c>
      <c r="Q20" s="212" t="str">
        <f t="shared" si="0"/>
        <v/>
      </c>
      <c r="R20" s="174" t="s">
        <v>220</v>
      </c>
      <c r="S20" s="174" t="str">
        <f t="shared" si="2"/>
        <v/>
      </c>
      <c r="T20" s="174">
        <f>Fleet_Fuel_Frontend[[#This Row],[Type]]</f>
        <v>0</v>
      </c>
      <c r="U20" s="174">
        <f>Fleet_Fuel_Frontend[[#This Row],[Fleet type]]</f>
        <v>0</v>
      </c>
      <c r="V20" s="174">
        <f>Fleet_Fuel_Frontend[[#This Row],[Fuel]]</f>
        <v>0</v>
      </c>
      <c r="W20" s="174" t="s">
        <v>353</v>
      </c>
      <c r="X20" s="174">
        <f>Fleet_Fuel_Frontend[[#This Row],[Number of units]]</f>
        <v>0</v>
      </c>
      <c r="Y20" s="174" t="s">
        <v>339</v>
      </c>
      <c r="Z20" s="174">
        <f>Fleet_Fuel_Frontend[[#This Row],[Methodology]]</f>
        <v>0</v>
      </c>
      <c r="AA20" s="229" t="e" cm="1">
        <f t="array" ref="AA20">INDEX(_xlfn.SWITCH(Fleet_Fuel_Backend[[#This Row],[Methodology]],"Tier 1",rng_RSD1,"Tier 2",rng_RSD2,"Tier 3",rng_RSD3),MATCH(_xlfn.CONCAT(Fleet_Fuel_Backend[[#This Row],[Level 1]:[Level 6]]),rng_LevelsConcat,0))</f>
        <v>#N/A</v>
      </c>
      <c r="AB20" s="220">
        <f>Fleet_Fuel_Frontend[[#This Row],[Data]]</f>
        <v>0</v>
      </c>
      <c r="AC20" s="174">
        <f>Fleet_Fuel_Frontend[[#This Row],[Units]]</f>
        <v>0</v>
      </c>
      <c r="AD20" s="220" t="e">
        <f>IF(Fleet_Fuel_Backend[[#This Row],[Units]]=Fleet_Fuel_Backend[[#This Row],[Standard units]],Fleet_Fuel_Backend[[#This Row],[Data]],Fleet_Fuel_Backend[[#This Row],[Data]]*_xlfn.XLOOKUP(_xlfn.CONCAT(Fleet_Fuel_Backend[[#This Row],[Level 1]:[Level 6]]),rng_EFConcat,rng_EFConversion))</f>
        <v>#N/A</v>
      </c>
      <c r="AE20" s="174" t="s">
        <v>316</v>
      </c>
      <c r="AF20" s="210" t="e">
        <f>_xlfn.XLOOKUP(_xlfn.CONCAT(Fleet_Fuel_Backend[[#This Row],[Level 1]:[Level 6]]),rng_EFConcat,rng_EF1)*Fleet_Fuel_Backend[[#This Row],[Converted data]]/1000</f>
        <v>#N/A</v>
      </c>
      <c r="AG20" s="210" t="e">
        <f>_xlfn.XLOOKUP(_xlfn.CONCAT(Fleet_Fuel_Backend[[#This Row],[Level 1]:[Level 6]]),rng_EFConcat,rng_EF2)*Fleet_Fuel_Backend[[#This Row],[Converted data]]/1000</f>
        <v>#N/A</v>
      </c>
      <c r="AH20" s="210" t="e">
        <f>_xlfn.XLOOKUP(_xlfn.CONCAT(Fleet_Fuel_Backend[[#This Row],[Level 1]:[Level 6]]),rng_EFConcat,rng_EF3)*Fleet_Fuel_Backend[[#This Row],[Converted data]]/1000</f>
        <v>#N/A</v>
      </c>
      <c r="AI20" s="210" t="e">
        <f>_xlfn.XLOOKUP(_xlfn.CONCAT(Fleet_Fuel_Backend[[#This Row],[Level 1]:[Level 6]]),rng_EFConcat,rng_EF3WTT)*Fleet_Fuel_Backend[[#This Row],[Converted data]]/1000</f>
        <v>#N/A</v>
      </c>
      <c r="AJ20" s="210" t="e">
        <f>_xlfn.XLOOKUP(_xlfn.CONCAT(Fleet_Fuel_Backend[[#This Row],[Level 1]:[Level 6]]),rng_EFConcat,rng_EF3TD)*Fleet_Fuel_Backend[[#This Row],[Converted data]]/1000</f>
        <v>#N/A</v>
      </c>
      <c r="AK20" s="210" t="e">
        <f>_xlfn.XLOOKUP(_xlfn.CONCAT(Fleet_Fuel_Backend[[#This Row],[Level 1]:[Level 6]]),rng_EFConcat,rng_EF3WTTTD)*Fleet_Fuel_Backend[[#This Row],[Converted data]]/1000</f>
        <v>#N/A</v>
      </c>
      <c r="AL20" s="220" t="e">
        <f>SUM(Fleet_Fuel_Backend[[#This Row],[Scope 1 (tCO2e)]:[Scope 3 WTT T&amp;D (tCO2e)]])</f>
        <v>#N/A</v>
      </c>
      <c r="AM20" s="220" t="e">
        <f>Fleet_Fuel_Backend[[#This Row],[Total (tCO2e)]]*(1-Fleet_Fuel_Backend[[#This Row],[RSD]])</f>
        <v>#N/A</v>
      </c>
      <c r="AN20" s="220" t="e">
        <f>Fleet_Fuel_Backend[[#This Row],[Total (tCO2e)]]*(1+Fleet_Fuel_Backend[[#This Row],[RSD]])</f>
        <v>#N/A</v>
      </c>
      <c r="AO20" s="210" t="e">
        <f>_xlfn.XLOOKUP(_xlfn.CONCAT(Fleet_Fuel_Backend[[#This Row],[Level 1]:[Level 6]]),rng_EFConcat,rng_EFOOS)*Fleet_Fuel_Backend[[#This Row],[Converted data]]/1000</f>
        <v>#N/A</v>
      </c>
      <c r="AP20" s="174">
        <f>Fleet_Fuel_Frontend[[#This Row],[Ease of collection]]</f>
        <v>0</v>
      </c>
      <c r="AQ20" s="174">
        <f>Fleet_Fuel_Frontend[[#This Row],[Completeness]]</f>
        <v>0</v>
      </c>
      <c r="AR20" s="174">
        <f>Fleet_Fuel_Frontend[[#This Row],[Notes]]</f>
        <v>0</v>
      </c>
      <c r="AU20"/>
      <c r="AV20"/>
      <c r="AW20"/>
      <c r="AX20"/>
      <c r="AY20"/>
      <c r="AZ20"/>
      <c r="BA20"/>
      <c r="BB20"/>
      <c r="BC20"/>
      <c r="BD20"/>
      <c r="BE20"/>
      <c r="BF20"/>
      <c r="BG20"/>
      <c r="BH20"/>
      <c r="BI20"/>
      <c r="BJ20"/>
      <c r="BK20"/>
    </row>
    <row r="21" spans="2:63" ht="14.5" x14ac:dyDescent="0.35">
      <c r="B21" s="455"/>
      <c r="E21" s="346"/>
      <c r="F21" s="336"/>
      <c r="G21" s="336"/>
      <c r="H21" s="364"/>
      <c r="I21" s="336"/>
      <c r="J21" s="334"/>
      <c r="K21" s="336"/>
      <c r="L21" s="336"/>
      <c r="M21" s="336"/>
      <c r="N21" s="337"/>
      <c r="O21" s="242">
        <f t="shared" si="1"/>
        <v>6</v>
      </c>
      <c r="Q21" s="212" t="str">
        <f t="shared" si="0"/>
        <v/>
      </c>
      <c r="R21" s="174" t="s">
        <v>220</v>
      </c>
      <c r="S21" s="174" t="str">
        <f t="shared" si="2"/>
        <v/>
      </c>
      <c r="T21" s="174">
        <f>Fleet_Fuel_Frontend[[#This Row],[Type]]</f>
        <v>0</v>
      </c>
      <c r="U21" s="174">
        <f>Fleet_Fuel_Frontend[[#This Row],[Fleet type]]</f>
        <v>0</v>
      </c>
      <c r="V21" s="174">
        <f>Fleet_Fuel_Frontend[[#This Row],[Fuel]]</f>
        <v>0</v>
      </c>
      <c r="W21" s="174" t="s">
        <v>353</v>
      </c>
      <c r="X21" s="174">
        <f>Fleet_Fuel_Frontend[[#This Row],[Number of units]]</f>
        <v>0</v>
      </c>
      <c r="Y21" s="174" t="s">
        <v>339</v>
      </c>
      <c r="Z21" s="174">
        <f>Fleet_Fuel_Frontend[[#This Row],[Methodology]]</f>
        <v>0</v>
      </c>
      <c r="AA21" s="229" t="e" cm="1">
        <f t="array" ref="AA21">INDEX(_xlfn.SWITCH(Fleet_Fuel_Backend[[#This Row],[Methodology]],"Tier 1",rng_RSD1,"Tier 2",rng_RSD2,"Tier 3",rng_RSD3),MATCH(_xlfn.CONCAT(Fleet_Fuel_Backend[[#This Row],[Level 1]:[Level 6]]),rng_LevelsConcat,0))</f>
        <v>#N/A</v>
      </c>
      <c r="AB21" s="220">
        <f>Fleet_Fuel_Frontend[[#This Row],[Data]]</f>
        <v>0</v>
      </c>
      <c r="AC21" s="174">
        <f>Fleet_Fuel_Frontend[[#This Row],[Units]]</f>
        <v>0</v>
      </c>
      <c r="AD21" s="220" t="e">
        <f>IF(Fleet_Fuel_Backend[[#This Row],[Units]]=Fleet_Fuel_Backend[[#This Row],[Standard units]],Fleet_Fuel_Backend[[#This Row],[Data]],Fleet_Fuel_Backend[[#This Row],[Data]]*_xlfn.XLOOKUP(_xlfn.CONCAT(Fleet_Fuel_Backend[[#This Row],[Level 1]:[Level 6]]),rng_EFConcat,rng_EFConversion))</f>
        <v>#N/A</v>
      </c>
      <c r="AE21" s="174" t="s">
        <v>316</v>
      </c>
      <c r="AF21" s="210" t="e">
        <f>_xlfn.XLOOKUP(_xlfn.CONCAT(Fleet_Fuel_Backend[[#This Row],[Level 1]:[Level 6]]),rng_EFConcat,rng_EF1)*Fleet_Fuel_Backend[[#This Row],[Converted data]]/1000</f>
        <v>#N/A</v>
      </c>
      <c r="AG21" s="210" t="e">
        <f>_xlfn.XLOOKUP(_xlfn.CONCAT(Fleet_Fuel_Backend[[#This Row],[Level 1]:[Level 6]]),rng_EFConcat,rng_EF2)*Fleet_Fuel_Backend[[#This Row],[Converted data]]/1000</f>
        <v>#N/A</v>
      </c>
      <c r="AH21" s="210" t="e">
        <f>_xlfn.XLOOKUP(_xlfn.CONCAT(Fleet_Fuel_Backend[[#This Row],[Level 1]:[Level 6]]),rng_EFConcat,rng_EF3)*Fleet_Fuel_Backend[[#This Row],[Converted data]]/1000</f>
        <v>#N/A</v>
      </c>
      <c r="AI21" s="210" t="e">
        <f>_xlfn.XLOOKUP(_xlfn.CONCAT(Fleet_Fuel_Backend[[#This Row],[Level 1]:[Level 6]]),rng_EFConcat,rng_EF3WTT)*Fleet_Fuel_Backend[[#This Row],[Converted data]]/1000</f>
        <v>#N/A</v>
      </c>
      <c r="AJ21" s="210" t="e">
        <f>_xlfn.XLOOKUP(_xlfn.CONCAT(Fleet_Fuel_Backend[[#This Row],[Level 1]:[Level 6]]),rng_EFConcat,rng_EF3TD)*Fleet_Fuel_Backend[[#This Row],[Converted data]]/1000</f>
        <v>#N/A</v>
      </c>
      <c r="AK21" s="210" t="e">
        <f>_xlfn.XLOOKUP(_xlfn.CONCAT(Fleet_Fuel_Backend[[#This Row],[Level 1]:[Level 6]]),rng_EFConcat,rng_EF3WTTTD)*Fleet_Fuel_Backend[[#This Row],[Converted data]]/1000</f>
        <v>#N/A</v>
      </c>
      <c r="AL21" s="220" t="e">
        <f>SUM(Fleet_Fuel_Backend[[#This Row],[Scope 1 (tCO2e)]:[Scope 3 WTT T&amp;D (tCO2e)]])</f>
        <v>#N/A</v>
      </c>
      <c r="AM21" s="220" t="e">
        <f>Fleet_Fuel_Backend[[#This Row],[Total (tCO2e)]]*(1-Fleet_Fuel_Backend[[#This Row],[RSD]])</f>
        <v>#N/A</v>
      </c>
      <c r="AN21" s="220" t="e">
        <f>Fleet_Fuel_Backend[[#This Row],[Total (tCO2e)]]*(1+Fleet_Fuel_Backend[[#This Row],[RSD]])</f>
        <v>#N/A</v>
      </c>
      <c r="AO21" s="210" t="e">
        <f>_xlfn.XLOOKUP(_xlfn.CONCAT(Fleet_Fuel_Backend[[#This Row],[Level 1]:[Level 6]]),rng_EFConcat,rng_EFOOS)*Fleet_Fuel_Backend[[#This Row],[Converted data]]/1000</f>
        <v>#N/A</v>
      </c>
      <c r="AP21" s="174">
        <f>Fleet_Fuel_Frontend[[#This Row],[Ease of collection]]</f>
        <v>0</v>
      </c>
      <c r="AQ21" s="174">
        <f>Fleet_Fuel_Frontend[[#This Row],[Completeness]]</f>
        <v>0</v>
      </c>
      <c r="AR21" s="174">
        <f>Fleet_Fuel_Frontend[[#This Row],[Notes]]</f>
        <v>0</v>
      </c>
      <c r="AU21"/>
      <c r="AV21"/>
      <c r="AW21"/>
      <c r="AX21"/>
      <c r="AY21"/>
      <c r="AZ21"/>
      <c r="BA21"/>
      <c r="BB21"/>
      <c r="BC21"/>
      <c r="BD21"/>
      <c r="BE21"/>
      <c r="BF21"/>
      <c r="BG21"/>
      <c r="BH21"/>
      <c r="BI21"/>
      <c r="BJ21"/>
      <c r="BK21"/>
    </row>
    <row r="22" spans="2:63" ht="14.5" x14ac:dyDescent="0.35">
      <c r="B22" s="455"/>
      <c r="E22" s="346"/>
      <c r="F22" s="336"/>
      <c r="G22" s="336"/>
      <c r="H22" s="364"/>
      <c r="I22" s="336"/>
      <c r="J22" s="334"/>
      <c r="K22" s="336"/>
      <c r="L22" s="336"/>
      <c r="M22" s="336"/>
      <c r="N22" s="337"/>
      <c r="O22" s="242">
        <f t="shared" si="1"/>
        <v>6</v>
      </c>
      <c r="Q22" s="212" t="str">
        <f t="shared" si="0"/>
        <v/>
      </c>
      <c r="R22" s="174" t="s">
        <v>220</v>
      </c>
      <c r="S22" s="174" t="str">
        <f t="shared" si="2"/>
        <v/>
      </c>
      <c r="T22" s="174">
        <f>Fleet_Fuel_Frontend[[#This Row],[Type]]</f>
        <v>0</v>
      </c>
      <c r="U22" s="174">
        <f>Fleet_Fuel_Frontend[[#This Row],[Fleet type]]</f>
        <v>0</v>
      </c>
      <c r="V22" s="174">
        <f>Fleet_Fuel_Frontend[[#This Row],[Fuel]]</f>
        <v>0</v>
      </c>
      <c r="W22" s="174" t="s">
        <v>353</v>
      </c>
      <c r="X22" s="174">
        <f>Fleet_Fuel_Frontend[[#This Row],[Number of units]]</f>
        <v>0</v>
      </c>
      <c r="Y22" s="174" t="s">
        <v>339</v>
      </c>
      <c r="Z22" s="174">
        <f>Fleet_Fuel_Frontend[[#This Row],[Methodology]]</f>
        <v>0</v>
      </c>
      <c r="AA22" s="229" t="e" cm="1">
        <f t="array" ref="AA22">INDEX(_xlfn.SWITCH(Fleet_Fuel_Backend[[#This Row],[Methodology]],"Tier 1",rng_RSD1,"Tier 2",rng_RSD2,"Tier 3",rng_RSD3),MATCH(_xlfn.CONCAT(Fleet_Fuel_Backend[[#This Row],[Level 1]:[Level 6]]),rng_LevelsConcat,0))</f>
        <v>#N/A</v>
      </c>
      <c r="AB22" s="220">
        <f>Fleet_Fuel_Frontend[[#This Row],[Data]]</f>
        <v>0</v>
      </c>
      <c r="AC22" s="174">
        <f>Fleet_Fuel_Frontend[[#This Row],[Units]]</f>
        <v>0</v>
      </c>
      <c r="AD22" s="220" t="e">
        <f>IF(Fleet_Fuel_Backend[[#This Row],[Units]]=Fleet_Fuel_Backend[[#This Row],[Standard units]],Fleet_Fuel_Backend[[#This Row],[Data]],Fleet_Fuel_Backend[[#This Row],[Data]]*_xlfn.XLOOKUP(_xlfn.CONCAT(Fleet_Fuel_Backend[[#This Row],[Level 1]:[Level 6]]),rng_EFConcat,rng_EFConversion))</f>
        <v>#N/A</v>
      </c>
      <c r="AE22" s="174" t="s">
        <v>316</v>
      </c>
      <c r="AF22" s="210" t="e">
        <f>_xlfn.XLOOKUP(_xlfn.CONCAT(Fleet_Fuel_Backend[[#This Row],[Level 1]:[Level 6]]),rng_EFConcat,rng_EF1)*Fleet_Fuel_Backend[[#This Row],[Converted data]]/1000</f>
        <v>#N/A</v>
      </c>
      <c r="AG22" s="210" t="e">
        <f>_xlfn.XLOOKUP(_xlfn.CONCAT(Fleet_Fuel_Backend[[#This Row],[Level 1]:[Level 6]]),rng_EFConcat,rng_EF2)*Fleet_Fuel_Backend[[#This Row],[Converted data]]/1000</f>
        <v>#N/A</v>
      </c>
      <c r="AH22" s="210" t="e">
        <f>_xlfn.XLOOKUP(_xlfn.CONCAT(Fleet_Fuel_Backend[[#This Row],[Level 1]:[Level 6]]),rng_EFConcat,rng_EF3)*Fleet_Fuel_Backend[[#This Row],[Converted data]]/1000</f>
        <v>#N/A</v>
      </c>
      <c r="AI22" s="210" t="e">
        <f>_xlfn.XLOOKUP(_xlfn.CONCAT(Fleet_Fuel_Backend[[#This Row],[Level 1]:[Level 6]]),rng_EFConcat,rng_EF3WTT)*Fleet_Fuel_Backend[[#This Row],[Converted data]]/1000</f>
        <v>#N/A</v>
      </c>
      <c r="AJ22" s="210" t="e">
        <f>_xlfn.XLOOKUP(_xlfn.CONCAT(Fleet_Fuel_Backend[[#This Row],[Level 1]:[Level 6]]),rng_EFConcat,rng_EF3TD)*Fleet_Fuel_Backend[[#This Row],[Converted data]]/1000</f>
        <v>#N/A</v>
      </c>
      <c r="AK22" s="210" t="e">
        <f>_xlfn.XLOOKUP(_xlfn.CONCAT(Fleet_Fuel_Backend[[#This Row],[Level 1]:[Level 6]]),rng_EFConcat,rng_EF3WTTTD)*Fleet_Fuel_Backend[[#This Row],[Converted data]]/1000</f>
        <v>#N/A</v>
      </c>
      <c r="AL22" s="220" t="e">
        <f>SUM(Fleet_Fuel_Backend[[#This Row],[Scope 1 (tCO2e)]:[Scope 3 WTT T&amp;D (tCO2e)]])</f>
        <v>#N/A</v>
      </c>
      <c r="AM22" s="220" t="e">
        <f>Fleet_Fuel_Backend[[#This Row],[Total (tCO2e)]]*(1-Fleet_Fuel_Backend[[#This Row],[RSD]])</f>
        <v>#N/A</v>
      </c>
      <c r="AN22" s="220" t="e">
        <f>Fleet_Fuel_Backend[[#This Row],[Total (tCO2e)]]*(1+Fleet_Fuel_Backend[[#This Row],[RSD]])</f>
        <v>#N/A</v>
      </c>
      <c r="AO22" s="210" t="e">
        <f>_xlfn.XLOOKUP(_xlfn.CONCAT(Fleet_Fuel_Backend[[#This Row],[Level 1]:[Level 6]]),rng_EFConcat,rng_EFOOS)*Fleet_Fuel_Backend[[#This Row],[Converted data]]/1000</f>
        <v>#N/A</v>
      </c>
      <c r="AP22" s="174">
        <f>Fleet_Fuel_Frontend[[#This Row],[Ease of collection]]</f>
        <v>0</v>
      </c>
      <c r="AQ22" s="174">
        <f>Fleet_Fuel_Frontend[[#This Row],[Completeness]]</f>
        <v>0</v>
      </c>
      <c r="AR22" s="174">
        <f>Fleet_Fuel_Frontend[[#This Row],[Notes]]</f>
        <v>0</v>
      </c>
      <c r="AU22"/>
      <c r="AV22"/>
      <c r="AW22"/>
      <c r="AX22"/>
      <c r="AY22"/>
      <c r="AZ22"/>
      <c r="BA22"/>
      <c r="BB22"/>
      <c r="BC22"/>
      <c r="BD22"/>
      <c r="BE22"/>
      <c r="BF22"/>
      <c r="BG22"/>
      <c r="BH22"/>
      <c r="BI22"/>
      <c r="BJ22"/>
      <c r="BK22"/>
    </row>
    <row r="23" spans="2:63" ht="14.5" x14ac:dyDescent="0.35">
      <c r="B23" s="455"/>
      <c r="E23" s="346"/>
      <c r="F23" s="336"/>
      <c r="G23" s="336"/>
      <c r="H23" s="364"/>
      <c r="I23" s="336"/>
      <c r="J23" s="334"/>
      <c r="K23" s="336"/>
      <c r="L23" s="336"/>
      <c r="M23" s="336"/>
      <c r="N23" s="337"/>
      <c r="O23" s="242">
        <f t="shared" si="1"/>
        <v>6</v>
      </c>
      <c r="Q23" s="212" t="str">
        <f t="shared" si="0"/>
        <v/>
      </c>
      <c r="R23" s="174" t="s">
        <v>220</v>
      </c>
      <c r="S23" s="174" t="str">
        <f t="shared" si="2"/>
        <v/>
      </c>
      <c r="T23" s="174">
        <f>Fleet_Fuel_Frontend[[#This Row],[Type]]</f>
        <v>0</v>
      </c>
      <c r="U23" s="174">
        <f>Fleet_Fuel_Frontend[[#This Row],[Fleet type]]</f>
        <v>0</v>
      </c>
      <c r="V23" s="174">
        <f>Fleet_Fuel_Frontend[[#This Row],[Fuel]]</f>
        <v>0</v>
      </c>
      <c r="W23" s="174" t="s">
        <v>353</v>
      </c>
      <c r="X23" s="174">
        <f>Fleet_Fuel_Frontend[[#This Row],[Number of units]]</f>
        <v>0</v>
      </c>
      <c r="Y23" s="174" t="s">
        <v>339</v>
      </c>
      <c r="Z23" s="174">
        <f>Fleet_Fuel_Frontend[[#This Row],[Methodology]]</f>
        <v>0</v>
      </c>
      <c r="AA23" s="229" t="e" cm="1">
        <f t="array" ref="AA23">INDEX(_xlfn.SWITCH(Fleet_Fuel_Backend[[#This Row],[Methodology]],"Tier 1",rng_RSD1,"Tier 2",rng_RSD2,"Tier 3",rng_RSD3),MATCH(_xlfn.CONCAT(Fleet_Fuel_Backend[[#This Row],[Level 1]:[Level 6]]),rng_LevelsConcat,0))</f>
        <v>#N/A</v>
      </c>
      <c r="AB23" s="220">
        <f>Fleet_Fuel_Frontend[[#This Row],[Data]]</f>
        <v>0</v>
      </c>
      <c r="AC23" s="174">
        <f>Fleet_Fuel_Frontend[[#This Row],[Units]]</f>
        <v>0</v>
      </c>
      <c r="AD23" s="220" t="e">
        <f>IF(Fleet_Fuel_Backend[[#This Row],[Units]]=Fleet_Fuel_Backend[[#This Row],[Standard units]],Fleet_Fuel_Backend[[#This Row],[Data]],Fleet_Fuel_Backend[[#This Row],[Data]]*_xlfn.XLOOKUP(_xlfn.CONCAT(Fleet_Fuel_Backend[[#This Row],[Level 1]:[Level 6]]),rng_EFConcat,rng_EFConversion))</f>
        <v>#N/A</v>
      </c>
      <c r="AE23" s="174" t="s">
        <v>316</v>
      </c>
      <c r="AF23" s="210" t="e">
        <f>_xlfn.XLOOKUP(_xlfn.CONCAT(Fleet_Fuel_Backend[[#This Row],[Level 1]:[Level 6]]),rng_EFConcat,rng_EF1)*Fleet_Fuel_Backend[[#This Row],[Converted data]]/1000</f>
        <v>#N/A</v>
      </c>
      <c r="AG23" s="210" t="e">
        <f>_xlfn.XLOOKUP(_xlfn.CONCAT(Fleet_Fuel_Backend[[#This Row],[Level 1]:[Level 6]]),rng_EFConcat,rng_EF2)*Fleet_Fuel_Backend[[#This Row],[Converted data]]/1000</f>
        <v>#N/A</v>
      </c>
      <c r="AH23" s="210" t="e">
        <f>_xlfn.XLOOKUP(_xlfn.CONCAT(Fleet_Fuel_Backend[[#This Row],[Level 1]:[Level 6]]),rng_EFConcat,rng_EF3)*Fleet_Fuel_Backend[[#This Row],[Converted data]]/1000</f>
        <v>#N/A</v>
      </c>
      <c r="AI23" s="210" t="e">
        <f>_xlfn.XLOOKUP(_xlfn.CONCAT(Fleet_Fuel_Backend[[#This Row],[Level 1]:[Level 6]]),rng_EFConcat,rng_EF3WTT)*Fleet_Fuel_Backend[[#This Row],[Converted data]]/1000</f>
        <v>#N/A</v>
      </c>
      <c r="AJ23" s="210" t="e">
        <f>_xlfn.XLOOKUP(_xlfn.CONCAT(Fleet_Fuel_Backend[[#This Row],[Level 1]:[Level 6]]),rng_EFConcat,rng_EF3TD)*Fleet_Fuel_Backend[[#This Row],[Converted data]]/1000</f>
        <v>#N/A</v>
      </c>
      <c r="AK23" s="210" t="e">
        <f>_xlfn.XLOOKUP(_xlfn.CONCAT(Fleet_Fuel_Backend[[#This Row],[Level 1]:[Level 6]]),rng_EFConcat,rng_EF3WTTTD)*Fleet_Fuel_Backend[[#This Row],[Converted data]]/1000</f>
        <v>#N/A</v>
      </c>
      <c r="AL23" s="220" t="e">
        <f>SUM(Fleet_Fuel_Backend[[#This Row],[Scope 1 (tCO2e)]:[Scope 3 WTT T&amp;D (tCO2e)]])</f>
        <v>#N/A</v>
      </c>
      <c r="AM23" s="220" t="e">
        <f>Fleet_Fuel_Backend[[#This Row],[Total (tCO2e)]]*(1-Fleet_Fuel_Backend[[#This Row],[RSD]])</f>
        <v>#N/A</v>
      </c>
      <c r="AN23" s="220" t="e">
        <f>Fleet_Fuel_Backend[[#This Row],[Total (tCO2e)]]*(1+Fleet_Fuel_Backend[[#This Row],[RSD]])</f>
        <v>#N/A</v>
      </c>
      <c r="AO23" s="210" t="e">
        <f>_xlfn.XLOOKUP(_xlfn.CONCAT(Fleet_Fuel_Backend[[#This Row],[Level 1]:[Level 6]]),rng_EFConcat,rng_EFOOS)*Fleet_Fuel_Backend[[#This Row],[Converted data]]/1000</f>
        <v>#N/A</v>
      </c>
      <c r="AP23" s="174">
        <f>Fleet_Fuel_Frontend[[#This Row],[Ease of collection]]</f>
        <v>0</v>
      </c>
      <c r="AQ23" s="174">
        <f>Fleet_Fuel_Frontend[[#This Row],[Completeness]]</f>
        <v>0</v>
      </c>
      <c r="AR23" s="174">
        <f>Fleet_Fuel_Frontend[[#This Row],[Notes]]</f>
        <v>0</v>
      </c>
      <c r="AU23"/>
      <c r="AV23"/>
      <c r="AW23"/>
      <c r="AX23"/>
      <c r="AY23"/>
      <c r="AZ23"/>
      <c r="BA23"/>
      <c r="BB23"/>
      <c r="BC23"/>
      <c r="BD23"/>
      <c r="BE23"/>
      <c r="BF23"/>
      <c r="BG23"/>
      <c r="BH23"/>
      <c r="BI23"/>
      <c r="BJ23"/>
      <c r="BK23"/>
    </row>
    <row r="24" spans="2:63" ht="14.5" x14ac:dyDescent="0.35">
      <c r="B24" s="455"/>
      <c r="E24" s="346"/>
      <c r="F24" s="336"/>
      <c r="G24" s="336"/>
      <c r="H24" s="364"/>
      <c r="I24" s="336"/>
      <c r="J24" s="334"/>
      <c r="K24" s="336"/>
      <c r="L24" s="336"/>
      <c r="M24" s="336"/>
      <c r="N24" s="337"/>
      <c r="O24" s="242">
        <f t="shared" si="1"/>
        <v>6</v>
      </c>
      <c r="Q24" s="212" t="str">
        <f t="shared" si="0"/>
        <v/>
      </c>
      <c r="R24" s="174" t="s">
        <v>220</v>
      </c>
      <c r="S24" s="174" t="str">
        <f t="shared" si="2"/>
        <v/>
      </c>
      <c r="T24" s="174">
        <f>Fleet_Fuel_Frontend[[#This Row],[Type]]</f>
        <v>0</v>
      </c>
      <c r="U24" s="174">
        <f>Fleet_Fuel_Frontend[[#This Row],[Fleet type]]</f>
        <v>0</v>
      </c>
      <c r="V24" s="174">
        <f>Fleet_Fuel_Frontend[[#This Row],[Fuel]]</f>
        <v>0</v>
      </c>
      <c r="W24" s="174" t="s">
        <v>353</v>
      </c>
      <c r="X24" s="174">
        <f>Fleet_Fuel_Frontend[[#This Row],[Number of units]]</f>
        <v>0</v>
      </c>
      <c r="Y24" s="174" t="s">
        <v>339</v>
      </c>
      <c r="Z24" s="174">
        <f>Fleet_Fuel_Frontend[[#This Row],[Methodology]]</f>
        <v>0</v>
      </c>
      <c r="AA24" s="229" t="e" cm="1">
        <f t="array" ref="AA24">INDEX(_xlfn.SWITCH(Fleet_Fuel_Backend[[#This Row],[Methodology]],"Tier 1",rng_RSD1,"Tier 2",rng_RSD2,"Tier 3",rng_RSD3),MATCH(_xlfn.CONCAT(Fleet_Fuel_Backend[[#This Row],[Level 1]:[Level 6]]),rng_LevelsConcat,0))</f>
        <v>#N/A</v>
      </c>
      <c r="AB24" s="220">
        <f>Fleet_Fuel_Frontend[[#This Row],[Data]]</f>
        <v>0</v>
      </c>
      <c r="AC24" s="174">
        <f>Fleet_Fuel_Frontend[[#This Row],[Units]]</f>
        <v>0</v>
      </c>
      <c r="AD24" s="220" t="e">
        <f>IF(Fleet_Fuel_Backend[[#This Row],[Units]]=Fleet_Fuel_Backend[[#This Row],[Standard units]],Fleet_Fuel_Backend[[#This Row],[Data]],Fleet_Fuel_Backend[[#This Row],[Data]]*_xlfn.XLOOKUP(_xlfn.CONCAT(Fleet_Fuel_Backend[[#This Row],[Level 1]:[Level 6]]),rng_EFConcat,rng_EFConversion))</f>
        <v>#N/A</v>
      </c>
      <c r="AE24" s="174" t="s">
        <v>316</v>
      </c>
      <c r="AF24" s="210" t="e">
        <f>_xlfn.XLOOKUP(_xlfn.CONCAT(Fleet_Fuel_Backend[[#This Row],[Level 1]:[Level 6]]),rng_EFConcat,rng_EF1)*Fleet_Fuel_Backend[[#This Row],[Converted data]]/1000</f>
        <v>#N/A</v>
      </c>
      <c r="AG24" s="210" t="e">
        <f>_xlfn.XLOOKUP(_xlfn.CONCAT(Fleet_Fuel_Backend[[#This Row],[Level 1]:[Level 6]]),rng_EFConcat,rng_EF2)*Fleet_Fuel_Backend[[#This Row],[Converted data]]/1000</f>
        <v>#N/A</v>
      </c>
      <c r="AH24" s="210" t="e">
        <f>_xlfn.XLOOKUP(_xlfn.CONCAT(Fleet_Fuel_Backend[[#This Row],[Level 1]:[Level 6]]),rng_EFConcat,rng_EF3)*Fleet_Fuel_Backend[[#This Row],[Converted data]]/1000</f>
        <v>#N/A</v>
      </c>
      <c r="AI24" s="210" t="e">
        <f>_xlfn.XLOOKUP(_xlfn.CONCAT(Fleet_Fuel_Backend[[#This Row],[Level 1]:[Level 6]]),rng_EFConcat,rng_EF3WTT)*Fleet_Fuel_Backend[[#This Row],[Converted data]]/1000</f>
        <v>#N/A</v>
      </c>
      <c r="AJ24" s="210" t="e">
        <f>_xlfn.XLOOKUP(_xlfn.CONCAT(Fleet_Fuel_Backend[[#This Row],[Level 1]:[Level 6]]),rng_EFConcat,rng_EF3TD)*Fleet_Fuel_Backend[[#This Row],[Converted data]]/1000</f>
        <v>#N/A</v>
      </c>
      <c r="AK24" s="210" t="e">
        <f>_xlfn.XLOOKUP(_xlfn.CONCAT(Fleet_Fuel_Backend[[#This Row],[Level 1]:[Level 6]]),rng_EFConcat,rng_EF3WTTTD)*Fleet_Fuel_Backend[[#This Row],[Converted data]]/1000</f>
        <v>#N/A</v>
      </c>
      <c r="AL24" s="220" t="e">
        <f>SUM(Fleet_Fuel_Backend[[#This Row],[Scope 1 (tCO2e)]:[Scope 3 WTT T&amp;D (tCO2e)]])</f>
        <v>#N/A</v>
      </c>
      <c r="AM24" s="220" t="e">
        <f>Fleet_Fuel_Backend[[#This Row],[Total (tCO2e)]]*(1-Fleet_Fuel_Backend[[#This Row],[RSD]])</f>
        <v>#N/A</v>
      </c>
      <c r="AN24" s="220" t="e">
        <f>Fleet_Fuel_Backend[[#This Row],[Total (tCO2e)]]*(1+Fleet_Fuel_Backend[[#This Row],[RSD]])</f>
        <v>#N/A</v>
      </c>
      <c r="AO24" s="210" t="e">
        <f>_xlfn.XLOOKUP(_xlfn.CONCAT(Fleet_Fuel_Backend[[#This Row],[Level 1]:[Level 6]]),rng_EFConcat,rng_EFOOS)*Fleet_Fuel_Backend[[#This Row],[Converted data]]/1000</f>
        <v>#N/A</v>
      </c>
      <c r="AP24" s="174">
        <f>Fleet_Fuel_Frontend[[#This Row],[Ease of collection]]</f>
        <v>0</v>
      </c>
      <c r="AQ24" s="174">
        <f>Fleet_Fuel_Frontend[[#This Row],[Completeness]]</f>
        <v>0</v>
      </c>
      <c r="AR24" s="174">
        <f>Fleet_Fuel_Frontend[[#This Row],[Notes]]</f>
        <v>0</v>
      </c>
      <c r="AU24"/>
      <c r="AV24"/>
      <c r="AW24"/>
      <c r="AX24"/>
      <c r="AY24"/>
      <c r="AZ24"/>
      <c r="BA24"/>
      <c r="BB24"/>
      <c r="BC24"/>
      <c r="BD24"/>
      <c r="BE24"/>
      <c r="BF24"/>
      <c r="BG24"/>
      <c r="BH24"/>
      <c r="BI24"/>
      <c r="BJ24"/>
      <c r="BK24"/>
    </row>
    <row r="25" spans="2:63" ht="14.5" x14ac:dyDescent="0.35">
      <c r="B25" s="455"/>
      <c r="E25" s="346"/>
      <c r="F25" s="336"/>
      <c r="G25" s="336"/>
      <c r="H25" s="364"/>
      <c r="I25" s="336"/>
      <c r="J25" s="334"/>
      <c r="K25" s="336"/>
      <c r="L25" s="336"/>
      <c r="M25" s="336"/>
      <c r="N25" s="337"/>
      <c r="O25" s="242">
        <f t="shared" si="1"/>
        <v>6</v>
      </c>
      <c r="Q25" s="212" t="str">
        <f t="shared" si="0"/>
        <v/>
      </c>
      <c r="R25" s="174" t="s">
        <v>220</v>
      </c>
      <c r="S25" s="174" t="str">
        <f t="shared" si="2"/>
        <v/>
      </c>
      <c r="T25" s="174">
        <f>Fleet_Fuel_Frontend[[#This Row],[Type]]</f>
        <v>0</v>
      </c>
      <c r="U25" s="174">
        <f>Fleet_Fuel_Frontend[[#This Row],[Fleet type]]</f>
        <v>0</v>
      </c>
      <c r="V25" s="174">
        <f>Fleet_Fuel_Frontend[[#This Row],[Fuel]]</f>
        <v>0</v>
      </c>
      <c r="W25" s="174" t="s">
        <v>353</v>
      </c>
      <c r="X25" s="174">
        <f>Fleet_Fuel_Frontend[[#This Row],[Number of units]]</f>
        <v>0</v>
      </c>
      <c r="Y25" s="174" t="s">
        <v>339</v>
      </c>
      <c r="Z25" s="174">
        <f>Fleet_Fuel_Frontend[[#This Row],[Methodology]]</f>
        <v>0</v>
      </c>
      <c r="AA25" s="229" t="e" cm="1">
        <f t="array" ref="AA25">INDEX(_xlfn.SWITCH(Fleet_Fuel_Backend[[#This Row],[Methodology]],"Tier 1",rng_RSD1,"Tier 2",rng_RSD2,"Tier 3",rng_RSD3),MATCH(_xlfn.CONCAT(Fleet_Fuel_Backend[[#This Row],[Level 1]:[Level 6]]),rng_LevelsConcat,0))</f>
        <v>#N/A</v>
      </c>
      <c r="AB25" s="220">
        <f>Fleet_Fuel_Frontend[[#This Row],[Data]]</f>
        <v>0</v>
      </c>
      <c r="AC25" s="174">
        <f>Fleet_Fuel_Frontend[[#This Row],[Units]]</f>
        <v>0</v>
      </c>
      <c r="AD25" s="220" t="e">
        <f>IF(Fleet_Fuel_Backend[[#This Row],[Units]]=Fleet_Fuel_Backend[[#This Row],[Standard units]],Fleet_Fuel_Backend[[#This Row],[Data]],Fleet_Fuel_Backend[[#This Row],[Data]]*_xlfn.XLOOKUP(_xlfn.CONCAT(Fleet_Fuel_Backend[[#This Row],[Level 1]:[Level 6]]),rng_EFConcat,rng_EFConversion))</f>
        <v>#N/A</v>
      </c>
      <c r="AE25" s="174" t="s">
        <v>316</v>
      </c>
      <c r="AF25" s="210" t="e">
        <f>_xlfn.XLOOKUP(_xlfn.CONCAT(Fleet_Fuel_Backend[[#This Row],[Level 1]:[Level 6]]),rng_EFConcat,rng_EF1)*Fleet_Fuel_Backend[[#This Row],[Converted data]]/1000</f>
        <v>#N/A</v>
      </c>
      <c r="AG25" s="210" t="e">
        <f>_xlfn.XLOOKUP(_xlfn.CONCAT(Fleet_Fuel_Backend[[#This Row],[Level 1]:[Level 6]]),rng_EFConcat,rng_EF2)*Fleet_Fuel_Backend[[#This Row],[Converted data]]/1000</f>
        <v>#N/A</v>
      </c>
      <c r="AH25" s="210" t="e">
        <f>_xlfn.XLOOKUP(_xlfn.CONCAT(Fleet_Fuel_Backend[[#This Row],[Level 1]:[Level 6]]),rng_EFConcat,rng_EF3)*Fleet_Fuel_Backend[[#This Row],[Converted data]]/1000</f>
        <v>#N/A</v>
      </c>
      <c r="AI25" s="210" t="e">
        <f>_xlfn.XLOOKUP(_xlfn.CONCAT(Fleet_Fuel_Backend[[#This Row],[Level 1]:[Level 6]]),rng_EFConcat,rng_EF3WTT)*Fleet_Fuel_Backend[[#This Row],[Converted data]]/1000</f>
        <v>#N/A</v>
      </c>
      <c r="AJ25" s="210" t="e">
        <f>_xlfn.XLOOKUP(_xlfn.CONCAT(Fleet_Fuel_Backend[[#This Row],[Level 1]:[Level 6]]),rng_EFConcat,rng_EF3TD)*Fleet_Fuel_Backend[[#This Row],[Converted data]]/1000</f>
        <v>#N/A</v>
      </c>
      <c r="AK25" s="210" t="e">
        <f>_xlfn.XLOOKUP(_xlfn.CONCAT(Fleet_Fuel_Backend[[#This Row],[Level 1]:[Level 6]]),rng_EFConcat,rng_EF3WTTTD)*Fleet_Fuel_Backend[[#This Row],[Converted data]]/1000</f>
        <v>#N/A</v>
      </c>
      <c r="AL25" s="220" t="e">
        <f>SUM(Fleet_Fuel_Backend[[#This Row],[Scope 1 (tCO2e)]:[Scope 3 WTT T&amp;D (tCO2e)]])</f>
        <v>#N/A</v>
      </c>
      <c r="AM25" s="220" t="e">
        <f>Fleet_Fuel_Backend[[#This Row],[Total (tCO2e)]]*(1-Fleet_Fuel_Backend[[#This Row],[RSD]])</f>
        <v>#N/A</v>
      </c>
      <c r="AN25" s="220" t="e">
        <f>Fleet_Fuel_Backend[[#This Row],[Total (tCO2e)]]*(1+Fleet_Fuel_Backend[[#This Row],[RSD]])</f>
        <v>#N/A</v>
      </c>
      <c r="AO25" s="210" t="e">
        <f>_xlfn.XLOOKUP(_xlfn.CONCAT(Fleet_Fuel_Backend[[#This Row],[Level 1]:[Level 6]]),rng_EFConcat,rng_EFOOS)*Fleet_Fuel_Backend[[#This Row],[Converted data]]/1000</f>
        <v>#N/A</v>
      </c>
      <c r="AP25" s="174">
        <f>Fleet_Fuel_Frontend[[#This Row],[Ease of collection]]</f>
        <v>0</v>
      </c>
      <c r="AQ25" s="174">
        <f>Fleet_Fuel_Frontend[[#This Row],[Completeness]]</f>
        <v>0</v>
      </c>
      <c r="AR25" s="174">
        <f>Fleet_Fuel_Frontend[[#This Row],[Notes]]</f>
        <v>0</v>
      </c>
      <c r="AU25"/>
      <c r="AV25"/>
      <c r="AW25"/>
      <c r="AX25"/>
      <c r="AY25"/>
      <c r="AZ25"/>
      <c r="BA25"/>
      <c r="BB25"/>
      <c r="BC25"/>
      <c r="BD25"/>
      <c r="BE25"/>
      <c r="BF25"/>
      <c r="BG25"/>
      <c r="BH25"/>
      <c r="BI25"/>
      <c r="BJ25"/>
      <c r="BK25"/>
    </row>
    <row r="26" spans="2:63" ht="14.5" x14ac:dyDescent="0.35">
      <c r="B26" s="455"/>
      <c r="E26" s="346"/>
      <c r="F26" s="336"/>
      <c r="G26" s="336"/>
      <c r="H26" s="364"/>
      <c r="I26" s="336"/>
      <c r="J26" s="334"/>
      <c r="K26" s="336"/>
      <c r="L26" s="336"/>
      <c r="M26" s="336"/>
      <c r="N26" s="337"/>
      <c r="O26" s="242">
        <f t="shared" si="1"/>
        <v>6</v>
      </c>
      <c r="Q26" s="212" t="str">
        <f t="shared" si="0"/>
        <v/>
      </c>
      <c r="R26" s="174" t="s">
        <v>220</v>
      </c>
      <c r="S26" s="174" t="str">
        <f t="shared" si="2"/>
        <v/>
      </c>
      <c r="T26" s="174">
        <f>Fleet_Fuel_Frontend[[#This Row],[Type]]</f>
        <v>0</v>
      </c>
      <c r="U26" s="174">
        <f>Fleet_Fuel_Frontend[[#This Row],[Fleet type]]</f>
        <v>0</v>
      </c>
      <c r="V26" s="174">
        <f>Fleet_Fuel_Frontend[[#This Row],[Fuel]]</f>
        <v>0</v>
      </c>
      <c r="W26" s="174" t="s">
        <v>353</v>
      </c>
      <c r="X26" s="174">
        <f>Fleet_Fuel_Frontend[[#This Row],[Number of units]]</f>
        <v>0</v>
      </c>
      <c r="Y26" s="174" t="s">
        <v>339</v>
      </c>
      <c r="Z26" s="174">
        <f>Fleet_Fuel_Frontend[[#This Row],[Methodology]]</f>
        <v>0</v>
      </c>
      <c r="AA26" s="229" t="e" cm="1">
        <f t="array" ref="AA26">INDEX(_xlfn.SWITCH(Fleet_Fuel_Backend[[#This Row],[Methodology]],"Tier 1",rng_RSD1,"Tier 2",rng_RSD2,"Tier 3",rng_RSD3),MATCH(_xlfn.CONCAT(Fleet_Fuel_Backend[[#This Row],[Level 1]:[Level 6]]),rng_LevelsConcat,0))</f>
        <v>#N/A</v>
      </c>
      <c r="AB26" s="220">
        <f>Fleet_Fuel_Frontend[[#This Row],[Data]]</f>
        <v>0</v>
      </c>
      <c r="AC26" s="174">
        <f>Fleet_Fuel_Frontend[[#This Row],[Units]]</f>
        <v>0</v>
      </c>
      <c r="AD26" s="220" t="e">
        <f>IF(Fleet_Fuel_Backend[[#This Row],[Units]]=Fleet_Fuel_Backend[[#This Row],[Standard units]],Fleet_Fuel_Backend[[#This Row],[Data]],Fleet_Fuel_Backend[[#This Row],[Data]]*_xlfn.XLOOKUP(_xlfn.CONCAT(Fleet_Fuel_Backend[[#This Row],[Level 1]:[Level 6]]),rng_EFConcat,rng_EFConversion))</f>
        <v>#N/A</v>
      </c>
      <c r="AE26" s="174" t="s">
        <v>316</v>
      </c>
      <c r="AF26" s="210" t="e">
        <f>_xlfn.XLOOKUP(_xlfn.CONCAT(Fleet_Fuel_Backend[[#This Row],[Level 1]:[Level 6]]),rng_EFConcat,rng_EF1)*Fleet_Fuel_Backend[[#This Row],[Converted data]]/1000</f>
        <v>#N/A</v>
      </c>
      <c r="AG26" s="210" t="e">
        <f>_xlfn.XLOOKUP(_xlfn.CONCAT(Fleet_Fuel_Backend[[#This Row],[Level 1]:[Level 6]]),rng_EFConcat,rng_EF2)*Fleet_Fuel_Backend[[#This Row],[Converted data]]/1000</f>
        <v>#N/A</v>
      </c>
      <c r="AH26" s="210" t="e">
        <f>_xlfn.XLOOKUP(_xlfn.CONCAT(Fleet_Fuel_Backend[[#This Row],[Level 1]:[Level 6]]),rng_EFConcat,rng_EF3)*Fleet_Fuel_Backend[[#This Row],[Converted data]]/1000</f>
        <v>#N/A</v>
      </c>
      <c r="AI26" s="210" t="e">
        <f>_xlfn.XLOOKUP(_xlfn.CONCAT(Fleet_Fuel_Backend[[#This Row],[Level 1]:[Level 6]]),rng_EFConcat,rng_EF3WTT)*Fleet_Fuel_Backend[[#This Row],[Converted data]]/1000</f>
        <v>#N/A</v>
      </c>
      <c r="AJ26" s="210" t="e">
        <f>_xlfn.XLOOKUP(_xlfn.CONCAT(Fleet_Fuel_Backend[[#This Row],[Level 1]:[Level 6]]),rng_EFConcat,rng_EF3TD)*Fleet_Fuel_Backend[[#This Row],[Converted data]]/1000</f>
        <v>#N/A</v>
      </c>
      <c r="AK26" s="210" t="e">
        <f>_xlfn.XLOOKUP(_xlfn.CONCAT(Fleet_Fuel_Backend[[#This Row],[Level 1]:[Level 6]]),rng_EFConcat,rng_EF3WTTTD)*Fleet_Fuel_Backend[[#This Row],[Converted data]]/1000</f>
        <v>#N/A</v>
      </c>
      <c r="AL26" s="220" t="e">
        <f>SUM(Fleet_Fuel_Backend[[#This Row],[Scope 1 (tCO2e)]:[Scope 3 WTT T&amp;D (tCO2e)]])</f>
        <v>#N/A</v>
      </c>
      <c r="AM26" s="220" t="e">
        <f>Fleet_Fuel_Backend[[#This Row],[Total (tCO2e)]]*(1-Fleet_Fuel_Backend[[#This Row],[RSD]])</f>
        <v>#N/A</v>
      </c>
      <c r="AN26" s="220" t="e">
        <f>Fleet_Fuel_Backend[[#This Row],[Total (tCO2e)]]*(1+Fleet_Fuel_Backend[[#This Row],[RSD]])</f>
        <v>#N/A</v>
      </c>
      <c r="AO26" s="210" t="e">
        <f>_xlfn.XLOOKUP(_xlfn.CONCAT(Fleet_Fuel_Backend[[#This Row],[Level 1]:[Level 6]]),rng_EFConcat,rng_EFOOS)*Fleet_Fuel_Backend[[#This Row],[Converted data]]/1000</f>
        <v>#N/A</v>
      </c>
      <c r="AP26" s="174">
        <f>Fleet_Fuel_Frontend[[#This Row],[Ease of collection]]</f>
        <v>0</v>
      </c>
      <c r="AQ26" s="174">
        <f>Fleet_Fuel_Frontend[[#This Row],[Completeness]]</f>
        <v>0</v>
      </c>
      <c r="AR26" s="174">
        <f>Fleet_Fuel_Frontend[[#This Row],[Notes]]</f>
        <v>0</v>
      </c>
      <c r="AU26"/>
      <c r="AV26"/>
      <c r="AW26"/>
      <c r="AX26"/>
      <c r="AY26"/>
      <c r="AZ26"/>
      <c r="BA26"/>
      <c r="BB26"/>
      <c r="BC26"/>
      <c r="BD26"/>
      <c r="BE26"/>
      <c r="BF26"/>
      <c r="BG26"/>
      <c r="BH26"/>
      <c r="BI26"/>
      <c r="BJ26"/>
      <c r="BK26"/>
    </row>
    <row r="27" spans="2:63" ht="14.5" x14ac:dyDescent="0.35">
      <c r="B27" s="455"/>
      <c r="E27" s="346"/>
      <c r="F27" s="336"/>
      <c r="G27" s="336"/>
      <c r="H27" s="364"/>
      <c r="I27" s="336"/>
      <c r="J27" s="334"/>
      <c r="K27" s="336"/>
      <c r="L27" s="336"/>
      <c r="M27" s="336"/>
      <c r="N27" s="337"/>
      <c r="O27" s="242">
        <f t="shared" si="1"/>
        <v>6</v>
      </c>
      <c r="Q27" s="212" t="str">
        <f t="shared" si="0"/>
        <v/>
      </c>
      <c r="R27" s="174" t="s">
        <v>220</v>
      </c>
      <c r="S27" s="174" t="str">
        <f t="shared" si="2"/>
        <v/>
      </c>
      <c r="T27" s="174">
        <f>Fleet_Fuel_Frontend[[#This Row],[Type]]</f>
        <v>0</v>
      </c>
      <c r="U27" s="174">
        <f>Fleet_Fuel_Frontend[[#This Row],[Fleet type]]</f>
        <v>0</v>
      </c>
      <c r="V27" s="174">
        <f>Fleet_Fuel_Frontend[[#This Row],[Fuel]]</f>
        <v>0</v>
      </c>
      <c r="W27" s="174" t="s">
        <v>353</v>
      </c>
      <c r="X27" s="174">
        <f>Fleet_Fuel_Frontend[[#This Row],[Number of units]]</f>
        <v>0</v>
      </c>
      <c r="Y27" s="174" t="s">
        <v>339</v>
      </c>
      <c r="Z27" s="174">
        <f>Fleet_Fuel_Frontend[[#This Row],[Methodology]]</f>
        <v>0</v>
      </c>
      <c r="AA27" s="229" t="e" cm="1">
        <f t="array" ref="AA27">INDEX(_xlfn.SWITCH(Fleet_Fuel_Backend[[#This Row],[Methodology]],"Tier 1",rng_RSD1,"Tier 2",rng_RSD2,"Tier 3",rng_RSD3),MATCH(_xlfn.CONCAT(Fleet_Fuel_Backend[[#This Row],[Level 1]:[Level 6]]),rng_LevelsConcat,0))</f>
        <v>#N/A</v>
      </c>
      <c r="AB27" s="220">
        <f>Fleet_Fuel_Frontend[[#This Row],[Data]]</f>
        <v>0</v>
      </c>
      <c r="AC27" s="174">
        <f>Fleet_Fuel_Frontend[[#This Row],[Units]]</f>
        <v>0</v>
      </c>
      <c r="AD27" s="220" t="e">
        <f>IF(Fleet_Fuel_Backend[[#This Row],[Units]]=Fleet_Fuel_Backend[[#This Row],[Standard units]],Fleet_Fuel_Backend[[#This Row],[Data]],Fleet_Fuel_Backend[[#This Row],[Data]]*_xlfn.XLOOKUP(_xlfn.CONCAT(Fleet_Fuel_Backend[[#This Row],[Level 1]:[Level 6]]),rng_EFConcat,rng_EFConversion))</f>
        <v>#N/A</v>
      </c>
      <c r="AE27" s="174" t="s">
        <v>316</v>
      </c>
      <c r="AF27" s="210" t="e">
        <f>_xlfn.XLOOKUP(_xlfn.CONCAT(Fleet_Fuel_Backend[[#This Row],[Level 1]:[Level 6]]),rng_EFConcat,rng_EF1)*Fleet_Fuel_Backend[[#This Row],[Converted data]]/1000</f>
        <v>#N/A</v>
      </c>
      <c r="AG27" s="210" t="e">
        <f>_xlfn.XLOOKUP(_xlfn.CONCAT(Fleet_Fuel_Backend[[#This Row],[Level 1]:[Level 6]]),rng_EFConcat,rng_EF2)*Fleet_Fuel_Backend[[#This Row],[Converted data]]/1000</f>
        <v>#N/A</v>
      </c>
      <c r="AH27" s="210" t="e">
        <f>_xlfn.XLOOKUP(_xlfn.CONCAT(Fleet_Fuel_Backend[[#This Row],[Level 1]:[Level 6]]),rng_EFConcat,rng_EF3)*Fleet_Fuel_Backend[[#This Row],[Converted data]]/1000</f>
        <v>#N/A</v>
      </c>
      <c r="AI27" s="210" t="e">
        <f>_xlfn.XLOOKUP(_xlfn.CONCAT(Fleet_Fuel_Backend[[#This Row],[Level 1]:[Level 6]]),rng_EFConcat,rng_EF3WTT)*Fleet_Fuel_Backend[[#This Row],[Converted data]]/1000</f>
        <v>#N/A</v>
      </c>
      <c r="AJ27" s="210" t="e">
        <f>_xlfn.XLOOKUP(_xlfn.CONCAT(Fleet_Fuel_Backend[[#This Row],[Level 1]:[Level 6]]),rng_EFConcat,rng_EF3TD)*Fleet_Fuel_Backend[[#This Row],[Converted data]]/1000</f>
        <v>#N/A</v>
      </c>
      <c r="AK27" s="210" t="e">
        <f>_xlfn.XLOOKUP(_xlfn.CONCAT(Fleet_Fuel_Backend[[#This Row],[Level 1]:[Level 6]]),rng_EFConcat,rng_EF3WTTTD)*Fleet_Fuel_Backend[[#This Row],[Converted data]]/1000</f>
        <v>#N/A</v>
      </c>
      <c r="AL27" s="220" t="e">
        <f>SUM(Fleet_Fuel_Backend[[#This Row],[Scope 1 (tCO2e)]:[Scope 3 WTT T&amp;D (tCO2e)]])</f>
        <v>#N/A</v>
      </c>
      <c r="AM27" s="220" t="e">
        <f>Fleet_Fuel_Backend[[#This Row],[Total (tCO2e)]]*(1-Fleet_Fuel_Backend[[#This Row],[RSD]])</f>
        <v>#N/A</v>
      </c>
      <c r="AN27" s="220" t="e">
        <f>Fleet_Fuel_Backend[[#This Row],[Total (tCO2e)]]*(1+Fleet_Fuel_Backend[[#This Row],[RSD]])</f>
        <v>#N/A</v>
      </c>
      <c r="AO27" s="210" t="e">
        <f>_xlfn.XLOOKUP(_xlfn.CONCAT(Fleet_Fuel_Backend[[#This Row],[Level 1]:[Level 6]]),rng_EFConcat,rng_EFOOS)*Fleet_Fuel_Backend[[#This Row],[Converted data]]/1000</f>
        <v>#N/A</v>
      </c>
      <c r="AP27" s="174">
        <f>Fleet_Fuel_Frontend[[#This Row],[Ease of collection]]</f>
        <v>0</v>
      </c>
      <c r="AQ27" s="174">
        <f>Fleet_Fuel_Frontend[[#This Row],[Completeness]]</f>
        <v>0</v>
      </c>
      <c r="AR27" s="174">
        <f>Fleet_Fuel_Frontend[[#This Row],[Notes]]</f>
        <v>0</v>
      </c>
      <c r="AU27"/>
      <c r="AV27"/>
      <c r="AW27"/>
      <c r="AX27"/>
      <c r="AY27"/>
      <c r="AZ27"/>
      <c r="BA27"/>
      <c r="BB27"/>
      <c r="BC27"/>
      <c r="BD27"/>
      <c r="BE27"/>
      <c r="BF27"/>
      <c r="BG27"/>
      <c r="BH27"/>
      <c r="BI27"/>
      <c r="BJ27"/>
      <c r="BK27"/>
    </row>
    <row r="28" spans="2:63" ht="14.5" x14ac:dyDescent="0.35">
      <c r="B28" s="455"/>
      <c r="E28" s="346"/>
      <c r="F28" s="336"/>
      <c r="G28" s="336"/>
      <c r="H28" s="364"/>
      <c r="I28" s="336"/>
      <c r="J28" s="334"/>
      <c r="K28" s="336"/>
      <c r="L28" s="336"/>
      <c r="M28" s="336"/>
      <c r="N28" s="337"/>
      <c r="O28" s="242">
        <f t="shared" si="1"/>
        <v>6</v>
      </c>
      <c r="Q28" s="212" t="str">
        <f t="shared" si="0"/>
        <v/>
      </c>
      <c r="R28" s="174" t="s">
        <v>220</v>
      </c>
      <c r="S28" s="174" t="str">
        <f t="shared" si="2"/>
        <v/>
      </c>
      <c r="T28" s="174">
        <f>Fleet_Fuel_Frontend[[#This Row],[Type]]</f>
        <v>0</v>
      </c>
      <c r="U28" s="174">
        <f>Fleet_Fuel_Frontend[[#This Row],[Fleet type]]</f>
        <v>0</v>
      </c>
      <c r="V28" s="174">
        <f>Fleet_Fuel_Frontend[[#This Row],[Fuel]]</f>
        <v>0</v>
      </c>
      <c r="W28" s="174" t="s">
        <v>353</v>
      </c>
      <c r="X28" s="174">
        <f>Fleet_Fuel_Frontend[[#This Row],[Number of units]]</f>
        <v>0</v>
      </c>
      <c r="Y28" s="174" t="s">
        <v>339</v>
      </c>
      <c r="Z28" s="174">
        <f>Fleet_Fuel_Frontend[[#This Row],[Methodology]]</f>
        <v>0</v>
      </c>
      <c r="AA28" s="229" t="e" cm="1">
        <f t="array" ref="AA28">INDEX(_xlfn.SWITCH(Fleet_Fuel_Backend[[#This Row],[Methodology]],"Tier 1",rng_RSD1,"Tier 2",rng_RSD2,"Tier 3",rng_RSD3),MATCH(_xlfn.CONCAT(Fleet_Fuel_Backend[[#This Row],[Level 1]:[Level 6]]),rng_LevelsConcat,0))</f>
        <v>#N/A</v>
      </c>
      <c r="AB28" s="220">
        <f>Fleet_Fuel_Frontend[[#This Row],[Data]]</f>
        <v>0</v>
      </c>
      <c r="AC28" s="174">
        <f>Fleet_Fuel_Frontend[[#This Row],[Units]]</f>
        <v>0</v>
      </c>
      <c r="AD28" s="220" t="e">
        <f>IF(Fleet_Fuel_Backend[[#This Row],[Units]]=Fleet_Fuel_Backend[[#This Row],[Standard units]],Fleet_Fuel_Backend[[#This Row],[Data]],Fleet_Fuel_Backend[[#This Row],[Data]]*_xlfn.XLOOKUP(_xlfn.CONCAT(Fleet_Fuel_Backend[[#This Row],[Level 1]:[Level 6]]),rng_EFConcat,rng_EFConversion))</f>
        <v>#N/A</v>
      </c>
      <c r="AE28" s="174" t="s">
        <v>316</v>
      </c>
      <c r="AF28" s="210" t="e">
        <f>_xlfn.XLOOKUP(_xlfn.CONCAT(Fleet_Fuel_Backend[[#This Row],[Level 1]:[Level 6]]),rng_EFConcat,rng_EF1)*Fleet_Fuel_Backend[[#This Row],[Converted data]]/1000</f>
        <v>#N/A</v>
      </c>
      <c r="AG28" s="210" t="e">
        <f>_xlfn.XLOOKUP(_xlfn.CONCAT(Fleet_Fuel_Backend[[#This Row],[Level 1]:[Level 6]]),rng_EFConcat,rng_EF2)*Fleet_Fuel_Backend[[#This Row],[Converted data]]/1000</f>
        <v>#N/A</v>
      </c>
      <c r="AH28" s="210" t="e">
        <f>_xlfn.XLOOKUP(_xlfn.CONCAT(Fleet_Fuel_Backend[[#This Row],[Level 1]:[Level 6]]),rng_EFConcat,rng_EF3)*Fleet_Fuel_Backend[[#This Row],[Converted data]]/1000</f>
        <v>#N/A</v>
      </c>
      <c r="AI28" s="210" t="e">
        <f>_xlfn.XLOOKUP(_xlfn.CONCAT(Fleet_Fuel_Backend[[#This Row],[Level 1]:[Level 6]]),rng_EFConcat,rng_EF3WTT)*Fleet_Fuel_Backend[[#This Row],[Converted data]]/1000</f>
        <v>#N/A</v>
      </c>
      <c r="AJ28" s="210" t="e">
        <f>_xlfn.XLOOKUP(_xlfn.CONCAT(Fleet_Fuel_Backend[[#This Row],[Level 1]:[Level 6]]),rng_EFConcat,rng_EF3TD)*Fleet_Fuel_Backend[[#This Row],[Converted data]]/1000</f>
        <v>#N/A</v>
      </c>
      <c r="AK28" s="210" t="e">
        <f>_xlfn.XLOOKUP(_xlfn.CONCAT(Fleet_Fuel_Backend[[#This Row],[Level 1]:[Level 6]]),rng_EFConcat,rng_EF3WTTTD)*Fleet_Fuel_Backend[[#This Row],[Converted data]]/1000</f>
        <v>#N/A</v>
      </c>
      <c r="AL28" s="220" t="e">
        <f>SUM(Fleet_Fuel_Backend[[#This Row],[Scope 1 (tCO2e)]:[Scope 3 WTT T&amp;D (tCO2e)]])</f>
        <v>#N/A</v>
      </c>
      <c r="AM28" s="220" t="e">
        <f>Fleet_Fuel_Backend[[#This Row],[Total (tCO2e)]]*(1-Fleet_Fuel_Backend[[#This Row],[RSD]])</f>
        <v>#N/A</v>
      </c>
      <c r="AN28" s="220" t="e">
        <f>Fleet_Fuel_Backend[[#This Row],[Total (tCO2e)]]*(1+Fleet_Fuel_Backend[[#This Row],[RSD]])</f>
        <v>#N/A</v>
      </c>
      <c r="AO28" s="210" t="e">
        <f>_xlfn.XLOOKUP(_xlfn.CONCAT(Fleet_Fuel_Backend[[#This Row],[Level 1]:[Level 6]]),rng_EFConcat,rng_EFOOS)*Fleet_Fuel_Backend[[#This Row],[Converted data]]/1000</f>
        <v>#N/A</v>
      </c>
      <c r="AP28" s="174">
        <f>Fleet_Fuel_Frontend[[#This Row],[Ease of collection]]</f>
        <v>0</v>
      </c>
      <c r="AQ28" s="174">
        <f>Fleet_Fuel_Frontend[[#This Row],[Completeness]]</f>
        <v>0</v>
      </c>
      <c r="AR28" s="174">
        <f>Fleet_Fuel_Frontend[[#This Row],[Notes]]</f>
        <v>0</v>
      </c>
      <c r="AU28"/>
      <c r="AV28"/>
      <c r="AW28"/>
      <c r="AX28"/>
      <c r="AY28"/>
      <c r="AZ28"/>
      <c r="BA28"/>
      <c r="BB28"/>
      <c r="BC28"/>
      <c r="BD28"/>
      <c r="BE28"/>
      <c r="BF28"/>
      <c r="BG28"/>
      <c r="BH28"/>
      <c r="BI28"/>
      <c r="BJ28"/>
      <c r="BK28"/>
    </row>
    <row r="29" spans="2:63" ht="14.5" x14ac:dyDescent="0.35">
      <c r="B29" s="455"/>
      <c r="E29" s="346"/>
      <c r="F29" s="336"/>
      <c r="G29" s="336"/>
      <c r="H29" s="364"/>
      <c r="I29" s="336"/>
      <c r="J29" s="334"/>
      <c r="K29" s="336"/>
      <c r="L29" s="336"/>
      <c r="M29" s="336"/>
      <c r="N29" s="337"/>
      <c r="O29" s="242">
        <f t="shared" si="1"/>
        <v>6</v>
      </c>
      <c r="Q29" s="212" t="str">
        <f t="shared" si="0"/>
        <v/>
      </c>
      <c r="R29" s="174" t="s">
        <v>220</v>
      </c>
      <c r="S29" s="174" t="str">
        <f t="shared" si="2"/>
        <v/>
      </c>
      <c r="T29" s="174">
        <f>Fleet_Fuel_Frontend[[#This Row],[Type]]</f>
        <v>0</v>
      </c>
      <c r="U29" s="174">
        <f>Fleet_Fuel_Frontend[[#This Row],[Fleet type]]</f>
        <v>0</v>
      </c>
      <c r="V29" s="174">
        <f>Fleet_Fuel_Frontend[[#This Row],[Fuel]]</f>
        <v>0</v>
      </c>
      <c r="W29" s="174" t="s">
        <v>353</v>
      </c>
      <c r="X29" s="174">
        <f>Fleet_Fuel_Frontend[[#This Row],[Number of units]]</f>
        <v>0</v>
      </c>
      <c r="Y29" s="174" t="s">
        <v>339</v>
      </c>
      <c r="Z29" s="174">
        <f>Fleet_Fuel_Frontend[[#This Row],[Methodology]]</f>
        <v>0</v>
      </c>
      <c r="AA29" s="229" t="e" cm="1">
        <f t="array" ref="AA29">INDEX(_xlfn.SWITCH(Fleet_Fuel_Backend[[#This Row],[Methodology]],"Tier 1",rng_RSD1,"Tier 2",rng_RSD2,"Tier 3",rng_RSD3),MATCH(_xlfn.CONCAT(Fleet_Fuel_Backend[[#This Row],[Level 1]:[Level 6]]),rng_LevelsConcat,0))</f>
        <v>#N/A</v>
      </c>
      <c r="AB29" s="220">
        <f>Fleet_Fuel_Frontend[[#This Row],[Data]]</f>
        <v>0</v>
      </c>
      <c r="AC29" s="174">
        <f>Fleet_Fuel_Frontend[[#This Row],[Units]]</f>
        <v>0</v>
      </c>
      <c r="AD29" s="220" t="e">
        <f>IF(Fleet_Fuel_Backend[[#This Row],[Units]]=Fleet_Fuel_Backend[[#This Row],[Standard units]],Fleet_Fuel_Backend[[#This Row],[Data]],Fleet_Fuel_Backend[[#This Row],[Data]]*_xlfn.XLOOKUP(_xlfn.CONCAT(Fleet_Fuel_Backend[[#This Row],[Level 1]:[Level 6]]),rng_EFConcat,rng_EFConversion))</f>
        <v>#N/A</v>
      </c>
      <c r="AE29" s="174" t="s">
        <v>316</v>
      </c>
      <c r="AF29" s="210" t="e">
        <f>_xlfn.XLOOKUP(_xlfn.CONCAT(Fleet_Fuel_Backend[[#This Row],[Level 1]:[Level 6]]),rng_EFConcat,rng_EF1)*Fleet_Fuel_Backend[[#This Row],[Converted data]]/1000</f>
        <v>#N/A</v>
      </c>
      <c r="AG29" s="210" t="e">
        <f>_xlfn.XLOOKUP(_xlfn.CONCAT(Fleet_Fuel_Backend[[#This Row],[Level 1]:[Level 6]]),rng_EFConcat,rng_EF2)*Fleet_Fuel_Backend[[#This Row],[Converted data]]/1000</f>
        <v>#N/A</v>
      </c>
      <c r="AH29" s="210" t="e">
        <f>_xlfn.XLOOKUP(_xlfn.CONCAT(Fleet_Fuel_Backend[[#This Row],[Level 1]:[Level 6]]),rng_EFConcat,rng_EF3)*Fleet_Fuel_Backend[[#This Row],[Converted data]]/1000</f>
        <v>#N/A</v>
      </c>
      <c r="AI29" s="210" t="e">
        <f>_xlfn.XLOOKUP(_xlfn.CONCAT(Fleet_Fuel_Backend[[#This Row],[Level 1]:[Level 6]]),rng_EFConcat,rng_EF3WTT)*Fleet_Fuel_Backend[[#This Row],[Converted data]]/1000</f>
        <v>#N/A</v>
      </c>
      <c r="AJ29" s="210" t="e">
        <f>_xlfn.XLOOKUP(_xlfn.CONCAT(Fleet_Fuel_Backend[[#This Row],[Level 1]:[Level 6]]),rng_EFConcat,rng_EF3TD)*Fleet_Fuel_Backend[[#This Row],[Converted data]]/1000</f>
        <v>#N/A</v>
      </c>
      <c r="AK29" s="210" t="e">
        <f>_xlfn.XLOOKUP(_xlfn.CONCAT(Fleet_Fuel_Backend[[#This Row],[Level 1]:[Level 6]]),rng_EFConcat,rng_EF3WTTTD)*Fleet_Fuel_Backend[[#This Row],[Converted data]]/1000</f>
        <v>#N/A</v>
      </c>
      <c r="AL29" s="220" t="e">
        <f>SUM(Fleet_Fuel_Backend[[#This Row],[Scope 1 (tCO2e)]:[Scope 3 WTT T&amp;D (tCO2e)]])</f>
        <v>#N/A</v>
      </c>
      <c r="AM29" s="220" t="e">
        <f>Fleet_Fuel_Backend[[#This Row],[Total (tCO2e)]]*(1-Fleet_Fuel_Backend[[#This Row],[RSD]])</f>
        <v>#N/A</v>
      </c>
      <c r="AN29" s="220" t="e">
        <f>Fleet_Fuel_Backend[[#This Row],[Total (tCO2e)]]*(1+Fleet_Fuel_Backend[[#This Row],[RSD]])</f>
        <v>#N/A</v>
      </c>
      <c r="AO29" s="210" t="e">
        <f>_xlfn.XLOOKUP(_xlfn.CONCAT(Fleet_Fuel_Backend[[#This Row],[Level 1]:[Level 6]]),rng_EFConcat,rng_EFOOS)*Fleet_Fuel_Backend[[#This Row],[Converted data]]/1000</f>
        <v>#N/A</v>
      </c>
      <c r="AP29" s="174">
        <f>Fleet_Fuel_Frontend[[#This Row],[Ease of collection]]</f>
        <v>0</v>
      </c>
      <c r="AQ29" s="174">
        <f>Fleet_Fuel_Frontend[[#This Row],[Completeness]]</f>
        <v>0</v>
      </c>
      <c r="AR29" s="174">
        <f>Fleet_Fuel_Frontend[[#This Row],[Notes]]</f>
        <v>0</v>
      </c>
      <c r="AU29"/>
      <c r="AV29"/>
      <c r="AW29"/>
      <c r="AX29"/>
      <c r="AY29"/>
      <c r="AZ29"/>
      <c r="BA29"/>
      <c r="BB29"/>
      <c r="BC29"/>
      <c r="BD29"/>
      <c r="BE29"/>
      <c r="BF29"/>
      <c r="BG29"/>
      <c r="BH29"/>
      <c r="BI29"/>
      <c r="BJ29"/>
      <c r="BK29"/>
    </row>
    <row r="30" spans="2:63" ht="14.5" x14ac:dyDescent="0.35">
      <c r="B30" s="455"/>
      <c r="E30" s="346"/>
      <c r="F30" s="336"/>
      <c r="G30" s="336"/>
      <c r="H30" s="364"/>
      <c r="I30" s="336"/>
      <c r="J30" s="334"/>
      <c r="K30" s="336"/>
      <c r="L30" s="336"/>
      <c r="M30" s="336"/>
      <c r="N30" s="337"/>
      <c r="O30" s="242">
        <f t="shared" si="1"/>
        <v>6</v>
      </c>
      <c r="Q30" s="212" t="str">
        <f t="shared" si="0"/>
        <v/>
      </c>
      <c r="R30" s="174" t="s">
        <v>220</v>
      </c>
      <c r="S30" s="174" t="str">
        <f t="shared" si="2"/>
        <v/>
      </c>
      <c r="T30" s="174">
        <f>Fleet_Fuel_Frontend[[#This Row],[Type]]</f>
        <v>0</v>
      </c>
      <c r="U30" s="174">
        <f>Fleet_Fuel_Frontend[[#This Row],[Fleet type]]</f>
        <v>0</v>
      </c>
      <c r="V30" s="174">
        <f>Fleet_Fuel_Frontend[[#This Row],[Fuel]]</f>
        <v>0</v>
      </c>
      <c r="W30" s="174" t="s">
        <v>353</v>
      </c>
      <c r="X30" s="174">
        <f>Fleet_Fuel_Frontend[[#This Row],[Number of units]]</f>
        <v>0</v>
      </c>
      <c r="Y30" s="174" t="s">
        <v>339</v>
      </c>
      <c r="Z30" s="174">
        <f>Fleet_Fuel_Frontend[[#This Row],[Methodology]]</f>
        <v>0</v>
      </c>
      <c r="AA30" s="229" t="e" cm="1">
        <f t="array" ref="AA30">INDEX(_xlfn.SWITCH(Fleet_Fuel_Backend[[#This Row],[Methodology]],"Tier 1",rng_RSD1,"Tier 2",rng_RSD2,"Tier 3",rng_RSD3),MATCH(_xlfn.CONCAT(Fleet_Fuel_Backend[[#This Row],[Level 1]:[Level 6]]),rng_LevelsConcat,0))</f>
        <v>#N/A</v>
      </c>
      <c r="AB30" s="220">
        <f>Fleet_Fuel_Frontend[[#This Row],[Data]]</f>
        <v>0</v>
      </c>
      <c r="AC30" s="174">
        <f>Fleet_Fuel_Frontend[[#This Row],[Units]]</f>
        <v>0</v>
      </c>
      <c r="AD30" s="220" t="e">
        <f>IF(Fleet_Fuel_Backend[[#This Row],[Units]]=Fleet_Fuel_Backend[[#This Row],[Standard units]],Fleet_Fuel_Backend[[#This Row],[Data]],Fleet_Fuel_Backend[[#This Row],[Data]]*_xlfn.XLOOKUP(_xlfn.CONCAT(Fleet_Fuel_Backend[[#This Row],[Level 1]:[Level 6]]),rng_EFConcat,rng_EFConversion))</f>
        <v>#N/A</v>
      </c>
      <c r="AE30" s="174" t="s">
        <v>316</v>
      </c>
      <c r="AF30" s="210" t="e">
        <f>_xlfn.XLOOKUP(_xlfn.CONCAT(Fleet_Fuel_Backend[[#This Row],[Level 1]:[Level 6]]),rng_EFConcat,rng_EF1)*Fleet_Fuel_Backend[[#This Row],[Converted data]]/1000</f>
        <v>#N/A</v>
      </c>
      <c r="AG30" s="210" t="e">
        <f>_xlfn.XLOOKUP(_xlfn.CONCAT(Fleet_Fuel_Backend[[#This Row],[Level 1]:[Level 6]]),rng_EFConcat,rng_EF2)*Fleet_Fuel_Backend[[#This Row],[Converted data]]/1000</f>
        <v>#N/A</v>
      </c>
      <c r="AH30" s="210" t="e">
        <f>_xlfn.XLOOKUP(_xlfn.CONCAT(Fleet_Fuel_Backend[[#This Row],[Level 1]:[Level 6]]),rng_EFConcat,rng_EF3)*Fleet_Fuel_Backend[[#This Row],[Converted data]]/1000</f>
        <v>#N/A</v>
      </c>
      <c r="AI30" s="210" t="e">
        <f>_xlfn.XLOOKUP(_xlfn.CONCAT(Fleet_Fuel_Backend[[#This Row],[Level 1]:[Level 6]]),rng_EFConcat,rng_EF3WTT)*Fleet_Fuel_Backend[[#This Row],[Converted data]]/1000</f>
        <v>#N/A</v>
      </c>
      <c r="AJ30" s="210" t="e">
        <f>_xlfn.XLOOKUP(_xlfn.CONCAT(Fleet_Fuel_Backend[[#This Row],[Level 1]:[Level 6]]),rng_EFConcat,rng_EF3TD)*Fleet_Fuel_Backend[[#This Row],[Converted data]]/1000</f>
        <v>#N/A</v>
      </c>
      <c r="AK30" s="210" t="e">
        <f>_xlfn.XLOOKUP(_xlfn.CONCAT(Fleet_Fuel_Backend[[#This Row],[Level 1]:[Level 6]]),rng_EFConcat,rng_EF3WTTTD)*Fleet_Fuel_Backend[[#This Row],[Converted data]]/1000</f>
        <v>#N/A</v>
      </c>
      <c r="AL30" s="220" t="e">
        <f>SUM(Fleet_Fuel_Backend[[#This Row],[Scope 1 (tCO2e)]:[Scope 3 WTT T&amp;D (tCO2e)]])</f>
        <v>#N/A</v>
      </c>
      <c r="AM30" s="220" t="e">
        <f>Fleet_Fuel_Backend[[#This Row],[Total (tCO2e)]]*(1-Fleet_Fuel_Backend[[#This Row],[RSD]])</f>
        <v>#N/A</v>
      </c>
      <c r="AN30" s="220" t="e">
        <f>Fleet_Fuel_Backend[[#This Row],[Total (tCO2e)]]*(1+Fleet_Fuel_Backend[[#This Row],[RSD]])</f>
        <v>#N/A</v>
      </c>
      <c r="AO30" s="210" t="e">
        <f>_xlfn.XLOOKUP(_xlfn.CONCAT(Fleet_Fuel_Backend[[#This Row],[Level 1]:[Level 6]]),rng_EFConcat,rng_EFOOS)*Fleet_Fuel_Backend[[#This Row],[Converted data]]/1000</f>
        <v>#N/A</v>
      </c>
      <c r="AP30" s="174">
        <f>Fleet_Fuel_Frontend[[#This Row],[Ease of collection]]</f>
        <v>0</v>
      </c>
      <c r="AQ30" s="174">
        <f>Fleet_Fuel_Frontend[[#This Row],[Completeness]]</f>
        <v>0</v>
      </c>
      <c r="AR30" s="174">
        <f>Fleet_Fuel_Frontend[[#This Row],[Notes]]</f>
        <v>0</v>
      </c>
      <c r="AU30"/>
      <c r="AV30"/>
      <c r="AW30"/>
      <c r="AX30"/>
      <c r="AY30"/>
      <c r="AZ30"/>
      <c r="BA30"/>
      <c r="BB30"/>
      <c r="BC30"/>
      <c r="BD30"/>
      <c r="BE30"/>
      <c r="BF30"/>
      <c r="BG30"/>
      <c r="BH30"/>
      <c r="BI30"/>
      <c r="BJ30"/>
      <c r="BK30"/>
    </row>
    <row r="31" spans="2:63" ht="14.5" x14ac:dyDescent="0.35">
      <c r="B31" s="455"/>
      <c r="E31" s="346"/>
      <c r="F31" s="336"/>
      <c r="G31" s="336"/>
      <c r="H31" s="364"/>
      <c r="I31" s="336"/>
      <c r="J31" s="334"/>
      <c r="K31" s="336"/>
      <c r="L31" s="336"/>
      <c r="M31" s="336"/>
      <c r="N31" s="337"/>
      <c r="O31" s="242">
        <f t="shared" si="1"/>
        <v>6</v>
      </c>
      <c r="Q31" s="212" t="str">
        <f t="shared" si="0"/>
        <v/>
      </c>
      <c r="R31" s="174" t="s">
        <v>220</v>
      </c>
      <c r="S31" s="174" t="str">
        <f t="shared" si="2"/>
        <v/>
      </c>
      <c r="T31" s="174">
        <f>Fleet_Fuel_Frontend[[#This Row],[Type]]</f>
        <v>0</v>
      </c>
      <c r="U31" s="174">
        <f>Fleet_Fuel_Frontend[[#This Row],[Fleet type]]</f>
        <v>0</v>
      </c>
      <c r="V31" s="174">
        <f>Fleet_Fuel_Frontend[[#This Row],[Fuel]]</f>
        <v>0</v>
      </c>
      <c r="W31" s="174" t="s">
        <v>353</v>
      </c>
      <c r="X31" s="174">
        <f>Fleet_Fuel_Frontend[[#This Row],[Number of units]]</f>
        <v>0</v>
      </c>
      <c r="Y31" s="174" t="s">
        <v>339</v>
      </c>
      <c r="Z31" s="174">
        <f>Fleet_Fuel_Frontend[[#This Row],[Methodology]]</f>
        <v>0</v>
      </c>
      <c r="AA31" s="229" t="e" cm="1">
        <f t="array" ref="AA31">INDEX(_xlfn.SWITCH(Fleet_Fuel_Backend[[#This Row],[Methodology]],"Tier 1",rng_RSD1,"Tier 2",rng_RSD2,"Tier 3",rng_RSD3),MATCH(_xlfn.CONCAT(Fleet_Fuel_Backend[[#This Row],[Level 1]:[Level 6]]),rng_LevelsConcat,0))</f>
        <v>#N/A</v>
      </c>
      <c r="AB31" s="220">
        <f>Fleet_Fuel_Frontend[[#This Row],[Data]]</f>
        <v>0</v>
      </c>
      <c r="AC31" s="174">
        <f>Fleet_Fuel_Frontend[[#This Row],[Units]]</f>
        <v>0</v>
      </c>
      <c r="AD31" s="220" t="e">
        <f>IF(Fleet_Fuel_Backend[[#This Row],[Units]]=Fleet_Fuel_Backend[[#This Row],[Standard units]],Fleet_Fuel_Backend[[#This Row],[Data]],Fleet_Fuel_Backend[[#This Row],[Data]]*_xlfn.XLOOKUP(_xlfn.CONCAT(Fleet_Fuel_Backend[[#This Row],[Level 1]:[Level 6]]),rng_EFConcat,rng_EFConversion))</f>
        <v>#N/A</v>
      </c>
      <c r="AE31" s="174" t="s">
        <v>316</v>
      </c>
      <c r="AF31" s="210" t="e">
        <f>_xlfn.XLOOKUP(_xlfn.CONCAT(Fleet_Fuel_Backend[[#This Row],[Level 1]:[Level 6]]),rng_EFConcat,rng_EF1)*Fleet_Fuel_Backend[[#This Row],[Converted data]]/1000</f>
        <v>#N/A</v>
      </c>
      <c r="AG31" s="210" t="e">
        <f>_xlfn.XLOOKUP(_xlfn.CONCAT(Fleet_Fuel_Backend[[#This Row],[Level 1]:[Level 6]]),rng_EFConcat,rng_EF2)*Fleet_Fuel_Backend[[#This Row],[Converted data]]/1000</f>
        <v>#N/A</v>
      </c>
      <c r="AH31" s="210" t="e">
        <f>_xlfn.XLOOKUP(_xlfn.CONCAT(Fleet_Fuel_Backend[[#This Row],[Level 1]:[Level 6]]),rng_EFConcat,rng_EF3)*Fleet_Fuel_Backend[[#This Row],[Converted data]]/1000</f>
        <v>#N/A</v>
      </c>
      <c r="AI31" s="210" t="e">
        <f>_xlfn.XLOOKUP(_xlfn.CONCAT(Fleet_Fuel_Backend[[#This Row],[Level 1]:[Level 6]]),rng_EFConcat,rng_EF3WTT)*Fleet_Fuel_Backend[[#This Row],[Converted data]]/1000</f>
        <v>#N/A</v>
      </c>
      <c r="AJ31" s="210" t="e">
        <f>_xlfn.XLOOKUP(_xlfn.CONCAT(Fleet_Fuel_Backend[[#This Row],[Level 1]:[Level 6]]),rng_EFConcat,rng_EF3TD)*Fleet_Fuel_Backend[[#This Row],[Converted data]]/1000</f>
        <v>#N/A</v>
      </c>
      <c r="AK31" s="210" t="e">
        <f>_xlfn.XLOOKUP(_xlfn.CONCAT(Fleet_Fuel_Backend[[#This Row],[Level 1]:[Level 6]]),rng_EFConcat,rng_EF3WTTTD)*Fleet_Fuel_Backend[[#This Row],[Converted data]]/1000</f>
        <v>#N/A</v>
      </c>
      <c r="AL31" s="220" t="e">
        <f>SUM(Fleet_Fuel_Backend[[#This Row],[Scope 1 (tCO2e)]:[Scope 3 WTT T&amp;D (tCO2e)]])</f>
        <v>#N/A</v>
      </c>
      <c r="AM31" s="220" t="e">
        <f>Fleet_Fuel_Backend[[#This Row],[Total (tCO2e)]]*(1-Fleet_Fuel_Backend[[#This Row],[RSD]])</f>
        <v>#N/A</v>
      </c>
      <c r="AN31" s="220" t="e">
        <f>Fleet_Fuel_Backend[[#This Row],[Total (tCO2e)]]*(1+Fleet_Fuel_Backend[[#This Row],[RSD]])</f>
        <v>#N/A</v>
      </c>
      <c r="AO31" s="210" t="e">
        <f>_xlfn.XLOOKUP(_xlfn.CONCAT(Fleet_Fuel_Backend[[#This Row],[Level 1]:[Level 6]]),rng_EFConcat,rng_EFOOS)*Fleet_Fuel_Backend[[#This Row],[Converted data]]/1000</f>
        <v>#N/A</v>
      </c>
      <c r="AP31" s="174">
        <f>Fleet_Fuel_Frontend[[#This Row],[Ease of collection]]</f>
        <v>0</v>
      </c>
      <c r="AQ31" s="174">
        <f>Fleet_Fuel_Frontend[[#This Row],[Completeness]]</f>
        <v>0</v>
      </c>
      <c r="AR31" s="174">
        <f>Fleet_Fuel_Frontend[[#This Row],[Notes]]</f>
        <v>0</v>
      </c>
      <c r="AU31"/>
      <c r="AV31"/>
      <c r="AW31"/>
      <c r="AX31"/>
      <c r="AY31"/>
      <c r="AZ31"/>
      <c r="BA31"/>
      <c r="BB31"/>
      <c r="BC31"/>
      <c r="BD31"/>
      <c r="BE31"/>
      <c r="BF31"/>
      <c r="BG31"/>
      <c r="BH31"/>
      <c r="BI31"/>
      <c r="BJ31"/>
      <c r="BK31"/>
    </row>
    <row r="32" spans="2:63" ht="14.5" x14ac:dyDescent="0.35">
      <c r="B32" s="455"/>
      <c r="E32" s="346"/>
      <c r="F32" s="336"/>
      <c r="G32" s="336"/>
      <c r="H32" s="364"/>
      <c r="I32" s="336"/>
      <c r="J32" s="334"/>
      <c r="K32" s="336"/>
      <c r="L32" s="336"/>
      <c r="M32" s="336"/>
      <c r="N32" s="337"/>
      <c r="O32" s="242">
        <f t="shared" si="1"/>
        <v>6</v>
      </c>
      <c r="Q32" s="212" t="str">
        <f t="shared" si="0"/>
        <v/>
      </c>
      <c r="R32" s="174" t="s">
        <v>220</v>
      </c>
      <c r="S32" s="174" t="str">
        <f t="shared" si="2"/>
        <v/>
      </c>
      <c r="T32" s="174">
        <f>Fleet_Fuel_Frontend[[#This Row],[Type]]</f>
        <v>0</v>
      </c>
      <c r="U32" s="174">
        <f>Fleet_Fuel_Frontend[[#This Row],[Fleet type]]</f>
        <v>0</v>
      </c>
      <c r="V32" s="174">
        <f>Fleet_Fuel_Frontend[[#This Row],[Fuel]]</f>
        <v>0</v>
      </c>
      <c r="W32" s="174" t="s">
        <v>353</v>
      </c>
      <c r="X32" s="174">
        <f>Fleet_Fuel_Frontend[[#This Row],[Number of units]]</f>
        <v>0</v>
      </c>
      <c r="Y32" s="174" t="s">
        <v>339</v>
      </c>
      <c r="Z32" s="174">
        <f>Fleet_Fuel_Frontend[[#This Row],[Methodology]]</f>
        <v>0</v>
      </c>
      <c r="AA32" s="229" t="e" cm="1">
        <f t="array" ref="AA32">INDEX(_xlfn.SWITCH(Fleet_Fuel_Backend[[#This Row],[Methodology]],"Tier 1",rng_RSD1,"Tier 2",rng_RSD2,"Tier 3",rng_RSD3),MATCH(_xlfn.CONCAT(Fleet_Fuel_Backend[[#This Row],[Level 1]:[Level 6]]),rng_LevelsConcat,0))</f>
        <v>#N/A</v>
      </c>
      <c r="AB32" s="220">
        <f>Fleet_Fuel_Frontend[[#This Row],[Data]]</f>
        <v>0</v>
      </c>
      <c r="AC32" s="174">
        <f>Fleet_Fuel_Frontend[[#This Row],[Units]]</f>
        <v>0</v>
      </c>
      <c r="AD32" s="220" t="e">
        <f>IF(Fleet_Fuel_Backend[[#This Row],[Units]]=Fleet_Fuel_Backend[[#This Row],[Standard units]],Fleet_Fuel_Backend[[#This Row],[Data]],Fleet_Fuel_Backend[[#This Row],[Data]]*_xlfn.XLOOKUP(_xlfn.CONCAT(Fleet_Fuel_Backend[[#This Row],[Level 1]:[Level 6]]),rng_EFConcat,rng_EFConversion))</f>
        <v>#N/A</v>
      </c>
      <c r="AE32" s="174" t="s">
        <v>316</v>
      </c>
      <c r="AF32" s="210" t="e">
        <f>_xlfn.XLOOKUP(_xlfn.CONCAT(Fleet_Fuel_Backend[[#This Row],[Level 1]:[Level 6]]),rng_EFConcat,rng_EF1)*Fleet_Fuel_Backend[[#This Row],[Converted data]]/1000</f>
        <v>#N/A</v>
      </c>
      <c r="AG32" s="210" t="e">
        <f>_xlfn.XLOOKUP(_xlfn.CONCAT(Fleet_Fuel_Backend[[#This Row],[Level 1]:[Level 6]]),rng_EFConcat,rng_EF2)*Fleet_Fuel_Backend[[#This Row],[Converted data]]/1000</f>
        <v>#N/A</v>
      </c>
      <c r="AH32" s="210" t="e">
        <f>_xlfn.XLOOKUP(_xlfn.CONCAT(Fleet_Fuel_Backend[[#This Row],[Level 1]:[Level 6]]),rng_EFConcat,rng_EF3)*Fleet_Fuel_Backend[[#This Row],[Converted data]]/1000</f>
        <v>#N/A</v>
      </c>
      <c r="AI32" s="210" t="e">
        <f>_xlfn.XLOOKUP(_xlfn.CONCAT(Fleet_Fuel_Backend[[#This Row],[Level 1]:[Level 6]]),rng_EFConcat,rng_EF3WTT)*Fleet_Fuel_Backend[[#This Row],[Converted data]]/1000</f>
        <v>#N/A</v>
      </c>
      <c r="AJ32" s="210" t="e">
        <f>_xlfn.XLOOKUP(_xlfn.CONCAT(Fleet_Fuel_Backend[[#This Row],[Level 1]:[Level 6]]),rng_EFConcat,rng_EF3TD)*Fleet_Fuel_Backend[[#This Row],[Converted data]]/1000</f>
        <v>#N/A</v>
      </c>
      <c r="AK32" s="210" t="e">
        <f>_xlfn.XLOOKUP(_xlfn.CONCAT(Fleet_Fuel_Backend[[#This Row],[Level 1]:[Level 6]]),rng_EFConcat,rng_EF3WTTTD)*Fleet_Fuel_Backend[[#This Row],[Converted data]]/1000</f>
        <v>#N/A</v>
      </c>
      <c r="AL32" s="220" t="e">
        <f>SUM(Fleet_Fuel_Backend[[#This Row],[Scope 1 (tCO2e)]:[Scope 3 WTT T&amp;D (tCO2e)]])</f>
        <v>#N/A</v>
      </c>
      <c r="AM32" s="220" t="e">
        <f>Fleet_Fuel_Backend[[#This Row],[Total (tCO2e)]]*(1-Fleet_Fuel_Backend[[#This Row],[RSD]])</f>
        <v>#N/A</v>
      </c>
      <c r="AN32" s="220" t="e">
        <f>Fleet_Fuel_Backend[[#This Row],[Total (tCO2e)]]*(1+Fleet_Fuel_Backend[[#This Row],[RSD]])</f>
        <v>#N/A</v>
      </c>
      <c r="AO32" s="210" t="e">
        <f>_xlfn.XLOOKUP(_xlfn.CONCAT(Fleet_Fuel_Backend[[#This Row],[Level 1]:[Level 6]]),rng_EFConcat,rng_EFOOS)*Fleet_Fuel_Backend[[#This Row],[Converted data]]/1000</f>
        <v>#N/A</v>
      </c>
      <c r="AP32" s="174">
        <f>Fleet_Fuel_Frontend[[#This Row],[Ease of collection]]</f>
        <v>0</v>
      </c>
      <c r="AQ32" s="174">
        <f>Fleet_Fuel_Frontend[[#This Row],[Completeness]]</f>
        <v>0</v>
      </c>
      <c r="AR32" s="174">
        <f>Fleet_Fuel_Frontend[[#This Row],[Notes]]</f>
        <v>0</v>
      </c>
      <c r="AU32"/>
      <c r="AV32"/>
      <c r="AW32"/>
      <c r="AX32"/>
      <c r="AY32"/>
      <c r="AZ32"/>
      <c r="BA32"/>
      <c r="BB32"/>
      <c r="BC32"/>
      <c r="BD32"/>
      <c r="BE32"/>
      <c r="BF32"/>
      <c r="BG32"/>
      <c r="BH32"/>
      <c r="BI32"/>
      <c r="BJ32"/>
      <c r="BK32"/>
    </row>
    <row r="33" spans="2:63" ht="14.5" x14ac:dyDescent="0.35">
      <c r="B33" s="455"/>
      <c r="E33" s="346"/>
      <c r="F33" s="336"/>
      <c r="G33" s="336"/>
      <c r="H33" s="364"/>
      <c r="I33" s="336"/>
      <c r="J33" s="334"/>
      <c r="K33" s="336"/>
      <c r="L33" s="336"/>
      <c r="M33" s="336"/>
      <c r="N33" s="337"/>
      <c r="O33" s="242">
        <f t="shared" si="1"/>
        <v>6</v>
      </c>
      <c r="Q33" s="212" t="str">
        <f t="shared" si="0"/>
        <v/>
      </c>
      <c r="R33" s="174" t="s">
        <v>220</v>
      </c>
      <c r="S33" s="174" t="str">
        <f t="shared" si="2"/>
        <v/>
      </c>
      <c r="T33" s="174">
        <f>Fleet_Fuel_Frontend[[#This Row],[Type]]</f>
        <v>0</v>
      </c>
      <c r="U33" s="174">
        <f>Fleet_Fuel_Frontend[[#This Row],[Fleet type]]</f>
        <v>0</v>
      </c>
      <c r="V33" s="174">
        <f>Fleet_Fuel_Frontend[[#This Row],[Fuel]]</f>
        <v>0</v>
      </c>
      <c r="W33" s="174" t="s">
        <v>353</v>
      </c>
      <c r="X33" s="174">
        <f>Fleet_Fuel_Frontend[[#This Row],[Number of units]]</f>
        <v>0</v>
      </c>
      <c r="Y33" s="174" t="s">
        <v>339</v>
      </c>
      <c r="Z33" s="174">
        <f>Fleet_Fuel_Frontend[[#This Row],[Methodology]]</f>
        <v>0</v>
      </c>
      <c r="AA33" s="229" t="e" cm="1">
        <f t="array" ref="AA33">INDEX(_xlfn.SWITCH(Fleet_Fuel_Backend[[#This Row],[Methodology]],"Tier 1",rng_RSD1,"Tier 2",rng_RSD2,"Tier 3",rng_RSD3),MATCH(_xlfn.CONCAT(Fleet_Fuel_Backend[[#This Row],[Level 1]:[Level 6]]),rng_LevelsConcat,0))</f>
        <v>#N/A</v>
      </c>
      <c r="AB33" s="220">
        <f>Fleet_Fuel_Frontend[[#This Row],[Data]]</f>
        <v>0</v>
      </c>
      <c r="AC33" s="174">
        <f>Fleet_Fuel_Frontend[[#This Row],[Units]]</f>
        <v>0</v>
      </c>
      <c r="AD33" s="220" t="e">
        <f>IF(Fleet_Fuel_Backend[[#This Row],[Units]]=Fleet_Fuel_Backend[[#This Row],[Standard units]],Fleet_Fuel_Backend[[#This Row],[Data]],Fleet_Fuel_Backend[[#This Row],[Data]]*_xlfn.XLOOKUP(_xlfn.CONCAT(Fleet_Fuel_Backend[[#This Row],[Level 1]:[Level 6]]),rng_EFConcat,rng_EFConversion))</f>
        <v>#N/A</v>
      </c>
      <c r="AE33" s="174" t="s">
        <v>316</v>
      </c>
      <c r="AF33" s="210" t="e">
        <f>_xlfn.XLOOKUP(_xlfn.CONCAT(Fleet_Fuel_Backend[[#This Row],[Level 1]:[Level 6]]),rng_EFConcat,rng_EF1)*Fleet_Fuel_Backend[[#This Row],[Converted data]]/1000</f>
        <v>#N/A</v>
      </c>
      <c r="AG33" s="210" t="e">
        <f>_xlfn.XLOOKUP(_xlfn.CONCAT(Fleet_Fuel_Backend[[#This Row],[Level 1]:[Level 6]]),rng_EFConcat,rng_EF2)*Fleet_Fuel_Backend[[#This Row],[Converted data]]/1000</f>
        <v>#N/A</v>
      </c>
      <c r="AH33" s="210" t="e">
        <f>_xlfn.XLOOKUP(_xlfn.CONCAT(Fleet_Fuel_Backend[[#This Row],[Level 1]:[Level 6]]),rng_EFConcat,rng_EF3)*Fleet_Fuel_Backend[[#This Row],[Converted data]]/1000</f>
        <v>#N/A</v>
      </c>
      <c r="AI33" s="210" t="e">
        <f>_xlfn.XLOOKUP(_xlfn.CONCAT(Fleet_Fuel_Backend[[#This Row],[Level 1]:[Level 6]]),rng_EFConcat,rng_EF3WTT)*Fleet_Fuel_Backend[[#This Row],[Converted data]]/1000</f>
        <v>#N/A</v>
      </c>
      <c r="AJ33" s="210" t="e">
        <f>_xlfn.XLOOKUP(_xlfn.CONCAT(Fleet_Fuel_Backend[[#This Row],[Level 1]:[Level 6]]),rng_EFConcat,rng_EF3TD)*Fleet_Fuel_Backend[[#This Row],[Converted data]]/1000</f>
        <v>#N/A</v>
      </c>
      <c r="AK33" s="210" t="e">
        <f>_xlfn.XLOOKUP(_xlfn.CONCAT(Fleet_Fuel_Backend[[#This Row],[Level 1]:[Level 6]]),rng_EFConcat,rng_EF3WTTTD)*Fleet_Fuel_Backend[[#This Row],[Converted data]]/1000</f>
        <v>#N/A</v>
      </c>
      <c r="AL33" s="220" t="e">
        <f>SUM(Fleet_Fuel_Backend[[#This Row],[Scope 1 (tCO2e)]:[Scope 3 WTT T&amp;D (tCO2e)]])</f>
        <v>#N/A</v>
      </c>
      <c r="AM33" s="220" t="e">
        <f>Fleet_Fuel_Backend[[#This Row],[Total (tCO2e)]]*(1-Fleet_Fuel_Backend[[#This Row],[RSD]])</f>
        <v>#N/A</v>
      </c>
      <c r="AN33" s="220" t="e">
        <f>Fleet_Fuel_Backend[[#This Row],[Total (tCO2e)]]*(1+Fleet_Fuel_Backend[[#This Row],[RSD]])</f>
        <v>#N/A</v>
      </c>
      <c r="AO33" s="210" t="e">
        <f>_xlfn.XLOOKUP(_xlfn.CONCAT(Fleet_Fuel_Backend[[#This Row],[Level 1]:[Level 6]]),rng_EFConcat,rng_EFOOS)*Fleet_Fuel_Backend[[#This Row],[Converted data]]/1000</f>
        <v>#N/A</v>
      </c>
      <c r="AP33" s="174">
        <f>Fleet_Fuel_Frontend[[#This Row],[Ease of collection]]</f>
        <v>0</v>
      </c>
      <c r="AQ33" s="174">
        <f>Fleet_Fuel_Frontend[[#This Row],[Completeness]]</f>
        <v>0</v>
      </c>
      <c r="AR33" s="174">
        <f>Fleet_Fuel_Frontend[[#This Row],[Notes]]</f>
        <v>0</v>
      </c>
      <c r="AU33"/>
      <c r="AV33"/>
      <c r="AW33"/>
      <c r="AX33"/>
      <c r="AY33"/>
      <c r="AZ33"/>
      <c r="BA33"/>
      <c r="BB33"/>
      <c r="BC33"/>
      <c r="BD33"/>
      <c r="BE33"/>
      <c r="BF33"/>
      <c r="BG33"/>
      <c r="BH33"/>
      <c r="BI33"/>
      <c r="BJ33"/>
      <c r="BK33"/>
    </row>
    <row r="34" spans="2:63" ht="14.5" x14ac:dyDescent="0.35">
      <c r="B34" s="455"/>
      <c r="E34" s="346"/>
      <c r="F34" s="336"/>
      <c r="G34" s="336"/>
      <c r="H34" s="364"/>
      <c r="I34" s="336"/>
      <c r="J34" s="334"/>
      <c r="K34" s="336"/>
      <c r="L34" s="336"/>
      <c r="M34" s="336"/>
      <c r="N34" s="337"/>
      <c r="O34" s="242">
        <f t="shared" si="1"/>
        <v>6</v>
      </c>
      <c r="Q34" s="212" t="str">
        <f t="shared" si="0"/>
        <v/>
      </c>
      <c r="R34" s="174" t="s">
        <v>220</v>
      </c>
      <c r="S34" s="174" t="str">
        <f t="shared" si="2"/>
        <v/>
      </c>
      <c r="T34" s="174">
        <f>Fleet_Fuel_Frontend[[#This Row],[Type]]</f>
        <v>0</v>
      </c>
      <c r="U34" s="174">
        <f>Fleet_Fuel_Frontend[[#This Row],[Fleet type]]</f>
        <v>0</v>
      </c>
      <c r="V34" s="174">
        <f>Fleet_Fuel_Frontend[[#This Row],[Fuel]]</f>
        <v>0</v>
      </c>
      <c r="W34" s="174" t="s">
        <v>353</v>
      </c>
      <c r="X34" s="174">
        <f>Fleet_Fuel_Frontend[[#This Row],[Number of units]]</f>
        <v>0</v>
      </c>
      <c r="Y34" s="174" t="s">
        <v>339</v>
      </c>
      <c r="Z34" s="174">
        <f>Fleet_Fuel_Frontend[[#This Row],[Methodology]]</f>
        <v>0</v>
      </c>
      <c r="AA34" s="229" t="e" cm="1">
        <f t="array" ref="AA34">INDEX(_xlfn.SWITCH(Fleet_Fuel_Backend[[#This Row],[Methodology]],"Tier 1",rng_RSD1,"Tier 2",rng_RSD2,"Tier 3",rng_RSD3),MATCH(_xlfn.CONCAT(Fleet_Fuel_Backend[[#This Row],[Level 1]:[Level 6]]),rng_LevelsConcat,0))</f>
        <v>#N/A</v>
      </c>
      <c r="AB34" s="220">
        <f>Fleet_Fuel_Frontend[[#This Row],[Data]]</f>
        <v>0</v>
      </c>
      <c r="AC34" s="174">
        <f>Fleet_Fuel_Frontend[[#This Row],[Units]]</f>
        <v>0</v>
      </c>
      <c r="AD34" s="220" t="e">
        <f>IF(Fleet_Fuel_Backend[[#This Row],[Units]]=Fleet_Fuel_Backend[[#This Row],[Standard units]],Fleet_Fuel_Backend[[#This Row],[Data]],Fleet_Fuel_Backend[[#This Row],[Data]]*_xlfn.XLOOKUP(_xlfn.CONCAT(Fleet_Fuel_Backend[[#This Row],[Level 1]:[Level 6]]),rng_EFConcat,rng_EFConversion))</f>
        <v>#N/A</v>
      </c>
      <c r="AE34" s="174" t="s">
        <v>316</v>
      </c>
      <c r="AF34" s="210" t="e">
        <f>_xlfn.XLOOKUP(_xlfn.CONCAT(Fleet_Fuel_Backend[[#This Row],[Level 1]:[Level 6]]),rng_EFConcat,rng_EF1)*Fleet_Fuel_Backend[[#This Row],[Converted data]]/1000</f>
        <v>#N/A</v>
      </c>
      <c r="AG34" s="210" t="e">
        <f>_xlfn.XLOOKUP(_xlfn.CONCAT(Fleet_Fuel_Backend[[#This Row],[Level 1]:[Level 6]]),rng_EFConcat,rng_EF2)*Fleet_Fuel_Backend[[#This Row],[Converted data]]/1000</f>
        <v>#N/A</v>
      </c>
      <c r="AH34" s="210" t="e">
        <f>_xlfn.XLOOKUP(_xlfn.CONCAT(Fleet_Fuel_Backend[[#This Row],[Level 1]:[Level 6]]),rng_EFConcat,rng_EF3)*Fleet_Fuel_Backend[[#This Row],[Converted data]]/1000</f>
        <v>#N/A</v>
      </c>
      <c r="AI34" s="210" t="e">
        <f>_xlfn.XLOOKUP(_xlfn.CONCAT(Fleet_Fuel_Backend[[#This Row],[Level 1]:[Level 6]]),rng_EFConcat,rng_EF3WTT)*Fleet_Fuel_Backend[[#This Row],[Converted data]]/1000</f>
        <v>#N/A</v>
      </c>
      <c r="AJ34" s="210" t="e">
        <f>_xlfn.XLOOKUP(_xlfn.CONCAT(Fleet_Fuel_Backend[[#This Row],[Level 1]:[Level 6]]),rng_EFConcat,rng_EF3TD)*Fleet_Fuel_Backend[[#This Row],[Converted data]]/1000</f>
        <v>#N/A</v>
      </c>
      <c r="AK34" s="210" t="e">
        <f>_xlfn.XLOOKUP(_xlfn.CONCAT(Fleet_Fuel_Backend[[#This Row],[Level 1]:[Level 6]]),rng_EFConcat,rng_EF3WTTTD)*Fleet_Fuel_Backend[[#This Row],[Converted data]]/1000</f>
        <v>#N/A</v>
      </c>
      <c r="AL34" s="220" t="e">
        <f>SUM(Fleet_Fuel_Backend[[#This Row],[Scope 1 (tCO2e)]:[Scope 3 WTT T&amp;D (tCO2e)]])</f>
        <v>#N/A</v>
      </c>
      <c r="AM34" s="220" t="e">
        <f>Fleet_Fuel_Backend[[#This Row],[Total (tCO2e)]]*(1-Fleet_Fuel_Backend[[#This Row],[RSD]])</f>
        <v>#N/A</v>
      </c>
      <c r="AN34" s="220" t="e">
        <f>Fleet_Fuel_Backend[[#This Row],[Total (tCO2e)]]*(1+Fleet_Fuel_Backend[[#This Row],[RSD]])</f>
        <v>#N/A</v>
      </c>
      <c r="AO34" s="210" t="e">
        <f>_xlfn.XLOOKUP(_xlfn.CONCAT(Fleet_Fuel_Backend[[#This Row],[Level 1]:[Level 6]]),rng_EFConcat,rng_EFOOS)*Fleet_Fuel_Backend[[#This Row],[Converted data]]/1000</f>
        <v>#N/A</v>
      </c>
      <c r="AP34" s="174">
        <f>Fleet_Fuel_Frontend[[#This Row],[Ease of collection]]</f>
        <v>0</v>
      </c>
      <c r="AQ34" s="174">
        <f>Fleet_Fuel_Frontend[[#This Row],[Completeness]]</f>
        <v>0</v>
      </c>
      <c r="AR34" s="174">
        <f>Fleet_Fuel_Frontend[[#This Row],[Notes]]</f>
        <v>0</v>
      </c>
      <c r="AU34"/>
      <c r="AV34"/>
      <c r="AW34"/>
      <c r="AX34"/>
      <c r="AY34"/>
      <c r="AZ34"/>
      <c r="BA34"/>
      <c r="BB34"/>
      <c r="BC34"/>
      <c r="BD34"/>
      <c r="BE34"/>
      <c r="BF34"/>
      <c r="BG34"/>
      <c r="BH34"/>
      <c r="BI34"/>
      <c r="BJ34"/>
      <c r="BK34"/>
    </row>
    <row r="35" spans="2:63" ht="14.5" x14ac:dyDescent="0.35">
      <c r="B35" s="455"/>
      <c r="E35" s="346"/>
      <c r="F35" s="336"/>
      <c r="G35" s="336"/>
      <c r="H35" s="365"/>
      <c r="I35" s="338"/>
      <c r="J35" s="335"/>
      <c r="K35" s="336"/>
      <c r="L35" s="338"/>
      <c r="M35" s="338"/>
      <c r="N35" s="339"/>
      <c r="O35" s="242">
        <f t="shared" si="1"/>
        <v>6</v>
      </c>
      <c r="Q35" s="214" t="str">
        <f t="shared" si="0"/>
        <v/>
      </c>
      <c r="R35" s="174" t="s">
        <v>220</v>
      </c>
      <c r="S35" s="174" t="str">
        <f t="shared" si="2"/>
        <v/>
      </c>
      <c r="T35" s="216">
        <f>Fleet_Fuel_Frontend[[#This Row],[Type]]</f>
        <v>0</v>
      </c>
      <c r="U35" s="174">
        <f>Fleet_Fuel_Frontend[[#This Row],[Fleet type]]</f>
        <v>0</v>
      </c>
      <c r="V35" s="174">
        <f>Fleet_Fuel_Frontend[[#This Row],[Fuel]]</f>
        <v>0</v>
      </c>
      <c r="W35" s="174" t="s">
        <v>353</v>
      </c>
      <c r="X35" s="174">
        <f>Fleet_Fuel_Frontend[[#This Row],[Number of units]]</f>
        <v>0</v>
      </c>
      <c r="Y35" s="174" t="s">
        <v>339</v>
      </c>
      <c r="Z35" s="174">
        <f>Fleet_Fuel_Frontend[[#This Row],[Methodology]]</f>
        <v>0</v>
      </c>
      <c r="AA35" s="229" t="e" cm="1">
        <f t="array" ref="AA35">INDEX(_xlfn.SWITCH(Fleet_Fuel_Backend[[#This Row],[Methodology]],"Tier 1",rng_RSD1,"Tier 2",rng_RSD2,"Tier 3",rng_RSD3),MATCH(_xlfn.CONCAT(Fleet_Fuel_Backend[[#This Row],[Level 1]:[Level 6]]),rng_LevelsConcat,0))</f>
        <v>#N/A</v>
      </c>
      <c r="AB35" s="220">
        <f>Fleet_Fuel_Frontend[[#This Row],[Data]]</f>
        <v>0</v>
      </c>
      <c r="AC35" s="174">
        <f>Fleet_Fuel_Frontend[[#This Row],[Units]]</f>
        <v>0</v>
      </c>
      <c r="AD35" s="220" t="e">
        <f>IF(Fleet_Fuel_Backend[[#This Row],[Units]]=Fleet_Fuel_Backend[[#This Row],[Standard units]],Fleet_Fuel_Backend[[#This Row],[Data]],Fleet_Fuel_Backend[[#This Row],[Data]]*_xlfn.XLOOKUP(_xlfn.CONCAT(Fleet_Fuel_Backend[[#This Row],[Level 1]:[Level 6]]),rng_EFConcat,rng_EFConversion))</f>
        <v>#N/A</v>
      </c>
      <c r="AE35" s="174" t="s">
        <v>316</v>
      </c>
      <c r="AF35" s="210" t="e">
        <f>_xlfn.XLOOKUP(_xlfn.CONCAT(Fleet_Fuel_Backend[[#This Row],[Level 1]:[Level 6]]),rng_EFConcat,rng_EF1)*Fleet_Fuel_Backend[[#This Row],[Converted data]]/1000</f>
        <v>#N/A</v>
      </c>
      <c r="AG35" s="210" t="e">
        <f>_xlfn.XLOOKUP(_xlfn.CONCAT(Fleet_Fuel_Backend[[#This Row],[Level 1]:[Level 6]]),rng_EFConcat,rng_EF2)*Fleet_Fuel_Backend[[#This Row],[Converted data]]/1000</f>
        <v>#N/A</v>
      </c>
      <c r="AH35" s="210" t="e">
        <f>_xlfn.XLOOKUP(_xlfn.CONCAT(Fleet_Fuel_Backend[[#This Row],[Level 1]:[Level 6]]),rng_EFConcat,rng_EF3)*Fleet_Fuel_Backend[[#This Row],[Converted data]]/1000</f>
        <v>#N/A</v>
      </c>
      <c r="AI35" s="210" t="e">
        <f>_xlfn.XLOOKUP(_xlfn.CONCAT(Fleet_Fuel_Backend[[#This Row],[Level 1]:[Level 6]]),rng_EFConcat,rng_EF3WTT)*Fleet_Fuel_Backend[[#This Row],[Converted data]]/1000</f>
        <v>#N/A</v>
      </c>
      <c r="AJ35" s="210" t="e">
        <f>_xlfn.XLOOKUP(_xlfn.CONCAT(Fleet_Fuel_Backend[[#This Row],[Level 1]:[Level 6]]),rng_EFConcat,rng_EF3TD)*Fleet_Fuel_Backend[[#This Row],[Converted data]]/1000</f>
        <v>#N/A</v>
      </c>
      <c r="AK35" s="210" t="e">
        <f>_xlfn.XLOOKUP(_xlfn.CONCAT(Fleet_Fuel_Backend[[#This Row],[Level 1]:[Level 6]]),rng_EFConcat,rng_EF3WTTTD)*Fleet_Fuel_Backend[[#This Row],[Converted data]]/1000</f>
        <v>#N/A</v>
      </c>
      <c r="AL35" s="220" t="e">
        <f>SUM(Fleet_Fuel_Backend[[#This Row],[Scope 1 (tCO2e)]:[Scope 3 WTT T&amp;D (tCO2e)]])</f>
        <v>#N/A</v>
      </c>
      <c r="AM35" s="220" t="e">
        <f>Fleet_Fuel_Backend[[#This Row],[Total (tCO2e)]]*(1-Fleet_Fuel_Backend[[#This Row],[RSD]])</f>
        <v>#N/A</v>
      </c>
      <c r="AN35" s="220" t="e">
        <f>Fleet_Fuel_Backend[[#This Row],[Total (tCO2e)]]*(1+Fleet_Fuel_Backend[[#This Row],[RSD]])</f>
        <v>#N/A</v>
      </c>
      <c r="AO35" s="210" t="e">
        <f>_xlfn.XLOOKUP(_xlfn.CONCAT(Fleet_Fuel_Backend[[#This Row],[Level 1]:[Level 6]]),rng_EFConcat,rng_EFOOS)*Fleet_Fuel_Backend[[#This Row],[Converted data]]/1000</f>
        <v>#N/A</v>
      </c>
      <c r="AP35" s="174">
        <f>Fleet_Fuel_Frontend[[#This Row],[Ease of collection]]</f>
        <v>0</v>
      </c>
      <c r="AQ35" s="174">
        <f>Fleet_Fuel_Frontend[[#This Row],[Completeness]]</f>
        <v>0</v>
      </c>
      <c r="AR35" s="174">
        <f>Fleet_Fuel_Frontend[[#This Row],[Notes]]</f>
        <v>0</v>
      </c>
      <c r="AU35"/>
      <c r="AV35"/>
      <c r="AW35"/>
      <c r="AX35"/>
      <c r="AY35"/>
      <c r="AZ35"/>
      <c r="BA35"/>
      <c r="BB35"/>
      <c r="BC35"/>
      <c r="BD35"/>
      <c r="BE35"/>
      <c r="BF35"/>
      <c r="BG35"/>
      <c r="BH35"/>
      <c r="BI35"/>
      <c r="BJ35"/>
      <c r="BK35"/>
    </row>
    <row r="36" spans="2:63" ht="15" thickBot="1" x14ac:dyDescent="0.4">
      <c r="B36" s="16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c r="AT36"/>
      <c r="AU36"/>
      <c r="AV36"/>
      <c r="AW36"/>
      <c r="AX36"/>
      <c r="AY36"/>
      <c r="AZ36"/>
      <c r="BA36"/>
      <c r="BB36"/>
      <c r="BC36"/>
      <c r="BD36"/>
      <c r="BE36"/>
      <c r="BF36"/>
      <c r="BG36"/>
      <c r="BH36"/>
    </row>
    <row r="37" spans="2:63" ht="14.5" x14ac:dyDescent="0.35">
      <c r="B37" s="161"/>
      <c r="AR37"/>
      <c r="AS37"/>
      <c r="AT37"/>
      <c r="AU37"/>
      <c r="AV37"/>
      <c r="AW37"/>
      <c r="AX37"/>
      <c r="AY37"/>
      <c r="AZ37"/>
      <c r="BA37"/>
      <c r="BB37"/>
      <c r="BC37"/>
      <c r="BD37"/>
      <c r="BE37"/>
      <c r="BF37"/>
      <c r="BG37"/>
      <c r="BH37"/>
    </row>
    <row r="38" spans="2:63" ht="14.5" x14ac:dyDescent="0.35">
      <c r="B38" s="159" t="s">
        <v>12</v>
      </c>
      <c r="E38" s="160" t="s">
        <v>190</v>
      </c>
      <c r="AR38"/>
      <c r="AS38"/>
      <c r="AT38"/>
      <c r="AU38"/>
      <c r="AV38"/>
      <c r="AW38"/>
      <c r="AX38"/>
      <c r="AY38"/>
      <c r="AZ38"/>
      <c r="BA38"/>
      <c r="BB38"/>
      <c r="BC38"/>
      <c r="BD38"/>
      <c r="BE38"/>
      <c r="BF38"/>
      <c r="BG38"/>
      <c r="BH38"/>
    </row>
    <row r="39" spans="2:63" ht="14.5" x14ac:dyDescent="0.35">
      <c r="AR39"/>
      <c r="AS39"/>
      <c r="AT39"/>
      <c r="AU39"/>
      <c r="AV39"/>
      <c r="AW39"/>
      <c r="AX39"/>
      <c r="AY39"/>
      <c r="AZ39"/>
      <c r="BA39"/>
      <c r="BB39"/>
      <c r="BC39"/>
      <c r="BD39"/>
      <c r="BE39"/>
      <c r="BF39"/>
      <c r="BG39"/>
      <c r="BH39"/>
    </row>
    <row r="40" spans="2:63" ht="32.15" customHeight="1" x14ac:dyDescent="0.35">
      <c r="B40" s="455" t="s">
        <v>354</v>
      </c>
      <c r="E40" s="257" t="s">
        <v>348</v>
      </c>
      <c r="F40" s="258" t="s">
        <v>325</v>
      </c>
      <c r="G40" s="258" t="s">
        <v>355</v>
      </c>
      <c r="H40" s="258" t="s">
        <v>349</v>
      </c>
      <c r="I40" s="258" t="s">
        <v>287</v>
      </c>
      <c r="J40" s="258" t="s">
        <v>288</v>
      </c>
      <c r="K40" s="258" t="s">
        <v>289</v>
      </c>
      <c r="L40" s="258" t="s">
        <v>291</v>
      </c>
      <c r="M40" s="258" t="s">
        <v>292</v>
      </c>
      <c r="N40" s="259" t="s">
        <v>293</v>
      </c>
      <c r="O40" s="188">
        <f>AVERAGEIF($O$41:$O$61,"&lt;&gt;0",$O$41:$O$61)</f>
        <v>6</v>
      </c>
      <c r="Q40" s="225" t="s">
        <v>294</v>
      </c>
      <c r="R40" s="226" t="s">
        <v>295</v>
      </c>
      <c r="S40" s="226" t="s">
        <v>296</v>
      </c>
      <c r="T40" s="226" t="s">
        <v>297</v>
      </c>
      <c r="U40" s="226" t="s">
        <v>298</v>
      </c>
      <c r="V40" s="226" t="s">
        <v>299</v>
      </c>
      <c r="W40" s="226" t="s">
        <v>300</v>
      </c>
      <c r="X40" s="226" t="s">
        <v>301</v>
      </c>
      <c r="Y40" s="226" t="s">
        <v>302</v>
      </c>
      <c r="Z40" s="226" t="s">
        <v>287</v>
      </c>
      <c r="AA40" s="226" t="s">
        <v>303</v>
      </c>
      <c r="AB40" s="226" t="s">
        <v>288</v>
      </c>
      <c r="AC40" s="226" t="s">
        <v>289</v>
      </c>
      <c r="AD40" s="286" t="s">
        <v>304</v>
      </c>
      <c r="AE40" s="286" t="s">
        <v>305</v>
      </c>
      <c r="AF40" s="286" t="s">
        <v>306</v>
      </c>
      <c r="AG40" s="286" t="s">
        <v>307</v>
      </c>
      <c r="AH40" s="286" t="s">
        <v>308</v>
      </c>
      <c r="AI40" s="286" t="s">
        <v>309</v>
      </c>
      <c r="AJ40" s="286" t="s">
        <v>310</v>
      </c>
      <c r="AK40" s="286" t="s">
        <v>311</v>
      </c>
      <c r="AL40" s="286" t="s">
        <v>312</v>
      </c>
      <c r="AM40" s="286" t="s">
        <v>313</v>
      </c>
      <c r="AN40" s="286" t="s">
        <v>314</v>
      </c>
      <c r="AO40" s="286" t="s">
        <v>315</v>
      </c>
      <c r="AP40" s="226" t="s">
        <v>291</v>
      </c>
      <c r="AQ40" s="227" t="s">
        <v>292</v>
      </c>
      <c r="AR40" s="227" t="s">
        <v>293</v>
      </c>
      <c r="AU40"/>
      <c r="AV40"/>
      <c r="AW40"/>
      <c r="AX40"/>
      <c r="AY40"/>
      <c r="AZ40"/>
      <c r="BA40"/>
      <c r="BB40"/>
      <c r="BC40"/>
      <c r="BD40"/>
      <c r="BE40"/>
      <c r="BF40"/>
      <c r="BG40"/>
      <c r="BH40"/>
      <c r="BI40"/>
      <c r="BJ40"/>
      <c r="BK40"/>
    </row>
    <row r="41" spans="2:63" ht="14.5" x14ac:dyDescent="0.35">
      <c r="B41" s="455"/>
      <c r="E41" s="346"/>
      <c r="F41" s="336"/>
      <c r="G41" s="336"/>
      <c r="H41" s="364"/>
      <c r="I41" s="336"/>
      <c r="J41" s="334"/>
      <c r="K41" s="336"/>
      <c r="L41" s="336"/>
      <c r="M41" s="336"/>
      <c r="N41" s="337"/>
      <c r="O41" s="242">
        <f>ISBLANK(E41)+ISBLANK(F41)+ISBLANK(G41)+ISBLANK(I41)+ISBLANK(J41)+ISBLANK(K41)</f>
        <v>6</v>
      </c>
      <c r="Q41" s="212" t="str">
        <f t="shared" ref="Q41:Q61" si="3">IF(O41=0,SUBSTITUTE(2025&amp;TRIM(cl_org_name_select)&amp;TRIM($E$38)&amp;(ROW(O41)-ROW($O$41))," ",""),"")</f>
        <v/>
      </c>
      <c r="R41" s="174" t="s">
        <v>220</v>
      </c>
      <c r="S41" s="174" t="s">
        <v>352</v>
      </c>
      <c r="T41" s="174" t="s">
        <v>1859</v>
      </c>
      <c r="U41" s="174">
        <f>Fleet_Distance_Frontend[[#This Row],[Fleet type]]</f>
        <v>0</v>
      </c>
      <c r="V41" s="174">
        <f>Fleet_Distance_Frontend[[#This Row],[Fuel]]</f>
        <v>0</v>
      </c>
      <c r="W41" s="174">
        <f>Fleet_Distance_Frontend[[#This Row],[Size]]</f>
        <v>0</v>
      </c>
      <c r="X41" s="174">
        <f>Fleet_Distance_Frontend[[#This Row],[Number of units]]</f>
        <v>0</v>
      </c>
      <c r="Y41" s="174" t="s">
        <v>339</v>
      </c>
      <c r="Z41" s="174">
        <f>Fleet_Distance_Frontend[[#This Row],[Methodology]]</f>
        <v>0</v>
      </c>
      <c r="AA41" s="229" t="e" cm="1">
        <f t="array" ref="AA41">INDEX(_xlfn.SWITCH(Fleet_Distance_Backend[[#This Row],[Methodology]],"Tier 1",rng_RSD1,"Tier 2",rng_RSD2,"Tier 3",rng_RSD3),MATCH(_xlfn.CONCAT(Fleet_Distance_Backend[[#This Row],[Level 1]:[Level 6]]),rng_LevelsConcat,0))</f>
        <v>#N/A</v>
      </c>
      <c r="AB41" s="220">
        <f>Fleet_Distance_Frontend[[#This Row],[Data]]</f>
        <v>0</v>
      </c>
      <c r="AC41" s="174">
        <f>Fleet_Distance_Frontend[[#This Row],[Units]]</f>
        <v>0</v>
      </c>
      <c r="AD41" s="220" t="e">
        <f>IF(Fleet_Distance_Backend[[#This Row],[Units]]=Fleet_Distance_Backend[[#This Row],[Standard units]],Fleet_Distance_Backend[[#This Row],[Data]],Fleet_Distance_Backend[[#This Row],[Data]]*_xlfn.XLOOKUP(_xlfn.CONCAT(Fleet_Distance_Backend[[#This Row],[Level 1]:[Level 6]]),rng_EFConcat,rng_EFConversion))</f>
        <v>#N/A</v>
      </c>
      <c r="AE41" s="174" t="s">
        <v>356</v>
      </c>
      <c r="AF41" s="210" t="e">
        <f>_xlfn.XLOOKUP(_xlfn.CONCAT(Fleet_Distance_Backend[[#This Row],[Level 1]:[Level 6]]),rng_EFConcat,rng_EF1)*Fleet_Distance_Backend[[#This Row],[Converted data]]/1000</f>
        <v>#N/A</v>
      </c>
      <c r="AG41" s="210" t="e">
        <f>_xlfn.XLOOKUP(_xlfn.CONCAT(Fleet_Distance_Backend[[#This Row],[Level 1]:[Level 6]]),rng_EFConcat,rng_EF2)*Fleet_Distance_Backend[[#This Row],[Converted data]]/1000</f>
        <v>#N/A</v>
      </c>
      <c r="AH41" s="210" t="e">
        <f>_xlfn.XLOOKUP(_xlfn.CONCAT(Fleet_Distance_Backend[[#This Row],[Level 1]:[Level 6]]),rng_EFConcat,rng_EF3)*Fleet_Distance_Backend[[#This Row],[Converted data]]/1000</f>
        <v>#N/A</v>
      </c>
      <c r="AI41" s="210" t="e">
        <f>_xlfn.XLOOKUP(_xlfn.CONCAT(Fleet_Distance_Backend[[#This Row],[Level 1]:[Level 6]]),rng_EFConcat,rng_EF3WTT)*Fleet_Distance_Backend[[#This Row],[Converted data]]/1000</f>
        <v>#N/A</v>
      </c>
      <c r="AJ41" s="210" t="e">
        <f>_xlfn.XLOOKUP(_xlfn.CONCAT(Fleet_Distance_Backend[[#This Row],[Level 1]:[Level 6]]),rng_EFConcat,rng_EF3TD)*Fleet_Distance_Backend[[#This Row],[Converted data]]/1000</f>
        <v>#N/A</v>
      </c>
      <c r="AK41" s="210" t="e">
        <f>_xlfn.XLOOKUP(_xlfn.CONCAT(Fleet_Distance_Backend[[#This Row],[Level 1]:[Level 6]]),rng_EFConcat,rng_EF3WTTTD)*Fleet_Distance_Backend[[#This Row],[Converted data]]/1000</f>
        <v>#N/A</v>
      </c>
      <c r="AL41" s="220" t="e">
        <f>SUM(Fleet_Distance_Backend[[#This Row],[Scope 1 (tCO2e)]:[Scope 3 WTT T&amp;D (tCO2e)]])</f>
        <v>#N/A</v>
      </c>
      <c r="AM41" s="220" t="e">
        <f>Fleet_Distance_Backend[[#This Row],[Total (tCO2e)]]*(1-Fleet_Distance_Backend[[#This Row],[RSD]])</f>
        <v>#N/A</v>
      </c>
      <c r="AN41" s="220" t="e">
        <f>Fleet_Distance_Backend[[#This Row],[Total (tCO2e)]]*(1+Fleet_Distance_Backend[[#This Row],[RSD]])</f>
        <v>#N/A</v>
      </c>
      <c r="AO41" s="210" t="e">
        <f>_xlfn.XLOOKUP(_xlfn.CONCAT(Fleet_Distance_Backend[[#This Row],[Level 1]:[Level 6]]),rng_EFConcat,rng_EFOOS)*Fleet_Distance_Backend[[#This Row],[Converted data]]/1000</f>
        <v>#N/A</v>
      </c>
      <c r="AP41" s="174">
        <f>Fleet_Distance_Frontend[[#This Row],[Ease of collection]]</f>
        <v>0</v>
      </c>
      <c r="AQ41" s="174">
        <f>Fleet_Distance_Frontend[[#This Row],[Completeness]]</f>
        <v>0</v>
      </c>
      <c r="AR41" s="174">
        <f>Fleet_Distance_Frontend[[#This Row],[Notes]]</f>
        <v>0</v>
      </c>
      <c r="AU41"/>
      <c r="AV41"/>
      <c r="AW41"/>
      <c r="AX41"/>
      <c r="AY41"/>
      <c r="AZ41"/>
      <c r="BA41"/>
      <c r="BB41"/>
      <c r="BC41"/>
      <c r="BD41"/>
      <c r="BE41"/>
      <c r="BF41"/>
      <c r="BG41"/>
      <c r="BH41"/>
      <c r="BI41"/>
      <c r="BJ41"/>
      <c r="BK41"/>
    </row>
    <row r="42" spans="2:63" ht="14.5" x14ac:dyDescent="0.35">
      <c r="B42" s="455"/>
      <c r="E42" s="346"/>
      <c r="F42" s="336"/>
      <c r="G42" s="336"/>
      <c r="H42" s="364"/>
      <c r="I42" s="336"/>
      <c r="J42" s="334"/>
      <c r="K42" s="336"/>
      <c r="L42" s="336"/>
      <c r="M42" s="336"/>
      <c r="N42" s="337"/>
      <c r="O42" s="242">
        <f t="shared" ref="O42:O61" si="4">ISBLANK(E42)+ISBLANK(F42)+ISBLANK(G42)+ISBLANK(I42)+ISBLANK(J42)+ISBLANK(K42)</f>
        <v>6</v>
      </c>
      <c r="Q42" s="211" t="str">
        <f t="shared" si="3"/>
        <v/>
      </c>
      <c r="R42" s="174" t="s">
        <v>220</v>
      </c>
      <c r="S42" s="174" t="s">
        <v>352</v>
      </c>
      <c r="T42" s="174" t="s">
        <v>1859</v>
      </c>
      <c r="U42" s="174">
        <f>Fleet_Distance_Frontend[[#This Row],[Fleet type]]</f>
        <v>0</v>
      </c>
      <c r="V42" s="174">
        <f>Fleet_Distance_Frontend[[#This Row],[Fuel]]</f>
        <v>0</v>
      </c>
      <c r="W42" s="174">
        <f>Fleet_Distance_Frontend[[#This Row],[Size]]</f>
        <v>0</v>
      </c>
      <c r="X42" s="174">
        <f>Fleet_Distance_Frontend[[#This Row],[Number of units]]</f>
        <v>0</v>
      </c>
      <c r="Y42" s="174" t="s">
        <v>339</v>
      </c>
      <c r="Z42" s="174">
        <f>Fleet_Distance_Frontend[[#This Row],[Methodology]]</f>
        <v>0</v>
      </c>
      <c r="AA42" s="229" t="e" cm="1">
        <f t="array" ref="AA42">INDEX(_xlfn.SWITCH(Fleet_Distance_Backend[[#This Row],[Methodology]],"Tier 1",rng_RSD1,"Tier 2",rng_RSD2,"Tier 3",rng_RSD3),MATCH(_xlfn.CONCAT(Fleet_Distance_Backend[[#This Row],[Level 1]:[Level 6]]),rng_LevelsConcat,0))</f>
        <v>#N/A</v>
      </c>
      <c r="AB42" s="220">
        <f>Fleet_Distance_Frontend[[#This Row],[Data]]</f>
        <v>0</v>
      </c>
      <c r="AC42" s="174">
        <f>Fleet_Distance_Frontend[[#This Row],[Units]]</f>
        <v>0</v>
      </c>
      <c r="AD42" s="220" t="e">
        <f>IF(Fleet_Distance_Backend[[#This Row],[Units]]=Fleet_Distance_Backend[[#This Row],[Standard units]],Fleet_Distance_Backend[[#This Row],[Data]],Fleet_Distance_Backend[[#This Row],[Data]]*_xlfn.XLOOKUP(_xlfn.CONCAT(Fleet_Distance_Backend[[#This Row],[Level 1]:[Level 6]]),rng_EFConcat,rng_EFConversion))</f>
        <v>#N/A</v>
      </c>
      <c r="AE42" s="174" t="s">
        <v>356</v>
      </c>
      <c r="AF42" s="210" t="e">
        <f>_xlfn.XLOOKUP(_xlfn.CONCAT(Fleet_Distance_Backend[[#This Row],[Level 1]:[Level 6]]),rng_EFConcat,rng_EF1)*Fleet_Distance_Backend[[#This Row],[Converted data]]/1000</f>
        <v>#N/A</v>
      </c>
      <c r="AG42" s="210" t="e">
        <f>_xlfn.XLOOKUP(_xlfn.CONCAT(Fleet_Distance_Backend[[#This Row],[Level 1]:[Level 6]]),rng_EFConcat,rng_EF2)*Fleet_Distance_Backend[[#This Row],[Converted data]]/1000</f>
        <v>#N/A</v>
      </c>
      <c r="AH42" s="210" t="e">
        <f>_xlfn.XLOOKUP(_xlfn.CONCAT(Fleet_Distance_Backend[[#This Row],[Level 1]:[Level 6]]),rng_EFConcat,rng_EF3)*Fleet_Distance_Backend[[#This Row],[Converted data]]/1000</f>
        <v>#N/A</v>
      </c>
      <c r="AI42" s="210" t="e">
        <f>_xlfn.XLOOKUP(_xlfn.CONCAT(Fleet_Distance_Backend[[#This Row],[Level 1]:[Level 6]]),rng_EFConcat,rng_EF3WTT)*Fleet_Distance_Backend[[#This Row],[Converted data]]/1000</f>
        <v>#N/A</v>
      </c>
      <c r="AJ42" s="210" t="e">
        <f>_xlfn.XLOOKUP(_xlfn.CONCAT(Fleet_Distance_Backend[[#This Row],[Level 1]:[Level 6]]),rng_EFConcat,rng_EF3TD)*Fleet_Distance_Backend[[#This Row],[Converted data]]/1000</f>
        <v>#N/A</v>
      </c>
      <c r="AK42" s="210" t="e">
        <f>_xlfn.XLOOKUP(_xlfn.CONCAT(Fleet_Distance_Backend[[#This Row],[Level 1]:[Level 6]]),rng_EFConcat,rng_EF3WTTTD)*Fleet_Distance_Backend[[#This Row],[Converted data]]/1000</f>
        <v>#N/A</v>
      </c>
      <c r="AL42" s="220" t="e">
        <f>SUM(Fleet_Distance_Backend[[#This Row],[Scope 1 (tCO2e)]:[Scope 3 WTT T&amp;D (tCO2e)]])</f>
        <v>#N/A</v>
      </c>
      <c r="AM42" s="220" t="e">
        <f>Fleet_Distance_Backend[[#This Row],[Total (tCO2e)]]*(1-Fleet_Distance_Backend[[#This Row],[RSD]])</f>
        <v>#N/A</v>
      </c>
      <c r="AN42" s="220" t="e">
        <f>Fleet_Distance_Backend[[#This Row],[Total (tCO2e)]]*(1+Fleet_Distance_Backend[[#This Row],[RSD]])</f>
        <v>#N/A</v>
      </c>
      <c r="AO42" s="210" t="e">
        <f>_xlfn.XLOOKUP(_xlfn.CONCAT(Fleet_Distance_Backend[[#This Row],[Level 1]:[Level 6]]),rng_EFConcat,rng_EFOOS)*Fleet_Distance_Backend[[#This Row],[Converted data]]/1000</f>
        <v>#N/A</v>
      </c>
      <c r="AP42" s="174">
        <f>Fleet_Distance_Frontend[[#This Row],[Ease of collection]]</f>
        <v>0</v>
      </c>
      <c r="AQ42" s="174">
        <f>Fleet_Distance_Frontend[[#This Row],[Completeness]]</f>
        <v>0</v>
      </c>
      <c r="AR42" s="174">
        <f>Fleet_Distance_Frontend[[#This Row],[Notes]]</f>
        <v>0</v>
      </c>
      <c r="AU42"/>
      <c r="AV42"/>
      <c r="AW42"/>
      <c r="AX42"/>
      <c r="AY42"/>
      <c r="AZ42"/>
      <c r="BA42"/>
      <c r="BB42"/>
      <c r="BC42"/>
      <c r="BD42"/>
      <c r="BE42"/>
      <c r="BF42"/>
      <c r="BG42"/>
      <c r="BH42"/>
      <c r="BI42"/>
      <c r="BJ42"/>
      <c r="BK42"/>
    </row>
    <row r="43" spans="2:63" ht="14.5" x14ac:dyDescent="0.35">
      <c r="B43" s="455"/>
      <c r="E43" s="346"/>
      <c r="F43" s="336"/>
      <c r="G43" s="336"/>
      <c r="H43" s="364"/>
      <c r="I43" s="336"/>
      <c r="J43" s="334"/>
      <c r="K43" s="336"/>
      <c r="L43" s="336"/>
      <c r="M43" s="336"/>
      <c r="N43" s="337"/>
      <c r="O43" s="242">
        <f t="shared" si="4"/>
        <v>6</v>
      </c>
      <c r="Q43" s="211" t="str">
        <f t="shared" si="3"/>
        <v/>
      </c>
      <c r="R43" s="174" t="s">
        <v>220</v>
      </c>
      <c r="S43" s="174" t="s">
        <v>352</v>
      </c>
      <c r="T43" s="174" t="s">
        <v>1859</v>
      </c>
      <c r="U43" s="174">
        <f>Fleet_Distance_Frontend[[#This Row],[Fleet type]]</f>
        <v>0</v>
      </c>
      <c r="V43" s="174">
        <f>Fleet_Distance_Frontend[[#This Row],[Fuel]]</f>
        <v>0</v>
      </c>
      <c r="W43" s="174">
        <f>Fleet_Distance_Frontend[[#This Row],[Size]]</f>
        <v>0</v>
      </c>
      <c r="X43" s="174">
        <f>Fleet_Distance_Frontend[[#This Row],[Number of units]]</f>
        <v>0</v>
      </c>
      <c r="Y43" s="174" t="s">
        <v>339</v>
      </c>
      <c r="Z43" s="174">
        <f>Fleet_Distance_Frontend[[#This Row],[Methodology]]</f>
        <v>0</v>
      </c>
      <c r="AA43" s="229" t="e" cm="1">
        <f t="array" ref="AA43">INDEX(_xlfn.SWITCH(Fleet_Distance_Backend[[#This Row],[Methodology]],"Tier 1",rng_RSD1,"Tier 2",rng_RSD2,"Tier 3",rng_RSD3),MATCH(_xlfn.CONCAT(Fleet_Distance_Backend[[#This Row],[Level 1]:[Level 6]]),rng_LevelsConcat,0))</f>
        <v>#N/A</v>
      </c>
      <c r="AB43" s="220">
        <f>Fleet_Distance_Frontend[[#This Row],[Data]]</f>
        <v>0</v>
      </c>
      <c r="AC43" s="174">
        <f>Fleet_Distance_Frontend[[#This Row],[Units]]</f>
        <v>0</v>
      </c>
      <c r="AD43" s="220" t="e">
        <f>IF(Fleet_Distance_Backend[[#This Row],[Units]]=Fleet_Distance_Backend[[#This Row],[Standard units]],Fleet_Distance_Backend[[#This Row],[Data]],Fleet_Distance_Backend[[#This Row],[Data]]*_xlfn.XLOOKUP(_xlfn.CONCAT(Fleet_Distance_Backend[[#This Row],[Level 1]:[Level 6]]),rng_EFConcat,rng_EFConversion))</f>
        <v>#N/A</v>
      </c>
      <c r="AE43" s="174" t="s">
        <v>356</v>
      </c>
      <c r="AF43" s="210" t="e">
        <f>_xlfn.XLOOKUP(_xlfn.CONCAT(Fleet_Distance_Backend[[#This Row],[Level 1]:[Level 6]]),rng_EFConcat,rng_EF1)*Fleet_Distance_Backend[[#This Row],[Converted data]]/1000</f>
        <v>#N/A</v>
      </c>
      <c r="AG43" s="210" t="e">
        <f>_xlfn.XLOOKUP(_xlfn.CONCAT(Fleet_Distance_Backend[[#This Row],[Level 1]:[Level 6]]),rng_EFConcat,rng_EF2)*Fleet_Distance_Backend[[#This Row],[Converted data]]/1000</f>
        <v>#N/A</v>
      </c>
      <c r="AH43" s="210" t="e">
        <f>_xlfn.XLOOKUP(_xlfn.CONCAT(Fleet_Distance_Backend[[#This Row],[Level 1]:[Level 6]]),rng_EFConcat,rng_EF3)*Fleet_Distance_Backend[[#This Row],[Converted data]]/1000</f>
        <v>#N/A</v>
      </c>
      <c r="AI43" s="210" t="e">
        <f>_xlfn.XLOOKUP(_xlfn.CONCAT(Fleet_Distance_Backend[[#This Row],[Level 1]:[Level 6]]),rng_EFConcat,rng_EF3WTT)*Fleet_Distance_Backend[[#This Row],[Converted data]]/1000</f>
        <v>#N/A</v>
      </c>
      <c r="AJ43" s="210" t="e">
        <f>_xlfn.XLOOKUP(_xlfn.CONCAT(Fleet_Distance_Backend[[#This Row],[Level 1]:[Level 6]]),rng_EFConcat,rng_EF3TD)*Fleet_Distance_Backend[[#This Row],[Converted data]]/1000</f>
        <v>#N/A</v>
      </c>
      <c r="AK43" s="210" t="e">
        <f>_xlfn.XLOOKUP(_xlfn.CONCAT(Fleet_Distance_Backend[[#This Row],[Level 1]:[Level 6]]),rng_EFConcat,rng_EF3WTTTD)*Fleet_Distance_Backend[[#This Row],[Converted data]]/1000</f>
        <v>#N/A</v>
      </c>
      <c r="AL43" s="220" t="e">
        <f>SUM(Fleet_Distance_Backend[[#This Row],[Scope 1 (tCO2e)]:[Scope 3 WTT T&amp;D (tCO2e)]])</f>
        <v>#N/A</v>
      </c>
      <c r="AM43" s="220" t="e">
        <f>Fleet_Distance_Backend[[#This Row],[Total (tCO2e)]]*(1-Fleet_Distance_Backend[[#This Row],[RSD]])</f>
        <v>#N/A</v>
      </c>
      <c r="AN43" s="220" t="e">
        <f>Fleet_Distance_Backend[[#This Row],[Total (tCO2e)]]*(1+Fleet_Distance_Backend[[#This Row],[RSD]])</f>
        <v>#N/A</v>
      </c>
      <c r="AO43" s="210" t="e">
        <f>_xlfn.XLOOKUP(_xlfn.CONCAT(Fleet_Distance_Backend[[#This Row],[Level 1]:[Level 6]]),rng_EFConcat,rng_EFOOS)*Fleet_Distance_Backend[[#This Row],[Converted data]]/1000</f>
        <v>#N/A</v>
      </c>
      <c r="AP43" s="174">
        <f>Fleet_Distance_Frontend[[#This Row],[Ease of collection]]</f>
        <v>0</v>
      </c>
      <c r="AQ43" s="174">
        <f>Fleet_Distance_Frontend[[#This Row],[Completeness]]</f>
        <v>0</v>
      </c>
      <c r="AR43" s="174">
        <f>Fleet_Distance_Frontend[[#This Row],[Notes]]</f>
        <v>0</v>
      </c>
      <c r="AU43"/>
      <c r="AV43"/>
      <c r="AW43"/>
      <c r="AX43"/>
      <c r="AY43"/>
      <c r="AZ43"/>
      <c r="BA43"/>
      <c r="BB43"/>
      <c r="BC43"/>
      <c r="BD43"/>
      <c r="BE43"/>
      <c r="BF43"/>
      <c r="BG43"/>
      <c r="BH43"/>
      <c r="BI43"/>
      <c r="BJ43"/>
      <c r="BK43"/>
    </row>
    <row r="44" spans="2:63" ht="14.5" x14ac:dyDescent="0.35">
      <c r="B44" s="455"/>
      <c r="E44" s="346"/>
      <c r="F44" s="336"/>
      <c r="G44" s="336"/>
      <c r="H44" s="364"/>
      <c r="I44" s="336"/>
      <c r="J44" s="334"/>
      <c r="K44" s="336"/>
      <c r="L44" s="336"/>
      <c r="M44" s="336"/>
      <c r="N44" s="337"/>
      <c r="O44" s="242">
        <f t="shared" si="4"/>
        <v>6</v>
      </c>
      <c r="Q44" s="211" t="str">
        <f t="shared" si="3"/>
        <v/>
      </c>
      <c r="R44" s="174" t="s">
        <v>220</v>
      </c>
      <c r="S44" s="174" t="s">
        <v>352</v>
      </c>
      <c r="T44" s="174" t="s">
        <v>1859</v>
      </c>
      <c r="U44" s="174">
        <f>Fleet_Distance_Frontend[[#This Row],[Fleet type]]</f>
        <v>0</v>
      </c>
      <c r="V44" s="174">
        <f>Fleet_Distance_Frontend[[#This Row],[Fuel]]</f>
        <v>0</v>
      </c>
      <c r="W44" s="174">
        <f>Fleet_Distance_Frontend[[#This Row],[Size]]</f>
        <v>0</v>
      </c>
      <c r="X44" s="174">
        <f>Fleet_Distance_Frontend[[#This Row],[Number of units]]</f>
        <v>0</v>
      </c>
      <c r="Y44" s="174" t="s">
        <v>339</v>
      </c>
      <c r="Z44" s="174">
        <f>Fleet_Distance_Frontend[[#This Row],[Methodology]]</f>
        <v>0</v>
      </c>
      <c r="AA44" s="229" t="e" cm="1">
        <f t="array" ref="AA44">INDEX(_xlfn.SWITCH(Fleet_Distance_Backend[[#This Row],[Methodology]],"Tier 1",rng_RSD1,"Tier 2",rng_RSD2,"Tier 3",rng_RSD3),MATCH(_xlfn.CONCAT(Fleet_Distance_Backend[[#This Row],[Level 1]:[Level 6]]),rng_LevelsConcat,0))</f>
        <v>#N/A</v>
      </c>
      <c r="AB44" s="220">
        <f>Fleet_Distance_Frontend[[#This Row],[Data]]</f>
        <v>0</v>
      </c>
      <c r="AC44" s="174">
        <f>Fleet_Distance_Frontend[[#This Row],[Units]]</f>
        <v>0</v>
      </c>
      <c r="AD44" s="220" t="e">
        <f>IF(Fleet_Distance_Backend[[#This Row],[Units]]=Fleet_Distance_Backend[[#This Row],[Standard units]],Fleet_Distance_Backend[[#This Row],[Data]],Fleet_Distance_Backend[[#This Row],[Data]]*_xlfn.XLOOKUP(_xlfn.CONCAT(Fleet_Distance_Backend[[#This Row],[Level 1]:[Level 6]]),rng_EFConcat,rng_EFConversion))</f>
        <v>#N/A</v>
      </c>
      <c r="AE44" s="174" t="s">
        <v>356</v>
      </c>
      <c r="AF44" s="210" t="e">
        <f>_xlfn.XLOOKUP(_xlfn.CONCAT(Fleet_Distance_Backend[[#This Row],[Level 1]:[Level 6]]),rng_EFConcat,rng_EF1)*Fleet_Distance_Backend[[#This Row],[Converted data]]/1000</f>
        <v>#N/A</v>
      </c>
      <c r="AG44" s="210" t="e">
        <f>_xlfn.XLOOKUP(_xlfn.CONCAT(Fleet_Distance_Backend[[#This Row],[Level 1]:[Level 6]]),rng_EFConcat,rng_EF2)*Fleet_Distance_Backend[[#This Row],[Converted data]]/1000</f>
        <v>#N/A</v>
      </c>
      <c r="AH44" s="210" t="e">
        <f>_xlfn.XLOOKUP(_xlfn.CONCAT(Fleet_Distance_Backend[[#This Row],[Level 1]:[Level 6]]),rng_EFConcat,rng_EF3)*Fleet_Distance_Backend[[#This Row],[Converted data]]/1000</f>
        <v>#N/A</v>
      </c>
      <c r="AI44" s="210" t="e">
        <f>_xlfn.XLOOKUP(_xlfn.CONCAT(Fleet_Distance_Backend[[#This Row],[Level 1]:[Level 6]]),rng_EFConcat,rng_EF3WTT)*Fleet_Distance_Backend[[#This Row],[Converted data]]/1000</f>
        <v>#N/A</v>
      </c>
      <c r="AJ44" s="210" t="e">
        <f>_xlfn.XLOOKUP(_xlfn.CONCAT(Fleet_Distance_Backend[[#This Row],[Level 1]:[Level 6]]),rng_EFConcat,rng_EF3TD)*Fleet_Distance_Backend[[#This Row],[Converted data]]/1000</f>
        <v>#N/A</v>
      </c>
      <c r="AK44" s="210" t="e">
        <f>_xlfn.XLOOKUP(_xlfn.CONCAT(Fleet_Distance_Backend[[#This Row],[Level 1]:[Level 6]]),rng_EFConcat,rng_EF3WTTTD)*Fleet_Distance_Backend[[#This Row],[Converted data]]/1000</f>
        <v>#N/A</v>
      </c>
      <c r="AL44" s="220" t="e">
        <f>SUM(Fleet_Distance_Backend[[#This Row],[Scope 1 (tCO2e)]:[Scope 3 WTT T&amp;D (tCO2e)]])</f>
        <v>#N/A</v>
      </c>
      <c r="AM44" s="220" t="e">
        <f>Fleet_Distance_Backend[[#This Row],[Total (tCO2e)]]*(1-Fleet_Distance_Backend[[#This Row],[RSD]])</f>
        <v>#N/A</v>
      </c>
      <c r="AN44" s="220" t="e">
        <f>Fleet_Distance_Backend[[#This Row],[Total (tCO2e)]]*(1+Fleet_Distance_Backend[[#This Row],[RSD]])</f>
        <v>#N/A</v>
      </c>
      <c r="AO44" s="210" t="e">
        <f>_xlfn.XLOOKUP(_xlfn.CONCAT(Fleet_Distance_Backend[[#This Row],[Level 1]:[Level 6]]),rng_EFConcat,rng_EFOOS)*Fleet_Distance_Backend[[#This Row],[Converted data]]/1000</f>
        <v>#N/A</v>
      </c>
      <c r="AP44" s="174">
        <f>Fleet_Distance_Frontend[[#This Row],[Ease of collection]]</f>
        <v>0</v>
      </c>
      <c r="AQ44" s="174">
        <f>Fleet_Distance_Frontend[[#This Row],[Completeness]]</f>
        <v>0</v>
      </c>
      <c r="AR44" s="174">
        <f>Fleet_Distance_Frontend[[#This Row],[Notes]]</f>
        <v>0</v>
      </c>
      <c r="AU44"/>
      <c r="AV44"/>
      <c r="AW44"/>
      <c r="AX44"/>
      <c r="AY44"/>
      <c r="AZ44"/>
      <c r="BA44"/>
      <c r="BB44"/>
      <c r="BC44"/>
      <c r="BD44"/>
      <c r="BE44"/>
      <c r="BF44"/>
      <c r="BG44"/>
      <c r="BH44"/>
      <c r="BI44"/>
      <c r="BJ44"/>
      <c r="BK44"/>
    </row>
    <row r="45" spans="2:63" ht="14.5" x14ac:dyDescent="0.35">
      <c r="B45" s="455"/>
      <c r="E45" s="346"/>
      <c r="F45" s="336"/>
      <c r="G45" s="336"/>
      <c r="H45" s="364"/>
      <c r="I45" s="336"/>
      <c r="J45" s="334"/>
      <c r="K45" s="336"/>
      <c r="L45" s="336"/>
      <c r="M45" s="336"/>
      <c r="N45" s="337"/>
      <c r="O45" s="242">
        <f t="shared" si="4"/>
        <v>6</v>
      </c>
      <c r="Q45" s="211" t="str">
        <f t="shared" si="3"/>
        <v/>
      </c>
      <c r="R45" s="174" t="s">
        <v>220</v>
      </c>
      <c r="S45" s="174" t="s">
        <v>352</v>
      </c>
      <c r="T45" s="174" t="s">
        <v>1859</v>
      </c>
      <c r="U45" s="174">
        <f>Fleet_Distance_Frontend[[#This Row],[Fleet type]]</f>
        <v>0</v>
      </c>
      <c r="V45" s="174">
        <f>Fleet_Distance_Frontend[[#This Row],[Fuel]]</f>
        <v>0</v>
      </c>
      <c r="W45" s="174">
        <f>Fleet_Distance_Frontend[[#This Row],[Size]]</f>
        <v>0</v>
      </c>
      <c r="X45" s="174">
        <f>Fleet_Distance_Frontend[[#This Row],[Number of units]]</f>
        <v>0</v>
      </c>
      <c r="Y45" s="174" t="s">
        <v>339</v>
      </c>
      <c r="Z45" s="174">
        <f>Fleet_Distance_Frontend[[#This Row],[Methodology]]</f>
        <v>0</v>
      </c>
      <c r="AA45" s="229" t="e" cm="1">
        <f t="array" ref="AA45">INDEX(_xlfn.SWITCH(Fleet_Distance_Backend[[#This Row],[Methodology]],"Tier 1",rng_RSD1,"Tier 2",rng_RSD2,"Tier 3",rng_RSD3),MATCH(_xlfn.CONCAT(Fleet_Distance_Backend[[#This Row],[Level 1]:[Level 6]]),rng_LevelsConcat,0))</f>
        <v>#N/A</v>
      </c>
      <c r="AB45" s="220">
        <f>Fleet_Distance_Frontend[[#This Row],[Data]]</f>
        <v>0</v>
      </c>
      <c r="AC45" s="174">
        <f>Fleet_Distance_Frontend[[#This Row],[Units]]</f>
        <v>0</v>
      </c>
      <c r="AD45" s="220" t="e">
        <f>IF(Fleet_Distance_Backend[[#This Row],[Units]]=Fleet_Distance_Backend[[#This Row],[Standard units]],Fleet_Distance_Backend[[#This Row],[Data]],Fleet_Distance_Backend[[#This Row],[Data]]*_xlfn.XLOOKUP(_xlfn.CONCAT(Fleet_Distance_Backend[[#This Row],[Level 1]:[Level 6]]),rng_EFConcat,rng_EFConversion))</f>
        <v>#N/A</v>
      </c>
      <c r="AE45" s="174" t="s">
        <v>356</v>
      </c>
      <c r="AF45" s="210" t="e">
        <f>_xlfn.XLOOKUP(_xlfn.CONCAT(Fleet_Distance_Backend[[#This Row],[Level 1]:[Level 6]]),rng_EFConcat,rng_EF1)*Fleet_Distance_Backend[[#This Row],[Converted data]]/1000</f>
        <v>#N/A</v>
      </c>
      <c r="AG45" s="210" t="e">
        <f>_xlfn.XLOOKUP(_xlfn.CONCAT(Fleet_Distance_Backend[[#This Row],[Level 1]:[Level 6]]),rng_EFConcat,rng_EF2)*Fleet_Distance_Backend[[#This Row],[Converted data]]/1000</f>
        <v>#N/A</v>
      </c>
      <c r="AH45" s="210" t="e">
        <f>_xlfn.XLOOKUP(_xlfn.CONCAT(Fleet_Distance_Backend[[#This Row],[Level 1]:[Level 6]]),rng_EFConcat,rng_EF3)*Fleet_Distance_Backend[[#This Row],[Converted data]]/1000</f>
        <v>#N/A</v>
      </c>
      <c r="AI45" s="210" t="e">
        <f>_xlfn.XLOOKUP(_xlfn.CONCAT(Fleet_Distance_Backend[[#This Row],[Level 1]:[Level 6]]),rng_EFConcat,rng_EF3WTT)*Fleet_Distance_Backend[[#This Row],[Converted data]]/1000</f>
        <v>#N/A</v>
      </c>
      <c r="AJ45" s="210" t="e">
        <f>_xlfn.XLOOKUP(_xlfn.CONCAT(Fleet_Distance_Backend[[#This Row],[Level 1]:[Level 6]]),rng_EFConcat,rng_EF3TD)*Fleet_Distance_Backend[[#This Row],[Converted data]]/1000</f>
        <v>#N/A</v>
      </c>
      <c r="AK45" s="210" t="e">
        <f>_xlfn.XLOOKUP(_xlfn.CONCAT(Fleet_Distance_Backend[[#This Row],[Level 1]:[Level 6]]),rng_EFConcat,rng_EF3WTTTD)*Fleet_Distance_Backend[[#This Row],[Converted data]]/1000</f>
        <v>#N/A</v>
      </c>
      <c r="AL45" s="220" t="e">
        <f>SUM(Fleet_Distance_Backend[[#This Row],[Scope 1 (tCO2e)]:[Scope 3 WTT T&amp;D (tCO2e)]])</f>
        <v>#N/A</v>
      </c>
      <c r="AM45" s="220" t="e">
        <f>Fleet_Distance_Backend[[#This Row],[Total (tCO2e)]]*(1-Fleet_Distance_Backend[[#This Row],[RSD]])</f>
        <v>#N/A</v>
      </c>
      <c r="AN45" s="220" t="e">
        <f>Fleet_Distance_Backend[[#This Row],[Total (tCO2e)]]*(1+Fleet_Distance_Backend[[#This Row],[RSD]])</f>
        <v>#N/A</v>
      </c>
      <c r="AO45" s="210" t="e">
        <f>_xlfn.XLOOKUP(_xlfn.CONCAT(Fleet_Distance_Backend[[#This Row],[Level 1]:[Level 6]]),rng_EFConcat,rng_EFOOS)*Fleet_Distance_Backend[[#This Row],[Converted data]]/1000</f>
        <v>#N/A</v>
      </c>
      <c r="AP45" s="174">
        <f>Fleet_Distance_Frontend[[#This Row],[Ease of collection]]</f>
        <v>0</v>
      </c>
      <c r="AQ45" s="174">
        <f>Fleet_Distance_Frontend[[#This Row],[Completeness]]</f>
        <v>0</v>
      </c>
      <c r="AR45" s="174">
        <f>Fleet_Distance_Frontend[[#This Row],[Notes]]</f>
        <v>0</v>
      </c>
      <c r="AU45"/>
      <c r="AV45"/>
      <c r="AW45"/>
      <c r="AX45"/>
      <c r="AY45"/>
      <c r="AZ45"/>
      <c r="BA45"/>
      <c r="BB45"/>
      <c r="BC45"/>
      <c r="BD45"/>
      <c r="BE45"/>
      <c r="BF45"/>
      <c r="BG45"/>
      <c r="BH45"/>
      <c r="BI45"/>
      <c r="BJ45"/>
      <c r="BK45"/>
    </row>
    <row r="46" spans="2:63" ht="14.5" x14ac:dyDescent="0.35">
      <c r="B46" s="455"/>
      <c r="E46" s="346"/>
      <c r="F46" s="336"/>
      <c r="G46" s="336"/>
      <c r="H46" s="364"/>
      <c r="I46" s="336"/>
      <c r="J46" s="334"/>
      <c r="K46" s="336"/>
      <c r="L46" s="336"/>
      <c r="M46" s="336"/>
      <c r="N46" s="337"/>
      <c r="O46" s="242">
        <f t="shared" si="4"/>
        <v>6</v>
      </c>
      <c r="Q46" s="211" t="str">
        <f t="shared" si="3"/>
        <v/>
      </c>
      <c r="R46" s="174" t="s">
        <v>220</v>
      </c>
      <c r="S46" s="174" t="s">
        <v>352</v>
      </c>
      <c r="T46" s="174" t="s">
        <v>1859</v>
      </c>
      <c r="U46" s="174">
        <f>Fleet_Distance_Frontend[[#This Row],[Fleet type]]</f>
        <v>0</v>
      </c>
      <c r="V46" s="174">
        <f>Fleet_Distance_Frontend[[#This Row],[Fuel]]</f>
        <v>0</v>
      </c>
      <c r="W46" s="174">
        <f>Fleet_Distance_Frontend[[#This Row],[Size]]</f>
        <v>0</v>
      </c>
      <c r="X46" s="174">
        <f>Fleet_Distance_Frontend[[#This Row],[Number of units]]</f>
        <v>0</v>
      </c>
      <c r="Y46" s="174" t="s">
        <v>339</v>
      </c>
      <c r="Z46" s="174">
        <f>Fleet_Distance_Frontend[[#This Row],[Methodology]]</f>
        <v>0</v>
      </c>
      <c r="AA46" s="229" t="e" cm="1">
        <f t="array" ref="AA46">INDEX(_xlfn.SWITCH(Fleet_Distance_Backend[[#This Row],[Methodology]],"Tier 1",rng_RSD1,"Tier 2",rng_RSD2,"Tier 3",rng_RSD3),MATCH(_xlfn.CONCAT(Fleet_Distance_Backend[[#This Row],[Level 1]:[Level 6]]),rng_LevelsConcat,0))</f>
        <v>#N/A</v>
      </c>
      <c r="AB46" s="220">
        <f>Fleet_Distance_Frontend[[#This Row],[Data]]</f>
        <v>0</v>
      </c>
      <c r="AC46" s="174">
        <f>Fleet_Distance_Frontend[[#This Row],[Units]]</f>
        <v>0</v>
      </c>
      <c r="AD46" s="220" t="e">
        <f>IF(Fleet_Distance_Backend[[#This Row],[Units]]=Fleet_Distance_Backend[[#This Row],[Standard units]],Fleet_Distance_Backend[[#This Row],[Data]],Fleet_Distance_Backend[[#This Row],[Data]]*_xlfn.XLOOKUP(_xlfn.CONCAT(Fleet_Distance_Backend[[#This Row],[Level 1]:[Level 6]]),rng_EFConcat,rng_EFConversion))</f>
        <v>#N/A</v>
      </c>
      <c r="AE46" s="174" t="s">
        <v>356</v>
      </c>
      <c r="AF46" s="210" t="e">
        <f>_xlfn.XLOOKUP(_xlfn.CONCAT(Fleet_Distance_Backend[[#This Row],[Level 1]:[Level 6]]),rng_EFConcat,rng_EF1)*Fleet_Distance_Backend[[#This Row],[Converted data]]/1000</f>
        <v>#N/A</v>
      </c>
      <c r="AG46" s="210" t="e">
        <f>_xlfn.XLOOKUP(_xlfn.CONCAT(Fleet_Distance_Backend[[#This Row],[Level 1]:[Level 6]]),rng_EFConcat,rng_EF2)*Fleet_Distance_Backend[[#This Row],[Converted data]]/1000</f>
        <v>#N/A</v>
      </c>
      <c r="AH46" s="210" t="e">
        <f>_xlfn.XLOOKUP(_xlfn.CONCAT(Fleet_Distance_Backend[[#This Row],[Level 1]:[Level 6]]),rng_EFConcat,rng_EF3)*Fleet_Distance_Backend[[#This Row],[Converted data]]/1000</f>
        <v>#N/A</v>
      </c>
      <c r="AI46" s="210" t="e">
        <f>_xlfn.XLOOKUP(_xlfn.CONCAT(Fleet_Distance_Backend[[#This Row],[Level 1]:[Level 6]]),rng_EFConcat,rng_EF3WTT)*Fleet_Distance_Backend[[#This Row],[Converted data]]/1000</f>
        <v>#N/A</v>
      </c>
      <c r="AJ46" s="210" t="e">
        <f>_xlfn.XLOOKUP(_xlfn.CONCAT(Fleet_Distance_Backend[[#This Row],[Level 1]:[Level 6]]),rng_EFConcat,rng_EF3TD)*Fleet_Distance_Backend[[#This Row],[Converted data]]/1000</f>
        <v>#N/A</v>
      </c>
      <c r="AK46" s="210" t="e">
        <f>_xlfn.XLOOKUP(_xlfn.CONCAT(Fleet_Distance_Backend[[#This Row],[Level 1]:[Level 6]]),rng_EFConcat,rng_EF3WTTTD)*Fleet_Distance_Backend[[#This Row],[Converted data]]/1000</f>
        <v>#N/A</v>
      </c>
      <c r="AL46" s="220" t="e">
        <f>SUM(Fleet_Distance_Backend[[#This Row],[Scope 1 (tCO2e)]:[Scope 3 WTT T&amp;D (tCO2e)]])</f>
        <v>#N/A</v>
      </c>
      <c r="AM46" s="220" t="e">
        <f>Fleet_Distance_Backend[[#This Row],[Total (tCO2e)]]*(1-Fleet_Distance_Backend[[#This Row],[RSD]])</f>
        <v>#N/A</v>
      </c>
      <c r="AN46" s="220" t="e">
        <f>Fleet_Distance_Backend[[#This Row],[Total (tCO2e)]]*(1+Fleet_Distance_Backend[[#This Row],[RSD]])</f>
        <v>#N/A</v>
      </c>
      <c r="AO46" s="210" t="e">
        <f>_xlfn.XLOOKUP(_xlfn.CONCAT(Fleet_Distance_Backend[[#This Row],[Level 1]:[Level 6]]),rng_EFConcat,rng_EFOOS)*Fleet_Distance_Backend[[#This Row],[Converted data]]/1000</f>
        <v>#N/A</v>
      </c>
      <c r="AP46" s="174">
        <f>Fleet_Distance_Frontend[[#This Row],[Ease of collection]]</f>
        <v>0</v>
      </c>
      <c r="AQ46" s="174">
        <f>Fleet_Distance_Frontend[[#This Row],[Completeness]]</f>
        <v>0</v>
      </c>
      <c r="AR46" s="174">
        <f>Fleet_Distance_Frontend[[#This Row],[Notes]]</f>
        <v>0</v>
      </c>
      <c r="AU46"/>
      <c r="AV46"/>
      <c r="AW46"/>
      <c r="AX46"/>
      <c r="AY46"/>
      <c r="AZ46"/>
      <c r="BA46"/>
      <c r="BB46"/>
      <c r="BC46"/>
      <c r="BD46"/>
      <c r="BE46"/>
      <c r="BF46"/>
      <c r="BG46"/>
      <c r="BH46"/>
      <c r="BI46"/>
      <c r="BJ46"/>
      <c r="BK46"/>
    </row>
    <row r="47" spans="2:63" ht="14.5" x14ac:dyDescent="0.35">
      <c r="B47" s="455"/>
      <c r="E47" s="346"/>
      <c r="F47" s="336"/>
      <c r="G47" s="336"/>
      <c r="H47" s="364"/>
      <c r="I47" s="336"/>
      <c r="J47" s="334"/>
      <c r="K47" s="336"/>
      <c r="L47" s="336"/>
      <c r="M47" s="336"/>
      <c r="N47" s="337"/>
      <c r="O47" s="242">
        <f t="shared" si="4"/>
        <v>6</v>
      </c>
      <c r="Q47" s="211" t="str">
        <f t="shared" si="3"/>
        <v/>
      </c>
      <c r="R47" s="174" t="s">
        <v>220</v>
      </c>
      <c r="S47" s="174" t="s">
        <v>352</v>
      </c>
      <c r="T47" s="174" t="s">
        <v>1859</v>
      </c>
      <c r="U47" s="174">
        <f>Fleet_Distance_Frontend[[#This Row],[Fleet type]]</f>
        <v>0</v>
      </c>
      <c r="V47" s="174">
        <f>Fleet_Distance_Frontend[[#This Row],[Fuel]]</f>
        <v>0</v>
      </c>
      <c r="W47" s="174">
        <f>Fleet_Distance_Frontend[[#This Row],[Size]]</f>
        <v>0</v>
      </c>
      <c r="X47" s="174">
        <f>Fleet_Distance_Frontend[[#This Row],[Number of units]]</f>
        <v>0</v>
      </c>
      <c r="Y47" s="174" t="s">
        <v>339</v>
      </c>
      <c r="Z47" s="174">
        <f>Fleet_Distance_Frontend[[#This Row],[Methodology]]</f>
        <v>0</v>
      </c>
      <c r="AA47" s="229" t="e" cm="1">
        <f t="array" ref="AA47">INDEX(_xlfn.SWITCH(Fleet_Distance_Backend[[#This Row],[Methodology]],"Tier 1",rng_RSD1,"Tier 2",rng_RSD2,"Tier 3",rng_RSD3),MATCH(_xlfn.CONCAT(Fleet_Distance_Backend[[#This Row],[Level 1]:[Level 6]]),rng_LevelsConcat,0))</f>
        <v>#N/A</v>
      </c>
      <c r="AB47" s="220">
        <f>Fleet_Distance_Frontend[[#This Row],[Data]]</f>
        <v>0</v>
      </c>
      <c r="AC47" s="174">
        <f>Fleet_Distance_Frontend[[#This Row],[Units]]</f>
        <v>0</v>
      </c>
      <c r="AD47" s="220" t="e">
        <f>IF(Fleet_Distance_Backend[[#This Row],[Units]]=Fleet_Distance_Backend[[#This Row],[Standard units]],Fleet_Distance_Backend[[#This Row],[Data]],Fleet_Distance_Backend[[#This Row],[Data]]*_xlfn.XLOOKUP(_xlfn.CONCAT(Fleet_Distance_Backend[[#This Row],[Level 1]:[Level 6]]),rng_EFConcat,rng_EFConversion))</f>
        <v>#N/A</v>
      </c>
      <c r="AE47" s="174" t="s">
        <v>356</v>
      </c>
      <c r="AF47" s="210" t="e">
        <f>_xlfn.XLOOKUP(_xlfn.CONCAT(Fleet_Distance_Backend[[#This Row],[Level 1]:[Level 6]]),rng_EFConcat,rng_EF1)*Fleet_Distance_Backend[[#This Row],[Converted data]]/1000</f>
        <v>#N/A</v>
      </c>
      <c r="AG47" s="210" t="e">
        <f>_xlfn.XLOOKUP(_xlfn.CONCAT(Fleet_Distance_Backend[[#This Row],[Level 1]:[Level 6]]),rng_EFConcat,rng_EF2)*Fleet_Distance_Backend[[#This Row],[Converted data]]/1000</f>
        <v>#N/A</v>
      </c>
      <c r="AH47" s="210" t="e">
        <f>_xlfn.XLOOKUP(_xlfn.CONCAT(Fleet_Distance_Backend[[#This Row],[Level 1]:[Level 6]]),rng_EFConcat,rng_EF3)*Fleet_Distance_Backend[[#This Row],[Converted data]]/1000</f>
        <v>#N/A</v>
      </c>
      <c r="AI47" s="210" t="e">
        <f>_xlfn.XLOOKUP(_xlfn.CONCAT(Fleet_Distance_Backend[[#This Row],[Level 1]:[Level 6]]),rng_EFConcat,rng_EF3WTT)*Fleet_Distance_Backend[[#This Row],[Converted data]]/1000</f>
        <v>#N/A</v>
      </c>
      <c r="AJ47" s="210" t="e">
        <f>_xlfn.XLOOKUP(_xlfn.CONCAT(Fleet_Distance_Backend[[#This Row],[Level 1]:[Level 6]]),rng_EFConcat,rng_EF3TD)*Fleet_Distance_Backend[[#This Row],[Converted data]]/1000</f>
        <v>#N/A</v>
      </c>
      <c r="AK47" s="210" t="e">
        <f>_xlfn.XLOOKUP(_xlfn.CONCAT(Fleet_Distance_Backend[[#This Row],[Level 1]:[Level 6]]),rng_EFConcat,rng_EF3WTTTD)*Fleet_Distance_Backend[[#This Row],[Converted data]]/1000</f>
        <v>#N/A</v>
      </c>
      <c r="AL47" s="220" t="e">
        <f>SUM(Fleet_Distance_Backend[[#This Row],[Scope 1 (tCO2e)]:[Scope 3 WTT T&amp;D (tCO2e)]])</f>
        <v>#N/A</v>
      </c>
      <c r="AM47" s="220" t="e">
        <f>Fleet_Distance_Backend[[#This Row],[Total (tCO2e)]]*(1-Fleet_Distance_Backend[[#This Row],[RSD]])</f>
        <v>#N/A</v>
      </c>
      <c r="AN47" s="220" t="e">
        <f>Fleet_Distance_Backend[[#This Row],[Total (tCO2e)]]*(1+Fleet_Distance_Backend[[#This Row],[RSD]])</f>
        <v>#N/A</v>
      </c>
      <c r="AO47" s="210" t="e">
        <f>_xlfn.XLOOKUP(_xlfn.CONCAT(Fleet_Distance_Backend[[#This Row],[Level 1]:[Level 6]]),rng_EFConcat,rng_EFOOS)*Fleet_Distance_Backend[[#This Row],[Converted data]]/1000</f>
        <v>#N/A</v>
      </c>
      <c r="AP47" s="174">
        <f>Fleet_Distance_Frontend[[#This Row],[Ease of collection]]</f>
        <v>0</v>
      </c>
      <c r="AQ47" s="174">
        <f>Fleet_Distance_Frontend[[#This Row],[Completeness]]</f>
        <v>0</v>
      </c>
      <c r="AR47" s="174">
        <f>Fleet_Distance_Frontend[[#This Row],[Notes]]</f>
        <v>0</v>
      </c>
      <c r="AU47"/>
      <c r="AV47"/>
      <c r="AW47"/>
      <c r="AX47"/>
      <c r="AY47"/>
      <c r="AZ47"/>
      <c r="BA47"/>
      <c r="BB47"/>
      <c r="BC47"/>
      <c r="BD47"/>
      <c r="BE47"/>
      <c r="BF47"/>
      <c r="BG47"/>
      <c r="BH47"/>
      <c r="BI47"/>
      <c r="BJ47"/>
      <c r="BK47"/>
    </row>
    <row r="48" spans="2:63" ht="14.5" x14ac:dyDescent="0.35">
      <c r="B48" s="455"/>
      <c r="E48" s="346"/>
      <c r="F48" s="336"/>
      <c r="G48" s="336"/>
      <c r="H48" s="364"/>
      <c r="I48" s="336"/>
      <c r="J48" s="334"/>
      <c r="K48" s="336"/>
      <c r="L48" s="336"/>
      <c r="M48" s="336"/>
      <c r="N48" s="337"/>
      <c r="O48" s="242">
        <f t="shared" si="4"/>
        <v>6</v>
      </c>
      <c r="Q48" s="211" t="str">
        <f t="shared" si="3"/>
        <v/>
      </c>
      <c r="R48" s="174" t="s">
        <v>220</v>
      </c>
      <c r="S48" s="174" t="s">
        <v>352</v>
      </c>
      <c r="T48" s="174" t="s">
        <v>1859</v>
      </c>
      <c r="U48" s="174">
        <f>Fleet_Distance_Frontend[[#This Row],[Fleet type]]</f>
        <v>0</v>
      </c>
      <c r="V48" s="174">
        <f>Fleet_Distance_Frontend[[#This Row],[Fuel]]</f>
        <v>0</v>
      </c>
      <c r="W48" s="174">
        <f>Fleet_Distance_Frontend[[#This Row],[Size]]</f>
        <v>0</v>
      </c>
      <c r="X48" s="174">
        <f>Fleet_Distance_Frontend[[#This Row],[Number of units]]</f>
        <v>0</v>
      </c>
      <c r="Y48" s="174" t="s">
        <v>339</v>
      </c>
      <c r="Z48" s="174">
        <f>Fleet_Distance_Frontend[[#This Row],[Methodology]]</f>
        <v>0</v>
      </c>
      <c r="AA48" s="229" t="e" cm="1">
        <f t="array" ref="AA48">INDEX(_xlfn.SWITCH(Fleet_Distance_Backend[[#This Row],[Methodology]],"Tier 1",rng_RSD1,"Tier 2",rng_RSD2,"Tier 3",rng_RSD3),MATCH(_xlfn.CONCAT(Fleet_Distance_Backend[[#This Row],[Level 1]:[Level 6]]),rng_LevelsConcat,0))</f>
        <v>#N/A</v>
      </c>
      <c r="AB48" s="220">
        <f>Fleet_Distance_Frontend[[#This Row],[Data]]</f>
        <v>0</v>
      </c>
      <c r="AC48" s="174">
        <f>Fleet_Distance_Frontend[[#This Row],[Units]]</f>
        <v>0</v>
      </c>
      <c r="AD48" s="220" t="e">
        <f>IF(Fleet_Distance_Backend[[#This Row],[Units]]=Fleet_Distance_Backend[[#This Row],[Standard units]],Fleet_Distance_Backend[[#This Row],[Data]],Fleet_Distance_Backend[[#This Row],[Data]]*_xlfn.XLOOKUP(_xlfn.CONCAT(Fleet_Distance_Backend[[#This Row],[Level 1]:[Level 6]]),rng_EFConcat,rng_EFConversion))</f>
        <v>#N/A</v>
      </c>
      <c r="AE48" s="174" t="s">
        <v>356</v>
      </c>
      <c r="AF48" s="210" t="e">
        <f>_xlfn.XLOOKUP(_xlfn.CONCAT(Fleet_Distance_Backend[[#This Row],[Level 1]:[Level 6]]),rng_EFConcat,rng_EF1)*Fleet_Distance_Backend[[#This Row],[Converted data]]/1000</f>
        <v>#N/A</v>
      </c>
      <c r="AG48" s="210" t="e">
        <f>_xlfn.XLOOKUP(_xlfn.CONCAT(Fleet_Distance_Backend[[#This Row],[Level 1]:[Level 6]]),rng_EFConcat,rng_EF2)*Fleet_Distance_Backend[[#This Row],[Converted data]]/1000</f>
        <v>#N/A</v>
      </c>
      <c r="AH48" s="210" t="e">
        <f>_xlfn.XLOOKUP(_xlfn.CONCAT(Fleet_Distance_Backend[[#This Row],[Level 1]:[Level 6]]),rng_EFConcat,rng_EF3)*Fleet_Distance_Backend[[#This Row],[Converted data]]/1000</f>
        <v>#N/A</v>
      </c>
      <c r="AI48" s="210" t="e">
        <f>_xlfn.XLOOKUP(_xlfn.CONCAT(Fleet_Distance_Backend[[#This Row],[Level 1]:[Level 6]]),rng_EFConcat,rng_EF3WTT)*Fleet_Distance_Backend[[#This Row],[Converted data]]/1000</f>
        <v>#N/A</v>
      </c>
      <c r="AJ48" s="210" t="e">
        <f>_xlfn.XLOOKUP(_xlfn.CONCAT(Fleet_Distance_Backend[[#This Row],[Level 1]:[Level 6]]),rng_EFConcat,rng_EF3TD)*Fleet_Distance_Backend[[#This Row],[Converted data]]/1000</f>
        <v>#N/A</v>
      </c>
      <c r="AK48" s="210" t="e">
        <f>_xlfn.XLOOKUP(_xlfn.CONCAT(Fleet_Distance_Backend[[#This Row],[Level 1]:[Level 6]]),rng_EFConcat,rng_EF3WTTTD)*Fleet_Distance_Backend[[#This Row],[Converted data]]/1000</f>
        <v>#N/A</v>
      </c>
      <c r="AL48" s="220" t="e">
        <f>SUM(Fleet_Distance_Backend[[#This Row],[Scope 1 (tCO2e)]:[Scope 3 WTT T&amp;D (tCO2e)]])</f>
        <v>#N/A</v>
      </c>
      <c r="AM48" s="220" t="e">
        <f>Fleet_Distance_Backend[[#This Row],[Total (tCO2e)]]*(1-Fleet_Distance_Backend[[#This Row],[RSD]])</f>
        <v>#N/A</v>
      </c>
      <c r="AN48" s="220" t="e">
        <f>Fleet_Distance_Backend[[#This Row],[Total (tCO2e)]]*(1+Fleet_Distance_Backend[[#This Row],[RSD]])</f>
        <v>#N/A</v>
      </c>
      <c r="AO48" s="210" t="e">
        <f>_xlfn.XLOOKUP(_xlfn.CONCAT(Fleet_Distance_Backend[[#This Row],[Level 1]:[Level 6]]),rng_EFConcat,rng_EFOOS)*Fleet_Distance_Backend[[#This Row],[Converted data]]/1000</f>
        <v>#N/A</v>
      </c>
      <c r="AP48" s="174">
        <f>Fleet_Distance_Frontend[[#This Row],[Ease of collection]]</f>
        <v>0</v>
      </c>
      <c r="AQ48" s="174">
        <f>Fleet_Distance_Frontend[[#This Row],[Completeness]]</f>
        <v>0</v>
      </c>
      <c r="AR48" s="174">
        <f>Fleet_Distance_Frontend[[#This Row],[Notes]]</f>
        <v>0</v>
      </c>
      <c r="AU48"/>
      <c r="AV48"/>
      <c r="AW48"/>
      <c r="AX48"/>
      <c r="AY48"/>
      <c r="AZ48"/>
      <c r="BA48"/>
      <c r="BB48"/>
      <c r="BC48"/>
      <c r="BD48"/>
      <c r="BE48"/>
      <c r="BF48"/>
      <c r="BG48"/>
      <c r="BH48"/>
      <c r="BI48"/>
      <c r="BJ48"/>
      <c r="BK48"/>
    </row>
    <row r="49" spans="2:63" ht="14.5" x14ac:dyDescent="0.35">
      <c r="B49" s="455"/>
      <c r="E49" s="346"/>
      <c r="F49" s="336"/>
      <c r="G49" s="336"/>
      <c r="H49" s="364"/>
      <c r="I49" s="336"/>
      <c r="J49" s="334"/>
      <c r="K49" s="336"/>
      <c r="L49" s="336"/>
      <c r="M49" s="336"/>
      <c r="N49" s="337"/>
      <c r="O49" s="242">
        <f t="shared" si="4"/>
        <v>6</v>
      </c>
      <c r="Q49" s="211" t="str">
        <f t="shared" si="3"/>
        <v/>
      </c>
      <c r="R49" s="174" t="s">
        <v>220</v>
      </c>
      <c r="S49" s="174" t="s">
        <v>352</v>
      </c>
      <c r="T49" s="174" t="s">
        <v>1859</v>
      </c>
      <c r="U49" s="174">
        <f>Fleet_Distance_Frontend[[#This Row],[Fleet type]]</f>
        <v>0</v>
      </c>
      <c r="V49" s="174">
        <f>Fleet_Distance_Frontend[[#This Row],[Fuel]]</f>
        <v>0</v>
      </c>
      <c r="W49" s="174">
        <f>Fleet_Distance_Frontend[[#This Row],[Size]]</f>
        <v>0</v>
      </c>
      <c r="X49" s="174">
        <f>Fleet_Distance_Frontend[[#This Row],[Number of units]]</f>
        <v>0</v>
      </c>
      <c r="Y49" s="174" t="s">
        <v>339</v>
      </c>
      <c r="Z49" s="174">
        <f>Fleet_Distance_Frontend[[#This Row],[Methodology]]</f>
        <v>0</v>
      </c>
      <c r="AA49" s="229" t="e" cm="1">
        <f t="array" ref="AA49">INDEX(_xlfn.SWITCH(Fleet_Distance_Backend[[#This Row],[Methodology]],"Tier 1",rng_RSD1,"Tier 2",rng_RSD2,"Tier 3",rng_RSD3),MATCH(_xlfn.CONCAT(Fleet_Distance_Backend[[#This Row],[Level 1]:[Level 6]]),rng_LevelsConcat,0))</f>
        <v>#N/A</v>
      </c>
      <c r="AB49" s="220">
        <f>Fleet_Distance_Frontend[[#This Row],[Data]]</f>
        <v>0</v>
      </c>
      <c r="AC49" s="174">
        <f>Fleet_Distance_Frontend[[#This Row],[Units]]</f>
        <v>0</v>
      </c>
      <c r="AD49" s="220" t="e">
        <f>IF(Fleet_Distance_Backend[[#This Row],[Units]]=Fleet_Distance_Backend[[#This Row],[Standard units]],Fleet_Distance_Backend[[#This Row],[Data]],Fleet_Distance_Backend[[#This Row],[Data]]*_xlfn.XLOOKUP(_xlfn.CONCAT(Fleet_Distance_Backend[[#This Row],[Level 1]:[Level 6]]),rng_EFConcat,rng_EFConversion))</f>
        <v>#N/A</v>
      </c>
      <c r="AE49" s="174" t="s">
        <v>356</v>
      </c>
      <c r="AF49" s="210" t="e">
        <f>_xlfn.XLOOKUP(_xlfn.CONCAT(Fleet_Distance_Backend[[#This Row],[Level 1]:[Level 6]]),rng_EFConcat,rng_EF1)*Fleet_Distance_Backend[[#This Row],[Converted data]]/1000</f>
        <v>#N/A</v>
      </c>
      <c r="AG49" s="210" t="e">
        <f>_xlfn.XLOOKUP(_xlfn.CONCAT(Fleet_Distance_Backend[[#This Row],[Level 1]:[Level 6]]),rng_EFConcat,rng_EF2)*Fleet_Distance_Backend[[#This Row],[Converted data]]/1000</f>
        <v>#N/A</v>
      </c>
      <c r="AH49" s="210" t="e">
        <f>_xlfn.XLOOKUP(_xlfn.CONCAT(Fleet_Distance_Backend[[#This Row],[Level 1]:[Level 6]]),rng_EFConcat,rng_EF3)*Fleet_Distance_Backend[[#This Row],[Converted data]]/1000</f>
        <v>#N/A</v>
      </c>
      <c r="AI49" s="210" t="e">
        <f>_xlfn.XLOOKUP(_xlfn.CONCAT(Fleet_Distance_Backend[[#This Row],[Level 1]:[Level 6]]),rng_EFConcat,rng_EF3WTT)*Fleet_Distance_Backend[[#This Row],[Converted data]]/1000</f>
        <v>#N/A</v>
      </c>
      <c r="AJ49" s="210" t="e">
        <f>_xlfn.XLOOKUP(_xlfn.CONCAT(Fleet_Distance_Backend[[#This Row],[Level 1]:[Level 6]]),rng_EFConcat,rng_EF3TD)*Fleet_Distance_Backend[[#This Row],[Converted data]]/1000</f>
        <v>#N/A</v>
      </c>
      <c r="AK49" s="210" t="e">
        <f>_xlfn.XLOOKUP(_xlfn.CONCAT(Fleet_Distance_Backend[[#This Row],[Level 1]:[Level 6]]),rng_EFConcat,rng_EF3WTTTD)*Fleet_Distance_Backend[[#This Row],[Converted data]]/1000</f>
        <v>#N/A</v>
      </c>
      <c r="AL49" s="220" t="e">
        <f>SUM(Fleet_Distance_Backend[[#This Row],[Scope 1 (tCO2e)]:[Scope 3 WTT T&amp;D (tCO2e)]])</f>
        <v>#N/A</v>
      </c>
      <c r="AM49" s="220" t="e">
        <f>Fleet_Distance_Backend[[#This Row],[Total (tCO2e)]]*(1-Fleet_Distance_Backend[[#This Row],[RSD]])</f>
        <v>#N/A</v>
      </c>
      <c r="AN49" s="220" t="e">
        <f>Fleet_Distance_Backend[[#This Row],[Total (tCO2e)]]*(1+Fleet_Distance_Backend[[#This Row],[RSD]])</f>
        <v>#N/A</v>
      </c>
      <c r="AO49" s="210" t="e">
        <f>_xlfn.XLOOKUP(_xlfn.CONCAT(Fleet_Distance_Backend[[#This Row],[Level 1]:[Level 6]]),rng_EFConcat,rng_EFOOS)*Fleet_Distance_Backend[[#This Row],[Converted data]]/1000</f>
        <v>#N/A</v>
      </c>
      <c r="AP49" s="174">
        <f>Fleet_Distance_Frontend[[#This Row],[Ease of collection]]</f>
        <v>0</v>
      </c>
      <c r="AQ49" s="174">
        <f>Fleet_Distance_Frontend[[#This Row],[Completeness]]</f>
        <v>0</v>
      </c>
      <c r="AR49" s="174">
        <f>Fleet_Distance_Frontend[[#This Row],[Notes]]</f>
        <v>0</v>
      </c>
      <c r="AU49"/>
      <c r="AV49"/>
      <c r="AW49"/>
      <c r="AX49"/>
      <c r="AY49"/>
      <c r="AZ49"/>
      <c r="BA49"/>
      <c r="BB49"/>
      <c r="BC49"/>
      <c r="BD49"/>
      <c r="BE49"/>
      <c r="BF49"/>
      <c r="BG49"/>
      <c r="BH49"/>
      <c r="BI49"/>
      <c r="BJ49"/>
      <c r="BK49"/>
    </row>
    <row r="50" spans="2:63" ht="14.5" x14ac:dyDescent="0.35">
      <c r="B50" s="455"/>
      <c r="E50" s="346"/>
      <c r="F50" s="336"/>
      <c r="G50" s="336"/>
      <c r="H50" s="364"/>
      <c r="I50" s="336"/>
      <c r="J50" s="334"/>
      <c r="K50" s="336"/>
      <c r="L50" s="336"/>
      <c r="M50" s="336"/>
      <c r="N50" s="337"/>
      <c r="O50" s="242">
        <f t="shared" si="4"/>
        <v>6</v>
      </c>
      <c r="Q50" s="211" t="str">
        <f t="shared" si="3"/>
        <v/>
      </c>
      <c r="R50" s="174" t="s">
        <v>220</v>
      </c>
      <c r="S50" s="174" t="s">
        <v>352</v>
      </c>
      <c r="T50" s="174" t="s">
        <v>1859</v>
      </c>
      <c r="U50" s="174">
        <f>Fleet_Distance_Frontend[[#This Row],[Fleet type]]</f>
        <v>0</v>
      </c>
      <c r="V50" s="174">
        <f>Fleet_Distance_Frontend[[#This Row],[Fuel]]</f>
        <v>0</v>
      </c>
      <c r="W50" s="174">
        <f>Fleet_Distance_Frontend[[#This Row],[Size]]</f>
        <v>0</v>
      </c>
      <c r="X50" s="174">
        <f>Fleet_Distance_Frontend[[#This Row],[Number of units]]</f>
        <v>0</v>
      </c>
      <c r="Y50" s="174" t="s">
        <v>339</v>
      </c>
      <c r="Z50" s="174">
        <f>Fleet_Distance_Frontend[[#This Row],[Methodology]]</f>
        <v>0</v>
      </c>
      <c r="AA50" s="229" t="e" cm="1">
        <f t="array" ref="AA50">INDEX(_xlfn.SWITCH(Fleet_Distance_Backend[[#This Row],[Methodology]],"Tier 1",rng_RSD1,"Tier 2",rng_RSD2,"Tier 3",rng_RSD3),MATCH(_xlfn.CONCAT(Fleet_Distance_Backend[[#This Row],[Level 1]:[Level 6]]),rng_LevelsConcat,0))</f>
        <v>#N/A</v>
      </c>
      <c r="AB50" s="220">
        <f>Fleet_Distance_Frontend[[#This Row],[Data]]</f>
        <v>0</v>
      </c>
      <c r="AC50" s="174">
        <f>Fleet_Distance_Frontend[[#This Row],[Units]]</f>
        <v>0</v>
      </c>
      <c r="AD50" s="220" t="e">
        <f>IF(Fleet_Distance_Backend[[#This Row],[Units]]=Fleet_Distance_Backend[[#This Row],[Standard units]],Fleet_Distance_Backend[[#This Row],[Data]],Fleet_Distance_Backend[[#This Row],[Data]]*_xlfn.XLOOKUP(_xlfn.CONCAT(Fleet_Distance_Backend[[#This Row],[Level 1]:[Level 6]]),rng_EFConcat,rng_EFConversion))</f>
        <v>#N/A</v>
      </c>
      <c r="AE50" s="174" t="s">
        <v>356</v>
      </c>
      <c r="AF50" s="210" t="e">
        <f>_xlfn.XLOOKUP(_xlfn.CONCAT(Fleet_Distance_Backend[[#This Row],[Level 1]:[Level 6]]),rng_EFConcat,rng_EF1)*Fleet_Distance_Backend[[#This Row],[Converted data]]/1000</f>
        <v>#N/A</v>
      </c>
      <c r="AG50" s="210" t="e">
        <f>_xlfn.XLOOKUP(_xlfn.CONCAT(Fleet_Distance_Backend[[#This Row],[Level 1]:[Level 6]]),rng_EFConcat,rng_EF2)*Fleet_Distance_Backend[[#This Row],[Converted data]]/1000</f>
        <v>#N/A</v>
      </c>
      <c r="AH50" s="210" t="e">
        <f>_xlfn.XLOOKUP(_xlfn.CONCAT(Fleet_Distance_Backend[[#This Row],[Level 1]:[Level 6]]),rng_EFConcat,rng_EF3)*Fleet_Distance_Backend[[#This Row],[Converted data]]/1000</f>
        <v>#N/A</v>
      </c>
      <c r="AI50" s="210" t="e">
        <f>_xlfn.XLOOKUP(_xlfn.CONCAT(Fleet_Distance_Backend[[#This Row],[Level 1]:[Level 6]]),rng_EFConcat,rng_EF3WTT)*Fleet_Distance_Backend[[#This Row],[Converted data]]/1000</f>
        <v>#N/A</v>
      </c>
      <c r="AJ50" s="210" t="e">
        <f>_xlfn.XLOOKUP(_xlfn.CONCAT(Fleet_Distance_Backend[[#This Row],[Level 1]:[Level 6]]),rng_EFConcat,rng_EF3TD)*Fleet_Distance_Backend[[#This Row],[Converted data]]/1000</f>
        <v>#N/A</v>
      </c>
      <c r="AK50" s="210" t="e">
        <f>_xlfn.XLOOKUP(_xlfn.CONCAT(Fleet_Distance_Backend[[#This Row],[Level 1]:[Level 6]]),rng_EFConcat,rng_EF3WTTTD)*Fleet_Distance_Backend[[#This Row],[Converted data]]/1000</f>
        <v>#N/A</v>
      </c>
      <c r="AL50" s="220" t="e">
        <f>SUM(Fleet_Distance_Backend[[#This Row],[Scope 1 (tCO2e)]:[Scope 3 WTT T&amp;D (tCO2e)]])</f>
        <v>#N/A</v>
      </c>
      <c r="AM50" s="220" t="e">
        <f>Fleet_Distance_Backend[[#This Row],[Total (tCO2e)]]*(1-Fleet_Distance_Backend[[#This Row],[RSD]])</f>
        <v>#N/A</v>
      </c>
      <c r="AN50" s="220" t="e">
        <f>Fleet_Distance_Backend[[#This Row],[Total (tCO2e)]]*(1+Fleet_Distance_Backend[[#This Row],[RSD]])</f>
        <v>#N/A</v>
      </c>
      <c r="AO50" s="210" t="e">
        <f>_xlfn.XLOOKUP(_xlfn.CONCAT(Fleet_Distance_Backend[[#This Row],[Level 1]:[Level 6]]),rng_EFConcat,rng_EFOOS)*Fleet_Distance_Backend[[#This Row],[Converted data]]/1000</f>
        <v>#N/A</v>
      </c>
      <c r="AP50" s="174">
        <f>Fleet_Distance_Frontend[[#This Row],[Ease of collection]]</f>
        <v>0</v>
      </c>
      <c r="AQ50" s="174">
        <f>Fleet_Distance_Frontend[[#This Row],[Completeness]]</f>
        <v>0</v>
      </c>
      <c r="AR50" s="174">
        <f>Fleet_Distance_Frontend[[#This Row],[Notes]]</f>
        <v>0</v>
      </c>
      <c r="AU50"/>
      <c r="AV50"/>
      <c r="AW50"/>
      <c r="AX50"/>
      <c r="AY50"/>
      <c r="AZ50"/>
      <c r="BA50"/>
      <c r="BB50"/>
      <c r="BC50"/>
      <c r="BD50"/>
      <c r="BE50"/>
      <c r="BF50"/>
      <c r="BG50"/>
      <c r="BH50"/>
      <c r="BI50"/>
      <c r="BJ50"/>
      <c r="BK50"/>
    </row>
    <row r="51" spans="2:63" ht="14.5" x14ac:dyDescent="0.35">
      <c r="B51" s="455"/>
      <c r="E51" s="346"/>
      <c r="F51" s="336"/>
      <c r="G51" s="336"/>
      <c r="H51" s="364"/>
      <c r="I51" s="336"/>
      <c r="J51" s="334"/>
      <c r="K51" s="336"/>
      <c r="L51" s="336"/>
      <c r="M51" s="336"/>
      <c r="N51" s="337"/>
      <c r="O51" s="242">
        <f t="shared" si="4"/>
        <v>6</v>
      </c>
      <c r="Q51" s="211" t="str">
        <f t="shared" si="3"/>
        <v/>
      </c>
      <c r="R51" s="174" t="s">
        <v>220</v>
      </c>
      <c r="S51" s="174" t="s">
        <v>352</v>
      </c>
      <c r="T51" s="174" t="s">
        <v>1859</v>
      </c>
      <c r="U51" s="174">
        <f>Fleet_Distance_Frontend[[#This Row],[Fleet type]]</f>
        <v>0</v>
      </c>
      <c r="V51" s="174">
        <f>Fleet_Distance_Frontend[[#This Row],[Fuel]]</f>
        <v>0</v>
      </c>
      <c r="W51" s="174">
        <f>Fleet_Distance_Frontend[[#This Row],[Size]]</f>
        <v>0</v>
      </c>
      <c r="X51" s="174">
        <f>Fleet_Distance_Frontend[[#This Row],[Number of units]]</f>
        <v>0</v>
      </c>
      <c r="Y51" s="174" t="s">
        <v>339</v>
      </c>
      <c r="Z51" s="174">
        <f>Fleet_Distance_Frontend[[#This Row],[Methodology]]</f>
        <v>0</v>
      </c>
      <c r="AA51" s="229" t="e" cm="1">
        <f t="array" ref="AA51">INDEX(_xlfn.SWITCH(Fleet_Distance_Backend[[#This Row],[Methodology]],"Tier 1",rng_RSD1,"Tier 2",rng_RSD2,"Tier 3",rng_RSD3),MATCH(_xlfn.CONCAT(Fleet_Distance_Backend[[#This Row],[Level 1]:[Level 6]]),rng_LevelsConcat,0))</f>
        <v>#N/A</v>
      </c>
      <c r="AB51" s="220">
        <f>Fleet_Distance_Frontend[[#This Row],[Data]]</f>
        <v>0</v>
      </c>
      <c r="AC51" s="174">
        <f>Fleet_Distance_Frontend[[#This Row],[Units]]</f>
        <v>0</v>
      </c>
      <c r="AD51" s="220" t="e">
        <f>IF(Fleet_Distance_Backend[[#This Row],[Units]]=Fleet_Distance_Backend[[#This Row],[Standard units]],Fleet_Distance_Backend[[#This Row],[Data]],Fleet_Distance_Backend[[#This Row],[Data]]*_xlfn.XLOOKUP(_xlfn.CONCAT(Fleet_Distance_Backend[[#This Row],[Level 1]:[Level 6]]),rng_EFConcat,rng_EFConversion))</f>
        <v>#N/A</v>
      </c>
      <c r="AE51" s="174" t="s">
        <v>356</v>
      </c>
      <c r="AF51" s="210" t="e">
        <f>_xlfn.XLOOKUP(_xlfn.CONCAT(Fleet_Distance_Backend[[#This Row],[Level 1]:[Level 6]]),rng_EFConcat,rng_EF1)*Fleet_Distance_Backend[[#This Row],[Converted data]]/1000</f>
        <v>#N/A</v>
      </c>
      <c r="AG51" s="210" t="e">
        <f>_xlfn.XLOOKUP(_xlfn.CONCAT(Fleet_Distance_Backend[[#This Row],[Level 1]:[Level 6]]),rng_EFConcat,rng_EF2)*Fleet_Distance_Backend[[#This Row],[Converted data]]/1000</f>
        <v>#N/A</v>
      </c>
      <c r="AH51" s="210" t="e">
        <f>_xlfn.XLOOKUP(_xlfn.CONCAT(Fleet_Distance_Backend[[#This Row],[Level 1]:[Level 6]]),rng_EFConcat,rng_EF3)*Fleet_Distance_Backend[[#This Row],[Converted data]]/1000</f>
        <v>#N/A</v>
      </c>
      <c r="AI51" s="210" t="e">
        <f>_xlfn.XLOOKUP(_xlfn.CONCAT(Fleet_Distance_Backend[[#This Row],[Level 1]:[Level 6]]),rng_EFConcat,rng_EF3WTT)*Fleet_Distance_Backend[[#This Row],[Converted data]]/1000</f>
        <v>#N/A</v>
      </c>
      <c r="AJ51" s="210" t="e">
        <f>_xlfn.XLOOKUP(_xlfn.CONCAT(Fleet_Distance_Backend[[#This Row],[Level 1]:[Level 6]]),rng_EFConcat,rng_EF3TD)*Fleet_Distance_Backend[[#This Row],[Converted data]]/1000</f>
        <v>#N/A</v>
      </c>
      <c r="AK51" s="210" t="e">
        <f>_xlfn.XLOOKUP(_xlfn.CONCAT(Fleet_Distance_Backend[[#This Row],[Level 1]:[Level 6]]),rng_EFConcat,rng_EF3WTTTD)*Fleet_Distance_Backend[[#This Row],[Converted data]]/1000</f>
        <v>#N/A</v>
      </c>
      <c r="AL51" s="220" t="e">
        <f>SUM(Fleet_Distance_Backend[[#This Row],[Scope 1 (tCO2e)]:[Scope 3 WTT T&amp;D (tCO2e)]])</f>
        <v>#N/A</v>
      </c>
      <c r="AM51" s="220" t="e">
        <f>Fleet_Distance_Backend[[#This Row],[Total (tCO2e)]]*(1-Fleet_Distance_Backend[[#This Row],[RSD]])</f>
        <v>#N/A</v>
      </c>
      <c r="AN51" s="220" t="e">
        <f>Fleet_Distance_Backend[[#This Row],[Total (tCO2e)]]*(1+Fleet_Distance_Backend[[#This Row],[RSD]])</f>
        <v>#N/A</v>
      </c>
      <c r="AO51" s="210" t="e">
        <f>_xlfn.XLOOKUP(_xlfn.CONCAT(Fleet_Distance_Backend[[#This Row],[Level 1]:[Level 6]]),rng_EFConcat,rng_EFOOS)*Fleet_Distance_Backend[[#This Row],[Converted data]]/1000</f>
        <v>#N/A</v>
      </c>
      <c r="AP51" s="174">
        <f>Fleet_Distance_Frontend[[#This Row],[Ease of collection]]</f>
        <v>0</v>
      </c>
      <c r="AQ51" s="174">
        <f>Fleet_Distance_Frontend[[#This Row],[Completeness]]</f>
        <v>0</v>
      </c>
      <c r="AR51" s="174">
        <f>Fleet_Distance_Frontend[[#This Row],[Notes]]</f>
        <v>0</v>
      </c>
      <c r="AU51"/>
      <c r="AV51"/>
      <c r="AW51"/>
      <c r="AX51"/>
      <c r="AY51"/>
      <c r="AZ51"/>
      <c r="BA51"/>
      <c r="BB51"/>
      <c r="BC51"/>
      <c r="BD51"/>
      <c r="BE51"/>
      <c r="BF51"/>
      <c r="BG51"/>
      <c r="BH51"/>
      <c r="BI51"/>
      <c r="BJ51"/>
      <c r="BK51"/>
    </row>
    <row r="52" spans="2:63" ht="14.5" x14ac:dyDescent="0.35">
      <c r="B52" s="455"/>
      <c r="E52" s="346"/>
      <c r="F52" s="336"/>
      <c r="G52" s="336"/>
      <c r="H52" s="364"/>
      <c r="I52" s="336"/>
      <c r="J52" s="334"/>
      <c r="K52" s="336"/>
      <c r="L52" s="336"/>
      <c r="M52" s="336"/>
      <c r="N52" s="337"/>
      <c r="O52" s="242">
        <f t="shared" si="4"/>
        <v>6</v>
      </c>
      <c r="Q52" s="211" t="str">
        <f t="shared" si="3"/>
        <v/>
      </c>
      <c r="R52" s="174" t="s">
        <v>220</v>
      </c>
      <c r="S52" s="174" t="s">
        <v>352</v>
      </c>
      <c r="T52" s="174" t="s">
        <v>1859</v>
      </c>
      <c r="U52" s="174">
        <f>Fleet_Distance_Frontend[[#This Row],[Fleet type]]</f>
        <v>0</v>
      </c>
      <c r="V52" s="174">
        <f>Fleet_Distance_Frontend[[#This Row],[Fuel]]</f>
        <v>0</v>
      </c>
      <c r="W52" s="174">
        <f>Fleet_Distance_Frontend[[#This Row],[Size]]</f>
        <v>0</v>
      </c>
      <c r="X52" s="174">
        <f>Fleet_Distance_Frontend[[#This Row],[Number of units]]</f>
        <v>0</v>
      </c>
      <c r="Y52" s="174" t="s">
        <v>339</v>
      </c>
      <c r="Z52" s="174">
        <f>Fleet_Distance_Frontend[[#This Row],[Methodology]]</f>
        <v>0</v>
      </c>
      <c r="AA52" s="229" t="e" cm="1">
        <f t="array" ref="AA52">INDEX(_xlfn.SWITCH(Fleet_Distance_Backend[[#This Row],[Methodology]],"Tier 1",rng_RSD1,"Tier 2",rng_RSD2,"Tier 3",rng_RSD3),MATCH(_xlfn.CONCAT(Fleet_Distance_Backend[[#This Row],[Level 1]:[Level 6]]),rng_LevelsConcat,0))</f>
        <v>#N/A</v>
      </c>
      <c r="AB52" s="220">
        <f>Fleet_Distance_Frontend[[#This Row],[Data]]</f>
        <v>0</v>
      </c>
      <c r="AC52" s="174">
        <f>Fleet_Distance_Frontend[[#This Row],[Units]]</f>
        <v>0</v>
      </c>
      <c r="AD52" s="220" t="e">
        <f>IF(Fleet_Distance_Backend[[#This Row],[Units]]=Fleet_Distance_Backend[[#This Row],[Standard units]],Fleet_Distance_Backend[[#This Row],[Data]],Fleet_Distance_Backend[[#This Row],[Data]]*_xlfn.XLOOKUP(_xlfn.CONCAT(Fleet_Distance_Backend[[#This Row],[Level 1]:[Level 6]]),rng_EFConcat,rng_EFConversion))</f>
        <v>#N/A</v>
      </c>
      <c r="AE52" s="174" t="s">
        <v>356</v>
      </c>
      <c r="AF52" s="210" t="e">
        <f>_xlfn.XLOOKUP(_xlfn.CONCAT(Fleet_Distance_Backend[[#This Row],[Level 1]:[Level 6]]),rng_EFConcat,rng_EF1)*Fleet_Distance_Backend[[#This Row],[Converted data]]/1000</f>
        <v>#N/A</v>
      </c>
      <c r="AG52" s="210" t="e">
        <f>_xlfn.XLOOKUP(_xlfn.CONCAT(Fleet_Distance_Backend[[#This Row],[Level 1]:[Level 6]]),rng_EFConcat,rng_EF2)*Fleet_Distance_Backend[[#This Row],[Converted data]]/1000</f>
        <v>#N/A</v>
      </c>
      <c r="AH52" s="210" t="e">
        <f>_xlfn.XLOOKUP(_xlfn.CONCAT(Fleet_Distance_Backend[[#This Row],[Level 1]:[Level 6]]),rng_EFConcat,rng_EF3)*Fleet_Distance_Backend[[#This Row],[Converted data]]/1000</f>
        <v>#N/A</v>
      </c>
      <c r="AI52" s="210" t="e">
        <f>_xlfn.XLOOKUP(_xlfn.CONCAT(Fleet_Distance_Backend[[#This Row],[Level 1]:[Level 6]]),rng_EFConcat,rng_EF3WTT)*Fleet_Distance_Backend[[#This Row],[Converted data]]/1000</f>
        <v>#N/A</v>
      </c>
      <c r="AJ52" s="210" t="e">
        <f>_xlfn.XLOOKUP(_xlfn.CONCAT(Fleet_Distance_Backend[[#This Row],[Level 1]:[Level 6]]),rng_EFConcat,rng_EF3TD)*Fleet_Distance_Backend[[#This Row],[Converted data]]/1000</f>
        <v>#N/A</v>
      </c>
      <c r="AK52" s="210" t="e">
        <f>_xlfn.XLOOKUP(_xlfn.CONCAT(Fleet_Distance_Backend[[#This Row],[Level 1]:[Level 6]]),rng_EFConcat,rng_EF3WTTTD)*Fleet_Distance_Backend[[#This Row],[Converted data]]/1000</f>
        <v>#N/A</v>
      </c>
      <c r="AL52" s="220" t="e">
        <f>SUM(Fleet_Distance_Backend[[#This Row],[Scope 1 (tCO2e)]:[Scope 3 WTT T&amp;D (tCO2e)]])</f>
        <v>#N/A</v>
      </c>
      <c r="AM52" s="220" t="e">
        <f>Fleet_Distance_Backend[[#This Row],[Total (tCO2e)]]*(1-Fleet_Distance_Backend[[#This Row],[RSD]])</f>
        <v>#N/A</v>
      </c>
      <c r="AN52" s="220" t="e">
        <f>Fleet_Distance_Backend[[#This Row],[Total (tCO2e)]]*(1+Fleet_Distance_Backend[[#This Row],[RSD]])</f>
        <v>#N/A</v>
      </c>
      <c r="AO52" s="210" t="e">
        <f>_xlfn.XLOOKUP(_xlfn.CONCAT(Fleet_Distance_Backend[[#This Row],[Level 1]:[Level 6]]),rng_EFConcat,rng_EFOOS)*Fleet_Distance_Backend[[#This Row],[Converted data]]/1000</f>
        <v>#N/A</v>
      </c>
      <c r="AP52" s="174">
        <f>Fleet_Distance_Frontend[[#This Row],[Ease of collection]]</f>
        <v>0</v>
      </c>
      <c r="AQ52" s="174">
        <f>Fleet_Distance_Frontend[[#This Row],[Completeness]]</f>
        <v>0</v>
      </c>
      <c r="AR52" s="174">
        <f>Fleet_Distance_Frontend[[#This Row],[Notes]]</f>
        <v>0</v>
      </c>
      <c r="AU52"/>
      <c r="AV52"/>
      <c r="AW52"/>
      <c r="AX52"/>
      <c r="AY52"/>
      <c r="AZ52"/>
      <c r="BA52"/>
      <c r="BB52"/>
      <c r="BC52"/>
      <c r="BD52"/>
      <c r="BE52"/>
      <c r="BF52"/>
      <c r="BG52"/>
      <c r="BH52"/>
      <c r="BI52"/>
      <c r="BJ52"/>
      <c r="BK52"/>
    </row>
    <row r="53" spans="2:63" ht="14.5" x14ac:dyDescent="0.35">
      <c r="B53" s="455"/>
      <c r="E53" s="346"/>
      <c r="F53" s="336"/>
      <c r="G53" s="336"/>
      <c r="H53" s="364"/>
      <c r="I53" s="336"/>
      <c r="J53" s="334"/>
      <c r="K53" s="336"/>
      <c r="L53" s="336"/>
      <c r="M53" s="336"/>
      <c r="N53" s="337"/>
      <c r="O53" s="242">
        <f t="shared" si="4"/>
        <v>6</v>
      </c>
      <c r="Q53" s="211" t="str">
        <f t="shared" si="3"/>
        <v/>
      </c>
      <c r="R53" s="174" t="s">
        <v>220</v>
      </c>
      <c r="S53" s="174" t="s">
        <v>352</v>
      </c>
      <c r="T53" s="174" t="s">
        <v>1859</v>
      </c>
      <c r="U53" s="174">
        <f>Fleet_Distance_Frontend[[#This Row],[Fleet type]]</f>
        <v>0</v>
      </c>
      <c r="V53" s="174">
        <f>Fleet_Distance_Frontend[[#This Row],[Fuel]]</f>
        <v>0</v>
      </c>
      <c r="W53" s="174">
        <f>Fleet_Distance_Frontend[[#This Row],[Size]]</f>
        <v>0</v>
      </c>
      <c r="X53" s="174">
        <f>Fleet_Distance_Frontend[[#This Row],[Number of units]]</f>
        <v>0</v>
      </c>
      <c r="Y53" s="174" t="s">
        <v>339</v>
      </c>
      <c r="Z53" s="174">
        <f>Fleet_Distance_Frontend[[#This Row],[Methodology]]</f>
        <v>0</v>
      </c>
      <c r="AA53" s="229" t="e" cm="1">
        <f t="array" ref="AA53">INDEX(_xlfn.SWITCH(Fleet_Distance_Backend[[#This Row],[Methodology]],"Tier 1",rng_RSD1,"Tier 2",rng_RSD2,"Tier 3",rng_RSD3),MATCH(_xlfn.CONCAT(Fleet_Distance_Backend[[#This Row],[Level 1]:[Level 6]]),rng_LevelsConcat,0))</f>
        <v>#N/A</v>
      </c>
      <c r="AB53" s="220">
        <f>Fleet_Distance_Frontend[[#This Row],[Data]]</f>
        <v>0</v>
      </c>
      <c r="AC53" s="174">
        <f>Fleet_Distance_Frontend[[#This Row],[Units]]</f>
        <v>0</v>
      </c>
      <c r="AD53" s="220" t="e">
        <f>IF(Fleet_Distance_Backend[[#This Row],[Units]]=Fleet_Distance_Backend[[#This Row],[Standard units]],Fleet_Distance_Backend[[#This Row],[Data]],Fleet_Distance_Backend[[#This Row],[Data]]*_xlfn.XLOOKUP(_xlfn.CONCAT(Fleet_Distance_Backend[[#This Row],[Level 1]:[Level 6]]),rng_EFConcat,rng_EFConversion))</f>
        <v>#N/A</v>
      </c>
      <c r="AE53" s="174" t="s">
        <v>356</v>
      </c>
      <c r="AF53" s="210" t="e">
        <f>_xlfn.XLOOKUP(_xlfn.CONCAT(Fleet_Distance_Backend[[#This Row],[Level 1]:[Level 6]]),rng_EFConcat,rng_EF1)*Fleet_Distance_Backend[[#This Row],[Converted data]]/1000</f>
        <v>#N/A</v>
      </c>
      <c r="AG53" s="210" t="e">
        <f>_xlfn.XLOOKUP(_xlfn.CONCAT(Fleet_Distance_Backend[[#This Row],[Level 1]:[Level 6]]),rng_EFConcat,rng_EF2)*Fleet_Distance_Backend[[#This Row],[Converted data]]/1000</f>
        <v>#N/A</v>
      </c>
      <c r="AH53" s="210" t="e">
        <f>_xlfn.XLOOKUP(_xlfn.CONCAT(Fleet_Distance_Backend[[#This Row],[Level 1]:[Level 6]]),rng_EFConcat,rng_EF3)*Fleet_Distance_Backend[[#This Row],[Converted data]]/1000</f>
        <v>#N/A</v>
      </c>
      <c r="AI53" s="210" t="e">
        <f>_xlfn.XLOOKUP(_xlfn.CONCAT(Fleet_Distance_Backend[[#This Row],[Level 1]:[Level 6]]),rng_EFConcat,rng_EF3WTT)*Fleet_Distance_Backend[[#This Row],[Converted data]]/1000</f>
        <v>#N/A</v>
      </c>
      <c r="AJ53" s="210" t="e">
        <f>_xlfn.XLOOKUP(_xlfn.CONCAT(Fleet_Distance_Backend[[#This Row],[Level 1]:[Level 6]]),rng_EFConcat,rng_EF3TD)*Fleet_Distance_Backend[[#This Row],[Converted data]]/1000</f>
        <v>#N/A</v>
      </c>
      <c r="AK53" s="210" t="e">
        <f>_xlfn.XLOOKUP(_xlfn.CONCAT(Fleet_Distance_Backend[[#This Row],[Level 1]:[Level 6]]),rng_EFConcat,rng_EF3WTTTD)*Fleet_Distance_Backend[[#This Row],[Converted data]]/1000</f>
        <v>#N/A</v>
      </c>
      <c r="AL53" s="220" t="e">
        <f>SUM(Fleet_Distance_Backend[[#This Row],[Scope 1 (tCO2e)]:[Scope 3 WTT T&amp;D (tCO2e)]])</f>
        <v>#N/A</v>
      </c>
      <c r="AM53" s="220" t="e">
        <f>Fleet_Distance_Backend[[#This Row],[Total (tCO2e)]]*(1-Fleet_Distance_Backend[[#This Row],[RSD]])</f>
        <v>#N/A</v>
      </c>
      <c r="AN53" s="220" t="e">
        <f>Fleet_Distance_Backend[[#This Row],[Total (tCO2e)]]*(1+Fleet_Distance_Backend[[#This Row],[RSD]])</f>
        <v>#N/A</v>
      </c>
      <c r="AO53" s="210" t="e">
        <f>_xlfn.XLOOKUP(_xlfn.CONCAT(Fleet_Distance_Backend[[#This Row],[Level 1]:[Level 6]]),rng_EFConcat,rng_EFOOS)*Fleet_Distance_Backend[[#This Row],[Converted data]]/1000</f>
        <v>#N/A</v>
      </c>
      <c r="AP53" s="174">
        <f>Fleet_Distance_Frontend[[#This Row],[Ease of collection]]</f>
        <v>0</v>
      </c>
      <c r="AQ53" s="174">
        <f>Fleet_Distance_Frontend[[#This Row],[Completeness]]</f>
        <v>0</v>
      </c>
      <c r="AR53" s="174">
        <f>Fleet_Distance_Frontend[[#This Row],[Notes]]</f>
        <v>0</v>
      </c>
      <c r="AU53"/>
      <c r="AV53"/>
      <c r="AW53"/>
      <c r="AX53"/>
      <c r="AY53"/>
      <c r="AZ53"/>
      <c r="BA53"/>
      <c r="BB53"/>
      <c r="BC53"/>
      <c r="BD53"/>
      <c r="BE53"/>
      <c r="BF53"/>
      <c r="BG53"/>
      <c r="BH53"/>
      <c r="BI53"/>
      <c r="BJ53"/>
      <c r="BK53"/>
    </row>
    <row r="54" spans="2:63" ht="14.5" x14ac:dyDescent="0.35">
      <c r="B54" s="455"/>
      <c r="E54" s="346"/>
      <c r="F54" s="336"/>
      <c r="G54" s="336"/>
      <c r="H54" s="364"/>
      <c r="I54" s="336"/>
      <c r="J54" s="334"/>
      <c r="K54" s="336"/>
      <c r="L54" s="336"/>
      <c r="M54" s="336"/>
      <c r="N54" s="337"/>
      <c r="O54" s="242">
        <f t="shared" si="4"/>
        <v>6</v>
      </c>
      <c r="Q54" s="211" t="str">
        <f t="shared" si="3"/>
        <v/>
      </c>
      <c r="R54" s="174" t="s">
        <v>220</v>
      </c>
      <c r="S54" s="174" t="s">
        <v>352</v>
      </c>
      <c r="T54" s="174" t="s">
        <v>1859</v>
      </c>
      <c r="U54" s="174">
        <f>Fleet_Distance_Frontend[[#This Row],[Fleet type]]</f>
        <v>0</v>
      </c>
      <c r="V54" s="174">
        <f>Fleet_Distance_Frontend[[#This Row],[Fuel]]</f>
        <v>0</v>
      </c>
      <c r="W54" s="174">
        <f>Fleet_Distance_Frontend[[#This Row],[Size]]</f>
        <v>0</v>
      </c>
      <c r="X54" s="174">
        <f>Fleet_Distance_Frontend[[#This Row],[Number of units]]</f>
        <v>0</v>
      </c>
      <c r="Y54" s="174" t="s">
        <v>339</v>
      </c>
      <c r="Z54" s="174">
        <f>Fleet_Distance_Frontend[[#This Row],[Methodology]]</f>
        <v>0</v>
      </c>
      <c r="AA54" s="229" t="e" cm="1">
        <f t="array" ref="AA54">INDEX(_xlfn.SWITCH(Fleet_Distance_Backend[[#This Row],[Methodology]],"Tier 1",rng_RSD1,"Tier 2",rng_RSD2,"Tier 3",rng_RSD3),MATCH(_xlfn.CONCAT(Fleet_Distance_Backend[[#This Row],[Level 1]:[Level 6]]),rng_LevelsConcat,0))</f>
        <v>#N/A</v>
      </c>
      <c r="AB54" s="220">
        <f>Fleet_Distance_Frontend[[#This Row],[Data]]</f>
        <v>0</v>
      </c>
      <c r="AC54" s="174">
        <f>Fleet_Distance_Frontend[[#This Row],[Units]]</f>
        <v>0</v>
      </c>
      <c r="AD54" s="220" t="e">
        <f>IF(Fleet_Distance_Backend[[#This Row],[Units]]=Fleet_Distance_Backend[[#This Row],[Standard units]],Fleet_Distance_Backend[[#This Row],[Data]],Fleet_Distance_Backend[[#This Row],[Data]]*_xlfn.XLOOKUP(_xlfn.CONCAT(Fleet_Distance_Backend[[#This Row],[Level 1]:[Level 6]]),rng_EFConcat,rng_EFConversion))</f>
        <v>#N/A</v>
      </c>
      <c r="AE54" s="174" t="s">
        <v>356</v>
      </c>
      <c r="AF54" s="210" t="e">
        <f>_xlfn.XLOOKUP(_xlfn.CONCAT(Fleet_Distance_Backend[[#This Row],[Level 1]:[Level 6]]),rng_EFConcat,rng_EF1)*Fleet_Distance_Backend[[#This Row],[Converted data]]/1000</f>
        <v>#N/A</v>
      </c>
      <c r="AG54" s="210" t="e">
        <f>_xlfn.XLOOKUP(_xlfn.CONCAT(Fleet_Distance_Backend[[#This Row],[Level 1]:[Level 6]]),rng_EFConcat,rng_EF2)*Fleet_Distance_Backend[[#This Row],[Converted data]]/1000</f>
        <v>#N/A</v>
      </c>
      <c r="AH54" s="210" t="e">
        <f>_xlfn.XLOOKUP(_xlfn.CONCAT(Fleet_Distance_Backend[[#This Row],[Level 1]:[Level 6]]),rng_EFConcat,rng_EF3)*Fleet_Distance_Backend[[#This Row],[Converted data]]/1000</f>
        <v>#N/A</v>
      </c>
      <c r="AI54" s="210" t="e">
        <f>_xlfn.XLOOKUP(_xlfn.CONCAT(Fleet_Distance_Backend[[#This Row],[Level 1]:[Level 6]]),rng_EFConcat,rng_EF3WTT)*Fleet_Distance_Backend[[#This Row],[Converted data]]/1000</f>
        <v>#N/A</v>
      </c>
      <c r="AJ54" s="210" t="e">
        <f>_xlfn.XLOOKUP(_xlfn.CONCAT(Fleet_Distance_Backend[[#This Row],[Level 1]:[Level 6]]),rng_EFConcat,rng_EF3TD)*Fleet_Distance_Backend[[#This Row],[Converted data]]/1000</f>
        <v>#N/A</v>
      </c>
      <c r="AK54" s="210" t="e">
        <f>_xlfn.XLOOKUP(_xlfn.CONCAT(Fleet_Distance_Backend[[#This Row],[Level 1]:[Level 6]]),rng_EFConcat,rng_EF3WTTTD)*Fleet_Distance_Backend[[#This Row],[Converted data]]/1000</f>
        <v>#N/A</v>
      </c>
      <c r="AL54" s="220" t="e">
        <f>SUM(Fleet_Distance_Backend[[#This Row],[Scope 1 (tCO2e)]:[Scope 3 WTT T&amp;D (tCO2e)]])</f>
        <v>#N/A</v>
      </c>
      <c r="AM54" s="220" t="e">
        <f>Fleet_Distance_Backend[[#This Row],[Total (tCO2e)]]*(1-Fleet_Distance_Backend[[#This Row],[RSD]])</f>
        <v>#N/A</v>
      </c>
      <c r="AN54" s="220" t="e">
        <f>Fleet_Distance_Backend[[#This Row],[Total (tCO2e)]]*(1+Fleet_Distance_Backend[[#This Row],[RSD]])</f>
        <v>#N/A</v>
      </c>
      <c r="AO54" s="210" t="e">
        <f>_xlfn.XLOOKUP(_xlfn.CONCAT(Fleet_Distance_Backend[[#This Row],[Level 1]:[Level 6]]),rng_EFConcat,rng_EFOOS)*Fleet_Distance_Backend[[#This Row],[Converted data]]/1000</f>
        <v>#N/A</v>
      </c>
      <c r="AP54" s="174">
        <f>Fleet_Distance_Frontend[[#This Row],[Ease of collection]]</f>
        <v>0</v>
      </c>
      <c r="AQ54" s="174">
        <f>Fleet_Distance_Frontend[[#This Row],[Completeness]]</f>
        <v>0</v>
      </c>
      <c r="AR54" s="174">
        <f>Fleet_Distance_Frontend[[#This Row],[Notes]]</f>
        <v>0</v>
      </c>
      <c r="AU54"/>
      <c r="AV54"/>
      <c r="AW54"/>
      <c r="AX54"/>
      <c r="AY54"/>
      <c r="AZ54"/>
      <c r="BA54"/>
      <c r="BB54"/>
      <c r="BC54"/>
      <c r="BD54"/>
      <c r="BE54"/>
      <c r="BF54"/>
      <c r="BG54"/>
      <c r="BH54"/>
      <c r="BI54"/>
      <c r="BJ54"/>
      <c r="BK54"/>
    </row>
    <row r="55" spans="2:63" ht="14.5" x14ac:dyDescent="0.35">
      <c r="B55" s="455"/>
      <c r="E55" s="346"/>
      <c r="F55" s="336"/>
      <c r="G55" s="336"/>
      <c r="H55" s="364"/>
      <c r="I55" s="336"/>
      <c r="J55" s="334"/>
      <c r="K55" s="336"/>
      <c r="L55" s="336"/>
      <c r="M55" s="336"/>
      <c r="N55" s="337"/>
      <c r="O55" s="242">
        <f t="shared" si="4"/>
        <v>6</v>
      </c>
      <c r="Q55" s="211" t="str">
        <f t="shared" si="3"/>
        <v/>
      </c>
      <c r="R55" s="174" t="s">
        <v>220</v>
      </c>
      <c r="S55" s="174" t="s">
        <v>352</v>
      </c>
      <c r="T55" s="174" t="s">
        <v>1859</v>
      </c>
      <c r="U55" s="174">
        <f>Fleet_Distance_Frontend[[#This Row],[Fleet type]]</f>
        <v>0</v>
      </c>
      <c r="V55" s="174">
        <f>Fleet_Distance_Frontend[[#This Row],[Fuel]]</f>
        <v>0</v>
      </c>
      <c r="W55" s="174">
        <f>Fleet_Distance_Frontend[[#This Row],[Size]]</f>
        <v>0</v>
      </c>
      <c r="X55" s="174">
        <f>Fleet_Distance_Frontend[[#This Row],[Number of units]]</f>
        <v>0</v>
      </c>
      <c r="Y55" s="174" t="s">
        <v>339</v>
      </c>
      <c r="Z55" s="174">
        <f>Fleet_Distance_Frontend[[#This Row],[Methodology]]</f>
        <v>0</v>
      </c>
      <c r="AA55" s="229" t="e" cm="1">
        <f t="array" ref="AA55">INDEX(_xlfn.SWITCH(Fleet_Distance_Backend[[#This Row],[Methodology]],"Tier 1",rng_RSD1,"Tier 2",rng_RSD2,"Tier 3",rng_RSD3),MATCH(_xlfn.CONCAT(Fleet_Distance_Backend[[#This Row],[Level 1]:[Level 6]]),rng_LevelsConcat,0))</f>
        <v>#N/A</v>
      </c>
      <c r="AB55" s="220">
        <f>Fleet_Distance_Frontend[[#This Row],[Data]]</f>
        <v>0</v>
      </c>
      <c r="AC55" s="174">
        <f>Fleet_Distance_Frontend[[#This Row],[Units]]</f>
        <v>0</v>
      </c>
      <c r="AD55" s="220" t="e">
        <f>IF(Fleet_Distance_Backend[[#This Row],[Units]]=Fleet_Distance_Backend[[#This Row],[Standard units]],Fleet_Distance_Backend[[#This Row],[Data]],Fleet_Distance_Backend[[#This Row],[Data]]*_xlfn.XLOOKUP(_xlfn.CONCAT(Fleet_Distance_Backend[[#This Row],[Level 1]:[Level 6]]),rng_EFConcat,rng_EFConversion))</f>
        <v>#N/A</v>
      </c>
      <c r="AE55" s="174" t="s">
        <v>356</v>
      </c>
      <c r="AF55" s="210" t="e">
        <f>_xlfn.XLOOKUP(_xlfn.CONCAT(Fleet_Distance_Backend[[#This Row],[Level 1]:[Level 6]]),rng_EFConcat,rng_EF1)*Fleet_Distance_Backend[[#This Row],[Converted data]]/1000</f>
        <v>#N/A</v>
      </c>
      <c r="AG55" s="210" t="e">
        <f>_xlfn.XLOOKUP(_xlfn.CONCAT(Fleet_Distance_Backend[[#This Row],[Level 1]:[Level 6]]),rng_EFConcat,rng_EF2)*Fleet_Distance_Backend[[#This Row],[Converted data]]/1000</f>
        <v>#N/A</v>
      </c>
      <c r="AH55" s="210" t="e">
        <f>_xlfn.XLOOKUP(_xlfn.CONCAT(Fleet_Distance_Backend[[#This Row],[Level 1]:[Level 6]]),rng_EFConcat,rng_EF3)*Fleet_Distance_Backend[[#This Row],[Converted data]]/1000</f>
        <v>#N/A</v>
      </c>
      <c r="AI55" s="210" t="e">
        <f>_xlfn.XLOOKUP(_xlfn.CONCAT(Fleet_Distance_Backend[[#This Row],[Level 1]:[Level 6]]),rng_EFConcat,rng_EF3WTT)*Fleet_Distance_Backend[[#This Row],[Converted data]]/1000</f>
        <v>#N/A</v>
      </c>
      <c r="AJ55" s="210" t="e">
        <f>_xlfn.XLOOKUP(_xlfn.CONCAT(Fleet_Distance_Backend[[#This Row],[Level 1]:[Level 6]]),rng_EFConcat,rng_EF3TD)*Fleet_Distance_Backend[[#This Row],[Converted data]]/1000</f>
        <v>#N/A</v>
      </c>
      <c r="AK55" s="210" t="e">
        <f>_xlfn.XLOOKUP(_xlfn.CONCAT(Fleet_Distance_Backend[[#This Row],[Level 1]:[Level 6]]),rng_EFConcat,rng_EF3WTTTD)*Fleet_Distance_Backend[[#This Row],[Converted data]]/1000</f>
        <v>#N/A</v>
      </c>
      <c r="AL55" s="220" t="e">
        <f>SUM(Fleet_Distance_Backend[[#This Row],[Scope 1 (tCO2e)]:[Scope 3 WTT T&amp;D (tCO2e)]])</f>
        <v>#N/A</v>
      </c>
      <c r="AM55" s="220" t="e">
        <f>Fleet_Distance_Backend[[#This Row],[Total (tCO2e)]]*(1-Fleet_Distance_Backend[[#This Row],[RSD]])</f>
        <v>#N/A</v>
      </c>
      <c r="AN55" s="220" t="e">
        <f>Fleet_Distance_Backend[[#This Row],[Total (tCO2e)]]*(1+Fleet_Distance_Backend[[#This Row],[RSD]])</f>
        <v>#N/A</v>
      </c>
      <c r="AO55" s="210" t="e">
        <f>_xlfn.XLOOKUP(_xlfn.CONCAT(Fleet_Distance_Backend[[#This Row],[Level 1]:[Level 6]]),rng_EFConcat,rng_EFOOS)*Fleet_Distance_Backend[[#This Row],[Converted data]]/1000</f>
        <v>#N/A</v>
      </c>
      <c r="AP55" s="174">
        <f>Fleet_Distance_Frontend[[#This Row],[Ease of collection]]</f>
        <v>0</v>
      </c>
      <c r="AQ55" s="174">
        <f>Fleet_Distance_Frontend[[#This Row],[Completeness]]</f>
        <v>0</v>
      </c>
      <c r="AR55" s="174">
        <f>Fleet_Distance_Frontend[[#This Row],[Notes]]</f>
        <v>0</v>
      </c>
      <c r="AU55"/>
      <c r="AV55"/>
      <c r="AW55"/>
      <c r="AX55"/>
      <c r="AY55"/>
      <c r="AZ55"/>
      <c r="BA55"/>
      <c r="BB55"/>
      <c r="BC55"/>
      <c r="BD55"/>
      <c r="BE55"/>
      <c r="BF55"/>
      <c r="BG55"/>
      <c r="BH55"/>
      <c r="BI55"/>
      <c r="BJ55"/>
      <c r="BK55"/>
    </row>
    <row r="56" spans="2:63" ht="14.5" x14ac:dyDescent="0.35">
      <c r="B56" s="455"/>
      <c r="E56" s="346"/>
      <c r="F56" s="336"/>
      <c r="G56" s="336"/>
      <c r="H56" s="364"/>
      <c r="I56" s="336"/>
      <c r="J56" s="334"/>
      <c r="K56" s="336"/>
      <c r="L56" s="336"/>
      <c r="M56" s="336"/>
      <c r="N56" s="337"/>
      <c r="O56" s="242">
        <f t="shared" si="4"/>
        <v>6</v>
      </c>
      <c r="Q56" s="211" t="str">
        <f t="shared" si="3"/>
        <v/>
      </c>
      <c r="R56" s="174" t="s">
        <v>220</v>
      </c>
      <c r="S56" s="174" t="s">
        <v>352</v>
      </c>
      <c r="T56" s="174" t="s">
        <v>1859</v>
      </c>
      <c r="U56" s="174">
        <f>Fleet_Distance_Frontend[[#This Row],[Fleet type]]</f>
        <v>0</v>
      </c>
      <c r="V56" s="174">
        <f>Fleet_Distance_Frontend[[#This Row],[Fuel]]</f>
        <v>0</v>
      </c>
      <c r="W56" s="174">
        <f>Fleet_Distance_Frontend[[#This Row],[Size]]</f>
        <v>0</v>
      </c>
      <c r="X56" s="174">
        <f>Fleet_Distance_Frontend[[#This Row],[Number of units]]</f>
        <v>0</v>
      </c>
      <c r="Y56" s="174" t="s">
        <v>339</v>
      </c>
      <c r="Z56" s="174">
        <f>Fleet_Distance_Frontend[[#This Row],[Methodology]]</f>
        <v>0</v>
      </c>
      <c r="AA56" s="229" t="e" cm="1">
        <f t="array" ref="AA56">INDEX(_xlfn.SWITCH(Fleet_Distance_Backend[[#This Row],[Methodology]],"Tier 1",rng_RSD1,"Tier 2",rng_RSD2,"Tier 3",rng_RSD3),MATCH(_xlfn.CONCAT(Fleet_Distance_Backend[[#This Row],[Level 1]:[Level 6]]),rng_LevelsConcat,0))</f>
        <v>#N/A</v>
      </c>
      <c r="AB56" s="220">
        <f>Fleet_Distance_Frontend[[#This Row],[Data]]</f>
        <v>0</v>
      </c>
      <c r="AC56" s="174">
        <f>Fleet_Distance_Frontend[[#This Row],[Units]]</f>
        <v>0</v>
      </c>
      <c r="AD56" s="220" t="e">
        <f>IF(Fleet_Distance_Backend[[#This Row],[Units]]=Fleet_Distance_Backend[[#This Row],[Standard units]],Fleet_Distance_Backend[[#This Row],[Data]],Fleet_Distance_Backend[[#This Row],[Data]]*_xlfn.XLOOKUP(_xlfn.CONCAT(Fleet_Distance_Backend[[#This Row],[Level 1]:[Level 6]]),rng_EFConcat,rng_EFConversion))</f>
        <v>#N/A</v>
      </c>
      <c r="AE56" s="174" t="s">
        <v>356</v>
      </c>
      <c r="AF56" s="210" t="e">
        <f>_xlfn.XLOOKUP(_xlfn.CONCAT(Fleet_Distance_Backend[[#This Row],[Level 1]:[Level 6]]),rng_EFConcat,rng_EF1)*Fleet_Distance_Backend[[#This Row],[Converted data]]/1000</f>
        <v>#N/A</v>
      </c>
      <c r="AG56" s="210" t="e">
        <f>_xlfn.XLOOKUP(_xlfn.CONCAT(Fleet_Distance_Backend[[#This Row],[Level 1]:[Level 6]]),rng_EFConcat,rng_EF2)*Fleet_Distance_Backend[[#This Row],[Converted data]]/1000</f>
        <v>#N/A</v>
      </c>
      <c r="AH56" s="210" t="e">
        <f>_xlfn.XLOOKUP(_xlfn.CONCAT(Fleet_Distance_Backend[[#This Row],[Level 1]:[Level 6]]),rng_EFConcat,rng_EF3)*Fleet_Distance_Backend[[#This Row],[Converted data]]/1000</f>
        <v>#N/A</v>
      </c>
      <c r="AI56" s="210" t="e">
        <f>_xlfn.XLOOKUP(_xlfn.CONCAT(Fleet_Distance_Backend[[#This Row],[Level 1]:[Level 6]]),rng_EFConcat,rng_EF3WTT)*Fleet_Distance_Backend[[#This Row],[Converted data]]/1000</f>
        <v>#N/A</v>
      </c>
      <c r="AJ56" s="210" t="e">
        <f>_xlfn.XLOOKUP(_xlfn.CONCAT(Fleet_Distance_Backend[[#This Row],[Level 1]:[Level 6]]),rng_EFConcat,rng_EF3TD)*Fleet_Distance_Backend[[#This Row],[Converted data]]/1000</f>
        <v>#N/A</v>
      </c>
      <c r="AK56" s="210" t="e">
        <f>_xlfn.XLOOKUP(_xlfn.CONCAT(Fleet_Distance_Backend[[#This Row],[Level 1]:[Level 6]]),rng_EFConcat,rng_EF3WTTTD)*Fleet_Distance_Backend[[#This Row],[Converted data]]/1000</f>
        <v>#N/A</v>
      </c>
      <c r="AL56" s="220" t="e">
        <f>SUM(Fleet_Distance_Backend[[#This Row],[Scope 1 (tCO2e)]:[Scope 3 WTT T&amp;D (tCO2e)]])</f>
        <v>#N/A</v>
      </c>
      <c r="AM56" s="220" t="e">
        <f>Fleet_Distance_Backend[[#This Row],[Total (tCO2e)]]*(1-Fleet_Distance_Backend[[#This Row],[RSD]])</f>
        <v>#N/A</v>
      </c>
      <c r="AN56" s="220" t="e">
        <f>Fleet_Distance_Backend[[#This Row],[Total (tCO2e)]]*(1+Fleet_Distance_Backend[[#This Row],[RSD]])</f>
        <v>#N/A</v>
      </c>
      <c r="AO56" s="210" t="e">
        <f>_xlfn.XLOOKUP(_xlfn.CONCAT(Fleet_Distance_Backend[[#This Row],[Level 1]:[Level 6]]),rng_EFConcat,rng_EFOOS)*Fleet_Distance_Backend[[#This Row],[Converted data]]/1000</f>
        <v>#N/A</v>
      </c>
      <c r="AP56" s="174">
        <f>Fleet_Distance_Frontend[[#This Row],[Ease of collection]]</f>
        <v>0</v>
      </c>
      <c r="AQ56" s="174">
        <f>Fleet_Distance_Frontend[[#This Row],[Completeness]]</f>
        <v>0</v>
      </c>
      <c r="AR56" s="174">
        <f>Fleet_Distance_Frontend[[#This Row],[Notes]]</f>
        <v>0</v>
      </c>
      <c r="AU56"/>
      <c r="AV56"/>
      <c r="AW56"/>
      <c r="AX56"/>
      <c r="AY56"/>
      <c r="AZ56"/>
      <c r="BA56"/>
      <c r="BB56"/>
      <c r="BC56"/>
      <c r="BD56"/>
      <c r="BE56"/>
      <c r="BF56"/>
      <c r="BG56"/>
      <c r="BH56"/>
      <c r="BI56"/>
      <c r="BJ56"/>
      <c r="BK56"/>
    </row>
    <row r="57" spans="2:63" ht="14.5" x14ac:dyDescent="0.35">
      <c r="B57" s="455"/>
      <c r="E57" s="346"/>
      <c r="F57" s="336"/>
      <c r="G57" s="336"/>
      <c r="H57" s="364"/>
      <c r="I57" s="336"/>
      <c r="J57" s="334"/>
      <c r="K57" s="336"/>
      <c r="L57" s="336"/>
      <c r="M57" s="336"/>
      <c r="N57" s="337"/>
      <c r="O57" s="242">
        <f t="shared" si="4"/>
        <v>6</v>
      </c>
      <c r="Q57" s="211" t="str">
        <f t="shared" si="3"/>
        <v/>
      </c>
      <c r="R57" s="174" t="s">
        <v>220</v>
      </c>
      <c r="S57" s="174" t="s">
        <v>352</v>
      </c>
      <c r="T57" s="174" t="s">
        <v>1859</v>
      </c>
      <c r="U57" s="174">
        <f>Fleet_Distance_Frontend[[#This Row],[Fleet type]]</f>
        <v>0</v>
      </c>
      <c r="V57" s="174">
        <f>Fleet_Distance_Frontend[[#This Row],[Fuel]]</f>
        <v>0</v>
      </c>
      <c r="W57" s="174">
        <f>Fleet_Distance_Frontend[[#This Row],[Size]]</f>
        <v>0</v>
      </c>
      <c r="X57" s="174">
        <f>Fleet_Distance_Frontend[[#This Row],[Number of units]]</f>
        <v>0</v>
      </c>
      <c r="Y57" s="174" t="s">
        <v>339</v>
      </c>
      <c r="Z57" s="174">
        <f>Fleet_Distance_Frontend[[#This Row],[Methodology]]</f>
        <v>0</v>
      </c>
      <c r="AA57" s="229" t="e" cm="1">
        <f t="array" ref="AA57">INDEX(_xlfn.SWITCH(Fleet_Distance_Backend[[#This Row],[Methodology]],"Tier 1",rng_RSD1,"Tier 2",rng_RSD2,"Tier 3",rng_RSD3),MATCH(_xlfn.CONCAT(Fleet_Distance_Backend[[#This Row],[Level 1]:[Level 6]]),rng_LevelsConcat,0))</f>
        <v>#N/A</v>
      </c>
      <c r="AB57" s="220">
        <f>Fleet_Distance_Frontend[[#This Row],[Data]]</f>
        <v>0</v>
      </c>
      <c r="AC57" s="174">
        <f>Fleet_Distance_Frontend[[#This Row],[Units]]</f>
        <v>0</v>
      </c>
      <c r="AD57" s="220" t="e">
        <f>IF(Fleet_Distance_Backend[[#This Row],[Units]]=Fleet_Distance_Backend[[#This Row],[Standard units]],Fleet_Distance_Backend[[#This Row],[Data]],Fleet_Distance_Backend[[#This Row],[Data]]*_xlfn.XLOOKUP(_xlfn.CONCAT(Fleet_Distance_Backend[[#This Row],[Level 1]:[Level 6]]),rng_EFConcat,rng_EFConversion))</f>
        <v>#N/A</v>
      </c>
      <c r="AE57" s="174" t="s">
        <v>356</v>
      </c>
      <c r="AF57" s="210" t="e">
        <f>_xlfn.XLOOKUP(_xlfn.CONCAT(Fleet_Distance_Backend[[#This Row],[Level 1]:[Level 6]]),rng_EFConcat,rng_EF1)*Fleet_Distance_Backend[[#This Row],[Converted data]]/1000</f>
        <v>#N/A</v>
      </c>
      <c r="AG57" s="210" t="e">
        <f>_xlfn.XLOOKUP(_xlfn.CONCAT(Fleet_Distance_Backend[[#This Row],[Level 1]:[Level 6]]),rng_EFConcat,rng_EF2)*Fleet_Distance_Backend[[#This Row],[Converted data]]/1000</f>
        <v>#N/A</v>
      </c>
      <c r="AH57" s="210" t="e">
        <f>_xlfn.XLOOKUP(_xlfn.CONCAT(Fleet_Distance_Backend[[#This Row],[Level 1]:[Level 6]]),rng_EFConcat,rng_EF3)*Fleet_Distance_Backend[[#This Row],[Converted data]]/1000</f>
        <v>#N/A</v>
      </c>
      <c r="AI57" s="210" t="e">
        <f>_xlfn.XLOOKUP(_xlfn.CONCAT(Fleet_Distance_Backend[[#This Row],[Level 1]:[Level 6]]),rng_EFConcat,rng_EF3WTT)*Fleet_Distance_Backend[[#This Row],[Converted data]]/1000</f>
        <v>#N/A</v>
      </c>
      <c r="AJ57" s="210" t="e">
        <f>_xlfn.XLOOKUP(_xlfn.CONCAT(Fleet_Distance_Backend[[#This Row],[Level 1]:[Level 6]]),rng_EFConcat,rng_EF3TD)*Fleet_Distance_Backend[[#This Row],[Converted data]]/1000</f>
        <v>#N/A</v>
      </c>
      <c r="AK57" s="210" t="e">
        <f>_xlfn.XLOOKUP(_xlfn.CONCAT(Fleet_Distance_Backend[[#This Row],[Level 1]:[Level 6]]),rng_EFConcat,rng_EF3WTTTD)*Fleet_Distance_Backend[[#This Row],[Converted data]]/1000</f>
        <v>#N/A</v>
      </c>
      <c r="AL57" s="220" t="e">
        <f>SUM(Fleet_Distance_Backend[[#This Row],[Scope 1 (tCO2e)]:[Scope 3 WTT T&amp;D (tCO2e)]])</f>
        <v>#N/A</v>
      </c>
      <c r="AM57" s="220" t="e">
        <f>Fleet_Distance_Backend[[#This Row],[Total (tCO2e)]]*(1-Fleet_Distance_Backend[[#This Row],[RSD]])</f>
        <v>#N/A</v>
      </c>
      <c r="AN57" s="220" t="e">
        <f>Fleet_Distance_Backend[[#This Row],[Total (tCO2e)]]*(1+Fleet_Distance_Backend[[#This Row],[RSD]])</f>
        <v>#N/A</v>
      </c>
      <c r="AO57" s="210" t="e">
        <f>_xlfn.XLOOKUP(_xlfn.CONCAT(Fleet_Distance_Backend[[#This Row],[Level 1]:[Level 6]]),rng_EFConcat,rng_EFOOS)*Fleet_Distance_Backend[[#This Row],[Converted data]]/1000</f>
        <v>#N/A</v>
      </c>
      <c r="AP57" s="174">
        <f>Fleet_Distance_Frontend[[#This Row],[Ease of collection]]</f>
        <v>0</v>
      </c>
      <c r="AQ57" s="174">
        <f>Fleet_Distance_Frontend[[#This Row],[Completeness]]</f>
        <v>0</v>
      </c>
      <c r="AR57" s="174">
        <f>Fleet_Distance_Frontend[[#This Row],[Notes]]</f>
        <v>0</v>
      </c>
      <c r="AU57"/>
      <c r="AV57"/>
      <c r="AW57"/>
      <c r="AX57"/>
      <c r="AY57"/>
      <c r="AZ57"/>
      <c r="BA57"/>
      <c r="BB57"/>
      <c r="BC57"/>
      <c r="BD57"/>
      <c r="BE57"/>
      <c r="BF57"/>
      <c r="BG57"/>
      <c r="BH57"/>
      <c r="BI57"/>
      <c r="BJ57"/>
      <c r="BK57"/>
    </row>
    <row r="58" spans="2:63" ht="14.5" x14ac:dyDescent="0.35">
      <c r="B58" s="455"/>
      <c r="E58" s="346"/>
      <c r="F58" s="336"/>
      <c r="G58" s="336"/>
      <c r="H58" s="364"/>
      <c r="I58" s="336"/>
      <c r="J58" s="334"/>
      <c r="K58" s="336"/>
      <c r="L58" s="336"/>
      <c r="M58" s="336"/>
      <c r="N58" s="337"/>
      <c r="O58" s="242">
        <f t="shared" si="4"/>
        <v>6</v>
      </c>
      <c r="Q58" s="211" t="str">
        <f t="shared" si="3"/>
        <v/>
      </c>
      <c r="R58" s="174" t="s">
        <v>220</v>
      </c>
      <c r="S58" s="174" t="s">
        <v>352</v>
      </c>
      <c r="T58" s="174" t="s">
        <v>1859</v>
      </c>
      <c r="U58" s="174">
        <f>Fleet_Distance_Frontend[[#This Row],[Fleet type]]</f>
        <v>0</v>
      </c>
      <c r="V58" s="174">
        <f>Fleet_Distance_Frontend[[#This Row],[Fuel]]</f>
        <v>0</v>
      </c>
      <c r="W58" s="174">
        <f>Fleet_Distance_Frontend[[#This Row],[Size]]</f>
        <v>0</v>
      </c>
      <c r="X58" s="174">
        <f>Fleet_Distance_Frontend[[#This Row],[Number of units]]</f>
        <v>0</v>
      </c>
      <c r="Y58" s="174" t="s">
        <v>339</v>
      </c>
      <c r="Z58" s="174">
        <f>Fleet_Distance_Frontend[[#This Row],[Methodology]]</f>
        <v>0</v>
      </c>
      <c r="AA58" s="229" t="e" cm="1">
        <f t="array" ref="AA58">INDEX(_xlfn.SWITCH(Fleet_Distance_Backend[[#This Row],[Methodology]],"Tier 1",rng_RSD1,"Tier 2",rng_RSD2,"Tier 3",rng_RSD3),MATCH(_xlfn.CONCAT(Fleet_Distance_Backend[[#This Row],[Level 1]:[Level 6]]),rng_LevelsConcat,0))</f>
        <v>#N/A</v>
      </c>
      <c r="AB58" s="220">
        <f>Fleet_Distance_Frontend[[#This Row],[Data]]</f>
        <v>0</v>
      </c>
      <c r="AC58" s="174">
        <f>Fleet_Distance_Frontend[[#This Row],[Units]]</f>
        <v>0</v>
      </c>
      <c r="AD58" s="220" t="e">
        <f>IF(Fleet_Distance_Backend[[#This Row],[Units]]=Fleet_Distance_Backend[[#This Row],[Standard units]],Fleet_Distance_Backend[[#This Row],[Data]],Fleet_Distance_Backend[[#This Row],[Data]]*_xlfn.XLOOKUP(_xlfn.CONCAT(Fleet_Distance_Backend[[#This Row],[Level 1]:[Level 6]]),rng_EFConcat,rng_EFConversion))</f>
        <v>#N/A</v>
      </c>
      <c r="AE58" s="174" t="s">
        <v>356</v>
      </c>
      <c r="AF58" s="210" t="e">
        <f>_xlfn.XLOOKUP(_xlfn.CONCAT(Fleet_Distance_Backend[[#This Row],[Level 1]:[Level 6]]),rng_EFConcat,rng_EF1)*Fleet_Distance_Backend[[#This Row],[Converted data]]/1000</f>
        <v>#N/A</v>
      </c>
      <c r="AG58" s="210" t="e">
        <f>_xlfn.XLOOKUP(_xlfn.CONCAT(Fleet_Distance_Backend[[#This Row],[Level 1]:[Level 6]]),rng_EFConcat,rng_EF2)*Fleet_Distance_Backend[[#This Row],[Converted data]]/1000</f>
        <v>#N/A</v>
      </c>
      <c r="AH58" s="210" t="e">
        <f>_xlfn.XLOOKUP(_xlfn.CONCAT(Fleet_Distance_Backend[[#This Row],[Level 1]:[Level 6]]),rng_EFConcat,rng_EF3)*Fleet_Distance_Backend[[#This Row],[Converted data]]/1000</f>
        <v>#N/A</v>
      </c>
      <c r="AI58" s="210" t="e">
        <f>_xlfn.XLOOKUP(_xlfn.CONCAT(Fleet_Distance_Backend[[#This Row],[Level 1]:[Level 6]]),rng_EFConcat,rng_EF3WTT)*Fleet_Distance_Backend[[#This Row],[Converted data]]/1000</f>
        <v>#N/A</v>
      </c>
      <c r="AJ58" s="210" t="e">
        <f>_xlfn.XLOOKUP(_xlfn.CONCAT(Fleet_Distance_Backend[[#This Row],[Level 1]:[Level 6]]),rng_EFConcat,rng_EF3TD)*Fleet_Distance_Backend[[#This Row],[Converted data]]/1000</f>
        <v>#N/A</v>
      </c>
      <c r="AK58" s="210" t="e">
        <f>_xlfn.XLOOKUP(_xlfn.CONCAT(Fleet_Distance_Backend[[#This Row],[Level 1]:[Level 6]]),rng_EFConcat,rng_EF3WTTTD)*Fleet_Distance_Backend[[#This Row],[Converted data]]/1000</f>
        <v>#N/A</v>
      </c>
      <c r="AL58" s="220" t="e">
        <f>SUM(Fleet_Distance_Backend[[#This Row],[Scope 1 (tCO2e)]:[Scope 3 WTT T&amp;D (tCO2e)]])</f>
        <v>#N/A</v>
      </c>
      <c r="AM58" s="220" t="e">
        <f>Fleet_Distance_Backend[[#This Row],[Total (tCO2e)]]*(1-Fleet_Distance_Backend[[#This Row],[RSD]])</f>
        <v>#N/A</v>
      </c>
      <c r="AN58" s="220" t="e">
        <f>Fleet_Distance_Backend[[#This Row],[Total (tCO2e)]]*(1+Fleet_Distance_Backend[[#This Row],[RSD]])</f>
        <v>#N/A</v>
      </c>
      <c r="AO58" s="210" t="e">
        <f>_xlfn.XLOOKUP(_xlfn.CONCAT(Fleet_Distance_Backend[[#This Row],[Level 1]:[Level 6]]),rng_EFConcat,rng_EFOOS)*Fleet_Distance_Backend[[#This Row],[Converted data]]/1000</f>
        <v>#N/A</v>
      </c>
      <c r="AP58" s="174">
        <f>Fleet_Distance_Frontend[[#This Row],[Ease of collection]]</f>
        <v>0</v>
      </c>
      <c r="AQ58" s="174">
        <f>Fleet_Distance_Frontend[[#This Row],[Completeness]]</f>
        <v>0</v>
      </c>
      <c r="AR58" s="174">
        <f>Fleet_Distance_Frontend[[#This Row],[Notes]]</f>
        <v>0</v>
      </c>
      <c r="AU58"/>
      <c r="AV58"/>
      <c r="AW58"/>
      <c r="AX58"/>
      <c r="AY58"/>
      <c r="AZ58"/>
      <c r="BA58"/>
      <c r="BB58"/>
      <c r="BC58"/>
      <c r="BD58"/>
      <c r="BE58"/>
      <c r="BF58"/>
      <c r="BG58"/>
      <c r="BH58"/>
      <c r="BI58"/>
      <c r="BJ58"/>
      <c r="BK58"/>
    </row>
    <row r="59" spans="2:63" ht="14.5" x14ac:dyDescent="0.35">
      <c r="B59" s="455"/>
      <c r="E59" s="346"/>
      <c r="F59" s="336"/>
      <c r="G59" s="336"/>
      <c r="H59" s="364"/>
      <c r="I59" s="336"/>
      <c r="J59" s="334"/>
      <c r="K59" s="336"/>
      <c r="L59" s="336"/>
      <c r="M59" s="336"/>
      <c r="N59" s="337"/>
      <c r="O59" s="242">
        <f t="shared" si="4"/>
        <v>6</v>
      </c>
      <c r="Q59" s="211" t="str">
        <f t="shared" si="3"/>
        <v/>
      </c>
      <c r="R59" s="174" t="s">
        <v>220</v>
      </c>
      <c r="S59" s="174" t="s">
        <v>352</v>
      </c>
      <c r="T59" s="174" t="s">
        <v>1859</v>
      </c>
      <c r="U59" s="174">
        <f>Fleet_Distance_Frontend[[#This Row],[Fleet type]]</f>
        <v>0</v>
      </c>
      <c r="V59" s="174">
        <f>Fleet_Distance_Frontend[[#This Row],[Fuel]]</f>
        <v>0</v>
      </c>
      <c r="W59" s="174">
        <f>Fleet_Distance_Frontend[[#This Row],[Size]]</f>
        <v>0</v>
      </c>
      <c r="X59" s="174">
        <f>Fleet_Distance_Frontend[[#This Row],[Number of units]]</f>
        <v>0</v>
      </c>
      <c r="Y59" s="174" t="s">
        <v>339</v>
      </c>
      <c r="Z59" s="174">
        <f>Fleet_Distance_Frontend[[#This Row],[Methodology]]</f>
        <v>0</v>
      </c>
      <c r="AA59" s="229" t="e" cm="1">
        <f t="array" ref="AA59">INDEX(_xlfn.SWITCH(Fleet_Distance_Backend[[#This Row],[Methodology]],"Tier 1",rng_RSD1,"Tier 2",rng_RSD2,"Tier 3",rng_RSD3),MATCH(_xlfn.CONCAT(Fleet_Distance_Backend[[#This Row],[Level 1]:[Level 6]]),rng_LevelsConcat,0))</f>
        <v>#N/A</v>
      </c>
      <c r="AB59" s="220">
        <f>Fleet_Distance_Frontend[[#This Row],[Data]]</f>
        <v>0</v>
      </c>
      <c r="AC59" s="174">
        <f>Fleet_Distance_Frontend[[#This Row],[Units]]</f>
        <v>0</v>
      </c>
      <c r="AD59" s="220" t="e">
        <f>IF(Fleet_Distance_Backend[[#This Row],[Units]]=Fleet_Distance_Backend[[#This Row],[Standard units]],Fleet_Distance_Backend[[#This Row],[Data]],Fleet_Distance_Backend[[#This Row],[Data]]*_xlfn.XLOOKUP(_xlfn.CONCAT(Fleet_Distance_Backend[[#This Row],[Level 1]:[Level 6]]),rng_EFConcat,rng_EFConversion))</f>
        <v>#N/A</v>
      </c>
      <c r="AE59" s="174" t="s">
        <v>356</v>
      </c>
      <c r="AF59" s="210" t="e">
        <f>_xlfn.XLOOKUP(_xlfn.CONCAT(Fleet_Distance_Backend[[#This Row],[Level 1]:[Level 6]]),rng_EFConcat,rng_EF1)*Fleet_Distance_Backend[[#This Row],[Converted data]]/1000</f>
        <v>#N/A</v>
      </c>
      <c r="AG59" s="210" t="e">
        <f>_xlfn.XLOOKUP(_xlfn.CONCAT(Fleet_Distance_Backend[[#This Row],[Level 1]:[Level 6]]),rng_EFConcat,rng_EF2)*Fleet_Distance_Backend[[#This Row],[Converted data]]/1000</f>
        <v>#N/A</v>
      </c>
      <c r="AH59" s="210" t="e">
        <f>_xlfn.XLOOKUP(_xlfn.CONCAT(Fleet_Distance_Backend[[#This Row],[Level 1]:[Level 6]]),rng_EFConcat,rng_EF3)*Fleet_Distance_Backend[[#This Row],[Converted data]]/1000</f>
        <v>#N/A</v>
      </c>
      <c r="AI59" s="210" t="e">
        <f>_xlfn.XLOOKUP(_xlfn.CONCAT(Fleet_Distance_Backend[[#This Row],[Level 1]:[Level 6]]),rng_EFConcat,rng_EF3WTT)*Fleet_Distance_Backend[[#This Row],[Converted data]]/1000</f>
        <v>#N/A</v>
      </c>
      <c r="AJ59" s="210" t="e">
        <f>_xlfn.XLOOKUP(_xlfn.CONCAT(Fleet_Distance_Backend[[#This Row],[Level 1]:[Level 6]]),rng_EFConcat,rng_EF3TD)*Fleet_Distance_Backend[[#This Row],[Converted data]]/1000</f>
        <v>#N/A</v>
      </c>
      <c r="AK59" s="210" t="e">
        <f>_xlfn.XLOOKUP(_xlfn.CONCAT(Fleet_Distance_Backend[[#This Row],[Level 1]:[Level 6]]),rng_EFConcat,rng_EF3WTTTD)*Fleet_Distance_Backend[[#This Row],[Converted data]]/1000</f>
        <v>#N/A</v>
      </c>
      <c r="AL59" s="220" t="e">
        <f>SUM(Fleet_Distance_Backend[[#This Row],[Scope 1 (tCO2e)]:[Scope 3 WTT T&amp;D (tCO2e)]])</f>
        <v>#N/A</v>
      </c>
      <c r="AM59" s="220" t="e">
        <f>Fleet_Distance_Backend[[#This Row],[Total (tCO2e)]]*(1-Fleet_Distance_Backend[[#This Row],[RSD]])</f>
        <v>#N/A</v>
      </c>
      <c r="AN59" s="220" t="e">
        <f>Fleet_Distance_Backend[[#This Row],[Total (tCO2e)]]*(1+Fleet_Distance_Backend[[#This Row],[RSD]])</f>
        <v>#N/A</v>
      </c>
      <c r="AO59" s="210" t="e">
        <f>_xlfn.XLOOKUP(_xlfn.CONCAT(Fleet_Distance_Backend[[#This Row],[Level 1]:[Level 6]]),rng_EFConcat,rng_EFOOS)*Fleet_Distance_Backend[[#This Row],[Converted data]]/1000</f>
        <v>#N/A</v>
      </c>
      <c r="AP59" s="174">
        <f>Fleet_Distance_Frontend[[#This Row],[Ease of collection]]</f>
        <v>0</v>
      </c>
      <c r="AQ59" s="174">
        <f>Fleet_Distance_Frontend[[#This Row],[Completeness]]</f>
        <v>0</v>
      </c>
      <c r="AR59" s="174">
        <f>Fleet_Distance_Frontend[[#This Row],[Notes]]</f>
        <v>0</v>
      </c>
      <c r="AU59"/>
      <c r="AV59"/>
      <c r="AW59"/>
      <c r="AX59"/>
      <c r="AY59"/>
      <c r="AZ59"/>
      <c r="BA59"/>
      <c r="BB59"/>
      <c r="BC59"/>
      <c r="BD59"/>
      <c r="BE59"/>
      <c r="BF59"/>
      <c r="BG59"/>
      <c r="BH59"/>
      <c r="BI59"/>
      <c r="BJ59"/>
      <c r="BK59"/>
    </row>
    <row r="60" spans="2:63" ht="14.5" x14ac:dyDescent="0.35">
      <c r="B60" s="455"/>
      <c r="E60" s="346"/>
      <c r="F60" s="336"/>
      <c r="G60" s="336"/>
      <c r="H60" s="364"/>
      <c r="I60" s="338"/>
      <c r="J60" s="335"/>
      <c r="K60" s="336"/>
      <c r="L60" s="338"/>
      <c r="M60" s="338"/>
      <c r="N60" s="337"/>
      <c r="O60" s="242">
        <f t="shared" si="4"/>
        <v>6</v>
      </c>
      <c r="Q60" s="211" t="str">
        <f t="shared" si="3"/>
        <v/>
      </c>
      <c r="R60" s="174" t="s">
        <v>220</v>
      </c>
      <c r="S60" s="174" t="s">
        <v>352</v>
      </c>
      <c r="T60" s="174" t="s">
        <v>1859</v>
      </c>
      <c r="U60" s="174">
        <f>Fleet_Distance_Frontend[[#This Row],[Fleet type]]</f>
        <v>0</v>
      </c>
      <c r="V60" s="174">
        <f>Fleet_Distance_Frontend[[#This Row],[Fuel]]</f>
        <v>0</v>
      </c>
      <c r="W60" s="174">
        <f>Fleet_Distance_Frontend[[#This Row],[Size]]</f>
        <v>0</v>
      </c>
      <c r="X60" s="174">
        <f>Fleet_Distance_Frontend[[#This Row],[Number of units]]</f>
        <v>0</v>
      </c>
      <c r="Y60" s="174" t="s">
        <v>339</v>
      </c>
      <c r="Z60" s="174">
        <f>Fleet_Distance_Frontend[[#This Row],[Methodology]]</f>
        <v>0</v>
      </c>
      <c r="AA60" s="229" t="e" cm="1">
        <f t="array" ref="AA60">INDEX(_xlfn.SWITCH(Fleet_Distance_Backend[[#This Row],[Methodology]],"Tier 1",rng_RSD1,"Tier 2",rng_RSD2,"Tier 3",rng_RSD3),MATCH(_xlfn.CONCAT(Fleet_Distance_Backend[[#This Row],[Level 1]:[Level 6]]),rng_LevelsConcat,0))</f>
        <v>#N/A</v>
      </c>
      <c r="AB60" s="220">
        <f>Fleet_Distance_Frontend[[#This Row],[Data]]</f>
        <v>0</v>
      </c>
      <c r="AC60" s="174">
        <f>Fleet_Distance_Frontend[[#This Row],[Units]]</f>
        <v>0</v>
      </c>
      <c r="AD60" s="220" t="e">
        <f>IF(Fleet_Distance_Backend[[#This Row],[Units]]=Fleet_Distance_Backend[[#This Row],[Standard units]],Fleet_Distance_Backend[[#This Row],[Data]],Fleet_Distance_Backend[[#This Row],[Data]]*_xlfn.XLOOKUP(_xlfn.CONCAT(Fleet_Distance_Backend[[#This Row],[Level 1]:[Level 6]]),rng_EFConcat,rng_EFConversion))</f>
        <v>#N/A</v>
      </c>
      <c r="AE60" s="174" t="s">
        <v>356</v>
      </c>
      <c r="AF60" s="210" t="e">
        <f>_xlfn.XLOOKUP(_xlfn.CONCAT(Fleet_Distance_Backend[[#This Row],[Level 1]:[Level 6]]),rng_EFConcat,rng_EF1)*Fleet_Distance_Backend[[#This Row],[Converted data]]/1000</f>
        <v>#N/A</v>
      </c>
      <c r="AG60" s="210" t="e">
        <f>_xlfn.XLOOKUP(_xlfn.CONCAT(Fleet_Distance_Backend[[#This Row],[Level 1]:[Level 6]]),rng_EFConcat,rng_EF2)*Fleet_Distance_Backend[[#This Row],[Converted data]]/1000</f>
        <v>#N/A</v>
      </c>
      <c r="AH60" s="210" t="e">
        <f>_xlfn.XLOOKUP(_xlfn.CONCAT(Fleet_Distance_Backend[[#This Row],[Level 1]:[Level 6]]),rng_EFConcat,rng_EF3)*Fleet_Distance_Backend[[#This Row],[Converted data]]/1000</f>
        <v>#N/A</v>
      </c>
      <c r="AI60" s="210" t="e">
        <f>_xlfn.XLOOKUP(_xlfn.CONCAT(Fleet_Distance_Backend[[#This Row],[Level 1]:[Level 6]]),rng_EFConcat,rng_EF3WTT)*Fleet_Distance_Backend[[#This Row],[Converted data]]/1000</f>
        <v>#N/A</v>
      </c>
      <c r="AJ60" s="210" t="e">
        <f>_xlfn.XLOOKUP(_xlfn.CONCAT(Fleet_Distance_Backend[[#This Row],[Level 1]:[Level 6]]),rng_EFConcat,rng_EF3TD)*Fleet_Distance_Backend[[#This Row],[Converted data]]/1000</f>
        <v>#N/A</v>
      </c>
      <c r="AK60" s="210" t="e">
        <f>_xlfn.XLOOKUP(_xlfn.CONCAT(Fleet_Distance_Backend[[#This Row],[Level 1]:[Level 6]]),rng_EFConcat,rng_EF3WTTTD)*Fleet_Distance_Backend[[#This Row],[Converted data]]/1000</f>
        <v>#N/A</v>
      </c>
      <c r="AL60" s="220" t="e">
        <f>SUM(Fleet_Distance_Backend[[#This Row],[Scope 1 (tCO2e)]:[Scope 3 WTT T&amp;D (tCO2e)]])</f>
        <v>#N/A</v>
      </c>
      <c r="AM60" s="220" t="e">
        <f>Fleet_Distance_Backend[[#This Row],[Total (tCO2e)]]*(1-Fleet_Distance_Backend[[#This Row],[RSD]])</f>
        <v>#N/A</v>
      </c>
      <c r="AN60" s="220" t="e">
        <f>Fleet_Distance_Backend[[#This Row],[Total (tCO2e)]]*(1+Fleet_Distance_Backend[[#This Row],[RSD]])</f>
        <v>#N/A</v>
      </c>
      <c r="AO60" s="210" t="e">
        <f>_xlfn.XLOOKUP(_xlfn.CONCAT(Fleet_Distance_Backend[[#This Row],[Level 1]:[Level 6]]),rng_EFConcat,rng_EFOOS)*Fleet_Distance_Backend[[#This Row],[Converted data]]/1000</f>
        <v>#N/A</v>
      </c>
      <c r="AP60" s="174">
        <f>Fleet_Distance_Frontend[[#This Row],[Ease of collection]]</f>
        <v>0</v>
      </c>
      <c r="AQ60" s="174">
        <f>Fleet_Distance_Frontend[[#This Row],[Completeness]]</f>
        <v>0</v>
      </c>
      <c r="AR60" s="174">
        <f>Fleet_Distance_Frontend[[#This Row],[Notes]]</f>
        <v>0</v>
      </c>
      <c r="AU60"/>
      <c r="AV60"/>
      <c r="AW60"/>
      <c r="AX60"/>
      <c r="AY60"/>
      <c r="AZ60"/>
      <c r="BA60"/>
      <c r="BB60"/>
      <c r="BC60"/>
      <c r="BD60"/>
      <c r="BE60"/>
      <c r="BF60"/>
      <c r="BG60"/>
      <c r="BH60"/>
      <c r="BI60"/>
      <c r="BJ60"/>
      <c r="BK60"/>
    </row>
    <row r="61" spans="2:63" ht="14.5" x14ac:dyDescent="0.35">
      <c r="E61" s="346"/>
      <c r="F61" s="336"/>
      <c r="G61" s="336"/>
      <c r="H61" s="365"/>
      <c r="I61" s="338"/>
      <c r="J61" s="335"/>
      <c r="K61" s="338"/>
      <c r="L61" s="338"/>
      <c r="M61" s="338"/>
      <c r="N61" s="339"/>
      <c r="O61" s="242">
        <f t="shared" si="4"/>
        <v>6</v>
      </c>
      <c r="Q61" s="223" t="str">
        <f t="shared" si="3"/>
        <v/>
      </c>
      <c r="R61" s="174" t="s">
        <v>220</v>
      </c>
      <c r="S61" s="174" t="s">
        <v>352</v>
      </c>
      <c r="T61" s="174" t="s">
        <v>1859</v>
      </c>
      <c r="U61" s="174">
        <f>Fleet_Distance_Frontend[[#This Row],[Fleet type]]</f>
        <v>0</v>
      </c>
      <c r="V61" s="174">
        <f>Fleet_Distance_Frontend[[#This Row],[Fuel]]</f>
        <v>0</v>
      </c>
      <c r="W61" s="174">
        <f>Fleet_Distance_Frontend[[#This Row],[Size]]</f>
        <v>0</v>
      </c>
      <c r="X61" s="174">
        <f>Fleet_Distance_Frontend[[#This Row],[Number of units]]</f>
        <v>0</v>
      </c>
      <c r="Y61" s="174" t="s">
        <v>339</v>
      </c>
      <c r="Z61" s="174">
        <f>Fleet_Distance_Frontend[[#This Row],[Methodology]]</f>
        <v>0</v>
      </c>
      <c r="AA61" s="229" t="e" cm="1">
        <f t="array" ref="AA61">INDEX(_xlfn.SWITCH(Fleet_Distance_Backend[[#This Row],[Methodology]],"Tier 1",rng_RSD1,"Tier 2",rng_RSD2,"Tier 3",rng_RSD3),MATCH(_xlfn.CONCAT(Fleet_Distance_Backend[[#This Row],[Level 1]:[Level 6]]),rng_LevelsConcat,0))</f>
        <v>#N/A</v>
      </c>
      <c r="AB61" s="220">
        <f>Fleet_Distance_Frontend[[#This Row],[Data]]</f>
        <v>0</v>
      </c>
      <c r="AC61" s="174">
        <f>Fleet_Distance_Frontend[[#This Row],[Units]]</f>
        <v>0</v>
      </c>
      <c r="AD61" s="220" t="e">
        <f>IF(Fleet_Distance_Backend[[#This Row],[Units]]=Fleet_Distance_Backend[[#This Row],[Standard units]],Fleet_Distance_Backend[[#This Row],[Data]],Fleet_Distance_Backend[[#This Row],[Data]]*_xlfn.XLOOKUP(_xlfn.CONCAT(Fleet_Distance_Backend[[#This Row],[Level 1]:[Level 6]]),rng_EFConcat,rng_EFConversion))</f>
        <v>#N/A</v>
      </c>
      <c r="AE61" s="174" t="s">
        <v>356</v>
      </c>
      <c r="AF61" s="210" t="e">
        <f>_xlfn.XLOOKUP(_xlfn.CONCAT(Fleet_Distance_Backend[[#This Row],[Level 1]:[Level 6]]),rng_EFConcat,rng_EF1)*Fleet_Distance_Backend[[#This Row],[Converted data]]/1000</f>
        <v>#N/A</v>
      </c>
      <c r="AG61" s="210" t="e">
        <f>_xlfn.XLOOKUP(_xlfn.CONCAT(Fleet_Distance_Backend[[#This Row],[Level 1]:[Level 6]]),rng_EFConcat,rng_EF2)*Fleet_Distance_Backend[[#This Row],[Converted data]]/1000</f>
        <v>#N/A</v>
      </c>
      <c r="AH61" s="210" t="e">
        <f>_xlfn.XLOOKUP(_xlfn.CONCAT(Fleet_Distance_Backend[[#This Row],[Level 1]:[Level 6]]),rng_EFConcat,rng_EF3)*Fleet_Distance_Backend[[#This Row],[Converted data]]/1000</f>
        <v>#N/A</v>
      </c>
      <c r="AI61" s="210" t="e">
        <f>_xlfn.XLOOKUP(_xlfn.CONCAT(Fleet_Distance_Backend[[#This Row],[Level 1]:[Level 6]]),rng_EFConcat,rng_EF3WTT)*Fleet_Distance_Backend[[#This Row],[Converted data]]/1000</f>
        <v>#N/A</v>
      </c>
      <c r="AJ61" s="210" t="e">
        <f>_xlfn.XLOOKUP(_xlfn.CONCAT(Fleet_Distance_Backend[[#This Row],[Level 1]:[Level 6]]),rng_EFConcat,rng_EF3TD)*Fleet_Distance_Backend[[#This Row],[Converted data]]/1000</f>
        <v>#N/A</v>
      </c>
      <c r="AK61" s="210" t="e">
        <f>_xlfn.XLOOKUP(_xlfn.CONCAT(Fleet_Distance_Backend[[#This Row],[Level 1]:[Level 6]]),rng_EFConcat,rng_EF3WTTTD)*Fleet_Distance_Backend[[#This Row],[Converted data]]/1000</f>
        <v>#N/A</v>
      </c>
      <c r="AL61" s="220" t="e">
        <f>SUM(Fleet_Distance_Backend[[#This Row],[Scope 1 (tCO2e)]:[Scope 3 WTT T&amp;D (tCO2e)]])</f>
        <v>#N/A</v>
      </c>
      <c r="AM61" s="220" t="e">
        <f>Fleet_Distance_Backend[[#This Row],[Total (tCO2e)]]*(1-Fleet_Distance_Backend[[#This Row],[RSD]])</f>
        <v>#N/A</v>
      </c>
      <c r="AN61" s="220" t="e">
        <f>Fleet_Distance_Backend[[#This Row],[Total (tCO2e)]]*(1+Fleet_Distance_Backend[[#This Row],[RSD]])</f>
        <v>#N/A</v>
      </c>
      <c r="AO61" s="210" t="e">
        <f>_xlfn.XLOOKUP(_xlfn.CONCAT(Fleet_Distance_Backend[[#This Row],[Level 1]:[Level 6]]),rng_EFConcat,rng_EFOOS)*Fleet_Distance_Backend[[#This Row],[Converted data]]/1000</f>
        <v>#N/A</v>
      </c>
      <c r="AP61" s="174">
        <f>Fleet_Distance_Frontend[[#This Row],[Ease of collection]]</f>
        <v>0</v>
      </c>
      <c r="AQ61" s="174">
        <f>Fleet_Distance_Frontend[[#This Row],[Completeness]]</f>
        <v>0</v>
      </c>
      <c r="AR61" s="174">
        <f>Fleet_Distance_Frontend[[#This Row],[Notes]]</f>
        <v>0</v>
      </c>
      <c r="AU61"/>
      <c r="AV61"/>
      <c r="AW61"/>
      <c r="AX61"/>
      <c r="AY61"/>
      <c r="AZ61"/>
      <c r="BA61"/>
      <c r="BB61"/>
      <c r="BC61"/>
      <c r="BD61"/>
      <c r="BE61"/>
      <c r="BF61"/>
      <c r="BG61"/>
      <c r="BH61"/>
      <c r="BI61"/>
      <c r="BJ61"/>
      <c r="BK61"/>
    </row>
    <row r="62" spans="2:63" x14ac:dyDescent="0.3"/>
    <row r="65" spans="2:2" x14ac:dyDescent="0.3"/>
    <row r="66" spans="2:2" hidden="1" x14ac:dyDescent="0.3">
      <c r="B66" s="146" t="s">
        <v>101</v>
      </c>
    </row>
    <row r="67" spans="2:2" x14ac:dyDescent="0.3"/>
  </sheetData>
  <sheetProtection algorithmName="SHA-512" hashValue="qHQ3RvR6D82NeMRMdLCdnJfy1YdmYEsZKhxV4RTmpqJbxnsDCoXPnO4wQ8kSsQ6fpb/JThJJM9kzK6mgE33SYg==" saltValue="Jd9gXo4tZtV8HVuphP+UJw==" spinCount="100000" sheet="1" formatColumns="0"/>
  <mergeCells count="3">
    <mergeCell ref="B5:B11"/>
    <mergeCell ref="B15:B35"/>
    <mergeCell ref="B40:B60"/>
  </mergeCells>
  <phoneticPr fontId="16" type="noConversion"/>
  <conditionalFormatting sqref="J1">
    <cfRule type="containsText" dxfId="16" priority="1" operator="containsText" text="No data missing">
      <formula>NOT(ISERROR(SEARCH("No data missing",J1)))</formula>
    </cfRule>
  </conditionalFormatting>
  <conditionalFormatting sqref="O15">
    <cfRule type="iconSet" priority="3">
      <iconSet showValue="0">
        <cfvo type="percent" val="0"/>
        <cfvo type="num" val="0.01"/>
        <cfvo type="num" val="6"/>
      </iconSet>
    </cfRule>
  </conditionalFormatting>
  <conditionalFormatting sqref="O40">
    <cfRule type="iconSet" priority="2">
      <iconSet showValue="0">
        <cfvo type="percent" val="0"/>
        <cfvo type="num" val="0.01"/>
        <cfvo type="num" val="6"/>
      </iconSet>
    </cfRule>
  </conditionalFormatting>
  <dataValidations count="17">
    <dataValidation type="list" showInputMessage="1" showErrorMessage="1" sqref="F41:F61" xr:uid="{BB6CCA6B-F1BC-4DE6-8CA7-7F2CB251225E}">
      <formula1>DROPDOWN(rng_Level4,$E41,cl_Level5Target)</formula1>
    </dataValidation>
    <dataValidation type="list" showInputMessage="1" showErrorMessage="1" sqref="G41:G61" xr:uid="{92969EAD-3829-46A0-924D-505E11DE95D6}">
      <formula1>DROPDOWN(rng_Level46,$E41,cl_Level6Target)</formula1>
    </dataValidation>
    <dataValidation type="decimal" operator="greaterThanOrEqual" allowBlank="1" showInputMessage="1" showErrorMessage="1" sqref="J16:J35 J41:J61" xr:uid="{B17EAF0E-FFFA-4F25-A092-53471671FE7B}">
      <formula1>0</formula1>
    </dataValidation>
    <dataValidation type="list" showInputMessage="1" showErrorMessage="1" sqref="I41:I61 I16:I35" xr:uid="{DBA51858-DA71-4957-9324-D5C5C140E9A7}">
      <formula1>rng_methodology</formula1>
    </dataValidation>
    <dataValidation type="list" allowBlank="1" showInputMessage="1" showErrorMessage="1" sqref="M16:M35 M41:M61" xr:uid="{984B6207-C685-40B2-9EF8-A3F72BF7D230}">
      <formula1>rng_data_completeness</formula1>
    </dataValidation>
    <dataValidation type="list" allowBlank="1" showInputMessage="1" showErrorMessage="1" sqref="L16:L35 L41:L61" xr:uid="{D7E344D9-5FE6-461A-806D-7BD2CD6EE31D}">
      <formula1>rng_data_ease</formula1>
    </dataValidation>
    <dataValidation type="list" showInputMessage="1" showErrorMessage="1" sqref="K41:K61" xr:uid="{07ADC0FB-2971-4410-ADEC-8D09E094A552}">
      <formula1>"km,miles"</formula1>
    </dataValidation>
    <dataValidation type="list" showInputMessage="1" showErrorMessage="1" sqref="E41:E61" xr:uid="{5273C12A-65FB-40D4-8AA8-58E655E5B40D}">
      <formula1>DROPDOWN(rng_Level3,$T41,cl_Level4Target)</formula1>
    </dataValidation>
    <dataValidation type="list" allowBlank="1" showInputMessage="1" showErrorMessage="1" sqref="R16:R35 R41:R61" xr:uid="{49BFF900-9DB2-4581-82A0-555D6B65901F}">
      <formula1>rng_Level1Unique</formula1>
    </dataValidation>
    <dataValidation type="list" allowBlank="1" showInputMessage="1" showErrorMessage="1" sqref="S41:S61" xr:uid="{B230FBF8-05F7-4F94-8E04-43D986E9BB69}">
      <formula1>DROPDOWN(rng_Level1,$R41,cl_Level2Target)</formula1>
    </dataValidation>
    <dataValidation type="list" showInputMessage="1" showErrorMessage="1" sqref="F16:F35" xr:uid="{9F326D91-2A93-450C-9A45-ADA47CB1640D}">
      <formula1>DROPDOWN(rng_Level3,$E16,cl_Level4Target)</formula1>
    </dataValidation>
    <dataValidation allowBlank="1" showInputMessage="1" showErrorMessage="1" promptTitle="Information:" sqref="E15" xr:uid="{F6644348-17E3-43EF-86BB-8D778B24E12D}"/>
    <dataValidation type="list" showInputMessage="1" showErrorMessage="1" sqref="E16:E35" xr:uid="{C9483E1D-E767-482C-AB71-F25C5EAF9459}">
      <formula1>"Fleet vehicle - fuel, Stationary fleet"</formula1>
    </dataValidation>
    <dataValidation allowBlank="1" showInputMessage="1" showErrorMessage="1" promptTitle="Information:" prompt="The units dropdown will only work if there are inputs for: 'Type', 'Fleet type' and 'Fuel'" sqref="K15" xr:uid="{2BA0E31C-4ABC-40C0-B6E9-A5069985D1AB}"/>
    <dataValidation allowBlank="1" showInputMessage="1" showErrorMessage="1" promptTitle="Information" prompt="If available, please input the number of vehicles/generators the fuel consumption covers" sqref="H15" xr:uid="{7F9572A5-D528-4B4F-BC48-DDD294ADBC7F}"/>
    <dataValidation allowBlank="1" showInputMessage="1" showErrorMessage="1" promptTitle="Information" prompt="If available, please input the number of vehicles the mileage is in relation to" sqref="H40" xr:uid="{D4CD793F-3BB7-4272-B5B3-E00E9EF63C46}"/>
    <dataValidation type="list" showInputMessage="1" showErrorMessage="1" sqref="G16:G35" xr:uid="{691AA294-E796-46D5-9B01-62797E489D53}">
      <formula1>DROPDOWN(rng_Level4,$F16,cl_Level5Target)</formula1>
    </dataValidation>
  </dataValidations>
  <pageMargins left="0.7" right="0.7" top="0.75" bottom="0.75" header="0.3" footer="0.3"/>
  <ignoredErrors>
    <ignoredError sqref="R16:R35 R41:R61 S41:S61 W16:W35 AE16:AE35" calculatedColumn="1"/>
  </ignoredErrors>
  <tableParts count="4">
    <tablePart r:id="rId1"/>
    <tablePart r:id="rId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5" id="{DE0917D1-1408-4DAD-B00C-7B1DE2E3B2AF}">
            <x14:iconSet showValue="0" custom="1">
              <x14:cfvo type="percent">
                <xm:f>0</xm:f>
              </x14:cfvo>
              <x14:cfvo type="num">
                <xm:f>1</xm:f>
              </x14:cfvo>
              <x14:cfvo type="num">
                <xm:f>6</xm:f>
              </x14:cfvo>
              <x14:cfIcon iconSet="3TrafficLights1" iconId="2"/>
              <x14:cfIcon iconSet="3TrafficLights1" iconId="0"/>
              <x14:cfIcon iconSet="4TrafficLights" iconId="0"/>
            </x14:iconSet>
          </x14:cfRule>
          <xm:sqref>O16:O35</xm:sqref>
        </x14:conditionalFormatting>
        <x14:conditionalFormatting xmlns:xm="http://schemas.microsoft.com/office/excel/2006/main">
          <x14:cfRule type="iconSet" priority="4" id="{CC072FA5-04BB-48B0-98E3-7A0B901096E3}">
            <x14:iconSet showValue="0" custom="1">
              <x14:cfvo type="percent">
                <xm:f>0</xm:f>
              </x14:cfvo>
              <x14:cfvo type="num">
                <xm:f>1</xm:f>
              </x14:cfvo>
              <x14:cfvo type="num">
                <xm:f>6</xm:f>
              </x14:cfvo>
              <x14:cfIcon iconSet="3TrafficLights1" iconId="2"/>
              <x14:cfIcon iconSet="3TrafficLights1" iconId="0"/>
              <x14:cfIcon iconSet="4TrafficLights" iconId="0"/>
            </x14:iconSet>
          </x14:cfRule>
          <xm:sqref>O41:O61</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F39A1751-1DF2-4BCF-8F92-4194498821AC}">
          <x14:formula1>
            <xm:f>OFFSET(Ranges!$AT$11,MATCH(_xlfn.CONCAT($R16:$W16),rng_LevelsConcat,0)-1,,,2)</xm:f>
          </x14:formula1>
          <xm:sqref>K16:K35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D55E-9219-4098-A393-DEFE4A396623}">
  <sheetPr codeName="Sheet17">
    <tabColor theme="7"/>
  </sheetPr>
  <dimension ref="B1:BI109"/>
  <sheetViews>
    <sheetView showGridLines="0" topLeftCell="A12" zoomScale="75" zoomScaleNormal="100" workbookViewId="0">
      <selection activeCell="H75" sqref="H75"/>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19.1796875" style="147" customWidth="1"/>
    <col min="6" max="6" width="13.1796875" style="147" customWidth="1"/>
    <col min="7" max="7" width="16.54296875" style="147" customWidth="1"/>
    <col min="8" max="8" width="18.453125" style="147" customWidth="1"/>
    <col min="9" max="9" width="17.7265625" style="147" customWidth="1"/>
    <col min="10" max="10" width="18.54296875" style="147" customWidth="1"/>
    <col min="11" max="11" width="17.453125" style="147" customWidth="1"/>
    <col min="12" max="12" width="14.26953125" style="147" customWidth="1"/>
    <col min="13" max="13" width="17" style="147" customWidth="1"/>
    <col min="14" max="14" width="26.81640625" style="147" customWidth="1"/>
    <col min="15" max="16" width="3.54296875" style="147" customWidth="1"/>
    <col min="17" max="17" width="5.453125" style="147" customWidth="1" outlineLevel="1"/>
    <col min="18" max="18" width="12.81640625" style="147" customWidth="1" outlineLevel="1"/>
    <col min="19" max="19" width="17.7265625" style="147" customWidth="1" outlineLevel="1"/>
    <col min="20" max="20" width="15.81640625" style="147" customWidth="1" outlineLevel="1"/>
    <col min="21" max="22" width="16.26953125" style="147" customWidth="1" outlineLevel="1"/>
    <col min="23" max="23" width="12.1796875" style="147" customWidth="1" outlineLevel="1"/>
    <col min="24" max="24" width="16.81640625" style="147" customWidth="1" outlineLevel="1"/>
    <col min="25" max="25" width="7.81640625" style="147" customWidth="1" outlineLevel="1"/>
    <col min="26" max="26" width="16.1796875" style="147" customWidth="1" outlineLevel="1"/>
    <col min="27" max="27" width="9.54296875" style="147" customWidth="1" outlineLevel="1"/>
    <col min="28" max="28" width="10.453125" style="147" customWidth="1" outlineLevel="1"/>
    <col min="29" max="29" width="14.1796875" style="147" customWidth="1" outlineLevel="1"/>
    <col min="30" max="30" width="15.7265625" style="147" customWidth="1" outlineLevel="1"/>
    <col min="31" max="31" width="14.81640625" style="147" customWidth="1" outlineLevel="1"/>
    <col min="32" max="32" width="11.1796875" style="147" customWidth="1" outlineLevel="1"/>
    <col min="33" max="33" width="13.26953125" style="147" customWidth="1" outlineLevel="1"/>
    <col min="34" max="34" width="12.26953125" style="147" customWidth="1" outlineLevel="1"/>
    <col min="35" max="35" width="16.453125" style="147" customWidth="1" outlineLevel="1"/>
    <col min="36" max="36" width="16.54296875" style="147" customWidth="1" outlineLevel="1"/>
    <col min="37" max="37" width="17.54296875" style="147" customWidth="1" outlineLevel="1"/>
    <col min="38" max="38" width="13.453125" style="147" customWidth="1" outlineLevel="1"/>
    <col min="39" max="39" width="12.54296875" style="147" customWidth="1" outlineLevel="1"/>
    <col min="40" max="40" width="10.54296875" style="147" customWidth="1" outlineLevel="1"/>
    <col min="41" max="41" width="12.453125" style="147" customWidth="1" outlineLevel="1"/>
    <col min="42" max="42" width="13.453125" style="147" customWidth="1" outlineLevel="1"/>
    <col min="43" max="43" width="18.453125" style="147" customWidth="1" outlineLevel="1"/>
    <col min="44" max="44" width="8.7265625" style="147" customWidth="1" outlineLevel="1"/>
    <col min="45" max="48" width="8.7265625" style="147"/>
    <col min="49" max="49" width="9.54296875" style="147" bestFit="1" customWidth="1"/>
    <col min="50" max="16384" width="8.7265625" style="147"/>
  </cols>
  <sheetData>
    <row r="1" spans="2:61" s="150" customFormat="1" ht="15.5" x14ac:dyDescent="0.35">
      <c r="B1" s="196" t="s">
        <v>220</v>
      </c>
      <c r="C1" s="201"/>
      <c r="D1" s="201"/>
      <c r="E1" s="200" t="s">
        <v>61</v>
      </c>
      <c r="F1" s="201">
        <f>cl_year_select</f>
        <v>0</v>
      </c>
      <c r="I1" s="200" t="s">
        <v>274</v>
      </c>
      <c r="J1" s="199" t="str">
        <f>IF(SUM(O16,O41,O67)=14,"No data missing","Data missing, see traffic lights")</f>
        <v>Data missing, see traffic lights</v>
      </c>
    </row>
    <row r="2" spans="2:61" s="153" customFormat="1" ht="28" x14ac:dyDescent="0.3">
      <c r="B2" s="198" t="s">
        <v>357</v>
      </c>
      <c r="C2" s="203"/>
      <c r="D2" s="203"/>
      <c r="E2" s="202" t="s">
        <v>64</v>
      </c>
      <c r="F2" s="203">
        <f>cl_org_name_select</f>
        <v>0</v>
      </c>
    </row>
    <row r="3" spans="2:61" x14ac:dyDescent="0.3"/>
    <row r="4" spans="2:61" ht="14.5" x14ac:dyDescent="0.35">
      <c r="B4" s="159" t="s">
        <v>10</v>
      </c>
      <c r="E4" s="191" t="s">
        <v>1</v>
      </c>
      <c r="F4"/>
    </row>
    <row r="5" spans="2:61" ht="14.5" x14ac:dyDescent="0.35">
      <c r="B5" s="455" t="s">
        <v>358</v>
      </c>
      <c r="E5" s="162" t="s">
        <v>37</v>
      </c>
      <c r="F5"/>
    </row>
    <row r="6" spans="2:61" ht="14.5" x14ac:dyDescent="0.35">
      <c r="B6" s="455"/>
      <c r="E6" s="170" t="s">
        <v>38</v>
      </c>
      <c r="F6"/>
      <c r="G6" s="151"/>
      <c r="H6" s="151"/>
    </row>
    <row r="7" spans="2:61" ht="14.5" x14ac:dyDescent="0.35">
      <c r="B7" s="455"/>
      <c r="E7" s="192" t="s">
        <v>283</v>
      </c>
      <c r="F7"/>
      <c r="G7" s="151"/>
      <c r="H7" s="151"/>
    </row>
    <row r="8" spans="2:61" ht="14.5" x14ac:dyDescent="0.35">
      <c r="B8" s="455"/>
      <c r="E8" s="370"/>
      <c r="F8"/>
      <c r="G8" s="151"/>
      <c r="H8" s="151"/>
    </row>
    <row r="9" spans="2:61" ht="14.5" x14ac:dyDescent="0.35">
      <c r="B9" s="455"/>
      <c r="E9" s="370"/>
      <c r="F9"/>
      <c r="G9" s="151"/>
      <c r="H9" s="151"/>
    </row>
    <row r="10" spans="2:61" ht="14.5" x14ac:dyDescent="0.35">
      <c r="B10" s="455"/>
      <c r="E10" s="370"/>
      <c r="F10"/>
      <c r="G10" s="151"/>
      <c r="H10" s="151"/>
    </row>
    <row r="11" spans="2:61" ht="14.5" x14ac:dyDescent="0.35">
      <c r="B11" s="455"/>
      <c r="E11" s="370"/>
      <c r="F11"/>
      <c r="G11" s="151"/>
      <c r="H11" s="151"/>
    </row>
    <row r="12" spans="2:61" ht="14.5" thickBot="1" x14ac:dyDescent="0.35">
      <c r="B12" s="455"/>
      <c r="E12" s="176"/>
      <c r="F12" s="176"/>
      <c r="G12" s="177"/>
      <c r="H12" s="177"/>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row>
    <row r="13" spans="2:61" x14ac:dyDescent="0.3">
      <c r="G13" s="151"/>
      <c r="H13" s="151"/>
    </row>
    <row r="14" spans="2:61" x14ac:dyDescent="0.3">
      <c r="B14" s="159" t="s">
        <v>12</v>
      </c>
      <c r="E14" s="160" t="s">
        <v>272</v>
      </c>
    </row>
    <row r="15" spans="2:61" x14ac:dyDescent="0.3"/>
    <row r="16" spans="2:61" ht="32.15" customHeight="1" x14ac:dyDescent="0.35">
      <c r="B16" s="455" t="s">
        <v>359</v>
      </c>
      <c r="E16" s="257" t="s">
        <v>360</v>
      </c>
      <c r="F16" s="258" t="s">
        <v>361</v>
      </c>
      <c r="G16" s="258" t="s">
        <v>331</v>
      </c>
      <c r="H16" s="258" t="s">
        <v>362</v>
      </c>
      <c r="I16" s="258" t="s">
        <v>287</v>
      </c>
      <c r="J16" s="258" t="s">
        <v>288</v>
      </c>
      <c r="K16" s="258" t="s">
        <v>289</v>
      </c>
      <c r="L16" s="258" t="s">
        <v>291</v>
      </c>
      <c r="M16" s="258" t="s">
        <v>292</v>
      </c>
      <c r="N16" s="259" t="s">
        <v>293</v>
      </c>
      <c r="O16" s="188">
        <f>AVERAGEIF($O$17:$O$36,"&lt;&gt;0",$O$17:$O$36)</f>
        <v>7</v>
      </c>
      <c r="P16"/>
      <c r="Q16" s="225" t="s">
        <v>294</v>
      </c>
      <c r="R16" s="226" t="s">
        <v>295</v>
      </c>
      <c r="S16" s="226" t="s">
        <v>296</v>
      </c>
      <c r="T16" s="226" t="s">
        <v>297</v>
      </c>
      <c r="U16" s="226" t="s">
        <v>298</v>
      </c>
      <c r="V16" s="226" t="s">
        <v>299</v>
      </c>
      <c r="W16" s="226" t="s">
        <v>300</v>
      </c>
      <c r="X16" s="226" t="s">
        <v>301</v>
      </c>
      <c r="Y16" s="226" t="s">
        <v>302</v>
      </c>
      <c r="Z16" s="226" t="s">
        <v>287</v>
      </c>
      <c r="AA16" s="226" t="s">
        <v>303</v>
      </c>
      <c r="AB16" s="226" t="s">
        <v>288</v>
      </c>
      <c r="AC16" s="226" t="s">
        <v>289</v>
      </c>
      <c r="AD16" s="286" t="s">
        <v>304</v>
      </c>
      <c r="AE16" s="286" t="s">
        <v>305</v>
      </c>
      <c r="AF16" s="286" t="s">
        <v>306</v>
      </c>
      <c r="AG16" s="286" t="s">
        <v>307</v>
      </c>
      <c r="AH16" s="286" t="s">
        <v>308</v>
      </c>
      <c r="AI16" s="286" t="s">
        <v>309</v>
      </c>
      <c r="AJ16" s="286" t="s">
        <v>310</v>
      </c>
      <c r="AK16" s="286" t="s">
        <v>311</v>
      </c>
      <c r="AL16" s="286" t="s">
        <v>312</v>
      </c>
      <c r="AM16" s="286" t="s">
        <v>313</v>
      </c>
      <c r="AN16" s="286" t="s">
        <v>314</v>
      </c>
      <c r="AO16" s="286" t="s">
        <v>315</v>
      </c>
      <c r="AP16" s="286" t="s">
        <v>291</v>
      </c>
      <c r="AQ16" s="288" t="s">
        <v>292</v>
      </c>
      <c r="AR16" s="227" t="s">
        <v>293</v>
      </c>
      <c r="AU16"/>
      <c r="AV16"/>
      <c r="AW16"/>
      <c r="AX16"/>
      <c r="AY16"/>
      <c r="AZ16"/>
      <c r="BA16"/>
      <c r="BB16"/>
      <c r="BC16"/>
      <c r="BD16"/>
      <c r="BE16"/>
      <c r="BF16"/>
      <c r="BG16"/>
      <c r="BH16"/>
      <c r="BI16"/>
    </row>
    <row r="17" spans="2:61" ht="14.5" x14ac:dyDescent="0.35">
      <c r="B17" s="455"/>
      <c r="E17" s="346"/>
      <c r="F17" s="336"/>
      <c r="G17" s="336"/>
      <c r="H17" s="336"/>
      <c r="I17" s="336"/>
      <c r="J17" s="334"/>
      <c r="K17" s="336"/>
      <c r="L17" s="336"/>
      <c r="M17" s="336"/>
      <c r="N17" s="361"/>
      <c r="O17" s="242">
        <f>ISBLANK(G17)+ISBLANK(J17)+ISBLANK(E17)+ISBLANK(F17)+ISBLANK(K17)+ISBLANK(H17)+ISBLANK(I17)</f>
        <v>7</v>
      </c>
      <c r="P17"/>
      <c r="Q17" s="212" t="str">
        <f t="shared" ref="Q17:Q36" si="0">IF(O17=0,SUBSTITUTE(2025&amp;TRIM(cl_org_name_select)&amp;TRIM($E$14)&amp;(ROW(O17)-ROW($O$17))," ",""),"")</f>
        <v/>
      </c>
      <c r="R17" s="174" t="s">
        <v>220</v>
      </c>
      <c r="S17" s="174" t="s">
        <v>191</v>
      </c>
      <c r="T17" s="174">
        <f>BusinessTravel_Frontend[[#This Row],[Travel mode]]</f>
        <v>0</v>
      </c>
      <c r="U17" s="174">
        <f>BusinessTravel_Frontend[[#This Row],[Category]]</f>
        <v>0</v>
      </c>
      <c r="V17" s="174">
        <f>BusinessTravel_Frontend[[#This Row],[Type]]</f>
        <v>0</v>
      </c>
      <c r="W17" s="174">
        <f>BusinessTravel_Frontend[[#This Row],[Details]]</f>
        <v>0</v>
      </c>
      <c r="X17" s="174" t="s">
        <v>339</v>
      </c>
      <c r="Y17" s="174" t="s">
        <v>339</v>
      </c>
      <c r="Z17" s="174">
        <f>BusinessTravel_Frontend[[#This Row],[Methodology]]</f>
        <v>0</v>
      </c>
      <c r="AA17" s="229" t="e" cm="1">
        <f t="array" ref="AA17">INDEX(_xlfn.SWITCH(BusinessTravel_Backend[[#This Row],[Methodology]],"Tier 1",rng_RSD1,"Tier 2",rng_RSD2,"Tier 3",rng_RSD3),MATCH(_xlfn.CONCAT(BusinessTravel_Backend[[#This Row],[Level 1]:[Level 6]]),rng_LevelsConcat,0))</f>
        <v>#N/A</v>
      </c>
      <c r="AB17" s="220">
        <f>BusinessTravel_Frontend[[#This Row],[Data]]</f>
        <v>0</v>
      </c>
      <c r="AC17" s="174">
        <f>BusinessTravel_Frontend[[#This Row],[Units]]</f>
        <v>0</v>
      </c>
      <c r="AD17" s="220" t="e">
        <f>IF(BusinessTravel_Backend[[#This Row],[Units]]=BusinessTravel_Backend[[#This Row],[Standard units]],BusinessTravel_Backend[[#This Row],[Data]],BusinessTravel_Backend[[#This Row],[Data]]*_xlfn.XLOOKUP(_xlfn.CONCAT(BusinessTravel_Backend[[#This Row],[Level 1]:[Level 6]]),rng_EFConcat,rng_EFConversion))</f>
        <v>#N/A</v>
      </c>
      <c r="AE17" s="174" t="e" cm="1">
        <f t="array" ref="AE17">_xlfn.XLOOKUP(_xlfn.CONCAT(BusinessTravel_Backend[[#This Row],[Level 1]:[Level 6]]),rng_LevelsConcat,rng_UnitsLong)</f>
        <v>#N/A</v>
      </c>
      <c r="AF17" s="210" t="e">
        <f>_xlfn.XLOOKUP(_xlfn.CONCAT(BusinessTravel_Backend[[#This Row],[Level 1]:[Level 6]]),rng_EFConcat,rng_EF1)*BusinessTravel_Backend[[#This Row],[Converted data]]/1000</f>
        <v>#N/A</v>
      </c>
      <c r="AG17" s="210" t="e">
        <f>_xlfn.XLOOKUP(_xlfn.CONCAT(BusinessTravel_Backend[[#This Row],[Level 1]:[Level 6]]),rng_EFConcat,rng_EF2)*BusinessTravel_Backend[[#This Row],[Converted data]]/1000</f>
        <v>#N/A</v>
      </c>
      <c r="AH17" s="210" t="e">
        <f>_xlfn.XLOOKUP(_xlfn.CONCAT(BusinessTravel_Backend[[#This Row],[Level 1]:[Level 6]]),rng_EFConcat,rng_EF3)*BusinessTravel_Backend[[#This Row],[Converted data]]/1000</f>
        <v>#N/A</v>
      </c>
      <c r="AI17" s="210" t="e">
        <f>_xlfn.XLOOKUP(_xlfn.CONCAT(BusinessTravel_Backend[[#This Row],[Level 1]:[Level 6]]),rng_EFConcat,rng_EF3WTT)*BusinessTravel_Backend[[#This Row],[Converted data]]/1000</f>
        <v>#N/A</v>
      </c>
      <c r="AJ17" s="210" t="e">
        <f>_xlfn.XLOOKUP(_xlfn.CONCAT(BusinessTravel_Backend[[#This Row],[Level 1]:[Level 6]]),rng_EFConcat,rng_EF3TD)*BusinessTravel_Backend[[#This Row],[Converted data]]/1000</f>
        <v>#N/A</v>
      </c>
      <c r="AK17" s="210" t="e">
        <f>_xlfn.XLOOKUP(_xlfn.CONCAT(BusinessTravel_Backend[[#This Row],[Level 1]:[Level 6]]),rng_EFConcat,rng_EF3WTTTD)*BusinessTravel_Backend[[#This Row],[Converted data]]/1000</f>
        <v>#N/A</v>
      </c>
      <c r="AL17" s="220" t="e">
        <f>SUM(BusinessTravel_Backend[[#This Row],[Scope 1 (tCO2e)]:[Scope 3 WTT T&amp;D (tCO2e)]])</f>
        <v>#N/A</v>
      </c>
      <c r="AM17" s="220" t="e">
        <f>BusinessTravel_Backend[[#This Row],[Total (tCO2e)]]*(1-BusinessTravel_Backend[[#This Row],[RSD]])</f>
        <v>#N/A</v>
      </c>
      <c r="AN17" s="220" t="e">
        <f>BusinessTravel_Backend[[#This Row],[Total (tCO2e)]]*(1+BusinessTravel_Backend[[#This Row],[RSD]])</f>
        <v>#N/A</v>
      </c>
      <c r="AO17" s="210" t="e">
        <f>_xlfn.XLOOKUP(_xlfn.CONCAT(BusinessTravel_Backend[[#This Row],[Level 1]:[Level 6]]),rng_EFConcat,rng_EFOOS)*BusinessTravel_Backend[[#This Row],[Converted data]]/1000</f>
        <v>#N/A</v>
      </c>
      <c r="AP17" s="174">
        <f>BusinessTravel_Frontend[[#This Row],[Ease of collection]]</f>
        <v>0</v>
      </c>
      <c r="AQ17" s="174">
        <f>BusinessTravel_Frontend[[#This Row],[Completeness]]</f>
        <v>0</v>
      </c>
      <c r="AR17" s="174">
        <f>BusinessTravel_Frontend[[#This Row],[Notes]]</f>
        <v>0</v>
      </c>
      <c r="AU17"/>
      <c r="AV17"/>
      <c r="AW17"/>
      <c r="AX17"/>
      <c r="AY17"/>
      <c r="AZ17"/>
      <c r="BA17"/>
      <c r="BB17"/>
      <c r="BC17"/>
      <c r="BD17"/>
      <c r="BE17"/>
      <c r="BF17"/>
      <c r="BG17"/>
      <c r="BH17"/>
      <c r="BI17"/>
    </row>
    <row r="18" spans="2:61" ht="14.5" x14ac:dyDescent="0.35">
      <c r="B18" s="455"/>
      <c r="E18" s="346"/>
      <c r="F18" s="336"/>
      <c r="G18" s="336"/>
      <c r="H18" s="336"/>
      <c r="I18" s="336"/>
      <c r="J18" s="334"/>
      <c r="K18" s="336"/>
      <c r="L18" s="336"/>
      <c r="M18" s="336"/>
      <c r="N18" s="337"/>
      <c r="O18" s="242">
        <f>ISBLANK(G18)+ISBLANK(J18)+ISBLANK(E18)+ISBLANK(F18)+ISBLANK(K18)+ISBLANK(H18)+ISBLANK(I18)</f>
        <v>7</v>
      </c>
      <c r="Q18" s="212" t="str">
        <f t="shared" si="0"/>
        <v/>
      </c>
      <c r="R18" s="174" t="s">
        <v>220</v>
      </c>
      <c r="S18" s="174" t="s">
        <v>191</v>
      </c>
      <c r="T18" s="174">
        <f>BusinessTravel_Frontend[[#This Row],[Travel mode]]</f>
        <v>0</v>
      </c>
      <c r="U18" s="174">
        <f>BusinessTravel_Frontend[[#This Row],[Category]]</f>
        <v>0</v>
      </c>
      <c r="V18" s="174">
        <f>BusinessTravel_Frontend[[#This Row],[Type]]</f>
        <v>0</v>
      </c>
      <c r="W18" s="174">
        <f>BusinessTravel_Frontend[[#This Row],[Details]]</f>
        <v>0</v>
      </c>
      <c r="X18" s="174" t="s">
        <v>339</v>
      </c>
      <c r="Y18" s="174" t="s">
        <v>339</v>
      </c>
      <c r="Z18" s="174">
        <f>BusinessTravel_Frontend[[#This Row],[Methodology]]</f>
        <v>0</v>
      </c>
      <c r="AA18" s="229" t="e" cm="1">
        <f t="array" ref="AA18">INDEX(_xlfn.SWITCH(BusinessTravel_Backend[[#This Row],[Methodology]],"Tier 1",rng_RSD1,"Tier 2",rng_RSD2,"Tier 3",rng_RSD3),MATCH(_xlfn.CONCAT(BusinessTravel_Backend[[#This Row],[Level 1]:[Level 6]]),rng_LevelsConcat,0))</f>
        <v>#N/A</v>
      </c>
      <c r="AB18" s="220">
        <f>BusinessTravel_Frontend[[#This Row],[Data]]</f>
        <v>0</v>
      </c>
      <c r="AC18" s="174">
        <f>BusinessTravel_Frontend[[#This Row],[Units]]</f>
        <v>0</v>
      </c>
      <c r="AD18" s="220" t="e">
        <f>IF(BusinessTravel_Backend[[#This Row],[Units]]=BusinessTravel_Backend[[#This Row],[Standard units]],BusinessTravel_Backend[[#This Row],[Data]],BusinessTravel_Backend[[#This Row],[Data]]*_xlfn.XLOOKUP(_xlfn.CONCAT(BusinessTravel_Backend[[#This Row],[Level 1]:[Level 6]]),rng_EFConcat,rng_EFConversion))</f>
        <v>#N/A</v>
      </c>
      <c r="AE18" s="174" t="e" cm="1">
        <f t="array" ref="AE18">_xlfn.XLOOKUP(_xlfn.CONCAT(BusinessTravel_Backend[[#This Row],[Level 1]:[Level 6]]),rng_LevelsConcat,rng_UnitsLong)</f>
        <v>#N/A</v>
      </c>
      <c r="AF18" s="210" t="e">
        <f>_xlfn.XLOOKUP(_xlfn.CONCAT(BusinessTravel_Backend[[#This Row],[Level 1]:[Level 6]]),rng_EFConcat,rng_EF1)*BusinessTravel_Backend[[#This Row],[Converted data]]/1000</f>
        <v>#N/A</v>
      </c>
      <c r="AG18" s="210" t="e">
        <f>_xlfn.XLOOKUP(_xlfn.CONCAT(BusinessTravel_Backend[[#This Row],[Level 1]:[Level 6]]),rng_EFConcat,rng_EF2)*BusinessTravel_Backend[[#This Row],[Converted data]]/1000</f>
        <v>#N/A</v>
      </c>
      <c r="AH18" s="210" t="e">
        <f>_xlfn.XLOOKUP(_xlfn.CONCAT(BusinessTravel_Backend[[#This Row],[Level 1]:[Level 6]]),rng_EFConcat,rng_EF3)*BusinessTravel_Backend[[#This Row],[Converted data]]/1000</f>
        <v>#N/A</v>
      </c>
      <c r="AI18" s="210" t="e">
        <f>_xlfn.XLOOKUP(_xlfn.CONCAT(BusinessTravel_Backend[[#This Row],[Level 1]:[Level 6]]),rng_EFConcat,rng_EF3WTT)*BusinessTravel_Backend[[#This Row],[Converted data]]/1000</f>
        <v>#N/A</v>
      </c>
      <c r="AJ18" s="210" t="e">
        <f>_xlfn.XLOOKUP(_xlfn.CONCAT(BusinessTravel_Backend[[#This Row],[Level 1]:[Level 6]]),rng_EFConcat,rng_EF3TD)*BusinessTravel_Backend[[#This Row],[Converted data]]/1000</f>
        <v>#N/A</v>
      </c>
      <c r="AK18" s="210" t="e">
        <f>_xlfn.XLOOKUP(_xlfn.CONCAT(BusinessTravel_Backend[[#This Row],[Level 1]:[Level 6]]),rng_EFConcat,rng_EF3WTTTD)*BusinessTravel_Backend[[#This Row],[Converted data]]/1000</f>
        <v>#N/A</v>
      </c>
      <c r="AL18" s="220" t="e">
        <f>SUM(BusinessTravel_Backend[[#This Row],[Scope 1 (tCO2e)]:[Scope 3 WTT T&amp;D (tCO2e)]])</f>
        <v>#N/A</v>
      </c>
      <c r="AM18" s="220" t="e">
        <f>BusinessTravel_Backend[[#This Row],[Total (tCO2e)]]*(1-BusinessTravel_Backend[[#This Row],[RSD]])</f>
        <v>#N/A</v>
      </c>
      <c r="AN18" s="220" t="e">
        <f>BusinessTravel_Backend[[#This Row],[Total (tCO2e)]]*(1+BusinessTravel_Backend[[#This Row],[RSD]])</f>
        <v>#N/A</v>
      </c>
      <c r="AO18" s="210" t="e">
        <f>_xlfn.XLOOKUP(_xlfn.CONCAT(BusinessTravel_Backend[[#This Row],[Level 1]:[Level 6]]),rng_EFConcat,rng_EFOOS)*BusinessTravel_Backend[[#This Row],[Converted data]]/1000</f>
        <v>#N/A</v>
      </c>
      <c r="AP18" s="174">
        <f>BusinessTravel_Frontend[[#This Row],[Ease of collection]]</f>
        <v>0</v>
      </c>
      <c r="AQ18" s="213">
        <f>BusinessTravel_Frontend[[#This Row],[Completeness]]</f>
        <v>0</v>
      </c>
      <c r="AR18" s="213">
        <f>BusinessTravel_Frontend[[#This Row],[Notes]]</f>
        <v>0</v>
      </c>
      <c r="AU18"/>
      <c r="AV18"/>
      <c r="AW18"/>
      <c r="AX18"/>
      <c r="AY18"/>
      <c r="AZ18"/>
      <c r="BA18"/>
      <c r="BB18"/>
      <c r="BC18"/>
      <c r="BD18"/>
      <c r="BE18"/>
      <c r="BF18"/>
      <c r="BG18"/>
      <c r="BH18"/>
      <c r="BI18"/>
    </row>
    <row r="19" spans="2:61" ht="14.5" x14ac:dyDescent="0.35">
      <c r="B19" s="455"/>
      <c r="E19" s="346"/>
      <c r="F19" s="336"/>
      <c r="G19" s="336"/>
      <c r="H19" s="336"/>
      <c r="I19" s="336"/>
      <c r="J19" s="334"/>
      <c r="K19" s="336"/>
      <c r="L19" s="336"/>
      <c r="M19" s="336"/>
      <c r="N19" s="337"/>
      <c r="O19" s="242">
        <f t="shared" ref="O19:O36" si="1">ISBLANK(G19)+ISBLANK(J19)+ISBLANK(E19)+ISBLANK(F19)+ISBLANK(K19)+ISBLANK(H19)+ISBLANK(I19)</f>
        <v>7</v>
      </c>
      <c r="Q19" s="212" t="str">
        <f t="shared" si="0"/>
        <v/>
      </c>
      <c r="R19" s="174" t="s">
        <v>220</v>
      </c>
      <c r="S19" s="174" t="s">
        <v>191</v>
      </c>
      <c r="T19" s="174">
        <f>BusinessTravel_Frontend[[#This Row],[Travel mode]]</f>
        <v>0</v>
      </c>
      <c r="U19" s="174">
        <f>BusinessTravel_Frontend[[#This Row],[Category]]</f>
        <v>0</v>
      </c>
      <c r="V19" s="174">
        <f>BusinessTravel_Frontend[[#This Row],[Type]]</f>
        <v>0</v>
      </c>
      <c r="W19" s="174">
        <f>BusinessTravel_Frontend[[#This Row],[Details]]</f>
        <v>0</v>
      </c>
      <c r="X19" s="174" t="s">
        <v>339</v>
      </c>
      <c r="Y19" s="174" t="s">
        <v>339</v>
      </c>
      <c r="Z19" s="174">
        <f>BusinessTravel_Frontend[[#This Row],[Methodology]]</f>
        <v>0</v>
      </c>
      <c r="AA19" s="229" t="e" cm="1">
        <f t="array" ref="AA19">INDEX(_xlfn.SWITCH(BusinessTravel_Backend[[#This Row],[Methodology]],"Tier 1",rng_RSD1,"Tier 2",rng_RSD2,"Tier 3",rng_RSD3),MATCH(_xlfn.CONCAT(BusinessTravel_Backend[[#This Row],[Level 1]:[Level 6]]),rng_LevelsConcat,0))</f>
        <v>#N/A</v>
      </c>
      <c r="AB19" s="220">
        <f>BusinessTravel_Frontend[[#This Row],[Data]]</f>
        <v>0</v>
      </c>
      <c r="AC19" s="174">
        <f>BusinessTravel_Frontend[[#This Row],[Units]]</f>
        <v>0</v>
      </c>
      <c r="AD19" s="220" t="e">
        <f>IF(BusinessTravel_Backend[[#This Row],[Units]]=BusinessTravel_Backend[[#This Row],[Standard units]],BusinessTravel_Backend[[#This Row],[Data]],BusinessTravel_Backend[[#This Row],[Data]]*_xlfn.XLOOKUP(_xlfn.CONCAT(BusinessTravel_Backend[[#This Row],[Level 1]:[Level 6]]),rng_EFConcat,rng_EFConversion))</f>
        <v>#N/A</v>
      </c>
      <c r="AE19" s="174" t="e" cm="1">
        <f t="array" ref="AE19">_xlfn.XLOOKUP(_xlfn.CONCAT(BusinessTravel_Backend[[#This Row],[Level 1]:[Level 6]]),rng_LevelsConcat,rng_UnitsLong)</f>
        <v>#N/A</v>
      </c>
      <c r="AF19" s="210" t="e">
        <f>_xlfn.XLOOKUP(_xlfn.CONCAT(BusinessTravel_Backend[[#This Row],[Level 1]:[Level 6]]),rng_EFConcat,rng_EF1)*BusinessTravel_Backend[[#This Row],[Converted data]]/1000</f>
        <v>#N/A</v>
      </c>
      <c r="AG19" s="210" t="e">
        <f>_xlfn.XLOOKUP(_xlfn.CONCAT(BusinessTravel_Backend[[#This Row],[Level 1]:[Level 6]]),rng_EFConcat,rng_EF2)*BusinessTravel_Backend[[#This Row],[Converted data]]/1000</f>
        <v>#N/A</v>
      </c>
      <c r="AH19" s="210" t="e">
        <f>_xlfn.XLOOKUP(_xlfn.CONCAT(BusinessTravel_Backend[[#This Row],[Level 1]:[Level 6]]),rng_EFConcat,rng_EF3)*BusinessTravel_Backend[[#This Row],[Converted data]]/1000</f>
        <v>#N/A</v>
      </c>
      <c r="AI19" s="210" t="e">
        <f>_xlfn.XLOOKUP(_xlfn.CONCAT(BusinessTravel_Backend[[#This Row],[Level 1]:[Level 6]]),rng_EFConcat,rng_EF3WTT)*BusinessTravel_Backend[[#This Row],[Converted data]]/1000</f>
        <v>#N/A</v>
      </c>
      <c r="AJ19" s="210" t="e">
        <f>_xlfn.XLOOKUP(_xlfn.CONCAT(BusinessTravel_Backend[[#This Row],[Level 1]:[Level 6]]),rng_EFConcat,rng_EF3TD)*BusinessTravel_Backend[[#This Row],[Converted data]]/1000</f>
        <v>#N/A</v>
      </c>
      <c r="AK19" s="210" t="e">
        <f>_xlfn.XLOOKUP(_xlfn.CONCAT(BusinessTravel_Backend[[#This Row],[Level 1]:[Level 6]]),rng_EFConcat,rng_EF3WTTTD)*BusinessTravel_Backend[[#This Row],[Converted data]]/1000</f>
        <v>#N/A</v>
      </c>
      <c r="AL19" s="220" t="e">
        <f>SUM(BusinessTravel_Backend[[#This Row],[Scope 1 (tCO2e)]:[Scope 3 WTT T&amp;D (tCO2e)]])</f>
        <v>#N/A</v>
      </c>
      <c r="AM19" s="220" t="e">
        <f>BusinessTravel_Backend[[#This Row],[Total (tCO2e)]]*(1-BusinessTravel_Backend[[#This Row],[RSD]])</f>
        <v>#N/A</v>
      </c>
      <c r="AN19" s="220" t="e">
        <f>BusinessTravel_Backend[[#This Row],[Total (tCO2e)]]*(1+BusinessTravel_Backend[[#This Row],[RSD]])</f>
        <v>#N/A</v>
      </c>
      <c r="AO19" s="210" t="e">
        <f>_xlfn.XLOOKUP(_xlfn.CONCAT(BusinessTravel_Backend[[#This Row],[Level 1]:[Level 6]]),rng_EFConcat,rng_EFOOS)*BusinessTravel_Backend[[#This Row],[Converted data]]/1000</f>
        <v>#N/A</v>
      </c>
      <c r="AP19" s="174">
        <f>BusinessTravel_Frontend[[#This Row],[Ease of collection]]</f>
        <v>0</v>
      </c>
      <c r="AQ19" s="213">
        <f>BusinessTravel_Frontend[[#This Row],[Completeness]]</f>
        <v>0</v>
      </c>
      <c r="AR19" s="213">
        <f>BusinessTravel_Frontend[[#This Row],[Notes]]</f>
        <v>0</v>
      </c>
      <c r="AU19"/>
      <c r="AV19"/>
      <c r="AW19"/>
      <c r="AX19"/>
      <c r="AY19"/>
      <c r="AZ19"/>
      <c r="BA19"/>
      <c r="BB19"/>
      <c r="BC19"/>
      <c r="BD19"/>
      <c r="BE19"/>
      <c r="BF19"/>
      <c r="BG19"/>
      <c r="BH19"/>
      <c r="BI19"/>
    </row>
    <row r="20" spans="2:61" ht="14.5" x14ac:dyDescent="0.35">
      <c r="B20" s="455"/>
      <c r="E20" s="346"/>
      <c r="F20" s="336"/>
      <c r="G20" s="336"/>
      <c r="H20" s="336"/>
      <c r="I20" s="336"/>
      <c r="J20" s="334"/>
      <c r="K20" s="336"/>
      <c r="L20" s="336"/>
      <c r="M20" s="336"/>
      <c r="N20" s="337"/>
      <c r="O20" s="242">
        <f t="shared" si="1"/>
        <v>7</v>
      </c>
      <c r="Q20" s="212" t="str">
        <f t="shared" si="0"/>
        <v/>
      </c>
      <c r="R20" s="174" t="s">
        <v>220</v>
      </c>
      <c r="S20" s="174" t="s">
        <v>191</v>
      </c>
      <c r="T20" s="174">
        <f>BusinessTravel_Frontend[[#This Row],[Travel mode]]</f>
        <v>0</v>
      </c>
      <c r="U20" s="174">
        <f>BusinessTravel_Frontend[[#This Row],[Category]]</f>
        <v>0</v>
      </c>
      <c r="V20" s="174">
        <f>BusinessTravel_Frontend[[#This Row],[Type]]</f>
        <v>0</v>
      </c>
      <c r="W20" s="174">
        <f>BusinessTravel_Frontend[[#This Row],[Details]]</f>
        <v>0</v>
      </c>
      <c r="X20" s="174" t="s">
        <v>339</v>
      </c>
      <c r="Y20" s="174" t="s">
        <v>339</v>
      </c>
      <c r="Z20" s="174">
        <f>BusinessTravel_Frontend[[#This Row],[Methodology]]</f>
        <v>0</v>
      </c>
      <c r="AA20" s="229" t="e" cm="1">
        <f t="array" ref="AA20">INDEX(_xlfn.SWITCH(BusinessTravel_Backend[[#This Row],[Methodology]],"Tier 1",rng_RSD1,"Tier 2",rng_RSD2,"Tier 3",rng_RSD3),MATCH(_xlfn.CONCAT(BusinessTravel_Backend[[#This Row],[Level 1]:[Level 6]]),rng_LevelsConcat,0))</f>
        <v>#N/A</v>
      </c>
      <c r="AB20" s="220">
        <f>BusinessTravel_Frontend[[#This Row],[Data]]</f>
        <v>0</v>
      </c>
      <c r="AC20" s="174">
        <f>BusinessTravel_Frontend[[#This Row],[Units]]</f>
        <v>0</v>
      </c>
      <c r="AD20" s="220" t="e">
        <f>IF(BusinessTravel_Backend[[#This Row],[Units]]=BusinessTravel_Backend[[#This Row],[Standard units]],BusinessTravel_Backend[[#This Row],[Data]],BusinessTravel_Backend[[#This Row],[Data]]*_xlfn.XLOOKUP(_xlfn.CONCAT(BusinessTravel_Backend[[#This Row],[Level 1]:[Level 6]]),rng_EFConcat,rng_EFConversion))</f>
        <v>#N/A</v>
      </c>
      <c r="AE20" s="174" t="e" cm="1">
        <f t="array" ref="AE20">_xlfn.XLOOKUP(_xlfn.CONCAT(BusinessTravel_Backend[[#This Row],[Level 1]:[Level 6]]),rng_LevelsConcat,rng_UnitsLong)</f>
        <v>#N/A</v>
      </c>
      <c r="AF20" s="210" t="e">
        <f>_xlfn.XLOOKUP(_xlfn.CONCAT(BusinessTravel_Backend[[#This Row],[Level 1]:[Level 6]]),rng_EFConcat,rng_EF1)*BusinessTravel_Backend[[#This Row],[Converted data]]/1000</f>
        <v>#N/A</v>
      </c>
      <c r="AG20" s="210" t="e">
        <f>_xlfn.XLOOKUP(_xlfn.CONCAT(BusinessTravel_Backend[[#This Row],[Level 1]:[Level 6]]),rng_EFConcat,rng_EF2)*BusinessTravel_Backend[[#This Row],[Converted data]]/1000</f>
        <v>#N/A</v>
      </c>
      <c r="AH20" s="210" t="e">
        <f>_xlfn.XLOOKUP(_xlfn.CONCAT(BusinessTravel_Backend[[#This Row],[Level 1]:[Level 6]]),rng_EFConcat,rng_EF3)*BusinessTravel_Backend[[#This Row],[Converted data]]/1000</f>
        <v>#N/A</v>
      </c>
      <c r="AI20" s="210" t="e">
        <f>_xlfn.XLOOKUP(_xlfn.CONCAT(BusinessTravel_Backend[[#This Row],[Level 1]:[Level 6]]),rng_EFConcat,rng_EF3WTT)*BusinessTravel_Backend[[#This Row],[Converted data]]/1000</f>
        <v>#N/A</v>
      </c>
      <c r="AJ20" s="210" t="e">
        <f>_xlfn.XLOOKUP(_xlfn.CONCAT(BusinessTravel_Backend[[#This Row],[Level 1]:[Level 6]]),rng_EFConcat,rng_EF3TD)*BusinessTravel_Backend[[#This Row],[Converted data]]/1000</f>
        <v>#N/A</v>
      </c>
      <c r="AK20" s="210" t="e">
        <f>_xlfn.XLOOKUP(_xlfn.CONCAT(BusinessTravel_Backend[[#This Row],[Level 1]:[Level 6]]),rng_EFConcat,rng_EF3WTTTD)*BusinessTravel_Backend[[#This Row],[Converted data]]/1000</f>
        <v>#N/A</v>
      </c>
      <c r="AL20" s="220" t="e">
        <f>SUM(BusinessTravel_Backend[[#This Row],[Scope 1 (tCO2e)]:[Scope 3 WTT T&amp;D (tCO2e)]])</f>
        <v>#N/A</v>
      </c>
      <c r="AM20" s="220" t="e">
        <f>BusinessTravel_Backend[[#This Row],[Total (tCO2e)]]*(1-BusinessTravel_Backend[[#This Row],[RSD]])</f>
        <v>#N/A</v>
      </c>
      <c r="AN20" s="220" t="e">
        <f>BusinessTravel_Backend[[#This Row],[Total (tCO2e)]]*(1+BusinessTravel_Backend[[#This Row],[RSD]])</f>
        <v>#N/A</v>
      </c>
      <c r="AO20" s="210" t="e">
        <f>_xlfn.XLOOKUP(_xlfn.CONCAT(BusinessTravel_Backend[[#This Row],[Level 1]:[Level 6]]),rng_EFConcat,rng_EFOOS)*BusinessTravel_Backend[[#This Row],[Converted data]]/1000</f>
        <v>#N/A</v>
      </c>
      <c r="AP20" s="174">
        <f>BusinessTravel_Frontend[[#This Row],[Ease of collection]]</f>
        <v>0</v>
      </c>
      <c r="AQ20" s="213">
        <f>BusinessTravel_Frontend[[#This Row],[Completeness]]</f>
        <v>0</v>
      </c>
      <c r="AR20" s="213">
        <f>BusinessTravel_Frontend[[#This Row],[Notes]]</f>
        <v>0</v>
      </c>
      <c r="AU20"/>
      <c r="AV20"/>
      <c r="AW20"/>
      <c r="AX20"/>
      <c r="AY20"/>
      <c r="AZ20"/>
      <c r="BA20"/>
      <c r="BB20"/>
      <c r="BC20"/>
      <c r="BD20"/>
      <c r="BE20"/>
      <c r="BF20"/>
      <c r="BG20"/>
      <c r="BH20"/>
      <c r="BI20"/>
    </row>
    <row r="21" spans="2:61" ht="14.5" x14ac:dyDescent="0.35">
      <c r="B21" s="455"/>
      <c r="E21" s="346"/>
      <c r="F21" s="336"/>
      <c r="G21" s="336"/>
      <c r="H21" s="336"/>
      <c r="I21" s="336"/>
      <c r="J21" s="334"/>
      <c r="K21" s="336"/>
      <c r="L21" s="336"/>
      <c r="M21" s="336"/>
      <c r="N21" s="337"/>
      <c r="O21" s="242">
        <f t="shared" si="1"/>
        <v>7</v>
      </c>
      <c r="Q21" s="212" t="str">
        <f t="shared" si="0"/>
        <v/>
      </c>
      <c r="R21" s="174" t="s">
        <v>220</v>
      </c>
      <c r="S21" s="174" t="s">
        <v>191</v>
      </c>
      <c r="T21" s="174">
        <f>BusinessTravel_Frontend[[#This Row],[Travel mode]]</f>
        <v>0</v>
      </c>
      <c r="U21" s="174">
        <f>BusinessTravel_Frontend[[#This Row],[Category]]</f>
        <v>0</v>
      </c>
      <c r="V21" s="174">
        <f>BusinessTravel_Frontend[[#This Row],[Type]]</f>
        <v>0</v>
      </c>
      <c r="W21" s="174">
        <f>BusinessTravel_Frontend[[#This Row],[Details]]</f>
        <v>0</v>
      </c>
      <c r="X21" s="174" t="s">
        <v>339</v>
      </c>
      <c r="Y21" s="174" t="s">
        <v>339</v>
      </c>
      <c r="Z21" s="174">
        <f>BusinessTravel_Frontend[[#This Row],[Methodology]]</f>
        <v>0</v>
      </c>
      <c r="AA21" s="229" t="e" cm="1">
        <f t="array" ref="AA21">INDEX(_xlfn.SWITCH(BusinessTravel_Backend[[#This Row],[Methodology]],"Tier 1",rng_RSD1,"Tier 2",rng_RSD2,"Tier 3",rng_RSD3),MATCH(_xlfn.CONCAT(BusinessTravel_Backend[[#This Row],[Level 1]:[Level 6]]),rng_LevelsConcat,0))</f>
        <v>#N/A</v>
      </c>
      <c r="AB21" s="220">
        <f>BusinessTravel_Frontend[[#This Row],[Data]]</f>
        <v>0</v>
      </c>
      <c r="AC21" s="174">
        <f>BusinessTravel_Frontend[[#This Row],[Units]]</f>
        <v>0</v>
      </c>
      <c r="AD21" s="220" t="e">
        <f>IF(BusinessTravel_Backend[[#This Row],[Units]]=BusinessTravel_Backend[[#This Row],[Standard units]],BusinessTravel_Backend[[#This Row],[Data]],BusinessTravel_Backend[[#This Row],[Data]]*_xlfn.XLOOKUP(_xlfn.CONCAT(BusinessTravel_Backend[[#This Row],[Level 1]:[Level 6]]),rng_EFConcat,rng_EFConversion))</f>
        <v>#N/A</v>
      </c>
      <c r="AE21" s="174" t="e" cm="1">
        <f t="array" ref="AE21">_xlfn.XLOOKUP(_xlfn.CONCAT(BusinessTravel_Backend[[#This Row],[Level 1]:[Level 6]]),rng_LevelsConcat,rng_UnitsLong)</f>
        <v>#N/A</v>
      </c>
      <c r="AF21" s="210" t="e">
        <f>_xlfn.XLOOKUP(_xlfn.CONCAT(BusinessTravel_Backend[[#This Row],[Level 1]:[Level 6]]),rng_EFConcat,rng_EF1)*BusinessTravel_Backend[[#This Row],[Converted data]]/1000</f>
        <v>#N/A</v>
      </c>
      <c r="AG21" s="210" t="e">
        <f>_xlfn.XLOOKUP(_xlfn.CONCAT(BusinessTravel_Backend[[#This Row],[Level 1]:[Level 6]]),rng_EFConcat,rng_EF2)*BusinessTravel_Backend[[#This Row],[Converted data]]/1000</f>
        <v>#N/A</v>
      </c>
      <c r="AH21" s="210" t="e">
        <f>_xlfn.XLOOKUP(_xlfn.CONCAT(BusinessTravel_Backend[[#This Row],[Level 1]:[Level 6]]),rng_EFConcat,rng_EF3)*BusinessTravel_Backend[[#This Row],[Converted data]]/1000</f>
        <v>#N/A</v>
      </c>
      <c r="AI21" s="210" t="e">
        <f>_xlfn.XLOOKUP(_xlfn.CONCAT(BusinessTravel_Backend[[#This Row],[Level 1]:[Level 6]]),rng_EFConcat,rng_EF3WTT)*BusinessTravel_Backend[[#This Row],[Converted data]]/1000</f>
        <v>#N/A</v>
      </c>
      <c r="AJ21" s="210" t="e">
        <f>_xlfn.XLOOKUP(_xlfn.CONCAT(BusinessTravel_Backend[[#This Row],[Level 1]:[Level 6]]),rng_EFConcat,rng_EF3TD)*BusinessTravel_Backend[[#This Row],[Converted data]]/1000</f>
        <v>#N/A</v>
      </c>
      <c r="AK21" s="210" t="e">
        <f>_xlfn.XLOOKUP(_xlfn.CONCAT(BusinessTravel_Backend[[#This Row],[Level 1]:[Level 6]]),rng_EFConcat,rng_EF3WTTTD)*BusinessTravel_Backend[[#This Row],[Converted data]]/1000</f>
        <v>#N/A</v>
      </c>
      <c r="AL21" s="220" t="e">
        <f>SUM(BusinessTravel_Backend[[#This Row],[Scope 1 (tCO2e)]:[Scope 3 WTT T&amp;D (tCO2e)]])</f>
        <v>#N/A</v>
      </c>
      <c r="AM21" s="220" t="e">
        <f>BusinessTravel_Backend[[#This Row],[Total (tCO2e)]]*(1-BusinessTravel_Backend[[#This Row],[RSD]])</f>
        <v>#N/A</v>
      </c>
      <c r="AN21" s="220" t="e">
        <f>BusinessTravel_Backend[[#This Row],[Total (tCO2e)]]*(1+BusinessTravel_Backend[[#This Row],[RSD]])</f>
        <v>#N/A</v>
      </c>
      <c r="AO21" s="210" t="e">
        <f>_xlfn.XLOOKUP(_xlfn.CONCAT(BusinessTravel_Backend[[#This Row],[Level 1]:[Level 6]]),rng_EFConcat,rng_EFOOS)*BusinessTravel_Backend[[#This Row],[Converted data]]/1000</f>
        <v>#N/A</v>
      </c>
      <c r="AP21" s="174">
        <f>BusinessTravel_Frontend[[#This Row],[Ease of collection]]</f>
        <v>0</v>
      </c>
      <c r="AQ21" s="213">
        <f>BusinessTravel_Frontend[[#This Row],[Completeness]]</f>
        <v>0</v>
      </c>
      <c r="AR21" s="213">
        <f>BusinessTravel_Frontend[[#This Row],[Notes]]</f>
        <v>0</v>
      </c>
      <c r="AU21"/>
      <c r="AV21"/>
      <c r="AW21"/>
      <c r="AX21"/>
      <c r="AY21"/>
      <c r="AZ21"/>
      <c r="BA21"/>
      <c r="BB21"/>
      <c r="BC21"/>
      <c r="BD21"/>
      <c r="BE21"/>
      <c r="BF21"/>
      <c r="BG21"/>
      <c r="BH21"/>
      <c r="BI21"/>
    </row>
    <row r="22" spans="2:61" ht="14.5" x14ac:dyDescent="0.35">
      <c r="B22" s="455"/>
      <c r="E22" s="346"/>
      <c r="F22" s="336"/>
      <c r="G22" s="336"/>
      <c r="H22" s="336"/>
      <c r="I22" s="336"/>
      <c r="J22" s="334"/>
      <c r="K22" s="336"/>
      <c r="L22" s="336"/>
      <c r="M22" s="336"/>
      <c r="N22" s="337"/>
      <c r="O22" s="242">
        <f t="shared" si="1"/>
        <v>7</v>
      </c>
      <c r="Q22" s="212" t="str">
        <f t="shared" si="0"/>
        <v/>
      </c>
      <c r="R22" s="174" t="s">
        <v>220</v>
      </c>
      <c r="S22" s="174" t="s">
        <v>191</v>
      </c>
      <c r="T22" s="174">
        <f>BusinessTravel_Frontend[[#This Row],[Travel mode]]</f>
        <v>0</v>
      </c>
      <c r="U22" s="174">
        <f>BusinessTravel_Frontend[[#This Row],[Category]]</f>
        <v>0</v>
      </c>
      <c r="V22" s="174">
        <f>BusinessTravel_Frontend[[#This Row],[Type]]</f>
        <v>0</v>
      </c>
      <c r="W22" s="174">
        <f>BusinessTravel_Frontend[[#This Row],[Details]]</f>
        <v>0</v>
      </c>
      <c r="X22" s="174" t="s">
        <v>339</v>
      </c>
      <c r="Y22" s="174" t="s">
        <v>339</v>
      </c>
      <c r="Z22" s="174">
        <f>BusinessTravel_Frontend[[#This Row],[Methodology]]</f>
        <v>0</v>
      </c>
      <c r="AA22" s="229" t="e" cm="1">
        <f t="array" ref="AA22">INDEX(_xlfn.SWITCH(BusinessTravel_Backend[[#This Row],[Methodology]],"Tier 1",rng_RSD1,"Tier 2",rng_RSD2,"Tier 3",rng_RSD3),MATCH(_xlfn.CONCAT(BusinessTravel_Backend[[#This Row],[Level 1]:[Level 6]]),rng_LevelsConcat,0))</f>
        <v>#N/A</v>
      </c>
      <c r="AB22" s="220">
        <f>BusinessTravel_Frontend[[#This Row],[Data]]</f>
        <v>0</v>
      </c>
      <c r="AC22" s="174">
        <f>BusinessTravel_Frontend[[#This Row],[Units]]</f>
        <v>0</v>
      </c>
      <c r="AD22" s="220" t="e">
        <f>IF(BusinessTravel_Backend[[#This Row],[Units]]=BusinessTravel_Backend[[#This Row],[Standard units]],BusinessTravel_Backend[[#This Row],[Data]],BusinessTravel_Backend[[#This Row],[Data]]*_xlfn.XLOOKUP(_xlfn.CONCAT(BusinessTravel_Backend[[#This Row],[Level 1]:[Level 6]]),rng_EFConcat,rng_EFConversion))</f>
        <v>#N/A</v>
      </c>
      <c r="AE22" s="174" t="e" cm="1">
        <f t="array" ref="AE22">_xlfn.XLOOKUP(_xlfn.CONCAT(BusinessTravel_Backend[[#This Row],[Level 1]:[Level 6]]),rng_LevelsConcat,rng_UnitsLong)</f>
        <v>#N/A</v>
      </c>
      <c r="AF22" s="210" t="e">
        <f>_xlfn.XLOOKUP(_xlfn.CONCAT(BusinessTravel_Backend[[#This Row],[Level 1]:[Level 6]]),rng_EFConcat,rng_EF1)*BusinessTravel_Backend[[#This Row],[Converted data]]/1000</f>
        <v>#N/A</v>
      </c>
      <c r="AG22" s="210" t="e">
        <f>_xlfn.XLOOKUP(_xlfn.CONCAT(BusinessTravel_Backend[[#This Row],[Level 1]:[Level 6]]),rng_EFConcat,rng_EF2)*BusinessTravel_Backend[[#This Row],[Converted data]]/1000</f>
        <v>#N/A</v>
      </c>
      <c r="AH22" s="210" t="e">
        <f>_xlfn.XLOOKUP(_xlfn.CONCAT(BusinessTravel_Backend[[#This Row],[Level 1]:[Level 6]]),rng_EFConcat,rng_EF3)*BusinessTravel_Backend[[#This Row],[Converted data]]/1000</f>
        <v>#N/A</v>
      </c>
      <c r="AI22" s="210" t="e">
        <f>_xlfn.XLOOKUP(_xlfn.CONCAT(BusinessTravel_Backend[[#This Row],[Level 1]:[Level 6]]),rng_EFConcat,rng_EF3WTT)*BusinessTravel_Backend[[#This Row],[Converted data]]/1000</f>
        <v>#N/A</v>
      </c>
      <c r="AJ22" s="210" t="e">
        <f>_xlfn.XLOOKUP(_xlfn.CONCAT(BusinessTravel_Backend[[#This Row],[Level 1]:[Level 6]]),rng_EFConcat,rng_EF3TD)*BusinessTravel_Backend[[#This Row],[Converted data]]/1000</f>
        <v>#N/A</v>
      </c>
      <c r="AK22" s="210" t="e">
        <f>_xlfn.XLOOKUP(_xlfn.CONCAT(BusinessTravel_Backend[[#This Row],[Level 1]:[Level 6]]),rng_EFConcat,rng_EF3WTTTD)*BusinessTravel_Backend[[#This Row],[Converted data]]/1000</f>
        <v>#N/A</v>
      </c>
      <c r="AL22" s="220" t="e">
        <f>SUM(BusinessTravel_Backend[[#This Row],[Scope 1 (tCO2e)]:[Scope 3 WTT T&amp;D (tCO2e)]])</f>
        <v>#N/A</v>
      </c>
      <c r="AM22" s="220" t="e">
        <f>BusinessTravel_Backend[[#This Row],[Total (tCO2e)]]*(1-BusinessTravel_Backend[[#This Row],[RSD]])</f>
        <v>#N/A</v>
      </c>
      <c r="AN22" s="220" t="e">
        <f>BusinessTravel_Backend[[#This Row],[Total (tCO2e)]]*(1+BusinessTravel_Backend[[#This Row],[RSD]])</f>
        <v>#N/A</v>
      </c>
      <c r="AO22" s="210" t="e">
        <f>_xlfn.XLOOKUP(_xlfn.CONCAT(BusinessTravel_Backend[[#This Row],[Level 1]:[Level 6]]),rng_EFConcat,rng_EFOOS)*BusinessTravel_Backend[[#This Row],[Converted data]]/1000</f>
        <v>#N/A</v>
      </c>
      <c r="AP22" s="174">
        <f>BusinessTravel_Frontend[[#This Row],[Ease of collection]]</f>
        <v>0</v>
      </c>
      <c r="AQ22" s="213">
        <f>BusinessTravel_Frontend[[#This Row],[Completeness]]</f>
        <v>0</v>
      </c>
      <c r="AR22" s="213">
        <f>BusinessTravel_Frontend[[#This Row],[Notes]]</f>
        <v>0</v>
      </c>
      <c r="AU22"/>
      <c r="AV22"/>
      <c r="AW22"/>
      <c r="AX22"/>
      <c r="AY22"/>
      <c r="AZ22"/>
      <c r="BA22"/>
      <c r="BB22"/>
      <c r="BC22"/>
      <c r="BD22"/>
      <c r="BE22"/>
      <c r="BF22"/>
      <c r="BG22"/>
      <c r="BH22"/>
      <c r="BI22"/>
    </row>
    <row r="23" spans="2:61" ht="14.5" x14ac:dyDescent="0.35">
      <c r="B23" s="455"/>
      <c r="E23" s="346"/>
      <c r="F23" s="336"/>
      <c r="G23" s="336"/>
      <c r="H23" s="336"/>
      <c r="I23" s="336"/>
      <c r="J23" s="334"/>
      <c r="K23" s="336"/>
      <c r="L23" s="336"/>
      <c r="M23" s="336"/>
      <c r="N23" s="337"/>
      <c r="O23" s="242">
        <f t="shared" si="1"/>
        <v>7</v>
      </c>
      <c r="Q23" s="212" t="str">
        <f t="shared" si="0"/>
        <v/>
      </c>
      <c r="R23" s="174" t="s">
        <v>220</v>
      </c>
      <c r="S23" s="174" t="s">
        <v>191</v>
      </c>
      <c r="T23" s="174">
        <f>BusinessTravel_Frontend[[#This Row],[Travel mode]]</f>
        <v>0</v>
      </c>
      <c r="U23" s="174">
        <f>BusinessTravel_Frontend[[#This Row],[Category]]</f>
        <v>0</v>
      </c>
      <c r="V23" s="174">
        <f>BusinessTravel_Frontend[[#This Row],[Type]]</f>
        <v>0</v>
      </c>
      <c r="W23" s="174">
        <f>BusinessTravel_Frontend[[#This Row],[Details]]</f>
        <v>0</v>
      </c>
      <c r="X23" s="174" t="s">
        <v>339</v>
      </c>
      <c r="Y23" s="174" t="s">
        <v>339</v>
      </c>
      <c r="Z23" s="174">
        <f>BusinessTravel_Frontend[[#This Row],[Methodology]]</f>
        <v>0</v>
      </c>
      <c r="AA23" s="229" t="e" cm="1">
        <f t="array" ref="AA23">INDEX(_xlfn.SWITCH(BusinessTravel_Backend[[#This Row],[Methodology]],"Tier 1",rng_RSD1,"Tier 2",rng_RSD2,"Tier 3",rng_RSD3),MATCH(_xlfn.CONCAT(BusinessTravel_Backend[[#This Row],[Level 1]:[Level 6]]),rng_LevelsConcat,0))</f>
        <v>#N/A</v>
      </c>
      <c r="AB23" s="220">
        <f>BusinessTravel_Frontend[[#This Row],[Data]]</f>
        <v>0</v>
      </c>
      <c r="AC23" s="174">
        <f>BusinessTravel_Frontend[[#This Row],[Units]]</f>
        <v>0</v>
      </c>
      <c r="AD23" s="220" t="e">
        <f>IF(BusinessTravel_Backend[[#This Row],[Units]]=BusinessTravel_Backend[[#This Row],[Standard units]],BusinessTravel_Backend[[#This Row],[Data]],BusinessTravel_Backend[[#This Row],[Data]]*_xlfn.XLOOKUP(_xlfn.CONCAT(BusinessTravel_Backend[[#This Row],[Level 1]:[Level 6]]),rng_EFConcat,rng_EFConversion))</f>
        <v>#N/A</v>
      </c>
      <c r="AE23" s="174" t="e" cm="1">
        <f t="array" ref="AE23">_xlfn.XLOOKUP(_xlfn.CONCAT(BusinessTravel_Backend[[#This Row],[Level 1]:[Level 6]]),rng_LevelsConcat,rng_UnitsLong)</f>
        <v>#N/A</v>
      </c>
      <c r="AF23" s="210" t="e">
        <f>_xlfn.XLOOKUP(_xlfn.CONCAT(BusinessTravel_Backend[[#This Row],[Level 1]:[Level 6]]),rng_EFConcat,rng_EF1)*BusinessTravel_Backend[[#This Row],[Converted data]]/1000</f>
        <v>#N/A</v>
      </c>
      <c r="AG23" s="210" t="e">
        <f>_xlfn.XLOOKUP(_xlfn.CONCAT(BusinessTravel_Backend[[#This Row],[Level 1]:[Level 6]]),rng_EFConcat,rng_EF2)*BusinessTravel_Backend[[#This Row],[Converted data]]/1000</f>
        <v>#N/A</v>
      </c>
      <c r="AH23" s="210" t="e">
        <f>_xlfn.XLOOKUP(_xlfn.CONCAT(BusinessTravel_Backend[[#This Row],[Level 1]:[Level 6]]),rng_EFConcat,rng_EF3)*BusinessTravel_Backend[[#This Row],[Converted data]]/1000</f>
        <v>#N/A</v>
      </c>
      <c r="AI23" s="210" t="e">
        <f>_xlfn.XLOOKUP(_xlfn.CONCAT(BusinessTravel_Backend[[#This Row],[Level 1]:[Level 6]]),rng_EFConcat,rng_EF3WTT)*BusinessTravel_Backend[[#This Row],[Converted data]]/1000</f>
        <v>#N/A</v>
      </c>
      <c r="AJ23" s="210" t="e">
        <f>_xlfn.XLOOKUP(_xlfn.CONCAT(BusinessTravel_Backend[[#This Row],[Level 1]:[Level 6]]),rng_EFConcat,rng_EF3TD)*BusinessTravel_Backend[[#This Row],[Converted data]]/1000</f>
        <v>#N/A</v>
      </c>
      <c r="AK23" s="210" t="e">
        <f>_xlfn.XLOOKUP(_xlfn.CONCAT(BusinessTravel_Backend[[#This Row],[Level 1]:[Level 6]]),rng_EFConcat,rng_EF3WTTTD)*BusinessTravel_Backend[[#This Row],[Converted data]]/1000</f>
        <v>#N/A</v>
      </c>
      <c r="AL23" s="220" t="e">
        <f>SUM(BusinessTravel_Backend[[#This Row],[Scope 1 (tCO2e)]:[Scope 3 WTT T&amp;D (tCO2e)]])</f>
        <v>#N/A</v>
      </c>
      <c r="AM23" s="220" t="e">
        <f>BusinessTravel_Backend[[#This Row],[Total (tCO2e)]]*(1-BusinessTravel_Backend[[#This Row],[RSD]])</f>
        <v>#N/A</v>
      </c>
      <c r="AN23" s="220" t="e">
        <f>BusinessTravel_Backend[[#This Row],[Total (tCO2e)]]*(1+BusinessTravel_Backend[[#This Row],[RSD]])</f>
        <v>#N/A</v>
      </c>
      <c r="AO23" s="210" t="e">
        <f>_xlfn.XLOOKUP(_xlfn.CONCAT(BusinessTravel_Backend[[#This Row],[Level 1]:[Level 6]]),rng_EFConcat,rng_EFOOS)*BusinessTravel_Backend[[#This Row],[Converted data]]/1000</f>
        <v>#N/A</v>
      </c>
      <c r="AP23" s="174">
        <f>BusinessTravel_Frontend[[#This Row],[Ease of collection]]</f>
        <v>0</v>
      </c>
      <c r="AQ23" s="213">
        <f>BusinessTravel_Frontend[[#This Row],[Completeness]]</f>
        <v>0</v>
      </c>
      <c r="AR23" s="213">
        <f>BusinessTravel_Frontend[[#This Row],[Notes]]</f>
        <v>0</v>
      </c>
      <c r="AU23"/>
      <c r="AV23"/>
      <c r="AW23"/>
      <c r="AX23"/>
      <c r="AY23"/>
      <c r="AZ23"/>
      <c r="BA23"/>
      <c r="BB23"/>
      <c r="BC23"/>
      <c r="BD23"/>
      <c r="BE23"/>
      <c r="BF23"/>
      <c r="BG23"/>
      <c r="BH23"/>
      <c r="BI23"/>
    </row>
    <row r="24" spans="2:61" ht="14.5" x14ac:dyDescent="0.35">
      <c r="B24" s="455"/>
      <c r="E24" s="346"/>
      <c r="F24" s="336"/>
      <c r="G24" s="336"/>
      <c r="H24" s="336"/>
      <c r="I24" s="336"/>
      <c r="J24" s="334"/>
      <c r="K24" s="336"/>
      <c r="L24" s="336"/>
      <c r="M24" s="336"/>
      <c r="N24" s="337"/>
      <c r="O24" s="242">
        <f t="shared" si="1"/>
        <v>7</v>
      </c>
      <c r="Q24" s="212" t="str">
        <f t="shared" si="0"/>
        <v/>
      </c>
      <c r="R24" s="174" t="s">
        <v>220</v>
      </c>
      <c r="S24" s="174" t="s">
        <v>191</v>
      </c>
      <c r="T24" s="174">
        <f>BusinessTravel_Frontend[[#This Row],[Travel mode]]</f>
        <v>0</v>
      </c>
      <c r="U24" s="174">
        <f>BusinessTravel_Frontend[[#This Row],[Category]]</f>
        <v>0</v>
      </c>
      <c r="V24" s="174">
        <f>BusinessTravel_Frontend[[#This Row],[Type]]</f>
        <v>0</v>
      </c>
      <c r="W24" s="174">
        <f>BusinessTravel_Frontend[[#This Row],[Details]]</f>
        <v>0</v>
      </c>
      <c r="X24" s="174" t="s">
        <v>339</v>
      </c>
      <c r="Y24" s="174" t="s">
        <v>339</v>
      </c>
      <c r="Z24" s="174">
        <f>BusinessTravel_Frontend[[#This Row],[Methodology]]</f>
        <v>0</v>
      </c>
      <c r="AA24" s="229" t="e" cm="1">
        <f t="array" ref="AA24">INDEX(_xlfn.SWITCH(BusinessTravel_Backend[[#This Row],[Methodology]],"Tier 1",rng_RSD1,"Tier 2",rng_RSD2,"Tier 3",rng_RSD3),MATCH(_xlfn.CONCAT(BusinessTravel_Backend[[#This Row],[Level 1]:[Level 6]]),rng_LevelsConcat,0))</f>
        <v>#N/A</v>
      </c>
      <c r="AB24" s="220">
        <f>BusinessTravel_Frontend[[#This Row],[Data]]</f>
        <v>0</v>
      </c>
      <c r="AC24" s="174">
        <f>BusinessTravel_Frontend[[#This Row],[Units]]</f>
        <v>0</v>
      </c>
      <c r="AD24" s="220" t="e">
        <f>IF(BusinessTravel_Backend[[#This Row],[Units]]=BusinessTravel_Backend[[#This Row],[Standard units]],BusinessTravel_Backend[[#This Row],[Data]],BusinessTravel_Backend[[#This Row],[Data]]*_xlfn.XLOOKUP(_xlfn.CONCAT(BusinessTravel_Backend[[#This Row],[Level 1]:[Level 6]]),rng_EFConcat,rng_EFConversion))</f>
        <v>#N/A</v>
      </c>
      <c r="AE24" s="174" t="e" cm="1">
        <f t="array" ref="AE24">_xlfn.XLOOKUP(_xlfn.CONCAT(BusinessTravel_Backend[[#This Row],[Level 1]:[Level 6]]),rng_LevelsConcat,rng_UnitsLong)</f>
        <v>#N/A</v>
      </c>
      <c r="AF24" s="210" t="e">
        <f>_xlfn.XLOOKUP(_xlfn.CONCAT(BusinessTravel_Backend[[#This Row],[Level 1]:[Level 6]]),rng_EFConcat,rng_EF1)*BusinessTravel_Backend[[#This Row],[Converted data]]/1000</f>
        <v>#N/A</v>
      </c>
      <c r="AG24" s="210" t="e">
        <f>_xlfn.XLOOKUP(_xlfn.CONCAT(BusinessTravel_Backend[[#This Row],[Level 1]:[Level 6]]),rng_EFConcat,rng_EF2)*BusinessTravel_Backend[[#This Row],[Converted data]]/1000</f>
        <v>#N/A</v>
      </c>
      <c r="AH24" s="210" t="e">
        <f>_xlfn.XLOOKUP(_xlfn.CONCAT(BusinessTravel_Backend[[#This Row],[Level 1]:[Level 6]]),rng_EFConcat,rng_EF3)*BusinessTravel_Backend[[#This Row],[Converted data]]/1000</f>
        <v>#N/A</v>
      </c>
      <c r="AI24" s="210" t="e">
        <f>_xlfn.XLOOKUP(_xlfn.CONCAT(BusinessTravel_Backend[[#This Row],[Level 1]:[Level 6]]),rng_EFConcat,rng_EF3WTT)*BusinessTravel_Backend[[#This Row],[Converted data]]/1000</f>
        <v>#N/A</v>
      </c>
      <c r="AJ24" s="210" t="e">
        <f>_xlfn.XLOOKUP(_xlfn.CONCAT(BusinessTravel_Backend[[#This Row],[Level 1]:[Level 6]]),rng_EFConcat,rng_EF3TD)*BusinessTravel_Backend[[#This Row],[Converted data]]/1000</f>
        <v>#N/A</v>
      </c>
      <c r="AK24" s="210" t="e">
        <f>_xlfn.XLOOKUP(_xlfn.CONCAT(BusinessTravel_Backend[[#This Row],[Level 1]:[Level 6]]),rng_EFConcat,rng_EF3WTTTD)*BusinessTravel_Backend[[#This Row],[Converted data]]/1000</f>
        <v>#N/A</v>
      </c>
      <c r="AL24" s="220" t="e">
        <f>SUM(BusinessTravel_Backend[[#This Row],[Scope 1 (tCO2e)]:[Scope 3 WTT T&amp;D (tCO2e)]])</f>
        <v>#N/A</v>
      </c>
      <c r="AM24" s="220" t="e">
        <f>BusinessTravel_Backend[[#This Row],[Total (tCO2e)]]*(1-BusinessTravel_Backend[[#This Row],[RSD]])</f>
        <v>#N/A</v>
      </c>
      <c r="AN24" s="220" t="e">
        <f>BusinessTravel_Backend[[#This Row],[Total (tCO2e)]]*(1+BusinessTravel_Backend[[#This Row],[RSD]])</f>
        <v>#N/A</v>
      </c>
      <c r="AO24" s="210" t="e">
        <f>_xlfn.XLOOKUP(_xlfn.CONCAT(BusinessTravel_Backend[[#This Row],[Level 1]:[Level 6]]),rng_EFConcat,rng_EFOOS)*BusinessTravel_Backend[[#This Row],[Converted data]]/1000</f>
        <v>#N/A</v>
      </c>
      <c r="AP24" s="174">
        <f>BusinessTravel_Frontend[[#This Row],[Ease of collection]]</f>
        <v>0</v>
      </c>
      <c r="AQ24" s="213">
        <f>BusinessTravel_Frontend[[#This Row],[Completeness]]</f>
        <v>0</v>
      </c>
      <c r="AR24" s="213">
        <f>BusinessTravel_Frontend[[#This Row],[Notes]]</f>
        <v>0</v>
      </c>
      <c r="AU24"/>
      <c r="AV24"/>
      <c r="AW24"/>
      <c r="AX24"/>
      <c r="AY24"/>
      <c r="AZ24"/>
      <c r="BA24"/>
      <c r="BB24"/>
      <c r="BC24"/>
      <c r="BD24"/>
      <c r="BE24"/>
      <c r="BF24"/>
      <c r="BG24"/>
      <c r="BH24"/>
      <c r="BI24"/>
    </row>
    <row r="25" spans="2:61" ht="14.5" x14ac:dyDescent="0.35">
      <c r="B25" s="455"/>
      <c r="E25" s="346"/>
      <c r="F25" s="336"/>
      <c r="G25" s="336"/>
      <c r="H25" s="336"/>
      <c r="I25" s="336"/>
      <c r="J25" s="334"/>
      <c r="K25" s="336"/>
      <c r="L25" s="336"/>
      <c r="M25" s="336"/>
      <c r="N25" s="337"/>
      <c r="O25" s="242">
        <f t="shared" si="1"/>
        <v>7</v>
      </c>
      <c r="Q25" s="212" t="str">
        <f t="shared" si="0"/>
        <v/>
      </c>
      <c r="R25" s="174" t="s">
        <v>220</v>
      </c>
      <c r="S25" s="174" t="s">
        <v>191</v>
      </c>
      <c r="T25" s="174">
        <f>BusinessTravel_Frontend[[#This Row],[Travel mode]]</f>
        <v>0</v>
      </c>
      <c r="U25" s="174">
        <f>BusinessTravel_Frontend[[#This Row],[Category]]</f>
        <v>0</v>
      </c>
      <c r="V25" s="174">
        <f>BusinessTravel_Frontend[[#This Row],[Type]]</f>
        <v>0</v>
      </c>
      <c r="W25" s="174">
        <f>BusinessTravel_Frontend[[#This Row],[Details]]</f>
        <v>0</v>
      </c>
      <c r="X25" s="174" t="s">
        <v>339</v>
      </c>
      <c r="Y25" s="174" t="s">
        <v>339</v>
      </c>
      <c r="Z25" s="174">
        <f>BusinessTravel_Frontend[[#This Row],[Methodology]]</f>
        <v>0</v>
      </c>
      <c r="AA25" s="229" t="e" cm="1">
        <f t="array" ref="AA25">INDEX(_xlfn.SWITCH(BusinessTravel_Backend[[#This Row],[Methodology]],"Tier 1",rng_RSD1,"Tier 2",rng_RSD2,"Tier 3",rng_RSD3),MATCH(_xlfn.CONCAT(BusinessTravel_Backend[[#This Row],[Level 1]:[Level 6]]),rng_LevelsConcat,0))</f>
        <v>#N/A</v>
      </c>
      <c r="AB25" s="220">
        <f>BusinessTravel_Frontend[[#This Row],[Data]]</f>
        <v>0</v>
      </c>
      <c r="AC25" s="174">
        <f>BusinessTravel_Frontend[[#This Row],[Units]]</f>
        <v>0</v>
      </c>
      <c r="AD25" s="220" t="e">
        <f>IF(BusinessTravel_Backend[[#This Row],[Units]]=BusinessTravel_Backend[[#This Row],[Standard units]],BusinessTravel_Backend[[#This Row],[Data]],BusinessTravel_Backend[[#This Row],[Data]]*_xlfn.XLOOKUP(_xlfn.CONCAT(BusinessTravel_Backend[[#This Row],[Level 1]:[Level 6]]),rng_EFConcat,rng_EFConversion))</f>
        <v>#N/A</v>
      </c>
      <c r="AE25" s="174" t="e" cm="1">
        <f t="array" ref="AE25">_xlfn.XLOOKUP(_xlfn.CONCAT(BusinessTravel_Backend[[#This Row],[Level 1]:[Level 6]]),rng_LevelsConcat,rng_UnitsLong)</f>
        <v>#N/A</v>
      </c>
      <c r="AF25" s="210" t="e">
        <f>_xlfn.XLOOKUP(_xlfn.CONCAT(BusinessTravel_Backend[[#This Row],[Level 1]:[Level 6]]),rng_EFConcat,rng_EF1)*BusinessTravel_Backend[[#This Row],[Converted data]]/1000</f>
        <v>#N/A</v>
      </c>
      <c r="AG25" s="210" t="e">
        <f>_xlfn.XLOOKUP(_xlfn.CONCAT(BusinessTravel_Backend[[#This Row],[Level 1]:[Level 6]]),rng_EFConcat,rng_EF2)*BusinessTravel_Backend[[#This Row],[Converted data]]/1000</f>
        <v>#N/A</v>
      </c>
      <c r="AH25" s="210" t="e">
        <f>_xlfn.XLOOKUP(_xlfn.CONCAT(BusinessTravel_Backend[[#This Row],[Level 1]:[Level 6]]),rng_EFConcat,rng_EF3)*BusinessTravel_Backend[[#This Row],[Converted data]]/1000</f>
        <v>#N/A</v>
      </c>
      <c r="AI25" s="210" t="e">
        <f>_xlfn.XLOOKUP(_xlfn.CONCAT(BusinessTravel_Backend[[#This Row],[Level 1]:[Level 6]]),rng_EFConcat,rng_EF3WTT)*BusinessTravel_Backend[[#This Row],[Converted data]]/1000</f>
        <v>#N/A</v>
      </c>
      <c r="AJ25" s="210" t="e">
        <f>_xlfn.XLOOKUP(_xlfn.CONCAT(BusinessTravel_Backend[[#This Row],[Level 1]:[Level 6]]),rng_EFConcat,rng_EF3TD)*BusinessTravel_Backend[[#This Row],[Converted data]]/1000</f>
        <v>#N/A</v>
      </c>
      <c r="AK25" s="210" t="e">
        <f>_xlfn.XLOOKUP(_xlfn.CONCAT(BusinessTravel_Backend[[#This Row],[Level 1]:[Level 6]]),rng_EFConcat,rng_EF3WTTTD)*BusinessTravel_Backend[[#This Row],[Converted data]]/1000</f>
        <v>#N/A</v>
      </c>
      <c r="AL25" s="220" t="e">
        <f>SUM(BusinessTravel_Backend[[#This Row],[Scope 1 (tCO2e)]:[Scope 3 WTT T&amp;D (tCO2e)]])</f>
        <v>#N/A</v>
      </c>
      <c r="AM25" s="220" t="e">
        <f>BusinessTravel_Backend[[#This Row],[Total (tCO2e)]]*(1-BusinessTravel_Backend[[#This Row],[RSD]])</f>
        <v>#N/A</v>
      </c>
      <c r="AN25" s="220" t="e">
        <f>BusinessTravel_Backend[[#This Row],[Total (tCO2e)]]*(1+BusinessTravel_Backend[[#This Row],[RSD]])</f>
        <v>#N/A</v>
      </c>
      <c r="AO25" s="210" t="e">
        <f>_xlfn.XLOOKUP(_xlfn.CONCAT(BusinessTravel_Backend[[#This Row],[Level 1]:[Level 6]]),rng_EFConcat,rng_EFOOS)*BusinessTravel_Backend[[#This Row],[Converted data]]/1000</f>
        <v>#N/A</v>
      </c>
      <c r="AP25" s="174">
        <f>BusinessTravel_Frontend[[#This Row],[Ease of collection]]</f>
        <v>0</v>
      </c>
      <c r="AQ25" s="213">
        <f>BusinessTravel_Frontend[[#This Row],[Completeness]]</f>
        <v>0</v>
      </c>
      <c r="AR25" s="213">
        <f>BusinessTravel_Frontend[[#This Row],[Notes]]</f>
        <v>0</v>
      </c>
      <c r="AU25"/>
      <c r="AV25"/>
      <c r="AW25"/>
      <c r="AX25"/>
      <c r="AY25"/>
      <c r="AZ25"/>
      <c r="BA25"/>
      <c r="BB25"/>
      <c r="BC25"/>
      <c r="BD25"/>
      <c r="BE25"/>
      <c r="BF25"/>
      <c r="BG25"/>
      <c r="BH25"/>
      <c r="BI25"/>
    </row>
    <row r="26" spans="2:61" ht="14.5" x14ac:dyDescent="0.35">
      <c r="B26" s="455"/>
      <c r="E26" s="346"/>
      <c r="F26" s="336"/>
      <c r="G26" s="336"/>
      <c r="H26" s="336"/>
      <c r="I26" s="336"/>
      <c r="J26" s="334"/>
      <c r="K26" s="336"/>
      <c r="L26" s="336"/>
      <c r="M26" s="336"/>
      <c r="N26" s="337"/>
      <c r="O26" s="242">
        <f t="shared" si="1"/>
        <v>7</v>
      </c>
      <c r="Q26" s="212" t="str">
        <f t="shared" si="0"/>
        <v/>
      </c>
      <c r="R26" s="174" t="s">
        <v>220</v>
      </c>
      <c r="S26" s="174" t="s">
        <v>191</v>
      </c>
      <c r="T26" s="174">
        <f>BusinessTravel_Frontend[[#This Row],[Travel mode]]</f>
        <v>0</v>
      </c>
      <c r="U26" s="174">
        <f>BusinessTravel_Frontend[[#This Row],[Category]]</f>
        <v>0</v>
      </c>
      <c r="V26" s="174">
        <f>BusinessTravel_Frontend[[#This Row],[Type]]</f>
        <v>0</v>
      </c>
      <c r="W26" s="174">
        <f>BusinessTravel_Frontend[[#This Row],[Details]]</f>
        <v>0</v>
      </c>
      <c r="X26" s="174" t="s">
        <v>339</v>
      </c>
      <c r="Y26" s="174" t="s">
        <v>339</v>
      </c>
      <c r="Z26" s="174">
        <f>BusinessTravel_Frontend[[#This Row],[Methodology]]</f>
        <v>0</v>
      </c>
      <c r="AA26" s="229" t="e" cm="1">
        <f t="array" ref="AA26">INDEX(_xlfn.SWITCH(BusinessTravel_Backend[[#This Row],[Methodology]],"Tier 1",rng_RSD1,"Tier 2",rng_RSD2,"Tier 3",rng_RSD3),MATCH(_xlfn.CONCAT(BusinessTravel_Backend[[#This Row],[Level 1]:[Level 6]]),rng_LevelsConcat,0))</f>
        <v>#N/A</v>
      </c>
      <c r="AB26" s="220">
        <f>BusinessTravel_Frontend[[#This Row],[Data]]</f>
        <v>0</v>
      </c>
      <c r="AC26" s="174">
        <f>BusinessTravel_Frontend[[#This Row],[Units]]</f>
        <v>0</v>
      </c>
      <c r="AD26" s="220" t="e">
        <f>IF(BusinessTravel_Backend[[#This Row],[Units]]=BusinessTravel_Backend[[#This Row],[Standard units]],BusinessTravel_Backend[[#This Row],[Data]],BusinessTravel_Backend[[#This Row],[Data]]*_xlfn.XLOOKUP(_xlfn.CONCAT(BusinessTravel_Backend[[#This Row],[Level 1]:[Level 6]]),rng_EFConcat,rng_EFConversion))</f>
        <v>#N/A</v>
      </c>
      <c r="AE26" s="174" t="e" cm="1">
        <f t="array" ref="AE26">_xlfn.XLOOKUP(_xlfn.CONCAT(BusinessTravel_Backend[[#This Row],[Level 1]:[Level 6]]),rng_LevelsConcat,rng_UnitsLong)</f>
        <v>#N/A</v>
      </c>
      <c r="AF26" s="210" t="e">
        <f>_xlfn.XLOOKUP(_xlfn.CONCAT(BusinessTravel_Backend[[#This Row],[Level 1]:[Level 6]]),rng_EFConcat,rng_EF1)*BusinessTravel_Backend[[#This Row],[Converted data]]/1000</f>
        <v>#N/A</v>
      </c>
      <c r="AG26" s="210" t="e">
        <f>_xlfn.XLOOKUP(_xlfn.CONCAT(BusinessTravel_Backend[[#This Row],[Level 1]:[Level 6]]),rng_EFConcat,rng_EF2)*BusinessTravel_Backend[[#This Row],[Converted data]]/1000</f>
        <v>#N/A</v>
      </c>
      <c r="AH26" s="210" t="e">
        <f>_xlfn.XLOOKUP(_xlfn.CONCAT(BusinessTravel_Backend[[#This Row],[Level 1]:[Level 6]]),rng_EFConcat,rng_EF3)*BusinessTravel_Backend[[#This Row],[Converted data]]/1000</f>
        <v>#N/A</v>
      </c>
      <c r="AI26" s="210" t="e">
        <f>_xlfn.XLOOKUP(_xlfn.CONCAT(BusinessTravel_Backend[[#This Row],[Level 1]:[Level 6]]),rng_EFConcat,rng_EF3WTT)*BusinessTravel_Backend[[#This Row],[Converted data]]/1000</f>
        <v>#N/A</v>
      </c>
      <c r="AJ26" s="210" t="e">
        <f>_xlfn.XLOOKUP(_xlfn.CONCAT(BusinessTravel_Backend[[#This Row],[Level 1]:[Level 6]]),rng_EFConcat,rng_EF3TD)*BusinessTravel_Backend[[#This Row],[Converted data]]/1000</f>
        <v>#N/A</v>
      </c>
      <c r="AK26" s="210" t="e">
        <f>_xlfn.XLOOKUP(_xlfn.CONCAT(BusinessTravel_Backend[[#This Row],[Level 1]:[Level 6]]),rng_EFConcat,rng_EF3WTTTD)*BusinessTravel_Backend[[#This Row],[Converted data]]/1000</f>
        <v>#N/A</v>
      </c>
      <c r="AL26" s="220" t="e">
        <f>SUM(BusinessTravel_Backend[[#This Row],[Scope 1 (tCO2e)]:[Scope 3 WTT T&amp;D (tCO2e)]])</f>
        <v>#N/A</v>
      </c>
      <c r="AM26" s="220" t="e">
        <f>BusinessTravel_Backend[[#This Row],[Total (tCO2e)]]*(1-BusinessTravel_Backend[[#This Row],[RSD]])</f>
        <v>#N/A</v>
      </c>
      <c r="AN26" s="220" t="e">
        <f>BusinessTravel_Backend[[#This Row],[Total (tCO2e)]]*(1+BusinessTravel_Backend[[#This Row],[RSD]])</f>
        <v>#N/A</v>
      </c>
      <c r="AO26" s="210" t="e">
        <f>_xlfn.XLOOKUP(_xlfn.CONCAT(BusinessTravel_Backend[[#This Row],[Level 1]:[Level 6]]),rng_EFConcat,rng_EFOOS)*BusinessTravel_Backend[[#This Row],[Converted data]]/1000</f>
        <v>#N/A</v>
      </c>
      <c r="AP26" s="174">
        <f>BusinessTravel_Frontend[[#This Row],[Ease of collection]]</f>
        <v>0</v>
      </c>
      <c r="AQ26" s="213">
        <f>BusinessTravel_Frontend[[#This Row],[Completeness]]</f>
        <v>0</v>
      </c>
      <c r="AR26" s="213">
        <f>BusinessTravel_Frontend[[#This Row],[Notes]]</f>
        <v>0</v>
      </c>
      <c r="AU26"/>
      <c r="AV26"/>
      <c r="AW26"/>
      <c r="AX26"/>
      <c r="AY26"/>
      <c r="AZ26"/>
      <c r="BA26"/>
      <c r="BB26"/>
      <c r="BC26"/>
      <c r="BD26"/>
      <c r="BE26"/>
      <c r="BF26"/>
      <c r="BG26"/>
      <c r="BH26"/>
      <c r="BI26"/>
    </row>
    <row r="27" spans="2:61" ht="14.5" x14ac:dyDescent="0.35">
      <c r="B27" s="455"/>
      <c r="E27" s="346"/>
      <c r="F27" s="336"/>
      <c r="G27" s="336"/>
      <c r="H27" s="336"/>
      <c r="I27" s="336"/>
      <c r="J27" s="334"/>
      <c r="K27" s="336"/>
      <c r="L27" s="336"/>
      <c r="M27" s="336"/>
      <c r="N27" s="337"/>
      <c r="O27" s="242">
        <f t="shared" si="1"/>
        <v>7</v>
      </c>
      <c r="Q27" s="212" t="str">
        <f t="shared" si="0"/>
        <v/>
      </c>
      <c r="R27" s="174" t="s">
        <v>220</v>
      </c>
      <c r="S27" s="174" t="s">
        <v>191</v>
      </c>
      <c r="T27" s="174">
        <f>BusinessTravel_Frontend[[#This Row],[Travel mode]]</f>
        <v>0</v>
      </c>
      <c r="U27" s="174">
        <f>BusinessTravel_Frontend[[#This Row],[Category]]</f>
        <v>0</v>
      </c>
      <c r="V27" s="174">
        <f>BusinessTravel_Frontend[[#This Row],[Type]]</f>
        <v>0</v>
      </c>
      <c r="W27" s="174">
        <f>BusinessTravel_Frontend[[#This Row],[Details]]</f>
        <v>0</v>
      </c>
      <c r="X27" s="174" t="s">
        <v>339</v>
      </c>
      <c r="Y27" s="174" t="s">
        <v>339</v>
      </c>
      <c r="Z27" s="174">
        <f>BusinessTravel_Frontend[[#This Row],[Methodology]]</f>
        <v>0</v>
      </c>
      <c r="AA27" s="229" t="e" cm="1">
        <f t="array" ref="AA27">INDEX(_xlfn.SWITCH(BusinessTravel_Backend[[#This Row],[Methodology]],"Tier 1",rng_RSD1,"Tier 2",rng_RSD2,"Tier 3",rng_RSD3),MATCH(_xlfn.CONCAT(BusinessTravel_Backend[[#This Row],[Level 1]:[Level 6]]),rng_LevelsConcat,0))</f>
        <v>#N/A</v>
      </c>
      <c r="AB27" s="220">
        <f>BusinessTravel_Frontend[[#This Row],[Data]]</f>
        <v>0</v>
      </c>
      <c r="AC27" s="174">
        <f>BusinessTravel_Frontend[[#This Row],[Units]]</f>
        <v>0</v>
      </c>
      <c r="AD27" s="220" t="e">
        <f>IF(BusinessTravel_Backend[[#This Row],[Units]]=BusinessTravel_Backend[[#This Row],[Standard units]],BusinessTravel_Backend[[#This Row],[Data]],BusinessTravel_Backend[[#This Row],[Data]]*_xlfn.XLOOKUP(_xlfn.CONCAT(BusinessTravel_Backend[[#This Row],[Level 1]:[Level 6]]),rng_EFConcat,rng_EFConversion))</f>
        <v>#N/A</v>
      </c>
      <c r="AE27" s="174" t="e" cm="1">
        <f t="array" ref="AE27">_xlfn.XLOOKUP(_xlfn.CONCAT(BusinessTravel_Backend[[#This Row],[Level 1]:[Level 6]]),rng_LevelsConcat,rng_UnitsLong)</f>
        <v>#N/A</v>
      </c>
      <c r="AF27" s="210" t="e">
        <f>_xlfn.XLOOKUP(_xlfn.CONCAT(BusinessTravel_Backend[[#This Row],[Level 1]:[Level 6]]),rng_EFConcat,rng_EF1)*BusinessTravel_Backend[[#This Row],[Converted data]]/1000</f>
        <v>#N/A</v>
      </c>
      <c r="AG27" s="210" t="e">
        <f>_xlfn.XLOOKUP(_xlfn.CONCAT(BusinessTravel_Backend[[#This Row],[Level 1]:[Level 6]]),rng_EFConcat,rng_EF2)*BusinessTravel_Backend[[#This Row],[Converted data]]/1000</f>
        <v>#N/A</v>
      </c>
      <c r="AH27" s="210" t="e">
        <f>_xlfn.XLOOKUP(_xlfn.CONCAT(BusinessTravel_Backend[[#This Row],[Level 1]:[Level 6]]),rng_EFConcat,rng_EF3)*BusinessTravel_Backend[[#This Row],[Converted data]]/1000</f>
        <v>#N/A</v>
      </c>
      <c r="AI27" s="210" t="e">
        <f>_xlfn.XLOOKUP(_xlfn.CONCAT(BusinessTravel_Backend[[#This Row],[Level 1]:[Level 6]]),rng_EFConcat,rng_EF3WTT)*BusinessTravel_Backend[[#This Row],[Converted data]]/1000</f>
        <v>#N/A</v>
      </c>
      <c r="AJ27" s="210" t="e">
        <f>_xlfn.XLOOKUP(_xlfn.CONCAT(BusinessTravel_Backend[[#This Row],[Level 1]:[Level 6]]),rng_EFConcat,rng_EF3TD)*BusinessTravel_Backend[[#This Row],[Converted data]]/1000</f>
        <v>#N/A</v>
      </c>
      <c r="AK27" s="210" t="e">
        <f>_xlfn.XLOOKUP(_xlfn.CONCAT(BusinessTravel_Backend[[#This Row],[Level 1]:[Level 6]]),rng_EFConcat,rng_EF3WTTTD)*BusinessTravel_Backend[[#This Row],[Converted data]]/1000</f>
        <v>#N/A</v>
      </c>
      <c r="AL27" s="220" t="e">
        <f>SUM(BusinessTravel_Backend[[#This Row],[Scope 1 (tCO2e)]:[Scope 3 WTT T&amp;D (tCO2e)]])</f>
        <v>#N/A</v>
      </c>
      <c r="AM27" s="220" t="e">
        <f>BusinessTravel_Backend[[#This Row],[Total (tCO2e)]]*(1-BusinessTravel_Backend[[#This Row],[RSD]])</f>
        <v>#N/A</v>
      </c>
      <c r="AN27" s="220" t="e">
        <f>BusinessTravel_Backend[[#This Row],[Total (tCO2e)]]*(1+BusinessTravel_Backend[[#This Row],[RSD]])</f>
        <v>#N/A</v>
      </c>
      <c r="AO27" s="210" t="e">
        <f>_xlfn.XLOOKUP(_xlfn.CONCAT(BusinessTravel_Backend[[#This Row],[Level 1]:[Level 6]]),rng_EFConcat,rng_EFOOS)*BusinessTravel_Backend[[#This Row],[Converted data]]/1000</f>
        <v>#N/A</v>
      </c>
      <c r="AP27" s="174">
        <f>BusinessTravel_Frontend[[#This Row],[Ease of collection]]</f>
        <v>0</v>
      </c>
      <c r="AQ27" s="213">
        <f>BusinessTravel_Frontend[[#This Row],[Completeness]]</f>
        <v>0</v>
      </c>
      <c r="AR27" s="213">
        <f>BusinessTravel_Frontend[[#This Row],[Notes]]</f>
        <v>0</v>
      </c>
      <c r="AU27"/>
      <c r="AV27"/>
      <c r="AW27"/>
      <c r="AX27"/>
      <c r="AY27"/>
      <c r="AZ27"/>
      <c r="BA27"/>
      <c r="BB27"/>
      <c r="BC27"/>
      <c r="BD27"/>
      <c r="BE27"/>
      <c r="BF27"/>
      <c r="BG27"/>
      <c r="BH27"/>
      <c r="BI27"/>
    </row>
    <row r="28" spans="2:61" ht="14.5" x14ac:dyDescent="0.35">
      <c r="B28" s="455"/>
      <c r="E28" s="346"/>
      <c r="F28" s="336"/>
      <c r="G28" s="336"/>
      <c r="H28" s="336"/>
      <c r="I28" s="336"/>
      <c r="J28" s="334"/>
      <c r="K28" s="336"/>
      <c r="L28" s="336"/>
      <c r="M28" s="336"/>
      <c r="N28" s="337"/>
      <c r="O28" s="242">
        <f t="shared" si="1"/>
        <v>7</v>
      </c>
      <c r="Q28" s="212" t="str">
        <f t="shared" si="0"/>
        <v/>
      </c>
      <c r="R28" s="174" t="s">
        <v>220</v>
      </c>
      <c r="S28" s="174" t="s">
        <v>191</v>
      </c>
      <c r="T28" s="174">
        <f>BusinessTravel_Frontend[[#This Row],[Travel mode]]</f>
        <v>0</v>
      </c>
      <c r="U28" s="174">
        <f>BusinessTravel_Frontend[[#This Row],[Category]]</f>
        <v>0</v>
      </c>
      <c r="V28" s="174">
        <f>BusinessTravel_Frontend[[#This Row],[Type]]</f>
        <v>0</v>
      </c>
      <c r="W28" s="174">
        <f>BusinessTravel_Frontend[[#This Row],[Details]]</f>
        <v>0</v>
      </c>
      <c r="X28" s="174" t="s">
        <v>339</v>
      </c>
      <c r="Y28" s="174" t="s">
        <v>339</v>
      </c>
      <c r="Z28" s="174">
        <f>BusinessTravel_Frontend[[#This Row],[Methodology]]</f>
        <v>0</v>
      </c>
      <c r="AA28" s="229" t="e" cm="1">
        <f t="array" ref="AA28">INDEX(_xlfn.SWITCH(BusinessTravel_Backend[[#This Row],[Methodology]],"Tier 1",rng_RSD1,"Tier 2",rng_RSD2,"Tier 3",rng_RSD3),MATCH(_xlfn.CONCAT(BusinessTravel_Backend[[#This Row],[Level 1]:[Level 6]]),rng_LevelsConcat,0))</f>
        <v>#N/A</v>
      </c>
      <c r="AB28" s="220">
        <f>BusinessTravel_Frontend[[#This Row],[Data]]</f>
        <v>0</v>
      </c>
      <c r="AC28" s="174">
        <f>BusinessTravel_Frontend[[#This Row],[Units]]</f>
        <v>0</v>
      </c>
      <c r="AD28" s="220" t="e">
        <f>IF(BusinessTravel_Backend[[#This Row],[Units]]=BusinessTravel_Backend[[#This Row],[Standard units]],BusinessTravel_Backend[[#This Row],[Data]],BusinessTravel_Backend[[#This Row],[Data]]*_xlfn.XLOOKUP(_xlfn.CONCAT(BusinessTravel_Backend[[#This Row],[Level 1]:[Level 6]]),rng_EFConcat,rng_EFConversion))</f>
        <v>#N/A</v>
      </c>
      <c r="AE28" s="174" t="e" cm="1">
        <f t="array" ref="AE28">_xlfn.XLOOKUP(_xlfn.CONCAT(BusinessTravel_Backend[[#This Row],[Level 1]:[Level 6]]),rng_LevelsConcat,rng_UnitsLong)</f>
        <v>#N/A</v>
      </c>
      <c r="AF28" s="210" t="e">
        <f>_xlfn.XLOOKUP(_xlfn.CONCAT(BusinessTravel_Backend[[#This Row],[Level 1]:[Level 6]]),rng_EFConcat,rng_EF1)*BusinessTravel_Backend[[#This Row],[Converted data]]/1000</f>
        <v>#N/A</v>
      </c>
      <c r="AG28" s="210" t="e">
        <f>_xlfn.XLOOKUP(_xlfn.CONCAT(BusinessTravel_Backend[[#This Row],[Level 1]:[Level 6]]),rng_EFConcat,rng_EF2)*BusinessTravel_Backend[[#This Row],[Converted data]]/1000</f>
        <v>#N/A</v>
      </c>
      <c r="AH28" s="210" t="e">
        <f>_xlfn.XLOOKUP(_xlfn.CONCAT(BusinessTravel_Backend[[#This Row],[Level 1]:[Level 6]]),rng_EFConcat,rng_EF3)*BusinessTravel_Backend[[#This Row],[Converted data]]/1000</f>
        <v>#N/A</v>
      </c>
      <c r="AI28" s="210" t="e">
        <f>_xlfn.XLOOKUP(_xlfn.CONCAT(BusinessTravel_Backend[[#This Row],[Level 1]:[Level 6]]),rng_EFConcat,rng_EF3WTT)*BusinessTravel_Backend[[#This Row],[Converted data]]/1000</f>
        <v>#N/A</v>
      </c>
      <c r="AJ28" s="210" t="e">
        <f>_xlfn.XLOOKUP(_xlfn.CONCAT(BusinessTravel_Backend[[#This Row],[Level 1]:[Level 6]]),rng_EFConcat,rng_EF3TD)*BusinessTravel_Backend[[#This Row],[Converted data]]/1000</f>
        <v>#N/A</v>
      </c>
      <c r="AK28" s="210" t="e">
        <f>_xlfn.XLOOKUP(_xlfn.CONCAT(BusinessTravel_Backend[[#This Row],[Level 1]:[Level 6]]),rng_EFConcat,rng_EF3WTTTD)*BusinessTravel_Backend[[#This Row],[Converted data]]/1000</f>
        <v>#N/A</v>
      </c>
      <c r="AL28" s="220" t="e">
        <f>SUM(BusinessTravel_Backend[[#This Row],[Scope 1 (tCO2e)]:[Scope 3 WTT T&amp;D (tCO2e)]])</f>
        <v>#N/A</v>
      </c>
      <c r="AM28" s="220" t="e">
        <f>BusinessTravel_Backend[[#This Row],[Total (tCO2e)]]*(1-BusinessTravel_Backend[[#This Row],[RSD]])</f>
        <v>#N/A</v>
      </c>
      <c r="AN28" s="220" t="e">
        <f>BusinessTravel_Backend[[#This Row],[Total (tCO2e)]]*(1+BusinessTravel_Backend[[#This Row],[RSD]])</f>
        <v>#N/A</v>
      </c>
      <c r="AO28" s="210" t="e">
        <f>_xlfn.XLOOKUP(_xlfn.CONCAT(BusinessTravel_Backend[[#This Row],[Level 1]:[Level 6]]),rng_EFConcat,rng_EFOOS)*BusinessTravel_Backend[[#This Row],[Converted data]]/1000</f>
        <v>#N/A</v>
      </c>
      <c r="AP28" s="174">
        <f>BusinessTravel_Frontend[[#This Row],[Ease of collection]]</f>
        <v>0</v>
      </c>
      <c r="AQ28" s="213">
        <f>BusinessTravel_Frontend[[#This Row],[Completeness]]</f>
        <v>0</v>
      </c>
      <c r="AR28" s="213">
        <f>BusinessTravel_Frontend[[#This Row],[Notes]]</f>
        <v>0</v>
      </c>
      <c r="AU28"/>
      <c r="AV28"/>
      <c r="AW28"/>
      <c r="AX28"/>
      <c r="AY28"/>
      <c r="AZ28"/>
      <c r="BA28"/>
      <c r="BB28"/>
      <c r="BC28"/>
      <c r="BD28"/>
      <c r="BE28"/>
      <c r="BF28"/>
      <c r="BG28"/>
      <c r="BH28"/>
      <c r="BI28"/>
    </row>
    <row r="29" spans="2:61" ht="14.5" x14ac:dyDescent="0.35">
      <c r="B29" s="455"/>
      <c r="E29" s="346"/>
      <c r="F29" s="336"/>
      <c r="G29" s="336"/>
      <c r="H29" s="336"/>
      <c r="I29" s="336"/>
      <c r="J29" s="334"/>
      <c r="K29" s="336"/>
      <c r="L29" s="336"/>
      <c r="M29" s="336"/>
      <c r="N29" s="337"/>
      <c r="O29" s="242">
        <f t="shared" si="1"/>
        <v>7</v>
      </c>
      <c r="Q29" s="212" t="str">
        <f t="shared" si="0"/>
        <v/>
      </c>
      <c r="R29" s="174" t="s">
        <v>220</v>
      </c>
      <c r="S29" s="174" t="s">
        <v>191</v>
      </c>
      <c r="T29" s="174">
        <f>BusinessTravel_Frontend[[#This Row],[Travel mode]]</f>
        <v>0</v>
      </c>
      <c r="U29" s="174">
        <f>BusinessTravel_Frontend[[#This Row],[Category]]</f>
        <v>0</v>
      </c>
      <c r="V29" s="174">
        <f>BusinessTravel_Frontend[[#This Row],[Type]]</f>
        <v>0</v>
      </c>
      <c r="W29" s="174">
        <f>BusinessTravel_Frontend[[#This Row],[Details]]</f>
        <v>0</v>
      </c>
      <c r="X29" s="174" t="s">
        <v>339</v>
      </c>
      <c r="Y29" s="174" t="s">
        <v>339</v>
      </c>
      <c r="Z29" s="174">
        <f>BusinessTravel_Frontend[[#This Row],[Methodology]]</f>
        <v>0</v>
      </c>
      <c r="AA29" s="229" t="e" cm="1">
        <f t="array" ref="AA29">INDEX(_xlfn.SWITCH(BusinessTravel_Backend[[#This Row],[Methodology]],"Tier 1",rng_RSD1,"Tier 2",rng_RSD2,"Tier 3",rng_RSD3),MATCH(_xlfn.CONCAT(BusinessTravel_Backend[[#This Row],[Level 1]:[Level 6]]),rng_LevelsConcat,0))</f>
        <v>#N/A</v>
      </c>
      <c r="AB29" s="220">
        <f>BusinessTravel_Frontend[[#This Row],[Data]]</f>
        <v>0</v>
      </c>
      <c r="AC29" s="174">
        <f>BusinessTravel_Frontend[[#This Row],[Units]]</f>
        <v>0</v>
      </c>
      <c r="AD29" s="220" t="e">
        <f>IF(BusinessTravel_Backend[[#This Row],[Units]]=BusinessTravel_Backend[[#This Row],[Standard units]],BusinessTravel_Backend[[#This Row],[Data]],BusinessTravel_Backend[[#This Row],[Data]]*_xlfn.XLOOKUP(_xlfn.CONCAT(BusinessTravel_Backend[[#This Row],[Level 1]:[Level 6]]),rng_EFConcat,rng_EFConversion))</f>
        <v>#N/A</v>
      </c>
      <c r="AE29" s="174" t="e" cm="1">
        <f t="array" ref="AE29">_xlfn.XLOOKUP(_xlfn.CONCAT(BusinessTravel_Backend[[#This Row],[Level 1]:[Level 6]]),rng_LevelsConcat,rng_UnitsLong)</f>
        <v>#N/A</v>
      </c>
      <c r="AF29" s="210" t="e">
        <f>_xlfn.XLOOKUP(_xlfn.CONCAT(BusinessTravel_Backend[[#This Row],[Level 1]:[Level 6]]),rng_EFConcat,rng_EF1)*BusinessTravel_Backend[[#This Row],[Converted data]]/1000</f>
        <v>#N/A</v>
      </c>
      <c r="AG29" s="210" t="e">
        <f>_xlfn.XLOOKUP(_xlfn.CONCAT(BusinessTravel_Backend[[#This Row],[Level 1]:[Level 6]]),rng_EFConcat,rng_EF2)*BusinessTravel_Backend[[#This Row],[Converted data]]/1000</f>
        <v>#N/A</v>
      </c>
      <c r="AH29" s="210" t="e">
        <f>_xlfn.XLOOKUP(_xlfn.CONCAT(BusinessTravel_Backend[[#This Row],[Level 1]:[Level 6]]),rng_EFConcat,rng_EF3)*BusinessTravel_Backend[[#This Row],[Converted data]]/1000</f>
        <v>#N/A</v>
      </c>
      <c r="AI29" s="210" t="e">
        <f>_xlfn.XLOOKUP(_xlfn.CONCAT(BusinessTravel_Backend[[#This Row],[Level 1]:[Level 6]]),rng_EFConcat,rng_EF3WTT)*BusinessTravel_Backend[[#This Row],[Converted data]]/1000</f>
        <v>#N/A</v>
      </c>
      <c r="AJ29" s="210" t="e">
        <f>_xlfn.XLOOKUP(_xlfn.CONCAT(BusinessTravel_Backend[[#This Row],[Level 1]:[Level 6]]),rng_EFConcat,rng_EF3TD)*BusinessTravel_Backend[[#This Row],[Converted data]]/1000</f>
        <v>#N/A</v>
      </c>
      <c r="AK29" s="210" t="e">
        <f>_xlfn.XLOOKUP(_xlfn.CONCAT(BusinessTravel_Backend[[#This Row],[Level 1]:[Level 6]]),rng_EFConcat,rng_EF3WTTTD)*BusinessTravel_Backend[[#This Row],[Converted data]]/1000</f>
        <v>#N/A</v>
      </c>
      <c r="AL29" s="220" t="e">
        <f>SUM(BusinessTravel_Backend[[#This Row],[Scope 1 (tCO2e)]:[Scope 3 WTT T&amp;D (tCO2e)]])</f>
        <v>#N/A</v>
      </c>
      <c r="AM29" s="220" t="e">
        <f>BusinessTravel_Backend[[#This Row],[Total (tCO2e)]]*(1-BusinessTravel_Backend[[#This Row],[RSD]])</f>
        <v>#N/A</v>
      </c>
      <c r="AN29" s="220" t="e">
        <f>BusinessTravel_Backend[[#This Row],[Total (tCO2e)]]*(1+BusinessTravel_Backend[[#This Row],[RSD]])</f>
        <v>#N/A</v>
      </c>
      <c r="AO29" s="210" t="e">
        <f>_xlfn.XLOOKUP(_xlfn.CONCAT(BusinessTravel_Backend[[#This Row],[Level 1]:[Level 6]]),rng_EFConcat,rng_EFOOS)*BusinessTravel_Backend[[#This Row],[Converted data]]/1000</f>
        <v>#N/A</v>
      </c>
      <c r="AP29" s="174">
        <f>BusinessTravel_Frontend[[#This Row],[Ease of collection]]</f>
        <v>0</v>
      </c>
      <c r="AQ29" s="213">
        <f>BusinessTravel_Frontend[[#This Row],[Completeness]]</f>
        <v>0</v>
      </c>
      <c r="AR29" s="213">
        <f>BusinessTravel_Frontend[[#This Row],[Notes]]</f>
        <v>0</v>
      </c>
      <c r="AU29"/>
      <c r="AV29"/>
      <c r="AW29"/>
      <c r="AX29"/>
      <c r="AY29"/>
      <c r="AZ29"/>
      <c r="BA29"/>
      <c r="BB29"/>
      <c r="BC29"/>
      <c r="BD29"/>
      <c r="BE29"/>
      <c r="BF29"/>
      <c r="BG29"/>
      <c r="BH29"/>
      <c r="BI29"/>
    </row>
    <row r="30" spans="2:61" ht="14.5" x14ac:dyDescent="0.35">
      <c r="B30" s="455"/>
      <c r="E30" s="346"/>
      <c r="F30" s="336"/>
      <c r="G30" s="336"/>
      <c r="H30" s="336"/>
      <c r="I30" s="336"/>
      <c r="J30" s="334"/>
      <c r="K30" s="336"/>
      <c r="L30" s="336"/>
      <c r="M30" s="336"/>
      <c r="N30" s="337"/>
      <c r="O30" s="242">
        <f t="shared" si="1"/>
        <v>7</v>
      </c>
      <c r="Q30" s="212" t="str">
        <f t="shared" si="0"/>
        <v/>
      </c>
      <c r="R30" s="174" t="s">
        <v>220</v>
      </c>
      <c r="S30" s="174" t="s">
        <v>191</v>
      </c>
      <c r="T30" s="174">
        <f>BusinessTravel_Frontend[[#This Row],[Travel mode]]</f>
        <v>0</v>
      </c>
      <c r="U30" s="174">
        <f>BusinessTravel_Frontend[[#This Row],[Category]]</f>
        <v>0</v>
      </c>
      <c r="V30" s="174">
        <f>BusinessTravel_Frontend[[#This Row],[Type]]</f>
        <v>0</v>
      </c>
      <c r="W30" s="174">
        <f>BusinessTravel_Frontend[[#This Row],[Details]]</f>
        <v>0</v>
      </c>
      <c r="X30" s="174" t="s">
        <v>339</v>
      </c>
      <c r="Y30" s="174" t="s">
        <v>339</v>
      </c>
      <c r="Z30" s="174">
        <f>BusinessTravel_Frontend[[#This Row],[Methodology]]</f>
        <v>0</v>
      </c>
      <c r="AA30" s="229" t="e" cm="1">
        <f t="array" ref="AA30">INDEX(_xlfn.SWITCH(BusinessTravel_Backend[[#This Row],[Methodology]],"Tier 1",rng_RSD1,"Tier 2",rng_RSD2,"Tier 3",rng_RSD3),MATCH(_xlfn.CONCAT(BusinessTravel_Backend[[#This Row],[Level 1]:[Level 6]]),rng_LevelsConcat,0))</f>
        <v>#N/A</v>
      </c>
      <c r="AB30" s="220">
        <f>BusinessTravel_Frontend[[#This Row],[Data]]</f>
        <v>0</v>
      </c>
      <c r="AC30" s="174">
        <f>BusinessTravel_Frontend[[#This Row],[Units]]</f>
        <v>0</v>
      </c>
      <c r="AD30" s="220" t="e">
        <f>IF(BusinessTravel_Backend[[#This Row],[Units]]=BusinessTravel_Backend[[#This Row],[Standard units]],BusinessTravel_Backend[[#This Row],[Data]],BusinessTravel_Backend[[#This Row],[Data]]*_xlfn.XLOOKUP(_xlfn.CONCAT(BusinessTravel_Backend[[#This Row],[Level 1]:[Level 6]]),rng_EFConcat,rng_EFConversion))</f>
        <v>#N/A</v>
      </c>
      <c r="AE30" s="174" t="e" cm="1">
        <f t="array" ref="AE30">_xlfn.XLOOKUP(_xlfn.CONCAT(BusinessTravel_Backend[[#This Row],[Level 1]:[Level 6]]),rng_LevelsConcat,rng_UnitsLong)</f>
        <v>#N/A</v>
      </c>
      <c r="AF30" s="210" t="e">
        <f>_xlfn.XLOOKUP(_xlfn.CONCAT(BusinessTravel_Backend[[#This Row],[Level 1]:[Level 6]]),rng_EFConcat,rng_EF1)*BusinessTravel_Backend[[#This Row],[Converted data]]/1000</f>
        <v>#N/A</v>
      </c>
      <c r="AG30" s="210" t="e">
        <f>_xlfn.XLOOKUP(_xlfn.CONCAT(BusinessTravel_Backend[[#This Row],[Level 1]:[Level 6]]),rng_EFConcat,rng_EF2)*BusinessTravel_Backend[[#This Row],[Converted data]]/1000</f>
        <v>#N/A</v>
      </c>
      <c r="AH30" s="210" t="e">
        <f>_xlfn.XLOOKUP(_xlfn.CONCAT(BusinessTravel_Backend[[#This Row],[Level 1]:[Level 6]]),rng_EFConcat,rng_EF3)*BusinessTravel_Backend[[#This Row],[Converted data]]/1000</f>
        <v>#N/A</v>
      </c>
      <c r="AI30" s="210" t="e">
        <f>_xlfn.XLOOKUP(_xlfn.CONCAT(BusinessTravel_Backend[[#This Row],[Level 1]:[Level 6]]),rng_EFConcat,rng_EF3WTT)*BusinessTravel_Backend[[#This Row],[Converted data]]/1000</f>
        <v>#N/A</v>
      </c>
      <c r="AJ30" s="210" t="e">
        <f>_xlfn.XLOOKUP(_xlfn.CONCAT(BusinessTravel_Backend[[#This Row],[Level 1]:[Level 6]]),rng_EFConcat,rng_EF3TD)*BusinessTravel_Backend[[#This Row],[Converted data]]/1000</f>
        <v>#N/A</v>
      </c>
      <c r="AK30" s="210" t="e">
        <f>_xlfn.XLOOKUP(_xlfn.CONCAT(BusinessTravel_Backend[[#This Row],[Level 1]:[Level 6]]),rng_EFConcat,rng_EF3WTTTD)*BusinessTravel_Backend[[#This Row],[Converted data]]/1000</f>
        <v>#N/A</v>
      </c>
      <c r="AL30" s="220" t="e">
        <f>SUM(BusinessTravel_Backend[[#This Row],[Scope 1 (tCO2e)]:[Scope 3 WTT T&amp;D (tCO2e)]])</f>
        <v>#N/A</v>
      </c>
      <c r="AM30" s="220" t="e">
        <f>BusinessTravel_Backend[[#This Row],[Total (tCO2e)]]*(1-BusinessTravel_Backend[[#This Row],[RSD]])</f>
        <v>#N/A</v>
      </c>
      <c r="AN30" s="220" t="e">
        <f>BusinessTravel_Backend[[#This Row],[Total (tCO2e)]]*(1+BusinessTravel_Backend[[#This Row],[RSD]])</f>
        <v>#N/A</v>
      </c>
      <c r="AO30" s="210" t="e">
        <f>_xlfn.XLOOKUP(_xlfn.CONCAT(BusinessTravel_Backend[[#This Row],[Level 1]:[Level 6]]),rng_EFConcat,rng_EFOOS)*BusinessTravel_Backend[[#This Row],[Converted data]]/1000</f>
        <v>#N/A</v>
      </c>
      <c r="AP30" s="174">
        <f>BusinessTravel_Frontend[[#This Row],[Ease of collection]]</f>
        <v>0</v>
      </c>
      <c r="AQ30" s="213">
        <f>BusinessTravel_Frontend[[#This Row],[Completeness]]</f>
        <v>0</v>
      </c>
      <c r="AR30" s="213">
        <f>BusinessTravel_Frontend[[#This Row],[Notes]]</f>
        <v>0</v>
      </c>
      <c r="AU30"/>
      <c r="AV30"/>
      <c r="AW30"/>
      <c r="AX30"/>
      <c r="AY30"/>
      <c r="AZ30"/>
      <c r="BA30"/>
      <c r="BB30"/>
      <c r="BC30"/>
      <c r="BD30"/>
      <c r="BE30"/>
      <c r="BF30"/>
      <c r="BG30"/>
      <c r="BH30"/>
      <c r="BI30"/>
    </row>
    <row r="31" spans="2:61" ht="14.5" x14ac:dyDescent="0.35">
      <c r="B31" s="455"/>
      <c r="E31" s="346"/>
      <c r="F31" s="336"/>
      <c r="G31" s="336"/>
      <c r="H31" s="336"/>
      <c r="I31" s="336"/>
      <c r="J31" s="334"/>
      <c r="K31" s="336"/>
      <c r="L31" s="336"/>
      <c r="M31" s="336"/>
      <c r="N31" s="337"/>
      <c r="O31" s="242">
        <f t="shared" si="1"/>
        <v>7</v>
      </c>
      <c r="Q31" s="212" t="str">
        <f t="shared" si="0"/>
        <v/>
      </c>
      <c r="R31" s="174" t="s">
        <v>220</v>
      </c>
      <c r="S31" s="174" t="s">
        <v>191</v>
      </c>
      <c r="T31" s="174">
        <f>BusinessTravel_Frontend[[#This Row],[Travel mode]]</f>
        <v>0</v>
      </c>
      <c r="U31" s="174">
        <f>BusinessTravel_Frontend[[#This Row],[Category]]</f>
        <v>0</v>
      </c>
      <c r="V31" s="174">
        <f>BusinessTravel_Frontend[[#This Row],[Type]]</f>
        <v>0</v>
      </c>
      <c r="W31" s="174">
        <f>BusinessTravel_Frontend[[#This Row],[Details]]</f>
        <v>0</v>
      </c>
      <c r="X31" s="174" t="s">
        <v>339</v>
      </c>
      <c r="Y31" s="174" t="s">
        <v>339</v>
      </c>
      <c r="Z31" s="174">
        <f>BusinessTravel_Frontend[[#This Row],[Methodology]]</f>
        <v>0</v>
      </c>
      <c r="AA31" s="229" t="e" cm="1">
        <f t="array" ref="AA31">INDEX(_xlfn.SWITCH(BusinessTravel_Backend[[#This Row],[Methodology]],"Tier 1",rng_RSD1,"Tier 2",rng_RSD2,"Tier 3",rng_RSD3),MATCH(_xlfn.CONCAT(BusinessTravel_Backend[[#This Row],[Level 1]:[Level 6]]),rng_LevelsConcat,0))</f>
        <v>#N/A</v>
      </c>
      <c r="AB31" s="220">
        <f>BusinessTravel_Frontend[[#This Row],[Data]]</f>
        <v>0</v>
      </c>
      <c r="AC31" s="174">
        <f>BusinessTravel_Frontend[[#This Row],[Units]]</f>
        <v>0</v>
      </c>
      <c r="AD31" s="220" t="e">
        <f>IF(BusinessTravel_Backend[[#This Row],[Units]]=BusinessTravel_Backend[[#This Row],[Standard units]],BusinessTravel_Backend[[#This Row],[Data]],BusinessTravel_Backend[[#This Row],[Data]]*_xlfn.XLOOKUP(_xlfn.CONCAT(BusinessTravel_Backend[[#This Row],[Level 1]:[Level 6]]),rng_EFConcat,rng_EFConversion))</f>
        <v>#N/A</v>
      </c>
      <c r="AE31" s="174" t="e" cm="1">
        <f t="array" ref="AE31">_xlfn.XLOOKUP(_xlfn.CONCAT(BusinessTravel_Backend[[#This Row],[Level 1]:[Level 6]]),rng_LevelsConcat,rng_UnitsLong)</f>
        <v>#N/A</v>
      </c>
      <c r="AF31" s="210" t="e">
        <f>_xlfn.XLOOKUP(_xlfn.CONCAT(BusinessTravel_Backend[[#This Row],[Level 1]:[Level 6]]),rng_EFConcat,rng_EF1)*BusinessTravel_Backend[[#This Row],[Converted data]]/1000</f>
        <v>#N/A</v>
      </c>
      <c r="AG31" s="210" t="e">
        <f>_xlfn.XLOOKUP(_xlfn.CONCAT(BusinessTravel_Backend[[#This Row],[Level 1]:[Level 6]]),rng_EFConcat,rng_EF2)*BusinessTravel_Backend[[#This Row],[Converted data]]/1000</f>
        <v>#N/A</v>
      </c>
      <c r="AH31" s="210" t="e">
        <f>_xlfn.XLOOKUP(_xlfn.CONCAT(BusinessTravel_Backend[[#This Row],[Level 1]:[Level 6]]),rng_EFConcat,rng_EF3)*BusinessTravel_Backend[[#This Row],[Converted data]]/1000</f>
        <v>#N/A</v>
      </c>
      <c r="AI31" s="210" t="e">
        <f>_xlfn.XLOOKUP(_xlfn.CONCAT(BusinessTravel_Backend[[#This Row],[Level 1]:[Level 6]]),rng_EFConcat,rng_EF3WTT)*BusinessTravel_Backend[[#This Row],[Converted data]]/1000</f>
        <v>#N/A</v>
      </c>
      <c r="AJ31" s="210" t="e">
        <f>_xlfn.XLOOKUP(_xlfn.CONCAT(BusinessTravel_Backend[[#This Row],[Level 1]:[Level 6]]),rng_EFConcat,rng_EF3TD)*BusinessTravel_Backend[[#This Row],[Converted data]]/1000</f>
        <v>#N/A</v>
      </c>
      <c r="AK31" s="210" t="e">
        <f>_xlfn.XLOOKUP(_xlfn.CONCAT(BusinessTravel_Backend[[#This Row],[Level 1]:[Level 6]]),rng_EFConcat,rng_EF3WTTTD)*BusinessTravel_Backend[[#This Row],[Converted data]]/1000</f>
        <v>#N/A</v>
      </c>
      <c r="AL31" s="220" t="e">
        <f>SUM(BusinessTravel_Backend[[#This Row],[Scope 1 (tCO2e)]:[Scope 3 WTT T&amp;D (tCO2e)]])</f>
        <v>#N/A</v>
      </c>
      <c r="AM31" s="220" t="e">
        <f>BusinessTravel_Backend[[#This Row],[Total (tCO2e)]]*(1-BusinessTravel_Backend[[#This Row],[RSD]])</f>
        <v>#N/A</v>
      </c>
      <c r="AN31" s="220" t="e">
        <f>BusinessTravel_Backend[[#This Row],[Total (tCO2e)]]*(1+BusinessTravel_Backend[[#This Row],[RSD]])</f>
        <v>#N/A</v>
      </c>
      <c r="AO31" s="210" t="e">
        <f>_xlfn.XLOOKUP(_xlfn.CONCAT(BusinessTravel_Backend[[#This Row],[Level 1]:[Level 6]]),rng_EFConcat,rng_EFOOS)*BusinessTravel_Backend[[#This Row],[Converted data]]/1000</f>
        <v>#N/A</v>
      </c>
      <c r="AP31" s="174">
        <f>BusinessTravel_Frontend[[#This Row],[Ease of collection]]</f>
        <v>0</v>
      </c>
      <c r="AQ31" s="213">
        <f>BusinessTravel_Frontend[[#This Row],[Completeness]]</f>
        <v>0</v>
      </c>
      <c r="AR31" s="213">
        <f>BusinessTravel_Frontend[[#This Row],[Notes]]</f>
        <v>0</v>
      </c>
      <c r="AU31"/>
      <c r="AV31"/>
      <c r="AW31"/>
      <c r="AX31"/>
      <c r="AY31"/>
      <c r="AZ31"/>
      <c r="BA31"/>
      <c r="BB31"/>
      <c r="BC31"/>
      <c r="BD31"/>
      <c r="BE31"/>
      <c r="BF31"/>
      <c r="BG31"/>
      <c r="BH31"/>
      <c r="BI31"/>
    </row>
    <row r="32" spans="2:61" ht="14.5" x14ac:dyDescent="0.35">
      <c r="B32" s="455"/>
      <c r="E32" s="346"/>
      <c r="F32" s="336"/>
      <c r="G32" s="336"/>
      <c r="H32" s="336"/>
      <c r="I32" s="336"/>
      <c r="J32" s="334"/>
      <c r="K32" s="336"/>
      <c r="L32" s="336"/>
      <c r="M32" s="336"/>
      <c r="N32" s="337"/>
      <c r="O32" s="242">
        <f t="shared" si="1"/>
        <v>7</v>
      </c>
      <c r="Q32" s="212" t="str">
        <f t="shared" si="0"/>
        <v/>
      </c>
      <c r="R32" s="174" t="s">
        <v>220</v>
      </c>
      <c r="S32" s="174" t="s">
        <v>191</v>
      </c>
      <c r="T32" s="174">
        <f>BusinessTravel_Frontend[[#This Row],[Travel mode]]</f>
        <v>0</v>
      </c>
      <c r="U32" s="174">
        <f>BusinessTravel_Frontend[[#This Row],[Category]]</f>
        <v>0</v>
      </c>
      <c r="V32" s="174">
        <f>BusinessTravel_Frontend[[#This Row],[Type]]</f>
        <v>0</v>
      </c>
      <c r="W32" s="174">
        <f>BusinessTravel_Frontend[[#This Row],[Details]]</f>
        <v>0</v>
      </c>
      <c r="X32" s="174" t="s">
        <v>339</v>
      </c>
      <c r="Y32" s="174" t="s">
        <v>339</v>
      </c>
      <c r="Z32" s="174">
        <f>BusinessTravel_Frontend[[#This Row],[Methodology]]</f>
        <v>0</v>
      </c>
      <c r="AA32" s="229" t="e" cm="1">
        <f t="array" ref="AA32">INDEX(_xlfn.SWITCH(BusinessTravel_Backend[[#This Row],[Methodology]],"Tier 1",rng_RSD1,"Tier 2",rng_RSD2,"Tier 3",rng_RSD3),MATCH(_xlfn.CONCAT(BusinessTravel_Backend[[#This Row],[Level 1]:[Level 6]]),rng_LevelsConcat,0))</f>
        <v>#N/A</v>
      </c>
      <c r="AB32" s="220">
        <f>BusinessTravel_Frontend[[#This Row],[Data]]</f>
        <v>0</v>
      </c>
      <c r="AC32" s="174">
        <f>BusinessTravel_Frontend[[#This Row],[Units]]</f>
        <v>0</v>
      </c>
      <c r="AD32" s="220" t="e">
        <f>IF(BusinessTravel_Backend[[#This Row],[Units]]=BusinessTravel_Backend[[#This Row],[Standard units]],BusinessTravel_Backend[[#This Row],[Data]],BusinessTravel_Backend[[#This Row],[Data]]*_xlfn.XLOOKUP(_xlfn.CONCAT(BusinessTravel_Backend[[#This Row],[Level 1]:[Level 6]]),rng_EFConcat,rng_EFConversion))</f>
        <v>#N/A</v>
      </c>
      <c r="AE32" s="174" t="e" cm="1">
        <f t="array" ref="AE32">_xlfn.XLOOKUP(_xlfn.CONCAT(BusinessTravel_Backend[[#This Row],[Level 1]:[Level 6]]),rng_LevelsConcat,rng_UnitsLong)</f>
        <v>#N/A</v>
      </c>
      <c r="AF32" s="210" t="e">
        <f>_xlfn.XLOOKUP(_xlfn.CONCAT(BusinessTravel_Backend[[#This Row],[Level 1]:[Level 6]]),rng_EFConcat,rng_EF1)*BusinessTravel_Backend[[#This Row],[Converted data]]/1000</f>
        <v>#N/A</v>
      </c>
      <c r="AG32" s="210" t="e">
        <f>_xlfn.XLOOKUP(_xlfn.CONCAT(BusinessTravel_Backend[[#This Row],[Level 1]:[Level 6]]),rng_EFConcat,rng_EF2)*BusinessTravel_Backend[[#This Row],[Converted data]]/1000</f>
        <v>#N/A</v>
      </c>
      <c r="AH32" s="210" t="e">
        <f>_xlfn.XLOOKUP(_xlfn.CONCAT(BusinessTravel_Backend[[#This Row],[Level 1]:[Level 6]]),rng_EFConcat,rng_EF3)*BusinessTravel_Backend[[#This Row],[Converted data]]/1000</f>
        <v>#N/A</v>
      </c>
      <c r="AI32" s="210" t="e">
        <f>_xlfn.XLOOKUP(_xlfn.CONCAT(BusinessTravel_Backend[[#This Row],[Level 1]:[Level 6]]),rng_EFConcat,rng_EF3WTT)*BusinessTravel_Backend[[#This Row],[Converted data]]/1000</f>
        <v>#N/A</v>
      </c>
      <c r="AJ32" s="210" t="e">
        <f>_xlfn.XLOOKUP(_xlfn.CONCAT(BusinessTravel_Backend[[#This Row],[Level 1]:[Level 6]]),rng_EFConcat,rng_EF3TD)*BusinessTravel_Backend[[#This Row],[Converted data]]/1000</f>
        <v>#N/A</v>
      </c>
      <c r="AK32" s="210" t="e">
        <f>_xlfn.XLOOKUP(_xlfn.CONCAT(BusinessTravel_Backend[[#This Row],[Level 1]:[Level 6]]),rng_EFConcat,rng_EF3WTTTD)*BusinessTravel_Backend[[#This Row],[Converted data]]/1000</f>
        <v>#N/A</v>
      </c>
      <c r="AL32" s="220" t="e">
        <f>SUM(BusinessTravel_Backend[[#This Row],[Scope 1 (tCO2e)]:[Scope 3 WTT T&amp;D (tCO2e)]])</f>
        <v>#N/A</v>
      </c>
      <c r="AM32" s="220" t="e">
        <f>BusinessTravel_Backend[[#This Row],[Total (tCO2e)]]*(1-BusinessTravel_Backend[[#This Row],[RSD]])</f>
        <v>#N/A</v>
      </c>
      <c r="AN32" s="220" t="e">
        <f>BusinessTravel_Backend[[#This Row],[Total (tCO2e)]]*(1+BusinessTravel_Backend[[#This Row],[RSD]])</f>
        <v>#N/A</v>
      </c>
      <c r="AO32" s="210" t="e">
        <f>_xlfn.XLOOKUP(_xlfn.CONCAT(BusinessTravel_Backend[[#This Row],[Level 1]:[Level 6]]),rng_EFConcat,rng_EFOOS)*BusinessTravel_Backend[[#This Row],[Converted data]]/1000</f>
        <v>#N/A</v>
      </c>
      <c r="AP32" s="174">
        <f>BusinessTravel_Frontend[[#This Row],[Ease of collection]]</f>
        <v>0</v>
      </c>
      <c r="AQ32" s="213">
        <f>BusinessTravel_Frontend[[#This Row],[Completeness]]</f>
        <v>0</v>
      </c>
      <c r="AR32" s="213">
        <f>BusinessTravel_Frontend[[#This Row],[Notes]]</f>
        <v>0</v>
      </c>
      <c r="AU32"/>
      <c r="AV32"/>
      <c r="AW32"/>
      <c r="AX32"/>
      <c r="AY32"/>
      <c r="AZ32"/>
      <c r="BA32"/>
      <c r="BB32"/>
      <c r="BC32"/>
      <c r="BD32"/>
      <c r="BE32"/>
      <c r="BF32"/>
      <c r="BG32"/>
      <c r="BH32"/>
      <c r="BI32"/>
    </row>
    <row r="33" spans="2:61" ht="14.5" x14ac:dyDescent="0.35">
      <c r="B33" s="455"/>
      <c r="E33" s="346"/>
      <c r="F33" s="336"/>
      <c r="G33" s="336"/>
      <c r="H33" s="336"/>
      <c r="I33" s="336"/>
      <c r="J33" s="334"/>
      <c r="K33" s="336"/>
      <c r="L33" s="336"/>
      <c r="M33" s="336"/>
      <c r="N33" s="337"/>
      <c r="O33" s="242">
        <f t="shared" si="1"/>
        <v>7</v>
      </c>
      <c r="Q33" s="212" t="str">
        <f t="shared" si="0"/>
        <v/>
      </c>
      <c r="R33" s="174" t="s">
        <v>220</v>
      </c>
      <c r="S33" s="174" t="s">
        <v>191</v>
      </c>
      <c r="T33" s="174">
        <f>BusinessTravel_Frontend[[#This Row],[Travel mode]]</f>
        <v>0</v>
      </c>
      <c r="U33" s="174">
        <f>BusinessTravel_Frontend[[#This Row],[Category]]</f>
        <v>0</v>
      </c>
      <c r="V33" s="174">
        <f>BusinessTravel_Frontend[[#This Row],[Type]]</f>
        <v>0</v>
      </c>
      <c r="W33" s="174">
        <f>BusinessTravel_Frontend[[#This Row],[Details]]</f>
        <v>0</v>
      </c>
      <c r="X33" s="174" t="s">
        <v>339</v>
      </c>
      <c r="Y33" s="174" t="s">
        <v>339</v>
      </c>
      <c r="Z33" s="174">
        <f>BusinessTravel_Frontend[[#This Row],[Methodology]]</f>
        <v>0</v>
      </c>
      <c r="AA33" s="229" t="e" cm="1">
        <f t="array" ref="AA33">INDEX(_xlfn.SWITCH(BusinessTravel_Backend[[#This Row],[Methodology]],"Tier 1",rng_RSD1,"Tier 2",rng_RSD2,"Tier 3",rng_RSD3),MATCH(_xlfn.CONCAT(BusinessTravel_Backend[[#This Row],[Level 1]:[Level 6]]),rng_LevelsConcat,0))</f>
        <v>#N/A</v>
      </c>
      <c r="AB33" s="220">
        <f>BusinessTravel_Frontend[[#This Row],[Data]]</f>
        <v>0</v>
      </c>
      <c r="AC33" s="174">
        <f>BusinessTravel_Frontend[[#This Row],[Units]]</f>
        <v>0</v>
      </c>
      <c r="AD33" s="220" t="e">
        <f>IF(BusinessTravel_Backend[[#This Row],[Units]]=BusinessTravel_Backend[[#This Row],[Standard units]],BusinessTravel_Backend[[#This Row],[Data]],BusinessTravel_Backend[[#This Row],[Data]]*_xlfn.XLOOKUP(_xlfn.CONCAT(BusinessTravel_Backend[[#This Row],[Level 1]:[Level 6]]),rng_EFConcat,rng_EFConversion))</f>
        <v>#N/A</v>
      </c>
      <c r="AE33" s="174" t="e" cm="1">
        <f t="array" ref="AE33">_xlfn.XLOOKUP(_xlfn.CONCAT(BusinessTravel_Backend[[#This Row],[Level 1]:[Level 6]]),rng_LevelsConcat,rng_UnitsLong)</f>
        <v>#N/A</v>
      </c>
      <c r="AF33" s="210" t="e">
        <f>_xlfn.XLOOKUP(_xlfn.CONCAT(BusinessTravel_Backend[[#This Row],[Level 1]:[Level 6]]),rng_EFConcat,rng_EF1)*BusinessTravel_Backend[[#This Row],[Converted data]]/1000</f>
        <v>#N/A</v>
      </c>
      <c r="AG33" s="210" t="e">
        <f>_xlfn.XLOOKUP(_xlfn.CONCAT(BusinessTravel_Backend[[#This Row],[Level 1]:[Level 6]]),rng_EFConcat,rng_EF2)*BusinessTravel_Backend[[#This Row],[Converted data]]/1000</f>
        <v>#N/A</v>
      </c>
      <c r="AH33" s="210" t="e">
        <f>_xlfn.XLOOKUP(_xlfn.CONCAT(BusinessTravel_Backend[[#This Row],[Level 1]:[Level 6]]),rng_EFConcat,rng_EF3)*BusinessTravel_Backend[[#This Row],[Converted data]]/1000</f>
        <v>#N/A</v>
      </c>
      <c r="AI33" s="210" t="e">
        <f>_xlfn.XLOOKUP(_xlfn.CONCAT(BusinessTravel_Backend[[#This Row],[Level 1]:[Level 6]]),rng_EFConcat,rng_EF3WTT)*BusinessTravel_Backend[[#This Row],[Converted data]]/1000</f>
        <v>#N/A</v>
      </c>
      <c r="AJ33" s="210" t="e">
        <f>_xlfn.XLOOKUP(_xlfn.CONCAT(BusinessTravel_Backend[[#This Row],[Level 1]:[Level 6]]),rng_EFConcat,rng_EF3TD)*BusinessTravel_Backend[[#This Row],[Converted data]]/1000</f>
        <v>#N/A</v>
      </c>
      <c r="AK33" s="210" t="e">
        <f>_xlfn.XLOOKUP(_xlfn.CONCAT(BusinessTravel_Backend[[#This Row],[Level 1]:[Level 6]]),rng_EFConcat,rng_EF3WTTTD)*BusinessTravel_Backend[[#This Row],[Converted data]]/1000</f>
        <v>#N/A</v>
      </c>
      <c r="AL33" s="220" t="e">
        <f>SUM(BusinessTravel_Backend[[#This Row],[Scope 1 (tCO2e)]:[Scope 3 WTT T&amp;D (tCO2e)]])</f>
        <v>#N/A</v>
      </c>
      <c r="AM33" s="220" t="e">
        <f>BusinessTravel_Backend[[#This Row],[Total (tCO2e)]]*(1-BusinessTravel_Backend[[#This Row],[RSD]])</f>
        <v>#N/A</v>
      </c>
      <c r="AN33" s="220" t="e">
        <f>BusinessTravel_Backend[[#This Row],[Total (tCO2e)]]*(1+BusinessTravel_Backend[[#This Row],[RSD]])</f>
        <v>#N/A</v>
      </c>
      <c r="AO33" s="210" t="e">
        <f>_xlfn.XLOOKUP(_xlfn.CONCAT(BusinessTravel_Backend[[#This Row],[Level 1]:[Level 6]]),rng_EFConcat,rng_EFOOS)*BusinessTravel_Backend[[#This Row],[Converted data]]/1000</f>
        <v>#N/A</v>
      </c>
      <c r="AP33" s="174">
        <f>BusinessTravel_Frontend[[#This Row],[Ease of collection]]</f>
        <v>0</v>
      </c>
      <c r="AQ33" s="213">
        <f>BusinessTravel_Frontend[[#This Row],[Completeness]]</f>
        <v>0</v>
      </c>
      <c r="AR33" s="213">
        <f>BusinessTravel_Frontend[[#This Row],[Notes]]</f>
        <v>0</v>
      </c>
      <c r="AU33"/>
      <c r="AV33"/>
      <c r="AW33"/>
      <c r="AX33"/>
      <c r="AY33"/>
      <c r="AZ33"/>
      <c r="BA33"/>
      <c r="BB33"/>
      <c r="BC33"/>
      <c r="BD33"/>
      <c r="BE33"/>
      <c r="BF33"/>
      <c r="BG33"/>
      <c r="BH33"/>
      <c r="BI33"/>
    </row>
    <row r="34" spans="2:61" ht="14.5" x14ac:dyDescent="0.35">
      <c r="B34" s="455"/>
      <c r="E34" s="346"/>
      <c r="F34" s="336"/>
      <c r="G34" s="336"/>
      <c r="H34" s="336"/>
      <c r="I34" s="336"/>
      <c r="J34" s="334"/>
      <c r="K34" s="336"/>
      <c r="L34" s="336"/>
      <c r="M34" s="336"/>
      <c r="N34" s="337"/>
      <c r="O34" s="242">
        <f t="shared" si="1"/>
        <v>7</v>
      </c>
      <c r="Q34" s="212" t="str">
        <f t="shared" si="0"/>
        <v/>
      </c>
      <c r="R34" s="174" t="s">
        <v>220</v>
      </c>
      <c r="S34" s="174" t="s">
        <v>191</v>
      </c>
      <c r="T34" s="174">
        <f>BusinessTravel_Frontend[[#This Row],[Travel mode]]</f>
        <v>0</v>
      </c>
      <c r="U34" s="174">
        <f>BusinessTravel_Frontend[[#This Row],[Category]]</f>
        <v>0</v>
      </c>
      <c r="V34" s="174">
        <f>BusinessTravel_Frontend[[#This Row],[Type]]</f>
        <v>0</v>
      </c>
      <c r="W34" s="174">
        <f>BusinessTravel_Frontend[[#This Row],[Details]]</f>
        <v>0</v>
      </c>
      <c r="X34" s="174" t="s">
        <v>339</v>
      </c>
      <c r="Y34" s="174" t="s">
        <v>339</v>
      </c>
      <c r="Z34" s="174">
        <f>BusinessTravel_Frontend[[#This Row],[Methodology]]</f>
        <v>0</v>
      </c>
      <c r="AA34" s="229" t="e" cm="1">
        <f t="array" ref="AA34">INDEX(_xlfn.SWITCH(BusinessTravel_Backend[[#This Row],[Methodology]],"Tier 1",rng_RSD1,"Tier 2",rng_RSD2,"Tier 3",rng_RSD3),MATCH(_xlfn.CONCAT(BusinessTravel_Backend[[#This Row],[Level 1]:[Level 6]]),rng_LevelsConcat,0))</f>
        <v>#N/A</v>
      </c>
      <c r="AB34" s="220">
        <f>BusinessTravel_Frontend[[#This Row],[Data]]</f>
        <v>0</v>
      </c>
      <c r="AC34" s="174">
        <f>BusinessTravel_Frontend[[#This Row],[Units]]</f>
        <v>0</v>
      </c>
      <c r="AD34" s="220" t="e">
        <f>IF(BusinessTravel_Backend[[#This Row],[Units]]=BusinessTravel_Backend[[#This Row],[Standard units]],BusinessTravel_Backend[[#This Row],[Data]],BusinessTravel_Backend[[#This Row],[Data]]*_xlfn.XLOOKUP(_xlfn.CONCAT(BusinessTravel_Backend[[#This Row],[Level 1]:[Level 6]]),rng_EFConcat,rng_EFConversion))</f>
        <v>#N/A</v>
      </c>
      <c r="AE34" s="174" t="e" cm="1">
        <f t="array" ref="AE34">_xlfn.XLOOKUP(_xlfn.CONCAT(BusinessTravel_Backend[[#This Row],[Level 1]:[Level 6]]),rng_LevelsConcat,rng_UnitsLong)</f>
        <v>#N/A</v>
      </c>
      <c r="AF34" s="210" t="e">
        <f>_xlfn.XLOOKUP(_xlfn.CONCAT(BusinessTravel_Backend[[#This Row],[Level 1]:[Level 6]]),rng_EFConcat,rng_EF1)*BusinessTravel_Backend[[#This Row],[Converted data]]/1000</f>
        <v>#N/A</v>
      </c>
      <c r="AG34" s="210" t="e">
        <f>_xlfn.XLOOKUP(_xlfn.CONCAT(BusinessTravel_Backend[[#This Row],[Level 1]:[Level 6]]),rng_EFConcat,rng_EF2)*BusinessTravel_Backend[[#This Row],[Converted data]]/1000</f>
        <v>#N/A</v>
      </c>
      <c r="AH34" s="210" t="e">
        <f>_xlfn.XLOOKUP(_xlfn.CONCAT(BusinessTravel_Backend[[#This Row],[Level 1]:[Level 6]]),rng_EFConcat,rng_EF3)*BusinessTravel_Backend[[#This Row],[Converted data]]/1000</f>
        <v>#N/A</v>
      </c>
      <c r="AI34" s="210" t="e">
        <f>_xlfn.XLOOKUP(_xlfn.CONCAT(BusinessTravel_Backend[[#This Row],[Level 1]:[Level 6]]),rng_EFConcat,rng_EF3WTT)*BusinessTravel_Backend[[#This Row],[Converted data]]/1000</f>
        <v>#N/A</v>
      </c>
      <c r="AJ34" s="210" t="e">
        <f>_xlfn.XLOOKUP(_xlfn.CONCAT(BusinessTravel_Backend[[#This Row],[Level 1]:[Level 6]]),rng_EFConcat,rng_EF3TD)*BusinessTravel_Backend[[#This Row],[Converted data]]/1000</f>
        <v>#N/A</v>
      </c>
      <c r="AK34" s="210" t="e">
        <f>_xlfn.XLOOKUP(_xlfn.CONCAT(BusinessTravel_Backend[[#This Row],[Level 1]:[Level 6]]),rng_EFConcat,rng_EF3WTTTD)*BusinessTravel_Backend[[#This Row],[Converted data]]/1000</f>
        <v>#N/A</v>
      </c>
      <c r="AL34" s="220" t="e">
        <f>SUM(BusinessTravel_Backend[[#This Row],[Scope 1 (tCO2e)]:[Scope 3 WTT T&amp;D (tCO2e)]])</f>
        <v>#N/A</v>
      </c>
      <c r="AM34" s="220" t="e">
        <f>BusinessTravel_Backend[[#This Row],[Total (tCO2e)]]*(1-BusinessTravel_Backend[[#This Row],[RSD]])</f>
        <v>#N/A</v>
      </c>
      <c r="AN34" s="220" t="e">
        <f>BusinessTravel_Backend[[#This Row],[Total (tCO2e)]]*(1+BusinessTravel_Backend[[#This Row],[RSD]])</f>
        <v>#N/A</v>
      </c>
      <c r="AO34" s="210" t="e">
        <f>_xlfn.XLOOKUP(_xlfn.CONCAT(BusinessTravel_Backend[[#This Row],[Level 1]:[Level 6]]),rng_EFConcat,rng_EFOOS)*BusinessTravel_Backend[[#This Row],[Converted data]]/1000</f>
        <v>#N/A</v>
      </c>
      <c r="AP34" s="174">
        <f>BusinessTravel_Frontend[[#This Row],[Ease of collection]]</f>
        <v>0</v>
      </c>
      <c r="AQ34" s="213">
        <f>BusinessTravel_Frontend[[#This Row],[Completeness]]</f>
        <v>0</v>
      </c>
      <c r="AR34" s="213">
        <f>BusinessTravel_Frontend[[#This Row],[Notes]]</f>
        <v>0</v>
      </c>
      <c r="AU34"/>
      <c r="AV34"/>
      <c r="AW34"/>
      <c r="AX34"/>
      <c r="AY34"/>
      <c r="AZ34"/>
      <c r="BA34"/>
      <c r="BB34"/>
      <c r="BC34"/>
      <c r="BD34"/>
      <c r="BE34"/>
      <c r="BF34"/>
      <c r="BG34"/>
      <c r="BH34"/>
      <c r="BI34"/>
    </row>
    <row r="35" spans="2:61" ht="14.5" x14ac:dyDescent="0.35">
      <c r="B35" s="455"/>
      <c r="E35" s="346"/>
      <c r="F35" s="336"/>
      <c r="G35" s="336"/>
      <c r="H35" s="336"/>
      <c r="I35" s="336"/>
      <c r="J35" s="334"/>
      <c r="K35" s="336"/>
      <c r="L35" s="336"/>
      <c r="M35" s="336"/>
      <c r="N35" s="337"/>
      <c r="O35" s="242">
        <f t="shared" si="1"/>
        <v>7</v>
      </c>
      <c r="Q35" s="212" t="str">
        <f t="shared" si="0"/>
        <v/>
      </c>
      <c r="R35" s="174" t="s">
        <v>220</v>
      </c>
      <c r="S35" s="174" t="s">
        <v>191</v>
      </c>
      <c r="T35" s="174">
        <f>BusinessTravel_Frontend[[#This Row],[Travel mode]]</f>
        <v>0</v>
      </c>
      <c r="U35" s="174">
        <f>BusinessTravel_Frontend[[#This Row],[Category]]</f>
        <v>0</v>
      </c>
      <c r="V35" s="174">
        <f>BusinessTravel_Frontend[[#This Row],[Type]]</f>
        <v>0</v>
      </c>
      <c r="W35" s="174">
        <f>BusinessTravel_Frontend[[#This Row],[Details]]</f>
        <v>0</v>
      </c>
      <c r="X35" s="174" t="s">
        <v>339</v>
      </c>
      <c r="Y35" s="174" t="s">
        <v>339</v>
      </c>
      <c r="Z35" s="174">
        <f>BusinessTravel_Frontend[[#This Row],[Methodology]]</f>
        <v>0</v>
      </c>
      <c r="AA35" s="229" t="e" cm="1">
        <f t="array" ref="AA35">INDEX(_xlfn.SWITCH(BusinessTravel_Backend[[#This Row],[Methodology]],"Tier 1",rng_RSD1,"Tier 2",rng_RSD2,"Tier 3",rng_RSD3),MATCH(_xlfn.CONCAT(BusinessTravel_Backend[[#This Row],[Level 1]:[Level 6]]),rng_LevelsConcat,0))</f>
        <v>#N/A</v>
      </c>
      <c r="AB35" s="220">
        <f>BusinessTravel_Frontend[[#This Row],[Data]]</f>
        <v>0</v>
      </c>
      <c r="AC35" s="174">
        <f>BusinessTravel_Frontend[[#This Row],[Units]]</f>
        <v>0</v>
      </c>
      <c r="AD35" s="220" t="e">
        <f>IF(BusinessTravel_Backend[[#This Row],[Units]]=BusinessTravel_Backend[[#This Row],[Standard units]],BusinessTravel_Backend[[#This Row],[Data]],BusinessTravel_Backend[[#This Row],[Data]]*_xlfn.XLOOKUP(_xlfn.CONCAT(BusinessTravel_Backend[[#This Row],[Level 1]:[Level 6]]),rng_EFConcat,rng_EFConversion))</f>
        <v>#N/A</v>
      </c>
      <c r="AE35" s="174" t="e" cm="1">
        <f t="array" ref="AE35">_xlfn.XLOOKUP(_xlfn.CONCAT(BusinessTravel_Backend[[#This Row],[Level 1]:[Level 6]]),rng_LevelsConcat,rng_UnitsLong)</f>
        <v>#N/A</v>
      </c>
      <c r="AF35" s="210" t="e">
        <f>_xlfn.XLOOKUP(_xlfn.CONCAT(BusinessTravel_Backend[[#This Row],[Level 1]:[Level 6]]),rng_EFConcat,rng_EF1)*BusinessTravel_Backend[[#This Row],[Converted data]]/1000</f>
        <v>#N/A</v>
      </c>
      <c r="AG35" s="210" t="e">
        <f>_xlfn.XLOOKUP(_xlfn.CONCAT(BusinessTravel_Backend[[#This Row],[Level 1]:[Level 6]]),rng_EFConcat,rng_EF2)*BusinessTravel_Backend[[#This Row],[Converted data]]/1000</f>
        <v>#N/A</v>
      </c>
      <c r="AH35" s="210" t="e">
        <f>_xlfn.XLOOKUP(_xlfn.CONCAT(BusinessTravel_Backend[[#This Row],[Level 1]:[Level 6]]),rng_EFConcat,rng_EF3)*BusinessTravel_Backend[[#This Row],[Converted data]]/1000</f>
        <v>#N/A</v>
      </c>
      <c r="AI35" s="210" t="e">
        <f>_xlfn.XLOOKUP(_xlfn.CONCAT(BusinessTravel_Backend[[#This Row],[Level 1]:[Level 6]]),rng_EFConcat,rng_EF3WTT)*BusinessTravel_Backend[[#This Row],[Converted data]]/1000</f>
        <v>#N/A</v>
      </c>
      <c r="AJ35" s="210" t="e">
        <f>_xlfn.XLOOKUP(_xlfn.CONCAT(BusinessTravel_Backend[[#This Row],[Level 1]:[Level 6]]),rng_EFConcat,rng_EF3TD)*BusinessTravel_Backend[[#This Row],[Converted data]]/1000</f>
        <v>#N/A</v>
      </c>
      <c r="AK35" s="210" t="e">
        <f>_xlfn.XLOOKUP(_xlfn.CONCAT(BusinessTravel_Backend[[#This Row],[Level 1]:[Level 6]]),rng_EFConcat,rng_EF3WTTTD)*BusinessTravel_Backend[[#This Row],[Converted data]]/1000</f>
        <v>#N/A</v>
      </c>
      <c r="AL35" s="220" t="e">
        <f>SUM(BusinessTravel_Backend[[#This Row],[Scope 1 (tCO2e)]:[Scope 3 WTT T&amp;D (tCO2e)]])</f>
        <v>#N/A</v>
      </c>
      <c r="AM35" s="220" t="e">
        <f>BusinessTravel_Backend[[#This Row],[Total (tCO2e)]]*(1-BusinessTravel_Backend[[#This Row],[RSD]])</f>
        <v>#N/A</v>
      </c>
      <c r="AN35" s="220" t="e">
        <f>BusinessTravel_Backend[[#This Row],[Total (tCO2e)]]*(1+BusinessTravel_Backend[[#This Row],[RSD]])</f>
        <v>#N/A</v>
      </c>
      <c r="AO35" s="210" t="e">
        <f>_xlfn.XLOOKUP(_xlfn.CONCAT(BusinessTravel_Backend[[#This Row],[Level 1]:[Level 6]]),rng_EFConcat,rng_EFOOS)*BusinessTravel_Backend[[#This Row],[Converted data]]/1000</f>
        <v>#N/A</v>
      </c>
      <c r="AP35" s="174">
        <f>BusinessTravel_Frontend[[#This Row],[Ease of collection]]</f>
        <v>0</v>
      </c>
      <c r="AQ35" s="213">
        <f>BusinessTravel_Frontend[[#This Row],[Completeness]]</f>
        <v>0</v>
      </c>
      <c r="AR35" s="213">
        <f>BusinessTravel_Frontend[[#This Row],[Notes]]</f>
        <v>0</v>
      </c>
      <c r="AU35"/>
      <c r="AV35"/>
      <c r="AW35"/>
      <c r="AX35"/>
      <c r="AY35"/>
      <c r="AZ35"/>
      <c r="BA35"/>
      <c r="BB35"/>
      <c r="BC35"/>
      <c r="BD35"/>
      <c r="BE35"/>
      <c r="BF35"/>
      <c r="BG35"/>
      <c r="BH35"/>
      <c r="BI35"/>
    </row>
    <row r="36" spans="2:61" ht="14.5" x14ac:dyDescent="0.35">
      <c r="B36" s="455"/>
      <c r="E36" s="346"/>
      <c r="F36" s="336"/>
      <c r="G36" s="336"/>
      <c r="H36" s="336"/>
      <c r="I36" s="336"/>
      <c r="J36" s="334"/>
      <c r="K36" s="336"/>
      <c r="L36" s="336"/>
      <c r="M36" s="336"/>
      <c r="N36" s="337"/>
      <c r="O36" s="242">
        <f t="shared" si="1"/>
        <v>7</v>
      </c>
      <c r="Q36" s="214" t="str">
        <f t="shared" si="0"/>
        <v/>
      </c>
      <c r="R36" s="174" t="s">
        <v>220</v>
      </c>
      <c r="S36" s="174" t="s">
        <v>191</v>
      </c>
      <c r="T36" s="174">
        <f>BusinessTravel_Frontend[[#This Row],[Travel mode]]</f>
        <v>0</v>
      </c>
      <c r="U36" s="216">
        <f>BusinessTravel_Frontend[[#This Row],[Category]]</f>
        <v>0</v>
      </c>
      <c r="V36" s="216">
        <f>BusinessTravel_Frontend[[#This Row],[Type]]</f>
        <v>0</v>
      </c>
      <c r="W36" s="216">
        <f>BusinessTravel_Frontend[[#This Row],[Details]]</f>
        <v>0</v>
      </c>
      <c r="X36" s="174" t="s">
        <v>339</v>
      </c>
      <c r="Y36" s="174" t="s">
        <v>339</v>
      </c>
      <c r="Z36" s="216">
        <f>BusinessTravel_Frontend[[#This Row],[Methodology]]</f>
        <v>0</v>
      </c>
      <c r="AA36" s="229" t="e" cm="1">
        <f t="array" ref="AA36">INDEX(_xlfn.SWITCH(BusinessTravel_Backend[[#This Row],[Methodology]],"Tier 1",rng_RSD1,"Tier 2",rng_RSD2,"Tier 3",rng_RSD3),MATCH(_xlfn.CONCAT(BusinessTravel_Backend[[#This Row],[Level 1]:[Level 6]]),rng_LevelsConcat,0))</f>
        <v>#N/A</v>
      </c>
      <c r="AB36" s="221">
        <f>BusinessTravel_Frontend[[#This Row],[Data]]</f>
        <v>0</v>
      </c>
      <c r="AC36" s="216">
        <f>BusinessTravel_Frontend[[#This Row],[Units]]</f>
        <v>0</v>
      </c>
      <c r="AD36" s="220" t="e">
        <f>IF(BusinessTravel_Backend[[#This Row],[Units]]=BusinessTravel_Backend[[#This Row],[Standard units]],BusinessTravel_Backend[[#This Row],[Data]],BusinessTravel_Backend[[#This Row],[Data]]*_xlfn.XLOOKUP(_xlfn.CONCAT(BusinessTravel_Backend[[#This Row],[Level 1]:[Level 6]]),rng_EFConcat,rng_EFConversion))</f>
        <v>#N/A</v>
      </c>
      <c r="AE36" s="174" t="e" cm="1">
        <f t="array" ref="AE36">_xlfn.XLOOKUP(_xlfn.CONCAT(BusinessTravel_Backend[[#This Row],[Level 1]:[Level 6]]),rng_LevelsConcat,rng_UnitsLong)</f>
        <v>#N/A</v>
      </c>
      <c r="AF36" s="210" t="e">
        <f>_xlfn.XLOOKUP(_xlfn.CONCAT(BusinessTravel_Backend[[#This Row],[Level 1]:[Level 6]]),rng_EFConcat,rng_EF1)*BusinessTravel_Backend[[#This Row],[Converted data]]/1000</f>
        <v>#N/A</v>
      </c>
      <c r="AG36" s="210" t="e">
        <f>_xlfn.XLOOKUP(_xlfn.CONCAT(BusinessTravel_Backend[[#This Row],[Level 1]:[Level 6]]),rng_EFConcat,rng_EF2)*BusinessTravel_Backend[[#This Row],[Converted data]]/1000</f>
        <v>#N/A</v>
      </c>
      <c r="AH36" s="210" t="e">
        <f>_xlfn.XLOOKUP(_xlfn.CONCAT(BusinessTravel_Backend[[#This Row],[Level 1]:[Level 6]]),rng_EFConcat,rng_EF3)*BusinessTravel_Backend[[#This Row],[Converted data]]/1000</f>
        <v>#N/A</v>
      </c>
      <c r="AI36" s="210" t="e">
        <f>_xlfn.XLOOKUP(_xlfn.CONCAT(BusinessTravel_Backend[[#This Row],[Level 1]:[Level 6]]),rng_EFConcat,rng_EF3WTT)*BusinessTravel_Backend[[#This Row],[Converted data]]/1000</f>
        <v>#N/A</v>
      </c>
      <c r="AJ36" s="210" t="e">
        <f>_xlfn.XLOOKUP(_xlfn.CONCAT(BusinessTravel_Backend[[#This Row],[Level 1]:[Level 6]]),rng_EFConcat,rng_EF3TD)*BusinessTravel_Backend[[#This Row],[Converted data]]/1000</f>
        <v>#N/A</v>
      </c>
      <c r="AK36" s="210" t="e">
        <f>_xlfn.XLOOKUP(_xlfn.CONCAT(BusinessTravel_Backend[[#This Row],[Level 1]:[Level 6]]),rng_EFConcat,rng_EF3WTTTD)*BusinessTravel_Backend[[#This Row],[Converted data]]/1000</f>
        <v>#N/A</v>
      </c>
      <c r="AL36" s="220" t="e">
        <f>SUM(BusinessTravel_Backend[[#This Row],[Scope 1 (tCO2e)]:[Scope 3 WTT T&amp;D (tCO2e)]])</f>
        <v>#N/A</v>
      </c>
      <c r="AM36" s="220" t="e">
        <f>BusinessTravel_Backend[[#This Row],[Total (tCO2e)]]*(1-BusinessTravel_Backend[[#This Row],[RSD]])</f>
        <v>#N/A</v>
      </c>
      <c r="AN36" s="220" t="e">
        <f>BusinessTravel_Backend[[#This Row],[Total (tCO2e)]]*(1+BusinessTravel_Backend[[#This Row],[RSD]])</f>
        <v>#N/A</v>
      </c>
      <c r="AO36" s="210" t="e">
        <f>_xlfn.XLOOKUP(_xlfn.CONCAT(BusinessTravel_Backend[[#This Row],[Level 1]:[Level 6]]),rng_EFConcat,rng_EFOOS)*BusinessTravel_Backend[[#This Row],[Converted data]]/1000</f>
        <v>#N/A</v>
      </c>
      <c r="AP36" s="216">
        <f>BusinessTravel_Frontend[[#This Row],[Ease of collection]]</f>
        <v>0</v>
      </c>
      <c r="AQ36" s="228">
        <f>BusinessTravel_Frontend[[#This Row],[Completeness]]</f>
        <v>0</v>
      </c>
      <c r="AR36" s="228">
        <f>BusinessTravel_Frontend[[#This Row],[Notes]]</f>
        <v>0</v>
      </c>
      <c r="AU36"/>
      <c r="AV36"/>
      <c r="AW36"/>
      <c r="AX36"/>
      <c r="AY36"/>
      <c r="AZ36"/>
      <c r="BA36"/>
      <c r="BB36"/>
      <c r="BC36"/>
      <c r="BD36"/>
      <c r="BE36"/>
      <c r="BF36"/>
      <c r="BG36"/>
      <c r="BH36"/>
      <c r="BI36"/>
    </row>
    <row r="37" spans="2:61" ht="15" thickBot="1" x14ac:dyDescent="0.4">
      <c r="B37" s="16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c r="AT37"/>
      <c r="AU37"/>
      <c r="AV37"/>
      <c r="AW37"/>
      <c r="AX37"/>
      <c r="AY37"/>
      <c r="AZ37"/>
      <c r="BA37"/>
      <c r="BB37"/>
      <c r="BC37"/>
      <c r="BD37"/>
      <c r="BE37"/>
      <c r="BF37"/>
    </row>
    <row r="38" spans="2:61" ht="14.5" x14ac:dyDescent="0.35">
      <c r="B38" s="161"/>
      <c r="AR38"/>
      <c r="AS38"/>
      <c r="AT38"/>
      <c r="AU38"/>
      <c r="AV38"/>
      <c r="AW38"/>
      <c r="AX38"/>
      <c r="AY38"/>
      <c r="AZ38"/>
      <c r="BA38"/>
      <c r="BB38"/>
      <c r="BC38"/>
      <c r="BD38"/>
      <c r="BE38"/>
      <c r="BF38"/>
    </row>
    <row r="39" spans="2:61" ht="14.5" x14ac:dyDescent="0.35">
      <c r="B39" s="159" t="s">
        <v>12</v>
      </c>
      <c r="E39" s="160" t="s">
        <v>192</v>
      </c>
      <c r="AR39"/>
      <c r="AS39"/>
      <c r="AT39"/>
      <c r="AU39"/>
      <c r="AV39"/>
      <c r="AW39"/>
      <c r="AX39"/>
      <c r="AY39"/>
      <c r="AZ39"/>
      <c r="BA39"/>
      <c r="BB39"/>
      <c r="BC39"/>
      <c r="BD39"/>
      <c r="BE39"/>
      <c r="BF39"/>
    </row>
    <row r="40" spans="2:61" ht="14.5" x14ac:dyDescent="0.35">
      <c r="AR40"/>
      <c r="AS40"/>
      <c r="AT40"/>
      <c r="AU40"/>
      <c r="AV40"/>
      <c r="AW40"/>
      <c r="AX40"/>
      <c r="AY40"/>
      <c r="AZ40"/>
      <c r="BA40"/>
      <c r="BB40"/>
      <c r="BC40"/>
      <c r="BD40"/>
      <c r="BE40"/>
      <c r="BF40"/>
    </row>
    <row r="41" spans="2:61" ht="32.15" customHeight="1" x14ac:dyDescent="0.35">
      <c r="B41" s="455" t="s">
        <v>363</v>
      </c>
      <c r="E41" s="257" t="s">
        <v>360</v>
      </c>
      <c r="F41" s="258" t="s">
        <v>361</v>
      </c>
      <c r="G41" s="258" t="s">
        <v>331</v>
      </c>
      <c r="H41" s="258" t="s">
        <v>362</v>
      </c>
      <c r="I41" s="258" t="s">
        <v>287</v>
      </c>
      <c r="J41" s="258" t="s">
        <v>288</v>
      </c>
      <c r="K41" s="258" t="s">
        <v>289</v>
      </c>
      <c r="L41" s="258" t="s">
        <v>291</v>
      </c>
      <c r="M41" s="258" t="s">
        <v>292</v>
      </c>
      <c r="N41" s="259" t="s">
        <v>293</v>
      </c>
      <c r="O41" s="188">
        <f>AVERAGEIF($O$42:$O$62,"&lt;&gt;0",$O$42:$O$62)</f>
        <v>7</v>
      </c>
      <c r="Q41" s="225" t="s">
        <v>294</v>
      </c>
      <c r="R41" s="226" t="s">
        <v>295</v>
      </c>
      <c r="S41" s="226" t="s">
        <v>296</v>
      </c>
      <c r="T41" s="226" t="s">
        <v>297</v>
      </c>
      <c r="U41" s="226" t="s">
        <v>298</v>
      </c>
      <c r="V41" s="226" t="s">
        <v>299</v>
      </c>
      <c r="W41" s="226" t="s">
        <v>300</v>
      </c>
      <c r="X41" s="226" t="s">
        <v>301</v>
      </c>
      <c r="Y41" s="226" t="s">
        <v>302</v>
      </c>
      <c r="Z41" s="226" t="s">
        <v>287</v>
      </c>
      <c r="AA41" s="226" t="s">
        <v>303</v>
      </c>
      <c r="AB41" s="226" t="s">
        <v>288</v>
      </c>
      <c r="AC41" s="226" t="s">
        <v>289</v>
      </c>
      <c r="AD41" s="226" t="s">
        <v>304</v>
      </c>
      <c r="AE41" s="226" t="s">
        <v>305</v>
      </c>
      <c r="AF41" s="286" t="s">
        <v>306</v>
      </c>
      <c r="AG41" s="286" t="s">
        <v>307</v>
      </c>
      <c r="AH41" s="286" t="s">
        <v>308</v>
      </c>
      <c r="AI41" s="286" t="s">
        <v>309</v>
      </c>
      <c r="AJ41" s="286" t="s">
        <v>310</v>
      </c>
      <c r="AK41" s="286" t="s">
        <v>311</v>
      </c>
      <c r="AL41" s="286" t="s">
        <v>312</v>
      </c>
      <c r="AM41" s="286" t="s">
        <v>313</v>
      </c>
      <c r="AN41" s="286" t="s">
        <v>314</v>
      </c>
      <c r="AO41" s="286" t="s">
        <v>315</v>
      </c>
      <c r="AP41" s="226" t="s">
        <v>291</v>
      </c>
      <c r="AQ41" s="227" t="s">
        <v>292</v>
      </c>
      <c r="AR41" s="227" t="s">
        <v>293</v>
      </c>
      <c r="AU41"/>
      <c r="AV41"/>
      <c r="AW41"/>
      <c r="AX41"/>
      <c r="AY41"/>
      <c r="AZ41"/>
      <c r="BA41"/>
      <c r="BB41"/>
      <c r="BC41"/>
      <c r="BD41"/>
      <c r="BE41"/>
      <c r="BF41"/>
      <c r="BG41"/>
      <c r="BH41"/>
      <c r="BI41"/>
    </row>
    <row r="42" spans="2:61" ht="14.5" x14ac:dyDescent="0.35">
      <c r="B42" s="455"/>
      <c r="E42" s="346"/>
      <c r="F42" s="336"/>
      <c r="G42" s="336"/>
      <c r="H42" s="336"/>
      <c r="I42" s="336"/>
      <c r="J42" s="334"/>
      <c r="K42" s="336"/>
      <c r="L42" s="336"/>
      <c r="M42" s="336"/>
      <c r="N42" s="337"/>
      <c r="O42" s="242">
        <f>ISBLANK(G42)+ISBLANK(J42)+ISBLANK(E42)+ISBLANK(F42)+ISBLANK(K42)+ISBLANK(H42)+ISBLANK(I42)</f>
        <v>7</v>
      </c>
      <c r="Q42" s="212" t="str">
        <f t="shared" ref="Q42:Q62" si="2">IF(O42=0,SUBSTITUTE(2025&amp;TRIM(cl_org_name_select)&amp;TRIM($E$39)&amp;(ROW(O42)-ROW($O$42))," ",""),"")</f>
        <v/>
      </c>
      <c r="R42" s="174" t="s">
        <v>220</v>
      </c>
      <c r="S42" s="174" t="s">
        <v>192</v>
      </c>
      <c r="T42" s="174">
        <f>Commuting_Frontend[[#This Row],[Travel mode]]</f>
        <v>0</v>
      </c>
      <c r="U42" s="174">
        <f>Commuting_Frontend[[#This Row],[Category]]</f>
        <v>0</v>
      </c>
      <c r="V42" s="174">
        <f>Commuting_Frontend[[#This Row],[Type]]</f>
        <v>0</v>
      </c>
      <c r="W42" s="174">
        <f>Commuting_Frontend[[#This Row],[Details]]</f>
        <v>0</v>
      </c>
      <c r="X42" s="174" t="s">
        <v>339</v>
      </c>
      <c r="Y42" s="174" t="s">
        <v>339</v>
      </c>
      <c r="Z42" s="174">
        <f>Commuting_Frontend[[#This Row],[Methodology]]</f>
        <v>0</v>
      </c>
      <c r="AA42" s="229" t="e" cm="1">
        <f t="array" ref="AA42">INDEX(_xlfn.SWITCH(Commuting_Backend[[#This Row],[Methodology]],"Tier 1",rng_RSD1,"Tier 2",rng_RSD2,"Tier 3",rng_RSD3),MATCH(_xlfn.CONCAT(Commuting_Backend[[#This Row],[Level 1]:[Level 6]]),rng_LevelsConcat,0))</f>
        <v>#N/A</v>
      </c>
      <c r="AB42" s="220">
        <f>Commuting_Frontend[[#This Row],[Data]]</f>
        <v>0</v>
      </c>
      <c r="AC42" s="174">
        <f>Commuting_Frontend[[#This Row],[Units]]</f>
        <v>0</v>
      </c>
      <c r="AD42" s="220" t="e">
        <f>IF(Commuting_Backend[[#This Row],[Units]]=Commuting_Backend[[#This Row],[Standard units]],Commuting_Backend[[#This Row],[Data]],Commuting_Backend[[#This Row],[Data]]*_xlfn.XLOOKUP(_xlfn.CONCAT(Commuting_Backend[[#This Row],[Level 1]:[Level 6]]),rng_EFConcat,rng_EFConversion))</f>
        <v>#N/A</v>
      </c>
      <c r="AE42" s="174" t="e" cm="1">
        <f t="array" ref="AE42">_xlfn.XLOOKUP(_xlfn.CONCAT(Commuting_Backend[[#This Row],[Level 1]:[Level 6]]),rng_LevelsConcat,rng_UnitsLong)</f>
        <v>#N/A</v>
      </c>
      <c r="AF42" s="210" t="e">
        <f>_xlfn.XLOOKUP(_xlfn.CONCAT(Commuting_Backend[[#This Row],[Level 1]:[Level 6]]),rng_EFConcat,rng_EF1)*Commuting_Backend[[#This Row],[Converted data]]/1000</f>
        <v>#N/A</v>
      </c>
      <c r="AG42" s="210" t="e">
        <f>_xlfn.XLOOKUP(_xlfn.CONCAT(Commuting_Backend[[#This Row],[Level 1]:[Level 6]]),rng_EFConcat,rng_EF2)*Commuting_Backend[[#This Row],[Converted data]]/1000</f>
        <v>#N/A</v>
      </c>
      <c r="AH42" s="210" t="e">
        <f>_xlfn.XLOOKUP(_xlfn.CONCAT(Commuting_Backend[[#This Row],[Level 1]:[Level 6]]),rng_EFConcat,rng_EF3)*Commuting_Backend[[#This Row],[Converted data]]/1000</f>
        <v>#N/A</v>
      </c>
      <c r="AI42" s="210" t="e">
        <f>_xlfn.XLOOKUP(_xlfn.CONCAT(Commuting_Backend[[#This Row],[Level 1]:[Level 6]]),rng_EFConcat,rng_EF3WTT)*Commuting_Backend[[#This Row],[Converted data]]/1000</f>
        <v>#N/A</v>
      </c>
      <c r="AJ42" s="210" t="e">
        <f>_xlfn.XLOOKUP(_xlfn.CONCAT(Commuting_Backend[[#This Row],[Level 1]:[Level 6]]),rng_EFConcat,rng_EF3TD)*Commuting_Backend[[#This Row],[Converted data]]/1000</f>
        <v>#N/A</v>
      </c>
      <c r="AK42" s="210" t="e">
        <f>_xlfn.XLOOKUP(_xlfn.CONCAT(Commuting_Backend[[#This Row],[Level 1]:[Level 6]]),rng_EFConcat,rng_EF3WTTTD)*Commuting_Backend[[#This Row],[Converted data]]/1000</f>
        <v>#N/A</v>
      </c>
      <c r="AL42" s="220" t="e">
        <f>SUM(Commuting_Backend[[#This Row],[Scope 1 (tCO2e)]:[Scope 3 WTT T&amp;D (tCO2e)]])</f>
        <v>#N/A</v>
      </c>
      <c r="AM42" s="220" t="e">
        <f>Commuting_Backend[[#This Row],[Total (tCO2e)]]*(1-Commuting_Backend[[#This Row],[RSD]])</f>
        <v>#N/A</v>
      </c>
      <c r="AN42" s="220" t="e">
        <f>Commuting_Backend[[#This Row],[Total (tCO2e)]]*(1+Commuting_Backend[[#This Row],[RSD]])</f>
        <v>#N/A</v>
      </c>
      <c r="AO42" s="210" t="e">
        <f>_xlfn.XLOOKUP(_xlfn.CONCAT(Commuting_Backend[[#This Row],[Level 1]:[Level 6]]),rng_EFConcat,rng_EFOOS)*Commuting_Backend[[#This Row],[Converted data]]/1000</f>
        <v>#N/A</v>
      </c>
      <c r="AP42" s="174">
        <f>Commuting_Frontend[[#This Row],[Ease of collection]]</f>
        <v>0</v>
      </c>
      <c r="AQ42" s="174">
        <f>Commuting_Frontend[[#This Row],[Completeness]]</f>
        <v>0</v>
      </c>
      <c r="AR42" s="213">
        <f>Commuting_Frontend[[#This Row],[Notes]]</f>
        <v>0</v>
      </c>
      <c r="AU42"/>
      <c r="AV42"/>
      <c r="AW42"/>
      <c r="AX42"/>
      <c r="AY42"/>
      <c r="AZ42"/>
      <c r="BA42"/>
      <c r="BB42"/>
      <c r="BC42"/>
      <c r="BD42"/>
      <c r="BE42"/>
      <c r="BF42"/>
      <c r="BG42"/>
      <c r="BH42"/>
      <c r="BI42"/>
    </row>
    <row r="43" spans="2:61" ht="14.5" x14ac:dyDescent="0.35">
      <c r="B43" s="455"/>
      <c r="E43" s="346"/>
      <c r="F43" s="336"/>
      <c r="G43" s="336"/>
      <c r="H43" s="336"/>
      <c r="I43" s="336"/>
      <c r="J43" s="334"/>
      <c r="K43" s="336"/>
      <c r="L43" s="336"/>
      <c r="M43" s="336"/>
      <c r="N43" s="337"/>
      <c r="O43" s="242">
        <f>ISBLANK(G43)+ISBLANK(J43)+ISBLANK(E43)+ISBLANK(F43)+ISBLANK(K43)+ISBLANK(H43)+ISBLANK(I43)</f>
        <v>7</v>
      </c>
      <c r="Q43" s="212" t="str">
        <f t="shared" si="2"/>
        <v/>
      </c>
      <c r="R43" s="174" t="s">
        <v>220</v>
      </c>
      <c r="S43" s="174" t="s">
        <v>192</v>
      </c>
      <c r="T43" s="174">
        <f>Commuting_Frontend[[#This Row],[Travel mode]]</f>
        <v>0</v>
      </c>
      <c r="U43" s="174">
        <f>Commuting_Frontend[[#This Row],[Category]]</f>
        <v>0</v>
      </c>
      <c r="V43" s="174">
        <f>Commuting_Frontend[[#This Row],[Type]]</f>
        <v>0</v>
      </c>
      <c r="W43" s="174">
        <f>Commuting_Frontend[[#This Row],[Details]]</f>
        <v>0</v>
      </c>
      <c r="X43" s="174" t="s">
        <v>339</v>
      </c>
      <c r="Y43" s="174" t="s">
        <v>339</v>
      </c>
      <c r="Z43" s="174">
        <f>Commuting_Frontend[[#This Row],[Methodology]]</f>
        <v>0</v>
      </c>
      <c r="AA43" s="229" t="e" cm="1">
        <f t="array" ref="AA43">INDEX(_xlfn.SWITCH(Commuting_Backend[[#This Row],[Methodology]],"Tier 1",rng_RSD1,"Tier 2",rng_RSD2,"Tier 3",rng_RSD3),MATCH(_xlfn.CONCAT(Commuting_Backend[[#This Row],[Level 1]:[Level 6]]),rng_LevelsConcat,0))</f>
        <v>#N/A</v>
      </c>
      <c r="AB43" s="220">
        <f>Commuting_Frontend[[#This Row],[Data]]</f>
        <v>0</v>
      </c>
      <c r="AC43" s="174">
        <f>Commuting_Frontend[[#This Row],[Units]]</f>
        <v>0</v>
      </c>
      <c r="AD43" s="220" t="e">
        <f>IF(Commuting_Backend[[#This Row],[Units]]=Commuting_Backend[[#This Row],[Standard units]],Commuting_Backend[[#This Row],[Data]],Commuting_Backend[[#This Row],[Data]]*_xlfn.XLOOKUP(_xlfn.CONCAT(Commuting_Backend[[#This Row],[Level 1]:[Level 6]]),rng_EFConcat,rng_EFConversion))</f>
        <v>#N/A</v>
      </c>
      <c r="AE43" s="174" t="e" cm="1">
        <f t="array" ref="AE43">_xlfn.XLOOKUP(_xlfn.CONCAT(Commuting_Backend[[#This Row],[Level 1]:[Level 6]]),rng_LevelsConcat,rng_UnitsLong)</f>
        <v>#N/A</v>
      </c>
      <c r="AF43" s="210" t="e">
        <f>_xlfn.XLOOKUP(_xlfn.CONCAT(Commuting_Backend[[#This Row],[Level 1]:[Level 6]]),rng_EFConcat,rng_EF1)*Commuting_Backend[[#This Row],[Converted data]]/1000</f>
        <v>#N/A</v>
      </c>
      <c r="AG43" s="210" t="e">
        <f>_xlfn.XLOOKUP(_xlfn.CONCAT(Commuting_Backend[[#This Row],[Level 1]:[Level 6]]),rng_EFConcat,rng_EF2)*Commuting_Backend[[#This Row],[Converted data]]/1000</f>
        <v>#N/A</v>
      </c>
      <c r="AH43" s="210" t="e">
        <f>_xlfn.XLOOKUP(_xlfn.CONCAT(Commuting_Backend[[#This Row],[Level 1]:[Level 6]]),rng_EFConcat,rng_EF3)*Commuting_Backend[[#This Row],[Converted data]]/1000</f>
        <v>#N/A</v>
      </c>
      <c r="AI43" s="210" t="e">
        <f>_xlfn.XLOOKUP(_xlfn.CONCAT(Commuting_Backend[[#This Row],[Level 1]:[Level 6]]),rng_EFConcat,rng_EF3WTT)*Commuting_Backend[[#This Row],[Converted data]]/1000</f>
        <v>#N/A</v>
      </c>
      <c r="AJ43" s="210" t="e">
        <f>_xlfn.XLOOKUP(_xlfn.CONCAT(Commuting_Backend[[#This Row],[Level 1]:[Level 6]]),rng_EFConcat,rng_EF3TD)*Commuting_Backend[[#This Row],[Converted data]]/1000</f>
        <v>#N/A</v>
      </c>
      <c r="AK43" s="210" t="e">
        <f>_xlfn.XLOOKUP(_xlfn.CONCAT(Commuting_Backend[[#This Row],[Level 1]:[Level 6]]),rng_EFConcat,rng_EF3WTTTD)*Commuting_Backend[[#This Row],[Converted data]]/1000</f>
        <v>#N/A</v>
      </c>
      <c r="AL43" s="220" t="e">
        <f>SUM(Commuting_Backend[[#This Row],[Scope 1 (tCO2e)]:[Scope 3 WTT T&amp;D (tCO2e)]])</f>
        <v>#N/A</v>
      </c>
      <c r="AM43" s="220" t="e">
        <f>Commuting_Backend[[#This Row],[Total (tCO2e)]]*(1-Commuting_Backend[[#This Row],[RSD]])</f>
        <v>#N/A</v>
      </c>
      <c r="AN43" s="220" t="e">
        <f>Commuting_Backend[[#This Row],[Total (tCO2e)]]*(1+Commuting_Backend[[#This Row],[RSD]])</f>
        <v>#N/A</v>
      </c>
      <c r="AO43" s="210" t="e">
        <f>_xlfn.XLOOKUP(_xlfn.CONCAT(Commuting_Backend[[#This Row],[Level 1]:[Level 6]]),rng_EFConcat,rng_EFOOS)*Commuting_Backend[[#This Row],[Converted data]]/1000</f>
        <v>#N/A</v>
      </c>
      <c r="AP43" s="174">
        <f>Commuting_Frontend[[#This Row],[Ease of collection]]</f>
        <v>0</v>
      </c>
      <c r="AQ43" s="213">
        <f>Commuting_Frontend[[#This Row],[Completeness]]</f>
        <v>0</v>
      </c>
      <c r="AR43" s="213">
        <f>Commuting_Frontend[[#This Row],[Notes]]</f>
        <v>0</v>
      </c>
      <c r="AU43"/>
      <c r="AV43"/>
      <c r="AW43"/>
      <c r="AX43"/>
      <c r="AY43"/>
      <c r="AZ43"/>
      <c r="BA43"/>
      <c r="BB43"/>
      <c r="BC43"/>
      <c r="BD43"/>
      <c r="BE43"/>
      <c r="BF43"/>
      <c r="BG43"/>
      <c r="BH43"/>
      <c r="BI43"/>
    </row>
    <row r="44" spans="2:61" ht="14.5" x14ac:dyDescent="0.35">
      <c r="B44" s="455"/>
      <c r="E44" s="346"/>
      <c r="F44" s="336"/>
      <c r="G44" s="336"/>
      <c r="H44" s="336"/>
      <c r="I44" s="336"/>
      <c r="J44" s="334"/>
      <c r="K44" s="336"/>
      <c r="L44" s="336"/>
      <c r="M44" s="336"/>
      <c r="N44" s="337"/>
      <c r="O44" s="242">
        <f t="shared" ref="O44:O62" si="3">ISBLANK(G44)+ISBLANK(J44)+ISBLANK(E44)+ISBLANK(F44)+ISBLANK(K44)+ISBLANK(H44)+ISBLANK(I44)</f>
        <v>7</v>
      </c>
      <c r="Q44" s="212" t="str">
        <f t="shared" si="2"/>
        <v/>
      </c>
      <c r="R44" s="174" t="s">
        <v>220</v>
      </c>
      <c r="S44" s="174" t="s">
        <v>192</v>
      </c>
      <c r="T44" s="174">
        <f>Commuting_Frontend[[#This Row],[Travel mode]]</f>
        <v>0</v>
      </c>
      <c r="U44" s="174">
        <f>Commuting_Frontend[[#This Row],[Category]]</f>
        <v>0</v>
      </c>
      <c r="V44" s="174">
        <f>Commuting_Frontend[[#This Row],[Type]]</f>
        <v>0</v>
      </c>
      <c r="W44" s="174">
        <f>Commuting_Frontend[[#This Row],[Details]]</f>
        <v>0</v>
      </c>
      <c r="X44" s="174" t="s">
        <v>339</v>
      </c>
      <c r="Y44" s="174" t="s">
        <v>339</v>
      </c>
      <c r="Z44" s="174">
        <f>Commuting_Frontend[[#This Row],[Methodology]]</f>
        <v>0</v>
      </c>
      <c r="AA44" s="229" t="e" cm="1">
        <f t="array" ref="AA44">INDEX(_xlfn.SWITCH(Commuting_Backend[[#This Row],[Methodology]],"Tier 1",rng_RSD1,"Tier 2",rng_RSD2,"Tier 3",rng_RSD3),MATCH(_xlfn.CONCAT(Commuting_Backend[[#This Row],[Level 1]:[Level 6]]),rng_LevelsConcat,0))</f>
        <v>#N/A</v>
      </c>
      <c r="AB44" s="220">
        <f>Commuting_Frontend[[#This Row],[Data]]</f>
        <v>0</v>
      </c>
      <c r="AC44" s="174">
        <f>Commuting_Frontend[[#This Row],[Units]]</f>
        <v>0</v>
      </c>
      <c r="AD44" s="220" t="e">
        <f>IF(Commuting_Backend[[#This Row],[Units]]=Commuting_Backend[[#This Row],[Standard units]],Commuting_Backend[[#This Row],[Data]],Commuting_Backend[[#This Row],[Data]]*_xlfn.XLOOKUP(_xlfn.CONCAT(Commuting_Backend[[#This Row],[Level 1]:[Level 6]]),rng_EFConcat,rng_EFConversion))</f>
        <v>#N/A</v>
      </c>
      <c r="AE44" s="174" t="e" cm="1">
        <f t="array" ref="AE44">_xlfn.XLOOKUP(_xlfn.CONCAT(Commuting_Backend[[#This Row],[Level 1]:[Level 6]]),rng_LevelsConcat,rng_UnitsLong)</f>
        <v>#N/A</v>
      </c>
      <c r="AF44" s="210" t="e">
        <f>_xlfn.XLOOKUP(_xlfn.CONCAT(Commuting_Backend[[#This Row],[Level 1]:[Level 6]]),rng_EFConcat,rng_EF1)*Commuting_Backend[[#This Row],[Converted data]]/1000</f>
        <v>#N/A</v>
      </c>
      <c r="AG44" s="210" t="e">
        <f>_xlfn.XLOOKUP(_xlfn.CONCAT(Commuting_Backend[[#This Row],[Level 1]:[Level 6]]),rng_EFConcat,rng_EF2)*Commuting_Backend[[#This Row],[Converted data]]/1000</f>
        <v>#N/A</v>
      </c>
      <c r="AH44" s="210" t="e">
        <f>_xlfn.XLOOKUP(_xlfn.CONCAT(Commuting_Backend[[#This Row],[Level 1]:[Level 6]]),rng_EFConcat,rng_EF3)*Commuting_Backend[[#This Row],[Converted data]]/1000</f>
        <v>#N/A</v>
      </c>
      <c r="AI44" s="210" t="e">
        <f>_xlfn.XLOOKUP(_xlfn.CONCAT(Commuting_Backend[[#This Row],[Level 1]:[Level 6]]),rng_EFConcat,rng_EF3WTT)*Commuting_Backend[[#This Row],[Converted data]]/1000</f>
        <v>#N/A</v>
      </c>
      <c r="AJ44" s="210" t="e">
        <f>_xlfn.XLOOKUP(_xlfn.CONCAT(Commuting_Backend[[#This Row],[Level 1]:[Level 6]]),rng_EFConcat,rng_EF3TD)*Commuting_Backend[[#This Row],[Converted data]]/1000</f>
        <v>#N/A</v>
      </c>
      <c r="AK44" s="210" t="e">
        <f>_xlfn.XLOOKUP(_xlfn.CONCAT(Commuting_Backend[[#This Row],[Level 1]:[Level 6]]),rng_EFConcat,rng_EF3WTTTD)*Commuting_Backend[[#This Row],[Converted data]]/1000</f>
        <v>#N/A</v>
      </c>
      <c r="AL44" s="220" t="e">
        <f>SUM(Commuting_Backend[[#This Row],[Scope 1 (tCO2e)]:[Scope 3 WTT T&amp;D (tCO2e)]])</f>
        <v>#N/A</v>
      </c>
      <c r="AM44" s="220" t="e">
        <f>Commuting_Backend[[#This Row],[Total (tCO2e)]]*(1-Commuting_Backend[[#This Row],[RSD]])</f>
        <v>#N/A</v>
      </c>
      <c r="AN44" s="220" t="e">
        <f>Commuting_Backend[[#This Row],[Total (tCO2e)]]*(1+Commuting_Backend[[#This Row],[RSD]])</f>
        <v>#N/A</v>
      </c>
      <c r="AO44" s="210" t="e">
        <f>_xlfn.XLOOKUP(_xlfn.CONCAT(Commuting_Backend[[#This Row],[Level 1]:[Level 6]]),rng_EFConcat,rng_EFOOS)*Commuting_Backend[[#This Row],[Converted data]]/1000</f>
        <v>#N/A</v>
      </c>
      <c r="AP44" s="174">
        <f>Commuting_Frontend[[#This Row],[Ease of collection]]</f>
        <v>0</v>
      </c>
      <c r="AQ44" s="213">
        <f>Commuting_Frontend[[#This Row],[Completeness]]</f>
        <v>0</v>
      </c>
      <c r="AR44" s="213">
        <f>Commuting_Frontend[[#This Row],[Notes]]</f>
        <v>0</v>
      </c>
      <c r="AU44"/>
      <c r="AV44"/>
      <c r="AW44"/>
      <c r="AX44"/>
      <c r="AY44"/>
      <c r="AZ44"/>
      <c r="BA44"/>
      <c r="BB44"/>
      <c r="BC44"/>
      <c r="BD44"/>
      <c r="BE44"/>
      <c r="BF44"/>
      <c r="BG44"/>
      <c r="BH44"/>
      <c r="BI44"/>
    </row>
    <row r="45" spans="2:61" ht="14.5" x14ac:dyDescent="0.35">
      <c r="B45" s="455"/>
      <c r="E45" s="346"/>
      <c r="F45" s="336"/>
      <c r="G45" s="336"/>
      <c r="H45" s="336"/>
      <c r="I45" s="336"/>
      <c r="J45" s="334"/>
      <c r="K45" s="336"/>
      <c r="L45" s="336"/>
      <c r="M45" s="336"/>
      <c r="N45" s="337"/>
      <c r="O45" s="242">
        <f t="shared" si="3"/>
        <v>7</v>
      </c>
      <c r="Q45" s="212" t="str">
        <f t="shared" si="2"/>
        <v/>
      </c>
      <c r="R45" s="174" t="s">
        <v>220</v>
      </c>
      <c r="S45" s="174" t="s">
        <v>192</v>
      </c>
      <c r="T45" s="174">
        <f>Commuting_Frontend[[#This Row],[Travel mode]]</f>
        <v>0</v>
      </c>
      <c r="U45" s="174">
        <f>Commuting_Frontend[[#This Row],[Category]]</f>
        <v>0</v>
      </c>
      <c r="V45" s="174">
        <f>Commuting_Frontend[[#This Row],[Type]]</f>
        <v>0</v>
      </c>
      <c r="W45" s="174">
        <f>Commuting_Frontend[[#This Row],[Details]]</f>
        <v>0</v>
      </c>
      <c r="X45" s="174" t="s">
        <v>339</v>
      </c>
      <c r="Y45" s="174" t="s">
        <v>339</v>
      </c>
      <c r="Z45" s="174">
        <f>Commuting_Frontend[[#This Row],[Methodology]]</f>
        <v>0</v>
      </c>
      <c r="AA45" s="229" t="e" cm="1">
        <f t="array" ref="AA45">INDEX(_xlfn.SWITCH(Commuting_Backend[[#This Row],[Methodology]],"Tier 1",rng_RSD1,"Tier 2",rng_RSD2,"Tier 3",rng_RSD3),MATCH(_xlfn.CONCAT(Commuting_Backend[[#This Row],[Level 1]:[Level 6]]),rng_LevelsConcat,0))</f>
        <v>#N/A</v>
      </c>
      <c r="AB45" s="220">
        <f>Commuting_Frontend[[#This Row],[Data]]</f>
        <v>0</v>
      </c>
      <c r="AC45" s="174">
        <f>Commuting_Frontend[[#This Row],[Units]]</f>
        <v>0</v>
      </c>
      <c r="AD45" s="220" t="e">
        <f>IF(Commuting_Backend[[#This Row],[Units]]=Commuting_Backend[[#This Row],[Standard units]],Commuting_Backend[[#This Row],[Data]],Commuting_Backend[[#This Row],[Data]]*_xlfn.XLOOKUP(_xlfn.CONCAT(Commuting_Backend[[#This Row],[Level 1]:[Level 6]]),rng_EFConcat,rng_EFConversion))</f>
        <v>#N/A</v>
      </c>
      <c r="AE45" s="174" t="e" cm="1">
        <f t="array" ref="AE45">_xlfn.XLOOKUP(_xlfn.CONCAT(Commuting_Backend[[#This Row],[Level 1]:[Level 6]]),rng_LevelsConcat,rng_UnitsLong)</f>
        <v>#N/A</v>
      </c>
      <c r="AF45" s="210" t="e">
        <f>_xlfn.XLOOKUP(_xlfn.CONCAT(Commuting_Backend[[#This Row],[Level 1]:[Level 6]]),rng_EFConcat,rng_EF1)*Commuting_Backend[[#This Row],[Converted data]]/1000</f>
        <v>#N/A</v>
      </c>
      <c r="AG45" s="210" t="e">
        <f>_xlfn.XLOOKUP(_xlfn.CONCAT(Commuting_Backend[[#This Row],[Level 1]:[Level 6]]),rng_EFConcat,rng_EF2)*Commuting_Backend[[#This Row],[Converted data]]/1000</f>
        <v>#N/A</v>
      </c>
      <c r="AH45" s="210" t="e">
        <f>_xlfn.XLOOKUP(_xlfn.CONCAT(Commuting_Backend[[#This Row],[Level 1]:[Level 6]]),rng_EFConcat,rng_EF3)*Commuting_Backend[[#This Row],[Converted data]]/1000</f>
        <v>#N/A</v>
      </c>
      <c r="AI45" s="210" t="e">
        <f>_xlfn.XLOOKUP(_xlfn.CONCAT(Commuting_Backend[[#This Row],[Level 1]:[Level 6]]),rng_EFConcat,rng_EF3WTT)*Commuting_Backend[[#This Row],[Converted data]]/1000</f>
        <v>#N/A</v>
      </c>
      <c r="AJ45" s="210" t="e">
        <f>_xlfn.XLOOKUP(_xlfn.CONCAT(Commuting_Backend[[#This Row],[Level 1]:[Level 6]]),rng_EFConcat,rng_EF3TD)*Commuting_Backend[[#This Row],[Converted data]]/1000</f>
        <v>#N/A</v>
      </c>
      <c r="AK45" s="210" t="e">
        <f>_xlfn.XLOOKUP(_xlfn.CONCAT(Commuting_Backend[[#This Row],[Level 1]:[Level 6]]),rng_EFConcat,rng_EF3WTTTD)*Commuting_Backend[[#This Row],[Converted data]]/1000</f>
        <v>#N/A</v>
      </c>
      <c r="AL45" s="220" t="e">
        <f>SUM(Commuting_Backend[[#This Row],[Scope 1 (tCO2e)]:[Scope 3 WTT T&amp;D (tCO2e)]])</f>
        <v>#N/A</v>
      </c>
      <c r="AM45" s="220" t="e">
        <f>Commuting_Backend[[#This Row],[Total (tCO2e)]]*(1-Commuting_Backend[[#This Row],[RSD]])</f>
        <v>#N/A</v>
      </c>
      <c r="AN45" s="220" t="e">
        <f>Commuting_Backend[[#This Row],[Total (tCO2e)]]*(1+Commuting_Backend[[#This Row],[RSD]])</f>
        <v>#N/A</v>
      </c>
      <c r="AO45" s="210" t="e">
        <f>_xlfn.XLOOKUP(_xlfn.CONCAT(Commuting_Backend[[#This Row],[Level 1]:[Level 6]]),rng_EFConcat,rng_EFOOS)*Commuting_Backend[[#This Row],[Converted data]]/1000</f>
        <v>#N/A</v>
      </c>
      <c r="AP45" s="174">
        <f>Commuting_Frontend[[#This Row],[Ease of collection]]</f>
        <v>0</v>
      </c>
      <c r="AQ45" s="213">
        <f>Commuting_Frontend[[#This Row],[Completeness]]</f>
        <v>0</v>
      </c>
      <c r="AR45" s="213">
        <f>Commuting_Frontend[[#This Row],[Notes]]</f>
        <v>0</v>
      </c>
      <c r="AU45"/>
      <c r="AV45"/>
      <c r="AW45"/>
      <c r="AX45"/>
      <c r="AY45"/>
      <c r="AZ45"/>
      <c r="BA45"/>
      <c r="BB45"/>
      <c r="BC45"/>
      <c r="BD45"/>
      <c r="BE45"/>
      <c r="BF45"/>
      <c r="BG45"/>
      <c r="BH45"/>
      <c r="BI45"/>
    </row>
    <row r="46" spans="2:61" ht="14.5" x14ac:dyDescent="0.35">
      <c r="B46" s="455"/>
      <c r="E46" s="346"/>
      <c r="F46" s="336"/>
      <c r="G46" s="336"/>
      <c r="H46" s="336"/>
      <c r="I46" s="336"/>
      <c r="J46" s="334"/>
      <c r="K46" s="336"/>
      <c r="L46" s="336"/>
      <c r="M46" s="336"/>
      <c r="N46" s="337"/>
      <c r="O46" s="242">
        <f t="shared" si="3"/>
        <v>7</v>
      </c>
      <c r="Q46" s="212" t="str">
        <f t="shared" si="2"/>
        <v/>
      </c>
      <c r="R46" s="174" t="s">
        <v>220</v>
      </c>
      <c r="S46" s="174" t="s">
        <v>192</v>
      </c>
      <c r="T46" s="174">
        <f>Commuting_Frontend[[#This Row],[Travel mode]]</f>
        <v>0</v>
      </c>
      <c r="U46" s="174">
        <f>Commuting_Frontend[[#This Row],[Category]]</f>
        <v>0</v>
      </c>
      <c r="V46" s="174">
        <f>Commuting_Frontend[[#This Row],[Type]]</f>
        <v>0</v>
      </c>
      <c r="W46" s="174">
        <f>Commuting_Frontend[[#This Row],[Details]]</f>
        <v>0</v>
      </c>
      <c r="X46" s="174" t="s">
        <v>339</v>
      </c>
      <c r="Y46" s="174" t="s">
        <v>339</v>
      </c>
      <c r="Z46" s="174">
        <f>Commuting_Frontend[[#This Row],[Methodology]]</f>
        <v>0</v>
      </c>
      <c r="AA46" s="229" t="e" cm="1">
        <f t="array" ref="AA46">INDEX(_xlfn.SWITCH(Commuting_Backend[[#This Row],[Methodology]],"Tier 1",rng_RSD1,"Tier 2",rng_RSD2,"Tier 3",rng_RSD3),MATCH(_xlfn.CONCAT(Commuting_Backend[[#This Row],[Level 1]:[Level 6]]),rng_LevelsConcat,0))</f>
        <v>#N/A</v>
      </c>
      <c r="AB46" s="220">
        <f>Commuting_Frontend[[#This Row],[Data]]</f>
        <v>0</v>
      </c>
      <c r="AC46" s="174">
        <f>Commuting_Frontend[[#This Row],[Units]]</f>
        <v>0</v>
      </c>
      <c r="AD46" s="220" t="e">
        <f>IF(Commuting_Backend[[#This Row],[Units]]=Commuting_Backend[[#This Row],[Standard units]],Commuting_Backend[[#This Row],[Data]],Commuting_Backend[[#This Row],[Data]]*_xlfn.XLOOKUP(_xlfn.CONCAT(Commuting_Backend[[#This Row],[Level 1]:[Level 6]]),rng_EFConcat,rng_EFConversion))</f>
        <v>#N/A</v>
      </c>
      <c r="AE46" s="174" t="e" cm="1">
        <f t="array" ref="AE46">_xlfn.XLOOKUP(_xlfn.CONCAT(Commuting_Backend[[#This Row],[Level 1]:[Level 6]]),rng_LevelsConcat,rng_UnitsLong)</f>
        <v>#N/A</v>
      </c>
      <c r="AF46" s="210" t="e">
        <f>_xlfn.XLOOKUP(_xlfn.CONCAT(Commuting_Backend[[#This Row],[Level 1]:[Level 6]]),rng_EFConcat,rng_EF1)*Commuting_Backend[[#This Row],[Converted data]]/1000</f>
        <v>#N/A</v>
      </c>
      <c r="AG46" s="210" t="e">
        <f>_xlfn.XLOOKUP(_xlfn.CONCAT(Commuting_Backend[[#This Row],[Level 1]:[Level 6]]),rng_EFConcat,rng_EF2)*Commuting_Backend[[#This Row],[Converted data]]/1000</f>
        <v>#N/A</v>
      </c>
      <c r="AH46" s="210" t="e">
        <f>_xlfn.XLOOKUP(_xlfn.CONCAT(Commuting_Backend[[#This Row],[Level 1]:[Level 6]]),rng_EFConcat,rng_EF3)*Commuting_Backend[[#This Row],[Converted data]]/1000</f>
        <v>#N/A</v>
      </c>
      <c r="AI46" s="210" t="e">
        <f>_xlfn.XLOOKUP(_xlfn.CONCAT(Commuting_Backend[[#This Row],[Level 1]:[Level 6]]),rng_EFConcat,rng_EF3WTT)*Commuting_Backend[[#This Row],[Converted data]]/1000</f>
        <v>#N/A</v>
      </c>
      <c r="AJ46" s="210" t="e">
        <f>_xlfn.XLOOKUP(_xlfn.CONCAT(Commuting_Backend[[#This Row],[Level 1]:[Level 6]]),rng_EFConcat,rng_EF3TD)*Commuting_Backend[[#This Row],[Converted data]]/1000</f>
        <v>#N/A</v>
      </c>
      <c r="AK46" s="210" t="e">
        <f>_xlfn.XLOOKUP(_xlfn.CONCAT(Commuting_Backend[[#This Row],[Level 1]:[Level 6]]),rng_EFConcat,rng_EF3WTTTD)*Commuting_Backend[[#This Row],[Converted data]]/1000</f>
        <v>#N/A</v>
      </c>
      <c r="AL46" s="220" t="e">
        <f>SUM(Commuting_Backend[[#This Row],[Scope 1 (tCO2e)]:[Scope 3 WTT T&amp;D (tCO2e)]])</f>
        <v>#N/A</v>
      </c>
      <c r="AM46" s="220" t="e">
        <f>Commuting_Backend[[#This Row],[Total (tCO2e)]]*(1-Commuting_Backend[[#This Row],[RSD]])</f>
        <v>#N/A</v>
      </c>
      <c r="AN46" s="220" t="e">
        <f>Commuting_Backend[[#This Row],[Total (tCO2e)]]*(1+Commuting_Backend[[#This Row],[RSD]])</f>
        <v>#N/A</v>
      </c>
      <c r="AO46" s="210" t="e">
        <f>_xlfn.XLOOKUP(_xlfn.CONCAT(Commuting_Backend[[#This Row],[Level 1]:[Level 6]]),rng_EFConcat,rng_EFOOS)*Commuting_Backend[[#This Row],[Converted data]]/1000</f>
        <v>#N/A</v>
      </c>
      <c r="AP46" s="174">
        <f>Commuting_Frontend[[#This Row],[Ease of collection]]</f>
        <v>0</v>
      </c>
      <c r="AQ46" s="213">
        <f>Commuting_Frontend[[#This Row],[Completeness]]</f>
        <v>0</v>
      </c>
      <c r="AR46" s="213">
        <f>Commuting_Frontend[[#This Row],[Notes]]</f>
        <v>0</v>
      </c>
      <c r="AU46"/>
      <c r="AV46"/>
      <c r="AW46"/>
      <c r="AX46"/>
      <c r="AY46"/>
      <c r="AZ46"/>
      <c r="BA46"/>
      <c r="BB46"/>
      <c r="BC46"/>
      <c r="BD46"/>
      <c r="BE46"/>
      <c r="BF46"/>
      <c r="BG46"/>
      <c r="BH46"/>
      <c r="BI46"/>
    </row>
    <row r="47" spans="2:61" ht="14.5" x14ac:dyDescent="0.35">
      <c r="B47" s="455"/>
      <c r="E47" s="346"/>
      <c r="F47" s="336"/>
      <c r="G47" s="336"/>
      <c r="H47" s="336"/>
      <c r="I47" s="336"/>
      <c r="J47" s="334"/>
      <c r="K47" s="336"/>
      <c r="L47" s="336"/>
      <c r="M47" s="336"/>
      <c r="N47" s="337"/>
      <c r="O47" s="242">
        <f t="shared" si="3"/>
        <v>7</v>
      </c>
      <c r="Q47" s="212" t="str">
        <f t="shared" si="2"/>
        <v/>
      </c>
      <c r="R47" s="174" t="s">
        <v>220</v>
      </c>
      <c r="S47" s="174" t="s">
        <v>192</v>
      </c>
      <c r="T47" s="174">
        <f>Commuting_Frontend[[#This Row],[Travel mode]]</f>
        <v>0</v>
      </c>
      <c r="U47" s="174">
        <f>Commuting_Frontend[[#This Row],[Category]]</f>
        <v>0</v>
      </c>
      <c r="V47" s="174">
        <f>Commuting_Frontend[[#This Row],[Type]]</f>
        <v>0</v>
      </c>
      <c r="W47" s="174">
        <f>Commuting_Frontend[[#This Row],[Details]]</f>
        <v>0</v>
      </c>
      <c r="X47" s="174" t="s">
        <v>339</v>
      </c>
      <c r="Y47" s="174" t="s">
        <v>339</v>
      </c>
      <c r="Z47" s="174">
        <f>Commuting_Frontend[[#This Row],[Methodology]]</f>
        <v>0</v>
      </c>
      <c r="AA47" s="229" t="e" cm="1">
        <f t="array" ref="AA47">INDEX(_xlfn.SWITCH(Commuting_Backend[[#This Row],[Methodology]],"Tier 1",rng_RSD1,"Tier 2",rng_RSD2,"Tier 3",rng_RSD3),MATCH(_xlfn.CONCAT(Commuting_Backend[[#This Row],[Level 1]:[Level 6]]),rng_LevelsConcat,0))</f>
        <v>#N/A</v>
      </c>
      <c r="AB47" s="220">
        <f>Commuting_Frontend[[#This Row],[Data]]</f>
        <v>0</v>
      </c>
      <c r="AC47" s="174">
        <f>Commuting_Frontend[[#This Row],[Units]]</f>
        <v>0</v>
      </c>
      <c r="AD47" s="220" t="e">
        <f>IF(Commuting_Backend[[#This Row],[Units]]=Commuting_Backend[[#This Row],[Standard units]],Commuting_Backend[[#This Row],[Data]],Commuting_Backend[[#This Row],[Data]]*_xlfn.XLOOKUP(_xlfn.CONCAT(Commuting_Backend[[#This Row],[Level 1]:[Level 6]]),rng_EFConcat,rng_EFConversion))</f>
        <v>#N/A</v>
      </c>
      <c r="AE47" s="174" t="e" cm="1">
        <f t="array" ref="AE47">_xlfn.XLOOKUP(_xlfn.CONCAT(Commuting_Backend[[#This Row],[Level 1]:[Level 6]]),rng_LevelsConcat,rng_UnitsLong)</f>
        <v>#N/A</v>
      </c>
      <c r="AF47" s="210" t="e">
        <f>_xlfn.XLOOKUP(_xlfn.CONCAT(Commuting_Backend[[#This Row],[Level 1]:[Level 6]]),rng_EFConcat,rng_EF1)*Commuting_Backend[[#This Row],[Converted data]]/1000</f>
        <v>#N/A</v>
      </c>
      <c r="AG47" s="210" t="e">
        <f>_xlfn.XLOOKUP(_xlfn.CONCAT(Commuting_Backend[[#This Row],[Level 1]:[Level 6]]),rng_EFConcat,rng_EF2)*Commuting_Backend[[#This Row],[Converted data]]/1000</f>
        <v>#N/A</v>
      </c>
      <c r="AH47" s="210" t="e">
        <f>_xlfn.XLOOKUP(_xlfn.CONCAT(Commuting_Backend[[#This Row],[Level 1]:[Level 6]]),rng_EFConcat,rng_EF3)*Commuting_Backend[[#This Row],[Converted data]]/1000</f>
        <v>#N/A</v>
      </c>
      <c r="AI47" s="210" t="e">
        <f>_xlfn.XLOOKUP(_xlfn.CONCAT(Commuting_Backend[[#This Row],[Level 1]:[Level 6]]),rng_EFConcat,rng_EF3WTT)*Commuting_Backend[[#This Row],[Converted data]]/1000</f>
        <v>#N/A</v>
      </c>
      <c r="AJ47" s="210" t="e">
        <f>_xlfn.XLOOKUP(_xlfn.CONCAT(Commuting_Backend[[#This Row],[Level 1]:[Level 6]]),rng_EFConcat,rng_EF3TD)*Commuting_Backend[[#This Row],[Converted data]]/1000</f>
        <v>#N/A</v>
      </c>
      <c r="AK47" s="210" t="e">
        <f>_xlfn.XLOOKUP(_xlfn.CONCAT(Commuting_Backend[[#This Row],[Level 1]:[Level 6]]),rng_EFConcat,rng_EF3WTTTD)*Commuting_Backend[[#This Row],[Converted data]]/1000</f>
        <v>#N/A</v>
      </c>
      <c r="AL47" s="220" t="e">
        <f>SUM(Commuting_Backend[[#This Row],[Scope 1 (tCO2e)]:[Scope 3 WTT T&amp;D (tCO2e)]])</f>
        <v>#N/A</v>
      </c>
      <c r="AM47" s="220" t="e">
        <f>Commuting_Backend[[#This Row],[Total (tCO2e)]]*(1-Commuting_Backend[[#This Row],[RSD]])</f>
        <v>#N/A</v>
      </c>
      <c r="AN47" s="220" t="e">
        <f>Commuting_Backend[[#This Row],[Total (tCO2e)]]*(1+Commuting_Backend[[#This Row],[RSD]])</f>
        <v>#N/A</v>
      </c>
      <c r="AO47" s="210" t="e">
        <f>_xlfn.XLOOKUP(_xlfn.CONCAT(Commuting_Backend[[#This Row],[Level 1]:[Level 6]]),rng_EFConcat,rng_EFOOS)*Commuting_Backend[[#This Row],[Converted data]]/1000</f>
        <v>#N/A</v>
      </c>
      <c r="AP47" s="174">
        <f>Commuting_Frontend[[#This Row],[Ease of collection]]</f>
        <v>0</v>
      </c>
      <c r="AQ47" s="213">
        <f>Commuting_Frontend[[#This Row],[Completeness]]</f>
        <v>0</v>
      </c>
      <c r="AR47" s="213">
        <f>Commuting_Frontend[[#This Row],[Notes]]</f>
        <v>0</v>
      </c>
      <c r="AU47"/>
      <c r="AV47"/>
      <c r="AW47"/>
      <c r="AX47"/>
      <c r="AY47"/>
      <c r="AZ47"/>
      <c r="BA47"/>
      <c r="BB47"/>
      <c r="BC47"/>
      <c r="BD47"/>
      <c r="BE47"/>
      <c r="BF47"/>
      <c r="BG47"/>
      <c r="BH47"/>
      <c r="BI47"/>
    </row>
    <row r="48" spans="2:61" ht="14.5" x14ac:dyDescent="0.35">
      <c r="B48" s="455"/>
      <c r="E48" s="346"/>
      <c r="F48" s="336"/>
      <c r="G48" s="336"/>
      <c r="H48" s="336"/>
      <c r="I48" s="336"/>
      <c r="J48" s="334"/>
      <c r="K48" s="336"/>
      <c r="L48" s="336"/>
      <c r="M48" s="336"/>
      <c r="N48" s="337"/>
      <c r="O48" s="242">
        <f t="shared" si="3"/>
        <v>7</v>
      </c>
      <c r="Q48" s="212" t="str">
        <f t="shared" si="2"/>
        <v/>
      </c>
      <c r="R48" s="174" t="s">
        <v>220</v>
      </c>
      <c r="S48" s="174" t="s">
        <v>192</v>
      </c>
      <c r="T48" s="174">
        <f>Commuting_Frontend[[#This Row],[Travel mode]]</f>
        <v>0</v>
      </c>
      <c r="U48" s="174">
        <f>Commuting_Frontend[[#This Row],[Category]]</f>
        <v>0</v>
      </c>
      <c r="V48" s="174">
        <f>Commuting_Frontend[[#This Row],[Type]]</f>
        <v>0</v>
      </c>
      <c r="W48" s="174">
        <f>Commuting_Frontend[[#This Row],[Details]]</f>
        <v>0</v>
      </c>
      <c r="X48" s="174" t="s">
        <v>339</v>
      </c>
      <c r="Y48" s="174" t="s">
        <v>339</v>
      </c>
      <c r="Z48" s="174">
        <f>Commuting_Frontend[[#This Row],[Methodology]]</f>
        <v>0</v>
      </c>
      <c r="AA48" s="229" t="e" cm="1">
        <f t="array" ref="AA48">INDEX(_xlfn.SWITCH(Commuting_Backend[[#This Row],[Methodology]],"Tier 1",rng_RSD1,"Tier 2",rng_RSD2,"Tier 3",rng_RSD3),MATCH(_xlfn.CONCAT(Commuting_Backend[[#This Row],[Level 1]:[Level 6]]),rng_LevelsConcat,0))</f>
        <v>#N/A</v>
      </c>
      <c r="AB48" s="220">
        <f>Commuting_Frontend[[#This Row],[Data]]</f>
        <v>0</v>
      </c>
      <c r="AC48" s="174">
        <f>Commuting_Frontend[[#This Row],[Units]]</f>
        <v>0</v>
      </c>
      <c r="AD48" s="220" t="e">
        <f>IF(Commuting_Backend[[#This Row],[Units]]=Commuting_Backend[[#This Row],[Standard units]],Commuting_Backend[[#This Row],[Data]],Commuting_Backend[[#This Row],[Data]]*_xlfn.XLOOKUP(_xlfn.CONCAT(Commuting_Backend[[#This Row],[Level 1]:[Level 6]]),rng_EFConcat,rng_EFConversion))</f>
        <v>#N/A</v>
      </c>
      <c r="AE48" s="174" t="e" cm="1">
        <f t="array" ref="AE48">_xlfn.XLOOKUP(_xlfn.CONCAT(Commuting_Backend[[#This Row],[Level 1]:[Level 6]]),rng_LevelsConcat,rng_UnitsLong)</f>
        <v>#N/A</v>
      </c>
      <c r="AF48" s="210" t="e">
        <f>_xlfn.XLOOKUP(_xlfn.CONCAT(Commuting_Backend[[#This Row],[Level 1]:[Level 6]]),rng_EFConcat,rng_EF1)*Commuting_Backend[[#This Row],[Converted data]]/1000</f>
        <v>#N/A</v>
      </c>
      <c r="AG48" s="210" t="e">
        <f>_xlfn.XLOOKUP(_xlfn.CONCAT(Commuting_Backend[[#This Row],[Level 1]:[Level 6]]),rng_EFConcat,rng_EF2)*Commuting_Backend[[#This Row],[Converted data]]/1000</f>
        <v>#N/A</v>
      </c>
      <c r="AH48" s="210" t="e">
        <f>_xlfn.XLOOKUP(_xlfn.CONCAT(Commuting_Backend[[#This Row],[Level 1]:[Level 6]]),rng_EFConcat,rng_EF3)*Commuting_Backend[[#This Row],[Converted data]]/1000</f>
        <v>#N/A</v>
      </c>
      <c r="AI48" s="210" t="e">
        <f>_xlfn.XLOOKUP(_xlfn.CONCAT(Commuting_Backend[[#This Row],[Level 1]:[Level 6]]),rng_EFConcat,rng_EF3WTT)*Commuting_Backend[[#This Row],[Converted data]]/1000</f>
        <v>#N/A</v>
      </c>
      <c r="AJ48" s="210" t="e">
        <f>_xlfn.XLOOKUP(_xlfn.CONCAT(Commuting_Backend[[#This Row],[Level 1]:[Level 6]]),rng_EFConcat,rng_EF3TD)*Commuting_Backend[[#This Row],[Converted data]]/1000</f>
        <v>#N/A</v>
      </c>
      <c r="AK48" s="210" t="e">
        <f>_xlfn.XLOOKUP(_xlfn.CONCAT(Commuting_Backend[[#This Row],[Level 1]:[Level 6]]),rng_EFConcat,rng_EF3WTTTD)*Commuting_Backend[[#This Row],[Converted data]]/1000</f>
        <v>#N/A</v>
      </c>
      <c r="AL48" s="220" t="e">
        <f>SUM(Commuting_Backend[[#This Row],[Scope 1 (tCO2e)]:[Scope 3 WTT T&amp;D (tCO2e)]])</f>
        <v>#N/A</v>
      </c>
      <c r="AM48" s="220" t="e">
        <f>Commuting_Backend[[#This Row],[Total (tCO2e)]]*(1-Commuting_Backend[[#This Row],[RSD]])</f>
        <v>#N/A</v>
      </c>
      <c r="AN48" s="220" t="e">
        <f>Commuting_Backend[[#This Row],[Total (tCO2e)]]*(1+Commuting_Backend[[#This Row],[RSD]])</f>
        <v>#N/A</v>
      </c>
      <c r="AO48" s="210" t="e">
        <f>_xlfn.XLOOKUP(_xlfn.CONCAT(Commuting_Backend[[#This Row],[Level 1]:[Level 6]]),rng_EFConcat,rng_EFOOS)*Commuting_Backend[[#This Row],[Converted data]]/1000</f>
        <v>#N/A</v>
      </c>
      <c r="AP48" s="174">
        <f>Commuting_Frontend[[#This Row],[Ease of collection]]</f>
        <v>0</v>
      </c>
      <c r="AQ48" s="213">
        <f>Commuting_Frontend[[#This Row],[Completeness]]</f>
        <v>0</v>
      </c>
      <c r="AR48" s="213">
        <f>Commuting_Frontend[[#This Row],[Notes]]</f>
        <v>0</v>
      </c>
      <c r="AU48"/>
      <c r="AV48"/>
      <c r="AW48"/>
      <c r="AX48"/>
      <c r="AY48"/>
      <c r="AZ48"/>
      <c r="BA48"/>
      <c r="BB48"/>
      <c r="BC48"/>
      <c r="BD48"/>
      <c r="BE48"/>
      <c r="BF48"/>
      <c r="BG48"/>
      <c r="BH48"/>
      <c r="BI48"/>
    </row>
    <row r="49" spans="2:61" ht="14.5" x14ac:dyDescent="0.35">
      <c r="B49" s="455"/>
      <c r="E49" s="346"/>
      <c r="F49" s="336"/>
      <c r="G49" s="336"/>
      <c r="H49" s="336"/>
      <c r="I49" s="336"/>
      <c r="J49" s="334"/>
      <c r="K49" s="336"/>
      <c r="L49" s="336"/>
      <c r="M49" s="336"/>
      <c r="N49" s="337"/>
      <c r="O49" s="242">
        <f t="shared" si="3"/>
        <v>7</v>
      </c>
      <c r="Q49" s="212" t="str">
        <f t="shared" si="2"/>
        <v/>
      </c>
      <c r="R49" s="174" t="s">
        <v>220</v>
      </c>
      <c r="S49" s="174" t="s">
        <v>192</v>
      </c>
      <c r="T49" s="174">
        <f>Commuting_Frontend[[#This Row],[Travel mode]]</f>
        <v>0</v>
      </c>
      <c r="U49" s="174">
        <f>Commuting_Frontend[[#This Row],[Category]]</f>
        <v>0</v>
      </c>
      <c r="V49" s="174">
        <f>Commuting_Frontend[[#This Row],[Type]]</f>
        <v>0</v>
      </c>
      <c r="W49" s="174">
        <f>Commuting_Frontend[[#This Row],[Details]]</f>
        <v>0</v>
      </c>
      <c r="X49" s="174" t="s">
        <v>339</v>
      </c>
      <c r="Y49" s="174" t="s">
        <v>339</v>
      </c>
      <c r="Z49" s="174">
        <f>Commuting_Frontend[[#This Row],[Methodology]]</f>
        <v>0</v>
      </c>
      <c r="AA49" s="229" t="e" cm="1">
        <f t="array" ref="AA49">INDEX(_xlfn.SWITCH(Commuting_Backend[[#This Row],[Methodology]],"Tier 1",rng_RSD1,"Tier 2",rng_RSD2,"Tier 3",rng_RSD3),MATCH(_xlfn.CONCAT(Commuting_Backend[[#This Row],[Level 1]:[Level 6]]),rng_LevelsConcat,0))</f>
        <v>#N/A</v>
      </c>
      <c r="AB49" s="220">
        <f>Commuting_Frontend[[#This Row],[Data]]</f>
        <v>0</v>
      </c>
      <c r="AC49" s="174">
        <f>Commuting_Frontend[[#This Row],[Units]]</f>
        <v>0</v>
      </c>
      <c r="AD49" s="220" t="e">
        <f>IF(Commuting_Backend[[#This Row],[Units]]=Commuting_Backend[[#This Row],[Standard units]],Commuting_Backend[[#This Row],[Data]],Commuting_Backend[[#This Row],[Data]]*_xlfn.XLOOKUP(_xlfn.CONCAT(Commuting_Backend[[#This Row],[Level 1]:[Level 6]]),rng_EFConcat,rng_EFConversion))</f>
        <v>#N/A</v>
      </c>
      <c r="AE49" s="174" t="e" cm="1">
        <f t="array" ref="AE49">_xlfn.XLOOKUP(_xlfn.CONCAT(Commuting_Backend[[#This Row],[Level 1]:[Level 6]]),rng_LevelsConcat,rng_UnitsLong)</f>
        <v>#N/A</v>
      </c>
      <c r="AF49" s="210" t="e">
        <f>_xlfn.XLOOKUP(_xlfn.CONCAT(Commuting_Backend[[#This Row],[Level 1]:[Level 6]]),rng_EFConcat,rng_EF1)*Commuting_Backend[[#This Row],[Converted data]]/1000</f>
        <v>#N/A</v>
      </c>
      <c r="AG49" s="210" t="e">
        <f>_xlfn.XLOOKUP(_xlfn.CONCAT(Commuting_Backend[[#This Row],[Level 1]:[Level 6]]),rng_EFConcat,rng_EF2)*Commuting_Backend[[#This Row],[Converted data]]/1000</f>
        <v>#N/A</v>
      </c>
      <c r="AH49" s="210" t="e">
        <f>_xlfn.XLOOKUP(_xlfn.CONCAT(Commuting_Backend[[#This Row],[Level 1]:[Level 6]]),rng_EFConcat,rng_EF3)*Commuting_Backend[[#This Row],[Converted data]]/1000</f>
        <v>#N/A</v>
      </c>
      <c r="AI49" s="210" t="e">
        <f>_xlfn.XLOOKUP(_xlfn.CONCAT(Commuting_Backend[[#This Row],[Level 1]:[Level 6]]),rng_EFConcat,rng_EF3WTT)*Commuting_Backend[[#This Row],[Converted data]]/1000</f>
        <v>#N/A</v>
      </c>
      <c r="AJ49" s="210" t="e">
        <f>_xlfn.XLOOKUP(_xlfn.CONCAT(Commuting_Backend[[#This Row],[Level 1]:[Level 6]]),rng_EFConcat,rng_EF3TD)*Commuting_Backend[[#This Row],[Converted data]]/1000</f>
        <v>#N/A</v>
      </c>
      <c r="AK49" s="210" t="e">
        <f>_xlfn.XLOOKUP(_xlfn.CONCAT(Commuting_Backend[[#This Row],[Level 1]:[Level 6]]),rng_EFConcat,rng_EF3WTTTD)*Commuting_Backend[[#This Row],[Converted data]]/1000</f>
        <v>#N/A</v>
      </c>
      <c r="AL49" s="220" t="e">
        <f>SUM(Commuting_Backend[[#This Row],[Scope 1 (tCO2e)]:[Scope 3 WTT T&amp;D (tCO2e)]])</f>
        <v>#N/A</v>
      </c>
      <c r="AM49" s="220" t="e">
        <f>Commuting_Backend[[#This Row],[Total (tCO2e)]]*(1-Commuting_Backend[[#This Row],[RSD]])</f>
        <v>#N/A</v>
      </c>
      <c r="AN49" s="220" t="e">
        <f>Commuting_Backend[[#This Row],[Total (tCO2e)]]*(1+Commuting_Backend[[#This Row],[RSD]])</f>
        <v>#N/A</v>
      </c>
      <c r="AO49" s="210" t="e">
        <f>_xlfn.XLOOKUP(_xlfn.CONCAT(Commuting_Backend[[#This Row],[Level 1]:[Level 6]]),rng_EFConcat,rng_EFOOS)*Commuting_Backend[[#This Row],[Converted data]]/1000</f>
        <v>#N/A</v>
      </c>
      <c r="AP49" s="174">
        <f>Commuting_Frontend[[#This Row],[Ease of collection]]</f>
        <v>0</v>
      </c>
      <c r="AQ49" s="213">
        <f>Commuting_Frontend[[#This Row],[Completeness]]</f>
        <v>0</v>
      </c>
      <c r="AR49" s="213">
        <f>Commuting_Frontend[[#This Row],[Notes]]</f>
        <v>0</v>
      </c>
      <c r="AU49"/>
      <c r="AV49"/>
      <c r="AW49"/>
      <c r="AX49"/>
      <c r="AY49"/>
      <c r="AZ49"/>
      <c r="BA49"/>
      <c r="BB49"/>
      <c r="BC49"/>
      <c r="BD49"/>
      <c r="BE49"/>
      <c r="BF49"/>
      <c r="BG49"/>
      <c r="BH49"/>
      <c r="BI49"/>
    </row>
    <row r="50" spans="2:61" ht="14.5" x14ac:dyDescent="0.35">
      <c r="B50" s="455"/>
      <c r="E50" s="346"/>
      <c r="F50" s="336"/>
      <c r="G50" s="336"/>
      <c r="H50" s="336"/>
      <c r="I50" s="336"/>
      <c r="J50" s="334"/>
      <c r="K50" s="336"/>
      <c r="L50" s="336"/>
      <c r="M50" s="336"/>
      <c r="N50" s="337"/>
      <c r="O50" s="242">
        <f t="shared" si="3"/>
        <v>7</v>
      </c>
      <c r="Q50" s="212" t="str">
        <f t="shared" si="2"/>
        <v/>
      </c>
      <c r="R50" s="174" t="s">
        <v>220</v>
      </c>
      <c r="S50" s="174" t="s">
        <v>192</v>
      </c>
      <c r="T50" s="174">
        <f>Commuting_Frontend[[#This Row],[Travel mode]]</f>
        <v>0</v>
      </c>
      <c r="U50" s="174">
        <f>Commuting_Frontend[[#This Row],[Category]]</f>
        <v>0</v>
      </c>
      <c r="V50" s="174">
        <f>Commuting_Frontend[[#This Row],[Type]]</f>
        <v>0</v>
      </c>
      <c r="W50" s="174">
        <f>Commuting_Frontend[[#This Row],[Details]]</f>
        <v>0</v>
      </c>
      <c r="X50" s="174" t="s">
        <v>339</v>
      </c>
      <c r="Y50" s="174" t="s">
        <v>339</v>
      </c>
      <c r="Z50" s="174">
        <f>Commuting_Frontend[[#This Row],[Methodology]]</f>
        <v>0</v>
      </c>
      <c r="AA50" s="229" t="e" cm="1">
        <f t="array" ref="AA50">INDEX(_xlfn.SWITCH(Commuting_Backend[[#This Row],[Methodology]],"Tier 1",rng_RSD1,"Tier 2",rng_RSD2,"Tier 3",rng_RSD3),MATCH(_xlfn.CONCAT(Commuting_Backend[[#This Row],[Level 1]:[Level 6]]),rng_LevelsConcat,0))</f>
        <v>#N/A</v>
      </c>
      <c r="AB50" s="220">
        <f>Commuting_Frontend[[#This Row],[Data]]</f>
        <v>0</v>
      </c>
      <c r="AC50" s="174">
        <f>Commuting_Frontend[[#This Row],[Units]]</f>
        <v>0</v>
      </c>
      <c r="AD50" s="220" t="e">
        <f>IF(Commuting_Backend[[#This Row],[Units]]=Commuting_Backend[[#This Row],[Standard units]],Commuting_Backend[[#This Row],[Data]],Commuting_Backend[[#This Row],[Data]]*_xlfn.XLOOKUP(_xlfn.CONCAT(Commuting_Backend[[#This Row],[Level 1]:[Level 6]]),rng_EFConcat,rng_EFConversion))</f>
        <v>#N/A</v>
      </c>
      <c r="AE50" s="174" t="e" cm="1">
        <f t="array" ref="AE50">_xlfn.XLOOKUP(_xlfn.CONCAT(Commuting_Backend[[#This Row],[Level 1]:[Level 6]]),rng_LevelsConcat,rng_UnitsLong)</f>
        <v>#N/A</v>
      </c>
      <c r="AF50" s="210" t="e">
        <f>_xlfn.XLOOKUP(_xlfn.CONCAT(Commuting_Backend[[#This Row],[Level 1]:[Level 6]]),rng_EFConcat,rng_EF1)*Commuting_Backend[[#This Row],[Converted data]]/1000</f>
        <v>#N/A</v>
      </c>
      <c r="AG50" s="210" t="e">
        <f>_xlfn.XLOOKUP(_xlfn.CONCAT(Commuting_Backend[[#This Row],[Level 1]:[Level 6]]),rng_EFConcat,rng_EF2)*Commuting_Backend[[#This Row],[Converted data]]/1000</f>
        <v>#N/A</v>
      </c>
      <c r="AH50" s="210" t="e">
        <f>_xlfn.XLOOKUP(_xlfn.CONCAT(Commuting_Backend[[#This Row],[Level 1]:[Level 6]]),rng_EFConcat,rng_EF3)*Commuting_Backend[[#This Row],[Converted data]]/1000</f>
        <v>#N/A</v>
      </c>
      <c r="AI50" s="210" t="e">
        <f>_xlfn.XLOOKUP(_xlfn.CONCAT(Commuting_Backend[[#This Row],[Level 1]:[Level 6]]),rng_EFConcat,rng_EF3WTT)*Commuting_Backend[[#This Row],[Converted data]]/1000</f>
        <v>#N/A</v>
      </c>
      <c r="AJ50" s="210" t="e">
        <f>_xlfn.XLOOKUP(_xlfn.CONCAT(Commuting_Backend[[#This Row],[Level 1]:[Level 6]]),rng_EFConcat,rng_EF3TD)*Commuting_Backend[[#This Row],[Converted data]]/1000</f>
        <v>#N/A</v>
      </c>
      <c r="AK50" s="210" t="e">
        <f>_xlfn.XLOOKUP(_xlfn.CONCAT(Commuting_Backend[[#This Row],[Level 1]:[Level 6]]),rng_EFConcat,rng_EF3WTTTD)*Commuting_Backend[[#This Row],[Converted data]]/1000</f>
        <v>#N/A</v>
      </c>
      <c r="AL50" s="220" t="e">
        <f>SUM(Commuting_Backend[[#This Row],[Scope 1 (tCO2e)]:[Scope 3 WTT T&amp;D (tCO2e)]])</f>
        <v>#N/A</v>
      </c>
      <c r="AM50" s="220" t="e">
        <f>Commuting_Backend[[#This Row],[Total (tCO2e)]]*(1-Commuting_Backend[[#This Row],[RSD]])</f>
        <v>#N/A</v>
      </c>
      <c r="AN50" s="220" t="e">
        <f>Commuting_Backend[[#This Row],[Total (tCO2e)]]*(1+Commuting_Backend[[#This Row],[RSD]])</f>
        <v>#N/A</v>
      </c>
      <c r="AO50" s="210" t="e">
        <f>_xlfn.XLOOKUP(_xlfn.CONCAT(Commuting_Backend[[#This Row],[Level 1]:[Level 6]]),rng_EFConcat,rng_EFOOS)*Commuting_Backend[[#This Row],[Converted data]]/1000</f>
        <v>#N/A</v>
      </c>
      <c r="AP50" s="174">
        <f>Commuting_Frontend[[#This Row],[Ease of collection]]</f>
        <v>0</v>
      </c>
      <c r="AQ50" s="213">
        <f>Commuting_Frontend[[#This Row],[Completeness]]</f>
        <v>0</v>
      </c>
      <c r="AR50" s="213">
        <f>Commuting_Frontend[[#This Row],[Notes]]</f>
        <v>0</v>
      </c>
      <c r="AU50"/>
      <c r="AV50"/>
      <c r="AW50"/>
      <c r="AX50"/>
      <c r="AY50"/>
      <c r="AZ50"/>
      <c r="BA50"/>
      <c r="BB50"/>
      <c r="BC50"/>
      <c r="BD50"/>
      <c r="BE50"/>
      <c r="BF50"/>
      <c r="BG50"/>
      <c r="BH50"/>
      <c r="BI50"/>
    </row>
    <row r="51" spans="2:61" ht="14.5" x14ac:dyDescent="0.35">
      <c r="B51" s="455"/>
      <c r="E51" s="346"/>
      <c r="F51" s="336"/>
      <c r="G51" s="336"/>
      <c r="H51" s="336"/>
      <c r="I51" s="336"/>
      <c r="J51" s="334"/>
      <c r="K51" s="336"/>
      <c r="L51" s="336"/>
      <c r="M51" s="336"/>
      <c r="N51" s="337"/>
      <c r="O51" s="242">
        <f t="shared" si="3"/>
        <v>7</v>
      </c>
      <c r="Q51" s="212" t="str">
        <f t="shared" si="2"/>
        <v/>
      </c>
      <c r="R51" s="174" t="s">
        <v>220</v>
      </c>
      <c r="S51" s="174" t="s">
        <v>192</v>
      </c>
      <c r="T51" s="174">
        <f>Commuting_Frontend[[#This Row],[Travel mode]]</f>
        <v>0</v>
      </c>
      <c r="U51" s="174">
        <f>Commuting_Frontend[[#This Row],[Category]]</f>
        <v>0</v>
      </c>
      <c r="V51" s="174">
        <f>Commuting_Frontend[[#This Row],[Type]]</f>
        <v>0</v>
      </c>
      <c r="W51" s="174">
        <f>Commuting_Frontend[[#This Row],[Details]]</f>
        <v>0</v>
      </c>
      <c r="X51" s="174" t="s">
        <v>339</v>
      </c>
      <c r="Y51" s="174" t="s">
        <v>339</v>
      </c>
      <c r="Z51" s="174">
        <f>Commuting_Frontend[[#This Row],[Methodology]]</f>
        <v>0</v>
      </c>
      <c r="AA51" s="229" t="e" cm="1">
        <f t="array" ref="AA51">INDEX(_xlfn.SWITCH(Commuting_Backend[[#This Row],[Methodology]],"Tier 1",rng_RSD1,"Tier 2",rng_RSD2,"Tier 3",rng_RSD3),MATCH(_xlfn.CONCAT(Commuting_Backend[[#This Row],[Level 1]:[Level 6]]),rng_LevelsConcat,0))</f>
        <v>#N/A</v>
      </c>
      <c r="AB51" s="220">
        <f>Commuting_Frontend[[#This Row],[Data]]</f>
        <v>0</v>
      </c>
      <c r="AC51" s="174">
        <f>Commuting_Frontend[[#This Row],[Units]]</f>
        <v>0</v>
      </c>
      <c r="AD51" s="220" t="e">
        <f>IF(Commuting_Backend[[#This Row],[Units]]=Commuting_Backend[[#This Row],[Standard units]],Commuting_Backend[[#This Row],[Data]],Commuting_Backend[[#This Row],[Data]]*_xlfn.XLOOKUP(_xlfn.CONCAT(Commuting_Backend[[#This Row],[Level 1]:[Level 6]]),rng_EFConcat,rng_EFConversion))</f>
        <v>#N/A</v>
      </c>
      <c r="AE51" s="174" t="e" cm="1">
        <f t="array" ref="AE51">_xlfn.XLOOKUP(_xlfn.CONCAT(Commuting_Backend[[#This Row],[Level 1]:[Level 6]]),rng_LevelsConcat,rng_UnitsLong)</f>
        <v>#N/A</v>
      </c>
      <c r="AF51" s="210" t="e">
        <f>_xlfn.XLOOKUP(_xlfn.CONCAT(Commuting_Backend[[#This Row],[Level 1]:[Level 6]]),rng_EFConcat,rng_EF1)*Commuting_Backend[[#This Row],[Converted data]]/1000</f>
        <v>#N/A</v>
      </c>
      <c r="AG51" s="210" t="e">
        <f>_xlfn.XLOOKUP(_xlfn.CONCAT(Commuting_Backend[[#This Row],[Level 1]:[Level 6]]),rng_EFConcat,rng_EF2)*Commuting_Backend[[#This Row],[Converted data]]/1000</f>
        <v>#N/A</v>
      </c>
      <c r="AH51" s="210" t="e">
        <f>_xlfn.XLOOKUP(_xlfn.CONCAT(Commuting_Backend[[#This Row],[Level 1]:[Level 6]]),rng_EFConcat,rng_EF3)*Commuting_Backend[[#This Row],[Converted data]]/1000</f>
        <v>#N/A</v>
      </c>
      <c r="AI51" s="210" t="e">
        <f>_xlfn.XLOOKUP(_xlfn.CONCAT(Commuting_Backend[[#This Row],[Level 1]:[Level 6]]),rng_EFConcat,rng_EF3WTT)*Commuting_Backend[[#This Row],[Converted data]]/1000</f>
        <v>#N/A</v>
      </c>
      <c r="AJ51" s="210" t="e">
        <f>_xlfn.XLOOKUP(_xlfn.CONCAT(Commuting_Backend[[#This Row],[Level 1]:[Level 6]]),rng_EFConcat,rng_EF3TD)*Commuting_Backend[[#This Row],[Converted data]]/1000</f>
        <v>#N/A</v>
      </c>
      <c r="AK51" s="210" t="e">
        <f>_xlfn.XLOOKUP(_xlfn.CONCAT(Commuting_Backend[[#This Row],[Level 1]:[Level 6]]),rng_EFConcat,rng_EF3WTTTD)*Commuting_Backend[[#This Row],[Converted data]]/1000</f>
        <v>#N/A</v>
      </c>
      <c r="AL51" s="220" t="e">
        <f>SUM(Commuting_Backend[[#This Row],[Scope 1 (tCO2e)]:[Scope 3 WTT T&amp;D (tCO2e)]])</f>
        <v>#N/A</v>
      </c>
      <c r="AM51" s="220" t="e">
        <f>Commuting_Backend[[#This Row],[Total (tCO2e)]]*(1-Commuting_Backend[[#This Row],[RSD]])</f>
        <v>#N/A</v>
      </c>
      <c r="AN51" s="220" t="e">
        <f>Commuting_Backend[[#This Row],[Total (tCO2e)]]*(1+Commuting_Backend[[#This Row],[RSD]])</f>
        <v>#N/A</v>
      </c>
      <c r="AO51" s="210" t="e">
        <f>_xlfn.XLOOKUP(_xlfn.CONCAT(Commuting_Backend[[#This Row],[Level 1]:[Level 6]]),rng_EFConcat,rng_EFOOS)*Commuting_Backend[[#This Row],[Converted data]]/1000</f>
        <v>#N/A</v>
      </c>
      <c r="AP51" s="174">
        <f>Commuting_Frontend[[#This Row],[Ease of collection]]</f>
        <v>0</v>
      </c>
      <c r="AQ51" s="213">
        <f>Commuting_Frontend[[#This Row],[Completeness]]</f>
        <v>0</v>
      </c>
      <c r="AR51" s="213">
        <f>Commuting_Frontend[[#This Row],[Notes]]</f>
        <v>0</v>
      </c>
      <c r="AU51"/>
      <c r="AV51"/>
      <c r="AW51"/>
      <c r="AX51"/>
      <c r="AY51"/>
      <c r="AZ51"/>
      <c r="BA51"/>
      <c r="BB51"/>
      <c r="BC51"/>
      <c r="BD51"/>
      <c r="BE51"/>
      <c r="BF51"/>
      <c r="BG51"/>
      <c r="BH51"/>
      <c r="BI51"/>
    </row>
    <row r="52" spans="2:61" ht="14.5" x14ac:dyDescent="0.35">
      <c r="B52" s="455"/>
      <c r="E52" s="346"/>
      <c r="F52" s="336"/>
      <c r="G52" s="336"/>
      <c r="H52" s="336"/>
      <c r="I52" s="336"/>
      <c r="J52" s="334"/>
      <c r="K52" s="336"/>
      <c r="L52" s="336"/>
      <c r="M52" s="336"/>
      <c r="N52" s="337"/>
      <c r="O52" s="242">
        <f t="shared" si="3"/>
        <v>7</v>
      </c>
      <c r="Q52" s="212" t="str">
        <f t="shared" si="2"/>
        <v/>
      </c>
      <c r="R52" s="174" t="s">
        <v>220</v>
      </c>
      <c r="S52" s="174" t="s">
        <v>192</v>
      </c>
      <c r="T52" s="174">
        <f>Commuting_Frontend[[#This Row],[Travel mode]]</f>
        <v>0</v>
      </c>
      <c r="U52" s="174">
        <f>Commuting_Frontend[[#This Row],[Category]]</f>
        <v>0</v>
      </c>
      <c r="V52" s="174">
        <f>Commuting_Frontend[[#This Row],[Type]]</f>
        <v>0</v>
      </c>
      <c r="W52" s="174">
        <f>Commuting_Frontend[[#This Row],[Details]]</f>
        <v>0</v>
      </c>
      <c r="X52" s="174" t="s">
        <v>339</v>
      </c>
      <c r="Y52" s="174" t="s">
        <v>339</v>
      </c>
      <c r="Z52" s="174">
        <f>Commuting_Frontend[[#This Row],[Methodology]]</f>
        <v>0</v>
      </c>
      <c r="AA52" s="229" t="e" cm="1">
        <f t="array" ref="AA52">INDEX(_xlfn.SWITCH(Commuting_Backend[[#This Row],[Methodology]],"Tier 1",rng_RSD1,"Tier 2",rng_RSD2,"Tier 3",rng_RSD3),MATCH(_xlfn.CONCAT(Commuting_Backend[[#This Row],[Level 1]:[Level 6]]),rng_LevelsConcat,0))</f>
        <v>#N/A</v>
      </c>
      <c r="AB52" s="220">
        <f>Commuting_Frontend[[#This Row],[Data]]</f>
        <v>0</v>
      </c>
      <c r="AC52" s="174">
        <f>Commuting_Frontend[[#This Row],[Units]]</f>
        <v>0</v>
      </c>
      <c r="AD52" s="220" t="e">
        <f>IF(Commuting_Backend[[#This Row],[Units]]=Commuting_Backend[[#This Row],[Standard units]],Commuting_Backend[[#This Row],[Data]],Commuting_Backend[[#This Row],[Data]]*_xlfn.XLOOKUP(_xlfn.CONCAT(Commuting_Backend[[#This Row],[Level 1]:[Level 6]]),rng_EFConcat,rng_EFConversion))</f>
        <v>#N/A</v>
      </c>
      <c r="AE52" s="174" t="e" cm="1">
        <f t="array" ref="AE52">_xlfn.XLOOKUP(_xlfn.CONCAT(Commuting_Backend[[#This Row],[Level 1]:[Level 6]]),rng_LevelsConcat,rng_UnitsLong)</f>
        <v>#N/A</v>
      </c>
      <c r="AF52" s="210" t="e">
        <f>_xlfn.XLOOKUP(_xlfn.CONCAT(Commuting_Backend[[#This Row],[Level 1]:[Level 6]]),rng_EFConcat,rng_EF1)*Commuting_Backend[[#This Row],[Converted data]]/1000</f>
        <v>#N/A</v>
      </c>
      <c r="AG52" s="210" t="e">
        <f>_xlfn.XLOOKUP(_xlfn.CONCAT(Commuting_Backend[[#This Row],[Level 1]:[Level 6]]),rng_EFConcat,rng_EF2)*Commuting_Backend[[#This Row],[Converted data]]/1000</f>
        <v>#N/A</v>
      </c>
      <c r="AH52" s="210" t="e">
        <f>_xlfn.XLOOKUP(_xlfn.CONCAT(Commuting_Backend[[#This Row],[Level 1]:[Level 6]]),rng_EFConcat,rng_EF3)*Commuting_Backend[[#This Row],[Converted data]]/1000</f>
        <v>#N/A</v>
      </c>
      <c r="AI52" s="210" t="e">
        <f>_xlfn.XLOOKUP(_xlfn.CONCAT(Commuting_Backend[[#This Row],[Level 1]:[Level 6]]),rng_EFConcat,rng_EF3WTT)*Commuting_Backend[[#This Row],[Converted data]]/1000</f>
        <v>#N/A</v>
      </c>
      <c r="AJ52" s="210" t="e">
        <f>_xlfn.XLOOKUP(_xlfn.CONCAT(Commuting_Backend[[#This Row],[Level 1]:[Level 6]]),rng_EFConcat,rng_EF3TD)*Commuting_Backend[[#This Row],[Converted data]]/1000</f>
        <v>#N/A</v>
      </c>
      <c r="AK52" s="210" t="e">
        <f>_xlfn.XLOOKUP(_xlfn.CONCAT(Commuting_Backend[[#This Row],[Level 1]:[Level 6]]),rng_EFConcat,rng_EF3WTTTD)*Commuting_Backend[[#This Row],[Converted data]]/1000</f>
        <v>#N/A</v>
      </c>
      <c r="AL52" s="220" t="e">
        <f>SUM(Commuting_Backend[[#This Row],[Scope 1 (tCO2e)]:[Scope 3 WTT T&amp;D (tCO2e)]])</f>
        <v>#N/A</v>
      </c>
      <c r="AM52" s="220" t="e">
        <f>Commuting_Backend[[#This Row],[Total (tCO2e)]]*(1-Commuting_Backend[[#This Row],[RSD]])</f>
        <v>#N/A</v>
      </c>
      <c r="AN52" s="220" t="e">
        <f>Commuting_Backend[[#This Row],[Total (tCO2e)]]*(1+Commuting_Backend[[#This Row],[RSD]])</f>
        <v>#N/A</v>
      </c>
      <c r="AO52" s="210" t="e">
        <f>_xlfn.XLOOKUP(_xlfn.CONCAT(Commuting_Backend[[#This Row],[Level 1]:[Level 6]]),rng_EFConcat,rng_EFOOS)*Commuting_Backend[[#This Row],[Converted data]]/1000</f>
        <v>#N/A</v>
      </c>
      <c r="AP52" s="174">
        <f>Commuting_Frontend[[#This Row],[Ease of collection]]</f>
        <v>0</v>
      </c>
      <c r="AQ52" s="213">
        <f>Commuting_Frontend[[#This Row],[Completeness]]</f>
        <v>0</v>
      </c>
      <c r="AR52" s="213">
        <f>Commuting_Frontend[[#This Row],[Notes]]</f>
        <v>0</v>
      </c>
      <c r="AU52"/>
      <c r="AV52"/>
      <c r="AW52"/>
      <c r="AX52"/>
      <c r="AY52"/>
      <c r="AZ52"/>
      <c r="BA52"/>
      <c r="BB52"/>
      <c r="BC52"/>
      <c r="BD52"/>
      <c r="BE52"/>
      <c r="BF52"/>
      <c r="BG52"/>
      <c r="BH52"/>
      <c r="BI52"/>
    </row>
    <row r="53" spans="2:61" ht="14.5" x14ac:dyDescent="0.35">
      <c r="B53" s="455"/>
      <c r="E53" s="346"/>
      <c r="F53" s="336"/>
      <c r="G53" s="336"/>
      <c r="H53" s="336"/>
      <c r="I53" s="336"/>
      <c r="J53" s="334"/>
      <c r="K53" s="336"/>
      <c r="L53" s="336"/>
      <c r="M53" s="336"/>
      <c r="N53" s="337"/>
      <c r="O53" s="242">
        <f t="shared" si="3"/>
        <v>7</v>
      </c>
      <c r="Q53" s="212" t="str">
        <f t="shared" si="2"/>
        <v/>
      </c>
      <c r="R53" s="174" t="s">
        <v>220</v>
      </c>
      <c r="S53" s="174" t="s">
        <v>192</v>
      </c>
      <c r="T53" s="174">
        <f>Commuting_Frontend[[#This Row],[Travel mode]]</f>
        <v>0</v>
      </c>
      <c r="U53" s="174">
        <f>Commuting_Frontend[[#This Row],[Category]]</f>
        <v>0</v>
      </c>
      <c r="V53" s="174">
        <f>Commuting_Frontend[[#This Row],[Type]]</f>
        <v>0</v>
      </c>
      <c r="W53" s="174">
        <f>Commuting_Frontend[[#This Row],[Details]]</f>
        <v>0</v>
      </c>
      <c r="X53" s="174" t="s">
        <v>339</v>
      </c>
      <c r="Y53" s="174" t="s">
        <v>339</v>
      </c>
      <c r="Z53" s="174">
        <f>Commuting_Frontend[[#This Row],[Methodology]]</f>
        <v>0</v>
      </c>
      <c r="AA53" s="229" t="e" cm="1">
        <f t="array" ref="AA53">INDEX(_xlfn.SWITCH(Commuting_Backend[[#This Row],[Methodology]],"Tier 1",rng_RSD1,"Tier 2",rng_RSD2,"Tier 3",rng_RSD3),MATCH(_xlfn.CONCAT(Commuting_Backend[[#This Row],[Level 1]:[Level 6]]),rng_LevelsConcat,0))</f>
        <v>#N/A</v>
      </c>
      <c r="AB53" s="220">
        <f>Commuting_Frontend[[#This Row],[Data]]</f>
        <v>0</v>
      </c>
      <c r="AC53" s="174">
        <f>Commuting_Frontend[[#This Row],[Units]]</f>
        <v>0</v>
      </c>
      <c r="AD53" s="220" t="e">
        <f>IF(Commuting_Backend[[#This Row],[Units]]=Commuting_Backend[[#This Row],[Standard units]],Commuting_Backend[[#This Row],[Data]],Commuting_Backend[[#This Row],[Data]]*_xlfn.XLOOKUP(_xlfn.CONCAT(Commuting_Backend[[#This Row],[Level 1]:[Level 6]]),rng_EFConcat,rng_EFConversion))</f>
        <v>#N/A</v>
      </c>
      <c r="AE53" s="174" t="e" cm="1">
        <f t="array" ref="AE53">_xlfn.XLOOKUP(_xlfn.CONCAT(Commuting_Backend[[#This Row],[Level 1]:[Level 6]]),rng_LevelsConcat,rng_UnitsLong)</f>
        <v>#N/A</v>
      </c>
      <c r="AF53" s="210" t="e">
        <f>_xlfn.XLOOKUP(_xlfn.CONCAT(Commuting_Backend[[#This Row],[Level 1]:[Level 6]]),rng_EFConcat,rng_EF1)*Commuting_Backend[[#This Row],[Converted data]]/1000</f>
        <v>#N/A</v>
      </c>
      <c r="AG53" s="210" t="e">
        <f>_xlfn.XLOOKUP(_xlfn.CONCAT(Commuting_Backend[[#This Row],[Level 1]:[Level 6]]),rng_EFConcat,rng_EF2)*Commuting_Backend[[#This Row],[Converted data]]/1000</f>
        <v>#N/A</v>
      </c>
      <c r="AH53" s="210" t="e">
        <f>_xlfn.XLOOKUP(_xlfn.CONCAT(Commuting_Backend[[#This Row],[Level 1]:[Level 6]]),rng_EFConcat,rng_EF3)*Commuting_Backend[[#This Row],[Converted data]]/1000</f>
        <v>#N/A</v>
      </c>
      <c r="AI53" s="210" t="e">
        <f>_xlfn.XLOOKUP(_xlfn.CONCAT(Commuting_Backend[[#This Row],[Level 1]:[Level 6]]),rng_EFConcat,rng_EF3WTT)*Commuting_Backend[[#This Row],[Converted data]]/1000</f>
        <v>#N/A</v>
      </c>
      <c r="AJ53" s="210" t="e">
        <f>_xlfn.XLOOKUP(_xlfn.CONCAT(Commuting_Backend[[#This Row],[Level 1]:[Level 6]]),rng_EFConcat,rng_EF3TD)*Commuting_Backend[[#This Row],[Converted data]]/1000</f>
        <v>#N/A</v>
      </c>
      <c r="AK53" s="210" t="e">
        <f>_xlfn.XLOOKUP(_xlfn.CONCAT(Commuting_Backend[[#This Row],[Level 1]:[Level 6]]),rng_EFConcat,rng_EF3WTTTD)*Commuting_Backend[[#This Row],[Converted data]]/1000</f>
        <v>#N/A</v>
      </c>
      <c r="AL53" s="220" t="e">
        <f>SUM(Commuting_Backend[[#This Row],[Scope 1 (tCO2e)]:[Scope 3 WTT T&amp;D (tCO2e)]])</f>
        <v>#N/A</v>
      </c>
      <c r="AM53" s="220" t="e">
        <f>Commuting_Backend[[#This Row],[Total (tCO2e)]]*(1-Commuting_Backend[[#This Row],[RSD]])</f>
        <v>#N/A</v>
      </c>
      <c r="AN53" s="220" t="e">
        <f>Commuting_Backend[[#This Row],[Total (tCO2e)]]*(1+Commuting_Backend[[#This Row],[RSD]])</f>
        <v>#N/A</v>
      </c>
      <c r="AO53" s="210" t="e">
        <f>_xlfn.XLOOKUP(_xlfn.CONCAT(Commuting_Backend[[#This Row],[Level 1]:[Level 6]]),rng_EFConcat,rng_EFOOS)*Commuting_Backend[[#This Row],[Converted data]]/1000</f>
        <v>#N/A</v>
      </c>
      <c r="AP53" s="174">
        <f>Commuting_Frontend[[#This Row],[Ease of collection]]</f>
        <v>0</v>
      </c>
      <c r="AQ53" s="213">
        <f>Commuting_Frontend[[#This Row],[Completeness]]</f>
        <v>0</v>
      </c>
      <c r="AR53" s="213">
        <f>Commuting_Frontend[[#This Row],[Notes]]</f>
        <v>0</v>
      </c>
      <c r="AU53"/>
      <c r="AV53"/>
      <c r="AW53"/>
      <c r="AX53"/>
      <c r="AY53"/>
      <c r="AZ53"/>
      <c r="BA53"/>
      <c r="BB53"/>
      <c r="BC53"/>
      <c r="BD53"/>
      <c r="BE53"/>
      <c r="BF53"/>
      <c r="BG53"/>
      <c r="BH53"/>
      <c r="BI53"/>
    </row>
    <row r="54" spans="2:61" ht="14.5" x14ac:dyDescent="0.35">
      <c r="B54" s="455"/>
      <c r="E54" s="346"/>
      <c r="F54" s="336"/>
      <c r="G54" s="336"/>
      <c r="H54" s="336"/>
      <c r="I54" s="336"/>
      <c r="J54" s="334"/>
      <c r="K54" s="336"/>
      <c r="L54" s="336"/>
      <c r="M54" s="336"/>
      <c r="N54" s="337"/>
      <c r="O54" s="242">
        <f t="shared" si="3"/>
        <v>7</v>
      </c>
      <c r="Q54" s="212" t="str">
        <f t="shared" si="2"/>
        <v/>
      </c>
      <c r="R54" s="174" t="s">
        <v>220</v>
      </c>
      <c r="S54" s="174" t="s">
        <v>192</v>
      </c>
      <c r="T54" s="174">
        <f>Commuting_Frontend[[#This Row],[Travel mode]]</f>
        <v>0</v>
      </c>
      <c r="U54" s="174">
        <f>Commuting_Frontend[[#This Row],[Category]]</f>
        <v>0</v>
      </c>
      <c r="V54" s="174">
        <f>Commuting_Frontend[[#This Row],[Type]]</f>
        <v>0</v>
      </c>
      <c r="W54" s="174">
        <f>Commuting_Frontend[[#This Row],[Details]]</f>
        <v>0</v>
      </c>
      <c r="X54" s="174" t="s">
        <v>339</v>
      </c>
      <c r="Y54" s="174" t="s">
        <v>339</v>
      </c>
      <c r="Z54" s="174">
        <f>Commuting_Frontend[[#This Row],[Methodology]]</f>
        <v>0</v>
      </c>
      <c r="AA54" s="229" t="e" cm="1">
        <f t="array" ref="AA54">INDEX(_xlfn.SWITCH(Commuting_Backend[[#This Row],[Methodology]],"Tier 1",rng_RSD1,"Tier 2",rng_RSD2,"Tier 3",rng_RSD3),MATCH(_xlfn.CONCAT(Commuting_Backend[[#This Row],[Level 1]:[Level 6]]),rng_LevelsConcat,0))</f>
        <v>#N/A</v>
      </c>
      <c r="AB54" s="220">
        <f>Commuting_Frontend[[#This Row],[Data]]</f>
        <v>0</v>
      </c>
      <c r="AC54" s="174">
        <f>Commuting_Frontend[[#This Row],[Units]]</f>
        <v>0</v>
      </c>
      <c r="AD54" s="220" t="e">
        <f>IF(Commuting_Backend[[#This Row],[Units]]=Commuting_Backend[[#This Row],[Standard units]],Commuting_Backend[[#This Row],[Data]],Commuting_Backend[[#This Row],[Data]]*_xlfn.XLOOKUP(_xlfn.CONCAT(Commuting_Backend[[#This Row],[Level 1]:[Level 6]]),rng_EFConcat,rng_EFConversion))</f>
        <v>#N/A</v>
      </c>
      <c r="AE54" s="174" t="e" cm="1">
        <f t="array" ref="AE54">_xlfn.XLOOKUP(_xlfn.CONCAT(Commuting_Backend[[#This Row],[Level 1]:[Level 6]]),rng_LevelsConcat,rng_UnitsLong)</f>
        <v>#N/A</v>
      </c>
      <c r="AF54" s="210" t="e">
        <f>_xlfn.XLOOKUP(_xlfn.CONCAT(Commuting_Backend[[#This Row],[Level 1]:[Level 6]]),rng_EFConcat,rng_EF1)*Commuting_Backend[[#This Row],[Converted data]]/1000</f>
        <v>#N/A</v>
      </c>
      <c r="AG54" s="210" t="e">
        <f>_xlfn.XLOOKUP(_xlfn.CONCAT(Commuting_Backend[[#This Row],[Level 1]:[Level 6]]),rng_EFConcat,rng_EF2)*Commuting_Backend[[#This Row],[Converted data]]/1000</f>
        <v>#N/A</v>
      </c>
      <c r="AH54" s="210" t="e">
        <f>_xlfn.XLOOKUP(_xlfn.CONCAT(Commuting_Backend[[#This Row],[Level 1]:[Level 6]]),rng_EFConcat,rng_EF3)*Commuting_Backend[[#This Row],[Converted data]]/1000</f>
        <v>#N/A</v>
      </c>
      <c r="AI54" s="210" t="e">
        <f>_xlfn.XLOOKUP(_xlfn.CONCAT(Commuting_Backend[[#This Row],[Level 1]:[Level 6]]),rng_EFConcat,rng_EF3WTT)*Commuting_Backend[[#This Row],[Converted data]]/1000</f>
        <v>#N/A</v>
      </c>
      <c r="AJ54" s="210" t="e">
        <f>_xlfn.XLOOKUP(_xlfn.CONCAT(Commuting_Backend[[#This Row],[Level 1]:[Level 6]]),rng_EFConcat,rng_EF3TD)*Commuting_Backend[[#This Row],[Converted data]]/1000</f>
        <v>#N/A</v>
      </c>
      <c r="AK54" s="210" t="e">
        <f>_xlfn.XLOOKUP(_xlfn.CONCAT(Commuting_Backend[[#This Row],[Level 1]:[Level 6]]),rng_EFConcat,rng_EF3WTTTD)*Commuting_Backend[[#This Row],[Converted data]]/1000</f>
        <v>#N/A</v>
      </c>
      <c r="AL54" s="220" t="e">
        <f>SUM(Commuting_Backend[[#This Row],[Scope 1 (tCO2e)]:[Scope 3 WTT T&amp;D (tCO2e)]])</f>
        <v>#N/A</v>
      </c>
      <c r="AM54" s="220" t="e">
        <f>Commuting_Backend[[#This Row],[Total (tCO2e)]]*(1-Commuting_Backend[[#This Row],[RSD]])</f>
        <v>#N/A</v>
      </c>
      <c r="AN54" s="220" t="e">
        <f>Commuting_Backend[[#This Row],[Total (tCO2e)]]*(1+Commuting_Backend[[#This Row],[RSD]])</f>
        <v>#N/A</v>
      </c>
      <c r="AO54" s="210" t="e">
        <f>_xlfn.XLOOKUP(_xlfn.CONCAT(Commuting_Backend[[#This Row],[Level 1]:[Level 6]]),rng_EFConcat,rng_EFOOS)*Commuting_Backend[[#This Row],[Converted data]]/1000</f>
        <v>#N/A</v>
      </c>
      <c r="AP54" s="174">
        <f>Commuting_Frontend[[#This Row],[Ease of collection]]</f>
        <v>0</v>
      </c>
      <c r="AQ54" s="213">
        <f>Commuting_Frontend[[#This Row],[Completeness]]</f>
        <v>0</v>
      </c>
      <c r="AR54" s="213">
        <f>Commuting_Frontend[[#This Row],[Notes]]</f>
        <v>0</v>
      </c>
      <c r="AU54"/>
      <c r="AV54"/>
      <c r="AW54"/>
      <c r="AX54"/>
      <c r="AY54"/>
      <c r="AZ54"/>
      <c r="BA54"/>
      <c r="BB54"/>
      <c r="BC54"/>
      <c r="BD54"/>
      <c r="BE54"/>
      <c r="BF54"/>
      <c r="BG54"/>
      <c r="BH54"/>
      <c r="BI54"/>
    </row>
    <row r="55" spans="2:61" ht="14.5" x14ac:dyDescent="0.35">
      <c r="B55" s="455"/>
      <c r="E55" s="346"/>
      <c r="F55" s="336"/>
      <c r="G55" s="336"/>
      <c r="H55" s="336"/>
      <c r="I55" s="336"/>
      <c r="J55" s="334"/>
      <c r="K55" s="336"/>
      <c r="L55" s="336"/>
      <c r="M55" s="336"/>
      <c r="N55" s="337"/>
      <c r="O55" s="242">
        <f t="shared" si="3"/>
        <v>7</v>
      </c>
      <c r="Q55" s="212" t="str">
        <f t="shared" si="2"/>
        <v/>
      </c>
      <c r="R55" s="174" t="s">
        <v>220</v>
      </c>
      <c r="S55" s="174" t="s">
        <v>192</v>
      </c>
      <c r="T55" s="174">
        <f>Commuting_Frontend[[#This Row],[Travel mode]]</f>
        <v>0</v>
      </c>
      <c r="U55" s="174">
        <f>Commuting_Frontend[[#This Row],[Category]]</f>
        <v>0</v>
      </c>
      <c r="V55" s="174">
        <f>Commuting_Frontend[[#This Row],[Type]]</f>
        <v>0</v>
      </c>
      <c r="W55" s="174">
        <f>Commuting_Frontend[[#This Row],[Details]]</f>
        <v>0</v>
      </c>
      <c r="X55" s="174" t="s">
        <v>339</v>
      </c>
      <c r="Y55" s="174" t="s">
        <v>339</v>
      </c>
      <c r="Z55" s="174">
        <f>Commuting_Frontend[[#This Row],[Methodology]]</f>
        <v>0</v>
      </c>
      <c r="AA55" s="229" t="e" cm="1">
        <f t="array" ref="AA55">INDEX(_xlfn.SWITCH(Commuting_Backend[[#This Row],[Methodology]],"Tier 1",rng_RSD1,"Tier 2",rng_RSD2,"Tier 3",rng_RSD3),MATCH(_xlfn.CONCAT(Commuting_Backend[[#This Row],[Level 1]:[Level 6]]),rng_LevelsConcat,0))</f>
        <v>#N/A</v>
      </c>
      <c r="AB55" s="220">
        <f>Commuting_Frontend[[#This Row],[Data]]</f>
        <v>0</v>
      </c>
      <c r="AC55" s="174">
        <f>Commuting_Frontend[[#This Row],[Units]]</f>
        <v>0</v>
      </c>
      <c r="AD55" s="220" t="e">
        <f>IF(Commuting_Backend[[#This Row],[Units]]=Commuting_Backend[[#This Row],[Standard units]],Commuting_Backend[[#This Row],[Data]],Commuting_Backend[[#This Row],[Data]]*_xlfn.XLOOKUP(_xlfn.CONCAT(Commuting_Backend[[#This Row],[Level 1]:[Level 6]]),rng_EFConcat,rng_EFConversion))</f>
        <v>#N/A</v>
      </c>
      <c r="AE55" s="174" t="e" cm="1">
        <f t="array" ref="AE55">_xlfn.XLOOKUP(_xlfn.CONCAT(Commuting_Backend[[#This Row],[Level 1]:[Level 6]]),rng_LevelsConcat,rng_UnitsLong)</f>
        <v>#N/A</v>
      </c>
      <c r="AF55" s="210" t="e">
        <f>_xlfn.XLOOKUP(_xlfn.CONCAT(Commuting_Backend[[#This Row],[Level 1]:[Level 6]]),rng_EFConcat,rng_EF1)*Commuting_Backend[[#This Row],[Converted data]]/1000</f>
        <v>#N/A</v>
      </c>
      <c r="AG55" s="210" t="e">
        <f>_xlfn.XLOOKUP(_xlfn.CONCAT(Commuting_Backend[[#This Row],[Level 1]:[Level 6]]),rng_EFConcat,rng_EF2)*Commuting_Backend[[#This Row],[Converted data]]/1000</f>
        <v>#N/A</v>
      </c>
      <c r="AH55" s="210" t="e">
        <f>_xlfn.XLOOKUP(_xlfn.CONCAT(Commuting_Backend[[#This Row],[Level 1]:[Level 6]]),rng_EFConcat,rng_EF3)*Commuting_Backend[[#This Row],[Converted data]]/1000</f>
        <v>#N/A</v>
      </c>
      <c r="AI55" s="210" t="e">
        <f>_xlfn.XLOOKUP(_xlfn.CONCAT(Commuting_Backend[[#This Row],[Level 1]:[Level 6]]),rng_EFConcat,rng_EF3WTT)*Commuting_Backend[[#This Row],[Converted data]]/1000</f>
        <v>#N/A</v>
      </c>
      <c r="AJ55" s="210" t="e">
        <f>_xlfn.XLOOKUP(_xlfn.CONCAT(Commuting_Backend[[#This Row],[Level 1]:[Level 6]]),rng_EFConcat,rng_EF3TD)*Commuting_Backend[[#This Row],[Converted data]]/1000</f>
        <v>#N/A</v>
      </c>
      <c r="AK55" s="210" t="e">
        <f>_xlfn.XLOOKUP(_xlfn.CONCAT(Commuting_Backend[[#This Row],[Level 1]:[Level 6]]),rng_EFConcat,rng_EF3WTTTD)*Commuting_Backend[[#This Row],[Converted data]]/1000</f>
        <v>#N/A</v>
      </c>
      <c r="AL55" s="220" t="e">
        <f>SUM(Commuting_Backend[[#This Row],[Scope 1 (tCO2e)]:[Scope 3 WTT T&amp;D (tCO2e)]])</f>
        <v>#N/A</v>
      </c>
      <c r="AM55" s="220" t="e">
        <f>Commuting_Backend[[#This Row],[Total (tCO2e)]]*(1-Commuting_Backend[[#This Row],[RSD]])</f>
        <v>#N/A</v>
      </c>
      <c r="AN55" s="220" t="e">
        <f>Commuting_Backend[[#This Row],[Total (tCO2e)]]*(1+Commuting_Backend[[#This Row],[RSD]])</f>
        <v>#N/A</v>
      </c>
      <c r="AO55" s="210" t="e">
        <f>_xlfn.XLOOKUP(_xlfn.CONCAT(Commuting_Backend[[#This Row],[Level 1]:[Level 6]]),rng_EFConcat,rng_EFOOS)*Commuting_Backend[[#This Row],[Converted data]]/1000</f>
        <v>#N/A</v>
      </c>
      <c r="AP55" s="174">
        <f>Commuting_Frontend[[#This Row],[Ease of collection]]</f>
        <v>0</v>
      </c>
      <c r="AQ55" s="213">
        <f>Commuting_Frontend[[#This Row],[Completeness]]</f>
        <v>0</v>
      </c>
      <c r="AR55" s="213">
        <f>Commuting_Frontend[[#This Row],[Notes]]</f>
        <v>0</v>
      </c>
      <c r="AU55"/>
      <c r="AV55"/>
      <c r="AW55"/>
      <c r="AX55"/>
      <c r="AY55"/>
      <c r="AZ55"/>
      <c r="BA55"/>
      <c r="BB55"/>
      <c r="BC55"/>
      <c r="BD55"/>
      <c r="BE55"/>
      <c r="BF55"/>
      <c r="BG55"/>
      <c r="BH55"/>
      <c r="BI55"/>
    </row>
    <row r="56" spans="2:61" ht="14.5" x14ac:dyDescent="0.35">
      <c r="B56" s="455"/>
      <c r="E56" s="346"/>
      <c r="F56" s="336"/>
      <c r="G56" s="336"/>
      <c r="H56" s="336"/>
      <c r="I56" s="336"/>
      <c r="J56" s="334"/>
      <c r="K56" s="336"/>
      <c r="L56" s="336"/>
      <c r="M56" s="336"/>
      <c r="N56" s="337"/>
      <c r="O56" s="242">
        <f t="shared" si="3"/>
        <v>7</v>
      </c>
      <c r="Q56" s="212" t="str">
        <f t="shared" si="2"/>
        <v/>
      </c>
      <c r="R56" s="174" t="s">
        <v>220</v>
      </c>
      <c r="S56" s="174" t="s">
        <v>192</v>
      </c>
      <c r="T56" s="174">
        <f>Commuting_Frontend[[#This Row],[Travel mode]]</f>
        <v>0</v>
      </c>
      <c r="U56" s="174">
        <f>Commuting_Frontend[[#This Row],[Category]]</f>
        <v>0</v>
      </c>
      <c r="V56" s="174">
        <f>Commuting_Frontend[[#This Row],[Type]]</f>
        <v>0</v>
      </c>
      <c r="W56" s="174">
        <f>Commuting_Frontend[[#This Row],[Details]]</f>
        <v>0</v>
      </c>
      <c r="X56" s="174" t="s">
        <v>339</v>
      </c>
      <c r="Y56" s="174" t="s">
        <v>339</v>
      </c>
      <c r="Z56" s="174">
        <f>Commuting_Frontend[[#This Row],[Methodology]]</f>
        <v>0</v>
      </c>
      <c r="AA56" s="229" t="e" cm="1">
        <f t="array" ref="AA56">INDEX(_xlfn.SWITCH(Commuting_Backend[[#This Row],[Methodology]],"Tier 1",rng_RSD1,"Tier 2",rng_RSD2,"Tier 3",rng_RSD3),MATCH(_xlfn.CONCAT(Commuting_Backend[[#This Row],[Level 1]:[Level 6]]),rng_LevelsConcat,0))</f>
        <v>#N/A</v>
      </c>
      <c r="AB56" s="220">
        <f>Commuting_Frontend[[#This Row],[Data]]</f>
        <v>0</v>
      </c>
      <c r="AC56" s="174">
        <f>Commuting_Frontend[[#This Row],[Units]]</f>
        <v>0</v>
      </c>
      <c r="AD56" s="220" t="e">
        <f>IF(Commuting_Backend[[#This Row],[Units]]=Commuting_Backend[[#This Row],[Standard units]],Commuting_Backend[[#This Row],[Data]],Commuting_Backend[[#This Row],[Data]]*_xlfn.XLOOKUP(_xlfn.CONCAT(Commuting_Backend[[#This Row],[Level 1]:[Level 6]]),rng_EFConcat,rng_EFConversion))</f>
        <v>#N/A</v>
      </c>
      <c r="AE56" s="174" t="e" cm="1">
        <f t="array" ref="AE56">_xlfn.XLOOKUP(_xlfn.CONCAT(Commuting_Backend[[#This Row],[Level 1]:[Level 6]]),rng_LevelsConcat,rng_UnitsLong)</f>
        <v>#N/A</v>
      </c>
      <c r="AF56" s="210" t="e">
        <f>_xlfn.XLOOKUP(_xlfn.CONCAT(Commuting_Backend[[#This Row],[Level 1]:[Level 6]]),rng_EFConcat,rng_EF1)*Commuting_Backend[[#This Row],[Converted data]]/1000</f>
        <v>#N/A</v>
      </c>
      <c r="AG56" s="210" t="e">
        <f>_xlfn.XLOOKUP(_xlfn.CONCAT(Commuting_Backend[[#This Row],[Level 1]:[Level 6]]),rng_EFConcat,rng_EF2)*Commuting_Backend[[#This Row],[Converted data]]/1000</f>
        <v>#N/A</v>
      </c>
      <c r="AH56" s="210" t="e">
        <f>_xlfn.XLOOKUP(_xlfn.CONCAT(Commuting_Backend[[#This Row],[Level 1]:[Level 6]]),rng_EFConcat,rng_EF3)*Commuting_Backend[[#This Row],[Converted data]]/1000</f>
        <v>#N/A</v>
      </c>
      <c r="AI56" s="210" t="e">
        <f>_xlfn.XLOOKUP(_xlfn.CONCAT(Commuting_Backend[[#This Row],[Level 1]:[Level 6]]),rng_EFConcat,rng_EF3WTT)*Commuting_Backend[[#This Row],[Converted data]]/1000</f>
        <v>#N/A</v>
      </c>
      <c r="AJ56" s="210" t="e">
        <f>_xlfn.XLOOKUP(_xlfn.CONCAT(Commuting_Backend[[#This Row],[Level 1]:[Level 6]]),rng_EFConcat,rng_EF3TD)*Commuting_Backend[[#This Row],[Converted data]]/1000</f>
        <v>#N/A</v>
      </c>
      <c r="AK56" s="210" t="e">
        <f>_xlfn.XLOOKUP(_xlfn.CONCAT(Commuting_Backend[[#This Row],[Level 1]:[Level 6]]),rng_EFConcat,rng_EF3WTTTD)*Commuting_Backend[[#This Row],[Converted data]]/1000</f>
        <v>#N/A</v>
      </c>
      <c r="AL56" s="220" t="e">
        <f>SUM(Commuting_Backend[[#This Row],[Scope 1 (tCO2e)]:[Scope 3 WTT T&amp;D (tCO2e)]])</f>
        <v>#N/A</v>
      </c>
      <c r="AM56" s="220" t="e">
        <f>Commuting_Backend[[#This Row],[Total (tCO2e)]]*(1-Commuting_Backend[[#This Row],[RSD]])</f>
        <v>#N/A</v>
      </c>
      <c r="AN56" s="220" t="e">
        <f>Commuting_Backend[[#This Row],[Total (tCO2e)]]*(1+Commuting_Backend[[#This Row],[RSD]])</f>
        <v>#N/A</v>
      </c>
      <c r="AO56" s="210" t="e">
        <f>_xlfn.XLOOKUP(_xlfn.CONCAT(Commuting_Backend[[#This Row],[Level 1]:[Level 6]]),rng_EFConcat,rng_EFOOS)*Commuting_Backend[[#This Row],[Converted data]]/1000</f>
        <v>#N/A</v>
      </c>
      <c r="AP56" s="174">
        <f>Commuting_Frontend[[#This Row],[Ease of collection]]</f>
        <v>0</v>
      </c>
      <c r="AQ56" s="213">
        <f>Commuting_Frontend[[#This Row],[Completeness]]</f>
        <v>0</v>
      </c>
      <c r="AR56" s="213">
        <f>Commuting_Frontend[[#This Row],[Notes]]</f>
        <v>0</v>
      </c>
      <c r="AU56"/>
      <c r="AV56"/>
      <c r="AW56"/>
      <c r="AX56"/>
      <c r="AY56"/>
      <c r="AZ56"/>
      <c r="BA56"/>
      <c r="BB56"/>
      <c r="BC56"/>
      <c r="BD56"/>
      <c r="BE56"/>
      <c r="BF56"/>
      <c r="BG56"/>
      <c r="BH56"/>
      <c r="BI56"/>
    </row>
    <row r="57" spans="2:61" ht="14.5" x14ac:dyDescent="0.35">
      <c r="B57" s="455"/>
      <c r="E57" s="346"/>
      <c r="F57" s="336"/>
      <c r="G57" s="336"/>
      <c r="H57" s="336"/>
      <c r="I57" s="336"/>
      <c r="J57" s="334"/>
      <c r="K57" s="336"/>
      <c r="L57" s="336"/>
      <c r="M57" s="336"/>
      <c r="N57" s="337"/>
      <c r="O57" s="242">
        <f t="shared" si="3"/>
        <v>7</v>
      </c>
      <c r="Q57" s="212" t="str">
        <f t="shared" si="2"/>
        <v/>
      </c>
      <c r="R57" s="174" t="s">
        <v>220</v>
      </c>
      <c r="S57" s="174" t="s">
        <v>192</v>
      </c>
      <c r="T57" s="174">
        <f>Commuting_Frontend[[#This Row],[Travel mode]]</f>
        <v>0</v>
      </c>
      <c r="U57" s="174">
        <f>Commuting_Frontend[[#This Row],[Category]]</f>
        <v>0</v>
      </c>
      <c r="V57" s="174">
        <f>Commuting_Frontend[[#This Row],[Type]]</f>
        <v>0</v>
      </c>
      <c r="W57" s="174">
        <f>Commuting_Frontend[[#This Row],[Details]]</f>
        <v>0</v>
      </c>
      <c r="X57" s="174" t="s">
        <v>339</v>
      </c>
      <c r="Y57" s="174" t="s">
        <v>339</v>
      </c>
      <c r="Z57" s="174">
        <f>Commuting_Frontend[[#This Row],[Methodology]]</f>
        <v>0</v>
      </c>
      <c r="AA57" s="229" t="e" cm="1">
        <f t="array" ref="AA57">INDEX(_xlfn.SWITCH(Commuting_Backend[[#This Row],[Methodology]],"Tier 1",rng_RSD1,"Tier 2",rng_RSD2,"Tier 3",rng_RSD3),MATCH(_xlfn.CONCAT(Commuting_Backend[[#This Row],[Level 1]:[Level 6]]),rng_LevelsConcat,0))</f>
        <v>#N/A</v>
      </c>
      <c r="AB57" s="220">
        <f>Commuting_Frontend[[#This Row],[Data]]</f>
        <v>0</v>
      </c>
      <c r="AC57" s="174">
        <f>Commuting_Frontend[[#This Row],[Units]]</f>
        <v>0</v>
      </c>
      <c r="AD57" s="220" t="e">
        <f>IF(Commuting_Backend[[#This Row],[Units]]=Commuting_Backend[[#This Row],[Standard units]],Commuting_Backend[[#This Row],[Data]],Commuting_Backend[[#This Row],[Data]]*_xlfn.XLOOKUP(_xlfn.CONCAT(Commuting_Backend[[#This Row],[Level 1]:[Level 6]]),rng_EFConcat,rng_EFConversion))</f>
        <v>#N/A</v>
      </c>
      <c r="AE57" s="174" t="e" cm="1">
        <f t="array" ref="AE57">_xlfn.XLOOKUP(_xlfn.CONCAT(Commuting_Backend[[#This Row],[Level 1]:[Level 6]]),rng_LevelsConcat,rng_UnitsLong)</f>
        <v>#N/A</v>
      </c>
      <c r="AF57" s="210" t="e">
        <f>_xlfn.XLOOKUP(_xlfn.CONCAT(Commuting_Backend[[#This Row],[Level 1]:[Level 6]]),rng_EFConcat,rng_EF1)*Commuting_Backend[[#This Row],[Converted data]]/1000</f>
        <v>#N/A</v>
      </c>
      <c r="AG57" s="210" t="e">
        <f>_xlfn.XLOOKUP(_xlfn.CONCAT(Commuting_Backend[[#This Row],[Level 1]:[Level 6]]),rng_EFConcat,rng_EF2)*Commuting_Backend[[#This Row],[Converted data]]/1000</f>
        <v>#N/A</v>
      </c>
      <c r="AH57" s="210" t="e">
        <f>_xlfn.XLOOKUP(_xlfn.CONCAT(Commuting_Backend[[#This Row],[Level 1]:[Level 6]]),rng_EFConcat,rng_EF3)*Commuting_Backend[[#This Row],[Converted data]]/1000</f>
        <v>#N/A</v>
      </c>
      <c r="AI57" s="210" t="e">
        <f>_xlfn.XLOOKUP(_xlfn.CONCAT(Commuting_Backend[[#This Row],[Level 1]:[Level 6]]),rng_EFConcat,rng_EF3WTT)*Commuting_Backend[[#This Row],[Converted data]]/1000</f>
        <v>#N/A</v>
      </c>
      <c r="AJ57" s="210" t="e">
        <f>_xlfn.XLOOKUP(_xlfn.CONCAT(Commuting_Backend[[#This Row],[Level 1]:[Level 6]]),rng_EFConcat,rng_EF3TD)*Commuting_Backend[[#This Row],[Converted data]]/1000</f>
        <v>#N/A</v>
      </c>
      <c r="AK57" s="210" t="e">
        <f>_xlfn.XLOOKUP(_xlfn.CONCAT(Commuting_Backend[[#This Row],[Level 1]:[Level 6]]),rng_EFConcat,rng_EF3WTTTD)*Commuting_Backend[[#This Row],[Converted data]]/1000</f>
        <v>#N/A</v>
      </c>
      <c r="AL57" s="220" t="e">
        <f>SUM(Commuting_Backend[[#This Row],[Scope 1 (tCO2e)]:[Scope 3 WTT T&amp;D (tCO2e)]])</f>
        <v>#N/A</v>
      </c>
      <c r="AM57" s="220" t="e">
        <f>Commuting_Backend[[#This Row],[Total (tCO2e)]]*(1-Commuting_Backend[[#This Row],[RSD]])</f>
        <v>#N/A</v>
      </c>
      <c r="AN57" s="220" t="e">
        <f>Commuting_Backend[[#This Row],[Total (tCO2e)]]*(1+Commuting_Backend[[#This Row],[RSD]])</f>
        <v>#N/A</v>
      </c>
      <c r="AO57" s="210" t="e">
        <f>_xlfn.XLOOKUP(_xlfn.CONCAT(Commuting_Backend[[#This Row],[Level 1]:[Level 6]]),rng_EFConcat,rng_EFOOS)*Commuting_Backend[[#This Row],[Converted data]]/1000</f>
        <v>#N/A</v>
      </c>
      <c r="AP57" s="174">
        <f>Commuting_Frontend[[#This Row],[Ease of collection]]</f>
        <v>0</v>
      </c>
      <c r="AQ57" s="213">
        <f>Commuting_Frontend[[#This Row],[Completeness]]</f>
        <v>0</v>
      </c>
      <c r="AR57" s="213">
        <f>Commuting_Frontend[[#This Row],[Notes]]</f>
        <v>0</v>
      </c>
      <c r="AU57"/>
      <c r="AV57"/>
      <c r="AW57"/>
      <c r="AX57"/>
      <c r="AY57"/>
      <c r="AZ57"/>
      <c r="BA57"/>
      <c r="BB57"/>
      <c r="BC57"/>
      <c r="BD57"/>
      <c r="BE57"/>
      <c r="BF57"/>
      <c r="BG57"/>
      <c r="BH57"/>
      <c r="BI57"/>
    </row>
    <row r="58" spans="2:61" ht="14.5" x14ac:dyDescent="0.35">
      <c r="B58" s="455"/>
      <c r="E58" s="346"/>
      <c r="F58" s="336"/>
      <c r="G58" s="336"/>
      <c r="H58" s="336"/>
      <c r="I58" s="336"/>
      <c r="J58" s="334"/>
      <c r="K58" s="336"/>
      <c r="L58" s="336"/>
      <c r="M58" s="336"/>
      <c r="N58" s="337"/>
      <c r="O58" s="242">
        <f t="shared" si="3"/>
        <v>7</v>
      </c>
      <c r="Q58" s="212" t="str">
        <f t="shared" si="2"/>
        <v/>
      </c>
      <c r="R58" s="174" t="s">
        <v>220</v>
      </c>
      <c r="S58" s="174" t="s">
        <v>192</v>
      </c>
      <c r="T58" s="174">
        <f>Commuting_Frontend[[#This Row],[Travel mode]]</f>
        <v>0</v>
      </c>
      <c r="U58" s="174">
        <f>Commuting_Frontend[[#This Row],[Category]]</f>
        <v>0</v>
      </c>
      <c r="V58" s="174">
        <f>Commuting_Frontend[[#This Row],[Type]]</f>
        <v>0</v>
      </c>
      <c r="W58" s="174">
        <f>Commuting_Frontend[[#This Row],[Details]]</f>
        <v>0</v>
      </c>
      <c r="X58" s="174" t="s">
        <v>339</v>
      </c>
      <c r="Y58" s="174" t="s">
        <v>339</v>
      </c>
      <c r="Z58" s="174">
        <f>Commuting_Frontend[[#This Row],[Methodology]]</f>
        <v>0</v>
      </c>
      <c r="AA58" s="229" t="e" cm="1">
        <f t="array" ref="AA58">INDEX(_xlfn.SWITCH(Commuting_Backend[[#This Row],[Methodology]],"Tier 1",rng_RSD1,"Tier 2",rng_RSD2,"Tier 3",rng_RSD3),MATCH(_xlfn.CONCAT(Commuting_Backend[[#This Row],[Level 1]:[Level 6]]),rng_LevelsConcat,0))</f>
        <v>#N/A</v>
      </c>
      <c r="AB58" s="220">
        <f>Commuting_Frontend[[#This Row],[Data]]</f>
        <v>0</v>
      </c>
      <c r="AC58" s="174">
        <f>Commuting_Frontend[[#This Row],[Units]]</f>
        <v>0</v>
      </c>
      <c r="AD58" s="220" t="e">
        <f>IF(Commuting_Backend[[#This Row],[Units]]=Commuting_Backend[[#This Row],[Standard units]],Commuting_Backend[[#This Row],[Data]],Commuting_Backend[[#This Row],[Data]]*_xlfn.XLOOKUP(_xlfn.CONCAT(Commuting_Backend[[#This Row],[Level 1]:[Level 6]]),rng_EFConcat,rng_EFConversion))</f>
        <v>#N/A</v>
      </c>
      <c r="AE58" s="174" t="e" cm="1">
        <f t="array" ref="AE58">_xlfn.XLOOKUP(_xlfn.CONCAT(Commuting_Backend[[#This Row],[Level 1]:[Level 6]]),rng_LevelsConcat,rng_UnitsLong)</f>
        <v>#N/A</v>
      </c>
      <c r="AF58" s="210" t="e">
        <f>_xlfn.XLOOKUP(_xlfn.CONCAT(Commuting_Backend[[#This Row],[Level 1]:[Level 6]]),rng_EFConcat,rng_EF1)*Commuting_Backend[[#This Row],[Converted data]]/1000</f>
        <v>#N/A</v>
      </c>
      <c r="AG58" s="210" t="e">
        <f>_xlfn.XLOOKUP(_xlfn.CONCAT(Commuting_Backend[[#This Row],[Level 1]:[Level 6]]),rng_EFConcat,rng_EF2)*Commuting_Backend[[#This Row],[Converted data]]/1000</f>
        <v>#N/A</v>
      </c>
      <c r="AH58" s="210" t="e">
        <f>_xlfn.XLOOKUP(_xlfn.CONCAT(Commuting_Backend[[#This Row],[Level 1]:[Level 6]]),rng_EFConcat,rng_EF3)*Commuting_Backend[[#This Row],[Converted data]]/1000</f>
        <v>#N/A</v>
      </c>
      <c r="AI58" s="210" t="e">
        <f>_xlfn.XLOOKUP(_xlfn.CONCAT(Commuting_Backend[[#This Row],[Level 1]:[Level 6]]),rng_EFConcat,rng_EF3WTT)*Commuting_Backend[[#This Row],[Converted data]]/1000</f>
        <v>#N/A</v>
      </c>
      <c r="AJ58" s="210" t="e">
        <f>_xlfn.XLOOKUP(_xlfn.CONCAT(Commuting_Backend[[#This Row],[Level 1]:[Level 6]]),rng_EFConcat,rng_EF3TD)*Commuting_Backend[[#This Row],[Converted data]]/1000</f>
        <v>#N/A</v>
      </c>
      <c r="AK58" s="210" t="e">
        <f>_xlfn.XLOOKUP(_xlfn.CONCAT(Commuting_Backend[[#This Row],[Level 1]:[Level 6]]),rng_EFConcat,rng_EF3WTTTD)*Commuting_Backend[[#This Row],[Converted data]]/1000</f>
        <v>#N/A</v>
      </c>
      <c r="AL58" s="220" t="e">
        <f>SUM(Commuting_Backend[[#This Row],[Scope 1 (tCO2e)]:[Scope 3 WTT T&amp;D (tCO2e)]])</f>
        <v>#N/A</v>
      </c>
      <c r="AM58" s="220" t="e">
        <f>Commuting_Backend[[#This Row],[Total (tCO2e)]]*(1-Commuting_Backend[[#This Row],[RSD]])</f>
        <v>#N/A</v>
      </c>
      <c r="AN58" s="220" t="e">
        <f>Commuting_Backend[[#This Row],[Total (tCO2e)]]*(1+Commuting_Backend[[#This Row],[RSD]])</f>
        <v>#N/A</v>
      </c>
      <c r="AO58" s="210" t="e">
        <f>_xlfn.XLOOKUP(_xlfn.CONCAT(Commuting_Backend[[#This Row],[Level 1]:[Level 6]]),rng_EFConcat,rng_EFOOS)*Commuting_Backend[[#This Row],[Converted data]]/1000</f>
        <v>#N/A</v>
      </c>
      <c r="AP58" s="174">
        <f>Commuting_Frontend[[#This Row],[Ease of collection]]</f>
        <v>0</v>
      </c>
      <c r="AQ58" s="213">
        <f>Commuting_Frontend[[#This Row],[Completeness]]</f>
        <v>0</v>
      </c>
      <c r="AR58" s="213">
        <f>Commuting_Frontend[[#This Row],[Notes]]</f>
        <v>0</v>
      </c>
      <c r="AU58"/>
      <c r="AV58"/>
      <c r="AW58"/>
      <c r="AX58"/>
      <c r="AY58"/>
      <c r="AZ58"/>
      <c r="BA58"/>
      <c r="BB58"/>
      <c r="BC58"/>
      <c r="BD58"/>
      <c r="BE58"/>
      <c r="BF58"/>
      <c r="BG58"/>
      <c r="BH58"/>
      <c r="BI58"/>
    </row>
    <row r="59" spans="2:61" ht="14.5" x14ac:dyDescent="0.35">
      <c r="B59" s="455"/>
      <c r="E59" s="346"/>
      <c r="F59" s="336"/>
      <c r="G59" s="336"/>
      <c r="H59" s="336"/>
      <c r="I59" s="336"/>
      <c r="J59" s="334"/>
      <c r="K59" s="336"/>
      <c r="L59" s="336"/>
      <c r="M59" s="336"/>
      <c r="N59" s="337"/>
      <c r="O59" s="242">
        <f t="shared" si="3"/>
        <v>7</v>
      </c>
      <c r="Q59" s="212" t="str">
        <f t="shared" si="2"/>
        <v/>
      </c>
      <c r="R59" s="174" t="s">
        <v>220</v>
      </c>
      <c r="S59" s="174" t="s">
        <v>192</v>
      </c>
      <c r="T59" s="174">
        <f>Commuting_Frontend[[#This Row],[Travel mode]]</f>
        <v>0</v>
      </c>
      <c r="U59" s="174">
        <f>Commuting_Frontend[[#This Row],[Category]]</f>
        <v>0</v>
      </c>
      <c r="V59" s="174">
        <f>Commuting_Frontend[[#This Row],[Type]]</f>
        <v>0</v>
      </c>
      <c r="W59" s="174">
        <f>Commuting_Frontend[[#This Row],[Details]]</f>
        <v>0</v>
      </c>
      <c r="X59" s="174" t="s">
        <v>339</v>
      </c>
      <c r="Y59" s="174" t="s">
        <v>339</v>
      </c>
      <c r="Z59" s="174">
        <f>Commuting_Frontend[[#This Row],[Methodology]]</f>
        <v>0</v>
      </c>
      <c r="AA59" s="229" t="e" cm="1">
        <f t="array" ref="AA59">INDEX(_xlfn.SWITCH(Commuting_Backend[[#This Row],[Methodology]],"Tier 1",rng_RSD1,"Tier 2",rng_RSD2,"Tier 3",rng_RSD3),MATCH(_xlfn.CONCAT(Commuting_Backend[[#This Row],[Level 1]:[Level 6]]),rng_LevelsConcat,0))</f>
        <v>#N/A</v>
      </c>
      <c r="AB59" s="220">
        <f>Commuting_Frontend[[#This Row],[Data]]</f>
        <v>0</v>
      </c>
      <c r="AC59" s="174">
        <f>Commuting_Frontend[[#This Row],[Units]]</f>
        <v>0</v>
      </c>
      <c r="AD59" s="220" t="e">
        <f>IF(Commuting_Backend[[#This Row],[Units]]=Commuting_Backend[[#This Row],[Standard units]],Commuting_Backend[[#This Row],[Data]],Commuting_Backend[[#This Row],[Data]]*_xlfn.XLOOKUP(_xlfn.CONCAT(Commuting_Backend[[#This Row],[Level 1]:[Level 6]]),rng_EFConcat,rng_EFConversion))</f>
        <v>#N/A</v>
      </c>
      <c r="AE59" s="174" t="e" cm="1">
        <f t="array" ref="AE59">_xlfn.XLOOKUP(_xlfn.CONCAT(Commuting_Backend[[#This Row],[Level 1]:[Level 6]]),rng_LevelsConcat,rng_UnitsLong)</f>
        <v>#N/A</v>
      </c>
      <c r="AF59" s="210" t="e">
        <f>_xlfn.XLOOKUP(_xlfn.CONCAT(Commuting_Backend[[#This Row],[Level 1]:[Level 6]]),rng_EFConcat,rng_EF1)*Commuting_Backend[[#This Row],[Converted data]]/1000</f>
        <v>#N/A</v>
      </c>
      <c r="AG59" s="210" t="e">
        <f>_xlfn.XLOOKUP(_xlfn.CONCAT(Commuting_Backend[[#This Row],[Level 1]:[Level 6]]),rng_EFConcat,rng_EF2)*Commuting_Backend[[#This Row],[Converted data]]/1000</f>
        <v>#N/A</v>
      </c>
      <c r="AH59" s="210" t="e">
        <f>_xlfn.XLOOKUP(_xlfn.CONCAT(Commuting_Backend[[#This Row],[Level 1]:[Level 6]]),rng_EFConcat,rng_EF3)*Commuting_Backend[[#This Row],[Converted data]]/1000</f>
        <v>#N/A</v>
      </c>
      <c r="AI59" s="210" t="e">
        <f>_xlfn.XLOOKUP(_xlfn.CONCAT(Commuting_Backend[[#This Row],[Level 1]:[Level 6]]),rng_EFConcat,rng_EF3WTT)*Commuting_Backend[[#This Row],[Converted data]]/1000</f>
        <v>#N/A</v>
      </c>
      <c r="AJ59" s="210" t="e">
        <f>_xlfn.XLOOKUP(_xlfn.CONCAT(Commuting_Backend[[#This Row],[Level 1]:[Level 6]]),rng_EFConcat,rng_EF3TD)*Commuting_Backend[[#This Row],[Converted data]]/1000</f>
        <v>#N/A</v>
      </c>
      <c r="AK59" s="210" t="e">
        <f>_xlfn.XLOOKUP(_xlfn.CONCAT(Commuting_Backend[[#This Row],[Level 1]:[Level 6]]),rng_EFConcat,rng_EF3WTTTD)*Commuting_Backend[[#This Row],[Converted data]]/1000</f>
        <v>#N/A</v>
      </c>
      <c r="AL59" s="220" t="e">
        <f>SUM(Commuting_Backend[[#This Row],[Scope 1 (tCO2e)]:[Scope 3 WTT T&amp;D (tCO2e)]])</f>
        <v>#N/A</v>
      </c>
      <c r="AM59" s="220" t="e">
        <f>Commuting_Backend[[#This Row],[Total (tCO2e)]]*(1-Commuting_Backend[[#This Row],[RSD]])</f>
        <v>#N/A</v>
      </c>
      <c r="AN59" s="220" t="e">
        <f>Commuting_Backend[[#This Row],[Total (tCO2e)]]*(1+Commuting_Backend[[#This Row],[RSD]])</f>
        <v>#N/A</v>
      </c>
      <c r="AO59" s="210" t="e">
        <f>_xlfn.XLOOKUP(_xlfn.CONCAT(Commuting_Backend[[#This Row],[Level 1]:[Level 6]]),rng_EFConcat,rng_EFOOS)*Commuting_Backend[[#This Row],[Converted data]]/1000</f>
        <v>#N/A</v>
      </c>
      <c r="AP59" s="174">
        <f>Commuting_Frontend[[#This Row],[Ease of collection]]</f>
        <v>0</v>
      </c>
      <c r="AQ59" s="213">
        <f>Commuting_Frontend[[#This Row],[Completeness]]</f>
        <v>0</v>
      </c>
      <c r="AR59" s="213">
        <f>Commuting_Frontend[[#This Row],[Notes]]</f>
        <v>0</v>
      </c>
      <c r="AU59"/>
      <c r="AV59"/>
      <c r="AW59"/>
      <c r="AX59"/>
      <c r="AY59"/>
      <c r="AZ59"/>
      <c r="BA59"/>
      <c r="BB59"/>
      <c r="BC59"/>
      <c r="BD59"/>
      <c r="BE59"/>
      <c r="BF59"/>
      <c r="BG59"/>
      <c r="BH59"/>
      <c r="BI59"/>
    </row>
    <row r="60" spans="2:61" ht="14.5" x14ac:dyDescent="0.35">
      <c r="B60" s="455"/>
      <c r="E60" s="346"/>
      <c r="F60" s="336"/>
      <c r="G60" s="336"/>
      <c r="H60" s="336"/>
      <c r="I60" s="336"/>
      <c r="J60" s="334"/>
      <c r="K60" s="336"/>
      <c r="L60" s="336"/>
      <c r="M60" s="336"/>
      <c r="N60" s="337"/>
      <c r="O60" s="242">
        <f t="shared" si="3"/>
        <v>7</v>
      </c>
      <c r="Q60" s="212" t="str">
        <f t="shared" si="2"/>
        <v/>
      </c>
      <c r="R60" s="174" t="s">
        <v>220</v>
      </c>
      <c r="S60" s="174" t="s">
        <v>192</v>
      </c>
      <c r="T60" s="174">
        <f>Commuting_Frontend[[#This Row],[Travel mode]]</f>
        <v>0</v>
      </c>
      <c r="U60" s="174">
        <f>Commuting_Frontend[[#This Row],[Category]]</f>
        <v>0</v>
      </c>
      <c r="V60" s="174">
        <f>Commuting_Frontend[[#This Row],[Type]]</f>
        <v>0</v>
      </c>
      <c r="W60" s="174">
        <f>Commuting_Frontend[[#This Row],[Details]]</f>
        <v>0</v>
      </c>
      <c r="X60" s="174" t="s">
        <v>339</v>
      </c>
      <c r="Y60" s="174" t="s">
        <v>339</v>
      </c>
      <c r="Z60" s="174">
        <f>Commuting_Frontend[[#This Row],[Methodology]]</f>
        <v>0</v>
      </c>
      <c r="AA60" s="229" t="e" cm="1">
        <f t="array" ref="AA60">INDEX(_xlfn.SWITCH(Commuting_Backend[[#This Row],[Methodology]],"Tier 1",rng_RSD1,"Tier 2",rng_RSD2,"Tier 3",rng_RSD3),MATCH(_xlfn.CONCAT(Commuting_Backend[[#This Row],[Level 1]:[Level 6]]),rng_LevelsConcat,0))</f>
        <v>#N/A</v>
      </c>
      <c r="AB60" s="220">
        <f>Commuting_Frontend[[#This Row],[Data]]</f>
        <v>0</v>
      </c>
      <c r="AC60" s="174">
        <f>Commuting_Frontend[[#This Row],[Units]]</f>
        <v>0</v>
      </c>
      <c r="AD60" s="220" t="e">
        <f>IF(Commuting_Backend[[#This Row],[Units]]=Commuting_Backend[[#This Row],[Standard units]],Commuting_Backend[[#This Row],[Data]],Commuting_Backend[[#This Row],[Data]]*_xlfn.XLOOKUP(_xlfn.CONCAT(Commuting_Backend[[#This Row],[Level 1]:[Level 6]]),rng_EFConcat,rng_EFConversion))</f>
        <v>#N/A</v>
      </c>
      <c r="AE60" s="174" t="e" cm="1">
        <f t="array" ref="AE60">_xlfn.XLOOKUP(_xlfn.CONCAT(Commuting_Backend[[#This Row],[Level 1]:[Level 6]]),rng_LevelsConcat,rng_UnitsLong)</f>
        <v>#N/A</v>
      </c>
      <c r="AF60" s="210" t="e">
        <f>_xlfn.XLOOKUP(_xlfn.CONCAT(Commuting_Backend[[#This Row],[Level 1]:[Level 6]]),rng_EFConcat,rng_EF1)*Commuting_Backend[[#This Row],[Converted data]]/1000</f>
        <v>#N/A</v>
      </c>
      <c r="AG60" s="210" t="e">
        <f>_xlfn.XLOOKUP(_xlfn.CONCAT(Commuting_Backend[[#This Row],[Level 1]:[Level 6]]),rng_EFConcat,rng_EF2)*Commuting_Backend[[#This Row],[Converted data]]/1000</f>
        <v>#N/A</v>
      </c>
      <c r="AH60" s="210" t="e">
        <f>_xlfn.XLOOKUP(_xlfn.CONCAT(Commuting_Backend[[#This Row],[Level 1]:[Level 6]]),rng_EFConcat,rng_EF3)*Commuting_Backend[[#This Row],[Converted data]]/1000</f>
        <v>#N/A</v>
      </c>
      <c r="AI60" s="210" t="e">
        <f>_xlfn.XLOOKUP(_xlfn.CONCAT(Commuting_Backend[[#This Row],[Level 1]:[Level 6]]),rng_EFConcat,rng_EF3WTT)*Commuting_Backend[[#This Row],[Converted data]]/1000</f>
        <v>#N/A</v>
      </c>
      <c r="AJ60" s="210" t="e">
        <f>_xlfn.XLOOKUP(_xlfn.CONCAT(Commuting_Backend[[#This Row],[Level 1]:[Level 6]]),rng_EFConcat,rng_EF3TD)*Commuting_Backend[[#This Row],[Converted data]]/1000</f>
        <v>#N/A</v>
      </c>
      <c r="AK60" s="210" t="e">
        <f>_xlfn.XLOOKUP(_xlfn.CONCAT(Commuting_Backend[[#This Row],[Level 1]:[Level 6]]),rng_EFConcat,rng_EF3WTTTD)*Commuting_Backend[[#This Row],[Converted data]]/1000</f>
        <v>#N/A</v>
      </c>
      <c r="AL60" s="220" t="e">
        <f>SUM(Commuting_Backend[[#This Row],[Scope 1 (tCO2e)]:[Scope 3 WTT T&amp;D (tCO2e)]])</f>
        <v>#N/A</v>
      </c>
      <c r="AM60" s="220" t="e">
        <f>Commuting_Backend[[#This Row],[Total (tCO2e)]]*(1-Commuting_Backend[[#This Row],[RSD]])</f>
        <v>#N/A</v>
      </c>
      <c r="AN60" s="220" t="e">
        <f>Commuting_Backend[[#This Row],[Total (tCO2e)]]*(1+Commuting_Backend[[#This Row],[RSD]])</f>
        <v>#N/A</v>
      </c>
      <c r="AO60" s="210" t="e">
        <f>_xlfn.XLOOKUP(_xlfn.CONCAT(Commuting_Backend[[#This Row],[Level 1]:[Level 6]]),rng_EFConcat,rng_EFOOS)*Commuting_Backend[[#This Row],[Converted data]]/1000</f>
        <v>#N/A</v>
      </c>
      <c r="AP60" s="174">
        <f>Commuting_Frontend[[#This Row],[Ease of collection]]</f>
        <v>0</v>
      </c>
      <c r="AQ60" s="213">
        <f>Commuting_Frontend[[#This Row],[Completeness]]</f>
        <v>0</v>
      </c>
      <c r="AR60" s="213">
        <f>Commuting_Frontend[[#This Row],[Notes]]</f>
        <v>0</v>
      </c>
      <c r="AU60"/>
      <c r="AV60"/>
      <c r="AW60"/>
      <c r="AX60"/>
      <c r="AY60"/>
      <c r="AZ60"/>
      <c r="BA60"/>
      <c r="BB60"/>
      <c r="BC60"/>
      <c r="BD60"/>
      <c r="BE60"/>
      <c r="BF60"/>
      <c r="BG60"/>
      <c r="BH60"/>
      <c r="BI60"/>
    </row>
    <row r="61" spans="2:61" ht="14.5" x14ac:dyDescent="0.35">
      <c r="B61" s="455"/>
      <c r="E61" s="346"/>
      <c r="F61" s="336"/>
      <c r="G61" s="336"/>
      <c r="H61" s="336"/>
      <c r="I61" s="336"/>
      <c r="J61" s="335"/>
      <c r="K61" s="336"/>
      <c r="L61" s="338"/>
      <c r="M61" s="338"/>
      <c r="N61" s="337"/>
      <c r="O61" s="242">
        <f t="shared" si="3"/>
        <v>7</v>
      </c>
      <c r="Q61" s="212" t="str">
        <f t="shared" si="2"/>
        <v/>
      </c>
      <c r="R61" s="174" t="s">
        <v>220</v>
      </c>
      <c r="S61" s="174" t="s">
        <v>192</v>
      </c>
      <c r="T61" s="174">
        <f>Commuting_Frontend[[#This Row],[Travel mode]]</f>
        <v>0</v>
      </c>
      <c r="U61" s="174">
        <f>Commuting_Frontend[[#This Row],[Category]]</f>
        <v>0</v>
      </c>
      <c r="V61" s="174">
        <f>Commuting_Frontend[[#This Row],[Type]]</f>
        <v>0</v>
      </c>
      <c r="W61" s="174">
        <f>Commuting_Frontend[[#This Row],[Details]]</f>
        <v>0</v>
      </c>
      <c r="X61" s="174" t="s">
        <v>339</v>
      </c>
      <c r="Y61" s="174" t="s">
        <v>339</v>
      </c>
      <c r="Z61" s="174">
        <f>Commuting_Frontend[[#This Row],[Methodology]]</f>
        <v>0</v>
      </c>
      <c r="AA61" s="229" t="e" cm="1">
        <f t="array" ref="AA61">INDEX(_xlfn.SWITCH(Commuting_Backend[[#This Row],[Methodology]],"Tier 1",rng_RSD1,"Tier 2",rng_RSD2,"Tier 3",rng_RSD3),MATCH(_xlfn.CONCAT(Commuting_Backend[[#This Row],[Level 1]:[Level 6]]),rng_LevelsConcat,0))</f>
        <v>#N/A</v>
      </c>
      <c r="AB61" s="220">
        <f>Commuting_Frontend[[#This Row],[Data]]</f>
        <v>0</v>
      </c>
      <c r="AC61" s="174">
        <f>Commuting_Frontend[[#This Row],[Units]]</f>
        <v>0</v>
      </c>
      <c r="AD61" s="220" t="e">
        <f>IF(Commuting_Backend[[#This Row],[Units]]=Commuting_Backend[[#This Row],[Standard units]],Commuting_Backend[[#This Row],[Data]],Commuting_Backend[[#This Row],[Data]]*_xlfn.XLOOKUP(_xlfn.CONCAT(Commuting_Backend[[#This Row],[Level 1]:[Level 6]]),rng_EFConcat,rng_EFConversion))</f>
        <v>#N/A</v>
      </c>
      <c r="AE61" s="174" t="e" cm="1">
        <f t="array" ref="AE61">_xlfn.XLOOKUP(_xlfn.CONCAT(Commuting_Backend[[#This Row],[Level 1]:[Level 6]]),rng_LevelsConcat,rng_UnitsLong)</f>
        <v>#N/A</v>
      </c>
      <c r="AF61" s="210" t="e">
        <f>_xlfn.XLOOKUP(_xlfn.CONCAT(Commuting_Backend[[#This Row],[Level 1]:[Level 6]]),rng_EFConcat,rng_EF1)*Commuting_Backend[[#This Row],[Converted data]]/1000</f>
        <v>#N/A</v>
      </c>
      <c r="AG61" s="210" t="e">
        <f>_xlfn.XLOOKUP(_xlfn.CONCAT(Commuting_Backend[[#This Row],[Level 1]:[Level 6]]),rng_EFConcat,rng_EF2)*Commuting_Backend[[#This Row],[Converted data]]/1000</f>
        <v>#N/A</v>
      </c>
      <c r="AH61" s="210" t="e">
        <f>_xlfn.XLOOKUP(_xlfn.CONCAT(Commuting_Backend[[#This Row],[Level 1]:[Level 6]]),rng_EFConcat,rng_EF3)*Commuting_Backend[[#This Row],[Converted data]]/1000</f>
        <v>#N/A</v>
      </c>
      <c r="AI61" s="210" t="e">
        <f>_xlfn.XLOOKUP(_xlfn.CONCAT(Commuting_Backend[[#This Row],[Level 1]:[Level 6]]),rng_EFConcat,rng_EF3WTT)*Commuting_Backend[[#This Row],[Converted data]]/1000</f>
        <v>#N/A</v>
      </c>
      <c r="AJ61" s="210" t="e">
        <f>_xlfn.XLOOKUP(_xlfn.CONCAT(Commuting_Backend[[#This Row],[Level 1]:[Level 6]]),rng_EFConcat,rng_EF3TD)*Commuting_Backend[[#This Row],[Converted data]]/1000</f>
        <v>#N/A</v>
      </c>
      <c r="AK61" s="210" t="e">
        <f>_xlfn.XLOOKUP(_xlfn.CONCAT(Commuting_Backend[[#This Row],[Level 1]:[Level 6]]),rng_EFConcat,rng_EF3WTTTD)*Commuting_Backend[[#This Row],[Converted data]]/1000</f>
        <v>#N/A</v>
      </c>
      <c r="AL61" s="220" t="e">
        <f>SUM(Commuting_Backend[[#This Row],[Scope 1 (tCO2e)]:[Scope 3 WTT T&amp;D (tCO2e)]])</f>
        <v>#N/A</v>
      </c>
      <c r="AM61" s="220" t="e">
        <f>Commuting_Backend[[#This Row],[Total (tCO2e)]]*(1-Commuting_Backend[[#This Row],[RSD]])</f>
        <v>#N/A</v>
      </c>
      <c r="AN61" s="220" t="e">
        <f>Commuting_Backend[[#This Row],[Total (tCO2e)]]*(1+Commuting_Backend[[#This Row],[RSD]])</f>
        <v>#N/A</v>
      </c>
      <c r="AO61" s="210" t="e">
        <f>_xlfn.XLOOKUP(_xlfn.CONCAT(Commuting_Backend[[#This Row],[Level 1]:[Level 6]]),rng_EFConcat,rng_EFOOS)*Commuting_Backend[[#This Row],[Converted data]]/1000</f>
        <v>#N/A</v>
      </c>
      <c r="AP61" s="174">
        <f>Commuting_Frontend[[#This Row],[Ease of collection]]</f>
        <v>0</v>
      </c>
      <c r="AQ61" s="213">
        <f>Commuting_Frontend[[#This Row],[Completeness]]</f>
        <v>0</v>
      </c>
      <c r="AR61" s="213">
        <f>Commuting_Frontend[[#This Row],[Notes]]</f>
        <v>0</v>
      </c>
      <c r="AU61"/>
      <c r="AV61"/>
      <c r="AW61"/>
      <c r="AX61"/>
      <c r="AY61"/>
      <c r="AZ61"/>
      <c r="BA61"/>
      <c r="BB61"/>
      <c r="BC61"/>
      <c r="BD61"/>
      <c r="BE61"/>
      <c r="BF61"/>
      <c r="BG61"/>
      <c r="BH61"/>
      <c r="BI61"/>
    </row>
    <row r="62" spans="2:61" ht="14.5" x14ac:dyDescent="0.35">
      <c r="B62" s="455"/>
      <c r="E62" s="348"/>
      <c r="F62" s="336"/>
      <c r="G62" s="336"/>
      <c r="H62" s="336"/>
      <c r="I62" s="338"/>
      <c r="J62" s="349"/>
      <c r="K62" s="336"/>
      <c r="L62" s="338"/>
      <c r="M62" s="338"/>
      <c r="N62" s="339"/>
      <c r="O62" s="242">
        <f t="shared" si="3"/>
        <v>7</v>
      </c>
      <c r="Q62" s="214" t="str">
        <f t="shared" si="2"/>
        <v/>
      </c>
      <c r="R62" s="216" t="s">
        <v>220</v>
      </c>
      <c r="S62" s="216" t="s">
        <v>192</v>
      </c>
      <c r="T62" s="216">
        <f>Commuting_Frontend[[#This Row],[Travel mode]]</f>
        <v>0</v>
      </c>
      <c r="U62" s="216">
        <f>Commuting_Frontend[[#This Row],[Category]]</f>
        <v>0</v>
      </c>
      <c r="V62" s="216">
        <f>Commuting_Frontend[[#This Row],[Type]]</f>
        <v>0</v>
      </c>
      <c r="W62" s="216">
        <f>Commuting_Frontend[[#This Row],[Details]]</f>
        <v>0</v>
      </c>
      <c r="X62" s="216" t="s">
        <v>339</v>
      </c>
      <c r="Y62" s="216" t="s">
        <v>339</v>
      </c>
      <c r="Z62" s="216">
        <f>Commuting_Frontend[[#This Row],[Methodology]]</f>
        <v>0</v>
      </c>
      <c r="AA62" s="396" t="e" cm="1">
        <f t="array" ref="AA62">INDEX(_xlfn.SWITCH(Commuting_Backend[[#This Row],[Methodology]],"Tier 1",rng_RSD1,"Tier 2",rng_RSD2,"Tier 3",rng_RSD3),MATCH(_xlfn.CONCAT(Commuting_Backend[[#This Row],[Level 1]:[Level 6]]),rng_LevelsConcat,0))</f>
        <v>#N/A</v>
      </c>
      <c r="AB62" s="221">
        <f>Commuting_Frontend[[#This Row],[Data]]</f>
        <v>0</v>
      </c>
      <c r="AC62" s="216">
        <f>Commuting_Frontend[[#This Row],[Units]]</f>
        <v>0</v>
      </c>
      <c r="AD62" s="221" t="e">
        <f>IF(Commuting_Backend[[#This Row],[Units]]=Commuting_Backend[[#This Row],[Standard units]],Commuting_Backend[[#This Row],[Data]],Commuting_Backend[[#This Row],[Data]]*_xlfn.XLOOKUP(_xlfn.CONCAT(Commuting_Backend[[#This Row],[Level 1]:[Level 6]]),rng_EFConcat,rng_EFConversion))</f>
        <v>#N/A</v>
      </c>
      <c r="AE62" s="216" t="e" cm="1">
        <f t="array" ref="AE62">_xlfn.XLOOKUP(_xlfn.CONCAT(Commuting_Backend[[#This Row],[Level 1]:[Level 6]]),rng_LevelsConcat,rng_UnitsLong)</f>
        <v>#N/A</v>
      </c>
      <c r="AF62" s="217" t="e">
        <f>_xlfn.XLOOKUP(_xlfn.CONCAT(Commuting_Backend[[#This Row],[Level 1]:[Level 6]]),rng_EFConcat,rng_EF1)*Commuting_Backend[[#This Row],[Converted data]]/1000</f>
        <v>#N/A</v>
      </c>
      <c r="AG62" s="217" t="e">
        <f>_xlfn.XLOOKUP(_xlfn.CONCAT(Commuting_Backend[[#This Row],[Level 1]:[Level 6]]),rng_EFConcat,rng_EF2)*Commuting_Backend[[#This Row],[Converted data]]/1000</f>
        <v>#N/A</v>
      </c>
      <c r="AH62" s="217" t="e">
        <f>_xlfn.XLOOKUP(_xlfn.CONCAT(Commuting_Backend[[#This Row],[Level 1]:[Level 6]]),rng_EFConcat,rng_EF3)*Commuting_Backend[[#This Row],[Converted data]]/1000</f>
        <v>#N/A</v>
      </c>
      <c r="AI62" s="217" t="e">
        <f>_xlfn.XLOOKUP(_xlfn.CONCAT(Commuting_Backend[[#This Row],[Level 1]:[Level 6]]),rng_EFConcat,rng_EF3WTT)*Commuting_Backend[[#This Row],[Converted data]]/1000</f>
        <v>#N/A</v>
      </c>
      <c r="AJ62" s="217" t="e">
        <f>_xlfn.XLOOKUP(_xlfn.CONCAT(Commuting_Backend[[#This Row],[Level 1]:[Level 6]]),rng_EFConcat,rng_EF3TD)*Commuting_Backend[[#This Row],[Converted data]]/1000</f>
        <v>#N/A</v>
      </c>
      <c r="AK62" s="217" t="e">
        <f>_xlfn.XLOOKUP(_xlfn.CONCAT(Commuting_Backend[[#This Row],[Level 1]:[Level 6]]),rng_EFConcat,rng_EF3WTTTD)*Commuting_Backend[[#This Row],[Converted data]]/1000</f>
        <v>#N/A</v>
      </c>
      <c r="AL62" s="221" t="e">
        <f>SUM(Commuting_Backend[[#This Row],[Scope 1 (tCO2e)]:[Scope 3 WTT T&amp;D (tCO2e)]])</f>
        <v>#N/A</v>
      </c>
      <c r="AM62" s="221" t="e">
        <f>Commuting_Backend[[#This Row],[Total (tCO2e)]]*(1-Commuting_Backend[[#This Row],[RSD]])</f>
        <v>#N/A</v>
      </c>
      <c r="AN62" s="221" t="e">
        <f>Commuting_Backend[[#This Row],[Total (tCO2e)]]*(1+Commuting_Backend[[#This Row],[RSD]])</f>
        <v>#N/A</v>
      </c>
      <c r="AO62" s="217" t="e">
        <f>_xlfn.XLOOKUP(_xlfn.CONCAT(Commuting_Backend[[#This Row],[Level 1]:[Level 6]]),rng_EFConcat,rng_EFOOS)*Commuting_Backend[[#This Row],[Converted data]]/1000</f>
        <v>#N/A</v>
      </c>
      <c r="AP62" s="216">
        <f>Commuting_Frontend[[#This Row],[Ease of collection]]</f>
        <v>0</v>
      </c>
      <c r="AQ62" s="228">
        <f>Commuting_Frontend[[#This Row],[Completeness]]</f>
        <v>0</v>
      </c>
      <c r="AR62" s="228">
        <f>Commuting_Frontend[[#This Row],[Notes]]</f>
        <v>0</v>
      </c>
      <c r="AU62"/>
      <c r="AV62"/>
      <c r="AW62"/>
      <c r="AX62"/>
      <c r="AY62"/>
      <c r="AZ62"/>
      <c r="BA62"/>
      <c r="BB62"/>
      <c r="BC62"/>
      <c r="BD62"/>
      <c r="BE62"/>
      <c r="BF62"/>
      <c r="BG62"/>
      <c r="BH62"/>
      <c r="BI62"/>
    </row>
    <row r="63" spans="2:61" ht="15" thickBot="1" x14ac:dyDescent="0.4">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c r="AT63"/>
      <c r="AU63"/>
      <c r="AV63"/>
      <c r="AW63"/>
      <c r="AX63"/>
      <c r="AY63"/>
      <c r="AZ63"/>
      <c r="BA63"/>
      <c r="BB63"/>
      <c r="BC63"/>
      <c r="BD63"/>
      <c r="BE63"/>
      <c r="BF63"/>
    </row>
    <row r="64" spans="2:61" ht="14.5" x14ac:dyDescent="0.35">
      <c r="AR64"/>
      <c r="AS64"/>
      <c r="AT64"/>
      <c r="AU64"/>
      <c r="AV64"/>
      <c r="AW64"/>
      <c r="AX64"/>
      <c r="AY64"/>
      <c r="AZ64"/>
      <c r="BA64"/>
      <c r="BB64"/>
      <c r="BC64"/>
      <c r="BD64"/>
      <c r="BE64"/>
      <c r="BF64"/>
    </row>
    <row r="65" spans="2:44" x14ac:dyDescent="0.3">
      <c r="B65" s="159" t="s">
        <v>12</v>
      </c>
      <c r="E65" s="160" t="s">
        <v>193</v>
      </c>
    </row>
    <row r="66" spans="2:44" x14ac:dyDescent="0.3"/>
    <row r="67" spans="2:44" ht="32.15" customHeight="1" x14ac:dyDescent="0.3">
      <c r="B67" s="455" t="s">
        <v>364</v>
      </c>
      <c r="E67" s="368" t="s">
        <v>365</v>
      </c>
      <c r="F67" s="368" t="s">
        <v>365</v>
      </c>
      <c r="G67" s="369" t="s">
        <v>366</v>
      </c>
      <c r="H67" s="327" t="s">
        <v>367</v>
      </c>
      <c r="I67" s="327" t="s">
        <v>287</v>
      </c>
      <c r="J67" s="327" t="s">
        <v>288</v>
      </c>
      <c r="K67" s="327" t="s">
        <v>289</v>
      </c>
      <c r="L67" s="327" t="s">
        <v>291</v>
      </c>
      <c r="M67" s="327" t="s">
        <v>292</v>
      </c>
      <c r="N67" s="327" t="s">
        <v>293</v>
      </c>
      <c r="O67" s="188">
        <f>AVERAGEIF($O$68:$O$88,"&lt;&gt;0",$O$68:$O$88)</f>
        <v>2</v>
      </c>
      <c r="Q67" s="225" t="s">
        <v>294</v>
      </c>
      <c r="R67" s="226" t="s">
        <v>295</v>
      </c>
      <c r="S67" s="226" t="s">
        <v>296</v>
      </c>
      <c r="T67" s="226" t="s">
        <v>297</v>
      </c>
      <c r="U67" s="226" t="s">
        <v>298</v>
      </c>
      <c r="V67" s="226" t="s">
        <v>299</v>
      </c>
      <c r="W67" s="226" t="s">
        <v>300</v>
      </c>
      <c r="X67" s="226" t="s">
        <v>301</v>
      </c>
      <c r="Y67" s="226" t="s">
        <v>302</v>
      </c>
      <c r="Z67" s="226" t="s">
        <v>287</v>
      </c>
      <c r="AA67" s="226" t="s">
        <v>303</v>
      </c>
      <c r="AB67" s="226" t="s">
        <v>288</v>
      </c>
      <c r="AC67" s="226" t="s">
        <v>289</v>
      </c>
      <c r="AD67" s="226" t="s">
        <v>304</v>
      </c>
      <c r="AE67" s="226" t="s">
        <v>305</v>
      </c>
      <c r="AF67" s="286" t="s">
        <v>306</v>
      </c>
      <c r="AG67" s="286" t="s">
        <v>307</v>
      </c>
      <c r="AH67" s="286" t="s">
        <v>308</v>
      </c>
      <c r="AI67" s="286" t="s">
        <v>309</v>
      </c>
      <c r="AJ67" s="286" t="s">
        <v>310</v>
      </c>
      <c r="AK67" s="286" t="s">
        <v>311</v>
      </c>
      <c r="AL67" s="286" t="s">
        <v>312</v>
      </c>
      <c r="AM67" s="286" t="s">
        <v>313</v>
      </c>
      <c r="AN67" s="286" t="s">
        <v>314</v>
      </c>
      <c r="AO67" s="286" t="s">
        <v>315</v>
      </c>
      <c r="AP67" s="226" t="s">
        <v>291</v>
      </c>
      <c r="AQ67" s="227" t="s">
        <v>292</v>
      </c>
      <c r="AR67" s="227" t="s">
        <v>293</v>
      </c>
    </row>
    <row r="68" spans="2:44" x14ac:dyDescent="0.3">
      <c r="B68" s="455"/>
      <c r="E68" s="329"/>
      <c r="F68" s="329"/>
      <c r="G68" s="342"/>
      <c r="H68" s="362"/>
      <c r="I68" s="172" t="s">
        <v>199</v>
      </c>
      <c r="J68" s="332" t="str">
        <f>IF($G68="","",Homeworking_Frontend[[#This Row],[Number of FTE]]*Homeworking_Frontend[[#This Row],[% Working hours at home]]*37.5*46.4)</f>
        <v/>
      </c>
      <c r="K68" s="172" t="s">
        <v>368</v>
      </c>
      <c r="L68" s="336"/>
      <c r="M68" s="336"/>
      <c r="N68" s="364"/>
      <c r="O68" s="267">
        <f>ISBLANK(G68)+ISBLANK(H68)</f>
        <v>2</v>
      </c>
      <c r="Q68" s="212" t="str">
        <f t="shared" ref="Q68:Q88" si="4">IF(O68=0,SUBSTITUTE(2025&amp;TRIM(cl_org_name_select)&amp;TRIM($E$65)&amp;(ROW(O68)-ROW($O$68))," ",""),"")</f>
        <v/>
      </c>
      <c r="R68" s="174" t="s">
        <v>220</v>
      </c>
      <c r="S68" s="174" t="s">
        <v>193</v>
      </c>
      <c r="T68" s="174" t="str" cm="1">
        <f t="array" aca="1" ref="T68" ca="1">_xlfn.XLOOKUP(Homeworking_Backend[[#This Row],[Level 2]],rng_Level2Long,rng_Level3Long)</f>
        <v>Homeworking</v>
      </c>
      <c r="U68" s="174" t="str" cm="1">
        <f t="array" aca="1" ref="U68" ca="1">_xlfn.XLOOKUP(Homeworking_Backend[[#This Row],[Level 3]],rng_Level3Long,rng_Level4Long)</f>
        <v>Homeworking</v>
      </c>
      <c r="V68" s="174" t="str" cm="1">
        <f t="array" aca="1" ref="V68" ca="1">_xlfn.XLOOKUP(Homeworking_Backend[[#This Row],[Level 4]],rng_Level4Long,rng_Level5Long)</f>
        <v>Homeworking</v>
      </c>
      <c r="W68" s="174" t="str" cm="1">
        <f t="array" aca="1" ref="W68" ca="1">_xlfn.XLOOKUP(Homeworking_Backend[[#This Row],[Level 5]],rng_Level5Long,rng_Level6Long)</f>
        <v>NaN</v>
      </c>
      <c r="X68" s="174"/>
      <c r="Y68" s="174"/>
      <c r="Z68" s="174" t="str">
        <f>Homeworking_Frontend[[#This Row],[Methodology]]</f>
        <v>Tier 2</v>
      </c>
      <c r="AA68" s="229" cm="1">
        <f t="array" aca="1" ref="AA68" ca="1">INDEX(_xlfn.SWITCH(Homeworking_Backend[[#This Row],[Methodology]],"Tier 1",rng_RSD1,"Tier 2",rng_RSD2,"Tier 3",rng_RSD3),MATCH(_xlfn.CONCAT(Homeworking_Backend[[#This Row],[Level 1]:[Level 6]]),rng_LevelsConcat,0))</f>
        <v>0.2</v>
      </c>
      <c r="AB68" s="220" t="str">
        <f>Homeworking_Frontend[[#This Row],[Data]]</f>
        <v/>
      </c>
      <c r="AC68" s="220" t="str">
        <f>Homeworking_Frontend[[#This Row],[Units]]</f>
        <v>FTE.hrs</v>
      </c>
      <c r="AD68" s="220" t="str">
        <f ca="1">IF(Homeworking_Backend[[#This Row],[Units]]=Homeworking_Backend[[#This Row],[Standard units]],Homeworking_Backend[[#This Row],[Data]],Homeworking_Backend[[#This Row],[Data]]*_xlfn.XLOOKUP(_xlfn.CONCAT(Homeworking_Backend[[#This Row],[Level 1]:[Level 6]]),rng_EFConcat,rng_EFConversion))</f>
        <v/>
      </c>
      <c r="AE68" s="174" t="str" cm="1">
        <f t="array" aca="1" ref="AE68" ca="1">_xlfn.XLOOKUP(_xlfn.CONCAT(Homeworking_Backend[[#This Row],[Level 1]:[Level 6]]),rng_LevelsConcat,rng_UnitsLong)</f>
        <v>FTE.hrs</v>
      </c>
      <c r="AF68" s="210" t="e">
        <f ca="1">_xlfn.XLOOKUP(_xlfn.CONCAT(Homeworking_Backend[[#This Row],[Level 1]:[Level 6]]),rng_EFConcat,rng_EF1)*Homeworking_Backend[[#This Row],[Converted data]]/1000</f>
        <v>#VALUE!</v>
      </c>
      <c r="AG68" s="210" t="e">
        <f ca="1">_xlfn.XLOOKUP(_xlfn.CONCAT(Homeworking_Backend[[#This Row],[Level 1]:[Level 6]]),rng_EFConcat,rng_EF2)*Homeworking_Backend[[#This Row],[Converted data]]/1000</f>
        <v>#VALUE!</v>
      </c>
      <c r="AH68" s="210" t="e">
        <f ca="1">_xlfn.XLOOKUP(_xlfn.CONCAT(Homeworking_Backend[[#This Row],[Level 1]:[Level 6]]),rng_EFConcat,rng_EF3)*Homeworking_Backend[[#This Row],[Converted data]]/1000</f>
        <v>#VALUE!</v>
      </c>
      <c r="AI68" s="210" t="e">
        <f ca="1">_xlfn.XLOOKUP(_xlfn.CONCAT(Homeworking_Backend[[#This Row],[Level 1]:[Level 6]]),rng_EFConcat,rng_EF3WTT)*Homeworking_Backend[[#This Row],[Converted data]]/1000</f>
        <v>#VALUE!</v>
      </c>
      <c r="AJ68" s="210" t="e">
        <f ca="1">_xlfn.XLOOKUP(_xlfn.CONCAT(Homeworking_Backend[[#This Row],[Level 1]:[Level 6]]),rng_EFConcat,rng_EF3TD)*Homeworking_Backend[[#This Row],[Converted data]]/1000</f>
        <v>#VALUE!</v>
      </c>
      <c r="AK68" s="210" t="e">
        <f ca="1">_xlfn.XLOOKUP(_xlfn.CONCAT(Homeworking_Backend[[#This Row],[Level 1]:[Level 6]]),rng_EFConcat,rng_EF3WTTTD)*Homeworking_Backend[[#This Row],[Converted data]]/1000</f>
        <v>#VALUE!</v>
      </c>
      <c r="AL68" s="220" t="e">
        <f ca="1">SUM(Homeworking_Backend[[#This Row],[Scope 1 (tCO2e)]:[Scope 3 WTT T&amp;D (tCO2e)]])</f>
        <v>#VALUE!</v>
      </c>
      <c r="AM68" s="220" t="e">
        <f ca="1">Homeworking_Backend[[#This Row],[Total (tCO2e)]]*(1-Homeworking_Backend[[#This Row],[RSD]])</f>
        <v>#VALUE!</v>
      </c>
      <c r="AN68" s="220" t="e">
        <f ca="1">Homeworking_Backend[[#This Row],[Total (tCO2e)]]*(1+Homeworking_Backend[[#This Row],[RSD]])</f>
        <v>#VALUE!</v>
      </c>
      <c r="AO68" s="210" t="e">
        <f ca="1">_xlfn.XLOOKUP(_xlfn.CONCAT(Homeworking_Backend[[#This Row],[Level 1]:[Level 6]]),rng_EFConcat,rng_EFOOS)*Homeworking_Backend[[#This Row],[Converted data]]/1000</f>
        <v>#VALUE!</v>
      </c>
      <c r="AP68" s="174">
        <f>Homeworking_Frontend[[#This Row],[Ease of collection]]</f>
        <v>0</v>
      </c>
      <c r="AQ68" s="174">
        <f>Homeworking_Frontend[[#This Row],[Completeness]]</f>
        <v>0</v>
      </c>
      <c r="AR68" s="174">
        <f>Homeworking_Frontend[[#This Row],[Notes]]</f>
        <v>0</v>
      </c>
    </row>
    <row r="69" spans="2:44" x14ac:dyDescent="0.3">
      <c r="B69" s="455"/>
      <c r="E69" s="329"/>
      <c r="F69" s="329"/>
      <c r="G69" s="342"/>
      <c r="H69" s="362"/>
      <c r="I69" s="172" t="s">
        <v>199</v>
      </c>
      <c r="J69" s="332" t="str">
        <f>IF($G69="","",Homeworking_Frontend[[#This Row],[Number of FTE]]*Homeworking_Frontend[[#This Row],[% Working hours at home]]*37.5*46.4)</f>
        <v/>
      </c>
      <c r="K69" s="172" t="s">
        <v>368</v>
      </c>
      <c r="L69" s="336"/>
      <c r="M69" s="336"/>
      <c r="N69" s="364"/>
      <c r="O69" s="267">
        <f t="shared" ref="O69:O88" si="5">ISBLANK(G69)+ISBLANK(H69)</f>
        <v>2</v>
      </c>
      <c r="Q69" s="212" t="str">
        <f t="shared" si="4"/>
        <v/>
      </c>
      <c r="R69" s="174" t="s">
        <v>220</v>
      </c>
      <c r="S69" s="174" t="s">
        <v>193</v>
      </c>
      <c r="T69" s="174" t="str" cm="1">
        <f t="array" aca="1" ref="T69" ca="1">_xlfn.XLOOKUP(Homeworking_Backend[[#This Row],[Level 2]],rng_Level2Long,rng_Level3Long)</f>
        <v>Homeworking</v>
      </c>
      <c r="U69" s="174" t="str" cm="1">
        <f t="array" aca="1" ref="U69" ca="1">_xlfn.XLOOKUP(Homeworking_Backend[[#This Row],[Level 3]],rng_Level3Long,rng_Level4Long)</f>
        <v>Homeworking</v>
      </c>
      <c r="V69" s="174" t="str" cm="1">
        <f t="array" aca="1" ref="V69" ca="1">_xlfn.XLOOKUP(Homeworking_Backend[[#This Row],[Level 4]],rng_Level4Long,rng_Level5Long)</f>
        <v>Homeworking</v>
      </c>
      <c r="W69" s="174" t="str" cm="1">
        <f t="array" aca="1" ref="W69" ca="1">_xlfn.XLOOKUP(Homeworking_Backend[[#This Row],[Level 5]],rng_Level5Long,rng_Level6Long)</f>
        <v>NaN</v>
      </c>
      <c r="X69" s="174"/>
      <c r="Y69" s="174"/>
      <c r="Z69" s="174" t="str">
        <f>Homeworking_Frontend[[#This Row],[Methodology]]</f>
        <v>Tier 2</v>
      </c>
      <c r="AA69" s="229" cm="1">
        <f t="array" aca="1" ref="AA69" ca="1">INDEX(_xlfn.SWITCH(Homeworking_Backend[[#This Row],[Methodology]],"Tier 1",rng_RSD1,"Tier 2",rng_RSD2,"Tier 3",rng_RSD3),MATCH(_xlfn.CONCAT(Homeworking_Backend[[#This Row],[Level 1]:[Level 6]]),rng_LevelsConcat,0))</f>
        <v>0.2</v>
      </c>
      <c r="AB69" s="220" t="str">
        <f>Homeworking_Frontend[[#This Row],[Data]]</f>
        <v/>
      </c>
      <c r="AC69" s="220" t="str">
        <f>Homeworking_Frontend[[#This Row],[Units]]</f>
        <v>FTE.hrs</v>
      </c>
      <c r="AD69" s="220" t="str">
        <f ca="1">IF(Homeworking_Backend[[#This Row],[Units]]=Homeworking_Backend[[#This Row],[Standard units]],Homeworking_Backend[[#This Row],[Data]],Homeworking_Backend[[#This Row],[Data]]*_xlfn.XLOOKUP(_xlfn.CONCAT(Homeworking_Backend[[#This Row],[Level 1]:[Level 6]]),rng_EFConcat,rng_EFConversion))</f>
        <v/>
      </c>
      <c r="AE69" s="174" t="str" cm="1">
        <f t="array" aca="1" ref="AE69" ca="1">_xlfn.XLOOKUP(_xlfn.CONCAT(Homeworking_Backend[[#This Row],[Level 1]:[Level 6]]),rng_LevelsConcat,rng_UnitsLong)</f>
        <v>FTE.hrs</v>
      </c>
      <c r="AF69" s="210" t="e">
        <f ca="1">_xlfn.XLOOKUP(_xlfn.CONCAT(Homeworking_Backend[[#This Row],[Level 1]:[Level 6]]),rng_EFConcat,rng_EF1)*Homeworking_Backend[[#This Row],[Converted data]]/1000</f>
        <v>#VALUE!</v>
      </c>
      <c r="AG69" s="210" t="e">
        <f ca="1">_xlfn.XLOOKUP(_xlfn.CONCAT(Homeworking_Backend[[#This Row],[Level 1]:[Level 6]]),rng_EFConcat,rng_EF2)*Homeworking_Backend[[#This Row],[Converted data]]/1000</f>
        <v>#VALUE!</v>
      </c>
      <c r="AH69" s="210" t="e">
        <f ca="1">_xlfn.XLOOKUP(_xlfn.CONCAT(Homeworking_Backend[[#This Row],[Level 1]:[Level 6]]),rng_EFConcat,rng_EF3)*Homeworking_Backend[[#This Row],[Converted data]]/1000</f>
        <v>#VALUE!</v>
      </c>
      <c r="AI69" s="210" t="e">
        <f ca="1">_xlfn.XLOOKUP(_xlfn.CONCAT(Homeworking_Backend[[#This Row],[Level 1]:[Level 6]]),rng_EFConcat,rng_EF3WTT)*Homeworking_Backend[[#This Row],[Converted data]]/1000</f>
        <v>#VALUE!</v>
      </c>
      <c r="AJ69" s="210" t="e">
        <f ca="1">_xlfn.XLOOKUP(_xlfn.CONCAT(Homeworking_Backend[[#This Row],[Level 1]:[Level 6]]),rng_EFConcat,rng_EF3TD)*Homeworking_Backend[[#This Row],[Converted data]]/1000</f>
        <v>#VALUE!</v>
      </c>
      <c r="AK69" s="210" t="e">
        <f ca="1">_xlfn.XLOOKUP(_xlfn.CONCAT(Homeworking_Backend[[#This Row],[Level 1]:[Level 6]]),rng_EFConcat,rng_EF3WTTTD)*Homeworking_Backend[[#This Row],[Converted data]]/1000</f>
        <v>#VALUE!</v>
      </c>
      <c r="AL69" s="220" t="e">
        <f ca="1">SUM(Homeworking_Backend[[#This Row],[Scope 1 (tCO2e)]:[Scope 3 WTT T&amp;D (tCO2e)]])</f>
        <v>#VALUE!</v>
      </c>
      <c r="AM69" s="220" t="e">
        <f ca="1">Homeworking_Backend[[#This Row],[Total (tCO2e)]]*(1-Homeworking_Backend[[#This Row],[RSD]])</f>
        <v>#VALUE!</v>
      </c>
      <c r="AN69" s="220" t="e">
        <f ca="1">Homeworking_Backend[[#This Row],[Total (tCO2e)]]*(1+Homeworking_Backend[[#This Row],[RSD]])</f>
        <v>#VALUE!</v>
      </c>
      <c r="AO69" s="210" t="e">
        <f ca="1">_xlfn.XLOOKUP(_xlfn.CONCAT(Homeworking_Backend[[#This Row],[Level 1]:[Level 6]]),rng_EFConcat,rng_EFOOS)*Homeworking_Backend[[#This Row],[Converted data]]/1000</f>
        <v>#VALUE!</v>
      </c>
      <c r="AP69" s="174">
        <f>Homeworking_Frontend[[#This Row],[Ease of collection]]</f>
        <v>0</v>
      </c>
      <c r="AQ69" s="174">
        <f>Homeworking_Frontend[[#This Row],[Completeness]]</f>
        <v>0</v>
      </c>
      <c r="AR69" s="174">
        <f>Homeworking_Frontend[[#This Row],[Notes]]</f>
        <v>0</v>
      </c>
    </row>
    <row r="70" spans="2:44" x14ac:dyDescent="0.3">
      <c r="B70" s="455"/>
      <c r="E70" s="329"/>
      <c r="F70" s="329"/>
      <c r="G70" s="342"/>
      <c r="H70" s="362"/>
      <c r="I70" s="172" t="s">
        <v>199</v>
      </c>
      <c r="J70" s="332" t="str">
        <f>IF($G70="","",Homeworking_Frontend[[#This Row],[Number of FTE]]*Homeworking_Frontend[[#This Row],[% Working hours at home]]*37.5*46.4)</f>
        <v/>
      </c>
      <c r="K70" s="172" t="s">
        <v>368</v>
      </c>
      <c r="L70" s="336"/>
      <c r="M70" s="336"/>
      <c r="N70" s="364"/>
      <c r="O70" s="267">
        <f t="shared" si="5"/>
        <v>2</v>
      </c>
      <c r="Q70" s="212" t="str">
        <f t="shared" si="4"/>
        <v/>
      </c>
      <c r="R70" s="174" t="s">
        <v>220</v>
      </c>
      <c r="S70" s="174" t="s">
        <v>193</v>
      </c>
      <c r="T70" s="174" t="str" cm="1">
        <f t="array" aca="1" ref="T70" ca="1">_xlfn.XLOOKUP(Homeworking_Backend[[#This Row],[Level 2]],rng_Level2Long,rng_Level3Long)</f>
        <v>Homeworking</v>
      </c>
      <c r="U70" s="174" t="str" cm="1">
        <f t="array" aca="1" ref="U70" ca="1">_xlfn.XLOOKUP(Homeworking_Backend[[#This Row],[Level 3]],rng_Level3Long,rng_Level4Long)</f>
        <v>Homeworking</v>
      </c>
      <c r="V70" s="174" t="str" cm="1">
        <f t="array" aca="1" ref="V70" ca="1">_xlfn.XLOOKUP(Homeworking_Backend[[#This Row],[Level 4]],rng_Level4Long,rng_Level5Long)</f>
        <v>Homeworking</v>
      </c>
      <c r="W70" s="174" t="str" cm="1">
        <f t="array" aca="1" ref="W70" ca="1">_xlfn.XLOOKUP(Homeworking_Backend[[#This Row],[Level 5]],rng_Level5Long,rng_Level6Long)</f>
        <v>NaN</v>
      </c>
      <c r="X70" s="174"/>
      <c r="Y70" s="174"/>
      <c r="Z70" s="174" t="str">
        <f>Homeworking_Frontend[[#This Row],[Methodology]]</f>
        <v>Tier 2</v>
      </c>
      <c r="AA70" s="229" cm="1">
        <f t="array" aca="1" ref="AA70" ca="1">INDEX(_xlfn.SWITCH(Homeworking_Backend[[#This Row],[Methodology]],"Tier 1",rng_RSD1,"Tier 2",rng_RSD2,"Tier 3",rng_RSD3),MATCH(_xlfn.CONCAT(Homeworking_Backend[[#This Row],[Level 1]:[Level 6]]),rng_LevelsConcat,0))</f>
        <v>0.2</v>
      </c>
      <c r="AB70" s="220" t="str">
        <f>Homeworking_Frontend[[#This Row],[Data]]</f>
        <v/>
      </c>
      <c r="AC70" s="220" t="str">
        <f>Homeworking_Frontend[[#This Row],[Units]]</f>
        <v>FTE.hrs</v>
      </c>
      <c r="AD70" s="220" t="str">
        <f ca="1">IF(Homeworking_Backend[[#This Row],[Units]]=Homeworking_Backend[[#This Row],[Standard units]],Homeworking_Backend[[#This Row],[Data]],Homeworking_Backend[[#This Row],[Data]]*_xlfn.XLOOKUP(_xlfn.CONCAT(Homeworking_Backend[[#This Row],[Level 1]:[Level 6]]),rng_EFConcat,rng_EFConversion))</f>
        <v/>
      </c>
      <c r="AE70" s="174" t="str" cm="1">
        <f t="array" aca="1" ref="AE70" ca="1">_xlfn.XLOOKUP(_xlfn.CONCAT(Homeworking_Backend[[#This Row],[Level 1]:[Level 6]]),rng_LevelsConcat,rng_UnitsLong)</f>
        <v>FTE.hrs</v>
      </c>
      <c r="AF70" s="210" t="e">
        <f ca="1">_xlfn.XLOOKUP(_xlfn.CONCAT(Homeworking_Backend[[#This Row],[Level 1]:[Level 6]]),rng_EFConcat,rng_EF1)*Homeworking_Backend[[#This Row],[Converted data]]/1000</f>
        <v>#VALUE!</v>
      </c>
      <c r="AG70" s="210" t="e">
        <f ca="1">_xlfn.XLOOKUP(_xlfn.CONCAT(Homeworking_Backend[[#This Row],[Level 1]:[Level 6]]),rng_EFConcat,rng_EF2)*Homeworking_Backend[[#This Row],[Converted data]]/1000</f>
        <v>#VALUE!</v>
      </c>
      <c r="AH70" s="210" t="e">
        <f ca="1">_xlfn.XLOOKUP(_xlfn.CONCAT(Homeworking_Backend[[#This Row],[Level 1]:[Level 6]]),rng_EFConcat,rng_EF3)*Homeworking_Backend[[#This Row],[Converted data]]/1000</f>
        <v>#VALUE!</v>
      </c>
      <c r="AI70" s="210" t="e">
        <f ca="1">_xlfn.XLOOKUP(_xlfn.CONCAT(Homeworking_Backend[[#This Row],[Level 1]:[Level 6]]),rng_EFConcat,rng_EF3WTT)*Homeworking_Backend[[#This Row],[Converted data]]/1000</f>
        <v>#VALUE!</v>
      </c>
      <c r="AJ70" s="210" t="e">
        <f ca="1">_xlfn.XLOOKUP(_xlfn.CONCAT(Homeworking_Backend[[#This Row],[Level 1]:[Level 6]]),rng_EFConcat,rng_EF3TD)*Homeworking_Backend[[#This Row],[Converted data]]/1000</f>
        <v>#VALUE!</v>
      </c>
      <c r="AK70" s="210" t="e">
        <f ca="1">_xlfn.XLOOKUP(_xlfn.CONCAT(Homeworking_Backend[[#This Row],[Level 1]:[Level 6]]),rng_EFConcat,rng_EF3WTTTD)*Homeworking_Backend[[#This Row],[Converted data]]/1000</f>
        <v>#VALUE!</v>
      </c>
      <c r="AL70" s="220" t="e">
        <f ca="1">SUM(Homeworking_Backend[[#This Row],[Scope 1 (tCO2e)]:[Scope 3 WTT T&amp;D (tCO2e)]])</f>
        <v>#VALUE!</v>
      </c>
      <c r="AM70" s="220" t="e">
        <f ca="1">Homeworking_Backend[[#This Row],[Total (tCO2e)]]*(1-Homeworking_Backend[[#This Row],[RSD]])</f>
        <v>#VALUE!</v>
      </c>
      <c r="AN70" s="220" t="e">
        <f ca="1">Homeworking_Backend[[#This Row],[Total (tCO2e)]]*(1+Homeworking_Backend[[#This Row],[RSD]])</f>
        <v>#VALUE!</v>
      </c>
      <c r="AO70" s="210" t="e">
        <f ca="1">_xlfn.XLOOKUP(_xlfn.CONCAT(Homeworking_Backend[[#This Row],[Level 1]:[Level 6]]),rng_EFConcat,rng_EFOOS)*Homeworking_Backend[[#This Row],[Converted data]]/1000</f>
        <v>#VALUE!</v>
      </c>
      <c r="AP70" s="174">
        <f>Homeworking_Frontend[[#This Row],[Ease of collection]]</f>
        <v>0</v>
      </c>
      <c r="AQ70" s="174">
        <f>Homeworking_Frontend[[#This Row],[Completeness]]</f>
        <v>0</v>
      </c>
      <c r="AR70" s="174">
        <f>Homeworking_Frontend[[#This Row],[Notes]]</f>
        <v>0</v>
      </c>
    </row>
    <row r="71" spans="2:44" x14ac:dyDescent="0.3">
      <c r="B71" s="455"/>
      <c r="E71" s="329"/>
      <c r="F71" s="329"/>
      <c r="G71" s="342"/>
      <c r="H71" s="362"/>
      <c r="I71" s="172" t="s">
        <v>199</v>
      </c>
      <c r="J71" s="332" t="str">
        <f>IF($G71="","",Homeworking_Frontend[[#This Row],[Number of FTE]]*Homeworking_Frontend[[#This Row],[% Working hours at home]]*37.5*46.4)</f>
        <v/>
      </c>
      <c r="K71" s="172" t="s">
        <v>368</v>
      </c>
      <c r="L71" s="336"/>
      <c r="M71" s="336"/>
      <c r="N71" s="364"/>
      <c r="O71" s="267">
        <f t="shared" si="5"/>
        <v>2</v>
      </c>
      <c r="Q71" s="212" t="str">
        <f t="shared" si="4"/>
        <v/>
      </c>
      <c r="R71" s="174" t="s">
        <v>220</v>
      </c>
      <c r="S71" s="174" t="s">
        <v>193</v>
      </c>
      <c r="T71" s="174" t="str" cm="1">
        <f t="array" aca="1" ref="T71" ca="1">_xlfn.XLOOKUP(Homeworking_Backend[[#This Row],[Level 2]],rng_Level2Long,rng_Level3Long)</f>
        <v>Homeworking</v>
      </c>
      <c r="U71" s="174" t="str" cm="1">
        <f t="array" aca="1" ref="U71" ca="1">_xlfn.XLOOKUP(Homeworking_Backend[[#This Row],[Level 3]],rng_Level3Long,rng_Level4Long)</f>
        <v>Homeworking</v>
      </c>
      <c r="V71" s="174" t="str" cm="1">
        <f t="array" aca="1" ref="V71" ca="1">_xlfn.XLOOKUP(Homeworking_Backend[[#This Row],[Level 4]],rng_Level4Long,rng_Level5Long)</f>
        <v>Homeworking</v>
      </c>
      <c r="W71" s="174" t="str" cm="1">
        <f t="array" aca="1" ref="W71" ca="1">_xlfn.XLOOKUP(Homeworking_Backend[[#This Row],[Level 5]],rng_Level5Long,rng_Level6Long)</f>
        <v>NaN</v>
      </c>
      <c r="X71" s="174"/>
      <c r="Y71" s="174"/>
      <c r="Z71" s="174" t="str">
        <f>Homeworking_Frontend[[#This Row],[Methodology]]</f>
        <v>Tier 2</v>
      </c>
      <c r="AA71" s="229" cm="1">
        <f t="array" aca="1" ref="AA71" ca="1">INDEX(_xlfn.SWITCH(Homeworking_Backend[[#This Row],[Methodology]],"Tier 1",rng_RSD1,"Tier 2",rng_RSD2,"Tier 3",rng_RSD3),MATCH(_xlfn.CONCAT(Homeworking_Backend[[#This Row],[Level 1]:[Level 6]]),rng_LevelsConcat,0))</f>
        <v>0.2</v>
      </c>
      <c r="AB71" s="220" t="str">
        <f>Homeworking_Frontend[[#This Row],[Data]]</f>
        <v/>
      </c>
      <c r="AC71" s="220" t="str">
        <f>Homeworking_Frontend[[#This Row],[Units]]</f>
        <v>FTE.hrs</v>
      </c>
      <c r="AD71" s="220" t="str">
        <f ca="1">IF(Homeworking_Backend[[#This Row],[Units]]=Homeworking_Backend[[#This Row],[Standard units]],Homeworking_Backend[[#This Row],[Data]],Homeworking_Backend[[#This Row],[Data]]*_xlfn.XLOOKUP(_xlfn.CONCAT(Homeworking_Backend[[#This Row],[Level 1]:[Level 6]]),rng_EFConcat,rng_EFConversion))</f>
        <v/>
      </c>
      <c r="AE71" s="174" t="str" cm="1">
        <f t="array" aca="1" ref="AE71" ca="1">_xlfn.XLOOKUP(_xlfn.CONCAT(Homeworking_Backend[[#This Row],[Level 1]:[Level 6]]),rng_LevelsConcat,rng_UnitsLong)</f>
        <v>FTE.hrs</v>
      </c>
      <c r="AF71" s="210" t="e">
        <f ca="1">_xlfn.XLOOKUP(_xlfn.CONCAT(Homeworking_Backend[[#This Row],[Level 1]:[Level 6]]),rng_EFConcat,rng_EF1)*Homeworking_Backend[[#This Row],[Converted data]]/1000</f>
        <v>#VALUE!</v>
      </c>
      <c r="AG71" s="210" t="e">
        <f ca="1">_xlfn.XLOOKUP(_xlfn.CONCAT(Homeworking_Backend[[#This Row],[Level 1]:[Level 6]]),rng_EFConcat,rng_EF2)*Homeworking_Backend[[#This Row],[Converted data]]/1000</f>
        <v>#VALUE!</v>
      </c>
      <c r="AH71" s="210" t="e">
        <f ca="1">_xlfn.XLOOKUP(_xlfn.CONCAT(Homeworking_Backend[[#This Row],[Level 1]:[Level 6]]),rng_EFConcat,rng_EF3)*Homeworking_Backend[[#This Row],[Converted data]]/1000</f>
        <v>#VALUE!</v>
      </c>
      <c r="AI71" s="210" t="e">
        <f ca="1">_xlfn.XLOOKUP(_xlfn.CONCAT(Homeworking_Backend[[#This Row],[Level 1]:[Level 6]]),rng_EFConcat,rng_EF3WTT)*Homeworking_Backend[[#This Row],[Converted data]]/1000</f>
        <v>#VALUE!</v>
      </c>
      <c r="AJ71" s="210" t="e">
        <f ca="1">_xlfn.XLOOKUP(_xlfn.CONCAT(Homeworking_Backend[[#This Row],[Level 1]:[Level 6]]),rng_EFConcat,rng_EF3TD)*Homeworking_Backend[[#This Row],[Converted data]]/1000</f>
        <v>#VALUE!</v>
      </c>
      <c r="AK71" s="210" t="e">
        <f ca="1">_xlfn.XLOOKUP(_xlfn.CONCAT(Homeworking_Backend[[#This Row],[Level 1]:[Level 6]]),rng_EFConcat,rng_EF3WTTTD)*Homeworking_Backend[[#This Row],[Converted data]]/1000</f>
        <v>#VALUE!</v>
      </c>
      <c r="AL71" s="220" t="e">
        <f ca="1">SUM(Homeworking_Backend[[#This Row],[Scope 1 (tCO2e)]:[Scope 3 WTT T&amp;D (tCO2e)]])</f>
        <v>#VALUE!</v>
      </c>
      <c r="AM71" s="220" t="e">
        <f ca="1">Homeworking_Backend[[#This Row],[Total (tCO2e)]]*(1-Homeworking_Backend[[#This Row],[RSD]])</f>
        <v>#VALUE!</v>
      </c>
      <c r="AN71" s="220" t="e">
        <f ca="1">Homeworking_Backend[[#This Row],[Total (tCO2e)]]*(1+Homeworking_Backend[[#This Row],[RSD]])</f>
        <v>#VALUE!</v>
      </c>
      <c r="AO71" s="210" t="e">
        <f ca="1">_xlfn.XLOOKUP(_xlfn.CONCAT(Homeworking_Backend[[#This Row],[Level 1]:[Level 6]]),rng_EFConcat,rng_EFOOS)*Homeworking_Backend[[#This Row],[Converted data]]/1000</f>
        <v>#VALUE!</v>
      </c>
      <c r="AP71" s="174">
        <f>Homeworking_Frontend[[#This Row],[Ease of collection]]</f>
        <v>0</v>
      </c>
      <c r="AQ71" s="174">
        <f>Homeworking_Frontend[[#This Row],[Completeness]]</f>
        <v>0</v>
      </c>
      <c r="AR71" s="174">
        <f>Homeworking_Frontend[[#This Row],[Notes]]</f>
        <v>0</v>
      </c>
    </row>
    <row r="72" spans="2:44" x14ac:dyDescent="0.3">
      <c r="B72" s="455"/>
      <c r="E72" s="329"/>
      <c r="F72" s="329"/>
      <c r="G72" s="342"/>
      <c r="H72" s="362"/>
      <c r="I72" s="172" t="s">
        <v>199</v>
      </c>
      <c r="J72" s="332" t="str">
        <f>IF($G72="","",Homeworking_Frontend[[#This Row],[Number of FTE]]*Homeworking_Frontend[[#This Row],[% Working hours at home]]*37.5*46.4)</f>
        <v/>
      </c>
      <c r="K72" s="172" t="s">
        <v>368</v>
      </c>
      <c r="L72" s="336"/>
      <c r="M72" s="336"/>
      <c r="N72" s="364"/>
      <c r="O72" s="267">
        <f t="shared" si="5"/>
        <v>2</v>
      </c>
      <c r="Q72" s="212" t="str">
        <f t="shared" si="4"/>
        <v/>
      </c>
      <c r="R72" s="174" t="s">
        <v>220</v>
      </c>
      <c r="S72" s="174" t="s">
        <v>193</v>
      </c>
      <c r="T72" s="174" t="str" cm="1">
        <f t="array" aca="1" ref="T72" ca="1">_xlfn.XLOOKUP(Homeworking_Backend[[#This Row],[Level 2]],rng_Level2Long,rng_Level3Long)</f>
        <v>Homeworking</v>
      </c>
      <c r="U72" s="174" t="str" cm="1">
        <f t="array" aca="1" ref="U72" ca="1">_xlfn.XLOOKUP(Homeworking_Backend[[#This Row],[Level 3]],rng_Level3Long,rng_Level4Long)</f>
        <v>Homeworking</v>
      </c>
      <c r="V72" s="174" t="str" cm="1">
        <f t="array" aca="1" ref="V72" ca="1">_xlfn.XLOOKUP(Homeworking_Backend[[#This Row],[Level 4]],rng_Level4Long,rng_Level5Long)</f>
        <v>Homeworking</v>
      </c>
      <c r="W72" s="174" t="str" cm="1">
        <f t="array" aca="1" ref="W72" ca="1">_xlfn.XLOOKUP(Homeworking_Backend[[#This Row],[Level 5]],rng_Level5Long,rng_Level6Long)</f>
        <v>NaN</v>
      </c>
      <c r="X72" s="174"/>
      <c r="Y72" s="174"/>
      <c r="Z72" s="174" t="str">
        <f>Homeworking_Frontend[[#This Row],[Methodology]]</f>
        <v>Tier 2</v>
      </c>
      <c r="AA72" s="229" cm="1">
        <f t="array" aca="1" ref="AA72" ca="1">INDEX(_xlfn.SWITCH(Homeworking_Backend[[#This Row],[Methodology]],"Tier 1",rng_RSD1,"Tier 2",rng_RSD2,"Tier 3",rng_RSD3),MATCH(_xlfn.CONCAT(Homeworking_Backend[[#This Row],[Level 1]:[Level 6]]),rng_LevelsConcat,0))</f>
        <v>0.2</v>
      </c>
      <c r="AB72" s="220" t="str">
        <f>Homeworking_Frontend[[#This Row],[Data]]</f>
        <v/>
      </c>
      <c r="AC72" s="220" t="str">
        <f>Homeworking_Frontend[[#This Row],[Units]]</f>
        <v>FTE.hrs</v>
      </c>
      <c r="AD72" s="220" t="str">
        <f ca="1">IF(Homeworking_Backend[[#This Row],[Units]]=Homeworking_Backend[[#This Row],[Standard units]],Homeworking_Backend[[#This Row],[Data]],Homeworking_Backend[[#This Row],[Data]]*_xlfn.XLOOKUP(_xlfn.CONCAT(Homeworking_Backend[[#This Row],[Level 1]:[Level 6]]),rng_EFConcat,rng_EFConversion))</f>
        <v/>
      </c>
      <c r="AE72" s="174" t="str" cm="1">
        <f t="array" aca="1" ref="AE72" ca="1">_xlfn.XLOOKUP(_xlfn.CONCAT(Homeworking_Backend[[#This Row],[Level 1]:[Level 6]]),rng_LevelsConcat,rng_UnitsLong)</f>
        <v>FTE.hrs</v>
      </c>
      <c r="AF72" s="210" t="e">
        <f ca="1">_xlfn.XLOOKUP(_xlfn.CONCAT(Homeworking_Backend[[#This Row],[Level 1]:[Level 6]]),rng_EFConcat,rng_EF1)*Homeworking_Backend[[#This Row],[Converted data]]/1000</f>
        <v>#VALUE!</v>
      </c>
      <c r="AG72" s="210" t="e">
        <f ca="1">_xlfn.XLOOKUP(_xlfn.CONCAT(Homeworking_Backend[[#This Row],[Level 1]:[Level 6]]),rng_EFConcat,rng_EF2)*Homeworking_Backend[[#This Row],[Converted data]]/1000</f>
        <v>#VALUE!</v>
      </c>
      <c r="AH72" s="210" t="e">
        <f ca="1">_xlfn.XLOOKUP(_xlfn.CONCAT(Homeworking_Backend[[#This Row],[Level 1]:[Level 6]]),rng_EFConcat,rng_EF3)*Homeworking_Backend[[#This Row],[Converted data]]/1000</f>
        <v>#VALUE!</v>
      </c>
      <c r="AI72" s="210" t="e">
        <f ca="1">_xlfn.XLOOKUP(_xlfn.CONCAT(Homeworking_Backend[[#This Row],[Level 1]:[Level 6]]),rng_EFConcat,rng_EF3WTT)*Homeworking_Backend[[#This Row],[Converted data]]/1000</f>
        <v>#VALUE!</v>
      </c>
      <c r="AJ72" s="210" t="e">
        <f ca="1">_xlfn.XLOOKUP(_xlfn.CONCAT(Homeworking_Backend[[#This Row],[Level 1]:[Level 6]]),rng_EFConcat,rng_EF3TD)*Homeworking_Backend[[#This Row],[Converted data]]/1000</f>
        <v>#VALUE!</v>
      </c>
      <c r="AK72" s="210" t="e">
        <f ca="1">_xlfn.XLOOKUP(_xlfn.CONCAT(Homeworking_Backend[[#This Row],[Level 1]:[Level 6]]),rng_EFConcat,rng_EF3WTTTD)*Homeworking_Backend[[#This Row],[Converted data]]/1000</f>
        <v>#VALUE!</v>
      </c>
      <c r="AL72" s="220" t="e">
        <f ca="1">SUM(Homeworking_Backend[[#This Row],[Scope 1 (tCO2e)]:[Scope 3 WTT T&amp;D (tCO2e)]])</f>
        <v>#VALUE!</v>
      </c>
      <c r="AM72" s="220" t="e">
        <f ca="1">Homeworking_Backend[[#This Row],[Total (tCO2e)]]*(1-Homeworking_Backend[[#This Row],[RSD]])</f>
        <v>#VALUE!</v>
      </c>
      <c r="AN72" s="220" t="e">
        <f ca="1">Homeworking_Backend[[#This Row],[Total (tCO2e)]]*(1+Homeworking_Backend[[#This Row],[RSD]])</f>
        <v>#VALUE!</v>
      </c>
      <c r="AO72" s="210" t="e">
        <f ca="1">_xlfn.XLOOKUP(_xlfn.CONCAT(Homeworking_Backend[[#This Row],[Level 1]:[Level 6]]),rng_EFConcat,rng_EFOOS)*Homeworking_Backend[[#This Row],[Converted data]]/1000</f>
        <v>#VALUE!</v>
      </c>
      <c r="AP72" s="174">
        <f>Homeworking_Frontend[[#This Row],[Ease of collection]]</f>
        <v>0</v>
      </c>
      <c r="AQ72" s="174">
        <f>Homeworking_Frontend[[#This Row],[Completeness]]</f>
        <v>0</v>
      </c>
      <c r="AR72" s="174">
        <f>Homeworking_Frontend[[#This Row],[Notes]]</f>
        <v>0</v>
      </c>
    </row>
    <row r="73" spans="2:44" x14ac:dyDescent="0.3">
      <c r="B73" s="455"/>
      <c r="E73" s="329"/>
      <c r="F73" s="329"/>
      <c r="G73" s="342"/>
      <c r="H73" s="362"/>
      <c r="I73" s="172" t="s">
        <v>199</v>
      </c>
      <c r="J73" s="332" t="str">
        <f>IF($G73="","",Homeworking_Frontend[[#This Row],[Number of FTE]]*Homeworking_Frontend[[#This Row],[% Working hours at home]]*37.5*46.4)</f>
        <v/>
      </c>
      <c r="K73" s="172" t="s">
        <v>368</v>
      </c>
      <c r="L73" s="336"/>
      <c r="M73" s="336"/>
      <c r="N73" s="364"/>
      <c r="O73" s="267">
        <f t="shared" si="5"/>
        <v>2</v>
      </c>
      <c r="Q73" s="212" t="str">
        <f t="shared" si="4"/>
        <v/>
      </c>
      <c r="R73" s="174" t="s">
        <v>220</v>
      </c>
      <c r="S73" s="174" t="s">
        <v>193</v>
      </c>
      <c r="T73" s="174" t="str" cm="1">
        <f t="array" aca="1" ref="T73" ca="1">_xlfn.XLOOKUP(Homeworking_Backend[[#This Row],[Level 2]],rng_Level2Long,rng_Level3Long)</f>
        <v>Homeworking</v>
      </c>
      <c r="U73" s="174" t="str" cm="1">
        <f t="array" aca="1" ref="U73" ca="1">_xlfn.XLOOKUP(Homeworking_Backend[[#This Row],[Level 3]],rng_Level3Long,rng_Level4Long)</f>
        <v>Homeworking</v>
      </c>
      <c r="V73" s="174" t="str" cm="1">
        <f t="array" aca="1" ref="V73" ca="1">_xlfn.XLOOKUP(Homeworking_Backend[[#This Row],[Level 4]],rng_Level4Long,rng_Level5Long)</f>
        <v>Homeworking</v>
      </c>
      <c r="W73" s="174" t="str" cm="1">
        <f t="array" aca="1" ref="W73" ca="1">_xlfn.XLOOKUP(Homeworking_Backend[[#This Row],[Level 5]],rng_Level5Long,rng_Level6Long)</f>
        <v>NaN</v>
      </c>
      <c r="X73" s="174"/>
      <c r="Y73" s="174"/>
      <c r="Z73" s="174" t="str">
        <f>Homeworking_Frontend[[#This Row],[Methodology]]</f>
        <v>Tier 2</v>
      </c>
      <c r="AA73" s="229" cm="1">
        <f t="array" aca="1" ref="AA73" ca="1">INDEX(_xlfn.SWITCH(Homeworking_Backend[[#This Row],[Methodology]],"Tier 1",rng_RSD1,"Tier 2",rng_RSD2,"Tier 3",rng_RSD3),MATCH(_xlfn.CONCAT(Homeworking_Backend[[#This Row],[Level 1]:[Level 6]]),rng_LevelsConcat,0))</f>
        <v>0.2</v>
      </c>
      <c r="AB73" s="220" t="str">
        <f>Homeworking_Frontend[[#This Row],[Data]]</f>
        <v/>
      </c>
      <c r="AC73" s="220" t="str">
        <f>Homeworking_Frontend[[#This Row],[Units]]</f>
        <v>FTE.hrs</v>
      </c>
      <c r="AD73" s="220" t="str">
        <f ca="1">IF(Homeworking_Backend[[#This Row],[Units]]=Homeworking_Backend[[#This Row],[Standard units]],Homeworking_Backend[[#This Row],[Data]],Homeworking_Backend[[#This Row],[Data]]*_xlfn.XLOOKUP(_xlfn.CONCAT(Homeworking_Backend[[#This Row],[Level 1]:[Level 6]]),rng_EFConcat,rng_EFConversion))</f>
        <v/>
      </c>
      <c r="AE73" s="174" t="str" cm="1">
        <f t="array" aca="1" ref="AE73" ca="1">_xlfn.XLOOKUP(_xlfn.CONCAT(Homeworking_Backend[[#This Row],[Level 1]:[Level 6]]),rng_LevelsConcat,rng_UnitsLong)</f>
        <v>FTE.hrs</v>
      </c>
      <c r="AF73" s="210" t="e">
        <f ca="1">_xlfn.XLOOKUP(_xlfn.CONCAT(Homeworking_Backend[[#This Row],[Level 1]:[Level 6]]),rng_EFConcat,rng_EF1)*Homeworking_Backend[[#This Row],[Converted data]]/1000</f>
        <v>#VALUE!</v>
      </c>
      <c r="AG73" s="210" t="e">
        <f ca="1">_xlfn.XLOOKUP(_xlfn.CONCAT(Homeworking_Backend[[#This Row],[Level 1]:[Level 6]]),rng_EFConcat,rng_EF2)*Homeworking_Backend[[#This Row],[Converted data]]/1000</f>
        <v>#VALUE!</v>
      </c>
      <c r="AH73" s="210" t="e">
        <f ca="1">_xlfn.XLOOKUP(_xlfn.CONCAT(Homeworking_Backend[[#This Row],[Level 1]:[Level 6]]),rng_EFConcat,rng_EF3)*Homeworking_Backend[[#This Row],[Converted data]]/1000</f>
        <v>#VALUE!</v>
      </c>
      <c r="AI73" s="210" t="e">
        <f ca="1">_xlfn.XLOOKUP(_xlfn.CONCAT(Homeworking_Backend[[#This Row],[Level 1]:[Level 6]]),rng_EFConcat,rng_EF3WTT)*Homeworking_Backend[[#This Row],[Converted data]]/1000</f>
        <v>#VALUE!</v>
      </c>
      <c r="AJ73" s="210" t="e">
        <f ca="1">_xlfn.XLOOKUP(_xlfn.CONCAT(Homeworking_Backend[[#This Row],[Level 1]:[Level 6]]),rng_EFConcat,rng_EF3TD)*Homeworking_Backend[[#This Row],[Converted data]]/1000</f>
        <v>#VALUE!</v>
      </c>
      <c r="AK73" s="210" t="e">
        <f ca="1">_xlfn.XLOOKUP(_xlfn.CONCAT(Homeworking_Backend[[#This Row],[Level 1]:[Level 6]]),rng_EFConcat,rng_EF3WTTTD)*Homeworking_Backend[[#This Row],[Converted data]]/1000</f>
        <v>#VALUE!</v>
      </c>
      <c r="AL73" s="220" t="e">
        <f ca="1">SUM(Homeworking_Backend[[#This Row],[Scope 1 (tCO2e)]:[Scope 3 WTT T&amp;D (tCO2e)]])</f>
        <v>#VALUE!</v>
      </c>
      <c r="AM73" s="220" t="e">
        <f ca="1">Homeworking_Backend[[#This Row],[Total (tCO2e)]]*(1-Homeworking_Backend[[#This Row],[RSD]])</f>
        <v>#VALUE!</v>
      </c>
      <c r="AN73" s="220" t="e">
        <f ca="1">Homeworking_Backend[[#This Row],[Total (tCO2e)]]*(1+Homeworking_Backend[[#This Row],[RSD]])</f>
        <v>#VALUE!</v>
      </c>
      <c r="AO73" s="210" t="e">
        <f ca="1">_xlfn.XLOOKUP(_xlfn.CONCAT(Homeworking_Backend[[#This Row],[Level 1]:[Level 6]]),rng_EFConcat,rng_EFOOS)*Homeworking_Backend[[#This Row],[Converted data]]/1000</f>
        <v>#VALUE!</v>
      </c>
      <c r="AP73" s="174">
        <f>Homeworking_Frontend[[#This Row],[Ease of collection]]</f>
        <v>0</v>
      </c>
      <c r="AQ73" s="174">
        <f>Homeworking_Frontend[[#This Row],[Completeness]]</f>
        <v>0</v>
      </c>
      <c r="AR73" s="174">
        <f>Homeworking_Frontend[[#This Row],[Notes]]</f>
        <v>0</v>
      </c>
    </row>
    <row r="74" spans="2:44" x14ac:dyDescent="0.3">
      <c r="B74" s="455"/>
      <c r="E74" s="329"/>
      <c r="F74" s="329"/>
      <c r="G74" s="342"/>
      <c r="H74" s="362"/>
      <c r="I74" s="172" t="s">
        <v>199</v>
      </c>
      <c r="J74" s="332" t="str">
        <f>IF($G74="","",Homeworking_Frontend[[#This Row],[Number of FTE]]*Homeworking_Frontend[[#This Row],[% Working hours at home]]*37.5*46.4)</f>
        <v/>
      </c>
      <c r="K74" s="172" t="s">
        <v>368</v>
      </c>
      <c r="L74" s="336"/>
      <c r="M74" s="336"/>
      <c r="N74" s="364"/>
      <c r="O74" s="267">
        <f t="shared" si="5"/>
        <v>2</v>
      </c>
      <c r="Q74" s="212" t="str">
        <f t="shared" si="4"/>
        <v/>
      </c>
      <c r="R74" s="174" t="s">
        <v>220</v>
      </c>
      <c r="S74" s="174" t="s">
        <v>193</v>
      </c>
      <c r="T74" s="174" t="str" cm="1">
        <f t="array" aca="1" ref="T74" ca="1">_xlfn.XLOOKUP(Homeworking_Backend[[#This Row],[Level 2]],rng_Level2Long,rng_Level3Long)</f>
        <v>Homeworking</v>
      </c>
      <c r="U74" s="174" t="str" cm="1">
        <f t="array" aca="1" ref="U74" ca="1">_xlfn.XLOOKUP(Homeworking_Backend[[#This Row],[Level 3]],rng_Level3Long,rng_Level4Long)</f>
        <v>Homeworking</v>
      </c>
      <c r="V74" s="174" t="str" cm="1">
        <f t="array" aca="1" ref="V74" ca="1">_xlfn.XLOOKUP(Homeworking_Backend[[#This Row],[Level 4]],rng_Level4Long,rng_Level5Long)</f>
        <v>Homeworking</v>
      </c>
      <c r="W74" s="174" t="str" cm="1">
        <f t="array" aca="1" ref="W74" ca="1">_xlfn.XLOOKUP(Homeworking_Backend[[#This Row],[Level 5]],rng_Level5Long,rng_Level6Long)</f>
        <v>NaN</v>
      </c>
      <c r="X74" s="174"/>
      <c r="Y74" s="174"/>
      <c r="Z74" s="174" t="str">
        <f>Homeworking_Frontend[[#This Row],[Methodology]]</f>
        <v>Tier 2</v>
      </c>
      <c r="AA74" s="229" cm="1">
        <f t="array" aca="1" ref="AA74" ca="1">INDEX(_xlfn.SWITCH(Homeworking_Backend[[#This Row],[Methodology]],"Tier 1",rng_RSD1,"Tier 2",rng_RSD2,"Tier 3",rng_RSD3),MATCH(_xlfn.CONCAT(Homeworking_Backend[[#This Row],[Level 1]:[Level 6]]),rng_LevelsConcat,0))</f>
        <v>0.2</v>
      </c>
      <c r="AB74" s="220" t="str">
        <f>Homeworking_Frontend[[#This Row],[Data]]</f>
        <v/>
      </c>
      <c r="AC74" s="220" t="str">
        <f>Homeworking_Frontend[[#This Row],[Units]]</f>
        <v>FTE.hrs</v>
      </c>
      <c r="AD74" s="220" t="str">
        <f ca="1">IF(Homeworking_Backend[[#This Row],[Units]]=Homeworking_Backend[[#This Row],[Standard units]],Homeworking_Backend[[#This Row],[Data]],Homeworking_Backend[[#This Row],[Data]]*_xlfn.XLOOKUP(_xlfn.CONCAT(Homeworking_Backend[[#This Row],[Level 1]:[Level 6]]),rng_EFConcat,rng_EFConversion))</f>
        <v/>
      </c>
      <c r="AE74" s="174" t="str" cm="1">
        <f t="array" aca="1" ref="AE74" ca="1">_xlfn.XLOOKUP(_xlfn.CONCAT(Homeworking_Backend[[#This Row],[Level 1]:[Level 6]]),rng_LevelsConcat,rng_UnitsLong)</f>
        <v>FTE.hrs</v>
      </c>
      <c r="AF74" s="210" t="e">
        <f ca="1">_xlfn.XLOOKUP(_xlfn.CONCAT(Homeworking_Backend[[#This Row],[Level 1]:[Level 6]]),rng_EFConcat,rng_EF1)*Homeworking_Backend[[#This Row],[Converted data]]/1000</f>
        <v>#VALUE!</v>
      </c>
      <c r="AG74" s="210" t="e">
        <f ca="1">_xlfn.XLOOKUP(_xlfn.CONCAT(Homeworking_Backend[[#This Row],[Level 1]:[Level 6]]),rng_EFConcat,rng_EF2)*Homeworking_Backend[[#This Row],[Converted data]]/1000</f>
        <v>#VALUE!</v>
      </c>
      <c r="AH74" s="210" t="e">
        <f ca="1">_xlfn.XLOOKUP(_xlfn.CONCAT(Homeworking_Backend[[#This Row],[Level 1]:[Level 6]]),rng_EFConcat,rng_EF3)*Homeworking_Backend[[#This Row],[Converted data]]/1000</f>
        <v>#VALUE!</v>
      </c>
      <c r="AI74" s="210" t="e">
        <f ca="1">_xlfn.XLOOKUP(_xlfn.CONCAT(Homeworking_Backend[[#This Row],[Level 1]:[Level 6]]),rng_EFConcat,rng_EF3WTT)*Homeworking_Backend[[#This Row],[Converted data]]/1000</f>
        <v>#VALUE!</v>
      </c>
      <c r="AJ74" s="210" t="e">
        <f ca="1">_xlfn.XLOOKUP(_xlfn.CONCAT(Homeworking_Backend[[#This Row],[Level 1]:[Level 6]]),rng_EFConcat,rng_EF3TD)*Homeworking_Backend[[#This Row],[Converted data]]/1000</f>
        <v>#VALUE!</v>
      </c>
      <c r="AK74" s="210" t="e">
        <f ca="1">_xlfn.XLOOKUP(_xlfn.CONCAT(Homeworking_Backend[[#This Row],[Level 1]:[Level 6]]),rng_EFConcat,rng_EF3WTTTD)*Homeworking_Backend[[#This Row],[Converted data]]/1000</f>
        <v>#VALUE!</v>
      </c>
      <c r="AL74" s="220" t="e">
        <f ca="1">SUM(Homeworking_Backend[[#This Row],[Scope 1 (tCO2e)]:[Scope 3 WTT T&amp;D (tCO2e)]])</f>
        <v>#VALUE!</v>
      </c>
      <c r="AM74" s="220" t="e">
        <f ca="1">Homeworking_Backend[[#This Row],[Total (tCO2e)]]*(1-Homeworking_Backend[[#This Row],[RSD]])</f>
        <v>#VALUE!</v>
      </c>
      <c r="AN74" s="220" t="e">
        <f ca="1">Homeworking_Backend[[#This Row],[Total (tCO2e)]]*(1+Homeworking_Backend[[#This Row],[RSD]])</f>
        <v>#VALUE!</v>
      </c>
      <c r="AO74" s="210" t="e">
        <f ca="1">_xlfn.XLOOKUP(_xlfn.CONCAT(Homeworking_Backend[[#This Row],[Level 1]:[Level 6]]),rng_EFConcat,rng_EFOOS)*Homeworking_Backend[[#This Row],[Converted data]]/1000</f>
        <v>#VALUE!</v>
      </c>
      <c r="AP74" s="174">
        <f>Homeworking_Frontend[[#This Row],[Ease of collection]]</f>
        <v>0</v>
      </c>
      <c r="AQ74" s="174">
        <f>Homeworking_Frontend[[#This Row],[Completeness]]</f>
        <v>0</v>
      </c>
      <c r="AR74" s="174">
        <f>Homeworking_Frontend[[#This Row],[Notes]]</f>
        <v>0</v>
      </c>
    </row>
    <row r="75" spans="2:44" x14ac:dyDescent="0.3">
      <c r="E75" s="329"/>
      <c r="F75" s="329"/>
      <c r="G75" s="342"/>
      <c r="H75" s="362"/>
      <c r="I75" s="172" t="s">
        <v>199</v>
      </c>
      <c r="J75" s="332" t="str">
        <f>IF($G75="","",Homeworking_Frontend[[#This Row],[Number of FTE]]*Homeworking_Frontend[[#This Row],[% Working hours at home]]*37.5*46.4)</f>
        <v/>
      </c>
      <c r="K75" s="172" t="s">
        <v>368</v>
      </c>
      <c r="L75" s="336"/>
      <c r="M75" s="336"/>
      <c r="N75" s="364"/>
      <c r="O75" s="267">
        <f t="shared" si="5"/>
        <v>2</v>
      </c>
      <c r="Q75" s="212" t="str">
        <f t="shared" si="4"/>
        <v/>
      </c>
      <c r="R75" s="174" t="s">
        <v>220</v>
      </c>
      <c r="S75" s="174" t="s">
        <v>193</v>
      </c>
      <c r="T75" s="174" t="str" cm="1">
        <f t="array" aca="1" ref="T75" ca="1">_xlfn.XLOOKUP(Homeworking_Backend[[#This Row],[Level 2]],rng_Level2Long,rng_Level3Long)</f>
        <v>Homeworking</v>
      </c>
      <c r="U75" s="174" t="str" cm="1">
        <f t="array" aca="1" ref="U75" ca="1">_xlfn.XLOOKUP(Homeworking_Backend[[#This Row],[Level 3]],rng_Level3Long,rng_Level4Long)</f>
        <v>Homeworking</v>
      </c>
      <c r="V75" s="174" t="str" cm="1">
        <f t="array" aca="1" ref="V75" ca="1">_xlfn.XLOOKUP(Homeworking_Backend[[#This Row],[Level 4]],rng_Level4Long,rng_Level5Long)</f>
        <v>Homeworking</v>
      </c>
      <c r="W75" s="174" t="str" cm="1">
        <f t="array" aca="1" ref="W75" ca="1">_xlfn.XLOOKUP(Homeworking_Backend[[#This Row],[Level 5]],rng_Level5Long,rng_Level6Long)</f>
        <v>NaN</v>
      </c>
      <c r="X75" s="174"/>
      <c r="Y75" s="174"/>
      <c r="Z75" s="174" t="str">
        <f>Homeworking_Frontend[[#This Row],[Methodology]]</f>
        <v>Tier 2</v>
      </c>
      <c r="AA75" s="229" cm="1">
        <f t="array" aca="1" ref="AA75" ca="1">INDEX(_xlfn.SWITCH(Homeworking_Backend[[#This Row],[Methodology]],"Tier 1",rng_RSD1,"Tier 2",rng_RSD2,"Tier 3",rng_RSD3),MATCH(_xlfn.CONCAT(Homeworking_Backend[[#This Row],[Level 1]:[Level 6]]),rng_LevelsConcat,0))</f>
        <v>0.2</v>
      </c>
      <c r="AB75" s="220" t="str">
        <f>Homeworking_Frontend[[#This Row],[Data]]</f>
        <v/>
      </c>
      <c r="AC75" s="220" t="str">
        <f>Homeworking_Frontend[[#This Row],[Units]]</f>
        <v>FTE.hrs</v>
      </c>
      <c r="AD75" s="220" t="str">
        <f ca="1">IF(Homeworking_Backend[[#This Row],[Units]]=Homeworking_Backend[[#This Row],[Standard units]],Homeworking_Backend[[#This Row],[Data]],Homeworking_Backend[[#This Row],[Data]]*_xlfn.XLOOKUP(_xlfn.CONCAT(Homeworking_Backend[[#This Row],[Level 1]:[Level 6]]),rng_EFConcat,rng_EFConversion))</f>
        <v/>
      </c>
      <c r="AE75" s="174" t="str" cm="1">
        <f t="array" aca="1" ref="AE75" ca="1">_xlfn.XLOOKUP(_xlfn.CONCAT(Homeworking_Backend[[#This Row],[Level 1]:[Level 6]]),rng_LevelsConcat,rng_UnitsLong)</f>
        <v>FTE.hrs</v>
      </c>
      <c r="AF75" s="210" t="e">
        <f ca="1">_xlfn.XLOOKUP(_xlfn.CONCAT(Homeworking_Backend[[#This Row],[Level 1]:[Level 6]]),rng_EFConcat,rng_EF1)*Homeworking_Backend[[#This Row],[Converted data]]/1000</f>
        <v>#VALUE!</v>
      </c>
      <c r="AG75" s="210" t="e">
        <f ca="1">_xlfn.XLOOKUP(_xlfn.CONCAT(Homeworking_Backend[[#This Row],[Level 1]:[Level 6]]),rng_EFConcat,rng_EF2)*Homeworking_Backend[[#This Row],[Converted data]]/1000</f>
        <v>#VALUE!</v>
      </c>
      <c r="AH75" s="210" t="e">
        <f ca="1">_xlfn.XLOOKUP(_xlfn.CONCAT(Homeworking_Backend[[#This Row],[Level 1]:[Level 6]]),rng_EFConcat,rng_EF3)*Homeworking_Backend[[#This Row],[Converted data]]/1000</f>
        <v>#VALUE!</v>
      </c>
      <c r="AI75" s="210" t="e">
        <f ca="1">_xlfn.XLOOKUP(_xlfn.CONCAT(Homeworking_Backend[[#This Row],[Level 1]:[Level 6]]),rng_EFConcat,rng_EF3WTT)*Homeworking_Backend[[#This Row],[Converted data]]/1000</f>
        <v>#VALUE!</v>
      </c>
      <c r="AJ75" s="210" t="e">
        <f ca="1">_xlfn.XLOOKUP(_xlfn.CONCAT(Homeworking_Backend[[#This Row],[Level 1]:[Level 6]]),rng_EFConcat,rng_EF3TD)*Homeworking_Backend[[#This Row],[Converted data]]/1000</f>
        <v>#VALUE!</v>
      </c>
      <c r="AK75" s="210" t="e">
        <f ca="1">_xlfn.XLOOKUP(_xlfn.CONCAT(Homeworking_Backend[[#This Row],[Level 1]:[Level 6]]),rng_EFConcat,rng_EF3WTTTD)*Homeworking_Backend[[#This Row],[Converted data]]/1000</f>
        <v>#VALUE!</v>
      </c>
      <c r="AL75" s="220" t="e">
        <f ca="1">SUM(Homeworking_Backend[[#This Row],[Scope 1 (tCO2e)]:[Scope 3 WTT T&amp;D (tCO2e)]])</f>
        <v>#VALUE!</v>
      </c>
      <c r="AM75" s="220" t="e">
        <f ca="1">Homeworking_Backend[[#This Row],[Total (tCO2e)]]*(1-Homeworking_Backend[[#This Row],[RSD]])</f>
        <v>#VALUE!</v>
      </c>
      <c r="AN75" s="220" t="e">
        <f ca="1">Homeworking_Backend[[#This Row],[Total (tCO2e)]]*(1+Homeworking_Backend[[#This Row],[RSD]])</f>
        <v>#VALUE!</v>
      </c>
      <c r="AO75" s="210" t="e">
        <f ca="1">_xlfn.XLOOKUP(_xlfn.CONCAT(Homeworking_Backend[[#This Row],[Level 1]:[Level 6]]),rng_EFConcat,rng_EFOOS)*Homeworking_Backend[[#This Row],[Converted data]]/1000</f>
        <v>#VALUE!</v>
      </c>
      <c r="AP75" s="174">
        <f>Homeworking_Frontend[[#This Row],[Ease of collection]]</f>
        <v>0</v>
      </c>
      <c r="AQ75" s="174">
        <f>Homeworking_Frontend[[#This Row],[Completeness]]</f>
        <v>0</v>
      </c>
      <c r="AR75" s="174">
        <f>Homeworking_Frontend[[#This Row],[Notes]]</f>
        <v>0</v>
      </c>
    </row>
    <row r="76" spans="2:44" x14ac:dyDescent="0.3">
      <c r="E76" s="329"/>
      <c r="F76" s="329"/>
      <c r="G76" s="342"/>
      <c r="H76" s="362"/>
      <c r="I76" s="172" t="s">
        <v>199</v>
      </c>
      <c r="J76" s="332" t="str">
        <f>IF($G76="","",Homeworking_Frontend[[#This Row],[Number of FTE]]*Homeworking_Frontend[[#This Row],[% Working hours at home]]*37.5*46.4)</f>
        <v/>
      </c>
      <c r="K76" s="172" t="s">
        <v>368</v>
      </c>
      <c r="L76" s="336"/>
      <c r="M76" s="336"/>
      <c r="N76" s="364"/>
      <c r="O76" s="267">
        <f t="shared" si="5"/>
        <v>2</v>
      </c>
      <c r="Q76" s="212" t="str">
        <f t="shared" si="4"/>
        <v/>
      </c>
      <c r="R76" s="174" t="s">
        <v>220</v>
      </c>
      <c r="S76" s="174" t="s">
        <v>193</v>
      </c>
      <c r="T76" s="174" t="str" cm="1">
        <f t="array" aca="1" ref="T76" ca="1">_xlfn.XLOOKUP(Homeworking_Backend[[#This Row],[Level 2]],rng_Level2Long,rng_Level3Long)</f>
        <v>Homeworking</v>
      </c>
      <c r="U76" s="174" t="str" cm="1">
        <f t="array" aca="1" ref="U76" ca="1">_xlfn.XLOOKUP(Homeworking_Backend[[#This Row],[Level 3]],rng_Level3Long,rng_Level4Long)</f>
        <v>Homeworking</v>
      </c>
      <c r="V76" s="174" t="str" cm="1">
        <f t="array" aca="1" ref="V76" ca="1">_xlfn.XLOOKUP(Homeworking_Backend[[#This Row],[Level 4]],rng_Level4Long,rng_Level5Long)</f>
        <v>Homeworking</v>
      </c>
      <c r="W76" s="174" t="str" cm="1">
        <f t="array" aca="1" ref="W76" ca="1">_xlfn.XLOOKUP(Homeworking_Backend[[#This Row],[Level 5]],rng_Level5Long,rng_Level6Long)</f>
        <v>NaN</v>
      </c>
      <c r="X76" s="174"/>
      <c r="Y76" s="174"/>
      <c r="Z76" s="174" t="str">
        <f>Homeworking_Frontend[[#This Row],[Methodology]]</f>
        <v>Tier 2</v>
      </c>
      <c r="AA76" s="229" cm="1">
        <f t="array" aca="1" ref="AA76" ca="1">INDEX(_xlfn.SWITCH(Homeworking_Backend[[#This Row],[Methodology]],"Tier 1",rng_RSD1,"Tier 2",rng_RSD2,"Tier 3",rng_RSD3),MATCH(_xlfn.CONCAT(Homeworking_Backend[[#This Row],[Level 1]:[Level 6]]),rng_LevelsConcat,0))</f>
        <v>0.2</v>
      </c>
      <c r="AB76" s="220" t="str">
        <f>Homeworking_Frontend[[#This Row],[Data]]</f>
        <v/>
      </c>
      <c r="AC76" s="220" t="str">
        <f>Homeworking_Frontend[[#This Row],[Units]]</f>
        <v>FTE.hrs</v>
      </c>
      <c r="AD76" s="220" t="str">
        <f ca="1">IF(Homeworking_Backend[[#This Row],[Units]]=Homeworking_Backend[[#This Row],[Standard units]],Homeworking_Backend[[#This Row],[Data]],Homeworking_Backend[[#This Row],[Data]]*_xlfn.XLOOKUP(_xlfn.CONCAT(Homeworking_Backend[[#This Row],[Level 1]:[Level 6]]),rng_EFConcat,rng_EFConversion))</f>
        <v/>
      </c>
      <c r="AE76" s="174" t="str" cm="1">
        <f t="array" aca="1" ref="AE76" ca="1">_xlfn.XLOOKUP(_xlfn.CONCAT(Homeworking_Backend[[#This Row],[Level 1]:[Level 6]]),rng_LevelsConcat,rng_UnitsLong)</f>
        <v>FTE.hrs</v>
      </c>
      <c r="AF76" s="210" t="e">
        <f ca="1">_xlfn.XLOOKUP(_xlfn.CONCAT(Homeworking_Backend[[#This Row],[Level 1]:[Level 6]]),rng_EFConcat,rng_EF1)*Homeworking_Backend[[#This Row],[Converted data]]/1000</f>
        <v>#VALUE!</v>
      </c>
      <c r="AG76" s="210" t="e">
        <f ca="1">_xlfn.XLOOKUP(_xlfn.CONCAT(Homeworking_Backend[[#This Row],[Level 1]:[Level 6]]),rng_EFConcat,rng_EF2)*Homeworking_Backend[[#This Row],[Converted data]]/1000</f>
        <v>#VALUE!</v>
      </c>
      <c r="AH76" s="210" t="e">
        <f ca="1">_xlfn.XLOOKUP(_xlfn.CONCAT(Homeworking_Backend[[#This Row],[Level 1]:[Level 6]]),rng_EFConcat,rng_EF3)*Homeworking_Backend[[#This Row],[Converted data]]/1000</f>
        <v>#VALUE!</v>
      </c>
      <c r="AI76" s="210" t="e">
        <f ca="1">_xlfn.XLOOKUP(_xlfn.CONCAT(Homeworking_Backend[[#This Row],[Level 1]:[Level 6]]),rng_EFConcat,rng_EF3WTT)*Homeworking_Backend[[#This Row],[Converted data]]/1000</f>
        <v>#VALUE!</v>
      </c>
      <c r="AJ76" s="210" t="e">
        <f ca="1">_xlfn.XLOOKUP(_xlfn.CONCAT(Homeworking_Backend[[#This Row],[Level 1]:[Level 6]]),rng_EFConcat,rng_EF3TD)*Homeworking_Backend[[#This Row],[Converted data]]/1000</f>
        <v>#VALUE!</v>
      </c>
      <c r="AK76" s="210" t="e">
        <f ca="1">_xlfn.XLOOKUP(_xlfn.CONCAT(Homeworking_Backend[[#This Row],[Level 1]:[Level 6]]),rng_EFConcat,rng_EF3WTTTD)*Homeworking_Backend[[#This Row],[Converted data]]/1000</f>
        <v>#VALUE!</v>
      </c>
      <c r="AL76" s="220" t="e">
        <f ca="1">SUM(Homeworking_Backend[[#This Row],[Scope 1 (tCO2e)]:[Scope 3 WTT T&amp;D (tCO2e)]])</f>
        <v>#VALUE!</v>
      </c>
      <c r="AM76" s="220" t="e">
        <f ca="1">Homeworking_Backend[[#This Row],[Total (tCO2e)]]*(1-Homeworking_Backend[[#This Row],[RSD]])</f>
        <v>#VALUE!</v>
      </c>
      <c r="AN76" s="220" t="e">
        <f ca="1">Homeworking_Backend[[#This Row],[Total (tCO2e)]]*(1+Homeworking_Backend[[#This Row],[RSD]])</f>
        <v>#VALUE!</v>
      </c>
      <c r="AO76" s="210" t="e">
        <f ca="1">_xlfn.XLOOKUP(_xlfn.CONCAT(Homeworking_Backend[[#This Row],[Level 1]:[Level 6]]),rng_EFConcat,rng_EFOOS)*Homeworking_Backend[[#This Row],[Converted data]]/1000</f>
        <v>#VALUE!</v>
      </c>
      <c r="AP76" s="174">
        <f>Homeworking_Frontend[[#This Row],[Ease of collection]]</f>
        <v>0</v>
      </c>
      <c r="AQ76" s="174">
        <f>Homeworking_Frontend[[#This Row],[Completeness]]</f>
        <v>0</v>
      </c>
      <c r="AR76" s="174">
        <f>Homeworking_Frontend[[#This Row],[Notes]]</f>
        <v>0</v>
      </c>
    </row>
    <row r="77" spans="2:44" x14ac:dyDescent="0.3">
      <c r="E77" s="329"/>
      <c r="F77" s="329"/>
      <c r="G77" s="342"/>
      <c r="H77" s="362"/>
      <c r="I77" s="172" t="s">
        <v>199</v>
      </c>
      <c r="J77" s="332" t="str">
        <f>IF($G77="","",Homeworking_Frontend[[#This Row],[Number of FTE]]*Homeworking_Frontend[[#This Row],[% Working hours at home]]*37.5*46.4)</f>
        <v/>
      </c>
      <c r="K77" s="172" t="s">
        <v>368</v>
      </c>
      <c r="L77" s="336"/>
      <c r="M77" s="336"/>
      <c r="N77" s="364"/>
      <c r="O77" s="267">
        <f t="shared" si="5"/>
        <v>2</v>
      </c>
      <c r="Q77" s="212" t="str">
        <f t="shared" si="4"/>
        <v/>
      </c>
      <c r="R77" s="174" t="s">
        <v>220</v>
      </c>
      <c r="S77" s="174" t="s">
        <v>193</v>
      </c>
      <c r="T77" s="174" t="str" cm="1">
        <f t="array" aca="1" ref="T77" ca="1">_xlfn.XLOOKUP(Homeworking_Backend[[#This Row],[Level 2]],rng_Level2Long,rng_Level3Long)</f>
        <v>Homeworking</v>
      </c>
      <c r="U77" s="174" t="str" cm="1">
        <f t="array" aca="1" ref="U77" ca="1">_xlfn.XLOOKUP(Homeworking_Backend[[#This Row],[Level 3]],rng_Level3Long,rng_Level4Long)</f>
        <v>Homeworking</v>
      </c>
      <c r="V77" s="174" t="str" cm="1">
        <f t="array" aca="1" ref="V77" ca="1">_xlfn.XLOOKUP(Homeworking_Backend[[#This Row],[Level 4]],rng_Level4Long,rng_Level5Long)</f>
        <v>Homeworking</v>
      </c>
      <c r="W77" s="174" t="str" cm="1">
        <f t="array" aca="1" ref="W77" ca="1">_xlfn.XLOOKUP(Homeworking_Backend[[#This Row],[Level 5]],rng_Level5Long,rng_Level6Long)</f>
        <v>NaN</v>
      </c>
      <c r="X77" s="174"/>
      <c r="Y77" s="174"/>
      <c r="Z77" s="174" t="str">
        <f>Homeworking_Frontend[[#This Row],[Methodology]]</f>
        <v>Tier 2</v>
      </c>
      <c r="AA77" s="229" cm="1">
        <f t="array" aca="1" ref="AA77" ca="1">INDEX(_xlfn.SWITCH(Homeworking_Backend[[#This Row],[Methodology]],"Tier 1",rng_RSD1,"Tier 2",rng_RSD2,"Tier 3",rng_RSD3),MATCH(_xlfn.CONCAT(Homeworking_Backend[[#This Row],[Level 1]:[Level 6]]),rng_LevelsConcat,0))</f>
        <v>0.2</v>
      </c>
      <c r="AB77" s="220" t="str">
        <f>Homeworking_Frontend[[#This Row],[Data]]</f>
        <v/>
      </c>
      <c r="AC77" s="220" t="str">
        <f>Homeworking_Frontend[[#This Row],[Units]]</f>
        <v>FTE.hrs</v>
      </c>
      <c r="AD77" s="220" t="str">
        <f ca="1">IF(Homeworking_Backend[[#This Row],[Units]]=Homeworking_Backend[[#This Row],[Standard units]],Homeworking_Backend[[#This Row],[Data]],Homeworking_Backend[[#This Row],[Data]]*_xlfn.XLOOKUP(_xlfn.CONCAT(Homeworking_Backend[[#This Row],[Level 1]:[Level 6]]),rng_EFConcat,rng_EFConversion))</f>
        <v/>
      </c>
      <c r="AE77" s="174" t="str" cm="1">
        <f t="array" aca="1" ref="AE77" ca="1">_xlfn.XLOOKUP(_xlfn.CONCAT(Homeworking_Backend[[#This Row],[Level 1]:[Level 6]]),rng_LevelsConcat,rng_UnitsLong)</f>
        <v>FTE.hrs</v>
      </c>
      <c r="AF77" s="210" t="e">
        <f ca="1">_xlfn.XLOOKUP(_xlfn.CONCAT(Homeworking_Backend[[#This Row],[Level 1]:[Level 6]]),rng_EFConcat,rng_EF1)*Homeworking_Backend[[#This Row],[Converted data]]/1000</f>
        <v>#VALUE!</v>
      </c>
      <c r="AG77" s="210" t="e">
        <f ca="1">_xlfn.XLOOKUP(_xlfn.CONCAT(Homeworking_Backend[[#This Row],[Level 1]:[Level 6]]),rng_EFConcat,rng_EF2)*Homeworking_Backend[[#This Row],[Converted data]]/1000</f>
        <v>#VALUE!</v>
      </c>
      <c r="AH77" s="210" t="e">
        <f ca="1">_xlfn.XLOOKUP(_xlfn.CONCAT(Homeworking_Backend[[#This Row],[Level 1]:[Level 6]]),rng_EFConcat,rng_EF3)*Homeworking_Backend[[#This Row],[Converted data]]/1000</f>
        <v>#VALUE!</v>
      </c>
      <c r="AI77" s="210" t="e">
        <f ca="1">_xlfn.XLOOKUP(_xlfn.CONCAT(Homeworking_Backend[[#This Row],[Level 1]:[Level 6]]),rng_EFConcat,rng_EF3WTT)*Homeworking_Backend[[#This Row],[Converted data]]/1000</f>
        <v>#VALUE!</v>
      </c>
      <c r="AJ77" s="210" t="e">
        <f ca="1">_xlfn.XLOOKUP(_xlfn.CONCAT(Homeworking_Backend[[#This Row],[Level 1]:[Level 6]]),rng_EFConcat,rng_EF3TD)*Homeworking_Backend[[#This Row],[Converted data]]/1000</f>
        <v>#VALUE!</v>
      </c>
      <c r="AK77" s="210" t="e">
        <f ca="1">_xlfn.XLOOKUP(_xlfn.CONCAT(Homeworking_Backend[[#This Row],[Level 1]:[Level 6]]),rng_EFConcat,rng_EF3WTTTD)*Homeworking_Backend[[#This Row],[Converted data]]/1000</f>
        <v>#VALUE!</v>
      </c>
      <c r="AL77" s="220" t="e">
        <f ca="1">SUM(Homeworking_Backend[[#This Row],[Scope 1 (tCO2e)]:[Scope 3 WTT T&amp;D (tCO2e)]])</f>
        <v>#VALUE!</v>
      </c>
      <c r="AM77" s="220" t="e">
        <f ca="1">Homeworking_Backend[[#This Row],[Total (tCO2e)]]*(1-Homeworking_Backend[[#This Row],[RSD]])</f>
        <v>#VALUE!</v>
      </c>
      <c r="AN77" s="220" t="e">
        <f ca="1">Homeworking_Backend[[#This Row],[Total (tCO2e)]]*(1+Homeworking_Backend[[#This Row],[RSD]])</f>
        <v>#VALUE!</v>
      </c>
      <c r="AO77" s="210" t="e">
        <f ca="1">_xlfn.XLOOKUP(_xlfn.CONCAT(Homeworking_Backend[[#This Row],[Level 1]:[Level 6]]),rng_EFConcat,rng_EFOOS)*Homeworking_Backend[[#This Row],[Converted data]]/1000</f>
        <v>#VALUE!</v>
      </c>
      <c r="AP77" s="174">
        <f>Homeworking_Frontend[[#This Row],[Ease of collection]]</f>
        <v>0</v>
      </c>
      <c r="AQ77" s="174">
        <f>Homeworking_Frontend[[#This Row],[Completeness]]</f>
        <v>0</v>
      </c>
      <c r="AR77" s="174">
        <f>Homeworking_Frontend[[#This Row],[Notes]]</f>
        <v>0</v>
      </c>
    </row>
    <row r="78" spans="2:44" x14ac:dyDescent="0.3">
      <c r="E78" s="329"/>
      <c r="F78" s="329"/>
      <c r="G78" s="342"/>
      <c r="H78" s="362"/>
      <c r="I78" s="172" t="s">
        <v>199</v>
      </c>
      <c r="J78" s="332" t="str">
        <f>IF($G78="","",Homeworking_Frontend[[#This Row],[Number of FTE]]*Homeworking_Frontend[[#This Row],[% Working hours at home]]*37.5*46.4)</f>
        <v/>
      </c>
      <c r="K78" s="172" t="s">
        <v>368</v>
      </c>
      <c r="L78" s="336"/>
      <c r="M78" s="336"/>
      <c r="N78" s="364"/>
      <c r="O78" s="267">
        <f t="shared" si="5"/>
        <v>2</v>
      </c>
      <c r="Q78" s="212" t="str">
        <f t="shared" si="4"/>
        <v/>
      </c>
      <c r="R78" s="174" t="s">
        <v>220</v>
      </c>
      <c r="S78" s="174" t="s">
        <v>193</v>
      </c>
      <c r="T78" s="174" t="str" cm="1">
        <f t="array" aca="1" ref="T78" ca="1">_xlfn.XLOOKUP(Homeworking_Backend[[#This Row],[Level 2]],rng_Level2Long,rng_Level3Long)</f>
        <v>Homeworking</v>
      </c>
      <c r="U78" s="174" t="str" cm="1">
        <f t="array" aca="1" ref="U78" ca="1">_xlfn.XLOOKUP(Homeworking_Backend[[#This Row],[Level 3]],rng_Level3Long,rng_Level4Long)</f>
        <v>Homeworking</v>
      </c>
      <c r="V78" s="174" t="str" cm="1">
        <f t="array" aca="1" ref="V78" ca="1">_xlfn.XLOOKUP(Homeworking_Backend[[#This Row],[Level 4]],rng_Level4Long,rng_Level5Long)</f>
        <v>Homeworking</v>
      </c>
      <c r="W78" s="174" t="str" cm="1">
        <f t="array" aca="1" ref="W78" ca="1">_xlfn.XLOOKUP(Homeworking_Backend[[#This Row],[Level 5]],rng_Level5Long,rng_Level6Long)</f>
        <v>NaN</v>
      </c>
      <c r="X78" s="174"/>
      <c r="Y78" s="174"/>
      <c r="Z78" s="174" t="str">
        <f>Homeworking_Frontend[[#This Row],[Methodology]]</f>
        <v>Tier 2</v>
      </c>
      <c r="AA78" s="229" cm="1">
        <f t="array" aca="1" ref="AA78" ca="1">INDEX(_xlfn.SWITCH(Homeworking_Backend[[#This Row],[Methodology]],"Tier 1",rng_RSD1,"Tier 2",rng_RSD2,"Tier 3",rng_RSD3),MATCH(_xlfn.CONCAT(Homeworking_Backend[[#This Row],[Level 1]:[Level 6]]),rng_LevelsConcat,0))</f>
        <v>0.2</v>
      </c>
      <c r="AB78" s="220" t="str">
        <f>Homeworking_Frontend[[#This Row],[Data]]</f>
        <v/>
      </c>
      <c r="AC78" s="220" t="str">
        <f>Homeworking_Frontend[[#This Row],[Units]]</f>
        <v>FTE.hrs</v>
      </c>
      <c r="AD78" s="220" t="str">
        <f ca="1">IF(Homeworking_Backend[[#This Row],[Units]]=Homeworking_Backend[[#This Row],[Standard units]],Homeworking_Backend[[#This Row],[Data]],Homeworking_Backend[[#This Row],[Data]]*_xlfn.XLOOKUP(_xlfn.CONCAT(Homeworking_Backend[[#This Row],[Level 1]:[Level 6]]),rng_EFConcat,rng_EFConversion))</f>
        <v/>
      </c>
      <c r="AE78" s="174" t="str" cm="1">
        <f t="array" aca="1" ref="AE78" ca="1">_xlfn.XLOOKUP(_xlfn.CONCAT(Homeworking_Backend[[#This Row],[Level 1]:[Level 6]]),rng_LevelsConcat,rng_UnitsLong)</f>
        <v>FTE.hrs</v>
      </c>
      <c r="AF78" s="210" t="e">
        <f ca="1">_xlfn.XLOOKUP(_xlfn.CONCAT(Homeworking_Backend[[#This Row],[Level 1]:[Level 6]]),rng_EFConcat,rng_EF1)*Homeworking_Backend[[#This Row],[Converted data]]/1000</f>
        <v>#VALUE!</v>
      </c>
      <c r="AG78" s="210" t="e">
        <f ca="1">_xlfn.XLOOKUP(_xlfn.CONCAT(Homeworking_Backend[[#This Row],[Level 1]:[Level 6]]),rng_EFConcat,rng_EF2)*Homeworking_Backend[[#This Row],[Converted data]]/1000</f>
        <v>#VALUE!</v>
      </c>
      <c r="AH78" s="210" t="e">
        <f ca="1">_xlfn.XLOOKUP(_xlfn.CONCAT(Homeworking_Backend[[#This Row],[Level 1]:[Level 6]]),rng_EFConcat,rng_EF3)*Homeworking_Backend[[#This Row],[Converted data]]/1000</f>
        <v>#VALUE!</v>
      </c>
      <c r="AI78" s="210" t="e">
        <f ca="1">_xlfn.XLOOKUP(_xlfn.CONCAT(Homeworking_Backend[[#This Row],[Level 1]:[Level 6]]),rng_EFConcat,rng_EF3WTT)*Homeworking_Backend[[#This Row],[Converted data]]/1000</f>
        <v>#VALUE!</v>
      </c>
      <c r="AJ78" s="210" t="e">
        <f ca="1">_xlfn.XLOOKUP(_xlfn.CONCAT(Homeworking_Backend[[#This Row],[Level 1]:[Level 6]]),rng_EFConcat,rng_EF3TD)*Homeworking_Backend[[#This Row],[Converted data]]/1000</f>
        <v>#VALUE!</v>
      </c>
      <c r="AK78" s="210" t="e">
        <f ca="1">_xlfn.XLOOKUP(_xlfn.CONCAT(Homeworking_Backend[[#This Row],[Level 1]:[Level 6]]),rng_EFConcat,rng_EF3WTTTD)*Homeworking_Backend[[#This Row],[Converted data]]/1000</f>
        <v>#VALUE!</v>
      </c>
      <c r="AL78" s="220" t="e">
        <f ca="1">SUM(Homeworking_Backend[[#This Row],[Scope 1 (tCO2e)]:[Scope 3 WTT T&amp;D (tCO2e)]])</f>
        <v>#VALUE!</v>
      </c>
      <c r="AM78" s="220" t="e">
        <f ca="1">Homeworking_Backend[[#This Row],[Total (tCO2e)]]*(1-Homeworking_Backend[[#This Row],[RSD]])</f>
        <v>#VALUE!</v>
      </c>
      <c r="AN78" s="220" t="e">
        <f ca="1">Homeworking_Backend[[#This Row],[Total (tCO2e)]]*(1+Homeworking_Backend[[#This Row],[RSD]])</f>
        <v>#VALUE!</v>
      </c>
      <c r="AO78" s="210" t="e">
        <f ca="1">_xlfn.XLOOKUP(_xlfn.CONCAT(Homeworking_Backend[[#This Row],[Level 1]:[Level 6]]),rng_EFConcat,rng_EFOOS)*Homeworking_Backend[[#This Row],[Converted data]]/1000</f>
        <v>#VALUE!</v>
      </c>
      <c r="AP78" s="174">
        <f>Homeworking_Frontend[[#This Row],[Ease of collection]]</f>
        <v>0</v>
      </c>
      <c r="AQ78" s="174">
        <f>Homeworking_Frontend[[#This Row],[Completeness]]</f>
        <v>0</v>
      </c>
      <c r="AR78" s="174">
        <f>Homeworking_Frontend[[#This Row],[Notes]]</f>
        <v>0</v>
      </c>
    </row>
    <row r="79" spans="2:44" x14ac:dyDescent="0.3">
      <c r="E79" s="329"/>
      <c r="F79" s="329"/>
      <c r="G79" s="342"/>
      <c r="H79" s="362"/>
      <c r="I79" s="172" t="s">
        <v>199</v>
      </c>
      <c r="J79" s="332" t="str">
        <f>IF($G79="","",Homeworking_Frontend[[#This Row],[Number of FTE]]*Homeworking_Frontend[[#This Row],[% Working hours at home]]*37.5*46.4)</f>
        <v/>
      </c>
      <c r="K79" s="172" t="s">
        <v>368</v>
      </c>
      <c r="L79" s="336"/>
      <c r="M79" s="336"/>
      <c r="N79" s="364"/>
      <c r="O79" s="267">
        <f t="shared" si="5"/>
        <v>2</v>
      </c>
      <c r="Q79" s="212" t="str">
        <f t="shared" si="4"/>
        <v/>
      </c>
      <c r="R79" s="174" t="s">
        <v>220</v>
      </c>
      <c r="S79" s="174" t="s">
        <v>193</v>
      </c>
      <c r="T79" s="174" t="str" cm="1">
        <f t="array" aca="1" ref="T79" ca="1">_xlfn.XLOOKUP(Homeworking_Backend[[#This Row],[Level 2]],rng_Level2Long,rng_Level3Long)</f>
        <v>Homeworking</v>
      </c>
      <c r="U79" s="174" t="str" cm="1">
        <f t="array" aca="1" ref="U79" ca="1">_xlfn.XLOOKUP(Homeworking_Backend[[#This Row],[Level 3]],rng_Level3Long,rng_Level4Long)</f>
        <v>Homeworking</v>
      </c>
      <c r="V79" s="174" t="str" cm="1">
        <f t="array" aca="1" ref="V79" ca="1">_xlfn.XLOOKUP(Homeworking_Backend[[#This Row],[Level 4]],rng_Level4Long,rng_Level5Long)</f>
        <v>Homeworking</v>
      </c>
      <c r="W79" s="174" t="str" cm="1">
        <f t="array" aca="1" ref="W79" ca="1">_xlfn.XLOOKUP(Homeworking_Backend[[#This Row],[Level 5]],rng_Level5Long,rng_Level6Long)</f>
        <v>NaN</v>
      </c>
      <c r="X79" s="174"/>
      <c r="Y79" s="174"/>
      <c r="Z79" s="174" t="str">
        <f>Homeworking_Frontend[[#This Row],[Methodology]]</f>
        <v>Tier 2</v>
      </c>
      <c r="AA79" s="229" cm="1">
        <f t="array" aca="1" ref="AA79" ca="1">INDEX(_xlfn.SWITCH(Homeworking_Backend[[#This Row],[Methodology]],"Tier 1",rng_RSD1,"Tier 2",rng_RSD2,"Tier 3",rng_RSD3),MATCH(_xlfn.CONCAT(Homeworking_Backend[[#This Row],[Level 1]:[Level 6]]),rng_LevelsConcat,0))</f>
        <v>0.2</v>
      </c>
      <c r="AB79" s="220" t="str">
        <f>Homeworking_Frontend[[#This Row],[Data]]</f>
        <v/>
      </c>
      <c r="AC79" s="220" t="str">
        <f>Homeworking_Frontend[[#This Row],[Units]]</f>
        <v>FTE.hrs</v>
      </c>
      <c r="AD79" s="220" t="str">
        <f ca="1">IF(Homeworking_Backend[[#This Row],[Units]]=Homeworking_Backend[[#This Row],[Standard units]],Homeworking_Backend[[#This Row],[Data]],Homeworking_Backend[[#This Row],[Data]]*_xlfn.XLOOKUP(_xlfn.CONCAT(Homeworking_Backend[[#This Row],[Level 1]:[Level 6]]),rng_EFConcat,rng_EFConversion))</f>
        <v/>
      </c>
      <c r="AE79" s="174" t="str" cm="1">
        <f t="array" aca="1" ref="AE79" ca="1">_xlfn.XLOOKUP(_xlfn.CONCAT(Homeworking_Backend[[#This Row],[Level 1]:[Level 6]]),rng_LevelsConcat,rng_UnitsLong)</f>
        <v>FTE.hrs</v>
      </c>
      <c r="AF79" s="210" t="e">
        <f ca="1">_xlfn.XLOOKUP(_xlfn.CONCAT(Homeworking_Backend[[#This Row],[Level 1]:[Level 6]]),rng_EFConcat,rng_EF1)*Homeworking_Backend[[#This Row],[Converted data]]/1000</f>
        <v>#VALUE!</v>
      </c>
      <c r="AG79" s="210" t="e">
        <f ca="1">_xlfn.XLOOKUP(_xlfn.CONCAT(Homeworking_Backend[[#This Row],[Level 1]:[Level 6]]),rng_EFConcat,rng_EF2)*Homeworking_Backend[[#This Row],[Converted data]]/1000</f>
        <v>#VALUE!</v>
      </c>
      <c r="AH79" s="210" t="e">
        <f ca="1">_xlfn.XLOOKUP(_xlfn.CONCAT(Homeworking_Backend[[#This Row],[Level 1]:[Level 6]]),rng_EFConcat,rng_EF3)*Homeworking_Backend[[#This Row],[Converted data]]/1000</f>
        <v>#VALUE!</v>
      </c>
      <c r="AI79" s="210" t="e">
        <f ca="1">_xlfn.XLOOKUP(_xlfn.CONCAT(Homeworking_Backend[[#This Row],[Level 1]:[Level 6]]),rng_EFConcat,rng_EF3WTT)*Homeworking_Backend[[#This Row],[Converted data]]/1000</f>
        <v>#VALUE!</v>
      </c>
      <c r="AJ79" s="210" t="e">
        <f ca="1">_xlfn.XLOOKUP(_xlfn.CONCAT(Homeworking_Backend[[#This Row],[Level 1]:[Level 6]]),rng_EFConcat,rng_EF3TD)*Homeworking_Backend[[#This Row],[Converted data]]/1000</f>
        <v>#VALUE!</v>
      </c>
      <c r="AK79" s="210" t="e">
        <f ca="1">_xlfn.XLOOKUP(_xlfn.CONCAT(Homeworking_Backend[[#This Row],[Level 1]:[Level 6]]),rng_EFConcat,rng_EF3WTTTD)*Homeworking_Backend[[#This Row],[Converted data]]/1000</f>
        <v>#VALUE!</v>
      </c>
      <c r="AL79" s="220" t="e">
        <f ca="1">SUM(Homeworking_Backend[[#This Row],[Scope 1 (tCO2e)]:[Scope 3 WTT T&amp;D (tCO2e)]])</f>
        <v>#VALUE!</v>
      </c>
      <c r="AM79" s="220" t="e">
        <f ca="1">Homeworking_Backend[[#This Row],[Total (tCO2e)]]*(1-Homeworking_Backend[[#This Row],[RSD]])</f>
        <v>#VALUE!</v>
      </c>
      <c r="AN79" s="220" t="e">
        <f ca="1">Homeworking_Backend[[#This Row],[Total (tCO2e)]]*(1+Homeworking_Backend[[#This Row],[RSD]])</f>
        <v>#VALUE!</v>
      </c>
      <c r="AO79" s="210" t="e">
        <f ca="1">_xlfn.XLOOKUP(_xlfn.CONCAT(Homeworking_Backend[[#This Row],[Level 1]:[Level 6]]),rng_EFConcat,rng_EFOOS)*Homeworking_Backend[[#This Row],[Converted data]]/1000</f>
        <v>#VALUE!</v>
      </c>
      <c r="AP79" s="174">
        <f>Homeworking_Frontend[[#This Row],[Ease of collection]]</f>
        <v>0</v>
      </c>
      <c r="AQ79" s="174">
        <f>Homeworking_Frontend[[#This Row],[Completeness]]</f>
        <v>0</v>
      </c>
      <c r="AR79" s="174">
        <f>Homeworking_Frontend[[#This Row],[Notes]]</f>
        <v>0</v>
      </c>
    </row>
    <row r="80" spans="2:44" x14ac:dyDescent="0.3">
      <c r="E80" s="329"/>
      <c r="F80" s="329"/>
      <c r="G80" s="342"/>
      <c r="H80" s="362"/>
      <c r="I80" s="172" t="s">
        <v>199</v>
      </c>
      <c r="J80" s="332" t="str">
        <f>IF($G80="","",Homeworking_Frontend[[#This Row],[Number of FTE]]*Homeworking_Frontend[[#This Row],[% Working hours at home]]*37.5*46.4)</f>
        <v/>
      </c>
      <c r="K80" s="172" t="s">
        <v>368</v>
      </c>
      <c r="L80" s="336"/>
      <c r="M80" s="336"/>
      <c r="N80" s="364"/>
      <c r="O80" s="267">
        <f t="shared" si="5"/>
        <v>2</v>
      </c>
      <c r="Q80" s="212" t="str">
        <f t="shared" si="4"/>
        <v/>
      </c>
      <c r="R80" s="174" t="s">
        <v>220</v>
      </c>
      <c r="S80" s="174" t="s">
        <v>193</v>
      </c>
      <c r="T80" s="174" t="str" cm="1">
        <f t="array" aca="1" ref="T80" ca="1">_xlfn.XLOOKUP(Homeworking_Backend[[#This Row],[Level 2]],rng_Level2Long,rng_Level3Long)</f>
        <v>Homeworking</v>
      </c>
      <c r="U80" s="174" t="str" cm="1">
        <f t="array" aca="1" ref="U80" ca="1">_xlfn.XLOOKUP(Homeworking_Backend[[#This Row],[Level 3]],rng_Level3Long,rng_Level4Long)</f>
        <v>Homeworking</v>
      </c>
      <c r="V80" s="174" t="str" cm="1">
        <f t="array" aca="1" ref="V80" ca="1">_xlfn.XLOOKUP(Homeworking_Backend[[#This Row],[Level 4]],rng_Level4Long,rng_Level5Long)</f>
        <v>Homeworking</v>
      </c>
      <c r="W80" s="174" t="str" cm="1">
        <f t="array" aca="1" ref="W80" ca="1">_xlfn.XLOOKUP(Homeworking_Backend[[#This Row],[Level 5]],rng_Level5Long,rng_Level6Long)</f>
        <v>NaN</v>
      </c>
      <c r="X80" s="174"/>
      <c r="Y80" s="174"/>
      <c r="Z80" s="174" t="str">
        <f>Homeworking_Frontend[[#This Row],[Methodology]]</f>
        <v>Tier 2</v>
      </c>
      <c r="AA80" s="229" cm="1">
        <f t="array" aca="1" ref="AA80" ca="1">INDEX(_xlfn.SWITCH(Homeworking_Backend[[#This Row],[Methodology]],"Tier 1",rng_RSD1,"Tier 2",rng_RSD2,"Tier 3",rng_RSD3),MATCH(_xlfn.CONCAT(Homeworking_Backend[[#This Row],[Level 1]:[Level 6]]),rng_LevelsConcat,0))</f>
        <v>0.2</v>
      </c>
      <c r="AB80" s="220" t="str">
        <f>Homeworking_Frontend[[#This Row],[Data]]</f>
        <v/>
      </c>
      <c r="AC80" s="220" t="str">
        <f>Homeworking_Frontend[[#This Row],[Units]]</f>
        <v>FTE.hrs</v>
      </c>
      <c r="AD80" s="220" t="str">
        <f ca="1">IF(Homeworking_Backend[[#This Row],[Units]]=Homeworking_Backend[[#This Row],[Standard units]],Homeworking_Backend[[#This Row],[Data]],Homeworking_Backend[[#This Row],[Data]]*_xlfn.XLOOKUP(_xlfn.CONCAT(Homeworking_Backend[[#This Row],[Level 1]:[Level 6]]),rng_EFConcat,rng_EFConversion))</f>
        <v/>
      </c>
      <c r="AE80" s="174" t="str" cm="1">
        <f t="array" aca="1" ref="AE80" ca="1">_xlfn.XLOOKUP(_xlfn.CONCAT(Homeworking_Backend[[#This Row],[Level 1]:[Level 6]]),rng_LevelsConcat,rng_UnitsLong)</f>
        <v>FTE.hrs</v>
      </c>
      <c r="AF80" s="210" t="e">
        <f ca="1">_xlfn.XLOOKUP(_xlfn.CONCAT(Homeworking_Backend[[#This Row],[Level 1]:[Level 6]]),rng_EFConcat,rng_EF1)*Homeworking_Backend[[#This Row],[Converted data]]/1000</f>
        <v>#VALUE!</v>
      </c>
      <c r="AG80" s="210" t="e">
        <f ca="1">_xlfn.XLOOKUP(_xlfn.CONCAT(Homeworking_Backend[[#This Row],[Level 1]:[Level 6]]),rng_EFConcat,rng_EF2)*Homeworking_Backend[[#This Row],[Converted data]]/1000</f>
        <v>#VALUE!</v>
      </c>
      <c r="AH80" s="210" t="e">
        <f ca="1">_xlfn.XLOOKUP(_xlfn.CONCAT(Homeworking_Backend[[#This Row],[Level 1]:[Level 6]]),rng_EFConcat,rng_EF3)*Homeworking_Backend[[#This Row],[Converted data]]/1000</f>
        <v>#VALUE!</v>
      </c>
      <c r="AI80" s="210" t="e">
        <f ca="1">_xlfn.XLOOKUP(_xlfn.CONCAT(Homeworking_Backend[[#This Row],[Level 1]:[Level 6]]),rng_EFConcat,rng_EF3WTT)*Homeworking_Backend[[#This Row],[Converted data]]/1000</f>
        <v>#VALUE!</v>
      </c>
      <c r="AJ80" s="210" t="e">
        <f ca="1">_xlfn.XLOOKUP(_xlfn.CONCAT(Homeworking_Backend[[#This Row],[Level 1]:[Level 6]]),rng_EFConcat,rng_EF3TD)*Homeworking_Backend[[#This Row],[Converted data]]/1000</f>
        <v>#VALUE!</v>
      </c>
      <c r="AK80" s="210" t="e">
        <f ca="1">_xlfn.XLOOKUP(_xlfn.CONCAT(Homeworking_Backend[[#This Row],[Level 1]:[Level 6]]),rng_EFConcat,rng_EF3WTTTD)*Homeworking_Backend[[#This Row],[Converted data]]/1000</f>
        <v>#VALUE!</v>
      </c>
      <c r="AL80" s="220" t="e">
        <f ca="1">SUM(Homeworking_Backend[[#This Row],[Scope 1 (tCO2e)]:[Scope 3 WTT T&amp;D (tCO2e)]])</f>
        <v>#VALUE!</v>
      </c>
      <c r="AM80" s="220" t="e">
        <f ca="1">Homeworking_Backend[[#This Row],[Total (tCO2e)]]*(1-Homeworking_Backend[[#This Row],[RSD]])</f>
        <v>#VALUE!</v>
      </c>
      <c r="AN80" s="220" t="e">
        <f ca="1">Homeworking_Backend[[#This Row],[Total (tCO2e)]]*(1+Homeworking_Backend[[#This Row],[RSD]])</f>
        <v>#VALUE!</v>
      </c>
      <c r="AO80" s="210" t="e">
        <f ca="1">_xlfn.XLOOKUP(_xlfn.CONCAT(Homeworking_Backend[[#This Row],[Level 1]:[Level 6]]),rng_EFConcat,rng_EFOOS)*Homeworking_Backend[[#This Row],[Converted data]]/1000</f>
        <v>#VALUE!</v>
      </c>
      <c r="AP80" s="174">
        <f>Homeworking_Frontend[[#This Row],[Ease of collection]]</f>
        <v>0</v>
      </c>
      <c r="AQ80" s="174">
        <f>Homeworking_Frontend[[#This Row],[Completeness]]</f>
        <v>0</v>
      </c>
      <c r="AR80" s="174">
        <f>Homeworking_Frontend[[#This Row],[Notes]]</f>
        <v>0</v>
      </c>
    </row>
    <row r="81" spans="5:44" x14ac:dyDescent="0.3">
      <c r="E81" s="329"/>
      <c r="F81" s="329"/>
      <c r="G81" s="342"/>
      <c r="H81" s="362"/>
      <c r="I81" s="172" t="s">
        <v>199</v>
      </c>
      <c r="J81" s="332" t="str">
        <f>IF($G81="","",Homeworking_Frontend[[#This Row],[Number of FTE]]*Homeworking_Frontend[[#This Row],[% Working hours at home]]*37.5*46.4)</f>
        <v/>
      </c>
      <c r="K81" s="172" t="s">
        <v>368</v>
      </c>
      <c r="L81" s="336"/>
      <c r="M81" s="336"/>
      <c r="N81" s="364"/>
      <c r="O81" s="267">
        <f t="shared" si="5"/>
        <v>2</v>
      </c>
      <c r="Q81" s="212" t="str">
        <f t="shared" si="4"/>
        <v/>
      </c>
      <c r="R81" s="174" t="s">
        <v>220</v>
      </c>
      <c r="S81" s="174" t="s">
        <v>193</v>
      </c>
      <c r="T81" s="174" t="str" cm="1">
        <f t="array" aca="1" ref="T81" ca="1">_xlfn.XLOOKUP(Homeworking_Backend[[#This Row],[Level 2]],rng_Level2Long,rng_Level3Long)</f>
        <v>Homeworking</v>
      </c>
      <c r="U81" s="174" t="str" cm="1">
        <f t="array" aca="1" ref="U81" ca="1">_xlfn.XLOOKUP(Homeworking_Backend[[#This Row],[Level 3]],rng_Level3Long,rng_Level4Long)</f>
        <v>Homeworking</v>
      </c>
      <c r="V81" s="174" t="str" cm="1">
        <f t="array" aca="1" ref="V81" ca="1">_xlfn.XLOOKUP(Homeworking_Backend[[#This Row],[Level 4]],rng_Level4Long,rng_Level5Long)</f>
        <v>Homeworking</v>
      </c>
      <c r="W81" s="174" t="str" cm="1">
        <f t="array" aca="1" ref="W81" ca="1">_xlfn.XLOOKUP(Homeworking_Backend[[#This Row],[Level 5]],rng_Level5Long,rng_Level6Long)</f>
        <v>NaN</v>
      </c>
      <c r="X81" s="174"/>
      <c r="Y81" s="174"/>
      <c r="Z81" s="174" t="str">
        <f>Homeworking_Frontend[[#This Row],[Methodology]]</f>
        <v>Tier 2</v>
      </c>
      <c r="AA81" s="229" cm="1">
        <f t="array" aca="1" ref="AA81" ca="1">INDEX(_xlfn.SWITCH(Homeworking_Backend[[#This Row],[Methodology]],"Tier 1",rng_RSD1,"Tier 2",rng_RSD2,"Tier 3",rng_RSD3),MATCH(_xlfn.CONCAT(Homeworking_Backend[[#This Row],[Level 1]:[Level 6]]),rng_LevelsConcat,0))</f>
        <v>0.2</v>
      </c>
      <c r="AB81" s="220" t="str">
        <f>Homeworking_Frontend[[#This Row],[Data]]</f>
        <v/>
      </c>
      <c r="AC81" s="220" t="str">
        <f>Homeworking_Frontend[[#This Row],[Units]]</f>
        <v>FTE.hrs</v>
      </c>
      <c r="AD81" s="220" t="str">
        <f ca="1">IF(Homeworking_Backend[[#This Row],[Units]]=Homeworking_Backend[[#This Row],[Standard units]],Homeworking_Backend[[#This Row],[Data]],Homeworking_Backend[[#This Row],[Data]]*_xlfn.XLOOKUP(_xlfn.CONCAT(Homeworking_Backend[[#This Row],[Level 1]:[Level 6]]),rng_EFConcat,rng_EFConversion))</f>
        <v/>
      </c>
      <c r="AE81" s="174" t="str" cm="1">
        <f t="array" aca="1" ref="AE81" ca="1">_xlfn.XLOOKUP(_xlfn.CONCAT(Homeworking_Backend[[#This Row],[Level 1]:[Level 6]]),rng_LevelsConcat,rng_UnitsLong)</f>
        <v>FTE.hrs</v>
      </c>
      <c r="AF81" s="210" t="e">
        <f ca="1">_xlfn.XLOOKUP(_xlfn.CONCAT(Homeworking_Backend[[#This Row],[Level 1]:[Level 6]]),rng_EFConcat,rng_EF1)*Homeworking_Backend[[#This Row],[Converted data]]/1000</f>
        <v>#VALUE!</v>
      </c>
      <c r="AG81" s="210" t="e">
        <f ca="1">_xlfn.XLOOKUP(_xlfn.CONCAT(Homeworking_Backend[[#This Row],[Level 1]:[Level 6]]),rng_EFConcat,rng_EF2)*Homeworking_Backend[[#This Row],[Converted data]]/1000</f>
        <v>#VALUE!</v>
      </c>
      <c r="AH81" s="210" t="e">
        <f ca="1">_xlfn.XLOOKUP(_xlfn.CONCAT(Homeworking_Backend[[#This Row],[Level 1]:[Level 6]]),rng_EFConcat,rng_EF3)*Homeworking_Backend[[#This Row],[Converted data]]/1000</f>
        <v>#VALUE!</v>
      </c>
      <c r="AI81" s="210" t="e">
        <f ca="1">_xlfn.XLOOKUP(_xlfn.CONCAT(Homeworking_Backend[[#This Row],[Level 1]:[Level 6]]),rng_EFConcat,rng_EF3WTT)*Homeworking_Backend[[#This Row],[Converted data]]/1000</f>
        <v>#VALUE!</v>
      </c>
      <c r="AJ81" s="210" t="e">
        <f ca="1">_xlfn.XLOOKUP(_xlfn.CONCAT(Homeworking_Backend[[#This Row],[Level 1]:[Level 6]]),rng_EFConcat,rng_EF3TD)*Homeworking_Backend[[#This Row],[Converted data]]/1000</f>
        <v>#VALUE!</v>
      </c>
      <c r="AK81" s="210" t="e">
        <f ca="1">_xlfn.XLOOKUP(_xlfn.CONCAT(Homeworking_Backend[[#This Row],[Level 1]:[Level 6]]),rng_EFConcat,rng_EF3WTTTD)*Homeworking_Backend[[#This Row],[Converted data]]/1000</f>
        <v>#VALUE!</v>
      </c>
      <c r="AL81" s="220" t="e">
        <f ca="1">SUM(Homeworking_Backend[[#This Row],[Scope 1 (tCO2e)]:[Scope 3 WTT T&amp;D (tCO2e)]])</f>
        <v>#VALUE!</v>
      </c>
      <c r="AM81" s="220" t="e">
        <f ca="1">Homeworking_Backend[[#This Row],[Total (tCO2e)]]*(1-Homeworking_Backend[[#This Row],[RSD]])</f>
        <v>#VALUE!</v>
      </c>
      <c r="AN81" s="220" t="e">
        <f ca="1">Homeworking_Backend[[#This Row],[Total (tCO2e)]]*(1+Homeworking_Backend[[#This Row],[RSD]])</f>
        <v>#VALUE!</v>
      </c>
      <c r="AO81" s="210" t="e">
        <f ca="1">_xlfn.XLOOKUP(_xlfn.CONCAT(Homeworking_Backend[[#This Row],[Level 1]:[Level 6]]),rng_EFConcat,rng_EFOOS)*Homeworking_Backend[[#This Row],[Converted data]]/1000</f>
        <v>#VALUE!</v>
      </c>
      <c r="AP81" s="174">
        <f>Homeworking_Frontend[[#This Row],[Ease of collection]]</f>
        <v>0</v>
      </c>
      <c r="AQ81" s="174">
        <f>Homeworking_Frontend[[#This Row],[Completeness]]</f>
        <v>0</v>
      </c>
      <c r="AR81" s="174">
        <f>Homeworking_Frontend[[#This Row],[Notes]]</f>
        <v>0</v>
      </c>
    </row>
    <row r="82" spans="5:44" x14ac:dyDescent="0.3">
      <c r="E82" s="329"/>
      <c r="F82" s="329"/>
      <c r="G82" s="342"/>
      <c r="H82" s="362"/>
      <c r="I82" s="172" t="s">
        <v>199</v>
      </c>
      <c r="J82" s="332" t="str">
        <f>IF($G82="","",Homeworking_Frontend[[#This Row],[Number of FTE]]*Homeworking_Frontend[[#This Row],[% Working hours at home]]*37.5*46.4)</f>
        <v/>
      </c>
      <c r="K82" s="172" t="s">
        <v>368</v>
      </c>
      <c r="L82" s="336"/>
      <c r="M82" s="336"/>
      <c r="N82" s="364"/>
      <c r="O82" s="267">
        <f t="shared" si="5"/>
        <v>2</v>
      </c>
      <c r="Q82" s="212" t="str">
        <f t="shared" si="4"/>
        <v/>
      </c>
      <c r="R82" s="174" t="s">
        <v>220</v>
      </c>
      <c r="S82" s="174" t="s">
        <v>193</v>
      </c>
      <c r="T82" s="174" t="str" cm="1">
        <f t="array" aca="1" ref="T82" ca="1">_xlfn.XLOOKUP(Homeworking_Backend[[#This Row],[Level 2]],rng_Level2Long,rng_Level3Long)</f>
        <v>Homeworking</v>
      </c>
      <c r="U82" s="174" t="str" cm="1">
        <f t="array" aca="1" ref="U82" ca="1">_xlfn.XLOOKUP(Homeworking_Backend[[#This Row],[Level 3]],rng_Level3Long,rng_Level4Long)</f>
        <v>Homeworking</v>
      </c>
      <c r="V82" s="174" t="str" cm="1">
        <f t="array" aca="1" ref="V82" ca="1">_xlfn.XLOOKUP(Homeworking_Backend[[#This Row],[Level 4]],rng_Level4Long,rng_Level5Long)</f>
        <v>Homeworking</v>
      </c>
      <c r="W82" s="174" t="str" cm="1">
        <f t="array" aca="1" ref="W82" ca="1">_xlfn.XLOOKUP(Homeworking_Backend[[#This Row],[Level 5]],rng_Level5Long,rng_Level6Long)</f>
        <v>NaN</v>
      </c>
      <c r="X82" s="174"/>
      <c r="Y82" s="174"/>
      <c r="Z82" s="174" t="str">
        <f>Homeworking_Frontend[[#This Row],[Methodology]]</f>
        <v>Tier 2</v>
      </c>
      <c r="AA82" s="229" cm="1">
        <f t="array" aca="1" ref="AA82" ca="1">INDEX(_xlfn.SWITCH(Homeworking_Backend[[#This Row],[Methodology]],"Tier 1",rng_RSD1,"Tier 2",rng_RSD2,"Tier 3",rng_RSD3),MATCH(_xlfn.CONCAT(Homeworking_Backend[[#This Row],[Level 1]:[Level 6]]),rng_LevelsConcat,0))</f>
        <v>0.2</v>
      </c>
      <c r="AB82" s="220" t="str">
        <f>Homeworking_Frontend[[#This Row],[Data]]</f>
        <v/>
      </c>
      <c r="AC82" s="220" t="str">
        <f>Homeworking_Frontend[[#This Row],[Units]]</f>
        <v>FTE.hrs</v>
      </c>
      <c r="AD82" s="220" t="str">
        <f ca="1">IF(Homeworking_Backend[[#This Row],[Units]]=Homeworking_Backend[[#This Row],[Standard units]],Homeworking_Backend[[#This Row],[Data]],Homeworking_Backend[[#This Row],[Data]]*_xlfn.XLOOKUP(_xlfn.CONCAT(Homeworking_Backend[[#This Row],[Level 1]:[Level 6]]),rng_EFConcat,rng_EFConversion))</f>
        <v/>
      </c>
      <c r="AE82" s="174" t="str" cm="1">
        <f t="array" aca="1" ref="AE82" ca="1">_xlfn.XLOOKUP(_xlfn.CONCAT(Homeworking_Backend[[#This Row],[Level 1]:[Level 6]]),rng_LevelsConcat,rng_UnitsLong)</f>
        <v>FTE.hrs</v>
      </c>
      <c r="AF82" s="210" t="e">
        <f ca="1">_xlfn.XLOOKUP(_xlfn.CONCAT(Homeworking_Backend[[#This Row],[Level 1]:[Level 6]]),rng_EFConcat,rng_EF1)*Homeworking_Backend[[#This Row],[Converted data]]/1000</f>
        <v>#VALUE!</v>
      </c>
      <c r="AG82" s="210" t="e">
        <f ca="1">_xlfn.XLOOKUP(_xlfn.CONCAT(Homeworking_Backend[[#This Row],[Level 1]:[Level 6]]),rng_EFConcat,rng_EF2)*Homeworking_Backend[[#This Row],[Converted data]]/1000</f>
        <v>#VALUE!</v>
      </c>
      <c r="AH82" s="210" t="e">
        <f ca="1">_xlfn.XLOOKUP(_xlfn.CONCAT(Homeworking_Backend[[#This Row],[Level 1]:[Level 6]]),rng_EFConcat,rng_EF3)*Homeworking_Backend[[#This Row],[Converted data]]/1000</f>
        <v>#VALUE!</v>
      </c>
      <c r="AI82" s="210" t="e">
        <f ca="1">_xlfn.XLOOKUP(_xlfn.CONCAT(Homeworking_Backend[[#This Row],[Level 1]:[Level 6]]),rng_EFConcat,rng_EF3WTT)*Homeworking_Backend[[#This Row],[Converted data]]/1000</f>
        <v>#VALUE!</v>
      </c>
      <c r="AJ82" s="210" t="e">
        <f ca="1">_xlfn.XLOOKUP(_xlfn.CONCAT(Homeworking_Backend[[#This Row],[Level 1]:[Level 6]]),rng_EFConcat,rng_EF3TD)*Homeworking_Backend[[#This Row],[Converted data]]/1000</f>
        <v>#VALUE!</v>
      </c>
      <c r="AK82" s="210" t="e">
        <f ca="1">_xlfn.XLOOKUP(_xlfn.CONCAT(Homeworking_Backend[[#This Row],[Level 1]:[Level 6]]),rng_EFConcat,rng_EF3WTTTD)*Homeworking_Backend[[#This Row],[Converted data]]/1000</f>
        <v>#VALUE!</v>
      </c>
      <c r="AL82" s="220" t="e">
        <f ca="1">SUM(Homeworking_Backend[[#This Row],[Scope 1 (tCO2e)]:[Scope 3 WTT T&amp;D (tCO2e)]])</f>
        <v>#VALUE!</v>
      </c>
      <c r="AM82" s="220" t="e">
        <f ca="1">Homeworking_Backend[[#This Row],[Total (tCO2e)]]*(1-Homeworking_Backend[[#This Row],[RSD]])</f>
        <v>#VALUE!</v>
      </c>
      <c r="AN82" s="220" t="e">
        <f ca="1">Homeworking_Backend[[#This Row],[Total (tCO2e)]]*(1+Homeworking_Backend[[#This Row],[RSD]])</f>
        <v>#VALUE!</v>
      </c>
      <c r="AO82" s="210" t="e">
        <f ca="1">_xlfn.XLOOKUP(_xlfn.CONCAT(Homeworking_Backend[[#This Row],[Level 1]:[Level 6]]),rng_EFConcat,rng_EFOOS)*Homeworking_Backend[[#This Row],[Converted data]]/1000</f>
        <v>#VALUE!</v>
      </c>
      <c r="AP82" s="174">
        <f>Homeworking_Frontend[[#This Row],[Ease of collection]]</f>
        <v>0</v>
      </c>
      <c r="AQ82" s="174">
        <f>Homeworking_Frontend[[#This Row],[Completeness]]</f>
        <v>0</v>
      </c>
      <c r="AR82" s="174">
        <f>Homeworking_Frontend[[#This Row],[Notes]]</f>
        <v>0</v>
      </c>
    </row>
    <row r="83" spans="5:44" x14ac:dyDescent="0.3">
      <c r="E83" s="329"/>
      <c r="F83" s="329"/>
      <c r="G83" s="342"/>
      <c r="H83" s="362"/>
      <c r="I83" s="172" t="s">
        <v>199</v>
      </c>
      <c r="J83" s="332" t="str">
        <f>IF($G83="","",Homeworking_Frontend[[#This Row],[Number of FTE]]*Homeworking_Frontend[[#This Row],[% Working hours at home]]*37.5*46.4)</f>
        <v/>
      </c>
      <c r="K83" s="172" t="s">
        <v>368</v>
      </c>
      <c r="L83" s="336"/>
      <c r="M83" s="336"/>
      <c r="N83" s="364"/>
      <c r="O83" s="267">
        <f t="shared" si="5"/>
        <v>2</v>
      </c>
      <c r="Q83" s="212" t="str">
        <f t="shared" si="4"/>
        <v/>
      </c>
      <c r="R83" s="174" t="s">
        <v>220</v>
      </c>
      <c r="S83" s="174" t="s">
        <v>193</v>
      </c>
      <c r="T83" s="174" t="str" cm="1">
        <f t="array" aca="1" ref="T83" ca="1">_xlfn.XLOOKUP(Homeworking_Backend[[#This Row],[Level 2]],rng_Level2Long,rng_Level3Long)</f>
        <v>Homeworking</v>
      </c>
      <c r="U83" s="174" t="str" cm="1">
        <f t="array" aca="1" ref="U83" ca="1">_xlfn.XLOOKUP(Homeworking_Backend[[#This Row],[Level 3]],rng_Level3Long,rng_Level4Long)</f>
        <v>Homeworking</v>
      </c>
      <c r="V83" s="174" t="str" cm="1">
        <f t="array" aca="1" ref="V83" ca="1">_xlfn.XLOOKUP(Homeworking_Backend[[#This Row],[Level 4]],rng_Level4Long,rng_Level5Long)</f>
        <v>Homeworking</v>
      </c>
      <c r="W83" s="174" t="str" cm="1">
        <f t="array" aca="1" ref="W83" ca="1">_xlfn.XLOOKUP(Homeworking_Backend[[#This Row],[Level 5]],rng_Level5Long,rng_Level6Long)</f>
        <v>NaN</v>
      </c>
      <c r="X83" s="174"/>
      <c r="Y83" s="174"/>
      <c r="Z83" s="174" t="str">
        <f>Homeworking_Frontend[[#This Row],[Methodology]]</f>
        <v>Tier 2</v>
      </c>
      <c r="AA83" s="229" cm="1">
        <f t="array" aca="1" ref="AA83" ca="1">INDEX(_xlfn.SWITCH(Homeworking_Backend[[#This Row],[Methodology]],"Tier 1",rng_RSD1,"Tier 2",rng_RSD2,"Tier 3",rng_RSD3),MATCH(_xlfn.CONCAT(Homeworking_Backend[[#This Row],[Level 1]:[Level 6]]),rng_LevelsConcat,0))</f>
        <v>0.2</v>
      </c>
      <c r="AB83" s="220" t="str">
        <f>Homeworking_Frontend[[#This Row],[Data]]</f>
        <v/>
      </c>
      <c r="AC83" s="220" t="str">
        <f>Homeworking_Frontend[[#This Row],[Units]]</f>
        <v>FTE.hrs</v>
      </c>
      <c r="AD83" s="220" t="str">
        <f ca="1">IF(Homeworking_Backend[[#This Row],[Units]]=Homeworking_Backend[[#This Row],[Standard units]],Homeworking_Backend[[#This Row],[Data]],Homeworking_Backend[[#This Row],[Data]]*_xlfn.XLOOKUP(_xlfn.CONCAT(Homeworking_Backend[[#This Row],[Level 1]:[Level 6]]),rng_EFConcat,rng_EFConversion))</f>
        <v/>
      </c>
      <c r="AE83" s="174" t="str" cm="1">
        <f t="array" aca="1" ref="AE83" ca="1">_xlfn.XLOOKUP(_xlfn.CONCAT(Homeworking_Backend[[#This Row],[Level 1]:[Level 6]]),rng_LevelsConcat,rng_UnitsLong)</f>
        <v>FTE.hrs</v>
      </c>
      <c r="AF83" s="210" t="e">
        <f ca="1">_xlfn.XLOOKUP(_xlfn.CONCAT(Homeworking_Backend[[#This Row],[Level 1]:[Level 6]]),rng_EFConcat,rng_EF1)*Homeworking_Backend[[#This Row],[Converted data]]/1000</f>
        <v>#VALUE!</v>
      </c>
      <c r="AG83" s="210" t="e">
        <f ca="1">_xlfn.XLOOKUP(_xlfn.CONCAT(Homeworking_Backend[[#This Row],[Level 1]:[Level 6]]),rng_EFConcat,rng_EF2)*Homeworking_Backend[[#This Row],[Converted data]]/1000</f>
        <v>#VALUE!</v>
      </c>
      <c r="AH83" s="210" t="e">
        <f ca="1">_xlfn.XLOOKUP(_xlfn.CONCAT(Homeworking_Backend[[#This Row],[Level 1]:[Level 6]]),rng_EFConcat,rng_EF3)*Homeworking_Backend[[#This Row],[Converted data]]/1000</f>
        <v>#VALUE!</v>
      </c>
      <c r="AI83" s="210" t="e">
        <f ca="1">_xlfn.XLOOKUP(_xlfn.CONCAT(Homeworking_Backend[[#This Row],[Level 1]:[Level 6]]),rng_EFConcat,rng_EF3WTT)*Homeworking_Backend[[#This Row],[Converted data]]/1000</f>
        <v>#VALUE!</v>
      </c>
      <c r="AJ83" s="210" t="e">
        <f ca="1">_xlfn.XLOOKUP(_xlfn.CONCAT(Homeworking_Backend[[#This Row],[Level 1]:[Level 6]]),rng_EFConcat,rng_EF3TD)*Homeworking_Backend[[#This Row],[Converted data]]/1000</f>
        <v>#VALUE!</v>
      </c>
      <c r="AK83" s="210" t="e">
        <f ca="1">_xlfn.XLOOKUP(_xlfn.CONCAT(Homeworking_Backend[[#This Row],[Level 1]:[Level 6]]),rng_EFConcat,rng_EF3WTTTD)*Homeworking_Backend[[#This Row],[Converted data]]/1000</f>
        <v>#VALUE!</v>
      </c>
      <c r="AL83" s="220" t="e">
        <f ca="1">SUM(Homeworking_Backend[[#This Row],[Scope 1 (tCO2e)]:[Scope 3 WTT T&amp;D (tCO2e)]])</f>
        <v>#VALUE!</v>
      </c>
      <c r="AM83" s="220" t="e">
        <f ca="1">Homeworking_Backend[[#This Row],[Total (tCO2e)]]*(1-Homeworking_Backend[[#This Row],[RSD]])</f>
        <v>#VALUE!</v>
      </c>
      <c r="AN83" s="220" t="e">
        <f ca="1">Homeworking_Backend[[#This Row],[Total (tCO2e)]]*(1+Homeworking_Backend[[#This Row],[RSD]])</f>
        <v>#VALUE!</v>
      </c>
      <c r="AO83" s="210" t="e">
        <f ca="1">_xlfn.XLOOKUP(_xlfn.CONCAT(Homeworking_Backend[[#This Row],[Level 1]:[Level 6]]),rng_EFConcat,rng_EFOOS)*Homeworking_Backend[[#This Row],[Converted data]]/1000</f>
        <v>#VALUE!</v>
      </c>
      <c r="AP83" s="174">
        <f>Homeworking_Frontend[[#This Row],[Ease of collection]]</f>
        <v>0</v>
      </c>
      <c r="AQ83" s="174">
        <f>Homeworking_Frontend[[#This Row],[Completeness]]</f>
        <v>0</v>
      </c>
      <c r="AR83" s="174">
        <f>Homeworking_Frontend[[#This Row],[Notes]]</f>
        <v>0</v>
      </c>
    </row>
    <row r="84" spans="5:44" x14ac:dyDescent="0.3">
      <c r="E84" s="329"/>
      <c r="F84" s="329"/>
      <c r="G84" s="342"/>
      <c r="H84" s="362"/>
      <c r="I84" s="172" t="s">
        <v>199</v>
      </c>
      <c r="J84" s="332" t="str">
        <f>IF($G84="","",Homeworking_Frontend[[#This Row],[Number of FTE]]*Homeworking_Frontend[[#This Row],[% Working hours at home]]*37.5*46.4)</f>
        <v/>
      </c>
      <c r="K84" s="172" t="s">
        <v>368</v>
      </c>
      <c r="L84" s="336"/>
      <c r="M84" s="336"/>
      <c r="N84" s="364"/>
      <c r="O84" s="267">
        <f t="shared" si="5"/>
        <v>2</v>
      </c>
      <c r="Q84" s="212" t="str">
        <f t="shared" si="4"/>
        <v/>
      </c>
      <c r="R84" s="174" t="s">
        <v>220</v>
      </c>
      <c r="S84" s="174" t="s">
        <v>193</v>
      </c>
      <c r="T84" s="174" t="str" cm="1">
        <f t="array" aca="1" ref="T84" ca="1">_xlfn.XLOOKUP(Homeworking_Backend[[#This Row],[Level 2]],rng_Level2Long,rng_Level3Long)</f>
        <v>Homeworking</v>
      </c>
      <c r="U84" s="174" t="str" cm="1">
        <f t="array" aca="1" ref="U84" ca="1">_xlfn.XLOOKUP(Homeworking_Backend[[#This Row],[Level 3]],rng_Level3Long,rng_Level4Long)</f>
        <v>Homeworking</v>
      </c>
      <c r="V84" s="174" t="str" cm="1">
        <f t="array" aca="1" ref="V84" ca="1">_xlfn.XLOOKUP(Homeworking_Backend[[#This Row],[Level 4]],rng_Level4Long,rng_Level5Long)</f>
        <v>Homeworking</v>
      </c>
      <c r="W84" s="174" t="str" cm="1">
        <f t="array" aca="1" ref="W84" ca="1">_xlfn.XLOOKUP(Homeworking_Backend[[#This Row],[Level 5]],rng_Level5Long,rng_Level6Long)</f>
        <v>NaN</v>
      </c>
      <c r="X84" s="174"/>
      <c r="Y84" s="174"/>
      <c r="Z84" s="174" t="str">
        <f>Homeworking_Frontend[[#This Row],[Methodology]]</f>
        <v>Tier 2</v>
      </c>
      <c r="AA84" s="229" cm="1">
        <f t="array" aca="1" ref="AA84" ca="1">INDEX(_xlfn.SWITCH(Homeworking_Backend[[#This Row],[Methodology]],"Tier 1",rng_RSD1,"Tier 2",rng_RSD2,"Tier 3",rng_RSD3),MATCH(_xlfn.CONCAT(Homeworking_Backend[[#This Row],[Level 1]:[Level 6]]),rng_LevelsConcat,0))</f>
        <v>0.2</v>
      </c>
      <c r="AB84" s="220" t="str">
        <f>Homeworking_Frontend[[#This Row],[Data]]</f>
        <v/>
      </c>
      <c r="AC84" s="220" t="str">
        <f>Homeworking_Frontend[[#This Row],[Units]]</f>
        <v>FTE.hrs</v>
      </c>
      <c r="AD84" s="220" t="str">
        <f ca="1">IF(Homeworking_Backend[[#This Row],[Units]]=Homeworking_Backend[[#This Row],[Standard units]],Homeworking_Backend[[#This Row],[Data]],Homeworking_Backend[[#This Row],[Data]]*_xlfn.XLOOKUP(_xlfn.CONCAT(Homeworking_Backend[[#This Row],[Level 1]:[Level 6]]),rng_EFConcat,rng_EFConversion))</f>
        <v/>
      </c>
      <c r="AE84" s="174" t="str" cm="1">
        <f t="array" aca="1" ref="AE84" ca="1">_xlfn.XLOOKUP(_xlfn.CONCAT(Homeworking_Backend[[#This Row],[Level 1]:[Level 6]]),rng_LevelsConcat,rng_UnitsLong)</f>
        <v>FTE.hrs</v>
      </c>
      <c r="AF84" s="210" t="e">
        <f ca="1">_xlfn.XLOOKUP(_xlfn.CONCAT(Homeworking_Backend[[#This Row],[Level 1]:[Level 6]]),rng_EFConcat,rng_EF1)*Homeworking_Backend[[#This Row],[Converted data]]/1000</f>
        <v>#VALUE!</v>
      </c>
      <c r="AG84" s="210" t="e">
        <f ca="1">_xlfn.XLOOKUP(_xlfn.CONCAT(Homeworking_Backend[[#This Row],[Level 1]:[Level 6]]),rng_EFConcat,rng_EF2)*Homeworking_Backend[[#This Row],[Converted data]]/1000</f>
        <v>#VALUE!</v>
      </c>
      <c r="AH84" s="210" t="e">
        <f ca="1">_xlfn.XLOOKUP(_xlfn.CONCAT(Homeworking_Backend[[#This Row],[Level 1]:[Level 6]]),rng_EFConcat,rng_EF3)*Homeworking_Backend[[#This Row],[Converted data]]/1000</f>
        <v>#VALUE!</v>
      </c>
      <c r="AI84" s="210" t="e">
        <f ca="1">_xlfn.XLOOKUP(_xlfn.CONCAT(Homeworking_Backend[[#This Row],[Level 1]:[Level 6]]),rng_EFConcat,rng_EF3WTT)*Homeworking_Backend[[#This Row],[Converted data]]/1000</f>
        <v>#VALUE!</v>
      </c>
      <c r="AJ84" s="210" t="e">
        <f ca="1">_xlfn.XLOOKUP(_xlfn.CONCAT(Homeworking_Backend[[#This Row],[Level 1]:[Level 6]]),rng_EFConcat,rng_EF3TD)*Homeworking_Backend[[#This Row],[Converted data]]/1000</f>
        <v>#VALUE!</v>
      </c>
      <c r="AK84" s="210" t="e">
        <f ca="1">_xlfn.XLOOKUP(_xlfn.CONCAT(Homeworking_Backend[[#This Row],[Level 1]:[Level 6]]),rng_EFConcat,rng_EF3WTTTD)*Homeworking_Backend[[#This Row],[Converted data]]/1000</f>
        <v>#VALUE!</v>
      </c>
      <c r="AL84" s="220" t="e">
        <f ca="1">SUM(Homeworking_Backend[[#This Row],[Scope 1 (tCO2e)]:[Scope 3 WTT T&amp;D (tCO2e)]])</f>
        <v>#VALUE!</v>
      </c>
      <c r="AM84" s="220" t="e">
        <f ca="1">Homeworking_Backend[[#This Row],[Total (tCO2e)]]*(1-Homeworking_Backend[[#This Row],[RSD]])</f>
        <v>#VALUE!</v>
      </c>
      <c r="AN84" s="220" t="e">
        <f ca="1">Homeworking_Backend[[#This Row],[Total (tCO2e)]]*(1+Homeworking_Backend[[#This Row],[RSD]])</f>
        <v>#VALUE!</v>
      </c>
      <c r="AO84" s="210" t="e">
        <f ca="1">_xlfn.XLOOKUP(_xlfn.CONCAT(Homeworking_Backend[[#This Row],[Level 1]:[Level 6]]),rng_EFConcat,rng_EFOOS)*Homeworking_Backend[[#This Row],[Converted data]]/1000</f>
        <v>#VALUE!</v>
      </c>
      <c r="AP84" s="174">
        <f>Homeworking_Frontend[[#This Row],[Ease of collection]]</f>
        <v>0</v>
      </c>
      <c r="AQ84" s="174">
        <f>Homeworking_Frontend[[#This Row],[Completeness]]</f>
        <v>0</v>
      </c>
      <c r="AR84" s="174">
        <f>Homeworking_Frontend[[#This Row],[Notes]]</f>
        <v>0</v>
      </c>
    </row>
    <row r="85" spans="5:44" x14ac:dyDescent="0.3">
      <c r="E85" s="329"/>
      <c r="F85" s="329"/>
      <c r="G85" s="342"/>
      <c r="H85" s="362"/>
      <c r="I85" s="172" t="s">
        <v>199</v>
      </c>
      <c r="J85" s="332" t="str">
        <f>IF($G85="","",Homeworking_Frontend[[#This Row],[Number of FTE]]*Homeworking_Frontend[[#This Row],[% Working hours at home]]*37.5*46.4)</f>
        <v/>
      </c>
      <c r="K85" s="172" t="s">
        <v>368</v>
      </c>
      <c r="L85" s="336"/>
      <c r="M85" s="336"/>
      <c r="N85" s="364"/>
      <c r="O85" s="267">
        <f t="shared" si="5"/>
        <v>2</v>
      </c>
      <c r="Q85" s="212" t="str">
        <f t="shared" si="4"/>
        <v/>
      </c>
      <c r="R85" s="174" t="s">
        <v>220</v>
      </c>
      <c r="S85" s="174" t="s">
        <v>193</v>
      </c>
      <c r="T85" s="174" t="str" cm="1">
        <f t="array" aca="1" ref="T85" ca="1">_xlfn.XLOOKUP(Homeworking_Backend[[#This Row],[Level 2]],rng_Level2Long,rng_Level3Long)</f>
        <v>Homeworking</v>
      </c>
      <c r="U85" s="174" t="str" cm="1">
        <f t="array" aca="1" ref="U85" ca="1">_xlfn.XLOOKUP(Homeworking_Backend[[#This Row],[Level 3]],rng_Level3Long,rng_Level4Long)</f>
        <v>Homeworking</v>
      </c>
      <c r="V85" s="174" t="str" cm="1">
        <f t="array" aca="1" ref="V85" ca="1">_xlfn.XLOOKUP(Homeworking_Backend[[#This Row],[Level 4]],rng_Level4Long,rng_Level5Long)</f>
        <v>Homeworking</v>
      </c>
      <c r="W85" s="174" t="str" cm="1">
        <f t="array" aca="1" ref="W85" ca="1">_xlfn.XLOOKUP(Homeworking_Backend[[#This Row],[Level 5]],rng_Level5Long,rng_Level6Long)</f>
        <v>NaN</v>
      </c>
      <c r="X85" s="174"/>
      <c r="Y85" s="174"/>
      <c r="Z85" s="174" t="str">
        <f>Homeworking_Frontend[[#This Row],[Methodology]]</f>
        <v>Tier 2</v>
      </c>
      <c r="AA85" s="229" cm="1">
        <f t="array" aca="1" ref="AA85" ca="1">INDEX(_xlfn.SWITCH(Homeworking_Backend[[#This Row],[Methodology]],"Tier 1",rng_RSD1,"Tier 2",rng_RSD2,"Tier 3",rng_RSD3),MATCH(_xlfn.CONCAT(Homeworking_Backend[[#This Row],[Level 1]:[Level 6]]),rng_LevelsConcat,0))</f>
        <v>0.2</v>
      </c>
      <c r="AB85" s="220" t="str">
        <f>Homeworking_Frontend[[#This Row],[Data]]</f>
        <v/>
      </c>
      <c r="AC85" s="220" t="str">
        <f>Homeworking_Frontend[[#This Row],[Units]]</f>
        <v>FTE.hrs</v>
      </c>
      <c r="AD85" s="220" t="str">
        <f ca="1">IF(Homeworking_Backend[[#This Row],[Units]]=Homeworking_Backend[[#This Row],[Standard units]],Homeworking_Backend[[#This Row],[Data]],Homeworking_Backend[[#This Row],[Data]]*_xlfn.XLOOKUP(_xlfn.CONCAT(Homeworking_Backend[[#This Row],[Level 1]:[Level 6]]),rng_EFConcat,rng_EFConversion))</f>
        <v/>
      </c>
      <c r="AE85" s="174" t="str" cm="1">
        <f t="array" aca="1" ref="AE85" ca="1">_xlfn.XLOOKUP(_xlfn.CONCAT(Homeworking_Backend[[#This Row],[Level 1]:[Level 6]]),rng_LevelsConcat,rng_UnitsLong)</f>
        <v>FTE.hrs</v>
      </c>
      <c r="AF85" s="210" t="e">
        <f ca="1">_xlfn.XLOOKUP(_xlfn.CONCAT(Homeworking_Backend[[#This Row],[Level 1]:[Level 6]]),rng_EFConcat,rng_EF1)*Homeworking_Backend[[#This Row],[Converted data]]/1000</f>
        <v>#VALUE!</v>
      </c>
      <c r="AG85" s="210" t="e">
        <f ca="1">_xlfn.XLOOKUP(_xlfn.CONCAT(Homeworking_Backend[[#This Row],[Level 1]:[Level 6]]),rng_EFConcat,rng_EF2)*Homeworking_Backend[[#This Row],[Converted data]]/1000</f>
        <v>#VALUE!</v>
      </c>
      <c r="AH85" s="210" t="e">
        <f ca="1">_xlfn.XLOOKUP(_xlfn.CONCAT(Homeworking_Backend[[#This Row],[Level 1]:[Level 6]]),rng_EFConcat,rng_EF3)*Homeworking_Backend[[#This Row],[Converted data]]/1000</f>
        <v>#VALUE!</v>
      </c>
      <c r="AI85" s="210" t="e">
        <f ca="1">_xlfn.XLOOKUP(_xlfn.CONCAT(Homeworking_Backend[[#This Row],[Level 1]:[Level 6]]),rng_EFConcat,rng_EF3WTT)*Homeworking_Backend[[#This Row],[Converted data]]/1000</f>
        <v>#VALUE!</v>
      </c>
      <c r="AJ85" s="210" t="e">
        <f ca="1">_xlfn.XLOOKUP(_xlfn.CONCAT(Homeworking_Backend[[#This Row],[Level 1]:[Level 6]]),rng_EFConcat,rng_EF3TD)*Homeworking_Backend[[#This Row],[Converted data]]/1000</f>
        <v>#VALUE!</v>
      </c>
      <c r="AK85" s="210" t="e">
        <f ca="1">_xlfn.XLOOKUP(_xlfn.CONCAT(Homeworking_Backend[[#This Row],[Level 1]:[Level 6]]),rng_EFConcat,rng_EF3WTTTD)*Homeworking_Backend[[#This Row],[Converted data]]/1000</f>
        <v>#VALUE!</v>
      </c>
      <c r="AL85" s="220" t="e">
        <f ca="1">SUM(Homeworking_Backend[[#This Row],[Scope 1 (tCO2e)]:[Scope 3 WTT T&amp;D (tCO2e)]])</f>
        <v>#VALUE!</v>
      </c>
      <c r="AM85" s="220" t="e">
        <f ca="1">Homeworking_Backend[[#This Row],[Total (tCO2e)]]*(1-Homeworking_Backend[[#This Row],[RSD]])</f>
        <v>#VALUE!</v>
      </c>
      <c r="AN85" s="220" t="e">
        <f ca="1">Homeworking_Backend[[#This Row],[Total (tCO2e)]]*(1+Homeworking_Backend[[#This Row],[RSD]])</f>
        <v>#VALUE!</v>
      </c>
      <c r="AO85" s="210" t="e">
        <f ca="1">_xlfn.XLOOKUP(_xlfn.CONCAT(Homeworking_Backend[[#This Row],[Level 1]:[Level 6]]),rng_EFConcat,rng_EFOOS)*Homeworking_Backend[[#This Row],[Converted data]]/1000</f>
        <v>#VALUE!</v>
      </c>
      <c r="AP85" s="174">
        <f>Homeworking_Frontend[[#This Row],[Ease of collection]]</f>
        <v>0</v>
      </c>
      <c r="AQ85" s="174">
        <f>Homeworking_Frontend[[#This Row],[Completeness]]</f>
        <v>0</v>
      </c>
      <c r="AR85" s="174">
        <f>Homeworking_Frontend[[#This Row],[Notes]]</f>
        <v>0</v>
      </c>
    </row>
    <row r="86" spans="5:44" x14ac:dyDescent="0.3">
      <c r="E86" s="329"/>
      <c r="F86" s="329"/>
      <c r="G86" s="342"/>
      <c r="H86" s="362"/>
      <c r="I86" s="172" t="s">
        <v>199</v>
      </c>
      <c r="J86" s="332" t="str">
        <f>IF($G86="","",Homeworking_Frontend[[#This Row],[Number of FTE]]*Homeworking_Frontend[[#This Row],[% Working hours at home]]*37.5*46.4)</f>
        <v/>
      </c>
      <c r="K86" s="172" t="s">
        <v>368</v>
      </c>
      <c r="L86" s="336"/>
      <c r="M86" s="336"/>
      <c r="N86" s="364"/>
      <c r="O86" s="267">
        <f t="shared" si="5"/>
        <v>2</v>
      </c>
      <c r="Q86" s="212" t="str">
        <f t="shared" si="4"/>
        <v/>
      </c>
      <c r="R86" s="174" t="s">
        <v>220</v>
      </c>
      <c r="S86" s="174" t="s">
        <v>193</v>
      </c>
      <c r="T86" s="174" t="str" cm="1">
        <f t="array" aca="1" ref="T86" ca="1">_xlfn.XLOOKUP(Homeworking_Backend[[#This Row],[Level 2]],rng_Level2Long,rng_Level3Long)</f>
        <v>Homeworking</v>
      </c>
      <c r="U86" s="174" t="str" cm="1">
        <f t="array" aca="1" ref="U86" ca="1">_xlfn.XLOOKUP(Homeworking_Backend[[#This Row],[Level 3]],rng_Level3Long,rng_Level4Long)</f>
        <v>Homeworking</v>
      </c>
      <c r="V86" s="174" t="str" cm="1">
        <f t="array" aca="1" ref="V86" ca="1">_xlfn.XLOOKUP(Homeworking_Backend[[#This Row],[Level 4]],rng_Level4Long,rng_Level5Long)</f>
        <v>Homeworking</v>
      </c>
      <c r="W86" s="174" t="str" cm="1">
        <f t="array" aca="1" ref="W86" ca="1">_xlfn.XLOOKUP(Homeworking_Backend[[#This Row],[Level 5]],rng_Level5Long,rng_Level6Long)</f>
        <v>NaN</v>
      </c>
      <c r="X86" s="174"/>
      <c r="Y86" s="174"/>
      <c r="Z86" s="174" t="str">
        <f>Homeworking_Frontend[[#This Row],[Methodology]]</f>
        <v>Tier 2</v>
      </c>
      <c r="AA86" s="229" cm="1">
        <f t="array" aca="1" ref="AA86" ca="1">INDEX(_xlfn.SWITCH(Homeworking_Backend[[#This Row],[Methodology]],"Tier 1",rng_RSD1,"Tier 2",rng_RSD2,"Tier 3",rng_RSD3),MATCH(_xlfn.CONCAT(Homeworking_Backend[[#This Row],[Level 1]:[Level 6]]),rng_LevelsConcat,0))</f>
        <v>0.2</v>
      </c>
      <c r="AB86" s="220" t="str">
        <f>Homeworking_Frontend[[#This Row],[Data]]</f>
        <v/>
      </c>
      <c r="AC86" s="220" t="str">
        <f>Homeworking_Frontend[[#This Row],[Units]]</f>
        <v>FTE.hrs</v>
      </c>
      <c r="AD86" s="220" t="str">
        <f ca="1">IF(Homeworking_Backend[[#This Row],[Units]]=Homeworking_Backend[[#This Row],[Standard units]],Homeworking_Backend[[#This Row],[Data]],Homeworking_Backend[[#This Row],[Data]]*_xlfn.XLOOKUP(_xlfn.CONCAT(Homeworking_Backend[[#This Row],[Level 1]:[Level 6]]),rng_EFConcat,rng_EFConversion))</f>
        <v/>
      </c>
      <c r="AE86" s="174" t="str" cm="1">
        <f t="array" aca="1" ref="AE86" ca="1">_xlfn.XLOOKUP(_xlfn.CONCAT(Homeworking_Backend[[#This Row],[Level 1]:[Level 6]]),rng_LevelsConcat,rng_UnitsLong)</f>
        <v>FTE.hrs</v>
      </c>
      <c r="AF86" s="210" t="e">
        <f ca="1">_xlfn.XLOOKUP(_xlfn.CONCAT(Homeworking_Backend[[#This Row],[Level 1]:[Level 6]]),rng_EFConcat,rng_EF1)*Homeworking_Backend[[#This Row],[Converted data]]/1000</f>
        <v>#VALUE!</v>
      </c>
      <c r="AG86" s="210" t="e">
        <f ca="1">_xlfn.XLOOKUP(_xlfn.CONCAT(Homeworking_Backend[[#This Row],[Level 1]:[Level 6]]),rng_EFConcat,rng_EF2)*Homeworking_Backend[[#This Row],[Converted data]]/1000</f>
        <v>#VALUE!</v>
      </c>
      <c r="AH86" s="210" t="e">
        <f ca="1">_xlfn.XLOOKUP(_xlfn.CONCAT(Homeworking_Backend[[#This Row],[Level 1]:[Level 6]]),rng_EFConcat,rng_EF3)*Homeworking_Backend[[#This Row],[Converted data]]/1000</f>
        <v>#VALUE!</v>
      </c>
      <c r="AI86" s="210" t="e">
        <f ca="1">_xlfn.XLOOKUP(_xlfn.CONCAT(Homeworking_Backend[[#This Row],[Level 1]:[Level 6]]),rng_EFConcat,rng_EF3WTT)*Homeworking_Backend[[#This Row],[Converted data]]/1000</f>
        <v>#VALUE!</v>
      </c>
      <c r="AJ86" s="210" t="e">
        <f ca="1">_xlfn.XLOOKUP(_xlfn.CONCAT(Homeworking_Backend[[#This Row],[Level 1]:[Level 6]]),rng_EFConcat,rng_EF3TD)*Homeworking_Backend[[#This Row],[Converted data]]/1000</f>
        <v>#VALUE!</v>
      </c>
      <c r="AK86" s="210" t="e">
        <f ca="1">_xlfn.XLOOKUP(_xlfn.CONCAT(Homeworking_Backend[[#This Row],[Level 1]:[Level 6]]),rng_EFConcat,rng_EF3WTTTD)*Homeworking_Backend[[#This Row],[Converted data]]/1000</f>
        <v>#VALUE!</v>
      </c>
      <c r="AL86" s="220" t="e">
        <f ca="1">SUM(Homeworking_Backend[[#This Row],[Scope 1 (tCO2e)]:[Scope 3 WTT T&amp;D (tCO2e)]])</f>
        <v>#VALUE!</v>
      </c>
      <c r="AM86" s="220" t="e">
        <f ca="1">Homeworking_Backend[[#This Row],[Total (tCO2e)]]*(1-Homeworking_Backend[[#This Row],[RSD]])</f>
        <v>#VALUE!</v>
      </c>
      <c r="AN86" s="220" t="e">
        <f ca="1">Homeworking_Backend[[#This Row],[Total (tCO2e)]]*(1+Homeworking_Backend[[#This Row],[RSD]])</f>
        <v>#VALUE!</v>
      </c>
      <c r="AO86" s="210" t="e">
        <f ca="1">_xlfn.XLOOKUP(_xlfn.CONCAT(Homeworking_Backend[[#This Row],[Level 1]:[Level 6]]),rng_EFConcat,rng_EFOOS)*Homeworking_Backend[[#This Row],[Converted data]]/1000</f>
        <v>#VALUE!</v>
      </c>
      <c r="AP86" s="174">
        <f>Homeworking_Frontend[[#This Row],[Ease of collection]]</f>
        <v>0</v>
      </c>
      <c r="AQ86" s="174">
        <f>Homeworking_Frontend[[#This Row],[Completeness]]</f>
        <v>0</v>
      </c>
      <c r="AR86" s="174">
        <f>Homeworking_Frontend[[#This Row],[Notes]]</f>
        <v>0</v>
      </c>
    </row>
    <row r="87" spans="5:44" x14ac:dyDescent="0.3">
      <c r="E87" s="330"/>
      <c r="F87" s="330"/>
      <c r="G87" s="342"/>
      <c r="H87" s="362"/>
      <c r="I87" s="172" t="s">
        <v>199</v>
      </c>
      <c r="J87" s="333" t="str">
        <f>IF($G87="","",Homeworking_Frontend[[#This Row],[Number of FTE]]*Homeworking_Frontend[[#This Row],[% Working hours at home]]*37.5*46.4)</f>
        <v/>
      </c>
      <c r="K87" s="172" t="s">
        <v>368</v>
      </c>
      <c r="L87" s="338"/>
      <c r="M87" s="338"/>
      <c r="N87" s="365"/>
      <c r="O87" s="267">
        <f t="shared" si="5"/>
        <v>2</v>
      </c>
      <c r="Q87" s="212" t="str">
        <f t="shared" si="4"/>
        <v/>
      </c>
      <c r="R87" s="174" t="s">
        <v>220</v>
      </c>
      <c r="S87" s="174" t="s">
        <v>193</v>
      </c>
      <c r="T87" s="174" t="str" cm="1">
        <f t="array" aca="1" ref="T87" ca="1">_xlfn.XLOOKUP(Homeworking_Backend[[#This Row],[Level 2]],rng_Level2Long,rng_Level3Long)</f>
        <v>Homeworking</v>
      </c>
      <c r="U87" s="174" t="str" cm="1">
        <f t="array" aca="1" ref="U87" ca="1">_xlfn.XLOOKUP(Homeworking_Backend[[#This Row],[Level 3]],rng_Level3Long,rng_Level4Long)</f>
        <v>Homeworking</v>
      </c>
      <c r="V87" s="174" t="str" cm="1">
        <f t="array" aca="1" ref="V87" ca="1">_xlfn.XLOOKUP(Homeworking_Backend[[#This Row],[Level 4]],rng_Level4Long,rng_Level5Long)</f>
        <v>Homeworking</v>
      </c>
      <c r="W87" s="174" t="str" cm="1">
        <f t="array" aca="1" ref="W87" ca="1">_xlfn.XLOOKUP(Homeworking_Backend[[#This Row],[Level 5]],rng_Level5Long,rng_Level6Long)</f>
        <v>NaN</v>
      </c>
      <c r="X87" s="174"/>
      <c r="Y87" s="174"/>
      <c r="Z87" s="174" t="str">
        <f>Homeworking_Frontend[[#This Row],[Methodology]]</f>
        <v>Tier 2</v>
      </c>
      <c r="AA87" s="229" cm="1">
        <f t="array" aca="1" ref="AA87" ca="1">INDEX(_xlfn.SWITCH(Homeworking_Backend[[#This Row],[Methodology]],"Tier 1",rng_RSD1,"Tier 2",rng_RSD2,"Tier 3",rng_RSD3),MATCH(_xlfn.CONCAT(Homeworking_Backend[[#This Row],[Level 1]:[Level 6]]),rng_LevelsConcat,0))</f>
        <v>0.2</v>
      </c>
      <c r="AB87" s="220" t="str">
        <f>Homeworking_Frontend[[#This Row],[Data]]</f>
        <v/>
      </c>
      <c r="AC87" s="220" t="str">
        <f>Homeworking_Frontend[[#This Row],[Units]]</f>
        <v>FTE.hrs</v>
      </c>
      <c r="AD87" s="220" t="str">
        <f ca="1">IF(Homeworking_Backend[[#This Row],[Units]]=Homeworking_Backend[[#This Row],[Standard units]],Homeworking_Backend[[#This Row],[Data]],Homeworking_Backend[[#This Row],[Data]]*_xlfn.XLOOKUP(_xlfn.CONCAT(Homeworking_Backend[[#This Row],[Level 1]:[Level 6]]),rng_EFConcat,rng_EFConversion))</f>
        <v/>
      </c>
      <c r="AE87" s="174" t="str" cm="1">
        <f t="array" aca="1" ref="AE87" ca="1">_xlfn.XLOOKUP(_xlfn.CONCAT(Homeworking_Backend[[#This Row],[Level 1]:[Level 6]]),rng_LevelsConcat,rng_UnitsLong)</f>
        <v>FTE.hrs</v>
      </c>
      <c r="AF87" s="210" t="e">
        <f ca="1">_xlfn.XLOOKUP(_xlfn.CONCAT(Homeworking_Backend[[#This Row],[Level 1]:[Level 6]]),rng_EFConcat,rng_EF1)*Homeworking_Backend[[#This Row],[Converted data]]/1000</f>
        <v>#VALUE!</v>
      </c>
      <c r="AG87" s="210" t="e">
        <f ca="1">_xlfn.XLOOKUP(_xlfn.CONCAT(Homeworking_Backend[[#This Row],[Level 1]:[Level 6]]),rng_EFConcat,rng_EF2)*Homeworking_Backend[[#This Row],[Converted data]]/1000</f>
        <v>#VALUE!</v>
      </c>
      <c r="AH87" s="210" t="e">
        <f ca="1">_xlfn.XLOOKUP(_xlfn.CONCAT(Homeworking_Backend[[#This Row],[Level 1]:[Level 6]]),rng_EFConcat,rng_EF3)*Homeworking_Backend[[#This Row],[Converted data]]/1000</f>
        <v>#VALUE!</v>
      </c>
      <c r="AI87" s="210" t="e">
        <f ca="1">_xlfn.XLOOKUP(_xlfn.CONCAT(Homeworking_Backend[[#This Row],[Level 1]:[Level 6]]),rng_EFConcat,rng_EF3WTT)*Homeworking_Backend[[#This Row],[Converted data]]/1000</f>
        <v>#VALUE!</v>
      </c>
      <c r="AJ87" s="210" t="e">
        <f ca="1">_xlfn.XLOOKUP(_xlfn.CONCAT(Homeworking_Backend[[#This Row],[Level 1]:[Level 6]]),rng_EFConcat,rng_EF3TD)*Homeworking_Backend[[#This Row],[Converted data]]/1000</f>
        <v>#VALUE!</v>
      </c>
      <c r="AK87" s="210" t="e">
        <f ca="1">_xlfn.XLOOKUP(_xlfn.CONCAT(Homeworking_Backend[[#This Row],[Level 1]:[Level 6]]),rng_EFConcat,rng_EF3WTTTD)*Homeworking_Backend[[#This Row],[Converted data]]/1000</f>
        <v>#VALUE!</v>
      </c>
      <c r="AL87" s="220" t="e">
        <f ca="1">SUM(Homeworking_Backend[[#This Row],[Scope 1 (tCO2e)]:[Scope 3 WTT T&amp;D (tCO2e)]])</f>
        <v>#VALUE!</v>
      </c>
      <c r="AM87" s="220" t="e">
        <f ca="1">Homeworking_Backend[[#This Row],[Total (tCO2e)]]*(1-Homeworking_Backend[[#This Row],[RSD]])</f>
        <v>#VALUE!</v>
      </c>
      <c r="AN87" s="220" t="e">
        <f ca="1">Homeworking_Backend[[#This Row],[Total (tCO2e)]]*(1+Homeworking_Backend[[#This Row],[RSD]])</f>
        <v>#VALUE!</v>
      </c>
      <c r="AO87" s="210" t="e">
        <f ca="1">_xlfn.XLOOKUP(_xlfn.CONCAT(Homeworking_Backend[[#This Row],[Level 1]:[Level 6]]),rng_EFConcat,rng_EFOOS)*Homeworking_Backend[[#This Row],[Converted data]]/1000</f>
        <v>#VALUE!</v>
      </c>
      <c r="AP87" s="174">
        <f>Homeworking_Frontend[[#This Row],[Ease of collection]]</f>
        <v>0</v>
      </c>
      <c r="AQ87" s="174">
        <f>Homeworking_Frontend[[#This Row],[Completeness]]</f>
        <v>0</v>
      </c>
      <c r="AR87" s="174">
        <f>Homeworking_Frontend[[#This Row],[Notes]]</f>
        <v>0</v>
      </c>
    </row>
    <row r="88" spans="5:44" x14ac:dyDescent="0.3">
      <c r="E88" s="329"/>
      <c r="F88" s="329"/>
      <c r="G88" s="344"/>
      <c r="H88" s="363"/>
      <c r="I88" s="172" t="s">
        <v>199</v>
      </c>
      <c r="J88" s="333" t="str">
        <f>IF($G88="","",Homeworking_Frontend[[#This Row],[Number of FTE]]*Homeworking_Frontend[[#This Row],[% Working hours at home]]*37.5*46.4)</f>
        <v/>
      </c>
      <c r="K88" s="172" t="s">
        <v>368</v>
      </c>
      <c r="L88" s="338"/>
      <c r="M88" s="338"/>
      <c r="N88" s="365"/>
      <c r="O88" s="267">
        <f t="shared" si="5"/>
        <v>2</v>
      </c>
      <c r="Q88" s="214" t="str">
        <f t="shared" si="4"/>
        <v/>
      </c>
      <c r="R88" s="174" t="s">
        <v>220</v>
      </c>
      <c r="S88" s="174" t="s">
        <v>193</v>
      </c>
      <c r="T88" s="216" t="str" cm="1">
        <f t="array" aca="1" ref="T88" ca="1">_xlfn.XLOOKUP(Homeworking_Backend[[#This Row],[Level 2]],rng_Level2Long,rng_Level3Long)</f>
        <v>Homeworking</v>
      </c>
      <c r="U88" s="216" t="str" cm="1">
        <f t="array" aca="1" ref="U88" ca="1">_xlfn.XLOOKUP(Homeworking_Backend[[#This Row],[Level 3]],rng_Level3Long,rng_Level4Long)</f>
        <v>Homeworking</v>
      </c>
      <c r="V88" s="216" t="str" cm="1">
        <f t="array" aca="1" ref="V88" ca="1">_xlfn.XLOOKUP(Homeworking_Backend[[#This Row],[Level 4]],rng_Level4Long,rng_Level5Long)</f>
        <v>Homeworking</v>
      </c>
      <c r="W88" s="216" t="str" cm="1">
        <f t="array" aca="1" ref="W88" ca="1">_xlfn.XLOOKUP(Homeworking_Backend[[#This Row],[Level 5]],rng_Level5Long,rng_Level6Long)</f>
        <v>NaN</v>
      </c>
      <c r="X88" s="216"/>
      <c r="Y88" s="216"/>
      <c r="Z88" s="174" t="str">
        <f>Homeworking_Frontend[[#This Row],[Methodology]]</f>
        <v>Tier 2</v>
      </c>
      <c r="AA88" s="229" cm="1">
        <f t="array" aca="1" ref="AA88" ca="1">INDEX(_xlfn.SWITCH(Homeworking_Backend[[#This Row],[Methodology]],"Tier 1",rng_RSD1,"Tier 2",rng_RSD2,"Tier 3",rng_RSD3),MATCH(_xlfn.CONCAT(Homeworking_Backend[[#This Row],[Level 1]:[Level 6]]),rng_LevelsConcat,0))</f>
        <v>0.2</v>
      </c>
      <c r="AB88" s="220" t="str">
        <f>Homeworking_Frontend[[#This Row],[Data]]</f>
        <v/>
      </c>
      <c r="AC88" s="220" t="str">
        <f>Homeworking_Frontend[[#This Row],[Units]]</f>
        <v>FTE.hrs</v>
      </c>
      <c r="AD88" s="220" t="str">
        <f ca="1">IF(Homeworking_Backend[[#This Row],[Units]]=Homeworking_Backend[[#This Row],[Standard units]],Homeworking_Backend[[#This Row],[Data]],Homeworking_Backend[[#This Row],[Data]]*_xlfn.XLOOKUP(_xlfn.CONCAT(Homeworking_Backend[[#This Row],[Level 1]:[Level 6]]),rng_EFConcat,rng_EFConversion))</f>
        <v/>
      </c>
      <c r="AE88" s="174" t="str" cm="1">
        <f t="array" aca="1" ref="AE88" ca="1">_xlfn.XLOOKUP(_xlfn.CONCAT(Homeworking_Backend[[#This Row],[Level 1]:[Level 6]]),rng_LevelsConcat,rng_UnitsLong)</f>
        <v>FTE.hrs</v>
      </c>
      <c r="AF88" s="210" t="e">
        <f ca="1">_xlfn.XLOOKUP(_xlfn.CONCAT(Homeworking_Backend[[#This Row],[Level 1]:[Level 6]]),rng_EFConcat,rng_EF1)*Homeworking_Backend[[#This Row],[Converted data]]/1000</f>
        <v>#VALUE!</v>
      </c>
      <c r="AG88" s="210" t="e">
        <f ca="1">_xlfn.XLOOKUP(_xlfn.CONCAT(Homeworking_Backend[[#This Row],[Level 1]:[Level 6]]),rng_EFConcat,rng_EF2)*Homeworking_Backend[[#This Row],[Converted data]]/1000</f>
        <v>#VALUE!</v>
      </c>
      <c r="AH88" s="210" t="e">
        <f ca="1">_xlfn.XLOOKUP(_xlfn.CONCAT(Homeworking_Backend[[#This Row],[Level 1]:[Level 6]]),rng_EFConcat,rng_EF3)*Homeworking_Backend[[#This Row],[Converted data]]/1000</f>
        <v>#VALUE!</v>
      </c>
      <c r="AI88" s="210" t="e">
        <f ca="1">_xlfn.XLOOKUP(_xlfn.CONCAT(Homeworking_Backend[[#This Row],[Level 1]:[Level 6]]),rng_EFConcat,rng_EF3WTT)*Homeworking_Backend[[#This Row],[Converted data]]/1000</f>
        <v>#VALUE!</v>
      </c>
      <c r="AJ88" s="210" t="e">
        <f ca="1">_xlfn.XLOOKUP(_xlfn.CONCAT(Homeworking_Backend[[#This Row],[Level 1]:[Level 6]]),rng_EFConcat,rng_EF3TD)*Homeworking_Backend[[#This Row],[Converted data]]/1000</f>
        <v>#VALUE!</v>
      </c>
      <c r="AK88" s="210" t="e">
        <f ca="1">_xlfn.XLOOKUP(_xlfn.CONCAT(Homeworking_Backend[[#This Row],[Level 1]:[Level 6]]),rng_EFConcat,rng_EF3WTTTD)*Homeworking_Backend[[#This Row],[Converted data]]/1000</f>
        <v>#VALUE!</v>
      </c>
      <c r="AL88" s="220" t="e">
        <f ca="1">SUM(Homeworking_Backend[[#This Row],[Scope 1 (tCO2e)]:[Scope 3 WTT T&amp;D (tCO2e)]])</f>
        <v>#VALUE!</v>
      </c>
      <c r="AM88" s="220" t="e">
        <f ca="1">Homeworking_Backend[[#This Row],[Total (tCO2e)]]*(1-Homeworking_Backend[[#This Row],[RSD]])</f>
        <v>#VALUE!</v>
      </c>
      <c r="AN88" s="220" t="e">
        <f ca="1">Homeworking_Backend[[#This Row],[Total (tCO2e)]]*(1+Homeworking_Backend[[#This Row],[RSD]])</f>
        <v>#VALUE!</v>
      </c>
      <c r="AO88" s="210" t="e">
        <f ca="1">_xlfn.XLOOKUP(_xlfn.CONCAT(Homeworking_Backend[[#This Row],[Level 1]:[Level 6]]),rng_EFConcat,rng_EFOOS)*Homeworking_Backend[[#This Row],[Converted data]]/1000</f>
        <v>#VALUE!</v>
      </c>
      <c r="AP88" s="174">
        <f>Homeworking_Frontend[[#This Row],[Ease of collection]]</f>
        <v>0</v>
      </c>
      <c r="AQ88" s="174">
        <f>Homeworking_Frontend[[#This Row],[Completeness]]</f>
        <v>0</v>
      </c>
      <c r="AR88" s="174">
        <f>Homeworking_Frontend[[#This Row],[Notes]]</f>
        <v>0</v>
      </c>
    </row>
    <row r="89" spans="5:44" x14ac:dyDescent="0.3"/>
    <row r="90" spans="5:44" x14ac:dyDescent="0.3"/>
    <row r="91" spans="5:44" x14ac:dyDescent="0.3"/>
    <row r="92" spans="5:44" x14ac:dyDescent="0.3"/>
    <row r="93" spans="5:44" x14ac:dyDescent="0.3"/>
    <row r="94" spans="5:44" x14ac:dyDescent="0.3"/>
    <row r="95" spans="5:44" x14ac:dyDescent="0.3"/>
    <row r="96" spans="5:44" x14ac:dyDescent="0.3"/>
    <row r="97" spans="2:2" x14ac:dyDescent="0.3"/>
    <row r="98" spans="2:2" x14ac:dyDescent="0.3"/>
    <row r="99" spans="2:2" x14ac:dyDescent="0.3"/>
    <row r="100" spans="2:2" x14ac:dyDescent="0.3"/>
    <row r="101" spans="2:2" x14ac:dyDescent="0.3"/>
    <row r="102" spans="2:2" x14ac:dyDescent="0.3"/>
    <row r="103" spans="2:2" x14ac:dyDescent="0.3"/>
    <row r="104" spans="2:2" x14ac:dyDescent="0.3"/>
    <row r="105" spans="2:2" x14ac:dyDescent="0.3"/>
    <row r="106" spans="2:2" x14ac:dyDescent="0.3"/>
    <row r="107" spans="2:2" x14ac:dyDescent="0.3"/>
    <row r="108" spans="2:2" x14ac:dyDescent="0.3">
      <c r="B108" s="146" t="s">
        <v>101</v>
      </c>
    </row>
    <row r="109" spans="2:2" x14ac:dyDescent="0.3"/>
  </sheetData>
  <sheetProtection algorithmName="SHA-512" hashValue="hxS4VIZhtvRpAnTMHvsEm+dQrbun6f6sune2Xvn/hf5wxfRtdeMFrrvCErXlW55DLaJHlIzyeS1kC4YHfW6dRw==" saltValue="pl6qCDbzdocCZRuxLBwIHQ==" spinCount="100000" sheet="1" formatColumns="0"/>
  <mergeCells count="4">
    <mergeCell ref="B5:B12"/>
    <mergeCell ref="B16:B36"/>
    <mergeCell ref="B41:B62"/>
    <mergeCell ref="B67:B74"/>
  </mergeCells>
  <phoneticPr fontId="16" type="noConversion"/>
  <conditionalFormatting sqref="J1">
    <cfRule type="containsText" dxfId="15" priority="3" operator="containsText" text="No data missing">
      <formula>NOT(ISERROR(SEARCH("No data missing",J1)))</formula>
    </cfRule>
  </conditionalFormatting>
  <conditionalFormatting sqref="O16">
    <cfRule type="iconSet" priority="1">
      <iconSet showValue="0">
        <cfvo type="percent" val="0"/>
        <cfvo type="num" val="0.01"/>
        <cfvo type="num" val="7"/>
      </iconSet>
    </cfRule>
  </conditionalFormatting>
  <conditionalFormatting sqref="O41">
    <cfRule type="iconSet" priority="2">
      <iconSet showValue="0">
        <cfvo type="percent" val="0"/>
        <cfvo type="num" val="0.01"/>
        <cfvo type="num" val="7"/>
      </iconSet>
    </cfRule>
  </conditionalFormatting>
  <conditionalFormatting sqref="O67">
    <cfRule type="iconSet" priority="4">
      <iconSet showValue="0">
        <cfvo type="percent" val="0"/>
        <cfvo type="num" val="0.01"/>
        <cfvo type="num" val="2"/>
      </iconSet>
    </cfRule>
  </conditionalFormatting>
  <dataValidations count="13">
    <dataValidation type="list" showInputMessage="1" showErrorMessage="1" sqref="F42:F62 F17:F36" xr:uid="{EB57ED70-A2D6-45E1-A733-92499055CFC3}">
      <formula1>DROPDOWN(rng_Level3,$E17,cl_Level4Target)</formula1>
    </dataValidation>
    <dataValidation type="list" showInputMessage="1" showErrorMessage="1" sqref="G42:G62 G17:G36" xr:uid="{EC4DD1CB-175E-42F4-87EA-37E795A94A87}">
      <formula1>DROPDOWN(rng_Level4,$F17,cl_Level5Target)</formula1>
    </dataValidation>
    <dataValidation type="list" showInputMessage="1" showErrorMessage="1" sqref="I42:I62" xr:uid="{9771A0BB-4A11-4F9A-9DDA-79FB1207BE29}">
      <formula1>"Tier 2, Tier 3"</formula1>
    </dataValidation>
    <dataValidation type="list" allowBlank="1" showInputMessage="1" showErrorMessage="1" sqref="L68:L88 L42:L62 L17:L36" xr:uid="{C697254C-0661-432C-A9D0-7413135264E6}">
      <formula1>rng_data_ease</formula1>
    </dataValidation>
    <dataValidation type="list" allowBlank="1" showInputMessage="1" showErrorMessage="1" sqref="M68:M88 M42:M62 M17:M36" xr:uid="{DFDEC58A-2D06-4A2C-8439-ED50DCB32AA0}">
      <formula1>rng_data_completeness</formula1>
    </dataValidation>
    <dataValidation type="list" showInputMessage="1" showErrorMessage="1" sqref="E42:E62 E17:E36" xr:uid="{DD040354-EB9C-4159-B939-A41C6C1F9C4F}">
      <formula1>DROPDOWN(rng_Level2,$S17,cl_Level3Target)</formula1>
    </dataValidation>
    <dataValidation type="list" allowBlank="1" showInputMessage="1" showErrorMessage="1" sqref="S17:S36 S42:S62 S68:S88" xr:uid="{A3846067-16F3-445A-A173-3CC555C21F2D}">
      <formula1>DROPDOWN(rng_Level1,$R17,cl_Level2Target)</formula1>
    </dataValidation>
    <dataValidation type="list" allowBlank="1" showInputMessage="1" showErrorMessage="1" sqref="R17:R36 R42:R62 R68:R88" xr:uid="{1FEE1E55-8016-4238-BDE8-33B54E0B7680}">
      <formula1>rng_Level1Unique</formula1>
    </dataValidation>
    <dataValidation type="list" showInputMessage="1" showErrorMessage="1" sqref="H42:H62 H17:H36" xr:uid="{F488D7FC-9072-40B8-BD14-AE62AB228152}">
      <formula1>DROPDOWN(rng_Level46,$F17,cl_Level6Target)</formula1>
    </dataValidation>
    <dataValidation allowBlank="1" showInputMessage="1" showErrorMessage="1" promptTitle="Info" prompt="FTE hours assume a 37.5 hr working week, and 5.6 weeks of statutory leave" sqref="J67" xr:uid="{4F7EA7B6-5133-4659-929B-0E2BE638A5B3}"/>
    <dataValidation type="list" showInputMessage="1" showErrorMessage="1" sqref="I17:I36" xr:uid="{7565AA7C-8A64-48BA-BD89-E7BC7A91FEEA}">
      <formula1>"Tier 2,Tier 3"</formula1>
    </dataValidation>
    <dataValidation allowBlank="1" showInputMessage="1" showErrorMessage="1" promptTitle="Information:" prompt="The units dropdown will only work if there are inputs for: 'Travel mode', 'Category', 'Type', and 'Details'." sqref="K16" xr:uid="{D0EA2998-99E4-4B81-9502-F4E1ED8CC4E1}"/>
    <dataValidation allowBlank="1" showInputMessage="1" showErrorMessage="1" promptTitle="Information:" prompt="The units dropdown will only work if there are inputs for: 'Travel mode', 'Category', 'Type', and 'Details'._x000a__x000a_Note: Hire car is not an accepted input for commuting mileage, please use private car." sqref="K41" xr:uid="{47D1BCF2-2080-4EB0-8379-E6B9DFE28B52}"/>
  </dataValidations>
  <pageMargins left="0.7" right="0.7" top="0.75" bottom="0.75" header="0.3" footer="0.3"/>
  <pageSetup paperSize="9" orientation="portrait" r:id="rId1"/>
  <ignoredErrors>
    <ignoredError sqref="R18:R36 S18:S36 R42:R62 S42:S62 R68:R88 S68:S88" calculatedColumn="1"/>
  </ignoredErrors>
  <tableParts count="6">
    <tablePart r:id="rId2"/>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iconSet" priority="9" id="{7AF9B684-F626-4711-A21E-31B5FAE53D4E}">
            <x14:iconSet showValue="0" custom="1">
              <x14:cfvo type="percent">
                <xm:f>0</xm:f>
              </x14:cfvo>
              <x14:cfvo type="num">
                <xm:f>1</xm:f>
              </x14:cfvo>
              <x14:cfvo type="num">
                <xm:f>7</xm:f>
              </x14:cfvo>
              <x14:cfIcon iconSet="3TrafficLights1" iconId="2"/>
              <x14:cfIcon iconSet="3TrafficLights1" iconId="0"/>
              <x14:cfIcon iconSet="4TrafficLights" iconId="0"/>
            </x14:iconSet>
          </x14:cfRule>
          <xm:sqref>O17:O36</xm:sqref>
        </x14:conditionalFormatting>
        <x14:conditionalFormatting xmlns:xm="http://schemas.microsoft.com/office/excel/2006/main">
          <x14:cfRule type="iconSet" priority="8" id="{2E7FC202-E3E4-497E-8E6E-CE282E12DC18}">
            <x14:iconSet showValue="0" custom="1">
              <x14:cfvo type="percent">
                <xm:f>0</xm:f>
              </x14:cfvo>
              <x14:cfvo type="num">
                <xm:f>1</xm:f>
              </x14:cfvo>
              <x14:cfvo type="num">
                <xm:f>7</xm:f>
              </x14:cfvo>
              <x14:cfIcon iconSet="3TrafficLights1" iconId="2"/>
              <x14:cfIcon iconSet="3TrafficLights1" iconId="0"/>
              <x14:cfIcon iconSet="4TrafficLights" iconId="0"/>
            </x14:iconSet>
          </x14:cfRule>
          <xm:sqref>O42:O62</xm:sqref>
        </x14:conditionalFormatting>
        <x14:conditionalFormatting xmlns:xm="http://schemas.microsoft.com/office/excel/2006/main">
          <x14:cfRule type="iconSet" priority="7" id="{60E07EEC-CD62-4320-89AB-B10F2F9A5550}">
            <x14:iconSet showValue="0" custom="1">
              <x14:cfvo type="percent">
                <xm:f>0</xm:f>
              </x14:cfvo>
              <x14:cfvo type="num">
                <xm:f>1</xm:f>
              </x14:cfvo>
              <x14:cfvo type="num">
                <xm:f>2</xm:f>
              </x14:cfvo>
              <x14:cfIcon iconSet="3TrafficLights1" iconId="2"/>
              <x14:cfIcon iconSet="3TrafficLights1" iconId="0"/>
              <x14:cfIcon iconSet="4TrafficLights" iconId="0"/>
            </x14:iconSet>
          </x14:cfRule>
          <xm:sqref>O68:O88</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C790B1D2-897E-4AEB-A0D4-67C798BF4E25}">
          <x14:formula1>
            <xm:f>OFFSET(Ranges!$AT$11,MATCH(_xlfn.CONCAT($R42:$W42),rng_LevelsConcat,0),,,2)</xm:f>
          </x14:formula1>
          <xm:sqref>K42:K62</xm:sqref>
        </x14:dataValidation>
        <x14:dataValidation type="list" allowBlank="1" showInputMessage="1" showErrorMessage="1" xr:uid="{7436F12C-1D7A-4BAC-A793-90E7A4028241}">
          <x14:formula1>
            <xm:f>OFFSET(Ranges!$AT$11,MATCH(_xlfn.CONCAT($R42:$W42),rng_LevelsConcat,0)-1,,,2)</xm:f>
          </x14:formula1>
          <xm:sqref>K42</xm:sqref>
        </x14:dataValidation>
        <x14:dataValidation type="list" showInputMessage="1" showErrorMessage="1" xr:uid="{71E78371-2B57-4392-9E31-FA2E0A731AC3}">
          <x14:formula1>
            <xm:f>OFFSET(Ranges!$AT$11,MATCH(_xlfn.CONCAT($R17:$W17),rng_LevelsConcat,0)-1,,,2)</xm:f>
          </x14:formula1>
          <xm:sqref>K17:K36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70A7-3AEE-4331-9044-9FF8E0DE519E}">
  <sheetPr codeName="Sheet18">
    <tabColor theme="9"/>
  </sheetPr>
  <dimension ref="B1:AY90"/>
  <sheetViews>
    <sheetView showGridLines="0" topLeftCell="A34" zoomScale="78" zoomScaleNormal="100" workbookViewId="0">
      <selection activeCell="J37" sqref="J37"/>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28.54296875" style="147" customWidth="1"/>
    <col min="6" max="6" width="34.36328125" style="147" customWidth="1"/>
    <col min="7" max="7" width="15.54296875" style="147" customWidth="1"/>
    <col min="8" max="8" width="11.54296875" style="147" customWidth="1"/>
    <col min="9" max="9" width="11.7265625" style="147" customWidth="1"/>
    <col min="10" max="10" width="24.26953125" style="147" customWidth="1"/>
    <col min="11" max="11" width="19.81640625" style="147" customWidth="1"/>
    <col min="12" max="12" width="56.1796875" style="147" customWidth="1"/>
    <col min="13" max="13" width="3.54296875" style="147" customWidth="1"/>
    <col min="14" max="14" width="4.26953125" style="147" customWidth="1"/>
    <col min="15" max="16" width="3.54296875" style="147" customWidth="1"/>
    <col min="17" max="17" width="5.7265625" style="147" customWidth="1" outlineLevel="1"/>
    <col min="18" max="18" width="13.54296875" style="147" customWidth="1" outlineLevel="1"/>
    <col min="19" max="19" width="18.7265625" style="147" customWidth="1" outlineLevel="1"/>
    <col min="20" max="20" width="17.1796875" style="147" customWidth="1" outlineLevel="1"/>
    <col min="21" max="22" width="17.453125" style="147" customWidth="1" outlineLevel="1"/>
    <col min="23" max="23" width="12.7265625" style="147" customWidth="1" outlineLevel="1"/>
    <col min="24" max="24" width="18.453125" style="147" customWidth="1" outlineLevel="1"/>
    <col min="25" max="25" width="8.453125" style="147" customWidth="1" outlineLevel="1"/>
    <col min="26" max="26" width="14.81640625" style="147" customWidth="1" outlineLevel="1"/>
    <col min="27" max="27" width="9.1796875" style="147" customWidth="1" outlineLevel="1"/>
    <col min="28" max="28" width="11.1796875" style="147" customWidth="1" outlineLevel="1"/>
    <col min="29" max="29" width="10.1796875" style="147" customWidth="1" outlineLevel="1"/>
    <col min="30" max="30" width="15.453125" style="147" customWidth="1" outlineLevel="1"/>
    <col min="31" max="31" width="16.1796875" style="147" customWidth="1" outlineLevel="1"/>
    <col min="32" max="32" width="10.26953125" style="147" customWidth="1" outlineLevel="1"/>
    <col min="33" max="33" width="14" style="147" customWidth="1" outlineLevel="1"/>
    <col min="34" max="34" width="13.1796875" style="147" customWidth="1" outlineLevel="1"/>
    <col min="35" max="35" width="17.453125" style="147" customWidth="1" outlineLevel="1"/>
    <col min="36" max="36" width="17.7265625" style="147" customWidth="1" outlineLevel="1"/>
    <col min="37" max="37" width="15.81640625" style="147" customWidth="1" outlineLevel="1"/>
    <col min="38" max="38" width="10.453125" style="147" customWidth="1" outlineLevel="1"/>
    <col min="39" max="39" width="11.54296875" style="147" customWidth="1" outlineLevel="1"/>
    <col min="40" max="40" width="10.453125" style="147" customWidth="1" outlineLevel="1"/>
    <col min="41" max="41" width="10.26953125" style="147" customWidth="1" outlineLevel="1"/>
    <col min="42" max="42" width="14.453125" style="147" customWidth="1" outlineLevel="1"/>
    <col min="43" max="43" width="16.54296875" style="147" customWidth="1" outlineLevel="1"/>
    <col min="44" max="44" width="8.7265625" style="147" customWidth="1" outlineLevel="1"/>
    <col min="45" max="16384" width="8.7265625" style="147"/>
  </cols>
  <sheetData>
    <row r="1" spans="2:50" s="201" customFormat="1" ht="15.5" x14ac:dyDescent="0.35">
      <c r="B1" s="196" t="s">
        <v>213</v>
      </c>
      <c r="E1" s="200" t="s">
        <v>61</v>
      </c>
      <c r="F1" s="201">
        <f>cl_year_select</f>
        <v>0</v>
      </c>
      <c r="I1" s="200" t="s">
        <v>274</v>
      </c>
      <c r="J1" s="199" t="str">
        <f>IF(SUM(M14,M39,M65)=12,"No data missing","Data missing, see traffic lights")</f>
        <v>Data missing, see traffic lights</v>
      </c>
    </row>
    <row r="2" spans="2:50" s="203" customFormat="1" x14ac:dyDescent="0.3">
      <c r="B2" s="197" t="s">
        <v>194</v>
      </c>
      <c r="E2" s="202" t="s">
        <v>64</v>
      </c>
      <c r="F2" s="203">
        <f>cl_org_name_select</f>
        <v>0</v>
      </c>
    </row>
    <row r="3" spans="2:50" x14ac:dyDescent="0.3"/>
    <row r="4" spans="2:50" x14ac:dyDescent="0.3">
      <c r="B4" s="159" t="s">
        <v>10</v>
      </c>
      <c r="E4" s="191" t="s">
        <v>1</v>
      </c>
    </row>
    <row r="5" spans="2:50" x14ac:dyDescent="0.3">
      <c r="B5" s="455" t="s">
        <v>369</v>
      </c>
      <c r="E5" s="162" t="s">
        <v>37</v>
      </c>
    </row>
    <row r="6" spans="2:50" x14ac:dyDescent="0.3">
      <c r="B6" s="455"/>
      <c r="E6" s="170" t="s">
        <v>38</v>
      </c>
      <c r="G6" s="151"/>
    </row>
    <row r="7" spans="2:50" x14ac:dyDescent="0.3">
      <c r="B7" s="455"/>
      <c r="E7" s="192" t="s">
        <v>283</v>
      </c>
      <c r="G7" s="151"/>
    </row>
    <row r="8" spans="2:50" x14ac:dyDescent="0.3">
      <c r="B8" s="455"/>
      <c r="E8" s="370"/>
      <c r="G8" s="151"/>
    </row>
    <row r="9" spans="2:50" x14ac:dyDescent="0.3">
      <c r="B9" s="455"/>
      <c r="E9" s="370"/>
      <c r="G9" s="151"/>
    </row>
    <row r="10" spans="2:50" ht="14.5" thickBot="1" x14ac:dyDescent="0.35">
      <c r="B10" s="455"/>
      <c r="E10" s="176"/>
      <c r="F10" s="176"/>
      <c r="G10" s="177"/>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row>
    <row r="11" spans="2:50" x14ac:dyDescent="0.3">
      <c r="G11" s="151"/>
    </row>
    <row r="12" spans="2:50" x14ac:dyDescent="0.3">
      <c r="B12" s="159" t="s">
        <v>12</v>
      </c>
      <c r="E12" s="160" t="s">
        <v>195</v>
      </c>
    </row>
    <row r="13" spans="2:50" x14ac:dyDescent="0.3"/>
    <row r="14" spans="2:50" ht="32.15" customHeight="1" x14ac:dyDescent="0.35">
      <c r="B14" s="455" t="s">
        <v>370</v>
      </c>
      <c r="E14" s="257" t="s">
        <v>371</v>
      </c>
      <c r="F14" s="258" t="s">
        <v>372</v>
      </c>
      <c r="G14" s="258" t="s">
        <v>287</v>
      </c>
      <c r="H14" s="258" t="s">
        <v>288</v>
      </c>
      <c r="I14" s="258" t="s">
        <v>289</v>
      </c>
      <c r="J14" s="258" t="s">
        <v>291</v>
      </c>
      <c r="K14" s="258" t="s">
        <v>292</v>
      </c>
      <c r="L14" s="259" t="s">
        <v>293</v>
      </c>
      <c r="M14" s="188">
        <f>AVERAGEIF($M$15:$M$34,"&lt;&gt;0",$M$15:$M$34)</f>
        <v>5</v>
      </c>
      <c r="Q14" s="225" t="s">
        <v>294</v>
      </c>
      <c r="R14" s="226" t="s">
        <v>295</v>
      </c>
      <c r="S14" s="226" t="s">
        <v>296</v>
      </c>
      <c r="T14" s="226" t="s">
        <v>297</v>
      </c>
      <c r="U14" s="226" t="s">
        <v>298</v>
      </c>
      <c r="V14" s="226" t="s">
        <v>299</v>
      </c>
      <c r="W14" s="226" t="s">
        <v>300</v>
      </c>
      <c r="X14" s="226" t="s">
        <v>301</v>
      </c>
      <c r="Y14" s="226" t="s">
        <v>302</v>
      </c>
      <c r="Z14" s="226" t="s">
        <v>287</v>
      </c>
      <c r="AA14" s="226" t="s">
        <v>303</v>
      </c>
      <c r="AB14" s="226" t="s">
        <v>288</v>
      </c>
      <c r="AC14" s="226" t="s">
        <v>289</v>
      </c>
      <c r="AD14" s="286" t="s">
        <v>304</v>
      </c>
      <c r="AE14" s="286" t="s">
        <v>305</v>
      </c>
      <c r="AF14" s="286" t="s">
        <v>306</v>
      </c>
      <c r="AG14" s="286" t="s">
        <v>307</v>
      </c>
      <c r="AH14" s="286" t="s">
        <v>308</v>
      </c>
      <c r="AI14" s="286" t="s">
        <v>309</v>
      </c>
      <c r="AJ14" s="286" t="s">
        <v>310</v>
      </c>
      <c r="AK14" s="286" t="s">
        <v>311</v>
      </c>
      <c r="AL14" s="286" t="s">
        <v>312</v>
      </c>
      <c r="AM14" s="286" t="s">
        <v>313</v>
      </c>
      <c r="AN14" s="286" t="s">
        <v>314</v>
      </c>
      <c r="AO14" s="286" t="s">
        <v>315</v>
      </c>
      <c r="AP14" s="286" t="s">
        <v>291</v>
      </c>
      <c r="AQ14" s="288" t="s">
        <v>292</v>
      </c>
      <c r="AR14" s="227" t="s">
        <v>293</v>
      </c>
      <c r="AT14"/>
      <c r="AU14"/>
      <c r="AV14"/>
      <c r="AW14"/>
      <c r="AX14"/>
    </row>
    <row r="15" spans="2:50" ht="14.5" x14ac:dyDescent="0.35">
      <c r="B15" s="455"/>
      <c r="E15" s="346"/>
      <c r="F15" s="336"/>
      <c r="G15" s="336"/>
      <c r="H15" s="334"/>
      <c r="I15" s="336"/>
      <c r="J15" s="336"/>
      <c r="K15" s="336"/>
      <c r="L15" s="337"/>
      <c r="M15" s="242">
        <f>ISBLANK(F15)+ISBLANK(H15)+ISBLANK(E15)+ISBLANK(I15)+ISBLANK(G15)</f>
        <v>5</v>
      </c>
      <c r="Q15" s="212" t="str">
        <f t="shared" ref="Q15:Q34" si="0">IF(M15=0,SUBSTITUTE(2025&amp;TRIM(cl_org_name_select)&amp;TRIM($E$12)&amp;(ROW(M15)-ROW($M$15))," ",""),"")</f>
        <v/>
      </c>
      <c r="R15" s="174" t="str">
        <f>IF($H15="", "", "Waste")</f>
        <v/>
      </c>
      <c r="S15" s="174" t="s">
        <v>194</v>
      </c>
      <c r="T15" s="174" t="s">
        <v>373</v>
      </c>
      <c r="U15" s="174">
        <f>Waste_Org_Frontend[[#This Row],[Disposal Method]]</f>
        <v>0</v>
      </c>
      <c r="V15" s="174">
        <f>Waste_Org_Frontend[[#This Row],[Waste Type]]</f>
        <v>0</v>
      </c>
      <c r="W15" s="174" t="s">
        <v>339</v>
      </c>
      <c r="X15" s="174"/>
      <c r="Y15" s="174"/>
      <c r="Z15" s="174">
        <f>Waste_Org_Frontend[[#This Row],[Methodology]]</f>
        <v>0</v>
      </c>
      <c r="AA15" s="229" t="e" cm="1">
        <f t="array" ref="AA15">INDEX(_xlfn.SWITCH(Waste_Org_Backend[[#This Row],[Methodology]],"Tier 1",rng_RSD1,"Tier 2",rng_RSD2,"Tier 3",rng_RSD3),MATCH(_xlfn.CONCAT(Waste_Org_Backend[[#This Row],[Level 1]:[Level 6]]),rng_LevelsConcat,0))</f>
        <v>#N/A</v>
      </c>
      <c r="AB15" s="220">
        <f>Waste_Org_Frontend[[#This Row],[Data]]</f>
        <v>0</v>
      </c>
      <c r="AC15" s="174">
        <f>Waste_Org_Frontend[[#This Row],[Units]]</f>
        <v>0</v>
      </c>
      <c r="AD15" s="220" t="e">
        <f>IF(Waste_Org_Backend[[#This Row],[Units]]=Waste_Org_Backend[[#This Row],[Standard units]],Waste_Org_Backend[[#This Row],[Data]],Waste_Org_Backend[[#This Row],[Data]]*_xlfn.XLOOKUP(_xlfn.CONCAT(Waste_Org_Backend[[#This Row],[Level 1]:[Level 6]]),rng_EFConcat,rng_EFConversion))</f>
        <v>#N/A</v>
      </c>
      <c r="AE15" s="174" t="e" cm="1">
        <f t="array" ref="AE15">_xlfn.XLOOKUP(_xlfn.CONCAT(Waste_Org_Backend[[#This Row],[Level 1]:[Level 6]]),rng_LevelsConcat,rng_UnitsLong)</f>
        <v>#N/A</v>
      </c>
      <c r="AF15" s="210" t="e">
        <f>_xlfn.XLOOKUP(_xlfn.CONCAT(Waste_Org_Backend[[#This Row],[Level 1]:[Level 6]]),rng_EFConcat,rng_EF1)*Waste_Org_Backend[[#This Row],[Converted data]]/1000</f>
        <v>#N/A</v>
      </c>
      <c r="AG15" s="210" t="e">
        <f>_xlfn.XLOOKUP(_xlfn.CONCAT(Waste_Org_Backend[[#This Row],[Level 1]:[Level 6]]),rng_EFConcat,rng_EF2)*Waste_Org_Backend[[#This Row],[Converted data]]/1000</f>
        <v>#N/A</v>
      </c>
      <c r="AH15" s="210" t="e">
        <f>_xlfn.XLOOKUP(_xlfn.CONCAT(Waste_Org_Backend[[#This Row],[Level 1]:[Level 6]]),rng_EFConcat,rng_EF3)*Waste_Org_Backend[[#This Row],[Converted data]]/1000</f>
        <v>#N/A</v>
      </c>
      <c r="AI15" s="210" t="e">
        <f>_xlfn.XLOOKUP(_xlfn.CONCAT(Waste_Org_Backend[[#This Row],[Level 1]:[Level 6]]),rng_EFConcat,rng_EF3WTT)*Waste_Org_Backend[[#This Row],[Converted data]]/1000</f>
        <v>#N/A</v>
      </c>
      <c r="AJ15" s="210" t="e">
        <f>_xlfn.XLOOKUP(_xlfn.CONCAT(Waste_Org_Backend[[#This Row],[Level 1]:[Level 6]]),rng_EFConcat,rng_EF3TD)*Waste_Org_Backend[[#This Row],[Converted data]]/1000</f>
        <v>#N/A</v>
      </c>
      <c r="AK15" s="210" t="e">
        <f>_xlfn.XLOOKUP(_xlfn.CONCAT(Waste_Org_Backend[[#This Row],[Level 1]:[Level 6]]),rng_EFConcat,rng_EF3WTTTD)*Waste_Org_Backend[[#This Row],[Converted data]]/1000</f>
        <v>#N/A</v>
      </c>
      <c r="AL15" s="220" t="e">
        <f>SUM(Waste_Org_Backend[[#This Row],[Scope 1 (tCO2e)]:[Scope 3 WTT T&amp;D (tCO2e)]])</f>
        <v>#N/A</v>
      </c>
      <c r="AM15" s="220" t="e">
        <f>Waste_Org_Backend[[#This Row],[Total (tCO2e)]]*(1-Waste_Org_Backend[[#This Row],[RSD]])</f>
        <v>#N/A</v>
      </c>
      <c r="AN15" s="220" t="e">
        <f>Waste_Org_Backend[[#This Row],[Total (tCO2e)]]*(1+Waste_Org_Backend[[#This Row],[RSD]])</f>
        <v>#N/A</v>
      </c>
      <c r="AO15" s="210" t="e">
        <f>_xlfn.XLOOKUP(_xlfn.CONCAT(Waste_Org_Backend[[#This Row],[Level 1]:[Level 6]]),rng_EFConcat,rng_EFOOS)*Waste_Org_Backend[[#This Row],[Converted data]]/1000</f>
        <v>#N/A</v>
      </c>
      <c r="AP15" s="174">
        <f>Waste_Org_Frontend[[#This Row],[Ease of collection]]</f>
        <v>0</v>
      </c>
      <c r="AQ15" s="174">
        <f>Waste_Org_Frontend[[#This Row],[Completeness]]</f>
        <v>0</v>
      </c>
      <c r="AR15" s="174">
        <f>Waste_Org_Frontend[[#This Row],[Notes]]</f>
        <v>0</v>
      </c>
      <c r="AT15"/>
      <c r="AU15"/>
      <c r="AV15"/>
      <c r="AW15"/>
      <c r="AX15"/>
    </row>
    <row r="16" spans="2:50" ht="14.5" x14ac:dyDescent="0.35">
      <c r="B16" s="455"/>
      <c r="E16" s="346"/>
      <c r="F16" s="336"/>
      <c r="G16" s="336"/>
      <c r="H16" s="334"/>
      <c r="I16" s="336"/>
      <c r="J16" s="336"/>
      <c r="K16" s="336"/>
      <c r="L16" s="337"/>
      <c r="M16" s="242">
        <f t="shared" ref="M16:M34" si="1">ISBLANK(F16)+ISBLANK(H16)+ISBLANK(E16)+ISBLANK(I16)+ISBLANK(G16)</f>
        <v>5</v>
      </c>
      <c r="Q16" s="212" t="str">
        <f t="shared" si="0"/>
        <v/>
      </c>
      <c r="R16" s="174" t="s">
        <v>194</v>
      </c>
      <c r="S16" s="174" t="s">
        <v>194</v>
      </c>
      <c r="T16" s="174" t="s">
        <v>373</v>
      </c>
      <c r="U16" s="174">
        <f>Waste_Org_Frontend[[#This Row],[Disposal Method]]</f>
        <v>0</v>
      </c>
      <c r="V16" s="174">
        <f>Waste_Org_Frontend[[#This Row],[Waste Type]]</f>
        <v>0</v>
      </c>
      <c r="W16" s="174" t="s">
        <v>339</v>
      </c>
      <c r="X16" s="174"/>
      <c r="Y16" s="174"/>
      <c r="Z16" s="174">
        <f>Waste_Org_Frontend[[#This Row],[Methodology]]</f>
        <v>0</v>
      </c>
      <c r="AA16" s="229" t="e" cm="1">
        <f t="array" ref="AA16">INDEX(_xlfn.SWITCH(Waste_Org_Backend[[#This Row],[Methodology]],"Tier 1",rng_RSD1,"Tier 2",rng_RSD2,"Tier 3",rng_RSD3),MATCH(_xlfn.CONCAT(Waste_Org_Backend[[#This Row],[Level 1]:[Level 6]]),rng_LevelsConcat,0))</f>
        <v>#N/A</v>
      </c>
      <c r="AB16" s="220">
        <f>Waste_Org_Frontend[[#This Row],[Data]]</f>
        <v>0</v>
      </c>
      <c r="AC16" s="174">
        <f>Waste_Org_Frontend[[#This Row],[Units]]</f>
        <v>0</v>
      </c>
      <c r="AD16" s="220" t="e">
        <f>IF(Waste_Org_Backend[[#This Row],[Units]]=Waste_Org_Backend[[#This Row],[Standard units]],Waste_Org_Backend[[#This Row],[Data]],Waste_Org_Backend[[#This Row],[Data]]*_xlfn.XLOOKUP(_xlfn.CONCAT(Waste_Org_Backend[[#This Row],[Level 1]:[Level 6]]),rng_EFConcat,rng_EFConversion))</f>
        <v>#N/A</v>
      </c>
      <c r="AE16" s="174" t="e" cm="1">
        <f t="array" ref="AE16">_xlfn.XLOOKUP(_xlfn.CONCAT(Waste_Org_Backend[[#This Row],[Level 1]:[Level 6]]),rng_LevelsConcat,rng_UnitsLong)</f>
        <v>#N/A</v>
      </c>
      <c r="AF16" s="210" t="e">
        <f>_xlfn.XLOOKUP(_xlfn.CONCAT(Waste_Org_Backend[[#This Row],[Level 1]:[Level 6]]),rng_EFConcat,rng_EF1)*Waste_Org_Backend[[#This Row],[Converted data]]/1000</f>
        <v>#N/A</v>
      </c>
      <c r="AG16" s="210" t="e">
        <f>_xlfn.XLOOKUP(_xlfn.CONCAT(Waste_Org_Backend[[#This Row],[Level 1]:[Level 6]]),rng_EFConcat,rng_EF2)*Waste_Org_Backend[[#This Row],[Converted data]]/1000</f>
        <v>#N/A</v>
      </c>
      <c r="AH16" s="210" t="e">
        <f>_xlfn.XLOOKUP(_xlfn.CONCAT(Waste_Org_Backend[[#This Row],[Level 1]:[Level 6]]),rng_EFConcat,rng_EF3)*Waste_Org_Backend[[#This Row],[Converted data]]/1000</f>
        <v>#N/A</v>
      </c>
      <c r="AI16" s="210" t="e">
        <f>_xlfn.XLOOKUP(_xlfn.CONCAT(Waste_Org_Backend[[#This Row],[Level 1]:[Level 6]]),rng_EFConcat,rng_EF3WTT)*Waste_Org_Backend[[#This Row],[Converted data]]/1000</f>
        <v>#N/A</v>
      </c>
      <c r="AJ16" s="210" t="e">
        <f>_xlfn.XLOOKUP(_xlfn.CONCAT(Waste_Org_Backend[[#This Row],[Level 1]:[Level 6]]),rng_EFConcat,rng_EF3TD)*Waste_Org_Backend[[#This Row],[Converted data]]/1000</f>
        <v>#N/A</v>
      </c>
      <c r="AK16" s="210" t="e">
        <f>_xlfn.XLOOKUP(_xlfn.CONCAT(Waste_Org_Backend[[#This Row],[Level 1]:[Level 6]]),rng_EFConcat,rng_EF3WTTTD)*Waste_Org_Backend[[#This Row],[Converted data]]/1000</f>
        <v>#N/A</v>
      </c>
      <c r="AL16" s="220" t="e">
        <f>SUM(Waste_Org_Backend[[#This Row],[Scope 1 (tCO2e)]:[Scope 3 WTT T&amp;D (tCO2e)]])</f>
        <v>#N/A</v>
      </c>
      <c r="AM16" s="220" t="e">
        <f>Waste_Org_Backend[[#This Row],[Total (tCO2e)]]*(1-Waste_Org_Backend[[#This Row],[RSD]])</f>
        <v>#N/A</v>
      </c>
      <c r="AN16" s="220" t="e">
        <f>Waste_Org_Backend[[#This Row],[Total (tCO2e)]]*(1+Waste_Org_Backend[[#This Row],[RSD]])</f>
        <v>#N/A</v>
      </c>
      <c r="AO16" s="210" t="e">
        <f>_xlfn.XLOOKUP(_xlfn.CONCAT(Waste_Org_Backend[[#This Row],[Level 1]:[Level 6]]),rng_EFConcat,rng_EFOOS)*Waste_Org_Backend[[#This Row],[Converted data]]/1000</f>
        <v>#N/A</v>
      </c>
      <c r="AP16" s="174">
        <f>Waste_Org_Frontend[[#This Row],[Ease of collection]]</f>
        <v>0</v>
      </c>
      <c r="AQ16" s="213">
        <f>Waste_Org_Frontend[[#This Row],[Completeness]]</f>
        <v>0</v>
      </c>
      <c r="AR16" s="213">
        <f>Waste_Org_Frontend[[#This Row],[Notes]]</f>
        <v>0</v>
      </c>
      <c r="AT16"/>
      <c r="AU16"/>
      <c r="AV16"/>
      <c r="AW16"/>
      <c r="AX16"/>
    </row>
    <row r="17" spans="2:50" ht="14.5" x14ac:dyDescent="0.35">
      <c r="B17" s="455"/>
      <c r="E17" s="346"/>
      <c r="F17" s="336"/>
      <c r="G17" s="336"/>
      <c r="H17" s="334"/>
      <c r="I17" s="336"/>
      <c r="J17" s="336"/>
      <c r="K17" s="336"/>
      <c r="L17" s="337"/>
      <c r="M17" s="242">
        <f t="shared" si="1"/>
        <v>5</v>
      </c>
      <c r="Q17" s="212" t="str">
        <f t="shared" si="0"/>
        <v/>
      </c>
      <c r="R17" s="174" t="s">
        <v>194</v>
      </c>
      <c r="S17" s="174" t="s">
        <v>194</v>
      </c>
      <c r="T17" s="174" t="s">
        <v>373</v>
      </c>
      <c r="U17" s="174">
        <f>Waste_Org_Frontend[[#This Row],[Disposal Method]]</f>
        <v>0</v>
      </c>
      <c r="V17" s="174">
        <f>Waste_Org_Frontend[[#This Row],[Waste Type]]</f>
        <v>0</v>
      </c>
      <c r="W17" s="174" t="s">
        <v>339</v>
      </c>
      <c r="X17" s="174"/>
      <c r="Y17" s="174"/>
      <c r="Z17" s="174">
        <f>Waste_Org_Frontend[[#This Row],[Methodology]]</f>
        <v>0</v>
      </c>
      <c r="AA17" s="229" t="e" cm="1">
        <f t="array" ref="AA17">INDEX(_xlfn.SWITCH(Waste_Org_Backend[[#This Row],[Methodology]],"Tier 1",rng_RSD1,"Tier 2",rng_RSD2,"Tier 3",rng_RSD3),MATCH(_xlfn.CONCAT(Waste_Org_Backend[[#This Row],[Level 1]:[Level 6]]),rng_LevelsConcat,0))</f>
        <v>#N/A</v>
      </c>
      <c r="AB17" s="220">
        <f>Waste_Org_Frontend[[#This Row],[Data]]</f>
        <v>0</v>
      </c>
      <c r="AC17" s="174">
        <f>Waste_Org_Frontend[[#This Row],[Units]]</f>
        <v>0</v>
      </c>
      <c r="AD17" s="220" t="e">
        <f>IF(Waste_Org_Backend[[#This Row],[Units]]=Waste_Org_Backend[[#This Row],[Standard units]],Waste_Org_Backend[[#This Row],[Data]],Waste_Org_Backend[[#This Row],[Data]]*_xlfn.XLOOKUP(_xlfn.CONCAT(Waste_Org_Backend[[#This Row],[Level 1]:[Level 6]]),rng_EFConcat,rng_EFConversion))</f>
        <v>#N/A</v>
      </c>
      <c r="AE17" s="174" t="e" cm="1">
        <f t="array" ref="AE17">_xlfn.XLOOKUP(_xlfn.CONCAT(Waste_Org_Backend[[#This Row],[Level 1]:[Level 6]]),rng_LevelsConcat,rng_UnitsLong)</f>
        <v>#N/A</v>
      </c>
      <c r="AF17" s="210" t="e">
        <f>_xlfn.XLOOKUP(_xlfn.CONCAT(Waste_Org_Backend[[#This Row],[Level 1]:[Level 6]]),rng_EFConcat,rng_EF1)*Waste_Org_Backend[[#This Row],[Converted data]]/1000</f>
        <v>#N/A</v>
      </c>
      <c r="AG17" s="210" t="e">
        <f>_xlfn.XLOOKUP(_xlfn.CONCAT(Waste_Org_Backend[[#This Row],[Level 1]:[Level 6]]),rng_EFConcat,rng_EF2)*Waste_Org_Backend[[#This Row],[Converted data]]/1000</f>
        <v>#N/A</v>
      </c>
      <c r="AH17" s="210" t="e">
        <f>_xlfn.XLOOKUP(_xlfn.CONCAT(Waste_Org_Backend[[#This Row],[Level 1]:[Level 6]]),rng_EFConcat,rng_EF3)*Waste_Org_Backend[[#This Row],[Converted data]]/1000</f>
        <v>#N/A</v>
      </c>
      <c r="AI17" s="210" t="e">
        <f>_xlfn.XLOOKUP(_xlfn.CONCAT(Waste_Org_Backend[[#This Row],[Level 1]:[Level 6]]),rng_EFConcat,rng_EF3WTT)*Waste_Org_Backend[[#This Row],[Converted data]]/1000</f>
        <v>#N/A</v>
      </c>
      <c r="AJ17" s="210" t="e">
        <f>_xlfn.XLOOKUP(_xlfn.CONCAT(Waste_Org_Backend[[#This Row],[Level 1]:[Level 6]]),rng_EFConcat,rng_EF3TD)*Waste_Org_Backend[[#This Row],[Converted data]]/1000</f>
        <v>#N/A</v>
      </c>
      <c r="AK17" s="210" t="e">
        <f>_xlfn.XLOOKUP(_xlfn.CONCAT(Waste_Org_Backend[[#This Row],[Level 1]:[Level 6]]),rng_EFConcat,rng_EF3WTTTD)*Waste_Org_Backend[[#This Row],[Converted data]]/1000</f>
        <v>#N/A</v>
      </c>
      <c r="AL17" s="220" t="e">
        <f>SUM(Waste_Org_Backend[[#This Row],[Scope 1 (tCO2e)]:[Scope 3 WTT T&amp;D (tCO2e)]])</f>
        <v>#N/A</v>
      </c>
      <c r="AM17" s="220" t="e">
        <f>Waste_Org_Backend[[#This Row],[Total (tCO2e)]]*(1-Waste_Org_Backend[[#This Row],[RSD]])</f>
        <v>#N/A</v>
      </c>
      <c r="AN17" s="220" t="e">
        <f>Waste_Org_Backend[[#This Row],[Total (tCO2e)]]*(1+Waste_Org_Backend[[#This Row],[RSD]])</f>
        <v>#N/A</v>
      </c>
      <c r="AO17" s="210" t="e">
        <f>_xlfn.XLOOKUP(_xlfn.CONCAT(Waste_Org_Backend[[#This Row],[Level 1]:[Level 6]]),rng_EFConcat,rng_EFOOS)*Waste_Org_Backend[[#This Row],[Converted data]]/1000</f>
        <v>#N/A</v>
      </c>
      <c r="AP17" s="174">
        <f>Waste_Org_Frontend[[#This Row],[Ease of collection]]</f>
        <v>0</v>
      </c>
      <c r="AQ17" s="213">
        <f>Waste_Org_Frontend[[#This Row],[Completeness]]</f>
        <v>0</v>
      </c>
      <c r="AR17" s="213">
        <f>Waste_Org_Frontend[[#This Row],[Notes]]</f>
        <v>0</v>
      </c>
      <c r="AT17"/>
      <c r="AU17"/>
      <c r="AV17"/>
      <c r="AW17"/>
      <c r="AX17"/>
    </row>
    <row r="18" spans="2:50" ht="14.5" x14ac:dyDescent="0.35">
      <c r="B18" s="455"/>
      <c r="E18" s="346"/>
      <c r="F18" s="336"/>
      <c r="G18" s="336"/>
      <c r="H18" s="334"/>
      <c r="I18" s="336"/>
      <c r="J18" s="336"/>
      <c r="K18" s="336"/>
      <c r="L18" s="337"/>
      <c r="M18" s="242">
        <f t="shared" si="1"/>
        <v>5</v>
      </c>
      <c r="Q18" s="212" t="str">
        <f t="shared" si="0"/>
        <v/>
      </c>
      <c r="R18" s="174" t="s">
        <v>194</v>
      </c>
      <c r="S18" s="174" t="s">
        <v>194</v>
      </c>
      <c r="T18" s="174" t="s">
        <v>373</v>
      </c>
      <c r="U18" s="174">
        <f>Waste_Org_Frontend[[#This Row],[Disposal Method]]</f>
        <v>0</v>
      </c>
      <c r="V18" s="174">
        <f>Waste_Org_Frontend[[#This Row],[Waste Type]]</f>
        <v>0</v>
      </c>
      <c r="W18" s="174" t="s">
        <v>339</v>
      </c>
      <c r="X18" s="174"/>
      <c r="Y18" s="174"/>
      <c r="Z18" s="174">
        <f>Waste_Org_Frontend[[#This Row],[Methodology]]</f>
        <v>0</v>
      </c>
      <c r="AA18" s="229" t="e" cm="1">
        <f t="array" ref="AA18">INDEX(_xlfn.SWITCH(Waste_Org_Backend[[#This Row],[Methodology]],"Tier 1",rng_RSD1,"Tier 2",rng_RSD2,"Tier 3",rng_RSD3),MATCH(_xlfn.CONCAT(Waste_Org_Backend[[#This Row],[Level 1]:[Level 6]]),rng_LevelsConcat,0))</f>
        <v>#N/A</v>
      </c>
      <c r="AB18" s="220">
        <f>Waste_Org_Frontend[[#This Row],[Data]]</f>
        <v>0</v>
      </c>
      <c r="AC18" s="174">
        <f>Waste_Org_Frontend[[#This Row],[Units]]</f>
        <v>0</v>
      </c>
      <c r="AD18" s="220" t="e">
        <f>IF(Waste_Org_Backend[[#This Row],[Units]]=Waste_Org_Backend[[#This Row],[Standard units]],Waste_Org_Backend[[#This Row],[Data]],Waste_Org_Backend[[#This Row],[Data]]*_xlfn.XLOOKUP(_xlfn.CONCAT(Waste_Org_Backend[[#This Row],[Level 1]:[Level 6]]),rng_EFConcat,rng_EFConversion))</f>
        <v>#N/A</v>
      </c>
      <c r="AE18" s="174" t="e" cm="1">
        <f t="array" ref="AE18">_xlfn.XLOOKUP(_xlfn.CONCAT(Waste_Org_Backend[[#This Row],[Level 1]:[Level 6]]),rng_LevelsConcat,rng_UnitsLong)</f>
        <v>#N/A</v>
      </c>
      <c r="AF18" s="210" t="e">
        <f>_xlfn.XLOOKUP(_xlfn.CONCAT(Waste_Org_Backend[[#This Row],[Level 1]:[Level 6]]),rng_EFConcat,rng_EF1)*Waste_Org_Backend[[#This Row],[Converted data]]/1000</f>
        <v>#N/A</v>
      </c>
      <c r="AG18" s="210" t="e">
        <f>_xlfn.XLOOKUP(_xlfn.CONCAT(Waste_Org_Backend[[#This Row],[Level 1]:[Level 6]]),rng_EFConcat,rng_EF2)*Waste_Org_Backend[[#This Row],[Converted data]]/1000</f>
        <v>#N/A</v>
      </c>
      <c r="AH18" s="210" t="e">
        <f>_xlfn.XLOOKUP(_xlfn.CONCAT(Waste_Org_Backend[[#This Row],[Level 1]:[Level 6]]),rng_EFConcat,rng_EF3)*Waste_Org_Backend[[#This Row],[Converted data]]/1000</f>
        <v>#N/A</v>
      </c>
      <c r="AI18" s="210" t="e">
        <f>_xlfn.XLOOKUP(_xlfn.CONCAT(Waste_Org_Backend[[#This Row],[Level 1]:[Level 6]]),rng_EFConcat,rng_EF3WTT)*Waste_Org_Backend[[#This Row],[Converted data]]/1000</f>
        <v>#N/A</v>
      </c>
      <c r="AJ18" s="210" t="e">
        <f>_xlfn.XLOOKUP(_xlfn.CONCAT(Waste_Org_Backend[[#This Row],[Level 1]:[Level 6]]),rng_EFConcat,rng_EF3TD)*Waste_Org_Backend[[#This Row],[Converted data]]/1000</f>
        <v>#N/A</v>
      </c>
      <c r="AK18" s="210" t="e">
        <f>_xlfn.XLOOKUP(_xlfn.CONCAT(Waste_Org_Backend[[#This Row],[Level 1]:[Level 6]]),rng_EFConcat,rng_EF3WTTTD)*Waste_Org_Backend[[#This Row],[Converted data]]/1000</f>
        <v>#N/A</v>
      </c>
      <c r="AL18" s="220" t="e">
        <f>SUM(Waste_Org_Backend[[#This Row],[Scope 1 (tCO2e)]:[Scope 3 WTT T&amp;D (tCO2e)]])</f>
        <v>#N/A</v>
      </c>
      <c r="AM18" s="220" t="e">
        <f>Waste_Org_Backend[[#This Row],[Total (tCO2e)]]*(1-Waste_Org_Backend[[#This Row],[RSD]])</f>
        <v>#N/A</v>
      </c>
      <c r="AN18" s="220" t="e">
        <f>Waste_Org_Backend[[#This Row],[Total (tCO2e)]]*(1+Waste_Org_Backend[[#This Row],[RSD]])</f>
        <v>#N/A</v>
      </c>
      <c r="AO18" s="210" t="e">
        <f>_xlfn.XLOOKUP(_xlfn.CONCAT(Waste_Org_Backend[[#This Row],[Level 1]:[Level 6]]),rng_EFConcat,rng_EFOOS)*Waste_Org_Backend[[#This Row],[Converted data]]/1000</f>
        <v>#N/A</v>
      </c>
      <c r="AP18" s="174">
        <f>Waste_Org_Frontend[[#This Row],[Ease of collection]]</f>
        <v>0</v>
      </c>
      <c r="AQ18" s="213">
        <f>Waste_Org_Frontend[[#This Row],[Completeness]]</f>
        <v>0</v>
      </c>
      <c r="AR18" s="213">
        <f>Waste_Org_Frontend[[#This Row],[Notes]]</f>
        <v>0</v>
      </c>
      <c r="AT18"/>
      <c r="AU18"/>
      <c r="AV18"/>
      <c r="AW18"/>
      <c r="AX18"/>
    </row>
    <row r="19" spans="2:50" ht="14.5" x14ac:dyDescent="0.35">
      <c r="B19" s="455"/>
      <c r="E19" s="346"/>
      <c r="F19" s="336"/>
      <c r="G19" s="336"/>
      <c r="H19" s="334"/>
      <c r="I19" s="336"/>
      <c r="J19" s="336"/>
      <c r="K19" s="336"/>
      <c r="L19" s="337"/>
      <c r="M19" s="242">
        <f t="shared" si="1"/>
        <v>5</v>
      </c>
      <c r="Q19" s="212" t="str">
        <f t="shared" si="0"/>
        <v/>
      </c>
      <c r="R19" s="174" t="s">
        <v>194</v>
      </c>
      <c r="S19" s="174" t="s">
        <v>194</v>
      </c>
      <c r="T19" s="174" t="s">
        <v>373</v>
      </c>
      <c r="U19" s="174">
        <f>Waste_Org_Frontend[[#This Row],[Disposal Method]]</f>
        <v>0</v>
      </c>
      <c r="V19" s="174">
        <f>Waste_Org_Frontend[[#This Row],[Waste Type]]</f>
        <v>0</v>
      </c>
      <c r="W19" s="174" t="s">
        <v>339</v>
      </c>
      <c r="X19" s="174"/>
      <c r="Y19" s="174"/>
      <c r="Z19" s="174">
        <f>Waste_Org_Frontend[[#This Row],[Methodology]]</f>
        <v>0</v>
      </c>
      <c r="AA19" s="229" t="e" cm="1">
        <f t="array" ref="AA19">INDEX(_xlfn.SWITCH(Waste_Org_Backend[[#This Row],[Methodology]],"Tier 1",rng_RSD1,"Tier 2",rng_RSD2,"Tier 3",rng_RSD3),MATCH(_xlfn.CONCAT(Waste_Org_Backend[[#This Row],[Level 1]:[Level 6]]),rng_LevelsConcat,0))</f>
        <v>#N/A</v>
      </c>
      <c r="AB19" s="220">
        <f>Waste_Org_Frontend[[#This Row],[Data]]</f>
        <v>0</v>
      </c>
      <c r="AC19" s="174">
        <f>Waste_Org_Frontend[[#This Row],[Units]]</f>
        <v>0</v>
      </c>
      <c r="AD19" s="220" t="e">
        <f>IF(Waste_Org_Backend[[#This Row],[Units]]=Waste_Org_Backend[[#This Row],[Standard units]],Waste_Org_Backend[[#This Row],[Data]],Waste_Org_Backend[[#This Row],[Data]]*_xlfn.XLOOKUP(_xlfn.CONCAT(Waste_Org_Backend[[#This Row],[Level 1]:[Level 6]]),rng_EFConcat,rng_EFConversion))</f>
        <v>#N/A</v>
      </c>
      <c r="AE19" s="174" t="e" cm="1">
        <f t="array" ref="AE19">_xlfn.XLOOKUP(_xlfn.CONCAT(Waste_Org_Backend[[#This Row],[Level 1]:[Level 6]]),rng_LevelsConcat,rng_UnitsLong)</f>
        <v>#N/A</v>
      </c>
      <c r="AF19" s="210" t="e">
        <f>_xlfn.XLOOKUP(_xlfn.CONCAT(Waste_Org_Backend[[#This Row],[Level 1]:[Level 6]]),rng_EFConcat,rng_EF1)*Waste_Org_Backend[[#This Row],[Converted data]]/1000</f>
        <v>#N/A</v>
      </c>
      <c r="AG19" s="210" t="e">
        <f>_xlfn.XLOOKUP(_xlfn.CONCAT(Waste_Org_Backend[[#This Row],[Level 1]:[Level 6]]),rng_EFConcat,rng_EF2)*Waste_Org_Backend[[#This Row],[Converted data]]/1000</f>
        <v>#N/A</v>
      </c>
      <c r="AH19" s="210" t="e">
        <f>_xlfn.XLOOKUP(_xlfn.CONCAT(Waste_Org_Backend[[#This Row],[Level 1]:[Level 6]]),rng_EFConcat,rng_EF3)*Waste_Org_Backend[[#This Row],[Converted data]]/1000</f>
        <v>#N/A</v>
      </c>
      <c r="AI19" s="210" t="e">
        <f>_xlfn.XLOOKUP(_xlfn.CONCAT(Waste_Org_Backend[[#This Row],[Level 1]:[Level 6]]),rng_EFConcat,rng_EF3WTT)*Waste_Org_Backend[[#This Row],[Converted data]]/1000</f>
        <v>#N/A</v>
      </c>
      <c r="AJ19" s="210" t="e">
        <f>_xlfn.XLOOKUP(_xlfn.CONCAT(Waste_Org_Backend[[#This Row],[Level 1]:[Level 6]]),rng_EFConcat,rng_EF3TD)*Waste_Org_Backend[[#This Row],[Converted data]]/1000</f>
        <v>#N/A</v>
      </c>
      <c r="AK19" s="210" t="e">
        <f>_xlfn.XLOOKUP(_xlfn.CONCAT(Waste_Org_Backend[[#This Row],[Level 1]:[Level 6]]),rng_EFConcat,rng_EF3WTTTD)*Waste_Org_Backend[[#This Row],[Converted data]]/1000</f>
        <v>#N/A</v>
      </c>
      <c r="AL19" s="220" t="e">
        <f>SUM(Waste_Org_Backend[[#This Row],[Scope 1 (tCO2e)]:[Scope 3 WTT T&amp;D (tCO2e)]])</f>
        <v>#N/A</v>
      </c>
      <c r="AM19" s="220" t="e">
        <f>Waste_Org_Backend[[#This Row],[Total (tCO2e)]]*(1-Waste_Org_Backend[[#This Row],[RSD]])</f>
        <v>#N/A</v>
      </c>
      <c r="AN19" s="220" t="e">
        <f>Waste_Org_Backend[[#This Row],[Total (tCO2e)]]*(1+Waste_Org_Backend[[#This Row],[RSD]])</f>
        <v>#N/A</v>
      </c>
      <c r="AO19" s="210" t="e">
        <f>_xlfn.XLOOKUP(_xlfn.CONCAT(Waste_Org_Backend[[#This Row],[Level 1]:[Level 6]]),rng_EFConcat,rng_EFOOS)*Waste_Org_Backend[[#This Row],[Converted data]]/1000</f>
        <v>#N/A</v>
      </c>
      <c r="AP19" s="174">
        <f>Waste_Org_Frontend[[#This Row],[Ease of collection]]</f>
        <v>0</v>
      </c>
      <c r="AQ19" s="213">
        <f>Waste_Org_Frontend[[#This Row],[Completeness]]</f>
        <v>0</v>
      </c>
      <c r="AR19" s="213">
        <f>Waste_Org_Frontend[[#This Row],[Notes]]</f>
        <v>0</v>
      </c>
      <c r="AT19"/>
      <c r="AU19"/>
      <c r="AV19"/>
      <c r="AW19"/>
      <c r="AX19"/>
    </row>
    <row r="20" spans="2:50" ht="14.5" x14ac:dyDescent="0.35">
      <c r="B20" s="455"/>
      <c r="E20" s="346"/>
      <c r="F20" s="336"/>
      <c r="G20" s="336"/>
      <c r="H20" s="334"/>
      <c r="I20" s="336"/>
      <c r="J20" s="336"/>
      <c r="K20" s="336"/>
      <c r="L20" s="337"/>
      <c r="M20" s="242">
        <f t="shared" si="1"/>
        <v>5</v>
      </c>
      <c r="Q20" s="212" t="str">
        <f t="shared" si="0"/>
        <v/>
      </c>
      <c r="R20" s="174" t="s">
        <v>194</v>
      </c>
      <c r="S20" s="174" t="s">
        <v>194</v>
      </c>
      <c r="T20" s="174" t="s">
        <v>373</v>
      </c>
      <c r="U20" s="174">
        <f>Waste_Org_Frontend[[#This Row],[Disposal Method]]</f>
        <v>0</v>
      </c>
      <c r="V20" s="174">
        <f>Waste_Org_Frontend[[#This Row],[Waste Type]]</f>
        <v>0</v>
      </c>
      <c r="W20" s="174" t="s">
        <v>339</v>
      </c>
      <c r="X20" s="174"/>
      <c r="Y20" s="174"/>
      <c r="Z20" s="174">
        <f>Waste_Org_Frontend[[#This Row],[Methodology]]</f>
        <v>0</v>
      </c>
      <c r="AA20" s="229" t="e" cm="1">
        <f t="array" ref="AA20">INDEX(_xlfn.SWITCH(Waste_Org_Backend[[#This Row],[Methodology]],"Tier 1",rng_RSD1,"Tier 2",rng_RSD2,"Tier 3",rng_RSD3),MATCH(_xlfn.CONCAT(Waste_Org_Backend[[#This Row],[Level 1]:[Level 6]]),rng_LevelsConcat,0))</f>
        <v>#N/A</v>
      </c>
      <c r="AB20" s="220">
        <f>Waste_Org_Frontend[[#This Row],[Data]]</f>
        <v>0</v>
      </c>
      <c r="AC20" s="174">
        <f>Waste_Org_Frontend[[#This Row],[Units]]</f>
        <v>0</v>
      </c>
      <c r="AD20" s="220" t="e">
        <f>IF(Waste_Org_Backend[[#This Row],[Units]]=Waste_Org_Backend[[#This Row],[Standard units]],Waste_Org_Backend[[#This Row],[Data]],Waste_Org_Backend[[#This Row],[Data]]*_xlfn.XLOOKUP(_xlfn.CONCAT(Waste_Org_Backend[[#This Row],[Level 1]:[Level 6]]),rng_EFConcat,rng_EFConversion))</f>
        <v>#N/A</v>
      </c>
      <c r="AE20" s="174" t="e" cm="1">
        <f t="array" ref="AE20">_xlfn.XLOOKUP(_xlfn.CONCAT(Waste_Org_Backend[[#This Row],[Level 1]:[Level 6]]),rng_LevelsConcat,rng_UnitsLong)</f>
        <v>#N/A</v>
      </c>
      <c r="AF20" s="210" t="e">
        <f>_xlfn.XLOOKUP(_xlfn.CONCAT(Waste_Org_Backend[[#This Row],[Level 1]:[Level 6]]),rng_EFConcat,rng_EF1)*Waste_Org_Backend[[#This Row],[Converted data]]/1000</f>
        <v>#N/A</v>
      </c>
      <c r="AG20" s="210" t="e">
        <f>_xlfn.XLOOKUP(_xlfn.CONCAT(Waste_Org_Backend[[#This Row],[Level 1]:[Level 6]]),rng_EFConcat,rng_EF2)*Waste_Org_Backend[[#This Row],[Converted data]]/1000</f>
        <v>#N/A</v>
      </c>
      <c r="AH20" s="210" t="e">
        <f>_xlfn.XLOOKUP(_xlfn.CONCAT(Waste_Org_Backend[[#This Row],[Level 1]:[Level 6]]),rng_EFConcat,rng_EF3)*Waste_Org_Backend[[#This Row],[Converted data]]/1000</f>
        <v>#N/A</v>
      </c>
      <c r="AI20" s="210" t="e">
        <f>_xlfn.XLOOKUP(_xlfn.CONCAT(Waste_Org_Backend[[#This Row],[Level 1]:[Level 6]]),rng_EFConcat,rng_EF3WTT)*Waste_Org_Backend[[#This Row],[Converted data]]/1000</f>
        <v>#N/A</v>
      </c>
      <c r="AJ20" s="210" t="e">
        <f>_xlfn.XLOOKUP(_xlfn.CONCAT(Waste_Org_Backend[[#This Row],[Level 1]:[Level 6]]),rng_EFConcat,rng_EF3TD)*Waste_Org_Backend[[#This Row],[Converted data]]/1000</f>
        <v>#N/A</v>
      </c>
      <c r="AK20" s="210" t="e">
        <f>_xlfn.XLOOKUP(_xlfn.CONCAT(Waste_Org_Backend[[#This Row],[Level 1]:[Level 6]]),rng_EFConcat,rng_EF3WTTTD)*Waste_Org_Backend[[#This Row],[Converted data]]/1000</f>
        <v>#N/A</v>
      </c>
      <c r="AL20" s="220" t="e">
        <f>SUM(Waste_Org_Backend[[#This Row],[Scope 1 (tCO2e)]:[Scope 3 WTT T&amp;D (tCO2e)]])</f>
        <v>#N/A</v>
      </c>
      <c r="AM20" s="220" t="e">
        <f>Waste_Org_Backend[[#This Row],[Total (tCO2e)]]*(1-Waste_Org_Backend[[#This Row],[RSD]])</f>
        <v>#N/A</v>
      </c>
      <c r="AN20" s="220" t="e">
        <f>Waste_Org_Backend[[#This Row],[Total (tCO2e)]]*(1+Waste_Org_Backend[[#This Row],[RSD]])</f>
        <v>#N/A</v>
      </c>
      <c r="AO20" s="210" t="e">
        <f>_xlfn.XLOOKUP(_xlfn.CONCAT(Waste_Org_Backend[[#This Row],[Level 1]:[Level 6]]),rng_EFConcat,rng_EFOOS)*Waste_Org_Backend[[#This Row],[Converted data]]/1000</f>
        <v>#N/A</v>
      </c>
      <c r="AP20" s="174">
        <f>Waste_Org_Frontend[[#This Row],[Ease of collection]]</f>
        <v>0</v>
      </c>
      <c r="AQ20" s="213">
        <f>Waste_Org_Frontend[[#This Row],[Completeness]]</f>
        <v>0</v>
      </c>
      <c r="AR20" s="213">
        <f>Waste_Org_Frontend[[#This Row],[Notes]]</f>
        <v>0</v>
      </c>
      <c r="AT20"/>
      <c r="AU20"/>
      <c r="AV20"/>
      <c r="AW20"/>
      <c r="AX20"/>
    </row>
    <row r="21" spans="2:50" ht="14.5" x14ac:dyDescent="0.35">
      <c r="B21" s="455"/>
      <c r="E21" s="346"/>
      <c r="F21" s="336"/>
      <c r="G21" s="336"/>
      <c r="H21" s="334"/>
      <c r="I21" s="336"/>
      <c r="J21" s="336"/>
      <c r="K21" s="336"/>
      <c r="L21" s="337"/>
      <c r="M21" s="242">
        <f t="shared" si="1"/>
        <v>5</v>
      </c>
      <c r="Q21" s="212" t="str">
        <f t="shared" si="0"/>
        <v/>
      </c>
      <c r="R21" s="174" t="s">
        <v>194</v>
      </c>
      <c r="S21" s="174" t="s">
        <v>194</v>
      </c>
      <c r="T21" s="174" t="s">
        <v>373</v>
      </c>
      <c r="U21" s="174">
        <f>Waste_Org_Frontend[[#This Row],[Disposal Method]]</f>
        <v>0</v>
      </c>
      <c r="V21" s="174">
        <f>Waste_Org_Frontend[[#This Row],[Waste Type]]</f>
        <v>0</v>
      </c>
      <c r="W21" s="174" t="s">
        <v>339</v>
      </c>
      <c r="X21" s="174"/>
      <c r="Y21" s="174"/>
      <c r="Z21" s="174">
        <f>Waste_Org_Frontend[[#This Row],[Methodology]]</f>
        <v>0</v>
      </c>
      <c r="AA21" s="229" t="e" cm="1">
        <f t="array" ref="AA21">INDEX(_xlfn.SWITCH(Waste_Org_Backend[[#This Row],[Methodology]],"Tier 1",rng_RSD1,"Tier 2",rng_RSD2,"Tier 3",rng_RSD3),MATCH(_xlfn.CONCAT(Waste_Org_Backend[[#This Row],[Level 1]:[Level 6]]),rng_LevelsConcat,0))</f>
        <v>#N/A</v>
      </c>
      <c r="AB21" s="220">
        <f>Waste_Org_Frontend[[#This Row],[Data]]</f>
        <v>0</v>
      </c>
      <c r="AC21" s="174">
        <f>Waste_Org_Frontend[[#This Row],[Units]]</f>
        <v>0</v>
      </c>
      <c r="AD21" s="220" t="e">
        <f>IF(Waste_Org_Backend[[#This Row],[Units]]=Waste_Org_Backend[[#This Row],[Standard units]],Waste_Org_Backend[[#This Row],[Data]],Waste_Org_Backend[[#This Row],[Data]]*_xlfn.XLOOKUP(_xlfn.CONCAT(Waste_Org_Backend[[#This Row],[Level 1]:[Level 6]]),rng_EFConcat,rng_EFConversion))</f>
        <v>#N/A</v>
      </c>
      <c r="AE21" s="174" t="e" cm="1">
        <f t="array" ref="AE21">_xlfn.XLOOKUP(_xlfn.CONCAT(Waste_Org_Backend[[#This Row],[Level 1]:[Level 6]]),rng_LevelsConcat,rng_UnitsLong)</f>
        <v>#N/A</v>
      </c>
      <c r="AF21" s="210" t="e">
        <f>_xlfn.XLOOKUP(_xlfn.CONCAT(Waste_Org_Backend[[#This Row],[Level 1]:[Level 6]]),rng_EFConcat,rng_EF1)*Waste_Org_Backend[[#This Row],[Converted data]]/1000</f>
        <v>#N/A</v>
      </c>
      <c r="AG21" s="210" t="e">
        <f>_xlfn.XLOOKUP(_xlfn.CONCAT(Waste_Org_Backend[[#This Row],[Level 1]:[Level 6]]),rng_EFConcat,rng_EF2)*Waste_Org_Backend[[#This Row],[Converted data]]/1000</f>
        <v>#N/A</v>
      </c>
      <c r="AH21" s="210" t="e">
        <f>_xlfn.XLOOKUP(_xlfn.CONCAT(Waste_Org_Backend[[#This Row],[Level 1]:[Level 6]]),rng_EFConcat,rng_EF3)*Waste_Org_Backend[[#This Row],[Converted data]]/1000</f>
        <v>#N/A</v>
      </c>
      <c r="AI21" s="210" t="e">
        <f>_xlfn.XLOOKUP(_xlfn.CONCAT(Waste_Org_Backend[[#This Row],[Level 1]:[Level 6]]),rng_EFConcat,rng_EF3WTT)*Waste_Org_Backend[[#This Row],[Converted data]]/1000</f>
        <v>#N/A</v>
      </c>
      <c r="AJ21" s="210" t="e">
        <f>_xlfn.XLOOKUP(_xlfn.CONCAT(Waste_Org_Backend[[#This Row],[Level 1]:[Level 6]]),rng_EFConcat,rng_EF3TD)*Waste_Org_Backend[[#This Row],[Converted data]]/1000</f>
        <v>#N/A</v>
      </c>
      <c r="AK21" s="210" t="e">
        <f>_xlfn.XLOOKUP(_xlfn.CONCAT(Waste_Org_Backend[[#This Row],[Level 1]:[Level 6]]),rng_EFConcat,rng_EF3WTTTD)*Waste_Org_Backend[[#This Row],[Converted data]]/1000</f>
        <v>#N/A</v>
      </c>
      <c r="AL21" s="220" t="e">
        <f>SUM(Waste_Org_Backend[[#This Row],[Scope 1 (tCO2e)]:[Scope 3 WTT T&amp;D (tCO2e)]])</f>
        <v>#N/A</v>
      </c>
      <c r="AM21" s="220" t="e">
        <f>Waste_Org_Backend[[#This Row],[Total (tCO2e)]]*(1-Waste_Org_Backend[[#This Row],[RSD]])</f>
        <v>#N/A</v>
      </c>
      <c r="AN21" s="220" t="e">
        <f>Waste_Org_Backend[[#This Row],[Total (tCO2e)]]*(1+Waste_Org_Backend[[#This Row],[RSD]])</f>
        <v>#N/A</v>
      </c>
      <c r="AO21" s="210" t="e">
        <f>_xlfn.XLOOKUP(_xlfn.CONCAT(Waste_Org_Backend[[#This Row],[Level 1]:[Level 6]]),rng_EFConcat,rng_EFOOS)*Waste_Org_Backend[[#This Row],[Converted data]]/1000</f>
        <v>#N/A</v>
      </c>
      <c r="AP21" s="174">
        <f>Waste_Org_Frontend[[#This Row],[Ease of collection]]</f>
        <v>0</v>
      </c>
      <c r="AQ21" s="213">
        <f>Waste_Org_Frontend[[#This Row],[Completeness]]</f>
        <v>0</v>
      </c>
      <c r="AR21" s="213">
        <f>Waste_Org_Frontend[[#This Row],[Notes]]</f>
        <v>0</v>
      </c>
      <c r="AT21"/>
      <c r="AU21"/>
      <c r="AV21"/>
      <c r="AW21"/>
      <c r="AX21"/>
    </row>
    <row r="22" spans="2:50" ht="14.5" x14ac:dyDescent="0.35">
      <c r="B22" s="455"/>
      <c r="E22" s="346"/>
      <c r="F22" s="336"/>
      <c r="G22" s="336"/>
      <c r="H22" s="334"/>
      <c r="I22" s="336"/>
      <c r="J22" s="336"/>
      <c r="K22" s="336"/>
      <c r="L22" s="337"/>
      <c r="M22" s="242">
        <f t="shared" si="1"/>
        <v>5</v>
      </c>
      <c r="Q22" s="212" t="str">
        <f t="shared" si="0"/>
        <v/>
      </c>
      <c r="R22" s="174" t="s">
        <v>194</v>
      </c>
      <c r="S22" s="174" t="s">
        <v>194</v>
      </c>
      <c r="T22" s="174" t="s">
        <v>373</v>
      </c>
      <c r="U22" s="174">
        <f>Waste_Org_Frontend[[#This Row],[Disposal Method]]</f>
        <v>0</v>
      </c>
      <c r="V22" s="174">
        <f>Waste_Org_Frontend[[#This Row],[Waste Type]]</f>
        <v>0</v>
      </c>
      <c r="W22" s="174" t="s">
        <v>339</v>
      </c>
      <c r="X22" s="174"/>
      <c r="Y22" s="174"/>
      <c r="Z22" s="174">
        <f>Waste_Org_Frontend[[#This Row],[Methodology]]</f>
        <v>0</v>
      </c>
      <c r="AA22" s="229" t="e" cm="1">
        <f t="array" ref="AA22">INDEX(_xlfn.SWITCH(Waste_Org_Backend[[#This Row],[Methodology]],"Tier 1",rng_RSD1,"Tier 2",rng_RSD2,"Tier 3",rng_RSD3),MATCH(_xlfn.CONCAT(Waste_Org_Backend[[#This Row],[Level 1]:[Level 6]]),rng_LevelsConcat,0))</f>
        <v>#N/A</v>
      </c>
      <c r="AB22" s="220">
        <f>Waste_Org_Frontend[[#This Row],[Data]]</f>
        <v>0</v>
      </c>
      <c r="AC22" s="174">
        <f>Waste_Org_Frontend[[#This Row],[Units]]</f>
        <v>0</v>
      </c>
      <c r="AD22" s="220" t="e">
        <f>IF(Waste_Org_Backend[[#This Row],[Units]]=Waste_Org_Backend[[#This Row],[Standard units]],Waste_Org_Backend[[#This Row],[Data]],Waste_Org_Backend[[#This Row],[Data]]*_xlfn.XLOOKUP(_xlfn.CONCAT(Waste_Org_Backend[[#This Row],[Level 1]:[Level 6]]),rng_EFConcat,rng_EFConversion))</f>
        <v>#N/A</v>
      </c>
      <c r="AE22" s="174" t="e" cm="1">
        <f t="array" ref="AE22">_xlfn.XLOOKUP(_xlfn.CONCAT(Waste_Org_Backend[[#This Row],[Level 1]:[Level 6]]),rng_LevelsConcat,rng_UnitsLong)</f>
        <v>#N/A</v>
      </c>
      <c r="AF22" s="210" t="e">
        <f>_xlfn.XLOOKUP(_xlfn.CONCAT(Waste_Org_Backend[[#This Row],[Level 1]:[Level 6]]),rng_EFConcat,rng_EF1)*Waste_Org_Backend[[#This Row],[Converted data]]/1000</f>
        <v>#N/A</v>
      </c>
      <c r="AG22" s="210" t="e">
        <f>_xlfn.XLOOKUP(_xlfn.CONCAT(Waste_Org_Backend[[#This Row],[Level 1]:[Level 6]]),rng_EFConcat,rng_EF2)*Waste_Org_Backend[[#This Row],[Converted data]]/1000</f>
        <v>#N/A</v>
      </c>
      <c r="AH22" s="210" t="e">
        <f>_xlfn.XLOOKUP(_xlfn.CONCAT(Waste_Org_Backend[[#This Row],[Level 1]:[Level 6]]),rng_EFConcat,rng_EF3)*Waste_Org_Backend[[#This Row],[Converted data]]/1000</f>
        <v>#N/A</v>
      </c>
      <c r="AI22" s="210" t="e">
        <f>_xlfn.XLOOKUP(_xlfn.CONCAT(Waste_Org_Backend[[#This Row],[Level 1]:[Level 6]]),rng_EFConcat,rng_EF3WTT)*Waste_Org_Backend[[#This Row],[Converted data]]/1000</f>
        <v>#N/A</v>
      </c>
      <c r="AJ22" s="210" t="e">
        <f>_xlfn.XLOOKUP(_xlfn.CONCAT(Waste_Org_Backend[[#This Row],[Level 1]:[Level 6]]),rng_EFConcat,rng_EF3TD)*Waste_Org_Backend[[#This Row],[Converted data]]/1000</f>
        <v>#N/A</v>
      </c>
      <c r="AK22" s="210" t="e">
        <f>_xlfn.XLOOKUP(_xlfn.CONCAT(Waste_Org_Backend[[#This Row],[Level 1]:[Level 6]]),rng_EFConcat,rng_EF3WTTTD)*Waste_Org_Backend[[#This Row],[Converted data]]/1000</f>
        <v>#N/A</v>
      </c>
      <c r="AL22" s="220" t="e">
        <f>SUM(Waste_Org_Backend[[#This Row],[Scope 1 (tCO2e)]:[Scope 3 WTT T&amp;D (tCO2e)]])</f>
        <v>#N/A</v>
      </c>
      <c r="AM22" s="220" t="e">
        <f>Waste_Org_Backend[[#This Row],[Total (tCO2e)]]*(1-Waste_Org_Backend[[#This Row],[RSD]])</f>
        <v>#N/A</v>
      </c>
      <c r="AN22" s="220" t="e">
        <f>Waste_Org_Backend[[#This Row],[Total (tCO2e)]]*(1+Waste_Org_Backend[[#This Row],[RSD]])</f>
        <v>#N/A</v>
      </c>
      <c r="AO22" s="210" t="e">
        <f>_xlfn.XLOOKUP(_xlfn.CONCAT(Waste_Org_Backend[[#This Row],[Level 1]:[Level 6]]),rng_EFConcat,rng_EFOOS)*Waste_Org_Backend[[#This Row],[Converted data]]/1000</f>
        <v>#N/A</v>
      </c>
      <c r="AP22" s="174">
        <f>Waste_Org_Frontend[[#This Row],[Ease of collection]]</f>
        <v>0</v>
      </c>
      <c r="AQ22" s="213">
        <f>Waste_Org_Frontend[[#This Row],[Completeness]]</f>
        <v>0</v>
      </c>
      <c r="AR22" s="213">
        <f>Waste_Org_Frontend[[#This Row],[Notes]]</f>
        <v>0</v>
      </c>
      <c r="AT22"/>
      <c r="AU22"/>
      <c r="AV22"/>
      <c r="AW22"/>
      <c r="AX22"/>
    </row>
    <row r="23" spans="2:50" ht="14.5" x14ac:dyDescent="0.35">
      <c r="B23" s="455"/>
      <c r="E23" s="346"/>
      <c r="F23" s="336"/>
      <c r="G23" s="336"/>
      <c r="H23" s="334"/>
      <c r="I23" s="336"/>
      <c r="J23" s="336"/>
      <c r="K23" s="336"/>
      <c r="L23" s="337"/>
      <c r="M23" s="242">
        <f t="shared" si="1"/>
        <v>5</v>
      </c>
      <c r="Q23" s="212" t="str">
        <f t="shared" si="0"/>
        <v/>
      </c>
      <c r="R23" s="174" t="s">
        <v>194</v>
      </c>
      <c r="S23" s="174" t="s">
        <v>194</v>
      </c>
      <c r="T23" s="174" t="s">
        <v>373</v>
      </c>
      <c r="U23" s="174">
        <f>Waste_Org_Frontend[[#This Row],[Disposal Method]]</f>
        <v>0</v>
      </c>
      <c r="V23" s="174">
        <f>Waste_Org_Frontend[[#This Row],[Waste Type]]</f>
        <v>0</v>
      </c>
      <c r="W23" s="174" t="s">
        <v>339</v>
      </c>
      <c r="X23" s="174"/>
      <c r="Y23" s="174"/>
      <c r="Z23" s="174">
        <f>Waste_Org_Frontend[[#This Row],[Methodology]]</f>
        <v>0</v>
      </c>
      <c r="AA23" s="229" t="e" cm="1">
        <f t="array" ref="AA23">INDEX(_xlfn.SWITCH(Waste_Org_Backend[[#This Row],[Methodology]],"Tier 1",rng_RSD1,"Tier 2",rng_RSD2,"Tier 3",rng_RSD3),MATCH(_xlfn.CONCAT(Waste_Org_Backend[[#This Row],[Level 1]:[Level 6]]),rng_LevelsConcat,0))</f>
        <v>#N/A</v>
      </c>
      <c r="AB23" s="220">
        <f>Waste_Org_Frontend[[#This Row],[Data]]</f>
        <v>0</v>
      </c>
      <c r="AC23" s="174">
        <f>Waste_Org_Frontend[[#This Row],[Units]]</f>
        <v>0</v>
      </c>
      <c r="AD23" s="220" t="e">
        <f>IF(Waste_Org_Backend[[#This Row],[Units]]=Waste_Org_Backend[[#This Row],[Standard units]],Waste_Org_Backend[[#This Row],[Data]],Waste_Org_Backend[[#This Row],[Data]]*_xlfn.XLOOKUP(_xlfn.CONCAT(Waste_Org_Backend[[#This Row],[Level 1]:[Level 6]]),rng_EFConcat,rng_EFConversion))</f>
        <v>#N/A</v>
      </c>
      <c r="AE23" s="174" t="e" cm="1">
        <f t="array" ref="AE23">_xlfn.XLOOKUP(_xlfn.CONCAT(Waste_Org_Backend[[#This Row],[Level 1]:[Level 6]]),rng_LevelsConcat,rng_UnitsLong)</f>
        <v>#N/A</v>
      </c>
      <c r="AF23" s="210" t="e">
        <f>_xlfn.XLOOKUP(_xlfn.CONCAT(Waste_Org_Backend[[#This Row],[Level 1]:[Level 6]]),rng_EFConcat,rng_EF1)*Waste_Org_Backend[[#This Row],[Converted data]]/1000</f>
        <v>#N/A</v>
      </c>
      <c r="AG23" s="210" t="e">
        <f>_xlfn.XLOOKUP(_xlfn.CONCAT(Waste_Org_Backend[[#This Row],[Level 1]:[Level 6]]),rng_EFConcat,rng_EF2)*Waste_Org_Backend[[#This Row],[Converted data]]/1000</f>
        <v>#N/A</v>
      </c>
      <c r="AH23" s="210" t="e">
        <f>_xlfn.XLOOKUP(_xlfn.CONCAT(Waste_Org_Backend[[#This Row],[Level 1]:[Level 6]]),rng_EFConcat,rng_EF3)*Waste_Org_Backend[[#This Row],[Converted data]]/1000</f>
        <v>#N/A</v>
      </c>
      <c r="AI23" s="210" t="e">
        <f>_xlfn.XLOOKUP(_xlfn.CONCAT(Waste_Org_Backend[[#This Row],[Level 1]:[Level 6]]),rng_EFConcat,rng_EF3WTT)*Waste_Org_Backend[[#This Row],[Converted data]]/1000</f>
        <v>#N/A</v>
      </c>
      <c r="AJ23" s="210" t="e">
        <f>_xlfn.XLOOKUP(_xlfn.CONCAT(Waste_Org_Backend[[#This Row],[Level 1]:[Level 6]]),rng_EFConcat,rng_EF3TD)*Waste_Org_Backend[[#This Row],[Converted data]]/1000</f>
        <v>#N/A</v>
      </c>
      <c r="AK23" s="210" t="e">
        <f>_xlfn.XLOOKUP(_xlfn.CONCAT(Waste_Org_Backend[[#This Row],[Level 1]:[Level 6]]),rng_EFConcat,rng_EF3WTTTD)*Waste_Org_Backend[[#This Row],[Converted data]]/1000</f>
        <v>#N/A</v>
      </c>
      <c r="AL23" s="220" t="e">
        <f>SUM(Waste_Org_Backend[[#This Row],[Scope 1 (tCO2e)]:[Scope 3 WTT T&amp;D (tCO2e)]])</f>
        <v>#N/A</v>
      </c>
      <c r="AM23" s="220" t="e">
        <f>Waste_Org_Backend[[#This Row],[Total (tCO2e)]]*(1-Waste_Org_Backend[[#This Row],[RSD]])</f>
        <v>#N/A</v>
      </c>
      <c r="AN23" s="220" t="e">
        <f>Waste_Org_Backend[[#This Row],[Total (tCO2e)]]*(1+Waste_Org_Backend[[#This Row],[RSD]])</f>
        <v>#N/A</v>
      </c>
      <c r="AO23" s="210" t="e">
        <f>_xlfn.XLOOKUP(_xlfn.CONCAT(Waste_Org_Backend[[#This Row],[Level 1]:[Level 6]]),rng_EFConcat,rng_EFOOS)*Waste_Org_Backend[[#This Row],[Converted data]]/1000</f>
        <v>#N/A</v>
      </c>
      <c r="AP23" s="174">
        <f>Waste_Org_Frontend[[#This Row],[Ease of collection]]</f>
        <v>0</v>
      </c>
      <c r="AQ23" s="213">
        <f>Waste_Org_Frontend[[#This Row],[Completeness]]</f>
        <v>0</v>
      </c>
      <c r="AR23" s="213">
        <f>Waste_Org_Frontend[[#This Row],[Notes]]</f>
        <v>0</v>
      </c>
      <c r="AT23"/>
      <c r="AU23"/>
      <c r="AV23"/>
      <c r="AW23"/>
      <c r="AX23"/>
    </row>
    <row r="24" spans="2:50" ht="14.5" x14ac:dyDescent="0.35">
      <c r="B24" s="455"/>
      <c r="E24" s="346"/>
      <c r="F24" s="336"/>
      <c r="G24" s="336"/>
      <c r="H24" s="334"/>
      <c r="I24" s="336"/>
      <c r="J24" s="336"/>
      <c r="K24" s="336"/>
      <c r="L24" s="337"/>
      <c r="M24" s="242">
        <f t="shared" si="1"/>
        <v>5</v>
      </c>
      <c r="Q24" s="212" t="str">
        <f t="shared" si="0"/>
        <v/>
      </c>
      <c r="R24" s="174" t="s">
        <v>194</v>
      </c>
      <c r="S24" s="174" t="s">
        <v>194</v>
      </c>
      <c r="T24" s="174" t="s">
        <v>373</v>
      </c>
      <c r="U24" s="174">
        <f>Waste_Org_Frontend[[#This Row],[Disposal Method]]</f>
        <v>0</v>
      </c>
      <c r="V24" s="174">
        <f>Waste_Org_Frontend[[#This Row],[Waste Type]]</f>
        <v>0</v>
      </c>
      <c r="W24" s="174" t="s">
        <v>339</v>
      </c>
      <c r="X24" s="174"/>
      <c r="Y24" s="174"/>
      <c r="Z24" s="174">
        <f>Waste_Org_Frontend[[#This Row],[Methodology]]</f>
        <v>0</v>
      </c>
      <c r="AA24" s="229" t="e" cm="1">
        <f t="array" ref="AA24">INDEX(_xlfn.SWITCH(Waste_Org_Backend[[#This Row],[Methodology]],"Tier 1",rng_RSD1,"Tier 2",rng_RSD2,"Tier 3",rng_RSD3),MATCH(_xlfn.CONCAT(Waste_Org_Backend[[#This Row],[Level 1]:[Level 6]]),rng_LevelsConcat,0))</f>
        <v>#N/A</v>
      </c>
      <c r="AB24" s="220">
        <f>Waste_Org_Frontend[[#This Row],[Data]]</f>
        <v>0</v>
      </c>
      <c r="AC24" s="174">
        <f>Waste_Org_Frontend[[#This Row],[Units]]</f>
        <v>0</v>
      </c>
      <c r="AD24" s="220" t="e">
        <f>IF(Waste_Org_Backend[[#This Row],[Units]]=Waste_Org_Backend[[#This Row],[Standard units]],Waste_Org_Backend[[#This Row],[Data]],Waste_Org_Backend[[#This Row],[Data]]*_xlfn.XLOOKUP(_xlfn.CONCAT(Waste_Org_Backend[[#This Row],[Level 1]:[Level 6]]),rng_EFConcat,rng_EFConversion))</f>
        <v>#N/A</v>
      </c>
      <c r="AE24" s="174" t="e" cm="1">
        <f t="array" ref="AE24">_xlfn.XLOOKUP(_xlfn.CONCAT(Waste_Org_Backend[[#This Row],[Level 1]:[Level 6]]),rng_LevelsConcat,rng_UnitsLong)</f>
        <v>#N/A</v>
      </c>
      <c r="AF24" s="210" t="e">
        <f>_xlfn.XLOOKUP(_xlfn.CONCAT(Waste_Org_Backend[[#This Row],[Level 1]:[Level 6]]),rng_EFConcat,rng_EF1)*Waste_Org_Backend[[#This Row],[Converted data]]/1000</f>
        <v>#N/A</v>
      </c>
      <c r="AG24" s="210" t="e">
        <f>_xlfn.XLOOKUP(_xlfn.CONCAT(Waste_Org_Backend[[#This Row],[Level 1]:[Level 6]]),rng_EFConcat,rng_EF2)*Waste_Org_Backend[[#This Row],[Converted data]]/1000</f>
        <v>#N/A</v>
      </c>
      <c r="AH24" s="210" t="e">
        <f>_xlfn.XLOOKUP(_xlfn.CONCAT(Waste_Org_Backend[[#This Row],[Level 1]:[Level 6]]),rng_EFConcat,rng_EF3)*Waste_Org_Backend[[#This Row],[Converted data]]/1000</f>
        <v>#N/A</v>
      </c>
      <c r="AI24" s="210" t="e">
        <f>_xlfn.XLOOKUP(_xlfn.CONCAT(Waste_Org_Backend[[#This Row],[Level 1]:[Level 6]]),rng_EFConcat,rng_EF3WTT)*Waste_Org_Backend[[#This Row],[Converted data]]/1000</f>
        <v>#N/A</v>
      </c>
      <c r="AJ24" s="210" t="e">
        <f>_xlfn.XLOOKUP(_xlfn.CONCAT(Waste_Org_Backend[[#This Row],[Level 1]:[Level 6]]),rng_EFConcat,rng_EF3TD)*Waste_Org_Backend[[#This Row],[Converted data]]/1000</f>
        <v>#N/A</v>
      </c>
      <c r="AK24" s="210" t="e">
        <f>_xlfn.XLOOKUP(_xlfn.CONCAT(Waste_Org_Backend[[#This Row],[Level 1]:[Level 6]]),rng_EFConcat,rng_EF3WTTTD)*Waste_Org_Backend[[#This Row],[Converted data]]/1000</f>
        <v>#N/A</v>
      </c>
      <c r="AL24" s="220" t="e">
        <f>SUM(Waste_Org_Backend[[#This Row],[Scope 1 (tCO2e)]:[Scope 3 WTT T&amp;D (tCO2e)]])</f>
        <v>#N/A</v>
      </c>
      <c r="AM24" s="220" t="e">
        <f>Waste_Org_Backend[[#This Row],[Total (tCO2e)]]*(1-Waste_Org_Backend[[#This Row],[RSD]])</f>
        <v>#N/A</v>
      </c>
      <c r="AN24" s="220" t="e">
        <f>Waste_Org_Backend[[#This Row],[Total (tCO2e)]]*(1+Waste_Org_Backend[[#This Row],[RSD]])</f>
        <v>#N/A</v>
      </c>
      <c r="AO24" s="210" t="e">
        <f>_xlfn.XLOOKUP(_xlfn.CONCAT(Waste_Org_Backend[[#This Row],[Level 1]:[Level 6]]),rng_EFConcat,rng_EFOOS)*Waste_Org_Backend[[#This Row],[Converted data]]/1000</f>
        <v>#N/A</v>
      </c>
      <c r="AP24" s="174">
        <f>Waste_Org_Frontend[[#This Row],[Ease of collection]]</f>
        <v>0</v>
      </c>
      <c r="AQ24" s="213">
        <f>Waste_Org_Frontend[[#This Row],[Completeness]]</f>
        <v>0</v>
      </c>
      <c r="AR24" s="213">
        <f>Waste_Org_Frontend[[#This Row],[Notes]]</f>
        <v>0</v>
      </c>
      <c r="AT24"/>
      <c r="AU24"/>
      <c r="AV24"/>
      <c r="AW24"/>
      <c r="AX24"/>
    </row>
    <row r="25" spans="2:50" ht="14.5" x14ac:dyDescent="0.35">
      <c r="B25" s="455"/>
      <c r="E25" s="346"/>
      <c r="F25" s="336"/>
      <c r="G25" s="336"/>
      <c r="H25" s="334"/>
      <c r="I25" s="336"/>
      <c r="J25" s="336"/>
      <c r="K25" s="336"/>
      <c r="L25" s="337"/>
      <c r="M25" s="242">
        <f t="shared" si="1"/>
        <v>5</v>
      </c>
      <c r="Q25" s="212" t="str">
        <f t="shared" si="0"/>
        <v/>
      </c>
      <c r="R25" s="174" t="s">
        <v>194</v>
      </c>
      <c r="S25" s="174" t="s">
        <v>194</v>
      </c>
      <c r="T25" s="174" t="s">
        <v>373</v>
      </c>
      <c r="U25" s="174">
        <f>Waste_Org_Frontend[[#This Row],[Disposal Method]]</f>
        <v>0</v>
      </c>
      <c r="V25" s="174">
        <f>Waste_Org_Frontend[[#This Row],[Waste Type]]</f>
        <v>0</v>
      </c>
      <c r="W25" s="174" t="s">
        <v>339</v>
      </c>
      <c r="X25" s="174"/>
      <c r="Y25" s="174"/>
      <c r="Z25" s="174">
        <f>Waste_Org_Frontend[[#This Row],[Methodology]]</f>
        <v>0</v>
      </c>
      <c r="AA25" s="229" t="e" cm="1">
        <f t="array" ref="AA25">INDEX(_xlfn.SWITCH(Waste_Org_Backend[[#This Row],[Methodology]],"Tier 1",rng_RSD1,"Tier 2",rng_RSD2,"Tier 3",rng_RSD3),MATCH(_xlfn.CONCAT(Waste_Org_Backend[[#This Row],[Level 1]:[Level 6]]),rng_LevelsConcat,0))</f>
        <v>#N/A</v>
      </c>
      <c r="AB25" s="220">
        <f>Waste_Org_Frontend[[#This Row],[Data]]</f>
        <v>0</v>
      </c>
      <c r="AC25" s="174">
        <f>Waste_Org_Frontend[[#This Row],[Units]]</f>
        <v>0</v>
      </c>
      <c r="AD25" s="220" t="e">
        <f>IF(Waste_Org_Backend[[#This Row],[Units]]=Waste_Org_Backend[[#This Row],[Standard units]],Waste_Org_Backend[[#This Row],[Data]],Waste_Org_Backend[[#This Row],[Data]]*_xlfn.XLOOKUP(_xlfn.CONCAT(Waste_Org_Backend[[#This Row],[Level 1]:[Level 6]]),rng_EFConcat,rng_EFConversion))</f>
        <v>#N/A</v>
      </c>
      <c r="AE25" s="174" t="e" cm="1">
        <f t="array" ref="AE25">_xlfn.XLOOKUP(_xlfn.CONCAT(Waste_Org_Backend[[#This Row],[Level 1]:[Level 6]]),rng_LevelsConcat,rng_UnitsLong)</f>
        <v>#N/A</v>
      </c>
      <c r="AF25" s="210" t="e">
        <f>_xlfn.XLOOKUP(_xlfn.CONCAT(Waste_Org_Backend[[#This Row],[Level 1]:[Level 6]]),rng_EFConcat,rng_EF1)*Waste_Org_Backend[[#This Row],[Converted data]]/1000</f>
        <v>#N/A</v>
      </c>
      <c r="AG25" s="210" t="e">
        <f>_xlfn.XLOOKUP(_xlfn.CONCAT(Waste_Org_Backend[[#This Row],[Level 1]:[Level 6]]),rng_EFConcat,rng_EF2)*Waste_Org_Backend[[#This Row],[Converted data]]/1000</f>
        <v>#N/A</v>
      </c>
      <c r="AH25" s="210" t="e">
        <f>_xlfn.XLOOKUP(_xlfn.CONCAT(Waste_Org_Backend[[#This Row],[Level 1]:[Level 6]]),rng_EFConcat,rng_EF3)*Waste_Org_Backend[[#This Row],[Converted data]]/1000</f>
        <v>#N/A</v>
      </c>
      <c r="AI25" s="210" t="e">
        <f>_xlfn.XLOOKUP(_xlfn.CONCAT(Waste_Org_Backend[[#This Row],[Level 1]:[Level 6]]),rng_EFConcat,rng_EF3WTT)*Waste_Org_Backend[[#This Row],[Converted data]]/1000</f>
        <v>#N/A</v>
      </c>
      <c r="AJ25" s="210" t="e">
        <f>_xlfn.XLOOKUP(_xlfn.CONCAT(Waste_Org_Backend[[#This Row],[Level 1]:[Level 6]]),rng_EFConcat,rng_EF3TD)*Waste_Org_Backend[[#This Row],[Converted data]]/1000</f>
        <v>#N/A</v>
      </c>
      <c r="AK25" s="210" t="e">
        <f>_xlfn.XLOOKUP(_xlfn.CONCAT(Waste_Org_Backend[[#This Row],[Level 1]:[Level 6]]),rng_EFConcat,rng_EF3WTTTD)*Waste_Org_Backend[[#This Row],[Converted data]]/1000</f>
        <v>#N/A</v>
      </c>
      <c r="AL25" s="220" t="e">
        <f>SUM(Waste_Org_Backend[[#This Row],[Scope 1 (tCO2e)]:[Scope 3 WTT T&amp;D (tCO2e)]])</f>
        <v>#N/A</v>
      </c>
      <c r="AM25" s="220" t="e">
        <f>Waste_Org_Backend[[#This Row],[Total (tCO2e)]]*(1-Waste_Org_Backend[[#This Row],[RSD]])</f>
        <v>#N/A</v>
      </c>
      <c r="AN25" s="220" t="e">
        <f>Waste_Org_Backend[[#This Row],[Total (tCO2e)]]*(1+Waste_Org_Backend[[#This Row],[RSD]])</f>
        <v>#N/A</v>
      </c>
      <c r="AO25" s="210" t="e">
        <f>_xlfn.XLOOKUP(_xlfn.CONCAT(Waste_Org_Backend[[#This Row],[Level 1]:[Level 6]]),rng_EFConcat,rng_EFOOS)*Waste_Org_Backend[[#This Row],[Converted data]]/1000</f>
        <v>#N/A</v>
      </c>
      <c r="AP25" s="174">
        <f>Waste_Org_Frontend[[#This Row],[Ease of collection]]</f>
        <v>0</v>
      </c>
      <c r="AQ25" s="213">
        <f>Waste_Org_Frontend[[#This Row],[Completeness]]</f>
        <v>0</v>
      </c>
      <c r="AR25" s="213">
        <f>Waste_Org_Frontend[[#This Row],[Notes]]</f>
        <v>0</v>
      </c>
      <c r="AT25"/>
      <c r="AU25"/>
      <c r="AV25"/>
      <c r="AW25"/>
      <c r="AX25"/>
    </row>
    <row r="26" spans="2:50" ht="14.5" x14ac:dyDescent="0.35">
      <c r="B26" s="455"/>
      <c r="E26" s="346"/>
      <c r="F26" s="336"/>
      <c r="G26" s="336"/>
      <c r="H26" s="334"/>
      <c r="I26" s="336"/>
      <c r="J26" s="336"/>
      <c r="K26" s="336"/>
      <c r="L26" s="337"/>
      <c r="M26" s="242">
        <f t="shared" si="1"/>
        <v>5</v>
      </c>
      <c r="Q26" s="212" t="str">
        <f t="shared" si="0"/>
        <v/>
      </c>
      <c r="R26" s="174" t="s">
        <v>194</v>
      </c>
      <c r="S26" s="174" t="s">
        <v>194</v>
      </c>
      <c r="T26" s="174" t="s">
        <v>373</v>
      </c>
      <c r="U26" s="174">
        <f>Waste_Org_Frontend[[#This Row],[Disposal Method]]</f>
        <v>0</v>
      </c>
      <c r="V26" s="174">
        <f>Waste_Org_Frontend[[#This Row],[Waste Type]]</f>
        <v>0</v>
      </c>
      <c r="W26" s="174" t="s">
        <v>339</v>
      </c>
      <c r="X26" s="174"/>
      <c r="Y26" s="174"/>
      <c r="Z26" s="174">
        <f>Waste_Org_Frontend[[#This Row],[Methodology]]</f>
        <v>0</v>
      </c>
      <c r="AA26" s="229" t="e" cm="1">
        <f t="array" ref="AA26">INDEX(_xlfn.SWITCH(Waste_Org_Backend[[#This Row],[Methodology]],"Tier 1",rng_RSD1,"Tier 2",rng_RSD2,"Tier 3",rng_RSD3),MATCH(_xlfn.CONCAT(Waste_Org_Backend[[#This Row],[Level 1]:[Level 6]]),rng_LevelsConcat,0))</f>
        <v>#N/A</v>
      </c>
      <c r="AB26" s="220">
        <f>Waste_Org_Frontend[[#This Row],[Data]]</f>
        <v>0</v>
      </c>
      <c r="AC26" s="174">
        <f>Waste_Org_Frontend[[#This Row],[Units]]</f>
        <v>0</v>
      </c>
      <c r="AD26" s="220" t="e">
        <f>IF(Waste_Org_Backend[[#This Row],[Units]]=Waste_Org_Backend[[#This Row],[Standard units]],Waste_Org_Backend[[#This Row],[Data]],Waste_Org_Backend[[#This Row],[Data]]*_xlfn.XLOOKUP(_xlfn.CONCAT(Waste_Org_Backend[[#This Row],[Level 1]:[Level 6]]),rng_EFConcat,rng_EFConversion))</f>
        <v>#N/A</v>
      </c>
      <c r="AE26" s="174" t="e" cm="1">
        <f t="array" ref="AE26">_xlfn.XLOOKUP(_xlfn.CONCAT(Waste_Org_Backend[[#This Row],[Level 1]:[Level 6]]),rng_LevelsConcat,rng_UnitsLong)</f>
        <v>#N/A</v>
      </c>
      <c r="AF26" s="210" t="e">
        <f>_xlfn.XLOOKUP(_xlfn.CONCAT(Waste_Org_Backend[[#This Row],[Level 1]:[Level 6]]),rng_EFConcat,rng_EF1)*Waste_Org_Backend[[#This Row],[Converted data]]/1000</f>
        <v>#N/A</v>
      </c>
      <c r="AG26" s="210" t="e">
        <f>_xlfn.XLOOKUP(_xlfn.CONCAT(Waste_Org_Backend[[#This Row],[Level 1]:[Level 6]]),rng_EFConcat,rng_EF2)*Waste_Org_Backend[[#This Row],[Converted data]]/1000</f>
        <v>#N/A</v>
      </c>
      <c r="AH26" s="210" t="e">
        <f>_xlfn.XLOOKUP(_xlfn.CONCAT(Waste_Org_Backend[[#This Row],[Level 1]:[Level 6]]),rng_EFConcat,rng_EF3)*Waste_Org_Backend[[#This Row],[Converted data]]/1000</f>
        <v>#N/A</v>
      </c>
      <c r="AI26" s="210" t="e">
        <f>_xlfn.XLOOKUP(_xlfn.CONCAT(Waste_Org_Backend[[#This Row],[Level 1]:[Level 6]]),rng_EFConcat,rng_EF3WTT)*Waste_Org_Backend[[#This Row],[Converted data]]/1000</f>
        <v>#N/A</v>
      </c>
      <c r="AJ26" s="210" t="e">
        <f>_xlfn.XLOOKUP(_xlfn.CONCAT(Waste_Org_Backend[[#This Row],[Level 1]:[Level 6]]),rng_EFConcat,rng_EF3TD)*Waste_Org_Backend[[#This Row],[Converted data]]/1000</f>
        <v>#N/A</v>
      </c>
      <c r="AK26" s="210" t="e">
        <f>_xlfn.XLOOKUP(_xlfn.CONCAT(Waste_Org_Backend[[#This Row],[Level 1]:[Level 6]]),rng_EFConcat,rng_EF3WTTTD)*Waste_Org_Backend[[#This Row],[Converted data]]/1000</f>
        <v>#N/A</v>
      </c>
      <c r="AL26" s="220" t="e">
        <f>SUM(Waste_Org_Backend[[#This Row],[Scope 1 (tCO2e)]:[Scope 3 WTT T&amp;D (tCO2e)]])</f>
        <v>#N/A</v>
      </c>
      <c r="AM26" s="220" t="e">
        <f>Waste_Org_Backend[[#This Row],[Total (tCO2e)]]*(1-Waste_Org_Backend[[#This Row],[RSD]])</f>
        <v>#N/A</v>
      </c>
      <c r="AN26" s="220" t="e">
        <f>Waste_Org_Backend[[#This Row],[Total (tCO2e)]]*(1+Waste_Org_Backend[[#This Row],[RSD]])</f>
        <v>#N/A</v>
      </c>
      <c r="AO26" s="210" t="e">
        <f>_xlfn.XLOOKUP(_xlfn.CONCAT(Waste_Org_Backend[[#This Row],[Level 1]:[Level 6]]),rng_EFConcat,rng_EFOOS)*Waste_Org_Backend[[#This Row],[Converted data]]/1000</f>
        <v>#N/A</v>
      </c>
      <c r="AP26" s="174">
        <f>Waste_Org_Frontend[[#This Row],[Ease of collection]]</f>
        <v>0</v>
      </c>
      <c r="AQ26" s="213">
        <f>Waste_Org_Frontend[[#This Row],[Completeness]]</f>
        <v>0</v>
      </c>
      <c r="AR26" s="213">
        <f>Waste_Org_Frontend[[#This Row],[Notes]]</f>
        <v>0</v>
      </c>
      <c r="AT26"/>
      <c r="AU26"/>
      <c r="AV26"/>
      <c r="AW26"/>
      <c r="AX26"/>
    </row>
    <row r="27" spans="2:50" ht="14.5" x14ac:dyDescent="0.35">
      <c r="B27" s="455"/>
      <c r="E27" s="346"/>
      <c r="F27" s="336"/>
      <c r="G27" s="336"/>
      <c r="H27" s="334"/>
      <c r="I27" s="336"/>
      <c r="J27" s="336"/>
      <c r="K27" s="336"/>
      <c r="L27" s="337"/>
      <c r="M27" s="242">
        <f t="shared" si="1"/>
        <v>5</v>
      </c>
      <c r="Q27" s="212" t="str">
        <f t="shared" si="0"/>
        <v/>
      </c>
      <c r="R27" s="174" t="s">
        <v>194</v>
      </c>
      <c r="S27" s="174" t="s">
        <v>194</v>
      </c>
      <c r="T27" s="174" t="s">
        <v>373</v>
      </c>
      <c r="U27" s="174">
        <f>Waste_Org_Frontend[[#This Row],[Disposal Method]]</f>
        <v>0</v>
      </c>
      <c r="V27" s="174">
        <f>Waste_Org_Frontend[[#This Row],[Waste Type]]</f>
        <v>0</v>
      </c>
      <c r="W27" s="174" t="s">
        <v>339</v>
      </c>
      <c r="X27" s="174"/>
      <c r="Y27" s="174"/>
      <c r="Z27" s="174">
        <f>Waste_Org_Frontend[[#This Row],[Methodology]]</f>
        <v>0</v>
      </c>
      <c r="AA27" s="229" t="e" cm="1">
        <f t="array" ref="AA27">INDEX(_xlfn.SWITCH(Waste_Org_Backend[[#This Row],[Methodology]],"Tier 1",rng_RSD1,"Tier 2",rng_RSD2,"Tier 3",rng_RSD3),MATCH(_xlfn.CONCAT(Waste_Org_Backend[[#This Row],[Level 1]:[Level 6]]),rng_LevelsConcat,0))</f>
        <v>#N/A</v>
      </c>
      <c r="AB27" s="220">
        <f>Waste_Org_Frontend[[#This Row],[Data]]</f>
        <v>0</v>
      </c>
      <c r="AC27" s="174">
        <f>Waste_Org_Frontend[[#This Row],[Units]]</f>
        <v>0</v>
      </c>
      <c r="AD27" s="220" t="e">
        <f>IF(Waste_Org_Backend[[#This Row],[Units]]=Waste_Org_Backend[[#This Row],[Standard units]],Waste_Org_Backend[[#This Row],[Data]],Waste_Org_Backend[[#This Row],[Data]]*_xlfn.XLOOKUP(_xlfn.CONCAT(Waste_Org_Backend[[#This Row],[Level 1]:[Level 6]]),rng_EFConcat,rng_EFConversion))</f>
        <v>#N/A</v>
      </c>
      <c r="AE27" s="174" t="e" cm="1">
        <f t="array" ref="AE27">_xlfn.XLOOKUP(_xlfn.CONCAT(Waste_Org_Backend[[#This Row],[Level 1]:[Level 6]]),rng_LevelsConcat,rng_UnitsLong)</f>
        <v>#N/A</v>
      </c>
      <c r="AF27" s="210" t="e">
        <f>_xlfn.XLOOKUP(_xlfn.CONCAT(Waste_Org_Backend[[#This Row],[Level 1]:[Level 6]]),rng_EFConcat,rng_EF1)*Waste_Org_Backend[[#This Row],[Converted data]]/1000</f>
        <v>#N/A</v>
      </c>
      <c r="AG27" s="210" t="e">
        <f>_xlfn.XLOOKUP(_xlfn.CONCAT(Waste_Org_Backend[[#This Row],[Level 1]:[Level 6]]),rng_EFConcat,rng_EF2)*Waste_Org_Backend[[#This Row],[Converted data]]/1000</f>
        <v>#N/A</v>
      </c>
      <c r="AH27" s="210" t="e">
        <f>_xlfn.XLOOKUP(_xlfn.CONCAT(Waste_Org_Backend[[#This Row],[Level 1]:[Level 6]]),rng_EFConcat,rng_EF3)*Waste_Org_Backend[[#This Row],[Converted data]]/1000</f>
        <v>#N/A</v>
      </c>
      <c r="AI27" s="210" t="e">
        <f>_xlfn.XLOOKUP(_xlfn.CONCAT(Waste_Org_Backend[[#This Row],[Level 1]:[Level 6]]),rng_EFConcat,rng_EF3WTT)*Waste_Org_Backend[[#This Row],[Converted data]]/1000</f>
        <v>#N/A</v>
      </c>
      <c r="AJ27" s="210" t="e">
        <f>_xlfn.XLOOKUP(_xlfn.CONCAT(Waste_Org_Backend[[#This Row],[Level 1]:[Level 6]]),rng_EFConcat,rng_EF3TD)*Waste_Org_Backend[[#This Row],[Converted data]]/1000</f>
        <v>#N/A</v>
      </c>
      <c r="AK27" s="210" t="e">
        <f>_xlfn.XLOOKUP(_xlfn.CONCAT(Waste_Org_Backend[[#This Row],[Level 1]:[Level 6]]),rng_EFConcat,rng_EF3WTTTD)*Waste_Org_Backend[[#This Row],[Converted data]]/1000</f>
        <v>#N/A</v>
      </c>
      <c r="AL27" s="220" t="e">
        <f>SUM(Waste_Org_Backend[[#This Row],[Scope 1 (tCO2e)]:[Scope 3 WTT T&amp;D (tCO2e)]])</f>
        <v>#N/A</v>
      </c>
      <c r="AM27" s="220" t="e">
        <f>Waste_Org_Backend[[#This Row],[Total (tCO2e)]]*(1-Waste_Org_Backend[[#This Row],[RSD]])</f>
        <v>#N/A</v>
      </c>
      <c r="AN27" s="220" t="e">
        <f>Waste_Org_Backend[[#This Row],[Total (tCO2e)]]*(1+Waste_Org_Backend[[#This Row],[RSD]])</f>
        <v>#N/A</v>
      </c>
      <c r="AO27" s="210" t="e">
        <f>_xlfn.XLOOKUP(_xlfn.CONCAT(Waste_Org_Backend[[#This Row],[Level 1]:[Level 6]]),rng_EFConcat,rng_EFOOS)*Waste_Org_Backend[[#This Row],[Converted data]]/1000</f>
        <v>#N/A</v>
      </c>
      <c r="AP27" s="174">
        <f>Waste_Org_Frontend[[#This Row],[Ease of collection]]</f>
        <v>0</v>
      </c>
      <c r="AQ27" s="213">
        <f>Waste_Org_Frontend[[#This Row],[Completeness]]</f>
        <v>0</v>
      </c>
      <c r="AR27" s="213">
        <f>Waste_Org_Frontend[[#This Row],[Notes]]</f>
        <v>0</v>
      </c>
      <c r="AT27"/>
      <c r="AU27"/>
      <c r="AV27"/>
      <c r="AW27"/>
      <c r="AX27"/>
    </row>
    <row r="28" spans="2:50" ht="14.5" x14ac:dyDescent="0.35">
      <c r="B28" s="455"/>
      <c r="E28" s="346"/>
      <c r="F28" s="336"/>
      <c r="G28" s="336"/>
      <c r="H28" s="334"/>
      <c r="I28" s="336"/>
      <c r="J28" s="336"/>
      <c r="K28" s="336"/>
      <c r="L28" s="337"/>
      <c r="M28" s="242">
        <f t="shared" si="1"/>
        <v>5</v>
      </c>
      <c r="Q28" s="212" t="str">
        <f t="shared" si="0"/>
        <v/>
      </c>
      <c r="R28" s="174" t="s">
        <v>194</v>
      </c>
      <c r="S28" s="174" t="s">
        <v>194</v>
      </c>
      <c r="T28" s="174" t="s">
        <v>373</v>
      </c>
      <c r="U28" s="174">
        <f>Waste_Org_Frontend[[#This Row],[Disposal Method]]</f>
        <v>0</v>
      </c>
      <c r="V28" s="174">
        <f>Waste_Org_Frontend[[#This Row],[Waste Type]]</f>
        <v>0</v>
      </c>
      <c r="W28" s="174" t="s">
        <v>339</v>
      </c>
      <c r="X28" s="174"/>
      <c r="Y28" s="174"/>
      <c r="Z28" s="174">
        <f>Waste_Org_Frontend[[#This Row],[Methodology]]</f>
        <v>0</v>
      </c>
      <c r="AA28" s="229" t="e" cm="1">
        <f t="array" ref="AA28">INDEX(_xlfn.SWITCH(Waste_Org_Backend[[#This Row],[Methodology]],"Tier 1",rng_RSD1,"Tier 2",rng_RSD2,"Tier 3",rng_RSD3),MATCH(_xlfn.CONCAT(Waste_Org_Backend[[#This Row],[Level 1]:[Level 6]]),rng_LevelsConcat,0))</f>
        <v>#N/A</v>
      </c>
      <c r="AB28" s="220">
        <f>Waste_Org_Frontend[[#This Row],[Data]]</f>
        <v>0</v>
      </c>
      <c r="AC28" s="174">
        <f>Waste_Org_Frontend[[#This Row],[Units]]</f>
        <v>0</v>
      </c>
      <c r="AD28" s="220" t="e">
        <f>IF(Waste_Org_Backend[[#This Row],[Units]]=Waste_Org_Backend[[#This Row],[Standard units]],Waste_Org_Backend[[#This Row],[Data]],Waste_Org_Backend[[#This Row],[Data]]*_xlfn.XLOOKUP(_xlfn.CONCAT(Waste_Org_Backend[[#This Row],[Level 1]:[Level 6]]),rng_EFConcat,rng_EFConversion))</f>
        <v>#N/A</v>
      </c>
      <c r="AE28" s="174" t="e" cm="1">
        <f t="array" ref="AE28">_xlfn.XLOOKUP(_xlfn.CONCAT(Waste_Org_Backend[[#This Row],[Level 1]:[Level 6]]),rng_LevelsConcat,rng_UnitsLong)</f>
        <v>#N/A</v>
      </c>
      <c r="AF28" s="210" t="e">
        <f>_xlfn.XLOOKUP(_xlfn.CONCAT(Waste_Org_Backend[[#This Row],[Level 1]:[Level 6]]),rng_EFConcat,rng_EF1)*Waste_Org_Backend[[#This Row],[Converted data]]/1000</f>
        <v>#N/A</v>
      </c>
      <c r="AG28" s="210" t="e">
        <f>_xlfn.XLOOKUP(_xlfn.CONCAT(Waste_Org_Backend[[#This Row],[Level 1]:[Level 6]]),rng_EFConcat,rng_EF2)*Waste_Org_Backend[[#This Row],[Converted data]]/1000</f>
        <v>#N/A</v>
      </c>
      <c r="AH28" s="210" t="e">
        <f>_xlfn.XLOOKUP(_xlfn.CONCAT(Waste_Org_Backend[[#This Row],[Level 1]:[Level 6]]),rng_EFConcat,rng_EF3)*Waste_Org_Backend[[#This Row],[Converted data]]/1000</f>
        <v>#N/A</v>
      </c>
      <c r="AI28" s="210" t="e">
        <f>_xlfn.XLOOKUP(_xlfn.CONCAT(Waste_Org_Backend[[#This Row],[Level 1]:[Level 6]]),rng_EFConcat,rng_EF3WTT)*Waste_Org_Backend[[#This Row],[Converted data]]/1000</f>
        <v>#N/A</v>
      </c>
      <c r="AJ28" s="210" t="e">
        <f>_xlfn.XLOOKUP(_xlfn.CONCAT(Waste_Org_Backend[[#This Row],[Level 1]:[Level 6]]),rng_EFConcat,rng_EF3TD)*Waste_Org_Backend[[#This Row],[Converted data]]/1000</f>
        <v>#N/A</v>
      </c>
      <c r="AK28" s="210" t="e">
        <f>_xlfn.XLOOKUP(_xlfn.CONCAT(Waste_Org_Backend[[#This Row],[Level 1]:[Level 6]]),rng_EFConcat,rng_EF3WTTTD)*Waste_Org_Backend[[#This Row],[Converted data]]/1000</f>
        <v>#N/A</v>
      </c>
      <c r="AL28" s="220" t="e">
        <f>SUM(Waste_Org_Backend[[#This Row],[Scope 1 (tCO2e)]:[Scope 3 WTT T&amp;D (tCO2e)]])</f>
        <v>#N/A</v>
      </c>
      <c r="AM28" s="220" t="e">
        <f>Waste_Org_Backend[[#This Row],[Total (tCO2e)]]*(1-Waste_Org_Backend[[#This Row],[RSD]])</f>
        <v>#N/A</v>
      </c>
      <c r="AN28" s="220" t="e">
        <f>Waste_Org_Backend[[#This Row],[Total (tCO2e)]]*(1+Waste_Org_Backend[[#This Row],[RSD]])</f>
        <v>#N/A</v>
      </c>
      <c r="AO28" s="210" t="e">
        <f>_xlfn.XLOOKUP(_xlfn.CONCAT(Waste_Org_Backend[[#This Row],[Level 1]:[Level 6]]),rng_EFConcat,rng_EFOOS)*Waste_Org_Backend[[#This Row],[Converted data]]/1000</f>
        <v>#N/A</v>
      </c>
      <c r="AP28" s="174">
        <f>Waste_Org_Frontend[[#This Row],[Ease of collection]]</f>
        <v>0</v>
      </c>
      <c r="AQ28" s="213">
        <f>Waste_Org_Frontend[[#This Row],[Completeness]]</f>
        <v>0</v>
      </c>
      <c r="AR28" s="213">
        <f>Waste_Org_Frontend[[#This Row],[Notes]]</f>
        <v>0</v>
      </c>
      <c r="AT28"/>
      <c r="AU28"/>
      <c r="AV28"/>
      <c r="AW28"/>
      <c r="AX28"/>
    </row>
    <row r="29" spans="2:50" ht="14.5" x14ac:dyDescent="0.35">
      <c r="B29" s="455"/>
      <c r="E29" s="346"/>
      <c r="F29" s="336"/>
      <c r="G29" s="336"/>
      <c r="H29" s="334"/>
      <c r="I29" s="336"/>
      <c r="J29" s="336"/>
      <c r="K29" s="336"/>
      <c r="L29" s="337"/>
      <c r="M29" s="242">
        <f t="shared" si="1"/>
        <v>5</v>
      </c>
      <c r="Q29" s="212" t="str">
        <f t="shared" si="0"/>
        <v/>
      </c>
      <c r="R29" s="174" t="s">
        <v>194</v>
      </c>
      <c r="S29" s="174" t="s">
        <v>194</v>
      </c>
      <c r="T29" s="174" t="s">
        <v>373</v>
      </c>
      <c r="U29" s="174">
        <f>Waste_Org_Frontend[[#This Row],[Disposal Method]]</f>
        <v>0</v>
      </c>
      <c r="V29" s="174">
        <f>Waste_Org_Frontend[[#This Row],[Waste Type]]</f>
        <v>0</v>
      </c>
      <c r="W29" s="174" t="s">
        <v>339</v>
      </c>
      <c r="X29" s="174"/>
      <c r="Y29" s="174"/>
      <c r="Z29" s="174">
        <f>Waste_Org_Frontend[[#This Row],[Methodology]]</f>
        <v>0</v>
      </c>
      <c r="AA29" s="229" t="e" cm="1">
        <f t="array" ref="AA29">INDEX(_xlfn.SWITCH(Waste_Org_Backend[[#This Row],[Methodology]],"Tier 1",rng_RSD1,"Tier 2",rng_RSD2,"Tier 3",rng_RSD3),MATCH(_xlfn.CONCAT(Waste_Org_Backend[[#This Row],[Level 1]:[Level 6]]),rng_LevelsConcat,0))</f>
        <v>#N/A</v>
      </c>
      <c r="AB29" s="220">
        <f>Waste_Org_Frontend[[#This Row],[Data]]</f>
        <v>0</v>
      </c>
      <c r="AC29" s="174">
        <f>Waste_Org_Frontend[[#This Row],[Units]]</f>
        <v>0</v>
      </c>
      <c r="AD29" s="220" t="e">
        <f>IF(Waste_Org_Backend[[#This Row],[Units]]=Waste_Org_Backend[[#This Row],[Standard units]],Waste_Org_Backend[[#This Row],[Data]],Waste_Org_Backend[[#This Row],[Data]]*_xlfn.XLOOKUP(_xlfn.CONCAT(Waste_Org_Backend[[#This Row],[Level 1]:[Level 6]]),rng_EFConcat,rng_EFConversion))</f>
        <v>#N/A</v>
      </c>
      <c r="AE29" s="174" t="e" cm="1">
        <f t="array" ref="AE29">_xlfn.XLOOKUP(_xlfn.CONCAT(Waste_Org_Backend[[#This Row],[Level 1]:[Level 6]]),rng_LevelsConcat,rng_UnitsLong)</f>
        <v>#N/A</v>
      </c>
      <c r="AF29" s="210" t="e">
        <f>_xlfn.XLOOKUP(_xlfn.CONCAT(Waste_Org_Backend[[#This Row],[Level 1]:[Level 6]]),rng_EFConcat,rng_EF1)*Waste_Org_Backend[[#This Row],[Converted data]]/1000</f>
        <v>#N/A</v>
      </c>
      <c r="AG29" s="210" t="e">
        <f>_xlfn.XLOOKUP(_xlfn.CONCAT(Waste_Org_Backend[[#This Row],[Level 1]:[Level 6]]),rng_EFConcat,rng_EF2)*Waste_Org_Backend[[#This Row],[Converted data]]/1000</f>
        <v>#N/A</v>
      </c>
      <c r="AH29" s="210" t="e">
        <f>_xlfn.XLOOKUP(_xlfn.CONCAT(Waste_Org_Backend[[#This Row],[Level 1]:[Level 6]]),rng_EFConcat,rng_EF3)*Waste_Org_Backend[[#This Row],[Converted data]]/1000</f>
        <v>#N/A</v>
      </c>
      <c r="AI29" s="210" t="e">
        <f>_xlfn.XLOOKUP(_xlfn.CONCAT(Waste_Org_Backend[[#This Row],[Level 1]:[Level 6]]),rng_EFConcat,rng_EF3WTT)*Waste_Org_Backend[[#This Row],[Converted data]]/1000</f>
        <v>#N/A</v>
      </c>
      <c r="AJ29" s="210" t="e">
        <f>_xlfn.XLOOKUP(_xlfn.CONCAT(Waste_Org_Backend[[#This Row],[Level 1]:[Level 6]]),rng_EFConcat,rng_EF3TD)*Waste_Org_Backend[[#This Row],[Converted data]]/1000</f>
        <v>#N/A</v>
      </c>
      <c r="AK29" s="210" t="e">
        <f>_xlfn.XLOOKUP(_xlfn.CONCAT(Waste_Org_Backend[[#This Row],[Level 1]:[Level 6]]),rng_EFConcat,rng_EF3WTTTD)*Waste_Org_Backend[[#This Row],[Converted data]]/1000</f>
        <v>#N/A</v>
      </c>
      <c r="AL29" s="220" t="e">
        <f>SUM(Waste_Org_Backend[[#This Row],[Scope 1 (tCO2e)]:[Scope 3 WTT T&amp;D (tCO2e)]])</f>
        <v>#N/A</v>
      </c>
      <c r="AM29" s="220" t="e">
        <f>Waste_Org_Backend[[#This Row],[Total (tCO2e)]]*(1-Waste_Org_Backend[[#This Row],[RSD]])</f>
        <v>#N/A</v>
      </c>
      <c r="AN29" s="220" t="e">
        <f>Waste_Org_Backend[[#This Row],[Total (tCO2e)]]*(1+Waste_Org_Backend[[#This Row],[RSD]])</f>
        <v>#N/A</v>
      </c>
      <c r="AO29" s="210" t="e">
        <f>_xlfn.XLOOKUP(_xlfn.CONCAT(Waste_Org_Backend[[#This Row],[Level 1]:[Level 6]]),rng_EFConcat,rng_EFOOS)*Waste_Org_Backend[[#This Row],[Converted data]]/1000</f>
        <v>#N/A</v>
      </c>
      <c r="AP29" s="174">
        <f>Waste_Org_Frontend[[#This Row],[Ease of collection]]</f>
        <v>0</v>
      </c>
      <c r="AQ29" s="213">
        <f>Waste_Org_Frontend[[#This Row],[Completeness]]</f>
        <v>0</v>
      </c>
      <c r="AR29" s="213">
        <f>Waste_Org_Frontend[[#This Row],[Notes]]</f>
        <v>0</v>
      </c>
      <c r="AT29"/>
      <c r="AU29"/>
      <c r="AV29"/>
      <c r="AW29"/>
      <c r="AX29"/>
    </row>
    <row r="30" spans="2:50" ht="14.5" x14ac:dyDescent="0.35">
      <c r="B30" s="455"/>
      <c r="E30" s="346"/>
      <c r="F30" s="336"/>
      <c r="G30" s="336"/>
      <c r="H30" s="334"/>
      <c r="I30" s="336"/>
      <c r="J30" s="336"/>
      <c r="K30" s="336"/>
      <c r="L30" s="337"/>
      <c r="M30" s="242">
        <f t="shared" si="1"/>
        <v>5</v>
      </c>
      <c r="Q30" s="212" t="str">
        <f t="shared" si="0"/>
        <v/>
      </c>
      <c r="R30" s="174" t="s">
        <v>194</v>
      </c>
      <c r="S30" s="174" t="s">
        <v>194</v>
      </c>
      <c r="T30" s="174" t="s">
        <v>373</v>
      </c>
      <c r="U30" s="174">
        <f>Waste_Org_Frontend[[#This Row],[Disposal Method]]</f>
        <v>0</v>
      </c>
      <c r="V30" s="174">
        <f>Waste_Org_Frontend[[#This Row],[Waste Type]]</f>
        <v>0</v>
      </c>
      <c r="W30" s="174" t="s">
        <v>339</v>
      </c>
      <c r="X30" s="174"/>
      <c r="Y30" s="174"/>
      <c r="Z30" s="174">
        <f>Waste_Org_Frontend[[#This Row],[Methodology]]</f>
        <v>0</v>
      </c>
      <c r="AA30" s="229" t="e" cm="1">
        <f t="array" ref="AA30">INDEX(_xlfn.SWITCH(Waste_Org_Backend[[#This Row],[Methodology]],"Tier 1",rng_RSD1,"Tier 2",rng_RSD2,"Tier 3",rng_RSD3),MATCH(_xlfn.CONCAT(Waste_Org_Backend[[#This Row],[Level 1]:[Level 6]]),rng_LevelsConcat,0))</f>
        <v>#N/A</v>
      </c>
      <c r="AB30" s="220">
        <f>Waste_Org_Frontend[[#This Row],[Data]]</f>
        <v>0</v>
      </c>
      <c r="AC30" s="174">
        <f>Waste_Org_Frontend[[#This Row],[Units]]</f>
        <v>0</v>
      </c>
      <c r="AD30" s="220" t="e">
        <f>IF(Waste_Org_Backend[[#This Row],[Units]]=Waste_Org_Backend[[#This Row],[Standard units]],Waste_Org_Backend[[#This Row],[Data]],Waste_Org_Backend[[#This Row],[Data]]*_xlfn.XLOOKUP(_xlfn.CONCAT(Waste_Org_Backend[[#This Row],[Level 1]:[Level 6]]),rng_EFConcat,rng_EFConversion))</f>
        <v>#N/A</v>
      </c>
      <c r="AE30" s="174" t="e" cm="1">
        <f t="array" ref="AE30">_xlfn.XLOOKUP(_xlfn.CONCAT(Waste_Org_Backend[[#This Row],[Level 1]:[Level 6]]),rng_LevelsConcat,rng_UnitsLong)</f>
        <v>#N/A</v>
      </c>
      <c r="AF30" s="210" t="e">
        <f>_xlfn.XLOOKUP(_xlfn.CONCAT(Waste_Org_Backend[[#This Row],[Level 1]:[Level 6]]),rng_EFConcat,rng_EF1)*Waste_Org_Backend[[#This Row],[Converted data]]/1000</f>
        <v>#N/A</v>
      </c>
      <c r="AG30" s="210" t="e">
        <f>_xlfn.XLOOKUP(_xlfn.CONCAT(Waste_Org_Backend[[#This Row],[Level 1]:[Level 6]]),rng_EFConcat,rng_EF2)*Waste_Org_Backend[[#This Row],[Converted data]]/1000</f>
        <v>#N/A</v>
      </c>
      <c r="AH30" s="210" t="e">
        <f>_xlfn.XLOOKUP(_xlfn.CONCAT(Waste_Org_Backend[[#This Row],[Level 1]:[Level 6]]),rng_EFConcat,rng_EF3)*Waste_Org_Backend[[#This Row],[Converted data]]/1000</f>
        <v>#N/A</v>
      </c>
      <c r="AI30" s="210" t="e">
        <f>_xlfn.XLOOKUP(_xlfn.CONCAT(Waste_Org_Backend[[#This Row],[Level 1]:[Level 6]]),rng_EFConcat,rng_EF3WTT)*Waste_Org_Backend[[#This Row],[Converted data]]/1000</f>
        <v>#N/A</v>
      </c>
      <c r="AJ30" s="210" t="e">
        <f>_xlfn.XLOOKUP(_xlfn.CONCAT(Waste_Org_Backend[[#This Row],[Level 1]:[Level 6]]),rng_EFConcat,rng_EF3TD)*Waste_Org_Backend[[#This Row],[Converted data]]/1000</f>
        <v>#N/A</v>
      </c>
      <c r="AK30" s="210" t="e">
        <f>_xlfn.XLOOKUP(_xlfn.CONCAT(Waste_Org_Backend[[#This Row],[Level 1]:[Level 6]]),rng_EFConcat,rng_EF3WTTTD)*Waste_Org_Backend[[#This Row],[Converted data]]/1000</f>
        <v>#N/A</v>
      </c>
      <c r="AL30" s="220" t="e">
        <f>SUM(Waste_Org_Backend[[#This Row],[Scope 1 (tCO2e)]:[Scope 3 WTT T&amp;D (tCO2e)]])</f>
        <v>#N/A</v>
      </c>
      <c r="AM30" s="220" t="e">
        <f>Waste_Org_Backend[[#This Row],[Total (tCO2e)]]*(1-Waste_Org_Backend[[#This Row],[RSD]])</f>
        <v>#N/A</v>
      </c>
      <c r="AN30" s="220" t="e">
        <f>Waste_Org_Backend[[#This Row],[Total (tCO2e)]]*(1+Waste_Org_Backend[[#This Row],[RSD]])</f>
        <v>#N/A</v>
      </c>
      <c r="AO30" s="210" t="e">
        <f>_xlfn.XLOOKUP(_xlfn.CONCAT(Waste_Org_Backend[[#This Row],[Level 1]:[Level 6]]),rng_EFConcat,rng_EFOOS)*Waste_Org_Backend[[#This Row],[Converted data]]/1000</f>
        <v>#N/A</v>
      </c>
      <c r="AP30" s="174">
        <f>Waste_Org_Frontend[[#This Row],[Ease of collection]]</f>
        <v>0</v>
      </c>
      <c r="AQ30" s="213">
        <f>Waste_Org_Frontend[[#This Row],[Completeness]]</f>
        <v>0</v>
      </c>
      <c r="AR30" s="213">
        <f>Waste_Org_Frontend[[#This Row],[Notes]]</f>
        <v>0</v>
      </c>
      <c r="AT30"/>
      <c r="AU30"/>
      <c r="AV30"/>
      <c r="AW30"/>
      <c r="AX30"/>
    </row>
    <row r="31" spans="2:50" ht="14.5" x14ac:dyDescent="0.35">
      <c r="B31" s="455"/>
      <c r="E31" s="346"/>
      <c r="F31" s="336"/>
      <c r="G31" s="336"/>
      <c r="H31" s="334"/>
      <c r="I31" s="336"/>
      <c r="J31" s="336"/>
      <c r="K31" s="336"/>
      <c r="L31" s="337"/>
      <c r="M31" s="242">
        <f t="shared" si="1"/>
        <v>5</v>
      </c>
      <c r="Q31" s="212" t="str">
        <f t="shared" si="0"/>
        <v/>
      </c>
      <c r="R31" s="174" t="s">
        <v>194</v>
      </c>
      <c r="S31" s="174" t="s">
        <v>194</v>
      </c>
      <c r="T31" s="174" t="s">
        <v>373</v>
      </c>
      <c r="U31" s="174">
        <f>Waste_Org_Frontend[[#This Row],[Disposal Method]]</f>
        <v>0</v>
      </c>
      <c r="V31" s="174">
        <f>Waste_Org_Frontend[[#This Row],[Waste Type]]</f>
        <v>0</v>
      </c>
      <c r="W31" s="174" t="s">
        <v>339</v>
      </c>
      <c r="X31" s="174"/>
      <c r="Y31" s="174"/>
      <c r="Z31" s="174">
        <f>Waste_Org_Frontend[[#This Row],[Methodology]]</f>
        <v>0</v>
      </c>
      <c r="AA31" s="229" t="e" cm="1">
        <f t="array" ref="AA31">INDEX(_xlfn.SWITCH(Waste_Org_Backend[[#This Row],[Methodology]],"Tier 1",rng_RSD1,"Tier 2",rng_RSD2,"Tier 3",rng_RSD3),MATCH(_xlfn.CONCAT(Waste_Org_Backend[[#This Row],[Level 1]:[Level 6]]),rng_LevelsConcat,0))</f>
        <v>#N/A</v>
      </c>
      <c r="AB31" s="220">
        <f>Waste_Org_Frontend[[#This Row],[Data]]</f>
        <v>0</v>
      </c>
      <c r="AC31" s="174">
        <f>Waste_Org_Frontend[[#This Row],[Units]]</f>
        <v>0</v>
      </c>
      <c r="AD31" s="220" t="e">
        <f>IF(Waste_Org_Backend[[#This Row],[Units]]=Waste_Org_Backend[[#This Row],[Standard units]],Waste_Org_Backend[[#This Row],[Data]],Waste_Org_Backend[[#This Row],[Data]]*_xlfn.XLOOKUP(_xlfn.CONCAT(Waste_Org_Backend[[#This Row],[Level 1]:[Level 6]]),rng_EFConcat,rng_EFConversion))</f>
        <v>#N/A</v>
      </c>
      <c r="AE31" s="174" t="e" cm="1">
        <f t="array" ref="AE31">_xlfn.XLOOKUP(_xlfn.CONCAT(Waste_Org_Backend[[#This Row],[Level 1]:[Level 6]]),rng_LevelsConcat,rng_UnitsLong)</f>
        <v>#N/A</v>
      </c>
      <c r="AF31" s="210" t="e">
        <f>_xlfn.XLOOKUP(_xlfn.CONCAT(Waste_Org_Backend[[#This Row],[Level 1]:[Level 6]]),rng_EFConcat,rng_EF1)*Waste_Org_Backend[[#This Row],[Converted data]]/1000</f>
        <v>#N/A</v>
      </c>
      <c r="AG31" s="210" t="e">
        <f>_xlfn.XLOOKUP(_xlfn.CONCAT(Waste_Org_Backend[[#This Row],[Level 1]:[Level 6]]),rng_EFConcat,rng_EF2)*Waste_Org_Backend[[#This Row],[Converted data]]/1000</f>
        <v>#N/A</v>
      </c>
      <c r="AH31" s="210" t="e">
        <f>_xlfn.XLOOKUP(_xlfn.CONCAT(Waste_Org_Backend[[#This Row],[Level 1]:[Level 6]]),rng_EFConcat,rng_EF3)*Waste_Org_Backend[[#This Row],[Converted data]]/1000</f>
        <v>#N/A</v>
      </c>
      <c r="AI31" s="210" t="e">
        <f>_xlfn.XLOOKUP(_xlfn.CONCAT(Waste_Org_Backend[[#This Row],[Level 1]:[Level 6]]),rng_EFConcat,rng_EF3WTT)*Waste_Org_Backend[[#This Row],[Converted data]]/1000</f>
        <v>#N/A</v>
      </c>
      <c r="AJ31" s="210" t="e">
        <f>_xlfn.XLOOKUP(_xlfn.CONCAT(Waste_Org_Backend[[#This Row],[Level 1]:[Level 6]]),rng_EFConcat,rng_EF3TD)*Waste_Org_Backend[[#This Row],[Converted data]]/1000</f>
        <v>#N/A</v>
      </c>
      <c r="AK31" s="210" t="e">
        <f>_xlfn.XLOOKUP(_xlfn.CONCAT(Waste_Org_Backend[[#This Row],[Level 1]:[Level 6]]),rng_EFConcat,rng_EF3WTTTD)*Waste_Org_Backend[[#This Row],[Converted data]]/1000</f>
        <v>#N/A</v>
      </c>
      <c r="AL31" s="220" t="e">
        <f>SUM(Waste_Org_Backend[[#This Row],[Scope 1 (tCO2e)]:[Scope 3 WTT T&amp;D (tCO2e)]])</f>
        <v>#N/A</v>
      </c>
      <c r="AM31" s="220" t="e">
        <f>Waste_Org_Backend[[#This Row],[Total (tCO2e)]]*(1-Waste_Org_Backend[[#This Row],[RSD]])</f>
        <v>#N/A</v>
      </c>
      <c r="AN31" s="220" t="e">
        <f>Waste_Org_Backend[[#This Row],[Total (tCO2e)]]*(1+Waste_Org_Backend[[#This Row],[RSD]])</f>
        <v>#N/A</v>
      </c>
      <c r="AO31" s="210" t="e">
        <f>_xlfn.XLOOKUP(_xlfn.CONCAT(Waste_Org_Backend[[#This Row],[Level 1]:[Level 6]]),rng_EFConcat,rng_EFOOS)*Waste_Org_Backend[[#This Row],[Converted data]]/1000</f>
        <v>#N/A</v>
      </c>
      <c r="AP31" s="174">
        <f>Waste_Org_Frontend[[#This Row],[Ease of collection]]</f>
        <v>0</v>
      </c>
      <c r="AQ31" s="213">
        <f>Waste_Org_Frontend[[#This Row],[Completeness]]</f>
        <v>0</v>
      </c>
      <c r="AR31" s="213">
        <f>Waste_Org_Frontend[[#This Row],[Notes]]</f>
        <v>0</v>
      </c>
      <c r="AT31"/>
      <c r="AU31"/>
      <c r="AV31"/>
      <c r="AW31"/>
      <c r="AX31"/>
    </row>
    <row r="32" spans="2:50" ht="14.5" x14ac:dyDescent="0.35">
      <c r="B32" s="455"/>
      <c r="E32" s="346"/>
      <c r="F32" s="336"/>
      <c r="G32" s="336"/>
      <c r="H32" s="334"/>
      <c r="I32" s="336"/>
      <c r="J32" s="336"/>
      <c r="K32" s="336"/>
      <c r="L32" s="337"/>
      <c r="M32" s="242">
        <f t="shared" si="1"/>
        <v>5</v>
      </c>
      <c r="Q32" s="212" t="str">
        <f t="shared" si="0"/>
        <v/>
      </c>
      <c r="R32" s="174" t="s">
        <v>194</v>
      </c>
      <c r="S32" s="174" t="s">
        <v>194</v>
      </c>
      <c r="T32" s="174" t="s">
        <v>373</v>
      </c>
      <c r="U32" s="174">
        <f>Waste_Org_Frontend[[#This Row],[Disposal Method]]</f>
        <v>0</v>
      </c>
      <c r="V32" s="174">
        <f>Waste_Org_Frontend[[#This Row],[Waste Type]]</f>
        <v>0</v>
      </c>
      <c r="W32" s="174" t="s">
        <v>339</v>
      </c>
      <c r="X32" s="174"/>
      <c r="Y32" s="174"/>
      <c r="Z32" s="174">
        <f>Waste_Org_Frontend[[#This Row],[Methodology]]</f>
        <v>0</v>
      </c>
      <c r="AA32" s="229" t="e" cm="1">
        <f t="array" ref="AA32">INDEX(_xlfn.SWITCH(Waste_Org_Backend[[#This Row],[Methodology]],"Tier 1",rng_RSD1,"Tier 2",rng_RSD2,"Tier 3",rng_RSD3),MATCH(_xlfn.CONCAT(Waste_Org_Backend[[#This Row],[Level 1]:[Level 6]]),rng_LevelsConcat,0))</f>
        <v>#N/A</v>
      </c>
      <c r="AB32" s="220">
        <f>Waste_Org_Frontend[[#This Row],[Data]]</f>
        <v>0</v>
      </c>
      <c r="AC32" s="174">
        <f>Waste_Org_Frontend[[#This Row],[Units]]</f>
        <v>0</v>
      </c>
      <c r="AD32" s="220" t="e">
        <f>IF(Waste_Org_Backend[[#This Row],[Units]]=Waste_Org_Backend[[#This Row],[Standard units]],Waste_Org_Backend[[#This Row],[Data]],Waste_Org_Backend[[#This Row],[Data]]*_xlfn.XLOOKUP(_xlfn.CONCAT(Waste_Org_Backend[[#This Row],[Level 1]:[Level 6]]),rng_EFConcat,rng_EFConversion))</f>
        <v>#N/A</v>
      </c>
      <c r="AE32" s="174" t="e" cm="1">
        <f t="array" ref="AE32">_xlfn.XLOOKUP(_xlfn.CONCAT(Waste_Org_Backend[[#This Row],[Level 1]:[Level 6]]),rng_LevelsConcat,rng_UnitsLong)</f>
        <v>#N/A</v>
      </c>
      <c r="AF32" s="210" t="e">
        <f>_xlfn.XLOOKUP(_xlfn.CONCAT(Waste_Org_Backend[[#This Row],[Level 1]:[Level 6]]),rng_EFConcat,rng_EF1)*Waste_Org_Backend[[#This Row],[Converted data]]/1000</f>
        <v>#N/A</v>
      </c>
      <c r="AG32" s="210" t="e">
        <f>_xlfn.XLOOKUP(_xlfn.CONCAT(Waste_Org_Backend[[#This Row],[Level 1]:[Level 6]]),rng_EFConcat,rng_EF2)*Waste_Org_Backend[[#This Row],[Converted data]]/1000</f>
        <v>#N/A</v>
      </c>
      <c r="AH32" s="210" t="e">
        <f>_xlfn.XLOOKUP(_xlfn.CONCAT(Waste_Org_Backend[[#This Row],[Level 1]:[Level 6]]),rng_EFConcat,rng_EF3)*Waste_Org_Backend[[#This Row],[Converted data]]/1000</f>
        <v>#N/A</v>
      </c>
      <c r="AI32" s="210" t="e">
        <f>_xlfn.XLOOKUP(_xlfn.CONCAT(Waste_Org_Backend[[#This Row],[Level 1]:[Level 6]]),rng_EFConcat,rng_EF3WTT)*Waste_Org_Backend[[#This Row],[Converted data]]/1000</f>
        <v>#N/A</v>
      </c>
      <c r="AJ32" s="210" t="e">
        <f>_xlfn.XLOOKUP(_xlfn.CONCAT(Waste_Org_Backend[[#This Row],[Level 1]:[Level 6]]),rng_EFConcat,rng_EF3TD)*Waste_Org_Backend[[#This Row],[Converted data]]/1000</f>
        <v>#N/A</v>
      </c>
      <c r="AK32" s="210" t="e">
        <f>_xlfn.XLOOKUP(_xlfn.CONCAT(Waste_Org_Backend[[#This Row],[Level 1]:[Level 6]]),rng_EFConcat,rng_EF3WTTTD)*Waste_Org_Backend[[#This Row],[Converted data]]/1000</f>
        <v>#N/A</v>
      </c>
      <c r="AL32" s="220" t="e">
        <f>SUM(Waste_Org_Backend[[#This Row],[Scope 1 (tCO2e)]:[Scope 3 WTT T&amp;D (tCO2e)]])</f>
        <v>#N/A</v>
      </c>
      <c r="AM32" s="220" t="e">
        <f>Waste_Org_Backend[[#This Row],[Total (tCO2e)]]*(1-Waste_Org_Backend[[#This Row],[RSD]])</f>
        <v>#N/A</v>
      </c>
      <c r="AN32" s="220" t="e">
        <f>Waste_Org_Backend[[#This Row],[Total (tCO2e)]]*(1+Waste_Org_Backend[[#This Row],[RSD]])</f>
        <v>#N/A</v>
      </c>
      <c r="AO32" s="210" t="e">
        <f>_xlfn.XLOOKUP(_xlfn.CONCAT(Waste_Org_Backend[[#This Row],[Level 1]:[Level 6]]),rng_EFConcat,rng_EFOOS)*Waste_Org_Backend[[#This Row],[Converted data]]/1000</f>
        <v>#N/A</v>
      </c>
      <c r="AP32" s="174">
        <f>Waste_Org_Frontend[[#This Row],[Ease of collection]]</f>
        <v>0</v>
      </c>
      <c r="AQ32" s="213">
        <f>Waste_Org_Frontend[[#This Row],[Completeness]]</f>
        <v>0</v>
      </c>
      <c r="AR32" s="213">
        <f>Waste_Org_Frontend[[#This Row],[Notes]]</f>
        <v>0</v>
      </c>
      <c r="AT32"/>
      <c r="AU32"/>
      <c r="AV32"/>
      <c r="AW32"/>
      <c r="AX32"/>
    </row>
    <row r="33" spans="2:50" ht="14.5" x14ac:dyDescent="0.35">
      <c r="B33" s="455"/>
      <c r="E33" s="346"/>
      <c r="F33" s="336"/>
      <c r="G33" s="336"/>
      <c r="H33" s="334"/>
      <c r="I33" s="336"/>
      <c r="J33" s="336"/>
      <c r="K33" s="336"/>
      <c r="L33" s="337"/>
      <c r="M33" s="242">
        <f t="shared" si="1"/>
        <v>5</v>
      </c>
      <c r="Q33" s="212" t="str">
        <f t="shared" si="0"/>
        <v/>
      </c>
      <c r="R33" s="174" t="s">
        <v>194</v>
      </c>
      <c r="S33" s="174" t="s">
        <v>194</v>
      </c>
      <c r="T33" s="174" t="s">
        <v>373</v>
      </c>
      <c r="U33" s="174">
        <f>Waste_Org_Frontend[[#This Row],[Disposal Method]]</f>
        <v>0</v>
      </c>
      <c r="V33" s="174">
        <f>Waste_Org_Frontend[[#This Row],[Waste Type]]</f>
        <v>0</v>
      </c>
      <c r="W33" s="174" t="s">
        <v>339</v>
      </c>
      <c r="X33" s="174"/>
      <c r="Y33" s="174"/>
      <c r="Z33" s="174">
        <f>Waste_Org_Frontend[[#This Row],[Methodology]]</f>
        <v>0</v>
      </c>
      <c r="AA33" s="229" t="e" cm="1">
        <f t="array" ref="AA33">INDEX(_xlfn.SWITCH(Waste_Org_Backend[[#This Row],[Methodology]],"Tier 1",rng_RSD1,"Tier 2",rng_RSD2,"Tier 3",rng_RSD3),MATCH(_xlfn.CONCAT(Waste_Org_Backend[[#This Row],[Level 1]:[Level 6]]),rng_LevelsConcat,0))</f>
        <v>#N/A</v>
      </c>
      <c r="AB33" s="220">
        <f>Waste_Org_Frontend[[#This Row],[Data]]</f>
        <v>0</v>
      </c>
      <c r="AC33" s="174">
        <f>Waste_Org_Frontend[[#This Row],[Units]]</f>
        <v>0</v>
      </c>
      <c r="AD33" s="220" t="e">
        <f>IF(Waste_Org_Backend[[#This Row],[Units]]=Waste_Org_Backend[[#This Row],[Standard units]],Waste_Org_Backend[[#This Row],[Data]],Waste_Org_Backend[[#This Row],[Data]]*_xlfn.XLOOKUP(_xlfn.CONCAT(Waste_Org_Backend[[#This Row],[Level 1]:[Level 6]]),rng_EFConcat,rng_EFConversion))</f>
        <v>#N/A</v>
      </c>
      <c r="AE33" s="174" t="e" cm="1">
        <f t="array" ref="AE33">_xlfn.XLOOKUP(_xlfn.CONCAT(Waste_Org_Backend[[#This Row],[Level 1]:[Level 6]]),rng_LevelsConcat,rng_UnitsLong)</f>
        <v>#N/A</v>
      </c>
      <c r="AF33" s="210" t="e">
        <f>_xlfn.XLOOKUP(_xlfn.CONCAT(Waste_Org_Backend[[#This Row],[Level 1]:[Level 6]]),rng_EFConcat,rng_EF1)*Waste_Org_Backend[[#This Row],[Converted data]]/1000</f>
        <v>#N/A</v>
      </c>
      <c r="AG33" s="210" t="e">
        <f>_xlfn.XLOOKUP(_xlfn.CONCAT(Waste_Org_Backend[[#This Row],[Level 1]:[Level 6]]),rng_EFConcat,rng_EF2)*Waste_Org_Backend[[#This Row],[Converted data]]/1000</f>
        <v>#N/A</v>
      </c>
      <c r="AH33" s="210" t="e">
        <f>_xlfn.XLOOKUP(_xlfn.CONCAT(Waste_Org_Backend[[#This Row],[Level 1]:[Level 6]]),rng_EFConcat,rng_EF3)*Waste_Org_Backend[[#This Row],[Converted data]]/1000</f>
        <v>#N/A</v>
      </c>
      <c r="AI33" s="210" t="e">
        <f>_xlfn.XLOOKUP(_xlfn.CONCAT(Waste_Org_Backend[[#This Row],[Level 1]:[Level 6]]),rng_EFConcat,rng_EF3WTT)*Waste_Org_Backend[[#This Row],[Converted data]]/1000</f>
        <v>#N/A</v>
      </c>
      <c r="AJ33" s="210" t="e">
        <f>_xlfn.XLOOKUP(_xlfn.CONCAT(Waste_Org_Backend[[#This Row],[Level 1]:[Level 6]]),rng_EFConcat,rng_EF3TD)*Waste_Org_Backend[[#This Row],[Converted data]]/1000</f>
        <v>#N/A</v>
      </c>
      <c r="AK33" s="210" t="e">
        <f>_xlfn.XLOOKUP(_xlfn.CONCAT(Waste_Org_Backend[[#This Row],[Level 1]:[Level 6]]),rng_EFConcat,rng_EF3WTTTD)*Waste_Org_Backend[[#This Row],[Converted data]]/1000</f>
        <v>#N/A</v>
      </c>
      <c r="AL33" s="220" t="e">
        <f>SUM(Waste_Org_Backend[[#This Row],[Scope 1 (tCO2e)]:[Scope 3 WTT T&amp;D (tCO2e)]])</f>
        <v>#N/A</v>
      </c>
      <c r="AM33" s="220" t="e">
        <f>Waste_Org_Backend[[#This Row],[Total (tCO2e)]]*(1-Waste_Org_Backend[[#This Row],[RSD]])</f>
        <v>#N/A</v>
      </c>
      <c r="AN33" s="220" t="e">
        <f>Waste_Org_Backend[[#This Row],[Total (tCO2e)]]*(1+Waste_Org_Backend[[#This Row],[RSD]])</f>
        <v>#N/A</v>
      </c>
      <c r="AO33" s="210" t="e">
        <f>_xlfn.XLOOKUP(_xlfn.CONCAT(Waste_Org_Backend[[#This Row],[Level 1]:[Level 6]]),rng_EFConcat,rng_EFOOS)*Waste_Org_Backend[[#This Row],[Converted data]]/1000</f>
        <v>#N/A</v>
      </c>
      <c r="AP33" s="174">
        <f>Waste_Org_Frontend[[#This Row],[Ease of collection]]</f>
        <v>0</v>
      </c>
      <c r="AQ33" s="213">
        <f>Waste_Org_Frontend[[#This Row],[Completeness]]</f>
        <v>0</v>
      </c>
      <c r="AR33" s="213">
        <f>Waste_Org_Frontend[[#This Row],[Notes]]</f>
        <v>0</v>
      </c>
      <c r="AT33"/>
      <c r="AU33"/>
      <c r="AV33"/>
      <c r="AW33"/>
      <c r="AX33"/>
    </row>
    <row r="34" spans="2:50" ht="14.5" x14ac:dyDescent="0.35">
      <c r="B34" s="455"/>
      <c r="E34" s="348"/>
      <c r="F34" s="336"/>
      <c r="G34" s="338"/>
      <c r="H34" s="335"/>
      <c r="I34" s="338"/>
      <c r="J34" s="338"/>
      <c r="K34" s="338"/>
      <c r="L34" s="339"/>
      <c r="M34" s="242">
        <f t="shared" si="1"/>
        <v>5</v>
      </c>
      <c r="Q34" s="214" t="str">
        <f t="shared" si="0"/>
        <v/>
      </c>
      <c r="R34" s="174" t="s">
        <v>194</v>
      </c>
      <c r="S34" s="174" t="s">
        <v>194</v>
      </c>
      <c r="T34" s="174" t="s">
        <v>373</v>
      </c>
      <c r="U34" s="174">
        <f>Waste_Org_Frontend[[#This Row],[Disposal Method]]</f>
        <v>0</v>
      </c>
      <c r="V34" s="174">
        <f>Waste_Org_Frontend[[#This Row],[Waste Type]]</f>
        <v>0</v>
      </c>
      <c r="W34" s="174" t="s">
        <v>339</v>
      </c>
      <c r="X34" s="216"/>
      <c r="Y34" s="216"/>
      <c r="Z34" s="174">
        <f>Waste_Org_Frontend[[#This Row],[Methodology]]</f>
        <v>0</v>
      </c>
      <c r="AA34" s="229" t="e" cm="1">
        <f t="array" ref="AA34">INDEX(_xlfn.SWITCH(Waste_Org_Backend[[#This Row],[Methodology]],"Tier 1",rng_RSD1,"Tier 2",rng_RSD2,"Tier 3",rng_RSD3),MATCH(_xlfn.CONCAT(Waste_Org_Backend[[#This Row],[Level 1]:[Level 6]]),rng_LevelsConcat,0))</f>
        <v>#N/A</v>
      </c>
      <c r="AB34" s="220">
        <f>Waste_Org_Frontend[[#This Row],[Data]]</f>
        <v>0</v>
      </c>
      <c r="AC34" s="174">
        <f>Waste_Org_Frontend[[#This Row],[Units]]</f>
        <v>0</v>
      </c>
      <c r="AD34" s="220" t="e">
        <f>IF(Waste_Org_Backend[[#This Row],[Units]]=Waste_Org_Backend[[#This Row],[Standard units]],Waste_Org_Backend[[#This Row],[Data]],Waste_Org_Backend[[#This Row],[Data]]*_xlfn.XLOOKUP(_xlfn.CONCAT(Waste_Org_Backend[[#This Row],[Level 1]:[Level 6]]),rng_EFConcat,rng_EFConversion))</f>
        <v>#N/A</v>
      </c>
      <c r="AE34" s="174" t="e" cm="1">
        <f t="array" ref="AE34">_xlfn.XLOOKUP(_xlfn.CONCAT(Waste_Org_Backend[[#This Row],[Level 1]:[Level 6]]),rng_LevelsConcat,rng_UnitsLong)</f>
        <v>#N/A</v>
      </c>
      <c r="AF34" s="210" t="e">
        <f>_xlfn.XLOOKUP(_xlfn.CONCAT(Waste_Org_Backend[[#This Row],[Level 1]:[Level 6]]),rng_EFConcat,rng_EF1)*Waste_Org_Backend[[#This Row],[Converted data]]/1000</f>
        <v>#N/A</v>
      </c>
      <c r="AG34" s="210" t="e">
        <f>_xlfn.XLOOKUP(_xlfn.CONCAT(Waste_Org_Backend[[#This Row],[Level 1]:[Level 6]]),rng_EFConcat,rng_EF2)*Waste_Org_Backend[[#This Row],[Converted data]]/1000</f>
        <v>#N/A</v>
      </c>
      <c r="AH34" s="210" t="e">
        <f>_xlfn.XLOOKUP(_xlfn.CONCAT(Waste_Org_Backend[[#This Row],[Level 1]:[Level 6]]),rng_EFConcat,rng_EF3)*Waste_Org_Backend[[#This Row],[Converted data]]/1000</f>
        <v>#N/A</v>
      </c>
      <c r="AI34" s="210" t="e">
        <f>_xlfn.XLOOKUP(_xlfn.CONCAT(Waste_Org_Backend[[#This Row],[Level 1]:[Level 6]]),rng_EFConcat,rng_EF3WTT)*Waste_Org_Backend[[#This Row],[Converted data]]/1000</f>
        <v>#N/A</v>
      </c>
      <c r="AJ34" s="210" t="e">
        <f>_xlfn.XLOOKUP(_xlfn.CONCAT(Waste_Org_Backend[[#This Row],[Level 1]:[Level 6]]),rng_EFConcat,rng_EF3TD)*Waste_Org_Backend[[#This Row],[Converted data]]/1000</f>
        <v>#N/A</v>
      </c>
      <c r="AK34" s="210" t="e">
        <f>_xlfn.XLOOKUP(_xlfn.CONCAT(Waste_Org_Backend[[#This Row],[Level 1]:[Level 6]]),rng_EFConcat,rng_EF3WTTTD)*Waste_Org_Backend[[#This Row],[Converted data]]/1000</f>
        <v>#N/A</v>
      </c>
      <c r="AL34" s="220" t="e">
        <f>SUM(Waste_Org_Backend[[#This Row],[Scope 1 (tCO2e)]:[Scope 3 WTT T&amp;D (tCO2e)]])</f>
        <v>#N/A</v>
      </c>
      <c r="AM34" s="220" t="e">
        <f>Waste_Org_Backend[[#This Row],[Total (tCO2e)]]*(1-Waste_Org_Backend[[#This Row],[RSD]])</f>
        <v>#N/A</v>
      </c>
      <c r="AN34" s="220" t="e">
        <f>Waste_Org_Backend[[#This Row],[Total (tCO2e)]]*(1+Waste_Org_Backend[[#This Row],[RSD]])</f>
        <v>#N/A</v>
      </c>
      <c r="AO34" s="210" t="e">
        <f>_xlfn.XLOOKUP(_xlfn.CONCAT(Waste_Org_Backend[[#This Row],[Level 1]:[Level 6]]),rng_EFConcat,rng_EFOOS)*Waste_Org_Backend[[#This Row],[Converted data]]/1000</f>
        <v>#N/A</v>
      </c>
      <c r="AP34" s="174">
        <f>Waste_Org_Frontend[[#This Row],[Ease of collection]]</f>
        <v>0</v>
      </c>
      <c r="AQ34" s="228">
        <f>Waste_Org_Frontend[[#This Row],[Completeness]]</f>
        <v>0</v>
      </c>
      <c r="AR34" s="228">
        <f>Waste_Org_Frontend[[#This Row],[Notes]]</f>
        <v>0</v>
      </c>
      <c r="AT34"/>
      <c r="AU34"/>
      <c r="AV34"/>
      <c r="AW34"/>
      <c r="AX34"/>
    </row>
    <row r="35" spans="2:50" ht="15" thickBot="1" x14ac:dyDescent="0.4">
      <c r="B35" s="16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T35"/>
      <c r="AU35"/>
      <c r="AV35"/>
      <c r="AW35"/>
      <c r="AX35"/>
    </row>
    <row r="36" spans="2:50" ht="14.5" x14ac:dyDescent="0.35">
      <c r="B36" s="161"/>
      <c r="AT36"/>
      <c r="AU36"/>
      <c r="AV36"/>
      <c r="AW36"/>
      <c r="AX36"/>
    </row>
    <row r="37" spans="2:50" ht="14.5" x14ac:dyDescent="0.35">
      <c r="B37" s="159" t="s">
        <v>12</v>
      </c>
      <c r="E37" s="160" t="s">
        <v>196</v>
      </c>
      <c r="F37" s="147" t="s">
        <v>1862</v>
      </c>
      <c r="J37" s="366" t="s">
        <v>543</v>
      </c>
      <c r="AT37"/>
      <c r="AU37"/>
      <c r="AV37"/>
      <c r="AW37"/>
      <c r="AX37"/>
    </row>
    <row r="38" spans="2:50" ht="14.5" x14ac:dyDescent="0.35">
      <c r="AD38" s="231" t="str">
        <f>IF(J37="Yes","Waste EF not including transport",IF(J37="No","Waste",""))</f>
        <v>Waste</v>
      </c>
      <c r="AT38"/>
      <c r="AU38"/>
      <c r="AV38"/>
      <c r="AW38"/>
      <c r="AX38"/>
    </row>
    <row r="39" spans="2:50" ht="32.15" customHeight="1" x14ac:dyDescent="0.35">
      <c r="B39" s="455" t="s">
        <v>375</v>
      </c>
      <c r="E39" s="257" t="s">
        <v>371</v>
      </c>
      <c r="F39" s="258" t="s">
        <v>372</v>
      </c>
      <c r="G39" s="258" t="s">
        <v>287</v>
      </c>
      <c r="H39" s="258" t="s">
        <v>288</v>
      </c>
      <c r="I39" s="258" t="s">
        <v>289</v>
      </c>
      <c r="J39" s="258" t="s">
        <v>291</v>
      </c>
      <c r="K39" s="258" t="s">
        <v>292</v>
      </c>
      <c r="L39" s="259" t="s">
        <v>293</v>
      </c>
      <c r="M39" s="188">
        <f>AVERAGEIF($M$40:$M$60,"&lt;&gt;0",$M$40:$M$60)</f>
        <v>4</v>
      </c>
      <c r="Q39" s="225" t="s">
        <v>294</v>
      </c>
      <c r="R39" s="226" t="s">
        <v>295</v>
      </c>
      <c r="S39" s="226" t="s">
        <v>296</v>
      </c>
      <c r="T39" s="226" t="s">
        <v>297</v>
      </c>
      <c r="U39" s="226" t="s">
        <v>298</v>
      </c>
      <c r="V39" s="226" t="s">
        <v>299</v>
      </c>
      <c r="W39" s="226" t="s">
        <v>300</v>
      </c>
      <c r="X39" s="226" t="s">
        <v>301</v>
      </c>
      <c r="Y39" s="226" t="s">
        <v>302</v>
      </c>
      <c r="Z39" s="226" t="s">
        <v>287</v>
      </c>
      <c r="AA39" s="226" t="s">
        <v>303</v>
      </c>
      <c r="AB39" s="226" t="s">
        <v>288</v>
      </c>
      <c r="AC39" s="226" t="s">
        <v>289</v>
      </c>
      <c r="AD39" s="286" t="s">
        <v>304</v>
      </c>
      <c r="AE39" s="286" t="s">
        <v>305</v>
      </c>
      <c r="AF39" s="286" t="s">
        <v>306</v>
      </c>
      <c r="AG39" s="286" t="s">
        <v>307</v>
      </c>
      <c r="AH39" s="286" t="s">
        <v>308</v>
      </c>
      <c r="AI39" s="286" t="s">
        <v>309</v>
      </c>
      <c r="AJ39" s="286" t="s">
        <v>310</v>
      </c>
      <c r="AK39" s="286" t="s">
        <v>311</v>
      </c>
      <c r="AL39" s="286" t="s">
        <v>312</v>
      </c>
      <c r="AM39" s="286" t="s">
        <v>313</v>
      </c>
      <c r="AN39" s="286" t="s">
        <v>314</v>
      </c>
      <c r="AO39" s="286" t="s">
        <v>315</v>
      </c>
      <c r="AP39" s="286" t="s">
        <v>291</v>
      </c>
      <c r="AQ39" s="288" t="s">
        <v>292</v>
      </c>
      <c r="AR39" s="227" t="s">
        <v>293</v>
      </c>
      <c r="AT39"/>
      <c r="AU39"/>
      <c r="AV39"/>
      <c r="AW39"/>
      <c r="AX39"/>
    </row>
    <row r="40" spans="2:50" ht="14.5" x14ac:dyDescent="0.35">
      <c r="B40" s="455"/>
      <c r="E40" s="346"/>
      <c r="F40" s="336"/>
      <c r="G40" s="172" t="s">
        <v>336</v>
      </c>
      <c r="H40" s="334"/>
      <c r="I40" s="336"/>
      <c r="J40" s="336"/>
      <c r="K40" s="336"/>
      <c r="L40" s="337"/>
      <c r="M40" s="242">
        <f>ISBLANK(F40)+ISBLANK(H40)+ISBLANK(E40)+ISBLANK(I40)</f>
        <v>4</v>
      </c>
      <c r="Q40" s="212" t="str">
        <f t="shared" ref="Q40:Q60" si="2">IF(M40=0,SUBSTITUTE(2025&amp;TRIM(cl_org_name_select)&amp;TRIM($E$37)&amp;(ROW(M40)-ROW($M$40))," ",""),"")</f>
        <v/>
      </c>
      <c r="R40" s="174" t="s">
        <v>194</v>
      </c>
      <c r="S40" s="174" t="s">
        <v>194</v>
      </c>
      <c r="T40" s="174" t="s">
        <v>376</v>
      </c>
      <c r="U40" s="174">
        <f>Waste_Mun_Frontend[[#This Row],[Disposal Method]]</f>
        <v>0</v>
      </c>
      <c r="V40" s="174">
        <f>Waste_Mun_Frontend[[#This Row],[Waste Type]]</f>
        <v>0</v>
      </c>
      <c r="W40" s="174" t="str">
        <f t="shared" ref="W40:W60" si="3">IF($J$37="Yes", "Not including transport", "NaN")</f>
        <v>NaN</v>
      </c>
      <c r="X40" s="174" t="s">
        <v>339</v>
      </c>
      <c r="Y40" s="174" t="s">
        <v>339</v>
      </c>
      <c r="Z40" s="174" t="str">
        <f>Waste_Mun_Frontend[[#This Row],[Methodology]]</f>
        <v>Tier 3</v>
      </c>
      <c r="AA40" s="229" t="e" cm="1">
        <f t="array" ref="AA40">INDEX(_xlfn.SWITCH(Waste_Mun_Backend[[#This Row],[Methodology]],"Tier 1",rng_RSD1,"Tier 2",rng_RSD2,"Tier 3",rng_RSD3),MATCH(_xlfn.CONCAT(Waste_Mun_Backend[[#This Row],[Level 1]:[Level 6]]),rng_LevelsConcat,0))</f>
        <v>#N/A</v>
      </c>
      <c r="AB40" s="220">
        <f>Waste_Mun_Frontend[[#This Row],[Data]]</f>
        <v>0</v>
      </c>
      <c r="AC40" s="174">
        <f>Waste_Mun_Frontend[[#This Row],[Units]]</f>
        <v>0</v>
      </c>
      <c r="AD40" s="220" t="e">
        <f>IF(Waste_Mun_Backend[[#This Row],[Units]]=Waste_Mun_Backend[[#This Row],[Standard units]],Waste_Mun_Backend[[#This Row],[Data]],Waste_Mun_Backend[[#This Row],[Data]]*_xlfn.XLOOKUP(_xlfn.CONCAT(Waste_Mun_Backend[[#This Row],[Level 1]:[Level 6]]),rng_EFConcat,rng_EFConversion))</f>
        <v>#N/A</v>
      </c>
      <c r="AE40" s="174" t="e" cm="1">
        <f t="array" ref="AE40">_xlfn.XLOOKUP(_xlfn.CONCAT(Waste_Mun_Backend[[#This Row],[Level 1]:[Level 6]]),rng_LevelsConcat,rng_UnitsLong)</f>
        <v>#N/A</v>
      </c>
      <c r="AF40" s="210" t="e">
        <f>_xlfn.XLOOKUP(_xlfn.CONCAT(Waste_Mun_Backend[[#This Row],[Level 1]:[Level 6]]),rng_EFConcat,rng_EF1)*Waste_Mun_Backend[[#This Row],[Converted data]]/1000</f>
        <v>#N/A</v>
      </c>
      <c r="AG40" s="210" t="e">
        <f>_xlfn.XLOOKUP(_xlfn.CONCAT(Waste_Mun_Backend[[#This Row],[Level 1]:[Level 6]]),rng_EFConcat,rng_EF2)*Waste_Mun_Backend[[#This Row],[Converted data]]/1000</f>
        <v>#N/A</v>
      </c>
      <c r="AH40" s="210" t="e">
        <f>_xlfn.XLOOKUP(_xlfn.CONCAT(Waste_Mun_Backend[[#This Row],[Level 1]:[Level 6]]),rng_EFConcat,rng_EF3)*Waste_Mun_Backend[[#This Row],[Converted data]]/1000</f>
        <v>#N/A</v>
      </c>
      <c r="AI40" s="210" t="e">
        <f>_xlfn.XLOOKUP(_xlfn.CONCAT(Waste_Mun_Backend[[#This Row],[Level 1]:[Level 6]]),rng_EFConcat,rng_EF3WTT)*Waste_Mun_Backend[[#This Row],[Converted data]]/1000</f>
        <v>#N/A</v>
      </c>
      <c r="AJ40" s="210" t="e">
        <f>_xlfn.XLOOKUP(_xlfn.CONCAT(Waste_Mun_Backend[[#This Row],[Level 1]:[Level 6]]),rng_EFConcat,rng_EF3TD)*Waste_Mun_Backend[[#This Row],[Converted data]]/1000</f>
        <v>#N/A</v>
      </c>
      <c r="AK40" s="210" t="e">
        <f>_xlfn.XLOOKUP(_xlfn.CONCAT(Waste_Mun_Backend[[#This Row],[Level 1]:[Level 6]]),rng_EFConcat,rng_EF3WTTTD)*Waste_Mun_Backend[[#This Row],[Converted data]]/1000</f>
        <v>#N/A</v>
      </c>
      <c r="AL40" s="220" t="e">
        <f>SUM(Waste_Mun_Backend[[#This Row],[Scope 1 (tCO2e)]:[Scope 3 WTT T&amp;D (tCO2e)]])</f>
        <v>#N/A</v>
      </c>
      <c r="AM40" s="220" t="e">
        <f>Waste_Mun_Backend[[#This Row],[Total (tCO2e)]]*(1-Waste_Mun_Backend[[#This Row],[RSD]])</f>
        <v>#N/A</v>
      </c>
      <c r="AN40" s="220" t="e">
        <f>Waste_Mun_Backend[[#This Row],[Total (tCO2e)]]*(1+Waste_Mun_Backend[[#This Row],[RSD]])</f>
        <v>#N/A</v>
      </c>
      <c r="AO40" s="210" t="e">
        <f>_xlfn.XLOOKUP(_xlfn.CONCAT(Waste_Mun_Backend[[#This Row],[Level 1]:[Level 6]]),rng_EFConcat,rng_EFOOS)*Waste_Mun_Backend[[#This Row],[Converted data]]/1000</f>
        <v>#N/A</v>
      </c>
      <c r="AP40" s="174">
        <f>Waste_Mun_Frontend[[#This Row],[Ease of collection]]</f>
        <v>0</v>
      </c>
      <c r="AQ40" s="213">
        <f>Waste_Mun_Frontend[[#This Row],[Completeness]]</f>
        <v>0</v>
      </c>
      <c r="AR40" s="213">
        <f>Waste_Mun_Frontend[[#This Row],[Notes]]</f>
        <v>0</v>
      </c>
      <c r="AT40"/>
      <c r="AU40"/>
      <c r="AV40"/>
      <c r="AW40"/>
      <c r="AX40"/>
    </row>
    <row r="41" spans="2:50" ht="14.5" x14ac:dyDescent="0.35">
      <c r="B41" s="455"/>
      <c r="E41" s="346"/>
      <c r="F41" s="336"/>
      <c r="G41" s="172" t="s">
        <v>336</v>
      </c>
      <c r="H41" s="334"/>
      <c r="I41" s="336"/>
      <c r="J41" s="336"/>
      <c r="K41" s="336"/>
      <c r="L41" s="337"/>
      <c r="M41" s="242">
        <f>ISBLANK(F41)+ISBLANK(H41)+ISBLANK(E41)+ISBLANK(I41)</f>
        <v>4</v>
      </c>
      <c r="Q41" s="212" t="str">
        <f t="shared" si="2"/>
        <v/>
      </c>
      <c r="R41" s="174" t="s">
        <v>194</v>
      </c>
      <c r="S41" s="174" t="s">
        <v>194</v>
      </c>
      <c r="T41" s="174" t="s">
        <v>376</v>
      </c>
      <c r="U41" s="174">
        <f>Waste_Mun_Frontend[[#This Row],[Disposal Method]]</f>
        <v>0</v>
      </c>
      <c r="V41" s="174">
        <f>Waste_Mun_Frontend[[#This Row],[Waste Type]]</f>
        <v>0</v>
      </c>
      <c r="W41" s="174" t="str">
        <f t="shared" si="3"/>
        <v>NaN</v>
      </c>
      <c r="X41" s="174" t="s">
        <v>339</v>
      </c>
      <c r="Y41" s="174" t="s">
        <v>339</v>
      </c>
      <c r="Z41" s="174" t="str">
        <f>Waste_Mun_Frontend[[#This Row],[Methodology]]</f>
        <v>Tier 3</v>
      </c>
      <c r="AA41" s="229" t="e" cm="1">
        <f t="array" ref="AA41">INDEX(_xlfn.SWITCH(Waste_Mun_Backend[[#This Row],[Methodology]],"Tier 1",rng_RSD1,"Tier 2",rng_RSD2,"Tier 3",rng_RSD3),MATCH(_xlfn.CONCAT(Waste_Mun_Backend[[#This Row],[Level 1]:[Level 6]]),rng_LevelsConcat,0))</f>
        <v>#N/A</v>
      </c>
      <c r="AB41" s="220">
        <f>Waste_Mun_Frontend[[#This Row],[Data]]</f>
        <v>0</v>
      </c>
      <c r="AC41" s="174">
        <f>Waste_Mun_Frontend[[#This Row],[Units]]</f>
        <v>0</v>
      </c>
      <c r="AD41" s="220" t="e">
        <f>IF(Waste_Mun_Backend[[#This Row],[Units]]=Waste_Mun_Backend[[#This Row],[Standard units]],Waste_Mun_Backend[[#This Row],[Data]],Waste_Mun_Backend[[#This Row],[Data]]*_xlfn.XLOOKUP(_xlfn.CONCAT(Waste_Mun_Backend[[#This Row],[Level 1]:[Level 6]]),rng_EFConcat,rng_EFConversion))</f>
        <v>#N/A</v>
      </c>
      <c r="AE41" s="174" t="e" cm="1">
        <f t="array" ref="AE41">_xlfn.XLOOKUP(_xlfn.CONCAT(Waste_Mun_Backend[[#This Row],[Level 1]:[Level 6]]),rng_LevelsConcat,rng_UnitsLong)</f>
        <v>#N/A</v>
      </c>
      <c r="AF41" s="210" t="e">
        <f>_xlfn.XLOOKUP(_xlfn.CONCAT(Waste_Mun_Backend[[#This Row],[Level 1]:[Level 6]]),rng_EFConcat,rng_EF1)*Waste_Mun_Backend[[#This Row],[Converted data]]/1000</f>
        <v>#N/A</v>
      </c>
      <c r="AG41" s="210" t="e">
        <f>_xlfn.XLOOKUP(_xlfn.CONCAT(Waste_Mun_Backend[[#This Row],[Level 1]:[Level 6]]),rng_EFConcat,rng_EF2)*Waste_Mun_Backend[[#This Row],[Converted data]]/1000</f>
        <v>#N/A</v>
      </c>
      <c r="AH41" s="210" t="e">
        <f>_xlfn.XLOOKUP(_xlfn.CONCAT(Waste_Mun_Backend[[#This Row],[Level 1]:[Level 6]]),rng_EFConcat,rng_EF3)*Waste_Mun_Backend[[#This Row],[Converted data]]/1000</f>
        <v>#N/A</v>
      </c>
      <c r="AI41" s="210" t="e">
        <f>_xlfn.XLOOKUP(_xlfn.CONCAT(Waste_Mun_Backend[[#This Row],[Level 1]:[Level 6]]),rng_EFConcat,rng_EF3WTT)*Waste_Mun_Backend[[#This Row],[Converted data]]/1000</f>
        <v>#N/A</v>
      </c>
      <c r="AJ41" s="210" t="e">
        <f>_xlfn.XLOOKUP(_xlfn.CONCAT(Waste_Mun_Backend[[#This Row],[Level 1]:[Level 6]]),rng_EFConcat,rng_EF3TD)*Waste_Mun_Backend[[#This Row],[Converted data]]/1000</f>
        <v>#N/A</v>
      </c>
      <c r="AK41" s="210" t="e">
        <f>_xlfn.XLOOKUP(_xlfn.CONCAT(Waste_Mun_Backend[[#This Row],[Level 1]:[Level 6]]),rng_EFConcat,rng_EF3WTTTD)*Waste_Mun_Backend[[#This Row],[Converted data]]/1000</f>
        <v>#N/A</v>
      </c>
      <c r="AL41" s="220" t="e">
        <f>SUM(Waste_Mun_Backend[[#This Row],[Scope 1 (tCO2e)]:[Scope 3 WTT T&amp;D (tCO2e)]])</f>
        <v>#N/A</v>
      </c>
      <c r="AM41" s="220" t="e">
        <f>Waste_Mun_Backend[[#This Row],[Total (tCO2e)]]*(1-Waste_Mun_Backend[[#This Row],[RSD]])</f>
        <v>#N/A</v>
      </c>
      <c r="AN41" s="220" t="e">
        <f>Waste_Mun_Backend[[#This Row],[Total (tCO2e)]]*(1+Waste_Mun_Backend[[#This Row],[RSD]])</f>
        <v>#N/A</v>
      </c>
      <c r="AO41" s="210" t="e">
        <f>_xlfn.XLOOKUP(_xlfn.CONCAT(Waste_Mun_Backend[[#This Row],[Level 1]:[Level 6]]),rng_EFConcat,rng_EFOOS)*Waste_Mun_Backend[[#This Row],[Converted data]]/1000</f>
        <v>#N/A</v>
      </c>
      <c r="AP41" s="174">
        <f>Waste_Mun_Frontend[[#This Row],[Ease of collection]]</f>
        <v>0</v>
      </c>
      <c r="AQ41" s="213">
        <f>Waste_Mun_Frontend[[#This Row],[Completeness]]</f>
        <v>0</v>
      </c>
      <c r="AR41" s="213">
        <f>Waste_Mun_Frontend[[#This Row],[Notes]]</f>
        <v>0</v>
      </c>
      <c r="AT41"/>
      <c r="AU41"/>
      <c r="AV41"/>
      <c r="AW41"/>
      <c r="AX41"/>
    </row>
    <row r="42" spans="2:50" ht="14.5" x14ac:dyDescent="0.35">
      <c r="B42" s="455"/>
      <c r="E42" s="346"/>
      <c r="F42" s="336"/>
      <c r="G42" s="172" t="s">
        <v>336</v>
      </c>
      <c r="H42" s="334"/>
      <c r="I42" s="336"/>
      <c r="J42" s="336"/>
      <c r="K42" s="336"/>
      <c r="L42" s="337"/>
      <c r="M42" s="242">
        <f t="shared" ref="M42:M60" si="4">ISBLANK(F42)+ISBLANK(H42)+ISBLANK(E42)+ISBLANK(I42)</f>
        <v>4</v>
      </c>
      <c r="Q42" s="212" t="str">
        <f t="shared" si="2"/>
        <v/>
      </c>
      <c r="R42" s="174" t="s">
        <v>194</v>
      </c>
      <c r="S42" s="174" t="s">
        <v>194</v>
      </c>
      <c r="T42" s="174" t="s">
        <v>376</v>
      </c>
      <c r="U42" s="174">
        <f>Waste_Mun_Frontend[[#This Row],[Disposal Method]]</f>
        <v>0</v>
      </c>
      <c r="V42" s="174">
        <f>Waste_Mun_Frontend[[#This Row],[Waste Type]]</f>
        <v>0</v>
      </c>
      <c r="W42" s="174" t="str">
        <f t="shared" si="3"/>
        <v>NaN</v>
      </c>
      <c r="X42" s="174" t="s">
        <v>339</v>
      </c>
      <c r="Y42" s="174" t="s">
        <v>339</v>
      </c>
      <c r="Z42" s="174" t="str">
        <f>Waste_Mun_Frontend[[#This Row],[Methodology]]</f>
        <v>Tier 3</v>
      </c>
      <c r="AA42" s="229" t="e" cm="1">
        <f t="array" ref="AA42">INDEX(_xlfn.SWITCH(Waste_Mun_Backend[[#This Row],[Methodology]],"Tier 1",rng_RSD1,"Tier 2",rng_RSD2,"Tier 3",rng_RSD3),MATCH(_xlfn.CONCAT(Waste_Mun_Backend[[#This Row],[Level 1]:[Level 6]]),rng_LevelsConcat,0))</f>
        <v>#N/A</v>
      </c>
      <c r="AB42" s="220">
        <f>Waste_Mun_Frontend[[#This Row],[Data]]</f>
        <v>0</v>
      </c>
      <c r="AC42" s="174">
        <f>Waste_Mun_Frontend[[#This Row],[Units]]</f>
        <v>0</v>
      </c>
      <c r="AD42" s="220" t="e">
        <f>IF(Waste_Mun_Backend[[#This Row],[Units]]=Waste_Mun_Backend[[#This Row],[Standard units]],Waste_Mun_Backend[[#This Row],[Data]],Waste_Mun_Backend[[#This Row],[Data]]*_xlfn.XLOOKUP(_xlfn.CONCAT(Waste_Mun_Backend[[#This Row],[Level 1]:[Level 6]]),rng_EFConcat,rng_EFConversion))</f>
        <v>#N/A</v>
      </c>
      <c r="AE42" s="174" t="e" cm="1">
        <f t="array" ref="AE42">_xlfn.XLOOKUP(_xlfn.CONCAT(Waste_Mun_Backend[[#This Row],[Level 1]:[Level 6]]),rng_LevelsConcat,rng_UnitsLong)</f>
        <v>#N/A</v>
      </c>
      <c r="AF42" s="210" t="e">
        <f>_xlfn.XLOOKUP(_xlfn.CONCAT(Waste_Mun_Backend[[#This Row],[Level 1]:[Level 6]]),rng_EFConcat,rng_EF1)*Waste_Mun_Backend[[#This Row],[Converted data]]/1000</f>
        <v>#N/A</v>
      </c>
      <c r="AG42" s="210" t="e">
        <f>_xlfn.XLOOKUP(_xlfn.CONCAT(Waste_Mun_Backend[[#This Row],[Level 1]:[Level 6]]),rng_EFConcat,rng_EF2)*Waste_Mun_Backend[[#This Row],[Converted data]]/1000</f>
        <v>#N/A</v>
      </c>
      <c r="AH42" s="210" t="e">
        <f>_xlfn.XLOOKUP(_xlfn.CONCAT(Waste_Mun_Backend[[#This Row],[Level 1]:[Level 6]]),rng_EFConcat,rng_EF3)*Waste_Mun_Backend[[#This Row],[Converted data]]/1000</f>
        <v>#N/A</v>
      </c>
      <c r="AI42" s="210" t="e">
        <f>_xlfn.XLOOKUP(_xlfn.CONCAT(Waste_Mun_Backend[[#This Row],[Level 1]:[Level 6]]),rng_EFConcat,rng_EF3WTT)*Waste_Mun_Backend[[#This Row],[Converted data]]/1000</f>
        <v>#N/A</v>
      </c>
      <c r="AJ42" s="210" t="e">
        <f>_xlfn.XLOOKUP(_xlfn.CONCAT(Waste_Mun_Backend[[#This Row],[Level 1]:[Level 6]]),rng_EFConcat,rng_EF3TD)*Waste_Mun_Backend[[#This Row],[Converted data]]/1000</f>
        <v>#N/A</v>
      </c>
      <c r="AK42" s="210" t="e">
        <f>_xlfn.XLOOKUP(_xlfn.CONCAT(Waste_Mun_Backend[[#This Row],[Level 1]:[Level 6]]),rng_EFConcat,rng_EF3WTTTD)*Waste_Mun_Backend[[#This Row],[Converted data]]/1000</f>
        <v>#N/A</v>
      </c>
      <c r="AL42" s="220" t="e">
        <f>SUM(Waste_Mun_Backend[[#This Row],[Scope 1 (tCO2e)]:[Scope 3 WTT T&amp;D (tCO2e)]])</f>
        <v>#N/A</v>
      </c>
      <c r="AM42" s="220" t="e">
        <f>Waste_Mun_Backend[[#This Row],[Total (tCO2e)]]*(1-Waste_Mun_Backend[[#This Row],[RSD]])</f>
        <v>#N/A</v>
      </c>
      <c r="AN42" s="220" t="e">
        <f>Waste_Mun_Backend[[#This Row],[Total (tCO2e)]]*(1+Waste_Mun_Backend[[#This Row],[RSD]])</f>
        <v>#N/A</v>
      </c>
      <c r="AO42" s="210" t="e">
        <f>_xlfn.XLOOKUP(_xlfn.CONCAT(Waste_Mun_Backend[[#This Row],[Level 1]:[Level 6]]),rng_EFConcat,rng_EFOOS)*Waste_Mun_Backend[[#This Row],[Converted data]]/1000</f>
        <v>#N/A</v>
      </c>
      <c r="AP42" s="174">
        <f>Waste_Mun_Frontend[[#This Row],[Ease of collection]]</f>
        <v>0</v>
      </c>
      <c r="AQ42" s="213">
        <f>Waste_Mun_Frontend[[#This Row],[Completeness]]</f>
        <v>0</v>
      </c>
      <c r="AR42" s="213">
        <f>Waste_Mun_Frontend[[#This Row],[Notes]]</f>
        <v>0</v>
      </c>
      <c r="AT42"/>
      <c r="AU42"/>
      <c r="AV42"/>
      <c r="AW42"/>
      <c r="AX42"/>
    </row>
    <row r="43" spans="2:50" ht="14.5" x14ac:dyDescent="0.35">
      <c r="B43" s="455"/>
      <c r="E43" s="346"/>
      <c r="F43" s="336"/>
      <c r="G43" s="172" t="s">
        <v>336</v>
      </c>
      <c r="H43" s="334"/>
      <c r="I43" s="336"/>
      <c r="J43" s="336"/>
      <c r="K43" s="336"/>
      <c r="L43" s="337"/>
      <c r="M43" s="242">
        <f t="shared" si="4"/>
        <v>4</v>
      </c>
      <c r="Q43" s="212" t="str">
        <f t="shared" si="2"/>
        <v/>
      </c>
      <c r="R43" s="174" t="s">
        <v>194</v>
      </c>
      <c r="S43" s="174" t="s">
        <v>194</v>
      </c>
      <c r="T43" s="174" t="s">
        <v>376</v>
      </c>
      <c r="U43" s="174">
        <f>Waste_Mun_Frontend[[#This Row],[Disposal Method]]</f>
        <v>0</v>
      </c>
      <c r="V43" s="174">
        <f>Waste_Mun_Frontend[[#This Row],[Waste Type]]</f>
        <v>0</v>
      </c>
      <c r="W43" s="174" t="str">
        <f t="shared" si="3"/>
        <v>NaN</v>
      </c>
      <c r="X43" s="174" t="s">
        <v>339</v>
      </c>
      <c r="Y43" s="174" t="s">
        <v>339</v>
      </c>
      <c r="Z43" s="174" t="str">
        <f>Waste_Mun_Frontend[[#This Row],[Methodology]]</f>
        <v>Tier 3</v>
      </c>
      <c r="AA43" s="229" t="e" cm="1">
        <f t="array" ref="AA43">INDEX(_xlfn.SWITCH(Waste_Mun_Backend[[#This Row],[Methodology]],"Tier 1",rng_RSD1,"Tier 2",rng_RSD2,"Tier 3",rng_RSD3),MATCH(_xlfn.CONCAT(Waste_Mun_Backend[[#This Row],[Level 1]:[Level 6]]),rng_LevelsConcat,0))</f>
        <v>#N/A</v>
      </c>
      <c r="AB43" s="220">
        <f>Waste_Mun_Frontend[[#This Row],[Data]]</f>
        <v>0</v>
      </c>
      <c r="AC43" s="174">
        <f>Waste_Mun_Frontend[[#This Row],[Units]]</f>
        <v>0</v>
      </c>
      <c r="AD43" s="220" t="e">
        <f>IF(Waste_Mun_Backend[[#This Row],[Units]]=Waste_Mun_Backend[[#This Row],[Standard units]],Waste_Mun_Backend[[#This Row],[Data]],Waste_Mun_Backend[[#This Row],[Data]]*_xlfn.XLOOKUP(_xlfn.CONCAT(Waste_Mun_Backend[[#This Row],[Level 1]:[Level 6]]),rng_EFConcat,rng_EFConversion))</f>
        <v>#N/A</v>
      </c>
      <c r="AE43" s="174" t="e" cm="1">
        <f t="array" ref="AE43">_xlfn.XLOOKUP(_xlfn.CONCAT(Waste_Mun_Backend[[#This Row],[Level 1]:[Level 6]]),rng_LevelsConcat,rng_UnitsLong)</f>
        <v>#N/A</v>
      </c>
      <c r="AF43" s="210" t="e">
        <f>_xlfn.XLOOKUP(_xlfn.CONCAT(Waste_Mun_Backend[[#This Row],[Level 1]:[Level 6]]),rng_EFConcat,rng_EF1)*Waste_Mun_Backend[[#This Row],[Converted data]]/1000</f>
        <v>#N/A</v>
      </c>
      <c r="AG43" s="210" t="e">
        <f>_xlfn.XLOOKUP(_xlfn.CONCAT(Waste_Mun_Backend[[#This Row],[Level 1]:[Level 6]]),rng_EFConcat,rng_EF2)*Waste_Mun_Backend[[#This Row],[Converted data]]/1000</f>
        <v>#N/A</v>
      </c>
      <c r="AH43" s="210" t="e">
        <f>_xlfn.XLOOKUP(_xlfn.CONCAT(Waste_Mun_Backend[[#This Row],[Level 1]:[Level 6]]),rng_EFConcat,rng_EF3)*Waste_Mun_Backend[[#This Row],[Converted data]]/1000</f>
        <v>#N/A</v>
      </c>
      <c r="AI43" s="210" t="e">
        <f>_xlfn.XLOOKUP(_xlfn.CONCAT(Waste_Mun_Backend[[#This Row],[Level 1]:[Level 6]]),rng_EFConcat,rng_EF3WTT)*Waste_Mun_Backend[[#This Row],[Converted data]]/1000</f>
        <v>#N/A</v>
      </c>
      <c r="AJ43" s="210" t="e">
        <f>_xlfn.XLOOKUP(_xlfn.CONCAT(Waste_Mun_Backend[[#This Row],[Level 1]:[Level 6]]),rng_EFConcat,rng_EF3TD)*Waste_Mun_Backend[[#This Row],[Converted data]]/1000</f>
        <v>#N/A</v>
      </c>
      <c r="AK43" s="210" t="e">
        <f>_xlfn.XLOOKUP(_xlfn.CONCAT(Waste_Mun_Backend[[#This Row],[Level 1]:[Level 6]]),rng_EFConcat,rng_EF3WTTTD)*Waste_Mun_Backend[[#This Row],[Converted data]]/1000</f>
        <v>#N/A</v>
      </c>
      <c r="AL43" s="220" t="e">
        <f>SUM(Waste_Mun_Backend[[#This Row],[Scope 1 (tCO2e)]:[Scope 3 WTT T&amp;D (tCO2e)]])</f>
        <v>#N/A</v>
      </c>
      <c r="AM43" s="220" t="e">
        <f>Waste_Mun_Backend[[#This Row],[Total (tCO2e)]]*(1-Waste_Mun_Backend[[#This Row],[RSD]])</f>
        <v>#N/A</v>
      </c>
      <c r="AN43" s="220" t="e">
        <f>Waste_Mun_Backend[[#This Row],[Total (tCO2e)]]*(1+Waste_Mun_Backend[[#This Row],[RSD]])</f>
        <v>#N/A</v>
      </c>
      <c r="AO43" s="210" t="e">
        <f>_xlfn.XLOOKUP(_xlfn.CONCAT(Waste_Mun_Backend[[#This Row],[Level 1]:[Level 6]]),rng_EFConcat,rng_EFOOS)*Waste_Mun_Backend[[#This Row],[Converted data]]/1000</f>
        <v>#N/A</v>
      </c>
      <c r="AP43" s="174">
        <f>Waste_Mun_Frontend[[#This Row],[Ease of collection]]</f>
        <v>0</v>
      </c>
      <c r="AQ43" s="213">
        <f>Waste_Mun_Frontend[[#This Row],[Completeness]]</f>
        <v>0</v>
      </c>
      <c r="AR43" s="213">
        <f>Waste_Mun_Frontend[[#This Row],[Notes]]</f>
        <v>0</v>
      </c>
      <c r="AT43"/>
      <c r="AU43"/>
      <c r="AV43"/>
      <c r="AW43"/>
      <c r="AX43"/>
    </row>
    <row r="44" spans="2:50" ht="14.5" x14ac:dyDescent="0.35">
      <c r="B44" s="455"/>
      <c r="E44" s="346"/>
      <c r="F44" s="336"/>
      <c r="G44" s="172" t="s">
        <v>336</v>
      </c>
      <c r="H44" s="334"/>
      <c r="I44" s="336"/>
      <c r="J44" s="336"/>
      <c r="K44" s="336"/>
      <c r="L44" s="337"/>
      <c r="M44" s="242">
        <f t="shared" si="4"/>
        <v>4</v>
      </c>
      <c r="Q44" s="212" t="str">
        <f t="shared" si="2"/>
        <v/>
      </c>
      <c r="R44" s="174" t="s">
        <v>194</v>
      </c>
      <c r="S44" s="174" t="s">
        <v>194</v>
      </c>
      <c r="T44" s="174" t="s">
        <v>376</v>
      </c>
      <c r="U44" s="174">
        <f>Waste_Mun_Frontend[[#This Row],[Disposal Method]]</f>
        <v>0</v>
      </c>
      <c r="V44" s="174">
        <f>Waste_Mun_Frontend[[#This Row],[Waste Type]]</f>
        <v>0</v>
      </c>
      <c r="W44" s="174" t="str">
        <f t="shared" si="3"/>
        <v>NaN</v>
      </c>
      <c r="X44" s="174" t="s">
        <v>339</v>
      </c>
      <c r="Y44" s="174" t="s">
        <v>339</v>
      </c>
      <c r="Z44" s="174" t="str">
        <f>Waste_Mun_Frontend[[#This Row],[Methodology]]</f>
        <v>Tier 3</v>
      </c>
      <c r="AA44" s="229" t="e" cm="1">
        <f t="array" ref="AA44">INDEX(_xlfn.SWITCH(Waste_Mun_Backend[[#This Row],[Methodology]],"Tier 1",rng_RSD1,"Tier 2",rng_RSD2,"Tier 3",rng_RSD3),MATCH(_xlfn.CONCAT(Waste_Mun_Backend[[#This Row],[Level 1]:[Level 6]]),rng_LevelsConcat,0))</f>
        <v>#N/A</v>
      </c>
      <c r="AB44" s="220">
        <f>Waste_Mun_Frontend[[#This Row],[Data]]</f>
        <v>0</v>
      </c>
      <c r="AC44" s="174">
        <f>Waste_Mun_Frontend[[#This Row],[Units]]</f>
        <v>0</v>
      </c>
      <c r="AD44" s="220" t="e">
        <f>IF(Waste_Mun_Backend[[#This Row],[Units]]=Waste_Mun_Backend[[#This Row],[Standard units]],Waste_Mun_Backend[[#This Row],[Data]],Waste_Mun_Backend[[#This Row],[Data]]*_xlfn.XLOOKUP(_xlfn.CONCAT(Waste_Mun_Backend[[#This Row],[Level 1]:[Level 6]]),rng_EFConcat,rng_EFConversion))</f>
        <v>#N/A</v>
      </c>
      <c r="AE44" s="174" t="e" cm="1">
        <f t="array" ref="AE44">_xlfn.XLOOKUP(_xlfn.CONCAT(Waste_Mun_Backend[[#This Row],[Level 1]:[Level 6]]),rng_LevelsConcat,rng_UnitsLong)</f>
        <v>#N/A</v>
      </c>
      <c r="AF44" s="210" t="e">
        <f>_xlfn.XLOOKUP(_xlfn.CONCAT(Waste_Mun_Backend[[#This Row],[Level 1]:[Level 6]]),rng_EFConcat,rng_EF1)*Waste_Mun_Backend[[#This Row],[Converted data]]/1000</f>
        <v>#N/A</v>
      </c>
      <c r="AG44" s="210" t="e">
        <f>_xlfn.XLOOKUP(_xlfn.CONCAT(Waste_Mun_Backend[[#This Row],[Level 1]:[Level 6]]),rng_EFConcat,rng_EF2)*Waste_Mun_Backend[[#This Row],[Converted data]]/1000</f>
        <v>#N/A</v>
      </c>
      <c r="AH44" s="210" t="e">
        <f>_xlfn.XLOOKUP(_xlfn.CONCAT(Waste_Mun_Backend[[#This Row],[Level 1]:[Level 6]]),rng_EFConcat,rng_EF3)*Waste_Mun_Backend[[#This Row],[Converted data]]/1000</f>
        <v>#N/A</v>
      </c>
      <c r="AI44" s="210" t="e">
        <f>_xlfn.XLOOKUP(_xlfn.CONCAT(Waste_Mun_Backend[[#This Row],[Level 1]:[Level 6]]),rng_EFConcat,rng_EF3WTT)*Waste_Mun_Backend[[#This Row],[Converted data]]/1000</f>
        <v>#N/A</v>
      </c>
      <c r="AJ44" s="210" t="e">
        <f>_xlfn.XLOOKUP(_xlfn.CONCAT(Waste_Mun_Backend[[#This Row],[Level 1]:[Level 6]]),rng_EFConcat,rng_EF3TD)*Waste_Mun_Backend[[#This Row],[Converted data]]/1000</f>
        <v>#N/A</v>
      </c>
      <c r="AK44" s="210" t="e">
        <f>_xlfn.XLOOKUP(_xlfn.CONCAT(Waste_Mun_Backend[[#This Row],[Level 1]:[Level 6]]),rng_EFConcat,rng_EF3WTTTD)*Waste_Mun_Backend[[#This Row],[Converted data]]/1000</f>
        <v>#N/A</v>
      </c>
      <c r="AL44" s="220" t="e">
        <f>SUM(Waste_Mun_Backend[[#This Row],[Scope 1 (tCO2e)]:[Scope 3 WTT T&amp;D (tCO2e)]])</f>
        <v>#N/A</v>
      </c>
      <c r="AM44" s="220" t="e">
        <f>Waste_Mun_Backend[[#This Row],[Total (tCO2e)]]*(1-Waste_Mun_Backend[[#This Row],[RSD]])</f>
        <v>#N/A</v>
      </c>
      <c r="AN44" s="220" t="e">
        <f>Waste_Mun_Backend[[#This Row],[Total (tCO2e)]]*(1+Waste_Mun_Backend[[#This Row],[RSD]])</f>
        <v>#N/A</v>
      </c>
      <c r="AO44" s="210" t="e">
        <f>_xlfn.XLOOKUP(_xlfn.CONCAT(Waste_Mun_Backend[[#This Row],[Level 1]:[Level 6]]),rng_EFConcat,rng_EFOOS)*Waste_Mun_Backend[[#This Row],[Converted data]]/1000</f>
        <v>#N/A</v>
      </c>
      <c r="AP44" s="174">
        <f>Waste_Mun_Frontend[[#This Row],[Ease of collection]]</f>
        <v>0</v>
      </c>
      <c r="AQ44" s="213">
        <f>Waste_Mun_Frontend[[#This Row],[Completeness]]</f>
        <v>0</v>
      </c>
      <c r="AR44" s="213">
        <f>Waste_Mun_Frontend[[#This Row],[Notes]]</f>
        <v>0</v>
      </c>
      <c r="AT44"/>
      <c r="AU44"/>
      <c r="AV44"/>
      <c r="AW44"/>
      <c r="AX44"/>
    </row>
    <row r="45" spans="2:50" ht="14.5" x14ac:dyDescent="0.35">
      <c r="B45" s="455"/>
      <c r="E45" s="346"/>
      <c r="F45" s="336"/>
      <c r="G45" s="172" t="s">
        <v>336</v>
      </c>
      <c r="H45" s="334"/>
      <c r="I45" s="336"/>
      <c r="J45" s="336"/>
      <c r="K45" s="336"/>
      <c r="L45" s="337"/>
      <c r="M45" s="242">
        <f t="shared" si="4"/>
        <v>4</v>
      </c>
      <c r="Q45" s="212" t="str">
        <f t="shared" si="2"/>
        <v/>
      </c>
      <c r="R45" s="174" t="s">
        <v>194</v>
      </c>
      <c r="S45" s="174" t="s">
        <v>194</v>
      </c>
      <c r="T45" s="174" t="s">
        <v>376</v>
      </c>
      <c r="U45" s="174">
        <f>Waste_Mun_Frontend[[#This Row],[Disposal Method]]</f>
        <v>0</v>
      </c>
      <c r="V45" s="174">
        <f>Waste_Mun_Frontend[[#This Row],[Waste Type]]</f>
        <v>0</v>
      </c>
      <c r="W45" s="174" t="str">
        <f t="shared" si="3"/>
        <v>NaN</v>
      </c>
      <c r="X45" s="174" t="s">
        <v>339</v>
      </c>
      <c r="Y45" s="174" t="s">
        <v>339</v>
      </c>
      <c r="Z45" s="174" t="str">
        <f>Waste_Mun_Frontend[[#This Row],[Methodology]]</f>
        <v>Tier 3</v>
      </c>
      <c r="AA45" s="229" t="e" cm="1">
        <f t="array" ref="AA45">INDEX(_xlfn.SWITCH(Waste_Mun_Backend[[#This Row],[Methodology]],"Tier 1",rng_RSD1,"Tier 2",rng_RSD2,"Tier 3",rng_RSD3),MATCH(_xlfn.CONCAT(Waste_Mun_Backend[[#This Row],[Level 1]:[Level 6]]),rng_LevelsConcat,0))</f>
        <v>#N/A</v>
      </c>
      <c r="AB45" s="220">
        <f>Waste_Mun_Frontend[[#This Row],[Data]]</f>
        <v>0</v>
      </c>
      <c r="AC45" s="174">
        <f>Waste_Mun_Frontend[[#This Row],[Units]]</f>
        <v>0</v>
      </c>
      <c r="AD45" s="220" t="e">
        <f>IF(Waste_Mun_Backend[[#This Row],[Units]]=Waste_Mun_Backend[[#This Row],[Standard units]],Waste_Mun_Backend[[#This Row],[Data]],Waste_Mun_Backend[[#This Row],[Data]]*_xlfn.XLOOKUP(_xlfn.CONCAT(Waste_Mun_Backend[[#This Row],[Level 1]:[Level 6]]),rng_EFConcat,rng_EFConversion))</f>
        <v>#N/A</v>
      </c>
      <c r="AE45" s="174" t="e" cm="1">
        <f t="array" ref="AE45">_xlfn.XLOOKUP(_xlfn.CONCAT(Waste_Mun_Backend[[#This Row],[Level 1]:[Level 6]]),rng_LevelsConcat,rng_UnitsLong)</f>
        <v>#N/A</v>
      </c>
      <c r="AF45" s="210" t="e">
        <f>_xlfn.XLOOKUP(_xlfn.CONCAT(Waste_Mun_Backend[[#This Row],[Level 1]:[Level 6]]),rng_EFConcat,rng_EF1)*Waste_Mun_Backend[[#This Row],[Converted data]]/1000</f>
        <v>#N/A</v>
      </c>
      <c r="AG45" s="210" t="e">
        <f>_xlfn.XLOOKUP(_xlfn.CONCAT(Waste_Mun_Backend[[#This Row],[Level 1]:[Level 6]]),rng_EFConcat,rng_EF2)*Waste_Mun_Backend[[#This Row],[Converted data]]/1000</f>
        <v>#N/A</v>
      </c>
      <c r="AH45" s="210" t="e">
        <f>_xlfn.XLOOKUP(_xlfn.CONCAT(Waste_Mun_Backend[[#This Row],[Level 1]:[Level 6]]),rng_EFConcat,rng_EF3)*Waste_Mun_Backend[[#This Row],[Converted data]]/1000</f>
        <v>#N/A</v>
      </c>
      <c r="AI45" s="210" t="e">
        <f>_xlfn.XLOOKUP(_xlfn.CONCAT(Waste_Mun_Backend[[#This Row],[Level 1]:[Level 6]]),rng_EFConcat,rng_EF3WTT)*Waste_Mun_Backend[[#This Row],[Converted data]]/1000</f>
        <v>#N/A</v>
      </c>
      <c r="AJ45" s="210" t="e">
        <f>_xlfn.XLOOKUP(_xlfn.CONCAT(Waste_Mun_Backend[[#This Row],[Level 1]:[Level 6]]),rng_EFConcat,rng_EF3TD)*Waste_Mun_Backend[[#This Row],[Converted data]]/1000</f>
        <v>#N/A</v>
      </c>
      <c r="AK45" s="210" t="e">
        <f>_xlfn.XLOOKUP(_xlfn.CONCAT(Waste_Mun_Backend[[#This Row],[Level 1]:[Level 6]]),rng_EFConcat,rng_EF3WTTTD)*Waste_Mun_Backend[[#This Row],[Converted data]]/1000</f>
        <v>#N/A</v>
      </c>
      <c r="AL45" s="220" t="e">
        <f>SUM(Waste_Mun_Backend[[#This Row],[Scope 1 (tCO2e)]:[Scope 3 WTT T&amp;D (tCO2e)]])</f>
        <v>#N/A</v>
      </c>
      <c r="AM45" s="220" t="e">
        <f>Waste_Mun_Backend[[#This Row],[Total (tCO2e)]]*(1-Waste_Mun_Backend[[#This Row],[RSD]])</f>
        <v>#N/A</v>
      </c>
      <c r="AN45" s="220" t="e">
        <f>Waste_Mun_Backend[[#This Row],[Total (tCO2e)]]*(1+Waste_Mun_Backend[[#This Row],[RSD]])</f>
        <v>#N/A</v>
      </c>
      <c r="AO45" s="210" t="e">
        <f>_xlfn.XLOOKUP(_xlfn.CONCAT(Waste_Mun_Backend[[#This Row],[Level 1]:[Level 6]]),rng_EFConcat,rng_EFOOS)*Waste_Mun_Backend[[#This Row],[Converted data]]/1000</f>
        <v>#N/A</v>
      </c>
      <c r="AP45" s="174">
        <f>Waste_Mun_Frontend[[#This Row],[Ease of collection]]</f>
        <v>0</v>
      </c>
      <c r="AQ45" s="213">
        <f>Waste_Mun_Frontend[[#This Row],[Completeness]]</f>
        <v>0</v>
      </c>
      <c r="AR45" s="213">
        <f>Waste_Mun_Frontend[[#This Row],[Notes]]</f>
        <v>0</v>
      </c>
      <c r="AT45"/>
      <c r="AU45"/>
      <c r="AV45"/>
      <c r="AW45"/>
      <c r="AX45"/>
    </row>
    <row r="46" spans="2:50" ht="14.5" x14ac:dyDescent="0.35">
      <c r="B46" s="455"/>
      <c r="E46" s="346"/>
      <c r="F46" s="336"/>
      <c r="G46" s="172" t="s">
        <v>336</v>
      </c>
      <c r="H46" s="334"/>
      <c r="I46" s="336"/>
      <c r="J46" s="336"/>
      <c r="K46" s="336"/>
      <c r="L46" s="337"/>
      <c r="M46" s="242">
        <f t="shared" si="4"/>
        <v>4</v>
      </c>
      <c r="Q46" s="212" t="str">
        <f t="shared" si="2"/>
        <v/>
      </c>
      <c r="R46" s="174" t="s">
        <v>194</v>
      </c>
      <c r="S46" s="174" t="s">
        <v>194</v>
      </c>
      <c r="T46" s="174" t="s">
        <v>376</v>
      </c>
      <c r="U46" s="174">
        <f>Waste_Mun_Frontend[[#This Row],[Disposal Method]]</f>
        <v>0</v>
      </c>
      <c r="V46" s="174">
        <f>Waste_Mun_Frontend[[#This Row],[Waste Type]]</f>
        <v>0</v>
      </c>
      <c r="W46" s="174" t="str">
        <f t="shared" si="3"/>
        <v>NaN</v>
      </c>
      <c r="X46" s="174" t="s">
        <v>339</v>
      </c>
      <c r="Y46" s="174" t="s">
        <v>339</v>
      </c>
      <c r="Z46" s="174" t="str">
        <f>Waste_Mun_Frontend[[#This Row],[Methodology]]</f>
        <v>Tier 3</v>
      </c>
      <c r="AA46" s="229" t="e" cm="1">
        <f t="array" ref="AA46">INDEX(_xlfn.SWITCH(Waste_Mun_Backend[[#This Row],[Methodology]],"Tier 1",rng_RSD1,"Tier 2",rng_RSD2,"Tier 3",rng_RSD3),MATCH(_xlfn.CONCAT(Waste_Mun_Backend[[#This Row],[Level 1]:[Level 6]]),rng_LevelsConcat,0))</f>
        <v>#N/A</v>
      </c>
      <c r="AB46" s="220">
        <f>Waste_Mun_Frontend[[#This Row],[Data]]</f>
        <v>0</v>
      </c>
      <c r="AC46" s="174">
        <f>Waste_Mun_Frontend[[#This Row],[Units]]</f>
        <v>0</v>
      </c>
      <c r="AD46" s="220" t="e">
        <f>IF(Waste_Mun_Backend[[#This Row],[Units]]=Waste_Mun_Backend[[#This Row],[Standard units]],Waste_Mun_Backend[[#This Row],[Data]],Waste_Mun_Backend[[#This Row],[Data]]*_xlfn.XLOOKUP(_xlfn.CONCAT(Waste_Mun_Backend[[#This Row],[Level 1]:[Level 6]]),rng_EFConcat,rng_EFConversion))</f>
        <v>#N/A</v>
      </c>
      <c r="AE46" s="174" t="e" cm="1">
        <f t="array" ref="AE46">_xlfn.XLOOKUP(_xlfn.CONCAT(Waste_Mun_Backend[[#This Row],[Level 1]:[Level 6]]),rng_LevelsConcat,rng_UnitsLong)</f>
        <v>#N/A</v>
      </c>
      <c r="AF46" s="210" t="e">
        <f>_xlfn.XLOOKUP(_xlfn.CONCAT(Waste_Mun_Backend[[#This Row],[Level 1]:[Level 6]]),rng_EFConcat,rng_EF1)*Waste_Mun_Backend[[#This Row],[Converted data]]/1000</f>
        <v>#N/A</v>
      </c>
      <c r="AG46" s="210" t="e">
        <f>_xlfn.XLOOKUP(_xlfn.CONCAT(Waste_Mun_Backend[[#This Row],[Level 1]:[Level 6]]),rng_EFConcat,rng_EF2)*Waste_Mun_Backend[[#This Row],[Converted data]]/1000</f>
        <v>#N/A</v>
      </c>
      <c r="AH46" s="210" t="e">
        <f>_xlfn.XLOOKUP(_xlfn.CONCAT(Waste_Mun_Backend[[#This Row],[Level 1]:[Level 6]]),rng_EFConcat,rng_EF3)*Waste_Mun_Backend[[#This Row],[Converted data]]/1000</f>
        <v>#N/A</v>
      </c>
      <c r="AI46" s="210" t="e">
        <f>_xlfn.XLOOKUP(_xlfn.CONCAT(Waste_Mun_Backend[[#This Row],[Level 1]:[Level 6]]),rng_EFConcat,rng_EF3WTT)*Waste_Mun_Backend[[#This Row],[Converted data]]/1000</f>
        <v>#N/A</v>
      </c>
      <c r="AJ46" s="210" t="e">
        <f>_xlfn.XLOOKUP(_xlfn.CONCAT(Waste_Mun_Backend[[#This Row],[Level 1]:[Level 6]]),rng_EFConcat,rng_EF3TD)*Waste_Mun_Backend[[#This Row],[Converted data]]/1000</f>
        <v>#N/A</v>
      </c>
      <c r="AK46" s="210" t="e">
        <f>_xlfn.XLOOKUP(_xlfn.CONCAT(Waste_Mun_Backend[[#This Row],[Level 1]:[Level 6]]),rng_EFConcat,rng_EF3WTTTD)*Waste_Mun_Backend[[#This Row],[Converted data]]/1000</f>
        <v>#N/A</v>
      </c>
      <c r="AL46" s="220" t="e">
        <f>SUM(Waste_Mun_Backend[[#This Row],[Scope 1 (tCO2e)]:[Scope 3 WTT T&amp;D (tCO2e)]])</f>
        <v>#N/A</v>
      </c>
      <c r="AM46" s="220" t="e">
        <f>Waste_Mun_Backend[[#This Row],[Total (tCO2e)]]*(1-Waste_Mun_Backend[[#This Row],[RSD]])</f>
        <v>#N/A</v>
      </c>
      <c r="AN46" s="220" t="e">
        <f>Waste_Mun_Backend[[#This Row],[Total (tCO2e)]]*(1+Waste_Mun_Backend[[#This Row],[RSD]])</f>
        <v>#N/A</v>
      </c>
      <c r="AO46" s="210" t="e">
        <f>_xlfn.XLOOKUP(_xlfn.CONCAT(Waste_Mun_Backend[[#This Row],[Level 1]:[Level 6]]),rng_EFConcat,rng_EFOOS)*Waste_Mun_Backend[[#This Row],[Converted data]]/1000</f>
        <v>#N/A</v>
      </c>
      <c r="AP46" s="174">
        <f>Waste_Mun_Frontend[[#This Row],[Ease of collection]]</f>
        <v>0</v>
      </c>
      <c r="AQ46" s="213">
        <f>Waste_Mun_Frontend[[#This Row],[Completeness]]</f>
        <v>0</v>
      </c>
      <c r="AR46" s="213">
        <f>Waste_Mun_Frontend[[#This Row],[Notes]]</f>
        <v>0</v>
      </c>
      <c r="AT46"/>
      <c r="AU46"/>
      <c r="AV46"/>
      <c r="AW46"/>
      <c r="AX46"/>
    </row>
    <row r="47" spans="2:50" ht="14.5" x14ac:dyDescent="0.35">
      <c r="B47" s="455"/>
      <c r="E47" s="346"/>
      <c r="F47" s="336"/>
      <c r="G47" s="172" t="s">
        <v>336</v>
      </c>
      <c r="H47" s="334"/>
      <c r="I47" s="336"/>
      <c r="J47" s="336"/>
      <c r="K47" s="336"/>
      <c r="L47" s="337"/>
      <c r="M47" s="242">
        <f t="shared" si="4"/>
        <v>4</v>
      </c>
      <c r="Q47" s="212" t="str">
        <f t="shared" si="2"/>
        <v/>
      </c>
      <c r="R47" s="174" t="s">
        <v>194</v>
      </c>
      <c r="S47" s="174" t="s">
        <v>194</v>
      </c>
      <c r="T47" s="174" t="s">
        <v>376</v>
      </c>
      <c r="U47" s="174">
        <f>Waste_Mun_Frontend[[#This Row],[Disposal Method]]</f>
        <v>0</v>
      </c>
      <c r="V47" s="174">
        <f>Waste_Mun_Frontend[[#This Row],[Waste Type]]</f>
        <v>0</v>
      </c>
      <c r="W47" s="174" t="str">
        <f t="shared" si="3"/>
        <v>NaN</v>
      </c>
      <c r="X47" s="174" t="s">
        <v>339</v>
      </c>
      <c r="Y47" s="174" t="s">
        <v>339</v>
      </c>
      <c r="Z47" s="174" t="str">
        <f>Waste_Mun_Frontend[[#This Row],[Methodology]]</f>
        <v>Tier 3</v>
      </c>
      <c r="AA47" s="229" t="e" cm="1">
        <f t="array" ref="AA47">INDEX(_xlfn.SWITCH(Waste_Mun_Backend[[#This Row],[Methodology]],"Tier 1",rng_RSD1,"Tier 2",rng_RSD2,"Tier 3",rng_RSD3),MATCH(_xlfn.CONCAT(Waste_Mun_Backend[[#This Row],[Level 1]:[Level 6]]),rng_LevelsConcat,0))</f>
        <v>#N/A</v>
      </c>
      <c r="AB47" s="220">
        <f>Waste_Mun_Frontend[[#This Row],[Data]]</f>
        <v>0</v>
      </c>
      <c r="AC47" s="174">
        <f>Waste_Mun_Frontend[[#This Row],[Units]]</f>
        <v>0</v>
      </c>
      <c r="AD47" s="220" t="e">
        <f>IF(Waste_Mun_Backend[[#This Row],[Units]]=Waste_Mun_Backend[[#This Row],[Standard units]],Waste_Mun_Backend[[#This Row],[Data]],Waste_Mun_Backend[[#This Row],[Data]]*_xlfn.XLOOKUP(_xlfn.CONCAT(Waste_Mun_Backend[[#This Row],[Level 1]:[Level 6]]),rng_EFConcat,rng_EFConversion))</f>
        <v>#N/A</v>
      </c>
      <c r="AE47" s="174" t="e" cm="1">
        <f t="array" ref="AE47">_xlfn.XLOOKUP(_xlfn.CONCAT(Waste_Mun_Backend[[#This Row],[Level 1]:[Level 6]]),rng_LevelsConcat,rng_UnitsLong)</f>
        <v>#N/A</v>
      </c>
      <c r="AF47" s="210" t="e">
        <f>_xlfn.XLOOKUP(_xlfn.CONCAT(Waste_Mun_Backend[[#This Row],[Level 1]:[Level 6]]),rng_EFConcat,rng_EF1)*Waste_Mun_Backend[[#This Row],[Converted data]]/1000</f>
        <v>#N/A</v>
      </c>
      <c r="AG47" s="210" t="e">
        <f>_xlfn.XLOOKUP(_xlfn.CONCAT(Waste_Mun_Backend[[#This Row],[Level 1]:[Level 6]]),rng_EFConcat,rng_EF2)*Waste_Mun_Backend[[#This Row],[Converted data]]/1000</f>
        <v>#N/A</v>
      </c>
      <c r="AH47" s="210" t="e">
        <f>_xlfn.XLOOKUP(_xlfn.CONCAT(Waste_Mun_Backend[[#This Row],[Level 1]:[Level 6]]),rng_EFConcat,rng_EF3)*Waste_Mun_Backend[[#This Row],[Converted data]]/1000</f>
        <v>#N/A</v>
      </c>
      <c r="AI47" s="210" t="e">
        <f>_xlfn.XLOOKUP(_xlfn.CONCAT(Waste_Mun_Backend[[#This Row],[Level 1]:[Level 6]]),rng_EFConcat,rng_EF3WTT)*Waste_Mun_Backend[[#This Row],[Converted data]]/1000</f>
        <v>#N/A</v>
      </c>
      <c r="AJ47" s="210" t="e">
        <f>_xlfn.XLOOKUP(_xlfn.CONCAT(Waste_Mun_Backend[[#This Row],[Level 1]:[Level 6]]),rng_EFConcat,rng_EF3TD)*Waste_Mun_Backend[[#This Row],[Converted data]]/1000</f>
        <v>#N/A</v>
      </c>
      <c r="AK47" s="210" t="e">
        <f>_xlfn.XLOOKUP(_xlfn.CONCAT(Waste_Mun_Backend[[#This Row],[Level 1]:[Level 6]]),rng_EFConcat,rng_EF3WTTTD)*Waste_Mun_Backend[[#This Row],[Converted data]]/1000</f>
        <v>#N/A</v>
      </c>
      <c r="AL47" s="220" t="e">
        <f>SUM(Waste_Mun_Backend[[#This Row],[Scope 1 (tCO2e)]:[Scope 3 WTT T&amp;D (tCO2e)]])</f>
        <v>#N/A</v>
      </c>
      <c r="AM47" s="220" t="e">
        <f>Waste_Mun_Backend[[#This Row],[Total (tCO2e)]]*(1-Waste_Mun_Backend[[#This Row],[RSD]])</f>
        <v>#N/A</v>
      </c>
      <c r="AN47" s="220" t="e">
        <f>Waste_Mun_Backend[[#This Row],[Total (tCO2e)]]*(1+Waste_Mun_Backend[[#This Row],[RSD]])</f>
        <v>#N/A</v>
      </c>
      <c r="AO47" s="210" t="e">
        <f>_xlfn.XLOOKUP(_xlfn.CONCAT(Waste_Mun_Backend[[#This Row],[Level 1]:[Level 6]]),rng_EFConcat,rng_EFOOS)*Waste_Mun_Backend[[#This Row],[Converted data]]/1000</f>
        <v>#N/A</v>
      </c>
      <c r="AP47" s="174">
        <f>Waste_Mun_Frontend[[#This Row],[Ease of collection]]</f>
        <v>0</v>
      </c>
      <c r="AQ47" s="213">
        <f>Waste_Mun_Frontend[[#This Row],[Completeness]]</f>
        <v>0</v>
      </c>
      <c r="AR47" s="213">
        <f>Waste_Mun_Frontend[[#This Row],[Notes]]</f>
        <v>0</v>
      </c>
      <c r="AT47"/>
      <c r="AU47"/>
      <c r="AV47"/>
      <c r="AW47"/>
      <c r="AX47"/>
    </row>
    <row r="48" spans="2:50" ht="14.5" x14ac:dyDescent="0.35">
      <c r="B48" s="455"/>
      <c r="E48" s="346"/>
      <c r="F48" s="336"/>
      <c r="G48" s="172" t="s">
        <v>336</v>
      </c>
      <c r="H48" s="334"/>
      <c r="I48" s="336"/>
      <c r="J48" s="336"/>
      <c r="K48" s="336"/>
      <c r="L48" s="337"/>
      <c r="M48" s="242">
        <f t="shared" si="4"/>
        <v>4</v>
      </c>
      <c r="Q48" s="212" t="str">
        <f t="shared" si="2"/>
        <v/>
      </c>
      <c r="R48" s="174" t="s">
        <v>194</v>
      </c>
      <c r="S48" s="174" t="s">
        <v>194</v>
      </c>
      <c r="T48" s="174" t="s">
        <v>376</v>
      </c>
      <c r="U48" s="174">
        <f>Waste_Mun_Frontend[[#This Row],[Disposal Method]]</f>
        <v>0</v>
      </c>
      <c r="V48" s="174">
        <f>Waste_Mun_Frontend[[#This Row],[Waste Type]]</f>
        <v>0</v>
      </c>
      <c r="W48" s="174" t="str">
        <f t="shared" si="3"/>
        <v>NaN</v>
      </c>
      <c r="X48" s="174" t="s">
        <v>339</v>
      </c>
      <c r="Y48" s="174" t="s">
        <v>339</v>
      </c>
      <c r="Z48" s="174" t="str">
        <f>Waste_Mun_Frontend[[#This Row],[Methodology]]</f>
        <v>Tier 3</v>
      </c>
      <c r="AA48" s="229" t="e" cm="1">
        <f t="array" ref="AA48">INDEX(_xlfn.SWITCH(Waste_Mun_Backend[[#This Row],[Methodology]],"Tier 1",rng_RSD1,"Tier 2",rng_RSD2,"Tier 3",rng_RSD3),MATCH(_xlfn.CONCAT(Waste_Mun_Backend[[#This Row],[Level 1]:[Level 6]]),rng_LevelsConcat,0))</f>
        <v>#N/A</v>
      </c>
      <c r="AB48" s="220">
        <f>Waste_Mun_Frontend[[#This Row],[Data]]</f>
        <v>0</v>
      </c>
      <c r="AC48" s="174">
        <f>Waste_Mun_Frontend[[#This Row],[Units]]</f>
        <v>0</v>
      </c>
      <c r="AD48" s="220" t="e">
        <f>IF(Waste_Mun_Backend[[#This Row],[Units]]=Waste_Mun_Backend[[#This Row],[Standard units]],Waste_Mun_Backend[[#This Row],[Data]],Waste_Mun_Backend[[#This Row],[Data]]*_xlfn.XLOOKUP(_xlfn.CONCAT(Waste_Mun_Backend[[#This Row],[Level 1]:[Level 6]]),rng_EFConcat,rng_EFConversion))</f>
        <v>#N/A</v>
      </c>
      <c r="AE48" s="174" t="e" cm="1">
        <f t="array" ref="AE48">_xlfn.XLOOKUP(_xlfn.CONCAT(Waste_Mun_Backend[[#This Row],[Level 1]:[Level 6]]),rng_LevelsConcat,rng_UnitsLong)</f>
        <v>#N/A</v>
      </c>
      <c r="AF48" s="210" t="e">
        <f>_xlfn.XLOOKUP(_xlfn.CONCAT(Waste_Mun_Backend[[#This Row],[Level 1]:[Level 6]]),rng_EFConcat,rng_EF1)*Waste_Mun_Backend[[#This Row],[Converted data]]/1000</f>
        <v>#N/A</v>
      </c>
      <c r="AG48" s="210" t="e">
        <f>_xlfn.XLOOKUP(_xlfn.CONCAT(Waste_Mun_Backend[[#This Row],[Level 1]:[Level 6]]),rng_EFConcat,rng_EF2)*Waste_Mun_Backend[[#This Row],[Converted data]]/1000</f>
        <v>#N/A</v>
      </c>
      <c r="AH48" s="210" t="e">
        <f>_xlfn.XLOOKUP(_xlfn.CONCAT(Waste_Mun_Backend[[#This Row],[Level 1]:[Level 6]]),rng_EFConcat,rng_EF3)*Waste_Mun_Backend[[#This Row],[Converted data]]/1000</f>
        <v>#N/A</v>
      </c>
      <c r="AI48" s="210" t="e">
        <f>_xlfn.XLOOKUP(_xlfn.CONCAT(Waste_Mun_Backend[[#This Row],[Level 1]:[Level 6]]),rng_EFConcat,rng_EF3WTT)*Waste_Mun_Backend[[#This Row],[Converted data]]/1000</f>
        <v>#N/A</v>
      </c>
      <c r="AJ48" s="210" t="e">
        <f>_xlfn.XLOOKUP(_xlfn.CONCAT(Waste_Mun_Backend[[#This Row],[Level 1]:[Level 6]]),rng_EFConcat,rng_EF3TD)*Waste_Mun_Backend[[#This Row],[Converted data]]/1000</f>
        <v>#N/A</v>
      </c>
      <c r="AK48" s="210" t="e">
        <f>_xlfn.XLOOKUP(_xlfn.CONCAT(Waste_Mun_Backend[[#This Row],[Level 1]:[Level 6]]),rng_EFConcat,rng_EF3WTTTD)*Waste_Mun_Backend[[#This Row],[Converted data]]/1000</f>
        <v>#N/A</v>
      </c>
      <c r="AL48" s="220" t="e">
        <f>SUM(Waste_Mun_Backend[[#This Row],[Scope 1 (tCO2e)]:[Scope 3 WTT T&amp;D (tCO2e)]])</f>
        <v>#N/A</v>
      </c>
      <c r="AM48" s="220" t="e">
        <f>Waste_Mun_Backend[[#This Row],[Total (tCO2e)]]*(1-Waste_Mun_Backend[[#This Row],[RSD]])</f>
        <v>#N/A</v>
      </c>
      <c r="AN48" s="220" t="e">
        <f>Waste_Mun_Backend[[#This Row],[Total (tCO2e)]]*(1+Waste_Mun_Backend[[#This Row],[RSD]])</f>
        <v>#N/A</v>
      </c>
      <c r="AO48" s="210" t="e">
        <f>_xlfn.XLOOKUP(_xlfn.CONCAT(Waste_Mun_Backend[[#This Row],[Level 1]:[Level 6]]),rng_EFConcat,rng_EFOOS)*Waste_Mun_Backend[[#This Row],[Converted data]]/1000</f>
        <v>#N/A</v>
      </c>
      <c r="AP48" s="174">
        <f>Waste_Mun_Frontend[[#This Row],[Ease of collection]]</f>
        <v>0</v>
      </c>
      <c r="AQ48" s="213">
        <f>Waste_Mun_Frontend[[#This Row],[Completeness]]</f>
        <v>0</v>
      </c>
      <c r="AR48" s="213">
        <f>Waste_Mun_Frontend[[#This Row],[Notes]]</f>
        <v>0</v>
      </c>
      <c r="AT48"/>
      <c r="AU48"/>
      <c r="AV48"/>
      <c r="AW48"/>
      <c r="AX48"/>
    </row>
    <row r="49" spans="2:50" ht="14.5" x14ac:dyDescent="0.35">
      <c r="B49" s="455"/>
      <c r="E49" s="346"/>
      <c r="F49" s="336"/>
      <c r="G49" s="172" t="s">
        <v>336</v>
      </c>
      <c r="H49" s="334"/>
      <c r="I49" s="336"/>
      <c r="J49" s="336"/>
      <c r="K49" s="336"/>
      <c r="L49" s="337"/>
      <c r="M49" s="242">
        <f t="shared" si="4"/>
        <v>4</v>
      </c>
      <c r="Q49" s="212" t="str">
        <f t="shared" si="2"/>
        <v/>
      </c>
      <c r="R49" s="174" t="s">
        <v>194</v>
      </c>
      <c r="S49" s="174" t="s">
        <v>194</v>
      </c>
      <c r="T49" s="174" t="s">
        <v>376</v>
      </c>
      <c r="U49" s="174">
        <f>Waste_Mun_Frontend[[#This Row],[Disposal Method]]</f>
        <v>0</v>
      </c>
      <c r="V49" s="174">
        <f>Waste_Mun_Frontend[[#This Row],[Waste Type]]</f>
        <v>0</v>
      </c>
      <c r="W49" s="174" t="str">
        <f t="shared" si="3"/>
        <v>NaN</v>
      </c>
      <c r="X49" s="174" t="s">
        <v>339</v>
      </c>
      <c r="Y49" s="174" t="s">
        <v>339</v>
      </c>
      <c r="Z49" s="174" t="str">
        <f>Waste_Mun_Frontend[[#This Row],[Methodology]]</f>
        <v>Tier 3</v>
      </c>
      <c r="AA49" s="229" t="e" cm="1">
        <f t="array" ref="AA49">INDEX(_xlfn.SWITCH(Waste_Mun_Backend[[#This Row],[Methodology]],"Tier 1",rng_RSD1,"Tier 2",rng_RSD2,"Tier 3",rng_RSD3),MATCH(_xlfn.CONCAT(Waste_Mun_Backend[[#This Row],[Level 1]:[Level 6]]),rng_LevelsConcat,0))</f>
        <v>#N/A</v>
      </c>
      <c r="AB49" s="220">
        <f>Waste_Mun_Frontend[[#This Row],[Data]]</f>
        <v>0</v>
      </c>
      <c r="AC49" s="174">
        <f>Waste_Mun_Frontend[[#This Row],[Units]]</f>
        <v>0</v>
      </c>
      <c r="AD49" s="220" t="e">
        <f>IF(Waste_Mun_Backend[[#This Row],[Units]]=Waste_Mun_Backend[[#This Row],[Standard units]],Waste_Mun_Backend[[#This Row],[Data]],Waste_Mun_Backend[[#This Row],[Data]]*_xlfn.XLOOKUP(_xlfn.CONCAT(Waste_Mun_Backend[[#This Row],[Level 1]:[Level 6]]),rng_EFConcat,rng_EFConversion))</f>
        <v>#N/A</v>
      </c>
      <c r="AE49" s="174" t="e" cm="1">
        <f t="array" ref="AE49">_xlfn.XLOOKUP(_xlfn.CONCAT(Waste_Mun_Backend[[#This Row],[Level 1]:[Level 6]]),rng_LevelsConcat,rng_UnitsLong)</f>
        <v>#N/A</v>
      </c>
      <c r="AF49" s="210" t="e">
        <f>_xlfn.XLOOKUP(_xlfn.CONCAT(Waste_Mun_Backend[[#This Row],[Level 1]:[Level 6]]),rng_EFConcat,rng_EF1)*Waste_Mun_Backend[[#This Row],[Converted data]]/1000</f>
        <v>#N/A</v>
      </c>
      <c r="AG49" s="210" t="e">
        <f>_xlfn.XLOOKUP(_xlfn.CONCAT(Waste_Mun_Backend[[#This Row],[Level 1]:[Level 6]]),rng_EFConcat,rng_EF2)*Waste_Mun_Backend[[#This Row],[Converted data]]/1000</f>
        <v>#N/A</v>
      </c>
      <c r="AH49" s="210" t="e">
        <f>_xlfn.XLOOKUP(_xlfn.CONCAT(Waste_Mun_Backend[[#This Row],[Level 1]:[Level 6]]),rng_EFConcat,rng_EF3)*Waste_Mun_Backend[[#This Row],[Converted data]]/1000</f>
        <v>#N/A</v>
      </c>
      <c r="AI49" s="210" t="e">
        <f>_xlfn.XLOOKUP(_xlfn.CONCAT(Waste_Mun_Backend[[#This Row],[Level 1]:[Level 6]]),rng_EFConcat,rng_EF3WTT)*Waste_Mun_Backend[[#This Row],[Converted data]]/1000</f>
        <v>#N/A</v>
      </c>
      <c r="AJ49" s="210" t="e">
        <f>_xlfn.XLOOKUP(_xlfn.CONCAT(Waste_Mun_Backend[[#This Row],[Level 1]:[Level 6]]),rng_EFConcat,rng_EF3TD)*Waste_Mun_Backend[[#This Row],[Converted data]]/1000</f>
        <v>#N/A</v>
      </c>
      <c r="AK49" s="210" t="e">
        <f>_xlfn.XLOOKUP(_xlfn.CONCAT(Waste_Mun_Backend[[#This Row],[Level 1]:[Level 6]]),rng_EFConcat,rng_EF3WTTTD)*Waste_Mun_Backend[[#This Row],[Converted data]]/1000</f>
        <v>#N/A</v>
      </c>
      <c r="AL49" s="220" t="e">
        <f>SUM(Waste_Mun_Backend[[#This Row],[Scope 1 (tCO2e)]:[Scope 3 WTT T&amp;D (tCO2e)]])</f>
        <v>#N/A</v>
      </c>
      <c r="AM49" s="220" t="e">
        <f>Waste_Mun_Backend[[#This Row],[Total (tCO2e)]]*(1-Waste_Mun_Backend[[#This Row],[RSD]])</f>
        <v>#N/A</v>
      </c>
      <c r="AN49" s="220" t="e">
        <f>Waste_Mun_Backend[[#This Row],[Total (tCO2e)]]*(1+Waste_Mun_Backend[[#This Row],[RSD]])</f>
        <v>#N/A</v>
      </c>
      <c r="AO49" s="210" t="e">
        <f>_xlfn.XLOOKUP(_xlfn.CONCAT(Waste_Mun_Backend[[#This Row],[Level 1]:[Level 6]]),rng_EFConcat,rng_EFOOS)*Waste_Mun_Backend[[#This Row],[Converted data]]/1000</f>
        <v>#N/A</v>
      </c>
      <c r="AP49" s="174">
        <f>Waste_Mun_Frontend[[#This Row],[Ease of collection]]</f>
        <v>0</v>
      </c>
      <c r="AQ49" s="213">
        <f>Waste_Mun_Frontend[[#This Row],[Completeness]]</f>
        <v>0</v>
      </c>
      <c r="AR49" s="213">
        <f>Waste_Mun_Frontend[[#This Row],[Notes]]</f>
        <v>0</v>
      </c>
      <c r="AT49"/>
      <c r="AU49"/>
      <c r="AV49"/>
      <c r="AW49"/>
      <c r="AX49"/>
    </row>
    <row r="50" spans="2:50" ht="14.5" x14ac:dyDescent="0.35">
      <c r="B50" s="455"/>
      <c r="E50" s="346"/>
      <c r="F50" s="336"/>
      <c r="G50" s="172" t="s">
        <v>336</v>
      </c>
      <c r="H50" s="334"/>
      <c r="I50" s="336"/>
      <c r="J50" s="336"/>
      <c r="K50" s="336"/>
      <c r="L50" s="337"/>
      <c r="M50" s="242">
        <f t="shared" si="4"/>
        <v>4</v>
      </c>
      <c r="Q50" s="212" t="str">
        <f t="shared" si="2"/>
        <v/>
      </c>
      <c r="R50" s="174" t="s">
        <v>194</v>
      </c>
      <c r="S50" s="174" t="s">
        <v>194</v>
      </c>
      <c r="T50" s="174" t="s">
        <v>376</v>
      </c>
      <c r="U50" s="174">
        <f>Waste_Mun_Frontend[[#This Row],[Disposal Method]]</f>
        <v>0</v>
      </c>
      <c r="V50" s="174">
        <f>Waste_Mun_Frontend[[#This Row],[Waste Type]]</f>
        <v>0</v>
      </c>
      <c r="W50" s="174" t="str">
        <f t="shared" si="3"/>
        <v>NaN</v>
      </c>
      <c r="X50" s="174" t="s">
        <v>339</v>
      </c>
      <c r="Y50" s="174" t="s">
        <v>339</v>
      </c>
      <c r="Z50" s="174" t="str">
        <f>Waste_Mun_Frontend[[#This Row],[Methodology]]</f>
        <v>Tier 3</v>
      </c>
      <c r="AA50" s="229" t="e" cm="1">
        <f t="array" ref="AA50">INDEX(_xlfn.SWITCH(Waste_Mun_Backend[[#This Row],[Methodology]],"Tier 1",rng_RSD1,"Tier 2",rng_RSD2,"Tier 3",rng_RSD3),MATCH(_xlfn.CONCAT(Waste_Mun_Backend[[#This Row],[Level 1]:[Level 6]]),rng_LevelsConcat,0))</f>
        <v>#N/A</v>
      </c>
      <c r="AB50" s="220">
        <f>Waste_Mun_Frontend[[#This Row],[Data]]</f>
        <v>0</v>
      </c>
      <c r="AC50" s="174">
        <f>Waste_Mun_Frontend[[#This Row],[Units]]</f>
        <v>0</v>
      </c>
      <c r="AD50" s="220" t="e">
        <f>IF(Waste_Mun_Backend[[#This Row],[Units]]=Waste_Mun_Backend[[#This Row],[Standard units]],Waste_Mun_Backend[[#This Row],[Data]],Waste_Mun_Backend[[#This Row],[Data]]*_xlfn.XLOOKUP(_xlfn.CONCAT(Waste_Mun_Backend[[#This Row],[Level 1]:[Level 6]]),rng_EFConcat,rng_EFConversion))</f>
        <v>#N/A</v>
      </c>
      <c r="AE50" s="174" t="e" cm="1">
        <f t="array" ref="AE50">_xlfn.XLOOKUP(_xlfn.CONCAT(Waste_Mun_Backend[[#This Row],[Level 1]:[Level 6]]),rng_LevelsConcat,rng_UnitsLong)</f>
        <v>#N/A</v>
      </c>
      <c r="AF50" s="210" t="e">
        <f>_xlfn.XLOOKUP(_xlfn.CONCAT(Waste_Mun_Backend[[#This Row],[Level 1]:[Level 6]]),rng_EFConcat,rng_EF1)*Waste_Mun_Backend[[#This Row],[Converted data]]/1000</f>
        <v>#N/A</v>
      </c>
      <c r="AG50" s="210" t="e">
        <f>_xlfn.XLOOKUP(_xlfn.CONCAT(Waste_Mun_Backend[[#This Row],[Level 1]:[Level 6]]),rng_EFConcat,rng_EF2)*Waste_Mun_Backend[[#This Row],[Converted data]]/1000</f>
        <v>#N/A</v>
      </c>
      <c r="AH50" s="210" t="e">
        <f>_xlfn.XLOOKUP(_xlfn.CONCAT(Waste_Mun_Backend[[#This Row],[Level 1]:[Level 6]]),rng_EFConcat,rng_EF3)*Waste_Mun_Backend[[#This Row],[Converted data]]/1000</f>
        <v>#N/A</v>
      </c>
      <c r="AI50" s="210" t="e">
        <f>_xlfn.XLOOKUP(_xlfn.CONCAT(Waste_Mun_Backend[[#This Row],[Level 1]:[Level 6]]),rng_EFConcat,rng_EF3WTT)*Waste_Mun_Backend[[#This Row],[Converted data]]/1000</f>
        <v>#N/A</v>
      </c>
      <c r="AJ50" s="210" t="e">
        <f>_xlfn.XLOOKUP(_xlfn.CONCAT(Waste_Mun_Backend[[#This Row],[Level 1]:[Level 6]]),rng_EFConcat,rng_EF3TD)*Waste_Mun_Backend[[#This Row],[Converted data]]/1000</f>
        <v>#N/A</v>
      </c>
      <c r="AK50" s="210" t="e">
        <f>_xlfn.XLOOKUP(_xlfn.CONCAT(Waste_Mun_Backend[[#This Row],[Level 1]:[Level 6]]),rng_EFConcat,rng_EF3WTTTD)*Waste_Mun_Backend[[#This Row],[Converted data]]/1000</f>
        <v>#N/A</v>
      </c>
      <c r="AL50" s="220" t="e">
        <f>SUM(Waste_Mun_Backend[[#This Row],[Scope 1 (tCO2e)]:[Scope 3 WTT T&amp;D (tCO2e)]])</f>
        <v>#N/A</v>
      </c>
      <c r="AM50" s="220" t="e">
        <f>Waste_Mun_Backend[[#This Row],[Total (tCO2e)]]*(1-Waste_Mun_Backend[[#This Row],[RSD]])</f>
        <v>#N/A</v>
      </c>
      <c r="AN50" s="220" t="e">
        <f>Waste_Mun_Backend[[#This Row],[Total (tCO2e)]]*(1+Waste_Mun_Backend[[#This Row],[RSD]])</f>
        <v>#N/A</v>
      </c>
      <c r="AO50" s="210" t="e">
        <f>_xlfn.XLOOKUP(_xlfn.CONCAT(Waste_Mun_Backend[[#This Row],[Level 1]:[Level 6]]),rng_EFConcat,rng_EFOOS)*Waste_Mun_Backend[[#This Row],[Converted data]]/1000</f>
        <v>#N/A</v>
      </c>
      <c r="AP50" s="174">
        <f>Waste_Mun_Frontend[[#This Row],[Ease of collection]]</f>
        <v>0</v>
      </c>
      <c r="AQ50" s="213">
        <f>Waste_Mun_Frontend[[#This Row],[Completeness]]</f>
        <v>0</v>
      </c>
      <c r="AR50" s="213">
        <f>Waste_Mun_Frontend[[#This Row],[Notes]]</f>
        <v>0</v>
      </c>
      <c r="AT50"/>
      <c r="AU50"/>
      <c r="AV50"/>
      <c r="AW50"/>
      <c r="AX50"/>
    </row>
    <row r="51" spans="2:50" ht="14.5" x14ac:dyDescent="0.35">
      <c r="B51" s="455"/>
      <c r="E51" s="346"/>
      <c r="F51" s="336"/>
      <c r="G51" s="172" t="s">
        <v>336</v>
      </c>
      <c r="H51" s="334"/>
      <c r="I51" s="336"/>
      <c r="J51" s="336"/>
      <c r="K51" s="336"/>
      <c r="L51" s="337"/>
      <c r="M51" s="242">
        <f t="shared" si="4"/>
        <v>4</v>
      </c>
      <c r="Q51" s="212" t="str">
        <f t="shared" si="2"/>
        <v/>
      </c>
      <c r="R51" s="174" t="s">
        <v>194</v>
      </c>
      <c r="S51" s="174" t="s">
        <v>194</v>
      </c>
      <c r="T51" s="174" t="s">
        <v>376</v>
      </c>
      <c r="U51" s="174">
        <f>Waste_Mun_Frontend[[#This Row],[Disposal Method]]</f>
        <v>0</v>
      </c>
      <c r="V51" s="174">
        <f>Waste_Mun_Frontend[[#This Row],[Waste Type]]</f>
        <v>0</v>
      </c>
      <c r="W51" s="174" t="str">
        <f t="shared" si="3"/>
        <v>NaN</v>
      </c>
      <c r="X51" s="174" t="s">
        <v>339</v>
      </c>
      <c r="Y51" s="174" t="s">
        <v>339</v>
      </c>
      <c r="Z51" s="174" t="str">
        <f>Waste_Mun_Frontend[[#This Row],[Methodology]]</f>
        <v>Tier 3</v>
      </c>
      <c r="AA51" s="229" t="e" cm="1">
        <f t="array" ref="AA51">INDEX(_xlfn.SWITCH(Waste_Mun_Backend[[#This Row],[Methodology]],"Tier 1",rng_RSD1,"Tier 2",rng_RSD2,"Tier 3",rng_RSD3),MATCH(_xlfn.CONCAT(Waste_Mun_Backend[[#This Row],[Level 1]:[Level 6]]),rng_LevelsConcat,0))</f>
        <v>#N/A</v>
      </c>
      <c r="AB51" s="220">
        <f>Waste_Mun_Frontend[[#This Row],[Data]]</f>
        <v>0</v>
      </c>
      <c r="AC51" s="174">
        <f>Waste_Mun_Frontend[[#This Row],[Units]]</f>
        <v>0</v>
      </c>
      <c r="AD51" s="220" t="e">
        <f>IF(Waste_Mun_Backend[[#This Row],[Units]]=Waste_Mun_Backend[[#This Row],[Standard units]],Waste_Mun_Backend[[#This Row],[Data]],Waste_Mun_Backend[[#This Row],[Data]]*_xlfn.XLOOKUP(_xlfn.CONCAT(Waste_Mun_Backend[[#This Row],[Level 1]:[Level 6]]),rng_EFConcat,rng_EFConversion))</f>
        <v>#N/A</v>
      </c>
      <c r="AE51" s="174" t="e" cm="1">
        <f t="array" ref="AE51">_xlfn.XLOOKUP(_xlfn.CONCAT(Waste_Mun_Backend[[#This Row],[Level 1]:[Level 6]]),rng_LevelsConcat,rng_UnitsLong)</f>
        <v>#N/A</v>
      </c>
      <c r="AF51" s="210" t="e">
        <f>_xlfn.XLOOKUP(_xlfn.CONCAT(Waste_Mun_Backend[[#This Row],[Level 1]:[Level 6]]),rng_EFConcat,rng_EF1)*Waste_Mun_Backend[[#This Row],[Converted data]]/1000</f>
        <v>#N/A</v>
      </c>
      <c r="AG51" s="210" t="e">
        <f>_xlfn.XLOOKUP(_xlfn.CONCAT(Waste_Mun_Backend[[#This Row],[Level 1]:[Level 6]]),rng_EFConcat,rng_EF2)*Waste_Mun_Backend[[#This Row],[Converted data]]/1000</f>
        <v>#N/A</v>
      </c>
      <c r="AH51" s="210" t="e">
        <f>_xlfn.XLOOKUP(_xlfn.CONCAT(Waste_Mun_Backend[[#This Row],[Level 1]:[Level 6]]),rng_EFConcat,rng_EF3)*Waste_Mun_Backend[[#This Row],[Converted data]]/1000</f>
        <v>#N/A</v>
      </c>
      <c r="AI51" s="210" t="e">
        <f>_xlfn.XLOOKUP(_xlfn.CONCAT(Waste_Mun_Backend[[#This Row],[Level 1]:[Level 6]]),rng_EFConcat,rng_EF3WTT)*Waste_Mun_Backend[[#This Row],[Converted data]]/1000</f>
        <v>#N/A</v>
      </c>
      <c r="AJ51" s="210" t="e">
        <f>_xlfn.XLOOKUP(_xlfn.CONCAT(Waste_Mun_Backend[[#This Row],[Level 1]:[Level 6]]),rng_EFConcat,rng_EF3TD)*Waste_Mun_Backend[[#This Row],[Converted data]]/1000</f>
        <v>#N/A</v>
      </c>
      <c r="AK51" s="210" t="e">
        <f>_xlfn.XLOOKUP(_xlfn.CONCAT(Waste_Mun_Backend[[#This Row],[Level 1]:[Level 6]]),rng_EFConcat,rng_EF3WTTTD)*Waste_Mun_Backend[[#This Row],[Converted data]]/1000</f>
        <v>#N/A</v>
      </c>
      <c r="AL51" s="220" t="e">
        <f>SUM(Waste_Mun_Backend[[#This Row],[Scope 1 (tCO2e)]:[Scope 3 WTT T&amp;D (tCO2e)]])</f>
        <v>#N/A</v>
      </c>
      <c r="AM51" s="220" t="e">
        <f>Waste_Mun_Backend[[#This Row],[Total (tCO2e)]]*(1-Waste_Mun_Backend[[#This Row],[RSD]])</f>
        <v>#N/A</v>
      </c>
      <c r="AN51" s="220" t="e">
        <f>Waste_Mun_Backend[[#This Row],[Total (tCO2e)]]*(1+Waste_Mun_Backend[[#This Row],[RSD]])</f>
        <v>#N/A</v>
      </c>
      <c r="AO51" s="210" t="e">
        <f>_xlfn.XLOOKUP(_xlfn.CONCAT(Waste_Mun_Backend[[#This Row],[Level 1]:[Level 6]]),rng_EFConcat,rng_EFOOS)*Waste_Mun_Backend[[#This Row],[Converted data]]/1000</f>
        <v>#N/A</v>
      </c>
      <c r="AP51" s="174">
        <f>Waste_Mun_Frontend[[#This Row],[Ease of collection]]</f>
        <v>0</v>
      </c>
      <c r="AQ51" s="213">
        <f>Waste_Mun_Frontend[[#This Row],[Completeness]]</f>
        <v>0</v>
      </c>
      <c r="AR51" s="213">
        <f>Waste_Mun_Frontend[[#This Row],[Notes]]</f>
        <v>0</v>
      </c>
      <c r="AT51"/>
      <c r="AU51"/>
      <c r="AV51"/>
      <c r="AW51"/>
      <c r="AX51"/>
    </row>
    <row r="52" spans="2:50" ht="14.5" x14ac:dyDescent="0.35">
      <c r="B52" s="455"/>
      <c r="E52" s="346"/>
      <c r="F52" s="336"/>
      <c r="G52" s="172" t="s">
        <v>336</v>
      </c>
      <c r="H52" s="334"/>
      <c r="I52" s="336"/>
      <c r="J52" s="336"/>
      <c r="K52" s="336"/>
      <c r="L52" s="337"/>
      <c r="M52" s="242">
        <f t="shared" si="4"/>
        <v>4</v>
      </c>
      <c r="Q52" s="212" t="str">
        <f t="shared" si="2"/>
        <v/>
      </c>
      <c r="R52" s="174" t="s">
        <v>194</v>
      </c>
      <c r="S52" s="174" t="s">
        <v>194</v>
      </c>
      <c r="T52" s="174" t="s">
        <v>376</v>
      </c>
      <c r="U52" s="174">
        <f>Waste_Mun_Frontend[[#This Row],[Disposal Method]]</f>
        <v>0</v>
      </c>
      <c r="V52" s="174">
        <f>Waste_Mun_Frontend[[#This Row],[Waste Type]]</f>
        <v>0</v>
      </c>
      <c r="W52" s="174" t="str">
        <f t="shared" si="3"/>
        <v>NaN</v>
      </c>
      <c r="X52" s="174" t="s">
        <v>339</v>
      </c>
      <c r="Y52" s="174" t="s">
        <v>339</v>
      </c>
      <c r="Z52" s="174" t="str">
        <f>Waste_Mun_Frontend[[#This Row],[Methodology]]</f>
        <v>Tier 3</v>
      </c>
      <c r="AA52" s="229" t="e" cm="1">
        <f t="array" ref="AA52">INDEX(_xlfn.SWITCH(Waste_Mun_Backend[[#This Row],[Methodology]],"Tier 1",rng_RSD1,"Tier 2",rng_RSD2,"Tier 3",rng_RSD3),MATCH(_xlfn.CONCAT(Waste_Mun_Backend[[#This Row],[Level 1]:[Level 6]]),rng_LevelsConcat,0))</f>
        <v>#N/A</v>
      </c>
      <c r="AB52" s="220">
        <f>Waste_Mun_Frontend[[#This Row],[Data]]</f>
        <v>0</v>
      </c>
      <c r="AC52" s="174">
        <f>Waste_Mun_Frontend[[#This Row],[Units]]</f>
        <v>0</v>
      </c>
      <c r="AD52" s="220" t="e">
        <f>IF(Waste_Mun_Backend[[#This Row],[Units]]=Waste_Mun_Backend[[#This Row],[Standard units]],Waste_Mun_Backend[[#This Row],[Data]],Waste_Mun_Backend[[#This Row],[Data]]*_xlfn.XLOOKUP(_xlfn.CONCAT(Waste_Mun_Backend[[#This Row],[Level 1]:[Level 6]]),rng_EFConcat,rng_EFConversion))</f>
        <v>#N/A</v>
      </c>
      <c r="AE52" s="174" t="e" cm="1">
        <f t="array" ref="AE52">_xlfn.XLOOKUP(_xlfn.CONCAT(Waste_Mun_Backend[[#This Row],[Level 1]:[Level 6]]),rng_LevelsConcat,rng_UnitsLong)</f>
        <v>#N/A</v>
      </c>
      <c r="AF52" s="210" t="e">
        <f>_xlfn.XLOOKUP(_xlfn.CONCAT(Waste_Mun_Backend[[#This Row],[Level 1]:[Level 6]]),rng_EFConcat,rng_EF1)*Waste_Mun_Backend[[#This Row],[Converted data]]/1000</f>
        <v>#N/A</v>
      </c>
      <c r="AG52" s="210" t="e">
        <f>_xlfn.XLOOKUP(_xlfn.CONCAT(Waste_Mun_Backend[[#This Row],[Level 1]:[Level 6]]),rng_EFConcat,rng_EF2)*Waste_Mun_Backend[[#This Row],[Converted data]]/1000</f>
        <v>#N/A</v>
      </c>
      <c r="AH52" s="210" t="e">
        <f>_xlfn.XLOOKUP(_xlfn.CONCAT(Waste_Mun_Backend[[#This Row],[Level 1]:[Level 6]]),rng_EFConcat,rng_EF3)*Waste_Mun_Backend[[#This Row],[Converted data]]/1000</f>
        <v>#N/A</v>
      </c>
      <c r="AI52" s="210" t="e">
        <f>_xlfn.XLOOKUP(_xlfn.CONCAT(Waste_Mun_Backend[[#This Row],[Level 1]:[Level 6]]),rng_EFConcat,rng_EF3WTT)*Waste_Mun_Backend[[#This Row],[Converted data]]/1000</f>
        <v>#N/A</v>
      </c>
      <c r="AJ52" s="210" t="e">
        <f>_xlfn.XLOOKUP(_xlfn.CONCAT(Waste_Mun_Backend[[#This Row],[Level 1]:[Level 6]]),rng_EFConcat,rng_EF3TD)*Waste_Mun_Backend[[#This Row],[Converted data]]/1000</f>
        <v>#N/A</v>
      </c>
      <c r="AK52" s="210" t="e">
        <f>_xlfn.XLOOKUP(_xlfn.CONCAT(Waste_Mun_Backend[[#This Row],[Level 1]:[Level 6]]),rng_EFConcat,rng_EF3WTTTD)*Waste_Mun_Backend[[#This Row],[Converted data]]/1000</f>
        <v>#N/A</v>
      </c>
      <c r="AL52" s="220" t="e">
        <f>SUM(Waste_Mun_Backend[[#This Row],[Scope 1 (tCO2e)]:[Scope 3 WTT T&amp;D (tCO2e)]])</f>
        <v>#N/A</v>
      </c>
      <c r="AM52" s="220" t="e">
        <f>Waste_Mun_Backend[[#This Row],[Total (tCO2e)]]*(1-Waste_Mun_Backend[[#This Row],[RSD]])</f>
        <v>#N/A</v>
      </c>
      <c r="AN52" s="220" t="e">
        <f>Waste_Mun_Backend[[#This Row],[Total (tCO2e)]]*(1+Waste_Mun_Backend[[#This Row],[RSD]])</f>
        <v>#N/A</v>
      </c>
      <c r="AO52" s="210" t="e">
        <f>_xlfn.XLOOKUP(_xlfn.CONCAT(Waste_Mun_Backend[[#This Row],[Level 1]:[Level 6]]),rng_EFConcat,rng_EFOOS)*Waste_Mun_Backend[[#This Row],[Converted data]]/1000</f>
        <v>#N/A</v>
      </c>
      <c r="AP52" s="174">
        <f>Waste_Mun_Frontend[[#This Row],[Ease of collection]]</f>
        <v>0</v>
      </c>
      <c r="AQ52" s="213">
        <f>Waste_Mun_Frontend[[#This Row],[Completeness]]</f>
        <v>0</v>
      </c>
      <c r="AR52" s="213">
        <f>Waste_Mun_Frontend[[#This Row],[Notes]]</f>
        <v>0</v>
      </c>
      <c r="AT52"/>
      <c r="AU52"/>
      <c r="AV52"/>
      <c r="AW52"/>
      <c r="AX52"/>
    </row>
    <row r="53" spans="2:50" ht="14.5" x14ac:dyDescent="0.35">
      <c r="B53" s="455"/>
      <c r="E53" s="346"/>
      <c r="F53" s="336"/>
      <c r="G53" s="172" t="s">
        <v>336</v>
      </c>
      <c r="H53" s="334"/>
      <c r="I53" s="336"/>
      <c r="J53" s="336"/>
      <c r="K53" s="336"/>
      <c r="L53" s="337"/>
      <c r="M53" s="242">
        <f t="shared" si="4"/>
        <v>4</v>
      </c>
      <c r="Q53" s="212" t="str">
        <f t="shared" si="2"/>
        <v/>
      </c>
      <c r="R53" s="174" t="s">
        <v>194</v>
      </c>
      <c r="S53" s="174" t="s">
        <v>194</v>
      </c>
      <c r="T53" s="174" t="s">
        <v>376</v>
      </c>
      <c r="U53" s="174">
        <f>Waste_Mun_Frontend[[#This Row],[Disposal Method]]</f>
        <v>0</v>
      </c>
      <c r="V53" s="174">
        <f>Waste_Mun_Frontend[[#This Row],[Waste Type]]</f>
        <v>0</v>
      </c>
      <c r="W53" s="174" t="str">
        <f t="shared" si="3"/>
        <v>NaN</v>
      </c>
      <c r="X53" s="174" t="s">
        <v>339</v>
      </c>
      <c r="Y53" s="174" t="s">
        <v>339</v>
      </c>
      <c r="Z53" s="174" t="str">
        <f>Waste_Mun_Frontend[[#This Row],[Methodology]]</f>
        <v>Tier 3</v>
      </c>
      <c r="AA53" s="229" t="e" cm="1">
        <f t="array" ref="AA53">INDEX(_xlfn.SWITCH(Waste_Mun_Backend[[#This Row],[Methodology]],"Tier 1",rng_RSD1,"Tier 2",rng_RSD2,"Tier 3",rng_RSD3),MATCH(_xlfn.CONCAT(Waste_Mun_Backend[[#This Row],[Level 1]:[Level 6]]),rng_LevelsConcat,0))</f>
        <v>#N/A</v>
      </c>
      <c r="AB53" s="220">
        <f>Waste_Mun_Frontend[[#This Row],[Data]]</f>
        <v>0</v>
      </c>
      <c r="AC53" s="174">
        <f>Waste_Mun_Frontend[[#This Row],[Units]]</f>
        <v>0</v>
      </c>
      <c r="AD53" s="220" t="e">
        <f>IF(Waste_Mun_Backend[[#This Row],[Units]]=Waste_Mun_Backend[[#This Row],[Standard units]],Waste_Mun_Backend[[#This Row],[Data]],Waste_Mun_Backend[[#This Row],[Data]]*_xlfn.XLOOKUP(_xlfn.CONCAT(Waste_Mun_Backend[[#This Row],[Level 1]:[Level 6]]),rng_EFConcat,rng_EFConversion))</f>
        <v>#N/A</v>
      </c>
      <c r="AE53" s="174" t="e" cm="1">
        <f t="array" ref="AE53">_xlfn.XLOOKUP(_xlfn.CONCAT(Waste_Mun_Backend[[#This Row],[Level 1]:[Level 6]]),rng_LevelsConcat,rng_UnitsLong)</f>
        <v>#N/A</v>
      </c>
      <c r="AF53" s="210" t="e">
        <f>_xlfn.XLOOKUP(_xlfn.CONCAT(Waste_Mun_Backend[[#This Row],[Level 1]:[Level 6]]),rng_EFConcat,rng_EF1)*Waste_Mun_Backend[[#This Row],[Converted data]]/1000</f>
        <v>#N/A</v>
      </c>
      <c r="AG53" s="210" t="e">
        <f>_xlfn.XLOOKUP(_xlfn.CONCAT(Waste_Mun_Backend[[#This Row],[Level 1]:[Level 6]]),rng_EFConcat,rng_EF2)*Waste_Mun_Backend[[#This Row],[Converted data]]/1000</f>
        <v>#N/A</v>
      </c>
      <c r="AH53" s="210" t="e">
        <f>_xlfn.XLOOKUP(_xlfn.CONCAT(Waste_Mun_Backend[[#This Row],[Level 1]:[Level 6]]),rng_EFConcat,rng_EF3)*Waste_Mun_Backend[[#This Row],[Converted data]]/1000</f>
        <v>#N/A</v>
      </c>
      <c r="AI53" s="210" t="e">
        <f>_xlfn.XLOOKUP(_xlfn.CONCAT(Waste_Mun_Backend[[#This Row],[Level 1]:[Level 6]]),rng_EFConcat,rng_EF3WTT)*Waste_Mun_Backend[[#This Row],[Converted data]]/1000</f>
        <v>#N/A</v>
      </c>
      <c r="AJ53" s="210" t="e">
        <f>_xlfn.XLOOKUP(_xlfn.CONCAT(Waste_Mun_Backend[[#This Row],[Level 1]:[Level 6]]),rng_EFConcat,rng_EF3TD)*Waste_Mun_Backend[[#This Row],[Converted data]]/1000</f>
        <v>#N/A</v>
      </c>
      <c r="AK53" s="210" t="e">
        <f>_xlfn.XLOOKUP(_xlfn.CONCAT(Waste_Mun_Backend[[#This Row],[Level 1]:[Level 6]]),rng_EFConcat,rng_EF3WTTTD)*Waste_Mun_Backend[[#This Row],[Converted data]]/1000</f>
        <v>#N/A</v>
      </c>
      <c r="AL53" s="220" t="e">
        <f>SUM(Waste_Mun_Backend[[#This Row],[Scope 1 (tCO2e)]:[Scope 3 WTT T&amp;D (tCO2e)]])</f>
        <v>#N/A</v>
      </c>
      <c r="AM53" s="220" t="e">
        <f>Waste_Mun_Backend[[#This Row],[Total (tCO2e)]]*(1-Waste_Mun_Backend[[#This Row],[RSD]])</f>
        <v>#N/A</v>
      </c>
      <c r="AN53" s="220" t="e">
        <f>Waste_Mun_Backend[[#This Row],[Total (tCO2e)]]*(1+Waste_Mun_Backend[[#This Row],[RSD]])</f>
        <v>#N/A</v>
      </c>
      <c r="AO53" s="210" t="e">
        <f>_xlfn.XLOOKUP(_xlfn.CONCAT(Waste_Mun_Backend[[#This Row],[Level 1]:[Level 6]]),rng_EFConcat,rng_EFOOS)*Waste_Mun_Backend[[#This Row],[Converted data]]/1000</f>
        <v>#N/A</v>
      </c>
      <c r="AP53" s="174">
        <f>Waste_Mun_Frontend[[#This Row],[Ease of collection]]</f>
        <v>0</v>
      </c>
      <c r="AQ53" s="213">
        <f>Waste_Mun_Frontend[[#This Row],[Completeness]]</f>
        <v>0</v>
      </c>
      <c r="AR53" s="213">
        <f>Waste_Mun_Frontend[[#This Row],[Notes]]</f>
        <v>0</v>
      </c>
      <c r="AT53"/>
      <c r="AU53"/>
      <c r="AV53"/>
      <c r="AW53"/>
      <c r="AX53"/>
    </row>
    <row r="54" spans="2:50" ht="14.5" x14ac:dyDescent="0.35">
      <c r="B54" s="455"/>
      <c r="E54" s="346"/>
      <c r="F54" s="336"/>
      <c r="G54" s="172" t="s">
        <v>336</v>
      </c>
      <c r="H54" s="334"/>
      <c r="I54" s="336"/>
      <c r="J54" s="336"/>
      <c r="K54" s="336"/>
      <c r="L54" s="337"/>
      <c r="M54" s="242">
        <f t="shared" si="4"/>
        <v>4</v>
      </c>
      <c r="Q54" s="212" t="str">
        <f t="shared" si="2"/>
        <v/>
      </c>
      <c r="R54" s="174" t="s">
        <v>194</v>
      </c>
      <c r="S54" s="174" t="s">
        <v>194</v>
      </c>
      <c r="T54" s="174" t="s">
        <v>376</v>
      </c>
      <c r="U54" s="174">
        <f>Waste_Mun_Frontend[[#This Row],[Disposal Method]]</f>
        <v>0</v>
      </c>
      <c r="V54" s="174">
        <f>Waste_Mun_Frontend[[#This Row],[Waste Type]]</f>
        <v>0</v>
      </c>
      <c r="W54" s="174" t="str">
        <f t="shared" si="3"/>
        <v>NaN</v>
      </c>
      <c r="X54" s="174" t="s">
        <v>339</v>
      </c>
      <c r="Y54" s="174" t="s">
        <v>339</v>
      </c>
      <c r="Z54" s="174" t="str">
        <f>Waste_Mun_Frontend[[#This Row],[Methodology]]</f>
        <v>Tier 3</v>
      </c>
      <c r="AA54" s="229" t="e" cm="1">
        <f t="array" ref="AA54">INDEX(_xlfn.SWITCH(Waste_Mun_Backend[[#This Row],[Methodology]],"Tier 1",rng_RSD1,"Tier 2",rng_RSD2,"Tier 3",rng_RSD3),MATCH(_xlfn.CONCAT(Waste_Mun_Backend[[#This Row],[Level 1]:[Level 6]]),rng_LevelsConcat,0))</f>
        <v>#N/A</v>
      </c>
      <c r="AB54" s="220">
        <f>Waste_Mun_Frontend[[#This Row],[Data]]</f>
        <v>0</v>
      </c>
      <c r="AC54" s="174">
        <f>Waste_Mun_Frontend[[#This Row],[Units]]</f>
        <v>0</v>
      </c>
      <c r="AD54" s="220" t="e">
        <f>IF(Waste_Mun_Backend[[#This Row],[Units]]=Waste_Mun_Backend[[#This Row],[Standard units]],Waste_Mun_Backend[[#This Row],[Data]],Waste_Mun_Backend[[#This Row],[Data]]*_xlfn.XLOOKUP(_xlfn.CONCAT(Waste_Mun_Backend[[#This Row],[Level 1]:[Level 6]]),rng_EFConcat,rng_EFConversion))</f>
        <v>#N/A</v>
      </c>
      <c r="AE54" s="174" t="e" cm="1">
        <f t="array" ref="AE54">_xlfn.XLOOKUP(_xlfn.CONCAT(Waste_Mun_Backend[[#This Row],[Level 1]:[Level 6]]),rng_LevelsConcat,rng_UnitsLong)</f>
        <v>#N/A</v>
      </c>
      <c r="AF54" s="210" t="e">
        <f>_xlfn.XLOOKUP(_xlfn.CONCAT(Waste_Mun_Backend[[#This Row],[Level 1]:[Level 6]]),rng_EFConcat,rng_EF1)*Waste_Mun_Backend[[#This Row],[Converted data]]/1000</f>
        <v>#N/A</v>
      </c>
      <c r="AG54" s="210" t="e">
        <f>_xlfn.XLOOKUP(_xlfn.CONCAT(Waste_Mun_Backend[[#This Row],[Level 1]:[Level 6]]),rng_EFConcat,rng_EF2)*Waste_Mun_Backend[[#This Row],[Converted data]]/1000</f>
        <v>#N/A</v>
      </c>
      <c r="AH54" s="210" t="e">
        <f>_xlfn.XLOOKUP(_xlfn.CONCAT(Waste_Mun_Backend[[#This Row],[Level 1]:[Level 6]]),rng_EFConcat,rng_EF3)*Waste_Mun_Backend[[#This Row],[Converted data]]/1000</f>
        <v>#N/A</v>
      </c>
      <c r="AI54" s="210" t="e">
        <f>_xlfn.XLOOKUP(_xlfn.CONCAT(Waste_Mun_Backend[[#This Row],[Level 1]:[Level 6]]),rng_EFConcat,rng_EF3WTT)*Waste_Mun_Backend[[#This Row],[Converted data]]/1000</f>
        <v>#N/A</v>
      </c>
      <c r="AJ54" s="210" t="e">
        <f>_xlfn.XLOOKUP(_xlfn.CONCAT(Waste_Mun_Backend[[#This Row],[Level 1]:[Level 6]]),rng_EFConcat,rng_EF3TD)*Waste_Mun_Backend[[#This Row],[Converted data]]/1000</f>
        <v>#N/A</v>
      </c>
      <c r="AK54" s="210" t="e">
        <f>_xlfn.XLOOKUP(_xlfn.CONCAT(Waste_Mun_Backend[[#This Row],[Level 1]:[Level 6]]),rng_EFConcat,rng_EF3WTTTD)*Waste_Mun_Backend[[#This Row],[Converted data]]/1000</f>
        <v>#N/A</v>
      </c>
      <c r="AL54" s="220" t="e">
        <f>SUM(Waste_Mun_Backend[[#This Row],[Scope 1 (tCO2e)]:[Scope 3 WTT T&amp;D (tCO2e)]])</f>
        <v>#N/A</v>
      </c>
      <c r="AM54" s="220" t="e">
        <f>Waste_Mun_Backend[[#This Row],[Total (tCO2e)]]*(1-Waste_Mun_Backend[[#This Row],[RSD]])</f>
        <v>#N/A</v>
      </c>
      <c r="AN54" s="220" t="e">
        <f>Waste_Mun_Backend[[#This Row],[Total (tCO2e)]]*(1+Waste_Mun_Backend[[#This Row],[RSD]])</f>
        <v>#N/A</v>
      </c>
      <c r="AO54" s="210" t="e">
        <f>_xlfn.XLOOKUP(_xlfn.CONCAT(Waste_Mun_Backend[[#This Row],[Level 1]:[Level 6]]),rng_EFConcat,rng_EFOOS)*Waste_Mun_Backend[[#This Row],[Converted data]]/1000</f>
        <v>#N/A</v>
      </c>
      <c r="AP54" s="174">
        <f>Waste_Mun_Frontend[[#This Row],[Ease of collection]]</f>
        <v>0</v>
      </c>
      <c r="AQ54" s="213">
        <f>Waste_Mun_Frontend[[#This Row],[Completeness]]</f>
        <v>0</v>
      </c>
      <c r="AR54" s="213">
        <f>Waste_Mun_Frontend[[#This Row],[Notes]]</f>
        <v>0</v>
      </c>
      <c r="AT54"/>
      <c r="AU54"/>
      <c r="AV54"/>
      <c r="AW54"/>
      <c r="AX54"/>
    </row>
    <row r="55" spans="2:50" ht="14.5" x14ac:dyDescent="0.35">
      <c r="B55" s="455"/>
      <c r="E55" s="346"/>
      <c r="F55" s="336"/>
      <c r="G55" s="172" t="s">
        <v>336</v>
      </c>
      <c r="H55" s="334"/>
      <c r="I55" s="336"/>
      <c r="J55" s="336"/>
      <c r="K55" s="336"/>
      <c r="L55" s="337"/>
      <c r="M55" s="242">
        <f t="shared" si="4"/>
        <v>4</v>
      </c>
      <c r="Q55" s="212" t="str">
        <f t="shared" si="2"/>
        <v/>
      </c>
      <c r="R55" s="174" t="s">
        <v>194</v>
      </c>
      <c r="S55" s="174" t="s">
        <v>194</v>
      </c>
      <c r="T55" s="174" t="s">
        <v>376</v>
      </c>
      <c r="U55" s="174">
        <f>Waste_Mun_Frontend[[#This Row],[Disposal Method]]</f>
        <v>0</v>
      </c>
      <c r="V55" s="174">
        <f>Waste_Mun_Frontend[[#This Row],[Waste Type]]</f>
        <v>0</v>
      </c>
      <c r="W55" s="174" t="str">
        <f t="shared" si="3"/>
        <v>NaN</v>
      </c>
      <c r="X55" s="174" t="s">
        <v>339</v>
      </c>
      <c r="Y55" s="174" t="s">
        <v>339</v>
      </c>
      <c r="Z55" s="174" t="str">
        <f>Waste_Mun_Frontend[[#This Row],[Methodology]]</f>
        <v>Tier 3</v>
      </c>
      <c r="AA55" s="229" t="e" cm="1">
        <f t="array" ref="AA55">INDEX(_xlfn.SWITCH(Waste_Mun_Backend[[#This Row],[Methodology]],"Tier 1",rng_RSD1,"Tier 2",rng_RSD2,"Tier 3",rng_RSD3),MATCH(_xlfn.CONCAT(Waste_Mun_Backend[[#This Row],[Level 1]:[Level 6]]),rng_LevelsConcat,0))</f>
        <v>#N/A</v>
      </c>
      <c r="AB55" s="220">
        <f>Waste_Mun_Frontend[[#This Row],[Data]]</f>
        <v>0</v>
      </c>
      <c r="AC55" s="174">
        <f>Waste_Mun_Frontend[[#This Row],[Units]]</f>
        <v>0</v>
      </c>
      <c r="AD55" s="220" t="e">
        <f>IF(Waste_Mun_Backend[[#This Row],[Units]]=Waste_Mun_Backend[[#This Row],[Standard units]],Waste_Mun_Backend[[#This Row],[Data]],Waste_Mun_Backend[[#This Row],[Data]]*_xlfn.XLOOKUP(_xlfn.CONCAT(Waste_Mun_Backend[[#This Row],[Level 1]:[Level 6]]),rng_EFConcat,rng_EFConversion))</f>
        <v>#N/A</v>
      </c>
      <c r="AE55" s="174" t="e" cm="1">
        <f t="array" ref="AE55">_xlfn.XLOOKUP(_xlfn.CONCAT(Waste_Mun_Backend[[#This Row],[Level 1]:[Level 6]]),rng_LevelsConcat,rng_UnitsLong)</f>
        <v>#N/A</v>
      </c>
      <c r="AF55" s="210" t="e">
        <f>_xlfn.XLOOKUP(_xlfn.CONCAT(Waste_Mun_Backend[[#This Row],[Level 1]:[Level 6]]),rng_EFConcat,rng_EF1)*Waste_Mun_Backend[[#This Row],[Converted data]]/1000</f>
        <v>#N/A</v>
      </c>
      <c r="AG55" s="210" t="e">
        <f>_xlfn.XLOOKUP(_xlfn.CONCAT(Waste_Mun_Backend[[#This Row],[Level 1]:[Level 6]]),rng_EFConcat,rng_EF2)*Waste_Mun_Backend[[#This Row],[Converted data]]/1000</f>
        <v>#N/A</v>
      </c>
      <c r="AH55" s="210" t="e">
        <f>_xlfn.XLOOKUP(_xlfn.CONCAT(Waste_Mun_Backend[[#This Row],[Level 1]:[Level 6]]),rng_EFConcat,rng_EF3)*Waste_Mun_Backend[[#This Row],[Converted data]]/1000</f>
        <v>#N/A</v>
      </c>
      <c r="AI55" s="210" t="e">
        <f>_xlfn.XLOOKUP(_xlfn.CONCAT(Waste_Mun_Backend[[#This Row],[Level 1]:[Level 6]]),rng_EFConcat,rng_EF3WTT)*Waste_Mun_Backend[[#This Row],[Converted data]]/1000</f>
        <v>#N/A</v>
      </c>
      <c r="AJ55" s="210" t="e">
        <f>_xlfn.XLOOKUP(_xlfn.CONCAT(Waste_Mun_Backend[[#This Row],[Level 1]:[Level 6]]),rng_EFConcat,rng_EF3TD)*Waste_Mun_Backend[[#This Row],[Converted data]]/1000</f>
        <v>#N/A</v>
      </c>
      <c r="AK55" s="210" t="e">
        <f>_xlfn.XLOOKUP(_xlfn.CONCAT(Waste_Mun_Backend[[#This Row],[Level 1]:[Level 6]]),rng_EFConcat,rng_EF3WTTTD)*Waste_Mun_Backend[[#This Row],[Converted data]]/1000</f>
        <v>#N/A</v>
      </c>
      <c r="AL55" s="220" t="e">
        <f>SUM(Waste_Mun_Backend[[#This Row],[Scope 1 (tCO2e)]:[Scope 3 WTT T&amp;D (tCO2e)]])</f>
        <v>#N/A</v>
      </c>
      <c r="AM55" s="220" t="e">
        <f>Waste_Mun_Backend[[#This Row],[Total (tCO2e)]]*(1-Waste_Mun_Backend[[#This Row],[RSD]])</f>
        <v>#N/A</v>
      </c>
      <c r="AN55" s="220" t="e">
        <f>Waste_Mun_Backend[[#This Row],[Total (tCO2e)]]*(1+Waste_Mun_Backend[[#This Row],[RSD]])</f>
        <v>#N/A</v>
      </c>
      <c r="AO55" s="210" t="e">
        <f>_xlfn.XLOOKUP(_xlfn.CONCAT(Waste_Mun_Backend[[#This Row],[Level 1]:[Level 6]]),rng_EFConcat,rng_EFOOS)*Waste_Mun_Backend[[#This Row],[Converted data]]/1000</f>
        <v>#N/A</v>
      </c>
      <c r="AP55" s="174">
        <f>Waste_Mun_Frontend[[#This Row],[Ease of collection]]</f>
        <v>0</v>
      </c>
      <c r="AQ55" s="213">
        <f>Waste_Mun_Frontend[[#This Row],[Completeness]]</f>
        <v>0</v>
      </c>
      <c r="AR55" s="213">
        <f>Waste_Mun_Frontend[[#This Row],[Notes]]</f>
        <v>0</v>
      </c>
      <c r="AT55"/>
      <c r="AU55"/>
      <c r="AV55"/>
      <c r="AW55"/>
      <c r="AX55"/>
    </row>
    <row r="56" spans="2:50" ht="14.5" x14ac:dyDescent="0.35">
      <c r="B56" s="455"/>
      <c r="E56" s="346"/>
      <c r="F56" s="336"/>
      <c r="G56" s="172" t="s">
        <v>336</v>
      </c>
      <c r="H56" s="334"/>
      <c r="I56" s="336"/>
      <c r="J56" s="336"/>
      <c r="K56" s="336"/>
      <c r="L56" s="337"/>
      <c r="M56" s="242">
        <f t="shared" si="4"/>
        <v>4</v>
      </c>
      <c r="Q56" s="212" t="str">
        <f t="shared" si="2"/>
        <v/>
      </c>
      <c r="R56" s="174" t="s">
        <v>194</v>
      </c>
      <c r="S56" s="174" t="s">
        <v>194</v>
      </c>
      <c r="T56" s="174" t="s">
        <v>376</v>
      </c>
      <c r="U56" s="174">
        <f>Waste_Mun_Frontend[[#This Row],[Disposal Method]]</f>
        <v>0</v>
      </c>
      <c r="V56" s="174">
        <f>Waste_Mun_Frontend[[#This Row],[Waste Type]]</f>
        <v>0</v>
      </c>
      <c r="W56" s="174" t="str">
        <f t="shared" si="3"/>
        <v>NaN</v>
      </c>
      <c r="X56" s="174" t="s">
        <v>339</v>
      </c>
      <c r="Y56" s="174" t="s">
        <v>339</v>
      </c>
      <c r="Z56" s="174" t="str">
        <f>Waste_Mun_Frontend[[#This Row],[Methodology]]</f>
        <v>Tier 3</v>
      </c>
      <c r="AA56" s="229" t="e" cm="1">
        <f t="array" ref="AA56">INDEX(_xlfn.SWITCH(Waste_Mun_Backend[[#This Row],[Methodology]],"Tier 1",rng_RSD1,"Tier 2",rng_RSD2,"Tier 3",rng_RSD3),MATCH(_xlfn.CONCAT(Waste_Mun_Backend[[#This Row],[Level 1]:[Level 6]]),rng_LevelsConcat,0))</f>
        <v>#N/A</v>
      </c>
      <c r="AB56" s="220">
        <f>Waste_Mun_Frontend[[#This Row],[Data]]</f>
        <v>0</v>
      </c>
      <c r="AC56" s="174">
        <f>Waste_Mun_Frontend[[#This Row],[Units]]</f>
        <v>0</v>
      </c>
      <c r="AD56" s="220" t="e">
        <f>IF(Waste_Mun_Backend[[#This Row],[Units]]=Waste_Mun_Backend[[#This Row],[Standard units]],Waste_Mun_Backend[[#This Row],[Data]],Waste_Mun_Backend[[#This Row],[Data]]*_xlfn.XLOOKUP(_xlfn.CONCAT(Waste_Mun_Backend[[#This Row],[Level 1]:[Level 6]]),rng_EFConcat,rng_EFConversion))</f>
        <v>#N/A</v>
      </c>
      <c r="AE56" s="174" t="e" cm="1">
        <f t="array" ref="AE56">_xlfn.XLOOKUP(_xlfn.CONCAT(Waste_Mun_Backend[[#This Row],[Level 1]:[Level 6]]),rng_LevelsConcat,rng_UnitsLong)</f>
        <v>#N/A</v>
      </c>
      <c r="AF56" s="210" t="e">
        <f>_xlfn.XLOOKUP(_xlfn.CONCAT(Waste_Mun_Backend[[#This Row],[Level 1]:[Level 6]]),rng_EFConcat,rng_EF1)*Waste_Mun_Backend[[#This Row],[Converted data]]/1000</f>
        <v>#N/A</v>
      </c>
      <c r="AG56" s="210" t="e">
        <f>_xlfn.XLOOKUP(_xlfn.CONCAT(Waste_Mun_Backend[[#This Row],[Level 1]:[Level 6]]),rng_EFConcat,rng_EF2)*Waste_Mun_Backend[[#This Row],[Converted data]]/1000</f>
        <v>#N/A</v>
      </c>
      <c r="AH56" s="210" t="e">
        <f>_xlfn.XLOOKUP(_xlfn.CONCAT(Waste_Mun_Backend[[#This Row],[Level 1]:[Level 6]]),rng_EFConcat,rng_EF3)*Waste_Mun_Backend[[#This Row],[Converted data]]/1000</f>
        <v>#N/A</v>
      </c>
      <c r="AI56" s="210" t="e">
        <f>_xlfn.XLOOKUP(_xlfn.CONCAT(Waste_Mun_Backend[[#This Row],[Level 1]:[Level 6]]),rng_EFConcat,rng_EF3WTT)*Waste_Mun_Backend[[#This Row],[Converted data]]/1000</f>
        <v>#N/A</v>
      </c>
      <c r="AJ56" s="210" t="e">
        <f>_xlfn.XLOOKUP(_xlfn.CONCAT(Waste_Mun_Backend[[#This Row],[Level 1]:[Level 6]]),rng_EFConcat,rng_EF3TD)*Waste_Mun_Backend[[#This Row],[Converted data]]/1000</f>
        <v>#N/A</v>
      </c>
      <c r="AK56" s="210" t="e">
        <f>_xlfn.XLOOKUP(_xlfn.CONCAT(Waste_Mun_Backend[[#This Row],[Level 1]:[Level 6]]),rng_EFConcat,rng_EF3WTTTD)*Waste_Mun_Backend[[#This Row],[Converted data]]/1000</f>
        <v>#N/A</v>
      </c>
      <c r="AL56" s="220" t="e">
        <f>SUM(Waste_Mun_Backend[[#This Row],[Scope 1 (tCO2e)]:[Scope 3 WTT T&amp;D (tCO2e)]])</f>
        <v>#N/A</v>
      </c>
      <c r="AM56" s="220" t="e">
        <f>Waste_Mun_Backend[[#This Row],[Total (tCO2e)]]*(1-Waste_Mun_Backend[[#This Row],[RSD]])</f>
        <v>#N/A</v>
      </c>
      <c r="AN56" s="220" t="e">
        <f>Waste_Mun_Backend[[#This Row],[Total (tCO2e)]]*(1+Waste_Mun_Backend[[#This Row],[RSD]])</f>
        <v>#N/A</v>
      </c>
      <c r="AO56" s="210" t="e">
        <f>_xlfn.XLOOKUP(_xlfn.CONCAT(Waste_Mun_Backend[[#This Row],[Level 1]:[Level 6]]),rng_EFConcat,rng_EFOOS)*Waste_Mun_Backend[[#This Row],[Converted data]]/1000</f>
        <v>#N/A</v>
      </c>
      <c r="AP56" s="174">
        <f>Waste_Mun_Frontend[[#This Row],[Ease of collection]]</f>
        <v>0</v>
      </c>
      <c r="AQ56" s="213">
        <f>Waste_Mun_Frontend[[#This Row],[Completeness]]</f>
        <v>0</v>
      </c>
      <c r="AR56" s="213">
        <f>Waste_Mun_Frontend[[#This Row],[Notes]]</f>
        <v>0</v>
      </c>
      <c r="AT56"/>
      <c r="AU56"/>
      <c r="AV56"/>
      <c r="AW56"/>
      <c r="AX56"/>
    </row>
    <row r="57" spans="2:50" ht="14.5" x14ac:dyDescent="0.35">
      <c r="B57" s="455"/>
      <c r="E57" s="346"/>
      <c r="F57" s="336"/>
      <c r="G57" s="172" t="s">
        <v>336</v>
      </c>
      <c r="H57" s="334"/>
      <c r="I57" s="336"/>
      <c r="J57" s="336"/>
      <c r="K57" s="336"/>
      <c r="L57" s="337"/>
      <c r="M57" s="242">
        <f t="shared" si="4"/>
        <v>4</v>
      </c>
      <c r="Q57" s="212" t="str">
        <f t="shared" si="2"/>
        <v/>
      </c>
      <c r="R57" s="174" t="s">
        <v>194</v>
      </c>
      <c r="S57" s="174" t="s">
        <v>194</v>
      </c>
      <c r="T57" s="174" t="s">
        <v>376</v>
      </c>
      <c r="U57" s="174">
        <f>Waste_Mun_Frontend[[#This Row],[Disposal Method]]</f>
        <v>0</v>
      </c>
      <c r="V57" s="174">
        <f>Waste_Mun_Frontend[[#This Row],[Waste Type]]</f>
        <v>0</v>
      </c>
      <c r="W57" s="174" t="str">
        <f t="shared" si="3"/>
        <v>NaN</v>
      </c>
      <c r="X57" s="174" t="s">
        <v>339</v>
      </c>
      <c r="Y57" s="174" t="s">
        <v>339</v>
      </c>
      <c r="Z57" s="174" t="str">
        <f>Waste_Mun_Frontend[[#This Row],[Methodology]]</f>
        <v>Tier 3</v>
      </c>
      <c r="AA57" s="229" t="e" cm="1">
        <f t="array" ref="AA57">INDEX(_xlfn.SWITCH(Waste_Mun_Backend[[#This Row],[Methodology]],"Tier 1",rng_RSD1,"Tier 2",rng_RSD2,"Tier 3",rng_RSD3),MATCH(_xlfn.CONCAT(Waste_Mun_Backend[[#This Row],[Level 1]:[Level 6]]),rng_LevelsConcat,0))</f>
        <v>#N/A</v>
      </c>
      <c r="AB57" s="220">
        <f>Waste_Mun_Frontend[[#This Row],[Data]]</f>
        <v>0</v>
      </c>
      <c r="AC57" s="174">
        <f>Waste_Mun_Frontend[[#This Row],[Units]]</f>
        <v>0</v>
      </c>
      <c r="AD57" s="220" t="e">
        <f>IF(Waste_Mun_Backend[[#This Row],[Units]]=Waste_Mun_Backend[[#This Row],[Standard units]],Waste_Mun_Backend[[#This Row],[Data]],Waste_Mun_Backend[[#This Row],[Data]]*_xlfn.XLOOKUP(_xlfn.CONCAT(Waste_Mun_Backend[[#This Row],[Level 1]:[Level 6]]),rng_EFConcat,rng_EFConversion))</f>
        <v>#N/A</v>
      </c>
      <c r="AE57" s="174" t="e" cm="1">
        <f t="array" ref="AE57">_xlfn.XLOOKUP(_xlfn.CONCAT(Waste_Mun_Backend[[#This Row],[Level 1]:[Level 6]]),rng_LevelsConcat,rng_UnitsLong)</f>
        <v>#N/A</v>
      </c>
      <c r="AF57" s="210" t="e">
        <f>_xlfn.XLOOKUP(_xlfn.CONCAT(Waste_Mun_Backend[[#This Row],[Level 1]:[Level 6]]),rng_EFConcat,rng_EF1)*Waste_Mun_Backend[[#This Row],[Converted data]]/1000</f>
        <v>#N/A</v>
      </c>
      <c r="AG57" s="210" t="e">
        <f>_xlfn.XLOOKUP(_xlfn.CONCAT(Waste_Mun_Backend[[#This Row],[Level 1]:[Level 6]]),rng_EFConcat,rng_EF2)*Waste_Mun_Backend[[#This Row],[Converted data]]/1000</f>
        <v>#N/A</v>
      </c>
      <c r="AH57" s="210" t="e">
        <f>_xlfn.XLOOKUP(_xlfn.CONCAT(Waste_Mun_Backend[[#This Row],[Level 1]:[Level 6]]),rng_EFConcat,rng_EF3)*Waste_Mun_Backend[[#This Row],[Converted data]]/1000</f>
        <v>#N/A</v>
      </c>
      <c r="AI57" s="210" t="e">
        <f>_xlfn.XLOOKUP(_xlfn.CONCAT(Waste_Mun_Backend[[#This Row],[Level 1]:[Level 6]]),rng_EFConcat,rng_EF3WTT)*Waste_Mun_Backend[[#This Row],[Converted data]]/1000</f>
        <v>#N/A</v>
      </c>
      <c r="AJ57" s="210" t="e">
        <f>_xlfn.XLOOKUP(_xlfn.CONCAT(Waste_Mun_Backend[[#This Row],[Level 1]:[Level 6]]),rng_EFConcat,rng_EF3TD)*Waste_Mun_Backend[[#This Row],[Converted data]]/1000</f>
        <v>#N/A</v>
      </c>
      <c r="AK57" s="210" t="e">
        <f>_xlfn.XLOOKUP(_xlfn.CONCAT(Waste_Mun_Backend[[#This Row],[Level 1]:[Level 6]]),rng_EFConcat,rng_EF3WTTTD)*Waste_Mun_Backend[[#This Row],[Converted data]]/1000</f>
        <v>#N/A</v>
      </c>
      <c r="AL57" s="220" t="e">
        <f>SUM(Waste_Mun_Backend[[#This Row],[Scope 1 (tCO2e)]:[Scope 3 WTT T&amp;D (tCO2e)]])</f>
        <v>#N/A</v>
      </c>
      <c r="AM57" s="220" t="e">
        <f>Waste_Mun_Backend[[#This Row],[Total (tCO2e)]]*(1-Waste_Mun_Backend[[#This Row],[RSD]])</f>
        <v>#N/A</v>
      </c>
      <c r="AN57" s="220" t="e">
        <f>Waste_Mun_Backend[[#This Row],[Total (tCO2e)]]*(1+Waste_Mun_Backend[[#This Row],[RSD]])</f>
        <v>#N/A</v>
      </c>
      <c r="AO57" s="210" t="e">
        <f>_xlfn.XLOOKUP(_xlfn.CONCAT(Waste_Mun_Backend[[#This Row],[Level 1]:[Level 6]]),rng_EFConcat,rng_EFOOS)*Waste_Mun_Backend[[#This Row],[Converted data]]/1000</f>
        <v>#N/A</v>
      </c>
      <c r="AP57" s="174">
        <f>Waste_Mun_Frontend[[#This Row],[Ease of collection]]</f>
        <v>0</v>
      </c>
      <c r="AQ57" s="213">
        <f>Waste_Mun_Frontend[[#This Row],[Completeness]]</f>
        <v>0</v>
      </c>
      <c r="AR57" s="213">
        <f>Waste_Mun_Frontend[[#This Row],[Notes]]</f>
        <v>0</v>
      </c>
      <c r="AT57"/>
      <c r="AU57"/>
      <c r="AV57"/>
      <c r="AW57"/>
      <c r="AX57"/>
    </row>
    <row r="58" spans="2:50" ht="14.5" x14ac:dyDescent="0.35">
      <c r="B58" s="455"/>
      <c r="E58" s="346"/>
      <c r="F58" s="336"/>
      <c r="G58" s="172" t="s">
        <v>336</v>
      </c>
      <c r="H58" s="334"/>
      <c r="I58" s="336"/>
      <c r="J58" s="336"/>
      <c r="K58" s="336"/>
      <c r="L58" s="337"/>
      <c r="M58" s="242">
        <f t="shared" si="4"/>
        <v>4</v>
      </c>
      <c r="Q58" s="212" t="str">
        <f t="shared" si="2"/>
        <v/>
      </c>
      <c r="R58" s="174" t="s">
        <v>194</v>
      </c>
      <c r="S58" s="174" t="s">
        <v>194</v>
      </c>
      <c r="T58" s="174" t="s">
        <v>376</v>
      </c>
      <c r="U58" s="174">
        <f>Waste_Mun_Frontend[[#This Row],[Disposal Method]]</f>
        <v>0</v>
      </c>
      <c r="V58" s="174">
        <f>Waste_Mun_Frontend[[#This Row],[Waste Type]]</f>
        <v>0</v>
      </c>
      <c r="W58" s="174" t="str">
        <f t="shared" si="3"/>
        <v>NaN</v>
      </c>
      <c r="X58" s="174" t="s">
        <v>339</v>
      </c>
      <c r="Y58" s="174" t="s">
        <v>339</v>
      </c>
      <c r="Z58" s="174" t="str">
        <f>Waste_Mun_Frontend[[#This Row],[Methodology]]</f>
        <v>Tier 3</v>
      </c>
      <c r="AA58" s="229" t="e" cm="1">
        <f t="array" ref="AA58">INDEX(_xlfn.SWITCH(Waste_Mun_Backend[[#This Row],[Methodology]],"Tier 1",rng_RSD1,"Tier 2",rng_RSD2,"Tier 3",rng_RSD3),MATCH(_xlfn.CONCAT(Waste_Mun_Backend[[#This Row],[Level 1]:[Level 6]]),rng_LevelsConcat,0))</f>
        <v>#N/A</v>
      </c>
      <c r="AB58" s="220">
        <f>Waste_Mun_Frontend[[#This Row],[Data]]</f>
        <v>0</v>
      </c>
      <c r="AC58" s="174">
        <f>Waste_Mun_Frontend[[#This Row],[Units]]</f>
        <v>0</v>
      </c>
      <c r="AD58" s="220" t="e">
        <f>IF(Waste_Mun_Backend[[#This Row],[Units]]=Waste_Mun_Backend[[#This Row],[Standard units]],Waste_Mun_Backend[[#This Row],[Data]],Waste_Mun_Backend[[#This Row],[Data]]*_xlfn.XLOOKUP(_xlfn.CONCAT(Waste_Mun_Backend[[#This Row],[Level 1]:[Level 6]]),rng_EFConcat,rng_EFConversion))</f>
        <v>#N/A</v>
      </c>
      <c r="AE58" s="174" t="e" cm="1">
        <f t="array" ref="AE58">_xlfn.XLOOKUP(_xlfn.CONCAT(Waste_Mun_Backend[[#This Row],[Level 1]:[Level 6]]),rng_LevelsConcat,rng_UnitsLong)</f>
        <v>#N/A</v>
      </c>
      <c r="AF58" s="210" t="e">
        <f>_xlfn.XLOOKUP(_xlfn.CONCAT(Waste_Mun_Backend[[#This Row],[Level 1]:[Level 6]]),rng_EFConcat,rng_EF1)*Waste_Mun_Backend[[#This Row],[Converted data]]/1000</f>
        <v>#N/A</v>
      </c>
      <c r="AG58" s="210" t="e">
        <f>_xlfn.XLOOKUP(_xlfn.CONCAT(Waste_Mun_Backend[[#This Row],[Level 1]:[Level 6]]),rng_EFConcat,rng_EF2)*Waste_Mun_Backend[[#This Row],[Converted data]]/1000</f>
        <v>#N/A</v>
      </c>
      <c r="AH58" s="210" t="e">
        <f>_xlfn.XLOOKUP(_xlfn.CONCAT(Waste_Mun_Backend[[#This Row],[Level 1]:[Level 6]]),rng_EFConcat,rng_EF3)*Waste_Mun_Backend[[#This Row],[Converted data]]/1000</f>
        <v>#N/A</v>
      </c>
      <c r="AI58" s="210" t="e">
        <f>_xlfn.XLOOKUP(_xlfn.CONCAT(Waste_Mun_Backend[[#This Row],[Level 1]:[Level 6]]),rng_EFConcat,rng_EF3WTT)*Waste_Mun_Backend[[#This Row],[Converted data]]/1000</f>
        <v>#N/A</v>
      </c>
      <c r="AJ58" s="210" t="e">
        <f>_xlfn.XLOOKUP(_xlfn.CONCAT(Waste_Mun_Backend[[#This Row],[Level 1]:[Level 6]]),rng_EFConcat,rng_EF3TD)*Waste_Mun_Backend[[#This Row],[Converted data]]/1000</f>
        <v>#N/A</v>
      </c>
      <c r="AK58" s="210" t="e">
        <f>_xlfn.XLOOKUP(_xlfn.CONCAT(Waste_Mun_Backend[[#This Row],[Level 1]:[Level 6]]),rng_EFConcat,rng_EF3WTTTD)*Waste_Mun_Backend[[#This Row],[Converted data]]/1000</f>
        <v>#N/A</v>
      </c>
      <c r="AL58" s="220" t="e">
        <f>SUM(Waste_Mun_Backend[[#This Row],[Scope 1 (tCO2e)]:[Scope 3 WTT T&amp;D (tCO2e)]])</f>
        <v>#N/A</v>
      </c>
      <c r="AM58" s="220" t="e">
        <f>Waste_Mun_Backend[[#This Row],[Total (tCO2e)]]*(1-Waste_Mun_Backend[[#This Row],[RSD]])</f>
        <v>#N/A</v>
      </c>
      <c r="AN58" s="220" t="e">
        <f>Waste_Mun_Backend[[#This Row],[Total (tCO2e)]]*(1+Waste_Mun_Backend[[#This Row],[RSD]])</f>
        <v>#N/A</v>
      </c>
      <c r="AO58" s="210" t="e">
        <f>_xlfn.XLOOKUP(_xlfn.CONCAT(Waste_Mun_Backend[[#This Row],[Level 1]:[Level 6]]),rng_EFConcat,rng_EFOOS)*Waste_Mun_Backend[[#This Row],[Converted data]]/1000</f>
        <v>#N/A</v>
      </c>
      <c r="AP58" s="174">
        <f>Waste_Mun_Frontend[[#This Row],[Ease of collection]]</f>
        <v>0</v>
      </c>
      <c r="AQ58" s="213">
        <f>Waste_Mun_Frontend[[#This Row],[Completeness]]</f>
        <v>0</v>
      </c>
      <c r="AR58" s="213">
        <f>Waste_Mun_Frontend[[#This Row],[Notes]]</f>
        <v>0</v>
      </c>
      <c r="AT58"/>
      <c r="AU58"/>
      <c r="AV58"/>
      <c r="AW58"/>
      <c r="AX58"/>
    </row>
    <row r="59" spans="2:50" ht="14.5" x14ac:dyDescent="0.35">
      <c r="B59" s="455"/>
      <c r="E59" s="346"/>
      <c r="F59" s="336"/>
      <c r="G59" s="172" t="s">
        <v>336</v>
      </c>
      <c r="H59" s="334"/>
      <c r="I59" s="336"/>
      <c r="J59" s="336"/>
      <c r="K59" s="336"/>
      <c r="L59" s="337"/>
      <c r="M59" s="242">
        <f t="shared" si="4"/>
        <v>4</v>
      </c>
      <c r="Q59" s="212" t="str">
        <f t="shared" si="2"/>
        <v/>
      </c>
      <c r="R59" s="174" t="s">
        <v>194</v>
      </c>
      <c r="S59" s="174" t="s">
        <v>194</v>
      </c>
      <c r="T59" s="174" t="s">
        <v>376</v>
      </c>
      <c r="U59" s="174">
        <f>Waste_Mun_Frontend[[#This Row],[Disposal Method]]</f>
        <v>0</v>
      </c>
      <c r="V59" s="174">
        <f>Waste_Mun_Frontend[[#This Row],[Waste Type]]</f>
        <v>0</v>
      </c>
      <c r="W59" s="174" t="str">
        <f t="shared" si="3"/>
        <v>NaN</v>
      </c>
      <c r="X59" s="174" t="s">
        <v>339</v>
      </c>
      <c r="Y59" s="174" t="s">
        <v>339</v>
      </c>
      <c r="Z59" s="174" t="str">
        <f>Waste_Mun_Frontend[[#This Row],[Methodology]]</f>
        <v>Tier 3</v>
      </c>
      <c r="AA59" s="229" t="e" cm="1">
        <f t="array" ref="AA59">INDEX(_xlfn.SWITCH(Waste_Mun_Backend[[#This Row],[Methodology]],"Tier 1",rng_RSD1,"Tier 2",rng_RSD2,"Tier 3",rng_RSD3),MATCH(_xlfn.CONCAT(Waste_Mun_Backend[[#This Row],[Level 1]:[Level 6]]),rng_LevelsConcat,0))</f>
        <v>#N/A</v>
      </c>
      <c r="AB59" s="220">
        <f>Waste_Mun_Frontend[[#This Row],[Data]]</f>
        <v>0</v>
      </c>
      <c r="AC59" s="174">
        <f>Waste_Mun_Frontend[[#This Row],[Units]]</f>
        <v>0</v>
      </c>
      <c r="AD59" s="220" t="e">
        <f>IF(Waste_Mun_Backend[[#This Row],[Units]]=Waste_Mun_Backend[[#This Row],[Standard units]],Waste_Mun_Backend[[#This Row],[Data]],Waste_Mun_Backend[[#This Row],[Data]]*_xlfn.XLOOKUP(_xlfn.CONCAT(Waste_Mun_Backend[[#This Row],[Level 1]:[Level 6]]),rng_EFConcat,rng_EFConversion))</f>
        <v>#N/A</v>
      </c>
      <c r="AE59" s="174" t="e" cm="1">
        <f t="array" ref="AE59">_xlfn.XLOOKUP(_xlfn.CONCAT(Waste_Mun_Backend[[#This Row],[Level 1]:[Level 6]]),rng_LevelsConcat,rng_UnitsLong)</f>
        <v>#N/A</v>
      </c>
      <c r="AF59" s="210" t="e">
        <f>_xlfn.XLOOKUP(_xlfn.CONCAT(Waste_Mun_Backend[[#This Row],[Level 1]:[Level 6]]),rng_EFConcat,rng_EF1)*Waste_Mun_Backend[[#This Row],[Converted data]]/1000</f>
        <v>#N/A</v>
      </c>
      <c r="AG59" s="210" t="e">
        <f>_xlfn.XLOOKUP(_xlfn.CONCAT(Waste_Mun_Backend[[#This Row],[Level 1]:[Level 6]]),rng_EFConcat,rng_EF2)*Waste_Mun_Backend[[#This Row],[Converted data]]/1000</f>
        <v>#N/A</v>
      </c>
      <c r="AH59" s="210" t="e">
        <f>_xlfn.XLOOKUP(_xlfn.CONCAT(Waste_Mun_Backend[[#This Row],[Level 1]:[Level 6]]),rng_EFConcat,rng_EF3)*Waste_Mun_Backend[[#This Row],[Converted data]]/1000</f>
        <v>#N/A</v>
      </c>
      <c r="AI59" s="210" t="e">
        <f>_xlfn.XLOOKUP(_xlfn.CONCAT(Waste_Mun_Backend[[#This Row],[Level 1]:[Level 6]]),rng_EFConcat,rng_EF3WTT)*Waste_Mun_Backend[[#This Row],[Converted data]]/1000</f>
        <v>#N/A</v>
      </c>
      <c r="AJ59" s="210" t="e">
        <f>_xlfn.XLOOKUP(_xlfn.CONCAT(Waste_Mun_Backend[[#This Row],[Level 1]:[Level 6]]),rng_EFConcat,rng_EF3TD)*Waste_Mun_Backend[[#This Row],[Converted data]]/1000</f>
        <v>#N/A</v>
      </c>
      <c r="AK59" s="210" t="e">
        <f>_xlfn.XLOOKUP(_xlfn.CONCAT(Waste_Mun_Backend[[#This Row],[Level 1]:[Level 6]]),rng_EFConcat,rng_EF3WTTTD)*Waste_Mun_Backend[[#This Row],[Converted data]]/1000</f>
        <v>#N/A</v>
      </c>
      <c r="AL59" s="220" t="e">
        <f>SUM(Waste_Mun_Backend[[#This Row],[Scope 1 (tCO2e)]:[Scope 3 WTT T&amp;D (tCO2e)]])</f>
        <v>#N/A</v>
      </c>
      <c r="AM59" s="220" t="e">
        <f>Waste_Mun_Backend[[#This Row],[Total (tCO2e)]]*(1-Waste_Mun_Backend[[#This Row],[RSD]])</f>
        <v>#N/A</v>
      </c>
      <c r="AN59" s="220" t="e">
        <f>Waste_Mun_Backend[[#This Row],[Total (tCO2e)]]*(1+Waste_Mun_Backend[[#This Row],[RSD]])</f>
        <v>#N/A</v>
      </c>
      <c r="AO59" s="210" t="e">
        <f>_xlfn.XLOOKUP(_xlfn.CONCAT(Waste_Mun_Backend[[#This Row],[Level 1]:[Level 6]]),rng_EFConcat,rng_EFOOS)*Waste_Mun_Backend[[#This Row],[Converted data]]/1000</f>
        <v>#N/A</v>
      </c>
      <c r="AP59" s="174">
        <f>Waste_Mun_Frontend[[#This Row],[Ease of collection]]</f>
        <v>0</v>
      </c>
      <c r="AQ59" s="213">
        <f>Waste_Mun_Frontend[[#This Row],[Completeness]]</f>
        <v>0</v>
      </c>
      <c r="AR59" s="213">
        <f>Waste_Mun_Frontend[[#This Row],[Notes]]</f>
        <v>0</v>
      </c>
      <c r="AT59"/>
      <c r="AU59"/>
      <c r="AV59"/>
      <c r="AW59"/>
      <c r="AX59"/>
    </row>
    <row r="60" spans="2:50" ht="14.5" x14ac:dyDescent="0.35">
      <c r="B60" s="455"/>
      <c r="E60" s="346"/>
      <c r="F60" s="336"/>
      <c r="G60" s="172" t="s">
        <v>336</v>
      </c>
      <c r="H60" s="335"/>
      <c r="I60" s="336"/>
      <c r="J60" s="338"/>
      <c r="K60" s="338"/>
      <c r="L60" s="339"/>
      <c r="M60" s="242">
        <f t="shared" si="4"/>
        <v>4</v>
      </c>
      <c r="Q60" s="214" t="str">
        <f t="shared" si="2"/>
        <v/>
      </c>
      <c r="R60" s="174" t="s">
        <v>194</v>
      </c>
      <c r="S60" s="174" t="s">
        <v>194</v>
      </c>
      <c r="T60" s="174" t="s">
        <v>376</v>
      </c>
      <c r="U60" s="174">
        <f>Waste_Mun_Frontend[[#This Row],[Disposal Method]]</f>
        <v>0</v>
      </c>
      <c r="V60" s="174">
        <f>Waste_Mun_Frontend[[#This Row],[Waste Type]]</f>
        <v>0</v>
      </c>
      <c r="W60" s="216" t="str">
        <f t="shared" si="3"/>
        <v>NaN</v>
      </c>
      <c r="X60" s="174" t="s">
        <v>339</v>
      </c>
      <c r="Y60" s="174" t="s">
        <v>339</v>
      </c>
      <c r="Z60" s="174" t="str">
        <f>Waste_Mun_Frontend[[#This Row],[Methodology]]</f>
        <v>Tier 3</v>
      </c>
      <c r="AA60" s="229" t="e" cm="1">
        <f t="array" ref="AA60">INDEX(_xlfn.SWITCH(Waste_Mun_Backend[[#This Row],[Methodology]],"Tier 1",rng_RSD1,"Tier 2",rng_RSD2,"Tier 3",rng_RSD3),MATCH(_xlfn.CONCAT(Waste_Mun_Backend[[#This Row],[Level 1]:[Level 6]]),rng_LevelsConcat,0))</f>
        <v>#N/A</v>
      </c>
      <c r="AB60" s="220">
        <f>Waste_Mun_Frontend[[#This Row],[Data]]</f>
        <v>0</v>
      </c>
      <c r="AC60" s="174">
        <f>Waste_Mun_Frontend[[#This Row],[Units]]</f>
        <v>0</v>
      </c>
      <c r="AD60" s="220" t="e">
        <f>IF(Waste_Mun_Backend[[#This Row],[Units]]=Waste_Mun_Backend[[#This Row],[Standard units]],Waste_Mun_Backend[[#This Row],[Data]],Waste_Mun_Backend[[#This Row],[Data]]*_xlfn.XLOOKUP(_xlfn.CONCAT(Waste_Mun_Backend[[#This Row],[Level 1]:[Level 6]]),rng_EFConcat,rng_EFConversion))</f>
        <v>#N/A</v>
      </c>
      <c r="AE60" s="174" t="e" cm="1">
        <f t="array" ref="AE60">_xlfn.XLOOKUP(_xlfn.CONCAT(Waste_Mun_Backend[[#This Row],[Level 1]:[Level 6]]),rng_LevelsConcat,rng_UnitsLong)</f>
        <v>#N/A</v>
      </c>
      <c r="AF60" s="210" t="e">
        <f>_xlfn.XLOOKUP(_xlfn.CONCAT(Waste_Mun_Backend[[#This Row],[Level 1]:[Level 6]]),rng_EFConcat,rng_EF1)*Waste_Mun_Backend[[#This Row],[Converted data]]/1000</f>
        <v>#N/A</v>
      </c>
      <c r="AG60" s="210" t="e">
        <f>_xlfn.XLOOKUP(_xlfn.CONCAT(Waste_Mun_Backend[[#This Row],[Level 1]:[Level 6]]),rng_EFConcat,rng_EF2)*Waste_Mun_Backend[[#This Row],[Converted data]]/1000</f>
        <v>#N/A</v>
      </c>
      <c r="AH60" s="210" t="e">
        <f>_xlfn.XLOOKUP(_xlfn.CONCAT(Waste_Mun_Backend[[#This Row],[Level 1]:[Level 6]]),rng_EFConcat,rng_EF3)*Waste_Mun_Backend[[#This Row],[Converted data]]/1000</f>
        <v>#N/A</v>
      </c>
      <c r="AI60" s="210" t="e">
        <f>_xlfn.XLOOKUP(_xlfn.CONCAT(Waste_Mun_Backend[[#This Row],[Level 1]:[Level 6]]),rng_EFConcat,rng_EF3WTT)*Waste_Mun_Backend[[#This Row],[Converted data]]/1000</f>
        <v>#N/A</v>
      </c>
      <c r="AJ60" s="210" t="e">
        <f>_xlfn.XLOOKUP(_xlfn.CONCAT(Waste_Mun_Backend[[#This Row],[Level 1]:[Level 6]]),rng_EFConcat,rng_EF3TD)*Waste_Mun_Backend[[#This Row],[Converted data]]/1000</f>
        <v>#N/A</v>
      </c>
      <c r="AK60" s="210" t="e">
        <f>_xlfn.XLOOKUP(_xlfn.CONCAT(Waste_Mun_Backend[[#This Row],[Level 1]:[Level 6]]),rng_EFConcat,rng_EF3WTTTD)*Waste_Mun_Backend[[#This Row],[Converted data]]/1000</f>
        <v>#N/A</v>
      </c>
      <c r="AL60" s="220" t="e">
        <f>SUM(Waste_Mun_Backend[[#This Row],[Scope 1 (tCO2e)]:[Scope 3 WTT T&amp;D (tCO2e)]])</f>
        <v>#N/A</v>
      </c>
      <c r="AM60" s="220" t="e">
        <f>Waste_Mun_Backend[[#This Row],[Total (tCO2e)]]*(1-Waste_Mun_Backend[[#This Row],[RSD]])</f>
        <v>#N/A</v>
      </c>
      <c r="AN60" s="220" t="e">
        <f>Waste_Mun_Backend[[#This Row],[Total (tCO2e)]]*(1+Waste_Mun_Backend[[#This Row],[RSD]])</f>
        <v>#N/A</v>
      </c>
      <c r="AO60" s="210" t="e">
        <f>_xlfn.XLOOKUP(_xlfn.CONCAT(Waste_Mun_Backend[[#This Row],[Level 1]:[Level 6]]),rng_EFConcat,rng_EFOOS)*Waste_Mun_Backend[[#This Row],[Converted data]]/1000</f>
        <v>#N/A</v>
      </c>
      <c r="AP60" s="174">
        <f>Waste_Mun_Frontend[[#This Row],[Ease of collection]]</f>
        <v>0</v>
      </c>
      <c r="AQ60" s="228">
        <f>Waste_Mun_Frontend[[#This Row],[Completeness]]</f>
        <v>0</v>
      </c>
      <c r="AR60" s="228">
        <f>Waste_Mun_Frontend[[#This Row],[Notes]]</f>
        <v>0</v>
      </c>
      <c r="AT60"/>
      <c r="AU60"/>
      <c r="AV60"/>
      <c r="AW60"/>
      <c r="AX60"/>
    </row>
    <row r="61" spans="2:50" ht="15" thickBot="1" x14ac:dyDescent="0.4">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T61"/>
      <c r="AU61"/>
      <c r="AV61"/>
      <c r="AW61"/>
      <c r="AX61"/>
    </row>
    <row r="62" spans="2:50" ht="14.5" x14ac:dyDescent="0.35">
      <c r="AT62"/>
      <c r="AU62"/>
      <c r="AV62"/>
      <c r="AW62"/>
      <c r="AX62"/>
    </row>
    <row r="63" spans="2:50" ht="14.5" x14ac:dyDescent="0.35">
      <c r="B63" s="159" t="s">
        <v>12</v>
      </c>
      <c r="E63" s="160" t="s">
        <v>197</v>
      </c>
      <c r="AT63"/>
      <c r="AU63"/>
      <c r="AV63"/>
      <c r="AW63"/>
      <c r="AX63"/>
    </row>
    <row r="64" spans="2:50" ht="14.5" x14ac:dyDescent="0.35">
      <c r="AT64"/>
      <c r="AU64"/>
      <c r="AV64"/>
      <c r="AW64"/>
      <c r="AX64"/>
    </row>
    <row r="65" spans="2:51" ht="32.15" customHeight="1" x14ac:dyDescent="0.35">
      <c r="B65" s="455" t="s">
        <v>377</v>
      </c>
      <c r="E65" s="257" t="s">
        <v>371</v>
      </c>
      <c r="F65" s="258" t="s">
        <v>372</v>
      </c>
      <c r="G65" s="258" t="s">
        <v>287</v>
      </c>
      <c r="H65" s="258" t="s">
        <v>288</v>
      </c>
      <c r="I65" s="258" t="s">
        <v>289</v>
      </c>
      <c r="J65" s="258" t="s">
        <v>291</v>
      </c>
      <c r="K65" s="258" t="s">
        <v>292</v>
      </c>
      <c r="L65" s="259" t="s">
        <v>293</v>
      </c>
      <c r="M65" s="188">
        <f>AVERAGEIF($M$66:$M$86,"&lt;&gt;0",$M$66:$M$86)</f>
        <v>4</v>
      </c>
      <c r="Q65" s="225" t="s">
        <v>294</v>
      </c>
      <c r="R65" s="226" t="s">
        <v>295</v>
      </c>
      <c r="S65" s="226" t="s">
        <v>296</v>
      </c>
      <c r="T65" s="226" t="s">
        <v>297</v>
      </c>
      <c r="U65" s="226" t="s">
        <v>298</v>
      </c>
      <c r="V65" s="226" t="s">
        <v>299</v>
      </c>
      <c r="W65" s="226" t="s">
        <v>300</v>
      </c>
      <c r="X65" s="226" t="s">
        <v>301</v>
      </c>
      <c r="Y65" s="226" t="s">
        <v>302</v>
      </c>
      <c r="Z65" s="226" t="s">
        <v>287</v>
      </c>
      <c r="AA65" s="226" t="s">
        <v>303</v>
      </c>
      <c r="AB65" s="226" t="s">
        <v>288</v>
      </c>
      <c r="AC65" s="226" t="s">
        <v>289</v>
      </c>
      <c r="AD65" s="226" t="s">
        <v>304</v>
      </c>
      <c r="AE65" s="226" t="s">
        <v>305</v>
      </c>
      <c r="AF65" s="286" t="s">
        <v>306</v>
      </c>
      <c r="AG65" s="286" t="s">
        <v>307</v>
      </c>
      <c r="AH65" s="286" t="s">
        <v>308</v>
      </c>
      <c r="AI65" s="286" t="s">
        <v>309</v>
      </c>
      <c r="AJ65" s="286" t="s">
        <v>310</v>
      </c>
      <c r="AK65" s="286" t="s">
        <v>311</v>
      </c>
      <c r="AL65" s="286" t="s">
        <v>312</v>
      </c>
      <c r="AM65" s="286" t="s">
        <v>313</v>
      </c>
      <c r="AN65" s="286" t="s">
        <v>314</v>
      </c>
      <c r="AO65" s="286" t="s">
        <v>315</v>
      </c>
      <c r="AP65" s="226" t="s">
        <v>291</v>
      </c>
      <c r="AQ65" s="227" t="s">
        <v>292</v>
      </c>
      <c r="AR65" s="227" t="s">
        <v>293</v>
      </c>
      <c r="AU65"/>
      <c r="AV65"/>
      <c r="AW65"/>
      <c r="AX65"/>
      <c r="AY65"/>
    </row>
    <row r="66" spans="2:51" ht="14.5" x14ac:dyDescent="0.35">
      <c r="B66" s="455"/>
      <c r="E66" s="346"/>
      <c r="F66" s="336"/>
      <c r="G66" s="172" t="s">
        <v>336</v>
      </c>
      <c r="H66" s="334"/>
      <c r="I66" s="336"/>
      <c r="J66" s="336"/>
      <c r="K66" s="336"/>
      <c r="L66" s="337"/>
      <c r="M66" s="242">
        <f>ISBLANK(F66)+ISBLANK(H66)+ISBLANK(E66)+ISBLANK(I66)</f>
        <v>4</v>
      </c>
      <c r="Q66" s="212" t="str">
        <f t="shared" ref="Q66:Q86" si="5">IF(M66=0,SUBSTITUTE(2025&amp;TRIM(cl_org_name_select)&amp;TRIM($E$63)&amp;(ROW(M66)-ROW($M$66))," ",""),"")</f>
        <v/>
      </c>
      <c r="R66" s="174" t="s">
        <v>194</v>
      </c>
      <c r="S66" s="174" t="s">
        <v>194</v>
      </c>
      <c r="T66" s="174" t="s">
        <v>378</v>
      </c>
      <c r="U66" s="174">
        <f>Waste_Proj_Frontend[[#This Row],[Disposal Method]]</f>
        <v>0</v>
      </c>
      <c r="V66" s="174">
        <f>Waste_Proj_Frontend[[#This Row],[Waste Type]]</f>
        <v>0</v>
      </c>
      <c r="W66" s="174" t="s">
        <v>339</v>
      </c>
      <c r="X66" s="174" t="s">
        <v>339</v>
      </c>
      <c r="Y66" s="174" t="s">
        <v>339</v>
      </c>
      <c r="Z66" s="174" t="str">
        <f>Waste_Proj_Frontend[[#This Row],[Methodology]]</f>
        <v>Tier 3</v>
      </c>
      <c r="AA66" s="229" t="e" cm="1">
        <f t="array" ref="AA66">INDEX(_xlfn.SWITCH(Waste_Proj_Backend[[#This Row],[Methodology]],"Tier 1",rng_RSD1,"Tier 2",rng_RSD2,"Tier 3",rng_RSD3),MATCH(_xlfn.CONCAT(Waste_Proj_Backend[[#This Row],[Level 1]:[Level 6]]),rng_LevelsConcat,0))</f>
        <v>#N/A</v>
      </c>
      <c r="AB66" s="220">
        <f>Waste_Proj_Frontend[[#This Row],[Data]]</f>
        <v>0</v>
      </c>
      <c r="AC66" s="174">
        <f>Waste_Proj_Frontend[[#This Row],[Units]]</f>
        <v>0</v>
      </c>
      <c r="AD66" s="220" t="e">
        <f>IF(Waste_Proj_Backend[[#This Row],[Units]]=Waste_Proj_Backend[[#This Row],[Standard units]],Waste_Proj_Backend[[#This Row],[Data]],Waste_Proj_Backend[[#This Row],[Data]]*_xlfn.XLOOKUP(_xlfn.CONCAT(Waste_Proj_Backend[[#This Row],[Level 1]:[Level 6]]),rng_EFConcat,rng_EFConversion))</f>
        <v>#N/A</v>
      </c>
      <c r="AE66" s="174" t="e" cm="1">
        <f t="array" ref="AE66">_xlfn.XLOOKUP(_xlfn.CONCAT(Waste_Proj_Backend[[#This Row],[Level 1]:[Level 6]]),rng_LevelsConcat,rng_UnitsLong)</f>
        <v>#N/A</v>
      </c>
      <c r="AF66" s="210" t="e">
        <f>_xlfn.XLOOKUP(_xlfn.CONCAT(Waste_Proj_Backend[[#This Row],[Level 1]:[Level 6]]),rng_EFConcat,rng_EF1)*Waste_Proj_Backend[[#This Row],[Converted data]]/1000</f>
        <v>#N/A</v>
      </c>
      <c r="AG66" s="210" t="e">
        <f>_xlfn.XLOOKUP(_xlfn.CONCAT(Waste_Proj_Backend[[#This Row],[Level 1]:[Level 6]]),rng_EFConcat,rng_EF2)*Waste_Proj_Backend[[#This Row],[Converted data]]/1000</f>
        <v>#N/A</v>
      </c>
      <c r="AH66" s="210" t="e">
        <f>_xlfn.XLOOKUP(_xlfn.CONCAT(Waste_Proj_Backend[[#This Row],[Level 1]:[Level 6]]),rng_EFConcat,rng_EF3)*Waste_Proj_Backend[[#This Row],[Converted data]]/1000</f>
        <v>#N/A</v>
      </c>
      <c r="AI66" s="210" t="e">
        <f>_xlfn.XLOOKUP(_xlfn.CONCAT(Waste_Proj_Backend[[#This Row],[Level 1]:[Level 6]]),rng_EFConcat,rng_EF3WTT)*Waste_Proj_Backend[[#This Row],[Converted data]]/1000</f>
        <v>#N/A</v>
      </c>
      <c r="AJ66" s="210" t="e">
        <f>_xlfn.XLOOKUP(_xlfn.CONCAT(Waste_Proj_Backend[[#This Row],[Level 1]:[Level 6]]),rng_EFConcat,rng_EF3TD)*Waste_Proj_Backend[[#This Row],[Converted data]]/1000</f>
        <v>#N/A</v>
      </c>
      <c r="AK66" s="210" t="e">
        <f>_xlfn.XLOOKUP(_xlfn.CONCAT(Waste_Proj_Backend[[#This Row],[Level 1]:[Level 6]]),rng_EFConcat,rng_EF3WTTTD)*Waste_Proj_Backend[[#This Row],[Converted data]]/1000</f>
        <v>#N/A</v>
      </c>
      <c r="AL66" s="220" t="e">
        <f>SUM(Waste_Proj_Backend[[#This Row],[Scope 1 (tCO2e)]:[Scope 3 WTT T&amp;D (tCO2e)]])</f>
        <v>#N/A</v>
      </c>
      <c r="AM66" s="220" t="e">
        <f>Waste_Proj_Backend[[#This Row],[Total (tCO2e)]]*(1-Waste_Proj_Backend[[#This Row],[RSD]])</f>
        <v>#N/A</v>
      </c>
      <c r="AN66" s="220" t="e">
        <f>Waste_Proj_Backend[[#This Row],[Total (tCO2e)]]*(1+Waste_Proj_Backend[[#This Row],[RSD]])</f>
        <v>#N/A</v>
      </c>
      <c r="AO66" s="210" t="e">
        <f>_xlfn.XLOOKUP(_xlfn.CONCAT(Waste_Proj_Backend[[#This Row],[Level 1]:[Level 6]]),rng_EFConcat,rng_EFOOS)*Waste_Proj_Backend[[#This Row],[Converted data]]/1000</f>
        <v>#N/A</v>
      </c>
      <c r="AP66" s="174">
        <f>Waste_Proj_Frontend[[#This Row],[Ease of collection]]</f>
        <v>0</v>
      </c>
      <c r="AQ66" s="213">
        <f>Waste_Proj_Frontend[[#This Row],[Completeness]]</f>
        <v>0</v>
      </c>
      <c r="AR66" s="213">
        <f>Waste_Proj_Frontend[[#This Row],[Notes]]</f>
        <v>0</v>
      </c>
      <c r="AU66"/>
      <c r="AV66"/>
      <c r="AW66"/>
      <c r="AX66"/>
      <c r="AY66"/>
    </row>
    <row r="67" spans="2:51" ht="14.5" x14ac:dyDescent="0.35">
      <c r="B67" s="455"/>
      <c r="E67" s="346"/>
      <c r="F67" s="336"/>
      <c r="G67" s="172" t="s">
        <v>336</v>
      </c>
      <c r="H67" s="334"/>
      <c r="I67" s="336"/>
      <c r="J67" s="336"/>
      <c r="K67" s="336"/>
      <c r="L67" s="337"/>
      <c r="M67" s="242">
        <f t="shared" ref="M67:M86" si="6">ISBLANK(F67)+ISBLANK(H67)+ISBLANK(E67)+ISBLANK(I67)</f>
        <v>4</v>
      </c>
      <c r="Q67" s="212" t="str">
        <f t="shared" si="5"/>
        <v/>
      </c>
      <c r="R67" s="174" t="s">
        <v>194</v>
      </c>
      <c r="S67" s="174" t="s">
        <v>194</v>
      </c>
      <c r="T67" s="174" t="s">
        <v>378</v>
      </c>
      <c r="U67" s="174">
        <f>Waste_Proj_Frontend[[#This Row],[Disposal Method]]</f>
        <v>0</v>
      </c>
      <c r="V67" s="174">
        <f>Waste_Proj_Frontend[[#This Row],[Waste Type]]</f>
        <v>0</v>
      </c>
      <c r="W67" s="174" t="s">
        <v>339</v>
      </c>
      <c r="X67" s="174" t="s">
        <v>339</v>
      </c>
      <c r="Y67" s="174" t="s">
        <v>339</v>
      </c>
      <c r="Z67" s="174" t="str">
        <f>Waste_Proj_Frontend[[#This Row],[Methodology]]</f>
        <v>Tier 3</v>
      </c>
      <c r="AA67" s="229" t="e" cm="1">
        <f t="array" ref="AA67">INDEX(_xlfn.SWITCH(Waste_Proj_Backend[[#This Row],[Methodology]],"Tier 1",rng_RSD1,"Tier 2",rng_RSD2,"Tier 3",rng_RSD3),MATCH(_xlfn.CONCAT(Waste_Proj_Backend[[#This Row],[Level 1]:[Level 6]]),rng_LevelsConcat,0))</f>
        <v>#N/A</v>
      </c>
      <c r="AB67" s="220">
        <f>Waste_Proj_Frontend[[#This Row],[Data]]</f>
        <v>0</v>
      </c>
      <c r="AC67" s="174">
        <f>Waste_Proj_Frontend[[#This Row],[Units]]</f>
        <v>0</v>
      </c>
      <c r="AD67" s="220" t="e">
        <f>IF(Waste_Proj_Backend[[#This Row],[Units]]=Waste_Proj_Backend[[#This Row],[Standard units]],Waste_Proj_Backend[[#This Row],[Data]],Waste_Proj_Backend[[#This Row],[Data]]*_xlfn.XLOOKUP(_xlfn.CONCAT(Waste_Proj_Backend[[#This Row],[Level 1]:[Level 6]]),rng_EFConcat,rng_EFConversion))</f>
        <v>#N/A</v>
      </c>
      <c r="AE67" s="174" t="e" cm="1">
        <f t="array" ref="AE67">_xlfn.XLOOKUP(_xlfn.CONCAT(Waste_Proj_Backend[[#This Row],[Level 1]:[Level 6]]),rng_LevelsConcat,rng_UnitsLong)</f>
        <v>#N/A</v>
      </c>
      <c r="AF67" s="210" t="e">
        <f>_xlfn.XLOOKUP(_xlfn.CONCAT(Waste_Proj_Backend[[#This Row],[Level 1]:[Level 6]]),rng_EFConcat,rng_EF1)*Waste_Proj_Backend[[#This Row],[Converted data]]/1000</f>
        <v>#N/A</v>
      </c>
      <c r="AG67" s="210" t="e">
        <f>_xlfn.XLOOKUP(_xlfn.CONCAT(Waste_Proj_Backend[[#This Row],[Level 1]:[Level 6]]),rng_EFConcat,rng_EF2)*Waste_Proj_Backend[[#This Row],[Converted data]]/1000</f>
        <v>#N/A</v>
      </c>
      <c r="AH67" s="210" t="e">
        <f>_xlfn.XLOOKUP(_xlfn.CONCAT(Waste_Proj_Backend[[#This Row],[Level 1]:[Level 6]]),rng_EFConcat,rng_EF3)*Waste_Proj_Backend[[#This Row],[Converted data]]/1000</f>
        <v>#N/A</v>
      </c>
      <c r="AI67" s="210" t="e">
        <f>_xlfn.XLOOKUP(_xlfn.CONCAT(Waste_Proj_Backend[[#This Row],[Level 1]:[Level 6]]),rng_EFConcat,rng_EF3WTT)*Waste_Proj_Backend[[#This Row],[Converted data]]/1000</f>
        <v>#N/A</v>
      </c>
      <c r="AJ67" s="210" t="e">
        <f>_xlfn.XLOOKUP(_xlfn.CONCAT(Waste_Proj_Backend[[#This Row],[Level 1]:[Level 6]]),rng_EFConcat,rng_EF3TD)*Waste_Proj_Backend[[#This Row],[Converted data]]/1000</f>
        <v>#N/A</v>
      </c>
      <c r="AK67" s="210" t="e">
        <f>_xlfn.XLOOKUP(_xlfn.CONCAT(Waste_Proj_Backend[[#This Row],[Level 1]:[Level 6]]),rng_EFConcat,rng_EF3WTTTD)*Waste_Proj_Backend[[#This Row],[Converted data]]/1000</f>
        <v>#N/A</v>
      </c>
      <c r="AL67" s="220" t="e">
        <f>SUM(Waste_Proj_Backend[[#This Row],[Scope 1 (tCO2e)]:[Scope 3 WTT T&amp;D (tCO2e)]])</f>
        <v>#N/A</v>
      </c>
      <c r="AM67" s="220" t="e">
        <f>Waste_Proj_Backend[[#This Row],[Total (tCO2e)]]*(1-Waste_Proj_Backend[[#This Row],[RSD]])</f>
        <v>#N/A</v>
      </c>
      <c r="AN67" s="220" t="e">
        <f>Waste_Proj_Backend[[#This Row],[Total (tCO2e)]]*(1+Waste_Proj_Backend[[#This Row],[RSD]])</f>
        <v>#N/A</v>
      </c>
      <c r="AO67" s="210" t="e">
        <f>_xlfn.XLOOKUP(_xlfn.CONCAT(Waste_Proj_Backend[[#This Row],[Level 1]:[Level 6]]),rng_EFConcat,rng_EFOOS)*Waste_Proj_Backend[[#This Row],[Converted data]]/1000</f>
        <v>#N/A</v>
      </c>
      <c r="AP67" s="174">
        <f>Waste_Proj_Frontend[[#This Row],[Ease of collection]]</f>
        <v>0</v>
      </c>
      <c r="AQ67" s="213">
        <f>Waste_Proj_Frontend[[#This Row],[Completeness]]</f>
        <v>0</v>
      </c>
      <c r="AR67" s="213">
        <f>Waste_Proj_Frontend[[#This Row],[Notes]]</f>
        <v>0</v>
      </c>
      <c r="AU67"/>
      <c r="AV67"/>
      <c r="AW67"/>
      <c r="AX67"/>
      <c r="AY67"/>
    </row>
    <row r="68" spans="2:51" ht="14.5" x14ac:dyDescent="0.35">
      <c r="B68" s="455"/>
      <c r="E68" s="346"/>
      <c r="F68" s="336"/>
      <c r="G68" s="172" t="s">
        <v>336</v>
      </c>
      <c r="H68" s="334"/>
      <c r="I68" s="336"/>
      <c r="J68" s="336"/>
      <c r="K68" s="336"/>
      <c r="L68" s="337"/>
      <c r="M68" s="242">
        <f t="shared" si="6"/>
        <v>4</v>
      </c>
      <c r="Q68" s="212" t="str">
        <f t="shared" si="5"/>
        <v/>
      </c>
      <c r="R68" s="174" t="s">
        <v>194</v>
      </c>
      <c r="S68" s="174" t="s">
        <v>194</v>
      </c>
      <c r="T68" s="174" t="s">
        <v>378</v>
      </c>
      <c r="U68" s="174">
        <f>Waste_Proj_Frontend[[#This Row],[Disposal Method]]</f>
        <v>0</v>
      </c>
      <c r="V68" s="174">
        <f>Waste_Proj_Frontend[[#This Row],[Waste Type]]</f>
        <v>0</v>
      </c>
      <c r="W68" s="174" t="s">
        <v>339</v>
      </c>
      <c r="X68" s="174" t="s">
        <v>339</v>
      </c>
      <c r="Y68" s="174" t="s">
        <v>339</v>
      </c>
      <c r="Z68" s="174" t="str">
        <f>Waste_Proj_Frontend[[#This Row],[Methodology]]</f>
        <v>Tier 3</v>
      </c>
      <c r="AA68" s="229" t="e" cm="1">
        <f t="array" ref="AA68">INDEX(_xlfn.SWITCH(Waste_Proj_Backend[[#This Row],[Methodology]],"Tier 1",rng_RSD1,"Tier 2",rng_RSD2,"Tier 3",rng_RSD3),MATCH(_xlfn.CONCAT(Waste_Proj_Backend[[#This Row],[Level 1]:[Level 6]]),rng_LevelsConcat,0))</f>
        <v>#N/A</v>
      </c>
      <c r="AB68" s="220">
        <f>Waste_Proj_Frontend[[#This Row],[Data]]</f>
        <v>0</v>
      </c>
      <c r="AC68" s="174">
        <f>Waste_Proj_Frontend[[#This Row],[Units]]</f>
        <v>0</v>
      </c>
      <c r="AD68" s="220" t="e">
        <f>IF(Waste_Proj_Backend[[#This Row],[Units]]=Waste_Proj_Backend[[#This Row],[Standard units]],Waste_Proj_Backend[[#This Row],[Data]],Waste_Proj_Backend[[#This Row],[Data]]*_xlfn.XLOOKUP(_xlfn.CONCAT(Waste_Proj_Backend[[#This Row],[Level 1]:[Level 6]]),rng_EFConcat,rng_EFConversion))</f>
        <v>#N/A</v>
      </c>
      <c r="AE68" s="174" t="e" cm="1">
        <f t="array" ref="AE68">_xlfn.XLOOKUP(_xlfn.CONCAT(Waste_Proj_Backend[[#This Row],[Level 1]:[Level 6]]),rng_LevelsConcat,rng_UnitsLong)</f>
        <v>#N/A</v>
      </c>
      <c r="AF68" s="210" t="e">
        <f>_xlfn.XLOOKUP(_xlfn.CONCAT(Waste_Proj_Backend[[#This Row],[Level 1]:[Level 6]]),rng_EFConcat,rng_EF1)*Waste_Proj_Backend[[#This Row],[Converted data]]/1000</f>
        <v>#N/A</v>
      </c>
      <c r="AG68" s="210" t="e">
        <f>_xlfn.XLOOKUP(_xlfn.CONCAT(Waste_Proj_Backend[[#This Row],[Level 1]:[Level 6]]),rng_EFConcat,rng_EF2)*Waste_Proj_Backend[[#This Row],[Converted data]]/1000</f>
        <v>#N/A</v>
      </c>
      <c r="AH68" s="210" t="e">
        <f>_xlfn.XLOOKUP(_xlfn.CONCAT(Waste_Proj_Backend[[#This Row],[Level 1]:[Level 6]]),rng_EFConcat,rng_EF3)*Waste_Proj_Backend[[#This Row],[Converted data]]/1000</f>
        <v>#N/A</v>
      </c>
      <c r="AI68" s="210" t="e">
        <f>_xlfn.XLOOKUP(_xlfn.CONCAT(Waste_Proj_Backend[[#This Row],[Level 1]:[Level 6]]),rng_EFConcat,rng_EF3WTT)*Waste_Proj_Backend[[#This Row],[Converted data]]/1000</f>
        <v>#N/A</v>
      </c>
      <c r="AJ68" s="210" t="e">
        <f>_xlfn.XLOOKUP(_xlfn.CONCAT(Waste_Proj_Backend[[#This Row],[Level 1]:[Level 6]]),rng_EFConcat,rng_EF3TD)*Waste_Proj_Backend[[#This Row],[Converted data]]/1000</f>
        <v>#N/A</v>
      </c>
      <c r="AK68" s="210" t="e">
        <f>_xlfn.XLOOKUP(_xlfn.CONCAT(Waste_Proj_Backend[[#This Row],[Level 1]:[Level 6]]),rng_EFConcat,rng_EF3WTTTD)*Waste_Proj_Backend[[#This Row],[Converted data]]/1000</f>
        <v>#N/A</v>
      </c>
      <c r="AL68" s="220" t="e">
        <f>SUM(Waste_Proj_Backend[[#This Row],[Scope 1 (tCO2e)]:[Scope 3 WTT T&amp;D (tCO2e)]])</f>
        <v>#N/A</v>
      </c>
      <c r="AM68" s="220" t="e">
        <f>Waste_Proj_Backend[[#This Row],[Total (tCO2e)]]*(1-Waste_Proj_Backend[[#This Row],[RSD]])</f>
        <v>#N/A</v>
      </c>
      <c r="AN68" s="220" t="e">
        <f>Waste_Proj_Backend[[#This Row],[Total (tCO2e)]]*(1+Waste_Proj_Backend[[#This Row],[RSD]])</f>
        <v>#N/A</v>
      </c>
      <c r="AO68" s="210" t="e">
        <f>_xlfn.XLOOKUP(_xlfn.CONCAT(Waste_Proj_Backend[[#This Row],[Level 1]:[Level 6]]),rng_EFConcat,rng_EFOOS)*Waste_Proj_Backend[[#This Row],[Converted data]]/1000</f>
        <v>#N/A</v>
      </c>
      <c r="AP68" s="174">
        <f>Waste_Proj_Frontend[[#This Row],[Ease of collection]]</f>
        <v>0</v>
      </c>
      <c r="AQ68" s="213">
        <f>Waste_Proj_Frontend[[#This Row],[Completeness]]</f>
        <v>0</v>
      </c>
      <c r="AR68" s="213">
        <f>Waste_Proj_Frontend[[#This Row],[Notes]]</f>
        <v>0</v>
      </c>
      <c r="AU68"/>
      <c r="AV68"/>
      <c r="AW68"/>
      <c r="AX68"/>
      <c r="AY68"/>
    </row>
    <row r="69" spans="2:51" ht="14.5" x14ac:dyDescent="0.35">
      <c r="B69" s="455"/>
      <c r="E69" s="346"/>
      <c r="F69" s="336"/>
      <c r="G69" s="172" t="s">
        <v>336</v>
      </c>
      <c r="H69" s="334"/>
      <c r="I69" s="336"/>
      <c r="J69" s="336"/>
      <c r="K69" s="336"/>
      <c r="L69" s="337"/>
      <c r="M69" s="242">
        <f t="shared" si="6"/>
        <v>4</v>
      </c>
      <c r="Q69" s="212" t="str">
        <f t="shared" si="5"/>
        <v/>
      </c>
      <c r="R69" s="174" t="s">
        <v>194</v>
      </c>
      <c r="S69" s="174" t="s">
        <v>194</v>
      </c>
      <c r="T69" s="174" t="s">
        <v>378</v>
      </c>
      <c r="U69" s="174">
        <f>Waste_Proj_Frontend[[#This Row],[Disposal Method]]</f>
        <v>0</v>
      </c>
      <c r="V69" s="174">
        <f>Waste_Proj_Frontend[[#This Row],[Waste Type]]</f>
        <v>0</v>
      </c>
      <c r="W69" s="174" t="s">
        <v>339</v>
      </c>
      <c r="X69" s="174" t="s">
        <v>339</v>
      </c>
      <c r="Y69" s="174" t="s">
        <v>339</v>
      </c>
      <c r="Z69" s="174" t="str">
        <f>Waste_Proj_Frontend[[#This Row],[Methodology]]</f>
        <v>Tier 3</v>
      </c>
      <c r="AA69" s="229" t="e" cm="1">
        <f t="array" ref="AA69">INDEX(_xlfn.SWITCH(Waste_Proj_Backend[[#This Row],[Methodology]],"Tier 1",rng_RSD1,"Tier 2",rng_RSD2,"Tier 3",rng_RSD3),MATCH(_xlfn.CONCAT(Waste_Proj_Backend[[#This Row],[Level 1]:[Level 6]]),rng_LevelsConcat,0))</f>
        <v>#N/A</v>
      </c>
      <c r="AB69" s="220">
        <f>Waste_Proj_Frontend[[#This Row],[Data]]</f>
        <v>0</v>
      </c>
      <c r="AC69" s="174">
        <f>Waste_Proj_Frontend[[#This Row],[Units]]</f>
        <v>0</v>
      </c>
      <c r="AD69" s="220" t="e">
        <f>IF(Waste_Proj_Backend[[#This Row],[Units]]=Waste_Proj_Backend[[#This Row],[Standard units]],Waste_Proj_Backend[[#This Row],[Data]],Waste_Proj_Backend[[#This Row],[Data]]*_xlfn.XLOOKUP(_xlfn.CONCAT(Waste_Proj_Backend[[#This Row],[Level 1]:[Level 6]]),rng_EFConcat,rng_EFConversion))</f>
        <v>#N/A</v>
      </c>
      <c r="AE69" s="174" t="e" cm="1">
        <f t="array" ref="AE69">_xlfn.XLOOKUP(_xlfn.CONCAT(Waste_Proj_Backend[[#This Row],[Level 1]:[Level 6]]),rng_LevelsConcat,rng_UnitsLong)</f>
        <v>#N/A</v>
      </c>
      <c r="AF69" s="210" t="e">
        <f>_xlfn.XLOOKUP(_xlfn.CONCAT(Waste_Proj_Backend[[#This Row],[Level 1]:[Level 6]]),rng_EFConcat,rng_EF1)*Waste_Proj_Backend[[#This Row],[Converted data]]/1000</f>
        <v>#N/A</v>
      </c>
      <c r="AG69" s="210" t="e">
        <f>_xlfn.XLOOKUP(_xlfn.CONCAT(Waste_Proj_Backend[[#This Row],[Level 1]:[Level 6]]),rng_EFConcat,rng_EF2)*Waste_Proj_Backend[[#This Row],[Converted data]]/1000</f>
        <v>#N/A</v>
      </c>
      <c r="AH69" s="210" t="e">
        <f>_xlfn.XLOOKUP(_xlfn.CONCAT(Waste_Proj_Backend[[#This Row],[Level 1]:[Level 6]]),rng_EFConcat,rng_EF3)*Waste_Proj_Backend[[#This Row],[Converted data]]/1000</f>
        <v>#N/A</v>
      </c>
      <c r="AI69" s="210" t="e">
        <f>_xlfn.XLOOKUP(_xlfn.CONCAT(Waste_Proj_Backend[[#This Row],[Level 1]:[Level 6]]),rng_EFConcat,rng_EF3WTT)*Waste_Proj_Backend[[#This Row],[Converted data]]/1000</f>
        <v>#N/A</v>
      </c>
      <c r="AJ69" s="210" t="e">
        <f>_xlfn.XLOOKUP(_xlfn.CONCAT(Waste_Proj_Backend[[#This Row],[Level 1]:[Level 6]]),rng_EFConcat,rng_EF3TD)*Waste_Proj_Backend[[#This Row],[Converted data]]/1000</f>
        <v>#N/A</v>
      </c>
      <c r="AK69" s="210" t="e">
        <f>_xlfn.XLOOKUP(_xlfn.CONCAT(Waste_Proj_Backend[[#This Row],[Level 1]:[Level 6]]),rng_EFConcat,rng_EF3WTTTD)*Waste_Proj_Backend[[#This Row],[Converted data]]/1000</f>
        <v>#N/A</v>
      </c>
      <c r="AL69" s="220" t="e">
        <f>SUM(Waste_Proj_Backend[[#This Row],[Scope 1 (tCO2e)]:[Scope 3 WTT T&amp;D (tCO2e)]])</f>
        <v>#N/A</v>
      </c>
      <c r="AM69" s="220" t="e">
        <f>Waste_Proj_Backend[[#This Row],[Total (tCO2e)]]*(1-Waste_Proj_Backend[[#This Row],[RSD]])</f>
        <v>#N/A</v>
      </c>
      <c r="AN69" s="220" t="e">
        <f>Waste_Proj_Backend[[#This Row],[Total (tCO2e)]]*(1+Waste_Proj_Backend[[#This Row],[RSD]])</f>
        <v>#N/A</v>
      </c>
      <c r="AO69" s="210" t="e">
        <f>_xlfn.XLOOKUP(_xlfn.CONCAT(Waste_Proj_Backend[[#This Row],[Level 1]:[Level 6]]),rng_EFConcat,rng_EFOOS)*Waste_Proj_Backend[[#This Row],[Converted data]]/1000</f>
        <v>#N/A</v>
      </c>
      <c r="AP69" s="174">
        <f>Waste_Proj_Frontend[[#This Row],[Ease of collection]]</f>
        <v>0</v>
      </c>
      <c r="AQ69" s="213">
        <f>Waste_Proj_Frontend[[#This Row],[Completeness]]</f>
        <v>0</v>
      </c>
      <c r="AR69" s="213">
        <f>Waste_Proj_Frontend[[#This Row],[Notes]]</f>
        <v>0</v>
      </c>
      <c r="AU69"/>
      <c r="AV69"/>
      <c r="AW69"/>
      <c r="AX69"/>
      <c r="AY69"/>
    </row>
    <row r="70" spans="2:51" ht="14.5" x14ac:dyDescent="0.35">
      <c r="B70" s="455"/>
      <c r="E70" s="346"/>
      <c r="F70" s="336"/>
      <c r="G70" s="172" t="s">
        <v>336</v>
      </c>
      <c r="H70" s="334"/>
      <c r="I70" s="336"/>
      <c r="J70" s="336"/>
      <c r="K70" s="336"/>
      <c r="L70" s="337"/>
      <c r="M70" s="242">
        <f t="shared" si="6"/>
        <v>4</v>
      </c>
      <c r="Q70" s="212" t="str">
        <f t="shared" si="5"/>
        <v/>
      </c>
      <c r="R70" s="174" t="s">
        <v>194</v>
      </c>
      <c r="S70" s="174" t="s">
        <v>194</v>
      </c>
      <c r="T70" s="174" t="s">
        <v>378</v>
      </c>
      <c r="U70" s="174">
        <f>Waste_Proj_Frontend[[#This Row],[Disposal Method]]</f>
        <v>0</v>
      </c>
      <c r="V70" s="174">
        <f>Waste_Proj_Frontend[[#This Row],[Waste Type]]</f>
        <v>0</v>
      </c>
      <c r="W70" s="174" t="s">
        <v>339</v>
      </c>
      <c r="X70" s="174" t="s">
        <v>339</v>
      </c>
      <c r="Y70" s="174" t="s">
        <v>339</v>
      </c>
      <c r="Z70" s="174" t="str">
        <f>Waste_Proj_Frontend[[#This Row],[Methodology]]</f>
        <v>Tier 3</v>
      </c>
      <c r="AA70" s="229" t="e" cm="1">
        <f t="array" ref="AA70">INDEX(_xlfn.SWITCH(Waste_Proj_Backend[[#This Row],[Methodology]],"Tier 1",rng_RSD1,"Tier 2",rng_RSD2,"Tier 3",rng_RSD3),MATCH(_xlfn.CONCAT(Waste_Proj_Backend[[#This Row],[Level 1]:[Level 6]]),rng_LevelsConcat,0))</f>
        <v>#N/A</v>
      </c>
      <c r="AB70" s="220">
        <f>Waste_Proj_Frontend[[#This Row],[Data]]</f>
        <v>0</v>
      </c>
      <c r="AC70" s="174">
        <f>Waste_Proj_Frontend[[#This Row],[Units]]</f>
        <v>0</v>
      </c>
      <c r="AD70" s="220" t="e">
        <f>IF(Waste_Proj_Backend[[#This Row],[Units]]=Waste_Proj_Backend[[#This Row],[Standard units]],Waste_Proj_Backend[[#This Row],[Data]],Waste_Proj_Backend[[#This Row],[Data]]*_xlfn.XLOOKUP(_xlfn.CONCAT(Waste_Proj_Backend[[#This Row],[Level 1]:[Level 6]]),rng_EFConcat,rng_EFConversion))</f>
        <v>#N/A</v>
      </c>
      <c r="AE70" s="174" t="e" cm="1">
        <f t="array" ref="AE70">_xlfn.XLOOKUP(_xlfn.CONCAT(Waste_Proj_Backend[[#This Row],[Level 1]:[Level 6]]),rng_LevelsConcat,rng_UnitsLong)</f>
        <v>#N/A</v>
      </c>
      <c r="AF70" s="210" t="e">
        <f>_xlfn.XLOOKUP(_xlfn.CONCAT(Waste_Proj_Backend[[#This Row],[Level 1]:[Level 6]]),rng_EFConcat,rng_EF1)*Waste_Proj_Backend[[#This Row],[Converted data]]/1000</f>
        <v>#N/A</v>
      </c>
      <c r="AG70" s="210" t="e">
        <f>_xlfn.XLOOKUP(_xlfn.CONCAT(Waste_Proj_Backend[[#This Row],[Level 1]:[Level 6]]),rng_EFConcat,rng_EF2)*Waste_Proj_Backend[[#This Row],[Converted data]]/1000</f>
        <v>#N/A</v>
      </c>
      <c r="AH70" s="210" t="e">
        <f>_xlfn.XLOOKUP(_xlfn.CONCAT(Waste_Proj_Backend[[#This Row],[Level 1]:[Level 6]]),rng_EFConcat,rng_EF3)*Waste_Proj_Backend[[#This Row],[Converted data]]/1000</f>
        <v>#N/A</v>
      </c>
      <c r="AI70" s="210" t="e">
        <f>_xlfn.XLOOKUP(_xlfn.CONCAT(Waste_Proj_Backend[[#This Row],[Level 1]:[Level 6]]),rng_EFConcat,rng_EF3WTT)*Waste_Proj_Backend[[#This Row],[Converted data]]/1000</f>
        <v>#N/A</v>
      </c>
      <c r="AJ70" s="210" t="e">
        <f>_xlfn.XLOOKUP(_xlfn.CONCAT(Waste_Proj_Backend[[#This Row],[Level 1]:[Level 6]]),rng_EFConcat,rng_EF3TD)*Waste_Proj_Backend[[#This Row],[Converted data]]/1000</f>
        <v>#N/A</v>
      </c>
      <c r="AK70" s="210" t="e">
        <f>_xlfn.XLOOKUP(_xlfn.CONCAT(Waste_Proj_Backend[[#This Row],[Level 1]:[Level 6]]),rng_EFConcat,rng_EF3WTTTD)*Waste_Proj_Backend[[#This Row],[Converted data]]/1000</f>
        <v>#N/A</v>
      </c>
      <c r="AL70" s="220" t="e">
        <f>SUM(Waste_Proj_Backend[[#This Row],[Scope 1 (tCO2e)]:[Scope 3 WTT T&amp;D (tCO2e)]])</f>
        <v>#N/A</v>
      </c>
      <c r="AM70" s="220" t="e">
        <f>Waste_Proj_Backend[[#This Row],[Total (tCO2e)]]*(1-Waste_Proj_Backend[[#This Row],[RSD]])</f>
        <v>#N/A</v>
      </c>
      <c r="AN70" s="220" t="e">
        <f>Waste_Proj_Backend[[#This Row],[Total (tCO2e)]]*(1+Waste_Proj_Backend[[#This Row],[RSD]])</f>
        <v>#N/A</v>
      </c>
      <c r="AO70" s="210" t="e">
        <f>_xlfn.XLOOKUP(_xlfn.CONCAT(Waste_Proj_Backend[[#This Row],[Level 1]:[Level 6]]),rng_EFConcat,rng_EFOOS)*Waste_Proj_Backend[[#This Row],[Converted data]]/1000</f>
        <v>#N/A</v>
      </c>
      <c r="AP70" s="174">
        <f>Waste_Proj_Frontend[[#This Row],[Ease of collection]]</f>
        <v>0</v>
      </c>
      <c r="AQ70" s="213">
        <f>Waste_Proj_Frontend[[#This Row],[Completeness]]</f>
        <v>0</v>
      </c>
      <c r="AR70" s="213">
        <f>Waste_Proj_Frontend[[#This Row],[Notes]]</f>
        <v>0</v>
      </c>
      <c r="AU70"/>
      <c r="AV70"/>
      <c r="AW70"/>
      <c r="AX70"/>
      <c r="AY70"/>
    </row>
    <row r="71" spans="2:51" ht="14.5" x14ac:dyDescent="0.35">
      <c r="B71" s="455"/>
      <c r="E71" s="346"/>
      <c r="F71" s="336"/>
      <c r="G71" s="172" t="s">
        <v>336</v>
      </c>
      <c r="H71" s="334"/>
      <c r="I71" s="336"/>
      <c r="J71" s="336"/>
      <c r="K71" s="336"/>
      <c r="L71" s="337"/>
      <c r="M71" s="242">
        <f t="shared" si="6"/>
        <v>4</v>
      </c>
      <c r="Q71" s="212" t="str">
        <f t="shared" si="5"/>
        <v/>
      </c>
      <c r="R71" s="174" t="s">
        <v>194</v>
      </c>
      <c r="S71" s="174" t="s">
        <v>194</v>
      </c>
      <c r="T71" s="174" t="s">
        <v>378</v>
      </c>
      <c r="U71" s="174">
        <f>Waste_Proj_Frontend[[#This Row],[Disposal Method]]</f>
        <v>0</v>
      </c>
      <c r="V71" s="174">
        <f>Waste_Proj_Frontend[[#This Row],[Waste Type]]</f>
        <v>0</v>
      </c>
      <c r="W71" s="174" t="s">
        <v>339</v>
      </c>
      <c r="X71" s="174" t="s">
        <v>339</v>
      </c>
      <c r="Y71" s="174" t="s">
        <v>339</v>
      </c>
      <c r="Z71" s="174" t="str">
        <f>Waste_Proj_Frontend[[#This Row],[Methodology]]</f>
        <v>Tier 3</v>
      </c>
      <c r="AA71" s="229" t="e" cm="1">
        <f t="array" ref="AA71">INDEX(_xlfn.SWITCH(Waste_Proj_Backend[[#This Row],[Methodology]],"Tier 1",rng_RSD1,"Tier 2",rng_RSD2,"Tier 3",rng_RSD3),MATCH(_xlfn.CONCAT(Waste_Proj_Backend[[#This Row],[Level 1]:[Level 6]]),rng_LevelsConcat,0))</f>
        <v>#N/A</v>
      </c>
      <c r="AB71" s="220">
        <f>Waste_Proj_Frontend[[#This Row],[Data]]</f>
        <v>0</v>
      </c>
      <c r="AC71" s="174">
        <f>Waste_Proj_Frontend[[#This Row],[Units]]</f>
        <v>0</v>
      </c>
      <c r="AD71" s="220" t="e">
        <f>IF(Waste_Proj_Backend[[#This Row],[Units]]=Waste_Proj_Backend[[#This Row],[Standard units]],Waste_Proj_Backend[[#This Row],[Data]],Waste_Proj_Backend[[#This Row],[Data]]*_xlfn.XLOOKUP(_xlfn.CONCAT(Waste_Proj_Backend[[#This Row],[Level 1]:[Level 6]]),rng_EFConcat,rng_EFConversion))</f>
        <v>#N/A</v>
      </c>
      <c r="AE71" s="174" t="e" cm="1">
        <f t="array" ref="AE71">_xlfn.XLOOKUP(_xlfn.CONCAT(Waste_Proj_Backend[[#This Row],[Level 1]:[Level 6]]),rng_LevelsConcat,rng_UnitsLong)</f>
        <v>#N/A</v>
      </c>
      <c r="AF71" s="210" t="e">
        <f>_xlfn.XLOOKUP(_xlfn.CONCAT(Waste_Proj_Backend[[#This Row],[Level 1]:[Level 6]]),rng_EFConcat,rng_EF1)*Waste_Proj_Backend[[#This Row],[Converted data]]/1000</f>
        <v>#N/A</v>
      </c>
      <c r="AG71" s="210" t="e">
        <f>_xlfn.XLOOKUP(_xlfn.CONCAT(Waste_Proj_Backend[[#This Row],[Level 1]:[Level 6]]),rng_EFConcat,rng_EF2)*Waste_Proj_Backend[[#This Row],[Converted data]]/1000</f>
        <v>#N/A</v>
      </c>
      <c r="AH71" s="210" t="e">
        <f>_xlfn.XLOOKUP(_xlfn.CONCAT(Waste_Proj_Backend[[#This Row],[Level 1]:[Level 6]]),rng_EFConcat,rng_EF3)*Waste_Proj_Backend[[#This Row],[Converted data]]/1000</f>
        <v>#N/A</v>
      </c>
      <c r="AI71" s="210" t="e">
        <f>_xlfn.XLOOKUP(_xlfn.CONCAT(Waste_Proj_Backend[[#This Row],[Level 1]:[Level 6]]),rng_EFConcat,rng_EF3WTT)*Waste_Proj_Backend[[#This Row],[Converted data]]/1000</f>
        <v>#N/A</v>
      </c>
      <c r="AJ71" s="210" t="e">
        <f>_xlfn.XLOOKUP(_xlfn.CONCAT(Waste_Proj_Backend[[#This Row],[Level 1]:[Level 6]]),rng_EFConcat,rng_EF3TD)*Waste_Proj_Backend[[#This Row],[Converted data]]/1000</f>
        <v>#N/A</v>
      </c>
      <c r="AK71" s="210" t="e">
        <f>_xlfn.XLOOKUP(_xlfn.CONCAT(Waste_Proj_Backend[[#This Row],[Level 1]:[Level 6]]),rng_EFConcat,rng_EF3WTTTD)*Waste_Proj_Backend[[#This Row],[Converted data]]/1000</f>
        <v>#N/A</v>
      </c>
      <c r="AL71" s="220" t="e">
        <f>SUM(Waste_Proj_Backend[[#This Row],[Scope 1 (tCO2e)]:[Scope 3 WTT T&amp;D (tCO2e)]])</f>
        <v>#N/A</v>
      </c>
      <c r="AM71" s="220" t="e">
        <f>Waste_Proj_Backend[[#This Row],[Total (tCO2e)]]*(1-Waste_Proj_Backend[[#This Row],[RSD]])</f>
        <v>#N/A</v>
      </c>
      <c r="AN71" s="220" t="e">
        <f>Waste_Proj_Backend[[#This Row],[Total (tCO2e)]]*(1+Waste_Proj_Backend[[#This Row],[RSD]])</f>
        <v>#N/A</v>
      </c>
      <c r="AO71" s="210" t="e">
        <f>_xlfn.XLOOKUP(_xlfn.CONCAT(Waste_Proj_Backend[[#This Row],[Level 1]:[Level 6]]),rng_EFConcat,rng_EFOOS)*Waste_Proj_Backend[[#This Row],[Converted data]]/1000</f>
        <v>#N/A</v>
      </c>
      <c r="AP71" s="174">
        <f>Waste_Proj_Frontend[[#This Row],[Ease of collection]]</f>
        <v>0</v>
      </c>
      <c r="AQ71" s="213">
        <f>Waste_Proj_Frontend[[#This Row],[Completeness]]</f>
        <v>0</v>
      </c>
      <c r="AR71" s="213">
        <f>Waste_Proj_Frontend[[#This Row],[Notes]]</f>
        <v>0</v>
      </c>
      <c r="AU71"/>
      <c r="AV71"/>
      <c r="AW71"/>
      <c r="AX71"/>
      <c r="AY71"/>
    </row>
    <row r="72" spans="2:51" ht="14.5" x14ac:dyDescent="0.35">
      <c r="B72" s="455"/>
      <c r="E72" s="346"/>
      <c r="F72" s="336"/>
      <c r="G72" s="172" t="s">
        <v>336</v>
      </c>
      <c r="H72" s="334"/>
      <c r="I72" s="336"/>
      <c r="J72" s="336"/>
      <c r="K72" s="336"/>
      <c r="L72" s="337"/>
      <c r="M72" s="242">
        <f t="shared" si="6"/>
        <v>4</v>
      </c>
      <c r="Q72" s="212" t="str">
        <f t="shared" si="5"/>
        <v/>
      </c>
      <c r="R72" s="174" t="s">
        <v>194</v>
      </c>
      <c r="S72" s="174" t="s">
        <v>194</v>
      </c>
      <c r="T72" s="174" t="s">
        <v>378</v>
      </c>
      <c r="U72" s="174">
        <f>Waste_Proj_Frontend[[#This Row],[Disposal Method]]</f>
        <v>0</v>
      </c>
      <c r="V72" s="174">
        <f>Waste_Proj_Frontend[[#This Row],[Waste Type]]</f>
        <v>0</v>
      </c>
      <c r="W72" s="174" t="s">
        <v>339</v>
      </c>
      <c r="X72" s="174" t="s">
        <v>339</v>
      </c>
      <c r="Y72" s="174" t="s">
        <v>339</v>
      </c>
      <c r="Z72" s="174" t="str">
        <f>Waste_Proj_Frontend[[#This Row],[Methodology]]</f>
        <v>Tier 3</v>
      </c>
      <c r="AA72" s="229" t="e" cm="1">
        <f t="array" ref="AA72">INDEX(_xlfn.SWITCH(Waste_Proj_Backend[[#This Row],[Methodology]],"Tier 1",rng_RSD1,"Tier 2",rng_RSD2,"Tier 3",rng_RSD3),MATCH(_xlfn.CONCAT(Waste_Proj_Backend[[#This Row],[Level 1]:[Level 6]]),rng_LevelsConcat,0))</f>
        <v>#N/A</v>
      </c>
      <c r="AB72" s="220">
        <f>Waste_Proj_Frontend[[#This Row],[Data]]</f>
        <v>0</v>
      </c>
      <c r="AC72" s="174">
        <f>Waste_Proj_Frontend[[#This Row],[Units]]</f>
        <v>0</v>
      </c>
      <c r="AD72" s="220" t="e">
        <f>IF(Waste_Proj_Backend[[#This Row],[Units]]=Waste_Proj_Backend[[#This Row],[Standard units]],Waste_Proj_Backend[[#This Row],[Data]],Waste_Proj_Backend[[#This Row],[Data]]*_xlfn.XLOOKUP(_xlfn.CONCAT(Waste_Proj_Backend[[#This Row],[Level 1]:[Level 6]]),rng_EFConcat,rng_EFConversion))</f>
        <v>#N/A</v>
      </c>
      <c r="AE72" s="174" t="e" cm="1">
        <f t="array" ref="AE72">_xlfn.XLOOKUP(_xlfn.CONCAT(Waste_Proj_Backend[[#This Row],[Level 1]:[Level 6]]),rng_LevelsConcat,rng_UnitsLong)</f>
        <v>#N/A</v>
      </c>
      <c r="AF72" s="210" t="e">
        <f>_xlfn.XLOOKUP(_xlfn.CONCAT(Waste_Proj_Backend[[#This Row],[Level 1]:[Level 6]]),rng_EFConcat,rng_EF1)*Waste_Proj_Backend[[#This Row],[Converted data]]/1000</f>
        <v>#N/A</v>
      </c>
      <c r="AG72" s="210" t="e">
        <f>_xlfn.XLOOKUP(_xlfn.CONCAT(Waste_Proj_Backend[[#This Row],[Level 1]:[Level 6]]),rng_EFConcat,rng_EF2)*Waste_Proj_Backend[[#This Row],[Converted data]]/1000</f>
        <v>#N/A</v>
      </c>
      <c r="AH72" s="210" t="e">
        <f>_xlfn.XLOOKUP(_xlfn.CONCAT(Waste_Proj_Backend[[#This Row],[Level 1]:[Level 6]]),rng_EFConcat,rng_EF3)*Waste_Proj_Backend[[#This Row],[Converted data]]/1000</f>
        <v>#N/A</v>
      </c>
      <c r="AI72" s="210" t="e">
        <f>_xlfn.XLOOKUP(_xlfn.CONCAT(Waste_Proj_Backend[[#This Row],[Level 1]:[Level 6]]),rng_EFConcat,rng_EF3WTT)*Waste_Proj_Backend[[#This Row],[Converted data]]/1000</f>
        <v>#N/A</v>
      </c>
      <c r="AJ72" s="210" t="e">
        <f>_xlfn.XLOOKUP(_xlfn.CONCAT(Waste_Proj_Backend[[#This Row],[Level 1]:[Level 6]]),rng_EFConcat,rng_EF3TD)*Waste_Proj_Backend[[#This Row],[Converted data]]/1000</f>
        <v>#N/A</v>
      </c>
      <c r="AK72" s="210" t="e">
        <f>_xlfn.XLOOKUP(_xlfn.CONCAT(Waste_Proj_Backend[[#This Row],[Level 1]:[Level 6]]),rng_EFConcat,rng_EF3WTTTD)*Waste_Proj_Backend[[#This Row],[Converted data]]/1000</f>
        <v>#N/A</v>
      </c>
      <c r="AL72" s="220" t="e">
        <f>SUM(Waste_Proj_Backend[[#This Row],[Scope 1 (tCO2e)]:[Scope 3 WTT T&amp;D (tCO2e)]])</f>
        <v>#N/A</v>
      </c>
      <c r="AM72" s="220" t="e">
        <f>Waste_Proj_Backend[[#This Row],[Total (tCO2e)]]*(1-Waste_Proj_Backend[[#This Row],[RSD]])</f>
        <v>#N/A</v>
      </c>
      <c r="AN72" s="220" t="e">
        <f>Waste_Proj_Backend[[#This Row],[Total (tCO2e)]]*(1+Waste_Proj_Backend[[#This Row],[RSD]])</f>
        <v>#N/A</v>
      </c>
      <c r="AO72" s="210" t="e">
        <f>_xlfn.XLOOKUP(_xlfn.CONCAT(Waste_Proj_Backend[[#This Row],[Level 1]:[Level 6]]),rng_EFConcat,rng_EFOOS)*Waste_Proj_Backend[[#This Row],[Converted data]]/1000</f>
        <v>#N/A</v>
      </c>
      <c r="AP72" s="174">
        <f>Waste_Proj_Frontend[[#This Row],[Ease of collection]]</f>
        <v>0</v>
      </c>
      <c r="AQ72" s="213">
        <f>Waste_Proj_Frontend[[#This Row],[Completeness]]</f>
        <v>0</v>
      </c>
      <c r="AR72" s="213">
        <f>Waste_Proj_Frontend[[#This Row],[Notes]]</f>
        <v>0</v>
      </c>
      <c r="AU72"/>
      <c r="AV72"/>
      <c r="AW72"/>
      <c r="AX72"/>
      <c r="AY72"/>
    </row>
    <row r="73" spans="2:51" ht="14.5" x14ac:dyDescent="0.35">
      <c r="B73" s="455"/>
      <c r="E73" s="346"/>
      <c r="F73" s="336"/>
      <c r="G73" s="172" t="s">
        <v>336</v>
      </c>
      <c r="H73" s="334"/>
      <c r="I73" s="336"/>
      <c r="J73" s="336"/>
      <c r="K73" s="336"/>
      <c r="L73" s="337"/>
      <c r="M73" s="242">
        <f t="shared" si="6"/>
        <v>4</v>
      </c>
      <c r="Q73" s="212" t="str">
        <f t="shared" si="5"/>
        <v/>
      </c>
      <c r="R73" s="174" t="s">
        <v>194</v>
      </c>
      <c r="S73" s="174" t="s">
        <v>194</v>
      </c>
      <c r="T73" s="174" t="s">
        <v>378</v>
      </c>
      <c r="U73" s="174">
        <f>Waste_Proj_Frontend[[#This Row],[Disposal Method]]</f>
        <v>0</v>
      </c>
      <c r="V73" s="174">
        <f>Waste_Proj_Frontend[[#This Row],[Waste Type]]</f>
        <v>0</v>
      </c>
      <c r="W73" s="174" t="s">
        <v>339</v>
      </c>
      <c r="X73" s="174" t="s">
        <v>339</v>
      </c>
      <c r="Y73" s="174" t="s">
        <v>339</v>
      </c>
      <c r="Z73" s="174" t="str">
        <f>Waste_Proj_Frontend[[#This Row],[Methodology]]</f>
        <v>Tier 3</v>
      </c>
      <c r="AA73" s="229" t="e" cm="1">
        <f t="array" ref="AA73">INDEX(_xlfn.SWITCH(Waste_Proj_Backend[[#This Row],[Methodology]],"Tier 1",rng_RSD1,"Tier 2",rng_RSD2,"Tier 3",rng_RSD3),MATCH(_xlfn.CONCAT(Waste_Proj_Backend[[#This Row],[Level 1]:[Level 6]]),rng_LevelsConcat,0))</f>
        <v>#N/A</v>
      </c>
      <c r="AB73" s="220">
        <f>Waste_Proj_Frontend[[#This Row],[Data]]</f>
        <v>0</v>
      </c>
      <c r="AC73" s="174">
        <f>Waste_Proj_Frontend[[#This Row],[Units]]</f>
        <v>0</v>
      </c>
      <c r="AD73" s="220" t="e">
        <f>IF(Waste_Proj_Backend[[#This Row],[Units]]=Waste_Proj_Backend[[#This Row],[Standard units]],Waste_Proj_Backend[[#This Row],[Data]],Waste_Proj_Backend[[#This Row],[Data]]*_xlfn.XLOOKUP(_xlfn.CONCAT(Waste_Proj_Backend[[#This Row],[Level 1]:[Level 6]]),rng_EFConcat,rng_EFConversion))</f>
        <v>#N/A</v>
      </c>
      <c r="AE73" s="174" t="e" cm="1">
        <f t="array" ref="AE73">_xlfn.XLOOKUP(_xlfn.CONCAT(Waste_Proj_Backend[[#This Row],[Level 1]:[Level 6]]),rng_LevelsConcat,rng_UnitsLong)</f>
        <v>#N/A</v>
      </c>
      <c r="AF73" s="210" t="e">
        <f>_xlfn.XLOOKUP(_xlfn.CONCAT(Waste_Proj_Backend[[#This Row],[Level 1]:[Level 6]]),rng_EFConcat,rng_EF1)*Waste_Proj_Backend[[#This Row],[Converted data]]/1000</f>
        <v>#N/A</v>
      </c>
      <c r="AG73" s="210" t="e">
        <f>_xlfn.XLOOKUP(_xlfn.CONCAT(Waste_Proj_Backend[[#This Row],[Level 1]:[Level 6]]),rng_EFConcat,rng_EF2)*Waste_Proj_Backend[[#This Row],[Converted data]]/1000</f>
        <v>#N/A</v>
      </c>
      <c r="AH73" s="210" t="e">
        <f>_xlfn.XLOOKUP(_xlfn.CONCAT(Waste_Proj_Backend[[#This Row],[Level 1]:[Level 6]]),rng_EFConcat,rng_EF3)*Waste_Proj_Backend[[#This Row],[Converted data]]/1000</f>
        <v>#N/A</v>
      </c>
      <c r="AI73" s="210" t="e">
        <f>_xlfn.XLOOKUP(_xlfn.CONCAT(Waste_Proj_Backend[[#This Row],[Level 1]:[Level 6]]),rng_EFConcat,rng_EF3WTT)*Waste_Proj_Backend[[#This Row],[Converted data]]/1000</f>
        <v>#N/A</v>
      </c>
      <c r="AJ73" s="210" t="e">
        <f>_xlfn.XLOOKUP(_xlfn.CONCAT(Waste_Proj_Backend[[#This Row],[Level 1]:[Level 6]]),rng_EFConcat,rng_EF3TD)*Waste_Proj_Backend[[#This Row],[Converted data]]/1000</f>
        <v>#N/A</v>
      </c>
      <c r="AK73" s="210" t="e">
        <f>_xlfn.XLOOKUP(_xlfn.CONCAT(Waste_Proj_Backend[[#This Row],[Level 1]:[Level 6]]),rng_EFConcat,rng_EF3WTTTD)*Waste_Proj_Backend[[#This Row],[Converted data]]/1000</f>
        <v>#N/A</v>
      </c>
      <c r="AL73" s="220" t="e">
        <f>SUM(Waste_Proj_Backend[[#This Row],[Scope 1 (tCO2e)]:[Scope 3 WTT T&amp;D (tCO2e)]])</f>
        <v>#N/A</v>
      </c>
      <c r="AM73" s="220" t="e">
        <f>Waste_Proj_Backend[[#This Row],[Total (tCO2e)]]*(1-Waste_Proj_Backend[[#This Row],[RSD]])</f>
        <v>#N/A</v>
      </c>
      <c r="AN73" s="220" t="e">
        <f>Waste_Proj_Backend[[#This Row],[Total (tCO2e)]]*(1+Waste_Proj_Backend[[#This Row],[RSD]])</f>
        <v>#N/A</v>
      </c>
      <c r="AO73" s="210" t="e">
        <f>_xlfn.XLOOKUP(_xlfn.CONCAT(Waste_Proj_Backend[[#This Row],[Level 1]:[Level 6]]),rng_EFConcat,rng_EFOOS)*Waste_Proj_Backend[[#This Row],[Converted data]]/1000</f>
        <v>#N/A</v>
      </c>
      <c r="AP73" s="174">
        <f>Waste_Proj_Frontend[[#This Row],[Ease of collection]]</f>
        <v>0</v>
      </c>
      <c r="AQ73" s="213">
        <f>Waste_Proj_Frontend[[#This Row],[Completeness]]</f>
        <v>0</v>
      </c>
      <c r="AR73" s="213">
        <f>Waste_Proj_Frontend[[#This Row],[Notes]]</f>
        <v>0</v>
      </c>
      <c r="AU73"/>
      <c r="AV73"/>
      <c r="AW73"/>
      <c r="AX73"/>
      <c r="AY73"/>
    </row>
    <row r="74" spans="2:51" ht="14.5" x14ac:dyDescent="0.35">
      <c r="B74" s="455"/>
      <c r="E74" s="346"/>
      <c r="F74" s="336"/>
      <c r="G74" s="172" t="s">
        <v>336</v>
      </c>
      <c r="H74" s="334"/>
      <c r="I74" s="336"/>
      <c r="J74" s="336"/>
      <c r="K74" s="336"/>
      <c r="L74" s="337"/>
      <c r="M74" s="242">
        <f t="shared" si="6"/>
        <v>4</v>
      </c>
      <c r="Q74" s="212" t="str">
        <f t="shared" si="5"/>
        <v/>
      </c>
      <c r="R74" s="174" t="s">
        <v>194</v>
      </c>
      <c r="S74" s="174" t="s">
        <v>194</v>
      </c>
      <c r="T74" s="174" t="s">
        <v>378</v>
      </c>
      <c r="U74" s="174">
        <f>Waste_Proj_Frontend[[#This Row],[Disposal Method]]</f>
        <v>0</v>
      </c>
      <c r="V74" s="174">
        <f>Waste_Proj_Frontend[[#This Row],[Waste Type]]</f>
        <v>0</v>
      </c>
      <c r="W74" s="174" t="s">
        <v>339</v>
      </c>
      <c r="X74" s="174" t="s">
        <v>339</v>
      </c>
      <c r="Y74" s="174" t="s">
        <v>339</v>
      </c>
      <c r="Z74" s="174" t="str">
        <f>Waste_Proj_Frontend[[#This Row],[Methodology]]</f>
        <v>Tier 3</v>
      </c>
      <c r="AA74" s="229" t="e" cm="1">
        <f t="array" ref="AA74">INDEX(_xlfn.SWITCH(Waste_Proj_Backend[[#This Row],[Methodology]],"Tier 1",rng_RSD1,"Tier 2",rng_RSD2,"Tier 3",rng_RSD3),MATCH(_xlfn.CONCAT(Waste_Proj_Backend[[#This Row],[Level 1]:[Level 6]]),rng_LevelsConcat,0))</f>
        <v>#N/A</v>
      </c>
      <c r="AB74" s="220">
        <f>Waste_Proj_Frontend[[#This Row],[Data]]</f>
        <v>0</v>
      </c>
      <c r="AC74" s="174">
        <f>Waste_Proj_Frontend[[#This Row],[Units]]</f>
        <v>0</v>
      </c>
      <c r="AD74" s="220" t="e">
        <f>IF(Waste_Proj_Backend[[#This Row],[Units]]=Waste_Proj_Backend[[#This Row],[Standard units]],Waste_Proj_Backend[[#This Row],[Data]],Waste_Proj_Backend[[#This Row],[Data]]*_xlfn.XLOOKUP(_xlfn.CONCAT(Waste_Proj_Backend[[#This Row],[Level 1]:[Level 6]]),rng_EFConcat,rng_EFConversion))</f>
        <v>#N/A</v>
      </c>
      <c r="AE74" s="174" t="e" cm="1">
        <f t="array" ref="AE74">_xlfn.XLOOKUP(_xlfn.CONCAT(Waste_Proj_Backend[[#This Row],[Level 1]:[Level 6]]),rng_LevelsConcat,rng_UnitsLong)</f>
        <v>#N/A</v>
      </c>
      <c r="AF74" s="210" t="e">
        <f>_xlfn.XLOOKUP(_xlfn.CONCAT(Waste_Proj_Backend[[#This Row],[Level 1]:[Level 6]]),rng_EFConcat,rng_EF1)*Waste_Proj_Backend[[#This Row],[Converted data]]/1000</f>
        <v>#N/A</v>
      </c>
      <c r="AG74" s="210" t="e">
        <f>_xlfn.XLOOKUP(_xlfn.CONCAT(Waste_Proj_Backend[[#This Row],[Level 1]:[Level 6]]),rng_EFConcat,rng_EF2)*Waste_Proj_Backend[[#This Row],[Converted data]]/1000</f>
        <v>#N/A</v>
      </c>
      <c r="AH74" s="210" t="e">
        <f>_xlfn.XLOOKUP(_xlfn.CONCAT(Waste_Proj_Backend[[#This Row],[Level 1]:[Level 6]]),rng_EFConcat,rng_EF3)*Waste_Proj_Backend[[#This Row],[Converted data]]/1000</f>
        <v>#N/A</v>
      </c>
      <c r="AI74" s="210" t="e">
        <f>_xlfn.XLOOKUP(_xlfn.CONCAT(Waste_Proj_Backend[[#This Row],[Level 1]:[Level 6]]),rng_EFConcat,rng_EF3WTT)*Waste_Proj_Backend[[#This Row],[Converted data]]/1000</f>
        <v>#N/A</v>
      </c>
      <c r="AJ74" s="210" t="e">
        <f>_xlfn.XLOOKUP(_xlfn.CONCAT(Waste_Proj_Backend[[#This Row],[Level 1]:[Level 6]]),rng_EFConcat,rng_EF3TD)*Waste_Proj_Backend[[#This Row],[Converted data]]/1000</f>
        <v>#N/A</v>
      </c>
      <c r="AK74" s="210" t="e">
        <f>_xlfn.XLOOKUP(_xlfn.CONCAT(Waste_Proj_Backend[[#This Row],[Level 1]:[Level 6]]),rng_EFConcat,rng_EF3WTTTD)*Waste_Proj_Backend[[#This Row],[Converted data]]/1000</f>
        <v>#N/A</v>
      </c>
      <c r="AL74" s="220" t="e">
        <f>SUM(Waste_Proj_Backend[[#This Row],[Scope 1 (tCO2e)]:[Scope 3 WTT T&amp;D (tCO2e)]])</f>
        <v>#N/A</v>
      </c>
      <c r="AM74" s="220" t="e">
        <f>Waste_Proj_Backend[[#This Row],[Total (tCO2e)]]*(1-Waste_Proj_Backend[[#This Row],[RSD]])</f>
        <v>#N/A</v>
      </c>
      <c r="AN74" s="220" t="e">
        <f>Waste_Proj_Backend[[#This Row],[Total (tCO2e)]]*(1+Waste_Proj_Backend[[#This Row],[RSD]])</f>
        <v>#N/A</v>
      </c>
      <c r="AO74" s="210" t="e">
        <f>_xlfn.XLOOKUP(_xlfn.CONCAT(Waste_Proj_Backend[[#This Row],[Level 1]:[Level 6]]),rng_EFConcat,rng_EFOOS)*Waste_Proj_Backend[[#This Row],[Converted data]]/1000</f>
        <v>#N/A</v>
      </c>
      <c r="AP74" s="174">
        <f>Waste_Proj_Frontend[[#This Row],[Ease of collection]]</f>
        <v>0</v>
      </c>
      <c r="AQ74" s="213">
        <f>Waste_Proj_Frontend[[#This Row],[Completeness]]</f>
        <v>0</v>
      </c>
      <c r="AR74" s="213">
        <f>Waste_Proj_Frontend[[#This Row],[Notes]]</f>
        <v>0</v>
      </c>
      <c r="AU74"/>
      <c r="AV74"/>
      <c r="AW74"/>
      <c r="AX74"/>
      <c r="AY74"/>
    </row>
    <row r="75" spans="2:51" ht="14.5" x14ac:dyDescent="0.35">
      <c r="B75" s="455"/>
      <c r="E75" s="346"/>
      <c r="F75" s="336"/>
      <c r="G75" s="172" t="s">
        <v>336</v>
      </c>
      <c r="H75" s="334"/>
      <c r="I75" s="336"/>
      <c r="J75" s="336"/>
      <c r="K75" s="336"/>
      <c r="L75" s="337"/>
      <c r="M75" s="242">
        <f t="shared" si="6"/>
        <v>4</v>
      </c>
      <c r="Q75" s="212" t="str">
        <f t="shared" si="5"/>
        <v/>
      </c>
      <c r="R75" s="174" t="s">
        <v>194</v>
      </c>
      <c r="S75" s="174" t="s">
        <v>194</v>
      </c>
      <c r="T75" s="174" t="s">
        <v>378</v>
      </c>
      <c r="U75" s="174">
        <f>Waste_Proj_Frontend[[#This Row],[Disposal Method]]</f>
        <v>0</v>
      </c>
      <c r="V75" s="174">
        <f>Waste_Proj_Frontend[[#This Row],[Waste Type]]</f>
        <v>0</v>
      </c>
      <c r="W75" s="174" t="s">
        <v>339</v>
      </c>
      <c r="X75" s="174" t="s">
        <v>339</v>
      </c>
      <c r="Y75" s="174" t="s">
        <v>339</v>
      </c>
      <c r="Z75" s="174" t="str">
        <f>Waste_Proj_Frontend[[#This Row],[Methodology]]</f>
        <v>Tier 3</v>
      </c>
      <c r="AA75" s="229" t="e" cm="1">
        <f t="array" ref="AA75">INDEX(_xlfn.SWITCH(Waste_Proj_Backend[[#This Row],[Methodology]],"Tier 1",rng_RSD1,"Tier 2",rng_RSD2,"Tier 3",rng_RSD3),MATCH(_xlfn.CONCAT(Waste_Proj_Backend[[#This Row],[Level 1]:[Level 6]]),rng_LevelsConcat,0))</f>
        <v>#N/A</v>
      </c>
      <c r="AB75" s="220">
        <f>Waste_Proj_Frontend[[#This Row],[Data]]</f>
        <v>0</v>
      </c>
      <c r="AC75" s="174">
        <f>Waste_Proj_Frontend[[#This Row],[Units]]</f>
        <v>0</v>
      </c>
      <c r="AD75" s="220" t="e">
        <f>IF(Waste_Proj_Backend[[#This Row],[Units]]=Waste_Proj_Backend[[#This Row],[Standard units]],Waste_Proj_Backend[[#This Row],[Data]],Waste_Proj_Backend[[#This Row],[Data]]*_xlfn.XLOOKUP(_xlfn.CONCAT(Waste_Proj_Backend[[#This Row],[Level 1]:[Level 6]]),rng_EFConcat,rng_EFConversion))</f>
        <v>#N/A</v>
      </c>
      <c r="AE75" s="174" t="e" cm="1">
        <f t="array" ref="AE75">_xlfn.XLOOKUP(_xlfn.CONCAT(Waste_Proj_Backend[[#This Row],[Level 1]:[Level 6]]),rng_LevelsConcat,rng_UnitsLong)</f>
        <v>#N/A</v>
      </c>
      <c r="AF75" s="210" t="e">
        <f>_xlfn.XLOOKUP(_xlfn.CONCAT(Waste_Proj_Backend[[#This Row],[Level 1]:[Level 6]]),rng_EFConcat,rng_EF1)*Waste_Proj_Backend[[#This Row],[Converted data]]/1000</f>
        <v>#N/A</v>
      </c>
      <c r="AG75" s="210" t="e">
        <f>_xlfn.XLOOKUP(_xlfn.CONCAT(Waste_Proj_Backend[[#This Row],[Level 1]:[Level 6]]),rng_EFConcat,rng_EF2)*Waste_Proj_Backend[[#This Row],[Converted data]]/1000</f>
        <v>#N/A</v>
      </c>
      <c r="AH75" s="210" t="e">
        <f>_xlfn.XLOOKUP(_xlfn.CONCAT(Waste_Proj_Backend[[#This Row],[Level 1]:[Level 6]]),rng_EFConcat,rng_EF3)*Waste_Proj_Backend[[#This Row],[Converted data]]/1000</f>
        <v>#N/A</v>
      </c>
      <c r="AI75" s="210" t="e">
        <f>_xlfn.XLOOKUP(_xlfn.CONCAT(Waste_Proj_Backend[[#This Row],[Level 1]:[Level 6]]),rng_EFConcat,rng_EF3WTT)*Waste_Proj_Backend[[#This Row],[Converted data]]/1000</f>
        <v>#N/A</v>
      </c>
      <c r="AJ75" s="210" t="e">
        <f>_xlfn.XLOOKUP(_xlfn.CONCAT(Waste_Proj_Backend[[#This Row],[Level 1]:[Level 6]]),rng_EFConcat,rng_EF3TD)*Waste_Proj_Backend[[#This Row],[Converted data]]/1000</f>
        <v>#N/A</v>
      </c>
      <c r="AK75" s="210" t="e">
        <f>_xlfn.XLOOKUP(_xlfn.CONCAT(Waste_Proj_Backend[[#This Row],[Level 1]:[Level 6]]),rng_EFConcat,rng_EF3WTTTD)*Waste_Proj_Backend[[#This Row],[Converted data]]/1000</f>
        <v>#N/A</v>
      </c>
      <c r="AL75" s="220" t="e">
        <f>SUM(Waste_Proj_Backend[[#This Row],[Scope 1 (tCO2e)]:[Scope 3 WTT T&amp;D (tCO2e)]])</f>
        <v>#N/A</v>
      </c>
      <c r="AM75" s="220" t="e">
        <f>Waste_Proj_Backend[[#This Row],[Total (tCO2e)]]*(1-Waste_Proj_Backend[[#This Row],[RSD]])</f>
        <v>#N/A</v>
      </c>
      <c r="AN75" s="220" t="e">
        <f>Waste_Proj_Backend[[#This Row],[Total (tCO2e)]]*(1+Waste_Proj_Backend[[#This Row],[RSD]])</f>
        <v>#N/A</v>
      </c>
      <c r="AO75" s="210" t="e">
        <f>_xlfn.XLOOKUP(_xlfn.CONCAT(Waste_Proj_Backend[[#This Row],[Level 1]:[Level 6]]),rng_EFConcat,rng_EFOOS)*Waste_Proj_Backend[[#This Row],[Converted data]]/1000</f>
        <v>#N/A</v>
      </c>
      <c r="AP75" s="174">
        <f>Waste_Proj_Frontend[[#This Row],[Ease of collection]]</f>
        <v>0</v>
      </c>
      <c r="AQ75" s="213">
        <f>Waste_Proj_Frontend[[#This Row],[Completeness]]</f>
        <v>0</v>
      </c>
      <c r="AR75" s="213">
        <f>Waste_Proj_Frontend[[#This Row],[Notes]]</f>
        <v>0</v>
      </c>
      <c r="AU75"/>
      <c r="AV75"/>
      <c r="AW75"/>
      <c r="AX75"/>
      <c r="AY75"/>
    </row>
    <row r="76" spans="2:51" ht="14.5" x14ac:dyDescent="0.35">
      <c r="B76" s="455"/>
      <c r="E76" s="346"/>
      <c r="F76" s="336"/>
      <c r="G76" s="172" t="s">
        <v>336</v>
      </c>
      <c r="H76" s="334"/>
      <c r="I76" s="336"/>
      <c r="J76" s="336"/>
      <c r="K76" s="336"/>
      <c r="L76" s="337"/>
      <c r="M76" s="242">
        <f t="shared" si="6"/>
        <v>4</v>
      </c>
      <c r="Q76" s="212" t="str">
        <f t="shared" si="5"/>
        <v/>
      </c>
      <c r="R76" s="174" t="s">
        <v>194</v>
      </c>
      <c r="S76" s="174" t="s">
        <v>194</v>
      </c>
      <c r="T76" s="174" t="s">
        <v>378</v>
      </c>
      <c r="U76" s="174">
        <f>Waste_Proj_Frontend[[#This Row],[Disposal Method]]</f>
        <v>0</v>
      </c>
      <c r="V76" s="174">
        <f>Waste_Proj_Frontend[[#This Row],[Waste Type]]</f>
        <v>0</v>
      </c>
      <c r="W76" s="174" t="s">
        <v>339</v>
      </c>
      <c r="X76" s="174" t="s">
        <v>339</v>
      </c>
      <c r="Y76" s="174" t="s">
        <v>339</v>
      </c>
      <c r="Z76" s="174" t="str">
        <f>Waste_Proj_Frontend[[#This Row],[Methodology]]</f>
        <v>Tier 3</v>
      </c>
      <c r="AA76" s="229" t="e" cm="1">
        <f t="array" ref="AA76">INDEX(_xlfn.SWITCH(Waste_Proj_Backend[[#This Row],[Methodology]],"Tier 1",rng_RSD1,"Tier 2",rng_RSD2,"Tier 3",rng_RSD3),MATCH(_xlfn.CONCAT(Waste_Proj_Backend[[#This Row],[Level 1]:[Level 6]]),rng_LevelsConcat,0))</f>
        <v>#N/A</v>
      </c>
      <c r="AB76" s="220">
        <f>Waste_Proj_Frontend[[#This Row],[Data]]</f>
        <v>0</v>
      </c>
      <c r="AC76" s="174">
        <f>Waste_Proj_Frontend[[#This Row],[Units]]</f>
        <v>0</v>
      </c>
      <c r="AD76" s="220" t="e">
        <f>IF(Waste_Proj_Backend[[#This Row],[Units]]=Waste_Proj_Backend[[#This Row],[Standard units]],Waste_Proj_Backend[[#This Row],[Data]],Waste_Proj_Backend[[#This Row],[Data]]*_xlfn.XLOOKUP(_xlfn.CONCAT(Waste_Proj_Backend[[#This Row],[Level 1]:[Level 6]]),rng_EFConcat,rng_EFConversion))</f>
        <v>#N/A</v>
      </c>
      <c r="AE76" s="174" t="e" cm="1">
        <f t="array" ref="AE76">_xlfn.XLOOKUP(_xlfn.CONCAT(Waste_Proj_Backend[[#This Row],[Level 1]:[Level 6]]),rng_LevelsConcat,rng_UnitsLong)</f>
        <v>#N/A</v>
      </c>
      <c r="AF76" s="210" t="e">
        <f>_xlfn.XLOOKUP(_xlfn.CONCAT(Waste_Proj_Backend[[#This Row],[Level 1]:[Level 6]]),rng_EFConcat,rng_EF1)*Waste_Proj_Backend[[#This Row],[Converted data]]/1000</f>
        <v>#N/A</v>
      </c>
      <c r="AG76" s="210" t="e">
        <f>_xlfn.XLOOKUP(_xlfn.CONCAT(Waste_Proj_Backend[[#This Row],[Level 1]:[Level 6]]),rng_EFConcat,rng_EF2)*Waste_Proj_Backend[[#This Row],[Converted data]]/1000</f>
        <v>#N/A</v>
      </c>
      <c r="AH76" s="210" t="e">
        <f>_xlfn.XLOOKUP(_xlfn.CONCAT(Waste_Proj_Backend[[#This Row],[Level 1]:[Level 6]]),rng_EFConcat,rng_EF3)*Waste_Proj_Backend[[#This Row],[Converted data]]/1000</f>
        <v>#N/A</v>
      </c>
      <c r="AI76" s="210" t="e">
        <f>_xlfn.XLOOKUP(_xlfn.CONCAT(Waste_Proj_Backend[[#This Row],[Level 1]:[Level 6]]),rng_EFConcat,rng_EF3WTT)*Waste_Proj_Backend[[#This Row],[Converted data]]/1000</f>
        <v>#N/A</v>
      </c>
      <c r="AJ76" s="210" t="e">
        <f>_xlfn.XLOOKUP(_xlfn.CONCAT(Waste_Proj_Backend[[#This Row],[Level 1]:[Level 6]]),rng_EFConcat,rng_EF3TD)*Waste_Proj_Backend[[#This Row],[Converted data]]/1000</f>
        <v>#N/A</v>
      </c>
      <c r="AK76" s="210" t="e">
        <f>_xlfn.XLOOKUP(_xlfn.CONCAT(Waste_Proj_Backend[[#This Row],[Level 1]:[Level 6]]),rng_EFConcat,rng_EF3WTTTD)*Waste_Proj_Backend[[#This Row],[Converted data]]/1000</f>
        <v>#N/A</v>
      </c>
      <c r="AL76" s="220" t="e">
        <f>SUM(Waste_Proj_Backend[[#This Row],[Scope 1 (tCO2e)]:[Scope 3 WTT T&amp;D (tCO2e)]])</f>
        <v>#N/A</v>
      </c>
      <c r="AM76" s="220" t="e">
        <f>Waste_Proj_Backend[[#This Row],[Total (tCO2e)]]*(1-Waste_Proj_Backend[[#This Row],[RSD]])</f>
        <v>#N/A</v>
      </c>
      <c r="AN76" s="220" t="e">
        <f>Waste_Proj_Backend[[#This Row],[Total (tCO2e)]]*(1+Waste_Proj_Backend[[#This Row],[RSD]])</f>
        <v>#N/A</v>
      </c>
      <c r="AO76" s="210" t="e">
        <f>_xlfn.XLOOKUP(_xlfn.CONCAT(Waste_Proj_Backend[[#This Row],[Level 1]:[Level 6]]),rng_EFConcat,rng_EFOOS)*Waste_Proj_Backend[[#This Row],[Converted data]]/1000</f>
        <v>#N/A</v>
      </c>
      <c r="AP76" s="174">
        <f>Waste_Proj_Frontend[[#This Row],[Ease of collection]]</f>
        <v>0</v>
      </c>
      <c r="AQ76" s="213">
        <f>Waste_Proj_Frontend[[#This Row],[Completeness]]</f>
        <v>0</v>
      </c>
      <c r="AR76" s="213">
        <f>Waste_Proj_Frontend[[#This Row],[Notes]]</f>
        <v>0</v>
      </c>
      <c r="AU76"/>
      <c r="AV76"/>
      <c r="AW76"/>
      <c r="AX76"/>
      <c r="AY76"/>
    </row>
    <row r="77" spans="2:51" ht="14.5" x14ac:dyDescent="0.35">
      <c r="B77" s="455"/>
      <c r="E77" s="346"/>
      <c r="F77" s="336"/>
      <c r="G77" s="172" t="s">
        <v>336</v>
      </c>
      <c r="H77" s="334"/>
      <c r="I77" s="336"/>
      <c r="J77" s="336"/>
      <c r="K77" s="336"/>
      <c r="L77" s="337"/>
      <c r="M77" s="242">
        <f t="shared" si="6"/>
        <v>4</v>
      </c>
      <c r="Q77" s="212" t="str">
        <f t="shared" si="5"/>
        <v/>
      </c>
      <c r="R77" s="174" t="s">
        <v>194</v>
      </c>
      <c r="S77" s="174" t="s">
        <v>194</v>
      </c>
      <c r="T77" s="174" t="s">
        <v>378</v>
      </c>
      <c r="U77" s="174">
        <f>Waste_Proj_Frontend[[#This Row],[Disposal Method]]</f>
        <v>0</v>
      </c>
      <c r="V77" s="174">
        <f>Waste_Proj_Frontend[[#This Row],[Waste Type]]</f>
        <v>0</v>
      </c>
      <c r="W77" s="174" t="s">
        <v>339</v>
      </c>
      <c r="X77" s="174" t="s">
        <v>339</v>
      </c>
      <c r="Y77" s="174" t="s">
        <v>339</v>
      </c>
      <c r="Z77" s="174" t="str">
        <f>Waste_Proj_Frontend[[#This Row],[Methodology]]</f>
        <v>Tier 3</v>
      </c>
      <c r="AA77" s="229" t="e" cm="1">
        <f t="array" ref="AA77">INDEX(_xlfn.SWITCH(Waste_Proj_Backend[[#This Row],[Methodology]],"Tier 1",rng_RSD1,"Tier 2",rng_RSD2,"Tier 3",rng_RSD3),MATCH(_xlfn.CONCAT(Waste_Proj_Backend[[#This Row],[Level 1]:[Level 6]]),rng_LevelsConcat,0))</f>
        <v>#N/A</v>
      </c>
      <c r="AB77" s="220">
        <f>Waste_Proj_Frontend[[#This Row],[Data]]</f>
        <v>0</v>
      </c>
      <c r="AC77" s="174">
        <f>Waste_Proj_Frontend[[#This Row],[Units]]</f>
        <v>0</v>
      </c>
      <c r="AD77" s="220" t="e">
        <f>IF(Waste_Proj_Backend[[#This Row],[Units]]=Waste_Proj_Backend[[#This Row],[Standard units]],Waste_Proj_Backend[[#This Row],[Data]],Waste_Proj_Backend[[#This Row],[Data]]*_xlfn.XLOOKUP(_xlfn.CONCAT(Waste_Proj_Backend[[#This Row],[Level 1]:[Level 6]]),rng_EFConcat,rng_EFConversion))</f>
        <v>#N/A</v>
      </c>
      <c r="AE77" s="174" t="e" cm="1">
        <f t="array" ref="AE77">_xlfn.XLOOKUP(_xlfn.CONCAT(Waste_Proj_Backend[[#This Row],[Level 1]:[Level 6]]),rng_LevelsConcat,rng_UnitsLong)</f>
        <v>#N/A</v>
      </c>
      <c r="AF77" s="210" t="e">
        <f>_xlfn.XLOOKUP(_xlfn.CONCAT(Waste_Proj_Backend[[#This Row],[Level 1]:[Level 6]]),rng_EFConcat,rng_EF1)*Waste_Proj_Backend[[#This Row],[Converted data]]/1000</f>
        <v>#N/A</v>
      </c>
      <c r="AG77" s="210" t="e">
        <f>_xlfn.XLOOKUP(_xlfn.CONCAT(Waste_Proj_Backend[[#This Row],[Level 1]:[Level 6]]),rng_EFConcat,rng_EF2)*Waste_Proj_Backend[[#This Row],[Converted data]]/1000</f>
        <v>#N/A</v>
      </c>
      <c r="AH77" s="210" t="e">
        <f>_xlfn.XLOOKUP(_xlfn.CONCAT(Waste_Proj_Backend[[#This Row],[Level 1]:[Level 6]]),rng_EFConcat,rng_EF3)*Waste_Proj_Backend[[#This Row],[Converted data]]/1000</f>
        <v>#N/A</v>
      </c>
      <c r="AI77" s="210" t="e">
        <f>_xlfn.XLOOKUP(_xlfn.CONCAT(Waste_Proj_Backend[[#This Row],[Level 1]:[Level 6]]),rng_EFConcat,rng_EF3WTT)*Waste_Proj_Backend[[#This Row],[Converted data]]/1000</f>
        <v>#N/A</v>
      </c>
      <c r="AJ77" s="210" t="e">
        <f>_xlfn.XLOOKUP(_xlfn.CONCAT(Waste_Proj_Backend[[#This Row],[Level 1]:[Level 6]]),rng_EFConcat,rng_EF3TD)*Waste_Proj_Backend[[#This Row],[Converted data]]/1000</f>
        <v>#N/A</v>
      </c>
      <c r="AK77" s="210" t="e">
        <f>_xlfn.XLOOKUP(_xlfn.CONCAT(Waste_Proj_Backend[[#This Row],[Level 1]:[Level 6]]),rng_EFConcat,rng_EF3WTTTD)*Waste_Proj_Backend[[#This Row],[Converted data]]/1000</f>
        <v>#N/A</v>
      </c>
      <c r="AL77" s="220" t="e">
        <f>SUM(Waste_Proj_Backend[[#This Row],[Scope 1 (tCO2e)]:[Scope 3 WTT T&amp;D (tCO2e)]])</f>
        <v>#N/A</v>
      </c>
      <c r="AM77" s="220" t="e">
        <f>Waste_Proj_Backend[[#This Row],[Total (tCO2e)]]*(1-Waste_Proj_Backend[[#This Row],[RSD]])</f>
        <v>#N/A</v>
      </c>
      <c r="AN77" s="220" t="e">
        <f>Waste_Proj_Backend[[#This Row],[Total (tCO2e)]]*(1+Waste_Proj_Backend[[#This Row],[RSD]])</f>
        <v>#N/A</v>
      </c>
      <c r="AO77" s="210" t="e">
        <f>_xlfn.XLOOKUP(_xlfn.CONCAT(Waste_Proj_Backend[[#This Row],[Level 1]:[Level 6]]),rng_EFConcat,rng_EFOOS)*Waste_Proj_Backend[[#This Row],[Converted data]]/1000</f>
        <v>#N/A</v>
      </c>
      <c r="AP77" s="174">
        <f>Waste_Proj_Frontend[[#This Row],[Ease of collection]]</f>
        <v>0</v>
      </c>
      <c r="AQ77" s="213">
        <f>Waste_Proj_Frontend[[#This Row],[Completeness]]</f>
        <v>0</v>
      </c>
      <c r="AR77" s="213">
        <f>Waste_Proj_Frontend[[#This Row],[Notes]]</f>
        <v>0</v>
      </c>
      <c r="AU77"/>
      <c r="AV77"/>
      <c r="AW77"/>
      <c r="AX77"/>
      <c r="AY77"/>
    </row>
    <row r="78" spans="2:51" ht="14.5" x14ac:dyDescent="0.35">
      <c r="B78" s="455"/>
      <c r="E78" s="346"/>
      <c r="F78" s="336"/>
      <c r="G78" s="172" t="s">
        <v>336</v>
      </c>
      <c r="H78" s="334"/>
      <c r="I78" s="336"/>
      <c r="J78" s="336"/>
      <c r="K78" s="336"/>
      <c r="L78" s="337"/>
      <c r="M78" s="242">
        <f t="shared" si="6"/>
        <v>4</v>
      </c>
      <c r="Q78" s="212" t="str">
        <f t="shared" si="5"/>
        <v/>
      </c>
      <c r="R78" s="174" t="s">
        <v>194</v>
      </c>
      <c r="S78" s="174" t="s">
        <v>194</v>
      </c>
      <c r="T78" s="174" t="s">
        <v>378</v>
      </c>
      <c r="U78" s="174">
        <f>Waste_Proj_Frontend[[#This Row],[Disposal Method]]</f>
        <v>0</v>
      </c>
      <c r="V78" s="174">
        <f>Waste_Proj_Frontend[[#This Row],[Waste Type]]</f>
        <v>0</v>
      </c>
      <c r="W78" s="174" t="s">
        <v>339</v>
      </c>
      <c r="X78" s="174" t="s">
        <v>339</v>
      </c>
      <c r="Y78" s="174" t="s">
        <v>339</v>
      </c>
      <c r="Z78" s="174" t="str">
        <f>Waste_Proj_Frontend[[#This Row],[Methodology]]</f>
        <v>Tier 3</v>
      </c>
      <c r="AA78" s="229" t="e" cm="1">
        <f t="array" ref="AA78">INDEX(_xlfn.SWITCH(Waste_Proj_Backend[[#This Row],[Methodology]],"Tier 1",rng_RSD1,"Tier 2",rng_RSD2,"Tier 3",rng_RSD3),MATCH(_xlfn.CONCAT(Waste_Proj_Backend[[#This Row],[Level 1]:[Level 6]]),rng_LevelsConcat,0))</f>
        <v>#N/A</v>
      </c>
      <c r="AB78" s="220">
        <f>Waste_Proj_Frontend[[#This Row],[Data]]</f>
        <v>0</v>
      </c>
      <c r="AC78" s="174">
        <f>Waste_Proj_Frontend[[#This Row],[Units]]</f>
        <v>0</v>
      </c>
      <c r="AD78" s="220" t="e">
        <f>IF(Waste_Proj_Backend[[#This Row],[Units]]=Waste_Proj_Backend[[#This Row],[Standard units]],Waste_Proj_Backend[[#This Row],[Data]],Waste_Proj_Backend[[#This Row],[Data]]*_xlfn.XLOOKUP(_xlfn.CONCAT(Waste_Proj_Backend[[#This Row],[Level 1]:[Level 6]]),rng_EFConcat,rng_EFConversion))</f>
        <v>#N/A</v>
      </c>
      <c r="AE78" s="174" t="e" cm="1">
        <f t="array" ref="AE78">_xlfn.XLOOKUP(_xlfn.CONCAT(Waste_Proj_Backend[[#This Row],[Level 1]:[Level 6]]),rng_LevelsConcat,rng_UnitsLong)</f>
        <v>#N/A</v>
      </c>
      <c r="AF78" s="210" t="e">
        <f>_xlfn.XLOOKUP(_xlfn.CONCAT(Waste_Proj_Backend[[#This Row],[Level 1]:[Level 6]]),rng_EFConcat,rng_EF1)*Waste_Proj_Backend[[#This Row],[Converted data]]/1000</f>
        <v>#N/A</v>
      </c>
      <c r="AG78" s="210" t="e">
        <f>_xlfn.XLOOKUP(_xlfn.CONCAT(Waste_Proj_Backend[[#This Row],[Level 1]:[Level 6]]),rng_EFConcat,rng_EF2)*Waste_Proj_Backend[[#This Row],[Converted data]]/1000</f>
        <v>#N/A</v>
      </c>
      <c r="AH78" s="210" t="e">
        <f>_xlfn.XLOOKUP(_xlfn.CONCAT(Waste_Proj_Backend[[#This Row],[Level 1]:[Level 6]]),rng_EFConcat,rng_EF3)*Waste_Proj_Backend[[#This Row],[Converted data]]/1000</f>
        <v>#N/A</v>
      </c>
      <c r="AI78" s="210" t="e">
        <f>_xlfn.XLOOKUP(_xlfn.CONCAT(Waste_Proj_Backend[[#This Row],[Level 1]:[Level 6]]),rng_EFConcat,rng_EF3WTT)*Waste_Proj_Backend[[#This Row],[Converted data]]/1000</f>
        <v>#N/A</v>
      </c>
      <c r="AJ78" s="210" t="e">
        <f>_xlfn.XLOOKUP(_xlfn.CONCAT(Waste_Proj_Backend[[#This Row],[Level 1]:[Level 6]]),rng_EFConcat,rng_EF3TD)*Waste_Proj_Backend[[#This Row],[Converted data]]/1000</f>
        <v>#N/A</v>
      </c>
      <c r="AK78" s="210" t="e">
        <f>_xlfn.XLOOKUP(_xlfn.CONCAT(Waste_Proj_Backend[[#This Row],[Level 1]:[Level 6]]),rng_EFConcat,rng_EF3WTTTD)*Waste_Proj_Backend[[#This Row],[Converted data]]/1000</f>
        <v>#N/A</v>
      </c>
      <c r="AL78" s="220" t="e">
        <f>SUM(Waste_Proj_Backend[[#This Row],[Scope 1 (tCO2e)]:[Scope 3 WTT T&amp;D (tCO2e)]])</f>
        <v>#N/A</v>
      </c>
      <c r="AM78" s="220" t="e">
        <f>Waste_Proj_Backend[[#This Row],[Total (tCO2e)]]*(1-Waste_Proj_Backend[[#This Row],[RSD]])</f>
        <v>#N/A</v>
      </c>
      <c r="AN78" s="220" t="e">
        <f>Waste_Proj_Backend[[#This Row],[Total (tCO2e)]]*(1+Waste_Proj_Backend[[#This Row],[RSD]])</f>
        <v>#N/A</v>
      </c>
      <c r="AO78" s="210" t="e">
        <f>_xlfn.XLOOKUP(_xlfn.CONCAT(Waste_Proj_Backend[[#This Row],[Level 1]:[Level 6]]),rng_EFConcat,rng_EFOOS)*Waste_Proj_Backend[[#This Row],[Converted data]]/1000</f>
        <v>#N/A</v>
      </c>
      <c r="AP78" s="174">
        <f>Waste_Proj_Frontend[[#This Row],[Ease of collection]]</f>
        <v>0</v>
      </c>
      <c r="AQ78" s="213">
        <f>Waste_Proj_Frontend[[#This Row],[Completeness]]</f>
        <v>0</v>
      </c>
      <c r="AR78" s="213">
        <f>Waste_Proj_Frontend[[#This Row],[Notes]]</f>
        <v>0</v>
      </c>
      <c r="AU78"/>
      <c r="AV78"/>
      <c r="AW78"/>
      <c r="AX78"/>
      <c r="AY78"/>
    </row>
    <row r="79" spans="2:51" ht="14.5" x14ac:dyDescent="0.35">
      <c r="B79" s="455"/>
      <c r="E79" s="346"/>
      <c r="F79" s="336"/>
      <c r="G79" s="172" t="s">
        <v>336</v>
      </c>
      <c r="H79" s="334"/>
      <c r="I79" s="336"/>
      <c r="J79" s="336"/>
      <c r="K79" s="336"/>
      <c r="L79" s="337"/>
      <c r="M79" s="242">
        <f t="shared" si="6"/>
        <v>4</v>
      </c>
      <c r="Q79" s="212" t="str">
        <f t="shared" si="5"/>
        <v/>
      </c>
      <c r="R79" s="174" t="s">
        <v>194</v>
      </c>
      <c r="S79" s="174" t="s">
        <v>194</v>
      </c>
      <c r="T79" s="174" t="s">
        <v>378</v>
      </c>
      <c r="U79" s="174">
        <f>Waste_Proj_Frontend[[#This Row],[Disposal Method]]</f>
        <v>0</v>
      </c>
      <c r="V79" s="174">
        <f>Waste_Proj_Frontend[[#This Row],[Waste Type]]</f>
        <v>0</v>
      </c>
      <c r="W79" s="174" t="s">
        <v>339</v>
      </c>
      <c r="X79" s="174" t="s">
        <v>339</v>
      </c>
      <c r="Y79" s="174" t="s">
        <v>339</v>
      </c>
      <c r="Z79" s="174" t="str">
        <f>Waste_Proj_Frontend[[#This Row],[Methodology]]</f>
        <v>Tier 3</v>
      </c>
      <c r="AA79" s="229" t="e" cm="1">
        <f t="array" ref="AA79">INDEX(_xlfn.SWITCH(Waste_Proj_Backend[[#This Row],[Methodology]],"Tier 1",rng_RSD1,"Tier 2",rng_RSD2,"Tier 3",rng_RSD3),MATCH(_xlfn.CONCAT(Waste_Proj_Backend[[#This Row],[Level 1]:[Level 6]]),rng_LevelsConcat,0))</f>
        <v>#N/A</v>
      </c>
      <c r="AB79" s="220">
        <f>Waste_Proj_Frontend[[#This Row],[Data]]</f>
        <v>0</v>
      </c>
      <c r="AC79" s="174">
        <f>Waste_Proj_Frontend[[#This Row],[Units]]</f>
        <v>0</v>
      </c>
      <c r="AD79" s="220" t="e">
        <f>IF(Waste_Proj_Backend[[#This Row],[Units]]=Waste_Proj_Backend[[#This Row],[Standard units]],Waste_Proj_Backend[[#This Row],[Data]],Waste_Proj_Backend[[#This Row],[Data]]*_xlfn.XLOOKUP(_xlfn.CONCAT(Waste_Proj_Backend[[#This Row],[Level 1]:[Level 6]]),rng_EFConcat,rng_EFConversion))</f>
        <v>#N/A</v>
      </c>
      <c r="AE79" s="174" t="e" cm="1">
        <f t="array" ref="AE79">_xlfn.XLOOKUP(_xlfn.CONCAT(Waste_Proj_Backend[[#This Row],[Level 1]:[Level 6]]),rng_LevelsConcat,rng_UnitsLong)</f>
        <v>#N/A</v>
      </c>
      <c r="AF79" s="210" t="e">
        <f>_xlfn.XLOOKUP(_xlfn.CONCAT(Waste_Proj_Backend[[#This Row],[Level 1]:[Level 6]]),rng_EFConcat,rng_EF1)*Waste_Proj_Backend[[#This Row],[Converted data]]/1000</f>
        <v>#N/A</v>
      </c>
      <c r="AG79" s="210" t="e">
        <f>_xlfn.XLOOKUP(_xlfn.CONCAT(Waste_Proj_Backend[[#This Row],[Level 1]:[Level 6]]),rng_EFConcat,rng_EF2)*Waste_Proj_Backend[[#This Row],[Converted data]]/1000</f>
        <v>#N/A</v>
      </c>
      <c r="AH79" s="210" t="e">
        <f>_xlfn.XLOOKUP(_xlfn.CONCAT(Waste_Proj_Backend[[#This Row],[Level 1]:[Level 6]]),rng_EFConcat,rng_EF3)*Waste_Proj_Backend[[#This Row],[Converted data]]/1000</f>
        <v>#N/A</v>
      </c>
      <c r="AI79" s="210" t="e">
        <f>_xlfn.XLOOKUP(_xlfn.CONCAT(Waste_Proj_Backend[[#This Row],[Level 1]:[Level 6]]),rng_EFConcat,rng_EF3WTT)*Waste_Proj_Backend[[#This Row],[Converted data]]/1000</f>
        <v>#N/A</v>
      </c>
      <c r="AJ79" s="210" t="e">
        <f>_xlfn.XLOOKUP(_xlfn.CONCAT(Waste_Proj_Backend[[#This Row],[Level 1]:[Level 6]]),rng_EFConcat,rng_EF3TD)*Waste_Proj_Backend[[#This Row],[Converted data]]/1000</f>
        <v>#N/A</v>
      </c>
      <c r="AK79" s="210" t="e">
        <f>_xlfn.XLOOKUP(_xlfn.CONCAT(Waste_Proj_Backend[[#This Row],[Level 1]:[Level 6]]),rng_EFConcat,rng_EF3WTTTD)*Waste_Proj_Backend[[#This Row],[Converted data]]/1000</f>
        <v>#N/A</v>
      </c>
      <c r="AL79" s="220" t="e">
        <f>SUM(Waste_Proj_Backend[[#This Row],[Scope 1 (tCO2e)]:[Scope 3 WTT T&amp;D (tCO2e)]])</f>
        <v>#N/A</v>
      </c>
      <c r="AM79" s="220" t="e">
        <f>Waste_Proj_Backend[[#This Row],[Total (tCO2e)]]*(1-Waste_Proj_Backend[[#This Row],[RSD]])</f>
        <v>#N/A</v>
      </c>
      <c r="AN79" s="220" t="e">
        <f>Waste_Proj_Backend[[#This Row],[Total (tCO2e)]]*(1+Waste_Proj_Backend[[#This Row],[RSD]])</f>
        <v>#N/A</v>
      </c>
      <c r="AO79" s="210" t="e">
        <f>_xlfn.XLOOKUP(_xlfn.CONCAT(Waste_Proj_Backend[[#This Row],[Level 1]:[Level 6]]),rng_EFConcat,rng_EFOOS)*Waste_Proj_Backend[[#This Row],[Converted data]]/1000</f>
        <v>#N/A</v>
      </c>
      <c r="AP79" s="174">
        <f>Waste_Proj_Frontend[[#This Row],[Ease of collection]]</f>
        <v>0</v>
      </c>
      <c r="AQ79" s="213">
        <f>Waste_Proj_Frontend[[#This Row],[Completeness]]</f>
        <v>0</v>
      </c>
      <c r="AR79" s="213">
        <f>Waste_Proj_Frontend[[#This Row],[Notes]]</f>
        <v>0</v>
      </c>
      <c r="AU79"/>
      <c r="AV79"/>
      <c r="AW79"/>
      <c r="AX79"/>
      <c r="AY79"/>
    </row>
    <row r="80" spans="2:51" ht="14.5" x14ac:dyDescent="0.35">
      <c r="B80" s="455"/>
      <c r="E80" s="346"/>
      <c r="F80" s="336"/>
      <c r="G80" s="172" t="s">
        <v>336</v>
      </c>
      <c r="H80" s="334"/>
      <c r="I80" s="336"/>
      <c r="J80" s="336"/>
      <c r="K80" s="336"/>
      <c r="L80" s="337"/>
      <c r="M80" s="242">
        <f t="shared" si="6"/>
        <v>4</v>
      </c>
      <c r="Q80" s="212" t="str">
        <f t="shared" si="5"/>
        <v/>
      </c>
      <c r="R80" s="174" t="s">
        <v>194</v>
      </c>
      <c r="S80" s="174" t="s">
        <v>194</v>
      </c>
      <c r="T80" s="174" t="s">
        <v>378</v>
      </c>
      <c r="U80" s="174">
        <f>Waste_Proj_Frontend[[#This Row],[Disposal Method]]</f>
        <v>0</v>
      </c>
      <c r="V80" s="174">
        <f>Waste_Proj_Frontend[[#This Row],[Waste Type]]</f>
        <v>0</v>
      </c>
      <c r="W80" s="174" t="s">
        <v>339</v>
      </c>
      <c r="X80" s="174" t="s">
        <v>339</v>
      </c>
      <c r="Y80" s="174" t="s">
        <v>339</v>
      </c>
      <c r="Z80" s="174" t="str">
        <f>Waste_Proj_Frontend[[#This Row],[Methodology]]</f>
        <v>Tier 3</v>
      </c>
      <c r="AA80" s="229" t="e" cm="1">
        <f t="array" ref="AA80">INDEX(_xlfn.SWITCH(Waste_Proj_Backend[[#This Row],[Methodology]],"Tier 1",rng_RSD1,"Tier 2",rng_RSD2,"Tier 3",rng_RSD3),MATCH(_xlfn.CONCAT(Waste_Proj_Backend[[#This Row],[Level 1]:[Level 6]]),rng_LevelsConcat,0))</f>
        <v>#N/A</v>
      </c>
      <c r="AB80" s="220">
        <f>Waste_Proj_Frontend[[#This Row],[Data]]</f>
        <v>0</v>
      </c>
      <c r="AC80" s="174">
        <f>Waste_Proj_Frontend[[#This Row],[Units]]</f>
        <v>0</v>
      </c>
      <c r="AD80" s="220" t="e">
        <f>IF(Waste_Proj_Backend[[#This Row],[Units]]=Waste_Proj_Backend[[#This Row],[Standard units]],Waste_Proj_Backend[[#This Row],[Data]],Waste_Proj_Backend[[#This Row],[Data]]*_xlfn.XLOOKUP(_xlfn.CONCAT(Waste_Proj_Backend[[#This Row],[Level 1]:[Level 6]]),rng_EFConcat,rng_EFConversion))</f>
        <v>#N/A</v>
      </c>
      <c r="AE80" s="174" t="e" cm="1">
        <f t="array" ref="AE80">_xlfn.XLOOKUP(_xlfn.CONCAT(Waste_Proj_Backend[[#This Row],[Level 1]:[Level 6]]),rng_LevelsConcat,rng_UnitsLong)</f>
        <v>#N/A</v>
      </c>
      <c r="AF80" s="210" t="e">
        <f>_xlfn.XLOOKUP(_xlfn.CONCAT(Waste_Proj_Backend[[#This Row],[Level 1]:[Level 6]]),rng_EFConcat,rng_EF1)*Waste_Proj_Backend[[#This Row],[Converted data]]/1000</f>
        <v>#N/A</v>
      </c>
      <c r="AG80" s="210" t="e">
        <f>_xlfn.XLOOKUP(_xlfn.CONCAT(Waste_Proj_Backend[[#This Row],[Level 1]:[Level 6]]),rng_EFConcat,rng_EF2)*Waste_Proj_Backend[[#This Row],[Converted data]]/1000</f>
        <v>#N/A</v>
      </c>
      <c r="AH80" s="210" t="e">
        <f>_xlfn.XLOOKUP(_xlfn.CONCAT(Waste_Proj_Backend[[#This Row],[Level 1]:[Level 6]]),rng_EFConcat,rng_EF3)*Waste_Proj_Backend[[#This Row],[Converted data]]/1000</f>
        <v>#N/A</v>
      </c>
      <c r="AI80" s="210" t="e">
        <f>_xlfn.XLOOKUP(_xlfn.CONCAT(Waste_Proj_Backend[[#This Row],[Level 1]:[Level 6]]),rng_EFConcat,rng_EF3WTT)*Waste_Proj_Backend[[#This Row],[Converted data]]/1000</f>
        <v>#N/A</v>
      </c>
      <c r="AJ80" s="210" t="e">
        <f>_xlfn.XLOOKUP(_xlfn.CONCAT(Waste_Proj_Backend[[#This Row],[Level 1]:[Level 6]]),rng_EFConcat,rng_EF3TD)*Waste_Proj_Backend[[#This Row],[Converted data]]/1000</f>
        <v>#N/A</v>
      </c>
      <c r="AK80" s="210" t="e">
        <f>_xlfn.XLOOKUP(_xlfn.CONCAT(Waste_Proj_Backend[[#This Row],[Level 1]:[Level 6]]),rng_EFConcat,rng_EF3WTTTD)*Waste_Proj_Backend[[#This Row],[Converted data]]/1000</f>
        <v>#N/A</v>
      </c>
      <c r="AL80" s="220" t="e">
        <f>SUM(Waste_Proj_Backend[[#This Row],[Scope 1 (tCO2e)]:[Scope 3 WTT T&amp;D (tCO2e)]])</f>
        <v>#N/A</v>
      </c>
      <c r="AM80" s="220" t="e">
        <f>Waste_Proj_Backend[[#This Row],[Total (tCO2e)]]*(1-Waste_Proj_Backend[[#This Row],[RSD]])</f>
        <v>#N/A</v>
      </c>
      <c r="AN80" s="220" t="e">
        <f>Waste_Proj_Backend[[#This Row],[Total (tCO2e)]]*(1+Waste_Proj_Backend[[#This Row],[RSD]])</f>
        <v>#N/A</v>
      </c>
      <c r="AO80" s="210" t="e">
        <f>_xlfn.XLOOKUP(_xlfn.CONCAT(Waste_Proj_Backend[[#This Row],[Level 1]:[Level 6]]),rng_EFConcat,rng_EFOOS)*Waste_Proj_Backend[[#This Row],[Converted data]]/1000</f>
        <v>#N/A</v>
      </c>
      <c r="AP80" s="174">
        <f>Waste_Proj_Frontend[[#This Row],[Ease of collection]]</f>
        <v>0</v>
      </c>
      <c r="AQ80" s="213">
        <f>Waste_Proj_Frontend[[#This Row],[Completeness]]</f>
        <v>0</v>
      </c>
      <c r="AR80" s="213">
        <f>Waste_Proj_Frontend[[#This Row],[Notes]]</f>
        <v>0</v>
      </c>
      <c r="AU80"/>
      <c r="AV80"/>
      <c r="AW80"/>
      <c r="AX80"/>
      <c r="AY80"/>
    </row>
    <row r="81" spans="2:51" ht="14.5" x14ac:dyDescent="0.35">
      <c r="B81" s="455"/>
      <c r="E81" s="346"/>
      <c r="F81" s="336"/>
      <c r="G81" s="172" t="s">
        <v>336</v>
      </c>
      <c r="H81" s="334"/>
      <c r="I81" s="336"/>
      <c r="J81" s="336"/>
      <c r="K81" s="336"/>
      <c r="L81" s="337"/>
      <c r="M81" s="242">
        <f t="shared" si="6"/>
        <v>4</v>
      </c>
      <c r="Q81" s="212" t="str">
        <f t="shared" si="5"/>
        <v/>
      </c>
      <c r="R81" s="174" t="s">
        <v>194</v>
      </c>
      <c r="S81" s="174" t="s">
        <v>194</v>
      </c>
      <c r="T81" s="174" t="s">
        <v>378</v>
      </c>
      <c r="U81" s="174">
        <f>Waste_Proj_Frontend[[#This Row],[Disposal Method]]</f>
        <v>0</v>
      </c>
      <c r="V81" s="174">
        <f>Waste_Proj_Frontend[[#This Row],[Waste Type]]</f>
        <v>0</v>
      </c>
      <c r="W81" s="174" t="s">
        <v>339</v>
      </c>
      <c r="X81" s="174" t="s">
        <v>339</v>
      </c>
      <c r="Y81" s="174" t="s">
        <v>339</v>
      </c>
      <c r="Z81" s="174" t="str">
        <f>Waste_Proj_Frontend[[#This Row],[Methodology]]</f>
        <v>Tier 3</v>
      </c>
      <c r="AA81" s="229" t="e" cm="1">
        <f t="array" ref="AA81">INDEX(_xlfn.SWITCH(Waste_Proj_Backend[[#This Row],[Methodology]],"Tier 1",rng_RSD1,"Tier 2",rng_RSD2,"Tier 3",rng_RSD3),MATCH(_xlfn.CONCAT(Waste_Proj_Backend[[#This Row],[Level 1]:[Level 6]]),rng_LevelsConcat,0))</f>
        <v>#N/A</v>
      </c>
      <c r="AB81" s="220">
        <f>Waste_Proj_Frontend[[#This Row],[Data]]</f>
        <v>0</v>
      </c>
      <c r="AC81" s="174">
        <f>Waste_Proj_Frontend[[#This Row],[Units]]</f>
        <v>0</v>
      </c>
      <c r="AD81" s="220" t="e">
        <f>IF(Waste_Proj_Backend[[#This Row],[Units]]=Waste_Proj_Backend[[#This Row],[Standard units]],Waste_Proj_Backend[[#This Row],[Data]],Waste_Proj_Backend[[#This Row],[Data]]*_xlfn.XLOOKUP(_xlfn.CONCAT(Waste_Proj_Backend[[#This Row],[Level 1]:[Level 6]]),rng_EFConcat,rng_EFConversion))</f>
        <v>#N/A</v>
      </c>
      <c r="AE81" s="174" t="e" cm="1">
        <f t="array" ref="AE81">_xlfn.XLOOKUP(_xlfn.CONCAT(Waste_Proj_Backend[[#This Row],[Level 1]:[Level 6]]),rng_LevelsConcat,rng_UnitsLong)</f>
        <v>#N/A</v>
      </c>
      <c r="AF81" s="210" t="e">
        <f>_xlfn.XLOOKUP(_xlfn.CONCAT(Waste_Proj_Backend[[#This Row],[Level 1]:[Level 6]]),rng_EFConcat,rng_EF1)*Waste_Proj_Backend[[#This Row],[Converted data]]/1000</f>
        <v>#N/A</v>
      </c>
      <c r="AG81" s="210" t="e">
        <f>_xlfn.XLOOKUP(_xlfn.CONCAT(Waste_Proj_Backend[[#This Row],[Level 1]:[Level 6]]),rng_EFConcat,rng_EF2)*Waste_Proj_Backend[[#This Row],[Converted data]]/1000</f>
        <v>#N/A</v>
      </c>
      <c r="AH81" s="210" t="e">
        <f>_xlfn.XLOOKUP(_xlfn.CONCAT(Waste_Proj_Backend[[#This Row],[Level 1]:[Level 6]]),rng_EFConcat,rng_EF3)*Waste_Proj_Backend[[#This Row],[Converted data]]/1000</f>
        <v>#N/A</v>
      </c>
      <c r="AI81" s="210" t="e">
        <f>_xlfn.XLOOKUP(_xlfn.CONCAT(Waste_Proj_Backend[[#This Row],[Level 1]:[Level 6]]),rng_EFConcat,rng_EF3WTT)*Waste_Proj_Backend[[#This Row],[Converted data]]/1000</f>
        <v>#N/A</v>
      </c>
      <c r="AJ81" s="210" t="e">
        <f>_xlfn.XLOOKUP(_xlfn.CONCAT(Waste_Proj_Backend[[#This Row],[Level 1]:[Level 6]]),rng_EFConcat,rng_EF3TD)*Waste_Proj_Backend[[#This Row],[Converted data]]/1000</f>
        <v>#N/A</v>
      </c>
      <c r="AK81" s="210" t="e">
        <f>_xlfn.XLOOKUP(_xlfn.CONCAT(Waste_Proj_Backend[[#This Row],[Level 1]:[Level 6]]),rng_EFConcat,rng_EF3WTTTD)*Waste_Proj_Backend[[#This Row],[Converted data]]/1000</f>
        <v>#N/A</v>
      </c>
      <c r="AL81" s="220" t="e">
        <f>SUM(Waste_Proj_Backend[[#This Row],[Scope 1 (tCO2e)]:[Scope 3 WTT T&amp;D (tCO2e)]])</f>
        <v>#N/A</v>
      </c>
      <c r="AM81" s="220" t="e">
        <f>Waste_Proj_Backend[[#This Row],[Total (tCO2e)]]*(1-Waste_Proj_Backend[[#This Row],[RSD]])</f>
        <v>#N/A</v>
      </c>
      <c r="AN81" s="220" t="e">
        <f>Waste_Proj_Backend[[#This Row],[Total (tCO2e)]]*(1+Waste_Proj_Backend[[#This Row],[RSD]])</f>
        <v>#N/A</v>
      </c>
      <c r="AO81" s="210" t="e">
        <f>_xlfn.XLOOKUP(_xlfn.CONCAT(Waste_Proj_Backend[[#This Row],[Level 1]:[Level 6]]),rng_EFConcat,rng_EFOOS)*Waste_Proj_Backend[[#This Row],[Converted data]]/1000</f>
        <v>#N/A</v>
      </c>
      <c r="AP81" s="174">
        <f>Waste_Proj_Frontend[[#This Row],[Ease of collection]]</f>
        <v>0</v>
      </c>
      <c r="AQ81" s="213">
        <f>Waste_Proj_Frontend[[#This Row],[Completeness]]</f>
        <v>0</v>
      </c>
      <c r="AR81" s="213">
        <f>Waste_Proj_Frontend[[#This Row],[Notes]]</f>
        <v>0</v>
      </c>
      <c r="AU81"/>
      <c r="AV81"/>
      <c r="AW81"/>
      <c r="AX81"/>
      <c r="AY81"/>
    </row>
    <row r="82" spans="2:51" ht="14.5" x14ac:dyDescent="0.35">
      <c r="B82" s="455"/>
      <c r="E82" s="346"/>
      <c r="F82" s="336"/>
      <c r="G82" s="172" t="s">
        <v>336</v>
      </c>
      <c r="H82" s="334"/>
      <c r="I82" s="336"/>
      <c r="J82" s="336"/>
      <c r="K82" s="336"/>
      <c r="L82" s="337"/>
      <c r="M82" s="242">
        <f t="shared" si="6"/>
        <v>4</v>
      </c>
      <c r="Q82" s="212" t="str">
        <f t="shared" si="5"/>
        <v/>
      </c>
      <c r="R82" s="174" t="s">
        <v>194</v>
      </c>
      <c r="S82" s="174" t="s">
        <v>194</v>
      </c>
      <c r="T82" s="174" t="s">
        <v>378</v>
      </c>
      <c r="U82" s="174">
        <f>Waste_Proj_Frontend[[#This Row],[Disposal Method]]</f>
        <v>0</v>
      </c>
      <c r="V82" s="174">
        <f>Waste_Proj_Frontend[[#This Row],[Waste Type]]</f>
        <v>0</v>
      </c>
      <c r="W82" s="174" t="s">
        <v>339</v>
      </c>
      <c r="X82" s="174" t="s">
        <v>339</v>
      </c>
      <c r="Y82" s="174" t="s">
        <v>339</v>
      </c>
      <c r="Z82" s="174" t="str">
        <f>Waste_Proj_Frontend[[#This Row],[Methodology]]</f>
        <v>Tier 3</v>
      </c>
      <c r="AA82" s="229" t="e" cm="1">
        <f t="array" ref="AA82">INDEX(_xlfn.SWITCH(Waste_Proj_Backend[[#This Row],[Methodology]],"Tier 1",rng_RSD1,"Tier 2",rng_RSD2,"Tier 3",rng_RSD3),MATCH(_xlfn.CONCAT(Waste_Proj_Backend[[#This Row],[Level 1]:[Level 6]]),rng_LevelsConcat,0))</f>
        <v>#N/A</v>
      </c>
      <c r="AB82" s="220">
        <f>Waste_Proj_Frontend[[#This Row],[Data]]</f>
        <v>0</v>
      </c>
      <c r="AC82" s="174">
        <f>Waste_Proj_Frontend[[#This Row],[Units]]</f>
        <v>0</v>
      </c>
      <c r="AD82" s="220" t="e">
        <f>IF(Waste_Proj_Backend[[#This Row],[Units]]=Waste_Proj_Backend[[#This Row],[Standard units]],Waste_Proj_Backend[[#This Row],[Data]],Waste_Proj_Backend[[#This Row],[Data]]*_xlfn.XLOOKUP(_xlfn.CONCAT(Waste_Proj_Backend[[#This Row],[Level 1]:[Level 6]]),rng_EFConcat,rng_EFConversion))</f>
        <v>#N/A</v>
      </c>
      <c r="AE82" s="174" t="e" cm="1">
        <f t="array" ref="AE82">_xlfn.XLOOKUP(_xlfn.CONCAT(Waste_Proj_Backend[[#This Row],[Level 1]:[Level 6]]),rng_LevelsConcat,rng_UnitsLong)</f>
        <v>#N/A</v>
      </c>
      <c r="AF82" s="210" t="e">
        <f>_xlfn.XLOOKUP(_xlfn.CONCAT(Waste_Proj_Backend[[#This Row],[Level 1]:[Level 6]]),rng_EFConcat,rng_EF1)*Waste_Proj_Backend[[#This Row],[Converted data]]/1000</f>
        <v>#N/A</v>
      </c>
      <c r="AG82" s="210" t="e">
        <f>_xlfn.XLOOKUP(_xlfn.CONCAT(Waste_Proj_Backend[[#This Row],[Level 1]:[Level 6]]),rng_EFConcat,rng_EF2)*Waste_Proj_Backend[[#This Row],[Converted data]]/1000</f>
        <v>#N/A</v>
      </c>
      <c r="AH82" s="210" t="e">
        <f>_xlfn.XLOOKUP(_xlfn.CONCAT(Waste_Proj_Backend[[#This Row],[Level 1]:[Level 6]]),rng_EFConcat,rng_EF3)*Waste_Proj_Backend[[#This Row],[Converted data]]/1000</f>
        <v>#N/A</v>
      </c>
      <c r="AI82" s="210" t="e">
        <f>_xlfn.XLOOKUP(_xlfn.CONCAT(Waste_Proj_Backend[[#This Row],[Level 1]:[Level 6]]),rng_EFConcat,rng_EF3WTT)*Waste_Proj_Backend[[#This Row],[Converted data]]/1000</f>
        <v>#N/A</v>
      </c>
      <c r="AJ82" s="210" t="e">
        <f>_xlfn.XLOOKUP(_xlfn.CONCAT(Waste_Proj_Backend[[#This Row],[Level 1]:[Level 6]]),rng_EFConcat,rng_EF3TD)*Waste_Proj_Backend[[#This Row],[Converted data]]/1000</f>
        <v>#N/A</v>
      </c>
      <c r="AK82" s="210" t="e">
        <f>_xlfn.XLOOKUP(_xlfn.CONCAT(Waste_Proj_Backend[[#This Row],[Level 1]:[Level 6]]),rng_EFConcat,rng_EF3WTTTD)*Waste_Proj_Backend[[#This Row],[Converted data]]/1000</f>
        <v>#N/A</v>
      </c>
      <c r="AL82" s="220" t="e">
        <f>SUM(Waste_Proj_Backend[[#This Row],[Scope 1 (tCO2e)]:[Scope 3 WTT T&amp;D (tCO2e)]])</f>
        <v>#N/A</v>
      </c>
      <c r="AM82" s="220" t="e">
        <f>Waste_Proj_Backend[[#This Row],[Total (tCO2e)]]*(1-Waste_Proj_Backend[[#This Row],[RSD]])</f>
        <v>#N/A</v>
      </c>
      <c r="AN82" s="220" t="e">
        <f>Waste_Proj_Backend[[#This Row],[Total (tCO2e)]]*(1+Waste_Proj_Backend[[#This Row],[RSD]])</f>
        <v>#N/A</v>
      </c>
      <c r="AO82" s="210" t="e">
        <f>_xlfn.XLOOKUP(_xlfn.CONCAT(Waste_Proj_Backend[[#This Row],[Level 1]:[Level 6]]),rng_EFConcat,rng_EFOOS)*Waste_Proj_Backend[[#This Row],[Converted data]]/1000</f>
        <v>#N/A</v>
      </c>
      <c r="AP82" s="174">
        <f>Waste_Proj_Frontend[[#This Row],[Ease of collection]]</f>
        <v>0</v>
      </c>
      <c r="AQ82" s="213">
        <f>Waste_Proj_Frontend[[#This Row],[Completeness]]</f>
        <v>0</v>
      </c>
      <c r="AR82" s="213">
        <f>Waste_Proj_Frontend[[#This Row],[Notes]]</f>
        <v>0</v>
      </c>
      <c r="AU82"/>
      <c r="AV82"/>
      <c r="AW82"/>
      <c r="AX82"/>
      <c r="AY82"/>
    </row>
    <row r="83" spans="2:51" ht="14.5" x14ac:dyDescent="0.35">
      <c r="B83" s="455"/>
      <c r="E83" s="346"/>
      <c r="F83" s="336"/>
      <c r="G83" s="172" t="s">
        <v>336</v>
      </c>
      <c r="H83" s="334"/>
      <c r="I83" s="336"/>
      <c r="J83" s="336"/>
      <c r="K83" s="336"/>
      <c r="L83" s="337"/>
      <c r="M83" s="242">
        <f t="shared" si="6"/>
        <v>4</v>
      </c>
      <c r="Q83" s="212" t="str">
        <f t="shared" si="5"/>
        <v/>
      </c>
      <c r="R83" s="174" t="s">
        <v>194</v>
      </c>
      <c r="S83" s="174" t="s">
        <v>194</v>
      </c>
      <c r="T83" s="174" t="s">
        <v>378</v>
      </c>
      <c r="U83" s="174">
        <f>Waste_Proj_Frontend[[#This Row],[Disposal Method]]</f>
        <v>0</v>
      </c>
      <c r="V83" s="174">
        <f>Waste_Proj_Frontend[[#This Row],[Waste Type]]</f>
        <v>0</v>
      </c>
      <c r="W83" s="174" t="s">
        <v>339</v>
      </c>
      <c r="X83" s="174" t="s">
        <v>339</v>
      </c>
      <c r="Y83" s="174" t="s">
        <v>339</v>
      </c>
      <c r="Z83" s="174" t="str">
        <f>Waste_Proj_Frontend[[#This Row],[Methodology]]</f>
        <v>Tier 3</v>
      </c>
      <c r="AA83" s="229" t="e" cm="1">
        <f t="array" ref="AA83">INDEX(_xlfn.SWITCH(Waste_Proj_Backend[[#This Row],[Methodology]],"Tier 1",rng_RSD1,"Tier 2",rng_RSD2,"Tier 3",rng_RSD3),MATCH(_xlfn.CONCAT(Waste_Proj_Backend[[#This Row],[Level 1]:[Level 6]]),rng_LevelsConcat,0))</f>
        <v>#N/A</v>
      </c>
      <c r="AB83" s="220">
        <f>Waste_Proj_Frontend[[#This Row],[Data]]</f>
        <v>0</v>
      </c>
      <c r="AC83" s="174">
        <f>Waste_Proj_Frontend[[#This Row],[Units]]</f>
        <v>0</v>
      </c>
      <c r="AD83" s="220" t="e">
        <f>IF(Waste_Proj_Backend[[#This Row],[Units]]=Waste_Proj_Backend[[#This Row],[Standard units]],Waste_Proj_Backend[[#This Row],[Data]],Waste_Proj_Backend[[#This Row],[Data]]*_xlfn.XLOOKUP(_xlfn.CONCAT(Waste_Proj_Backend[[#This Row],[Level 1]:[Level 6]]),rng_EFConcat,rng_EFConversion))</f>
        <v>#N/A</v>
      </c>
      <c r="AE83" s="174" t="e" cm="1">
        <f t="array" ref="AE83">_xlfn.XLOOKUP(_xlfn.CONCAT(Waste_Proj_Backend[[#This Row],[Level 1]:[Level 6]]),rng_LevelsConcat,rng_UnitsLong)</f>
        <v>#N/A</v>
      </c>
      <c r="AF83" s="210" t="e">
        <f>_xlfn.XLOOKUP(_xlfn.CONCAT(Waste_Proj_Backend[[#This Row],[Level 1]:[Level 6]]),rng_EFConcat,rng_EF1)*Waste_Proj_Backend[[#This Row],[Converted data]]/1000</f>
        <v>#N/A</v>
      </c>
      <c r="AG83" s="210" t="e">
        <f>_xlfn.XLOOKUP(_xlfn.CONCAT(Waste_Proj_Backend[[#This Row],[Level 1]:[Level 6]]),rng_EFConcat,rng_EF2)*Waste_Proj_Backend[[#This Row],[Converted data]]/1000</f>
        <v>#N/A</v>
      </c>
      <c r="AH83" s="210" t="e">
        <f>_xlfn.XLOOKUP(_xlfn.CONCAT(Waste_Proj_Backend[[#This Row],[Level 1]:[Level 6]]),rng_EFConcat,rng_EF3)*Waste_Proj_Backend[[#This Row],[Converted data]]/1000</f>
        <v>#N/A</v>
      </c>
      <c r="AI83" s="210" t="e">
        <f>_xlfn.XLOOKUP(_xlfn.CONCAT(Waste_Proj_Backend[[#This Row],[Level 1]:[Level 6]]),rng_EFConcat,rng_EF3WTT)*Waste_Proj_Backend[[#This Row],[Converted data]]/1000</f>
        <v>#N/A</v>
      </c>
      <c r="AJ83" s="210" t="e">
        <f>_xlfn.XLOOKUP(_xlfn.CONCAT(Waste_Proj_Backend[[#This Row],[Level 1]:[Level 6]]),rng_EFConcat,rng_EF3TD)*Waste_Proj_Backend[[#This Row],[Converted data]]/1000</f>
        <v>#N/A</v>
      </c>
      <c r="AK83" s="210" t="e">
        <f>_xlfn.XLOOKUP(_xlfn.CONCAT(Waste_Proj_Backend[[#This Row],[Level 1]:[Level 6]]),rng_EFConcat,rng_EF3WTTTD)*Waste_Proj_Backend[[#This Row],[Converted data]]/1000</f>
        <v>#N/A</v>
      </c>
      <c r="AL83" s="220" t="e">
        <f>SUM(Waste_Proj_Backend[[#This Row],[Scope 1 (tCO2e)]:[Scope 3 WTT T&amp;D (tCO2e)]])</f>
        <v>#N/A</v>
      </c>
      <c r="AM83" s="220" t="e">
        <f>Waste_Proj_Backend[[#This Row],[Total (tCO2e)]]*(1-Waste_Proj_Backend[[#This Row],[RSD]])</f>
        <v>#N/A</v>
      </c>
      <c r="AN83" s="220" t="e">
        <f>Waste_Proj_Backend[[#This Row],[Total (tCO2e)]]*(1+Waste_Proj_Backend[[#This Row],[RSD]])</f>
        <v>#N/A</v>
      </c>
      <c r="AO83" s="210" t="e">
        <f>_xlfn.XLOOKUP(_xlfn.CONCAT(Waste_Proj_Backend[[#This Row],[Level 1]:[Level 6]]),rng_EFConcat,rng_EFOOS)*Waste_Proj_Backend[[#This Row],[Converted data]]/1000</f>
        <v>#N/A</v>
      </c>
      <c r="AP83" s="174">
        <f>Waste_Proj_Frontend[[#This Row],[Ease of collection]]</f>
        <v>0</v>
      </c>
      <c r="AQ83" s="213">
        <f>Waste_Proj_Frontend[[#This Row],[Completeness]]</f>
        <v>0</v>
      </c>
      <c r="AR83" s="213">
        <f>Waste_Proj_Frontend[[#This Row],[Notes]]</f>
        <v>0</v>
      </c>
      <c r="AU83"/>
      <c r="AV83"/>
      <c r="AW83"/>
      <c r="AX83"/>
      <c r="AY83"/>
    </row>
    <row r="84" spans="2:51" ht="14.5" x14ac:dyDescent="0.35">
      <c r="B84" s="455"/>
      <c r="E84" s="346"/>
      <c r="F84" s="336"/>
      <c r="G84" s="172" t="s">
        <v>336</v>
      </c>
      <c r="H84" s="334"/>
      <c r="I84" s="336"/>
      <c r="J84" s="336"/>
      <c r="K84" s="336"/>
      <c r="L84" s="337"/>
      <c r="M84" s="242">
        <f t="shared" si="6"/>
        <v>4</v>
      </c>
      <c r="Q84" s="212" t="str">
        <f t="shared" si="5"/>
        <v/>
      </c>
      <c r="R84" s="174" t="s">
        <v>194</v>
      </c>
      <c r="S84" s="174" t="s">
        <v>194</v>
      </c>
      <c r="T84" s="174" t="s">
        <v>378</v>
      </c>
      <c r="U84" s="174">
        <f>Waste_Proj_Frontend[[#This Row],[Disposal Method]]</f>
        <v>0</v>
      </c>
      <c r="V84" s="174">
        <f>Waste_Proj_Frontend[[#This Row],[Waste Type]]</f>
        <v>0</v>
      </c>
      <c r="W84" s="174" t="s">
        <v>339</v>
      </c>
      <c r="X84" s="174" t="s">
        <v>339</v>
      </c>
      <c r="Y84" s="174" t="s">
        <v>339</v>
      </c>
      <c r="Z84" s="174" t="str">
        <f>Waste_Proj_Frontend[[#This Row],[Methodology]]</f>
        <v>Tier 3</v>
      </c>
      <c r="AA84" s="229" t="e" cm="1">
        <f t="array" ref="AA84">INDEX(_xlfn.SWITCH(Waste_Proj_Backend[[#This Row],[Methodology]],"Tier 1",rng_RSD1,"Tier 2",rng_RSD2,"Tier 3",rng_RSD3),MATCH(_xlfn.CONCAT(Waste_Proj_Backend[[#This Row],[Level 1]:[Level 6]]),rng_LevelsConcat,0))</f>
        <v>#N/A</v>
      </c>
      <c r="AB84" s="220">
        <f>Waste_Proj_Frontend[[#This Row],[Data]]</f>
        <v>0</v>
      </c>
      <c r="AC84" s="174">
        <f>Waste_Proj_Frontend[[#This Row],[Units]]</f>
        <v>0</v>
      </c>
      <c r="AD84" s="220" t="e">
        <f>IF(Waste_Proj_Backend[[#This Row],[Units]]=Waste_Proj_Backend[[#This Row],[Standard units]],Waste_Proj_Backend[[#This Row],[Data]],Waste_Proj_Backend[[#This Row],[Data]]*_xlfn.XLOOKUP(_xlfn.CONCAT(Waste_Proj_Backend[[#This Row],[Level 1]:[Level 6]]),rng_EFConcat,rng_EFConversion))</f>
        <v>#N/A</v>
      </c>
      <c r="AE84" s="174" t="e" cm="1">
        <f t="array" ref="AE84">_xlfn.XLOOKUP(_xlfn.CONCAT(Waste_Proj_Backend[[#This Row],[Level 1]:[Level 6]]),rng_LevelsConcat,rng_UnitsLong)</f>
        <v>#N/A</v>
      </c>
      <c r="AF84" s="210" t="e">
        <f>_xlfn.XLOOKUP(_xlfn.CONCAT(Waste_Proj_Backend[[#This Row],[Level 1]:[Level 6]]),rng_EFConcat,rng_EF1)*Waste_Proj_Backend[[#This Row],[Converted data]]/1000</f>
        <v>#N/A</v>
      </c>
      <c r="AG84" s="210" t="e">
        <f>_xlfn.XLOOKUP(_xlfn.CONCAT(Waste_Proj_Backend[[#This Row],[Level 1]:[Level 6]]),rng_EFConcat,rng_EF2)*Waste_Proj_Backend[[#This Row],[Converted data]]/1000</f>
        <v>#N/A</v>
      </c>
      <c r="AH84" s="210" t="e">
        <f>_xlfn.XLOOKUP(_xlfn.CONCAT(Waste_Proj_Backend[[#This Row],[Level 1]:[Level 6]]),rng_EFConcat,rng_EF3)*Waste_Proj_Backend[[#This Row],[Converted data]]/1000</f>
        <v>#N/A</v>
      </c>
      <c r="AI84" s="210" t="e">
        <f>_xlfn.XLOOKUP(_xlfn.CONCAT(Waste_Proj_Backend[[#This Row],[Level 1]:[Level 6]]),rng_EFConcat,rng_EF3WTT)*Waste_Proj_Backend[[#This Row],[Converted data]]/1000</f>
        <v>#N/A</v>
      </c>
      <c r="AJ84" s="210" t="e">
        <f>_xlfn.XLOOKUP(_xlfn.CONCAT(Waste_Proj_Backend[[#This Row],[Level 1]:[Level 6]]),rng_EFConcat,rng_EF3TD)*Waste_Proj_Backend[[#This Row],[Converted data]]/1000</f>
        <v>#N/A</v>
      </c>
      <c r="AK84" s="210" t="e">
        <f>_xlfn.XLOOKUP(_xlfn.CONCAT(Waste_Proj_Backend[[#This Row],[Level 1]:[Level 6]]),rng_EFConcat,rng_EF3WTTTD)*Waste_Proj_Backend[[#This Row],[Converted data]]/1000</f>
        <v>#N/A</v>
      </c>
      <c r="AL84" s="220" t="e">
        <f>SUM(Waste_Proj_Backend[[#This Row],[Scope 1 (tCO2e)]:[Scope 3 WTT T&amp;D (tCO2e)]])</f>
        <v>#N/A</v>
      </c>
      <c r="AM84" s="220" t="e">
        <f>Waste_Proj_Backend[[#This Row],[Total (tCO2e)]]*(1-Waste_Proj_Backend[[#This Row],[RSD]])</f>
        <v>#N/A</v>
      </c>
      <c r="AN84" s="220" t="e">
        <f>Waste_Proj_Backend[[#This Row],[Total (tCO2e)]]*(1+Waste_Proj_Backend[[#This Row],[RSD]])</f>
        <v>#N/A</v>
      </c>
      <c r="AO84" s="210" t="e">
        <f>_xlfn.XLOOKUP(_xlfn.CONCAT(Waste_Proj_Backend[[#This Row],[Level 1]:[Level 6]]),rng_EFConcat,rng_EFOOS)*Waste_Proj_Backend[[#This Row],[Converted data]]/1000</f>
        <v>#N/A</v>
      </c>
      <c r="AP84" s="174">
        <f>Waste_Proj_Frontend[[#This Row],[Ease of collection]]</f>
        <v>0</v>
      </c>
      <c r="AQ84" s="213">
        <f>Waste_Proj_Frontend[[#This Row],[Completeness]]</f>
        <v>0</v>
      </c>
      <c r="AR84" s="213">
        <f>Waste_Proj_Frontend[[#This Row],[Notes]]</f>
        <v>0</v>
      </c>
      <c r="AU84"/>
      <c r="AV84"/>
      <c r="AW84"/>
      <c r="AX84"/>
      <c r="AY84"/>
    </row>
    <row r="85" spans="2:51" ht="14.5" x14ac:dyDescent="0.35">
      <c r="B85" s="455"/>
      <c r="E85" s="346"/>
      <c r="F85" s="336"/>
      <c r="G85" s="172" t="s">
        <v>336</v>
      </c>
      <c r="H85" s="334"/>
      <c r="I85" s="336"/>
      <c r="J85" s="336"/>
      <c r="K85" s="336"/>
      <c r="L85" s="337"/>
      <c r="M85" s="242">
        <f t="shared" si="6"/>
        <v>4</v>
      </c>
      <c r="Q85" s="212" t="str">
        <f t="shared" si="5"/>
        <v/>
      </c>
      <c r="R85" s="174" t="s">
        <v>194</v>
      </c>
      <c r="S85" s="174" t="s">
        <v>194</v>
      </c>
      <c r="T85" s="174" t="s">
        <v>378</v>
      </c>
      <c r="U85" s="174">
        <f>Waste_Proj_Frontend[[#This Row],[Disposal Method]]</f>
        <v>0</v>
      </c>
      <c r="V85" s="174">
        <f>Waste_Proj_Frontend[[#This Row],[Waste Type]]</f>
        <v>0</v>
      </c>
      <c r="W85" s="174" t="s">
        <v>339</v>
      </c>
      <c r="X85" s="174" t="s">
        <v>339</v>
      </c>
      <c r="Y85" s="174" t="s">
        <v>339</v>
      </c>
      <c r="Z85" s="174" t="str">
        <f>Waste_Proj_Frontend[[#This Row],[Methodology]]</f>
        <v>Tier 3</v>
      </c>
      <c r="AA85" s="229" t="e" cm="1">
        <f t="array" ref="AA85">INDEX(_xlfn.SWITCH(Waste_Proj_Backend[[#This Row],[Methodology]],"Tier 1",rng_RSD1,"Tier 2",rng_RSD2,"Tier 3",rng_RSD3),MATCH(_xlfn.CONCAT(Waste_Proj_Backend[[#This Row],[Level 1]:[Level 6]]),rng_LevelsConcat,0))</f>
        <v>#N/A</v>
      </c>
      <c r="AB85" s="220">
        <f>Waste_Proj_Frontend[[#This Row],[Data]]</f>
        <v>0</v>
      </c>
      <c r="AC85" s="174">
        <f>Waste_Proj_Frontend[[#This Row],[Units]]</f>
        <v>0</v>
      </c>
      <c r="AD85" s="220" t="e">
        <f>IF(Waste_Proj_Backend[[#This Row],[Units]]=Waste_Proj_Backend[[#This Row],[Standard units]],Waste_Proj_Backend[[#This Row],[Data]],Waste_Proj_Backend[[#This Row],[Data]]*_xlfn.XLOOKUP(_xlfn.CONCAT(Waste_Proj_Backend[[#This Row],[Level 1]:[Level 6]]),rng_EFConcat,rng_EFConversion))</f>
        <v>#N/A</v>
      </c>
      <c r="AE85" s="174" t="e" cm="1">
        <f t="array" ref="AE85">_xlfn.XLOOKUP(_xlfn.CONCAT(Waste_Proj_Backend[[#This Row],[Level 1]:[Level 6]]),rng_LevelsConcat,rng_UnitsLong)</f>
        <v>#N/A</v>
      </c>
      <c r="AF85" s="210" t="e">
        <f>_xlfn.XLOOKUP(_xlfn.CONCAT(Waste_Proj_Backend[[#This Row],[Level 1]:[Level 6]]),rng_EFConcat,rng_EF1)*Waste_Proj_Backend[[#This Row],[Converted data]]/1000</f>
        <v>#N/A</v>
      </c>
      <c r="AG85" s="210" t="e">
        <f>_xlfn.XLOOKUP(_xlfn.CONCAT(Waste_Proj_Backend[[#This Row],[Level 1]:[Level 6]]),rng_EFConcat,rng_EF2)*Waste_Proj_Backend[[#This Row],[Converted data]]/1000</f>
        <v>#N/A</v>
      </c>
      <c r="AH85" s="210" t="e">
        <f>_xlfn.XLOOKUP(_xlfn.CONCAT(Waste_Proj_Backend[[#This Row],[Level 1]:[Level 6]]),rng_EFConcat,rng_EF3)*Waste_Proj_Backend[[#This Row],[Converted data]]/1000</f>
        <v>#N/A</v>
      </c>
      <c r="AI85" s="210" t="e">
        <f>_xlfn.XLOOKUP(_xlfn.CONCAT(Waste_Proj_Backend[[#This Row],[Level 1]:[Level 6]]),rng_EFConcat,rng_EF3WTT)*Waste_Proj_Backend[[#This Row],[Converted data]]/1000</f>
        <v>#N/A</v>
      </c>
      <c r="AJ85" s="210" t="e">
        <f>_xlfn.XLOOKUP(_xlfn.CONCAT(Waste_Proj_Backend[[#This Row],[Level 1]:[Level 6]]),rng_EFConcat,rng_EF3TD)*Waste_Proj_Backend[[#This Row],[Converted data]]/1000</f>
        <v>#N/A</v>
      </c>
      <c r="AK85" s="210" t="e">
        <f>_xlfn.XLOOKUP(_xlfn.CONCAT(Waste_Proj_Backend[[#This Row],[Level 1]:[Level 6]]),rng_EFConcat,rng_EF3WTTTD)*Waste_Proj_Backend[[#This Row],[Converted data]]/1000</f>
        <v>#N/A</v>
      </c>
      <c r="AL85" s="220" t="e">
        <f>SUM(Waste_Proj_Backend[[#This Row],[Scope 1 (tCO2e)]:[Scope 3 WTT T&amp;D (tCO2e)]])</f>
        <v>#N/A</v>
      </c>
      <c r="AM85" s="220" t="e">
        <f>Waste_Proj_Backend[[#This Row],[Total (tCO2e)]]*(1-Waste_Proj_Backend[[#This Row],[RSD]])</f>
        <v>#N/A</v>
      </c>
      <c r="AN85" s="220" t="e">
        <f>Waste_Proj_Backend[[#This Row],[Total (tCO2e)]]*(1+Waste_Proj_Backend[[#This Row],[RSD]])</f>
        <v>#N/A</v>
      </c>
      <c r="AO85" s="210" t="e">
        <f>_xlfn.XLOOKUP(_xlfn.CONCAT(Waste_Proj_Backend[[#This Row],[Level 1]:[Level 6]]),rng_EFConcat,rng_EFOOS)*Waste_Proj_Backend[[#This Row],[Converted data]]/1000</f>
        <v>#N/A</v>
      </c>
      <c r="AP85" s="174">
        <f>Waste_Proj_Frontend[[#This Row],[Ease of collection]]</f>
        <v>0</v>
      </c>
      <c r="AQ85" s="213">
        <f>Waste_Proj_Frontend[[#This Row],[Completeness]]</f>
        <v>0</v>
      </c>
      <c r="AR85" s="213">
        <f>Waste_Proj_Frontend[[#This Row],[Notes]]</f>
        <v>0</v>
      </c>
      <c r="AU85"/>
      <c r="AV85"/>
      <c r="AW85"/>
      <c r="AX85"/>
      <c r="AY85"/>
    </row>
    <row r="86" spans="2:51" ht="14.5" x14ac:dyDescent="0.35">
      <c r="B86" s="455"/>
      <c r="E86" s="346"/>
      <c r="F86" s="336"/>
      <c r="G86" s="172" t="s">
        <v>336</v>
      </c>
      <c r="H86" s="335"/>
      <c r="I86" s="336"/>
      <c r="J86" s="338"/>
      <c r="K86" s="338"/>
      <c r="L86" s="339"/>
      <c r="M86" s="242">
        <f t="shared" si="6"/>
        <v>4</v>
      </c>
      <c r="Q86" s="214" t="str">
        <f t="shared" si="5"/>
        <v/>
      </c>
      <c r="R86" s="174" t="s">
        <v>194</v>
      </c>
      <c r="S86" s="174" t="s">
        <v>194</v>
      </c>
      <c r="T86" s="174" t="s">
        <v>378</v>
      </c>
      <c r="U86" s="216">
        <f>Waste_Proj_Frontend[[#This Row],[Disposal Method]]</f>
        <v>0</v>
      </c>
      <c r="V86" s="216">
        <f>Waste_Proj_Frontend[[#This Row],[Waste Type]]</f>
        <v>0</v>
      </c>
      <c r="W86" s="174" t="s">
        <v>339</v>
      </c>
      <c r="X86" s="174" t="s">
        <v>339</v>
      </c>
      <c r="Y86" s="174" t="s">
        <v>339</v>
      </c>
      <c r="Z86" s="216" t="str">
        <f>Waste_Proj_Frontend[[#This Row],[Methodology]]</f>
        <v>Tier 3</v>
      </c>
      <c r="AA86" s="229" t="e" cm="1">
        <f t="array" ref="AA86">INDEX(_xlfn.SWITCH(Waste_Proj_Backend[[#This Row],[Methodology]],"Tier 1",rng_RSD1,"Tier 2",rng_RSD2,"Tier 3",rng_RSD3),MATCH(_xlfn.CONCAT(Waste_Proj_Backend[[#This Row],[Level 1]:[Level 6]]),rng_LevelsConcat,0))</f>
        <v>#N/A</v>
      </c>
      <c r="AB86" s="221">
        <f>Waste_Proj_Frontend[[#This Row],[Data]]</f>
        <v>0</v>
      </c>
      <c r="AC86" s="216">
        <f>Waste_Proj_Frontend[[#This Row],[Units]]</f>
        <v>0</v>
      </c>
      <c r="AD86" s="220" t="e">
        <f>IF(Waste_Proj_Backend[[#This Row],[Units]]=Waste_Proj_Backend[[#This Row],[Standard units]],Waste_Proj_Backend[[#This Row],[Data]],Waste_Proj_Backend[[#This Row],[Data]]*_xlfn.XLOOKUP(_xlfn.CONCAT(Waste_Proj_Backend[[#This Row],[Level 1]:[Level 6]]),rng_EFConcat,rng_EFConversion))</f>
        <v>#N/A</v>
      </c>
      <c r="AE86" s="216" t="e" cm="1">
        <f t="array" ref="AE86">_xlfn.XLOOKUP(_xlfn.CONCAT(Waste_Proj_Backend[[#This Row],[Level 1]:[Level 6]]),rng_LevelsConcat,rng_UnitsLong)</f>
        <v>#N/A</v>
      </c>
      <c r="AF86" s="210" t="e">
        <f>_xlfn.XLOOKUP(_xlfn.CONCAT(Waste_Proj_Backend[[#This Row],[Level 1]:[Level 6]]),rng_EFConcat,rng_EF1)*Waste_Proj_Backend[[#This Row],[Converted data]]/1000</f>
        <v>#N/A</v>
      </c>
      <c r="AG86" s="210" t="e">
        <f>_xlfn.XLOOKUP(_xlfn.CONCAT(Waste_Proj_Backend[[#This Row],[Level 1]:[Level 6]]),rng_EFConcat,rng_EF2)*Waste_Proj_Backend[[#This Row],[Converted data]]/1000</f>
        <v>#N/A</v>
      </c>
      <c r="AH86" s="210" t="e">
        <f>_xlfn.XLOOKUP(_xlfn.CONCAT(Waste_Proj_Backend[[#This Row],[Level 1]:[Level 6]]),rng_EFConcat,rng_EF3)*Waste_Proj_Backend[[#This Row],[Converted data]]/1000</f>
        <v>#N/A</v>
      </c>
      <c r="AI86" s="210" t="e">
        <f>_xlfn.XLOOKUP(_xlfn.CONCAT(Waste_Proj_Backend[[#This Row],[Level 1]:[Level 6]]),rng_EFConcat,rng_EF3WTT)*Waste_Proj_Backend[[#This Row],[Converted data]]/1000</f>
        <v>#N/A</v>
      </c>
      <c r="AJ86" s="210" t="e">
        <f>_xlfn.XLOOKUP(_xlfn.CONCAT(Waste_Proj_Backend[[#This Row],[Level 1]:[Level 6]]),rng_EFConcat,rng_EF3TD)*Waste_Proj_Backend[[#This Row],[Converted data]]/1000</f>
        <v>#N/A</v>
      </c>
      <c r="AK86" s="210" t="e">
        <f>_xlfn.XLOOKUP(_xlfn.CONCAT(Waste_Proj_Backend[[#This Row],[Level 1]:[Level 6]]),rng_EFConcat,rng_EF3WTTTD)*Waste_Proj_Backend[[#This Row],[Converted data]]/1000</f>
        <v>#N/A</v>
      </c>
      <c r="AL86" s="220" t="e">
        <f>SUM(Waste_Proj_Backend[[#This Row],[Scope 1 (tCO2e)]:[Scope 3 WTT T&amp;D (tCO2e)]])</f>
        <v>#N/A</v>
      </c>
      <c r="AM86" s="220" t="e">
        <f>Waste_Proj_Backend[[#This Row],[Total (tCO2e)]]*(1-Waste_Proj_Backend[[#This Row],[RSD]])</f>
        <v>#N/A</v>
      </c>
      <c r="AN86" s="220" t="e">
        <f>Waste_Proj_Backend[[#This Row],[Total (tCO2e)]]*(1+Waste_Proj_Backend[[#This Row],[RSD]])</f>
        <v>#N/A</v>
      </c>
      <c r="AO86" s="210" t="e">
        <f>_xlfn.XLOOKUP(_xlfn.CONCAT(Waste_Proj_Backend[[#This Row],[Level 1]:[Level 6]]),rng_EFConcat,rng_EFOOS)*Waste_Proj_Backend[[#This Row],[Converted data]]/1000</f>
        <v>#N/A</v>
      </c>
      <c r="AP86" s="216">
        <f>Waste_Proj_Frontend[[#This Row],[Ease of collection]]</f>
        <v>0</v>
      </c>
      <c r="AQ86" s="228">
        <f>Waste_Proj_Frontend[[#This Row],[Completeness]]</f>
        <v>0</v>
      </c>
      <c r="AR86" s="228">
        <f>Waste_Proj_Frontend[[#This Row],[Notes]]</f>
        <v>0</v>
      </c>
      <c r="AU86"/>
      <c r="AV86"/>
      <c r="AW86"/>
      <c r="AX86"/>
      <c r="AY86"/>
    </row>
    <row r="87" spans="2:51" ht="14.5" x14ac:dyDescent="0.35">
      <c r="AT87"/>
      <c r="AU87"/>
      <c r="AV87"/>
      <c r="AW87"/>
      <c r="AX87"/>
    </row>
    <row r="88" spans="2:51" ht="14.5" x14ac:dyDescent="0.35">
      <c r="AT88"/>
      <c r="AU88"/>
      <c r="AV88"/>
      <c r="AW88"/>
      <c r="AX88"/>
    </row>
    <row r="89" spans="2:51" x14ac:dyDescent="0.3"/>
    <row r="90" spans="2:51" x14ac:dyDescent="0.3">
      <c r="B90" s="146" t="s">
        <v>101</v>
      </c>
    </row>
  </sheetData>
  <sheetProtection algorithmName="SHA-512" hashValue="/ZIYChZkA2YGWVI7QRiOs88YEq8KD4yn3l9QMUCXZT6XlgyL9wxM+3wss6C+uQWAQMt4iMzNP5kYwHEvtqaPMQ==" saltValue="3YUnYfJr8InakRW1Hyl27w==" spinCount="100000" sheet="1" formatColumns="0"/>
  <mergeCells count="4">
    <mergeCell ref="B5:B10"/>
    <mergeCell ref="B14:B34"/>
    <mergeCell ref="B39:B60"/>
    <mergeCell ref="B65:B86"/>
  </mergeCells>
  <phoneticPr fontId="16" type="noConversion"/>
  <conditionalFormatting sqref="J1">
    <cfRule type="containsText" dxfId="14" priority="1" operator="containsText" text="No data missing">
      <formula>NOT(ISERROR(SEARCH("No data missing",J1)))</formula>
    </cfRule>
  </conditionalFormatting>
  <conditionalFormatting sqref="M14">
    <cfRule type="iconSet" priority="4">
      <iconSet showValue="0">
        <cfvo type="percent" val="0"/>
        <cfvo type="num" val="1E-3"/>
        <cfvo type="num" val="5"/>
      </iconSet>
    </cfRule>
  </conditionalFormatting>
  <conditionalFormatting sqref="M39">
    <cfRule type="iconSet" priority="3">
      <iconSet showValue="0">
        <cfvo type="percent" val="0"/>
        <cfvo type="num" val="1E-3"/>
        <cfvo type="num" val="4"/>
      </iconSet>
    </cfRule>
  </conditionalFormatting>
  <conditionalFormatting sqref="M65">
    <cfRule type="iconSet" priority="2">
      <iconSet showValue="0">
        <cfvo type="percent" val="0"/>
        <cfvo type="num" val="1E-3"/>
        <cfvo type="num" val="4"/>
      </iconSet>
    </cfRule>
  </conditionalFormatting>
  <dataValidations count="11">
    <dataValidation type="list" showInputMessage="1" showErrorMessage="1" sqref="G15:G34" xr:uid="{7643DC5E-E94B-449B-9898-2F462D3D39A1}">
      <formula1>rng_methodology</formula1>
    </dataValidation>
    <dataValidation type="list" allowBlank="1" showInputMessage="1" showErrorMessage="1" sqref="K15:K34 K40:K60 K66:K86" xr:uid="{6F502BEB-04C8-47CC-BDC6-81E0001BE56E}">
      <formula1>rng_data_completeness</formula1>
    </dataValidation>
    <dataValidation type="list" allowBlank="1" showInputMessage="1" showErrorMessage="1" sqref="J15:J34 J40:J60 J66:J86" xr:uid="{ABEA541E-F573-4C7C-83A4-3AF6FAD702B6}">
      <formula1>rng_data_ease</formula1>
    </dataValidation>
    <dataValidation type="list" allowBlank="1" showInputMessage="1" showErrorMessage="1" sqref="J37" xr:uid="{B60EAD26-39D8-40B1-BADA-B4DAA39B9409}">
      <formula1>rng_yes_no</formula1>
    </dataValidation>
    <dataValidation type="list" showInputMessage="1" showErrorMessage="1" sqref="E66:E86 E15:E34 E40:E60" xr:uid="{13A4D1AB-BC3C-433D-B744-9199BCF1B929}">
      <formula1>DROPDOWN(rng_Level3,$T15,cl_Level4Target)</formula1>
    </dataValidation>
    <dataValidation type="list" allowBlank="1" showInputMessage="1" showErrorMessage="1" sqref="R66:R86 R40:R60 R15:R34" xr:uid="{5D07C6DB-CDF2-40AF-8478-B830D7936F85}">
      <formula1>rng_Level1Unique</formula1>
    </dataValidation>
    <dataValidation type="list" allowBlank="1" showInputMessage="1" showErrorMessage="1" sqref="S15:S34 S40:S60 S66:S86" xr:uid="{241E4503-6965-419D-B676-C7A9429453D3}">
      <formula1>DROPDOWN(rng_Level1,$R15,cl_Level2Target)</formula1>
    </dataValidation>
    <dataValidation type="list" allowBlank="1" showInputMessage="1" showErrorMessage="1" sqref="T15:T34 T40:T60 T66:T86" xr:uid="{9BA2E241-FE9D-47EB-8770-63CD5730AF82}">
      <formula1>DROPDOWN(rng_Level2,$S15,cl_Level3Target)</formula1>
    </dataValidation>
    <dataValidation type="list" showInputMessage="1" showErrorMessage="1" sqref="F66:F86 F15:F34 F40:F60" xr:uid="{F504F352-0086-4088-AD76-FCE5B589220C}">
      <formula1>DROPDOWN(rng_Level4,$E15,cl_Level5Target)</formula1>
    </dataValidation>
    <dataValidation type="decimal" operator="greaterThanOrEqual" allowBlank="1" showInputMessage="1" showErrorMessage="1" sqref="H15:H34 H40:H60 H66:H86" xr:uid="{B8AEA899-E05A-4D42-A0B2-7431A6D0920E}">
      <formula1>0</formula1>
    </dataValidation>
    <dataValidation type="list" showInputMessage="1" showErrorMessage="1" sqref="I66:I86 I15:I34 I40:I60" xr:uid="{E0E1769F-16E7-468D-A07F-C5E3D4A9AFB9}">
      <formula1>"tonnes,kg"</formula1>
    </dataValidation>
  </dataValidations>
  <pageMargins left="0.7" right="0.7" top="0.75" bottom="0.75" header="0.3" footer="0.3"/>
  <ignoredErrors>
    <ignoredError sqref="R16:R34 S15:S34 T15:T34 R40:S60 W15:W34" calculatedColumn="1"/>
  </ignoredErrors>
  <tableParts count="6">
    <tablePart r:id="rId1"/>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iconSet" priority="7" id="{5390FBF3-C6EE-4DA2-9874-53857BC88209}">
            <x14:iconSet showValue="0" custom="1">
              <x14:cfvo type="percent">
                <xm:f>0</xm:f>
              </x14:cfvo>
              <x14:cfvo type="num">
                <xm:f>1</xm:f>
              </x14:cfvo>
              <x14:cfvo type="num">
                <xm:f>5</xm:f>
              </x14:cfvo>
              <x14:cfIcon iconSet="3TrafficLights1" iconId="2"/>
              <x14:cfIcon iconSet="3TrafficLights1" iconId="0"/>
              <x14:cfIcon iconSet="4TrafficLights" iconId="0"/>
            </x14:iconSet>
          </x14:cfRule>
          <xm:sqref>M15:M34</xm:sqref>
        </x14:conditionalFormatting>
        <x14:conditionalFormatting xmlns:xm="http://schemas.microsoft.com/office/excel/2006/main">
          <x14:cfRule type="iconSet" priority="6" id="{1FA89796-537E-4140-813F-25144698E181}">
            <x14:iconSet showValue="0" custom="1">
              <x14:cfvo type="percent">
                <xm:f>0</xm:f>
              </x14:cfvo>
              <x14:cfvo type="num">
                <xm:f>1</xm:f>
              </x14:cfvo>
              <x14:cfvo type="num">
                <xm:f>4</xm:f>
              </x14:cfvo>
              <x14:cfIcon iconSet="3TrafficLights1" iconId="2"/>
              <x14:cfIcon iconSet="3TrafficLights1" iconId="0"/>
              <x14:cfIcon iconSet="4TrafficLights" iconId="0"/>
            </x14:iconSet>
          </x14:cfRule>
          <xm:sqref>M40:M60</xm:sqref>
        </x14:conditionalFormatting>
        <x14:conditionalFormatting xmlns:xm="http://schemas.microsoft.com/office/excel/2006/main">
          <x14:cfRule type="iconSet" priority="5" id="{53908F4B-E76B-4C9A-933D-3E49AF4E2D33}">
            <x14:iconSet showValue="0" custom="1">
              <x14:cfvo type="percent">
                <xm:f>0</xm:f>
              </x14:cfvo>
              <x14:cfvo type="num">
                <xm:f>1</xm:f>
              </x14:cfvo>
              <x14:cfvo type="num">
                <xm:f>4</xm:f>
              </x14:cfvo>
              <x14:cfIcon iconSet="3TrafficLights1" iconId="2"/>
              <x14:cfIcon iconSet="3TrafficLights1" iconId="0"/>
              <x14:cfIcon iconSet="4TrafficLights" iconId="0"/>
            </x14:iconSet>
          </x14:cfRule>
          <xm:sqref>M66:M86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E509E-32E6-47F5-9F8F-3DD71A80E93B}">
  <sheetPr codeName="Sheet19">
    <tabColor theme="9"/>
  </sheetPr>
  <dimension ref="B1:AR248"/>
  <sheetViews>
    <sheetView showGridLines="0" zoomScale="76" zoomScaleNormal="100" workbookViewId="0">
      <selection activeCell="F129" sqref="F129"/>
    </sheetView>
  </sheetViews>
  <sheetFormatPr defaultColWidth="8.7265625" defaultRowHeight="14" outlineLevelCol="1" x14ac:dyDescent="0.3"/>
  <cols>
    <col min="1" max="1" width="1.54296875" style="147" customWidth="1"/>
    <col min="2" max="2" width="32.54296875" style="146" customWidth="1"/>
    <col min="3" max="3" width="2.453125" style="147" customWidth="1"/>
    <col min="4" max="4" width="3.54296875" style="147" customWidth="1"/>
    <col min="5" max="5" width="28.54296875" style="147" customWidth="1"/>
    <col min="6" max="6" width="49.1796875" style="147" customWidth="1"/>
    <col min="7" max="7" width="17.26953125" style="147" customWidth="1"/>
    <col min="8" max="8" width="14" style="147" bestFit="1" customWidth="1"/>
    <col min="9" max="9" width="24.26953125" style="147" customWidth="1"/>
    <col min="10" max="10" width="13.54296875" style="147" customWidth="1"/>
    <col min="11" max="11" width="16.453125" style="147" customWidth="1"/>
    <col min="12" max="12" width="31.453125" style="147" customWidth="1"/>
    <col min="13" max="13" width="3.54296875" style="147" customWidth="1"/>
    <col min="14" max="14" width="5.1796875" style="147" bestFit="1" customWidth="1"/>
    <col min="15" max="15" width="3.54296875" style="147" customWidth="1"/>
    <col min="16" max="16" width="5.7265625" style="147" customWidth="1"/>
    <col min="17" max="17" width="13" style="147" customWidth="1" outlineLevel="1"/>
    <col min="18" max="18" width="18.7265625" style="147" customWidth="1" outlineLevel="1"/>
    <col min="19" max="19" width="17.1796875" style="147" customWidth="1" outlineLevel="1"/>
    <col min="20" max="20" width="17.453125" style="147" customWidth="1" outlineLevel="1"/>
    <col min="21" max="21" width="38.81640625" style="147" customWidth="1" outlineLevel="1"/>
    <col min="22" max="22" width="55.453125" style="147" customWidth="1" outlineLevel="1"/>
    <col min="23" max="23" width="18.453125" style="147" customWidth="1" outlineLevel="1"/>
    <col min="24" max="24" width="20" style="147" customWidth="1" outlineLevel="1"/>
    <col min="25" max="25" width="10.1796875" style="147" customWidth="1" outlineLevel="1"/>
    <col min="26" max="26" width="15.453125" style="147" customWidth="1" outlineLevel="1"/>
    <col min="27" max="27" width="15.81640625" style="147" customWidth="1" outlineLevel="1"/>
    <col min="28" max="28" width="11.81640625" style="147" customWidth="1" outlineLevel="1"/>
    <col min="29" max="29" width="10.1796875" style="147" customWidth="1" outlineLevel="1"/>
    <col min="30" max="30" width="15.54296875" style="147" customWidth="1" outlineLevel="1"/>
    <col min="31" max="31" width="13.54296875" style="147" customWidth="1" outlineLevel="1"/>
    <col min="32" max="32" width="13.453125" style="147" customWidth="1" outlineLevel="1"/>
    <col min="33" max="33" width="13.26953125" style="147" customWidth="1" outlineLevel="1"/>
    <col min="34" max="34" width="13.453125" style="147" customWidth="1" outlineLevel="1"/>
    <col min="35" max="35" width="17.7265625" style="147" customWidth="1" outlineLevel="1"/>
    <col min="36" max="36" width="16.81640625" style="147" customWidth="1" outlineLevel="1"/>
    <col min="37" max="37" width="19.453125" style="147" customWidth="1" outlineLevel="1"/>
    <col min="38" max="38" width="11.1796875" style="147" customWidth="1" outlineLevel="1"/>
    <col min="39" max="39" width="13.7265625" style="147" customWidth="1" outlineLevel="1"/>
    <col min="40" max="40" width="10.26953125" style="147" customWidth="1" outlineLevel="1"/>
    <col min="41" max="41" width="12.26953125" style="147" customWidth="1" outlineLevel="1"/>
    <col min="42" max="42" width="15.1796875" style="147" customWidth="1" outlineLevel="1"/>
    <col min="43" max="43" width="16.453125" style="147" customWidth="1" outlineLevel="1"/>
    <col min="44" max="44" width="8.7265625" style="147" customWidth="1" outlineLevel="1"/>
    <col min="45" max="16384" width="8.7265625" style="147"/>
  </cols>
  <sheetData>
    <row r="1" spans="2:44" s="150" customFormat="1" ht="15.5" x14ac:dyDescent="0.35">
      <c r="B1" s="196" t="s">
        <v>213</v>
      </c>
      <c r="C1" s="201"/>
      <c r="D1" s="201"/>
      <c r="E1" s="200" t="s">
        <v>61</v>
      </c>
      <c r="F1" s="201">
        <f>cl_year_select</f>
        <v>0</v>
      </c>
      <c r="I1" s="200" t="s">
        <v>274</v>
      </c>
      <c r="J1" s="199" t="str">
        <f>IF(SUM(M13,M128)=5,"No data missing","Data missing, see traffic lights")</f>
        <v>No data missing</v>
      </c>
    </row>
    <row r="2" spans="2:44" s="153" customFormat="1" x14ac:dyDescent="0.3">
      <c r="B2" s="197" t="s">
        <v>267</v>
      </c>
      <c r="C2" s="203"/>
      <c r="D2" s="203"/>
      <c r="E2" s="202" t="s">
        <v>64</v>
      </c>
      <c r="F2" s="203">
        <f>cl_org_name_select</f>
        <v>0</v>
      </c>
    </row>
    <row r="4" spans="2:44" ht="14.5" x14ac:dyDescent="0.35">
      <c r="B4" s="159" t="s">
        <v>10</v>
      </c>
      <c r="E4" s="191" t="s">
        <v>1</v>
      </c>
      <c r="F4"/>
    </row>
    <row r="5" spans="2:44" ht="14.5" x14ac:dyDescent="0.35">
      <c r="B5" s="455" t="s">
        <v>379</v>
      </c>
      <c r="E5" s="162" t="s">
        <v>37</v>
      </c>
      <c r="F5"/>
    </row>
    <row r="6" spans="2:44" ht="14.5" x14ac:dyDescent="0.35">
      <c r="B6" s="455"/>
      <c r="E6" s="170" t="s">
        <v>38</v>
      </c>
      <c r="F6"/>
    </row>
    <row r="7" spans="2:44" ht="14.5" x14ac:dyDescent="0.35">
      <c r="B7" s="455"/>
      <c r="E7" s="192" t="s">
        <v>283</v>
      </c>
      <c r="F7"/>
    </row>
    <row r="8" spans="2:44" ht="14.5" x14ac:dyDescent="0.35">
      <c r="B8" s="455"/>
      <c r="E8" s="370"/>
      <c r="F8"/>
    </row>
    <row r="9" spans="2:44" ht="14.5" thickBot="1" x14ac:dyDescent="0.35">
      <c r="B9" s="455"/>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row>
    <row r="11" spans="2:44" ht="14.5" x14ac:dyDescent="0.35">
      <c r="B11" s="159" t="s">
        <v>12</v>
      </c>
      <c r="E11" s="160" t="s">
        <v>380</v>
      </c>
      <c r="AD11"/>
    </row>
    <row r="13" spans="2:44" ht="32.15" customHeight="1" x14ac:dyDescent="0.35">
      <c r="B13" s="455" t="s">
        <v>1905</v>
      </c>
      <c r="E13" s="257" t="s">
        <v>361</v>
      </c>
      <c r="F13" s="258" t="s">
        <v>381</v>
      </c>
      <c r="G13" s="258" t="s">
        <v>288</v>
      </c>
      <c r="H13" s="258" t="s">
        <v>289</v>
      </c>
      <c r="I13" s="258" t="s">
        <v>382</v>
      </c>
      <c r="J13" s="258" t="s">
        <v>291</v>
      </c>
      <c r="K13" s="258" t="s">
        <v>292</v>
      </c>
      <c r="L13" s="259" t="s">
        <v>293</v>
      </c>
      <c r="M13" s="188">
        <f>IFERROR(AVERAGEIF($M$14:$M$123,"&lt;&gt;0",$M$14:$M$123),1)</f>
        <v>1</v>
      </c>
      <c r="N13"/>
      <c r="O13"/>
      <c r="Q13" s="225" t="s">
        <v>294</v>
      </c>
      <c r="R13" s="226" t="s">
        <v>295</v>
      </c>
      <c r="S13" s="226" t="s">
        <v>296</v>
      </c>
      <c r="T13" s="226" t="s">
        <v>297</v>
      </c>
      <c r="U13" s="226" t="s">
        <v>298</v>
      </c>
      <c r="V13" s="226" t="s">
        <v>299</v>
      </c>
      <c r="W13" s="226" t="s">
        <v>300</v>
      </c>
      <c r="X13" s="226" t="s">
        <v>301</v>
      </c>
      <c r="Y13" s="226" t="s">
        <v>302</v>
      </c>
      <c r="Z13" s="226" t="s">
        <v>287</v>
      </c>
      <c r="AA13" s="226" t="s">
        <v>303</v>
      </c>
      <c r="AB13" s="226" t="s">
        <v>288</v>
      </c>
      <c r="AC13" s="226" t="s">
        <v>289</v>
      </c>
      <c r="AD13" s="286" t="s">
        <v>304</v>
      </c>
      <c r="AE13" s="286" t="s">
        <v>305</v>
      </c>
      <c r="AF13" s="286" t="s">
        <v>306</v>
      </c>
      <c r="AG13" s="286" t="s">
        <v>307</v>
      </c>
      <c r="AH13" s="286" t="s">
        <v>308</v>
      </c>
      <c r="AI13" s="286" t="s">
        <v>309</v>
      </c>
      <c r="AJ13" s="286" t="s">
        <v>310</v>
      </c>
      <c r="AK13" s="286" t="s">
        <v>311</v>
      </c>
      <c r="AL13" s="286" t="s">
        <v>312</v>
      </c>
      <c r="AM13" s="286" t="s">
        <v>313</v>
      </c>
      <c r="AN13" s="286" t="s">
        <v>314</v>
      </c>
      <c r="AO13" s="286" t="s">
        <v>315</v>
      </c>
      <c r="AP13" s="286" t="s">
        <v>291</v>
      </c>
      <c r="AQ13" s="288" t="s">
        <v>292</v>
      </c>
      <c r="AR13" s="288" t="s">
        <v>293</v>
      </c>
    </row>
    <row r="14" spans="2:44" ht="14.5" x14ac:dyDescent="0.35">
      <c r="B14" s="455"/>
      <c r="E14" s="236" t="s">
        <v>224</v>
      </c>
      <c r="F14" s="178" t="s">
        <v>1736</v>
      </c>
      <c r="G14" s="334"/>
      <c r="H14" s="172" t="s">
        <v>383</v>
      </c>
      <c r="I14" s="172" t="s">
        <v>384</v>
      </c>
      <c r="J14" s="336"/>
      <c r="K14" s="336"/>
      <c r="L14" s="337"/>
      <c r="M14" s="242">
        <f>IF(G14&lt;&gt;"",1,)</f>
        <v>0</v>
      </c>
      <c r="N14"/>
      <c r="O14"/>
      <c r="Q14" s="212" t="str">
        <f t="shared" ref="Q14:Q45" si="0">IF(M14=1,SUBSTITUTE(2025&amp;TRIM(cl_org_name_select)&amp;TRIM($E$11)&amp;(ROW(M14)-ROW($M$14))," ",""),"")</f>
        <v/>
      </c>
      <c r="R14" s="174" t="s">
        <v>267</v>
      </c>
      <c r="S14" s="174" t="s">
        <v>385</v>
      </c>
      <c r="T14" s="174" t="str" cm="1">
        <f t="array" aca="1" ref="T14" ca="1">_xlfn.XLOOKUP(SupplyChain_Tier1_Backend[[#This Row],[Level 2]],rng_Level2Long,rng_Level3Long)</f>
        <v>Supply chain</v>
      </c>
      <c r="U14" s="174" t="str">
        <f>SupplyChain_Tier1_Frontend[[#This Row],[Category]]</f>
        <v>Agriculture, forestry and fishing</v>
      </c>
      <c r="V14" s="174" t="str">
        <f>SupplyChain_Tier1_Frontend[[#This Row],[Product Category]]</f>
        <v>Products of agriculture, hunting and related services</v>
      </c>
      <c r="W14" s="174" t="str" cm="1">
        <f t="array" aca="1" ref="W14" ca="1">_xlfn.XLOOKUP(SupplyChain_Tier1_Backend[[#This Row],[Level 5]],rng_Level5Long,rng_Level6Long)</f>
        <v>NaN</v>
      </c>
      <c r="X14" s="174" t="str">
        <f>SupplyChain_Tier1_Frontend[[#This Row],[Data type]]</f>
        <v>Spend-based EF</v>
      </c>
      <c r="Y14" s="174" t="s">
        <v>339</v>
      </c>
      <c r="Z14" s="174" t="s">
        <v>198</v>
      </c>
      <c r="AA14" s="229" cm="1">
        <f t="array" aca="1" ref="AA14" ca="1">INDEX(_xlfn.SWITCH(SupplyChain_Tier1_Backend[[#This Row],[Methodology]],"Tier 1",rng_RSD1,"Tier 2",rng_RSD2,"Tier 3",rng_RSD3),MATCH(_xlfn.CONCAT(SupplyChain_Tier1_Backend[[#This Row],[Level 1]:[Level 6]]),rng_LevelsConcat,0))</f>
        <v>0.25</v>
      </c>
      <c r="AB14" s="220">
        <f>SupplyChain_Tier1_Frontend[[#This Row],[Data]]</f>
        <v>0</v>
      </c>
      <c r="AC14" s="220" t="str">
        <f>SupplyChain_Tier1_Frontend[[#This Row],[Units]]</f>
        <v>£</v>
      </c>
      <c r="AD1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4" s="174" t="str">
        <f>SupplyChain_Tier1_Frontend[[#This Row],[Units]]</f>
        <v>£</v>
      </c>
      <c r="AF14" s="210">
        <f ca="1">_xlfn.XLOOKUP(_xlfn.CONCAT(SupplyChain_Tier1_Backend[[#This Row],[Level 1]:[Level 6]]),rng_EFConcat,rng_EF1)*SupplyChain_Tier1_Backend[[#This Row],[Converted data]]/1000</f>
        <v>0</v>
      </c>
      <c r="AG14" s="210">
        <f ca="1">_xlfn.XLOOKUP(_xlfn.CONCAT(SupplyChain_Tier1_Backend[[#This Row],[Level 1]:[Level 6]]),rng_EFConcat,rng_EF2)*SupplyChain_Tier1_Backend[[#This Row],[Converted data]]/1000</f>
        <v>0</v>
      </c>
      <c r="AH14" s="210">
        <f ca="1">_xlfn.XLOOKUP(_xlfn.CONCAT(SupplyChain_Tier1_Backend[[#This Row],[Level 1]:[Level 6]]),rng_EFConcat,rng_EF3)*SupplyChain_Tier1_Backend[[#This Row],[Converted data]]/1000</f>
        <v>0</v>
      </c>
      <c r="AI14" s="210">
        <f ca="1">_xlfn.XLOOKUP(_xlfn.CONCAT(SupplyChain_Tier1_Backend[[#This Row],[Level 1]:[Level 6]]),rng_EFConcat,rng_EF3WTT)*SupplyChain_Tier1_Backend[[#This Row],[Converted data]]/1000</f>
        <v>0</v>
      </c>
      <c r="AJ14" s="210">
        <f ca="1">_xlfn.XLOOKUP(_xlfn.CONCAT(SupplyChain_Tier1_Backend[[#This Row],[Level 1]:[Level 6]]),rng_EFConcat,rng_EF3TD)*SupplyChain_Tier1_Backend[[#This Row],[Converted data]]/1000</f>
        <v>0</v>
      </c>
      <c r="AK14" s="210">
        <f ca="1">_xlfn.XLOOKUP(_xlfn.CONCAT(SupplyChain_Tier1_Backend[[#This Row],[Level 1]:[Level 6]]),rng_EFConcat,rng_EF3WTTTD)*SupplyChain_Tier1_Backend[[#This Row],[Converted data]]/1000</f>
        <v>0</v>
      </c>
      <c r="AL14" s="220" t="str">
        <f>IF($G14="","", SUM(SupplyChain_Tier1_Backend[[#This Row],[Scope 1 (tCO2e)]:[Scope 3 WTT T&amp;D (tCO2e)]]))</f>
        <v/>
      </c>
      <c r="AM14" s="220" t="str">
        <f>IF($G14="","", SupplyChain_Tier1_Backend[[#This Row],[Total (tCO2e)]]*(1-SupplyChain_Tier1_Backend[[#This Row],[RSD]]))</f>
        <v/>
      </c>
      <c r="AN14" s="220" t="str">
        <f>IF($G14="","", SupplyChain_Tier1_Backend[[#This Row],[Total (tCO2e)]]*(1+SupplyChain_Tier1_Backend[[#This Row],[RSD]]))</f>
        <v/>
      </c>
      <c r="AO14" s="210">
        <f ca="1">_xlfn.XLOOKUP(_xlfn.CONCAT(SupplyChain_Tier1_Backend[[#This Row],[Level 1]:[Level 6]]),rng_EFConcat,rng_EFOOS)*SupplyChain_Tier1_Backend[[#This Row],[Converted data]]/1000</f>
        <v>0</v>
      </c>
      <c r="AP14" s="174">
        <f>SupplyChain_Tier1_Frontend[[#This Row],[Ease of collection]]</f>
        <v>0</v>
      </c>
      <c r="AQ14" s="213">
        <f>SupplyChain_Tier1_Frontend[[#This Row],[Completeness]]</f>
        <v>0</v>
      </c>
      <c r="AR14" s="213">
        <f>SupplyChain_Tier1_Frontend[[#This Row],[Notes]]</f>
        <v>0</v>
      </c>
    </row>
    <row r="15" spans="2:44" ht="14.5" x14ac:dyDescent="0.35">
      <c r="B15" s="455"/>
      <c r="E15" s="236" t="s">
        <v>224</v>
      </c>
      <c r="F15" s="178" t="s">
        <v>1737</v>
      </c>
      <c r="G15" s="334"/>
      <c r="H15" s="172" t="s">
        <v>383</v>
      </c>
      <c r="I15" s="172" t="s">
        <v>384</v>
      </c>
      <c r="J15" s="336"/>
      <c r="K15" s="336"/>
      <c r="L15" s="337"/>
      <c r="M15" s="242">
        <f t="shared" ref="M15:M78" si="1">IF(G15&lt;&gt;"",1,)</f>
        <v>0</v>
      </c>
      <c r="N15"/>
      <c r="O15"/>
      <c r="Q15" s="211" t="str">
        <f t="shared" si="0"/>
        <v/>
      </c>
      <c r="R15" s="174" t="s">
        <v>267</v>
      </c>
      <c r="S15" s="174" t="s">
        <v>385</v>
      </c>
      <c r="T15" s="174" t="str" cm="1">
        <f t="array" aca="1" ref="T15" ca="1">_xlfn.XLOOKUP(SupplyChain_Tier1_Backend[[#This Row],[Level 2]],rng_Level2Long,rng_Level3Long)</f>
        <v>Supply chain</v>
      </c>
      <c r="U15" s="174" t="str">
        <f>SupplyChain_Tier1_Frontend[[#This Row],[Category]]</f>
        <v>Agriculture, forestry and fishing</v>
      </c>
      <c r="V15" s="174" t="str">
        <f>SupplyChain_Tier1_Frontend[[#This Row],[Product Category]]</f>
        <v>Products of forestry, logging and related services</v>
      </c>
      <c r="W15" s="174" t="str" cm="1">
        <f t="array" aca="1" ref="W15" ca="1">_xlfn.XLOOKUP(SupplyChain_Tier1_Backend[[#This Row],[Level 5]],rng_Level5Long,rng_Level6Long)</f>
        <v>NaN</v>
      </c>
      <c r="X15" s="174" t="str">
        <f>SupplyChain_Tier1_Frontend[[#This Row],[Data type]]</f>
        <v>Spend-based EF</v>
      </c>
      <c r="Y15" s="174" t="s">
        <v>339</v>
      </c>
      <c r="Z15" s="174" t="s">
        <v>198</v>
      </c>
      <c r="AA15" s="229" cm="1">
        <f t="array" aca="1" ref="AA15" ca="1">INDEX(_xlfn.SWITCH(SupplyChain_Tier1_Backend[[#This Row],[Methodology]],"Tier 1",rng_RSD1,"Tier 2",rng_RSD2,"Tier 3",rng_RSD3),MATCH(_xlfn.CONCAT(SupplyChain_Tier1_Backend[[#This Row],[Level 1]:[Level 6]]),rng_LevelsConcat,0))</f>
        <v>0.25</v>
      </c>
      <c r="AB15" s="220">
        <f>SupplyChain_Tier1_Frontend[[#This Row],[Data]]</f>
        <v>0</v>
      </c>
      <c r="AC15" s="220" t="str">
        <f>SupplyChain_Tier1_Frontend[[#This Row],[Units]]</f>
        <v>£</v>
      </c>
      <c r="AD1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5" s="174" t="str">
        <f>SupplyChain_Tier1_Frontend[[#This Row],[Units]]</f>
        <v>£</v>
      </c>
      <c r="AF15" s="210">
        <f ca="1">_xlfn.XLOOKUP(_xlfn.CONCAT(SupplyChain_Tier1_Backend[[#This Row],[Level 1]:[Level 6]]),rng_EFConcat,rng_EF1)*SupplyChain_Tier1_Backend[[#This Row],[Converted data]]/1000</f>
        <v>0</v>
      </c>
      <c r="AG15" s="210">
        <f ca="1">_xlfn.XLOOKUP(_xlfn.CONCAT(SupplyChain_Tier1_Backend[[#This Row],[Level 1]:[Level 6]]),rng_EFConcat,rng_EF2)*SupplyChain_Tier1_Backend[[#This Row],[Converted data]]/1000</f>
        <v>0</v>
      </c>
      <c r="AH15" s="210">
        <f ca="1">_xlfn.XLOOKUP(_xlfn.CONCAT(SupplyChain_Tier1_Backend[[#This Row],[Level 1]:[Level 6]]),rng_EFConcat,rng_EF3)*SupplyChain_Tier1_Backend[[#This Row],[Converted data]]/1000</f>
        <v>0</v>
      </c>
      <c r="AI15" s="210">
        <f ca="1">_xlfn.XLOOKUP(_xlfn.CONCAT(SupplyChain_Tier1_Backend[[#This Row],[Level 1]:[Level 6]]),rng_EFConcat,rng_EF3WTT)*SupplyChain_Tier1_Backend[[#This Row],[Converted data]]/1000</f>
        <v>0</v>
      </c>
      <c r="AJ15" s="210">
        <f ca="1">_xlfn.XLOOKUP(_xlfn.CONCAT(SupplyChain_Tier1_Backend[[#This Row],[Level 1]:[Level 6]]),rng_EFConcat,rng_EF3TD)*SupplyChain_Tier1_Backend[[#This Row],[Converted data]]/1000</f>
        <v>0</v>
      </c>
      <c r="AK15" s="210">
        <f ca="1">_xlfn.XLOOKUP(_xlfn.CONCAT(SupplyChain_Tier1_Backend[[#This Row],[Level 1]:[Level 6]]),rng_EFConcat,rng_EF3WTTTD)*SupplyChain_Tier1_Backend[[#This Row],[Converted data]]/1000</f>
        <v>0</v>
      </c>
      <c r="AL15" s="220" t="str">
        <f>IF($G15="","", SUM(SupplyChain_Tier1_Backend[[#This Row],[Scope 1 (tCO2e)]:[Scope 3 WTT T&amp;D (tCO2e)]]))</f>
        <v/>
      </c>
      <c r="AM15" s="220" t="str">
        <f>IF($G15="","", SupplyChain_Tier1_Backend[[#This Row],[Total (tCO2e)]]*(1-SupplyChain_Tier1_Backend[[#This Row],[RSD]]))</f>
        <v/>
      </c>
      <c r="AN15" s="220" t="str">
        <f>IF($G15="","", SupplyChain_Tier1_Backend[[#This Row],[Total (tCO2e)]]*(1+SupplyChain_Tier1_Backend[[#This Row],[RSD]]))</f>
        <v/>
      </c>
      <c r="AO15" s="210">
        <f ca="1">_xlfn.XLOOKUP(_xlfn.CONCAT(SupplyChain_Tier1_Backend[[#This Row],[Level 1]:[Level 6]]),rng_EFConcat,rng_EFOOS)*SupplyChain_Tier1_Backend[[#This Row],[Converted data]]/1000</f>
        <v>0</v>
      </c>
      <c r="AP15" s="174">
        <f>SupplyChain_Tier1_Frontend[[#This Row],[Ease of collection]]</f>
        <v>0</v>
      </c>
      <c r="AQ15" s="213">
        <f>SupplyChain_Tier1_Frontend[[#This Row],[Completeness]]</f>
        <v>0</v>
      </c>
      <c r="AR15" s="213">
        <f>SupplyChain_Tier1_Frontend[[#This Row],[Notes]]</f>
        <v>0</v>
      </c>
    </row>
    <row r="16" spans="2:44" ht="28.5" x14ac:dyDescent="0.35">
      <c r="B16" s="455"/>
      <c r="E16" s="236" t="s">
        <v>224</v>
      </c>
      <c r="F16" s="178" t="s">
        <v>1738</v>
      </c>
      <c r="G16" s="334"/>
      <c r="H16" s="172" t="s">
        <v>383</v>
      </c>
      <c r="I16" s="172" t="s">
        <v>384</v>
      </c>
      <c r="J16" s="336"/>
      <c r="K16" s="336"/>
      <c r="L16" s="337"/>
      <c r="M16" s="242">
        <f t="shared" si="1"/>
        <v>0</v>
      </c>
      <c r="N16"/>
      <c r="O16"/>
      <c r="Q16" s="211" t="str">
        <f t="shared" si="0"/>
        <v/>
      </c>
      <c r="R16" s="174" t="s">
        <v>267</v>
      </c>
      <c r="S16" s="174" t="s">
        <v>385</v>
      </c>
      <c r="T16" s="174" t="str" cm="1">
        <f t="array" aca="1" ref="T16" ca="1">_xlfn.XLOOKUP(SupplyChain_Tier1_Backend[[#This Row],[Level 2]],rng_Level2Long,rng_Level3Long)</f>
        <v>Supply chain</v>
      </c>
      <c r="U16" s="174" t="str">
        <f>SupplyChain_Tier1_Frontend[[#This Row],[Category]]</f>
        <v>Agriculture, forestry and fishing</v>
      </c>
      <c r="V16" s="174" t="str">
        <f>SupplyChain_Tier1_Frontend[[#This Row],[Product Category]]</f>
        <v>Fish and other fishing products; aquaculture products; support services to fishing</v>
      </c>
      <c r="W16" s="174" t="str" cm="1">
        <f t="array" aca="1" ref="W16" ca="1">_xlfn.XLOOKUP(SupplyChain_Tier1_Backend[[#This Row],[Level 5]],rng_Level5Long,rng_Level6Long)</f>
        <v>NaN</v>
      </c>
      <c r="X16" s="174" t="str">
        <f>SupplyChain_Tier1_Frontend[[#This Row],[Data type]]</f>
        <v>Spend-based EF</v>
      </c>
      <c r="Y16" s="174" t="s">
        <v>339</v>
      </c>
      <c r="Z16" s="174" t="s">
        <v>198</v>
      </c>
      <c r="AA16" s="229" cm="1">
        <f t="array" aca="1" ref="AA16" ca="1">INDEX(_xlfn.SWITCH(SupplyChain_Tier1_Backend[[#This Row],[Methodology]],"Tier 1",rng_RSD1,"Tier 2",rng_RSD2,"Tier 3",rng_RSD3),MATCH(_xlfn.CONCAT(SupplyChain_Tier1_Backend[[#This Row],[Level 1]:[Level 6]]),rng_LevelsConcat,0))</f>
        <v>0.25</v>
      </c>
      <c r="AB16" s="220">
        <f>SupplyChain_Tier1_Frontend[[#This Row],[Data]]</f>
        <v>0</v>
      </c>
      <c r="AC16" s="220" t="str">
        <f>SupplyChain_Tier1_Frontend[[#This Row],[Units]]</f>
        <v>£</v>
      </c>
      <c r="AD1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6" s="174" t="str">
        <f>SupplyChain_Tier1_Frontend[[#This Row],[Units]]</f>
        <v>£</v>
      </c>
      <c r="AF16" s="210">
        <f ca="1">_xlfn.XLOOKUP(_xlfn.CONCAT(SupplyChain_Tier1_Backend[[#This Row],[Level 1]:[Level 6]]),rng_EFConcat,rng_EF1)*SupplyChain_Tier1_Backend[[#This Row],[Converted data]]/1000</f>
        <v>0</v>
      </c>
      <c r="AG16" s="210">
        <f ca="1">_xlfn.XLOOKUP(_xlfn.CONCAT(SupplyChain_Tier1_Backend[[#This Row],[Level 1]:[Level 6]]),rng_EFConcat,rng_EF2)*SupplyChain_Tier1_Backend[[#This Row],[Converted data]]/1000</f>
        <v>0</v>
      </c>
      <c r="AH16" s="210">
        <f ca="1">_xlfn.XLOOKUP(_xlfn.CONCAT(SupplyChain_Tier1_Backend[[#This Row],[Level 1]:[Level 6]]),rng_EFConcat,rng_EF3)*SupplyChain_Tier1_Backend[[#This Row],[Converted data]]/1000</f>
        <v>0</v>
      </c>
      <c r="AI16" s="210">
        <f ca="1">_xlfn.XLOOKUP(_xlfn.CONCAT(SupplyChain_Tier1_Backend[[#This Row],[Level 1]:[Level 6]]),rng_EFConcat,rng_EF3WTT)*SupplyChain_Tier1_Backend[[#This Row],[Converted data]]/1000</f>
        <v>0</v>
      </c>
      <c r="AJ16" s="210">
        <f ca="1">_xlfn.XLOOKUP(_xlfn.CONCAT(SupplyChain_Tier1_Backend[[#This Row],[Level 1]:[Level 6]]),rng_EFConcat,rng_EF3TD)*SupplyChain_Tier1_Backend[[#This Row],[Converted data]]/1000</f>
        <v>0</v>
      </c>
      <c r="AK16" s="210">
        <f ca="1">_xlfn.XLOOKUP(_xlfn.CONCAT(SupplyChain_Tier1_Backend[[#This Row],[Level 1]:[Level 6]]),rng_EFConcat,rng_EF3WTTTD)*SupplyChain_Tier1_Backend[[#This Row],[Converted data]]/1000</f>
        <v>0</v>
      </c>
      <c r="AL16" s="220" t="str">
        <f>IF($G16="","", SUM(SupplyChain_Tier1_Backend[[#This Row],[Scope 1 (tCO2e)]:[Scope 3 WTT T&amp;D (tCO2e)]]))</f>
        <v/>
      </c>
      <c r="AM16" s="220" t="str">
        <f>IF($G16="","", SupplyChain_Tier1_Backend[[#This Row],[Total (tCO2e)]]*(1-SupplyChain_Tier1_Backend[[#This Row],[RSD]]))</f>
        <v/>
      </c>
      <c r="AN16" s="220" t="str">
        <f>IF($G16="","", SupplyChain_Tier1_Backend[[#This Row],[Total (tCO2e)]]*(1+SupplyChain_Tier1_Backend[[#This Row],[RSD]]))</f>
        <v/>
      </c>
      <c r="AO16" s="210">
        <f ca="1">_xlfn.XLOOKUP(_xlfn.CONCAT(SupplyChain_Tier1_Backend[[#This Row],[Level 1]:[Level 6]]),rng_EFConcat,rng_EFOOS)*SupplyChain_Tier1_Backend[[#This Row],[Converted data]]/1000</f>
        <v>0</v>
      </c>
      <c r="AP16" s="174">
        <f>SupplyChain_Tier1_Frontend[[#This Row],[Ease of collection]]</f>
        <v>0</v>
      </c>
      <c r="AQ16" s="213">
        <f>SupplyChain_Tier1_Frontend[[#This Row],[Completeness]]</f>
        <v>0</v>
      </c>
      <c r="AR16" s="213">
        <f>SupplyChain_Tier1_Frontend[[#This Row],[Notes]]</f>
        <v>0</v>
      </c>
    </row>
    <row r="17" spans="2:44" ht="14.5" x14ac:dyDescent="0.35">
      <c r="B17" s="455"/>
      <c r="E17" s="236" t="s">
        <v>225</v>
      </c>
      <c r="F17" s="178" t="s">
        <v>1739</v>
      </c>
      <c r="G17" s="334"/>
      <c r="H17" s="172" t="s">
        <v>383</v>
      </c>
      <c r="I17" s="172" t="s">
        <v>384</v>
      </c>
      <c r="J17" s="336"/>
      <c r="K17" s="336"/>
      <c r="L17" s="337"/>
      <c r="M17" s="242">
        <f t="shared" si="1"/>
        <v>0</v>
      </c>
      <c r="N17"/>
      <c r="O17"/>
      <c r="Q17" s="211" t="str">
        <f t="shared" si="0"/>
        <v/>
      </c>
      <c r="R17" s="174" t="s">
        <v>267</v>
      </c>
      <c r="S17" s="174" t="s">
        <v>385</v>
      </c>
      <c r="T17" s="174" t="str" cm="1">
        <f t="array" aca="1" ref="T17" ca="1">_xlfn.XLOOKUP(SupplyChain_Tier1_Backend[[#This Row],[Level 2]],rng_Level2Long,rng_Level3Long)</f>
        <v>Supply chain</v>
      </c>
      <c r="U17" s="174" t="str">
        <f>SupplyChain_Tier1_Frontend[[#This Row],[Category]]</f>
        <v>Mining and quarrying</v>
      </c>
      <c r="V17" s="174" t="str">
        <f>SupplyChain_Tier1_Frontend[[#This Row],[Product Category]]</f>
        <v>Coal and lignite</v>
      </c>
      <c r="W17" s="174" t="str" cm="1">
        <f t="array" aca="1" ref="W17" ca="1">_xlfn.XLOOKUP(SupplyChain_Tier1_Backend[[#This Row],[Level 5]],rng_Level5Long,rng_Level6Long)</f>
        <v>NaN</v>
      </c>
      <c r="X17" s="174" t="str">
        <f>SupplyChain_Tier1_Frontend[[#This Row],[Data type]]</f>
        <v>Spend-based EF</v>
      </c>
      <c r="Y17" s="174" t="s">
        <v>339</v>
      </c>
      <c r="Z17" s="174" t="s">
        <v>198</v>
      </c>
      <c r="AA17" s="229" cm="1">
        <f t="array" aca="1" ref="AA17" ca="1">INDEX(_xlfn.SWITCH(SupplyChain_Tier1_Backend[[#This Row],[Methodology]],"Tier 1",rng_RSD1,"Tier 2",rng_RSD2,"Tier 3",rng_RSD3),MATCH(_xlfn.CONCAT(SupplyChain_Tier1_Backend[[#This Row],[Level 1]:[Level 6]]),rng_LevelsConcat,0))</f>
        <v>0.25</v>
      </c>
      <c r="AB17" s="220">
        <f>SupplyChain_Tier1_Frontend[[#This Row],[Data]]</f>
        <v>0</v>
      </c>
      <c r="AC17" s="220" t="str">
        <f>SupplyChain_Tier1_Frontend[[#This Row],[Units]]</f>
        <v>£</v>
      </c>
      <c r="AD1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7" s="174" t="str">
        <f>SupplyChain_Tier1_Frontend[[#This Row],[Units]]</f>
        <v>£</v>
      </c>
      <c r="AF17" s="210">
        <f ca="1">_xlfn.XLOOKUP(_xlfn.CONCAT(SupplyChain_Tier1_Backend[[#This Row],[Level 1]:[Level 6]]),rng_EFConcat,rng_EF1)*SupplyChain_Tier1_Backend[[#This Row],[Converted data]]/1000</f>
        <v>0</v>
      </c>
      <c r="AG17" s="210">
        <f ca="1">_xlfn.XLOOKUP(_xlfn.CONCAT(SupplyChain_Tier1_Backend[[#This Row],[Level 1]:[Level 6]]),rng_EFConcat,rng_EF2)*SupplyChain_Tier1_Backend[[#This Row],[Converted data]]/1000</f>
        <v>0</v>
      </c>
      <c r="AH17" s="210">
        <f ca="1">_xlfn.XLOOKUP(_xlfn.CONCAT(SupplyChain_Tier1_Backend[[#This Row],[Level 1]:[Level 6]]),rng_EFConcat,rng_EF3)*SupplyChain_Tier1_Backend[[#This Row],[Converted data]]/1000</f>
        <v>0</v>
      </c>
      <c r="AI17" s="210">
        <f ca="1">_xlfn.XLOOKUP(_xlfn.CONCAT(SupplyChain_Tier1_Backend[[#This Row],[Level 1]:[Level 6]]),rng_EFConcat,rng_EF3WTT)*SupplyChain_Tier1_Backend[[#This Row],[Converted data]]/1000</f>
        <v>0</v>
      </c>
      <c r="AJ17" s="210">
        <f ca="1">_xlfn.XLOOKUP(_xlfn.CONCAT(SupplyChain_Tier1_Backend[[#This Row],[Level 1]:[Level 6]]),rng_EFConcat,rng_EF3TD)*SupplyChain_Tier1_Backend[[#This Row],[Converted data]]/1000</f>
        <v>0</v>
      </c>
      <c r="AK17" s="210">
        <f ca="1">_xlfn.XLOOKUP(_xlfn.CONCAT(SupplyChain_Tier1_Backend[[#This Row],[Level 1]:[Level 6]]),rng_EFConcat,rng_EF3WTTTD)*SupplyChain_Tier1_Backend[[#This Row],[Converted data]]/1000</f>
        <v>0</v>
      </c>
      <c r="AL17" s="220" t="str">
        <f>IF($G17="","", SUM(SupplyChain_Tier1_Backend[[#This Row],[Scope 1 (tCO2e)]:[Scope 3 WTT T&amp;D (tCO2e)]]))</f>
        <v/>
      </c>
      <c r="AM17" s="220" t="str">
        <f>IF($G17="","", SupplyChain_Tier1_Backend[[#This Row],[Total (tCO2e)]]*(1-SupplyChain_Tier1_Backend[[#This Row],[RSD]]))</f>
        <v/>
      </c>
      <c r="AN17" s="220" t="str">
        <f>IF($G17="","", SupplyChain_Tier1_Backend[[#This Row],[Total (tCO2e)]]*(1+SupplyChain_Tier1_Backend[[#This Row],[RSD]]))</f>
        <v/>
      </c>
      <c r="AO17" s="210">
        <f ca="1">_xlfn.XLOOKUP(_xlfn.CONCAT(SupplyChain_Tier1_Backend[[#This Row],[Level 1]:[Level 6]]),rng_EFConcat,rng_EFOOS)*SupplyChain_Tier1_Backend[[#This Row],[Converted data]]/1000</f>
        <v>0</v>
      </c>
      <c r="AP17" s="174">
        <f>SupplyChain_Tier1_Frontend[[#This Row],[Ease of collection]]</f>
        <v>0</v>
      </c>
      <c r="AQ17" s="213">
        <f>SupplyChain_Tier1_Frontend[[#This Row],[Completeness]]</f>
        <v>0</v>
      </c>
      <c r="AR17" s="213">
        <f>SupplyChain_Tier1_Frontend[[#This Row],[Notes]]</f>
        <v>0</v>
      </c>
    </row>
    <row r="18" spans="2:44" ht="14.5" x14ac:dyDescent="0.35">
      <c r="B18" s="455"/>
      <c r="E18" s="236" t="s">
        <v>225</v>
      </c>
      <c r="F18" s="178" t="s">
        <v>1740</v>
      </c>
      <c r="G18" s="334"/>
      <c r="H18" s="172" t="s">
        <v>383</v>
      </c>
      <c r="I18" s="172" t="s">
        <v>384</v>
      </c>
      <c r="J18" s="336"/>
      <c r="K18" s="336"/>
      <c r="L18" s="337"/>
      <c r="M18" s="242">
        <f t="shared" si="1"/>
        <v>0</v>
      </c>
      <c r="N18"/>
      <c r="O18"/>
      <c r="Q18" s="211" t="str">
        <f t="shared" si="0"/>
        <v/>
      </c>
      <c r="R18" s="174" t="s">
        <v>267</v>
      </c>
      <c r="S18" s="174" t="s">
        <v>385</v>
      </c>
      <c r="T18" s="174" t="str" cm="1">
        <f t="array" aca="1" ref="T18" ca="1">_xlfn.XLOOKUP(SupplyChain_Tier1_Backend[[#This Row],[Level 2]],rng_Level2Long,rng_Level3Long)</f>
        <v>Supply chain</v>
      </c>
      <c r="U18" s="174" t="str">
        <f>SupplyChain_Tier1_Frontend[[#This Row],[Category]]</f>
        <v>Mining and quarrying</v>
      </c>
      <c r="V18" s="174" t="str">
        <f>SupplyChain_Tier1_Frontend[[#This Row],[Product Category]]</f>
        <v>Crude petroleum and natural gas</v>
      </c>
      <c r="W18" s="174" t="str" cm="1">
        <f t="array" aca="1" ref="W18" ca="1">_xlfn.XLOOKUP(SupplyChain_Tier1_Backend[[#This Row],[Level 5]],rng_Level5Long,rng_Level6Long)</f>
        <v>NaN</v>
      </c>
      <c r="X18" s="174" t="str">
        <f>SupplyChain_Tier1_Frontend[[#This Row],[Data type]]</f>
        <v>Spend-based EF</v>
      </c>
      <c r="Y18" s="174" t="s">
        <v>339</v>
      </c>
      <c r="Z18" s="174" t="s">
        <v>198</v>
      </c>
      <c r="AA18" s="229" cm="1">
        <f t="array" aca="1" ref="AA18" ca="1">INDEX(_xlfn.SWITCH(SupplyChain_Tier1_Backend[[#This Row],[Methodology]],"Tier 1",rng_RSD1,"Tier 2",rng_RSD2,"Tier 3",rng_RSD3),MATCH(_xlfn.CONCAT(SupplyChain_Tier1_Backend[[#This Row],[Level 1]:[Level 6]]),rng_LevelsConcat,0))</f>
        <v>0.25</v>
      </c>
      <c r="AB18" s="220">
        <f>SupplyChain_Tier1_Frontend[[#This Row],[Data]]</f>
        <v>0</v>
      </c>
      <c r="AC18" s="220" t="str">
        <f>SupplyChain_Tier1_Frontend[[#This Row],[Units]]</f>
        <v>£</v>
      </c>
      <c r="AD1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8" s="174" t="str">
        <f>SupplyChain_Tier1_Frontend[[#This Row],[Units]]</f>
        <v>£</v>
      </c>
      <c r="AF18" s="210">
        <f ca="1">_xlfn.XLOOKUP(_xlfn.CONCAT(SupplyChain_Tier1_Backend[[#This Row],[Level 1]:[Level 6]]),rng_EFConcat,rng_EF1)*SupplyChain_Tier1_Backend[[#This Row],[Converted data]]/1000</f>
        <v>0</v>
      </c>
      <c r="AG18" s="210">
        <f ca="1">_xlfn.XLOOKUP(_xlfn.CONCAT(SupplyChain_Tier1_Backend[[#This Row],[Level 1]:[Level 6]]),rng_EFConcat,rng_EF2)*SupplyChain_Tier1_Backend[[#This Row],[Converted data]]/1000</f>
        <v>0</v>
      </c>
      <c r="AH18" s="210">
        <f ca="1">_xlfn.XLOOKUP(_xlfn.CONCAT(SupplyChain_Tier1_Backend[[#This Row],[Level 1]:[Level 6]]),rng_EFConcat,rng_EF3)*SupplyChain_Tier1_Backend[[#This Row],[Converted data]]/1000</f>
        <v>0</v>
      </c>
      <c r="AI18" s="210">
        <f ca="1">_xlfn.XLOOKUP(_xlfn.CONCAT(SupplyChain_Tier1_Backend[[#This Row],[Level 1]:[Level 6]]),rng_EFConcat,rng_EF3WTT)*SupplyChain_Tier1_Backend[[#This Row],[Converted data]]/1000</f>
        <v>0</v>
      </c>
      <c r="AJ18" s="210">
        <f ca="1">_xlfn.XLOOKUP(_xlfn.CONCAT(SupplyChain_Tier1_Backend[[#This Row],[Level 1]:[Level 6]]),rng_EFConcat,rng_EF3TD)*SupplyChain_Tier1_Backend[[#This Row],[Converted data]]/1000</f>
        <v>0</v>
      </c>
      <c r="AK18" s="210">
        <f ca="1">_xlfn.XLOOKUP(_xlfn.CONCAT(SupplyChain_Tier1_Backend[[#This Row],[Level 1]:[Level 6]]),rng_EFConcat,rng_EF3WTTTD)*SupplyChain_Tier1_Backend[[#This Row],[Converted data]]/1000</f>
        <v>0</v>
      </c>
      <c r="AL18" s="220" t="str">
        <f>IF($G18="","", SUM(SupplyChain_Tier1_Backend[[#This Row],[Scope 1 (tCO2e)]:[Scope 3 WTT T&amp;D (tCO2e)]]))</f>
        <v/>
      </c>
      <c r="AM18" s="220" t="str">
        <f>IF($G18="","", SupplyChain_Tier1_Backend[[#This Row],[Total (tCO2e)]]*(1-SupplyChain_Tier1_Backend[[#This Row],[RSD]]))</f>
        <v/>
      </c>
      <c r="AN18" s="220" t="str">
        <f>IF($G18="","", SupplyChain_Tier1_Backend[[#This Row],[Total (tCO2e)]]*(1+SupplyChain_Tier1_Backend[[#This Row],[RSD]]))</f>
        <v/>
      </c>
      <c r="AO18" s="210">
        <f ca="1">_xlfn.XLOOKUP(_xlfn.CONCAT(SupplyChain_Tier1_Backend[[#This Row],[Level 1]:[Level 6]]),rng_EFConcat,rng_EFOOS)*SupplyChain_Tier1_Backend[[#This Row],[Converted data]]/1000</f>
        <v>0</v>
      </c>
      <c r="AP18" s="174">
        <f>SupplyChain_Tier1_Frontend[[#This Row],[Ease of collection]]</f>
        <v>0</v>
      </c>
      <c r="AQ18" s="213">
        <f>SupplyChain_Tier1_Frontend[[#This Row],[Completeness]]</f>
        <v>0</v>
      </c>
      <c r="AR18" s="213">
        <f>SupplyChain_Tier1_Frontend[[#This Row],[Notes]]</f>
        <v>0</v>
      </c>
    </row>
    <row r="19" spans="2:44" ht="14.5" x14ac:dyDescent="0.35">
      <c r="B19" s="455"/>
      <c r="E19" s="236" t="s">
        <v>225</v>
      </c>
      <c r="F19" s="178" t="s">
        <v>1741</v>
      </c>
      <c r="G19" s="334"/>
      <c r="H19" s="172" t="s">
        <v>383</v>
      </c>
      <c r="I19" s="172" t="s">
        <v>384</v>
      </c>
      <c r="J19" s="336"/>
      <c r="K19" s="336"/>
      <c r="L19" s="337"/>
      <c r="M19" s="242">
        <f t="shared" si="1"/>
        <v>0</v>
      </c>
      <c r="N19"/>
      <c r="O19"/>
      <c r="Q19" s="211" t="str">
        <f t="shared" si="0"/>
        <v/>
      </c>
      <c r="R19" s="174" t="s">
        <v>267</v>
      </c>
      <c r="S19" s="174" t="s">
        <v>385</v>
      </c>
      <c r="T19" s="174" t="str" cm="1">
        <f t="array" aca="1" ref="T19" ca="1">_xlfn.XLOOKUP(SupplyChain_Tier1_Backend[[#This Row],[Level 2]],rng_Level2Long,rng_Level3Long)</f>
        <v>Supply chain</v>
      </c>
      <c r="U19" s="174" t="str">
        <f>SupplyChain_Tier1_Frontend[[#This Row],[Category]]</f>
        <v>Mining and quarrying</v>
      </c>
      <c r="V19" s="174" t="str">
        <f>SupplyChain_Tier1_Frontend[[#This Row],[Product Category]]</f>
        <v>Other mining and quarrying products</v>
      </c>
      <c r="W19" s="174" t="str" cm="1">
        <f t="array" aca="1" ref="W19" ca="1">_xlfn.XLOOKUP(SupplyChain_Tier1_Backend[[#This Row],[Level 5]],rng_Level5Long,rng_Level6Long)</f>
        <v>NaN</v>
      </c>
      <c r="X19" s="174" t="str">
        <f>SupplyChain_Tier1_Frontend[[#This Row],[Data type]]</f>
        <v>Spend-based EF</v>
      </c>
      <c r="Y19" s="174" t="s">
        <v>339</v>
      </c>
      <c r="Z19" s="174" t="s">
        <v>198</v>
      </c>
      <c r="AA19" s="229" cm="1">
        <f t="array" aca="1" ref="AA19" ca="1">INDEX(_xlfn.SWITCH(SupplyChain_Tier1_Backend[[#This Row],[Methodology]],"Tier 1",rng_RSD1,"Tier 2",rng_RSD2,"Tier 3",rng_RSD3),MATCH(_xlfn.CONCAT(SupplyChain_Tier1_Backend[[#This Row],[Level 1]:[Level 6]]),rng_LevelsConcat,0))</f>
        <v>0.25</v>
      </c>
      <c r="AB19" s="220">
        <f>SupplyChain_Tier1_Frontend[[#This Row],[Data]]</f>
        <v>0</v>
      </c>
      <c r="AC19" s="220" t="str">
        <f>SupplyChain_Tier1_Frontend[[#This Row],[Units]]</f>
        <v>£</v>
      </c>
      <c r="AD1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9" s="174" t="str">
        <f>SupplyChain_Tier1_Frontend[[#This Row],[Units]]</f>
        <v>£</v>
      </c>
      <c r="AF19" s="210">
        <f ca="1">_xlfn.XLOOKUP(_xlfn.CONCAT(SupplyChain_Tier1_Backend[[#This Row],[Level 1]:[Level 6]]),rng_EFConcat,rng_EF1)*SupplyChain_Tier1_Backend[[#This Row],[Converted data]]/1000</f>
        <v>0</v>
      </c>
      <c r="AG19" s="210">
        <f ca="1">_xlfn.XLOOKUP(_xlfn.CONCAT(SupplyChain_Tier1_Backend[[#This Row],[Level 1]:[Level 6]]),rng_EFConcat,rng_EF2)*SupplyChain_Tier1_Backend[[#This Row],[Converted data]]/1000</f>
        <v>0</v>
      </c>
      <c r="AH19" s="210">
        <f ca="1">_xlfn.XLOOKUP(_xlfn.CONCAT(SupplyChain_Tier1_Backend[[#This Row],[Level 1]:[Level 6]]),rng_EFConcat,rng_EF3)*SupplyChain_Tier1_Backend[[#This Row],[Converted data]]/1000</f>
        <v>0</v>
      </c>
      <c r="AI19" s="210">
        <f ca="1">_xlfn.XLOOKUP(_xlfn.CONCAT(SupplyChain_Tier1_Backend[[#This Row],[Level 1]:[Level 6]]),rng_EFConcat,rng_EF3WTT)*SupplyChain_Tier1_Backend[[#This Row],[Converted data]]/1000</f>
        <v>0</v>
      </c>
      <c r="AJ19" s="210">
        <f ca="1">_xlfn.XLOOKUP(_xlfn.CONCAT(SupplyChain_Tier1_Backend[[#This Row],[Level 1]:[Level 6]]),rng_EFConcat,rng_EF3TD)*SupplyChain_Tier1_Backend[[#This Row],[Converted data]]/1000</f>
        <v>0</v>
      </c>
      <c r="AK19" s="210">
        <f ca="1">_xlfn.XLOOKUP(_xlfn.CONCAT(SupplyChain_Tier1_Backend[[#This Row],[Level 1]:[Level 6]]),rng_EFConcat,rng_EF3WTTTD)*SupplyChain_Tier1_Backend[[#This Row],[Converted data]]/1000</f>
        <v>0</v>
      </c>
      <c r="AL19" s="220" t="str">
        <f>IF($G19="","", SUM(SupplyChain_Tier1_Backend[[#This Row],[Scope 1 (tCO2e)]:[Scope 3 WTT T&amp;D (tCO2e)]]))</f>
        <v/>
      </c>
      <c r="AM19" s="220" t="str">
        <f>IF($G19="","", SupplyChain_Tier1_Backend[[#This Row],[Total (tCO2e)]]*(1-SupplyChain_Tier1_Backend[[#This Row],[RSD]]))</f>
        <v/>
      </c>
      <c r="AN19" s="220" t="str">
        <f>IF($G19="","", SupplyChain_Tier1_Backend[[#This Row],[Total (tCO2e)]]*(1+SupplyChain_Tier1_Backend[[#This Row],[RSD]]))</f>
        <v/>
      </c>
      <c r="AO19" s="210">
        <f ca="1">_xlfn.XLOOKUP(_xlfn.CONCAT(SupplyChain_Tier1_Backend[[#This Row],[Level 1]:[Level 6]]),rng_EFConcat,rng_EFOOS)*SupplyChain_Tier1_Backend[[#This Row],[Converted data]]/1000</f>
        <v>0</v>
      </c>
      <c r="AP19" s="174">
        <f>SupplyChain_Tier1_Frontend[[#This Row],[Ease of collection]]</f>
        <v>0</v>
      </c>
      <c r="AQ19" s="213">
        <f>SupplyChain_Tier1_Frontend[[#This Row],[Completeness]]</f>
        <v>0</v>
      </c>
      <c r="AR19" s="213">
        <f>SupplyChain_Tier1_Frontend[[#This Row],[Notes]]</f>
        <v>0</v>
      </c>
    </row>
    <row r="20" spans="2:44" ht="14.5" x14ac:dyDescent="0.35">
      <c r="B20" s="455"/>
      <c r="E20" s="236" t="s">
        <v>225</v>
      </c>
      <c r="F20" s="178" t="s">
        <v>1742</v>
      </c>
      <c r="G20" s="334"/>
      <c r="H20" s="172" t="s">
        <v>383</v>
      </c>
      <c r="I20" s="172" t="s">
        <v>384</v>
      </c>
      <c r="J20" s="336"/>
      <c r="K20" s="336"/>
      <c r="L20" s="337"/>
      <c r="M20" s="242">
        <f t="shared" si="1"/>
        <v>0</v>
      </c>
      <c r="N20"/>
      <c r="O20"/>
      <c r="Q20" s="211" t="str">
        <f t="shared" si="0"/>
        <v/>
      </c>
      <c r="R20" s="174" t="s">
        <v>267</v>
      </c>
      <c r="S20" s="174" t="s">
        <v>385</v>
      </c>
      <c r="T20" s="174" t="str" cm="1">
        <f t="array" aca="1" ref="T20" ca="1">_xlfn.XLOOKUP(SupplyChain_Tier1_Backend[[#This Row],[Level 2]],rng_Level2Long,rng_Level3Long)</f>
        <v>Supply chain</v>
      </c>
      <c r="U20" s="174" t="str">
        <f>SupplyChain_Tier1_Frontend[[#This Row],[Category]]</f>
        <v>Mining and quarrying</v>
      </c>
      <c r="V20" s="174" t="str">
        <f>SupplyChain_Tier1_Frontend[[#This Row],[Product Category]]</f>
        <v>Mining support services</v>
      </c>
      <c r="W20" s="174" t="str" cm="1">
        <f t="array" aca="1" ref="W20" ca="1">_xlfn.XLOOKUP(SupplyChain_Tier1_Backend[[#This Row],[Level 5]],rng_Level5Long,rng_Level6Long)</f>
        <v>NaN</v>
      </c>
      <c r="X20" s="174" t="str">
        <f>SupplyChain_Tier1_Frontend[[#This Row],[Data type]]</f>
        <v>Spend-based EF</v>
      </c>
      <c r="Y20" s="174" t="s">
        <v>339</v>
      </c>
      <c r="Z20" s="174" t="s">
        <v>198</v>
      </c>
      <c r="AA20" s="229" cm="1">
        <f t="array" aca="1" ref="AA20" ca="1">INDEX(_xlfn.SWITCH(SupplyChain_Tier1_Backend[[#This Row],[Methodology]],"Tier 1",rng_RSD1,"Tier 2",rng_RSD2,"Tier 3",rng_RSD3),MATCH(_xlfn.CONCAT(SupplyChain_Tier1_Backend[[#This Row],[Level 1]:[Level 6]]),rng_LevelsConcat,0))</f>
        <v>0.25</v>
      </c>
      <c r="AB20" s="220">
        <f>SupplyChain_Tier1_Frontend[[#This Row],[Data]]</f>
        <v>0</v>
      </c>
      <c r="AC20" s="220" t="str">
        <f>SupplyChain_Tier1_Frontend[[#This Row],[Units]]</f>
        <v>£</v>
      </c>
      <c r="AD2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0" s="174" t="str">
        <f>SupplyChain_Tier1_Frontend[[#This Row],[Units]]</f>
        <v>£</v>
      </c>
      <c r="AF20" s="210">
        <f ca="1">_xlfn.XLOOKUP(_xlfn.CONCAT(SupplyChain_Tier1_Backend[[#This Row],[Level 1]:[Level 6]]),rng_EFConcat,rng_EF1)*SupplyChain_Tier1_Backend[[#This Row],[Converted data]]/1000</f>
        <v>0</v>
      </c>
      <c r="AG20" s="210">
        <f ca="1">_xlfn.XLOOKUP(_xlfn.CONCAT(SupplyChain_Tier1_Backend[[#This Row],[Level 1]:[Level 6]]),rng_EFConcat,rng_EF2)*SupplyChain_Tier1_Backend[[#This Row],[Converted data]]/1000</f>
        <v>0</v>
      </c>
      <c r="AH20" s="210">
        <f ca="1">_xlfn.XLOOKUP(_xlfn.CONCAT(SupplyChain_Tier1_Backend[[#This Row],[Level 1]:[Level 6]]),rng_EFConcat,rng_EF3)*SupplyChain_Tier1_Backend[[#This Row],[Converted data]]/1000</f>
        <v>0</v>
      </c>
      <c r="AI20" s="210">
        <f ca="1">_xlfn.XLOOKUP(_xlfn.CONCAT(SupplyChain_Tier1_Backend[[#This Row],[Level 1]:[Level 6]]),rng_EFConcat,rng_EF3WTT)*SupplyChain_Tier1_Backend[[#This Row],[Converted data]]/1000</f>
        <v>0</v>
      </c>
      <c r="AJ20" s="210">
        <f ca="1">_xlfn.XLOOKUP(_xlfn.CONCAT(SupplyChain_Tier1_Backend[[#This Row],[Level 1]:[Level 6]]),rng_EFConcat,rng_EF3TD)*SupplyChain_Tier1_Backend[[#This Row],[Converted data]]/1000</f>
        <v>0</v>
      </c>
      <c r="AK20" s="210">
        <f ca="1">_xlfn.XLOOKUP(_xlfn.CONCAT(SupplyChain_Tier1_Backend[[#This Row],[Level 1]:[Level 6]]),rng_EFConcat,rng_EF3WTTTD)*SupplyChain_Tier1_Backend[[#This Row],[Converted data]]/1000</f>
        <v>0</v>
      </c>
      <c r="AL20" s="220" t="str">
        <f>IF($G20="","", SUM(SupplyChain_Tier1_Backend[[#This Row],[Scope 1 (tCO2e)]:[Scope 3 WTT T&amp;D (tCO2e)]]))</f>
        <v/>
      </c>
      <c r="AM20" s="220" t="str">
        <f>IF($G20="","", SupplyChain_Tier1_Backend[[#This Row],[Total (tCO2e)]]*(1-SupplyChain_Tier1_Backend[[#This Row],[RSD]]))</f>
        <v/>
      </c>
      <c r="AN20" s="220" t="str">
        <f>IF($G20="","", SupplyChain_Tier1_Backend[[#This Row],[Total (tCO2e)]]*(1+SupplyChain_Tier1_Backend[[#This Row],[RSD]]))</f>
        <v/>
      </c>
      <c r="AO20" s="210">
        <f ca="1">_xlfn.XLOOKUP(_xlfn.CONCAT(SupplyChain_Tier1_Backend[[#This Row],[Level 1]:[Level 6]]),rng_EFConcat,rng_EFOOS)*SupplyChain_Tier1_Backend[[#This Row],[Converted data]]/1000</f>
        <v>0</v>
      </c>
      <c r="AP20" s="174">
        <f>SupplyChain_Tier1_Frontend[[#This Row],[Ease of collection]]</f>
        <v>0</v>
      </c>
      <c r="AQ20" s="213">
        <f>SupplyChain_Tier1_Frontend[[#This Row],[Completeness]]</f>
        <v>0</v>
      </c>
      <c r="AR20" s="213">
        <f>SupplyChain_Tier1_Frontend[[#This Row],[Notes]]</f>
        <v>0</v>
      </c>
    </row>
    <row r="21" spans="2:44" ht="14.5" x14ac:dyDescent="0.35">
      <c r="B21" s="455"/>
      <c r="E21" s="236" t="s">
        <v>226</v>
      </c>
      <c r="F21" s="178" t="s">
        <v>1743</v>
      </c>
      <c r="G21" s="334"/>
      <c r="H21" s="172" t="s">
        <v>383</v>
      </c>
      <c r="I21" s="172" t="s">
        <v>384</v>
      </c>
      <c r="J21" s="336"/>
      <c r="K21" s="336"/>
      <c r="L21" s="337"/>
      <c r="M21" s="242">
        <f t="shared" si="1"/>
        <v>0</v>
      </c>
      <c r="N21"/>
      <c r="O21"/>
      <c r="Q21" s="211" t="str">
        <f t="shared" si="0"/>
        <v/>
      </c>
      <c r="R21" s="174" t="s">
        <v>267</v>
      </c>
      <c r="S21" s="174" t="s">
        <v>385</v>
      </c>
      <c r="T21" s="174" t="str" cm="1">
        <f t="array" aca="1" ref="T21" ca="1">_xlfn.XLOOKUP(SupplyChain_Tier1_Backend[[#This Row],[Level 2]],rng_Level2Long,rng_Level3Long)</f>
        <v>Supply chain</v>
      </c>
      <c r="U21" s="174" t="str">
        <f>SupplyChain_Tier1_Frontend[[#This Row],[Category]]</f>
        <v>Manufacturing</v>
      </c>
      <c r="V21" s="174" t="str">
        <f>SupplyChain_Tier1_Frontend[[#This Row],[Product Category]]</f>
        <v>Preserved meat and meat products</v>
      </c>
      <c r="W21" s="174" t="str" cm="1">
        <f t="array" aca="1" ref="W21" ca="1">_xlfn.XLOOKUP(SupplyChain_Tier1_Backend[[#This Row],[Level 5]],rng_Level5Long,rng_Level6Long)</f>
        <v>NaN</v>
      </c>
      <c r="X21" s="174" t="str">
        <f>SupplyChain_Tier1_Frontend[[#This Row],[Data type]]</f>
        <v>Spend-based EF</v>
      </c>
      <c r="Y21" s="174" t="s">
        <v>339</v>
      </c>
      <c r="Z21" s="174" t="s">
        <v>198</v>
      </c>
      <c r="AA21" s="229" cm="1">
        <f t="array" aca="1" ref="AA21" ca="1">INDEX(_xlfn.SWITCH(SupplyChain_Tier1_Backend[[#This Row],[Methodology]],"Tier 1",rng_RSD1,"Tier 2",rng_RSD2,"Tier 3",rng_RSD3),MATCH(_xlfn.CONCAT(SupplyChain_Tier1_Backend[[#This Row],[Level 1]:[Level 6]]),rng_LevelsConcat,0))</f>
        <v>0.25</v>
      </c>
      <c r="AB21" s="220">
        <f>SupplyChain_Tier1_Frontend[[#This Row],[Data]]</f>
        <v>0</v>
      </c>
      <c r="AC21" s="220" t="str">
        <f>SupplyChain_Tier1_Frontend[[#This Row],[Units]]</f>
        <v>£</v>
      </c>
      <c r="AD2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1" s="174" t="str">
        <f>SupplyChain_Tier1_Frontend[[#This Row],[Units]]</f>
        <v>£</v>
      </c>
      <c r="AF21" s="210">
        <f ca="1">_xlfn.XLOOKUP(_xlfn.CONCAT(SupplyChain_Tier1_Backend[[#This Row],[Level 1]:[Level 6]]),rng_EFConcat,rng_EF1)*SupplyChain_Tier1_Backend[[#This Row],[Converted data]]/1000</f>
        <v>0</v>
      </c>
      <c r="AG21" s="210">
        <f ca="1">_xlfn.XLOOKUP(_xlfn.CONCAT(SupplyChain_Tier1_Backend[[#This Row],[Level 1]:[Level 6]]),rng_EFConcat,rng_EF2)*SupplyChain_Tier1_Backend[[#This Row],[Converted data]]/1000</f>
        <v>0</v>
      </c>
      <c r="AH21" s="210">
        <f ca="1">_xlfn.XLOOKUP(_xlfn.CONCAT(SupplyChain_Tier1_Backend[[#This Row],[Level 1]:[Level 6]]),rng_EFConcat,rng_EF3)*SupplyChain_Tier1_Backend[[#This Row],[Converted data]]/1000</f>
        <v>0</v>
      </c>
      <c r="AI21" s="210">
        <f ca="1">_xlfn.XLOOKUP(_xlfn.CONCAT(SupplyChain_Tier1_Backend[[#This Row],[Level 1]:[Level 6]]),rng_EFConcat,rng_EF3WTT)*SupplyChain_Tier1_Backend[[#This Row],[Converted data]]/1000</f>
        <v>0</v>
      </c>
      <c r="AJ21" s="210">
        <f ca="1">_xlfn.XLOOKUP(_xlfn.CONCAT(SupplyChain_Tier1_Backend[[#This Row],[Level 1]:[Level 6]]),rng_EFConcat,rng_EF3TD)*SupplyChain_Tier1_Backend[[#This Row],[Converted data]]/1000</f>
        <v>0</v>
      </c>
      <c r="AK21" s="210">
        <f ca="1">_xlfn.XLOOKUP(_xlfn.CONCAT(SupplyChain_Tier1_Backend[[#This Row],[Level 1]:[Level 6]]),rng_EFConcat,rng_EF3WTTTD)*SupplyChain_Tier1_Backend[[#This Row],[Converted data]]/1000</f>
        <v>0</v>
      </c>
      <c r="AL21" s="220" t="str">
        <f>IF($G21="","", SUM(SupplyChain_Tier1_Backend[[#This Row],[Scope 1 (tCO2e)]:[Scope 3 WTT T&amp;D (tCO2e)]]))</f>
        <v/>
      </c>
      <c r="AM21" s="220" t="str">
        <f>IF($G21="","", SupplyChain_Tier1_Backend[[#This Row],[Total (tCO2e)]]*(1-SupplyChain_Tier1_Backend[[#This Row],[RSD]]))</f>
        <v/>
      </c>
      <c r="AN21" s="220" t="str">
        <f>IF($G21="","", SupplyChain_Tier1_Backend[[#This Row],[Total (tCO2e)]]*(1+SupplyChain_Tier1_Backend[[#This Row],[RSD]]))</f>
        <v/>
      </c>
      <c r="AO21" s="210">
        <f ca="1">_xlfn.XLOOKUP(_xlfn.CONCAT(SupplyChain_Tier1_Backend[[#This Row],[Level 1]:[Level 6]]),rng_EFConcat,rng_EFOOS)*SupplyChain_Tier1_Backend[[#This Row],[Converted data]]/1000</f>
        <v>0</v>
      </c>
      <c r="AP21" s="174">
        <f>SupplyChain_Tier1_Frontend[[#This Row],[Ease of collection]]</f>
        <v>0</v>
      </c>
      <c r="AQ21" s="213">
        <f>SupplyChain_Tier1_Frontend[[#This Row],[Completeness]]</f>
        <v>0</v>
      </c>
      <c r="AR21" s="213">
        <f>SupplyChain_Tier1_Frontend[[#This Row],[Notes]]</f>
        <v>0</v>
      </c>
    </row>
    <row r="22" spans="2:44" ht="28.5" x14ac:dyDescent="0.35">
      <c r="B22" s="455"/>
      <c r="E22" s="236" t="s">
        <v>226</v>
      </c>
      <c r="F22" s="178" t="s">
        <v>1744</v>
      </c>
      <c r="G22" s="334"/>
      <c r="H22" s="172" t="s">
        <v>383</v>
      </c>
      <c r="I22" s="172" t="s">
        <v>384</v>
      </c>
      <c r="J22" s="336"/>
      <c r="K22" s="336"/>
      <c r="L22" s="337"/>
      <c r="M22" s="242">
        <f t="shared" si="1"/>
        <v>0</v>
      </c>
      <c r="N22"/>
      <c r="O22"/>
      <c r="Q22" s="211" t="str">
        <f t="shared" si="0"/>
        <v/>
      </c>
      <c r="R22" s="174" t="s">
        <v>267</v>
      </c>
      <c r="S22" s="174" t="s">
        <v>385</v>
      </c>
      <c r="T22" s="174" t="str" cm="1">
        <f t="array" aca="1" ref="T22" ca="1">_xlfn.XLOOKUP(SupplyChain_Tier1_Backend[[#This Row],[Level 2]],rng_Level2Long,rng_Level3Long)</f>
        <v>Supply chain</v>
      </c>
      <c r="U22" s="174" t="str">
        <f>SupplyChain_Tier1_Frontend[[#This Row],[Category]]</f>
        <v>Manufacturing</v>
      </c>
      <c r="V22" s="174" t="str">
        <f>SupplyChain_Tier1_Frontend[[#This Row],[Product Category]]</f>
        <v>Processed and preserved fish, crustaceans, molluscs, fruit and vegetables</v>
      </c>
      <c r="W22" s="174" t="str" cm="1">
        <f t="array" aca="1" ref="W22" ca="1">_xlfn.XLOOKUP(SupplyChain_Tier1_Backend[[#This Row],[Level 5]],rng_Level5Long,rng_Level6Long)</f>
        <v>NaN</v>
      </c>
      <c r="X22" s="174" t="str">
        <f>SupplyChain_Tier1_Frontend[[#This Row],[Data type]]</f>
        <v>Spend-based EF</v>
      </c>
      <c r="Y22" s="174" t="s">
        <v>339</v>
      </c>
      <c r="Z22" s="174" t="s">
        <v>198</v>
      </c>
      <c r="AA22" s="229" cm="1">
        <f t="array" aca="1" ref="AA22" ca="1">INDEX(_xlfn.SWITCH(SupplyChain_Tier1_Backend[[#This Row],[Methodology]],"Tier 1",rng_RSD1,"Tier 2",rng_RSD2,"Tier 3",rng_RSD3),MATCH(_xlfn.CONCAT(SupplyChain_Tier1_Backend[[#This Row],[Level 1]:[Level 6]]),rng_LevelsConcat,0))</f>
        <v>0.25</v>
      </c>
      <c r="AB22" s="220">
        <f>SupplyChain_Tier1_Frontend[[#This Row],[Data]]</f>
        <v>0</v>
      </c>
      <c r="AC22" s="220" t="str">
        <f>SupplyChain_Tier1_Frontend[[#This Row],[Units]]</f>
        <v>£</v>
      </c>
      <c r="AD2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2" s="174" t="str">
        <f>SupplyChain_Tier1_Frontend[[#This Row],[Units]]</f>
        <v>£</v>
      </c>
      <c r="AF22" s="210">
        <f ca="1">_xlfn.XLOOKUP(_xlfn.CONCAT(SupplyChain_Tier1_Backend[[#This Row],[Level 1]:[Level 6]]),rng_EFConcat,rng_EF1)*SupplyChain_Tier1_Backend[[#This Row],[Converted data]]/1000</f>
        <v>0</v>
      </c>
      <c r="AG22" s="210">
        <f ca="1">_xlfn.XLOOKUP(_xlfn.CONCAT(SupplyChain_Tier1_Backend[[#This Row],[Level 1]:[Level 6]]),rng_EFConcat,rng_EF2)*SupplyChain_Tier1_Backend[[#This Row],[Converted data]]/1000</f>
        <v>0</v>
      </c>
      <c r="AH22" s="210">
        <f ca="1">_xlfn.XLOOKUP(_xlfn.CONCAT(SupplyChain_Tier1_Backend[[#This Row],[Level 1]:[Level 6]]),rng_EFConcat,rng_EF3)*SupplyChain_Tier1_Backend[[#This Row],[Converted data]]/1000</f>
        <v>0</v>
      </c>
      <c r="AI22" s="210">
        <f ca="1">_xlfn.XLOOKUP(_xlfn.CONCAT(SupplyChain_Tier1_Backend[[#This Row],[Level 1]:[Level 6]]),rng_EFConcat,rng_EF3WTT)*SupplyChain_Tier1_Backend[[#This Row],[Converted data]]/1000</f>
        <v>0</v>
      </c>
      <c r="AJ22" s="210">
        <f ca="1">_xlfn.XLOOKUP(_xlfn.CONCAT(SupplyChain_Tier1_Backend[[#This Row],[Level 1]:[Level 6]]),rng_EFConcat,rng_EF3TD)*SupplyChain_Tier1_Backend[[#This Row],[Converted data]]/1000</f>
        <v>0</v>
      </c>
      <c r="AK22" s="210">
        <f ca="1">_xlfn.XLOOKUP(_xlfn.CONCAT(SupplyChain_Tier1_Backend[[#This Row],[Level 1]:[Level 6]]),rng_EFConcat,rng_EF3WTTTD)*SupplyChain_Tier1_Backend[[#This Row],[Converted data]]/1000</f>
        <v>0</v>
      </c>
      <c r="AL22" s="220" t="str">
        <f>IF($G22="","", SUM(SupplyChain_Tier1_Backend[[#This Row],[Scope 1 (tCO2e)]:[Scope 3 WTT T&amp;D (tCO2e)]]))</f>
        <v/>
      </c>
      <c r="AM22" s="220" t="str">
        <f>IF($G22="","", SupplyChain_Tier1_Backend[[#This Row],[Total (tCO2e)]]*(1-SupplyChain_Tier1_Backend[[#This Row],[RSD]]))</f>
        <v/>
      </c>
      <c r="AN22" s="220" t="str">
        <f>IF($G22="","", SupplyChain_Tier1_Backend[[#This Row],[Total (tCO2e)]]*(1+SupplyChain_Tier1_Backend[[#This Row],[RSD]]))</f>
        <v/>
      </c>
      <c r="AO22" s="210">
        <f ca="1">_xlfn.XLOOKUP(_xlfn.CONCAT(SupplyChain_Tier1_Backend[[#This Row],[Level 1]:[Level 6]]),rng_EFConcat,rng_EFOOS)*SupplyChain_Tier1_Backend[[#This Row],[Converted data]]/1000</f>
        <v>0</v>
      </c>
      <c r="AP22" s="174">
        <f>SupplyChain_Tier1_Frontend[[#This Row],[Ease of collection]]</f>
        <v>0</v>
      </c>
      <c r="AQ22" s="213">
        <f>SupplyChain_Tier1_Frontend[[#This Row],[Completeness]]</f>
        <v>0</v>
      </c>
      <c r="AR22" s="213">
        <f>SupplyChain_Tier1_Frontend[[#This Row],[Notes]]</f>
        <v>0</v>
      </c>
    </row>
    <row r="23" spans="2:44" ht="14.5" x14ac:dyDescent="0.35">
      <c r="B23" s="455"/>
      <c r="E23" s="236" t="s">
        <v>226</v>
      </c>
      <c r="F23" s="178" t="s">
        <v>1745</v>
      </c>
      <c r="G23" s="334"/>
      <c r="H23" s="172" t="s">
        <v>383</v>
      </c>
      <c r="I23" s="172" t="s">
        <v>384</v>
      </c>
      <c r="J23" s="336"/>
      <c r="K23" s="336"/>
      <c r="L23" s="337"/>
      <c r="M23" s="242">
        <f t="shared" si="1"/>
        <v>0</v>
      </c>
      <c r="N23"/>
      <c r="O23"/>
      <c r="Q23" s="211" t="str">
        <f t="shared" si="0"/>
        <v/>
      </c>
      <c r="R23" s="174" t="s">
        <v>267</v>
      </c>
      <c r="S23" s="174" t="s">
        <v>385</v>
      </c>
      <c r="T23" s="174" t="str" cm="1">
        <f t="array" aca="1" ref="T23" ca="1">_xlfn.XLOOKUP(SupplyChain_Tier1_Backend[[#This Row],[Level 2]],rng_Level2Long,rng_Level3Long)</f>
        <v>Supply chain</v>
      </c>
      <c r="U23" s="174" t="str">
        <f>SupplyChain_Tier1_Frontend[[#This Row],[Category]]</f>
        <v>Manufacturing</v>
      </c>
      <c r="V23" s="174" t="str">
        <f>SupplyChain_Tier1_Frontend[[#This Row],[Product Category]]</f>
        <v>Vegetable and animal oils and fats</v>
      </c>
      <c r="W23" s="174" t="str" cm="1">
        <f t="array" aca="1" ref="W23" ca="1">_xlfn.XLOOKUP(SupplyChain_Tier1_Backend[[#This Row],[Level 5]],rng_Level5Long,rng_Level6Long)</f>
        <v>NaN</v>
      </c>
      <c r="X23" s="174" t="str">
        <f>SupplyChain_Tier1_Frontend[[#This Row],[Data type]]</f>
        <v>Spend-based EF</v>
      </c>
      <c r="Y23" s="174" t="s">
        <v>339</v>
      </c>
      <c r="Z23" s="174" t="s">
        <v>198</v>
      </c>
      <c r="AA23" s="229" cm="1">
        <f t="array" aca="1" ref="AA23" ca="1">INDEX(_xlfn.SWITCH(SupplyChain_Tier1_Backend[[#This Row],[Methodology]],"Tier 1",rng_RSD1,"Tier 2",rng_RSD2,"Tier 3",rng_RSD3),MATCH(_xlfn.CONCAT(SupplyChain_Tier1_Backend[[#This Row],[Level 1]:[Level 6]]),rng_LevelsConcat,0))</f>
        <v>0.25</v>
      </c>
      <c r="AB23" s="220">
        <f>SupplyChain_Tier1_Frontend[[#This Row],[Data]]</f>
        <v>0</v>
      </c>
      <c r="AC23" s="220" t="str">
        <f>SupplyChain_Tier1_Frontend[[#This Row],[Units]]</f>
        <v>£</v>
      </c>
      <c r="AD2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3" s="174" t="str">
        <f>SupplyChain_Tier1_Frontend[[#This Row],[Units]]</f>
        <v>£</v>
      </c>
      <c r="AF23" s="210">
        <f ca="1">_xlfn.XLOOKUP(_xlfn.CONCAT(SupplyChain_Tier1_Backend[[#This Row],[Level 1]:[Level 6]]),rng_EFConcat,rng_EF1)*SupplyChain_Tier1_Backend[[#This Row],[Converted data]]/1000</f>
        <v>0</v>
      </c>
      <c r="AG23" s="210">
        <f ca="1">_xlfn.XLOOKUP(_xlfn.CONCAT(SupplyChain_Tier1_Backend[[#This Row],[Level 1]:[Level 6]]),rng_EFConcat,rng_EF2)*SupplyChain_Tier1_Backend[[#This Row],[Converted data]]/1000</f>
        <v>0</v>
      </c>
      <c r="AH23" s="210">
        <f ca="1">_xlfn.XLOOKUP(_xlfn.CONCAT(SupplyChain_Tier1_Backend[[#This Row],[Level 1]:[Level 6]]),rng_EFConcat,rng_EF3)*SupplyChain_Tier1_Backend[[#This Row],[Converted data]]/1000</f>
        <v>0</v>
      </c>
      <c r="AI23" s="210">
        <f ca="1">_xlfn.XLOOKUP(_xlfn.CONCAT(SupplyChain_Tier1_Backend[[#This Row],[Level 1]:[Level 6]]),rng_EFConcat,rng_EF3WTT)*SupplyChain_Tier1_Backend[[#This Row],[Converted data]]/1000</f>
        <v>0</v>
      </c>
      <c r="AJ23" s="210">
        <f ca="1">_xlfn.XLOOKUP(_xlfn.CONCAT(SupplyChain_Tier1_Backend[[#This Row],[Level 1]:[Level 6]]),rng_EFConcat,rng_EF3TD)*SupplyChain_Tier1_Backend[[#This Row],[Converted data]]/1000</f>
        <v>0</v>
      </c>
      <c r="AK23" s="210">
        <f ca="1">_xlfn.XLOOKUP(_xlfn.CONCAT(SupplyChain_Tier1_Backend[[#This Row],[Level 1]:[Level 6]]),rng_EFConcat,rng_EF3WTTTD)*SupplyChain_Tier1_Backend[[#This Row],[Converted data]]/1000</f>
        <v>0</v>
      </c>
      <c r="AL23" s="220" t="str">
        <f>IF($G23="","", SUM(SupplyChain_Tier1_Backend[[#This Row],[Scope 1 (tCO2e)]:[Scope 3 WTT T&amp;D (tCO2e)]]))</f>
        <v/>
      </c>
      <c r="AM23" s="220" t="str">
        <f>IF($G23="","", SupplyChain_Tier1_Backend[[#This Row],[Total (tCO2e)]]*(1-SupplyChain_Tier1_Backend[[#This Row],[RSD]]))</f>
        <v/>
      </c>
      <c r="AN23" s="220" t="str">
        <f>IF($G23="","", SupplyChain_Tier1_Backend[[#This Row],[Total (tCO2e)]]*(1+SupplyChain_Tier1_Backend[[#This Row],[RSD]]))</f>
        <v/>
      </c>
      <c r="AO23" s="210">
        <f ca="1">_xlfn.XLOOKUP(_xlfn.CONCAT(SupplyChain_Tier1_Backend[[#This Row],[Level 1]:[Level 6]]),rng_EFConcat,rng_EFOOS)*SupplyChain_Tier1_Backend[[#This Row],[Converted data]]/1000</f>
        <v>0</v>
      </c>
      <c r="AP23" s="174">
        <f>SupplyChain_Tier1_Frontend[[#This Row],[Ease of collection]]</f>
        <v>0</v>
      </c>
      <c r="AQ23" s="213">
        <f>SupplyChain_Tier1_Frontend[[#This Row],[Completeness]]</f>
        <v>0</v>
      </c>
      <c r="AR23" s="213">
        <f>SupplyChain_Tier1_Frontend[[#This Row],[Notes]]</f>
        <v>0</v>
      </c>
    </row>
    <row r="24" spans="2:44" ht="14.5" x14ac:dyDescent="0.35">
      <c r="B24" s="455"/>
      <c r="E24" s="236" t="s">
        <v>226</v>
      </c>
      <c r="F24" s="178" t="s">
        <v>1746</v>
      </c>
      <c r="G24" s="334"/>
      <c r="H24" s="172" t="s">
        <v>383</v>
      </c>
      <c r="I24" s="172" t="s">
        <v>384</v>
      </c>
      <c r="J24" s="336"/>
      <c r="K24" s="336"/>
      <c r="L24" s="337"/>
      <c r="M24" s="242">
        <f t="shared" si="1"/>
        <v>0</v>
      </c>
      <c r="N24"/>
      <c r="O24"/>
      <c r="Q24" s="211" t="str">
        <f t="shared" si="0"/>
        <v/>
      </c>
      <c r="R24" s="174" t="s">
        <v>267</v>
      </c>
      <c r="S24" s="174" t="s">
        <v>385</v>
      </c>
      <c r="T24" s="174" t="str" cm="1">
        <f t="array" aca="1" ref="T24" ca="1">_xlfn.XLOOKUP(SupplyChain_Tier1_Backend[[#This Row],[Level 2]],rng_Level2Long,rng_Level3Long)</f>
        <v>Supply chain</v>
      </c>
      <c r="U24" s="174" t="str">
        <f>SupplyChain_Tier1_Frontend[[#This Row],[Category]]</f>
        <v>Manufacturing</v>
      </c>
      <c r="V24" s="174" t="str">
        <f>SupplyChain_Tier1_Frontend[[#This Row],[Product Category]]</f>
        <v>Dairy products</v>
      </c>
      <c r="W24" s="174" t="str" cm="1">
        <f t="array" aca="1" ref="W24" ca="1">_xlfn.XLOOKUP(SupplyChain_Tier1_Backend[[#This Row],[Level 5]],rng_Level5Long,rng_Level6Long)</f>
        <v>NaN</v>
      </c>
      <c r="X24" s="174" t="str">
        <f>SupplyChain_Tier1_Frontend[[#This Row],[Data type]]</f>
        <v>Spend-based EF</v>
      </c>
      <c r="Y24" s="174" t="s">
        <v>339</v>
      </c>
      <c r="Z24" s="174" t="s">
        <v>198</v>
      </c>
      <c r="AA24" s="229" cm="1">
        <f t="array" aca="1" ref="AA24" ca="1">INDEX(_xlfn.SWITCH(SupplyChain_Tier1_Backend[[#This Row],[Methodology]],"Tier 1",rng_RSD1,"Tier 2",rng_RSD2,"Tier 3",rng_RSD3),MATCH(_xlfn.CONCAT(SupplyChain_Tier1_Backend[[#This Row],[Level 1]:[Level 6]]),rng_LevelsConcat,0))</f>
        <v>0.25</v>
      </c>
      <c r="AB24" s="220">
        <f>SupplyChain_Tier1_Frontend[[#This Row],[Data]]</f>
        <v>0</v>
      </c>
      <c r="AC24" s="220" t="str">
        <f>SupplyChain_Tier1_Frontend[[#This Row],[Units]]</f>
        <v>£</v>
      </c>
      <c r="AD2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4" s="174" t="str">
        <f>SupplyChain_Tier1_Frontend[[#This Row],[Units]]</f>
        <v>£</v>
      </c>
      <c r="AF24" s="210">
        <f ca="1">_xlfn.XLOOKUP(_xlfn.CONCAT(SupplyChain_Tier1_Backend[[#This Row],[Level 1]:[Level 6]]),rng_EFConcat,rng_EF1)*SupplyChain_Tier1_Backend[[#This Row],[Converted data]]/1000</f>
        <v>0</v>
      </c>
      <c r="AG24" s="210">
        <f ca="1">_xlfn.XLOOKUP(_xlfn.CONCAT(SupplyChain_Tier1_Backend[[#This Row],[Level 1]:[Level 6]]),rng_EFConcat,rng_EF2)*SupplyChain_Tier1_Backend[[#This Row],[Converted data]]/1000</f>
        <v>0</v>
      </c>
      <c r="AH24" s="210">
        <f ca="1">_xlfn.XLOOKUP(_xlfn.CONCAT(SupplyChain_Tier1_Backend[[#This Row],[Level 1]:[Level 6]]),rng_EFConcat,rng_EF3)*SupplyChain_Tier1_Backend[[#This Row],[Converted data]]/1000</f>
        <v>0</v>
      </c>
      <c r="AI24" s="210">
        <f ca="1">_xlfn.XLOOKUP(_xlfn.CONCAT(SupplyChain_Tier1_Backend[[#This Row],[Level 1]:[Level 6]]),rng_EFConcat,rng_EF3WTT)*SupplyChain_Tier1_Backend[[#This Row],[Converted data]]/1000</f>
        <v>0</v>
      </c>
      <c r="AJ24" s="210">
        <f ca="1">_xlfn.XLOOKUP(_xlfn.CONCAT(SupplyChain_Tier1_Backend[[#This Row],[Level 1]:[Level 6]]),rng_EFConcat,rng_EF3TD)*SupplyChain_Tier1_Backend[[#This Row],[Converted data]]/1000</f>
        <v>0</v>
      </c>
      <c r="AK24" s="210">
        <f ca="1">_xlfn.XLOOKUP(_xlfn.CONCAT(SupplyChain_Tier1_Backend[[#This Row],[Level 1]:[Level 6]]),rng_EFConcat,rng_EF3WTTTD)*SupplyChain_Tier1_Backend[[#This Row],[Converted data]]/1000</f>
        <v>0</v>
      </c>
      <c r="AL24" s="220" t="str">
        <f>IF($G24="","", SUM(SupplyChain_Tier1_Backend[[#This Row],[Scope 1 (tCO2e)]:[Scope 3 WTT T&amp;D (tCO2e)]]))</f>
        <v/>
      </c>
      <c r="AM24" s="220" t="str">
        <f>IF($G24="","", SupplyChain_Tier1_Backend[[#This Row],[Total (tCO2e)]]*(1-SupplyChain_Tier1_Backend[[#This Row],[RSD]]))</f>
        <v/>
      </c>
      <c r="AN24" s="220" t="str">
        <f>IF($G24="","", SupplyChain_Tier1_Backend[[#This Row],[Total (tCO2e)]]*(1+SupplyChain_Tier1_Backend[[#This Row],[RSD]]))</f>
        <v/>
      </c>
      <c r="AO24" s="210">
        <f ca="1">_xlfn.XLOOKUP(_xlfn.CONCAT(SupplyChain_Tier1_Backend[[#This Row],[Level 1]:[Level 6]]),rng_EFConcat,rng_EFOOS)*SupplyChain_Tier1_Backend[[#This Row],[Converted data]]/1000</f>
        <v>0</v>
      </c>
      <c r="AP24" s="174">
        <f>SupplyChain_Tier1_Frontend[[#This Row],[Ease of collection]]</f>
        <v>0</v>
      </c>
      <c r="AQ24" s="213">
        <f>SupplyChain_Tier1_Frontend[[#This Row],[Completeness]]</f>
        <v>0</v>
      </c>
      <c r="AR24" s="213">
        <f>SupplyChain_Tier1_Frontend[[#This Row],[Notes]]</f>
        <v>0</v>
      </c>
    </row>
    <row r="25" spans="2:44" ht="14.5" x14ac:dyDescent="0.35">
      <c r="B25" s="455"/>
      <c r="E25" s="236" t="s">
        <v>226</v>
      </c>
      <c r="F25" s="178" t="s">
        <v>1747</v>
      </c>
      <c r="G25" s="334"/>
      <c r="H25" s="172" t="s">
        <v>383</v>
      </c>
      <c r="I25" s="172" t="s">
        <v>384</v>
      </c>
      <c r="J25" s="336"/>
      <c r="K25" s="336"/>
      <c r="L25" s="337"/>
      <c r="M25" s="242">
        <f t="shared" si="1"/>
        <v>0</v>
      </c>
      <c r="N25"/>
      <c r="O25"/>
      <c r="Q25" s="211" t="str">
        <f t="shared" si="0"/>
        <v/>
      </c>
      <c r="R25" s="174" t="s">
        <v>267</v>
      </c>
      <c r="S25" s="174" t="s">
        <v>385</v>
      </c>
      <c r="T25" s="174" t="str" cm="1">
        <f t="array" aca="1" ref="T25" ca="1">_xlfn.XLOOKUP(SupplyChain_Tier1_Backend[[#This Row],[Level 2]],rng_Level2Long,rng_Level3Long)</f>
        <v>Supply chain</v>
      </c>
      <c r="U25" s="174" t="str">
        <f>SupplyChain_Tier1_Frontend[[#This Row],[Category]]</f>
        <v>Manufacturing</v>
      </c>
      <c r="V25" s="174" t="str">
        <f>SupplyChain_Tier1_Frontend[[#This Row],[Product Category]]</f>
        <v>Grain mill products, starches and starch products</v>
      </c>
      <c r="W25" s="174" t="str" cm="1">
        <f t="array" aca="1" ref="W25" ca="1">_xlfn.XLOOKUP(SupplyChain_Tier1_Backend[[#This Row],[Level 5]],rng_Level5Long,rng_Level6Long)</f>
        <v>NaN</v>
      </c>
      <c r="X25" s="174" t="str">
        <f>SupplyChain_Tier1_Frontend[[#This Row],[Data type]]</f>
        <v>Spend-based EF</v>
      </c>
      <c r="Y25" s="174" t="s">
        <v>339</v>
      </c>
      <c r="Z25" s="174" t="s">
        <v>198</v>
      </c>
      <c r="AA25" s="229" cm="1">
        <f t="array" aca="1" ref="AA25" ca="1">INDEX(_xlfn.SWITCH(SupplyChain_Tier1_Backend[[#This Row],[Methodology]],"Tier 1",rng_RSD1,"Tier 2",rng_RSD2,"Tier 3",rng_RSD3),MATCH(_xlfn.CONCAT(SupplyChain_Tier1_Backend[[#This Row],[Level 1]:[Level 6]]),rng_LevelsConcat,0))</f>
        <v>0.25</v>
      </c>
      <c r="AB25" s="220">
        <f>SupplyChain_Tier1_Frontend[[#This Row],[Data]]</f>
        <v>0</v>
      </c>
      <c r="AC25" s="220" t="str">
        <f>SupplyChain_Tier1_Frontend[[#This Row],[Units]]</f>
        <v>£</v>
      </c>
      <c r="AD2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5" s="174" t="str">
        <f>SupplyChain_Tier1_Frontend[[#This Row],[Units]]</f>
        <v>£</v>
      </c>
      <c r="AF25" s="210">
        <f ca="1">_xlfn.XLOOKUP(_xlfn.CONCAT(SupplyChain_Tier1_Backend[[#This Row],[Level 1]:[Level 6]]),rng_EFConcat,rng_EF1)*SupplyChain_Tier1_Backend[[#This Row],[Converted data]]/1000</f>
        <v>0</v>
      </c>
      <c r="AG25" s="210">
        <f ca="1">_xlfn.XLOOKUP(_xlfn.CONCAT(SupplyChain_Tier1_Backend[[#This Row],[Level 1]:[Level 6]]),rng_EFConcat,rng_EF2)*SupplyChain_Tier1_Backend[[#This Row],[Converted data]]/1000</f>
        <v>0</v>
      </c>
      <c r="AH25" s="210">
        <f ca="1">_xlfn.XLOOKUP(_xlfn.CONCAT(SupplyChain_Tier1_Backend[[#This Row],[Level 1]:[Level 6]]),rng_EFConcat,rng_EF3)*SupplyChain_Tier1_Backend[[#This Row],[Converted data]]/1000</f>
        <v>0</v>
      </c>
      <c r="AI25" s="210">
        <f ca="1">_xlfn.XLOOKUP(_xlfn.CONCAT(SupplyChain_Tier1_Backend[[#This Row],[Level 1]:[Level 6]]),rng_EFConcat,rng_EF3WTT)*SupplyChain_Tier1_Backend[[#This Row],[Converted data]]/1000</f>
        <v>0</v>
      </c>
      <c r="AJ25" s="210">
        <f ca="1">_xlfn.XLOOKUP(_xlfn.CONCAT(SupplyChain_Tier1_Backend[[#This Row],[Level 1]:[Level 6]]),rng_EFConcat,rng_EF3TD)*SupplyChain_Tier1_Backend[[#This Row],[Converted data]]/1000</f>
        <v>0</v>
      </c>
      <c r="AK25" s="210">
        <f ca="1">_xlfn.XLOOKUP(_xlfn.CONCAT(SupplyChain_Tier1_Backend[[#This Row],[Level 1]:[Level 6]]),rng_EFConcat,rng_EF3WTTTD)*SupplyChain_Tier1_Backend[[#This Row],[Converted data]]/1000</f>
        <v>0</v>
      </c>
      <c r="AL25" s="220" t="str">
        <f>IF($G25="","", SUM(SupplyChain_Tier1_Backend[[#This Row],[Scope 1 (tCO2e)]:[Scope 3 WTT T&amp;D (tCO2e)]]))</f>
        <v/>
      </c>
      <c r="AM25" s="220" t="str">
        <f>IF($G25="","", SupplyChain_Tier1_Backend[[#This Row],[Total (tCO2e)]]*(1-SupplyChain_Tier1_Backend[[#This Row],[RSD]]))</f>
        <v/>
      </c>
      <c r="AN25" s="220" t="str">
        <f>IF($G25="","", SupplyChain_Tier1_Backend[[#This Row],[Total (tCO2e)]]*(1+SupplyChain_Tier1_Backend[[#This Row],[RSD]]))</f>
        <v/>
      </c>
      <c r="AO25" s="210">
        <f ca="1">_xlfn.XLOOKUP(_xlfn.CONCAT(SupplyChain_Tier1_Backend[[#This Row],[Level 1]:[Level 6]]),rng_EFConcat,rng_EFOOS)*SupplyChain_Tier1_Backend[[#This Row],[Converted data]]/1000</f>
        <v>0</v>
      </c>
      <c r="AP25" s="174">
        <f>SupplyChain_Tier1_Frontend[[#This Row],[Ease of collection]]</f>
        <v>0</v>
      </c>
      <c r="AQ25" s="213">
        <f>SupplyChain_Tier1_Frontend[[#This Row],[Completeness]]</f>
        <v>0</v>
      </c>
      <c r="AR25" s="213">
        <f>SupplyChain_Tier1_Frontend[[#This Row],[Notes]]</f>
        <v>0</v>
      </c>
    </row>
    <row r="26" spans="2:44" ht="14.5" x14ac:dyDescent="0.35">
      <c r="B26" s="169"/>
      <c r="E26" s="236" t="s">
        <v>226</v>
      </c>
      <c r="F26" s="178" t="s">
        <v>1748</v>
      </c>
      <c r="G26" s="334"/>
      <c r="H26" s="172" t="s">
        <v>383</v>
      </c>
      <c r="I26" s="172" t="s">
        <v>384</v>
      </c>
      <c r="J26" s="336"/>
      <c r="K26" s="336"/>
      <c r="L26" s="337"/>
      <c r="M26" s="242">
        <f t="shared" si="1"/>
        <v>0</v>
      </c>
      <c r="N26"/>
      <c r="O26"/>
      <c r="Q26" s="211" t="str">
        <f t="shared" si="0"/>
        <v/>
      </c>
      <c r="R26" s="174" t="s">
        <v>267</v>
      </c>
      <c r="S26" s="174" t="s">
        <v>385</v>
      </c>
      <c r="T26" s="174" t="str" cm="1">
        <f t="array" aca="1" ref="T26" ca="1">_xlfn.XLOOKUP(SupplyChain_Tier1_Backend[[#This Row],[Level 2]],rng_Level2Long,rng_Level3Long)</f>
        <v>Supply chain</v>
      </c>
      <c r="U26" s="174" t="str">
        <f>SupplyChain_Tier1_Frontend[[#This Row],[Category]]</f>
        <v>Manufacturing</v>
      </c>
      <c r="V26" s="174" t="str">
        <f>SupplyChain_Tier1_Frontend[[#This Row],[Product Category]]</f>
        <v>Bakery and farinaceous products</v>
      </c>
      <c r="W26" s="174" t="str" cm="1">
        <f t="array" aca="1" ref="W26" ca="1">_xlfn.XLOOKUP(SupplyChain_Tier1_Backend[[#This Row],[Level 5]],rng_Level5Long,rng_Level6Long)</f>
        <v>NaN</v>
      </c>
      <c r="X26" s="174" t="str">
        <f>SupplyChain_Tier1_Frontend[[#This Row],[Data type]]</f>
        <v>Spend-based EF</v>
      </c>
      <c r="Y26" s="174" t="s">
        <v>339</v>
      </c>
      <c r="Z26" s="174" t="s">
        <v>198</v>
      </c>
      <c r="AA26" s="229" cm="1">
        <f t="array" aca="1" ref="AA26" ca="1">INDEX(_xlfn.SWITCH(SupplyChain_Tier1_Backend[[#This Row],[Methodology]],"Tier 1",rng_RSD1,"Tier 2",rng_RSD2,"Tier 3",rng_RSD3),MATCH(_xlfn.CONCAT(SupplyChain_Tier1_Backend[[#This Row],[Level 1]:[Level 6]]),rng_LevelsConcat,0))</f>
        <v>0.25</v>
      </c>
      <c r="AB26" s="220">
        <f>SupplyChain_Tier1_Frontend[[#This Row],[Data]]</f>
        <v>0</v>
      </c>
      <c r="AC26" s="220" t="str">
        <f>SupplyChain_Tier1_Frontend[[#This Row],[Units]]</f>
        <v>£</v>
      </c>
      <c r="AD2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6" s="174" t="str">
        <f>SupplyChain_Tier1_Frontend[[#This Row],[Units]]</f>
        <v>£</v>
      </c>
      <c r="AF26" s="210">
        <f ca="1">_xlfn.XLOOKUP(_xlfn.CONCAT(SupplyChain_Tier1_Backend[[#This Row],[Level 1]:[Level 6]]),rng_EFConcat,rng_EF1)*SupplyChain_Tier1_Backend[[#This Row],[Converted data]]/1000</f>
        <v>0</v>
      </c>
      <c r="AG26" s="210">
        <f ca="1">_xlfn.XLOOKUP(_xlfn.CONCAT(SupplyChain_Tier1_Backend[[#This Row],[Level 1]:[Level 6]]),rng_EFConcat,rng_EF2)*SupplyChain_Tier1_Backend[[#This Row],[Converted data]]/1000</f>
        <v>0</v>
      </c>
      <c r="AH26" s="210">
        <f ca="1">_xlfn.XLOOKUP(_xlfn.CONCAT(SupplyChain_Tier1_Backend[[#This Row],[Level 1]:[Level 6]]),rng_EFConcat,rng_EF3)*SupplyChain_Tier1_Backend[[#This Row],[Converted data]]/1000</f>
        <v>0</v>
      </c>
      <c r="AI26" s="210">
        <f ca="1">_xlfn.XLOOKUP(_xlfn.CONCAT(SupplyChain_Tier1_Backend[[#This Row],[Level 1]:[Level 6]]),rng_EFConcat,rng_EF3WTT)*SupplyChain_Tier1_Backend[[#This Row],[Converted data]]/1000</f>
        <v>0</v>
      </c>
      <c r="AJ26" s="210">
        <f ca="1">_xlfn.XLOOKUP(_xlfn.CONCAT(SupplyChain_Tier1_Backend[[#This Row],[Level 1]:[Level 6]]),rng_EFConcat,rng_EF3TD)*SupplyChain_Tier1_Backend[[#This Row],[Converted data]]/1000</f>
        <v>0</v>
      </c>
      <c r="AK26" s="210">
        <f ca="1">_xlfn.XLOOKUP(_xlfn.CONCAT(SupplyChain_Tier1_Backend[[#This Row],[Level 1]:[Level 6]]),rng_EFConcat,rng_EF3WTTTD)*SupplyChain_Tier1_Backend[[#This Row],[Converted data]]/1000</f>
        <v>0</v>
      </c>
      <c r="AL26" s="220" t="str">
        <f>IF($G26="","", SUM(SupplyChain_Tier1_Backend[[#This Row],[Scope 1 (tCO2e)]:[Scope 3 WTT T&amp;D (tCO2e)]]))</f>
        <v/>
      </c>
      <c r="AM26" s="220" t="str">
        <f>IF($G26="","", SupplyChain_Tier1_Backend[[#This Row],[Total (tCO2e)]]*(1-SupplyChain_Tier1_Backend[[#This Row],[RSD]]))</f>
        <v/>
      </c>
      <c r="AN26" s="220" t="str">
        <f>IF($G26="","", SupplyChain_Tier1_Backend[[#This Row],[Total (tCO2e)]]*(1+SupplyChain_Tier1_Backend[[#This Row],[RSD]]))</f>
        <v/>
      </c>
      <c r="AO26" s="210">
        <f ca="1">_xlfn.XLOOKUP(_xlfn.CONCAT(SupplyChain_Tier1_Backend[[#This Row],[Level 1]:[Level 6]]),rng_EFConcat,rng_EFOOS)*SupplyChain_Tier1_Backend[[#This Row],[Converted data]]/1000</f>
        <v>0</v>
      </c>
      <c r="AP26" s="174">
        <f>SupplyChain_Tier1_Frontend[[#This Row],[Ease of collection]]</f>
        <v>0</v>
      </c>
      <c r="AQ26" s="213">
        <f>SupplyChain_Tier1_Frontend[[#This Row],[Completeness]]</f>
        <v>0</v>
      </c>
      <c r="AR26" s="213">
        <f>SupplyChain_Tier1_Frontend[[#This Row],[Notes]]</f>
        <v>0</v>
      </c>
    </row>
    <row r="27" spans="2:44" ht="14.5" x14ac:dyDescent="0.35">
      <c r="B27" s="169"/>
      <c r="E27" s="236" t="s">
        <v>226</v>
      </c>
      <c r="F27" s="178" t="s">
        <v>1749</v>
      </c>
      <c r="G27" s="334"/>
      <c r="H27" s="172" t="s">
        <v>383</v>
      </c>
      <c r="I27" s="172" t="s">
        <v>384</v>
      </c>
      <c r="J27" s="336"/>
      <c r="K27" s="336"/>
      <c r="L27" s="337"/>
      <c r="M27" s="242">
        <f t="shared" si="1"/>
        <v>0</v>
      </c>
      <c r="N27"/>
      <c r="O27"/>
      <c r="Q27" s="211" t="str">
        <f t="shared" si="0"/>
        <v/>
      </c>
      <c r="R27" s="174" t="s">
        <v>267</v>
      </c>
      <c r="S27" s="174" t="s">
        <v>385</v>
      </c>
      <c r="T27" s="174" t="str" cm="1">
        <f t="array" aca="1" ref="T27" ca="1">_xlfn.XLOOKUP(SupplyChain_Tier1_Backend[[#This Row],[Level 2]],rng_Level2Long,rng_Level3Long)</f>
        <v>Supply chain</v>
      </c>
      <c r="U27" s="174" t="str">
        <f>SupplyChain_Tier1_Frontend[[#This Row],[Category]]</f>
        <v>Manufacturing</v>
      </c>
      <c r="V27" s="174" t="str">
        <f>SupplyChain_Tier1_Frontend[[#This Row],[Product Category]]</f>
        <v>Other food products</v>
      </c>
      <c r="W27" s="174" t="str" cm="1">
        <f t="array" aca="1" ref="W27" ca="1">_xlfn.XLOOKUP(SupplyChain_Tier1_Backend[[#This Row],[Level 5]],rng_Level5Long,rng_Level6Long)</f>
        <v>NaN</v>
      </c>
      <c r="X27" s="174" t="str">
        <f>SupplyChain_Tier1_Frontend[[#This Row],[Data type]]</f>
        <v>Spend-based EF</v>
      </c>
      <c r="Y27" s="174" t="s">
        <v>339</v>
      </c>
      <c r="Z27" s="174" t="s">
        <v>198</v>
      </c>
      <c r="AA27" s="229" cm="1">
        <f t="array" aca="1" ref="AA27" ca="1">INDEX(_xlfn.SWITCH(SupplyChain_Tier1_Backend[[#This Row],[Methodology]],"Tier 1",rng_RSD1,"Tier 2",rng_RSD2,"Tier 3",rng_RSD3),MATCH(_xlfn.CONCAT(SupplyChain_Tier1_Backend[[#This Row],[Level 1]:[Level 6]]),rng_LevelsConcat,0))</f>
        <v>0.25</v>
      </c>
      <c r="AB27" s="220">
        <f>SupplyChain_Tier1_Frontend[[#This Row],[Data]]</f>
        <v>0</v>
      </c>
      <c r="AC27" s="220" t="str">
        <f>SupplyChain_Tier1_Frontend[[#This Row],[Units]]</f>
        <v>£</v>
      </c>
      <c r="AD2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7" s="174" t="str">
        <f>SupplyChain_Tier1_Frontend[[#This Row],[Units]]</f>
        <v>£</v>
      </c>
      <c r="AF27" s="210">
        <f ca="1">_xlfn.XLOOKUP(_xlfn.CONCAT(SupplyChain_Tier1_Backend[[#This Row],[Level 1]:[Level 6]]),rng_EFConcat,rng_EF1)*SupplyChain_Tier1_Backend[[#This Row],[Converted data]]/1000</f>
        <v>0</v>
      </c>
      <c r="AG27" s="210">
        <f ca="1">_xlfn.XLOOKUP(_xlfn.CONCAT(SupplyChain_Tier1_Backend[[#This Row],[Level 1]:[Level 6]]),rng_EFConcat,rng_EF2)*SupplyChain_Tier1_Backend[[#This Row],[Converted data]]/1000</f>
        <v>0</v>
      </c>
      <c r="AH27" s="210">
        <f ca="1">_xlfn.XLOOKUP(_xlfn.CONCAT(SupplyChain_Tier1_Backend[[#This Row],[Level 1]:[Level 6]]),rng_EFConcat,rng_EF3)*SupplyChain_Tier1_Backend[[#This Row],[Converted data]]/1000</f>
        <v>0</v>
      </c>
      <c r="AI27" s="210">
        <f ca="1">_xlfn.XLOOKUP(_xlfn.CONCAT(SupplyChain_Tier1_Backend[[#This Row],[Level 1]:[Level 6]]),rng_EFConcat,rng_EF3WTT)*SupplyChain_Tier1_Backend[[#This Row],[Converted data]]/1000</f>
        <v>0</v>
      </c>
      <c r="AJ27" s="210">
        <f ca="1">_xlfn.XLOOKUP(_xlfn.CONCAT(SupplyChain_Tier1_Backend[[#This Row],[Level 1]:[Level 6]]),rng_EFConcat,rng_EF3TD)*SupplyChain_Tier1_Backend[[#This Row],[Converted data]]/1000</f>
        <v>0</v>
      </c>
      <c r="AK27" s="210">
        <f ca="1">_xlfn.XLOOKUP(_xlfn.CONCAT(SupplyChain_Tier1_Backend[[#This Row],[Level 1]:[Level 6]]),rng_EFConcat,rng_EF3WTTTD)*SupplyChain_Tier1_Backend[[#This Row],[Converted data]]/1000</f>
        <v>0</v>
      </c>
      <c r="AL27" s="220" t="str">
        <f>IF($G27="","", SUM(SupplyChain_Tier1_Backend[[#This Row],[Scope 1 (tCO2e)]:[Scope 3 WTT T&amp;D (tCO2e)]]))</f>
        <v/>
      </c>
      <c r="AM27" s="220" t="str">
        <f>IF($G27="","", SupplyChain_Tier1_Backend[[#This Row],[Total (tCO2e)]]*(1-SupplyChain_Tier1_Backend[[#This Row],[RSD]]))</f>
        <v/>
      </c>
      <c r="AN27" s="220" t="str">
        <f>IF($G27="","", SupplyChain_Tier1_Backend[[#This Row],[Total (tCO2e)]]*(1+SupplyChain_Tier1_Backend[[#This Row],[RSD]]))</f>
        <v/>
      </c>
      <c r="AO27" s="210">
        <f ca="1">_xlfn.XLOOKUP(_xlfn.CONCAT(SupplyChain_Tier1_Backend[[#This Row],[Level 1]:[Level 6]]),rng_EFConcat,rng_EFOOS)*SupplyChain_Tier1_Backend[[#This Row],[Converted data]]/1000</f>
        <v>0</v>
      </c>
      <c r="AP27" s="174">
        <f>SupplyChain_Tier1_Frontend[[#This Row],[Ease of collection]]</f>
        <v>0</v>
      </c>
      <c r="AQ27" s="213">
        <f>SupplyChain_Tier1_Frontend[[#This Row],[Completeness]]</f>
        <v>0</v>
      </c>
      <c r="AR27" s="213">
        <f>SupplyChain_Tier1_Frontend[[#This Row],[Notes]]</f>
        <v>0</v>
      </c>
    </row>
    <row r="28" spans="2:44" ht="14.5" x14ac:dyDescent="0.35">
      <c r="B28" s="169"/>
      <c r="E28" s="236" t="s">
        <v>226</v>
      </c>
      <c r="F28" s="178" t="s">
        <v>1750</v>
      </c>
      <c r="G28" s="334"/>
      <c r="H28" s="172" t="s">
        <v>383</v>
      </c>
      <c r="I28" s="172" t="s">
        <v>384</v>
      </c>
      <c r="J28" s="336"/>
      <c r="K28" s="336"/>
      <c r="L28" s="337"/>
      <c r="M28" s="242">
        <f t="shared" si="1"/>
        <v>0</v>
      </c>
      <c r="N28"/>
      <c r="O28"/>
      <c r="Q28" s="211" t="str">
        <f t="shared" si="0"/>
        <v/>
      </c>
      <c r="R28" s="174" t="s">
        <v>267</v>
      </c>
      <c r="S28" s="174" t="s">
        <v>385</v>
      </c>
      <c r="T28" s="174" t="str" cm="1">
        <f t="array" aca="1" ref="T28" ca="1">_xlfn.XLOOKUP(SupplyChain_Tier1_Backend[[#This Row],[Level 2]],rng_Level2Long,rng_Level3Long)</f>
        <v>Supply chain</v>
      </c>
      <c r="U28" s="174" t="str">
        <f>SupplyChain_Tier1_Frontend[[#This Row],[Category]]</f>
        <v>Manufacturing</v>
      </c>
      <c r="V28" s="174" t="str">
        <f>SupplyChain_Tier1_Frontend[[#This Row],[Product Category]]</f>
        <v>Prepared animal feeds</v>
      </c>
      <c r="W28" s="174" t="str" cm="1">
        <f t="array" aca="1" ref="W28" ca="1">_xlfn.XLOOKUP(SupplyChain_Tier1_Backend[[#This Row],[Level 5]],rng_Level5Long,rng_Level6Long)</f>
        <v>NaN</v>
      </c>
      <c r="X28" s="174" t="str">
        <f>SupplyChain_Tier1_Frontend[[#This Row],[Data type]]</f>
        <v>Spend-based EF</v>
      </c>
      <c r="Y28" s="174" t="s">
        <v>339</v>
      </c>
      <c r="Z28" s="174" t="s">
        <v>198</v>
      </c>
      <c r="AA28" s="229" cm="1">
        <f t="array" aca="1" ref="AA28" ca="1">INDEX(_xlfn.SWITCH(SupplyChain_Tier1_Backend[[#This Row],[Methodology]],"Tier 1",rng_RSD1,"Tier 2",rng_RSD2,"Tier 3",rng_RSD3),MATCH(_xlfn.CONCAT(SupplyChain_Tier1_Backend[[#This Row],[Level 1]:[Level 6]]),rng_LevelsConcat,0))</f>
        <v>0.25</v>
      </c>
      <c r="AB28" s="220">
        <f>SupplyChain_Tier1_Frontend[[#This Row],[Data]]</f>
        <v>0</v>
      </c>
      <c r="AC28" s="220" t="str">
        <f>SupplyChain_Tier1_Frontend[[#This Row],[Units]]</f>
        <v>£</v>
      </c>
      <c r="AD2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8" s="174" t="str">
        <f>SupplyChain_Tier1_Frontend[[#This Row],[Units]]</f>
        <v>£</v>
      </c>
      <c r="AF28" s="210">
        <f ca="1">_xlfn.XLOOKUP(_xlfn.CONCAT(SupplyChain_Tier1_Backend[[#This Row],[Level 1]:[Level 6]]),rng_EFConcat,rng_EF1)*SupplyChain_Tier1_Backend[[#This Row],[Converted data]]/1000</f>
        <v>0</v>
      </c>
      <c r="AG28" s="210">
        <f ca="1">_xlfn.XLOOKUP(_xlfn.CONCAT(SupplyChain_Tier1_Backend[[#This Row],[Level 1]:[Level 6]]),rng_EFConcat,rng_EF2)*SupplyChain_Tier1_Backend[[#This Row],[Converted data]]/1000</f>
        <v>0</v>
      </c>
      <c r="AH28" s="210">
        <f ca="1">_xlfn.XLOOKUP(_xlfn.CONCAT(SupplyChain_Tier1_Backend[[#This Row],[Level 1]:[Level 6]]),rng_EFConcat,rng_EF3)*SupplyChain_Tier1_Backend[[#This Row],[Converted data]]/1000</f>
        <v>0</v>
      </c>
      <c r="AI28" s="210">
        <f ca="1">_xlfn.XLOOKUP(_xlfn.CONCAT(SupplyChain_Tier1_Backend[[#This Row],[Level 1]:[Level 6]]),rng_EFConcat,rng_EF3WTT)*SupplyChain_Tier1_Backend[[#This Row],[Converted data]]/1000</f>
        <v>0</v>
      </c>
      <c r="AJ28" s="210">
        <f ca="1">_xlfn.XLOOKUP(_xlfn.CONCAT(SupplyChain_Tier1_Backend[[#This Row],[Level 1]:[Level 6]]),rng_EFConcat,rng_EF3TD)*SupplyChain_Tier1_Backend[[#This Row],[Converted data]]/1000</f>
        <v>0</v>
      </c>
      <c r="AK28" s="210">
        <f ca="1">_xlfn.XLOOKUP(_xlfn.CONCAT(SupplyChain_Tier1_Backend[[#This Row],[Level 1]:[Level 6]]),rng_EFConcat,rng_EF3WTTTD)*SupplyChain_Tier1_Backend[[#This Row],[Converted data]]/1000</f>
        <v>0</v>
      </c>
      <c r="AL28" s="220" t="str">
        <f>IF($G28="","", SUM(SupplyChain_Tier1_Backend[[#This Row],[Scope 1 (tCO2e)]:[Scope 3 WTT T&amp;D (tCO2e)]]))</f>
        <v/>
      </c>
      <c r="AM28" s="220" t="str">
        <f>IF($G28="","", SupplyChain_Tier1_Backend[[#This Row],[Total (tCO2e)]]*(1-SupplyChain_Tier1_Backend[[#This Row],[RSD]]))</f>
        <v/>
      </c>
      <c r="AN28" s="220" t="str">
        <f>IF($G28="","", SupplyChain_Tier1_Backend[[#This Row],[Total (tCO2e)]]*(1+SupplyChain_Tier1_Backend[[#This Row],[RSD]]))</f>
        <v/>
      </c>
      <c r="AO28" s="210">
        <f ca="1">_xlfn.XLOOKUP(_xlfn.CONCAT(SupplyChain_Tier1_Backend[[#This Row],[Level 1]:[Level 6]]),rng_EFConcat,rng_EFOOS)*SupplyChain_Tier1_Backend[[#This Row],[Converted data]]/1000</f>
        <v>0</v>
      </c>
      <c r="AP28" s="174">
        <f>SupplyChain_Tier1_Frontend[[#This Row],[Ease of collection]]</f>
        <v>0</v>
      </c>
      <c r="AQ28" s="213">
        <f>SupplyChain_Tier1_Frontend[[#This Row],[Completeness]]</f>
        <v>0</v>
      </c>
      <c r="AR28" s="213">
        <f>SupplyChain_Tier1_Frontend[[#This Row],[Notes]]</f>
        <v>0</v>
      </c>
    </row>
    <row r="29" spans="2:44" ht="14.5" x14ac:dyDescent="0.35">
      <c r="B29" s="169"/>
      <c r="E29" s="236" t="s">
        <v>226</v>
      </c>
      <c r="F29" s="178" t="s">
        <v>1751</v>
      </c>
      <c r="G29" s="334"/>
      <c r="H29" s="172" t="s">
        <v>383</v>
      </c>
      <c r="I29" s="172" t="s">
        <v>384</v>
      </c>
      <c r="J29" s="336"/>
      <c r="K29" s="336"/>
      <c r="L29" s="337"/>
      <c r="M29" s="242">
        <f t="shared" si="1"/>
        <v>0</v>
      </c>
      <c r="N29"/>
      <c r="O29"/>
      <c r="Q29" s="211" t="str">
        <f t="shared" si="0"/>
        <v/>
      </c>
      <c r="R29" s="174" t="s">
        <v>267</v>
      </c>
      <c r="S29" s="174" t="s">
        <v>385</v>
      </c>
      <c r="T29" s="174" t="str" cm="1">
        <f t="array" aca="1" ref="T29" ca="1">_xlfn.XLOOKUP(SupplyChain_Tier1_Backend[[#This Row],[Level 2]],rng_Level2Long,rng_Level3Long)</f>
        <v>Supply chain</v>
      </c>
      <c r="U29" s="174" t="str">
        <f>SupplyChain_Tier1_Frontend[[#This Row],[Category]]</f>
        <v>Manufacturing</v>
      </c>
      <c r="V29" s="174" t="str">
        <f>SupplyChain_Tier1_Frontend[[#This Row],[Product Category]]</f>
        <v>Alcoholic beverages</v>
      </c>
      <c r="W29" s="174" t="str" cm="1">
        <f t="array" aca="1" ref="W29" ca="1">_xlfn.XLOOKUP(SupplyChain_Tier1_Backend[[#This Row],[Level 5]],rng_Level5Long,rng_Level6Long)</f>
        <v>NaN</v>
      </c>
      <c r="X29" s="174" t="str">
        <f>SupplyChain_Tier1_Frontend[[#This Row],[Data type]]</f>
        <v>Spend-based EF</v>
      </c>
      <c r="Y29" s="174" t="s">
        <v>339</v>
      </c>
      <c r="Z29" s="174" t="s">
        <v>198</v>
      </c>
      <c r="AA29" s="229" cm="1">
        <f t="array" aca="1" ref="AA29" ca="1">INDEX(_xlfn.SWITCH(SupplyChain_Tier1_Backend[[#This Row],[Methodology]],"Tier 1",rng_RSD1,"Tier 2",rng_RSD2,"Tier 3",rng_RSD3),MATCH(_xlfn.CONCAT(SupplyChain_Tier1_Backend[[#This Row],[Level 1]:[Level 6]]),rng_LevelsConcat,0))</f>
        <v>0.25</v>
      </c>
      <c r="AB29" s="220">
        <f>SupplyChain_Tier1_Frontend[[#This Row],[Data]]</f>
        <v>0</v>
      </c>
      <c r="AC29" s="220" t="str">
        <f>SupplyChain_Tier1_Frontend[[#This Row],[Units]]</f>
        <v>£</v>
      </c>
      <c r="AD2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29" s="174" t="str">
        <f>SupplyChain_Tier1_Frontend[[#This Row],[Units]]</f>
        <v>£</v>
      </c>
      <c r="AF29" s="210">
        <f ca="1">_xlfn.XLOOKUP(_xlfn.CONCAT(SupplyChain_Tier1_Backend[[#This Row],[Level 1]:[Level 6]]),rng_EFConcat,rng_EF1)*SupplyChain_Tier1_Backend[[#This Row],[Converted data]]/1000</f>
        <v>0</v>
      </c>
      <c r="AG29" s="210">
        <f ca="1">_xlfn.XLOOKUP(_xlfn.CONCAT(SupplyChain_Tier1_Backend[[#This Row],[Level 1]:[Level 6]]),rng_EFConcat,rng_EF2)*SupplyChain_Tier1_Backend[[#This Row],[Converted data]]/1000</f>
        <v>0</v>
      </c>
      <c r="AH29" s="210">
        <f ca="1">_xlfn.XLOOKUP(_xlfn.CONCAT(SupplyChain_Tier1_Backend[[#This Row],[Level 1]:[Level 6]]),rng_EFConcat,rng_EF3)*SupplyChain_Tier1_Backend[[#This Row],[Converted data]]/1000</f>
        <v>0</v>
      </c>
      <c r="AI29" s="210">
        <f ca="1">_xlfn.XLOOKUP(_xlfn.CONCAT(SupplyChain_Tier1_Backend[[#This Row],[Level 1]:[Level 6]]),rng_EFConcat,rng_EF3WTT)*SupplyChain_Tier1_Backend[[#This Row],[Converted data]]/1000</f>
        <v>0</v>
      </c>
      <c r="AJ29" s="210">
        <f ca="1">_xlfn.XLOOKUP(_xlfn.CONCAT(SupplyChain_Tier1_Backend[[#This Row],[Level 1]:[Level 6]]),rng_EFConcat,rng_EF3TD)*SupplyChain_Tier1_Backend[[#This Row],[Converted data]]/1000</f>
        <v>0</v>
      </c>
      <c r="AK29" s="210">
        <f ca="1">_xlfn.XLOOKUP(_xlfn.CONCAT(SupplyChain_Tier1_Backend[[#This Row],[Level 1]:[Level 6]]),rng_EFConcat,rng_EF3WTTTD)*SupplyChain_Tier1_Backend[[#This Row],[Converted data]]/1000</f>
        <v>0</v>
      </c>
      <c r="AL29" s="220" t="str">
        <f>IF($G29="","", SUM(SupplyChain_Tier1_Backend[[#This Row],[Scope 1 (tCO2e)]:[Scope 3 WTT T&amp;D (tCO2e)]]))</f>
        <v/>
      </c>
      <c r="AM29" s="220" t="str">
        <f>IF($G29="","", SupplyChain_Tier1_Backend[[#This Row],[Total (tCO2e)]]*(1-SupplyChain_Tier1_Backend[[#This Row],[RSD]]))</f>
        <v/>
      </c>
      <c r="AN29" s="220" t="str">
        <f>IF($G29="","", SupplyChain_Tier1_Backend[[#This Row],[Total (tCO2e)]]*(1+SupplyChain_Tier1_Backend[[#This Row],[RSD]]))</f>
        <v/>
      </c>
      <c r="AO29" s="210">
        <f ca="1">_xlfn.XLOOKUP(_xlfn.CONCAT(SupplyChain_Tier1_Backend[[#This Row],[Level 1]:[Level 6]]),rng_EFConcat,rng_EFOOS)*SupplyChain_Tier1_Backend[[#This Row],[Converted data]]/1000</f>
        <v>0</v>
      </c>
      <c r="AP29" s="174">
        <f>SupplyChain_Tier1_Frontend[[#This Row],[Ease of collection]]</f>
        <v>0</v>
      </c>
      <c r="AQ29" s="213">
        <f>SupplyChain_Tier1_Frontend[[#This Row],[Completeness]]</f>
        <v>0</v>
      </c>
      <c r="AR29" s="213">
        <f>SupplyChain_Tier1_Frontend[[#This Row],[Notes]]</f>
        <v>0</v>
      </c>
    </row>
    <row r="30" spans="2:44" ht="14.5" x14ac:dyDescent="0.35">
      <c r="B30" s="169"/>
      <c r="E30" s="236" t="s">
        <v>226</v>
      </c>
      <c r="F30" s="178" t="s">
        <v>1752</v>
      </c>
      <c r="G30" s="334"/>
      <c r="H30" s="172" t="s">
        <v>383</v>
      </c>
      <c r="I30" s="172" t="s">
        <v>384</v>
      </c>
      <c r="J30" s="336"/>
      <c r="K30" s="336"/>
      <c r="L30" s="337"/>
      <c r="M30" s="242">
        <f t="shared" si="1"/>
        <v>0</v>
      </c>
      <c r="N30"/>
      <c r="O30"/>
      <c r="Q30" s="211" t="str">
        <f t="shared" si="0"/>
        <v/>
      </c>
      <c r="R30" s="174" t="s">
        <v>267</v>
      </c>
      <c r="S30" s="174" t="s">
        <v>385</v>
      </c>
      <c r="T30" s="174" t="str" cm="1">
        <f t="array" aca="1" ref="T30" ca="1">_xlfn.XLOOKUP(SupplyChain_Tier1_Backend[[#This Row],[Level 2]],rng_Level2Long,rng_Level3Long)</f>
        <v>Supply chain</v>
      </c>
      <c r="U30" s="174" t="str">
        <f>SupplyChain_Tier1_Frontend[[#This Row],[Category]]</f>
        <v>Manufacturing</v>
      </c>
      <c r="V30" s="174" t="str">
        <f>SupplyChain_Tier1_Frontend[[#This Row],[Product Category]]</f>
        <v>Soft drinks</v>
      </c>
      <c r="W30" s="174" t="str" cm="1">
        <f t="array" aca="1" ref="W30" ca="1">_xlfn.XLOOKUP(SupplyChain_Tier1_Backend[[#This Row],[Level 5]],rng_Level5Long,rng_Level6Long)</f>
        <v>NaN</v>
      </c>
      <c r="X30" s="174" t="str">
        <f>SupplyChain_Tier1_Frontend[[#This Row],[Data type]]</f>
        <v>Spend-based EF</v>
      </c>
      <c r="Y30" s="174" t="s">
        <v>339</v>
      </c>
      <c r="Z30" s="174" t="s">
        <v>198</v>
      </c>
      <c r="AA30" s="229" cm="1">
        <f t="array" aca="1" ref="AA30" ca="1">INDEX(_xlfn.SWITCH(SupplyChain_Tier1_Backend[[#This Row],[Methodology]],"Tier 1",rng_RSD1,"Tier 2",rng_RSD2,"Tier 3",rng_RSD3),MATCH(_xlfn.CONCAT(SupplyChain_Tier1_Backend[[#This Row],[Level 1]:[Level 6]]),rng_LevelsConcat,0))</f>
        <v>0.25</v>
      </c>
      <c r="AB30" s="220">
        <f>SupplyChain_Tier1_Frontend[[#This Row],[Data]]</f>
        <v>0</v>
      </c>
      <c r="AC30" s="220" t="str">
        <f>SupplyChain_Tier1_Frontend[[#This Row],[Units]]</f>
        <v>£</v>
      </c>
      <c r="AD3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0" s="174" t="str">
        <f>SupplyChain_Tier1_Frontend[[#This Row],[Units]]</f>
        <v>£</v>
      </c>
      <c r="AF30" s="210">
        <f ca="1">_xlfn.XLOOKUP(_xlfn.CONCAT(SupplyChain_Tier1_Backend[[#This Row],[Level 1]:[Level 6]]),rng_EFConcat,rng_EF1)*SupplyChain_Tier1_Backend[[#This Row],[Converted data]]/1000</f>
        <v>0</v>
      </c>
      <c r="AG30" s="210">
        <f ca="1">_xlfn.XLOOKUP(_xlfn.CONCAT(SupplyChain_Tier1_Backend[[#This Row],[Level 1]:[Level 6]]),rng_EFConcat,rng_EF2)*SupplyChain_Tier1_Backend[[#This Row],[Converted data]]/1000</f>
        <v>0</v>
      </c>
      <c r="AH30" s="210">
        <f ca="1">_xlfn.XLOOKUP(_xlfn.CONCAT(SupplyChain_Tier1_Backend[[#This Row],[Level 1]:[Level 6]]),rng_EFConcat,rng_EF3)*SupplyChain_Tier1_Backend[[#This Row],[Converted data]]/1000</f>
        <v>0</v>
      </c>
      <c r="AI30" s="210">
        <f ca="1">_xlfn.XLOOKUP(_xlfn.CONCAT(SupplyChain_Tier1_Backend[[#This Row],[Level 1]:[Level 6]]),rng_EFConcat,rng_EF3WTT)*SupplyChain_Tier1_Backend[[#This Row],[Converted data]]/1000</f>
        <v>0</v>
      </c>
      <c r="AJ30" s="210">
        <f ca="1">_xlfn.XLOOKUP(_xlfn.CONCAT(SupplyChain_Tier1_Backend[[#This Row],[Level 1]:[Level 6]]),rng_EFConcat,rng_EF3TD)*SupplyChain_Tier1_Backend[[#This Row],[Converted data]]/1000</f>
        <v>0</v>
      </c>
      <c r="AK30" s="210">
        <f ca="1">_xlfn.XLOOKUP(_xlfn.CONCAT(SupplyChain_Tier1_Backend[[#This Row],[Level 1]:[Level 6]]),rng_EFConcat,rng_EF3WTTTD)*SupplyChain_Tier1_Backend[[#This Row],[Converted data]]/1000</f>
        <v>0</v>
      </c>
      <c r="AL30" s="220" t="str">
        <f>IF($G30="","", SUM(SupplyChain_Tier1_Backend[[#This Row],[Scope 1 (tCO2e)]:[Scope 3 WTT T&amp;D (tCO2e)]]))</f>
        <v/>
      </c>
      <c r="AM30" s="220" t="str">
        <f>IF($G30="","", SupplyChain_Tier1_Backend[[#This Row],[Total (tCO2e)]]*(1-SupplyChain_Tier1_Backend[[#This Row],[RSD]]))</f>
        <v/>
      </c>
      <c r="AN30" s="220" t="str">
        <f>IF($G30="","", SupplyChain_Tier1_Backend[[#This Row],[Total (tCO2e)]]*(1+SupplyChain_Tier1_Backend[[#This Row],[RSD]]))</f>
        <v/>
      </c>
      <c r="AO30" s="210">
        <f ca="1">_xlfn.XLOOKUP(_xlfn.CONCAT(SupplyChain_Tier1_Backend[[#This Row],[Level 1]:[Level 6]]),rng_EFConcat,rng_EFOOS)*SupplyChain_Tier1_Backend[[#This Row],[Converted data]]/1000</f>
        <v>0</v>
      </c>
      <c r="AP30" s="174">
        <f>SupplyChain_Tier1_Frontend[[#This Row],[Ease of collection]]</f>
        <v>0</v>
      </c>
      <c r="AQ30" s="213">
        <f>SupplyChain_Tier1_Frontend[[#This Row],[Completeness]]</f>
        <v>0</v>
      </c>
      <c r="AR30" s="213">
        <f>SupplyChain_Tier1_Frontend[[#This Row],[Notes]]</f>
        <v>0</v>
      </c>
    </row>
    <row r="31" spans="2:44" ht="14.5" x14ac:dyDescent="0.35">
      <c r="B31" s="169"/>
      <c r="E31" s="236" t="s">
        <v>226</v>
      </c>
      <c r="F31" s="178" t="s">
        <v>1753</v>
      </c>
      <c r="G31" s="334"/>
      <c r="H31" s="172" t="s">
        <v>383</v>
      </c>
      <c r="I31" s="172" t="s">
        <v>384</v>
      </c>
      <c r="J31" s="336"/>
      <c r="K31" s="336"/>
      <c r="L31" s="337"/>
      <c r="M31" s="242">
        <f t="shared" si="1"/>
        <v>0</v>
      </c>
      <c r="N31"/>
      <c r="O31"/>
      <c r="Q31" s="211" t="str">
        <f t="shared" si="0"/>
        <v/>
      </c>
      <c r="R31" s="174" t="s">
        <v>267</v>
      </c>
      <c r="S31" s="174" t="s">
        <v>385</v>
      </c>
      <c r="T31" s="174" t="str" cm="1">
        <f t="array" aca="1" ref="T31" ca="1">_xlfn.XLOOKUP(SupplyChain_Tier1_Backend[[#This Row],[Level 2]],rng_Level2Long,rng_Level3Long)</f>
        <v>Supply chain</v>
      </c>
      <c r="U31" s="174" t="str">
        <f>SupplyChain_Tier1_Frontend[[#This Row],[Category]]</f>
        <v>Manufacturing</v>
      </c>
      <c r="V31" s="174" t="str">
        <f>SupplyChain_Tier1_Frontend[[#This Row],[Product Category]]</f>
        <v>Tobacco products</v>
      </c>
      <c r="W31" s="174" t="str" cm="1">
        <f t="array" aca="1" ref="W31" ca="1">_xlfn.XLOOKUP(SupplyChain_Tier1_Backend[[#This Row],[Level 5]],rng_Level5Long,rng_Level6Long)</f>
        <v>NaN</v>
      </c>
      <c r="X31" s="174" t="str">
        <f>SupplyChain_Tier1_Frontend[[#This Row],[Data type]]</f>
        <v>Spend-based EF</v>
      </c>
      <c r="Y31" s="174" t="s">
        <v>339</v>
      </c>
      <c r="Z31" s="174" t="s">
        <v>198</v>
      </c>
      <c r="AA31" s="229" cm="1">
        <f t="array" aca="1" ref="AA31" ca="1">INDEX(_xlfn.SWITCH(SupplyChain_Tier1_Backend[[#This Row],[Methodology]],"Tier 1",rng_RSD1,"Tier 2",rng_RSD2,"Tier 3",rng_RSD3),MATCH(_xlfn.CONCAT(SupplyChain_Tier1_Backend[[#This Row],[Level 1]:[Level 6]]),rng_LevelsConcat,0))</f>
        <v>0.25</v>
      </c>
      <c r="AB31" s="220">
        <f>SupplyChain_Tier1_Frontend[[#This Row],[Data]]</f>
        <v>0</v>
      </c>
      <c r="AC31" s="220" t="str">
        <f>SupplyChain_Tier1_Frontend[[#This Row],[Units]]</f>
        <v>£</v>
      </c>
      <c r="AD3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1" s="174" t="str">
        <f>SupplyChain_Tier1_Frontend[[#This Row],[Units]]</f>
        <v>£</v>
      </c>
      <c r="AF31" s="210">
        <f ca="1">_xlfn.XLOOKUP(_xlfn.CONCAT(SupplyChain_Tier1_Backend[[#This Row],[Level 1]:[Level 6]]),rng_EFConcat,rng_EF1)*SupplyChain_Tier1_Backend[[#This Row],[Converted data]]/1000</f>
        <v>0</v>
      </c>
      <c r="AG31" s="210">
        <f ca="1">_xlfn.XLOOKUP(_xlfn.CONCAT(SupplyChain_Tier1_Backend[[#This Row],[Level 1]:[Level 6]]),rng_EFConcat,rng_EF2)*SupplyChain_Tier1_Backend[[#This Row],[Converted data]]/1000</f>
        <v>0</v>
      </c>
      <c r="AH31" s="210">
        <f ca="1">_xlfn.XLOOKUP(_xlfn.CONCAT(SupplyChain_Tier1_Backend[[#This Row],[Level 1]:[Level 6]]),rng_EFConcat,rng_EF3)*SupplyChain_Tier1_Backend[[#This Row],[Converted data]]/1000</f>
        <v>0</v>
      </c>
      <c r="AI31" s="210">
        <f ca="1">_xlfn.XLOOKUP(_xlfn.CONCAT(SupplyChain_Tier1_Backend[[#This Row],[Level 1]:[Level 6]]),rng_EFConcat,rng_EF3WTT)*SupplyChain_Tier1_Backend[[#This Row],[Converted data]]/1000</f>
        <v>0</v>
      </c>
      <c r="AJ31" s="210">
        <f ca="1">_xlfn.XLOOKUP(_xlfn.CONCAT(SupplyChain_Tier1_Backend[[#This Row],[Level 1]:[Level 6]]),rng_EFConcat,rng_EF3TD)*SupplyChain_Tier1_Backend[[#This Row],[Converted data]]/1000</f>
        <v>0</v>
      </c>
      <c r="AK31" s="210">
        <f ca="1">_xlfn.XLOOKUP(_xlfn.CONCAT(SupplyChain_Tier1_Backend[[#This Row],[Level 1]:[Level 6]]),rng_EFConcat,rng_EF3WTTTD)*SupplyChain_Tier1_Backend[[#This Row],[Converted data]]/1000</f>
        <v>0</v>
      </c>
      <c r="AL31" s="220" t="str">
        <f>IF($G31="","", SUM(SupplyChain_Tier1_Backend[[#This Row],[Scope 1 (tCO2e)]:[Scope 3 WTT T&amp;D (tCO2e)]]))</f>
        <v/>
      </c>
      <c r="AM31" s="220" t="str">
        <f>IF($G31="","", SupplyChain_Tier1_Backend[[#This Row],[Total (tCO2e)]]*(1-SupplyChain_Tier1_Backend[[#This Row],[RSD]]))</f>
        <v/>
      </c>
      <c r="AN31" s="220" t="str">
        <f>IF($G31="","", SupplyChain_Tier1_Backend[[#This Row],[Total (tCO2e)]]*(1+SupplyChain_Tier1_Backend[[#This Row],[RSD]]))</f>
        <v/>
      </c>
      <c r="AO31" s="210">
        <f ca="1">_xlfn.XLOOKUP(_xlfn.CONCAT(SupplyChain_Tier1_Backend[[#This Row],[Level 1]:[Level 6]]),rng_EFConcat,rng_EFOOS)*SupplyChain_Tier1_Backend[[#This Row],[Converted data]]/1000</f>
        <v>0</v>
      </c>
      <c r="AP31" s="174">
        <f>SupplyChain_Tier1_Frontend[[#This Row],[Ease of collection]]</f>
        <v>0</v>
      </c>
      <c r="AQ31" s="213">
        <f>SupplyChain_Tier1_Frontend[[#This Row],[Completeness]]</f>
        <v>0</v>
      </c>
      <c r="AR31" s="213">
        <f>SupplyChain_Tier1_Frontend[[#This Row],[Notes]]</f>
        <v>0</v>
      </c>
    </row>
    <row r="32" spans="2:44" ht="14.5" x14ac:dyDescent="0.35">
      <c r="B32" s="169"/>
      <c r="E32" s="236" t="s">
        <v>226</v>
      </c>
      <c r="F32" s="178" t="s">
        <v>1754</v>
      </c>
      <c r="G32" s="334"/>
      <c r="H32" s="172" t="s">
        <v>383</v>
      </c>
      <c r="I32" s="172" t="s">
        <v>384</v>
      </c>
      <c r="J32" s="336"/>
      <c r="K32" s="336"/>
      <c r="L32" s="337"/>
      <c r="M32" s="242">
        <f t="shared" si="1"/>
        <v>0</v>
      </c>
      <c r="N32"/>
      <c r="O32"/>
      <c r="Q32" s="211" t="str">
        <f t="shared" si="0"/>
        <v/>
      </c>
      <c r="R32" s="174" t="s">
        <v>267</v>
      </c>
      <c r="S32" s="174" t="s">
        <v>385</v>
      </c>
      <c r="T32" s="174" t="str" cm="1">
        <f t="array" aca="1" ref="T32" ca="1">_xlfn.XLOOKUP(SupplyChain_Tier1_Backend[[#This Row],[Level 2]],rng_Level2Long,rng_Level3Long)</f>
        <v>Supply chain</v>
      </c>
      <c r="U32" s="174" t="str">
        <f>SupplyChain_Tier1_Frontend[[#This Row],[Category]]</f>
        <v>Manufacturing</v>
      </c>
      <c r="V32" s="174" t="str">
        <f>SupplyChain_Tier1_Frontend[[#This Row],[Product Category]]</f>
        <v>Textiles</v>
      </c>
      <c r="W32" s="174" t="str" cm="1">
        <f t="array" aca="1" ref="W32" ca="1">_xlfn.XLOOKUP(SupplyChain_Tier1_Backend[[#This Row],[Level 5]],rng_Level5Long,rng_Level6Long)</f>
        <v>NaN</v>
      </c>
      <c r="X32" s="174" t="str">
        <f>SupplyChain_Tier1_Frontend[[#This Row],[Data type]]</f>
        <v>Spend-based EF</v>
      </c>
      <c r="Y32" s="174" t="s">
        <v>339</v>
      </c>
      <c r="Z32" s="174" t="s">
        <v>198</v>
      </c>
      <c r="AA32" s="229" cm="1">
        <f t="array" aca="1" ref="AA32" ca="1">INDEX(_xlfn.SWITCH(SupplyChain_Tier1_Backend[[#This Row],[Methodology]],"Tier 1",rng_RSD1,"Tier 2",rng_RSD2,"Tier 3",rng_RSD3),MATCH(_xlfn.CONCAT(SupplyChain_Tier1_Backend[[#This Row],[Level 1]:[Level 6]]),rng_LevelsConcat,0))</f>
        <v>0.25</v>
      </c>
      <c r="AB32" s="220">
        <f>SupplyChain_Tier1_Frontend[[#This Row],[Data]]</f>
        <v>0</v>
      </c>
      <c r="AC32" s="220" t="str">
        <f>SupplyChain_Tier1_Frontend[[#This Row],[Units]]</f>
        <v>£</v>
      </c>
      <c r="AD3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2" s="174" t="str">
        <f>SupplyChain_Tier1_Frontend[[#This Row],[Units]]</f>
        <v>£</v>
      </c>
      <c r="AF32" s="210">
        <f ca="1">_xlfn.XLOOKUP(_xlfn.CONCAT(SupplyChain_Tier1_Backend[[#This Row],[Level 1]:[Level 6]]),rng_EFConcat,rng_EF1)*SupplyChain_Tier1_Backend[[#This Row],[Converted data]]/1000</f>
        <v>0</v>
      </c>
      <c r="AG32" s="210">
        <f ca="1">_xlfn.XLOOKUP(_xlfn.CONCAT(SupplyChain_Tier1_Backend[[#This Row],[Level 1]:[Level 6]]),rng_EFConcat,rng_EF2)*SupplyChain_Tier1_Backend[[#This Row],[Converted data]]/1000</f>
        <v>0</v>
      </c>
      <c r="AH32" s="210">
        <f ca="1">_xlfn.XLOOKUP(_xlfn.CONCAT(SupplyChain_Tier1_Backend[[#This Row],[Level 1]:[Level 6]]),rng_EFConcat,rng_EF3)*SupplyChain_Tier1_Backend[[#This Row],[Converted data]]/1000</f>
        <v>0</v>
      </c>
      <c r="AI32" s="210">
        <f ca="1">_xlfn.XLOOKUP(_xlfn.CONCAT(SupplyChain_Tier1_Backend[[#This Row],[Level 1]:[Level 6]]),rng_EFConcat,rng_EF3WTT)*SupplyChain_Tier1_Backend[[#This Row],[Converted data]]/1000</f>
        <v>0</v>
      </c>
      <c r="AJ32" s="210">
        <f ca="1">_xlfn.XLOOKUP(_xlfn.CONCAT(SupplyChain_Tier1_Backend[[#This Row],[Level 1]:[Level 6]]),rng_EFConcat,rng_EF3TD)*SupplyChain_Tier1_Backend[[#This Row],[Converted data]]/1000</f>
        <v>0</v>
      </c>
      <c r="AK32" s="210">
        <f ca="1">_xlfn.XLOOKUP(_xlfn.CONCAT(SupplyChain_Tier1_Backend[[#This Row],[Level 1]:[Level 6]]),rng_EFConcat,rng_EF3WTTTD)*SupplyChain_Tier1_Backend[[#This Row],[Converted data]]/1000</f>
        <v>0</v>
      </c>
      <c r="AL32" s="220" t="str">
        <f>IF($G32="","", SUM(SupplyChain_Tier1_Backend[[#This Row],[Scope 1 (tCO2e)]:[Scope 3 WTT T&amp;D (tCO2e)]]))</f>
        <v/>
      </c>
      <c r="AM32" s="220" t="str">
        <f>IF($G32="","", SupplyChain_Tier1_Backend[[#This Row],[Total (tCO2e)]]*(1-SupplyChain_Tier1_Backend[[#This Row],[RSD]]))</f>
        <v/>
      </c>
      <c r="AN32" s="220" t="str">
        <f>IF($G32="","", SupplyChain_Tier1_Backend[[#This Row],[Total (tCO2e)]]*(1+SupplyChain_Tier1_Backend[[#This Row],[RSD]]))</f>
        <v/>
      </c>
      <c r="AO32" s="210">
        <f ca="1">_xlfn.XLOOKUP(_xlfn.CONCAT(SupplyChain_Tier1_Backend[[#This Row],[Level 1]:[Level 6]]),rng_EFConcat,rng_EFOOS)*SupplyChain_Tier1_Backend[[#This Row],[Converted data]]/1000</f>
        <v>0</v>
      </c>
      <c r="AP32" s="174">
        <f>SupplyChain_Tier1_Frontend[[#This Row],[Ease of collection]]</f>
        <v>0</v>
      </c>
      <c r="AQ32" s="213">
        <f>SupplyChain_Tier1_Frontend[[#This Row],[Completeness]]</f>
        <v>0</v>
      </c>
      <c r="AR32" s="213">
        <f>SupplyChain_Tier1_Frontend[[#This Row],[Notes]]</f>
        <v>0</v>
      </c>
    </row>
    <row r="33" spans="2:44" ht="14.5" x14ac:dyDescent="0.35">
      <c r="B33" s="169"/>
      <c r="E33" s="236" t="s">
        <v>226</v>
      </c>
      <c r="F33" s="178" t="s">
        <v>1755</v>
      </c>
      <c r="G33" s="334"/>
      <c r="H33" s="172" t="s">
        <v>383</v>
      </c>
      <c r="I33" s="172" t="s">
        <v>384</v>
      </c>
      <c r="J33" s="336"/>
      <c r="K33" s="336"/>
      <c r="L33" s="337"/>
      <c r="M33" s="242">
        <f t="shared" si="1"/>
        <v>0</v>
      </c>
      <c r="N33"/>
      <c r="O33"/>
      <c r="Q33" s="211" t="str">
        <f t="shared" si="0"/>
        <v/>
      </c>
      <c r="R33" s="174" t="s">
        <v>267</v>
      </c>
      <c r="S33" s="174" t="s">
        <v>385</v>
      </c>
      <c r="T33" s="174" t="str" cm="1">
        <f t="array" aca="1" ref="T33" ca="1">_xlfn.XLOOKUP(SupplyChain_Tier1_Backend[[#This Row],[Level 2]],rng_Level2Long,rng_Level3Long)</f>
        <v>Supply chain</v>
      </c>
      <c r="U33" s="174" t="str">
        <f>SupplyChain_Tier1_Frontend[[#This Row],[Category]]</f>
        <v>Manufacturing</v>
      </c>
      <c r="V33" s="174" t="str">
        <f>SupplyChain_Tier1_Frontend[[#This Row],[Product Category]]</f>
        <v>Wearing apparel</v>
      </c>
      <c r="W33" s="174" t="str" cm="1">
        <f t="array" aca="1" ref="W33" ca="1">_xlfn.XLOOKUP(SupplyChain_Tier1_Backend[[#This Row],[Level 5]],rng_Level5Long,rng_Level6Long)</f>
        <v>NaN</v>
      </c>
      <c r="X33" s="174" t="str">
        <f>SupplyChain_Tier1_Frontend[[#This Row],[Data type]]</f>
        <v>Spend-based EF</v>
      </c>
      <c r="Y33" s="174" t="s">
        <v>339</v>
      </c>
      <c r="Z33" s="174" t="s">
        <v>198</v>
      </c>
      <c r="AA33" s="229" cm="1">
        <f t="array" aca="1" ref="AA33" ca="1">INDEX(_xlfn.SWITCH(SupplyChain_Tier1_Backend[[#This Row],[Methodology]],"Tier 1",rng_RSD1,"Tier 2",rng_RSD2,"Tier 3",rng_RSD3),MATCH(_xlfn.CONCAT(SupplyChain_Tier1_Backend[[#This Row],[Level 1]:[Level 6]]),rng_LevelsConcat,0))</f>
        <v>0.25</v>
      </c>
      <c r="AB33" s="220">
        <f>SupplyChain_Tier1_Frontend[[#This Row],[Data]]</f>
        <v>0</v>
      </c>
      <c r="AC33" s="220" t="str">
        <f>SupplyChain_Tier1_Frontend[[#This Row],[Units]]</f>
        <v>£</v>
      </c>
      <c r="AD3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3" s="174" t="str">
        <f>SupplyChain_Tier1_Frontend[[#This Row],[Units]]</f>
        <v>£</v>
      </c>
      <c r="AF33" s="210">
        <f ca="1">_xlfn.XLOOKUP(_xlfn.CONCAT(SupplyChain_Tier1_Backend[[#This Row],[Level 1]:[Level 6]]),rng_EFConcat,rng_EF1)*SupplyChain_Tier1_Backend[[#This Row],[Converted data]]/1000</f>
        <v>0</v>
      </c>
      <c r="AG33" s="210">
        <f ca="1">_xlfn.XLOOKUP(_xlfn.CONCAT(SupplyChain_Tier1_Backend[[#This Row],[Level 1]:[Level 6]]),rng_EFConcat,rng_EF2)*SupplyChain_Tier1_Backend[[#This Row],[Converted data]]/1000</f>
        <v>0</v>
      </c>
      <c r="AH33" s="210">
        <f ca="1">_xlfn.XLOOKUP(_xlfn.CONCAT(SupplyChain_Tier1_Backend[[#This Row],[Level 1]:[Level 6]]),rng_EFConcat,rng_EF3)*SupplyChain_Tier1_Backend[[#This Row],[Converted data]]/1000</f>
        <v>0</v>
      </c>
      <c r="AI33" s="210">
        <f ca="1">_xlfn.XLOOKUP(_xlfn.CONCAT(SupplyChain_Tier1_Backend[[#This Row],[Level 1]:[Level 6]]),rng_EFConcat,rng_EF3WTT)*SupplyChain_Tier1_Backend[[#This Row],[Converted data]]/1000</f>
        <v>0</v>
      </c>
      <c r="AJ33" s="210">
        <f ca="1">_xlfn.XLOOKUP(_xlfn.CONCAT(SupplyChain_Tier1_Backend[[#This Row],[Level 1]:[Level 6]]),rng_EFConcat,rng_EF3TD)*SupplyChain_Tier1_Backend[[#This Row],[Converted data]]/1000</f>
        <v>0</v>
      </c>
      <c r="AK33" s="210">
        <f ca="1">_xlfn.XLOOKUP(_xlfn.CONCAT(SupplyChain_Tier1_Backend[[#This Row],[Level 1]:[Level 6]]),rng_EFConcat,rng_EF3WTTTD)*SupplyChain_Tier1_Backend[[#This Row],[Converted data]]/1000</f>
        <v>0</v>
      </c>
      <c r="AL33" s="220" t="str">
        <f>IF($G33="","", SUM(SupplyChain_Tier1_Backend[[#This Row],[Scope 1 (tCO2e)]:[Scope 3 WTT T&amp;D (tCO2e)]]))</f>
        <v/>
      </c>
      <c r="AM33" s="220" t="str">
        <f>IF($G33="","", SupplyChain_Tier1_Backend[[#This Row],[Total (tCO2e)]]*(1-SupplyChain_Tier1_Backend[[#This Row],[RSD]]))</f>
        <v/>
      </c>
      <c r="AN33" s="220" t="str">
        <f>IF($G33="","", SupplyChain_Tier1_Backend[[#This Row],[Total (tCO2e)]]*(1+SupplyChain_Tier1_Backend[[#This Row],[RSD]]))</f>
        <v/>
      </c>
      <c r="AO33" s="210">
        <f ca="1">_xlfn.XLOOKUP(_xlfn.CONCAT(SupplyChain_Tier1_Backend[[#This Row],[Level 1]:[Level 6]]),rng_EFConcat,rng_EFOOS)*SupplyChain_Tier1_Backend[[#This Row],[Converted data]]/1000</f>
        <v>0</v>
      </c>
      <c r="AP33" s="174">
        <f>SupplyChain_Tier1_Frontend[[#This Row],[Ease of collection]]</f>
        <v>0</v>
      </c>
      <c r="AQ33" s="213">
        <f>SupplyChain_Tier1_Frontend[[#This Row],[Completeness]]</f>
        <v>0</v>
      </c>
      <c r="AR33" s="213">
        <f>SupplyChain_Tier1_Frontend[[#This Row],[Notes]]</f>
        <v>0</v>
      </c>
    </row>
    <row r="34" spans="2:44" ht="14.5" x14ac:dyDescent="0.35">
      <c r="B34" s="169"/>
      <c r="E34" s="236" t="s">
        <v>226</v>
      </c>
      <c r="F34" s="178" t="s">
        <v>1756</v>
      </c>
      <c r="G34" s="334"/>
      <c r="H34" s="172" t="s">
        <v>383</v>
      </c>
      <c r="I34" s="172" t="s">
        <v>384</v>
      </c>
      <c r="J34" s="336"/>
      <c r="K34" s="336"/>
      <c r="L34" s="337"/>
      <c r="M34" s="242">
        <f t="shared" si="1"/>
        <v>0</v>
      </c>
      <c r="N34"/>
      <c r="O34"/>
      <c r="Q34" s="211" t="str">
        <f t="shared" si="0"/>
        <v/>
      </c>
      <c r="R34" s="174" t="s">
        <v>267</v>
      </c>
      <c r="S34" s="174" t="s">
        <v>385</v>
      </c>
      <c r="T34" s="174" t="str" cm="1">
        <f t="array" aca="1" ref="T34" ca="1">_xlfn.XLOOKUP(SupplyChain_Tier1_Backend[[#This Row],[Level 2]],rng_Level2Long,rng_Level3Long)</f>
        <v>Supply chain</v>
      </c>
      <c r="U34" s="174" t="str">
        <f>SupplyChain_Tier1_Frontend[[#This Row],[Category]]</f>
        <v>Manufacturing</v>
      </c>
      <c r="V34" s="174" t="str">
        <f>SupplyChain_Tier1_Frontend[[#This Row],[Product Category]]</f>
        <v>Leather and related products</v>
      </c>
      <c r="W34" s="174" t="str" cm="1">
        <f t="array" aca="1" ref="W34" ca="1">_xlfn.XLOOKUP(SupplyChain_Tier1_Backend[[#This Row],[Level 5]],rng_Level5Long,rng_Level6Long)</f>
        <v>NaN</v>
      </c>
      <c r="X34" s="174" t="str">
        <f>SupplyChain_Tier1_Frontend[[#This Row],[Data type]]</f>
        <v>Spend-based EF</v>
      </c>
      <c r="Y34" s="174" t="s">
        <v>339</v>
      </c>
      <c r="Z34" s="174" t="s">
        <v>198</v>
      </c>
      <c r="AA34" s="229" cm="1">
        <f t="array" aca="1" ref="AA34" ca="1">INDEX(_xlfn.SWITCH(SupplyChain_Tier1_Backend[[#This Row],[Methodology]],"Tier 1",rng_RSD1,"Tier 2",rng_RSD2,"Tier 3",rng_RSD3),MATCH(_xlfn.CONCAT(SupplyChain_Tier1_Backend[[#This Row],[Level 1]:[Level 6]]),rng_LevelsConcat,0))</f>
        <v>0.25</v>
      </c>
      <c r="AB34" s="220">
        <f>SupplyChain_Tier1_Frontend[[#This Row],[Data]]</f>
        <v>0</v>
      </c>
      <c r="AC34" s="220" t="str">
        <f>SupplyChain_Tier1_Frontend[[#This Row],[Units]]</f>
        <v>£</v>
      </c>
      <c r="AD3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4" s="174" t="str">
        <f>SupplyChain_Tier1_Frontend[[#This Row],[Units]]</f>
        <v>£</v>
      </c>
      <c r="AF34" s="210">
        <f ca="1">_xlfn.XLOOKUP(_xlfn.CONCAT(SupplyChain_Tier1_Backend[[#This Row],[Level 1]:[Level 6]]),rng_EFConcat,rng_EF1)*SupplyChain_Tier1_Backend[[#This Row],[Converted data]]/1000</f>
        <v>0</v>
      </c>
      <c r="AG34" s="210">
        <f ca="1">_xlfn.XLOOKUP(_xlfn.CONCAT(SupplyChain_Tier1_Backend[[#This Row],[Level 1]:[Level 6]]),rng_EFConcat,rng_EF2)*SupplyChain_Tier1_Backend[[#This Row],[Converted data]]/1000</f>
        <v>0</v>
      </c>
      <c r="AH34" s="210">
        <f ca="1">_xlfn.XLOOKUP(_xlfn.CONCAT(SupplyChain_Tier1_Backend[[#This Row],[Level 1]:[Level 6]]),rng_EFConcat,rng_EF3)*SupplyChain_Tier1_Backend[[#This Row],[Converted data]]/1000</f>
        <v>0</v>
      </c>
      <c r="AI34" s="210">
        <f ca="1">_xlfn.XLOOKUP(_xlfn.CONCAT(SupplyChain_Tier1_Backend[[#This Row],[Level 1]:[Level 6]]),rng_EFConcat,rng_EF3WTT)*SupplyChain_Tier1_Backend[[#This Row],[Converted data]]/1000</f>
        <v>0</v>
      </c>
      <c r="AJ34" s="210">
        <f ca="1">_xlfn.XLOOKUP(_xlfn.CONCAT(SupplyChain_Tier1_Backend[[#This Row],[Level 1]:[Level 6]]),rng_EFConcat,rng_EF3TD)*SupplyChain_Tier1_Backend[[#This Row],[Converted data]]/1000</f>
        <v>0</v>
      </c>
      <c r="AK34" s="210">
        <f ca="1">_xlfn.XLOOKUP(_xlfn.CONCAT(SupplyChain_Tier1_Backend[[#This Row],[Level 1]:[Level 6]]),rng_EFConcat,rng_EF3WTTTD)*SupplyChain_Tier1_Backend[[#This Row],[Converted data]]/1000</f>
        <v>0</v>
      </c>
      <c r="AL34" s="220" t="str">
        <f>IF($G34="","", SUM(SupplyChain_Tier1_Backend[[#This Row],[Scope 1 (tCO2e)]:[Scope 3 WTT T&amp;D (tCO2e)]]))</f>
        <v/>
      </c>
      <c r="AM34" s="220" t="str">
        <f>IF($G34="","", SupplyChain_Tier1_Backend[[#This Row],[Total (tCO2e)]]*(1-SupplyChain_Tier1_Backend[[#This Row],[RSD]]))</f>
        <v/>
      </c>
      <c r="AN34" s="220" t="str">
        <f>IF($G34="","", SupplyChain_Tier1_Backend[[#This Row],[Total (tCO2e)]]*(1+SupplyChain_Tier1_Backend[[#This Row],[RSD]]))</f>
        <v/>
      </c>
      <c r="AO34" s="210">
        <f ca="1">_xlfn.XLOOKUP(_xlfn.CONCAT(SupplyChain_Tier1_Backend[[#This Row],[Level 1]:[Level 6]]),rng_EFConcat,rng_EFOOS)*SupplyChain_Tier1_Backend[[#This Row],[Converted data]]/1000</f>
        <v>0</v>
      </c>
      <c r="AP34" s="174">
        <f>SupplyChain_Tier1_Frontend[[#This Row],[Ease of collection]]</f>
        <v>0</v>
      </c>
      <c r="AQ34" s="213">
        <f>SupplyChain_Tier1_Frontend[[#This Row],[Completeness]]</f>
        <v>0</v>
      </c>
      <c r="AR34" s="213">
        <f>SupplyChain_Tier1_Frontend[[#This Row],[Notes]]</f>
        <v>0</v>
      </c>
    </row>
    <row r="35" spans="2:44" ht="28.5" x14ac:dyDescent="0.35">
      <c r="B35" s="169"/>
      <c r="E35" s="236" t="s">
        <v>226</v>
      </c>
      <c r="F35" s="178" t="s">
        <v>386</v>
      </c>
      <c r="G35" s="334"/>
      <c r="H35" s="172" t="s">
        <v>383</v>
      </c>
      <c r="I35" s="172" t="s">
        <v>384</v>
      </c>
      <c r="J35" s="336"/>
      <c r="K35" s="336"/>
      <c r="L35" s="337"/>
      <c r="M35" s="242">
        <f t="shared" si="1"/>
        <v>0</v>
      </c>
      <c r="N35"/>
      <c r="O35"/>
      <c r="Q35" s="211" t="str">
        <f t="shared" si="0"/>
        <v/>
      </c>
      <c r="R35" s="174" t="s">
        <v>267</v>
      </c>
      <c r="S35" s="174" t="s">
        <v>385</v>
      </c>
      <c r="T35" s="174" t="str" cm="1">
        <f t="array" aca="1" ref="T35" ca="1">_xlfn.XLOOKUP(SupplyChain_Tier1_Backend[[#This Row],[Level 2]],rng_Level2Long,rng_Level3Long)</f>
        <v>Supply chain</v>
      </c>
      <c r="U35" s="174" t="str">
        <f>SupplyChain_Tier1_Frontend[[#This Row],[Category]]</f>
        <v>Manufacturing</v>
      </c>
      <c r="V35" s="174" t="str">
        <f>SupplyChain_Tier1_Frontend[[#This Row],[Product Category]]</f>
        <v>Wood and of products of wood and cork, except furniture; articles of straw and plaiting materials</v>
      </c>
      <c r="W35" s="174" t="str" cm="1">
        <f t="array" aca="1" ref="W35" ca="1">_xlfn.XLOOKUP(SupplyChain_Tier1_Backend[[#This Row],[Level 5]],rng_Level5Long,rng_Level6Long)</f>
        <v>NaN</v>
      </c>
      <c r="X35" s="174" t="str">
        <f>SupplyChain_Tier1_Frontend[[#This Row],[Data type]]</f>
        <v>Spend-based EF</v>
      </c>
      <c r="Y35" s="174" t="s">
        <v>339</v>
      </c>
      <c r="Z35" s="174" t="s">
        <v>198</v>
      </c>
      <c r="AA35" s="229" cm="1">
        <f t="array" aca="1" ref="AA35" ca="1">INDEX(_xlfn.SWITCH(SupplyChain_Tier1_Backend[[#This Row],[Methodology]],"Tier 1",rng_RSD1,"Tier 2",rng_RSD2,"Tier 3",rng_RSD3),MATCH(_xlfn.CONCAT(SupplyChain_Tier1_Backend[[#This Row],[Level 1]:[Level 6]]),rng_LevelsConcat,0))</f>
        <v>0.25</v>
      </c>
      <c r="AB35" s="220">
        <f>SupplyChain_Tier1_Frontend[[#This Row],[Data]]</f>
        <v>0</v>
      </c>
      <c r="AC35" s="220" t="str">
        <f>SupplyChain_Tier1_Frontend[[#This Row],[Units]]</f>
        <v>£</v>
      </c>
      <c r="AD3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5" s="174" t="str">
        <f>SupplyChain_Tier1_Frontend[[#This Row],[Units]]</f>
        <v>£</v>
      </c>
      <c r="AF35" s="210">
        <f ca="1">_xlfn.XLOOKUP(_xlfn.CONCAT(SupplyChain_Tier1_Backend[[#This Row],[Level 1]:[Level 6]]),rng_EFConcat,rng_EF1)*SupplyChain_Tier1_Backend[[#This Row],[Converted data]]/1000</f>
        <v>0</v>
      </c>
      <c r="AG35" s="210">
        <f ca="1">_xlfn.XLOOKUP(_xlfn.CONCAT(SupplyChain_Tier1_Backend[[#This Row],[Level 1]:[Level 6]]),rng_EFConcat,rng_EF2)*SupplyChain_Tier1_Backend[[#This Row],[Converted data]]/1000</f>
        <v>0</v>
      </c>
      <c r="AH35" s="210">
        <f ca="1">_xlfn.XLOOKUP(_xlfn.CONCAT(SupplyChain_Tier1_Backend[[#This Row],[Level 1]:[Level 6]]),rng_EFConcat,rng_EF3)*SupplyChain_Tier1_Backend[[#This Row],[Converted data]]/1000</f>
        <v>0</v>
      </c>
      <c r="AI35" s="210">
        <f ca="1">_xlfn.XLOOKUP(_xlfn.CONCAT(SupplyChain_Tier1_Backend[[#This Row],[Level 1]:[Level 6]]),rng_EFConcat,rng_EF3WTT)*SupplyChain_Tier1_Backend[[#This Row],[Converted data]]/1000</f>
        <v>0</v>
      </c>
      <c r="AJ35" s="210">
        <f ca="1">_xlfn.XLOOKUP(_xlfn.CONCAT(SupplyChain_Tier1_Backend[[#This Row],[Level 1]:[Level 6]]),rng_EFConcat,rng_EF3TD)*SupplyChain_Tier1_Backend[[#This Row],[Converted data]]/1000</f>
        <v>0</v>
      </c>
      <c r="AK35" s="210">
        <f ca="1">_xlfn.XLOOKUP(_xlfn.CONCAT(SupplyChain_Tier1_Backend[[#This Row],[Level 1]:[Level 6]]),rng_EFConcat,rng_EF3WTTTD)*SupplyChain_Tier1_Backend[[#This Row],[Converted data]]/1000</f>
        <v>0</v>
      </c>
      <c r="AL35" s="220" t="str">
        <f>IF($G35="","", SUM(SupplyChain_Tier1_Backend[[#This Row],[Scope 1 (tCO2e)]:[Scope 3 WTT T&amp;D (tCO2e)]]))</f>
        <v/>
      </c>
      <c r="AM35" s="220" t="str">
        <f>IF($G35="","", SupplyChain_Tier1_Backend[[#This Row],[Total (tCO2e)]]*(1-SupplyChain_Tier1_Backend[[#This Row],[RSD]]))</f>
        <v/>
      </c>
      <c r="AN35" s="220" t="str">
        <f>IF($G35="","", SupplyChain_Tier1_Backend[[#This Row],[Total (tCO2e)]]*(1+SupplyChain_Tier1_Backend[[#This Row],[RSD]]))</f>
        <v/>
      </c>
      <c r="AO35" s="210">
        <f ca="1">_xlfn.XLOOKUP(_xlfn.CONCAT(SupplyChain_Tier1_Backend[[#This Row],[Level 1]:[Level 6]]),rng_EFConcat,rng_EFOOS)*SupplyChain_Tier1_Backend[[#This Row],[Converted data]]/1000</f>
        <v>0</v>
      </c>
      <c r="AP35" s="174">
        <f>SupplyChain_Tier1_Frontend[[#This Row],[Ease of collection]]</f>
        <v>0</v>
      </c>
      <c r="AQ35" s="213">
        <f>SupplyChain_Tier1_Frontend[[#This Row],[Completeness]]</f>
        <v>0</v>
      </c>
      <c r="AR35" s="213">
        <f>SupplyChain_Tier1_Frontend[[#This Row],[Notes]]</f>
        <v>0</v>
      </c>
    </row>
    <row r="36" spans="2:44" ht="14.5" x14ac:dyDescent="0.35">
      <c r="B36" s="169"/>
      <c r="E36" s="236" t="s">
        <v>226</v>
      </c>
      <c r="F36" s="178" t="s">
        <v>1757</v>
      </c>
      <c r="G36" s="334"/>
      <c r="H36" s="172" t="s">
        <v>383</v>
      </c>
      <c r="I36" s="172" t="s">
        <v>384</v>
      </c>
      <c r="J36" s="336"/>
      <c r="K36" s="336"/>
      <c r="L36" s="337"/>
      <c r="M36" s="242">
        <f t="shared" si="1"/>
        <v>0</v>
      </c>
      <c r="N36"/>
      <c r="O36"/>
      <c r="Q36" s="211" t="str">
        <f t="shared" si="0"/>
        <v/>
      </c>
      <c r="R36" s="174" t="s">
        <v>267</v>
      </c>
      <c r="S36" s="174" t="s">
        <v>385</v>
      </c>
      <c r="T36" s="174" t="str" cm="1">
        <f t="array" aca="1" ref="T36" ca="1">_xlfn.XLOOKUP(SupplyChain_Tier1_Backend[[#This Row],[Level 2]],rng_Level2Long,rng_Level3Long)</f>
        <v>Supply chain</v>
      </c>
      <c r="U36" s="174" t="str">
        <f>SupplyChain_Tier1_Frontend[[#This Row],[Category]]</f>
        <v>Manufacturing</v>
      </c>
      <c r="V36" s="174" t="str">
        <f>SupplyChain_Tier1_Frontend[[#This Row],[Product Category]]</f>
        <v>Paper and paper products</v>
      </c>
      <c r="W36" s="174" t="str" cm="1">
        <f t="array" aca="1" ref="W36" ca="1">_xlfn.XLOOKUP(SupplyChain_Tier1_Backend[[#This Row],[Level 5]],rng_Level5Long,rng_Level6Long)</f>
        <v>NaN</v>
      </c>
      <c r="X36" s="174" t="str">
        <f>SupplyChain_Tier1_Frontend[[#This Row],[Data type]]</f>
        <v>Spend-based EF</v>
      </c>
      <c r="Y36" s="174" t="s">
        <v>339</v>
      </c>
      <c r="Z36" s="174" t="s">
        <v>198</v>
      </c>
      <c r="AA36" s="229" cm="1">
        <f t="array" aca="1" ref="AA36" ca="1">INDEX(_xlfn.SWITCH(SupplyChain_Tier1_Backend[[#This Row],[Methodology]],"Tier 1",rng_RSD1,"Tier 2",rng_RSD2,"Tier 3",rng_RSD3),MATCH(_xlfn.CONCAT(SupplyChain_Tier1_Backend[[#This Row],[Level 1]:[Level 6]]),rng_LevelsConcat,0))</f>
        <v>0.25</v>
      </c>
      <c r="AB36" s="220">
        <f>SupplyChain_Tier1_Frontend[[#This Row],[Data]]</f>
        <v>0</v>
      </c>
      <c r="AC36" s="220" t="str">
        <f>SupplyChain_Tier1_Frontend[[#This Row],[Units]]</f>
        <v>£</v>
      </c>
      <c r="AD3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6" s="174" t="str">
        <f>SupplyChain_Tier1_Frontend[[#This Row],[Units]]</f>
        <v>£</v>
      </c>
      <c r="AF36" s="210">
        <f ca="1">_xlfn.XLOOKUP(_xlfn.CONCAT(SupplyChain_Tier1_Backend[[#This Row],[Level 1]:[Level 6]]),rng_EFConcat,rng_EF1)*SupplyChain_Tier1_Backend[[#This Row],[Converted data]]/1000</f>
        <v>0</v>
      </c>
      <c r="AG36" s="210">
        <f ca="1">_xlfn.XLOOKUP(_xlfn.CONCAT(SupplyChain_Tier1_Backend[[#This Row],[Level 1]:[Level 6]]),rng_EFConcat,rng_EF2)*SupplyChain_Tier1_Backend[[#This Row],[Converted data]]/1000</f>
        <v>0</v>
      </c>
      <c r="AH36" s="210">
        <f ca="1">_xlfn.XLOOKUP(_xlfn.CONCAT(SupplyChain_Tier1_Backend[[#This Row],[Level 1]:[Level 6]]),rng_EFConcat,rng_EF3)*SupplyChain_Tier1_Backend[[#This Row],[Converted data]]/1000</f>
        <v>0</v>
      </c>
      <c r="AI36" s="210">
        <f ca="1">_xlfn.XLOOKUP(_xlfn.CONCAT(SupplyChain_Tier1_Backend[[#This Row],[Level 1]:[Level 6]]),rng_EFConcat,rng_EF3WTT)*SupplyChain_Tier1_Backend[[#This Row],[Converted data]]/1000</f>
        <v>0</v>
      </c>
      <c r="AJ36" s="210">
        <f ca="1">_xlfn.XLOOKUP(_xlfn.CONCAT(SupplyChain_Tier1_Backend[[#This Row],[Level 1]:[Level 6]]),rng_EFConcat,rng_EF3TD)*SupplyChain_Tier1_Backend[[#This Row],[Converted data]]/1000</f>
        <v>0</v>
      </c>
      <c r="AK36" s="210">
        <f ca="1">_xlfn.XLOOKUP(_xlfn.CONCAT(SupplyChain_Tier1_Backend[[#This Row],[Level 1]:[Level 6]]),rng_EFConcat,rng_EF3WTTTD)*SupplyChain_Tier1_Backend[[#This Row],[Converted data]]/1000</f>
        <v>0</v>
      </c>
      <c r="AL36" s="220" t="str">
        <f>IF($G36="","", SUM(SupplyChain_Tier1_Backend[[#This Row],[Scope 1 (tCO2e)]:[Scope 3 WTT T&amp;D (tCO2e)]]))</f>
        <v/>
      </c>
      <c r="AM36" s="220" t="str">
        <f>IF($G36="","", SupplyChain_Tier1_Backend[[#This Row],[Total (tCO2e)]]*(1-SupplyChain_Tier1_Backend[[#This Row],[RSD]]))</f>
        <v/>
      </c>
      <c r="AN36" s="220" t="str">
        <f>IF($G36="","", SupplyChain_Tier1_Backend[[#This Row],[Total (tCO2e)]]*(1+SupplyChain_Tier1_Backend[[#This Row],[RSD]]))</f>
        <v/>
      </c>
      <c r="AO36" s="210">
        <f ca="1">_xlfn.XLOOKUP(_xlfn.CONCAT(SupplyChain_Tier1_Backend[[#This Row],[Level 1]:[Level 6]]),rng_EFConcat,rng_EFOOS)*SupplyChain_Tier1_Backend[[#This Row],[Converted data]]/1000</f>
        <v>0</v>
      </c>
      <c r="AP36" s="174">
        <f>SupplyChain_Tier1_Frontend[[#This Row],[Ease of collection]]</f>
        <v>0</v>
      </c>
      <c r="AQ36" s="213">
        <f>SupplyChain_Tier1_Frontend[[#This Row],[Completeness]]</f>
        <v>0</v>
      </c>
      <c r="AR36" s="213">
        <f>SupplyChain_Tier1_Frontend[[#This Row],[Notes]]</f>
        <v>0</v>
      </c>
    </row>
    <row r="37" spans="2:44" ht="14.5" x14ac:dyDescent="0.35">
      <c r="B37" s="169"/>
      <c r="E37" s="236" t="s">
        <v>226</v>
      </c>
      <c r="F37" s="178" t="s">
        <v>1758</v>
      </c>
      <c r="G37" s="334"/>
      <c r="H37" s="172" t="s">
        <v>383</v>
      </c>
      <c r="I37" s="172" t="s">
        <v>384</v>
      </c>
      <c r="J37" s="336"/>
      <c r="K37" s="336"/>
      <c r="L37" s="337"/>
      <c r="M37" s="242">
        <f t="shared" si="1"/>
        <v>0</v>
      </c>
      <c r="N37"/>
      <c r="O37"/>
      <c r="Q37" s="211" t="str">
        <f t="shared" si="0"/>
        <v/>
      </c>
      <c r="R37" s="174" t="s">
        <v>267</v>
      </c>
      <c r="S37" s="174" t="s">
        <v>385</v>
      </c>
      <c r="T37" s="174" t="str" cm="1">
        <f t="array" aca="1" ref="T37" ca="1">_xlfn.XLOOKUP(SupplyChain_Tier1_Backend[[#This Row],[Level 2]],rng_Level2Long,rng_Level3Long)</f>
        <v>Supply chain</v>
      </c>
      <c r="U37" s="174" t="str">
        <f>SupplyChain_Tier1_Frontend[[#This Row],[Category]]</f>
        <v>Manufacturing</v>
      </c>
      <c r="V37" s="174" t="str">
        <f>SupplyChain_Tier1_Frontend[[#This Row],[Product Category]]</f>
        <v>Printing and recording services</v>
      </c>
      <c r="W37" s="174" t="str" cm="1">
        <f t="array" aca="1" ref="W37" ca="1">_xlfn.XLOOKUP(SupplyChain_Tier1_Backend[[#This Row],[Level 5]],rng_Level5Long,rng_Level6Long)</f>
        <v>NaN</v>
      </c>
      <c r="X37" s="174" t="str">
        <f>SupplyChain_Tier1_Frontend[[#This Row],[Data type]]</f>
        <v>Spend-based EF</v>
      </c>
      <c r="Y37" s="174" t="s">
        <v>339</v>
      </c>
      <c r="Z37" s="174" t="s">
        <v>198</v>
      </c>
      <c r="AA37" s="229" cm="1">
        <f t="array" aca="1" ref="AA37" ca="1">INDEX(_xlfn.SWITCH(SupplyChain_Tier1_Backend[[#This Row],[Methodology]],"Tier 1",rng_RSD1,"Tier 2",rng_RSD2,"Tier 3",rng_RSD3),MATCH(_xlfn.CONCAT(SupplyChain_Tier1_Backend[[#This Row],[Level 1]:[Level 6]]),rng_LevelsConcat,0))</f>
        <v>0.25</v>
      </c>
      <c r="AB37" s="220">
        <f>SupplyChain_Tier1_Frontend[[#This Row],[Data]]</f>
        <v>0</v>
      </c>
      <c r="AC37" s="220" t="str">
        <f>SupplyChain_Tier1_Frontend[[#This Row],[Units]]</f>
        <v>£</v>
      </c>
      <c r="AD3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7" s="174" t="str">
        <f>SupplyChain_Tier1_Frontend[[#This Row],[Units]]</f>
        <v>£</v>
      </c>
      <c r="AF37" s="210">
        <f ca="1">_xlfn.XLOOKUP(_xlfn.CONCAT(SupplyChain_Tier1_Backend[[#This Row],[Level 1]:[Level 6]]),rng_EFConcat,rng_EF1)*SupplyChain_Tier1_Backend[[#This Row],[Converted data]]/1000</f>
        <v>0</v>
      </c>
      <c r="AG37" s="210">
        <f ca="1">_xlfn.XLOOKUP(_xlfn.CONCAT(SupplyChain_Tier1_Backend[[#This Row],[Level 1]:[Level 6]]),rng_EFConcat,rng_EF2)*SupplyChain_Tier1_Backend[[#This Row],[Converted data]]/1000</f>
        <v>0</v>
      </c>
      <c r="AH37" s="210">
        <f ca="1">_xlfn.XLOOKUP(_xlfn.CONCAT(SupplyChain_Tier1_Backend[[#This Row],[Level 1]:[Level 6]]),rng_EFConcat,rng_EF3)*SupplyChain_Tier1_Backend[[#This Row],[Converted data]]/1000</f>
        <v>0</v>
      </c>
      <c r="AI37" s="210">
        <f ca="1">_xlfn.XLOOKUP(_xlfn.CONCAT(SupplyChain_Tier1_Backend[[#This Row],[Level 1]:[Level 6]]),rng_EFConcat,rng_EF3WTT)*SupplyChain_Tier1_Backend[[#This Row],[Converted data]]/1000</f>
        <v>0</v>
      </c>
      <c r="AJ37" s="210">
        <f ca="1">_xlfn.XLOOKUP(_xlfn.CONCAT(SupplyChain_Tier1_Backend[[#This Row],[Level 1]:[Level 6]]),rng_EFConcat,rng_EF3TD)*SupplyChain_Tier1_Backend[[#This Row],[Converted data]]/1000</f>
        <v>0</v>
      </c>
      <c r="AK37" s="210">
        <f ca="1">_xlfn.XLOOKUP(_xlfn.CONCAT(SupplyChain_Tier1_Backend[[#This Row],[Level 1]:[Level 6]]),rng_EFConcat,rng_EF3WTTTD)*SupplyChain_Tier1_Backend[[#This Row],[Converted data]]/1000</f>
        <v>0</v>
      </c>
      <c r="AL37" s="220" t="str">
        <f>IF($G37="","", SUM(SupplyChain_Tier1_Backend[[#This Row],[Scope 1 (tCO2e)]:[Scope 3 WTT T&amp;D (tCO2e)]]))</f>
        <v/>
      </c>
      <c r="AM37" s="220" t="str">
        <f>IF($G37="","", SupplyChain_Tier1_Backend[[#This Row],[Total (tCO2e)]]*(1-SupplyChain_Tier1_Backend[[#This Row],[RSD]]))</f>
        <v/>
      </c>
      <c r="AN37" s="220" t="str">
        <f>IF($G37="","", SupplyChain_Tier1_Backend[[#This Row],[Total (tCO2e)]]*(1+SupplyChain_Tier1_Backend[[#This Row],[RSD]]))</f>
        <v/>
      </c>
      <c r="AO37" s="210">
        <f ca="1">_xlfn.XLOOKUP(_xlfn.CONCAT(SupplyChain_Tier1_Backend[[#This Row],[Level 1]:[Level 6]]),rng_EFConcat,rng_EFOOS)*SupplyChain_Tier1_Backend[[#This Row],[Converted data]]/1000</f>
        <v>0</v>
      </c>
      <c r="AP37" s="174">
        <f>SupplyChain_Tier1_Frontend[[#This Row],[Ease of collection]]</f>
        <v>0</v>
      </c>
      <c r="AQ37" s="213">
        <f>SupplyChain_Tier1_Frontend[[#This Row],[Completeness]]</f>
        <v>0</v>
      </c>
      <c r="AR37" s="213">
        <f>SupplyChain_Tier1_Frontend[[#This Row],[Notes]]</f>
        <v>0</v>
      </c>
    </row>
    <row r="38" spans="2:44" ht="14.5" x14ac:dyDescent="0.35">
      <c r="B38" s="169"/>
      <c r="E38" s="236" t="s">
        <v>226</v>
      </c>
      <c r="F38" s="178" t="s">
        <v>1759</v>
      </c>
      <c r="G38" s="334"/>
      <c r="H38" s="172" t="s">
        <v>383</v>
      </c>
      <c r="I38" s="172" t="s">
        <v>384</v>
      </c>
      <c r="J38" s="336"/>
      <c r="K38" s="336"/>
      <c r="L38" s="337"/>
      <c r="M38" s="242">
        <f t="shared" si="1"/>
        <v>0</v>
      </c>
      <c r="N38"/>
      <c r="O38"/>
      <c r="Q38" s="211" t="str">
        <f t="shared" si="0"/>
        <v/>
      </c>
      <c r="R38" s="174" t="s">
        <v>267</v>
      </c>
      <c r="S38" s="174" t="s">
        <v>385</v>
      </c>
      <c r="T38" s="174" t="str" cm="1">
        <f t="array" aca="1" ref="T38" ca="1">_xlfn.XLOOKUP(SupplyChain_Tier1_Backend[[#This Row],[Level 2]],rng_Level2Long,rng_Level3Long)</f>
        <v>Supply chain</v>
      </c>
      <c r="U38" s="174" t="str">
        <f>SupplyChain_Tier1_Frontend[[#This Row],[Category]]</f>
        <v>Manufacturing</v>
      </c>
      <c r="V38" s="174" t="str">
        <f>SupplyChain_Tier1_Frontend[[#This Row],[Product Category]]</f>
        <v>Coke and refined petroleum products</v>
      </c>
      <c r="W38" s="174" t="str" cm="1">
        <f t="array" aca="1" ref="W38" ca="1">_xlfn.XLOOKUP(SupplyChain_Tier1_Backend[[#This Row],[Level 5]],rng_Level5Long,rng_Level6Long)</f>
        <v>NaN</v>
      </c>
      <c r="X38" s="174" t="str">
        <f>SupplyChain_Tier1_Frontend[[#This Row],[Data type]]</f>
        <v>Spend-based EF</v>
      </c>
      <c r="Y38" s="174" t="s">
        <v>339</v>
      </c>
      <c r="Z38" s="174" t="s">
        <v>198</v>
      </c>
      <c r="AA38" s="229" cm="1">
        <f t="array" aca="1" ref="AA38" ca="1">INDEX(_xlfn.SWITCH(SupplyChain_Tier1_Backend[[#This Row],[Methodology]],"Tier 1",rng_RSD1,"Tier 2",rng_RSD2,"Tier 3",rng_RSD3),MATCH(_xlfn.CONCAT(SupplyChain_Tier1_Backend[[#This Row],[Level 1]:[Level 6]]),rng_LevelsConcat,0))</f>
        <v>0.25</v>
      </c>
      <c r="AB38" s="220">
        <f>SupplyChain_Tier1_Frontend[[#This Row],[Data]]</f>
        <v>0</v>
      </c>
      <c r="AC38" s="220" t="str">
        <f>SupplyChain_Tier1_Frontend[[#This Row],[Units]]</f>
        <v>£</v>
      </c>
      <c r="AD3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8" s="174" t="str">
        <f>SupplyChain_Tier1_Frontend[[#This Row],[Units]]</f>
        <v>£</v>
      </c>
      <c r="AF38" s="210">
        <f ca="1">_xlfn.XLOOKUP(_xlfn.CONCAT(SupplyChain_Tier1_Backend[[#This Row],[Level 1]:[Level 6]]),rng_EFConcat,rng_EF1)*SupplyChain_Tier1_Backend[[#This Row],[Converted data]]/1000</f>
        <v>0</v>
      </c>
      <c r="AG38" s="210">
        <f ca="1">_xlfn.XLOOKUP(_xlfn.CONCAT(SupplyChain_Tier1_Backend[[#This Row],[Level 1]:[Level 6]]),rng_EFConcat,rng_EF2)*SupplyChain_Tier1_Backend[[#This Row],[Converted data]]/1000</f>
        <v>0</v>
      </c>
      <c r="AH38" s="210">
        <f ca="1">_xlfn.XLOOKUP(_xlfn.CONCAT(SupplyChain_Tier1_Backend[[#This Row],[Level 1]:[Level 6]]),rng_EFConcat,rng_EF3)*SupplyChain_Tier1_Backend[[#This Row],[Converted data]]/1000</f>
        <v>0</v>
      </c>
      <c r="AI38" s="210">
        <f ca="1">_xlfn.XLOOKUP(_xlfn.CONCAT(SupplyChain_Tier1_Backend[[#This Row],[Level 1]:[Level 6]]),rng_EFConcat,rng_EF3WTT)*SupplyChain_Tier1_Backend[[#This Row],[Converted data]]/1000</f>
        <v>0</v>
      </c>
      <c r="AJ38" s="210">
        <f ca="1">_xlfn.XLOOKUP(_xlfn.CONCAT(SupplyChain_Tier1_Backend[[#This Row],[Level 1]:[Level 6]]),rng_EFConcat,rng_EF3TD)*SupplyChain_Tier1_Backend[[#This Row],[Converted data]]/1000</f>
        <v>0</v>
      </c>
      <c r="AK38" s="210">
        <f ca="1">_xlfn.XLOOKUP(_xlfn.CONCAT(SupplyChain_Tier1_Backend[[#This Row],[Level 1]:[Level 6]]),rng_EFConcat,rng_EF3WTTTD)*SupplyChain_Tier1_Backend[[#This Row],[Converted data]]/1000</f>
        <v>0</v>
      </c>
      <c r="AL38" s="220" t="str">
        <f>IF($G38="","", SUM(SupplyChain_Tier1_Backend[[#This Row],[Scope 1 (tCO2e)]:[Scope 3 WTT T&amp;D (tCO2e)]]))</f>
        <v/>
      </c>
      <c r="AM38" s="220" t="str">
        <f>IF($G38="","", SupplyChain_Tier1_Backend[[#This Row],[Total (tCO2e)]]*(1-SupplyChain_Tier1_Backend[[#This Row],[RSD]]))</f>
        <v/>
      </c>
      <c r="AN38" s="220" t="str">
        <f>IF($G38="","", SupplyChain_Tier1_Backend[[#This Row],[Total (tCO2e)]]*(1+SupplyChain_Tier1_Backend[[#This Row],[RSD]]))</f>
        <v/>
      </c>
      <c r="AO38" s="210">
        <f ca="1">_xlfn.XLOOKUP(_xlfn.CONCAT(SupplyChain_Tier1_Backend[[#This Row],[Level 1]:[Level 6]]),rng_EFConcat,rng_EFOOS)*SupplyChain_Tier1_Backend[[#This Row],[Converted data]]/1000</f>
        <v>0</v>
      </c>
      <c r="AP38" s="174">
        <f>SupplyChain_Tier1_Frontend[[#This Row],[Ease of collection]]</f>
        <v>0</v>
      </c>
      <c r="AQ38" s="213">
        <f>SupplyChain_Tier1_Frontend[[#This Row],[Completeness]]</f>
        <v>0</v>
      </c>
      <c r="AR38" s="213">
        <f>SupplyChain_Tier1_Frontend[[#This Row],[Notes]]</f>
        <v>0</v>
      </c>
    </row>
    <row r="39" spans="2:44" ht="28.5" x14ac:dyDescent="0.35">
      <c r="B39" s="169"/>
      <c r="E39" s="236" t="s">
        <v>226</v>
      </c>
      <c r="F39" s="178" t="s">
        <v>1760</v>
      </c>
      <c r="G39" s="334"/>
      <c r="H39" s="172" t="s">
        <v>383</v>
      </c>
      <c r="I39" s="172" t="s">
        <v>384</v>
      </c>
      <c r="J39" s="336"/>
      <c r="K39" s="336"/>
      <c r="L39" s="337"/>
      <c r="M39" s="242">
        <f t="shared" si="1"/>
        <v>0</v>
      </c>
      <c r="N39"/>
      <c r="O39"/>
      <c r="Q39" s="211" t="str">
        <f t="shared" si="0"/>
        <v/>
      </c>
      <c r="R39" s="174" t="s">
        <v>267</v>
      </c>
      <c r="S39" s="174" t="s">
        <v>385</v>
      </c>
      <c r="T39" s="174" t="str" cm="1">
        <f t="array" aca="1" ref="T39" ca="1">_xlfn.XLOOKUP(SupplyChain_Tier1_Backend[[#This Row],[Level 2]],rng_Level2Long,rng_Level3Long)</f>
        <v>Supply chain</v>
      </c>
      <c r="U39" s="174" t="str">
        <f>SupplyChain_Tier1_Frontend[[#This Row],[Category]]</f>
        <v>Manufacturing</v>
      </c>
      <c r="V39" s="174" t="str">
        <f>SupplyChain_Tier1_Frontend[[#This Row],[Product Category]]</f>
        <v>Paints, varnishes and similar coatings, printing ink and mastics</v>
      </c>
      <c r="W39" s="174" t="str" cm="1">
        <f t="array" aca="1" ref="W39" ca="1">_xlfn.XLOOKUP(SupplyChain_Tier1_Backend[[#This Row],[Level 5]],rng_Level5Long,rng_Level6Long)</f>
        <v>NaN</v>
      </c>
      <c r="X39" s="174" t="str">
        <f>SupplyChain_Tier1_Frontend[[#This Row],[Data type]]</f>
        <v>Spend-based EF</v>
      </c>
      <c r="Y39" s="174" t="s">
        <v>339</v>
      </c>
      <c r="Z39" s="174" t="s">
        <v>198</v>
      </c>
      <c r="AA39" s="229" cm="1">
        <f t="array" aca="1" ref="AA39" ca="1">INDEX(_xlfn.SWITCH(SupplyChain_Tier1_Backend[[#This Row],[Methodology]],"Tier 1",rng_RSD1,"Tier 2",rng_RSD2,"Tier 3",rng_RSD3),MATCH(_xlfn.CONCAT(SupplyChain_Tier1_Backend[[#This Row],[Level 1]:[Level 6]]),rng_LevelsConcat,0))</f>
        <v>0.25</v>
      </c>
      <c r="AB39" s="220">
        <f>SupplyChain_Tier1_Frontend[[#This Row],[Data]]</f>
        <v>0</v>
      </c>
      <c r="AC39" s="220" t="str">
        <f>SupplyChain_Tier1_Frontend[[#This Row],[Units]]</f>
        <v>£</v>
      </c>
      <c r="AD3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39" s="174" t="str">
        <f>SupplyChain_Tier1_Frontend[[#This Row],[Units]]</f>
        <v>£</v>
      </c>
      <c r="AF39" s="210">
        <f ca="1">_xlfn.XLOOKUP(_xlfn.CONCAT(SupplyChain_Tier1_Backend[[#This Row],[Level 1]:[Level 6]]),rng_EFConcat,rng_EF1)*SupplyChain_Tier1_Backend[[#This Row],[Converted data]]/1000</f>
        <v>0</v>
      </c>
      <c r="AG39" s="210">
        <f ca="1">_xlfn.XLOOKUP(_xlfn.CONCAT(SupplyChain_Tier1_Backend[[#This Row],[Level 1]:[Level 6]]),rng_EFConcat,rng_EF2)*SupplyChain_Tier1_Backend[[#This Row],[Converted data]]/1000</f>
        <v>0</v>
      </c>
      <c r="AH39" s="210">
        <f ca="1">_xlfn.XLOOKUP(_xlfn.CONCAT(SupplyChain_Tier1_Backend[[#This Row],[Level 1]:[Level 6]]),rng_EFConcat,rng_EF3)*SupplyChain_Tier1_Backend[[#This Row],[Converted data]]/1000</f>
        <v>0</v>
      </c>
      <c r="AI39" s="210">
        <f ca="1">_xlfn.XLOOKUP(_xlfn.CONCAT(SupplyChain_Tier1_Backend[[#This Row],[Level 1]:[Level 6]]),rng_EFConcat,rng_EF3WTT)*SupplyChain_Tier1_Backend[[#This Row],[Converted data]]/1000</f>
        <v>0</v>
      </c>
      <c r="AJ39" s="210">
        <f ca="1">_xlfn.XLOOKUP(_xlfn.CONCAT(SupplyChain_Tier1_Backend[[#This Row],[Level 1]:[Level 6]]),rng_EFConcat,rng_EF3TD)*SupplyChain_Tier1_Backend[[#This Row],[Converted data]]/1000</f>
        <v>0</v>
      </c>
      <c r="AK39" s="210">
        <f ca="1">_xlfn.XLOOKUP(_xlfn.CONCAT(SupplyChain_Tier1_Backend[[#This Row],[Level 1]:[Level 6]]),rng_EFConcat,rng_EF3WTTTD)*SupplyChain_Tier1_Backend[[#This Row],[Converted data]]/1000</f>
        <v>0</v>
      </c>
      <c r="AL39" s="220" t="str">
        <f>IF($G39="","", SUM(SupplyChain_Tier1_Backend[[#This Row],[Scope 1 (tCO2e)]:[Scope 3 WTT T&amp;D (tCO2e)]]))</f>
        <v/>
      </c>
      <c r="AM39" s="220" t="str">
        <f>IF($G39="","", SupplyChain_Tier1_Backend[[#This Row],[Total (tCO2e)]]*(1-SupplyChain_Tier1_Backend[[#This Row],[RSD]]))</f>
        <v/>
      </c>
      <c r="AN39" s="220" t="str">
        <f>IF($G39="","", SupplyChain_Tier1_Backend[[#This Row],[Total (tCO2e)]]*(1+SupplyChain_Tier1_Backend[[#This Row],[RSD]]))</f>
        <v/>
      </c>
      <c r="AO39" s="210">
        <f ca="1">_xlfn.XLOOKUP(_xlfn.CONCAT(SupplyChain_Tier1_Backend[[#This Row],[Level 1]:[Level 6]]),rng_EFConcat,rng_EFOOS)*SupplyChain_Tier1_Backend[[#This Row],[Converted data]]/1000</f>
        <v>0</v>
      </c>
      <c r="AP39" s="174">
        <f>SupplyChain_Tier1_Frontend[[#This Row],[Ease of collection]]</f>
        <v>0</v>
      </c>
      <c r="AQ39" s="213">
        <f>SupplyChain_Tier1_Frontend[[#This Row],[Completeness]]</f>
        <v>0</v>
      </c>
      <c r="AR39" s="213">
        <f>SupplyChain_Tier1_Frontend[[#This Row],[Notes]]</f>
        <v>0</v>
      </c>
    </row>
    <row r="40" spans="2:44" ht="28.5" x14ac:dyDescent="0.35">
      <c r="B40" s="169"/>
      <c r="E40" s="236" t="s">
        <v>226</v>
      </c>
      <c r="F40" s="178" t="s">
        <v>1761</v>
      </c>
      <c r="G40" s="334"/>
      <c r="H40" s="172" t="s">
        <v>383</v>
      </c>
      <c r="I40" s="172" t="s">
        <v>384</v>
      </c>
      <c r="J40" s="336"/>
      <c r="K40" s="336"/>
      <c r="L40" s="337"/>
      <c r="M40" s="242">
        <f t="shared" si="1"/>
        <v>0</v>
      </c>
      <c r="N40"/>
      <c r="O40"/>
      <c r="Q40" s="211" t="str">
        <f t="shared" si="0"/>
        <v/>
      </c>
      <c r="R40" s="174" t="s">
        <v>267</v>
      </c>
      <c r="S40" s="174" t="s">
        <v>385</v>
      </c>
      <c r="T40" s="174" t="str" cm="1">
        <f t="array" aca="1" ref="T40" ca="1">_xlfn.XLOOKUP(SupplyChain_Tier1_Backend[[#This Row],[Level 2]],rng_Level2Long,rng_Level3Long)</f>
        <v>Supply chain</v>
      </c>
      <c r="U40" s="174" t="str">
        <f>SupplyChain_Tier1_Frontend[[#This Row],[Category]]</f>
        <v>Manufacturing</v>
      </c>
      <c r="V40" s="174" t="str">
        <f>SupplyChain_Tier1_Frontend[[#This Row],[Product Category]]</f>
        <v>Soap and detergents, cleaning and polishing preparations, perfumes and toilet preparations</v>
      </c>
      <c r="W40" s="174" t="str" cm="1">
        <f t="array" aca="1" ref="W40" ca="1">_xlfn.XLOOKUP(SupplyChain_Tier1_Backend[[#This Row],[Level 5]],rng_Level5Long,rng_Level6Long)</f>
        <v>NaN</v>
      </c>
      <c r="X40" s="174" t="str">
        <f>SupplyChain_Tier1_Frontend[[#This Row],[Data type]]</f>
        <v>Spend-based EF</v>
      </c>
      <c r="Y40" s="174" t="s">
        <v>339</v>
      </c>
      <c r="Z40" s="174" t="s">
        <v>198</v>
      </c>
      <c r="AA40" s="229" cm="1">
        <f t="array" aca="1" ref="AA40" ca="1">INDEX(_xlfn.SWITCH(SupplyChain_Tier1_Backend[[#This Row],[Methodology]],"Tier 1",rng_RSD1,"Tier 2",rng_RSD2,"Tier 3",rng_RSD3),MATCH(_xlfn.CONCAT(SupplyChain_Tier1_Backend[[#This Row],[Level 1]:[Level 6]]),rng_LevelsConcat,0))</f>
        <v>0.25</v>
      </c>
      <c r="AB40" s="220">
        <f>SupplyChain_Tier1_Frontend[[#This Row],[Data]]</f>
        <v>0</v>
      </c>
      <c r="AC40" s="220" t="str">
        <f>SupplyChain_Tier1_Frontend[[#This Row],[Units]]</f>
        <v>£</v>
      </c>
      <c r="AD4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0" s="174" t="str">
        <f>SupplyChain_Tier1_Frontend[[#This Row],[Units]]</f>
        <v>£</v>
      </c>
      <c r="AF40" s="210">
        <f ca="1">_xlfn.XLOOKUP(_xlfn.CONCAT(SupplyChain_Tier1_Backend[[#This Row],[Level 1]:[Level 6]]),rng_EFConcat,rng_EF1)*SupplyChain_Tier1_Backend[[#This Row],[Converted data]]/1000</f>
        <v>0</v>
      </c>
      <c r="AG40" s="210">
        <f ca="1">_xlfn.XLOOKUP(_xlfn.CONCAT(SupplyChain_Tier1_Backend[[#This Row],[Level 1]:[Level 6]]),rng_EFConcat,rng_EF2)*SupplyChain_Tier1_Backend[[#This Row],[Converted data]]/1000</f>
        <v>0</v>
      </c>
      <c r="AH40" s="210">
        <f ca="1">_xlfn.XLOOKUP(_xlfn.CONCAT(SupplyChain_Tier1_Backend[[#This Row],[Level 1]:[Level 6]]),rng_EFConcat,rng_EF3)*SupplyChain_Tier1_Backend[[#This Row],[Converted data]]/1000</f>
        <v>0</v>
      </c>
      <c r="AI40" s="210">
        <f ca="1">_xlfn.XLOOKUP(_xlfn.CONCAT(SupplyChain_Tier1_Backend[[#This Row],[Level 1]:[Level 6]]),rng_EFConcat,rng_EF3WTT)*SupplyChain_Tier1_Backend[[#This Row],[Converted data]]/1000</f>
        <v>0</v>
      </c>
      <c r="AJ40" s="210">
        <f ca="1">_xlfn.XLOOKUP(_xlfn.CONCAT(SupplyChain_Tier1_Backend[[#This Row],[Level 1]:[Level 6]]),rng_EFConcat,rng_EF3TD)*SupplyChain_Tier1_Backend[[#This Row],[Converted data]]/1000</f>
        <v>0</v>
      </c>
      <c r="AK40" s="210">
        <f ca="1">_xlfn.XLOOKUP(_xlfn.CONCAT(SupplyChain_Tier1_Backend[[#This Row],[Level 1]:[Level 6]]),rng_EFConcat,rng_EF3WTTTD)*SupplyChain_Tier1_Backend[[#This Row],[Converted data]]/1000</f>
        <v>0</v>
      </c>
      <c r="AL40" s="220" t="str">
        <f>IF($G40="","", SUM(SupplyChain_Tier1_Backend[[#This Row],[Scope 1 (tCO2e)]:[Scope 3 WTT T&amp;D (tCO2e)]]))</f>
        <v/>
      </c>
      <c r="AM40" s="220" t="str">
        <f>IF($G40="","", SupplyChain_Tier1_Backend[[#This Row],[Total (tCO2e)]]*(1-SupplyChain_Tier1_Backend[[#This Row],[RSD]]))</f>
        <v/>
      </c>
      <c r="AN40" s="220" t="str">
        <f>IF($G40="","", SupplyChain_Tier1_Backend[[#This Row],[Total (tCO2e)]]*(1+SupplyChain_Tier1_Backend[[#This Row],[RSD]]))</f>
        <v/>
      </c>
      <c r="AO40" s="210">
        <f ca="1">_xlfn.XLOOKUP(_xlfn.CONCAT(SupplyChain_Tier1_Backend[[#This Row],[Level 1]:[Level 6]]),rng_EFConcat,rng_EFOOS)*SupplyChain_Tier1_Backend[[#This Row],[Converted data]]/1000</f>
        <v>0</v>
      </c>
      <c r="AP40" s="174">
        <f>SupplyChain_Tier1_Frontend[[#This Row],[Ease of collection]]</f>
        <v>0</v>
      </c>
      <c r="AQ40" s="213">
        <f>SupplyChain_Tier1_Frontend[[#This Row],[Completeness]]</f>
        <v>0</v>
      </c>
      <c r="AR40" s="213">
        <f>SupplyChain_Tier1_Frontend[[#This Row],[Notes]]</f>
        <v>0</v>
      </c>
    </row>
    <row r="41" spans="2:44" ht="14.5" x14ac:dyDescent="0.35">
      <c r="B41" s="169"/>
      <c r="E41" s="236" t="s">
        <v>226</v>
      </c>
      <c r="F41" s="178" t="s">
        <v>1762</v>
      </c>
      <c r="G41" s="334"/>
      <c r="H41" s="172" t="s">
        <v>383</v>
      </c>
      <c r="I41" s="172" t="s">
        <v>384</v>
      </c>
      <c r="J41" s="336"/>
      <c r="K41" s="336"/>
      <c r="L41" s="337"/>
      <c r="M41" s="242">
        <f t="shared" si="1"/>
        <v>0</v>
      </c>
      <c r="N41"/>
      <c r="O41"/>
      <c r="Q41" s="211" t="str">
        <f t="shared" si="0"/>
        <v/>
      </c>
      <c r="R41" s="174" t="s">
        <v>267</v>
      </c>
      <c r="S41" s="174" t="s">
        <v>385</v>
      </c>
      <c r="T41" s="174" t="str" cm="1">
        <f t="array" aca="1" ref="T41" ca="1">_xlfn.XLOOKUP(SupplyChain_Tier1_Backend[[#This Row],[Level 2]],rng_Level2Long,rng_Level3Long)</f>
        <v>Supply chain</v>
      </c>
      <c r="U41" s="174" t="str">
        <f>SupplyChain_Tier1_Frontend[[#This Row],[Category]]</f>
        <v>Manufacturing</v>
      </c>
      <c r="V41" s="174" t="str">
        <f>SupplyChain_Tier1_Frontend[[#This Row],[Product Category]]</f>
        <v>Other chemical products</v>
      </c>
      <c r="W41" s="174" t="str" cm="1">
        <f t="array" aca="1" ref="W41" ca="1">_xlfn.XLOOKUP(SupplyChain_Tier1_Backend[[#This Row],[Level 5]],rng_Level5Long,rng_Level6Long)</f>
        <v>NaN</v>
      </c>
      <c r="X41" s="174" t="str">
        <f>SupplyChain_Tier1_Frontend[[#This Row],[Data type]]</f>
        <v>Spend-based EF</v>
      </c>
      <c r="Y41" s="174" t="s">
        <v>339</v>
      </c>
      <c r="Z41" s="174" t="s">
        <v>198</v>
      </c>
      <c r="AA41" s="229" cm="1">
        <f t="array" aca="1" ref="AA41" ca="1">INDEX(_xlfn.SWITCH(SupplyChain_Tier1_Backend[[#This Row],[Methodology]],"Tier 1",rng_RSD1,"Tier 2",rng_RSD2,"Tier 3",rng_RSD3),MATCH(_xlfn.CONCAT(SupplyChain_Tier1_Backend[[#This Row],[Level 1]:[Level 6]]),rng_LevelsConcat,0))</f>
        <v>0.25</v>
      </c>
      <c r="AB41" s="220">
        <f>SupplyChain_Tier1_Frontend[[#This Row],[Data]]</f>
        <v>0</v>
      </c>
      <c r="AC41" s="220" t="str">
        <f>SupplyChain_Tier1_Frontend[[#This Row],[Units]]</f>
        <v>£</v>
      </c>
      <c r="AD4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1" s="174" t="str">
        <f>SupplyChain_Tier1_Frontend[[#This Row],[Units]]</f>
        <v>£</v>
      </c>
      <c r="AF41" s="210">
        <f ca="1">_xlfn.XLOOKUP(_xlfn.CONCAT(SupplyChain_Tier1_Backend[[#This Row],[Level 1]:[Level 6]]),rng_EFConcat,rng_EF1)*SupplyChain_Tier1_Backend[[#This Row],[Converted data]]/1000</f>
        <v>0</v>
      </c>
      <c r="AG41" s="210">
        <f ca="1">_xlfn.XLOOKUP(_xlfn.CONCAT(SupplyChain_Tier1_Backend[[#This Row],[Level 1]:[Level 6]]),rng_EFConcat,rng_EF2)*SupplyChain_Tier1_Backend[[#This Row],[Converted data]]/1000</f>
        <v>0</v>
      </c>
      <c r="AH41" s="210">
        <f ca="1">_xlfn.XLOOKUP(_xlfn.CONCAT(SupplyChain_Tier1_Backend[[#This Row],[Level 1]:[Level 6]]),rng_EFConcat,rng_EF3)*SupplyChain_Tier1_Backend[[#This Row],[Converted data]]/1000</f>
        <v>0</v>
      </c>
      <c r="AI41" s="210">
        <f ca="1">_xlfn.XLOOKUP(_xlfn.CONCAT(SupplyChain_Tier1_Backend[[#This Row],[Level 1]:[Level 6]]),rng_EFConcat,rng_EF3WTT)*SupplyChain_Tier1_Backend[[#This Row],[Converted data]]/1000</f>
        <v>0</v>
      </c>
      <c r="AJ41" s="210">
        <f ca="1">_xlfn.XLOOKUP(_xlfn.CONCAT(SupplyChain_Tier1_Backend[[#This Row],[Level 1]:[Level 6]]),rng_EFConcat,rng_EF3TD)*SupplyChain_Tier1_Backend[[#This Row],[Converted data]]/1000</f>
        <v>0</v>
      </c>
      <c r="AK41" s="210">
        <f ca="1">_xlfn.XLOOKUP(_xlfn.CONCAT(SupplyChain_Tier1_Backend[[#This Row],[Level 1]:[Level 6]]),rng_EFConcat,rng_EF3WTTTD)*SupplyChain_Tier1_Backend[[#This Row],[Converted data]]/1000</f>
        <v>0</v>
      </c>
      <c r="AL41" s="220" t="str">
        <f>IF($G41="","", SUM(SupplyChain_Tier1_Backend[[#This Row],[Scope 1 (tCO2e)]:[Scope 3 WTT T&amp;D (tCO2e)]]))</f>
        <v/>
      </c>
      <c r="AM41" s="220" t="str">
        <f>IF($G41="","", SupplyChain_Tier1_Backend[[#This Row],[Total (tCO2e)]]*(1-SupplyChain_Tier1_Backend[[#This Row],[RSD]]))</f>
        <v/>
      </c>
      <c r="AN41" s="220" t="str">
        <f>IF($G41="","", SupplyChain_Tier1_Backend[[#This Row],[Total (tCO2e)]]*(1+SupplyChain_Tier1_Backend[[#This Row],[RSD]]))</f>
        <v/>
      </c>
      <c r="AO41" s="210">
        <f ca="1">_xlfn.XLOOKUP(_xlfn.CONCAT(SupplyChain_Tier1_Backend[[#This Row],[Level 1]:[Level 6]]),rng_EFConcat,rng_EFOOS)*SupplyChain_Tier1_Backend[[#This Row],[Converted data]]/1000</f>
        <v>0</v>
      </c>
      <c r="AP41" s="174">
        <f>SupplyChain_Tier1_Frontend[[#This Row],[Ease of collection]]</f>
        <v>0</v>
      </c>
      <c r="AQ41" s="213">
        <f>SupplyChain_Tier1_Frontend[[#This Row],[Completeness]]</f>
        <v>0</v>
      </c>
      <c r="AR41" s="213">
        <f>SupplyChain_Tier1_Frontend[[#This Row],[Notes]]</f>
        <v>0</v>
      </c>
    </row>
    <row r="42" spans="2:44" ht="28.5" x14ac:dyDescent="0.35">
      <c r="B42" s="169"/>
      <c r="E42" s="236" t="s">
        <v>226</v>
      </c>
      <c r="F42" s="178" t="s">
        <v>1763</v>
      </c>
      <c r="G42" s="334"/>
      <c r="H42" s="172" t="s">
        <v>383</v>
      </c>
      <c r="I42" s="172" t="s">
        <v>384</v>
      </c>
      <c r="J42" s="336"/>
      <c r="K42" s="336"/>
      <c r="L42" s="337"/>
      <c r="M42" s="242">
        <f t="shared" si="1"/>
        <v>0</v>
      </c>
      <c r="N42"/>
      <c r="O42"/>
      <c r="Q42" s="211" t="str">
        <f t="shared" si="0"/>
        <v/>
      </c>
      <c r="R42" s="174" t="s">
        <v>267</v>
      </c>
      <c r="S42" s="174" t="s">
        <v>385</v>
      </c>
      <c r="T42" s="174" t="str" cm="1">
        <f t="array" aca="1" ref="T42" ca="1">_xlfn.XLOOKUP(SupplyChain_Tier1_Backend[[#This Row],[Level 2]],rng_Level2Long,rng_Level3Long)</f>
        <v>Supply chain</v>
      </c>
      <c r="U42" s="174" t="str">
        <f>SupplyChain_Tier1_Frontend[[#This Row],[Category]]</f>
        <v>Manufacturing</v>
      </c>
      <c r="V42" s="174" t="str">
        <f>SupplyChain_Tier1_Frontend[[#This Row],[Product Category]]</f>
        <v>Industrial gases, inorganics and fertilisers (all inorganic chemicals) - 20.11/13/15</v>
      </c>
      <c r="W42" s="174" t="str" cm="1">
        <f t="array" aca="1" ref="W42" ca="1">_xlfn.XLOOKUP(SupplyChain_Tier1_Backend[[#This Row],[Level 5]],rng_Level5Long,rng_Level6Long)</f>
        <v>NaN</v>
      </c>
      <c r="X42" s="174" t="str">
        <f>SupplyChain_Tier1_Frontend[[#This Row],[Data type]]</f>
        <v>Spend-based EF</v>
      </c>
      <c r="Y42" s="174" t="s">
        <v>339</v>
      </c>
      <c r="Z42" s="174" t="s">
        <v>198</v>
      </c>
      <c r="AA42" s="229" cm="1">
        <f t="array" aca="1" ref="AA42" ca="1">INDEX(_xlfn.SWITCH(SupplyChain_Tier1_Backend[[#This Row],[Methodology]],"Tier 1",rng_RSD1,"Tier 2",rng_RSD2,"Tier 3",rng_RSD3),MATCH(_xlfn.CONCAT(SupplyChain_Tier1_Backend[[#This Row],[Level 1]:[Level 6]]),rng_LevelsConcat,0))</f>
        <v>0.25</v>
      </c>
      <c r="AB42" s="220">
        <f>SupplyChain_Tier1_Frontend[[#This Row],[Data]]</f>
        <v>0</v>
      </c>
      <c r="AC42" s="220" t="str">
        <f>SupplyChain_Tier1_Frontend[[#This Row],[Units]]</f>
        <v>£</v>
      </c>
      <c r="AD4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2" s="174" t="str">
        <f>SupplyChain_Tier1_Frontend[[#This Row],[Units]]</f>
        <v>£</v>
      </c>
      <c r="AF42" s="210">
        <f ca="1">_xlfn.XLOOKUP(_xlfn.CONCAT(SupplyChain_Tier1_Backend[[#This Row],[Level 1]:[Level 6]]),rng_EFConcat,rng_EF1)*SupplyChain_Tier1_Backend[[#This Row],[Converted data]]/1000</f>
        <v>0</v>
      </c>
      <c r="AG42" s="210">
        <f ca="1">_xlfn.XLOOKUP(_xlfn.CONCAT(SupplyChain_Tier1_Backend[[#This Row],[Level 1]:[Level 6]]),rng_EFConcat,rng_EF2)*SupplyChain_Tier1_Backend[[#This Row],[Converted data]]/1000</f>
        <v>0</v>
      </c>
      <c r="AH42" s="210">
        <f ca="1">_xlfn.XLOOKUP(_xlfn.CONCAT(SupplyChain_Tier1_Backend[[#This Row],[Level 1]:[Level 6]]),rng_EFConcat,rng_EF3)*SupplyChain_Tier1_Backend[[#This Row],[Converted data]]/1000</f>
        <v>0</v>
      </c>
      <c r="AI42" s="210">
        <f ca="1">_xlfn.XLOOKUP(_xlfn.CONCAT(SupplyChain_Tier1_Backend[[#This Row],[Level 1]:[Level 6]]),rng_EFConcat,rng_EF3WTT)*SupplyChain_Tier1_Backend[[#This Row],[Converted data]]/1000</f>
        <v>0</v>
      </c>
      <c r="AJ42" s="210">
        <f ca="1">_xlfn.XLOOKUP(_xlfn.CONCAT(SupplyChain_Tier1_Backend[[#This Row],[Level 1]:[Level 6]]),rng_EFConcat,rng_EF3TD)*SupplyChain_Tier1_Backend[[#This Row],[Converted data]]/1000</f>
        <v>0</v>
      </c>
      <c r="AK42" s="210">
        <f ca="1">_xlfn.XLOOKUP(_xlfn.CONCAT(SupplyChain_Tier1_Backend[[#This Row],[Level 1]:[Level 6]]),rng_EFConcat,rng_EF3WTTTD)*SupplyChain_Tier1_Backend[[#This Row],[Converted data]]/1000</f>
        <v>0</v>
      </c>
      <c r="AL42" s="220" t="str">
        <f>IF($G42="","", SUM(SupplyChain_Tier1_Backend[[#This Row],[Scope 1 (tCO2e)]:[Scope 3 WTT T&amp;D (tCO2e)]]))</f>
        <v/>
      </c>
      <c r="AM42" s="220" t="str">
        <f>IF($G42="","", SupplyChain_Tier1_Backend[[#This Row],[Total (tCO2e)]]*(1-SupplyChain_Tier1_Backend[[#This Row],[RSD]]))</f>
        <v/>
      </c>
      <c r="AN42" s="220" t="str">
        <f>IF($G42="","", SupplyChain_Tier1_Backend[[#This Row],[Total (tCO2e)]]*(1+SupplyChain_Tier1_Backend[[#This Row],[RSD]]))</f>
        <v/>
      </c>
      <c r="AO42" s="210">
        <f ca="1">_xlfn.XLOOKUP(_xlfn.CONCAT(SupplyChain_Tier1_Backend[[#This Row],[Level 1]:[Level 6]]),rng_EFConcat,rng_EFOOS)*SupplyChain_Tier1_Backend[[#This Row],[Converted data]]/1000</f>
        <v>0</v>
      </c>
      <c r="AP42" s="174">
        <f>SupplyChain_Tier1_Frontend[[#This Row],[Ease of collection]]</f>
        <v>0</v>
      </c>
      <c r="AQ42" s="213">
        <f>SupplyChain_Tier1_Frontend[[#This Row],[Completeness]]</f>
        <v>0</v>
      </c>
      <c r="AR42" s="213">
        <f>SupplyChain_Tier1_Frontend[[#This Row],[Notes]]</f>
        <v>0</v>
      </c>
    </row>
    <row r="43" spans="2:44" ht="14.5" x14ac:dyDescent="0.35">
      <c r="B43" s="169"/>
      <c r="E43" s="236" t="s">
        <v>226</v>
      </c>
      <c r="F43" s="178" t="s">
        <v>1764</v>
      </c>
      <c r="G43" s="334"/>
      <c r="H43" s="172" t="s">
        <v>383</v>
      </c>
      <c r="I43" s="172" t="s">
        <v>384</v>
      </c>
      <c r="J43" s="336"/>
      <c r="K43" s="336"/>
      <c r="L43" s="337"/>
      <c r="M43" s="242">
        <f t="shared" si="1"/>
        <v>0</v>
      </c>
      <c r="N43"/>
      <c r="O43"/>
      <c r="Q43" s="211" t="str">
        <f t="shared" si="0"/>
        <v/>
      </c>
      <c r="R43" s="174" t="s">
        <v>267</v>
      </c>
      <c r="S43" s="174" t="s">
        <v>385</v>
      </c>
      <c r="T43" s="174" t="str" cm="1">
        <f t="array" aca="1" ref="T43" ca="1">_xlfn.XLOOKUP(SupplyChain_Tier1_Backend[[#This Row],[Level 2]],rng_Level2Long,rng_Level3Long)</f>
        <v>Supply chain</v>
      </c>
      <c r="U43" s="174" t="str">
        <f>SupplyChain_Tier1_Frontend[[#This Row],[Category]]</f>
        <v>Manufacturing</v>
      </c>
      <c r="V43" s="174" t="str">
        <f>SupplyChain_Tier1_Frontend[[#This Row],[Product Category]]</f>
        <v>Petrochemicals - 20.14/16/17/60</v>
      </c>
      <c r="W43" s="174" t="str" cm="1">
        <f t="array" aca="1" ref="W43" ca="1">_xlfn.XLOOKUP(SupplyChain_Tier1_Backend[[#This Row],[Level 5]],rng_Level5Long,rng_Level6Long)</f>
        <v>NaN</v>
      </c>
      <c r="X43" s="174" t="str">
        <f>SupplyChain_Tier1_Frontend[[#This Row],[Data type]]</f>
        <v>Spend-based EF</v>
      </c>
      <c r="Y43" s="174" t="s">
        <v>339</v>
      </c>
      <c r="Z43" s="174" t="s">
        <v>198</v>
      </c>
      <c r="AA43" s="229" cm="1">
        <f t="array" aca="1" ref="AA43" ca="1">INDEX(_xlfn.SWITCH(SupplyChain_Tier1_Backend[[#This Row],[Methodology]],"Tier 1",rng_RSD1,"Tier 2",rng_RSD2,"Tier 3",rng_RSD3),MATCH(_xlfn.CONCAT(SupplyChain_Tier1_Backend[[#This Row],[Level 1]:[Level 6]]),rng_LevelsConcat,0))</f>
        <v>0.25</v>
      </c>
      <c r="AB43" s="220">
        <f>SupplyChain_Tier1_Frontend[[#This Row],[Data]]</f>
        <v>0</v>
      </c>
      <c r="AC43" s="220" t="str">
        <f>SupplyChain_Tier1_Frontend[[#This Row],[Units]]</f>
        <v>£</v>
      </c>
      <c r="AD4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3" s="174" t="str">
        <f>SupplyChain_Tier1_Frontend[[#This Row],[Units]]</f>
        <v>£</v>
      </c>
      <c r="AF43" s="210">
        <f ca="1">_xlfn.XLOOKUP(_xlfn.CONCAT(SupplyChain_Tier1_Backend[[#This Row],[Level 1]:[Level 6]]),rng_EFConcat,rng_EF1)*SupplyChain_Tier1_Backend[[#This Row],[Converted data]]/1000</f>
        <v>0</v>
      </c>
      <c r="AG43" s="210">
        <f ca="1">_xlfn.XLOOKUP(_xlfn.CONCAT(SupplyChain_Tier1_Backend[[#This Row],[Level 1]:[Level 6]]),rng_EFConcat,rng_EF2)*SupplyChain_Tier1_Backend[[#This Row],[Converted data]]/1000</f>
        <v>0</v>
      </c>
      <c r="AH43" s="210">
        <f ca="1">_xlfn.XLOOKUP(_xlfn.CONCAT(SupplyChain_Tier1_Backend[[#This Row],[Level 1]:[Level 6]]),rng_EFConcat,rng_EF3)*SupplyChain_Tier1_Backend[[#This Row],[Converted data]]/1000</f>
        <v>0</v>
      </c>
      <c r="AI43" s="210">
        <f ca="1">_xlfn.XLOOKUP(_xlfn.CONCAT(SupplyChain_Tier1_Backend[[#This Row],[Level 1]:[Level 6]]),rng_EFConcat,rng_EF3WTT)*SupplyChain_Tier1_Backend[[#This Row],[Converted data]]/1000</f>
        <v>0</v>
      </c>
      <c r="AJ43" s="210">
        <f ca="1">_xlfn.XLOOKUP(_xlfn.CONCAT(SupplyChain_Tier1_Backend[[#This Row],[Level 1]:[Level 6]]),rng_EFConcat,rng_EF3TD)*SupplyChain_Tier1_Backend[[#This Row],[Converted data]]/1000</f>
        <v>0</v>
      </c>
      <c r="AK43" s="210">
        <f ca="1">_xlfn.XLOOKUP(_xlfn.CONCAT(SupplyChain_Tier1_Backend[[#This Row],[Level 1]:[Level 6]]),rng_EFConcat,rng_EF3WTTTD)*SupplyChain_Tier1_Backend[[#This Row],[Converted data]]/1000</f>
        <v>0</v>
      </c>
      <c r="AL43" s="220" t="str">
        <f>IF($G43="","", SUM(SupplyChain_Tier1_Backend[[#This Row],[Scope 1 (tCO2e)]:[Scope 3 WTT T&amp;D (tCO2e)]]))</f>
        <v/>
      </c>
      <c r="AM43" s="220" t="str">
        <f>IF($G43="","", SupplyChain_Tier1_Backend[[#This Row],[Total (tCO2e)]]*(1-SupplyChain_Tier1_Backend[[#This Row],[RSD]]))</f>
        <v/>
      </c>
      <c r="AN43" s="220" t="str">
        <f>IF($G43="","", SupplyChain_Tier1_Backend[[#This Row],[Total (tCO2e)]]*(1+SupplyChain_Tier1_Backend[[#This Row],[RSD]]))</f>
        <v/>
      </c>
      <c r="AO43" s="210">
        <f ca="1">_xlfn.XLOOKUP(_xlfn.CONCAT(SupplyChain_Tier1_Backend[[#This Row],[Level 1]:[Level 6]]),rng_EFConcat,rng_EFOOS)*SupplyChain_Tier1_Backend[[#This Row],[Converted data]]/1000</f>
        <v>0</v>
      </c>
      <c r="AP43" s="174">
        <f>SupplyChain_Tier1_Frontend[[#This Row],[Ease of collection]]</f>
        <v>0</v>
      </c>
      <c r="AQ43" s="213">
        <f>SupplyChain_Tier1_Frontend[[#This Row],[Completeness]]</f>
        <v>0</v>
      </c>
      <c r="AR43" s="213">
        <f>SupplyChain_Tier1_Frontend[[#This Row],[Notes]]</f>
        <v>0</v>
      </c>
    </row>
    <row r="44" spans="2:44" ht="14.5" x14ac:dyDescent="0.35">
      <c r="B44" s="169"/>
      <c r="E44" s="236" t="s">
        <v>226</v>
      </c>
      <c r="F44" s="178" t="s">
        <v>1765</v>
      </c>
      <c r="G44" s="334"/>
      <c r="H44" s="172" t="s">
        <v>383</v>
      </c>
      <c r="I44" s="172" t="s">
        <v>384</v>
      </c>
      <c r="J44" s="336"/>
      <c r="K44" s="336"/>
      <c r="L44" s="337"/>
      <c r="M44" s="242">
        <f t="shared" si="1"/>
        <v>0</v>
      </c>
      <c r="N44"/>
      <c r="O44"/>
      <c r="Q44" s="211" t="str">
        <f t="shared" si="0"/>
        <v/>
      </c>
      <c r="R44" s="174" t="s">
        <v>267</v>
      </c>
      <c r="S44" s="174" t="s">
        <v>385</v>
      </c>
      <c r="T44" s="174" t="str" cm="1">
        <f t="array" aca="1" ref="T44" ca="1">_xlfn.XLOOKUP(SupplyChain_Tier1_Backend[[#This Row],[Level 2]],rng_Level2Long,rng_Level3Long)</f>
        <v>Supply chain</v>
      </c>
      <c r="U44" s="174" t="str">
        <f>SupplyChain_Tier1_Frontend[[#This Row],[Category]]</f>
        <v>Manufacturing</v>
      </c>
      <c r="V44" s="174" t="str">
        <f>SupplyChain_Tier1_Frontend[[#This Row],[Product Category]]</f>
        <v>Dyestuffs, agro-chemicals - 20.12/20</v>
      </c>
      <c r="W44" s="174" t="str" cm="1">
        <f t="array" aca="1" ref="W44" ca="1">_xlfn.XLOOKUP(SupplyChain_Tier1_Backend[[#This Row],[Level 5]],rng_Level5Long,rng_Level6Long)</f>
        <v>NaN</v>
      </c>
      <c r="X44" s="174" t="str">
        <f>SupplyChain_Tier1_Frontend[[#This Row],[Data type]]</f>
        <v>Spend-based EF</v>
      </c>
      <c r="Y44" s="174" t="s">
        <v>339</v>
      </c>
      <c r="Z44" s="174" t="s">
        <v>198</v>
      </c>
      <c r="AA44" s="229" cm="1">
        <f t="array" aca="1" ref="AA44" ca="1">INDEX(_xlfn.SWITCH(SupplyChain_Tier1_Backend[[#This Row],[Methodology]],"Tier 1",rng_RSD1,"Tier 2",rng_RSD2,"Tier 3",rng_RSD3),MATCH(_xlfn.CONCAT(SupplyChain_Tier1_Backend[[#This Row],[Level 1]:[Level 6]]),rng_LevelsConcat,0))</f>
        <v>0.25</v>
      </c>
      <c r="AB44" s="220">
        <f>SupplyChain_Tier1_Frontend[[#This Row],[Data]]</f>
        <v>0</v>
      </c>
      <c r="AC44" s="220" t="str">
        <f>SupplyChain_Tier1_Frontend[[#This Row],[Units]]</f>
        <v>£</v>
      </c>
      <c r="AD4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4" s="174" t="str">
        <f>SupplyChain_Tier1_Frontend[[#This Row],[Units]]</f>
        <v>£</v>
      </c>
      <c r="AF44" s="210">
        <f ca="1">_xlfn.XLOOKUP(_xlfn.CONCAT(SupplyChain_Tier1_Backend[[#This Row],[Level 1]:[Level 6]]),rng_EFConcat,rng_EF1)*SupplyChain_Tier1_Backend[[#This Row],[Converted data]]/1000</f>
        <v>0</v>
      </c>
      <c r="AG44" s="210">
        <f ca="1">_xlfn.XLOOKUP(_xlfn.CONCAT(SupplyChain_Tier1_Backend[[#This Row],[Level 1]:[Level 6]]),rng_EFConcat,rng_EF2)*SupplyChain_Tier1_Backend[[#This Row],[Converted data]]/1000</f>
        <v>0</v>
      </c>
      <c r="AH44" s="210">
        <f ca="1">_xlfn.XLOOKUP(_xlfn.CONCAT(SupplyChain_Tier1_Backend[[#This Row],[Level 1]:[Level 6]]),rng_EFConcat,rng_EF3)*SupplyChain_Tier1_Backend[[#This Row],[Converted data]]/1000</f>
        <v>0</v>
      </c>
      <c r="AI44" s="210">
        <f ca="1">_xlfn.XLOOKUP(_xlfn.CONCAT(SupplyChain_Tier1_Backend[[#This Row],[Level 1]:[Level 6]]),rng_EFConcat,rng_EF3WTT)*SupplyChain_Tier1_Backend[[#This Row],[Converted data]]/1000</f>
        <v>0</v>
      </c>
      <c r="AJ44" s="210">
        <f ca="1">_xlfn.XLOOKUP(_xlfn.CONCAT(SupplyChain_Tier1_Backend[[#This Row],[Level 1]:[Level 6]]),rng_EFConcat,rng_EF3TD)*SupplyChain_Tier1_Backend[[#This Row],[Converted data]]/1000</f>
        <v>0</v>
      </c>
      <c r="AK44" s="210">
        <f ca="1">_xlfn.XLOOKUP(_xlfn.CONCAT(SupplyChain_Tier1_Backend[[#This Row],[Level 1]:[Level 6]]),rng_EFConcat,rng_EF3WTTTD)*SupplyChain_Tier1_Backend[[#This Row],[Converted data]]/1000</f>
        <v>0</v>
      </c>
      <c r="AL44" s="220" t="str">
        <f>IF($G44="","", SUM(SupplyChain_Tier1_Backend[[#This Row],[Scope 1 (tCO2e)]:[Scope 3 WTT T&amp;D (tCO2e)]]))</f>
        <v/>
      </c>
      <c r="AM44" s="220" t="str">
        <f>IF($G44="","", SupplyChain_Tier1_Backend[[#This Row],[Total (tCO2e)]]*(1-SupplyChain_Tier1_Backend[[#This Row],[RSD]]))</f>
        <v/>
      </c>
      <c r="AN44" s="220" t="str">
        <f>IF($G44="","", SupplyChain_Tier1_Backend[[#This Row],[Total (tCO2e)]]*(1+SupplyChain_Tier1_Backend[[#This Row],[RSD]]))</f>
        <v/>
      </c>
      <c r="AO44" s="210">
        <f ca="1">_xlfn.XLOOKUP(_xlfn.CONCAT(SupplyChain_Tier1_Backend[[#This Row],[Level 1]:[Level 6]]),rng_EFConcat,rng_EFOOS)*SupplyChain_Tier1_Backend[[#This Row],[Converted data]]/1000</f>
        <v>0</v>
      </c>
      <c r="AP44" s="174">
        <f>SupplyChain_Tier1_Frontend[[#This Row],[Ease of collection]]</f>
        <v>0</v>
      </c>
      <c r="AQ44" s="213">
        <f>SupplyChain_Tier1_Frontend[[#This Row],[Completeness]]</f>
        <v>0</v>
      </c>
      <c r="AR44" s="213">
        <f>SupplyChain_Tier1_Frontend[[#This Row],[Notes]]</f>
        <v>0</v>
      </c>
    </row>
    <row r="45" spans="2:44" ht="28.5" x14ac:dyDescent="0.35">
      <c r="B45" s="169"/>
      <c r="E45" s="236" t="s">
        <v>226</v>
      </c>
      <c r="F45" s="178" t="s">
        <v>1766</v>
      </c>
      <c r="G45" s="334"/>
      <c r="H45" s="172" t="s">
        <v>383</v>
      </c>
      <c r="I45" s="172" t="s">
        <v>384</v>
      </c>
      <c r="J45" s="336"/>
      <c r="K45" s="336"/>
      <c r="L45" s="337"/>
      <c r="M45" s="242">
        <f t="shared" si="1"/>
        <v>0</v>
      </c>
      <c r="N45"/>
      <c r="O45"/>
      <c r="Q45" s="211" t="str">
        <f t="shared" si="0"/>
        <v/>
      </c>
      <c r="R45" s="174" t="s">
        <v>267</v>
      </c>
      <c r="S45" s="174" t="s">
        <v>385</v>
      </c>
      <c r="T45" s="174" t="str" cm="1">
        <f t="array" aca="1" ref="T45" ca="1">_xlfn.XLOOKUP(SupplyChain_Tier1_Backend[[#This Row],[Level 2]],rng_Level2Long,rng_Level3Long)</f>
        <v>Supply chain</v>
      </c>
      <c r="U45" s="174" t="str">
        <f>SupplyChain_Tier1_Frontend[[#This Row],[Category]]</f>
        <v>Manufacturing</v>
      </c>
      <c r="V45" s="174" t="str">
        <f>SupplyChain_Tier1_Frontend[[#This Row],[Product Category]]</f>
        <v>Basic pharmaceutical products and pharmaceutical preparations</v>
      </c>
      <c r="W45" s="174" t="str" cm="1">
        <f t="array" aca="1" ref="W45" ca="1">_xlfn.XLOOKUP(SupplyChain_Tier1_Backend[[#This Row],[Level 5]],rng_Level5Long,rng_Level6Long)</f>
        <v>NaN</v>
      </c>
      <c r="X45" s="174" t="str">
        <f>SupplyChain_Tier1_Frontend[[#This Row],[Data type]]</f>
        <v>Spend-based EF</v>
      </c>
      <c r="Y45" s="174" t="s">
        <v>339</v>
      </c>
      <c r="Z45" s="174" t="s">
        <v>198</v>
      </c>
      <c r="AA45" s="229" cm="1">
        <f t="array" aca="1" ref="AA45" ca="1">INDEX(_xlfn.SWITCH(SupplyChain_Tier1_Backend[[#This Row],[Methodology]],"Tier 1",rng_RSD1,"Tier 2",rng_RSD2,"Tier 3",rng_RSD3),MATCH(_xlfn.CONCAT(SupplyChain_Tier1_Backend[[#This Row],[Level 1]:[Level 6]]),rng_LevelsConcat,0))</f>
        <v>0.25</v>
      </c>
      <c r="AB45" s="220">
        <f>SupplyChain_Tier1_Frontend[[#This Row],[Data]]</f>
        <v>0</v>
      </c>
      <c r="AC45" s="220" t="str">
        <f>SupplyChain_Tier1_Frontend[[#This Row],[Units]]</f>
        <v>£</v>
      </c>
      <c r="AD4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5" s="174" t="str">
        <f>SupplyChain_Tier1_Frontend[[#This Row],[Units]]</f>
        <v>£</v>
      </c>
      <c r="AF45" s="210">
        <f ca="1">_xlfn.XLOOKUP(_xlfn.CONCAT(SupplyChain_Tier1_Backend[[#This Row],[Level 1]:[Level 6]]),rng_EFConcat,rng_EF1)*SupplyChain_Tier1_Backend[[#This Row],[Converted data]]/1000</f>
        <v>0</v>
      </c>
      <c r="AG45" s="210">
        <f ca="1">_xlfn.XLOOKUP(_xlfn.CONCAT(SupplyChain_Tier1_Backend[[#This Row],[Level 1]:[Level 6]]),rng_EFConcat,rng_EF2)*SupplyChain_Tier1_Backend[[#This Row],[Converted data]]/1000</f>
        <v>0</v>
      </c>
      <c r="AH45" s="210">
        <f ca="1">_xlfn.XLOOKUP(_xlfn.CONCAT(SupplyChain_Tier1_Backend[[#This Row],[Level 1]:[Level 6]]),rng_EFConcat,rng_EF3)*SupplyChain_Tier1_Backend[[#This Row],[Converted data]]/1000</f>
        <v>0</v>
      </c>
      <c r="AI45" s="210">
        <f ca="1">_xlfn.XLOOKUP(_xlfn.CONCAT(SupplyChain_Tier1_Backend[[#This Row],[Level 1]:[Level 6]]),rng_EFConcat,rng_EF3WTT)*SupplyChain_Tier1_Backend[[#This Row],[Converted data]]/1000</f>
        <v>0</v>
      </c>
      <c r="AJ45" s="210">
        <f ca="1">_xlfn.XLOOKUP(_xlfn.CONCAT(SupplyChain_Tier1_Backend[[#This Row],[Level 1]:[Level 6]]),rng_EFConcat,rng_EF3TD)*SupplyChain_Tier1_Backend[[#This Row],[Converted data]]/1000</f>
        <v>0</v>
      </c>
      <c r="AK45" s="210">
        <f ca="1">_xlfn.XLOOKUP(_xlfn.CONCAT(SupplyChain_Tier1_Backend[[#This Row],[Level 1]:[Level 6]]),rng_EFConcat,rng_EF3WTTTD)*SupplyChain_Tier1_Backend[[#This Row],[Converted data]]/1000</f>
        <v>0</v>
      </c>
      <c r="AL45" s="220" t="str">
        <f>IF($G45="","", SUM(SupplyChain_Tier1_Backend[[#This Row],[Scope 1 (tCO2e)]:[Scope 3 WTT T&amp;D (tCO2e)]]))</f>
        <v/>
      </c>
      <c r="AM45" s="220" t="str">
        <f>IF($G45="","", SupplyChain_Tier1_Backend[[#This Row],[Total (tCO2e)]]*(1-SupplyChain_Tier1_Backend[[#This Row],[RSD]]))</f>
        <v/>
      </c>
      <c r="AN45" s="220" t="str">
        <f>IF($G45="","", SupplyChain_Tier1_Backend[[#This Row],[Total (tCO2e)]]*(1+SupplyChain_Tier1_Backend[[#This Row],[RSD]]))</f>
        <v/>
      </c>
      <c r="AO45" s="210">
        <f ca="1">_xlfn.XLOOKUP(_xlfn.CONCAT(SupplyChain_Tier1_Backend[[#This Row],[Level 1]:[Level 6]]),rng_EFConcat,rng_EFOOS)*SupplyChain_Tier1_Backend[[#This Row],[Converted data]]/1000</f>
        <v>0</v>
      </c>
      <c r="AP45" s="174">
        <f>SupplyChain_Tier1_Frontend[[#This Row],[Ease of collection]]</f>
        <v>0</v>
      </c>
      <c r="AQ45" s="213">
        <f>SupplyChain_Tier1_Frontend[[#This Row],[Completeness]]</f>
        <v>0</v>
      </c>
      <c r="AR45" s="213">
        <f>SupplyChain_Tier1_Frontend[[#This Row],[Notes]]</f>
        <v>0</v>
      </c>
    </row>
    <row r="46" spans="2:44" ht="14.5" x14ac:dyDescent="0.35">
      <c r="B46" s="169"/>
      <c r="E46" s="236" t="s">
        <v>226</v>
      </c>
      <c r="F46" s="178" t="s">
        <v>1767</v>
      </c>
      <c r="G46" s="334"/>
      <c r="H46" s="172" t="s">
        <v>383</v>
      </c>
      <c r="I46" s="172" t="s">
        <v>384</v>
      </c>
      <c r="J46" s="336"/>
      <c r="K46" s="336"/>
      <c r="L46" s="337"/>
      <c r="M46" s="242">
        <f t="shared" si="1"/>
        <v>0</v>
      </c>
      <c r="N46"/>
      <c r="O46"/>
      <c r="Q46" s="211" t="str">
        <f t="shared" ref="Q46:Q77" si="2">IF(M46=1,SUBSTITUTE(2025&amp;TRIM(cl_org_name_select)&amp;TRIM($E$11)&amp;(ROW(M46)-ROW($M$14))," ",""),"")</f>
        <v/>
      </c>
      <c r="R46" s="174" t="s">
        <v>267</v>
      </c>
      <c r="S46" s="174" t="s">
        <v>385</v>
      </c>
      <c r="T46" s="174" t="str" cm="1">
        <f t="array" aca="1" ref="T46" ca="1">_xlfn.XLOOKUP(SupplyChain_Tier1_Backend[[#This Row],[Level 2]],rng_Level2Long,rng_Level3Long)</f>
        <v>Supply chain</v>
      </c>
      <c r="U46" s="174" t="str">
        <f>SupplyChain_Tier1_Frontend[[#This Row],[Category]]</f>
        <v>Manufacturing</v>
      </c>
      <c r="V46" s="174" t="str">
        <f>SupplyChain_Tier1_Frontend[[#This Row],[Product Category]]</f>
        <v>Rubber and plastic products</v>
      </c>
      <c r="W46" s="174" t="str" cm="1">
        <f t="array" aca="1" ref="W46" ca="1">_xlfn.XLOOKUP(SupplyChain_Tier1_Backend[[#This Row],[Level 5]],rng_Level5Long,rng_Level6Long)</f>
        <v>NaN</v>
      </c>
      <c r="X46" s="174" t="str">
        <f>SupplyChain_Tier1_Frontend[[#This Row],[Data type]]</f>
        <v>Spend-based EF</v>
      </c>
      <c r="Y46" s="174" t="s">
        <v>339</v>
      </c>
      <c r="Z46" s="174" t="s">
        <v>198</v>
      </c>
      <c r="AA46" s="229" cm="1">
        <f t="array" aca="1" ref="AA46" ca="1">INDEX(_xlfn.SWITCH(SupplyChain_Tier1_Backend[[#This Row],[Methodology]],"Tier 1",rng_RSD1,"Tier 2",rng_RSD2,"Tier 3",rng_RSD3),MATCH(_xlfn.CONCAT(SupplyChain_Tier1_Backend[[#This Row],[Level 1]:[Level 6]]),rng_LevelsConcat,0))</f>
        <v>0.25</v>
      </c>
      <c r="AB46" s="220">
        <f>SupplyChain_Tier1_Frontend[[#This Row],[Data]]</f>
        <v>0</v>
      </c>
      <c r="AC46" s="220" t="str">
        <f>SupplyChain_Tier1_Frontend[[#This Row],[Units]]</f>
        <v>£</v>
      </c>
      <c r="AD4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6" s="174" t="str">
        <f>SupplyChain_Tier1_Frontend[[#This Row],[Units]]</f>
        <v>£</v>
      </c>
      <c r="AF46" s="210">
        <f ca="1">_xlfn.XLOOKUP(_xlfn.CONCAT(SupplyChain_Tier1_Backend[[#This Row],[Level 1]:[Level 6]]),rng_EFConcat,rng_EF1)*SupplyChain_Tier1_Backend[[#This Row],[Converted data]]/1000</f>
        <v>0</v>
      </c>
      <c r="AG46" s="210">
        <f ca="1">_xlfn.XLOOKUP(_xlfn.CONCAT(SupplyChain_Tier1_Backend[[#This Row],[Level 1]:[Level 6]]),rng_EFConcat,rng_EF2)*SupplyChain_Tier1_Backend[[#This Row],[Converted data]]/1000</f>
        <v>0</v>
      </c>
      <c r="AH46" s="210">
        <f ca="1">_xlfn.XLOOKUP(_xlfn.CONCAT(SupplyChain_Tier1_Backend[[#This Row],[Level 1]:[Level 6]]),rng_EFConcat,rng_EF3)*SupplyChain_Tier1_Backend[[#This Row],[Converted data]]/1000</f>
        <v>0</v>
      </c>
      <c r="AI46" s="210">
        <f ca="1">_xlfn.XLOOKUP(_xlfn.CONCAT(SupplyChain_Tier1_Backend[[#This Row],[Level 1]:[Level 6]]),rng_EFConcat,rng_EF3WTT)*SupplyChain_Tier1_Backend[[#This Row],[Converted data]]/1000</f>
        <v>0</v>
      </c>
      <c r="AJ46" s="210">
        <f ca="1">_xlfn.XLOOKUP(_xlfn.CONCAT(SupplyChain_Tier1_Backend[[#This Row],[Level 1]:[Level 6]]),rng_EFConcat,rng_EF3TD)*SupplyChain_Tier1_Backend[[#This Row],[Converted data]]/1000</f>
        <v>0</v>
      </c>
      <c r="AK46" s="210">
        <f ca="1">_xlfn.XLOOKUP(_xlfn.CONCAT(SupplyChain_Tier1_Backend[[#This Row],[Level 1]:[Level 6]]),rng_EFConcat,rng_EF3WTTTD)*SupplyChain_Tier1_Backend[[#This Row],[Converted data]]/1000</f>
        <v>0</v>
      </c>
      <c r="AL46" s="220" t="str">
        <f>IF($G46="","", SUM(SupplyChain_Tier1_Backend[[#This Row],[Scope 1 (tCO2e)]:[Scope 3 WTT T&amp;D (tCO2e)]]))</f>
        <v/>
      </c>
      <c r="AM46" s="220" t="str">
        <f>IF($G46="","", SupplyChain_Tier1_Backend[[#This Row],[Total (tCO2e)]]*(1-SupplyChain_Tier1_Backend[[#This Row],[RSD]]))</f>
        <v/>
      </c>
      <c r="AN46" s="220" t="str">
        <f>IF($G46="","", SupplyChain_Tier1_Backend[[#This Row],[Total (tCO2e)]]*(1+SupplyChain_Tier1_Backend[[#This Row],[RSD]]))</f>
        <v/>
      </c>
      <c r="AO46" s="210">
        <f ca="1">_xlfn.XLOOKUP(_xlfn.CONCAT(SupplyChain_Tier1_Backend[[#This Row],[Level 1]:[Level 6]]),rng_EFConcat,rng_EFOOS)*SupplyChain_Tier1_Backend[[#This Row],[Converted data]]/1000</f>
        <v>0</v>
      </c>
      <c r="AP46" s="174">
        <f>SupplyChain_Tier1_Frontend[[#This Row],[Ease of collection]]</f>
        <v>0</v>
      </c>
      <c r="AQ46" s="213">
        <f>SupplyChain_Tier1_Frontend[[#This Row],[Completeness]]</f>
        <v>0</v>
      </c>
      <c r="AR46" s="213">
        <f>SupplyChain_Tier1_Frontend[[#This Row],[Notes]]</f>
        <v>0</v>
      </c>
    </row>
    <row r="47" spans="2:44" ht="28.5" x14ac:dyDescent="0.35">
      <c r="B47" s="169"/>
      <c r="E47" s="236" t="s">
        <v>226</v>
      </c>
      <c r="F47" s="178" t="s">
        <v>1768</v>
      </c>
      <c r="G47" s="334"/>
      <c r="H47" s="172" t="s">
        <v>383</v>
      </c>
      <c r="I47" s="172" t="s">
        <v>384</v>
      </c>
      <c r="J47" s="336"/>
      <c r="K47" s="336"/>
      <c r="L47" s="337"/>
      <c r="M47" s="242">
        <f t="shared" si="1"/>
        <v>0</v>
      </c>
      <c r="N47"/>
      <c r="O47"/>
      <c r="Q47" s="211" t="str">
        <f t="shared" si="2"/>
        <v/>
      </c>
      <c r="R47" s="174" t="s">
        <v>267</v>
      </c>
      <c r="S47" s="174" t="s">
        <v>385</v>
      </c>
      <c r="T47" s="174" t="str" cm="1">
        <f t="array" aca="1" ref="T47" ca="1">_xlfn.XLOOKUP(SupplyChain_Tier1_Backend[[#This Row],[Level 2]],rng_Level2Long,rng_Level3Long)</f>
        <v>Supply chain</v>
      </c>
      <c r="U47" s="174" t="str">
        <f>SupplyChain_Tier1_Frontend[[#This Row],[Category]]</f>
        <v>Manufacturing</v>
      </c>
      <c r="V47" s="174" t="str">
        <f>SupplyChain_Tier1_Frontend[[#This Row],[Product Category]]</f>
        <v>Cement, lime, plaster and articles of concrete, cement and plaster</v>
      </c>
      <c r="W47" s="174" t="str" cm="1">
        <f t="array" aca="1" ref="W47" ca="1">_xlfn.XLOOKUP(SupplyChain_Tier1_Backend[[#This Row],[Level 5]],rng_Level5Long,rng_Level6Long)</f>
        <v>NaN</v>
      </c>
      <c r="X47" s="174" t="str">
        <f>SupplyChain_Tier1_Frontend[[#This Row],[Data type]]</f>
        <v>Spend-based EF</v>
      </c>
      <c r="Y47" s="174" t="s">
        <v>339</v>
      </c>
      <c r="Z47" s="174" t="s">
        <v>198</v>
      </c>
      <c r="AA47" s="229" cm="1">
        <f t="array" aca="1" ref="AA47" ca="1">INDEX(_xlfn.SWITCH(SupplyChain_Tier1_Backend[[#This Row],[Methodology]],"Tier 1",rng_RSD1,"Tier 2",rng_RSD2,"Tier 3",rng_RSD3),MATCH(_xlfn.CONCAT(SupplyChain_Tier1_Backend[[#This Row],[Level 1]:[Level 6]]),rng_LevelsConcat,0))</f>
        <v>0.25</v>
      </c>
      <c r="AB47" s="220">
        <f>SupplyChain_Tier1_Frontend[[#This Row],[Data]]</f>
        <v>0</v>
      </c>
      <c r="AC47" s="220" t="str">
        <f>SupplyChain_Tier1_Frontend[[#This Row],[Units]]</f>
        <v>£</v>
      </c>
      <c r="AD4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7" s="174" t="str">
        <f>SupplyChain_Tier1_Frontend[[#This Row],[Units]]</f>
        <v>£</v>
      </c>
      <c r="AF47" s="210">
        <f ca="1">_xlfn.XLOOKUP(_xlfn.CONCAT(SupplyChain_Tier1_Backend[[#This Row],[Level 1]:[Level 6]]),rng_EFConcat,rng_EF1)*SupplyChain_Tier1_Backend[[#This Row],[Converted data]]/1000</f>
        <v>0</v>
      </c>
      <c r="AG47" s="210">
        <f ca="1">_xlfn.XLOOKUP(_xlfn.CONCAT(SupplyChain_Tier1_Backend[[#This Row],[Level 1]:[Level 6]]),rng_EFConcat,rng_EF2)*SupplyChain_Tier1_Backend[[#This Row],[Converted data]]/1000</f>
        <v>0</v>
      </c>
      <c r="AH47" s="210">
        <f ca="1">_xlfn.XLOOKUP(_xlfn.CONCAT(SupplyChain_Tier1_Backend[[#This Row],[Level 1]:[Level 6]]),rng_EFConcat,rng_EF3)*SupplyChain_Tier1_Backend[[#This Row],[Converted data]]/1000</f>
        <v>0</v>
      </c>
      <c r="AI47" s="210">
        <f ca="1">_xlfn.XLOOKUP(_xlfn.CONCAT(SupplyChain_Tier1_Backend[[#This Row],[Level 1]:[Level 6]]),rng_EFConcat,rng_EF3WTT)*SupplyChain_Tier1_Backend[[#This Row],[Converted data]]/1000</f>
        <v>0</v>
      </c>
      <c r="AJ47" s="210">
        <f ca="1">_xlfn.XLOOKUP(_xlfn.CONCAT(SupplyChain_Tier1_Backend[[#This Row],[Level 1]:[Level 6]]),rng_EFConcat,rng_EF3TD)*SupplyChain_Tier1_Backend[[#This Row],[Converted data]]/1000</f>
        <v>0</v>
      </c>
      <c r="AK47" s="210">
        <f ca="1">_xlfn.XLOOKUP(_xlfn.CONCAT(SupplyChain_Tier1_Backend[[#This Row],[Level 1]:[Level 6]]),rng_EFConcat,rng_EF3WTTTD)*SupplyChain_Tier1_Backend[[#This Row],[Converted data]]/1000</f>
        <v>0</v>
      </c>
      <c r="AL47" s="220" t="str">
        <f>IF($G47="","", SUM(SupplyChain_Tier1_Backend[[#This Row],[Scope 1 (tCO2e)]:[Scope 3 WTT T&amp;D (tCO2e)]]))</f>
        <v/>
      </c>
      <c r="AM47" s="220" t="str">
        <f>IF($G47="","", SupplyChain_Tier1_Backend[[#This Row],[Total (tCO2e)]]*(1-SupplyChain_Tier1_Backend[[#This Row],[RSD]]))</f>
        <v/>
      </c>
      <c r="AN47" s="220" t="str">
        <f>IF($G47="","", SupplyChain_Tier1_Backend[[#This Row],[Total (tCO2e)]]*(1+SupplyChain_Tier1_Backend[[#This Row],[RSD]]))</f>
        <v/>
      </c>
      <c r="AO47" s="210">
        <f ca="1">_xlfn.XLOOKUP(_xlfn.CONCAT(SupplyChain_Tier1_Backend[[#This Row],[Level 1]:[Level 6]]),rng_EFConcat,rng_EFOOS)*SupplyChain_Tier1_Backend[[#This Row],[Converted data]]/1000</f>
        <v>0</v>
      </c>
      <c r="AP47" s="174">
        <f>SupplyChain_Tier1_Frontend[[#This Row],[Ease of collection]]</f>
        <v>0</v>
      </c>
      <c r="AQ47" s="213">
        <f>SupplyChain_Tier1_Frontend[[#This Row],[Completeness]]</f>
        <v>0</v>
      </c>
      <c r="AR47" s="213">
        <f>SupplyChain_Tier1_Frontend[[#This Row],[Notes]]</f>
        <v>0</v>
      </c>
    </row>
    <row r="48" spans="2:44" ht="28.5" x14ac:dyDescent="0.35">
      <c r="B48" s="169"/>
      <c r="E48" s="236" t="s">
        <v>226</v>
      </c>
      <c r="F48" s="178" t="s">
        <v>1769</v>
      </c>
      <c r="G48" s="334"/>
      <c r="H48" s="172" t="s">
        <v>383</v>
      </c>
      <c r="I48" s="172" t="s">
        <v>384</v>
      </c>
      <c r="J48" s="336"/>
      <c r="K48" s="336"/>
      <c r="L48" s="337"/>
      <c r="M48" s="242">
        <f t="shared" si="1"/>
        <v>0</v>
      </c>
      <c r="N48"/>
      <c r="O48"/>
      <c r="Q48" s="211" t="str">
        <f t="shared" si="2"/>
        <v/>
      </c>
      <c r="R48" s="174" t="s">
        <v>267</v>
      </c>
      <c r="S48" s="174" t="s">
        <v>385</v>
      </c>
      <c r="T48" s="174" t="str" cm="1">
        <f t="array" aca="1" ref="T48" ca="1">_xlfn.XLOOKUP(SupplyChain_Tier1_Backend[[#This Row],[Level 2]],rng_Level2Long,rng_Level3Long)</f>
        <v>Supply chain</v>
      </c>
      <c r="U48" s="174" t="str">
        <f>SupplyChain_Tier1_Frontend[[#This Row],[Category]]</f>
        <v>Manufacturing</v>
      </c>
      <c r="V48" s="174" t="str">
        <f>SupplyChain_Tier1_Frontend[[#This Row],[Product Category]]</f>
        <v>Glass, refractory, clay, other porcelain and ceramic, stone and abrasive products - 23.1-4/7-9</v>
      </c>
      <c r="W48" s="174" t="str" cm="1">
        <f t="array" aca="1" ref="W48" ca="1">_xlfn.XLOOKUP(SupplyChain_Tier1_Backend[[#This Row],[Level 5]],rng_Level5Long,rng_Level6Long)</f>
        <v>NaN</v>
      </c>
      <c r="X48" s="174" t="str">
        <f>SupplyChain_Tier1_Frontend[[#This Row],[Data type]]</f>
        <v>Spend-based EF</v>
      </c>
      <c r="Y48" s="174" t="s">
        <v>339</v>
      </c>
      <c r="Z48" s="174" t="s">
        <v>198</v>
      </c>
      <c r="AA48" s="229" cm="1">
        <f t="array" aca="1" ref="AA48" ca="1">INDEX(_xlfn.SWITCH(SupplyChain_Tier1_Backend[[#This Row],[Methodology]],"Tier 1",rng_RSD1,"Tier 2",rng_RSD2,"Tier 3",rng_RSD3),MATCH(_xlfn.CONCAT(SupplyChain_Tier1_Backend[[#This Row],[Level 1]:[Level 6]]),rng_LevelsConcat,0))</f>
        <v>0.25</v>
      </c>
      <c r="AB48" s="220">
        <f>SupplyChain_Tier1_Frontend[[#This Row],[Data]]</f>
        <v>0</v>
      </c>
      <c r="AC48" s="220" t="str">
        <f>SupplyChain_Tier1_Frontend[[#This Row],[Units]]</f>
        <v>£</v>
      </c>
      <c r="AD4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8" s="174" t="str">
        <f>SupplyChain_Tier1_Frontend[[#This Row],[Units]]</f>
        <v>£</v>
      </c>
      <c r="AF48" s="210">
        <f ca="1">_xlfn.XLOOKUP(_xlfn.CONCAT(SupplyChain_Tier1_Backend[[#This Row],[Level 1]:[Level 6]]),rng_EFConcat,rng_EF1)*SupplyChain_Tier1_Backend[[#This Row],[Converted data]]/1000</f>
        <v>0</v>
      </c>
      <c r="AG48" s="210">
        <f ca="1">_xlfn.XLOOKUP(_xlfn.CONCAT(SupplyChain_Tier1_Backend[[#This Row],[Level 1]:[Level 6]]),rng_EFConcat,rng_EF2)*SupplyChain_Tier1_Backend[[#This Row],[Converted data]]/1000</f>
        <v>0</v>
      </c>
      <c r="AH48" s="210">
        <f ca="1">_xlfn.XLOOKUP(_xlfn.CONCAT(SupplyChain_Tier1_Backend[[#This Row],[Level 1]:[Level 6]]),rng_EFConcat,rng_EF3)*SupplyChain_Tier1_Backend[[#This Row],[Converted data]]/1000</f>
        <v>0</v>
      </c>
      <c r="AI48" s="210">
        <f ca="1">_xlfn.XLOOKUP(_xlfn.CONCAT(SupplyChain_Tier1_Backend[[#This Row],[Level 1]:[Level 6]]),rng_EFConcat,rng_EF3WTT)*SupplyChain_Tier1_Backend[[#This Row],[Converted data]]/1000</f>
        <v>0</v>
      </c>
      <c r="AJ48" s="210">
        <f ca="1">_xlfn.XLOOKUP(_xlfn.CONCAT(SupplyChain_Tier1_Backend[[#This Row],[Level 1]:[Level 6]]),rng_EFConcat,rng_EF3TD)*SupplyChain_Tier1_Backend[[#This Row],[Converted data]]/1000</f>
        <v>0</v>
      </c>
      <c r="AK48" s="210">
        <f ca="1">_xlfn.XLOOKUP(_xlfn.CONCAT(SupplyChain_Tier1_Backend[[#This Row],[Level 1]:[Level 6]]),rng_EFConcat,rng_EF3WTTTD)*SupplyChain_Tier1_Backend[[#This Row],[Converted data]]/1000</f>
        <v>0</v>
      </c>
      <c r="AL48" s="220" t="str">
        <f>IF($G48="","", SUM(SupplyChain_Tier1_Backend[[#This Row],[Scope 1 (tCO2e)]:[Scope 3 WTT T&amp;D (tCO2e)]]))</f>
        <v/>
      </c>
      <c r="AM48" s="220" t="str">
        <f>IF($G48="","", SupplyChain_Tier1_Backend[[#This Row],[Total (tCO2e)]]*(1-SupplyChain_Tier1_Backend[[#This Row],[RSD]]))</f>
        <v/>
      </c>
      <c r="AN48" s="220" t="str">
        <f>IF($G48="","", SupplyChain_Tier1_Backend[[#This Row],[Total (tCO2e)]]*(1+SupplyChain_Tier1_Backend[[#This Row],[RSD]]))</f>
        <v/>
      </c>
      <c r="AO48" s="210">
        <f ca="1">_xlfn.XLOOKUP(_xlfn.CONCAT(SupplyChain_Tier1_Backend[[#This Row],[Level 1]:[Level 6]]),rng_EFConcat,rng_EFOOS)*SupplyChain_Tier1_Backend[[#This Row],[Converted data]]/1000</f>
        <v>0</v>
      </c>
      <c r="AP48" s="174">
        <f>SupplyChain_Tier1_Frontend[[#This Row],[Ease of collection]]</f>
        <v>0</v>
      </c>
      <c r="AQ48" s="213">
        <f>SupplyChain_Tier1_Frontend[[#This Row],[Completeness]]</f>
        <v>0</v>
      </c>
      <c r="AR48" s="213">
        <f>SupplyChain_Tier1_Frontend[[#This Row],[Notes]]</f>
        <v>0</v>
      </c>
    </row>
    <row r="49" spans="2:44" ht="14.5" x14ac:dyDescent="0.35">
      <c r="B49" s="169"/>
      <c r="E49" s="236" t="s">
        <v>226</v>
      </c>
      <c r="F49" s="178" t="s">
        <v>1770</v>
      </c>
      <c r="G49" s="334"/>
      <c r="H49" s="172" t="s">
        <v>383</v>
      </c>
      <c r="I49" s="172" t="s">
        <v>384</v>
      </c>
      <c r="J49" s="336"/>
      <c r="K49" s="336"/>
      <c r="L49" s="337"/>
      <c r="M49" s="242">
        <f t="shared" si="1"/>
        <v>0</v>
      </c>
      <c r="N49"/>
      <c r="O49"/>
      <c r="Q49" s="211" t="str">
        <f t="shared" si="2"/>
        <v/>
      </c>
      <c r="R49" s="174" t="s">
        <v>267</v>
      </c>
      <c r="S49" s="174" t="s">
        <v>385</v>
      </c>
      <c r="T49" s="174" t="str" cm="1">
        <f t="array" aca="1" ref="T49" ca="1">_xlfn.XLOOKUP(SupplyChain_Tier1_Backend[[#This Row],[Level 2]],rng_Level2Long,rng_Level3Long)</f>
        <v>Supply chain</v>
      </c>
      <c r="U49" s="174" t="str">
        <f>SupplyChain_Tier1_Frontend[[#This Row],[Category]]</f>
        <v>Manufacturing</v>
      </c>
      <c r="V49" s="174" t="str">
        <f>SupplyChain_Tier1_Frontend[[#This Row],[Product Category]]</f>
        <v>Basic iron and steel</v>
      </c>
      <c r="W49" s="174" t="str" cm="1">
        <f t="array" aca="1" ref="W49" ca="1">_xlfn.XLOOKUP(SupplyChain_Tier1_Backend[[#This Row],[Level 5]],rng_Level5Long,rng_Level6Long)</f>
        <v>NaN</v>
      </c>
      <c r="X49" s="174" t="str">
        <f>SupplyChain_Tier1_Frontend[[#This Row],[Data type]]</f>
        <v>Spend-based EF</v>
      </c>
      <c r="Y49" s="174" t="s">
        <v>339</v>
      </c>
      <c r="Z49" s="174" t="s">
        <v>198</v>
      </c>
      <c r="AA49" s="229" cm="1">
        <f t="array" aca="1" ref="AA49" ca="1">INDEX(_xlfn.SWITCH(SupplyChain_Tier1_Backend[[#This Row],[Methodology]],"Tier 1",rng_RSD1,"Tier 2",rng_RSD2,"Tier 3",rng_RSD3),MATCH(_xlfn.CONCAT(SupplyChain_Tier1_Backend[[#This Row],[Level 1]:[Level 6]]),rng_LevelsConcat,0))</f>
        <v>0.25</v>
      </c>
      <c r="AB49" s="220">
        <f>SupplyChain_Tier1_Frontend[[#This Row],[Data]]</f>
        <v>0</v>
      </c>
      <c r="AC49" s="220" t="str">
        <f>SupplyChain_Tier1_Frontend[[#This Row],[Units]]</f>
        <v>£</v>
      </c>
      <c r="AD4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49" s="174" t="str">
        <f>SupplyChain_Tier1_Frontend[[#This Row],[Units]]</f>
        <v>£</v>
      </c>
      <c r="AF49" s="210">
        <f ca="1">_xlfn.XLOOKUP(_xlfn.CONCAT(SupplyChain_Tier1_Backend[[#This Row],[Level 1]:[Level 6]]),rng_EFConcat,rng_EF1)*SupplyChain_Tier1_Backend[[#This Row],[Converted data]]/1000</f>
        <v>0</v>
      </c>
      <c r="AG49" s="210">
        <f ca="1">_xlfn.XLOOKUP(_xlfn.CONCAT(SupplyChain_Tier1_Backend[[#This Row],[Level 1]:[Level 6]]),rng_EFConcat,rng_EF2)*SupplyChain_Tier1_Backend[[#This Row],[Converted data]]/1000</f>
        <v>0</v>
      </c>
      <c r="AH49" s="210">
        <f ca="1">_xlfn.XLOOKUP(_xlfn.CONCAT(SupplyChain_Tier1_Backend[[#This Row],[Level 1]:[Level 6]]),rng_EFConcat,rng_EF3)*SupplyChain_Tier1_Backend[[#This Row],[Converted data]]/1000</f>
        <v>0</v>
      </c>
      <c r="AI49" s="210">
        <f ca="1">_xlfn.XLOOKUP(_xlfn.CONCAT(SupplyChain_Tier1_Backend[[#This Row],[Level 1]:[Level 6]]),rng_EFConcat,rng_EF3WTT)*SupplyChain_Tier1_Backend[[#This Row],[Converted data]]/1000</f>
        <v>0</v>
      </c>
      <c r="AJ49" s="210">
        <f ca="1">_xlfn.XLOOKUP(_xlfn.CONCAT(SupplyChain_Tier1_Backend[[#This Row],[Level 1]:[Level 6]]),rng_EFConcat,rng_EF3TD)*SupplyChain_Tier1_Backend[[#This Row],[Converted data]]/1000</f>
        <v>0</v>
      </c>
      <c r="AK49" s="210">
        <f ca="1">_xlfn.XLOOKUP(_xlfn.CONCAT(SupplyChain_Tier1_Backend[[#This Row],[Level 1]:[Level 6]]),rng_EFConcat,rng_EF3WTTTD)*SupplyChain_Tier1_Backend[[#This Row],[Converted data]]/1000</f>
        <v>0</v>
      </c>
      <c r="AL49" s="220" t="str">
        <f>IF($G49="","", SUM(SupplyChain_Tier1_Backend[[#This Row],[Scope 1 (tCO2e)]:[Scope 3 WTT T&amp;D (tCO2e)]]))</f>
        <v/>
      </c>
      <c r="AM49" s="220" t="str">
        <f>IF($G49="","", SupplyChain_Tier1_Backend[[#This Row],[Total (tCO2e)]]*(1-SupplyChain_Tier1_Backend[[#This Row],[RSD]]))</f>
        <v/>
      </c>
      <c r="AN49" s="220" t="str">
        <f>IF($G49="","", SupplyChain_Tier1_Backend[[#This Row],[Total (tCO2e)]]*(1+SupplyChain_Tier1_Backend[[#This Row],[RSD]]))</f>
        <v/>
      </c>
      <c r="AO49" s="210">
        <f ca="1">_xlfn.XLOOKUP(_xlfn.CONCAT(SupplyChain_Tier1_Backend[[#This Row],[Level 1]:[Level 6]]),rng_EFConcat,rng_EFOOS)*SupplyChain_Tier1_Backend[[#This Row],[Converted data]]/1000</f>
        <v>0</v>
      </c>
      <c r="AP49" s="174">
        <f>SupplyChain_Tier1_Frontend[[#This Row],[Ease of collection]]</f>
        <v>0</v>
      </c>
      <c r="AQ49" s="213">
        <f>SupplyChain_Tier1_Frontend[[#This Row],[Completeness]]</f>
        <v>0</v>
      </c>
      <c r="AR49" s="213">
        <f>SupplyChain_Tier1_Frontend[[#This Row],[Notes]]</f>
        <v>0</v>
      </c>
    </row>
    <row r="50" spans="2:44" ht="14.5" x14ac:dyDescent="0.35">
      <c r="B50" s="169"/>
      <c r="E50" s="236" t="s">
        <v>226</v>
      </c>
      <c r="F50" s="178" t="s">
        <v>1771</v>
      </c>
      <c r="G50" s="334"/>
      <c r="H50" s="172" t="s">
        <v>383</v>
      </c>
      <c r="I50" s="172" t="s">
        <v>384</v>
      </c>
      <c r="J50" s="336"/>
      <c r="K50" s="336"/>
      <c r="L50" s="337"/>
      <c r="M50" s="242">
        <f t="shared" si="1"/>
        <v>0</v>
      </c>
      <c r="N50"/>
      <c r="O50"/>
      <c r="Q50" s="211" t="str">
        <f t="shared" si="2"/>
        <v/>
      </c>
      <c r="R50" s="174" t="s">
        <v>267</v>
      </c>
      <c r="S50" s="174" t="s">
        <v>385</v>
      </c>
      <c r="T50" s="174" t="str" cm="1">
        <f t="array" aca="1" ref="T50" ca="1">_xlfn.XLOOKUP(SupplyChain_Tier1_Backend[[#This Row],[Level 2]],rng_Level2Long,rng_Level3Long)</f>
        <v>Supply chain</v>
      </c>
      <c r="U50" s="174" t="str">
        <f>SupplyChain_Tier1_Frontend[[#This Row],[Category]]</f>
        <v>Manufacturing</v>
      </c>
      <c r="V50" s="174" t="str">
        <f>SupplyChain_Tier1_Frontend[[#This Row],[Product Category]]</f>
        <v>Other basic metals and casting</v>
      </c>
      <c r="W50" s="174" t="str" cm="1">
        <f t="array" aca="1" ref="W50" ca="1">_xlfn.XLOOKUP(SupplyChain_Tier1_Backend[[#This Row],[Level 5]],rng_Level5Long,rng_Level6Long)</f>
        <v>NaN</v>
      </c>
      <c r="X50" s="174" t="str">
        <f>SupplyChain_Tier1_Frontend[[#This Row],[Data type]]</f>
        <v>Spend-based EF</v>
      </c>
      <c r="Y50" s="174" t="s">
        <v>339</v>
      </c>
      <c r="Z50" s="174" t="s">
        <v>198</v>
      </c>
      <c r="AA50" s="229" cm="1">
        <f t="array" aca="1" ref="AA50" ca="1">INDEX(_xlfn.SWITCH(SupplyChain_Tier1_Backend[[#This Row],[Methodology]],"Tier 1",rng_RSD1,"Tier 2",rng_RSD2,"Tier 3",rng_RSD3),MATCH(_xlfn.CONCAT(SupplyChain_Tier1_Backend[[#This Row],[Level 1]:[Level 6]]),rng_LevelsConcat,0))</f>
        <v>0.25</v>
      </c>
      <c r="AB50" s="220">
        <f>SupplyChain_Tier1_Frontend[[#This Row],[Data]]</f>
        <v>0</v>
      </c>
      <c r="AC50" s="220" t="str">
        <f>SupplyChain_Tier1_Frontend[[#This Row],[Units]]</f>
        <v>£</v>
      </c>
      <c r="AD5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0" s="174" t="str">
        <f>SupplyChain_Tier1_Frontend[[#This Row],[Units]]</f>
        <v>£</v>
      </c>
      <c r="AF50" s="210">
        <f ca="1">_xlfn.XLOOKUP(_xlfn.CONCAT(SupplyChain_Tier1_Backend[[#This Row],[Level 1]:[Level 6]]),rng_EFConcat,rng_EF1)*SupplyChain_Tier1_Backend[[#This Row],[Converted data]]/1000</f>
        <v>0</v>
      </c>
      <c r="AG50" s="210">
        <f ca="1">_xlfn.XLOOKUP(_xlfn.CONCAT(SupplyChain_Tier1_Backend[[#This Row],[Level 1]:[Level 6]]),rng_EFConcat,rng_EF2)*SupplyChain_Tier1_Backend[[#This Row],[Converted data]]/1000</f>
        <v>0</v>
      </c>
      <c r="AH50" s="210">
        <f ca="1">_xlfn.XLOOKUP(_xlfn.CONCAT(SupplyChain_Tier1_Backend[[#This Row],[Level 1]:[Level 6]]),rng_EFConcat,rng_EF3)*SupplyChain_Tier1_Backend[[#This Row],[Converted data]]/1000</f>
        <v>0</v>
      </c>
      <c r="AI50" s="210">
        <f ca="1">_xlfn.XLOOKUP(_xlfn.CONCAT(SupplyChain_Tier1_Backend[[#This Row],[Level 1]:[Level 6]]),rng_EFConcat,rng_EF3WTT)*SupplyChain_Tier1_Backend[[#This Row],[Converted data]]/1000</f>
        <v>0</v>
      </c>
      <c r="AJ50" s="210">
        <f ca="1">_xlfn.XLOOKUP(_xlfn.CONCAT(SupplyChain_Tier1_Backend[[#This Row],[Level 1]:[Level 6]]),rng_EFConcat,rng_EF3TD)*SupplyChain_Tier1_Backend[[#This Row],[Converted data]]/1000</f>
        <v>0</v>
      </c>
      <c r="AK50" s="210">
        <f ca="1">_xlfn.XLOOKUP(_xlfn.CONCAT(SupplyChain_Tier1_Backend[[#This Row],[Level 1]:[Level 6]]),rng_EFConcat,rng_EF3WTTTD)*SupplyChain_Tier1_Backend[[#This Row],[Converted data]]/1000</f>
        <v>0</v>
      </c>
      <c r="AL50" s="220" t="str">
        <f>IF($G50="","", SUM(SupplyChain_Tier1_Backend[[#This Row],[Scope 1 (tCO2e)]:[Scope 3 WTT T&amp;D (tCO2e)]]))</f>
        <v/>
      </c>
      <c r="AM50" s="220" t="str">
        <f>IF($G50="","", SupplyChain_Tier1_Backend[[#This Row],[Total (tCO2e)]]*(1-SupplyChain_Tier1_Backend[[#This Row],[RSD]]))</f>
        <v/>
      </c>
      <c r="AN50" s="220" t="str">
        <f>IF($G50="","", SupplyChain_Tier1_Backend[[#This Row],[Total (tCO2e)]]*(1+SupplyChain_Tier1_Backend[[#This Row],[RSD]]))</f>
        <v/>
      </c>
      <c r="AO50" s="210">
        <f ca="1">_xlfn.XLOOKUP(_xlfn.CONCAT(SupplyChain_Tier1_Backend[[#This Row],[Level 1]:[Level 6]]),rng_EFConcat,rng_EFOOS)*SupplyChain_Tier1_Backend[[#This Row],[Converted data]]/1000</f>
        <v>0</v>
      </c>
      <c r="AP50" s="174">
        <f>SupplyChain_Tier1_Frontend[[#This Row],[Ease of collection]]</f>
        <v>0</v>
      </c>
      <c r="AQ50" s="213">
        <f>SupplyChain_Tier1_Frontend[[#This Row],[Completeness]]</f>
        <v>0</v>
      </c>
      <c r="AR50" s="213">
        <f>SupplyChain_Tier1_Frontend[[#This Row],[Notes]]</f>
        <v>0</v>
      </c>
    </row>
    <row r="51" spans="2:44" ht="14.5" x14ac:dyDescent="0.35">
      <c r="B51" s="169"/>
      <c r="E51" s="236" t="s">
        <v>226</v>
      </c>
      <c r="F51" s="178" t="s">
        <v>1772</v>
      </c>
      <c r="G51" s="334"/>
      <c r="H51" s="172" t="s">
        <v>383</v>
      </c>
      <c r="I51" s="172" t="s">
        <v>384</v>
      </c>
      <c r="J51" s="336"/>
      <c r="K51" s="336"/>
      <c r="L51" s="337"/>
      <c r="M51" s="242">
        <f t="shared" si="1"/>
        <v>0</v>
      </c>
      <c r="N51"/>
      <c r="O51"/>
      <c r="Q51" s="211" t="str">
        <f t="shared" si="2"/>
        <v/>
      </c>
      <c r="R51" s="174" t="s">
        <v>267</v>
      </c>
      <c r="S51" s="174" t="s">
        <v>385</v>
      </c>
      <c r="T51" s="174" t="str" cm="1">
        <f t="array" aca="1" ref="T51" ca="1">_xlfn.XLOOKUP(SupplyChain_Tier1_Backend[[#This Row],[Level 2]],rng_Level2Long,rng_Level3Long)</f>
        <v>Supply chain</v>
      </c>
      <c r="U51" s="174" t="str">
        <f>SupplyChain_Tier1_Frontend[[#This Row],[Category]]</f>
        <v>Manufacturing</v>
      </c>
      <c r="V51" s="174" t="str">
        <f>SupplyChain_Tier1_Frontend[[#This Row],[Product Category]]</f>
        <v>Weapons and ammunition</v>
      </c>
      <c r="W51" s="174" t="str" cm="1">
        <f t="array" aca="1" ref="W51" ca="1">_xlfn.XLOOKUP(SupplyChain_Tier1_Backend[[#This Row],[Level 5]],rng_Level5Long,rng_Level6Long)</f>
        <v>NaN</v>
      </c>
      <c r="X51" s="174" t="str">
        <f>SupplyChain_Tier1_Frontend[[#This Row],[Data type]]</f>
        <v>Spend-based EF</v>
      </c>
      <c r="Y51" s="174" t="s">
        <v>339</v>
      </c>
      <c r="Z51" s="174" t="s">
        <v>198</v>
      </c>
      <c r="AA51" s="229" cm="1">
        <f t="array" aca="1" ref="AA51" ca="1">INDEX(_xlfn.SWITCH(SupplyChain_Tier1_Backend[[#This Row],[Methodology]],"Tier 1",rng_RSD1,"Tier 2",rng_RSD2,"Tier 3",rng_RSD3),MATCH(_xlfn.CONCAT(SupplyChain_Tier1_Backend[[#This Row],[Level 1]:[Level 6]]),rng_LevelsConcat,0))</f>
        <v>0.25</v>
      </c>
      <c r="AB51" s="220">
        <f>SupplyChain_Tier1_Frontend[[#This Row],[Data]]</f>
        <v>0</v>
      </c>
      <c r="AC51" s="220" t="str">
        <f>SupplyChain_Tier1_Frontend[[#This Row],[Units]]</f>
        <v>£</v>
      </c>
      <c r="AD5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1" s="174" t="str">
        <f>SupplyChain_Tier1_Frontend[[#This Row],[Units]]</f>
        <v>£</v>
      </c>
      <c r="AF51" s="210">
        <f ca="1">_xlfn.XLOOKUP(_xlfn.CONCAT(SupplyChain_Tier1_Backend[[#This Row],[Level 1]:[Level 6]]),rng_EFConcat,rng_EF1)*SupplyChain_Tier1_Backend[[#This Row],[Converted data]]/1000</f>
        <v>0</v>
      </c>
      <c r="AG51" s="210">
        <f ca="1">_xlfn.XLOOKUP(_xlfn.CONCAT(SupplyChain_Tier1_Backend[[#This Row],[Level 1]:[Level 6]]),rng_EFConcat,rng_EF2)*SupplyChain_Tier1_Backend[[#This Row],[Converted data]]/1000</f>
        <v>0</v>
      </c>
      <c r="AH51" s="210">
        <f ca="1">_xlfn.XLOOKUP(_xlfn.CONCAT(SupplyChain_Tier1_Backend[[#This Row],[Level 1]:[Level 6]]),rng_EFConcat,rng_EF3)*SupplyChain_Tier1_Backend[[#This Row],[Converted data]]/1000</f>
        <v>0</v>
      </c>
      <c r="AI51" s="210">
        <f ca="1">_xlfn.XLOOKUP(_xlfn.CONCAT(SupplyChain_Tier1_Backend[[#This Row],[Level 1]:[Level 6]]),rng_EFConcat,rng_EF3WTT)*SupplyChain_Tier1_Backend[[#This Row],[Converted data]]/1000</f>
        <v>0</v>
      </c>
      <c r="AJ51" s="210">
        <f ca="1">_xlfn.XLOOKUP(_xlfn.CONCAT(SupplyChain_Tier1_Backend[[#This Row],[Level 1]:[Level 6]]),rng_EFConcat,rng_EF3TD)*SupplyChain_Tier1_Backend[[#This Row],[Converted data]]/1000</f>
        <v>0</v>
      </c>
      <c r="AK51" s="210">
        <f ca="1">_xlfn.XLOOKUP(_xlfn.CONCAT(SupplyChain_Tier1_Backend[[#This Row],[Level 1]:[Level 6]]),rng_EFConcat,rng_EF3WTTTD)*SupplyChain_Tier1_Backend[[#This Row],[Converted data]]/1000</f>
        <v>0</v>
      </c>
      <c r="AL51" s="220" t="str">
        <f>IF($G51="","", SUM(SupplyChain_Tier1_Backend[[#This Row],[Scope 1 (tCO2e)]:[Scope 3 WTT T&amp;D (tCO2e)]]))</f>
        <v/>
      </c>
      <c r="AM51" s="220" t="str">
        <f>IF($G51="","", SupplyChain_Tier1_Backend[[#This Row],[Total (tCO2e)]]*(1-SupplyChain_Tier1_Backend[[#This Row],[RSD]]))</f>
        <v/>
      </c>
      <c r="AN51" s="220" t="str">
        <f>IF($G51="","", SupplyChain_Tier1_Backend[[#This Row],[Total (tCO2e)]]*(1+SupplyChain_Tier1_Backend[[#This Row],[RSD]]))</f>
        <v/>
      </c>
      <c r="AO51" s="210">
        <f ca="1">_xlfn.XLOOKUP(_xlfn.CONCAT(SupplyChain_Tier1_Backend[[#This Row],[Level 1]:[Level 6]]),rng_EFConcat,rng_EFOOS)*SupplyChain_Tier1_Backend[[#This Row],[Converted data]]/1000</f>
        <v>0</v>
      </c>
      <c r="AP51" s="174">
        <f>SupplyChain_Tier1_Frontend[[#This Row],[Ease of collection]]</f>
        <v>0</v>
      </c>
      <c r="AQ51" s="213">
        <f>SupplyChain_Tier1_Frontend[[#This Row],[Completeness]]</f>
        <v>0</v>
      </c>
      <c r="AR51" s="213">
        <f>SupplyChain_Tier1_Frontend[[#This Row],[Notes]]</f>
        <v>0</v>
      </c>
    </row>
    <row r="52" spans="2:44" ht="42.5" x14ac:dyDescent="0.35">
      <c r="B52" s="169"/>
      <c r="E52" s="236" t="s">
        <v>226</v>
      </c>
      <c r="F52" s="178" t="s">
        <v>1773</v>
      </c>
      <c r="G52" s="334"/>
      <c r="H52" s="172" t="s">
        <v>383</v>
      </c>
      <c r="I52" s="172" t="s">
        <v>384</v>
      </c>
      <c r="J52" s="336"/>
      <c r="K52" s="336"/>
      <c r="L52" s="337"/>
      <c r="M52" s="242">
        <f t="shared" si="1"/>
        <v>0</v>
      </c>
      <c r="N52"/>
      <c r="O52"/>
      <c r="Q52" s="211" t="str">
        <f t="shared" si="2"/>
        <v/>
      </c>
      <c r="R52" s="174" t="s">
        <v>267</v>
      </c>
      <c r="S52" s="174" t="s">
        <v>385</v>
      </c>
      <c r="T52" s="174" t="str" cm="1">
        <f t="array" aca="1" ref="T52" ca="1">_xlfn.XLOOKUP(SupplyChain_Tier1_Backend[[#This Row],[Level 2]],rng_Level2Long,rng_Level3Long)</f>
        <v>Supply chain</v>
      </c>
      <c r="U52" s="174" t="str">
        <f>SupplyChain_Tier1_Frontend[[#This Row],[Category]]</f>
        <v>Manufacturing</v>
      </c>
      <c r="V52" s="174" t="str">
        <f>SupplyChain_Tier1_Frontend[[#This Row],[Product Category]]</f>
        <v>Fabricated metal products, excl. machinery and equipment and weapons &amp; ammunition - 25.1-3/25.5-9</v>
      </c>
      <c r="W52" s="174" t="str" cm="1">
        <f t="array" aca="1" ref="W52" ca="1">_xlfn.XLOOKUP(SupplyChain_Tier1_Backend[[#This Row],[Level 5]],rng_Level5Long,rng_Level6Long)</f>
        <v>NaN</v>
      </c>
      <c r="X52" s="174" t="str">
        <f>SupplyChain_Tier1_Frontend[[#This Row],[Data type]]</f>
        <v>Spend-based EF</v>
      </c>
      <c r="Y52" s="174" t="s">
        <v>339</v>
      </c>
      <c r="Z52" s="174" t="s">
        <v>198</v>
      </c>
      <c r="AA52" s="229" cm="1">
        <f t="array" aca="1" ref="AA52" ca="1">INDEX(_xlfn.SWITCH(SupplyChain_Tier1_Backend[[#This Row],[Methodology]],"Tier 1",rng_RSD1,"Tier 2",rng_RSD2,"Tier 3",rng_RSD3),MATCH(_xlfn.CONCAT(SupplyChain_Tier1_Backend[[#This Row],[Level 1]:[Level 6]]),rng_LevelsConcat,0))</f>
        <v>0.25</v>
      </c>
      <c r="AB52" s="220">
        <f>SupplyChain_Tier1_Frontend[[#This Row],[Data]]</f>
        <v>0</v>
      </c>
      <c r="AC52" s="220" t="str">
        <f>SupplyChain_Tier1_Frontend[[#This Row],[Units]]</f>
        <v>£</v>
      </c>
      <c r="AD5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2" s="174" t="str">
        <f>SupplyChain_Tier1_Frontend[[#This Row],[Units]]</f>
        <v>£</v>
      </c>
      <c r="AF52" s="210">
        <f ca="1">_xlfn.XLOOKUP(_xlfn.CONCAT(SupplyChain_Tier1_Backend[[#This Row],[Level 1]:[Level 6]]),rng_EFConcat,rng_EF1)*SupplyChain_Tier1_Backend[[#This Row],[Converted data]]/1000</f>
        <v>0</v>
      </c>
      <c r="AG52" s="210">
        <f ca="1">_xlfn.XLOOKUP(_xlfn.CONCAT(SupplyChain_Tier1_Backend[[#This Row],[Level 1]:[Level 6]]),rng_EFConcat,rng_EF2)*SupplyChain_Tier1_Backend[[#This Row],[Converted data]]/1000</f>
        <v>0</v>
      </c>
      <c r="AH52" s="210">
        <f ca="1">_xlfn.XLOOKUP(_xlfn.CONCAT(SupplyChain_Tier1_Backend[[#This Row],[Level 1]:[Level 6]]),rng_EFConcat,rng_EF3)*SupplyChain_Tier1_Backend[[#This Row],[Converted data]]/1000</f>
        <v>0</v>
      </c>
      <c r="AI52" s="210">
        <f ca="1">_xlfn.XLOOKUP(_xlfn.CONCAT(SupplyChain_Tier1_Backend[[#This Row],[Level 1]:[Level 6]]),rng_EFConcat,rng_EF3WTT)*SupplyChain_Tier1_Backend[[#This Row],[Converted data]]/1000</f>
        <v>0</v>
      </c>
      <c r="AJ52" s="210">
        <f ca="1">_xlfn.XLOOKUP(_xlfn.CONCAT(SupplyChain_Tier1_Backend[[#This Row],[Level 1]:[Level 6]]),rng_EFConcat,rng_EF3TD)*SupplyChain_Tier1_Backend[[#This Row],[Converted data]]/1000</f>
        <v>0</v>
      </c>
      <c r="AK52" s="210">
        <f ca="1">_xlfn.XLOOKUP(_xlfn.CONCAT(SupplyChain_Tier1_Backend[[#This Row],[Level 1]:[Level 6]]),rng_EFConcat,rng_EF3WTTTD)*SupplyChain_Tier1_Backend[[#This Row],[Converted data]]/1000</f>
        <v>0</v>
      </c>
      <c r="AL52" s="220" t="str">
        <f>IF($G52="","", SUM(SupplyChain_Tier1_Backend[[#This Row],[Scope 1 (tCO2e)]:[Scope 3 WTT T&amp;D (tCO2e)]]))</f>
        <v/>
      </c>
      <c r="AM52" s="220" t="str">
        <f>IF($G52="","", SupplyChain_Tier1_Backend[[#This Row],[Total (tCO2e)]]*(1-SupplyChain_Tier1_Backend[[#This Row],[RSD]]))</f>
        <v/>
      </c>
      <c r="AN52" s="220" t="str">
        <f>IF($G52="","", SupplyChain_Tier1_Backend[[#This Row],[Total (tCO2e)]]*(1+SupplyChain_Tier1_Backend[[#This Row],[RSD]]))</f>
        <v/>
      </c>
      <c r="AO52" s="210">
        <f ca="1">_xlfn.XLOOKUP(_xlfn.CONCAT(SupplyChain_Tier1_Backend[[#This Row],[Level 1]:[Level 6]]),rng_EFConcat,rng_EFOOS)*SupplyChain_Tier1_Backend[[#This Row],[Converted data]]/1000</f>
        <v>0</v>
      </c>
      <c r="AP52" s="174">
        <f>SupplyChain_Tier1_Frontend[[#This Row],[Ease of collection]]</f>
        <v>0</v>
      </c>
      <c r="AQ52" s="213">
        <f>SupplyChain_Tier1_Frontend[[#This Row],[Completeness]]</f>
        <v>0</v>
      </c>
      <c r="AR52" s="213">
        <f>SupplyChain_Tier1_Frontend[[#This Row],[Notes]]</f>
        <v>0</v>
      </c>
    </row>
    <row r="53" spans="2:44" ht="14.5" x14ac:dyDescent="0.35">
      <c r="B53" s="169"/>
      <c r="E53" s="236" t="s">
        <v>226</v>
      </c>
      <c r="F53" s="178" t="s">
        <v>400</v>
      </c>
      <c r="G53" s="334"/>
      <c r="H53" s="172" t="s">
        <v>383</v>
      </c>
      <c r="I53" s="172" t="s">
        <v>384</v>
      </c>
      <c r="J53" s="336"/>
      <c r="K53" s="336"/>
      <c r="L53" s="337"/>
      <c r="M53" s="242">
        <f t="shared" si="1"/>
        <v>0</v>
      </c>
      <c r="N53"/>
      <c r="O53"/>
      <c r="Q53" s="211" t="str">
        <f t="shared" si="2"/>
        <v/>
      </c>
      <c r="R53" s="174" t="s">
        <v>267</v>
      </c>
      <c r="S53" s="174" t="s">
        <v>385</v>
      </c>
      <c r="T53" s="174" t="str" cm="1">
        <f t="array" aca="1" ref="T53" ca="1">_xlfn.XLOOKUP(SupplyChain_Tier1_Backend[[#This Row],[Level 2]],rng_Level2Long,rng_Level3Long)</f>
        <v>Supply chain</v>
      </c>
      <c r="U53" s="174" t="str">
        <f>SupplyChain_Tier1_Frontend[[#This Row],[Category]]</f>
        <v>Manufacturing</v>
      </c>
      <c r="V53" s="174" t="str">
        <f>SupplyChain_Tier1_Frontend[[#This Row],[Product Category]]</f>
        <v>Computer, electronic and optical products</v>
      </c>
      <c r="W53" s="174" t="str" cm="1">
        <f t="array" aca="1" ref="W53" ca="1">_xlfn.XLOOKUP(SupplyChain_Tier1_Backend[[#This Row],[Level 5]],rng_Level5Long,rng_Level6Long)</f>
        <v>NaN</v>
      </c>
      <c r="X53" s="174" t="str">
        <f>SupplyChain_Tier1_Frontend[[#This Row],[Data type]]</f>
        <v>Spend-based EF</v>
      </c>
      <c r="Y53" s="174" t="s">
        <v>339</v>
      </c>
      <c r="Z53" s="174" t="s">
        <v>198</v>
      </c>
      <c r="AA53" s="229" cm="1">
        <f t="array" aca="1" ref="AA53" ca="1">INDEX(_xlfn.SWITCH(SupplyChain_Tier1_Backend[[#This Row],[Methodology]],"Tier 1",rng_RSD1,"Tier 2",rng_RSD2,"Tier 3",rng_RSD3),MATCH(_xlfn.CONCAT(SupplyChain_Tier1_Backend[[#This Row],[Level 1]:[Level 6]]),rng_LevelsConcat,0))</f>
        <v>0.25</v>
      </c>
      <c r="AB53" s="220">
        <f>SupplyChain_Tier1_Frontend[[#This Row],[Data]]</f>
        <v>0</v>
      </c>
      <c r="AC53" s="220" t="str">
        <f>SupplyChain_Tier1_Frontend[[#This Row],[Units]]</f>
        <v>£</v>
      </c>
      <c r="AD5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3" s="174" t="str">
        <f>SupplyChain_Tier1_Frontend[[#This Row],[Units]]</f>
        <v>£</v>
      </c>
      <c r="AF53" s="210">
        <f ca="1">_xlfn.XLOOKUP(_xlfn.CONCAT(SupplyChain_Tier1_Backend[[#This Row],[Level 1]:[Level 6]]),rng_EFConcat,rng_EF1)*SupplyChain_Tier1_Backend[[#This Row],[Converted data]]/1000</f>
        <v>0</v>
      </c>
      <c r="AG53" s="210">
        <f ca="1">_xlfn.XLOOKUP(_xlfn.CONCAT(SupplyChain_Tier1_Backend[[#This Row],[Level 1]:[Level 6]]),rng_EFConcat,rng_EF2)*SupplyChain_Tier1_Backend[[#This Row],[Converted data]]/1000</f>
        <v>0</v>
      </c>
      <c r="AH53" s="210">
        <f ca="1">_xlfn.XLOOKUP(_xlfn.CONCAT(SupplyChain_Tier1_Backend[[#This Row],[Level 1]:[Level 6]]),rng_EFConcat,rng_EF3)*SupplyChain_Tier1_Backend[[#This Row],[Converted data]]/1000</f>
        <v>0</v>
      </c>
      <c r="AI53" s="210">
        <f ca="1">_xlfn.XLOOKUP(_xlfn.CONCAT(SupplyChain_Tier1_Backend[[#This Row],[Level 1]:[Level 6]]),rng_EFConcat,rng_EF3WTT)*SupplyChain_Tier1_Backend[[#This Row],[Converted data]]/1000</f>
        <v>0</v>
      </c>
      <c r="AJ53" s="210">
        <f ca="1">_xlfn.XLOOKUP(_xlfn.CONCAT(SupplyChain_Tier1_Backend[[#This Row],[Level 1]:[Level 6]]),rng_EFConcat,rng_EF3TD)*SupplyChain_Tier1_Backend[[#This Row],[Converted data]]/1000</f>
        <v>0</v>
      </c>
      <c r="AK53" s="210">
        <f ca="1">_xlfn.XLOOKUP(_xlfn.CONCAT(SupplyChain_Tier1_Backend[[#This Row],[Level 1]:[Level 6]]),rng_EFConcat,rng_EF3WTTTD)*SupplyChain_Tier1_Backend[[#This Row],[Converted data]]/1000</f>
        <v>0</v>
      </c>
      <c r="AL53" s="220" t="str">
        <f>IF($G53="","", SUM(SupplyChain_Tier1_Backend[[#This Row],[Scope 1 (tCO2e)]:[Scope 3 WTT T&amp;D (tCO2e)]]))</f>
        <v/>
      </c>
      <c r="AM53" s="220" t="str">
        <f>IF($G53="","", SupplyChain_Tier1_Backend[[#This Row],[Total (tCO2e)]]*(1-SupplyChain_Tier1_Backend[[#This Row],[RSD]]))</f>
        <v/>
      </c>
      <c r="AN53" s="220" t="str">
        <f>IF($G53="","", SupplyChain_Tier1_Backend[[#This Row],[Total (tCO2e)]]*(1+SupplyChain_Tier1_Backend[[#This Row],[RSD]]))</f>
        <v/>
      </c>
      <c r="AO53" s="210">
        <f ca="1">_xlfn.XLOOKUP(_xlfn.CONCAT(SupplyChain_Tier1_Backend[[#This Row],[Level 1]:[Level 6]]),rng_EFConcat,rng_EFOOS)*SupplyChain_Tier1_Backend[[#This Row],[Converted data]]/1000</f>
        <v>0</v>
      </c>
      <c r="AP53" s="174">
        <f>SupplyChain_Tier1_Frontend[[#This Row],[Ease of collection]]</f>
        <v>0</v>
      </c>
      <c r="AQ53" s="213">
        <f>SupplyChain_Tier1_Frontend[[#This Row],[Completeness]]</f>
        <v>0</v>
      </c>
      <c r="AR53" s="213">
        <f>SupplyChain_Tier1_Frontend[[#This Row],[Notes]]</f>
        <v>0</v>
      </c>
    </row>
    <row r="54" spans="2:44" ht="14.5" x14ac:dyDescent="0.35">
      <c r="B54" s="169"/>
      <c r="E54" s="236" t="s">
        <v>226</v>
      </c>
      <c r="F54" s="178" t="s">
        <v>399</v>
      </c>
      <c r="G54" s="334"/>
      <c r="H54" s="172" t="s">
        <v>383</v>
      </c>
      <c r="I54" s="172" t="s">
        <v>384</v>
      </c>
      <c r="J54" s="336"/>
      <c r="K54" s="336"/>
      <c r="L54" s="337"/>
      <c r="M54" s="242">
        <f t="shared" si="1"/>
        <v>0</v>
      </c>
      <c r="N54"/>
      <c r="O54"/>
      <c r="Q54" s="211" t="str">
        <f t="shared" si="2"/>
        <v/>
      </c>
      <c r="R54" s="174" t="s">
        <v>267</v>
      </c>
      <c r="S54" s="174" t="s">
        <v>385</v>
      </c>
      <c r="T54" s="174" t="str" cm="1">
        <f t="array" aca="1" ref="T54" ca="1">_xlfn.XLOOKUP(SupplyChain_Tier1_Backend[[#This Row],[Level 2]],rng_Level2Long,rng_Level3Long)</f>
        <v>Supply chain</v>
      </c>
      <c r="U54" s="174" t="str">
        <f>SupplyChain_Tier1_Frontend[[#This Row],[Category]]</f>
        <v>Manufacturing</v>
      </c>
      <c r="V54" s="174" t="str">
        <f>SupplyChain_Tier1_Frontend[[#This Row],[Product Category]]</f>
        <v>Electrical equipment</v>
      </c>
      <c r="W54" s="174" t="str" cm="1">
        <f t="array" aca="1" ref="W54" ca="1">_xlfn.XLOOKUP(SupplyChain_Tier1_Backend[[#This Row],[Level 5]],rng_Level5Long,rng_Level6Long)</f>
        <v>NaN</v>
      </c>
      <c r="X54" s="174" t="str">
        <f>SupplyChain_Tier1_Frontend[[#This Row],[Data type]]</f>
        <v>Spend-based EF</v>
      </c>
      <c r="Y54" s="174" t="s">
        <v>339</v>
      </c>
      <c r="Z54" s="174" t="s">
        <v>198</v>
      </c>
      <c r="AA54" s="229" cm="1">
        <f t="array" aca="1" ref="AA54" ca="1">INDEX(_xlfn.SWITCH(SupplyChain_Tier1_Backend[[#This Row],[Methodology]],"Tier 1",rng_RSD1,"Tier 2",rng_RSD2,"Tier 3",rng_RSD3),MATCH(_xlfn.CONCAT(SupplyChain_Tier1_Backend[[#This Row],[Level 1]:[Level 6]]),rng_LevelsConcat,0))</f>
        <v>0.25</v>
      </c>
      <c r="AB54" s="220">
        <f>SupplyChain_Tier1_Frontend[[#This Row],[Data]]</f>
        <v>0</v>
      </c>
      <c r="AC54" s="220" t="str">
        <f>SupplyChain_Tier1_Frontend[[#This Row],[Units]]</f>
        <v>£</v>
      </c>
      <c r="AD5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4" s="174" t="str">
        <f>SupplyChain_Tier1_Frontend[[#This Row],[Units]]</f>
        <v>£</v>
      </c>
      <c r="AF54" s="210">
        <f ca="1">_xlfn.XLOOKUP(_xlfn.CONCAT(SupplyChain_Tier1_Backend[[#This Row],[Level 1]:[Level 6]]),rng_EFConcat,rng_EF1)*SupplyChain_Tier1_Backend[[#This Row],[Converted data]]/1000</f>
        <v>0</v>
      </c>
      <c r="AG54" s="210">
        <f ca="1">_xlfn.XLOOKUP(_xlfn.CONCAT(SupplyChain_Tier1_Backend[[#This Row],[Level 1]:[Level 6]]),rng_EFConcat,rng_EF2)*SupplyChain_Tier1_Backend[[#This Row],[Converted data]]/1000</f>
        <v>0</v>
      </c>
      <c r="AH54" s="210">
        <f ca="1">_xlfn.XLOOKUP(_xlfn.CONCAT(SupplyChain_Tier1_Backend[[#This Row],[Level 1]:[Level 6]]),rng_EFConcat,rng_EF3)*SupplyChain_Tier1_Backend[[#This Row],[Converted data]]/1000</f>
        <v>0</v>
      </c>
      <c r="AI54" s="210">
        <f ca="1">_xlfn.XLOOKUP(_xlfn.CONCAT(SupplyChain_Tier1_Backend[[#This Row],[Level 1]:[Level 6]]),rng_EFConcat,rng_EF3WTT)*SupplyChain_Tier1_Backend[[#This Row],[Converted data]]/1000</f>
        <v>0</v>
      </c>
      <c r="AJ54" s="210">
        <f ca="1">_xlfn.XLOOKUP(_xlfn.CONCAT(SupplyChain_Tier1_Backend[[#This Row],[Level 1]:[Level 6]]),rng_EFConcat,rng_EF3TD)*SupplyChain_Tier1_Backend[[#This Row],[Converted data]]/1000</f>
        <v>0</v>
      </c>
      <c r="AK54" s="210">
        <f ca="1">_xlfn.XLOOKUP(_xlfn.CONCAT(SupplyChain_Tier1_Backend[[#This Row],[Level 1]:[Level 6]]),rng_EFConcat,rng_EF3WTTTD)*SupplyChain_Tier1_Backend[[#This Row],[Converted data]]/1000</f>
        <v>0</v>
      </c>
      <c r="AL54" s="220" t="str">
        <f>IF($G54="","", SUM(SupplyChain_Tier1_Backend[[#This Row],[Scope 1 (tCO2e)]:[Scope 3 WTT T&amp;D (tCO2e)]]))</f>
        <v/>
      </c>
      <c r="AM54" s="220" t="str">
        <f>IF($G54="","", SupplyChain_Tier1_Backend[[#This Row],[Total (tCO2e)]]*(1-SupplyChain_Tier1_Backend[[#This Row],[RSD]]))</f>
        <v/>
      </c>
      <c r="AN54" s="220" t="str">
        <f>IF($G54="","", SupplyChain_Tier1_Backend[[#This Row],[Total (tCO2e)]]*(1+SupplyChain_Tier1_Backend[[#This Row],[RSD]]))</f>
        <v/>
      </c>
      <c r="AO54" s="210">
        <f ca="1">_xlfn.XLOOKUP(_xlfn.CONCAT(SupplyChain_Tier1_Backend[[#This Row],[Level 1]:[Level 6]]),rng_EFConcat,rng_EFOOS)*SupplyChain_Tier1_Backend[[#This Row],[Converted data]]/1000</f>
        <v>0</v>
      </c>
      <c r="AP54" s="174">
        <f>SupplyChain_Tier1_Frontend[[#This Row],[Ease of collection]]</f>
        <v>0</v>
      </c>
      <c r="AQ54" s="213">
        <f>SupplyChain_Tier1_Frontend[[#This Row],[Completeness]]</f>
        <v>0</v>
      </c>
      <c r="AR54" s="213">
        <f>SupplyChain_Tier1_Frontend[[#This Row],[Notes]]</f>
        <v>0</v>
      </c>
    </row>
    <row r="55" spans="2:44" ht="14.5" x14ac:dyDescent="0.35">
      <c r="B55" s="169"/>
      <c r="E55" s="236" t="s">
        <v>226</v>
      </c>
      <c r="F55" s="178" t="s">
        <v>1774</v>
      </c>
      <c r="G55" s="334"/>
      <c r="H55" s="172" t="s">
        <v>383</v>
      </c>
      <c r="I55" s="172" t="s">
        <v>384</v>
      </c>
      <c r="J55" s="336"/>
      <c r="K55" s="336"/>
      <c r="L55" s="337"/>
      <c r="M55" s="242">
        <f t="shared" si="1"/>
        <v>0</v>
      </c>
      <c r="N55"/>
      <c r="O55"/>
      <c r="Q55" s="211" t="str">
        <f t="shared" si="2"/>
        <v/>
      </c>
      <c r="R55" s="174" t="s">
        <v>267</v>
      </c>
      <c r="S55" s="174" t="s">
        <v>385</v>
      </c>
      <c r="T55" s="174" t="str" cm="1">
        <f t="array" aca="1" ref="T55" ca="1">_xlfn.XLOOKUP(SupplyChain_Tier1_Backend[[#This Row],[Level 2]],rng_Level2Long,rng_Level3Long)</f>
        <v>Supply chain</v>
      </c>
      <c r="U55" s="174" t="str">
        <f>SupplyChain_Tier1_Frontend[[#This Row],[Category]]</f>
        <v>Manufacturing</v>
      </c>
      <c r="V55" s="174" t="str">
        <f>SupplyChain_Tier1_Frontend[[#This Row],[Product Category]]</f>
        <v>Machinery and equipment n.e.c.</v>
      </c>
      <c r="W55" s="174" t="str" cm="1">
        <f t="array" aca="1" ref="W55" ca="1">_xlfn.XLOOKUP(SupplyChain_Tier1_Backend[[#This Row],[Level 5]],rng_Level5Long,rng_Level6Long)</f>
        <v>NaN</v>
      </c>
      <c r="X55" s="174" t="str">
        <f>SupplyChain_Tier1_Frontend[[#This Row],[Data type]]</f>
        <v>Spend-based EF</v>
      </c>
      <c r="Y55" s="174" t="s">
        <v>339</v>
      </c>
      <c r="Z55" s="174" t="s">
        <v>198</v>
      </c>
      <c r="AA55" s="229" cm="1">
        <f t="array" aca="1" ref="AA55" ca="1">INDEX(_xlfn.SWITCH(SupplyChain_Tier1_Backend[[#This Row],[Methodology]],"Tier 1",rng_RSD1,"Tier 2",rng_RSD2,"Tier 3",rng_RSD3),MATCH(_xlfn.CONCAT(SupplyChain_Tier1_Backend[[#This Row],[Level 1]:[Level 6]]),rng_LevelsConcat,0))</f>
        <v>0.25</v>
      </c>
      <c r="AB55" s="220">
        <f>SupplyChain_Tier1_Frontend[[#This Row],[Data]]</f>
        <v>0</v>
      </c>
      <c r="AC55" s="220" t="str">
        <f>SupplyChain_Tier1_Frontend[[#This Row],[Units]]</f>
        <v>£</v>
      </c>
      <c r="AD5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5" s="174" t="str">
        <f>SupplyChain_Tier1_Frontend[[#This Row],[Units]]</f>
        <v>£</v>
      </c>
      <c r="AF55" s="210">
        <f ca="1">_xlfn.XLOOKUP(_xlfn.CONCAT(SupplyChain_Tier1_Backend[[#This Row],[Level 1]:[Level 6]]),rng_EFConcat,rng_EF1)*SupplyChain_Tier1_Backend[[#This Row],[Converted data]]/1000</f>
        <v>0</v>
      </c>
      <c r="AG55" s="210">
        <f ca="1">_xlfn.XLOOKUP(_xlfn.CONCAT(SupplyChain_Tier1_Backend[[#This Row],[Level 1]:[Level 6]]),rng_EFConcat,rng_EF2)*SupplyChain_Tier1_Backend[[#This Row],[Converted data]]/1000</f>
        <v>0</v>
      </c>
      <c r="AH55" s="210">
        <f ca="1">_xlfn.XLOOKUP(_xlfn.CONCAT(SupplyChain_Tier1_Backend[[#This Row],[Level 1]:[Level 6]]),rng_EFConcat,rng_EF3)*SupplyChain_Tier1_Backend[[#This Row],[Converted data]]/1000</f>
        <v>0</v>
      </c>
      <c r="AI55" s="210">
        <f ca="1">_xlfn.XLOOKUP(_xlfn.CONCAT(SupplyChain_Tier1_Backend[[#This Row],[Level 1]:[Level 6]]),rng_EFConcat,rng_EF3WTT)*SupplyChain_Tier1_Backend[[#This Row],[Converted data]]/1000</f>
        <v>0</v>
      </c>
      <c r="AJ55" s="210">
        <f ca="1">_xlfn.XLOOKUP(_xlfn.CONCAT(SupplyChain_Tier1_Backend[[#This Row],[Level 1]:[Level 6]]),rng_EFConcat,rng_EF3TD)*SupplyChain_Tier1_Backend[[#This Row],[Converted data]]/1000</f>
        <v>0</v>
      </c>
      <c r="AK55" s="210">
        <f ca="1">_xlfn.XLOOKUP(_xlfn.CONCAT(SupplyChain_Tier1_Backend[[#This Row],[Level 1]:[Level 6]]),rng_EFConcat,rng_EF3WTTTD)*SupplyChain_Tier1_Backend[[#This Row],[Converted data]]/1000</f>
        <v>0</v>
      </c>
      <c r="AL55" s="220" t="str">
        <f>IF($G55="","", SUM(SupplyChain_Tier1_Backend[[#This Row],[Scope 1 (tCO2e)]:[Scope 3 WTT T&amp;D (tCO2e)]]))</f>
        <v/>
      </c>
      <c r="AM55" s="220" t="str">
        <f>IF($G55="","", SupplyChain_Tier1_Backend[[#This Row],[Total (tCO2e)]]*(1-SupplyChain_Tier1_Backend[[#This Row],[RSD]]))</f>
        <v/>
      </c>
      <c r="AN55" s="220" t="str">
        <f>IF($G55="","", SupplyChain_Tier1_Backend[[#This Row],[Total (tCO2e)]]*(1+SupplyChain_Tier1_Backend[[#This Row],[RSD]]))</f>
        <v/>
      </c>
      <c r="AO55" s="210">
        <f ca="1">_xlfn.XLOOKUP(_xlfn.CONCAT(SupplyChain_Tier1_Backend[[#This Row],[Level 1]:[Level 6]]),rng_EFConcat,rng_EFOOS)*SupplyChain_Tier1_Backend[[#This Row],[Converted data]]/1000</f>
        <v>0</v>
      </c>
      <c r="AP55" s="174">
        <f>SupplyChain_Tier1_Frontend[[#This Row],[Ease of collection]]</f>
        <v>0</v>
      </c>
      <c r="AQ55" s="213">
        <f>SupplyChain_Tier1_Frontend[[#This Row],[Completeness]]</f>
        <v>0</v>
      </c>
      <c r="AR55" s="213">
        <f>SupplyChain_Tier1_Frontend[[#This Row],[Notes]]</f>
        <v>0</v>
      </c>
    </row>
    <row r="56" spans="2:44" ht="14.5" x14ac:dyDescent="0.35">
      <c r="B56" s="169"/>
      <c r="E56" s="236" t="s">
        <v>226</v>
      </c>
      <c r="F56" s="178" t="s">
        <v>1775</v>
      </c>
      <c r="G56" s="334"/>
      <c r="H56" s="172" t="s">
        <v>383</v>
      </c>
      <c r="I56" s="172" t="s">
        <v>384</v>
      </c>
      <c r="J56" s="336"/>
      <c r="K56" s="336"/>
      <c r="L56" s="337"/>
      <c r="M56" s="242">
        <f t="shared" si="1"/>
        <v>0</v>
      </c>
      <c r="N56"/>
      <c r="O56"/>
      <c r="Q56" s="211" t="str">
        <f t="shared" si="2"/>
        <v/>
      </c>
      <c r="R56" s="174" t="s">
        <v>267</v>
      </c>
      <c r="S56" s="174" t="s">
        <v>385</v>
      </c>
      <c r="T56" s="174" t="str" cm="1">
        <f t="array" aca="1" ref="T56" ca="1">_xlfn.XLOOKUP(SupplyChain_Tier1_Backend[[#This Row],[Level 2]],rng_Level2Long,rng_Level3Long)</f>
        <v>Supply chain</v>
      </c>
      <c r="U56" s="174" t="str">
        <f>SupplyChain_Tier1_Frontend[[#This Row],[Category]]</f>
        <v>Manufacturing</v>
      </c>
      <c r="V56" s="174" t="str">
        <f>SupplyChain_Tier1_Frontend[[#This Row],[Product Category]]</f>
        <v>Motor vehicles, trailers and semi-trailers</v>
      </c>
      <c r="W56" s="174" t="str" cm="1">
        <f t="array" aca="1" ref="W56" ca="1">_xlfn.XLOOKUP(SupplyChain_Tier1_Backend[[#This Row],[Level 5]],rng_Level5Long,rng_Level6Long)</f>
        <v>NaN</v>
      </c>
      <c r="X56" s="174" t="str">
        <f>SupplyChain_Tier1_Frontend[[#This Row],[Data type]]</f>
        <v>Spend-based EF</v>
      </c>
      <c r="Y56" s="174" t="s">
        <v>339</v>
      </c>
      <c r="Z56" s="174" t="s">
        <v>198</v>
      </c>
      <c r="AA56" s="229" cm="1">
        <f t="array" aca="1" ref="AA56" ca="1">INDEX(_xlfn.SWITCH(SupplyChain_Tier1_Backend[[#This Row],[Methodology]],"Tier 1",rng_RSD1,"Tier 2",rng_RSD2,"Tier 3",rng_RSD3),MATCH(_xlfn.CONCAT(SupplyChain_Tier1_Backend[[#This Row],[Level 1]:[Level 6]]),rng_LevelsConcat,0))</f>
        <v>0.25</v>
      </c>
      <c r="AB56" s="220">
        <f>SupplyChain_Tier1_Frontend[[#This Row],[Data]]</f>
        <v>0</v>
      </c>
      <c r="AC56" s="220" t="str">
        <f>SupplyChain_Tier1_Frontend[[#This Row],[Units]]</f>
        <v>£</v>
      </c>
      <c r="AD5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6" s="174" t="str">
        <f>SupplyChain_Tier1_Frontend[[#This Row],[Units]]</f>
        <v>£</v>
      </c>
      <c r="AF56" s="210">
        <f ca="1">_xlfn.XLOOKUP(_xlfn.CONCAT(SupplyChain_Tier1_Backend[[#This Row],[Level 1]:[Level 6]]),rng_EFConcat,rng_EF1)*SupplyChain_Tier1_Backend[[#This Row],[Converted data]]/1000</f>
        <v>0</v>
      </c>
      <c r="AG56" s="210">
        <f ca="1">_xlfn.XLOOKUP(_xlfn.CONCAT(SupplyChain_Tier1_Backend[[#This Row],[Level 1]:[Level 6]]),rng_EFConcat,rng_EF2)*SupplyChain_Tier1_Backend[[#This Row],[Converted data]]/1000</f>
        <v>0</v>
      </c>
      <c r="AH56" s="210">
        <f ca="1">_xlfn.XLOOKUP(_xlfn.CONCAT(SupplyChain_Tier1_Backend[[#This Row],[Level 1]:[Level 6]]),rng_EFConcat,rng_EF3)*SupplyChain_Tier1_Backend[[#This Row],[Converted data]]/1000</f>
        <v>0</v>
      </c>
      <c r="AI56" s="210">
        <f ca="1">_xlfn.XLOOKUP(_xlfn.CONCAT(SupplyChain_Tier1_Backend[[#This Row],[Level 1]:[Level 6]]),rng_EFConcat,rng_EF3WTT)*SupplyChain_Tier1_Backend[[#This Row],[Converted data]]/1000</f>
        <v>0</v>
      </c>
      <c r="AJ56" s="210">
        <f ca="1">_xlfn.XLOOKUP(_xlfn.CONCAT(SupplyChain_Tier1_Backend[[#This Row],[Level 1]:[Level 6]]),rng_EFConcat,rng_EF3TD)*SupplyChain_Tier1_Backend[[#This Row],[Converted data]]/1000</f>
        <v>0</v>
      </c>
      <c r="AK56" s="210">
        <f ca="1">_xlfn.XLOOKUP(_xlfn.CONCAT(SupplyChain_Tier1_Backend[[#This Row],[Level 1]:[Level 6]]),rng_EFConcat,rng_EF3WTTTD)*SupplyChain_Tier1_Backend[[#This Row],[Converted data]]/1000</f>
        <v>0</v>
      </c>
      <c r="AL56" s="220" t="str">
        <f>IF($G56="","", SUM(SupplyChain_Tier1_Backend[[#This Row],[Scope 1 (tCO2e)]:[Scope 3 WTT T&amp;D (tCO2e)]]))</f>
        <v/>
      </c>
      <c r="AM56" s="220" t="str">
        <f>IF($G56="","", SupplyChain_Tier1_Backend[[#This Row],[Total (tCO2e)]]*(1-SupplyChain_Tier1_Backend[[#This Row],[RSD]]))</f>
        <v/>
      </c>
      <c r="AN56" s="220" t="str">
        <f>IF($G56="","", SupplyChain_Tier1_Backend[[#This Row],[Total (tCO2e)]]*(1+SupplyChain_Tier1_Backend[[#This Row],[RSD]]))</f>
        <v/>
      </c>
      <c r="AO56" s="210">
        <f ca="1">_xlfn.XLOOKUP(_xlfn.CONCAT(SupplyChain_Tier1_Backend[[#This Row],[Level 1]:[Level 6]]),rng_EFConcat,rng_EFOOS)*SupplyChain_Tier1_Backend[[#This Row],[Converted data]]/1000</f>
        <v>0</v>
      </c>
      <c r="AP56" s="174">
        <f>SupplyChain_Tier1_Frontend[[#This Row],[Ease of collection]]</f>
        <v>0</v>
      </c>
      <c r="AQ56" s="213">
        <f>SupplyChain_Tier1_Frontend[[#This Row],[Completeness]]</f>
        <v>0</v>
      </c>
      <c r="AR56" s="213">
        <f>SupplyChain_Tier1_Frontend[[#This Row],[Notes]]</f>
        <v>0</v>
      </c>
    </row>
    <row r="57" spans="2:44" ht="14.5" x14ac:dyDescent="0.35">
      <c r="B57" s="169"/>
      <c r="E57" s="236" t="s">
        <v>226</v>
      </c>
      <c r="F57" s="178" t="s">
        <v>1776</v>
      </c>
      <c r="G57" s="334"/>
      <c r="H57" s="172" t="s">
        <v>383</v>
      </c>
      <c r="I57" s="172" t="s">
        <v>384</v>
      </c>
      <c r="J57" s="336"/>
      <c r="K57" s="336"/>
      <c r="L57" s="337"/>
      <c r="M57" s="242">
        <f t="shared" si="1"/>
        <v>0</v>
      </c>
      <c r="N57"/>
      <c r="O57"/>
      <c r="Q57" s="211" t="str">
        <f t="shared" si="2"/>
        <v/>
      </c>
      <c r="R57" s="174" t="s">
        <v>267</v>
      </c>
      <c r="S57" s="174" t="s">
        <v>385</v>
      </c>
      <c r="T57" s="174" t="str" cm="1">
        <f t="array" aca="1" ref="T57" ca="1">_xlfn.XLOOKUP(SupplyChain_Tier1_Backend[[#This Row],[Level 2]],rng_Level2Long,rng_Level3Long)</f>
        <v>Supply chain</v>
      </c>
      <c r="U57" s="174" t="str">
        <f>SupplyChain_Tier1_Frontend[[#This Row],[Category]]</f>
        <v>Manufacturing</v>
      </c>
      <c r="V57" s="174" t="str">
        <f>SupplyChain_Tier1_Frontend[[#This Row],[Product Category]]</f>
        <v>Ships and boats</v>
      </c>
      <c r="W57" s="174" t="str" cm="1">
        <f t="array" aca="1" ref="W57" ca="1">_xlfn.XLOOKUP(SupplyChain_Tier1_Backend[[#This Row],[Level 5]],rng_Level5Long,rng_Level6Long)</f>
        <v>NaN</v>
      </c>
      <c r="X57" s="174" t="str">
        <f>SupplyChain_Tier1_Frontend[[#This Row],[Data type]]</f>
        <v>Spend-based EF</v>
      </c>
      <c r="Y57" s="174" t="s">
        <v>339</v>
      </c>
      <c r="Z57" s="174" t="s">
        <v>198</v>
      </c>
      <c r="AA57" s="229" cm="1">
        <f t="array" aca="1" ref="AA57" ca="1">INDEX(_xlfn.SWITCH(SupplyChain_Tier1_Backend[[#This Row],[Methodology]],"Tier 1",rng_RSD1,"Tier 2",rng_RSD2,"Tier 3",rng_RSD3),MATCH(_xlfn.CONCAT(SupplyChain_Tier1_Backend[[#This Row],[Level 1]:[Level 6]]),rng_LevelsConcat,0))</f>
        <v>0.25</v>
      </c>
      <c r="AB57" s="220">
        <f>SupplyChain_Tier1_Frontend[[#This Row],[Data]]</f>
        <v>0</v>
      </c>
      <c r="AC57" s="220" t="str">
        <f>SupplyChain_Tier1_Frontend[[#This Row],[Units]]</f>
        <v>£</v>
      </c>
      <c r="AD5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7" s="174" t="str">
        <f>SupplyChain_Tier1_Frontend[[#This Row],[Units]]</f>
        <v>£</v>
      </c>
      <c r="AF57" s="210">
        <f ca="1">_xlfn.XLOOKUP(_xlfn.CONCAT(SupplyChain_Tier1_Backend[[#This Row],[Level 1]:[Level 6]]),rng_EFConcat,rng_EF1)*SupplyChain_Tier1_Backend[[#This Row],[Converted data]]/1000</f>
        <v>0</v>
      </c>
      <c r="AG57" s="210">
        <f ca="1">_xlfn.XLOOKUP(_xlfn.CONCAT(SupplyChain_Tier1_Backend[[#This Row],[Level 1]:[Level 6]]),rng_EFConcat,rng_EF2)*SupplyChain_Tier1_Backend[[#This Row],[Converted data]]/1000</f>
        <v>0</v>
      </c>
      <c r="AH57" s="210">
        <f ca="1">_xlfn.XLOOKUP(_xlfn.CONCAT(SupplyChain_Tier1_Backend[[#This Row],[Level 1]:[Level 6]]),rng_EFConcat,rng_EF3)*SupplyChain_Tier1_Backend[[#This Row],[Converted data]]/1000</f>
        <v>0</v>
      </c>
      <c r="AI57" s="210">
        <f ca="1">_xlfn.XLOOKUP(_xlfn.CONCAT(SupplyChain_Tier1_Backend[[#This Row],[Level 1]:[Level 6]]),rng_EFConcat,rng_EF3WTT)*SupplyChain_Tier1_Backend[[#This Row],[Converted data]]/1000</f>
        <v>0</v>
      </c>
      <c r="AJ57" s="210">
        <f ca="1">_xlfn.XLOOKUP(_xlfn.CONCAT(SupplyChain_Tier1_Backend[[#This Row],[Level 1]:[Level 6]]),rng_EFConcat,rng_EF3TD)*SupplyChain_Tier1_Backend[[#This Row],[Converted data]]/1000</f>
        <v>0</v>
      </c>
      <c r="AK57" s="210">
        <f ca="1">_xlfn.XLOOKUP(_xlfn.CONCAT(SupplyChain_Tier1_Backend[[#This Row],[Level 1]:[Level 6]]),rng_EFConcat,rng_EF3WTTTD)*SupplyChain_Tier1_Backend[[#This Row],[Converted data]]/1000</f>
        <v>0</v>
      </c>
      <c r="AL57" s="220" t="str">
        <f>IF($G57="","", SUM(SupplyChain_Tier1_Backend[[#This Row],[Scope 1 (tCO2e)]:[Scope 3 WTT T&amp;D (tCO2e)]]))</f>
        <v/>
      </c>
      <c r="AM57" s="220" t="str">
        <f>IF($G57="","", SupplyChain_Tier1_Backend[[#This Row],[Total (tCO2e)]]*(1-SupplyChain_Tier1_Backend[[#This Row],[RSD]]))</f>
        <v/>
      </c>
      <c r="AN57" s="220" t="str">
        <f>IF($G57="","", SupplyChain_Tier1_Backend[[#This Row],[Total (tCO2e)]]*(1+SupplyChain_Tier1_Backend[[#This Row],[RSD]]))</f>
        <v/>
      </c>
      <c r="AO57" s="210">
        <f ca="1">_xlfn.XLOOKUP(_xlfn.CONCAT(SupplyChain_Tier1_Backend[[#This Row],[Level 1]:[Level 6]]),rng_EFConcat,rng_EFOOS)*SupplyChain_Tier1_Backend[[#This Row],[Converted data]]/1000</f>
        <v>0</v>
      </c>
      <c r="AP57" s="174">
        <f>SupplyChain_Tier1_Frontend[[#This Row],[Ease of collection]]</f>
        <v>0</v>
      </c>
      <c r="AQ57" s="213">
        <f>SupplyChain_Tier1_Frontend[[#This Row],[Completeness]]</f>
        <v>0</v>
      </c>
      <c r="AR57" s="213">
        <f>SupplyChain_Tier1_Frontend[[#This Row],[Notes]]</f>
        <v>0</v>
      </c>
    </row>
    <row r="58" spans="2:44" ht="14.5" x14ac:dyDescent="0.35">
      <c r="B58" s="169"/>
      <c r="E58" s="236" t="s">
        <v>226</v>
      </c>
      <c r="F58" s="178" t="s">
        <v>1777</v>
      </c>
      <c r="G58" s="334"/>
      <c r="H58" s="172" t="s">
        <v>383</v>
      </c>
      <c r="I58" s="172" t="s">
        <v>384</v>
      </c>
      <c r="J58" s="336"/>
      <c r="K58" s="336"/>
      <c r="L58" s="337"/>
      <c r="M58" s="242">
        <f t="shared" si="1"/>
        <v>0</v>
      </c>
      <c r="N58"/>
      <c r="O58"/>
      <c r="Q58" s="211" t="str">
        <f t="shared" si="2"/>
        <v/>
      </c>
      <c r="R58" s="174" t="s">
        <v>267</v>
      </c>
      <c r="S58" s="174" t="s">
        <v>385</v>
      </c>
      <c r="T58" s="174" t="str" cm="1">
        <f t="array" aca="1" ref="T58" ca="1">_xlfn.XLOOKUP(SupplyChain_Tier1_Backend[[#This Row],[Level 2]],rng_Level2Long,rng_Level3Long)</f>
        <v>Supply chain</v>
      </c>
      <c r="U58" s="174" t="str">
        <f>SupplyChain_Tier1_Frontend[[#This Row],[Category]]</f>
        <v>Manufacturing</v>
      </c>
      <c r="V58" s="174" t="str">
        <f>SupplyChain_Tier1_Frontend[[#This Row],[Product Category]]</f>
        <v>Air and spacecraft and related machinery</v>
      </c>
      <c r="W58" s="174" t="str" cm="1">
        <f t="array" aca="1" ref="W58" ca="1">_xlfn.XLOOKUP(SupplyChain_Tier1_Backend[[#This Row],[Level 5]],rng_Level5Long,rng_Level6Long)</f>
        <v>NaN</v>
      </c>
      <c r="X58" s="174" t="str">
        <f>SupplyChain_Tier1_Frontend[[#This Row],[Data type]]</f>
        <v>Spend-based EF</v>
      </c>
      <c r="Y58" s="174" t="s">
        <v>339</v>
      </c>
      <c r="Z58" s="174" t="s">
        <v>198</v>
      </c>
      <c r="AA58" s="229" cm="1">
        <f t="array" aca="1" ref="AA58" ca="1">INDEX(_xlfn.SWITCH(SupplyChain_Tier1_Backend[[#This Row],[Methodology]],"Tier 1",rng_RSD1,"Tier 2",rng_RSD2,"Tier 3",rng_RSD3),MATCH(_xlfn.CONCAT(SupplyChain_Tier1_Backend[[#This Row],[Level 1]:[Level 6]]),rng_LevelsConcat,0))</f>
        <v>0.25</v>
      </c>
      <c r="AB58" s="220">
        <f>SupplyChain_Tier1_Frontend[[#This Row],[Data]]</f>
        <v>0</v>
      </c>
      <c r="AC58" s="220" t="str">
        <f>SupplyChain_Tier1_Frontend[[#This Row],[Units]]</f>
        <v>£</v>
      </c>
      <c r="AD5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8" s="174" t="str">
        <f>SupplyChain_Tier1_Frontend[[#This Row],[Units]]</f>
        <v>£</v>
      </c>
      <c r="AF58" s="210">
        <f ca="1">_xlfn.XLOOKUP(_xlfn.CONCAT(SupplyChain_Tier1_Backend[[#This Row],[Level 1]:[Level 6]]),rng_EFConcat,rng_EF1)*SupplyChain_Tier1_Backend[[#This Row],[Converted data]]/1000</f>
        <v>0</v>
      </c>
      <c r="AG58" s="210">
        <f ca="1">_xlfn.XLOOKUP(_xlfn.CONCAT(SupplyChain_Tier1_Backend[[#This Row],[Level 1]:[Level 6]]),rng_EFConcat,rng_EF2)*SupplyChain_Tier1_Backend[[#This Row],[Converted data]]/1000</f>
        <v>0</v>
      </c>
      <c r="AH58" s="210">
        <f ca="1">_xlfn.XLOOKUP(_xlfn.CONCAT(SupplyChain_Tier1_Backend[[#This Row],[Level 1]:[Level 6]]),rng_EFConcat,rng_EF3)*SupplyChain_Tier1_Backend[[#This Row],[Converted data]]/1000</f>
        <v>0</v>
      </c>
      <c r="AI58" s="210">
        <f ca="1">_xlfn.XLOOKUP(_xlfn.CONCAT(SupplyChain_Tier1_Backend[[#This Row],[Level 1]:[Level 6]]),rng_EFConcat,rng_EF3WTT)*SupplyChain_Tier1_Backend[[#This Row],[Converted data]]/1000</f>
        <v>0</v>
      </c>
      <c r="AJ58" s="210">
        <f ca="1">_xlfn.XLOOKUP(_xlfn.CONCAT(SupplyChain_Tier1_Backend[[#This Row],[Level 1]:[Level 6]]),rng_EFConcat,rng_EF3TD)*SupplyChain_Tier1_Backend[[#This Row],[Converted data]]/1000</f>
        <v>0</v>
      </c>
      <c r="AK58" s="210">
        <f ca="1">_xlfn.XLOOKUP(_xlfn.CONCAT(SupplyChain_Tier1_Backend[[#This Row],[Level 1]:[Level 6]]),rng_EFConcat,rng_EF3WTTTD)*SupplyChain_Tier1_Backend[[#This Row],[Converted data]]/1000</f>
        <v>0</v>
      </c>
      <c r="AL58" s="220" t="str">
        <f>IF($G58="","", SUM(SupplyChain_Tier1_Backend[[#This Row],[Scope 1 (tCO2e)]:[Scope 3 WTT T&amp;D (tCO2e)]]))</f>
        <v/>
      </c>
      <c r="AM58" s="220" t="str">
        <f>IF($G58="","", SupplyChain_Tier1_Backend[[#This Row],[Total (tCO2e)]]*(1-SupplyChain_Tier1_Backend[[#This Row],[RSD]]))</f>
        <v/>
      </c>
      <c r="AN58" s="220" t="str">
        <f>IF($G58="","", SupplyChain_Tier1_Backend[[#This Row],[Total (tCO2e)]]*(1+SupplyChain_Tier1_Backend[[#This Row],[RSD]]))</f>
        <v/>
      </c>
      <c r="AO58" s="210">
        <f ca="1">_xlfn.XLOOKUP(_xlfn.CONCAT(SupplyChain_Tier1_Backend[[#This Row],[Level 1]:[Level 6]]),rng_EFConcat,rng_EFOOS)*SupplyChain_Tier1_Backend[[#This Row],[Converted data]]/1000</f>
        <v>0</v>
      </c>
      <c r="AP58" s="174">
        <f>SupplyChain_Tier1_Frontend[[#This Row],[Ease of collection]]</f>
        <v>0</v>
      </c>
      <c r="AQ58" s="213">
        <f>SupplyChain_Tier1_Frontend[[#This Row],[Completeness]]</f>
        <v>0</v>
      </c>
      <c r="AR58" s="213">
        <f>SupplyChain_Tier1_Frontend[[#This Row],[Notes]]</f>
        <v>0</v>
      </c>
    </row>
    <row r="59" spans="2:44" ht="14.5" x14ac:dyDescent="0.35">
      <c r="B59" s="169"/>
      <c r="E59" s="236" t="s">
        <v>226</v>
      </c>
      <c r="F59" s="178" t="s">
        <v>1778</v>
      </c>
      <c r="G59" s="334"/>
      <c r="H59" s="172" t="s">
        <v>383</v>
      </c>
      <c r="I59" s="172" t="s">
        <v>384</v>
      </c>
      <c r="J59" s="336"/>
      <c r="K59" s="336"/>
      <c r="L59" s="337"/>
      <c r="M59" s="242">
        <f t="shared" si="1"/>
        <v>0</v>
      </c>
      <c r="N59"/>
      <c r="O59"/>
      <c r="Q59" s="211" t="str">
        <f t="shared" si="2"/>
        <v/>
      </c>
      <c r="R59" s="174" t="s">
        <v>267</v>
      </c>
      <c r="S59" s="174" t="s">
        <v>385</v>
      </c>
      <c r="T59" s="174" t="str" cm="1">
        <f t="array" aca="1" ref="T59" ca="1">_xlfn.XLOOKUP(SupplyChain_Tier1_Backend[[#This Row],[Level 2]],rng_Level2Long,rng_Level3Long)</f>
        <v>Supply chain</v>
      </c>
      <c r="U59" s="174" t="str">
        <f>SupplyChain_Tier1_Frontend[[#This Row],[Category]]</f>
        <v>Manufacturing</v>
      </c>
      <c r="V59" s="174" t="str">
        <f>SupplyChain_Tier1_Frontend[[#This Row],[Product Category]]</f>
        <v>Other transport equipment - 30.2/4/9</v>
      </c>
      <c r="W59" s="174" t="str" cm="1">
        <f t="array" aca="1" ref="W59" ca="1">_xlfn.XLOOKUP(SupplyChain_Tier1_Backend[[#This Row],[Level 5]],rng_Level5Long,rng_Level6Long)</f>
        <v>NaN</v>
      </c>
      <c r="X59" s="174" t="str">
        <f>SupplyChain_Tier1_Frontend[[#This Row],[Data type]]</f>
        <v>Spend-based EF</v>
      </c>
      <c r="Y59" s="174" t="s">
        <v>339</v>
      </c>
      <c r="Z59" s="174" t="s">
        <v>198</v>
      </c>
      <c r="AA59" s="229" cm="1">
        <f t="array" aca="1" ref="AA59" ca="1">INDEX(_xlfn.SWITCH(SupplyChain_Tier1_Backend[[#This Row],[Methodology]],"Tier 1",rng_RSD1,"Tier 2",rng_RSD2,"Tier 3",rng_RSD3),MATCH(_xlfn.CONCAT(SupplyChain_Tier1_Backend[[#This Row],[Level 1]:[Level 6]]),rng_LevelsConcat,0))</f>
        <v>0.25</v>
      </c>
      <c r="AB59" s="220">
        <f>SupplyChain_Tier1_Frontend[[#This Row],[Data]]</f>
        <v>0</v>
      </c>
      <c r="AC59" s="220" t="str">
        <f>SupplyChain_Tier1_Frontend[[#This Row],[Units]]</f>
        <v>£</v>
      </c>
      <c r="AD5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59" s="174" t="str">
        <f>SupplyChain_Tier1_Frontend[[#This Row],[Units]]</f>
        <v>£</v>
      </c>
      <c r="AF59" s="210">
        <f ca="1">_xlfn.XLOOKUP(_xlfn.CONCAT(SupplyChain_Tier1_Backend[[#This Row],[Level 1]:[Level 6]]),rng_EFConcat,rng_EF1)*SupplyChain_Tier1_Backend[[#This Row],[Converted data]]/1000</f>
        <v>0</v>
      </c>
      <c r="AG59" s="210">
        <f ca="1">_xlfn.XLOOKUP(_xlfn.CONCAT(SupplyChain_Tier1_Backend[[#This Row],[Level 1]:[Level 6]]),rng_EFConcat,rng_EF2)*SupplyChain_Tier1_Backend[[#This Row],[Converted data]]/1000</f>
        <v>0</v>
      </c>
      <c r="AH59" s="210">
        <f ca="1">_xlfn.XLOOKUP(_xlfn.CONCAT(SupplyChain_Tier1_Backend[[#This Row],[Level 1]:[Level 6]]),rng_EFConcat,rng_EF3)*SupplyChain_Tier1_Backend[[#This Row],[Converted data]]/1000</f>
        <v>0</v>
      </c>
      <c r="AI59" s="210">
        <f ca="1">_xlfn.XLOOKUP(_xlfn.CONCAT(SupplyChain_Tier1_Backend[[#This Row],[Level 1]:[Level 6]]),rng_EFConcat,rng_EF3WTT)*SupplyChain_Tier1_Backend[[#This Row],[Converted data]]/1000</f>
        <v>0</v>
      </c>
      <c r="AJ59" s="210">
        <f ca="1">_xlfn.XLOOKUP(_xlfn.CONCAT(SupplyChain_Tier1_Backend[[#This Row],[Level 1]:[Level 6]]),rng_EFConcat,rng_EF3TD)*SupplyChain_Tier1_Backend[[#This Row],[Converted data]]/1000</f>
        <v>0</v>
      </c>
      <c r="AK59" s="210">
        <f ca="1">_xlfn.XLOOKUP(_xlfn.CONCAT(SupplyChain_Tier1_Backend[[#This Row],[Level 1]:[Level 6]]),rng_EFConcat,rng_EF3WTTTD)*SupplyChain_Tier1_Backend[[#This Row],[Converted data]]/1000</f>
        <v>0</v>
      </c>
      <c r="AL59" s="220" t="str">
        <f>IF($G59="","", SUM(SupplyChain_Tier1_Backend[[#This Row],[Scope 1 (tCO2e)]:[Scope 3 WTT T&amp;D (tCO2e)]]))</f>
        <v/>
      </c>
      <c r="AM59" s="220" t="str">
        <f>IF($G59="","", SupplyChain_Tier1_Backend[[#This Row],[Total (tCO2e)]]*(1-SupplyChain_Tier1_Backend[[#This Row],[RSD]]))</f>
        <v/>
      </c>
      <c r="AN59" s="220" t="str">
        <f>IF($G59="","", SupplyChain_Tier1_Backend[[#This Row],[Total (tCO2e)]]*(1+SupplyChain_Tier1_Backend[[#This Row],[RSD]]))</f>
        <v/>
      </c>
      <c r="AO59" s="210">
        <f ca="1">_xlfn.XLOOKUP(_xlfn.CONCAT(SupplyChain_Tier1_Backend[[#This Row],[Level 1]:[Level 6]]),rng_EFConcat,rng_EFOOS)*SupplyChain_Tier1_Backend[[#This Row],[Converted data]]/1000</f>
        <v>0</v>
      </c>
      <c r="AP59" s="174">
        <f>SupplyChain_Tier1_Frontend[[#This Row],[Ease of collection]]</f>
        <v>0</v>
      </c>
      <c r="AQ59" s="213">
        <f>SupplyChain_Tier1_Frontend[[#This Row],[Completeness]]</f>
        <v>0</v>
      </c>
      <c r="AR59" s="213">
        <f>SupplyChain_Tier1_Frontend[[#This Row],[Notes]]</f>
        <v>0</v>
      </c>
    </row>
    <row r="60" spans="2:44" ht="14.5" x14ac:dyDescent="0.35">
      <c r="B60" s="169"/>
      <c r="E60" s="236" t="s">
        <v>226</v>
      </c>
      <c r="F60" s="178" t="s">
        <v>1779</v>
      </c>
      <c r="G60" s="334"/>
      <c r="H60" s="172" t="s">
        <v>383</v>
      </c>
      <c r="I60" s="172" t="s">
        <v>384</v>
      </c>
      <c r="J60" s="336"/>
      <c r="K60" s="336"/>
      <c r="L60" s="337"/>
      <c r="M60" s="242">
        <f t="shared" si="1"/>
        <v>0</v>
      </c>
      <c r="N60"/>
      <c r="O60"/>
      <c r="Q60" s="211" t="str">
        <f t="shared" si="2"/>
        <v/>
      </c>
      <c r="R60" s="174" t="s">
        <v>267</v>
      </c>
      <c r="S60" s="174" t="s">
        <v>385</v>
      </c>
      <c r="T60" s="174" t="str" cm="1">
        <f t="array" aca="1" ref="T60" ca="1">_xlfn.XLOOKUP(SupplyChain_Tier1_Backend[[#This Row],[Level 2]],rng_Level2Long,rng_Level3Long)</f>
        <v>Supply chain</v>
      </c>
      <c r="U60" s="174" t="str">
        <f>SupplyChain_Tier1_Frontend[[#This Row],[Category]]</f>
        <v>Manufacturing</v>
      </c>
      <c r="V60" s="174" t="str">
        <f>SupplyChain_Tier1_Frontend[[#This Row],[Product Category]]</f>
        <v>Furniture</v>
      </c>
      <c r="W60" s="174" t="str" cm="1">
        <f t="array" aca="1" ref="W60" ca="1">_xlfn.XLOOKUP(SupplyChain_Tier1_Backend[[#This Row],[Level 5]],rng_Level5Long,rng_Level6Long)</f>
        <v>NaN</v>
      </c>
      <c r="X60" s="174" t="str">
        <f>SupplyChain_Tier1_Frontend[[#This Row],[Data type]]</f>
        <v>Spend-based EF</v>
      </c>
      <c r="Y60" s="174" t="s">
        <v>339</v>
      </c>
      <c r="Z60" s="174" t="s">
        <v>198</v>
      </c>
      <c r="AA60" s="229" cm="1">
        <f t="array" aca="1" ref="AA60" ca="1">INDEX(_xlfn.SWITCH(SupplyChain_Tier1_Backend[[#This Row],[Methodology]],"Tier 1",rng_RSD1,"Tier 2",rng_RSD2,"Tier 3",rng_RSD3),MATCH(_xlfn.CONCAT(SupplyChain_Tier1_Backend[[#This Row],[Level 1]:[Level 6]]),rng_LevelsConcat,0))</f>
        <v>0.25</v>
      </c>
      <c r="AB60" s="220">
        <f>SupplyChain_Tier1_Frontend[[#This Row],[Data]]</f>
        <v>0</v>
      </c>
      <c r="AC60" s="220" t="str">
        <f>SupplyChain_Tier1_Frontend[[#This Row],[Units]]</f>
        <v>£</v>
      </c>
      <c r="AD6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0" s="174" t="str">
        <f>SupplyChain_Tier1_Frontend[[#This Row],[Units]]</f>
        <v>£</v>
      </c>
      <c r="AF60" s="210">
        <f ca="1">_xlfn.XLOOKUP(_xlfn.CONCAT(SupplyChain_Tier1_Backend[[#This Row],[Level 1]:[Level 6]]),rng_EFConcat,rng_EF1)*SupplyChain_Tier1_Backend[[#This Row],[Converted data]]/1000</f>
        <v>0</v>
      </c>
      <c r="AG60" s="210">
        <f ca="1">_xlfn.XLOOKUP(_xlfn.CONCAT(SupplyChain_Tier1_Backend[[#This Row],[Level 1]:[Level 6]]),rng_EFConcat,rng_EF2)*SupplyChain_Tier1_Backend[[#This Row],[Converted data]]/1000</f>
        <v>0</v>
      </c>
      <c r="AH60" s="210">
        <f ca="1">_xlfn.XLOOKUP(_xlfn.CONCAT(SupplyChain_Tier1_Backend[[#This Row],[Level 1]:[Level 6]]),rng_EFConcat,rng_EF3)*SupplyChain_Tier1_Backend[[#This Row],[Converted data]]/1000</f>
        <v>0</v>
      </c>
      <c r="AI60" s="210">
        <f ca="1">_xlfn.XLOOKUP(_xlfn.CONCAT(SupplyChain_Tier1_Backend[[#This Row],[Level 1]:[Level 6]]),rng_EFConcat,rng_EF3WTT)*SupplyChain_Tier1_Backend[[#This Row],[Converted data]]/1000</f>
        <v>0</v>
      </c>
      <c r="AJ60" s="210">
        <f ca="1">_xlfn.XLOOKUP(_xlfn.CONCAT(SupplyChain_Tier1_Backend[[#This Row],[Level 1]:[Level 6]]),rng_EFConcat,rng_EF3TD)*SupplyChain_Tier1_Backend[[#This Row],[Converted data]]/1000</f>
        <v>0</v>
      </c>
      <c r="AK60" s="210">
        <f ca="1">_xlfn.XLOOKUP(_xlfn.CONCAT(SupplyChain_Tier1_Backend[[#This Row],[Level 1]:[Level 6]]),rng_EFConcat,rng_EF3WTTTD)*SupplyChain_Tier1_Backend[[#This Row],[Converted data]]/1000</f>
        <v>0</v>
      </c>
      <c r="AL60" s="220" t="str">
        <f>IF($G60="","", SUM(SupplyChain_Tier1_Backend[[#This Row],[Scope 1 (tCO2e)]:[Scope 3 WTT T&amp;D (tCO2e)]]))</f>
        <v/>
      </c>
      <c r="AM60" s="220" t="str">
        <f>IF($G60="","", SupplyChain_Tier1_Backend[[#This Row],[Total (tCO2e)]]*(1-SupplyChain_Tier1_Backend[[#This Row],[RSD]]))</f>
        <v/>
      </c>
      <c r="AN60" s="220" t="str">
        <f>IF($G60="","", SupplyChain_Tier1_Backend[[#This Row],[Total (tCO2e)]]*(1+SupplyChain_Tier1_Backend[[#This Row],[RSD]]))</f>
        <v/>
      </c>
      <c r="AO60" s="210">
        <f ca="1">_xlfn.XLOOKUP(_xlfn.CONCAT(SupplyChain_Tier1_Backend[[#This Row],[Level 1]:[Level 6]]),rng_EFConcat,rng_EFOOS)*SupplyChain_Tier1_Backend[[#This Row],[Converted data]]/1000</f>
        <v>0</v>
      </c>
      <c r="AP60" s="174">
        <f>SupplyChain_Tier1_Frontend[[#This Row],[Ease of collection]]</f>
        <v>0</v>
      </c>
      <c r="AQ60" s="213">
        <f>SupplyChain_Tier1_Frontend[[#This Row],[Completeness]]</f>
        <v>0</v>
      </c>
      <c r="AR60" s="213">
        <f>SupplyChain_Tier1_Frontend[[#This Row],[Notes]]</f>
        <v>0</v>
      </c>
    </row>
    <row r="61" spans="2:44" ht="14.5" x14ac:dyDescent="0.35">
      <c r="B61" s="169"/>
      <c r="E61" s="236" t="s">
        <v>226</v>
      </c>
      <c r="F61" s="178" t="s">
        <v>1780</v>
      </c>
      <c r="G61" s="334"/>
      <c r="H61" s="172" t="s">
        <v>383</v>
      </c>
      <c r="I61" s="172" t="s">
        <v>384</v>
      </c>
      <c r="J61" s="336"/>
      <c r="K61" s="336"/>
      <c r="L61" s="337"/>
      <c r="M61" s="242">
        <f t="shared" si="1"/>
        <v>0</v>
      </c>
      <c r="N61"/>
      <c r="O61"/>
      <c r="Q61" s="211" t="str">
        <f t="shared" si="2"/>
        <v/>
      </c>
      <c r="R61" s="174" t="s">
        <v>267</v>
      </c>
      <c r="S61" s="174" t="s">
        <v>385</v>
      </c>
      <c r="T61" s="174" t="str" cm="1">
        <f t="array" aca="1" ref="T61" ca="1">_xlfn.XLOOKUP(SupplyChain_Tier1_Backend[[#This Row],[Level 2]],rng_Level2Long,rng_Level3Long)</f>
        <v>Supply chain</v>
      </c>
      <c r="U61" s="174" t="str">
        <f>SupplyChain_Tier1_Frontend[[#This Row],[Category]]</f>
        <v>Manufacturing</v>
      </c>
      <c r="V61" s="174" t="str">
        <f>SupplyChain_Tier1_Frontend[[#This Row],[Product Category]]</f>
        <v>Other manufactured goods</v>
      </c>
      <c r="W61" s="174" t="str" cm="1">
        <f t="array" aca="1" ref="W61" ca="1">_xlfn.XLOOKUP(SupplyChain_Tier1_Backend[[#This Row],[Level 5]],rng_Level5Long,rng_Level6Long)</f>
        <v>NaN</v>
      </c>
      <c r="X61" s="174" t="str">
        <f>SupplyChain_Tier1_Frontend[[#This Row],[Data type]]</f>
        <v>Spend-based EF</v>
      </c>
      <c r="Y61" s="174" t="s">
        <v>339</v>
      </c>
      <c r="Z61" s="174" t="s">
        <v>198</v>
      </c>
      <c r="AA61" s="229" cm="1">
        <f t="array" aca="1" ref="AA61" ca="1">INDEX(_xlfn.SWITCH(SupplyChain_Tier1_Backend[[#This Row],[Methodology]],"Tier 1",rng_RSD1,"Tier 2",rng_RSD2,"Tier 3",rng_RSD3),MATCH(_xlfn.CONCAT(SupplyChain_Tier1_Backend[[#This Row],[Level 1]:[Level 6]]),rng_LevelsConcat,0))</f>
        <v>0.25</v>
      </c>
      <c r="AB61" s="220">
        <f>SupplyChain_Tier1_Frontend[[#This Row],[Data]]</f>
        <v>0</v>
      </c>
      <c r="AC61" s="220" t="str">
        <f>SupplyChain_Tier1_Frontend[[#This Row],[Units]]</f>
        <v>£</v>
      </c>
      <c r="AD6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1" s="174" t="str">
        <f>SupplyChain_Tier1_Frontend[[#This Row],[Units]]</f>
        <v>£</v>
      </c>
      <c r="AF61" s="210">
        <f ca="1">_xlfn.XLOOKUP(_xlfn.CONCAT(SupplyChain_Tier1_Backend[[#This Row],[Level 1]:[Level 6]]),rng_EFConcat,rng_EF1)*SupplyChain_Tier1_Backend[[#This Row],[Converted data]]/1000</f>
        <v>0</v>
      </c>
      <c r="AG61" s="210">
        <f ca="1">_xlfn.XLOOKUP(_xlfn.CONCAT(SupplyChain_Tier1_Backend[[#This Row],[Level 1]:[Level 6]]),rng_EFConcat,rng_EF2)*SupplyChain_Tier1_Backend[[#This Row],[Converted data]]/1000</f>
        <v>0</v>
      </c>
      <c r="AH61" s="210">
        <f ca="1">_xlfn.XLOOKUP(_xlfn.CONCAT(SupplyChain_Tier1_Backend[[#This Row],[Level 1]:[Level 6]]),rng_EFConcat,rng_EF3)*SupplyChain_Tier1_Backend[[#This Row],[Converted data]]/1000</f>
        <v>0</v>
      </c>
      <c r="AI61" s="210">
        <f ca="1">_xlfn.XLOOKUP(_xlfn.CONCAT(SupplyChain_Tier1_Backend[[#This Row],[Level 1]:[Level 6]]),rng_EFConcat,rng_EF3WTT)*SupplyChain_Tier1_Backend[[#This Row],[Converted data]]/1000</f>
        <v>0</v>
      </c>
      <c r="AJ61" s="210">
        <f ca="1">_xlfn.XLOOKUP(_xlfn.CONCAT(SupplyChain_Tier1_Backend[[#This Row],[Level 1]:[Level 6]]),rng_EFConcat,rng_EF3TD)*SupplyChain_Tier1_Backend[[#This Row],[Converted data]]/1000</f>
        <v>0</v>
      </c>
      <c r="AK61" s="210">
        <f ca="1">_xlfn.XLOOKUP(_xlfn.CONCAT(SupplyChain_Tier1_Backend[[#This Row],[Level 1]:[Level 6]]),rng_EFConcat,rng_EF3WTTTD)*SupplyChain_Tier1_Backend[[#This Row],[Converted data]]/1000</f>
        <v>0</v>
      </c>
      <c r="AL61" s="220" t="str">
        <f>IF($G61="","", SUM(SupplyChain_Tier1_Backend[[#This Row],[Scope 1 (tCO2e)]:[Scope 3 WTT T&amp;D (tCO2e)]]))</f>
        <v/>
      </c>
      <c r="AM61" s="220" t="str">
        <f>IF($G61="","", SupplyChain_Tier1_Backend[[#This Row],[Total (tCO2e)]]*(1-SupplyChain_Tier1_Backend[[#This Row],[RSD]]))</f>
        <v/>
      </c>
      <c r="AN61" s="220" t="str">
        <f>IF($G61="","", SupplyChain_Tier1_Backend[[#This Row],[Total (tCO2e)]]*(1+SupplyChain_Tier1_Backend[[#This Row],[RSD]]))</f>
        <v/>
      </c>
      <c r="AO61" s="210">
        <f ca="1">_xlfn.XLOOKUP(_xlfn.CONCAT(SupplyChain_Tier1_Backend[[#This Row],[Level 1]:[Level 6]]),rng_EFConcat,rng_EFOOS)*SupplyChain_Tier1_Backend[[#This Row],[Converted data]]/1000</f>
        <v>0</v>
      </c>
      <c r="AP61" s="174">
        <f>SupplyChain_Tier1_Frontend[[#This Row],[Ease of collection]]</f>
        <v>0</v>
      </c>
      <c r="AQ61" s="213">
        <f>SupplyChain_Tier1_Frontend[[#This Row],[Completeness]]</f>
        <v>0</v>
      </c>
      <c r="AR61" s="213">
        <f>SupplyChain_Tier1_Frontend[[#This Row],[Notes]]</f>
        <v>0</v>
      </c>
    </row>
    <row r="62" spans="2:44" ht="14.5" x14ac:dyDescent="0.35">
      <c r="B62" s="169"/>
      <c r="E62" s="236" t="s">
        <v>226</v>
      </c>
      <c r="F62" s="178" t="s">
        <v>1781</v>
      </c>
      <c r="G62" s="334"/>
      <c r="H62" s="172" t="s">
        <v>383</v>
      </c>
      <c r="I62" s="172" t="s">
        <v>384</v>
      </c>
      <c r="J62" s="336"/>
      <c r="K62" s="336"/>
      <c r="L62" s="337"/>
      <c r="M62" s="242">
        <f t="shared" si="1"/>
        <v>0</v>
      </c>
      <c r="N62"/>
      <c r="O62"/>
      <c r="Q62" s="211" t="str">
        <f t="shared" si="2"/>
        <v/>
      </c>
      <c r="R62" s="174" t="s">
        <v>267</v>
      </c>
      <c r="S62" s="174" t="s">
        <v>385</v>
      </c>
      <c r="T62" s="174" t="str" cm="1">
        <f t="array" aca="1" ref="T62" ca="1">_xlfn.XLOOKUP(SupplyChain_Tier1_Backend[[#This Row],[Level 2]],rng_Level2Long,rng_Level3Long)</f>
        <v>Supply chain</v>
      </c>
      <c r="U62" s="174" t="str">
        <f>SupplyChain_Tier1_Frontend[[#This Row],[Category]]</f>
        <v>Manufacturing</v>
      </c>
      <c r="V62" s="174" t="str">
        <f>SupplyChain_Tier1_Frontend[[#This Row],[Product Category]]</f>
        <v>Repair and maintenance of ships and boats</v>
      </c>
      <c r="W62" s="174" t="str" cm="1">
        <f t="array" aca="1" ref="W62" ca="1">_xlfn.XLOOKUP(SupplyChain_Tier1_Backend[[#This Row],[Level 5]],rng_Level5Long,rng_Level6Long)</f>
        <v>NaN</v>
      </c>
      <c r="X62" s="174" t="str">
        <f>SupplyChain_Tier1_Frontend[[#This Row],[Data type]]</f>
        <v>Spend-based EF</v>
      </c>
      <c r="Y62" s="174" t="s">
        <v>339</v>
      </c>
      <c r="Z62" s="174" t="s">
        <v>198</v>
      </c>
      <c r="AA62" s="229" cm="1">
        <f t="array" aca="1" ref="AA62" ca="1">INDEX(_xlfn.SWITCH(SupplyChain_Tier1_Backend[[#This Row],[Methodology]],"Tier 1",rng_RSD1,"Tier 2",rng_RSD2,"Tier 3",rng_RSD3),MATCH(_xlfn.CONCAT(SupplyChain_Tier1_Backend[[#This Row],[Level 1]:[Level 6]]),rng_LevelsConcat,0))</f>
        <v>0.25</v>
      </c>
      <c r="AB62" s="220">
        <f>SupplyChain_Tier1_Frontend[[#This Row],[Data]]</f>
        <v>0</v>
      </c>
      <c r="AC62" s="220" t="str">
        <f>SupplyChain_Tier1_Frontend[[#This Row],[Units]]</f>
        <v>£</v>
      </c>
      <c r="AD6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2" s="174" t="str">
        <f>SupplyChain_Tier1_Frontend[[#This Row],[Units]]</f>
        <v>£</v>
      </c>
      <c r="AF62" s="210">
        <f ca="1">_xlfn.XLOOKUP(_xlfn.CONCAT(SupplyChain_Tier1_Backend[[#This Row],[Level 1]:[Level 6]]),rng_EFConcat,rng_EF1)*SupplyChain_Tier1_Backend[[#This Row],[Converted data]]/1000</f>
        <v>0</v>
      </c>
      <c r="AG62" s="210">
        <f ca="1">_xlfn.XLOOKUP(_xlfn.CONCAT(SupplyChain_Tier1_Backend[[#This Row],[Level 1]:[Level 6]]),rng_EFConcat,rng_EF2)*SupplyChain_Tier1_Backend[[#This Row],[Converted data]]/1000</f>
        <v>0</v>
      </c>
      <c r="AH62" s="210">
        <f ca="1">_xlfn.XLOOKUP(_xlfn.CONCAT(SupplyChain_Tier1_Backend[[#This Row],[Level 1]:[Level 6]]),rng_EFConcat,rng_EF3)*SupplyChain_Tier1_Backend[[#This Row],[Converted data]]/1000</f>
        <v>0</v>
      </c>
      <c r="AI62" s="210">
        <f ca="1">_xlfn.XLOOKUP(_xlfn.CONCAT(SupplyChain_Tier1_Backend[[#This Row],[Level 1]:[Level 6]]),rng_EFConcat,rng_EF3WTT)*SupplyChain_Tier1_Backend[[#This Row],[Converted data]]/1000</f>
        <v>0</v>
      </c>
      <c r="AJ62" s="210">
        <f ca="1">_xlfn.XLOOKUP(_xlfn.CONCAT(SupplyChain_Tier1_Backend[[#This Row],[Level 1]:[Level 6]]),rng_EFConcat,rng_EF3TD)*SupplyChain_Tier1_Backend[[#This Row],[Converted data]]/1000</f>
        <v>0</v>
      </c>
      <c r="AK62" s="210">
        <f ca="1">_xlfn.XLOOKUP(_xlfn.CONCAT(SupplyChain_Tier1_Backend[[#This Row],[Level 1]:[Level 6]]),rng_EFConcat,rng_EF3WTTTD)*SupplyChain_Tier1_Backend[[#This Row],[Converted data]]/1000</f>
        <v>0</v>
      </c>
      <c r="AL62" s="220" t="str">
        <f>IF($G62="","", SUM(SupplyChain_Tier1_Backend[[#This Row],[Scope 1 (tCO2e)]:[Scope 3 WTT T&amp;D (tCO2e)]]))</f>
        <v/>
      </c>
      <c r="AM62" s="220" t="str">
        <f>IF($G62="","", SupplyChain_Tier1_Backend[[#This Row],[Total (tCO2e)]]*(1-SupplyChain_Tier1_Backend[[#This Row],[RSD]]))</f>
        <v/>
      </c>
      <c r="AN62" s="220" t="str">
        <f>IF($G62="","", SupplyChain_Tier1_Backend[[#This Row],[Total (tCO2e)]]*(1+SupplyChain_Tier1_Backend[[#This Row],[RSD]]))</f>
        <v/>
      </c>
      <c r="AO62" s="210">
        <f ca="1">_xlfn.XLOOKUP(_xlfn.CONCAT(SupplyChain_Tier1_Backend[[#This Row],[Level 1]:[Level 6]]),rng_EFConcat,rng_EFOOS)*SupplyChain_Tier1_Backend[[#This Row],[Converted data]]/1000</f>
        <v>0</v>
      </c>
      <c r="AP62" s="174">
        <f>SupplyChain_Tier1_Frontend[[#This Row],[Ease of collection]]</f>
        <v>0</v>
      </c>
      <c r="AQ62" s="213">
        <f>SupplyChain_Tier1_Frontend[[#This Row],[Completeness]]</f>
        <v>0</v>
      </c>
      <c r="AR62" s="213">
        <f>SupplyChain_Tier1_Frontend[[#This Row],[Notes]]</f>
        <v>0</v>
      </c>
    </row>
    <row r="63" spans="2:44" ht="14.5" x14ac:dyDescent="0.35">
      <c r="B63" s="169"/>
      <c r="E63" s="236" t="s">
        <v>226</v>
      </c>
      <c r="F63" s="178" t="s">
        <v>1782</v>
      </c>
      <c r="G63" s="334"/>
      <c r="H63" s="172" t="s">
        <v>383</v>
      </c>
      <c r="I63" s="172" t="s">
        <v>384</v>
      </c>
      <c r="J63" s="336"/>
      <c r="K63" s="336"/>
      <c r="L63" s="337"/>
      <c r="M63" s="242">
        <f t="shared" si="1"/>
        <v>0</v>
      </c>
      <c r="N63"/>
      <c r="O63"/>
      <c r="Q63" s="211" t="str">
        <f t="shared" si="2"/>
        <v/>
      </c>
      <c r="R63" s="174" t="s">
        <v>267</v>
      </c>
      <c r="S63" s="174" t="s">
        <v>385</v>
      </c>
      <c r="T63" s="174" t="str" cm="1">
        <f t="array" aca="1" ref="T63" ca="1">_xlfn.XLOOKUP(SupplyChain_Tier1_Backend[[#This Row],[Level 2]],rng_Level2Long,rng_Level3Long)</f>
        <v>Supply chain</v>
      </c>
      <c r="U63" s="174" t="str">
        <f>SupplyChain_Tier1_Frontend[[#This Row],[Category]]</f>
        <v>Manufacturing</v>
      </c>
      <c r="V63" s="174" t="str">
        <f>SupplyChain_Tier1_Frontend[[#This Row],[Product Category]]</f>
        <v>Repair and maintenance of aircraft and spacecraft</v>
      </c>
      <c r="W63" s="174" t="str" cm="1">
        <f t="array" aca="1" ref="W63" ca="1">_xlfn.XLOOKUP(SupplyChain_Tier1_Backend[[#This Row],[Level 5]],rng_Level5Long,rng_Level6Long)</f>
        <v>NaN</v>
      </c>
      <c r="X63" s="174" t="str">
        <f>SupplyChain_Tier1_Frontend[[#This Row],[Data type]]</f>
        <v>Spend-based EF</v>
      </c>
      <c r="Y63" s="174" t="s">
        <v>339</v>
      </c>
      <c r="Z63" s="174" t="s">
        <v>198</v>
      </c>
      <c r="AA63" s="229" cm="1">
        <f t="array" aca="1" ref="AA63" ca="1">INDEX(_xlfn.SWITCH(SupplyChain_Tier1_Backend[[#This Row],[Methodology]],"Tier 1",rng_RSD1,"Tier 2",rng_RSD2,"Tier 3",rng_RSD3),MATCH(_xlfn.CONCAT(SupplyChain_Tier1_Backend[[#This Row],[Level 1]:[Level 6]]),rng_LevelsConcat,0))</f>
        <v>0.25</v>
      </c>
      <c r="AB63" s="220">
        <f>SupplyChain_Tier1_Frontend[[#This Row],[Data]]</f>
        <v>0</v>
      </c>
      <c r="AC63" s="220" t="str">
        <f>SupplyChain_Tier1_Frontend[[#This Row],[Units]]</f>
        <v>£</v>
      </c>
      <c r="AD6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3" s="174" t="str">
        <f>SupplyChain_Tier1_Frontend[[#This Row],[Units]]</f>
        <v>£</v>
      </c>
      <c r="AF63" s="210">
        <f ca="1">_xlfn.XLOOKUP(_xlfn.CONCAT(SupplyChain_Tier1_Backend[[#This Row],[Level 1]:[Level 6]]),rng_EFConcat,rng_EF1)*SupplyChain_Tier1_Backend[[#This Row],[Converted data]]/1000</f>
        <v>0</v>
      </c>
      <c r="AG63" s="210">
        <f ca="1">_xlfn.XLOOKUP(_xlfn.CONCAT(SupplyChain_Tier1_Backend[[#This Row],[Level 1]:[Level 6]]),rng_EFConcat,rng_EF2)*SupplyChain_Tier1_Backend[[#This Row],[Converted data]]/1000</f>
        <v>0</v>
      </c>
      <c r="AH63" s="210">
        <f ca="1">_xlfn.XLOOKUP(_xlfn.CONCAT(SupplyChain_Tier1_Backend[[#This Row],[Level 1]:[Level 6]]),rng_EFConcat,rng_EF3)*SupplyChain_Tier1_Backend[[#This Row],[Converted data]]/1000</f>
        <v>0</v>
      </c>
      <c r="AI63" s="210">
        <f ca="1">_xlfn.XLOOKUP(_xlfn.CONCAT(SupplyChain_Tier1_Backend[[#This Row],[Level 1]:[Level 6]]),rng_EFConcat,rng_EF3WTT)*SupplyChain_Tier1_Backend[[#This Row],[Converted data]]/1000</f>
        <v>0</v>
      </c>
      <c r="AJ63" s="210">
        <f ca="1">_xlfn.XLOOKUP(_xlfn.CONCAT(SupplyChain_Tier1_Backend[[#This Row],[Level 1]:[Level 6]]),rng_EFConcat,rng_EF3TD)*SupplyChain_Tier1_Backend[[#This Row],[Converted data]]/1000</f>
        <v>0</v>
      </c>
      <c r="AK63" s="210">
        <f ca="1">_xlfn.XLOOKUP(_xlfn.CONCAT(SupplyChain_Tier1_Backend[[#This Row],[Level 1]:[Level 6]]),rng_EFConcat,rng_EF3WTTTD)*SupplyChain_Tier1_Backend[[#This Row],[Converted data]]/1000</f>
        <v>0</v>
      </c>
      <c r="AL63" s="220" t="str">
        <f>IF($G63="","", SUM(SupplyChain_Tier1_Backend[[#This Row],[Scope 1 (tCO2e)]:[Scope 3 WTT T&amp;D (tCO2e)]]))</f>
        <v/>
      </c>
      <c r="AM63" s="220" t="str">
        <f>IF($G63="","", SupplyChain_Tier1_Backend[[#This Row],[Total (tCO2e)]]*(1-SupplyChain_Tier1_Backend[[#This Row],[RSD]]))</f>
        <v/>
      </c>
      <c r="AN63" s="220" t="str">
        <f>IF($G63="","", SupplyChain_Tier1_Backend[[#This Row],[Total (tCO2e)]]*(1+SupplyChain_Tier1_Backend[[#This Row],[RSD]]))</f>
        <v/>
      </c>
      <c r="AO63" s="210">
        <f ca="1">_xlfn.XLOOKUP(_xlfn.CONCAT(SupplyChain_Tier1_Backend[[#This Row],[Level 1]:[Level 6]]),rng_EFConcat,rng_EFOOS)*SupplyChain_Tier1_Backend[[#This Row],[Converted data]]/1000</f>
        <v>0</v>
      </c>
      <c r="AP63" s="174">
        <f>SupplyChain_Tier1_Frontend[[#This Row],[Ease of collection]]</f>
        <v>0</v>
      </c>
      <c r="AQ63" s="213">
        <f>SupplyChain_Tier1_Frontend[[#This Row],[Completeness]]</f>
        <v>0</v>
      </c>
      <c r="AR63" s="213">
        <f>SupplyChain_Tier1_Frontend[[#This Row],[Notes]]</f>
        <v>0</v>
      </c>
    </row>
    <row r="64" spans="2:44" ht="14.5" x14ac:dyDescent="0.35">
      <c r="B64" s="169"/>
      <c r="E64" s="236" t="s">
        <v>226</v>
      </c>
      <c r="F64" s="178" t="s">
        <v>1783</v>
      </c>
      <c r="G64" s="334"/>
      <c r="H64" s="172" t="s">
        <v>383</v>
      </c>
      <c r="I64" s="172" t="s">
        <v>384</v>
      </c>
      <c r="J64" s="336"/>
      <c r="K64" s="336"/>
      <c r="L64" s="337"/>
      <c r="M64" s="242">
        <f t="shared" si="1"/>
        <v>0</v>
      </c>
      <c r="N64"/>
      <c r="O64"/>
      <c r="Q64" s="211" t="str">
        <f t="shared" si="2"/>
        <v/>
      </c>
      <c r="R64" s="174" t="s">
        <v>267</v>
      </c>
      <c r="S64" s="174" t="s">
        <v>385</v>
      </c>
      <c r="T64" s="174" t="str" cm="1">
        <f t="array" aca="1" ref="T64" ca="1">_xlfn.XLOOKUP(SupplyChain_Tier1_Backend[[#This Row],[Level 2]],rng_Level2Long,rng_Level3Long)</f>
        <v>Supply chain</v>
      </c>
      <c r="U64" s="174" t="str">
        <f>SupplyChain_Tier1_Frontend[[#This Row],[Category]]</f>
        <v>Manufacturing</v>
      </c>
      <c r="V64" s="174" t="str">
        <f>SupplyChain_Tier1_Frontend[[#This Row],[Product Category]]</f>
        <v>Rest of repair; Installation - 33.11-14/17/19/20</v>
      </c>
      <c r="W64" s="174" t="str" cm="1">
        <f t="array" aca="1" ref="W64" ca="1">_xlfn.XLOOKUP(SupplyChain_Tier1_Backend[[#This Row],[Level 5]],rng_Level5Long,rng_Level6Long)</f>
        <v>NaN</v>
      </c>
      <c r="X64" s="174" t="str">
        <f>SupplyChain_Tier1_Frontend[[#This Row],[Data type]]</f>
        <v>Spend-based EF</v>
      </c>
      <c r="Y64" s="174" t="s">
        <v>339</v>
      </c>
      <c r="Z64" s="174" t="s">
        <v>198</v>
      </c>
      <c r="AA64" s="229" cm="1">
        <f t="array" aca="1" ref="AA64" ca="1">INDEX(_xlfn.SWITCH(SupplyChain_Tier1_Backend[[#This Row],[Methodology]],"Tier 1",rng_RSD1,"Tier 2",rng_RSD2,"Tier 3",rng_RSD3),MATCH(_xlfn.CONCAT(SupplyChain_Tier1_Backend[[#This Row],[Level 1]:[Level 6]]),rng_LevelsConcat,0))</f>
        <v>0.25</v>
      </c>
      <c r="AB64" s="220">
        <f>SupplyChain_Tier1_Frontend[[#This Row],[Data]]</f>
        <v>0</v>
      </c>
      <c r="AC64" s="220" t="str">
        <f>SupplyChain_Tier1_Frontend[[#This Row],[Units]]</f>
        <v>£</v>
      </c>
      <c r="AD6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4" s="174" t="str">
        <f>SupplyChain_Tier1_Frontend[[#This Row],[Units]]</f>
        <v>£</v>
      </c>
      <c r="AF64" s="210">
        <f ca="1">_xlfn.XLOOKUP(_xlfn.CONCAT(SupplyChain_Tier1_Backend[[#This Row],[Level 1]:[Level 6]]),rng_EFConcat,rng_EF1)*SupplyChain_Tier1_Backend[[#This Row],[Converted data]]/1000</f>
        <v>0</v>
      </c>
      <c r="AG64" s="210">
        <f ca="1">_xlfn.XLOOKUP(_xlfn.CONCAT(SupplyChain_Tier1_Backend[[#This Row],[Level 1]:[Level 6]]),rng_EFConcat,rng_EF2)*SupplyChain_Tier1_Backend[[#This Row],[Converted data]]/1000</f>
        <v>0</v>
      </c>
      <c r="AH64" s="210">
        <f ca="1">_xlfn.XLOOKUP(_xlfn.CONCAT(SupplyChain_Tier1_Backend[[#This Row],[Level 1]:[Level 6]]),rng_EFConcat,rng_EF3)*SupplyChain_Tier1_Backend[[#This Row],[Converted data]]/1000</f>
        <v>0</v>
      </c>
      <c r="AI64" s="210">
        <f ca="1">_xlfn.XLOOKUP(_xlfn.CONCAT(SupplyChain_Tier1_Backend[[#This Row],[Level 1]:[Level 6]]),rng_EFConcat,rng_EF3WTT)*SupplyChain_Tier1_Backend[[#This Row],[Converted data]]/1000</f>
        <v>0</v>
      </c>
      <c r="AJ64" s="210">
        <f ca="1">_xlfn.XLOOKUP(_xlfn.CONCAT(SupplyChain_Tier1_Backend[[#This Row],[Level 1]:[Level 6]]),rng_EFConcat,rng_EF3TD)*SupplyChain_Tier1_Backend[[#This Row],[Converted data]]/1000</f>
        <v>0</v>
      </c>
      <c r="AK64" s="210">
        <f ca="1">_xlfn.XLOOKUP(_xlfn.CONCAT(SupplyChain_Tier1_Backend[[#This Row],[Level 1]:[Level 6]]),rng_EFConcat,rng_EF3WTTTD)*SupplyChain_Tier1_Backend[[#This Row],[Converted data]]/1000</f>
        <v>0</v>
      </c>
      <c r="AL64" s="220" t="str">
        <f>IF($G64="","", SUM(SupplyChain_Tier1_Backend[[#This Row],[Scope 1 (tCO2e)]:[Scope 3 WTT T&amp;D (tCO2e)]]))</f>
        <v/>
      </c>
      <c r="AM64" s="220" t="str">
        <f>IF($G64="","", SupplyChain_Tier1_Backend[[#This Row],[Total (tCO2e)]]*(1-SupplyChain_Tier1_Backend[[#This Row],[RSD]]))</f>
        <v/>
      </c>
      <c r="AN64" s="220" t="str">
        <f>IF($G64="","", SupplyChain_Tier1_Backend[[#This Row],[Total (tCO2e)]]*(1+SupplyChain_Tier1_Backend[[#This Row],[RSD]]))</f>
        <v/>
      </c>
      <c r="AO64" s="210">
        <f ca="1">_xlfn.XLOOKUP(_xlfn.CONCAT(SupplyChain_Tier1_Backend[[#This Row],[Level 1]:[Level 6]]),rng_EFConcat,rng_EFOOS)*SupplyChain_Tier1_Backend[[#This Row],[Converted data]]/1000</f>
        <v>0</v>
      </c>
      <c r="AP64" s="174">
        <f>SupplyChain_Tier1_Frontend[[#This Row],[Ease of collection]]</f>
        <v>0</v>
      </c>
      <c r="AQ64" s="213">
        <f>SupplyChain_Tier1_Frontend[[#This Row],[Completeness]]</f>
        <v>0</v>
      </c>
      <c r="AR64" s="213">
        <f>SupplyChain_Tier1_Frontend[[#This Row],[Notes]]</f>
        <v>0</v>
      </c>
    </row>
    <row r="65" spans="2:44" ht="14.5" x14ac:dyDescent="0.35">
      <c r="B65" s="169"/>
      <c r="E65" s="236" t="s">
        <v>227</v>
      </c>
      <c r="F65" s="178" t="s">
        <v>387</v>
      </c>
      <c r="G65" s="334"/>
      <c r="H65" s="172" t="s">
        <v>383</v>
      </c>
      <c r="I65" s="172" t="s">
        <v>384</v>
      </c>
      <c r="J65" s="336"/>
      <c r="K65" s="336"/>
      <c r="L65" s="337"/>
      <c r="M65" s="242">
        <f t="shared" si="1"/>
        <v>0</v>
      </c>
      <c r="N65"/>
      <c r="O65"/>
      <c r="Q65" s="211" t="str">
        <f t="shared" si="2"/>
        <v/>
      </c>
      <c r="R65" s="174" t="s">
        <v>267</v>
      </c>
      <c r="S65" s="174" t="s">
        <v>385</v>
      </c>
      <c r="T65" s="174" t="str" cm="1">
        <f t="array" aca="1" ref="T65" ca="1">_xlfn.XLOOKUP(SupplyChain_Tier1_Backend[[#This Row],[Level 2]],rng_Level2Long,rng_Level3Long)</f>
        <v>Supply chain</v>
      </c>
      <c r="U65" s="174" t="str">
        <f>SupplyChain_Tier1_Frontend[[#This Row],[Category]]</f>
        <v>Electricity, gas, steam and air conditioning supply</v>
      </c>
      <c r="V65" s="174" t="str">
        <f>SupplyChain_Tier1_Frontend[[#This Row],[Product Category]]</f>
        <v>Electricity, transmission and distribution</v>
      </c>
      <c r="W65" s="174" t="str" cm="1">
        <f t="array" aca="1" ref="W65" ca="1">_xlfn.XLOOKUP(SupplyChain_Tier1_Backend[[#This Row],[Level 5]],rng_Level5Long,rng_Level6Long)</f>
        <v>NaN</v>
      </c>
      <c r="X65" s="174" t="str">
        <f>SupplyChain_Tier1_Frontend[[#This Row],[Data type]]</f>
        <v>Spend-based EF</v>
      </c>
      <c r="Y65" s="174" t="s">
        <v>339</v>
      </c>
      <c r="Z65" s="174" t="s">
        <v>198</v>
      </c>
      <c r="AA65" s="229" cm="1">
        <f t="array" aca="1" ref="AA65" ca="1">INDEX(_xlfn.SWITCH(SupplyChain_Tier1_Backend[[#This Row],[Methodology]],"Tier 1",rng_RSD1,"Tier 2",rng_RSD2,"Tier 3",rng_RSD3),MATCH(_xlfn.CONCAT(SupplyChain_Tier1_Backend[[#This Row],[Level 1]:[Level 6]]),rng_LevelsConcat,0))</f>
        <v>0.25</v>
      </c>
      <c r="AB65" s="220">
        <f>SupplyChain_Tier1_Frontend[[#This Row],[Data]]</f>
        <v>0</v>
      </c>
      <c r="AC65" s="220" t="str">
        <f>SupplyChain_Tier1_Frontend[[#This Row],[Units]]</f>
        <v>£</v>
      </c>
      <c r="AD6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5" s="174" t="str">
        <f>SupplyChain_Tier1_Frontend[[#This Row],[Units]]</f>
        <v>£</v>
      </c>
      <c r="AF65" s="210">
        <f ca="1">_xlfn.XLOOKUP(_xlfn.CONCAT(SupplyChain_Tier1_Backend[[#This Row],[Level 1]:[Level 6]]),rng_EFConcat,rng_EF1)*SupplyChain_Tier1_Backend[[#This Row],[Converted data]]/1000</f>
        <v>0</v>
      </c>
      <c r="AG65" s="210">
        <f ca="1">_xlfn.XLOOKUP(_xlfn.CONCAT(SupplyChain_Tier1_Backend[[#This Row],[Level 1]:[Level 6]]),rng_EFConcat,rng_EF2)*SupplyChain_Tier1_Backend[[#This Row],[Converted data]]/1000</f>
        <v>0</v>
      </c>
      <c r="AH65" s="210">
        <f ca="1">_xlfn.XLOOKUP(_xlfn.CONCAT(SupplyChain_Tier1_Backend[[#This Row],[Level 1]:[Level 6]]),rng_EFConcat,rng_EF3)*SupplyChain_Tier1_Backend[[#This Row],[Converted data]]/1000</f>
        <v>0</v>
      </c>
      <c r="AI65" s="210">
        <f ca="1">_xlfn.XLOOKUP(_xlfn.CONCAT(SupplyChain_Tier1_Backend[[#This Row],[Level 1]:[Level 6]]),rng_EFConcat,rng_EF3WTT)*SupplyChain_Tier1_Backend[[#This Row],[Converted data]]/1000</f>
        <v>0</v>
      </c>
      <c r="AJ65" s="210">
        <f ca="1">_xlfn.XLOOKUP(_xlfn.CONCAT(SupplyChain_Tier1_Backend[[#This Row],[Level 1]:[Level 6]]),rng_EFConcat,rng_EF3TD)*SupplyChain_Tier1_Backend[[#This Row],[Converted data]]/1000</f>
        <v>0</v>
      </c>
      <c r="AK65" s="210">
        <f ca="1">_xlfn.XLOOKUP(_xlfn.CONCAT(SupplyChain_Tier1_Backend[[#This Row],[Level 1]:[Level 6]]),rng_EFConcat,rng_EF3WTTTD)*SupplyChain_Tier1_Backend[[#This Row],[Converted data]]/1000</f>
        <v>0</v>
      </c>
      <c r="AL65" s="220" t="str">
        <f>IF($G65="","", SUM(SupplyChain_Tier1_Backend[[#This Row],[Scope 1 (tCO2e)]:[Scope 3 WTT T&amp;D (tCO2e)]]))</f>
        <v/>
      </c>
      <c r="AM65" s="220" t="str">
        <f>IF($G65="","", SupplyChain_Tier1_Backend[[#This Row],[Total (tCO2e)]]*(1-SupplyChain_Tier1_Backend[[#This Row],[RSD]]))</f>
        <v/>
      </c>
      <c r="AN65" s="220" t="str">
        <f>IF($G65="","", SupplyChain_Tier1_Backend[[#This Row],[Total (tCO2e)]]*(1+SupplyChain_Tier1_Backend[[#This Row],[RSD]]))</f>
        <v/>
      </c>
      <c r="AO65" s="210">
        <f ca="1">_xlfn.XLOOKUP(_xlfn.CONCAT(SupplyChain_Tier1_Backend[[#This Row],[Level 1]:[Level 6]]),rng_EFConcat,rng_EFOOS)*SupplyChain_Tier1_Backend[[#This Row],[Converted data]]/1000</f>
        <v>0</v>
      </c>
      <c r="AP65" s="174">
        <f>SupplyChain_Tier1_Frontend[[#This Row],[Ease of collection]]</f>
        <v>0</v>
      </c>
      <c r="AQ65" s="213">
        <f>SupplyChain_Tier1_Frontend[[#This Row],[Completeness]]</f>
        <v>0</v>
      </c>
      <c r="AR65" s="213">
        <f>SupplyChain_Tier1_Frontend[[#This Row],[Notes]]</f>
        <v>0</v>
      </c>
    </row>
    <row r="66" spans="2:44" ht="28.5" x14ac:dyDescent="0.35">
      <c r="B66" s="169"/>
      <c r="E66" s="236" t="s">
        <v>227</v>
      </c>
      <c r="F66" s="178" t="s">
        <v>1784</v>
      </c>
      <c r="G66" s="334"/>
      <c r="H66" s="172" t="s">
        <v>383</v>
      </c>
      <c r="I66" s="172" t="s">
        <v>384</v>
      </c>
      <c r="J66" s="336"/>
      <c r="K66" s="336"/>
      <c r="L66" s="337"/>
      <c r="M66" s="242">
        <f t="shared" si="1"/>
        <v>0</v>
      </c>
      <c r="N66"/>
      <c r="O66"/>
      <c r="Q66" s="211" t="str">
        <f t="shared" si="2"/>
        <v/>
      </c>
      <c r="R66" s="174" t="s">
        <v>267</v>
      </c>
      <c r="S66" s="174" t="s">
        <v>385</v>
      </c>
      <c r="T66" s="174" t="str" cm="1">
        <f t="array" aca="1" ref="T66" ca="1">_xlfn.XLOOKUP(SupplyChain_Tier1_Backend[[#This Row],[Level 2]],rng_Level2Long,rng_Level3Long)</f>
        <v>Supply chain</v>
      </c>
      <c r="U66" s="174" t="str">
        <f>SupplyChain_Tier1_Frontend[[#This Row],[Category]]</f>
        <v>Electricity, gas, steam and air conditioning supply</v>
      </c>
      <c r="V66" s="174" t="str">
        <f>SupplyChain_Tier1_Frontend[[#This Row],[Product Category]]</f>
        <v>Gas; distribution of gaseous fuels through mains; steam and air conditioning supply</v>
      </c>
      <c r="W66" s="174" t="str" cm="1">
        <f t="array" aca="1" ref="W66" ca="1">_xlfn.XLOOKUP(SupplyChain_Tier1_Backend[[#This Row],[Level 5]],rng_Level5Long,rng_Level6Long)</f>
        <v>NaN</v>
      </c>
      <c r="X66" s="174" t="str">
        <f>SupplyChain_Tier1_Frontend[[#This Row],[Data type]]</f>
        <v>Spend-based EF</v>
      </c>
      <c r="Y66" s="174" t="s">
        <v>339</v>
      </c>
      <c r="Z66" s="174" t="s">
        <v>198</v>
      </c>
      <c r="AA66" s="229" cm="1">
        <f t="array" aca="1" ref="AA66" ca="1">INDEX(_xlfn.SWITCH(SupplyChain_Tier1_Backend[[#This Row],[Methodology]],"Tier 1",rng_RSD1,"Tier 2",rng_RSD2,"Tier 3",rng_RSD3),MATCH(_xlfn.CONCAT(SupplyChain_Tier1_Backend[[#This Row],[Level 1]:[Level 6]]),rng_LevelsConcat,0))</f>
        <v>0.25</v>
      </c>
      <c r="AB66" s="220">
        <f>SupplyChain_Tier1_Frontend[[#This Row],[Data]]</f>
        <v>0</v>
      </c>
      <c r="AC66" s="220" t="str">
        <f>SupplyChain_Tier1_Frontend[[#This Row],[Units]]</f>
        <v>£</v>
      </c>
      <c r="AD6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6" s="174" t="str">
        <f>SupplyChain_Tier1_Frontend[[#This Row],[Units]]</f>
        <v>£</v>
      </c>
      <c r="AF66" s="210">
        <f ca="1">_xlfn.XLOOKUP(_xlfn.CONCAT(SupplyChain_Tier1_Backend[[#This Row],[Level 1]:[Level 6]]),rng_EFConcat,rng_EF1)*SupplyChain_Tier1_Backend[[#This Row],[Converted data]]/1000</f>
        <v>0</v>
      </c>
      <c r="AG66" s="210">
        <f ca="1">_xlfn.XLOOKUP(_xlfn.CONCAT(SupplyChain_Tier1_Backend[[#This Row],[Level 1]:[Level 6]]),rng_EFConcat,rng_EF2)*SupplyChain_Tier1_Backend[[#This Row],[Converted data]]/1000</f>
        <v>0</v>
      </c>
      <c r="AH66" s="210">
        <f ca="1">_xlfn.XLOOKUP(_xlfn.CONCAT(SupplyChain_Tier1_Backend[[#This Row],[Level 1]:[Level 6]]),rng_EFConcat,rng_EF3)*SupplyChain_Tier1_Backend[[#This Row],[Converted data]]/1000</f>
        <v>0</v>
      </c>
      <c r="AI66" s="210">
        <f ca="1">_xlfn.XLOOKUP(_xlfn.CONCAT(SupplyChain_Tier1_Backend[[#This Row],[Level 1]:[Level 6]]),rng_EFConcat,rng_EF3WTT)*SupplyChain_Tier1_Backend[[#This Row],[Converted data]]/1000</f>
        <v>0</v>
      </c>
      <c r="AJ66" s="210">
        <f ca="1">_xlfn.XLOOKUP(_xlfn.CONCAT(SupplyChain_Tier1_Backend[[#This Row],[Level 1]:[Level 6]]),rng_EFConcat,rng_EF3TD)*SupplyChain_Tier1_Backend[[#This Row],[Converted data]]/1000</f>
        <v>0</v>
      </c>
      <c r="AK66" s="210">
        <f ca="1">_xlfn.XLOOKUP(_xlfn.CONCAT(SupplyChain_Tier1_Backend[[#This Row],[Level 1]:[Level 6]]),rng_EFConcat,rng_EF3WTTTD)*SupplyChain_Tier1_Backend[[#This Row],[Converted data]]/1000</f>
        <v>0</v>
      </c>
      <c r="AL66" s="220" t="str">
        <f>IF($G66="","", SUM(SupplyChain_Tier1_Backend[[#This Row],[Scope 1 (tCO2e)]:[Scope 3 WTT T&amp;D (tCO2e)]]))</f>
        <v/>
      </c>
      <c r="AM66" s="220" t="str">
        <f>IF($G66="","", SupplyChain_Tier1_Backend[[#This Row],[Total (tCO2e)]]*(1-SupplyChain_Tier1_Backend[[#This Row],[RSD]]))</f>
        <v/>
      </c>
      <c r="AN66" s="220" t="str">
        <f>IF($G66="","", SupplyChain_Tier1_Backend[[#This Row],[Total (tCO2e)]]*(1+SupplyChain_Tier1_Backend[[#This Row],[RSD]]))</f>
        <v/>
      </c>
      <c r="AO66" s="210">
        <f ca="1">_xlfn.XLOOKUP(_xlfn.CONCAT(SupplyChain_Tier1_Backend[[#This Row],[Level 1]:[Level 6]]),rng_EFConcat,rng_EFOOS)*SupplyChain_Tier1_Backend[[#This Row],[Converted data]]/1000</f>
        <v>0</v>
      </c>
      <c r="AP66" s="174">
        <f>SupplyChain_Tier1_Frontend[[#This Row],[Ease of collection]]</f>
        <v>0</v>
      </c>
      <c r="AQ66" s="213">
        <f>SupplyChain_Tier1_Frontend[[#This Row],[Completeness]]</f>
        <v>0</v>
      </c>
      <c r="AR66" s="213">
        <f>SupplyChain_Tier1_Frontend[[#This Row],[Notes]]</f>
        <v>0</v>
      </c>
    </row>
    <row r="67" spans="2:44" ht="14.5" x14ac:dyDescent="0.35">
      <c r="B67" s="169"/>
      <c r="E67" s="236" t="s">
        <v>228</v>
      </c>
      <c r="F67" s="178" t="s">
        <v>1785</v>
      </c>
      <c r="G67" s="334"/>
      <c r="H67" s="172" t="s">
        <v>383</v>
      </c>
      <c r="I67" s="172" t="s">
        <v>384</v>
      </c>
      <c r="J67" s="336"/>
      <c r="K67" s="336"/>
      <c r="L67" s="337"/>
      <c r="M67" s="242">
        <f t="shared" si="1"/>
        <v>0</v>
      </c>
      <c r="N67"/>
      <c r="O67"/>
      <c r="Q67" s="211" t="str">
        <f t="shared" si="2"/>
        <v/>
      </c>
      <c r="R67" s="174" t="s">
        <v>267</v>
      </c>
      <c r="S67" s="174" t="s">
        <v>385</v>
      </c>
      <c r="T67" s="174" t="str" cm="1">
        <f t="array" aca="1" ref="T67" ca="1">_xlfn.XLOOKUP(SupplyChain_Tier1_Backend[[#This Row],[Level 2]],rng_Level2Long,rng_Level3Long)</f>
        <v>Supply chain</v>
      </c>
      <c r="U67" s="174" t="str">
        <f>SupplyChain_Tier1_Frontend[[#This Row],[Category]]</f>
        <v>Water supply; sewerage, waste management and remediation activities</v>
      </c>
      <c r="V67" s="174" t="str">
        <f>SupplyChain_Tier1_Frontend[[#This Row],[Product Category]]</f>
        <v>Natural water; water treatment and supply services</v>
      </c>
      <c r="W67" s="174" t="str" cm="1">
        <f t="array" aca="1" ref="W67" ca="1">_xlfn.XLOOKUP(SupplyChain_Tier1_Backend[[#This Row],[Level 5]],rng_Level5Long,rng_Level6Long)</f>
        <v>NaN</v>
      </c>
      <c r="X67" s="174" t="str">
        <f>SupplyChain_Tier1_Frontend[[#This Row],[Data type]]</f>
        <v>Spend-based EF</v>
      </c>
      <c r="Y67" s="174" t="s">
        <v>339</v>
      </c>
      <c r="Z67" s="174" t="s">
        <v>198</v>
      </c>
      <c r="AA67" s="229" cm="1">
        <f t="array" aca="1" ref="AA67" ca="1">INDEX(_xlfn.SWITCH(SupplyChain_Tier1_Backend[[#This Row],[Methodology]],"Tier 1",rng_RSD1,"Tier 2",rng_RSD2,"Tier 3",rng_RSD3),MATCH(_xlfn.CONCAT(SupplyChain_Tier1_Backend[[#This Row],[Level 1]:[Level 6]]),rng_LevelsConcat,0))</f>
        <v>0.25</v>
      </c>
      <c r="AB67" s="220">
        <f>SupplyChain_Tier1_Frontend[[#This Row],[Data]]</f>
        <v>0</v>
      </c>
      <c r="AC67" s="220" t="str">
        <f>SupplyChain_Tier1_Frontend[[#This Row],[Units]]</f>
        <v>£</v>
      </c>
      <c r="AD6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7" s="174" t="str">
        <f>SupplyChain_Tier1_Frontend[[#This Row],[Units]]</f>
        <v>£</v>
      </c>
      <c r="AF67" s="210">
        <f ca="1">_xlfn.XLOOKUP(_xlfn.CONCAT(SupplyChain_Tier1_Backend[[#This Row],[Level 1]:[Level 6]]),rng_EFConcat,rng_EF1)*SupplyChain_Tier1_Backend[[#This Row],[Converted data]]/1000</f>
        <v>0</v>
      </c>
      <c r="AG67" s="210">
        <f ca="1">_xlfn.XLOOKUP(_xlfn.CONCAT(SupplyChain_Tier1_Backend[[#This Row],[Level 1]:[Level 6]]),rng_EFConcat,rng_EF2)*SupplyChain_Tier1_Backend[[#This Row],[Converted data]]/1000</f>
        <v>0</v>
      </c>
      <c r="AH67" s="210">
        <f ca="1">_xlfn.XLOOKUP(_xlfn.CONCAT(SupplyChain_Tier1_Backend[[#This Row],[Level 1]:[Level 6]]),rng_EFConcat,rng_EF3)*SupplyChain_Tier1_Backend[[#This Row],[Converted data]]/1000</f>
        <v>0</v>
      </c>
      <c r="AI67" s="210">
        <f ca="1">_xlfn.XLOOKUP(_xlfn.CONCAT(SupplyChain_Tier1_Backend[[#This Row],[Level 1]:[Level 6]]),rng_EFConcat,rng_EF3WTT)*SupplyChain_Tier1_Backend[[#This Row],[Converted data]]/1000</f>
        <v>0</v>
      </c>
      <c r="AJ67" s="210">
        <f ca="1">_xlfn.XLOOKUP(_xlfn.CONCAT(SupplyChain_Tier1_Backend[[#This Row],[Level 1]:[Level 6]]),rng_EFConcat,rng_EF3TD)*SupplyChain_Tier1_Backend[[#This Row],[Converted data]]/1000</f>
        <v>0</v>
      </c>
      <c r="AK67" s="210">
        <f ca="1">_xlfn.XLOOKUP(_xlfn.CONCAT(SupplyChain_Tier1_Backend[[#This Row],[Level 1]:[Level 6]]),rng_EFConcat,rng_EF3WTTTD)*SupplyChain_Tier1_Backend[[#This Row],[Converted data]]/1000</f>
        <v>0</v>
      </c>
      <c r="AL67" s="220" t="str">
        <f>IF($G67="","", SUM(SupplyChain_Tier1_Backend[[#This Row],[Scope 1 (tCO2e)]:[Scope 3 WTT T&amp;D (tCO2e)]]))</f>
        <v/>
      </c>
      <c r="AM67" s="220" t="str">
        <f>IF($G67="","", SupplyChain_Tier1_Backend[[#This Row],[Total (tCO2e)]]*(1-SupplyChain_Tier1_Backend[[#This Row],[RSD]]))</f>
        <v/>
      </c>
      <c r="AN67" s="220" t="str">
        <f>IF($G67="","", SupplyChain_Tier1_Backend[[#This Row],[Total (tCO2e)]]*(1+SupplyChain_Tier1_Backend[[#This Row],[RSD]]))</f>
        <v/>
      </c>
      <c r="AO67" s="210">
        <f ca="1">_xlfn.XLOOKUP(_xlfn.CONCAT(SupplyChain_Tier1_Backend[[#This Row],[Level 1]:[Level 6]]),rng_EFConcat,rng_EFOOS)*SupplyChain_Tier1_Backend[[#This Row],[Converted data]]/1000</f>
        <v>0</v>
      </c>
      <c r="AP67" s="174">
        <f>SupplyChain_Tier1_Frontend[[#This Row],[Ease of collection]]</f>
        <v>0</v>
      </c>
      <c r="AQ67" s="213">
        <f>SupplyChain_Tier1_Frontend[[#This Row],[Completeness]]</f>
        <v>0</v>
      </c>
      <c r="AR67" s="213">
        <f>SupplyChain_Tier1_Frontend[[#This Row],[Notes]]</f>
        <v>0</v>
      </c>
    </row>
    <row r="68" spans="2:44" ht="14.5" x14ac:dyDescent="0.35">
      <c r="B68" s="169"/>
      <c r="E68" s="236" t="s">
        <v>228</v>
      </c>
      <c r="F68" s="178" t="s">
        <v>1786</v>
      </c>
      <c r="G68" s="334"/>
      <c r="H68" s="172" t="s">
        <v>383</v>
      </c>
      <c r="I68" s="172" t="s">
        <v>384</v>
      </c>
      <c r="J68" s="336"/>
      <c r="K68" s="336"/>
      <c r="L68" s="337"/>
      <c r="M68" s="242">
        <f t="shared" si="1"/>
        <v>0</v>
      </c>
      <c r="N68"/>
      <c r="O68"/>
      <c r="Q68" s="211" t="str">
        <f t="shared" si="2"/>
        <v/>
      </c>
      <c r="R68" s="174" t="s">
        <v>267</v>
      </c>
      <c r="S68" s="174" t="s">
        <v>385</v>
      </c>
      <c r="T68" s="174" t="str" cm="1">
        <f t="array" aca="1" ref="T68" ca="1">_xlfn.XLOOKUP(SupplyChain_Tier1_Backend[[#This Row],[Level 2]],rng_Level2Long,rng_Level3Long)</f>
        <v>Supply chain</v>
      </c>
      <c r="U68" s="174" t="str">
        <f>SupplyChain_Tier1_Frontend[[#This Row],[Category]]</f>
        <v>Water supply; sewerage, waste management and remediation activities</v>
      </c>
      <c r="V68" s="174" t="str">
        <f>SupplyChain_Tier1_Frontend[[#This Row],[Product Category]]</f>
        <v>Sewerage services; sewage sludge</v>
      </c>
      <c r="W68" s="174" t="str" cm="1">
        <f t="array" aca="1" ref="W68" ca="1">_xlfn.XLOOKUP(SupplyChain_Tier1_Backend[[#This Row],[Level 5]],rng_Level5Long,rng_Level6Long)</f>
        <v>NaN</v>
      </c>
      <c r="X68" s="174" t="str">
        <f>SupplyChain_Tier1_Frontend[[#This Row],[Data type]]</f>
        <v>Spend-based EF</v>
      </c>
      <c r="Y68" s="174" t="s">
        <v>339</v>
      </c>
      <c r="Z68" s="174" t="s">
        <v>198</v>
      </c>
      <c r="AA68" s="229" cm="1">
        <f t="array" aca="1" ref="AA68" ca="1">INDEX(_xlfn.SWITCH(SupplyChain_Tier1_Backend[[#This Row],[Methodology]],"Tier 1",rng_RSD1,"Tier 2",rng_RSD2,"Tier 3",rng_RSD3),MATCH(_xlfn.CONCAT(SupplyChain_Tier1_Backend[[#This Row],[Level 1]:[Level 6]]),rng_LevelsConcat,0))</f>
        <v>0.25</v>
      </c>
      <c r="AB68" s="220">
        <f>SupplyChain_Tier1_Frontend[[#This Row],[Data]]</f>
        <v>0</v>
      </c>
      <c r="AC68" s="220" t="str">
        <f>SupplyChain_Tier1_Frontend[[#This Row],[Units]]</f>
        <v>£</v>
      </c>
      <c r="AD6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8" s="174" t="str">
        <f>SupplyChain_Tier1_Frontend[[#This Row],[Units]]</f>
        <v>£</v>
      </c>
      <c r="AF68" s="210">
        <f ca="1">_xlfn.XLOOKUP(_xlfn.CONCAT(SupplyChain_Tier1_Backend[[#This Row],[Level 1]:[Level 6]]),rng_EFConcat,rng_EF1)*SupplyChain_Tier1_Backend[[#This Row],[Converted data]]/1000</f>
        <v>0</v>
      </c>
      <c r="AG68" s="210">
        <f ca="1">_xlfn.XLOOKUP(_xlfn.CONCAT(SupplyChain_Tier1_Backend[[#This Row],[Level 1]:[Level 6]]),rng_EFConcat,rng_EF2)*SupplyChain_Tier1_Backend[[#This Row],[Converted data]]/1000</f>
        <v>0</v>
      </c>
      <c r="AH68" s="210">
        <f ca="1">_xlfn.XLOOKUP(_xlfn.CONCAT(SupplyChain_Tier1_Backend[[#This Row],[Level 1]:[Level 6]]),rng_EFConcat,rng_EF3)*SupplyChain_Tier1_Backend[[#This Row],[Converted data]]/1000</f>
        <v>0</v>
      </c>
      <c r="AI68" s="210">
        <f ca="1">_xlfn.XLOOKUP(_xlfn.CONCAT(SupplyChain_Tier1_Backend[[#This Row],[Level 1]:[Level 6]]),rng_EFConcat,rng_EF3WTT)*SupplyChain_Tier1_Backend[[#This Row],[Converted data]]/1000</f>
        <v>0</v>
      </c>
      <c r="AJ68" s="210">
        <f ca="1">_xlfn.XLOOKUP(_xlfn.CONCAT(SupplyChain_Tier1_Backend[[#This Row],[Level 1]:[Level 6]]),rng_EFConcat,rng_EF3TD)*SupplyChain_Tier1_Backend[[#This Row],[Converted data]]/1000</f>
        <v>0</v>
      </c>
      <c r="AK68" s="210">
        <f ca="1">_xlfn.XLOOKUP(_xlfn.CONCAT(SupplyChain_Tier1_Backend[[#This Row],[Level 1]:[Level 6]]),rng_EFConcat,rng_EF3WTTTD)*SupplyChain_Tier1_Backend[[#This Row],[Converted data]]/1000</f>
        <v>0</v>
      </c>
      <c r="AL68" s="220" t="str">
        <f>IF($G68="","", SUM(SupplyChain_Tier1_Backend[[#This Row],[Scope 1 (tCO2e)]:[Scope 3 WTT T&amp;D (tCO2e)]]))</f>
        <v/>
      </c>
      <c r="AM68" s="220" t="str">
        <f>IF($G68="","", SupplyChain_Tier1_Backend[[#This Row],[Total (tCO2e)]]*(1-SupplyChain_Tier1_Backend[[#This Row],[RSD]]))</f>
        <v/>
      </c>
      <c r="AN68" s="220" t="str">
        <f>IF($G68="","", SupplyChain_Tier1_Backend[[#This Row],[Total (tCO2e)]]*(1+SupplyChain_Tier1_Backend[[#This Row],[RSD]]))</f>
        <v/>
      </c>
      <c r="AO68" s="210">
        <f ca="1">_xlfn.XLOOKUP(_xlfn.CONCAT(SupplyChain_Tier1_Backend[[#This Row],[Level 1]:[Level 6]]),rng_EFConcat,rng_EFOOS)*SupplyChain_Tier1_Backend[[#This Row],[Converted data]]/1000</f>
        <v>0</v>
      </c>
      <c r="AP68" s="174">
        <f>SupplyChain_Tier1_Frontend[[#This Row],[Ease of collection]]</f>
        <v>0</v>
      </c>
      <c r="AQ68" s="213">
        <f>SupplyChain_Tier1_Frontend[[#This Row],[Completeness]]</f>
        <v>0</v>
      </c>
      <c r="AR68" s="213">
        <f>SupplyChain_Tier1_Frontend[[#This Row],[Notes]]</f>
        <v>0</v>
      </c>
    </row>
    <row r="69" spans="2:44" ht="28.5" x14ac:dyDescent="0.35">
      <c r="B69" s="169"/>
      <c r="E69" s="236" t="s">
        <v>228</v>
      </c>
      <c r="F69" s="178" t="s">
        <v>1787</v>
      </c>
      <c r="G69" s="334"/>
      <c r="H69" s="172" t="s">
        <v>383</v>
      </c>
      <c r="I69" s="172" t="s">
        <v>384</v>
      </c>
      <c r="J69" s="336"/>
      <c r="K69" s="336"/>
      <c r="L69" s="337"/>
      <c r="M69" s="242">
        <f t="shared" si="1"/>
        <v>0</v>
      </c>
      <c r="N69"/>
      <c r="O69"/>
      <c r="Q69" s="211" t="str">
        <f t="shared" si="2"/>
        <v/>
      </c>
      <c r="R69" s="174" t="s">
        <v>267</v>
      </c>
      <c r="S69" s="174" t="s">
        <v>385</v>
      </c>
      <c r="T69" s="174" t="str" cm="1">
        <f t="array" aca="1" ref="T69" ca="1">_xlfn.XLOOKUP(SupplyChain_Tier1_Backend[[#This Row],[Level 2]],rng_Level2Long,rng_Level3Long)</f>
        <v>Supply chain</v>
      </c>
      <c r="U69" s="174" t="str">
        <f>SupplyChain_Tier1_Frontend[[#This Row],[Category]]</f>
        <v>Water supply; sewerage, waste management and remediation activities</v>
      </c>
      <c r="V69" s="174" t="str">
        <f>SupplyChain_Tier1_Frontend[[#This Row],[Product Category]]</f>
        <v>Waste collection, treatment and disposal services; materials recovery services</v>
      </c>
      <c r="W69" s="174" t="str" cm="1">
        <f t="array" aca="1" ref="W69" ca="1">_xlfn.XLOOKUP(SupplyChain_Tier1_Backend[[#This Row],[Level 5]],rng_Level5Long,rng_Level6Long)</f>
        <v>NaN</v>
      </c>
      <c r="X69" s="174" t="str">
        <f>SupplyChain_Tier1_Frontend[[#This Row],[Data type]]</f>
        <v>Spend-based EF</v>
      </c>
      <c r="Y69" s="174" t="s">
        <v>339</v>
      </c>
      <c r="Z69" s="174" t="s">
        <v>198</v>
      </c>
      <c r="AA69" s="229" cm="1">
        <f t="array" aca="1" ref="AA69" ca="1">INDEX(_xlfn.SWITCH(SupplyChain_Tier1_Backend[[#This Row],[Methodology]],"Tier 1",rng_RSD1,"Tier 2",rng_RSD2,"Tier 3",rng_RSD3),MATCH(_xlfn.CONCAT(SupplyChain_Tier1_Backend[[#This Row],[Level 1]:[Level 6]]),rng_LevelsConcat,0))</f>
        <v>0.25</v>
      </c>
      <c r="AB69" s="220">
        <f>SupplyChain_Tier1_Frontend[[#This Row],[Data]]</f>
        <v>0</v>
      </c>
      <c r="AC69" s="220" t="str">
        <f>SupplyChain_Tier1_Frontend[[#This Row],[Units]]</f>
        <v>£</v>
      </c>
      <c r="AD6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69" s="174" t="str">
        <f>SupplyChain_Tier1_Frontend[[#This Row],[Units]]</f>
        <v>£</v>
      </c>
      <c r="AF69" s="210">
        <f ca="1">_xlfn.XLOOKUP(_xlfn.CONCAT(SupplyChain_Tier1_Backend[[#This Row],[Level 1]:[Level 6]]),rng_EFConcat,rng_EF1)*SupplyChain_Tier1_Backend[[#This Row],[Converted data]]/1000</f>
        <v>0</v>
      </c>
      <c r="AG69" s="210">
        <f ca="1">_xlfn.XLOOKUP(_xlfn.CONCAT(SupplyChain_Tier1_Backend[[#This Row],[Level 1]:[Level 6]]),rng_EFConcat,rng_EF2)*SupplyChain_Tier1_Backend[[#This Row],[Converted data]]/1000</f>
        <v>0</v>
      </c>
      <c r="AH69" s="210">
        <f ca="1">_xlfn.XLOOKUP(_xlfn.CONCAT(SupplyChain_Tier1_Backend[[#This Row],[Level 1]:[Level 6]]),rng_EFConcat,rng_EF3)*SupplyChain_Tier1_Backend[[#This Row],[Converted data]]/1000</f>
        <v>0</v>
      </c>
      <c r="AI69" s="210">
        <f ca="1">_xlfn.XLOOKUP(_xlfn.CONCAT(SupplyChain_Tier1_Backend[[#This Row],[Level 1]:[Level 6]]),rng_EFConcat,rng_EF3WTT)*SupplyChain_Tier1_Backend[[#This Row],[Converted data]]/1000</f>
        <v>0</v>
      </c>
      <c r="AJ69" s="210">
        <f ca="1">_xlfn.XLOOKUP(_xlfn.CONCAT(SupplyChain_Tier1_Backend[[#This Row],[Level 1]:[Level 6]]),rng_EFConcat,rng_EF3TD)*SupplyChain_Tier1_Backend[[#This Row],[Converted data]]/1000</f>
        <v>0</v>
      </c>
      <c r="AK69" s="210">
        <f ca="1">_xlfn.XLOOKUP(_xlfn.CONCAT(SupplyChain_Tier1_Backend[[#This Row],[Level 1]:[Level 6]]),rng_EFConcat,rng_EF3WTTTD)*SupplyChain_Tier1_Backend[[#This Row],[Converted data]]/1000</f>
        <v>0</v>
      </c>
      <c r="AL69" s="220" t="str">
        <f>IF($G69="","", SUM(SupplyChain_Tier1_Backend[[#This Row],[Scope 1 (tCO2e)]:[Scope 3 WTT T&amp;D (tCO2e)]]))</f>
        <v/>
      </c>
      <c r="AM69" s="220" t="str">
        <f>IF($G69="","", SupplyChain_Tier1_Backend[[#This Row],[Total (tCO2e)]]*(1-SupplyChain_Tier1_Backend[[#This Row],[RSD]]))</f>
        <v/>
      </c>
      <c r="AN69" s="220" t="str">
        <f>IF($G69="","", SupplyChain_Tier1_Backend[[#This Row],[Total (tCO2e)]]*(1+SupplyChain_Tier1_Backend[[#This Row],[RSD]]))</f>
        <v/>
      </c>
      <c r="AO69" s="210">
        <f ca="1">_xlfn.XLOOKUP(_xlfn.CONCAT(SupplyChain_Tier1_Backend[[#This Row],[Level 1]:[Level 6]]),rng_EFConcat,rng_EFOOS)*SupplyChain_Tier1_Backend[[#This Row],[Converted data]]/1000</f>
        <v>0</v>
      </c>
      <c r="AP69" s="174">
        <f>SupplyChain_Tier1_Frontend[[#This Row],[Ease of collection]]</f>
        <v>0</v>
      </c>
      <c r="AQ69" s="213">
        <f>SupplyChain_Tier1_Frontend[[#This Row],[Completeness]]</f>
        <v>0</v>
      </c>
      <c r="AR69" s="213">
        <f>SupplyChain_Tier1_Frontend[[#This Row],[Notes]]</f>
        <v>0</v>
      </c>
    </row>
    <row r="70" spans="2:44" ht="28.5" x14ac:dyDescent="0.35">
      <c r="B70" s="169"/>
      <c r="E70" s="236" t="s">
        <v>228</v>
      </c>
      <c r="F70" s="178" t="s">
        <v>1788</v>
      </c>
      <c r="G70" s="334"/>
      <c r="H70" s="172" t="s">
        <v>383</v>
      </c>
      <c r="I70" s="172" t="s">
        <v>384</v>
      </c>
      <c r="J70" s="336"/>
      <c r="K70" s="336"/>
      <c r="L70" s="337"/>
      <c r="M70" s="242">
        <f t="shared" si="1"/>
        <v>0</v>
      </c>
      <c r="N70"/>
      <c r="O70"/>
      <c r="Q70" s="211" t="str">
        <f t="shared" si="2"/>
        <v/>
      </c>
      <c r="R70" s="174" t="s">
        <v>267</v>
      </c>
      <c r="S70" s="174" t="s">
        <v>385</v>
      </c>
      <c r="T70" s="174" t="str" cm="1">
        <f t="array" aca="1" ref="T70" ca="1">_xlfn.XLOOKUP(SupplyChain_Tier1_Backend[[#This Row],[Level 2]],rng_Level2Long,rng_Level3Long)</f>
        <v>Supply chain</v>
      </c>
      <c r="U70" s="174" t="str">
        <f>SupplyChain_Tier1_Frontend[[#This Row],[Category]]</f>
        <v>Water supply; sewerage, waste management and remediation activities</v>
      </c>
      <c r="V70" s="174" t="str">
        <f>SupplyChain_Tier1_Frontend[[#This Row],[Product Category]]</f>
        <v>Remediation services and other waste management services</v>
      </c>
      <c r="W70" s="174" t="str" cm="1">
        <f t="array" aca="1" ref="W70" ca="1">_xlfn.XLOOKUP(SupplyChain_Tier1_Backend[[#This Row],[Level 5]],rng_Level5Long,rng_Level6Long)</f>
        <v>NaN</v>
      </c>
      <c r="X70" s="174" t="str">
        <f>SupplyChain_Tier1_Frontend[[#This Row],[Data type]]</f>
        <v>Spend-based EF</v>
      </c>
      <c r="Y70" s="174" t="s">
        <v>339</v>
      </c>
      <c r="Z70" s="174" t="s">
        <v>198</v>
      </c>
      <c r="AA70" s="229" cm="1">
        <f t="array" aca="1" ref="AA70" ca="1">INDEX(_xlfn.SWITCH(SupplyChain_Tier1_Backend[[#This Row],[Methodology]],"Tier 1",rng_RSD1,"Tier 2",rng_RSD2,"Tier 3",rng_RSD3),MATCH(_xlfn.CONCAT(SupplyChain_Tier1_Backend[[#This Row],[Level 1]:[Level 6]]),rng_LevelsConcat,0))</f>
        <v>0.25</v>
      </c>
      <c r="AB70" s="220">
        <f>SupplyChain_Tier1_Frontend[[#This Row],[Data]]</f>
        <v>0</v>
      </c>
      <c r="AC70" s="220" t="str">
        <f>SupplyChain_Tier1_Frontend[[#This Row],[Units]]</f>
        <v>£</v>
      </c>
      <c r="AD7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0" s="174" t="str">
        <f>SupplyChain_Tier1_Frontend[[#This Row],[Units]]</f>
        <v>£</v>
      </c>
      <c r="AF70" s="210">
        <f ca="1">_xlfn.XLOOKUP(_xlfn.CONCAT(SupplyChain_Tier1_Backend[[#This Row],[Level 1]:[Level 6]]),rng_EFConcat,rng_EF1)*SupplyChain_Tier1_Backend[[#This Row],[Converted data]]/1000</f>
        <v>0</v>
      </c>
      <c r="AG70" s="210">
        <f ca="1">_xlfn.XLOOKUP(_xlfn.CONCAT(SupplyChain_Tier1_Backend[[#This Row],[Level 1]:[Level 6]]),rng_EFConcat,rng_EF2)*SupplyChain_Tier1_Backend[[#This Row],[Converted data]]/1000</f>
        <v>0</v>
      </c>
      <c r="AH70" s="210">
        <f ca="1">_xlfn.XLOOKUP(_xlfn.CONCAT(SupplyChain_Tier1_Backend[[#This Row],[Level 1]:[Level 6]]),rng_EFConcat,rng_EF3)*SupplyChain_Tier1_Backend[[#This Row],[Converted data]]/1000</f>
        <v>0</v>
      </c>
      <c r="AI70" s="210">
        <f ca="1">_xlfn.XLOOKUP(_xlfn.CONCAT(SupplyChain_Tier1_Backend[[#This Row],[Level 1]:[Level 6]]),rng_EFConcat,rng_EF3WTT)*SupplyChain_Tier1_Backend[[#This Row],[Converted data]]/1000</f>
        <v>0</v>
      </c>
      <c r="AJ70" s="210">
        <f ca="1">_xlfn.XLOOKUP(_xlfn.CONCAT(SupplyChain_Tier1_Backend[[#This Row],[Level 1]:[Level 6]]),rng_EFConcat,rng_EF3TD)*SupplyChain_Tier1_Backend[[#This Row],[Converted data]]/1000</f>
        <v>0</v>
      </c>
      <c r="AK70" s="210">
        <f ca="1">_xlfn.XLOOKUP(_xlfn.CONCAT(SupplyChain_Tier1_Backend[[#This Row],[Level 1]:[Level 6]]),rng_EFConcat,rng_EF3WTTTD)*SupplyChain_Tier1_Backend[[#This Row],[Converted data]]/1000</f>
        <v>0</v>
      </c>
      <c r="AL70" s="220" t="str">
        <f>IF($G70="","", SUM(SupplyChain_Tier1_Backend[[#This Row],[Scope 1 (tCO2e)]:[Scope 3 WTT T&amp;D (tCO2e)]]))</f>
        <v/>
      </c>
      <c r="AM70" s="220" t="str">
        <f>IF($G70="","", SupplyChain_Tier1_Backend[[#This Row],[Total (tCO2e)]]*(1-SupplyChain_Tier1_Backend[[#This Row],[RSD]]))</f>
        <v/>
      </c>
      <c r="AN70" s="220" t="str">
        <f>IF($G70="","", SupplyChain_Tier1_Backend[[#This Row],[Total (tCO2e)]]*(1+SupplyChain_Tier1_Backend[[#This Row],[RSD]]))</f>
        <v/>
      </c>
      <c r="AO70" s="210">
        <f ca="1">_xlfn.XLOOKUP(_xlfn.CONCAT(SupplyChain_Tier1_Backend[[#This Row],[Level 1]:[Level 6]]),rng_EFConcat,rng_EFOOS)*SupplyChain_Tier1_Backend[[#This Row],[Converted data]]/1000</f>
        <v>0</v>
      </c>
      <c r="AP70" s="174">
        <f>SupplyChain_Tier1_Frontend[[#This Row],[Ease of collection]]</f>
        <v>0</v>
      </c>
      <c r="AQ70" s="213">
        <f>SupplyChain_Tier1_Frontend[[#This Row],[Completeness]]</f>
        <v>0</v>
      </c>
      <c r="AR70" s="213">
        <f>SupplyChain_Tier1_Frontend[[#This Row],[Notes]]</f>
        <v>0</v>
      </c>
    </row>
    <row r="71" spans="2:44" ht="14.5" x14ac:dyDescent="0.35">
      <c r="B71" s="169"/>
      <c r="E71" s="236" t="s">
        <v>229</v>
      </c>
      <c r="F71" s="178" t="s">
        <v>1789</v>
      </c>
      <c r="G71" s="334"/>
      <c r="H71" s="172" t="s">
        <v>383</v>
      </c>
      <c r="I71" s="172" t="s">
        <v>384</v>
      </c>
      <c r="J71" s="336"/>
      <c r="K71" s="336"/>
      <c r="L71" s="337"/>
      <c r="M71" s="242">
        <f t="shared" si="1"/>
        <v>0</v>
      </c>
      <c r="N71"/>
      <c r="O71"/>
      <c r="Q71" s="211" t="str">
        <f t="shared" si="2"/>
        <v/>
      </c>
      <c r="R71" s="174" t="s">
        <v>267</v>
      </c>
      <c r="S71" s="174" t="s">
        <v>385</v>
      </c>
      <c r="T71" s="174" t="str" cm="1">
        <f t="array" aca="1" ref="T71" ca="1">_xlfn.XLOOKUP(SupplyChain_Tier1_Backend[[#This Row],[Level 2]],rng_Level2Long,rng_Level3Long)</f>
        <v>Supply chain</v>
      </c>
      <c r="U71" s="174" t="str">
        <f>SupplyChain_Tier1_Frontend[[#This Row],[Category]]</f>
        <v>Construction</v>
      </c>
      <c r="V71" s="174" t="str">
        <f>SupplyChain_Tier1_Frontend[[#This Row],[Product Category]]</f>
        <v>Buildings and building construction works</v>
      </c>
      <c r="W71" s="174" t="str" cm="1">
        <f t="array" aca="1" ref="W71" ca="1">_xlfn.XLOOKUP(SupplyChain_Tier1_Backend[[#This Row],[Level 5]],rng_Level5Long,rng_Level6Long)</f>
        <v>NaN</v>
      </c>
      <c r="X71" s="174" t="str">
        <f>SupplyChain_Tier1_Frontend[[#This Row],[Data type]]</f>
        <v>Spend-based EF</v>
      </c>
      <c r="Y71" s="174" t="s">
        <v>339</v>
      </c>
      <c r="Z71" s="174" t="s">
        <v>198</v>
      </c>
      <c r="AA71" s="229" cm="1">
        <f t="array" aca="1" ref="AA71" ca="1">INDEX(_xlfn.SWITCH(SupplyChain_Tier1_Backend[[#This Row],[Methodology]],"Tier 1",rng_RSD1,"Tier 2",rng_RSD2,"Tier 3",rng_RSD3),MATCH(_xlfn.CONCAT(SupplyChain_Tier1_Backend[[#This Row],[Level 1]:[Level 6]]),rng_LevelsConcat,0))</f>
        <v>0.25</v>
      </c>
      <c r="AB71" s="220">
        <f>SupplyChain_Tier1_Frontend[[#This Row],[Data]]</f>
        <v>0</v>
      </c>
      <c r="AC71" s="220" t="str">
        <f>SupplyChain_Tier1_Frontend[[#This Row],[Units]]</f>
        <v>£</v>
      </c>
      <c r="AD7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1" s="174" t="str">
        <f>SupplyChain_Tier1_Frontend[[#This Row],[Units]]</f>
        <v>£</v>
      </c>
      <c r="AF71" s="210">
        <f ca="1">_xlfn.XLOOKUP(_xlfn.CONCAT(SupplyChain_Tier1_Backend[[#This Row],[Level 1]:[Level 6]]),rng_EFConcat,rng_EF1)*SupplyChain_Tier1_Backend[[#This Row],[Converted data]]/1000</f>
        <v>0</v>
      </c>
      <c r="AG71" s="210">
        <f ca="1">_xlfn.XLOOKUP(_xlfn.CONCAT(SupplyChain_Tier1_Backend[[#This Row],[Level 1]:[Level 6]]),rng_EFConcat,rng_EF2)*SupplyChain_Tier1_Backend[[#This Row],[Converted data]]/1000</f>
        <v>0</v>
      </c>
      <c r="AH71" s="210">
        <f ca="1">_xlfn.XLOOKUP(_xlfn.CONCAT(SupplyChain_Tier1_Backend[[#This Row],[Level 1]:[Level 6]]),rng_EFConcat,rng_EF3)*SupplyChain_Tier1_Backend[[#This Row],[Converted data]]/1000</f>
        <v>0</v>
      </c>
      <c r="AI71" s="210">
        <f ca="1">_xlfn.XLOOKUP(_xlfn.CONCAT(SupplyChain_Tier1_Backend[[#This Row],[Level 1]:[Level 6]]),rng_EFConcat,rng_EF3WTT)*SupplyChain_Tier1_Backend[[#This Row],[Converted data]]/1000</f>
        <v>0</v>
      </c>
      <c r="AJ71" s="210">
        <f ca="1">_xlfn.XLOOKUP(_xlfn.CONCAT(SupplyChain_Tier1_Backend[[#This Row],[Level 1]:[Level 6]]),rng_EFConcat,rng_EF3TD)*SupplyChain_Tier1_Backend[[#This Row],[Converted data]]/1000</f>
        <v>0</v>
      </c>
      <c r="AK71" s="210">
        <f ca="1">_xlfn.XLOOKUP(_xlfn.CONCAT(SupplyChain_Tier1_Backend[[#This Row],[Level 1]:[Level 6]]),rng_EFConcat,rng_EF3WTTTD)*SupplyChain_Tier1_Backend[[#This Row],[Converted data]]/1000</f>
        <v>0</v>
      </c>
      <c r="AL71" s="220" t="str">
        <f>IF($G71="","", SUM(SupplyChain_Tier1_Backend[[#This Row],[Scope 1 (tCO2e)]:[Scope 3 WTT T&amp;D (tCO2e)]]))</f>
        <v/>
      </c>
      <c r="AM71" s="220" t="str">
        <f>IF($G71="","", SupplyChain_Tier1_Backend[[#This Row],[Total (tCO2e)]]*(1-SupplyChain_Tier1_Backend[[#This Row],[RSD]]))</f>
        <v/>
      </c>
      <c r="AN71" s="220" t="str">
        <f>IF($G71="","", SupplyChain_Tier1_Backend[[#This Row],[Total (tCO2e)]]*(1+SupplyChain_Tier1_Backend[[#This Row],[RSD]]))</f>
        <v/>
      </c>
      <c r="AO71" s="210">
        <f ca="1">_xlfn.XLOOKUP(_xlfn.CONCAT(SupplyChain_Tier1_Backend[[#This Row],[Level 1]:[Level 6]]),rng_EFConcat,rng_EFOOS)*SupplyChain_Tier1_Backend[[#This Row],[Converted data]]/1000</f>
        <v>0</v>
      </c>
      <c r="AP71" s="174">
        <f>SupplyChain_Tier1_Frontend[[#This Row],[Ease of collection]]</f>
        <v>0</v>
      </c>
      <c r="AQ71" s="213">
        <f>SupplyChain_Tier1_Frontend[[#This Row],[Completeness]]</f>
        <v>0</v>
      </c>
      <c r="AR71" s="213">
        <f>SupplyChain_Tier1_Frontend[[#This Row],[Notes]]</f>
        <v>0</v>
      </c>
    </row>
    <row r="72" spans="2:44" ht="28.5" x14ac:dyDescent="0.35">
      <c r="B72" s="169"/>
      <c r="E72" s="236" t="s">
        <v>229</v>
      </c>
      <c r="F72" s="178" t="s">
        <v>1790</v>
      </c>
      <c r="G72" s="334"/>
      <c r="H72" s="172" t="s">
        <v>383</v>
      </c>
      <c r="I72" s="172" t="s">
        <v>384</v>
      </c>
      <c r="J72" s="336"/>
      <c r="K72" s="336"/>
      <c r="L72" s="337"/>
      <c r="M72" s="242">
        <f t="shared" si="1"/>
        <v>0</v>
      </c>
      <c r="N72"/>
      <c r="O72"/>
      <c r="Q72" s="211" t="str">
        <f t="shared" si="2"/>
        <v/>
      </c>
      <c r="R72" s="174" t="s">
        <v>267</v>
      </c>
      <c r="S72" s="174" t="s">
        <v>385</v>
      </c>
      <c r="T72" s="174" t="str" cm="1">
        <f t="array" aca="1" ref="T72" ca="1">_xlfn.XLOOKUP(SupplyChain_Tier1_Backend[[#This Row],[Level 2]],rng_Level2Long,rng_Level3Long)</f>
        <v>Supply chain</v>
      </c>
      <c r="U72" s="174" t="str">
        <f>SupplyChain_Tier1_Frontend[[#This Row],[Category]]</f>
        <v>Construction</v>
      </c>
      <c r="V72" s="174" t="str">
        <f>SupplyChain_Tier1_Frontend[[#This Row],[Product Category]]</f>
        <v>Constructions and construction works for civil engineering</v>
      </c>
      <c r="W72" s="174" t="str" cm="1">
        <f t="array" aca="1" ref="W72" ca="1">_xlfn.XLOOKUP(SupplyChain_Tier1_Backend[[#This Row],[Level 5]],rng_Level5Long,rng_Level6Long)</f>
        <v>NaN</v>
      </c>
      <c r="X72" s="174" t="str">
        <f>SupplyChain_Tier1_Frontend[[#This Row],[Data type]]</f>
        <v>Spend-based EF</v>
      </c>
      <c r="Y72" s="174" t="s">
        <v>339</v>
      </c>
      <c r="Z72" s="174" t="s">
        <v>198</v>
      </c>
      <c r="AA72" s="229" cm="1">
        <f t="array" aca="1" ref="AA72" ca="1">INDEX(_xlfn.SWITCH(SupplyChain_Tier1_Backend[[#This Row],[Methodology]],"Tier 1",rng_RSD1,"Tier 2",rng_RSD2,"Tier 3",rng_RSD3),MATCH(_xlfn.CONCAT(SupplyChain_Tier1_Backend[[#This Row],[Level 1]:[Level 6]]),rng_LevelsConcat,0))</f>
        <v>0.25</v>
      </c>
      <c r="AB72" s="220">
        <f>SupplyChain_Tier1_Frontend[[#This Row],[Data]]</f>
        <v>0</v>
      </c>
      <c r="AC72" s="220" t="str">
        <f>SupplyChain_Tier1_Frontend[[#This Row],[Units]]</f>
        <v>£</v>
      </c>
      <c r="AD7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2" s="174" t="str">
        <f>SupplyChain_Tier1_Frontend[[#This Row],[Units]]</f>
        <v>£</v>
      </c>
      <c r="AF72" s="210">
        <f ca="1">_xlfn.XLOOKUP(_xlfn.CONCAT(SupplyChain_Tier1_Backend[[#This Row],[Level 1]:[Level 6]]),rng_EFConcat,rng_EF1)*SupplyChain_Tier1_Backend[[#This Row],[Converted data]]/1000</f>
        <v>0</v>
      </c>
      <c r="AG72" s="210">
        <f ca="1">_xlfn.XLOOKUP(_xlfn.CONCAT(SupplyChain_Tier1_Backend[[#This Row],[Level 1]:[Level 6]]),rng_EFConcat,rng_EF2)*SupplyChain_Tier1_Backend[[#This Row],[Converted data]]/1000</f>
        <v>0</v>
      </c>
      <c r="AH72" s="210">
        <f ca="1">_xlfn.XLOOKUP(_xlfn.CONCAT(SupplyChain_Tier1_Backend[[#This Row],[Level 1]:[Level 6]]),rng_EFConcat,rng_EF3)*SupplyChain_Tier1_Backend[[#This Row],[Converted data]]/1000</f>
        <v>0</v>
      </c>
      <c r="AI72" s="210">
        <f ca="1">_xlfn.XLOOKUP(_xlfn.CONCAT(SupplyChain_Tier1_Backend[[#This Row],[Level 1]:[Level 6]]),rng_EFConcat,rng_EF3WTT)*SupplyChain_Tier1_Backend[[#This Row],[Converted data]]/1000</f>
        <v>0</v>
      </c>
      <c r="AJ72" s="210">
        <f ca="1">_xlfn.XLOOKUP(_xlfn.CONCAT(SupplyChain_Tier1_Backend[[#This Row],[Level 1]:[Level 6]]),rng_EFConcat,rng_EF3TD)*SupplyChain_Tier1_Backend[[#This Row],[Converted data]]/1000</f>
        <v>0</v>
      </c>
      <c r="AK72" s="210">
        <f ca="1">_xlfn.XLOOKUP(_xlfn.CONCAT(SupplyChain_Tier1_Backend[[#This Row],[Level 1]:[Level 6]]),rng_EFConcat,rng_EF3WTTTD)*SupplyChain_Tier1_Backend[[#This Row],[Converted data]]/1000</f>
        <v>0</v>
      </c>
      <c r="AL72" s="220" t="str">
        <f>IF($G72="","", SUM(SupplyChain_Tier1_Backend[[#This Row],[Scope 1 (tCO2e)]:[Scope 3 WTT T&amp;D (tCO2e)]]))</f>
        <v/>
      </c>
      <c r="AM72" s="220" t="str">
        <f>IF($G72="","", SupplyChain_Tier1_Backend[[#This Row],[Total (tCO2e)]]*(1-SupplyChain_Tier1_Backend[[#This Row],[RSD]]))</f>
        <v/>
      </c>
      <c r="AN72" s="220" t="str">
        <f>IF($G72="","", SupplyChain_Tier1_Backend[[#This Row],[Total (tCO2e)]]*(1+SupplyChain_Tier1_Backend[[#This Row],[RSD]]))</f>
        <v/>
      </c>
      <c r="AO72" s="210">
        <f ca="1">_xlfn.XLOOKUP(_xlfn.CONCAT(SupplyChain_Tier1_Backend[[#This Row],[Level 1]:[Level 6]]),rng_EFConcat,rng_EFOOS)*SupplyChain_Tier1_Backend[[#This Row],[Converted data]]/1000</f>
        <v>0</v>
      </c>
      <c r="AP72" s="174">
        <f>SupplyChain_Tier1_Frontend[[#This Row],[Ease of collection]]</f>
        <v>0</v>
      </c>
      <c r="AQ72" s="213">
        <f>SupplyChain_Tier1_Frontend[[#This Row],[Completeness]]</f>
        <v>0</v>
      </c>
      <c r="AR72" s="213">
        <f>SupplyChain_Tier1_Frontend[[#This Row],[Notes]]</f>
        <v>0</v>
      </c>
    </row>
    <row r="73" spans="2:44" ht="14.5" x14ac:dyDescent="0.35">
      <c r="B73" s="169"/>
      <c r="E73" s="236" t="s">
        <v>229</v>
      </c>
      <c r="F73" s="178" t="s">
        <v>1791</v>
      </c>
      <c r="G73" s="334"/>
      <c r="H73" s="172" t="s">
        <v>383</v>
      </c>
      <c r="I73" s="172" t="s">
        <v>384</v>
      </c>
      <c r="J73" s="336"/>
      <c r="K73" s="336"/>
      <c r="L73" s="337"/>
      <c r="M73" s="242">
        <f t="shared" si="1"/>
        <v>0</v>
      </c>
      <c r="N73"/>
      <c r="O73"/>
      <c r="Q73" s="211" t="str">
        <f t="shared" si="2"/>
        <v/>
      </c>
      <c r="R73" s="174" t="s">
        <v>267</v>
      </c>
      <c r="S73" s="174" t="s">
        <v>385</v>
      </c>
      <c r="T73" s="174" t="str" cm="1">
        <f t="array" aca="1" ref="T73" ca="1">_xlfn.XLOOKUP(SupplyChain_Tier1_Backend[[#This Row],[Level 2]],rng_Level2Long,rng_Level3Long)</f>
        <v>Supply chain</v>
      </c>
      <c r="U73" s="174" t="str">
        <f>SupplyChain_Tier1_Frontend[[#This Row],[Category]]</f>
        <v>Construction</v>
      </c>
      <c r="V73" s="174" t="str">
        <f>SupplyChain_Tier1_Frontend[[#This Row],[Product Category]]</f>
        <v>Specialised construction works</v>
      </c>
      <c r="W73" s="174" t="str" cm="1">
        <f t="array" aca="1" ref="W73" ca="1">_xlfn.XLOOKUP(SupplyChain_Tier1_Backend[[#This Row],[Level 5]],rng_Level5Long,rng_Level6Long)</f>
        <v>NaN</v>
      </c>
      <c r="X73" s="174" t="str">
        <f>SupplyChain_Tier1_Frontend[[#This Row],[Data type]]</f>
        <v>Spend-based EF</v>
      </c>
      <c r="Y73" s="174" t="s">
        <v>339</v>
      </c>
      <c r="Z73" s="174" t="s">
        <v>198</v>
      </c>
      <c r="AA73" s="229" cm="1">
        <f t="array" aca="1" ref="AA73" ca="1">INDEX(_xlfn.SWITCH(SupplyChain_Tier1_Backend[[#This Row],[Methodology]],"Tier 1",rng_RSD1,"Tier 2",rng_RSD2,"Tier 3",rng_RSD3),MATCH(_xlfn.CONCAT(SupplyChain_Tier1_Backend[[#This Row],[Level 1]:[Level 6]]),rng_LevelsConcat,0))</f>
        <v>0.25</v>
      </c>
      <c r="AB73" s="220">
        <f>SupplyChain_Tier1_Frontend[[#This Row],[Data]]</f>
        <v>0</v>
      </c>
      <c r="AC73" s="220" t="str">
        <f>SupplyChain_Tier1_Frontend[[#This Row],[Units]]</f>
        <v>£</v>
      </c>
      <c r="AD7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3" s="174" t="str">
        <f>SupplyChain_Tier1_Frontend[[#This Row],[Units]]</f>
        <v>£</v>
      </c>
      <c r="AF73" s="210">
        <f ca="1">_xlfn.XLOOKUP(_xlfn.CONCAT(SupplyChain_Tier1_Backend[[#This Row],[Level 1]:[Level 6]]),rng_EFConcat,rng_EF1)*SupplyChain_Tier1_Backend[[#This Row],[Converted data]]/1000</f>
        <v>0</v>
      </c>
      <c r="AG73" s="210">
        <f ca="1">_xlfn.XLOOKUP(_xlfn.CONCAT(SupplyChain_Tier1_Backend[[#This Row],[Level 1]:[Level 6]]),rng_EFConcat,rng_EF2)*SupplyChain_Tier1_Backend[[#This Row],[Converted data]]/1000</f>
        <v>0</v>
      </c>
      <c r="AH73" s="210">
        <f ca="1">_xlfn.XLOOKUP(_xlfn.CONCAT(SupplyChain_Tier1_Backend[[#This Row],[Level 1]:[Level 6]]),rng_EFConcat,rng_EF3)*SupplyChain_Tier1_Backend[[#This Row],[Converted data]]/1000</f>
        <v>0</v>
      </c>
      <c r="AI73" s="210">
        <f ca="1">_xlfn.XLOOKUP(_xlfn.CONCAT(SupplyChain_Tier1_Backend[[#This Row],[Level 1]:[Level 6]]),rng_EFConcat,rng_EF3WTT)*SupplyChain_Tier1_Backend[[#This Row],[Converted data]]/1000</f>
        <v>0</v>
      </c>
      <c r="AJ73" s="210">
        <f ca="1">_xlfn.XLOOKUP(_xlfn.CONCAT(SupplyChain_Tier1_Backend[[#This Row],[Level 1]:[Level 6]]),rng_EFConcat,rng_EF3TD)*SupplyChain_Tier1_Backend[[#This Row],[Converted data]]/1000</f>
        <v>0</v>
      </c>
      <c r="AK73" s="210">
        <f ca="1">_xlfn.XLOOKUP(_xlfn.CONCAT(SupplyChain_Tier1_Backend[[#This Row],[Level 1]:[Level 6]]),rng_EFConcat,rng_EF3WTTTD)*SupplyChain_Tier1_Backend[[#This Row],[Converted data]]/1000</f>
        <v>0</v>
      </c>
      <c r="AL73" s="220" t="str">
        <f>IF($G73="","", SUM(SupplyChain_Tier1_Backend[[#This Row],[Scope 1 (tCO2e)]:[Scope 3 WTT T&amp;D (tCO2e)]]))</f>
        <v/>
      </c>
      <c r="AM73" s="220" t="str">
        <f>IF($G73="","", SupplyChain_Tier1_Backend[[#This Row],[Total (tCO2e)]]*(1-SupplyChain_Tier1_Backend[[#This Row],[RSD]]))</f>
        <v/>
      </c>
      <c r="AN73" s="220" t="str">
        <f>IF($G73="","", SupplyChain_Tier1_Backend[[#This Row],[Total (tCO2e)]]*(1+SupplyChain_Tier1_Backend[[#This Row],[RSD]]))</f>
        <v/>
      </c>
      <c r="AO73" s="210">
        <f ca="1">_xlfn.XLOOKUP(_xlfn.CONCAT(SupplyChain_Tier1_Backend[[#This Row],[Level 1]:[Level 6]]),rng_EFConcat,rng_EFOOS)*SupplyChain_Tier1_Backend[[#This Row],[Converted data]]/1000</f>
        <v>0</v>
      </c>
      <c r="AP73" s="174">
        <f>SupplyChain_Tier1_Frontend[[#This Row],[Ease of collection]]</f>
        <v>0</v>
      </c>
      <c r="AQ73" s="213">
        <f>SupplyChain_Tier1_Frontend[[#This Row],[Completeness]]</f>
        <v>0</v>
      </c>
      <c r="AR73" s="213">
        <f>SupplyChain_Tier1_Frontend[[#This Row],[Notes]]</f>
        <v>0</v>
      </c>
    </row>
    <row r="74" spans="2:44" ht="28.5" x14ac:dyDescent="0.35">
      <c r="B74" s="169"/>
      <c r="E74" s="236" t="s">
        <v>230</v>
      </c>
      <c r="F74" s="178" t="s">
        <v>1792</v>
      </c>
      <c r="G74" s="334"/>
      <c r="H74" s="172" t="s">
        <v>383</v>
      </c>
      <c r="I74" s="172" t="s">
        <v>384</v>
      </c>
      <c r="J74" s="336"/>
      <c r="K74" s="336"/>
      <c r="L74" s="337"/>
      <c r="M74" s="242">
        <f t="shared" si="1"/>
        <v>0</v>
      </c>
      <c r="N74"/>
      <c r="O74"/>
      <c r="Q74" s="211" t="str">
        <f t="shared" si="2"/>
        <v/>
      </c>
      <c r="R74" s="174" t="s">
        <v>267</v>
      </c>
      <c r="S74" s="174" t="s">
        <v>385</v>
      </c>
      <c r="T74" s="174" t="str" cm="1">
        <f t="array" aca="1" ref="T74" ca="1">_xlfn.XLOOKUP(SupplyChain_Tier1_Backend[[#This Row],[Level 2]],rng_Level2Long,rng_Level3Long)</f>
        <v>Supply chain</v>
      </c>
      <c r="U74" s="174" t="str">
        <f>SupplyChain_Tier1_Frontend[[#This Row],[Category]]</f>
        <v>Wholesale and retail trade; repair of motor vehicles and motorcycles</v>
      </c>
      <c r="V74" s="174" t="str">
        <f>SupplyChain_Tier1_Frontend[[#This Row],[Product Category]]</f>
        <v>Wholesale and retail trade and repair services of motor vehicles and motorcycles</v>
      </c>
      <c r="W74" s="174" t="str" cm="1">
        <f t="array" aca="1" ref="W74" ca="1">_xlfn.XLOOKUP(SupplyChain_Tier1_Backend[[#This Row],[Level 5]],rng_Level5Long,rng_Level6Long)</f>
        <v>NaN</v>
      </c>
      <c r="X74" s="174" t="str">
        <f>SupplyChain_Tier1_Frontend[[#This Row],[Data type]]</f>
        <v>Spend-based EF</v>
      </c>
      <c r="Y74" s="174" t="s">
        <v>339</v>
      </c>
      <c r="Z74" s="174" t="s">
        <v>198</v>
      </c>
      <c r="AA74" s="229" cm="1">
        <f t="array" aca="1" ref="AA74" ca="1">INDEX(_xlfn.SWITCH(SupplyChain_Tier1_Backend[[#This Row],[Methodology]],"Tier 1",rng_RSD1,"Tier 2",rng_RSD2,"Tier 3",rng_RSD3),MATCH(_xlfn.CONCAT(SupplyChain_Tier1_Backend[[#This Row],[Level 1]:[Level 6]]),rng_LevelsConcat,0))</f>
        <v>0.25</v>
      </c>
      <c r="AB74" s="220">
        <f>SupplyChain_Tier1_Frontend[[#This Row],[Data]]</f>
        <v>0</v>
      </c>
      <c r="AC74" s="220" t="str">
        <f>SupplyChain_Tier1_Frontend[[#This Row],[Units]]</f>
        <v>£</v>
      </c>
      <c r="AD7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4" s="174" t="str">
        <f>SupplyChain_Tier1_Frontend[[#This Row],[Units]]</f>
        <v>£</v>
      </c>
      <c r="AF74" s="210">
        <f ca="1">_xlfn.XLOOKUP(_xlfn.CONCAT(SupplyChain_Tier1_Backend[[#This Row],[Level 1]:[Level 6]]),rng_EFConcat,rng_EF1)*SupplyChain_Tier1_Backend[[#This Row],[Converted data]]/1000</f>
        <v>0</v>
      </c>
      <c r="AG74" s="210">
        <f ca="1">_xlfn.XLOOKUP(_xlfn.CONCAT(SupplyChain_Tier1_Backend[[#This Row],[Level 1]:[Level 6]]),rng_EFConcat,rng_EF2)*SupplyChain_Tier1_Backend[[#This Row],[Converted data]]/1000</f>
        <v>0</v>
      </c>
      <c r="AH74" s="210">
        <f ca="1">_xlfn.XLOOKUP(_xlfn.CONCAT(SupplyChain_Tier1_Backend[[#This Row],[Level 1]:[Level 6]]),rng_EFConcat,rng_EF3)*SupplyChain_Tier1_Backend[[#This Row],[Converted data]]/1000</f>
        <v>0</v>
      </c>
      <c r="AI74" s="210">
        <f ca="1">_xlfn.XLOOKUP(_xlfn.CONCAT(SupplyChain_Tier1_Backend[[#This Row],[Level 1]:[Level 6]]),rng_EFConcat,rng_EF3WTT)*SupplyChain_Tier1_Backend[[#This Row],[Converted data]]/1000</f>
        <v>0</v>
      </c>
      <c r="AJ74" s="210">
        <f ca="1">_xlfn.XLOOKUP(_xlfn.CONCAT(SupplyChain_Tier1_Backend[[#This Row],[Level 1]:[Level 6]]),rng_EFConcat,rng_EF3TD)*SupplyChain_Tier1_Backend[[#This Row],[Converted data]]/1000</f>
        <v>0</v>
      </c>
      <c r="AK74" s="210">
        <f ca="1">_xlfn.XLOOKUP(_xlfn.CONCAT(SupplyChain_Tier1_Backend[[#This Row],[Level 1]:[Level 6]]),rng_EFConcat,rng_EF3WTTTD)*SupplyChain_Tier1_Backend[[#This Row],[Converted data]]/1000</f>
        <v>0</v>
      </c>
      <c r="AL74" s="220" t="str">
        <f>IF($G74="","", SUM(SupplyChain_Tier1_Backend[[#This Row],[Scope 1 (tCO2e)]:[Scope 3 WTT T&amp;D (tCO2e)]]))</f>
        <v/>
      </c>
      <c r="AM74" s="220" t="str">
        <f>IF($G74="","", SupplyChain_Tier1_Backend[[#This Row],[Total (tCO2e)]]*(1-SupplyChain_Tier1_Backend[[#This Row],[RSD]]))</f>
        <v/>
      </c>
      <c r="AN74" s="220" t="str">
        <f>IF($G74="","", SupplyChain_Tier1_Backend[[#This Row],[Total (tCO2e)]]*(1+SupplyChain_Tier1_Backend[[#This Row],[RSD]]))</f>
        <v/>
      </c>
      <c r="AO74" s="210">
        <f ca="1">_xlfn.XLOOKUP(_xlfn.CONCAT(SupplyChain_Tier1_Backend[[#This Row],[Level 1]:[Level 6]]),rng_EFConcat,rng_EFOOS)*SupplyChain_Tier1_Backend[[#This Row],[Converted data]]/1000</f>
        <v>0</v>
      </c>
      <c r="AP74" s="174">
        <f>SupplyChain_Tier1_Frontend[[#This Row],[Ease of collection]]</f>
        <v>0</v>
      </c>
      <c r="AQ74" s="213">
        <f>SupplyChain_Tier1_Frontend[[#This Row],[Completeness]]</f>
        <v>0</v>
      </c>
      <c r="AR74" s="213">
        <f>SupplyChain_Tier1_Frontend[[#This Row],[Notes]]</f>
        <v>0</v>
      </c>
    </row>
    <row r="75" spans="2:44" ht="28.5" x14ac:dyDescent="0.35">
      <c r="B75" s="169"/>
      <c r="E75" s="236" t="s">
        <v>230</v>
      </c>
      <c r="F75" s="178" t="s">
        <v>1793</v>
      </c>
      <c r="G75" s="334"/>
      <c r="H75" s="172" t="s">
        <v>383</v>
      </c>
      <c r="I75" s="172" t="s">
        <v>384</v>
      </c>
      <c r="J75" s="336"/>
      <c r="K75" s="336"/>
      <c r="L75" s="337"/>
      <c r="M75" s="242">
        <f t="shared" si="1"/>
        <v>0</v>
      </c>
      <c r="N75"/>
      <c r="O75"/>
      <c r="Q75" s="211" t="str">
        <f t="shared" si="2"/>
        <v/>
      </c>
      <c r="R75" s="174" t="s">
        <v>267</v>
      </c>
      <c r="S75" s="174" t="s">
        <v>385</v>
      </c>
      <c r="T75" s="174" t="str" cm="1">
        <f t="array" aca="1" ref="T75" ca="1">_xlfn.XLOOKUP(SupplyChain_Tier1_Backend[[#This Row],[Level 2]],rng_Level2Long,rng_Level3Long)</f>
        <v>Supply chain</v>
      </c>
      <c r="U75" s="174" t="str">
        <f>SupplyChain_Tier1_Frontend[[#This Row],[Category]]</f>
        <v>Wholesale and retail trade; repair of motor vehicles and motorcycles</v>
      </c>
      <c r="V75" s="174" t="str">
        <f>SupplyChain_Tier1_Frontend[[#This Row],[Product Category]]</f>
        <v>Wholesale trade services, except of motor vehicles and motorcycles</v>
      </c>
      <c r="W75" s="174" t="str" cm="1">
        <f t="array" aca="1" ref="W75" ca="1">_xlfn.XLOOKUP(SupplyChain_Tier1_Backend[[#This Row],[Level 5]],rng_Level5Long,rng_Level6Long)</f>
        <v>NaN</v>
      </c>
      <c r="X75" s="174" t="str">
        <f>SupplyChain_Tier1_Frontend[[#This Row],[Data type]]</f>
        <v>Spend-based EF</v>
      </c>
      <c r="Y75" s="174" t="s">
        <v>339</v>
      </c>
      <c r="Z75" s="174" t="s">
        <v>198</v>
      </c>
      <c r="AA75" s="229" cm="1">
        <f t="array" aca="1" ref="AA75" ca="1">INDEX(_xlfn.SWITCH(SupplyChain_Tier1_Backend[[#This Row],[Methodology]],"Tier 1",rng_RSD1,"Tier 2",rng_RSD2,"Tier 3",rng_RSD3),MATCH(_xlfn.CONCAT(SupplyChain_Tier1_Backend[[#This Row],[Level 1]:[Level 6]]),rng_LevelsConcat,0))</f>
        <v>0.25</v>
      </c>
      <c r="AB75" s="220">
        <f>SupplyChain_Tier1_Frontend[[#This Row],[Data]]</f>
        <v>0</v>
      </c>
      <c r="AC75" s="220" t="str">
        <f>SupplyChain_Tier1_Frontend[[#This Row],[Units]]</f>
        <v>£</v>
      </c>
      <c r="AD7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5" s="174" t="str">
        <f>SupplyChain_Tier1_Frontend[[#This Row],[Units]]</f>
        <v>£</v>
      </c>
      <c r="AF75" s="210">
        <f ca="1">_xlfn.XLOOKUP(_xlfn.CONCAT(SupplyChain_Tier1_Backend[[#This Row],[Level 1]:[Level 6]]),rng_EFConcat,rng_EF1)*SupplyChain_Tier1_Backend[[#This Row],[Converted data]]/1000</f>
        <v>0</v>
      </c>
      <c r="AG75" s="210">
        <f ca="1">_xlfn.XLOOKUP(_xlfn.CONCAT(SupplyChain_Tier1_Backend[[#This Row],[Level 1]:[Level 6]]),rng_EFConcat,rng_EF2)*SupplyChain_Tier1_Backend[[#This Row],[Converted data]]/1000</f>
        <v>0</v>
      </c>
      <c r="AH75" s="210">
        <f ca="1">_xlfn.XLOOKUP(_xlfn.CONCAT(SupplyChain_Tier1_Backend[[#This Row],[Level 1]:[Level 6]]),rng_EFConcat,rng_EF3)*SupplyChain_Tier1_Backend[[#This Row],[Converted data]]/1000</f>
        <v>0</v>
      </c>
      <c r="AI75" s="210">
        <f ca="1">_xlfn.XLOOKUP(_xlfn.CONCAT(SupplyChain_Tier1_Backend[[#This Row],[Level 1]:[Level 6]]),rng_EFConcat,rng_EF3WTT)*SupplyChain_Tier1_Backend[[#This Row],[Converted data]]/1000</f>
        <v>0</v>
      </c>
      <c r="AJ75" s="210">
        <f ca="1">_xlfn.XLOOKUP(_xlfn.CONCAT(SupplyChain_Tier1_Backend[[#This Row],[Level 1]:[Level 6]]),rng_EFConcat,rng_EF3TD)*SupplyChain_Tier1_Backend[[#This Row],[Converted data]]/1000</f>
        <v>0</v>
      </c>
      <c r="AK75" s="210">
        <f ca="1">_xlfn.XLOOKUP(_xlfn.CONCAT(SupplyChain_Tier1_Backend[[#This Row],[Level 1]:[Level 6]]),rng_EFConcat,rng_EF3WTTTD)*SupplyChain_Tier1_Backend[[#This Row],[Converted data]]/1000</f>
        <v>0</v>
      </c>
      <c r="AL75" s="220" t="str">
        <f>IF($G75="","", SUM(SupplyChain_Tier1_Backend[[#This Row],[Scope 1 (tCO2e)]:[Scope 3 WTT T&amp;D (tCO2e)]]))</f>
        <v/>
      </c>
      <c r="AM75" s="220" t="str">
        <f>IF($G75="","", SupplyChain_Tier1_Backend[[#This Row],[Total (tCO2e)]]*(1-SupplyChain_Tier1_Backend[[#This Row],[RSD]]))</f>
        <v/>
      </c>
      <c r="AN75" s="220" t="str">
        <f>IF($G75="","", SupplyChain_Tier1_Backend[[#This Row],[Total (tCO2e)]]*(1+SupplyChain_Tier1_Backend[[#This Row],[RSD]]))</f>
        <v/>
      </c>
      <c r="AO75" s="210">
        <f ca="1">_xlfn.XLOOKUP(_xlfn.CONCAT(SupplyChain_Tier1_Backend[[#This Row],[Level 1]:[Level 6]]),rng_EFConcat,rng_EFOOS)*SupplyChain_Tier1_Backend[[#This Row],[Converted data]]/1000</f>
        <v>0</v>
      </c>
      <c r="AP75" s="174">
        <f>SupplyChain_Tier1_Frontend[[#This Row],[Ease of collection]]</f>
        <v>0</v>
      </c>
      <c r="AQ75" s="213">
        <f>SupplyChain_Tier1_Frontend[[#This Row],[Completeness]]</f>
        <v>0</v>
      </c>
      <c r="AR75" s="213">
        <f>SupplyChain_Tier1_Frontend[[#This Row],[Notes]]</f>
        <v>0</v>
      </c>
    </row>
    <row r="76" spans="2:44" ht="28.5" x14ac:dyDescent="0.35">
      <c r="B76" s="169"/>
      <c r="E76" s="236" t="s">
        <v>230</v>
      </c>
      <c r="F76" s="178" t="s">
        <v>1794</v>
      </c>
      <c r="G76" s="334"/>
      <c r="H76" s="172" t="s">
        <v>383</v>
      </c>
      <c r="I76" s="172" t="s">
        <v>384</v>
      </c>
      <c r="J76" s="336"/>
      <c r="K76" s="336"/>
      <c r="L76" s="337"/>
      <c r="M76" s="242">
        <f t="shared" si="1"/>
        <v>0</v>
      </c>
      <c r="N76"/>
      <c r="O76"/>
      <c r="Q76" s="211" t="str">
        <f t="shared" si="2"/>
        <v/>
      </c>
      <c r="R76" s="174" t="s">
        <v>267</v>
      </c>
      <c r="S76" s="174" t="s">
        <v>385</v>
      </c>
      <c r="T76" s="174" t="str" cm="1">
        <f t="array" aca="1" ref="T76" ca="1">_xlfn.XLOOKUP(SupplyChain_Tier1_Backend[[#This Row],[Level 2]],rng_Level2Long,rng_Level3Long)</f>
        <v>Supply chain</v>
      </c>
      <c r="U76" s="174" t="str">
        <f>SupplyChain_Tier1_Frontend[[#This Row],[Category]]</f>
        <v>Wholesale and retail trade; repair of motor vehicles and motorcycles</v>
      </c>
      <c r="V76" s="174" t="str">
        <f>SupplyChain_Tier1_Frontend[[#This Row],[Product Category]]</f>
        <v>Retail trade services, except of motor vehicles and motorcycles</v>
      </c>
      <c r="W76" s="174" t="str" cm="1">
        <f t="array" aca="1" ref="W76" ca="1">_xlfn.XLOOKUP(SupplyChain_Tier1_Backend[[#This Row],[Level 5]],rng_Level5Long,rng_Level6Long)</f>
        <v>NaN</v>
      </c>
      <c r="X76" s="174" t="str">
        <f>SupplyChain_Tier1_Frontend[[#This Row],[Data type]]</f>
        <v>Spend-based EF</v>
      </c>
      <c r="Y76" s="174" t="s">
        <v>339</v>
      </c>
      <c r="Z76" s="174" t="s">
        <v>198</v>
      </c>
      <c r="AA76" s="229" cm="1">
        <f t="array" aca="1" ref="AA76" ca="1">INDEX(_xlfn.SWITCH(SupplyChain_Tier1_Backend[[#This Row],[Methodology]],"Tier 1",rng_RSD1,"Tier 2",rng_RSD2,"Tier 3",rng_RSD3),MATCH(_xlfn.CONCAT(SupplyChain_Tier1_Backend[[#This Row],[Level 1]:[Level 6]]),rng_LevelsConcat,0))</f>
        <v>0.25</v>
      </c>
      <c r="AB76" s="220">
        <f>SupplyChain_Tier1_Frontend[[#This Row],[Data]]</f>
        <v>0</v>
      </c>
      <c r="AC76" s="220" t="str">
        <f>SupplyChain_Tier1_Frontend[[#This Row],[Units]]</f>
        <v>£</v>
      </c>
      <c r="AD7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6" s="174" t="str">
        <f>SupplyChain_Tier1_Frontend[[#This Row],[Units]]</f>
        <v>£</v>
      </c>
      <c r="AF76" s="210">
        <f ca="1">_xlfn.XLOOKUP(_xlfn.CONCAT(SupplyChain_Tier1_Backend[[#This Row],[Level 1]:[Level 6]]),rng_EFConcat,rng_EF1)*SupplyChain_Tier1_Backend[[#This Row],[Converted data]]/1000</f>
        <v>0</v>
      </c>
      <c r="AG76" s="210">
        <f ca="1">_xlfn.XLOOKUP(_xlfn.CONCAT(SupplyChain_Tier1_Backend[[#This Row],[Level 1]:[Level 6]]),rng_EFConcat,rng_EF2)*SupplyChain_Tier1_Backend[[#This Row],[Converted data]]/1000</f>
        <v>0</v>
      </c>
      <c r="AH76" s="210">
        <f ca="1">_xlfn.XLOOKUP(_xlfn.CONCAT(SupplyChain_Tier1_Backend[[#This Row],[Level 1]:[Level 6]]),rng_EFConcat,rng_EF3)*SupplyChain_Tier1_Backend[[#This Row],[Converted data]]/1000</f>
        <v>0</v>
      </c>
      <c r="AI76" s="210">
        <f ca="1">_xlfn.XLOOKUP(_xlfn.CONCAT(SupplyChain_Tier1_Backend[[#This Row],[Level 1]:[Level 6]]),rng_EFConcat,rng_EF3WTT)*SupplyChain_Tier1_Backend[[#This Row],[Converted data]]/1000</f>
        <v>0</v>
      </c>
      <c r="AJ76" s="210">
        <f ca="1">_xlfn.XLOOKUP(_xlfn.CONCAT(SupplyChain_Tier1_Backend[[#This Row],[Level 1]:[Level 6]]),rng_EFConcat,rng_EF3TD)*SupplyChain_Tier1_Backend[[#This Row],[Converted data]]/1000</f>
        <v>0</v>
      </c>
      <c r="AK76" s="210">
        <f ca="1">_xlfn.XLOOKUP(_xlfn.CONCAT(SupplyChain_Tier1_Backend[[#This Row],[Level 1]:[Level 6]]),rng_EFConcat,rng_EF3WTTTD)*SupplyChain_Tier1_Backend[[#This Row],[Converted data]]/1000</f>
        <v>0</v>
      </c>
      <c r="AL76" s="220" t="str">
        <f>IF($G76="","", SUM(SupplyChain_Tier1_Backend[[#This Row],[Scope 1 (tCO2e)]:[Scope 3 WTT T&amp;D (tCO2e)]]))</f>
        <v/>
      </c>
      <c r="AM76" s="220" t="str">
        <f>IF($G76="","", SupplyChain_Tier1_Backend[[#This Row],[Total (tCO2e)]]*(1-SupplyChain_Tier1_Backend[[#This Row],[RSD]]))</f>
        <v/>
      </c>
      <c r="AN76" s="220" t="str">
        <f>IF($G76="","", SupplyChain_Tier1_Backend[[#This Row],[Total (tCO2e)]]*(1+SupplyChain_Tier1_Backend[[#This Row],[RSD]]))</f>
        <v/>
      </c>
      <c r="AO76" s="210">
        <f ca="1">_xlfn.XLOOKUP(_xlfn.CONCAT(SupplyChain_Tier1_Backend[[#This Row],[Level 1]:[Level 6]]),rng_EFConcat,rng_EFOOS)*SupplyChain_Tier1_Backend[[#This Row],[Converted data]]/1000</f>
        <v>0</v>
      </c>
      <c r="AP76" s="174">
        <f>SupplyChain_Tier1_Frontend[[#This Row],[Ease of collection]]</f>
        <v>0</v>
      </c>
      <c r="AQ76" s="213">
        <f>SupplyChain_Tier1_Frontend[[#This Row],[Completeness]]</f>
        <v>0</v>
      </c>
      <c r="AR76" s="213">
        <f>SupplyChain_Tier1_Frontend[[#This Row],[Notes]]</f>
        <v>0</v>
      </c>
    </row>
    <row r="77" spans="2:44" ht="14.5" x14ac:dyDescent="0.35">
      <c r="B77" s="169"/>
      <c r="E77" s="236" t="s">
        <v>231</v>
      </c>
      <c r="F77" s="178" t="s">
        <v>1795</v>
      </c>
      <c r="G77" s="334"/>
      <c r="H77" s="172" t="s">
        <v>383</v>
      </c>
      <c r="I77" s="172" t="s">
        <v>384</v>
      </c>
      <c r="J77" s="336"/>
      <c r="K77" s="336"/>
      <c r="L77" s="337"/>
      <c r="M77" s="242">
        <f t="shared" si="1"/>
        <v>0</v>
      </c>
      <c r="N77"/>
      <c r="O77"/>
      <c r="Q77" s="211" t="str">
        <f t="shared" si="2"/>
        <v/>
      </c>
      <c r="R77" s="174" t="s">
        <v>267</v>
      </c>
      <c r="S77" s="174" t="s">
        <v>385</v>
      </c>
      <c r="T77" s="174" t="str" cm="1">
        <f t="array" aca="1" ref="T77" ca="1">_xlfn.XLOOKUP(SupplyChain_Tier1_Backend[[#This Row],[Level 2]],rng_Level2Long,rng_Level3Long)</f>
        <v>Supply chain</v>
      </c>
      <c r="U77" s="174" t="str">
        <f>SupplyChain_Tier1_Frontend[[#This Row],[Category]]</f>
        <v>Transportation and storage</v>
      </c>
      <c r="V77" s="174" t="str">
        <f>SupplyChain_Tier1_Frontend[[#This Row],[Product Category]]</f>
        <v>Rail transport services</v>
      </c>
      <c r="W77" s="174" t="str" cm="1">
        <f t="array" aca="1" ref="W77" ca="1">_xlfn.XLOOKUP(SupplyChain_Tier1_Backend[[#This Row],[Level 5]],rng_Level5Long,rng_Level6Long)</f>
        <v>NaN</v>
      </c>
      <c r="X77" s="174" t="str">
        <f>SupplyChain_Tier1_Frontend[[#This Row],[Data type]]</f>
        <v>Spend-based EF</v>
      </c>
      <c r="Y77" s="174" t="s">
        <v>339</v>
      </c>
      <c r="Z77" s="174" t="s">
        <v>198</v>
      </c>
      <c r="AA77" s="229" cm="1">
        <f t="array" aca="1" ref="AA77" ca="1">INDEX(_xlfn.SWITCH(SupplyChain_Tier1_Backend[[#This Row],[Methodology]],"Tier 1",rng_RSD1,"Tier 2",rng_RSD2,"Tier 3",rng_RSD3),MATCH(_xlfn.CONCAT(SupplyChain_Tier1_Backend[[#This Row],[Level 1]:[Level 6]]),rng_LevelsConcat,0))</f>
        <v>0.25</v>
      </c>
      <c r="AB77" s="220">
        <f>SupplyChain_Tier1_Frontend[[#This Row],[Data]]</f>
        <v>0</v>
      </c>
      <c r="AC77" s="220" t="str">
        <f>SupplyChain_Tier1_Frontend[[#This Row],[Units]]</f>
        <v>£</v>
      </c>
      <c r="AD7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7" s="174" t="str">
        <f>SupplyChain_Tier1_Frontend[[#This Row],[Units]]</f>
        <v>£</v>
      </c>
      <c r="AF77" s="210">
        <f ca="1">_xlfn.XLOOKUP(_xlfn.CONCAT(SupplyChain_Tier1_Backend[[#This Row],[Level 1]:[Level 6]]),rng_EFConcat,rng_EF1)*SupplyChain_Tier1_Backend[[#This Row],[Converted data]]/1000</f>
        <v>0</v>
      </c>
      <c r="AG77" s="210">
        <f ca="1">_xlfn.XLOOKUP(_xlfn.CONCAT(SupplyChain_Tier1_Backend[[#This Row],[Level 1]:[Level 6]]),rng_EFConcat,rng_EF2)*SupplyChain_Tier1_Backend[[#This Row],[Converted data]]/1000</f>
        <v>0</v>
      </c>
      <c r="AH77" s="210">
        <f ca="1">_xlfn.XLOOKUP(_xlfn.CONCAT(SupplyChain_Tier1_Backend[[#This Row],[Level 1]:[Level 6]]),rng_EFConcat,rng_EF3)*SupplyChain_Tier1_Backend[[#This Row],[Converted data]]/1000</f>
        <v>0</v>
      </c>
      <c r="AI77" s="210">
        <f ca="1">_xlfn.XLOOKUP(_xlfn.CONCAT(SupplyChain_Tier1_Backend[[#This Row],[Level 1]:[Level 6]]),rng_EFConcat,rng_EF3WTT)*SupplyChain_Tier1_Backend[[#This Row],[Converted data]]/1000</f>
        <v>0</v>
      </c>
      <c r="AJ77" s="210">
        <f ca="1">_xlfn.XLOOKUP(_xlfn.CONCAT(SupplyChain_Tier1_Backend[[#This Row],[Level 1]:[Level 6]]),rng_EFConcat,rng_EF3TD)*SupplyChain_Tier1_Backend[[#This Row],[Converted data]]/1000</f>
        <v>0</v>
      </c>
      <c r="AK77" s="210">
        <f ca="1">_xlfn.XLOOKUP(_xlfn.CONCAT(SupplyChain_Tier1_Backend[[#This Row],[Level 1]:[Level 6]]),rng_EFConcat,rng_EF3WTTTD)*SupplyChain_Tier1_Backend[[#This Row],[Converted data]]/1000</f>
        <v>0</v>
      </c>
      <c r="AL77" s="220" t="str">
        <f>IF($G77="","", SUM(SupplyChain_Tier1_Backend[[#This Row],[Scope 1 (tCO2e)]:[Scope 3 WTT T&amp;D (tCO2e)]]))</f>
        <v/>
      </c>
      <c r="AM77" s="220" t="str">
        <f>IF($G77="","", SupplyChain_Tier1_Backend[[#This Row],[Total (tCO2e)]]*(1-SupplyChain_Tier1_Backend[[#This Row],[RSD]]))</f>
        <v/>
      </c>
      <c r="AN77" s="220" t="str">
        <f>IF($G77="","", SupplyChain_Tier1_Backend[[#This Row],[Total (tCO2e)]]*(1+SupplyChain_Tier1_Backend[[#This Row],[RSD]]))</f>
        <v/>
      </c>
      <c r="AO77" s="210">
        <f ca="1">_xlfn.XLOOKUP(_xlfn.CONCAT(SupplyChain_Tier1_Backend[[#This Row],[Level 1]:[Level 6]]),rng_EFConcat,rng_EFOOS)*SupplyChain_Tier1_Backend[[#This Row],[Converted data]]/1000</f>
        <v>0</v>
      </c>
      <c r="AP77" s="174">
        <f>SupplyChain_Tier1_Frontend[[#This Row],[Ease of collection]]</f>
        <v>0</v>
      </c>
      <c r="AQ77" s="213">
        <f>SupplyChain_Tier1_Frontend[[#This Row],[Completeness]]</f>
        <v>0</v>
      </c>
      <c r="AR77" s="213">
        <f>SupplyChain_Tier1_Frontend[[#This Row],[Notes]]</f>
        <v>0</v>
      </c>
    </row>
    <row r="78" spans="2:44" ht="28.5" x14ac:dyDescent="0.35">
      <c r="B78" s="169"/>
      <c r="E78" s="236" t="s">
        <v>231</v>
      </c>
      <c r="F78" s="178" t="s">
        <v>1796</v>
      </c>
      <c r="G78" s="334"/>
      <c r="H78" s="172" t="s">
        <v>383</v>
      </c>
      <c r="I78" s="172" t="s">
        <v>384</v>
      </c>
      <c r="J78" s="336"/>
      <c r="K78" s="336"/>
      <c r="L78" s="337"/>
      <c r="M78" s="242">
        <f t="shared" si="1"/>
        <v>0</v>
      </c>
      <c r="N78"/>
      <c r="O78"/>
      <c r="Q78" s="211" t="str">
        <f t="shared" ref="Q78:Q109" si="3">IF(M78=1,SUBSTITUTE(2025&amp;TRIM(cl_org_name_select)&amp;TRIM($E$11)&amp;(ROW(M78)-ROW($M$14))," ",""),"")</f>
        <v/>
      </c>
      <c r="R78" s="174" t="s">
        <v>267</v>
      </c>
      <c r="S78" s="174" t="s">
        <v>385</v>
      </c>
      <c r="T78" s="174" t="str" cm="1">
        <f t="array" aca="1" ref="T78" ca="1">_xlfn.XLOOKUP(SupplyChain_Tier1_Backend[[#This Row],[Level 2]],rng_Level2Long,rng_Level3Long)</f>
        <v>Supply chain</v>
      </c>
      <c r="U78" s="174" t="str">
        <f>SupplyChain_Tier1_Frontend[[#This Row],[Category]]</f>
        <v>Transportation and storage</v>
      </c>
      <c r="V78" s="174" t="str">
        <f>SupplyChain_Tier1_Frontend[[#This Row],[Product Category]]</f>
        <v>Land transport services and transport services via pipelines, excluding rail transport</v>
      </c>
      <c r="W78" s="174" t="str" cm="1">
        <f t="array" aca="1" ref="W78" ca="1">_xlfn.XLOOKUP(SupplyChain_Tier1_Backend[[#This Row],[Level 5]],rng_Level5Long,rng_Level6Long)</f>
        <v>NaN</v>
      </c>
      <c r="X78" s="174" t="str">
        <f>SupplyChain_Tier1_Frontend[[#This Row],[Data type]]</f>
        <v>Spend-based EF</v>
      </c>
      <c r="Y78" s="174" t="s">
        <v>339</v>
      </c>
      <c r="Z78" s="174" t="s">
        <v>198</v>
      </c>
      <c r="AA78" s="229" cm="1">
        <f t="array" aca="1" ref="AA78" ca="1">INDEX(_xlfn.SWITCH(SupplyChain_Tier1_Backend[[#This Row],[Methodology]],"Tier 1",rng_RSD1,"Tier 2",rng_RSD2,"Tier 3",rng_RSD3),MATCH(_xlfn.CONCAT(SupplyChain_Tier1_Backend[[#This Row],[Level 1]:[Level 6]]),rng_LevelsConcat,0))</f>
        <v>0.25</v>
      </c>
      <c r="AB78" s="220">
        <f>SupplyChain_Tier1_Frontend[[#This Row],[Data]]</f>
        <v>0</v>
      </c>
      <c r="AC78" s="220" t="str">
        <f>SupplyChain_Tier1_Frontend[[#This Row],[Units]]</f>
        <v>£</v>
      </c>
      <c r="AD7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8" s="174" t="str">
        <f>SupplyChain_Tier1_Frontend[[#This Row],[Units]]</f>
        <v>£</v>
      </c>
      <c r="AF78" s="210">
        <f ca="1">_xlfn.XLOOKUP(_xlfn.CONCAT(SupplyChain_Tier1_Backend[[#This Row],[Level 1]:[Level 6]]),rng_EFConcat,rng_EF1)*SupplyChain_Tier1_Backend[[#This Row],[Converted data]]/1000</f>
        <v>0</v>
      </c>
      <c r="AG78" s="210">
        <f ca="1">_xlfn.XLOOKUP(_xlfn.CONCAT(SupplyChain_Tier1_Backend[[#This Row],[Level 1]:[Level 6]]),rng_EFConcat,rng_EF2)*SupplyChain_Tier1_Backend[[#This Row],[Converted data]]/1000</f>
        <v>0</v>
      </c>
      <c r="AH78" s="210">
        <f ca="1">_xlfn.XLOOKUP(_xlfn.CONCAT(SupplyChain_Tier1_Backend[[#This Row],[Level 1]:[Level 6]]),rng_EFConcat,rng_EF3)*SupplyChain_Tier1_Backend[[#This Row],[Converted data]]/1000</f>
        <v>0</v>
      </c>
      <c r="AI78" s="210">
        <f ca="1">_xlfn.XLOOKUP(_xlfn.CONCAT(SupplyChain_Tier1_Backend[[#This Row],[Level 1]:[Level 6]]),rng_EFConcat,rng_EF3WTT)*SupplyChain_Tier1_Backend[[#This Row],[Converted data]]/1000</f>
        <v>0</v>
      </c>
      <c r="AJ78" s="210">
        <f ca="1">_xlfn.XLOOKUP(_xlfn.CONCAT(SupplyChain_Tier1_Backend[[#This Row],[Level 1]:[Level 6]]),rng_EFConcat,rng_EF3TD)*SupplyChain_Tier1_Backend[[#This Row],[Converted data]]/1000</f>
        <v>0</v>
      </c>
      <c r="AK78" s="210">
        <f ca="1">_xlfn.XLOOKUP(_xlfn.CONCAT(SupplyChain_Tier1_Backend[[#This Row],[Level 1]:[Level 6]]),rng_EFConcat,rng_EF3WTTTD)*SupplyChain_Tier1_Backend[[#This Row],[Converted data]]/1000</f>
        <v>0</v>
      </c>
      <c r="AL78" s="220" t="str">
        <f>IF($G78="","", SUM(SupplyChain_Tier1_Backend[[#This Row],[Scope 1 (tCO2e)]:[Scope 3 WTT T&amp;D (tCO2e)]]))</f>
        <v/>
      </c>
      <c r="AM78" s="220" t="str">
        <f>IF($G78="","", SupplyChain_Tier1_Backend[[#This Row],[Total (tCO2e)]]*(1-SupplyChain_Tier1_Backend[[#This Row],[RSD]]))</f>
        <v/>
      </c>
      <c r="AN78" s="220" t="str">
        <f>IF($G78="","", SupplyChain_Tier1_Backend[[#This Row],[Total (tCO2e)]]*(1+SupplyChain_Tier1_Backend[[#This Row],[RSD]]))</f>
        <v/>
      </c>
      <c r="AO78" s="210">
        <f ca="1">_xlfn.XLOOKUP(_xlfn.CONCAT(SupplyChain_Tier1_Backend[[#This Row],[Level 1]:[Level 6]]),rng_EFConcat,rng_EFOOS)*SupplyChain_Tier1_Backend[[#This Row],[Converted data]]/1000</f>
        <v>0</v>
      </c>
      <c r="AP78" s="174">
        <f>SupplyChain_Tier1_Frontend[[#This Row],[Ease of collection]]</f>
        <v>0</v>
      </c>
      <c r="AQ78" s="213">
        <f>SupplyChain_Tier1_Frontend[[#This Row],[Completeness]]</f>
        <v>0</v>
      </c>
      <c r="AR78" s="213">
        <f>SupplyChain_Tier1_Frontend[[#This Row],[Notes]]</f>
        <v>0</v>
      </c>
    </row>
    <row r="79" spans="2:44" ht="14.5" x14ac:dyDescent="0.35">
      <c r="B79" s="169"/>
      <c r="E79" s="236" t="s">
        <v>231</v>
      </c>
      <c r="F79" s="178" t="s">
        <v>1797</v>
      </c>
      <c r="G79" s="334"/>
      <c r="H79" s="172" t="s">
        <v>383</v>
      </c>
      <c r="I79" s="172" t="s">
        <v>384</v>
      </c>
      <c r="J79" s="336"/>
      <c r="K79" s="336"/>
      <c r="L79" s="337"/>
      <c r="M79" s="242">
        <f t="shared" ref="M79:M123" si="4">IF(G79&lt;&gt;"",1,)</f>
        <v>0</v>
      </c>
      <c r="N79"/>
      <c r="O79"/>
      <c r="Q79" s="211" t="str">
        <f t="shared" si="3"/>
        <v/>
      </c>
      <c r="R79" s="174" t="s">
        <v>267</v>
      </c>
      <c r="S79" s="174" t="s">
        <v>385</v>
      </c>
      <c r="T79" s="174" t="str" cm="1">
        <f t="array" aca="1" ref="T79" ca="1">_xlfn.XLOOKUP(SupplyChain_Tier1_Backend[[#This Row],[Level 2]],rng_Level2Long,rng_Level3Long)</f>
        <v>Supply chain</v>
      </c>
      <c r="U79" s="174" t="str">
        <f>SupplyChain_Tier1_Frontend[[#This Row],[Category]]</f>
        <v>Transportation and storage</v>
      </c>
      <c r="V79" s="174" t="str">
        <f>SupplyChain_Tier1_Frontend[[#This Row],[Product Category]]</f>
        <v>Water transport services</v>
      </c>
      <c r="W79" s="174" t="str" cm="1">
        <f t="array" aca="1" ref="W79" ca="1">_xlfn.XLOOKUP(SupplyChain_Tier1_Backend[[#This Row],[Level 5]],rng_Level5Long,rng_Level6Long)</f>
        <v>NaN</v>
      </c>
      <c r="X79" s="174" t="str">
        <f>SupplyChain_Tier1_Frontend[[#This Row],[Data type]]</f>
        <v>Spend-based EF</v>
      </c>
      <c r="Y79" s="174" t="s">
        <v>339</v>
      </c>
      <c r="Z79" s="174" t="s">
        <v>198</v>
      </c>
      <c r="AA79" s="229" cm="1">
        <f t="array" aca="1" ref="AA79" ca="1">INDEX(_xlfn.SWITCH(SupplyChain_Tier1_Backend[[#This Row],[Methodology]],"Tier 1",rng_RSD1,"Tier 2",rng_RSD2,"Tier 3",rng_RSD3),MATCH(_xlfn.CONCAT(SupplyChain_Tier1_Backend[[#This Row],[Level 1]:[Level 6]]),rng_LevelsConcat,0))</f>
        <v>0.25</v>
      </c>
      <c r="AB79" s="220">
        <f>SupplyChain_Tier1_Frontend[[#This Row],[Data]]</f>
        <v>0</v>
      </c>
      <c r="AC79" s="220" t="str">
        <f>SupplyChain_Tier1_Frontend[[#This Row],[Units]]</f>
        <v>£</v>
      </c>
      <c r="AD7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79" s="174" t="str">
        <f>SupplyChain_Tier1_Frontend[[#This Row],[Units]]</f>
        <v>£</v>
      </c>
      <c r="AF79" s="210">
        <f ca="1">_xlfn.XLOOKUP(_xlfn.CONCAT(SupplyChain_Tier1_Backend[[#This Row],[Level 1]:[Level 6]]),rng_EFConcat,rng_EF1)*SupplyChain_Tier1_Backend[[#This Row],[Converted data]]/1000</f>
        <v>0</v>
      </c>
      <c r="AG79" s="210">
        <f ca="1">_xlfn.XLOOKUP(_xlfn.CONCAT(SupplyChain_Tier1_Backend[[#This Row],[Level 1]:[Level 6]]),rng_EFConcat,rng_EF2)*SupplyChain_Tier1_Backend[[#This Row],[Converted data]]/1000</f>
        <v>0</v>
      </c>
      <c r="AH79" s="210">
        <f ca="1">_xlfn.XLOOKUP(_xlfn.CONCAT(SupplyChain_Tier1_Backend[[#This Row],[Level 1]:[Level 6]]),rng_EFConcat,rng_EF3)*SupplyChain_Tier1_Backend[[#This Row],[Converted data]]/1000</f>
        <v>0</v>
      </c>
      <c r="AI79" s="210">
        <f ca="1">_xlfn.XLOOKUP(_xlfn.CONCAT(SupplyChain_Tier1_Backend[[#This Row],[Level 1]:[Level 6]]),rng_EFConcat,rng_EF3WTT)*SupplyChain_Tier1_Backend[[#This Row],[Converted data]]/1000</f>
        <v>0</v>
      </c>
      <c r="AJ79" s="210">
        <f ca="1">_xlfn.XLOOKUP(_xlfn.CONCAT(SupplyChain_Tier1_Backend[[#This Row],[Level 1]:[Level 6]]),rng_EFConcat,rng_EF3TD)*SupplyChain_Tier1_Backend[[#This Row],[Converted data]]/1000</f>
        <v>0</v>
      </c>
      <c r="AK79" s="210">
        <f ca="1">_xlfn.XLOOKUP(_xlfn.CONCAT(SupplyChain_Tier1_Backend[[#This Row],[Level 1]:[Level 6]]),rng_EFConcat,rng_EF3WTTTD)*SupplyChain_Tier1_Backend[[#This Row],[Converted data]]/1000</f>
        <v>0</v>
      </c>
      <c r="AL79" s="220" t="str">
        <f>IF($G79="","", SUM(SupplyChain_Tier1_Backend[[#This Row],[Scope 1 (tCO2e)]:[Scope 3 WTT T&amp;D (tCO2e)]]))</f>
        <v/>
      </c>
      <c r="AM79" s="220" t="str">
        <f>IF($G79="","", SupplyChain_Tier1_Backend[[#This Row],[Total (tCO2e)]]*(1-SupplyChain_Tier1_Backend[[#This Row],[RSD]]))</f>
        <v/>
      </c>
      <c r="AN79" s="220" t="str">
        <f>IF($G79="","", SupplyChain_Tier1_Backend[[#This Row],[Total (tCO2e)]]*(1+SupplyChain_Tier1_Backend[[#This Row],[RSD]]))</f>
        <v/>
      </c>
      <c r="AO79" s="210">
        <f ca="1">_xlfn.XLOOKUP(_xlfn.CONCAT(SupplyChain_Tier1_Backend[[#This Row],[Level 1]:[Level 6]]),rng_EFConcat,rng_EFOOS)*SupplyChain_Tier1_Backend[[#This Row],[Converted data]]/1000</f>
        <v>0</v>
      </c>
      <c r="AP79" s="174">
        <f>SupplyChain_Tier1_Frontend[[#This Row],[Ease of collection]]</f>
        <v>0</v>
      </c>
      <c r="AQ79" s="213">
        <f>SupplyChain_Tier1_Frontend[[#This Row],[Completeness]]</f>
        <v>0</v>
      </c>
      <c r="AR79" s="213">
        <f>SupplyChain_Tier1_Frontend[[#This Row],[Notes]]</f>
        <v>0</v>
      </c>
    </row>
    <row r="80" spans="2:44" ht="14.5" x14ac:dyDescent="0.35">
      <c r="B80" s="169"/>
      <c r="E80" s="236" t="s">
        <v>231</v>
      </c>
      <c r="F80" s="178" t="s">
        <v>1798</v>
      </c>
      <c r="G80" s="334"/>
      <c r="H80" s="172" t="s">
        <v>383</v>
      </c>
      <c r="I80" s="172" t="s">
        <v>384</v>
      </c>
      <c r="J80" s="336"/>
      <c r="K80" s="336"/>
      <c r="L80" s="337"/>
      <c r="M80" s="242">
        <f t="shared" si="4"/>
        <v>0</v>
      </c>
      <c r="N80"/>
      <c r="O80"/>
      <c r="Q80" s="211" t="str">
        <f t="shared" si="3"/>
        <v/>
      </c>
      <c r="R80" s="174" t="s">
        <v>267</v>
      </c>
      <c r="S80" s="174" t="s">
        <v>385</v>
      </c>
      <c r="T80" s="174" t="str" cm="1">
        <f t="array" aca="1" ref="T80" ca="1">_xlfn.XLOOKUP(SupplyChain_Tier1_Backend[[#This Row],[Level 2]],rng_Level2Long,rng_Level3Long)</f>
        <v>Supply chain</v>
      </c>
      <c r="U80" s="174" t="str">
        <f>SupplyChain_Tier1_Frontend[[#This Row],[Category]]</f>
        <v>Transportation and storage</v>
      </c>
      <c r="V80" s="174" t="str">
        <f>SupplyChain_Tier1_Frontend[[#This Row],[Product Category]]</f>
        <v>Air transport services</v>
      </c>
      <c r="W80" s="174" t="str" cm="1">
        <f t="array" aca="1" ref="W80" ca="1">_xlfn.XLOOKUP(SupplyChain_Tier1_Backend[[#This Row],[Level 5]],rng_Level5Long,rng_Level6Long)</f>
        <v>NaN</v>
      </c>
      <c r="X80" s="174" t="str">
        <f>SupplyChain_Tier1_Frontend[[#This Row],[Data type]]</f>
        <v>Spend-based EF</v>
      </c>
      <c r="Y80" s="174" t="s">
        <v>339</v>
      </c>
      <c r="Z80" s="174" t="s">
        <v>198</v>
      </c>
      <c r="AA80" s="229" cm="1">
        <f t="array" aca="1" ref="AA80" ca="1">INDEX(_xlfn.SWITCH(SupplyChain_Tier1_Backend[[#This Row],[Methodology]],"Tier 1",rng_RSD1,"Tier 2",rng_RSD2,"Tier 3",rng_RSD3),MATCH(_xlfn.CONCAT(SupplyChain_Tier1_Backend[[#This Row],[Level 1]:[Level 6]]),rng_LevelsConcat,0))</f>
        <v>0.25</v>
      </c>
      <c r="AB80" s="220">
        <f>SupplyChain_Tier1_Frontend[[#This Row],[Data]]</f>
        <v>0</v>
      </c>
      <c r="AC80" s="220" t="str">
        <f>SupplyChain_Tier1_Frontend[[#This Row],[Units]]</f>
        <v>£</v>
      </c>
      <c r="AD8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0" s="174" t="str">
        <f>SupplyChain_Tier1_Frontend[[#This Row],[Units]]</f>
        <v>£</v>
      </c>
      <c r="AF80" s="210">
        <f ca="1">_xlfn.XLOOKUP(_xlfn.CONCAT(SupplyChain_Tier1_Backend[[#This Row],[Level 1]:[Level 6]]),rng_EFConcat,rng_EF1)*SupplyChain_Tier1_Backend[[#This Row],[Converted data]]/1000</f>
        <v>0</v>
      </c>
      <c r="AG80" s="210">
        <f ca="1">_xlfn.XLOOKUP(_xlfn.CONCAT(SupplyChain_Tier1_Backend[[#This Row],[Level 1]:[Level 6]]),rng_EFConcat,rng_EF2)*SupplyChain_Tier1_Backend[[#This Row],[Converted data]]/1000</f>
        <v>0</v>
      </c>
      <c r="AH80" s="210">
        <f ca="1">_xlfn.XLOOKUP(_xlfn.CONCAT(SupplyChain_Tier1_Backend[[#This Row],[Level 1]:[Level 6]]),rng_EFConcat,rng_EF3)*SupplyChain_Tier1_Backend[[#This Row],[Converted data]]/1000</f>
        <v>0</v>
      </c>
      <c r="AI80" s="210">
        <f ca="1">_xlfn.XLOOKUP(_xlfn.CONCAT(SupplyChain_Tier1_Backend[[#This Row],[Level 1]:[Level 6]]),rng_EFConcat,rng_EF3WTT)*SupplyChain_Tier1_Backend[[#This Row],[Converted data]]/1000</f>
        <v>0</v>
      </c>
      <c r="AJ80" s="210">
        <f ca="1">_xlfn.XLOOKUP(_xlfn.CONCAT(SupplyChain_Tier1_Backend[[#This Row],[Level 1]:[Level 6]]),rng_EFConcat,rng_EF3TD)*SupplyChain_Tier1_Backend[[#This Row],[Converted data]]/1000</f>
        <v>0</v>
      </c>
      <c r="AK80" s="210">
        <f ca="1">_xlfn.XLOOKUP(_xlfn.CONCAT(SupplyChain_Tier1_Backend[[#This Row],[Level 1]:[Level 6]]),rng_EFConcat,rng_EF3WTTTD)*SupplyChain_Tier1_Backend[[#This Row],[Converted data]]/1000</f>
        <v>0</v>
      </c>
      <c r="AL80" s="220" t="str">
        <f>IF($G80="","", SUM(SupplyChain_Tier1_Backend[[#This Row],[Scope 1 (tCO2e)]:[Scope 3 WTT T&amp;D (tCO2e)]]))</f>
        <v/>
      </c>
      <c r="AM80" s="220" t="str">
        <f>IF($G80="","", SupplyChain_Tier1_Backend[[#This Row],[Total (tCO2e)]]*(1-SupplyChain_Tier1_Backend[[#This Row],[RSD]]))</f>
        <v/>
      </c>
      <c r="AN80" s="220" t="str">
        <f>IF($G80="","", SupplyChain_Tier1_Backend[[#This Row],[Total (tCO2e)]]*(1+SupplyChain_Tier1_Backend[[#This Row],[RSD]]))</f>
        <v/>
      </c>
      <c r="AO80" s="210">
        <f ca="1">_xlfn.XLOOKUP(_xlfn.CONCAT(SupplyChain_Tier1_Backend[[#This Row],[Level 1]:[Level 6]]),rng_EFConcat,rng_EFOOS)*SupplyChain_Tier1_Backend[[#This Row],[Converted data]]/1000</f>
        <v>0</v>
      </c>
      <c r="AP80" s="174">
        <f>SupplyChain_Tier1_Frontend[[#This Row],[Ease of collection]]</f>
        <v>0</v>
      </c>
      <c r="AQ80" s="213">
        <f>SupplyChain_Tier1_Frontend[[#This Row],[Completeness]]</f>
        <v>0</v>
      </c>
      <c r="AR80" s="213">
        <f>SupplyChain_Tier1_Frontend[[#This Row],[Notes]]</f>
        <v>0</v>
      </c>
    </row>
    <row r="81" spans="2:44" ht="14.5" x14ac:dyDescent="0.35">
      <c r="B81" s="169"/>
      <c r="E81" s="236" t="s">
        <v>231</v>
      </c>
      <c r="F81" s="178" t="s">
        <v>1799</v>
      </c>
      <c r="G81" s="334"/>
      <c r="H81" s="172" t="s">
        <v>383</v>
      </c>
      <c r="I81" s="172" t="s">
        <v>384</v>
      </c>
      <c r="J81" s="336"/>
      <c r="K81" s="336"/>
      <c r="L81" s="337"/>
      <c r="M81" s="242">
        <f t="shared" si="4"/>
        <v>0</v>
      </c>
      <c r="N81"/>
      <c r="O81"/>
      <c r="Q81" s="211" t="str">
        <f t="shared" si="3"/>
        <v/>
      </c>
      <c r="R81" s="174" t="s">
        <v>267</v>
      </c>
      <c r="S81" s="174" t="s">
        <v>385</v>
      </c>
      <c r="T81" s="174" t="str" cm="1">
        <f t="array" aca="1" ref="T81" ca="1">_xlfn.XLOOKUP(SupplyChain_Tier1_Backend[[#This Row],[Level 2]],rng_Level2Long,rng_Level3Long)</f>
        <v>Supply chain</v>
      </c>
      <c r="U81" s="174" t="str">
        <f>SupplyChain_Tier1_Frontend[[#This Row],[Category]]</f>
        <v>Transportation and storage</v>
      </c>
      <c r="V81" s="174" t="str">
        <f>SupplyChain_Tier1_Frontend[[#This Row],[Product Category]]</f>
        <v>Warehousing and support services for transportation</v>
      </c>
      <c r="W81" s="174" t="str" cm="1">
        <f t="array" aca="1" ref="W81" ca="1">_xlfn.XLOOKUP(SupplyChain_Tier1_Backend[[#This Row],[Level 5]],rng_Level5Long,rng_Level6Long)</f>
        <v>NaN</v>
      </c>
      <c r="X81" s="174" t="str">
        <f>SupplyChain_Tier1_Frontend[[#This Row],[Data type]]</f>
        <v>Spend-based EF</v>
      </c>
      <c r="Y81" s="174" t="s">
        <v>339</v>
      </c>
      <c r="Z81" s="174" t="s">
        <v>198</v>
      </c>
      <c r="AA81" s="229" cm="1">
        <f t="array" aca="1" ref="AA81" ca="1">INDEX(_xlfn.SWITCH(SupplyChain_Tier1_Backend[[#This Row],[Methodology]],"Tier 1",rng_RSD1,"Tier 2",rng_RSD2,"Tier 3",rng_RSD3),MATCH(_xlfn.CONCAT(SupplyChain_Tier1_Backend[[#This Row],[Level 1]:[Level 6]]),rng_LevelsConcat,0))</f>
        <v>0.25</v>
      </c>
      <c r="AB81" s="220">
        <f>SupplyChain_Tier1_Frontend[[#This Row],[Data]]</f>
        <v>0</v>
      </c>
      <c r="AC81" s="220" t="str">
        <f>SupplyChain_Tier1_Frontend[[#This Row],[Units]]</f>
        <v>£</v>
      </c>
      <c r="AD8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1" s="174" t="str">
        <f>SupplyChain_Tier1_Frontend[[#This Row],[Units]]</f>
        <v>£</v>
      </c>
      <c r="AF81" s="210">
        <f ca="1">_xlfn.XLOOKUP(_xlfn.CONCAT(SupplyChain_Tier1_Backend[[#This Row],[Level 1]:[Level 6]]),rng_EFConcat,rng_EF1)*SupplyChain_Tier1_Backend[[#This Row],[Converted data]]/1000</f>
        <v>0</v>
      </c>
      <c r="AG81" s="210">
        <f ca="1">_xlfn.XLOOKUP(_xlfn.CONCAT(SupplyChain_Tier1_Backend[[#This Row],[Level 1]:[Level 6]]),rng_EFConcat,rng_EF2)*SupplyChain_Tier1_Backend[[#This Row],[Converted data]]/1000</f>
        <v>0</v>
      </c>
      <c r="AH81" s="210">
        <f ca="1">_xlfn.XLOOKUP(_xlfn.CONCAT(SupplyChain_Tier1_Backend[[#This Row],[Level 1]:[Level 6]]),rng_EFConcat,rng_EF3)*SupplyChain_Tier1_Backend[[#This Row],[Converted data]]/1000</f>
        <v>0</v>
      </c>
      <c r="AI81" s="210">
        <f ca="1">_xlfn.XLOOKUP(_xlfn.CONCAT(SupplyChain_Tier1_Backend[[#This Row],[Level 1]:[Level 6]]),rng_EFConcat,rng_EF3WTT)*SupplyChain_Tier1_Backend[[#This Row],[Converted data]]/1000</f>
        <v>0</v>
      </c>
      <c r="AJ81" s="210">
        <f ca="1">_xlfn.XLOOKUP(_xlfn.CONCAT(SupplyChain_Tier1_Backend[[#This Row],[Level 1]:[Level 6]]),rng_EFConcat,rng_EF3TD)*SupplyChain_Tier1_Backend[[#This Row],[Converted data]]/1000</f>
        <v>0</v>
      </c>
      <c r="AK81" s="210">
        <f ca="1">_xlfn.XLOOKUP(_xlfn.CONCAT(SupplyChain_Tier1_Backend[[#This Row],[Level 1]:[Level 6]]),rng_EFConcat,rng_EF3WTTTD)*SupplyChain_Tier1_Backend[[#This Row],[Converted data]]/1000</f>
        <v>0</v>
      </c>
      <c r="AL81" s="220" t="str">
        <f>IF($G81="","", SUM(SupplyChain_Tier1_Backend[[#This Row],[Scope 1 (tCO2e)]:[Scope 3 WTT T&amp;D (tCO2e)]]))</f>
        <v/>
      </c>
      <c r="AM81" s="220" t="str">
        <f>IF($G81="","", SupplyChain_Tier1_Backend[[#This Row],[Total (tCO2e)]]*(1-SupplyChain_Tier1_Backend[[#This Row],[RSD]]))</f>
        <v/>
      </c>
      <c r="AN81" s="220" t="str">
        <f>IF($G81="","", SupplyChain_Tier1_Backend[[#This Row],[Total (tCO2e)]]*(1+SupplyChain_Tier1_Backend[[#This Row],[RSD]]))</f>
        <v/>
      </c>
      <c r="AO81" s="210">
        <f ca="1">_xlfn.XLOOKUP(_xlfn.CONCAT(SupplyChain_Tier1_Backend[[#This Row],[Level 1]:[Level 6]]),rng_EFConcat,rng_EFOOS)*SupplyChain_Tier1_Backend[[#This Row],[Converted data]]/1000</f>
        <v>0</v>
      </c>
      <c r="AP81" s="174">
        <f>SupplyChain_Tier1_Frontend[[#This Row],[Ease of collection]]</f>
        <v>0</v>
      </c>
      <c r="AQ81" s="213">
        <f>SupplyChain_Tier1_Frontend[[#This Row],[Completeness]]</f>
        <v>0</v>
      </c>
      <c r="AR81" s="213">
        <f>SupplyChain_Tier1_Frontend[[#This Row],[Notes]]</f>
        <v>0</v>
      </c>
    </row>
    <row r="82" spans="2:44" ht="14.5" x14ac:dyDescent="0.35">
      <c r="B82" s="169"/>
      <c r="E82" s="236" t="s">
        <v>231</v>
      </c>
      <c r="F82" s="178" t="s">
        <v>1800</v>
      </c>
      <c r="G82" s="334"/>
      <c r="H82" s="172" t="s">
        <v>383</v>
      </c>
      <c r="I82" s="172" t="s">
        <v>384</v>
      </c>
      <c r="J82" s="336"/>
      <c r="K82" s="336"/>
      <c r="L82" s="337"/>
      <c r="M82" s="242">
        <f t="shared" si="4"/>
        <v>0</v>
      </c>
      <c r="N82"/>
      <c r="O82"/>
      <c r="Q82" s="211" t="str">
        <f t="shared" si="3"/>
        <v/>
      </c>
      <c r="R82" s="174" t="s">
        <v>267</v>
      </c>
      <c r="S82" s="174" t="s">
        <v>385</v>
      </c>
      <c r="T82" s="174" t="str" cm="1">
        <f t="array" aca="1" ref="T82" ca="1">_xlfn.XLOOKUP(SupplyChain_Tier1_Backend[[#This Row],[Level 2]],rng_Level2Long,rng_Level3Long)</f>
        <v>Supply chain</v>
      </c>
      <c r="U82" s="174" t="str">
        <f>SupplyChain_Tier1_Frontend[[#This Row],[Category]]</f>
        <v>Transportation and storage</v>
      </c>
      <c r="V82" s="174" t="str">
        <f>SupplyChain_Tier1_Frontend[[#This Row],[Product Category]]</f>
        <v>Postal and courier services</v>
      </c>
      <c r="W82" s="174" t="str" cm="1">
        <f t="array" aca="1" ref="W82" ca="1">_xlfn.XLOOKUP(SupplyChain_Tier1_Backend[[#This Row],[Level 5]],rng_Level5Long,rng_Level6Long)</f>
        <v>NaN</v>
      </c>
      <c r="X82" s="174" t="str">
        <f>SupplyChain_Tier1_Frontend[[#This Row],[Data type]]</f>
        <v>Spend-based EF</v>
      </c>
      <c r="Y82" s="174" t="s">
        <v>339</v>
      </c>
      <c r="Z82" s="174" t="s">
        <v>198</v>
      </c>
      <c r="AA82" s="229" cm="1">
        <f t="array" aca="1" ref="AA82" ca="1">INDEX(_xlfn.SWITCH(SupplyChain_Tier1_Backend[[#This Row],[Methodology]],"Tier 1",rng_RSD1,"Tier 2",rng_RSD2,"Tier 3",rng_RSD3),MATCH(_xlfn.CONCAT(SupplyChain_Tier1_Backend[[#This Row],[Level 1]:[Level 6]]),rng_LevelsConcat,0))</f>
        <v>0.25</v>
      </c>
      <c r="AB82" s="220">
        <f>SupplyChain_Tier1_Frontend[[#This Row],[Data]]</f>
        <v>0</v>
      </c>
      <c r="AC82" s="220" t="str">
        <f>SupplyChain_Tier1_Frontend[[#This Row],[Units]]</f>
        <v>£</v>
      </c>
      <c r="AD8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2" s="174" t="str">
        <f>SupplyChain_Tier1_Frontend[[#This Row],[Units]]</f>
        <v>£</v>
      </c>
      <c r="AF82" s="210">
        <f ca="1">_xlfn.XLOOKUP(_xlfn.CONCAT(SupplyChain_Tier1_Backend[[#This Row],[Level 1]:[Level 6]]),rng_EFConcat,rng_EF1)*SupplyChain_Tier1_Backend[[#This Row],[Converted data]]/1000</f>
        <v>0</v>
      </c>
      <c r="AG82" s="210">
        <f ca="1">_xlfn.XLOOKUP(_xlfn.CONCAT(SupplyChain_Tier1_Backend[[#This Row],[Level 1]:[Level 6]]),rng_EFConcat,rng_EF2)*SupplyChain_Tier1_Backend[[#This Row],[Converted data]]/1000</f>
        <v>0</v>
      </c>
      <c r="AH82" s="210">
        <f ca="1">_xlfn.XLOOKUP(_xlfn.CONCAT(SupplyChain_Tier1_Backend[[#This Row],[Level 1]:[Level 6]]),rng_EFConcat,rng_EF3)*SupplyChain_Tier1_Backend[[#This Row],[Converted data]]/1000</f>
        <v>0</v>
      </c>
      <c r="AI82" s="210">
        <f ca="1">_xlfn.XLOOKUP(_xlfn.CONCAT(SupplyChain_Tier1_Backend[[#This Row],[Level 1]:[Level 6]]),rng_EFConcat,rng_EF3WTT)*SupplyChain_Tier1_Backend[[#This Row],[Converted data]]/1000</f>
        <v>0</v>
      </c>
      <c r="AJ82" s="210">
        <f ca="1">_xlfn.XLOOKUP(_xlfn.CONCAT(SupplyChain_Tier1_Backend[[#This Row],[Level 1]:[Level 6]]),rng_EFConcat,rng_EF3TD)*SupplyChain_Tier1_Backend[[#This Row],[Converted data]]/1000</f>
        <v>0</v>
      </c>
      <c r="AK82" s="210">
        <f ca="1">_xlfn.XLOOKUP(_xlfn.CONCAT(SupplyChain_Tier1_Backend[[#This Row],[Level 1]:[Level 6]]),rng_EFConcat,rng_EF3WTTTD)*SupplyChain_Tier1_Backend[[#This Row],[Converted data]]/1000</f>
        <v>0</v>
      </c>
      <c r="AL82" s="220" t="str">
        <f>IF($G82="","", SUM(SupplyChain_Tier1_Backend[[#This Row],[Scope 1 (tCO2e)]:[Scope 3 WTT T&amp;D (tCO2e)]]))</f>
        <v/>
      </c>
      <c r="AM82" s="220" t="str">
        <f>IF($G82="","", SupplyChain_Tier1_Backend[[#This Row],[Total (tCO2e)]]*(1-SupplyChain_Tier1_Backend[[#This Row],[RSD]]))</f>
        <v/>
      </c>
      <c r="AN82" s="220" t="str">
        <f>IF($G82="","", SupplyChain_Tier1_Backend[[#This Row],[Total (tCO2e)]]*(1+SupplyChain_Tier1_Backend[[#This Row],[RSD]]))</f>
        <v/>
      </c>
      <c r="AO82" s="210">
        <f ca="1">_xlfn.XLOOKUP(_xlfn.CONCAT(SupplyChain_Tier1_Backend[[#This Row],[Level 1]:[Level 6]]),rng_EFConcat,rng_EFOOS)*SupplyChain_Tier1_Backend[[#This Row],[Converted data]]/1000</f>
        <v>0</v>
      </c>
      <c r="AP82" s="174">
        <f>SupplyChain_Tier1_Frontend[[#This Row],[Ease of collection]]</f>
        <v>0</v>
      </c>
      <c r="AQ82" s="213">
        <f>SupplyChain_Tier1_Frontend[[#This Row],[Completeness]]</f>
        <v>0</v>
      </c>
      <c r="AR82" s="213">
        <f>SupplyChain_Tier1_Frontend[[#This Row],[Notes]]</f>
        <v>0</v>
      </c>
    </row>
    <row r="83" spans="2:44" ht="14.5" x14ac:dyDescent="0.35">
      <c r="B83" s="169"/>
      <c r="E83" s="236" t="s">
        <v>232</v>
      </c>
      <c r="F83" s="178" t="s">
        <v>1801</v>
      </c>
      <c r="G83" s="334"/>
      <c r="H83" s="172" t="s">
        <v>383</v>
      </c>
      <c r="I83" s="172" t="s">
        <v>384</v>
      </c>
      <c r="J83" s="336"/>
      <c r="K83" s="336"/>
      <c r="L83" s="337"/>
      <c r="M83" s="242">
        <f t="shared" si="4"/>
        <v>0</v>
      </c>
      <c r="N83"/>
      <c r="O83"/>
      <c r="Q83" s="211" t="str">
        <f t="shared" si="3"/>
        <v/>
      </c>
      <c r="R83" s="174" t="s">
        <v>267</v>
      </c>
      <c r="S83" s="174" t="s">
        <v>385</v>
      </c>
      <c r="T83" s="174" t="str" cm="1">
        <f t="array" aca="1" ref="T83" ca="1">_xlfn.XLOOKUP(SupplyChain_Tier1_Backend[[#This Row],[Level 2]],rng_Level2Long,rng_Level3Long)</f>
        <v>Supply chain</v>
      </c>
      <c r="U83" s="174" t="str">
        <f>SupplyChain_Tier1_Frontend[[#This Row],[Category]]</f>
        <v>Accommodation and food service activities</v>
      </c>
      <c r="V83" s="174" t="str">
        <f>SupplyChain_Tier1_Frontend[[#This Row],[Product Category]]</f>
        <v>Accommodation services</v>
      </c>
      <c r="W83" s="174" t="str" cm="1">
        <f t="array" aca="1" ref="W83" ca="1">_xlfn.XLOOKUP(SupplyChain_Tier1_Backend[[#This Row],[Level 5]],rng_Level5Long,rng_Level6Long)</f>
        <v>NaN</v>
      </c>
      <c r="X83" s="174" t="str">
        <f>SupplyChain_Tier1_Frontend[[#This Row],[Data type]]</f>
        <v>Spend-based EF</v>
      </c>
      <c r="Y83" s="174" t="s">
        <v>339</v>
      </c>
      <c r="Z83" s="174" t="s">
        <v>198</v>
      </c>
      <c r="AA83" s="229" cm="1">
        <f t="array" aca="1" ref="AA83" ca="1">INDEX(_xlfn.SWITCH(SupplyChain_Tier1_Backend[[#This Row],[Methodology]],"Tier 1",rng_RSD1,"Tier 2",rng_RSD2,"Tier 3",rng_RSD3),MATCH(_xlfn.CONCAT(SupplyChain_Tier1_Backend[[#This Row],[Level 1]:[Level 6]]),rng_LevelsConcat,0))</f>
        <v>0.25</v>
      </c>
      <c r="AB83" s="220">
        <f>SupplyChain_Tier1_Frontend[[#This Row],[Data]]</f>
        <v>0</v>
      </c>
      <c r="AC83" s="220" t="str">
        <f>SupplyChain_Tier1_Frontend[[#This Row],[Units]]</f>
        <v>£</v>
      </c>
      <c r="AD8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3" s="174" t="str">
        <f>SupplyChain_Tier1_Frontend[[#This Row],[Units]]</f>
        <v>£</v>
      </c>
      <c r="AF83" s="210">
        <f ca="1">_xlfn.XLOOKUP(_xlfn.CONCAT(SupplyChain_Tier1_Backend[[#This Row],[Level 1]:[Level 6]]),rng_EFConcat,rng_EF1)*SupplyChain_Tier1_Backend[[#This Row],[Converted data]]/1000</f>
        <v>0</v>
      </c>
      <c r="AG83" s="210">
        <f ca="1">_xlfn.XLOOKUP(_xlfn.CONCAT(SupplyChain_Tier1_Backend[[#This Row],[Level 1]:[Level 6]]),rng_EFConcat,rng_EF2)*SupplyChain_Tier1_Backend[[#This Row],[Converted data]]/1000</f>
        <v>0</v>
      </c>
      <c r="AH83" s="210">
        <f ca="1">_xlfn.XLOOKUP(_xlfn.CONCAT(SupplyChain_Tier1_Backend[[#This Row],[Level 1]:[Level 6]]),rng_EFConcat,rng_EF3)*SupplyChain_Tier1_Backend[[#This Row],[Converted data]]/1000</f>
        <v>0</v>
      </c>
      <c r="AI83" s="210">
        <f ca="1">_xlfn.XLOOKUP(_xlfn.CONCAT(SupplyChain_Tier1_Backend[[#This Row],[Level 1]:[Level 6]]),rng_EFConcat,rng_EF3WTT)*SupplyChain_Tier1_Backend[[#This Row],[Converted data]]/1000</f>
        <v>0</v>
      </c>
      <c r="AJ83" s="210">
        <f ca="1">_xlfn.XLOOKUP(_xlfn.CONCAT(SupplyChain_Tier1_Backend[[#This Row],[Level 1]:[Level 6]]),rng_EFConcat,rng_EF3TD)*SupplyChain_Tier1_Backend[[#This Row],[Converted data]]/1000</f>
        <v>0</v>
      </c>
      <c r="AK83" s="210">
        <f ca="1">_xlfn.XLOOKUP(_xlfn.CONCAT(SupplyChain_Tier1_Backend[[#This Row],[Level 1]:[Level 6]]),rng_EFConcat,rng_EF3WTTTD)*SupplyChain_Tier1_Backend[[#This Row],[Converted data]]/1000</f>
        <v>0</v>
      </c>
      <c r="AL83" s="220" t="str">
        <f>IF($G83="","", SUM(SupplyChain_Tier1_Backend[[#This Row],[Scope 1 (tCO2e)]:[Scope 3 WTT T&amp;D (tCO2e)]]))</f>
        <v/>
      </c>
      <c r="AM83" s="220" t="str">
        <f>IF($G83="","", SupplyChain_Tier1_Backend[[#This Row],[Total (tCO2e)]]*(1-SupplyChain_Tier1_Backend[[#This Row],[RSD]]))</f>
        <v/>
      </c>
      <c r="AN83" s="220" t="str">
        <f>IF($G83="","", SupplyChain_Tier1_Backend[[#This Row],[Total (tCO2e)]]*(1+SupplyChain_Tier1_Backend[[#This Row],[RSD]]))</f>
        <v/>
      </c>
      <c r="AO83" s="210">
        <f ca="1">_xlfn.XLOOKUP(_xlfn.CONCAT(SupplyChain_Tier1_Backend[[#This Row],[Level 1]:[Level 6]]),rng_EFConcat,rng_EFOOS)*SupplyChain_Tier1_Backend[[#This Row],[Converted data]]/1000</f>
        <v>0</v>
      </c>
      <c r="AP83" s="174">
        <f>SupplyChain_Tier1_Frontend[[#This Row],[Ease of collection]]</f>
        <v>0</v>
      </c>
      <c r="AQ83" s="213">
        <f>SupplyChain_Tier1_Frontend[[#This Row],[Completeness]]</f>
        <v>0</v>
      </c>
      <c r="AR83" s="213">
        <f>SupplyChain_Tier1_Frontend[[#This Row],[Notes]]</f>
        <v>0</v>
      </c>
    </row>
    <row r="84" spans="2:44" ht="14.5" x14ac:dyDescent="0.35">
      <c r="B84" s="169"/>
      <c r="E84" s="236" t="s">
        <v>232</v>
      </c>
      <c r="F84" s="178" t="s">
        <v>1802</v>
      </c>
      <c r="G84" s="334"/>
      <c r="H84" s="172" t="s">
        <v>383</v>
      </c>
      <c r="I84" s="172" t="s">
        <v>384</v>
      </c>
      <c r="J84" s="336"/>
      <c r="K84" s="336"/>
      <c r="L84" s="337"/>
      <c r="M84" s="242">
        <f t="shared" si="4"/>
        <v>0</v>
      </c>
      <c r="N84"/>
      <c r="O84"/>
      <c r="Q84" s="211" t="str">
        <f t="shared" si="3"/>
        <v/>
      </c>
      <c r="R84" s="174" t="s">
        <v>267</v>
      </c>
      <c r="S84" s="174" t="s">
        <v>385</v>
      </c>
      <c r="T84" s="174" t="str" cm="1">
        <f t="array" aca="1" ref="T84" ca="1">_xlfn.XLOOKUP(SupplyChain_Tier1_Backend[[#This Row],[Level 2]],rng_Level2Long,rng_Level3Long)</f>
        <v>Supply chain</v>
      </c>
      <c r="U84" s="174" t="str">
        <f>SupplyChain_Tier1_Frontend[[#This Row],[Category]]</f>
        <v>Accommodation and food service activities</v>
      </c>
      <c r="V84" s="174" t="str">
        <f>SupplyChain_Tier1_Frontend[[#This Row],[Product Category]]</f>
        <v>Food and beverage serving services</v>
      </c>
      <c r="W84" s="174" t="str" cm="1">
        <f t="array" aca="1" ref="W84" ca="1">_xlfn.XLOOKUP(SupplyChain_Tier1_Backend[[#This Row],[Level 5]],rng_Level5Long,rng_Level6Long)</f>
        <v>NaN</v>
      </c>
      <c r="X84" s="174" t="str">
        <f>SupplyChain_Tier1_Frontend[[#This Row],[Data type]]</f>
        <v>Spend-based EF</v>
      </c>
      <c r="Y84" s="174" t="s">
        <v>339</v>
      </c>
      <c r="Z84" s="174" t="s">
        <v>198</v>
      </c>
      <c r="AA84" s="229" cm="1">
        <f t="array" aca="1" ref="AA84" ca="1">INDEX(_xlfn.SWITCH(SupplyChain_Tier1_Backend[[#This Row],[Methodology]],"Tier 1",rng_RSD1,"Tier 2",rng_RSD2,"Tier 3",rng_RSD3),MATCH(_xlfn.CONCAT(SupplyChain_Tier1_Backend[[#This Row],[Level 1]:[Level 6]]),rng_LevelsConcat,0))</f>
        <v>0.25</v>
      </c>
      <c r="AB84" s="220">
        <f>SupplyChain_Tier1_Frontend[[#This Row],[Data]]</f>
        <v>0</v>
      </c>
      <c r="AC84" s="220" t="str">
        <f>SupplyChain_Tier1_Frontend[[#This Row],[Units]]</f>
        <v>£</v>
      </c>
      <c r="AD8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4" s="174" t="str">
        <f>SupplyChain_Tier1_Frontend[[#This Row],[Units]]</f>
        <v>£</v>
      </c>
      <c r="AF84" s="210">
        <f ca="1">_xlfn.XLOOKUP(_xlfn.CONCAT(SupplyChain_Tier1_Backend[[#This Row],[Level 1]:[Level 6]]),rng_EFConcat,rng_EF1)*SupplyChain_Tier1_Backend[[#This Row],[Converted data]]/1000</f>
        <v>0</v>
      </c>
      <c r="AG84" s="210">
        <f ca="1">_xlfn.XLOOKUP(_xlfn.CONCAT(SupplyChain_Tier1_Backend[[#This Row],[Level 1]:[Level 6]]),rng_EFConcat,rng_EF2)*SupplyChain_Tier1_Backend[[#This Row],[Converted data]]/1000</f>
        <v>0</v>
      </c>
      <c r="AH84" s="210">
        <f ca="1">_xlfn.XLOOKUP(_xlfn.CONCAT(SupplyChain_Tier1_Backend[[#This Row],[Level 1]:[Level 6]]),rng_EFConcat,rng_EF3)*SupplyChain_Tier1_Backend[[#This Row],[Converted data]]/1000</f>
        <v>0</v>
      </c>
      <c r="AI84" s="210">
        <f ca="1">_xlfn.XLOOKUP(_xlfn.CONCAT(SupplyChain_Tier1_Backend[[#This Row],[Level 1]:[Level 6]]),rng_EFConcat,rng_EF3WTT)*SupplyChain_Tier1_Backend[[#This Row],[Converted data]]/1000</f>
        <v>0</v>
      </c>
      <c r="AJ84" s="210">
        <f ca="1">_xlfn.XLOOKUP(_xlfn.CONCAT(SupplyChain_Tier1_Backend[[#This Row],[Level 1]:[Level 6]]),rng_EFConcat,rng_EF3TD)*SupplyChain_Tier1_Backend[[#This Row],[Converted data]]/1000</f>
        <v>0</v>
      </c>
      <c r="AK84" s="210">
        <f ca="1">_xlfn.XLOOKUP(_xlfn.CONCAT(SupplyChain_Tier1_Backend[[#This Row],[Level 1]:[Level 6]]),rng_EFConcat,rng_EF3WTTTD)*SupplyChain_Tier1_Backend[[#This Row],[Converted data]]/1000</f>
        <v>0</v>
      </c>
      <c r="AL84" s="220" t="str">
        <f>IF($G84="","", SUM(SupplyChain_Tier1_Backend[[#This Row],[Scope 1 (tCO2e)]:[Scope 3 WTT T&amp;D (tCO2e)]]))</f>
        <v/>
      </c>
      <c r="AM84" s="220" t="str">
        <f>IF($G84="","", SupplyChain_Tier1_Backend[[#This Row],[Total (tCO2e)]]*(1-SupplyChain_Tier1_Backend[[#This Row],[RSD]]))</f>
        <v/>
      </c>
      <c r="AN84" s="220" t="str">
        <f>IF($G84="","", SupplyChain_Tier1_Backend[[#This Row],[Total (tCO2e)]]*(1+SupplyChain_Tier1_Backend[[#This Row],[RSD]]))</f>
        <v/>
      </c>
      <c r="AO84" s="210">
        <f ca="1">_xlfn.XLOOKUP(_xlfn.CONCAT(SupplyChain_Tier1_Backend[[#This Row],[Level 1]:[Level 6]]),rng_EFConcat,rng_EFOOS)*SupplyChain_Tier1_Backend[[#This Row],[Converted data]]/1000</f>
        <v>0</v>
      </c>
      <c r="AP84" s="174">
        <f>SupplyChain_Tier1_Frontend[[#This Row],[Ease of collection]]</f>
        <v>0</v>
      </c>
      <c r="AQ84" s="213">
        <f>SupplyChain_Tier1_Frontend[[#This Row],[Completeness]]</f>
        <v>0</v>
      </c>
      <c r="AR84" s="213">
        <f>SupplyChain_Tier1_Frontend[[#This Row],[Notes]]</f>
        <v>0</v>
      </c>
    </row>
    <row r="85" spans="2:44" ht="14.5" x14ac:dyDescent="0.35">
      <c r="B85" s="169"/>
      <c r="E85" s="236" t="s">
        <v>233</v>
      </c>
      <c r="F85" s="178" t="s">
        <v>1803</v>
      </c>
      <c r="G85" s="334"/>
      <c r="H85" s="172" t="s">
        <v>383</v>
      </c>
      <c r="I85" s="172" t="s">
        <v>384</v>
      </c>
      <c r="J85" s="336"/>
      <c r="K85" s="336"/>
      <c r="L85" s="337"/>
      <c r="M85" s="242">
        <f t="shared" si="4"/>
        <v>0</v>
      </c>
      <c r="N85"/>
      <c r="O85"/>
      <c r="Q85" s="211" t="str">
        <f t="shared" si="3"/>
        <v/>
      </c>
      <c r="R85" s="174" t="s">
        <v>267</v>
      </c>
      <c r="S85" s="174" t="s">
        <v>385</v>
      </c>
      <c r="T85" s="174" t="str" cm="1">
        <f t="array" aca="1" ref="T85" ca="1">_xlfn.XLOOKUP(SupplyChain_Tier1_Backend[[#This Row],[Level 2]],rng_Level2Long,rng_Level3Long)</f>
        <v>Supply chain</v>
      </c>
      <c r="U85" s="174" t="str">
        <f>SupplyChain_Tier1_Frontend[[#This Row],[Category]]</f>
        <v>Information and communication</v>
      </c>
      <c r="V85" s="174" t="str">
        <f>SupplyChain_Tier1_Frontend[[#This Row],[Product Category]]</f>
        <v>Publishing services</v>
      </c>
      <c r="W85" s="174" t="str" cm="1">
        <f t="array" aca="1" ref="W85" ca="1">_xlfn.XLOOKUP(SupplyChain_Tier1_Backend[[#This Row],[Level 5]],rng_Level5Long,rng_Level6Long)</f>
        <v>NaN</v>
      </c>
      <c r="X85" s="174" t="str">
        <f>SupplyChain_Tier1_Frontend[[#This Row],[Data type]]</f>
        <v>Spend-based EF</v>
      </c>
      <c r="Y85" s="174" t="s">
        <v>339</v>
      </c>
      <c r="Z85" s="174" t="s">
        <v>198</v>
      </c>
      <c r="AA85" s="229" cm="1">
        <f t="array" aca="1" ref="AA85" ca="1">INDEX(_xlfn.SWITCH(SupplyChain_Tier1_Backend[[#This Row],[Methodology]],"Tier 1",rng_RSD1,"Tier 2",rng_RSD2,"Tier 3",rng_RSD3),MATCH(_xlfn.CONCAT(SupplyChain_Tier1_Backend[[#This Row],[Level 1]:[Level 6]]),rng_LevelsConcat,0))</f>
        <v>0.25</v>
      </c>
      <c r="AB85" s="220">
        <f>SupplyChain_Tier1_Frontend[[#This Row],[Data]]</f>
        <v>0</v>
      </c>
      <c r="AC85" s="220" t="str">
        <f>SupplyChain_Tier1_Frontend[[#This Row],[Units]]</f>
        <v>£</v>
      </c>
      <c r="AD8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5" s="174" t="str">
        <f>SupplyChain_Tier1_Frontend[[#This Row],[Units]]</f>
        <v>£</v>
      </c>
      <c r="AF85" s="210">
        <f ca="1">_xlfn.XLOOKUP(_xlfn.CONCAT(SupplyChain_Tier1_Backend[[#This Row],[Level 1]:[Level 6]]),rng_EFConcat,rng_EF1)*SupplyChain_Tier1_Backend[[#This Row],[Converted data]]/1000</f>
        <v>0</v>
      </c>
      <c r="AG85" s="210">
        <f ca="1">_xlfn.XLOOKUP(_xlfn.CONCAT(SupplyChain_Tier1_Backend[[#This Row],[Level 1]:[Level 6]]),rng_EFConcat,rng_EF2)*SupplyChain_Tier1_Backend[[#This Row],[Converted data]]/1000</f>
        <v>0</v>
      </c>
      <c r="AH85" s="210">
        <f ca="1">_xlfn.XLOOKUP(_xlfn.CONCAT(SupplyChain_Tier1_Backend[[#This Row],[Level 1]:[Level 6]]),rng_EFConcat,rng_EF3)*SupplyChain_Tier1_Backend[[#This Row],[Converted data]]/1000</f>
        <v>0</v>
      </c>
      <c r="AI85" s="210">
        <f ca="1">_xlfn.XLOOKUP(_xlfn.CONCAT(SupplyChain_Tier1_Backend[[#This Row],[Level 1]:[Level 6]]),rng_EFConcat,rng_EF3WTT)*SupplyChain_Tier1_Backend[[#This Row],[Converted data]]/1000</f>
        <v>0</v>
      </c>
      <c r="AJ85" s="210">
        <f ca="1">_xlfn.XLOOKUP(_xlfn.CONCAT(SupplyChain_Tier1_Backend[[#This Row],[Level 1]:[Level 6]]),rng_EFConcat,rng_EF3TD)*SupplyChain_Tier1_Backend[[#This Row],[Converted data]]/1000</f>
        <v>0</v>
      </c>
      <c r="AK85" s="210">
        <f ca="1">_xlfn.XLOOKUP(_xlfn.CONCAT(SupplyChain_Tier1_Backend[[#This Row],[Level 1]:[Level 6]]),rng_EFConcat,rng_EF3WTTTD)*SupplyChain_Tier1_Backend[[#This Row],[Converted data]]/1000</f>
        <v>0</v>
      </c>
      <c r="AL85" s="220" t="str">
        <f>IF($G85="","", SUM(SupplyChain_Tier1_Backend[[#This Row],[Scope 1 (tCO2e)]:[Scope 3 WTT T&amp;D (tCO2e)]]))</f>
        <v/>
      </c>
      <c r="AM85" s="220" t="str">
        <f>IF($G85="","", SupplyChain_Tier1_Backend[[#This Row],[Total (tCO2e)]]*(1-SupplyChain_Tier1_Backend[[#This Row],[RSD]]))</f>
        <v/>
      </c>
      <c r="AN85" s="220" t="str">
        <f>IF($G85="","", SupplyChain_Tier1_Backend[[#This Row],[Total (tCO2e)]]*(1+SupplyChain_Tier1_Backend[[#This Row],[RSD]]))</f>
        <v/>
      </c>
      <c r="AO85" s="210">
        <f ca="1">_xlfn.XLOOKUP(_xlfn.CONCAT(SupplyChain_Tier1_Backend[[#This Row],[Level 1]:[Level 6]]),rng_EFConcat,rng_EFOOS)*SupplyChain_Tier1_Backend[[#This Row],[Converted data]]/1000</f>
        <v>0</v>
      </c>
      <c r="AP85" s="174">
        <f>SupplyChain_Tier1_Frontend[[#This Row],[Ease of collection]]</f>
        <v>0</v>
      </c>
      <c r="AQ85" s="213">
        <f>SupplyChain_Tier1_Frontend[[#This Row],[Completeness]]</f>
        <v>0</v>
      </c>
      <c r="AR85" s="213">
        <f>SupplyChain_Tier1_Frontend[[#This Row],[Notes]]</f>
        <v>0</v>
      </c>
    </row>
    <row r="86" spans="2:44" ht="28.5" x14ac:dyDescent="0.35">
      <c r="B86" s="169"/>
      <c r="E86" s="236" t="s">
        <v>233</v>
      </c>
      <c r="F86" s="178" t="s">
        <v>1804</v>
      </c>
      <c r="G86" s="334"/>
      <c r="H86" s="172" t="s">
        <v>383</v>
      </c>
      <c r="I86" s="172" t="s">
        <v>384</v>
      </c>
      <c r="J86" s="336"/>
      <c r="K86" s="336"/>
      <c r="L86" s="337"/>
      <c r="M86" s="242">
        <f t="shared" si="4"/>
        <v>0</v>
      </c>
      <c r="N86"/>
      <c r="O86"/>
      <c r="Q86" s="211" t="str">
        <f t="shared" si="3"/>
        <v/>
      </c>
      <c r="R86" s="174" t="s">
        <v>267</v>
      </c>
      <c r="S86" s="174" t="s">
        <v>385</v>
      </c>
      <c r="T86" s="174" t="str" cm="1">
        <f t="array" aca="1" ref="T86" ca="1">_xlfn.XLOOKUP(SupplyChain_Tier1_Backend[[#This Row],[Level 2]],rng_Level2Long,rng_Level3Long)</f>
        <v>Supply chain</v>
      </c>
      <c r="U86" s="174" t="str">
        <f>SupplyChain_Tier1_Frontend[[#This Row],[Category]]</f>
        <v>Information and communication</v>
      </c>
      <c r="V86" s="174" t="str">
        <f>SupplyChain_Tier1_Frontend[[#This Row],[Product Category]]</f>
        <v>Motion picture, video and TV programme production services, sound recording &amp; music publishing</v>
      </c>
      <c r="W86" s="174" t="str" cm="1">
        <f t="array" aca="1" ref="W86" ca="1">_xlfn.XLOOKUP(SupplyChain_Tier1_Backend[[#This Row],[Level 5]],rng_Level5Long,rng_Level6Long)</f>
        <v>NaN</v>
      </c>
      <c r="X86" s="174" t="str">
        <f>SupplyChain_Tier1_Frontend[[#This Row],[Data type]]</f>
        <v>Spend-based EF</v>
      </c>
      <c r="Y86" s="174" t="s">
        <v>339</v>
      </c>
      <c r="Z86" s="174" t="s">
        <v>198</v>
      </c>
      <c r="AA86" s="229" cm="1">
        <f t="array" aca="1" ref="AA86" ca="1">INDEX(_xlfn.SWITCH(SupplyChain_Tier1_Backend[[#This Row],[Methodology]],"Tier 1",rng_RSD1,"Tier 2",rng_RSD2,"Tier 3",rng_RSD3),MATCH(_xlfn.CONCAT(SupplyChain_Tier1_Backend[[#This Row],[Level 1]:[Level 6]]),rng_LevelsConcat,0))</f>
        <v>0.25</v>
      </c>
      <c r="AB86" s="220">
        <f>SupplyChain_Tier1_Frontend[[#This Row],[Data]]</f>
        <v>0</v>
      </c>
      <c r="AC86" s="220" t="str">
        <f>SupplyChain_Tier1_Frontend[[#This Row],[Units]]</f>
        <v>£</v>
      </c>
      <c r="AD8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6" s="174" t="str">
        <f>SupplyChain_Tier1_Frontend[[#This Row],[Units]]</f>
        <v>£</v>
      </c>
      <c r="AF86" s="210">
        <f ca="1">_xlfn.XLOOKUP(_xlfn.CONCAT(SupplyChain_Tier1_Backend[[#This Row],[Level 1]:[Level 6]]),rng_EFConcat,rng_EF1)*SupplyChain_Tier1_Backend[[#This Row],[Converted data]]/1000</f>
        <v>0</v>
      </c>
      <c r="AG86" s="210">
        <f ca="1">_xlfn.XLOOKUP(_xlfn.CONCAT(SupplyChain_Tier1_Backend[[#This Row],[Level 1]:[Level 6]]),rng_EFConcat,rng_EF2)*SupplyChain_Tier1_Backend[[#This Row],[Converted data]]/1000</f>
        <v>0</v>
      </c>
      <c r="AH86" s="210">
        <f ca="1">_xlfn.XLOOKUP(_xlfn.CONCAT(SupplyChain_Tier1_Backend[[#This Row],[Level 1]:[Level 6]]),rng_EFConcat,rng_EF3)*SupplyChain_Tier1_Backend[[#This Row],[Converted data]]/1000</f>
        <v>0</v>
      </c>
      <c r="AI86" s="210">
        <f ca="1">_xlfn.XLOOKUP(_xlfn.CONCAT(SupplyChain_Tier1_Backend[[#This Row],[Level 1]:[Level 6]]),rng_EFConcat,rng_EF3WTT)*SupplyChain_Tier1_Backend[[#This Row],[Converted data]]/1000</f>
        <v>0</v>
      </c>
      <c r="AJ86" s="210">
        <f ca="1">_xlfn.XLOOKUP(_xlfn.CONCAT(SupplyChain_Tier1_Backend[[#This Row],[Level 1]:[Level 6]]),rng_EFConcat,rng_EF3TD)*SupplyChain_Tier1_Backend[[#This Row],[Converted data]]/1000</f>
        <v>0</v>
      </c>
      <c r="AK86" s="210">
        <f ca="1">_xlfn.XLOOKUP(_xlfn.CONCAT(SupplyChain_Tier1_Backend[[#This Row],[Level 1]:[Level 6]]),rng_EFConcat,rng_EF3WTTTD)*SupplyChain_Tier1_Backend[[#This Row],[Converted data]]/1000</f>
        <v>0</v>
      </c>
      <c r="AL86" s="220" t="str">
        <f>IF($G86="","", SUM(SupplyChain_Tier1_Backend[[#This Row],[Scope 1 (tCO2e)]:[Scope 3 WTT T&amp;D (tCO2e)]]))</f>
        <v/>
      </c>
      <c r="AM86" s="220" t="str">
        <f>IF($G86="","", SupplyChain_Tier1_Backend[[#This Row],[Total (tCO2e)]]*(1-SupplyChain_Tier1_Backend[[#This Row],[RSD]]))</f>
        <v/>
      </c>
      <c r="AN86" s="220" t="str">
        <f>IF($G86="","", SupplyChain_Tier1_Backend[[#This Row],[Total (tCO2e)]]*(1+SupplyChain_Tier1_Backend[[#This Row],[RSD]]))</f>
        <v/>
      </c>
      <c r="AO86" s="210">
        <f ca="1">_xlfn.XLOOKUP(_xlfn.CONCAT(SupplyChain_Tier1_Backend[[#This Row],[Level 1]:[Level 6]]),rng_EFConcat,rng_EFOOS)*SupplyChain_Tier1_Backend[[#This Row],[Converted data]]/1000</f>
        <v>0</v>
      </c>
      <c r="AP86" s="174">
        <f>SupplyChain_Tier1_Frontend[[#This Row],[Ease of collection]]</f>
        <v>0</v>
      </c>
      <c r="AQ86" s="213">
        <f>SupplyChain_Tier1_Frontend[[#This Row],[Completeness]]</f>
        <v>0</v>
      </c>
      <c r="AR86" s="213">
        <f>SupplyChain_Tier1_Frontend[[#This Row],[Notes]]</f>
        <v>0</v>
      </c>
    </row>
    <row r="87" spans="2:44" ht="14.5" x14ac:dyDescent="0.35">
      <c r="B87" s="169"/>
      <c r="E87" s="236" t="s">
        <v>233</v>
      </c>
      <c r="F87" s="178" t="s">
        <v>1805</v>
      </c>
      <c r="G87" s="334"/>
      <c r="H87" s="172" t="s">
        <v>383</v>
      </c>
      <c r="I87" s="172" t="s">
        <v>384</v>
      </c>
      <c r="J87" s="336"/>
      <c r="K87" s="336"/>
      <c r="L87" s="337"/>
      <c r="M87" s="242">
        <f t="shared" si="4"/>
        <v>0</v>
      </c>
      <c r="N87"/>
      <c r="O87"/>
      <c r="Q87" s="211" t="str">
        <f t="shared" si="3"/>
        <v/>
      </c>
      <c r="R87" s="174" t="s">
        <v>267</v>
      </c>
      <c r="S87" s="174" t="s">
        <v>385</v>
      </c>
      <c r="T87" s="174" t="str" cm="1">
        <f t="array" aca="1" ref="T87" ca="1">_xlfn.XLOOKUP(SupplyChain_Tier1_Backend[[#This Row],[Level 2]],rng_Level2Long,rng_Level3Long)</f>
        <v>Supply chain</v>
      </c>
      <c r="U87" s="174" t="str">
        <f>SupplyChain_Tier1_Frontend[[#This Row],[Category]]</f>
        <v>Information and communication</v>
      </c>
      <c r="V87" s="174" t="str">
        <f>SupplyChain_Tier1_Frontend[[#This Row],[Product Category]]</f>
        <v>Programming and broadcasting services</v>
      </c>
      <c r="W87" s="174" t="str" cm="1">
        <f t="array" aca="1" ref="W87" ca="1">_xlfn.XLOOKUP(SupplyChain_Tier1_Backend[[#This Row],[Level 5]],rng_Level5Long,rng_Level6Long)</f>
        <v>NaN</v>
      </c>
      <c r="X87" s="174" t="str">
        <f>SupplyChain_Tier1_Frontend[[#This Row],[Data type]]</f>
        <v>Spend-based EF</v>
      </c>
      <c r="Y87" s="174" t="s">
        <v>339</v>
      </c>
      <c r="Z87" s="174" t="s">
        <v>198</v>
      </c>
      <c r="AA87" s="229" cm="1">
        <f t="array" aca="1" ref="AA87" ca="1">INDEX(_xlfn.SWITCH(SupplyChain_Tier1_Backend[[#This Row],[Methodology]],"Tier 1",rng_RSD1,"Tier 2",rng_RSD2,"Tier 3",rng_RSD3),MATCH(_xlfn.CONCAT(SupplyChain_Tier1_Backend[[#This Row],[Level 1]:[Level 6]]),rng_LevelsConcat,0))</f>
        <v>0.25</v>
      </c>
      <c r="AB87" s="220">
        <f>SupplyChain_Tier1_Frontend[[#This Row],[Data]]</f>
        <v>0</v>
      </c>
      <c r="AC87" s="220" t="str">
        <f>SupplyChain_Tier1_Frontend[[#This Row],[Units]]</f>
        <v>£</v>
      </c>
      <c r="AD8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7" s="174" t="str">
        <f>SupplyChain_Tier1_Frontend[[#This Row],[Units]]</f>
        <v>£</v>
      </c>
      <c r="AF87" s="210">
        <f ca="1">_xlfn.XLOOKUP(_xlfn.CONCAT(SupplyChain_Tier1_Backend[[#This Row],[Level 1]:[Level 6]]),rng_EFConcat,rng_EF1)*SupplyChain_Tier1_Backend[[#This Row],[Converted data]]/1000</f>
        <v>0</v>
      </c>
      <c r="AG87" s="210">
        <f ca="1">_xlfn.XLOOKUP(_xlfn.CONCAT(SupplyChain_Tier1_Backend[[#This Row],[Level 1]:[Level 6]]),rng_EFConcat,rng_EF2)*SupplyChain_Tier1_Backend[[#This Row],[Converted data]]/1000</f>
        <v>0</v>
      </c>
      <c r="AH87" s="210">
        <f ca="1">_xlfn.XLOOKUP(_xlfn.CONCAT(SupplyChain_Tier1_Backend[[#This Row],[Level 1]:[Level 6]]),rng_EFConcat,rng_EF3)*SupplyChain_Tier1_Backend[[#This Row],[Converted data]]/1000</f>
        <v>0</v>
      </c>
      <c r="AI87" s="210">
        <f ca="1">_xlfn.XLOOKUP(_xlfn.CONCAT(SupplyChain_Tier1_Backend[[#This Row],[Level 1]:[Level 6]]),rng_EFConcat,rng_EF3WTT)*SupplyChain_Tier1_Backend[[#This Row],[Converted data]]/1000</f>
        <v>0</v>
      </c>
      <c r="AJ87" s="210">
        <f ca="1">_xlfn.XLOOKUP(_xlfn.CONCAT(SupplyChain_Tier1_Backend[[#This Row],[Level 1]:[Level 6]]),rng_EFConcat,rng_EF3TD)*SupplyChain_Tier1_Backend[[#This Row],[Converted data]]/1000</f>
        <v>0</v>
      </c>
      <c r="AK87" s="210">
        <f ca="1">_xlfn.XLOOKUP(_xlfn.CONCAT(SupplyChain_Tier1_Backend[[#This Row],[Level 1]:[Level 6]]),rng_EFConcat,rng_EF3WTTTD)*SupplyChain_Tier1_Backend[[#This Row],[Converted data]]/1000</f>
        <v>0</v>
      </c>
      <c r="AL87" s="220" t="str">
        <f>IF($G87="","", SUM(SupplyChain_Tier1_Backend[[#This Row],[Scope 1 (tCO2e)]:[Scope 3 WTT T&amp;D (tCO2e)]]))</f>
        <v/>
      </c>
      <c r="AM87" s="220" t="str">
        <f>IF($G87="","", SupplyChain_Tier1_Backend[[#This Row],[Total (tCO2e)]]*(1-SupplyChain_Tier1_Backend[[#This Row],[RSD]]))</f>
        <v/>
      </c>
      <c r="AN87" s="220" t="str">
        <f>IF($G87="","", SupplyChain_Tier1_Backend[[#This Row],[Total (tCO2e)]]*(1+SupplyChain_Tier1_Backend[[#This Row],[RSD]]))</f>
        <v/>
      </c>
      <c r="AO87" s="210">
        <f ca="1">_xlfn.XLOOKUP(_xlfn.CONCAT(SupplyChain_Tier1_Backend[[#This Row],[Level 1]:[Level 6]]),rng_EFConcat,rng_EFOOS)*SupplyChain_Tier1_Backend[[#This Row],[Converted data]]/1000</f>
        <v>0</v>
      </c>
      <c r="AP87" s="174">
        <f>SupplyChain_Tier1_Frontend[[#This Row],[Ease of collection]]</f>
        <v>0</v>
      </c>
      <c r="AQ87" s="213">
        <f>SupplyChain_Tier1_Frontend[[#This Row],[Completeness]]</f>
        <v>0</v>
      </c>
      <c r="AR87" s="213">
        <f>SupplyChain_Tier1_Frontend[[#This Row],[Notes]]</f>
        <v>0</v>
      </c>
    </row>
    <row r="88" spans="2:44" ht="14.5" x14ac:dyDescent="0.35">
      <c r="B88" s="169"/>
      <c r="E88" s="236" t="s">
        <v>233</v>
      </c>
      <c r="F88" s="178" t="s">
        <v>1806</v>
      </c>
      <c r="G88" s="334"/>
      <c r="H88" s="172" t="s">
        <v>383</v>
      </c>
      <c r="I88" s="172" t="s">
        <v>384</v>
      </c>
      <c r="J88" s="336"/>
      <c r="K88" s="336"/>
      <c r="L88" s="337"/>
      <c r="M88" s="242">
        <f t="shared" si="4"/>
        <v>0</v>
      </c>
      <c r="N88"/>
      <c r="O88"/>
      <c r="Q88" s="211" t="str">
        <f t="shared" si="3"/>
        <v/>
      </c>
      <c r="R88" s="174" t="s">
        <v>267</v>
      </c>
      <c r="S88" s="174" t="s">
        <v>385</v>
      </c>
      <c r="T88" s="174" t="str" cm="1">
        <f t="array" aca="1" ref="T88" ca="1">_xlfn.XLOOKUP(SupplyChain_Tier1_Backend[[#This Row],[Level 2]],rng_Level2Long,rng_Level3Long)</f>
        <v>Supply chain</v>
      </c>
      <c r="U88" s="174" t="str">
        <f>SupplyChain_Tier1_Frontend[[#This Row],[Category]]</f>
        <v>Information and communication</v>
      </c>
      <c r="V88" s="174" t="str">
        <f>SupplyChain_Tier1_Frontend[[#This Row],[Product Category]]</f>
        <v>Telecommunications services</v>
      </c>
      <c r="W88" s="174" t="str" cm="1">
        <f t="array" aca="1" ref="W88" ca="1">_xlfn.XLOOKUP(SupplyChain_Tier1_Backend[[#This Row],[Level 5]],rng_Level5Long,rng_Level6Long)</f>
        <v>NaN</v>
      </c>
      <c r="X88" s="174" t="str">
        <f>SupplyChain_Tier1_Frontend[[#This Row],[Data type]]</f>
        <v>Spend-based EF</v>
      </c>
      <c r="Y88" s="174" t="s">
        <v>339</v>
      </c>
      <c r="Z88" s="174" t="s">
        <v>198</v>
      </c>
      <c r="AA88" s="229" cm="1">
        <f t="array" aca="1" ref="AA88" ca="1">INDEX(_xlfn.SWITCH(SupplyChain_Tier1_Backend[[#This Row],[Methodology]],"Tier 1",rng_RSD1,"Tier 2",rng_RSD2,"Tier 3",rng_RSD3),MATCH(_xlfn.CONCAT(SupplyChain_Tier1_Backend[[#This Row],[Level 1]:[Level 6]]),rng_LevelsConcat,0))</f>
        <v>0.25</v>
      </c>
      <c r="AB88" s="220">
        <f>SupplyChain_Tier1_Frontend[[#This Row],[Data]]</f>
        <v>0</v>
      </c>
      <c r="AC88" s="220" t="str">
        <f>SupplyChain_Tier1_Frontend[[#This Row],[Units]]</f>
        <v>£</v>
      </c>
      <c r="AD8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8" s="174" t="str">
        <f>SupplyChain_Tier1_Frontend[[#This Row],[Units]]</f>
        <v>£</v>
      </c>
      <c r="AF88" s="210">
        <f ca="1">_xlfn.XLOOKUP(_xlfn.CONCAT(SupplyChain_Tier1_Backend[[#This Row],[Level 1]:[Level 6]]),rng_EFConcat,rng_EF1)*SupplyChain_Tier1_Backend[[#This Row],[Converted data]]/1000</f>
        <v>0</v>
      </c>
      <c r="AG88" s="210">
        <f ca="1">_xlfn.XLOOKUP(_xlfn.CONCAT(SupplyChain_Tier1_Backend[[#This Row],[Level 1]:[Level 6]]),rng_EFConcat,rng_EF2)*SupplyChain_Tier1_Backend[[#This Row],[Converted data]]/1000</f>
        <v>0</v>
      </c>
      <c r="AH88" s="210">
        <f ca="1">_xlfn.XLOOKUP(_xlfn.CONCAT(SupplyChain_Tier1_Backend[[#This Row],[Level 1]:[Level 6]]),rng_EFConcat,rng_EF3)*SupplyChain_Tier1_Backend[[#This Row],[Converted data]]/1000</f>
        <v>0</v>
      </c>
      <c r="AI88" s="210">
        <f ca="1">_xlfn.XLOOKUP(_xlfn.CONCAT(SupplyChain_Tier1_Backend[[#This Row],[Level 1]:[Level 6]]),rng_EFConcat,rng_EF3WTT)*SupplyChain_Tier1_Backend[[#This Row],[Converted data]]/1000</f>
        <v>0</v>
      </c>
      <c r="AJ88" s="210">
        <f ca="1">_xlfn.XLOOKUP(_xlfn.CONCAT(SupplyChain_Tier1_Backend[[#This Row],[Level 1]:[Level 6]]),rng_EFConcat,rng_EF3TD)*SupplyChain_Tier1_Backend[[#This Row],[Converted data]]/1000</f>
        <v>0</v>
      </c>
      <c r="AK88" s="210">
        <f ca="1">_xlfn.XLOOKUP(_xlfn.CONCAT(SupplyChain_Tier1_Backend[[#This Row],[Level 1]:[Level 6]]),rng_EFConcat,rng_EF3WTTTD)*SupplyChain_Tier1_Backend[[#This Row],[Converted data]]/1000</f>
        <v>0</v>
      </c>
      <c r="AL88" s="220" t="str">
        <f>IF($G88="","", SUM(SupplyChain_Tier1_Backend[[#This Row],[Scope 1 (tCO2e)]:[Scope 3 WTT T&amp;D (tCO2e)]]))</f>
        <v/>
      </c>
      <c r="AM88" s="220" t="str">
        <f>IF($G88="","", SupplyChain_Tier1_Backend[[#This Row],[Total (tCO2e)]]*(1-SupplyChain_Tier1_Backend[[#This Row],[RSD]]))</f>
        <v/>
      </c>
      <c r="AN88" s="220" t="str">
        <f>IF($G88="","", SupplyChain_Tier1_Backend[[#This Row],[Total (tCO2e)]]*(1+SupplyChain_Tier1_Backend[[#This Row],[RSD]]))</f>
        <v/>
      </c>
      <c r="AO88" s="210">
        <f ca="1">_xlfn.XLOOKUP(_xlfn.CONCAT(SupplyChain_Tier1_Backend[[#This Row],[Level 1]:[Level 6]]),rng_EFConcat,rng_EFOOS)*SupplyChain_Tier1_Backend[[#This Row],[Converted data]]/1000</f>
        <v>0</v>
      </c>
      <c r="AP88" s="174">
        <f>SupplyChain_Tier1_Frontend[[#This Row],[Ease of collection]]</f>
        <v>0</v>
      </c>
      <c r="AQ88" s="213">
        <f>SupplyChain_Tier1_Frontend[[#This Row],[Completeness]]</f>
        <v>0</v>
      </c>
      <c r="AR88" s="213">
        <f>SupplyChain_Tier1_Frontend[[#This Row],[Notes]]</f>
        <v>0</v>
      </c>
    </row>
    <row r="89" spans="2:44" ht="28.5" x14ac:dyDescent="0.35">
      <c r="B89" s="169"/>
      <c r="E89" s="236" t="s">
        <v>233</v>
      </c>
      <c r="F89" s="178" t="s">
        <v>1807</v>
      </c>
      <c r="G89" s="334"/>
      <c r="H89" s="172" t="s">
        <v>383</v>
      </c>
      <c r="I89" s="172" t="s">
        <v>384</v>
      </c>
      <c r="J89" s="336"/>
      <c r="K89" s="336"/>
      <c r="L89" s="337"/>
      <c r="M89" s="242">
        <f t="shared" si="4"/>
        <v>0</v>
      </c>
      <c r="N89"/>
      <c r="O89"/>
      <c r="Q89" s="211" t="str">
        <f t="shared" si="3"/>
        <v/>
      </c>
      <c r="R89" s="174" t="s">
        <v>267</v>
      </c>
      <c r="S89" s="174" t="s">
        <v>385</v>
      </c>
      <c r="T89" s="174" t="str" cm="1">
        <f t="array" aca="1" ref="T89" ca="1">_xlfn.XLOOKUP(SupplyChain_Tier1_Backend[[#This Row],[Level 2]],rng_Level2Long,rng_Level3Long)</f>
        <v>Supply chain</v>
      </c>
      <c r="U89" s="174" t="str">
        <f>SupplyChain_Tier1_Frontend[[#This Row],[Category]]</f>
        <v>Information and communication</v>
      </c>
      <c r="V89" s="174" t="str">
        <f>SupplyChain_Tier1_Frontend[[#This Row],[Product Category]]</f>
        <v>Computer programming, consultancy and related services</v>
      </c>
      <c r="W89" s="174" t="str" cm="1">
        <f t="array" aca="1" ref="W89" ca="1">_xlfn.XLOOKUP(SupplyChain_Tier1_Backend[[#This Row],[Level 5]],rng_Level5Long,rng_Level6Long)</f>
        <v>NaN</v>
      </c>
      <c r="X89" s="174" t="str">
        <f>SupplyChain_Tier1_Frontend[[#This Row],[Data type]]</f>
        <v>Spend-based EF</v>
      </c>
      <c r="Y89" s="174" t="s">
        <v>339</v>
      </c>
      <c r="Z89" s="174" t="s">
        <v>198</v>
      </c>
      <c r="AA89" s="229" cm="1">
        <f t="array" aca="1" ref="AA89" ca="1">INDEX(_xlfn.SWITCH(SupplyChain_Tier1_Backend[[#This Row],[Methodology]],"Tier 1",rng_RSD1,"Tier 2",rng_RSD2,"Tier 3",rng_RSD3),MATCH(_xlfn.CONCAT(SupplyChain_Tier1_Backend[[#This Row],[Level 1]:[Level 6]]),rng_LevelsConcat,0))</f>
        <v>0.25</v>
      </c>
      <c r="AB89" s="220">
        <f>SupplyChain_Tier1_Frontend[[#This Row],[Data]]</f>
        <v>0</v>
      </c>
      <c r="AC89" s="220" t="str">
        <f>SupplyChain_Tier1_Frontend[[#This Row],[Units]]</f>
        <v>£</v>
      </c>
      <c r="AD8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89" s="174" t="str">
        <f>SupplyChain_Tier1_Frontend[[#This Row],[Units]]</f>
        <v>£</v>
      </c>
      <c r="AF89" s="210">
        <f ca="1">_xlfn.XLOOKUP(_xlfn.CONCAT(SupplyChain_Tier1_Backend[[#This Row],[Level 1]:[Level 6]]),rng_EFConcat,rng_EF1)*SupplyChain_Tier1_Backend[[#This Row],[Converted data]]/1000</f>
        <v>0</v>
      </c>
      <c r="AG89" s="210">
        <f ca="1">_xlfn.XLOOKUP(_xlfn.CONCAT(SupplyChain_Tier1_Backend[[#This Row],[Level 1]:[Level 6]]),rng_EFConcat,rng_EF2)*SupplyChain_Tier1_Backend[[#This Row],[Converted data]]/1000</f>
        <v>0</v>
      </c>
      <c r="AH89" s="210">
        <f ca="1">_xlfn.XLOOKUP(_xlfn.CONCAT(SupplyChain_Tier1_Backend[[#This Row],[Level 1]:[Level 6]]),rng_EFConcat,rng_EF3)*SupplyChain_Tier1_Backend[[#This Row],[Converted data]]/1000</f>
        <v>0</v>
      </c>
      <c r="AI89" s="210">
        <f ca="1">_xlfn.XLOOKUP(_xlfn.CONCAT(SupplyChain_Tier1_Backend[[#This Row],[Level 1]:[Level 6]]),rng_EFConcat,rng_EF3WTT)*SupplyChain_Tier1_Backend[[#This Row],[Converted data]]/1000</f>
        <v>0</v>
      </c>
      <c r="AJ89" s="210">
        <f ca="1">_xlfn.XLOOKUP(_xlfn.CONCAT(SupplyChain_Tier1_Backend[[#This Row],[Level 1]:[Level 6]]),rng_EFConcat,rng_EF3TD)*SupplyChain_Tier1_Backend[[#This Row],[Converted data]]/1000</f>
        <v>0</v>
      </c>
      <c r="AK89" s="210">
        <f ca="1">_xlfn.XLOOKUP(_xlfn.CONCAT(SupplyChain_Tier1_Backend[[#This Row],[Level 1]:[Level 6]]),rng_EFConcat,rng_EF3WTTTD)*SupplyChain_Tier1_Backend[[#This Row],[Converted data]]/1000</f>
        <v>0</v>
      </c>
      <c r="AL89" s="220" t="str">
        <f>IF($G89="","", SUM(SupplyChain_Tier1_Backend[[#This Row],[Scope 1 (tCO2e)]:[Scope 3 WTT T&amp;D (tCO2e)]]))</f>
        <v/>
      </c>
      <c r="AM89" s="220" t="str">
        <f>IF($G89="","", SupplyChain_Tier1_Backend[[#This Row],[Total (tCO2e)]]*(1-SupplyChain_Tier1_Backend[[#This Row],[RSD]]))</f>
        <v/>
      </c>
      <c r="AN89" s="220" t="str">
        <f>IF($G89="","", SupplyChain_Tier1_Backend[[#This Row],[Total (tCO2e)]]*(1+SupplyChain_Tier1_Backend[[#This Row],[RSD]]))</f>
        <v/>
      </c>
      <c r="AO89" s="210">
        <f ca="1">_xlfn.XLOOKUP(_xlfn.CONCAT(SupplyChain_Tier1_Backend[[#This Row],[Level 1]:[Level 6]]),rng_EFConcat,rng_EFOOS)*SupplyChain_Tier1_Backend[[#This Row],[Converted data]]/1000</f>
        <v>0</v>
      </c>
      <c r="AP89" s="174">
        <f>SupplyChain_Tier1_Frontend[[#This Row],[Ease of collection]]</f>
        <v>0</v>
      </c>
      <c r="AQ89" s="213">
        <f>SupplyChain_Tier1_Frontend[[#This Row],[Completeness]]</f>
        <v>0</v>
      </c>
      <c r="AR89" s="213">
        <f>SupplyChain_Tier1_Frontend[[#This Row],[Notes]]</f>
        <v>0</v>
      </c>
    </row>
    <row r="90" spans="2:44" ht="14.5" x14ac:dyDescent="0.35">
      <c r="B90" s="169"/>
      <c r="E90" s="236" t="s">
        <v>233</v>
      </c>
      <c r="F90" s="178" t="s">
        <v>1808</v>
      </c>
      <c r="G90" s="334"/>
      <c r="H90" s="172" t="s">
        <v>383</v>
      </c>
      <c r="I90" s="172" t="s">
        <v>384</v>
      </c>
      <c r="J90" s="336"/>
      <c r="K90" s="336"/>
      <c r="L90" s="337"/>
      <c r="M90" s="242">
        <f t="shared" si="4"/>
        <v>0</v>
      </c>
      <c r="N90"/>
      <c r="O90"/>
      <c r="Q90" s="211" t="str">
        <f t="shared" si="3"/>
        <v/>
      </c>
      <c r="R90" s="174" t="s">
        <v>267</v>
      </c>
      <c r="S90" s="174" t="s">
        <v>385</v>
      </c>
      <c r="T90" s="174" t="str" cm="1">
        <f t="array" aca="1" ref="T90" ca="1">_xlfn.XLOOKUP(SupplyChain_Tier1_Backend[[#This Row],[Level 2]],rng_Level2Long,rng_Level3Long)</f>
        <v>Supply chain</v>
      </c>
      <c r="U90" s="174" t="str">
        <f>SupplyChain_Tier1_Frontend[[#This Row],[Category]]</f>
        <v>Information and communication</v>
      </c>
      <c r="V90" s="174" t="str">
        <f>SupplyChain_Tier1_Frontend[[#This Row],[Product Category]]</f>
        <v>Information services</v>
      </c>
      <c r="W90" s="174" t="str" cm="1">
        <f t="array" aca="1" ref="W90" ca="1">_xlfn.XLOOKUP(SupplyChain_Tier1_Backend[[#This Row],[Level 5]],rng_Level5Long,rng_Level6Long)</f>
        <v>NaN</v>
      </c>
      <c r="X90" s="174" t="str">
        <f>SupplyChain_Tier1_Frontend[[#This Row],[Data type]]</f>
        <v>Spend-based EF</v>
      </c>
      <c r="Y90" s="174" t="s">
        <v>339</v>
      </c>
      <c r="Z90" s="174" t="s">
        <v>198</v>
      </c>
      <c r="AA90" s="229" cm="1">
        <f t="array" aca="1" ref="AA90" ca="1">INDEX(_xlfn.SWITCH(SupplyChain_Tier1_Backend[[#This Row],[Methodology]],"Tier 1",rng_RSD1,"Tier 2",rng_RSD2,"Tier 3",rng_RSD3),MATCH(_xlfn.CONCAT(SupplyChain_Tier1_Backend[[#This Row],[Level 1]:[Level 6]]),rng_LevelsConcat,0))</f>
        <v>0.25</v>
      </c>
      <c r="AB90" s="220">
        <f>SupplyChain_Tier1_Frontend[[#This Row],[Data]]</f>
        <v>0</v>
      </c>
      <c r="AC90" s="220" t="str">
        <f>SupplyChain_Tier1_Frontend[[#This Row],[Units]]</f>
        <v>£</v>
      </c>
      <c r="AD9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0" s="174" t="str">
        <f>SupplyChain_Tier1_Frontend[[#This Row],[Units]]</f>
        <v>£</v>
      </c>
      <c r="AF90" s="210">
        <f ca="1">_xlfn.XLOOKUP(_xlfn.CONCAT(SupplyChain_Tier1_Backend[[#This Row],[Level 1]:[Level 6]]),rng_EFConcat,rng_EF1)*SupplyChain_Tier1_Backend[[#This Row],[Converted data]]/1000</f>
        <v>0</v>
      </c>
      <c r="AG90" s="210">
        <f ca="1">_xlfn.XLOOKUP(_xlfn.CONCAT(SupplyChain_Tier1_Backend[[#This Row],[Level 1]:[Level 6]]),rng_EFConcat,rng_EF2)*SupplyChain_Tier1_Backend[[#This Row],[Converted data]]/1000</f>
        <v>0</v>
      </c>
      <c r="AH90" s="210">
        <f ca="1">_xlfn.XLOOKUP(_xlfn.CONCAT(SupplyChain_Tier1_Backend[[#This Row],[Level 1]:[Level 6]]),rng_EFConcat,rng_EF3)*SupplyChain_Tier1_Backend[[#This Row],[Converted data]]/1000</f>
        <v>0</v>
      </c>
      <c r="AI90" s="210">
        <f ca="1">_xlfn.XLOOKUP(_xlfn.CONCAT(SupplyChain_Tier1_Backend[[#This Row],[Level 1]:[Level 6]]),rng_EFConcat,rng_EF3WTT)*SupplyChain_Tier1_Backend[[#This Row],[Converted data]]/1000</f>
        <v>0</v>
      </c>
      <c r="AJ90" s="210">
        <f ca="1">_xlfn.XLOOKUP(_xlfn.CONCAT(SupplyChain_Tier1_Backend[[#This Row],[Level 1]:[Level 6]]),rng_EFConcat,rng_EF3TD)*SupplyChain_Tier1_Backend[[#This Row],[Converted data]]/1000</f>
        <v>0</v>
      </c>
      <c r="AK90" s="210">
        <f ca="1">_xlfn.XLOOKUP(_xlfn.CONCAT(SupplyChain_Tier1_Backend[[#This Row],[Level 1]:[Level 6]]),rng_EFConcat,rng_EF3WTTTD)*SupplyChain_Tier1_Backend[[#This Row],[Converted data]]/1000</f>
        <v>0</v>
      </c>
      <c r="AL90" s="220" t="str">
        <f>IF($G90="","", SUM(SupplyChain_Tier1_Backend[[#This Row],[Scope 1 (tCO2e)]:[Scope 3 WTT T&amp;D (tCO2e)]]))</f>
        <v/>
      </c>
      <c r="AM90" s="220" t="str">
        <f>IF($G90="","", SupplyChain_Tier1_Backend[[#This Row],[Total (tCO2e)]]*(1-SupplyChain_Tier1_Backend[[#This Row],[RSD]]))</f>
        <v/>
      </c>
      <c r="AN90" s="220" t="str">
        <f>IF($G90="","", SupplyChain_Tier1_Backend[[#This Row],[Total (tCO2e)]]*(1+SupplyChain_Tier1_Backend[[#This Row],[RSD]]))</f>
        <v/>
      </c>
      <c r="AO90" s="210">
        <f ca="1">_xlfn.XLOOKUP(_xlfn.CONCAT(SupplyChain_Tier1_Backend[[#This Row],[Level 1]:[Level 6]]),rng_EFConcat,rng_EFOOS)*SupplyChain_Tier1_Backend[[#This Row],[Converted data]]/1000</f>
        <v>0</v>
      </c>
      <c r="AP90" s="174">
        <f>SupplyChain_Tier1_Frontend[[#This Row],[Ease of collection]]</f>
        <v>0</v>
      </c>
      <c r="AQ90" s="213">
        <f>SupplyChain_Tier1_Frontend[[#This Row],[Completeness]]</f>
        <v>0</v>
      </c>
      <c r="AR90" s="213">
        <f>SupplyChain_Tier1_Frontend[[#This Row],[Notes]]</f>
        <v>0</v>
      </c>
    </row>
    <row r="91" spans="2:44" ht="28.5" x14ac:dyDescent="0.35">
      <c r="B91" s="169"/>
      <c r="E91" s="236" t="s">
        <v>234</v>
      </c>
      <c r="F91" s="178" t="s">
        <v>1809</v>
      </c>
      <c r="G91" s="334"/>
      <c r="H91" s="172" t="s">
        <v>383</v>
      </c>
      <c r="I91" s="172" t="s">
        <v>384</v>
      </c>
      <c r="J91" s="336"/>
      <c r="K91" s="336"/>
      <c r="L91" s="337"/>
      <c r="M91" s="242">
        <f t="shared" si="4"/>
        <v>0</v>
      </c>
      <c r="N91"/>
      <c r="O91"/>
      <c r="Q91" s="211" t="str">
        <f t="shared" si="3"/>
        <v/>
      </c>
      <c r="R91" s="174" t="s">
        <v>267</v>
      </c>
      <c r="S91" s="174" t="s">
        <v>385</v>
      </c>
      <c r="T91" s="174" t="str" cm="1">
        <f t="array" aca="1" ref="T91" ca="1">_xlfn.XLOOKUP(SupplyChain_Tier1_Backend[[#This Row],[Level 2]],rng_Level2Long,rng_Level3Long)</f>
        <v>Supply chain</v>
      </c>
      <c r="U91" s="174" t="str">
        <f>SupplyChain_Tier1_Frontend[[#This Row],[Category]]</f>
        <v>Financial and insurance activities</v>
      </c>
      <c r="V91" s="174" t="str">
        <f>SupplyChain_Tier1_Frontend[[#This Row],[Product Category]]</f>
        <v>Financial services, except insurance and pension funding</v>
      </c>
      <c r="W91" s="174" t="str" cm="1">
        <f t="array" aca="1" ref="W91" ca="1">_xlfn.XLOOKUP(SupplyChain_Tier1_Backend[[#This Row],[Level 5]],rng_Level5Long,rng_Level6Long)</f>
        <v>NaN</v>
      </c>
      <c r="X91" s="174" t="str">
        <f>SupplyChain_Tier1_Frontend[[#This Row],[Data type]]</f>
        <v>Spend-based EF</v>
      </c>
      <c r="Y91" s="174" t="s">
        <v>339</v>
      </c>
      <c r="Z91" s="174" t="s">
        <v>198</v>
      </c>
      <c r="AA91" s="229" cm="1">
        <f t="array" aca="1" ref="AA91" ca="1">INDEX(_xlfn.SWITCH(SupplyChain_Tier1_Backend[[#This Row],[Methodology]],"Tier 1",rng_RSD1,"Tier 2",rng_RSD2,"Tier 3",rng_RSD3),MATCH(_xlfn.CONCAT(SupplyChain_Tier1_Backend[[#This Row],[Level 1]:[Level 6]]),rng_LevelsConcat,0))</f>
        <v>0.25</v>
      </c>
      <c r="AB91" s="220">
        <f>SupplyChain_Tier1_Frontend[[#This Row],[Data]]</f>
        <v>0</v>
      </c>
      <c r="AC91" s="220" t="str">
        <f>SupplyChain_Tier1_Frontend[[#This Row],[Units]]</f>
        <v>£</v>
      </c>
      <c r="AD9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1" s="174" t="str">
        <f>SupplyChain_Tier1_Frontend[[#This Row],[Units]]</f>
        <v>£</v>
      </c>
      <c r="AF91" s="210">
        <f ca="1">_xlfn.XLOOKUP(_xlfn.CONCAT(SupplyChain_Tier1_Backend[[#This Row],[Level 1]:[Level 6]]),rng_EFConcat,rng_EF1)*SupplyChain_Tier1_Backend[[#This Row],[Converted data]]/1000</f>
        <v>0</v>
      </c>
      <c r="AG91" s="210">
        <f ca="1">_xlfn.XLOOKUP(_xlfn.CONCAT(SupplyChain_Tier1_Backend[[#This Row],[Level 1]:[Level 6]]),rng_EFConcat,rng_EF2)*SupplyChain_Tier1_Backend[[#This Row],[Converted data]]/1000</f>
        <v>0</v>
      </c>
      <c r="AH91" s="210">
        <f ca="1">_xlfn.XLOOKUP(_xlfn.CONCAT(SupplyChain_Tier1_Backend[[#This Row],[Level 1]:[Level 6]]),rng_EFConcat,rng_EF3)*SupplyChain_Tier1_Backend[[#This Row],[Converted data]]/1000</f>
        <v>0</v>
      </c>
      <c r="AI91" s="210">
        <f ca="1">_xlfn.XLOOKUP(_xlfn.CONCAT(SupplyChain_Tier1_Backend[[#This Row],[Level 1]:[Level 6]]),rng_EFConcat,rng_EF3WTT)*SupplyChain_Tier1_Backend[[#This Row],[Converted data]]/1000</f>
        <v>0</v>
      </c>
      <c r="AJ91" s="210">
        <f ca="1">_xlfn.XLOOKUP(_xlfn.CONCAT(SupplyChain_Tier1_Backend[[#This Row],[Level 1]:[Level 6]]),rng_EFConcat,rng_EF3TD)*SupplyChain_Tier1_Backend[[#This Row],[Converted data]]/1000</f>
        <v>0</v>
      </c>
      <c r="AK91" s="210">
        <f ca="1">_xlfn.XLOOKUP(_xlfn.CONCAT(SupplyChain_Tier1_Backend[[#This Row],[Level 1]:[Level 6]]),rng_EFConcat,rng_EF3WTTTD)*SupplyChain_Tier1_Backend[[#This Row],[Converted data]]/1000</f>
        <v>0</v>
      </c>
      <c r="AL91" s="220" t="str">
        <f>IF($G91="","", SUM(SupplyChain_Tier1_Backend[[#This Row],[Scope 1 (tCO2e)]:[Scope 3 WTT T&amp;D (tCO2e)]]))</f>
        <v/>
      </c>
      <c r="AM91" s="220" t="str">
        <f>IF($G91="","", SupplyChain_Tier1_Backend[[#This Row],[Total (tCO2e)]]*(1-SupplyChain_Tier1_Backend[[#This Row],[RSD]]))</f>
        <v/>
      </c>
      <c r="AN91" s="220" t="str">
        <f>IF($G91="","", SupplyChain_Tier1_Backend[[#This Row],[Total (tCO2e)]]*(1+SupplyChain_Tier1_Backend[[#This Row],[RSD]]))</f>
        <v/>
      </c>
      <c r="AO91" s="210">
        <f ca="1">_xlfn.XLOOKUP(_xlfn.CONCAT(SupplyChain_Tier1_Backend[[#This Row],[Level 1]:[Level 6]]),rng_EFConcat,rng_EFOOS)*SupplyChain_Tier1_Backend[[#This Row],[Converted data]]/1000</f>
        <v>0</v>
      </c>
      <c r="AP91" s="174">
        <f>SupplyChain_Tier1_Frontend[[#This Row],[Ease of collection]]</f>
        <v>0</v>
      </c>
      <c r="AQ91" s="213">
        <f>SupplyChain_Tier1_Frontend[[#This Row],[Completeness]]</f>
        <v>0</v>
      </c>
      <c r="AR91" s="213">
        <f>SupplyChain_Tier1_Frontend[[#This Row],[Notes]]</f>
        <v>0</v>
      </c>
    </row>
    <row r="92" spans="2:44" ht="28.5" x14ac:dyDescent="0.35">
      <c r="B92" s="169"/>
      <c r="E92" s="236" t="s">
        <v>234</v>
      </c>
      <c r="F92" s="178" t="s">
        <v>1810</v>
      </c>
      <c r="G92" s="334"/>
      <c r="H92" s="172" t="s">
        <v>383</v>
      </c>
      <c r="I92" s="172" t="s">
        <v>384</v>
      </c>
      <c r="J92" s="336"/>
      <c r="K92" s="336"/>
      <c r="L92" s="337"/>
      <c r="M92" s="242">
        <f t="shared" si="4"/>
        <v>0</v>
      </c>
      <c r="N92"/>
      <c r="O92"/>
      <c r="Q92" s="211" t="str">
        <f t="shared" si="3"/>
        <v/>
      </c>
      <c r="R92" s="174" t="s">
        <v>267</v>
      </c>
      <c r="S92" s="174" t="s">
        <v>385</v>
      </c>
      <c r="T92" s="174" t="str" cm="1">
        <f t="array" aca="1" ref="T92" ca="1">_xlfn.XLOOKUP(SupplyChain_Tier1_Backend[[#This Row],[Level 2]],rng_Level2Long,rng_Level3Long)</f>
        <v>Supply chain</v>
      </c>
      <c r="U92" s="174" t="str">
        <f>SupplyChain_Tier1_Frontend[[#This Row],[Category]]</f>
        <v>Financial and insurance activities</v>
      </c>
      <c r="V92" s="174" t="str">
        <f>SupplyChain_Tier1_Frontend[[#This Row],[Product Category]]</f>
        <v>Insurance and reinsurance services, except compulsory social security</v>
      </c>
      <c r="W92" s="174" t="str" cm="1">
        <f t="array" aca="1" ref="W92" ca="1">_xlfn.XLOOKUP(SupplyChain_Tier1_Backend[[#This Row],[Level 5]],rng_Level5Long,rng_Level6Long)</f>
        <v>NaN</v>
      </c>
      <c r="X92" s="174" t="str">
        <f>SupplyChain_Tier1_Frontend[[#This Row],[Data type]]</f>
        <v>Spend-based EF</v>
      </c>
      <c r="Y92" s="174" t="s">
        <v>339</v>
      </c>
      <c r="Z92" s="174" t="s">
        <v>198</v>
      </c>
      <c r="AA92" s="229" cm="1">
        <f t="array" aca="1" ref="AA92" ca="1">INDEX(_xlfn.SWITCH(SupplyChain_Tier1_Backend[[#This Row],[Methodology]],"Tier 1",rng_RSD1,"Tier 2",rng_RSD2,"Tier 3",rng_RSD3),MATCH(_xlfn.CONCAT(SupplyChain_Tier1_Backend[[#This Row],[Level 1]:[Level 6]]),rng_LevelsConcat,0))</f>
        <v>0.25</v>
      </c>
      <c r="AB92" s="220">
        <f>SupplyChain_Tier1_Frontend[[#This Row],[Data]]</f>
        <v>0</v>
      </c>
      <c r="AC92" s="220" t="str">
        <f>SupplyChain_Tier1_Frontend[[#This Row],[Units]]</f>
        <v>£</v>
      </c>
      <c r="AD9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2" s="174" t="str">
        <f>SupplyChain_Tier1_Frontend[[#This Row],[Units]]</f>
        <v>£</v>
      </c>
      <c r="AF92" s="210">
        <f ca="1">_xlfn.XLOOKUP(_xlfn.CONCAT(SupplyChain_Tier1_Backend[[#This Row],[Level 1]:[Level 6]]),rng_EFConcat,rng_EF1)*SupplyChain_Tier1_Backend[[#This Row],[Converted data]]/1000</f>
        <v>0</v>
      </c>
      <c r="AG92" s="210">
        <f ca="1">_xlfn.XLOOKUP(_xlfn.CONCAT(SupplyChain_Tier1_Backend[[#This Row],[Level 1]:[Level 6]]),rng_EFConcat,rng_EF2)*SupplyChain_Tier1_Backend[[#This Row],[Converted data]]/1000</f>
        <v>0</v>
      </c>
      <c r="AH92" s="210">
        <f ca="1">_xlfn.XLOOKUP(_xlfn.CONCAT(SupplyChain_Tier1_Backend[[#This Row],[Level 1]:[Level 6]]),rng_EFConcat,rng_EF3)*SupplyChain_Tier1_Backend[[#This Row],[Converted data]]/1000</f>
        <v>0</v>
      </c>
      <c r="AI92" s="210">
        <f ca="1">_xlfn.XLOOKUP(_xlfn.CONCAT(SupplyChain_Tier1_Backend[[#This Row],[Level 1]:[Level 6]]),rng_EFConcat,rng_EF3WTT)*SupplyChain_Tier1_Backend[[#This Row],[Converted data]]/1000</f>
        <v>0</v>
      </c>
      <c r="AJ92" s="210">
        <f ca="1">_xlfn.XLOOKUP(_xlfn.CONCAT(SupplyChain_Tier1_Backend[[#This Row],[Level 1]:[Level 6]]),rng_EFConcat,rng_EF3TD)*SupplyChain_Tier1_Backend[[#This Row],[Converted data]]/1000</f>
        <v>0</v>
      </c>
      <c r="AK92" s="210">
        <f ca="1">_xlfn.XLOOKUP(_xlfn.CONCAT(SupplyChain_Tier1_Backend[[#This Row],[Level 1]:[Level 6]]),rng_EFConcat,rng_EF3WTTTD)*SupplyChain_Tier1_Backend[[#This Row],[Converted data]]/1000</f>
        <v>0</v>
      </c>
      <c r="AL92" s="220" t="str">
        <f>IF($G92="","", SUM(SupplyChain_Tier1_Backend[[#This Row],[Scope 1 (tCO2e)]:[Scope 3 WTT T&amp;D (tCO2e)]]))</f>
        <v/>
      </c>
      <c r="AM92" s="220" t="str">
        <f>IF($G92="","", SupplyChain_Tier1_Backend[[#This Row],[Total (tCO2e)]]*(1-SupplyChain_Tier1_Backend[[#This Row],[RSD]]))</f>
        <v/>
      </c>
      <c r="AN92" s="220" t="str">
        <f>IF($G92="","", SupplyChain_Tier1_Backend[[#This Row],[Total (tCO2e)]]*(1+SupplyChain_Tier1_Backend[[#This Row],[RSD]]))</f>
        <v/>
      </c>
      <c r="AO92" s="210">
        <f ca="1">_xlfn.XLOOKUP(_xlfn.CONCAT(SupplyChain_Tier1_Backend[[#This Row],[Level 1]:[Level 6]]),rng_EFConcat,rng_EFOOS)*SupplyChain_Tier1_Backend[[#This Row],[Converted data]]/1000</f>
        <v>0</v>
      </c>
      <c r="AP92" s="174">
        <f>SupplyChain_Tier1_Frontend[[#This Row],[Ease of collection]]</f>
        <v>0</v>
      </c>
      <c r="AQ92" s="213">
        <f>SupplyChain_Tier1_Frontend[[#This Row],[Completeness]]</f>
        <v>0</v>
      </c>
      <c r="AR92" s="213">
        <f>SupplyChain_Tier1_Frontend[[#This Row],[Notes]]</f>
        <v>0</v>
      </c>
    </row>
    <row r="93" spans="2:44" ht="28.5" x14ac:dyDescent="0.35">
      <c r="B93" s="169"/>
      <c r="E93" s="236" t="s">
        <v>234</v>
      </c>
      <c r="F93" s="178" t="s">
        <v>1811</v>
      </c>
      <c r="G93" s="334"/>
      <c r="H93" s="172" t="s">
        <v>383</v>
      </c>
      <c r="I93" s="172" t="s">
        <v>384</v>
      </c>
      <c r="J93" s="336"/>
      <c r="K93" s="336"/>
      <c r="L93" s="337"/>
      <c r="M93" s="242">
        <f t="shared" si="4"/>
        <v>0</v>
      </c>
      <c r="N93"/>
      <c r="O93"/>
      <c r="Q93" s="211" t="str">
        <f t="shared" si="3"/>
        <v/>
      </c>
      <c r="R93" s="174" t="s">
        <v>267</v>
      </c>
      <c r="S93" s="174" t="s">
        <v>385</v>
      </c>
      <c r="T93" s="174" t="str" cm="1">
        <f t="array" aca="1" ref="T93" ca="1">_xlfn.XLOOKUP(SupplyChain_Tier1_Backend[[#This Row],[Level 2]],rng_Level2Long,rng_Level3Long)</f>
        <v>Supply chain</v>
      </c>
      <c r="U93" s="174" t="str">
        <f>SupplyChain_Tier1_Frontend[[#This Row],[Category]]</f>
        <v>Financial and insurance activities</v>
      </c>
      <c r="V93" s="174" t="str">
        <f>SupplyChain_Tier1_Frontend[[#This Row],[Product Category]]</f>
        <v>Services auxiliary to financial services and insurance services</v>
      </c>
      <c r="W93" s="174" t="str" cm="1">
        <f t="array" aca="1" ref="W93" ca="1">_xlfn.XLOOKUP(SupplyChain_Tier1_Backend[[#This Row],[Level 5]],rng_Level5Long,rng_Level6Long)</f>
        <v>NaN</v>
      </c>
      <c r="X93" s="174" t="str">
        <f>SupplyChain_Tier1_Frontend[[#This Row],[Data type]]</f>
        <v>Spend-based EF</v>
      </c>
      <c r="Y93" s="174" t="s">
        <v>339</v>
      </c>
      <c r="Z93" s="174" t="s">
        <v>198</v>
      </c>
      <c r="AA93" s="229" cm="1">
        <f t="array" aca="1" ref="AA93" ca="1">INDEX(_xlfn.SWITCH(SupplyChain_Tier1_Backend[[#This Row],[Methodology]],"Tier 1",rng_RSD1,"Tier 2",rng_RSD2,"Tier 3",rng_RSD3),MATCH(_xlfn.CONCAT(SupplyChain_Tier1_Backend[[#This Row],[Level 1]:[Level 6]]),rng_LevelsConcat,0))</f>
        <v>0.25</v>
      </c>
      <c r="AB93" s="220">
        <f>SupplyChain_Tier1_Frontend[[#This Row],[Data]]</f>
        <v>0</v>
      </c>
      <c r="AC93" s="220" t="str">
        <f>SupplyChain_Tier1_Frontend[[#This Row],[Units]]</f>
        <v>£</v>
      </c>
      <c r="AD9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3" s="174" t="str">
        <f>SupplyChain_Tier1_Frontend[[#This Row],[Units]]</f>
        <v>£</v>
      </c>
      <c r="AF93" s="210">
        <f ca="1">_xlfn.XLOOKUP(_xlfn.CONCAT(SupplyChain_Tier1_Backend[[#This Row],[Level 1]:[Level 6]]),rng_EFConcat,rng_EF1)*SupplyChain_Tier1_Backend[[#This Row],[Converted data]]/1000</f>
        <v>0</v>
      </c>
      <c r="AG93" s="210">
        <f ca="1">_xlfn.XLOOKUP(_xlfn.CONCAT(SupplyChain_Tier1_Backend[[#This Row],[Level 1]:[Level 6]]),rng_EFConcat,rng_EF2)*SupplyChain_Tier1_Backend[[#This Row],[Converted data]]/1000</f>
        <v>0</v>
      </c>
      <c r="AH93" s="210">
        <f ca="1">_xlfn.XLOOKUP(_xlfn.CONCAT(SupplyChain_Tier1_Backend[[#This Row],[Level 1]:[Level 6]]),rng_EFConcat,rng_EF3)*SupplyChain_Tier1_Backend[[#This Row],[Converted data]]/1000</f>
        <v>0</v>
      </c>
      <c r="AI93" s="210">
        <f ca="1">_xlfn.XLOOKUP(_xlfn.CONCAT(SupplyChain_Tier1_Backend[[#This Row],[Level 1]:[Level 6]]),rng_EFConcat,rng_EF3WTT)*SupplyChain_Tier1_Backend[[#This Row],[Converted data]]/1000</f>
        <v>0</v>
      </c>
      <c r="AJ93" s="210">
        <f ca="1">_xlfn.XLOOKUP(_xlfn.CONCAT(SupplyChain_Tier1_Backend[[#This Row],[Level 1]:[Level 6]]),rng_EFConcat,rng_EF3TD)*SupplyChain_Tier1_Backend[[#This Row],[Converted data]]/1000</f>
        <v>0</v>
      </c>
      <c r="AK93" s="210">
        <f ca="1">_xlfn.XLOOKUP(_xlfn.CONCAT(SupplyChain_Tier1_Backend[[#This Row],[Level 1]:[Level 6]]),rng_EFConcat,rng_EF3WTTTD)*SupplyChain_Tier1_Backend[[#This Row],[Converted data]]/1000</f>
        <v>0</v>
      </c>
      <c r="AL93" s="220" t="str">
        <f>IF($G93="","", SUM(SupplyChain_Tier1_Backend[[#This Row],[Scope 1 (tCO2e)]:[Scope 3 WTT T&amp;D (tCO2e)]]))</f>
        <v/>
      </c>
      <c r="AM93" s="220" t="str">
        <f>IF($G93="","", SupplyChain_Tier1_Backend[[#This Row],[Total (tCO2e)]]*(1-SupplyChain_Tier1_Backend[[#This Row],[RSD]]))</f>
        <v/>
      </c>
      <c r="AN93" s="220" t="str">
        <f>IF($G93="","", SupplyChain_Tier1_Backend[[#This Row],[Total (tCO2e)]]*(1+SupplyChain_Tier1_Backend[[#This Row],[RSD]]))</f>
        <v/>
      </c>
      <c r="AO93" s="210">
        <f ca="1">_xlfn.XLOOKUP(_xlfn.CONCAT(SupplyChain_Tier1_Backend[[#This Row],[Level 1]:[Level 6]]),rng_EFConcat,rng_EFOOS)*SupplyChain_Tier1_Backend[[#This Row],[Converted data]]/1000</f>
        <v>0</v>
      </c>
      <c r="AP93" s="174">
        <f>SupplyChain_Tier1_Frontend[[#This Row],[Ease of collection]]</f>
        <v>0</v>
      </c>
      <c r="AQ93" s="213">
        <f>SupplyChain_Tier1_Frontend[[#This Row],[Completeness]]</f>
        <v>0</v>
      </c>
      <c r="AR93" s="213">
        <f>SupplyChain_Tier1_Frontend[[#This Row],[Notes]]</f>
        <v>0</v>
      </c>
    </row>
    <row r="94" spans="2:44" ht="28.5" x14ac:dyDescent="0.35">
      <c r="B94" s="169"/>
      <c r="E94" s="236" t="s">
        <v>235</v>
      </c>
      <c r="F94" s="178" t="s">
        <v>1812</v>
      </c>
      <c r="G94" s="334"/>
      <c r="H94" s="172" t="s">
        <v>383</v>
      </c>
      <c r="I94" s="172" t="s">
        <v>384</v>
      </c>
      <c r="J94" s="336"/>
      <c r="K94" s="336"/>
      <c r="L94" s="337"/>
      <c r="M94" s="242">
        <f t="shared" si="4"/>
        <v>0</v>
      </c>
      <c r="N94"/>
      <c r="O94"/>
      <c r="Q94" s="211" t="str">
        <f t="shared" si="3"/>
        <v/>
      </c>
      <c r="R94" s="174" t="s">
        <v>267</v>
      </c>
      <c r="S94" s="174" t="s">
        <v>385</v>
      </c>
      <c r="T94" s="174" t="str" cm="1">
        <f t="array" aca="1" ref="T94" ca="1">_xlfn.XLOOKUP(SupplyChain_Tier1_Backend[[#This Row],[Level 2]],rng_Level2Long,rng_Level3Long)</f>
        <v>Supply chain</v>
      </c>
      <c r="U94" s="174" t="str">
        <f>SupplyChain_Tier1_Frontend[[#This Row],[Category]]</f>
        <v>Real estate activities</v>
      </c>
      <c r="V94" s="174" t="str">
        <f>SupplyChain_Tier1_Frontend[[#This Row],[Product Category]]</f>
        <v>Real estate services, excluding on a fee or contract basis and imputed rent</v>
      </c>
      <c r="W94" s="174" t="str" cm="1">
        <f t="array" aca="1" ref="W94" ca="1">_xlfn.XLOOKUP(SupplyChain_Tier1_Backend[[#This Row],[Level 5]],rng_Level5Long,rng_Level6Long)</f>
        <v>NaN</v>
      </c>
      <c r="X94" s="174" t="str">
        <f>SupplyChain_Tier1_Frontend[[#This Row],[Data type]]</f>
        <v>Spend-based EF</v>
      </c>
      <c r="Y94" s="174" t="s">
        <v>339</v>
      </c>
      <c r="Z94" s="174" t="s">
        <v>198</v>
      </c>
      <c r="AA94" s="229" cm="1">
        <f t="array" aca="1" ref="AA94" ca="1">INDEX(_xlfn.SWITCH(SupplyChain_Tier1_Backend[[#This Row],[Methodology]],"Tier 1",rng_RSD1,"Tier 2",rng_RSD2,"Tier 3",rng_RSD3),MATCH(_xlfn.CONCAT(SupplyChain_Tier1_Backend[[#This Row],[Level 1]:[Level 6]]),rng_LevelsConcat,0))</f>
        <v>0.25</v>
      </c>
      <c r="AB94" s="220">
        <f>SupplyChain_Tier1_Frontend[[#This Row],[Data]]</f>
        <v>0</v>
      </c>
      <c r="AC94" s="220" t="str">
        <f>SupplyChain_Tier1_Frontend[[#This Row],[Units]]</f>
        <v>£</v>
      </c>
      <c r="AD9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4" s="174" t="str">
        <f>SupplyChain_Tier1_Frontend[[#This Row],[Units]]</f>
        <v>£</v>
      </c>
      <c r="AF94" s="210">
        <f ca="1">_xlfn.XLOOKUP(_xlfn.CONCAT(SupplyChain_Tier1_Backend[[#This Row],[Level 1]:[Level 6]]),rng_EFConcat,rng_EF1)*SupplyChain_Tier1_Backend[[#This Row],[Converted data]]/1000</f>
        <v>0</v>
      </c>
      <c r="AG94" s="210">
        <f ca="1">_xlfn.XLOOKUP(_xlfn.CONCAT(SupplyChain_Tier1_Backend[[#This Row],[Level 1]:[Level 6]]),rng_EFConcat,rng_EF2)*SupplyChain_Tier1_Backend[[#This Row],[Converted data]]/1000</f>
        <v>0</v>
      </c>
      <c r="AH94" s="210">
        <f ca="1">_xlfn.XLOOKUP(_xlfn.CONCAT(SupplyChain_Tier1_Backend[[#This Row],[Level 1]:[Level 6]]),rng_EFConcat,rng_EF3)*SupplyChain_Tier1_Backend[[#This Row],[Converted data]]/1000</f>
        <v>0</v>
      </c>
      <c r="AI94" s="210">
        <f ca="1">_xlfn.XLOOKUP(_xlfn.CONCAT(SupplyChain_Tier1_Backend[[#This Row],[Level 1]:[Level 6]]),rng_EFConcat,rng_EF3WTT)*SupplyChain_Tier1_Backend[[#This Row],[Converted data]]/1000</f>
        <v>0</v>
      </c>
      <c r="AJ94" s="210">
        <f ca="1">_xlfn.XLOOKUP(_xlfn.CONCAT(SupplyChain_Tier1_Backend[[#This Row],[Level 1]:[Level 6]]),rng_EFConcat,rng_EF3TD)*SupplyChain_Tier1_Backend[[#This Row],[Converted data]]/1000</f>
        <v>0</v>
      </c>
      <c r="AK94" s="210">
        <f ca="1">_xlfn.XLOOKUP(_xlfn.CONCAT(SupplyChain_Tier1_Backend[[#This Row],[Level 1]:[Level 6]]),rng_EFConcat,rng_EF3WTTTD)*SupplyChain_Tier1_Backend[[#This Row],[Converted data]]/1000</f>
        <v>0</v>
      </c>
      <c r="AL94" s="220" t="str">
        <f>IF($G94="","", SUM(SupplyChain_Tier1_Backend[[#This Row],[Scope 1 (tCO2e)]:[Scope 3 WTT T&amp;D (tCO2e)]]))</f>
        <v/>
      </c>
      <c r="AM94" s="220" t="str">
        <f>IF($G94="","", SupplyChain_Tier1_Backend[[#This Row],[Total (tCO2e)]]*(1-SupplyChain_Tier1_Backend[[#This Row],[RSD]]))</f>
        <v/>
      </c>
      <c r="AN94" s="220" t="str">
        <f>IF($G94="","", SupplyChain_Tier1_Backend[[#This Row],[Total (tCO2e)]]*(1+SupplyChain_Tier1_Backend[[#This Row],[RSD]]))</f>
        <v/>
      </c>
      <c r="AO94" s="210">
        <f ca="1">_xlfn.XLOOKUP(_xlfn.CONCAT(SupplyChain_Tier1_Backend[[#This Row],[Level 1]:[Level 6]]),rng_EFConcat,rng_EFOOS)*SupplyChain_Tier1_Backend[[#This Row],[Converted data]]/1000</f>
        <v>0</v>
      </c>
      <c r="AP94" s="174">
        <f>SupplyChain_Tier1_Frontend[[#This Row],[Ease of collection]]</f>
        <v>0</v>
      </c>
      <c r="AQ94" s="213">
        <f>SupplyChain_Tier1_Frontend[[#This Row],[Completeness]]</f>
        <v>0</v>
      </c>
      <c r="AR94" s="213">
        <f>SupplyChain_Tier1_Frontend[[#This Row],[Notes]]</f>
        <v>0</v>
      </c>
    </row>
    <row r="95" spans="2:44" ht="14.5" x14ac:dyDescent="0.35">
      <c r="B95" s="169"/>
      <c r="E95" s="236" t="s">
        <v>235</v>
      </c>
      <c r="F95" s="178" t="s">
        <v>388</v>
      </c>
      <c r="G95" s="334"/>
      <c r="H95" s="172" t="s">
        <v>383</v>
      </c>
      <c r="I95" s="172" t="s">
        <v>384</v>
      </c>
      <c r="J95" s="336"/>
      <c r="K95" s="336"/>
      <c r="L95" s="337"/>
      <c r="M95" s="242">
        <f t="shared" si="4"/>
        <v>0</v>
      </c>
      <c r="N95"/>
      <c r="O95"/>
      <c r="Q95" s="211" t="str">
        <f t="shared" si="3"/>
        <v/>
      </c>
      <c r="R95" s="174" t="s">
        <v>267</v>
      </c>
      <c r="S95" s="174" t="s">
        <v>385</v>
      </c>
      <c r="T95" s="174" t="str" cm="1">
        <f t="array" aca="1" ref="T95" ca="1">_xlfn.XLOOKUP(SupplyChain_Tier1_Backend[[#This Row],[Level 2]],rng_Level2Long,rng_Level3Long)</f>
        <v>Supply chain</v>
      </c>
      <c r="U95" s="174" t="str">
        <f>SupplyChain_Tier1_Frontend[[#This Row],[Category]]</f>
        <v>Real estate activities</v>
      </c>
      <c r="V95" s="174" t="str">
        <f>SupplyChain_Tier1_Frontend[[#This Row],[Product Category]]</f>
        <v>Owner-Occupiers' Housing Services</v>
      </c>
      <c r="W95" s="174" t="str" cm="1">
        <f t="array" aca="1" ref="W95" ca="1">_xlfn.XLOOKUP(SupplyChain_Tier1_Backend[[#This Row],[Level 5]],rng_Level5Long,rng_Level6Long)</f>
        <v>NaN</v>
      </c>
      <c r="X95" s="174" t="str">
        <f>SupplyChain_Tier1_Frontend[[#This Row],[Data type]]</f>
        <v>Spend-based EF</v>
      </c>
      <c r="Y95" s="174" t="s">
        <v>339</v>
      </c>
      <c r="Z95" s="174" t="s">
        <v>198</v>
      </c>
      <c r="AA95" s="229" cm="1">
        <f t="array" aca="1" ref="AA95" ca="1">INDEX(_xlfn.SWITCH(SupplyChain_Tier1_Backend[[#This Row],[Methodology]],"Tier 1",rng_RSD1,"Tier 2",rng_RSD2,"Tier 3",rng_RSD3),MATCH(_xlfn.CONCAT(SupplyChain_Tier1_Backend[[#This Row],[Level 1]:[Level 6]]),rng_LevelsConcat,0))</f>
        <v>0.25</v>
      </c>
      <c r="AB95" s="220">
        <f>SupplyChain_Tier1_Frontend[[#This Row],[Data]]</f>
        <v>0</v>
      </c>
      <c r="AC95" s="220" t="str">
        <f>SupplyChain_Tier1_Frontend[[#This Row],[Units]]</f>
        <v>£</v>
      </c>
      <c r="AD9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5" s="174" t="str">
        <f>SupplyChain_Tier1_Frontend[[#This Row],[Units]]</f>
        <v>£</v>
      </c>
      <c r="AF95" s="210">
        <f ca="1">_xlfn.XLOOKUP(_xlfn.CONCAT(SupplyChain_Tier1_Backend[[#This Row],[Level 1]:[Level 6]]),rng_EFConcat,rng_EF1)*SupplyChain_Tier1_Backend[[#This Row],[Converted data]]/1000</f>
        <v>0</v>
      </c>
      <c r="AG95" s="210">
        <f ca="1">_xlfn.XLOOKUP(_xlfn.CONCAT(SupplyChain_Tier1_Backend[[#This Row],[Level 1]:[Level 6]]),rng_EFConcat,rng_EF2)*SupplyChain_Tier1_Backend[[#This Row],[Converted data]]/1000</f>
        <v>0</v>
      </c>
      <c r="AH95" s="210">
        <f ca="1">_xlfn.XLOOKUP(_xlfn.CONCAT(SupplyChain_Tier1_Backend[[#This Row],[Level 1]:[Level 6]]),rng_EFConcat,rng_EF3)*SupplyChain_Tier1_Backend[[#This Row],[Converted data]]/1000</f>
        <v>0</v>
      </c>
      <c r="AI95" s="210">
        <f ca="1">_xlfn.XLOOKUP(_xlfn.CONCAT(SupplyChain_Tier1_Backend[[#This Row],[Level 1]:[Level 6]]),rng_EFConcat,rng_EF3WTT)*SupplyChain_Tier1_Backend[[#This Row],[Converted data]]/1000</f>
        <v>0</v>
      </c>
      <c r="AJ95" s="210">
        <f ca="1">_xlfn.XLOOKUP(_xlfn.CONCAT(SupplyChain_Tier1_Backend[[#This Row],[Level 1]:[Level 6]]),rng_EFConcat,rng_EF3TD)*SupplyChain_Tier1_Backend[[#This Row],[Converted data]]/1000</f>
        <v>0</v>
      </c>
      <c r="AK95" s="210">
        <f ca="1">_xlfn.XLOOKUP(_xlfn.CONCAT(SupplyChain_Tier1_Backend[[#This Row],[Level 1]:[Level 6]]),rng_EFConcat,rng_EF3WTTTD)*SupplyChain_Tier1_Backend[[#This Row],[Converted data]]/1000</f>
        <v>0</v>
      </c>
      <c r="AL95" s="220" t="str">
        <f>IF($G95="","", SUM(SupplyChain_Tier1_Backend[[#This Row],[Scope 1 (tCO2e)]:[Scope 3 WTT T&amp;D (tCO2e)]]))</f>
        <v/>
      </c>
      <c r="AM95" s="220" t="str">
        <f>IF($G95="","", SupplyChain_Tier1_Backend[[#This Row],[Total (tCO2e)]]*(1-SupplyChain_Tier1_Backend[[#This Row],[RSD]]))</f>
        <v/>
      </c>
      <c r="AN95" s="220" t="str">
        <f>IF($G95="","", SupplyChain_Tier1_Backend[[#This Row],[Total (tCO2e)]]*(1+SupplyChain_Tier1_Backend[[#This Row],[RSD]]))</f>
        <v/>
      </c>
      <c r="AO95" s="210">
        <f ca="1">_xlfn.XLOOKUP(_xlfn.CONCAT(SupplyChain_Tier1_Backend[[#This Row],[Level 1]:[Level 6]]),rng_EFConcat,rng_EFOOS)*SupplyChain_Tier1_Backend[[#This Row],[Converted data]]/1000</f>
        <v>0</v>
      </c>
      <c r="AP95" s="174">
        <f>SupplyChain_Tier1_Frontend[[#This Row],[Ease of collection]]</f>
        <v>0</v>
      </c>
      <c r="AQ95" s="213">
        <f>SupplyChain_Tier1_Frontend[[#This Row],[Completeness]]</f>
        <v>0</v>
      </c>
      <c r="AR95" s="213">
        <f>SupplyChain_Tier1_Frontend[[#This Row],[Notes]]</f>
        <v>0</v>
      </c>
    </row>
    <row r="96" spans="2:44" ht="14.5" x14ac:dyDescent="0.35">
      <c r="B96" s="169"/>
      <c r="E96" s="236" t="s">
        <v>235</v>
      </c>
      <c r="F96" s="178" t="s">
        <v>1813</v>
      </c>
      <c r="G96" s="334"/>
      <c r="H96" s="172" t="s">
        <v>383</v>
      </c>
      <c r="I96" s="172" t="s">
        <v>384</v>
      </c>
      <c r="J96" s="336"/>
      <c r="K96" s="336"/>
      <c r="L96" s="337"/>
      <c r="M96" s="242">
        <f t="shared" si="4"/>
        <v>0</v>
      </c>
      <c r="N96"/>
      <c r="O96"/>
      <c r="Q96" s="211" t="str">
        <f t="shared" si="3"/>
        <v/>
      </c>
      <c r="R96" s="174" t="s">
        <v>267</v>
      </c>
      <c r="S96" s="174" t="s">
        <v>385</v>
      </c>
      <c r="T96" s="174" t="str" cm="1">
        <f t="array" aca="1" ref="T96" ca="1">_xlfn.XLOOKUP(SupplyChain_Tier1_Backend[[#This Row],[Level 2]],rng_Level2Long,rng_Level3Long)</f>
        <v>Supply chain</v>
      </c>
      <c r="U96" s="174" t="str">
        <f>SupplyChain_Tier1_Frontend[[#This Row],[Category]]</f>
        <v>Real estate activities</v>
      </c>
      <c r="V96" s="174" t="str">
        <f>SupplyChain_Tier1_Frontend[[#This Row],[Product Category]]</f>
        <v>Real estate services on a fee or contract basis</v>
      </c>
      <c r="W96" s="174" t="str" cm="1">
        <f t="array" aca="1" ref="W96" ca="1">_xlfn.XLOOKUP(SupplyChain_Tier1_Backend[[#This Row],[Level 5]],rng_Level5Long,rng_Level6Long)</f>
        <v>NaN</v>
      </c>
      <c r="X96" s="174" t="str">
        <f>SupplyChain_Tier1_Frontend[[#This Row],[Data type]]</f>
        <v>Spend-based EF</v>
      </c>
      <c r="Y96" s="174" t="s">
        <v>339</v>
      </c>
      <c r="Z96" s="174" t="s">
        <v>198</v>
      </c>
      <c r="AA96" s="229" cm="1">
        <f t="array" aca="1" ref="AA96" ca="1">INDEX(_xlfn.SWITCH(SupplyChain_Tier1_Backend[[#This Row],[Methodology]],"Tier 1",rng_RSD1,"Tier 2",rng_RSD2,"Tier 3",rng_RSD3),MATCH(_xlfn.CONCAT(SupplyChain_Tier1_Backend[[#This Row],[Level 1]:[Level 6]]),rng_LevelsConcat,0))</f>
        <v>0.25</v>
      </c>
      <c r="AB96" s="220">
        <f>SupplyChain_Tier1_Frontend[[#This Row],[Data]]</f>
        <v>0</v>
      </c>
      <c r="AC96" s="220" t="str">
        <f>SupplyChain_Tier1_Frontend[[#This Row],[Units]]</f>
        <v>£</v>
      </c>
      <c r="AD9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6" s="174" t="str">
        <f>SupplyChain_Tier1_Frontend[[#This Row],[Units]]</f>
        <v>£</v>
      </c>
      <c r="AF96" s="210">
        <f ca="1">_xlfn.XLOOKUP(_xlfn.CONCAT(SupplyChain_Tier1_Backend[[#This Row],[Level 1]:[Level 6]]),rng_EFConcat,rng_EF1)*SupplyChain_Tier1_Backend[[#This Row],[Converted data]]/1000</f>
        <v>0</v>
      </c>
      <c r="AG96" s="210">
        <f ca="1">_xlfn.XLOOKUP(_xlfn.CONCAT(SupplyChain_Tier1_Backend[[#This Row],[Level 1]:[Level 6]]),rng_EFConcat,rng_EF2)*SupplyChain_Tier1_Backend[[#This Row],[Converted data]]/1000</f>
        <v>0</v>
      </c>
      <c r="AH96" s="210">
        <f ca="1">_xlfn.XLOOKUP(_xlfn.CONCAT(SupplyChain_Tier1_Backend[[#This Row],[Level 1]:[Level 6]]),rng_EFConcat,rng_EF3)*SupplyChain_Tier1_Backend[[#This Row],[Converted data]]/1000</f>
        <v>0</v>
      </c>
      <c r="AI96" s="210">
        <f ca="1">_xlfn.XLOOKUP(_xlfn.CONCAT(SupplyChain_Tier1_Backend[[#This Row],[Level 1]:[Level 6]]),rng_EFConcat,rng_EF3WTT)*SupplyChain_Tier1_Backend[[#This Row],[Converted data]]/1000</f>
        <v>0</v>
      </c>
      <c r="AJ96" s="210">
        <f ca="1">_xlfn.XLOOKUP(_xlfn.CONCAT(SupplyChain_Tier1_Backend[[#This Row],[Level 1]:[Level 6]]),rng_EFConcat,rng_EF3TD)*SupplyChain_Tier1_Backend[[#This Row],[Converted data]]/1000</f>
        <v>0</v>
      </c>
      <c r="AK96" s="210">
        <f ca="1">_xlfn.XLOOKUP(_xlfn.CONCAT(SupplyChain_Tier1_Backend[[#This Row],[Level 1]:[Level 6]]),rng_EFConcat,rng_EF3WTTTD)*SupplyChain_Tier1_Backend[[#This Row],[Converted data]]/1000</f>
        <v>0</v>
      </c>
      <c r="AL96" s="220" t="str">
        <f>IF($G96="","", SUM(SupplyChain_Tier1_Backend[[#This Row],[Scope 1 (tCO2e)]:[Scope 3 WTT T&amp;D (tCO2e)]]))</f>
        <v/>
      </c>
      <c r="AM96" s="220" t="str">
        <f>IF($G96="","", SupplyChain_Tier1_Backend[[#This Row],[Total (tCO2e)]]*(1-SupplyChain_Tier1_Backend[[#This Row],[RSD]]))</f>
        <v/>
      </c>
      <c r="AN96" s="220" t="str">
        <f>IF($G96="","", SupplyChain_Tier1_Backend[[#This Row],[Total (tCO2e)]]*(1+SupplyChain_Tier1_Backend[[#This Row],[RSD]]))</f>
        <v/>
      </c>
      <c r="AO96" s="210">
        <f ca="1">_xlfn.XLOOKUP(_xlfn.CONCAT(SupplyChain_Tier1_Backend[[#This Row],[Level 1]:[Level 6]]),rng_EFConcat,rng_EFOOS)*SupplyChain_Tier1_Backend[[#This Row],[Converted data]]/1000</f>
        <v>0</v>
      </c>
      <c r="AP96" s="174">
        <f>SupplyChain_Tier1_Frontend[[#This Row],[Ease of collection]]</f>
        <v>0</v>
      </c>
      <c r="AQ96" s="213">
        <f>SupplyChain_Tier1_Frontend[[#This Row],[Completeness]]</f>
        <v>0</v>
      </c>
      <c r="AR96" s="213">
        <f>SupplyChain_Tier1_Frontend[[#This Row],[Notes]]</f>
        <v>0</v>
      </c>
    </row>
    <row r="97" spans="2:44" ht="14.5" x14ac:dyDescent="0.35">
      <c r="B97" s="169"/>
      <c r="E97" s="236" t="s">
        <v>236</v>
      </c>
      <c r="F97" s="178" t="s">
        <v>1814</v>
      </c>
      <c r="G97" s="334"/>
      <c r="H97" s="172" t="s">
        <v>383</v>
      </c>
      <c r="I97" s="172" t="s">
        <v>384</v>
      </c>
      <c r="J97" s="336"/>
      <c r="K97" s="336"/>
      <c r="L97" s="337"/>
      <c r="M97" s="242">
        <f t="shared" si="4"/>
        <v>0</v>
      </c>
      <c r="N97"/>
      <c r="O97"/>
      <c r="Q97" s="211" t="str">
        <f t="shared" si="3"/>
        <v/>
      </c>
      <c r="R97" s="174" t="s">
        <v>267</v>
      </c>
      <c r="S97" s="174" t="s">
        <v>385</v>
      </c>
      <c r="T97" s="174" t="str" cm="1">
        <f t="array" aca="1" ref="T97" ca="1">_xlfn.XLOOKUP(SupplyChain_Tier1_Backend[[#This Row],[Level 2]],rng_Level2Long,rng_Level3Long)</f>
        <v>Supply chain</v>
      </c>
      <c r="U97" s="174" t="str">
        <f>SupplyChain_Tier1_Frontend[[#This Row],[Category]]</f>
        <v>Professional, scientific and technical activities</v>
      </c>
      <c r="V97" s="174" t="str">
        <f>SupplyChain_Tier1_Frontend[[#This Row],[Product Category]]</f>
        <v>Legal services</v>
      </c>
      <c r="W97" s="174" t="str" cm="1">
        <f t="array" aca="1" ref="W97" ca="1">_xlfn.XLOOKUP(SupplyChain_Tier1_Backend[[#This Row],[Level 5]],rng_Level5Long,rng_Level6Long)</f>
        <v>NaN</v>
      </c>
      <c r="X97" s="174" t="str">
        <f>SupplyChain_Tier1_Frontend[[#This Row],[Data type]]</f>
        <v>Spend-based EF</v>
      </c>
      <c r="Y97" s="174" t="s">
        <v>339</v>
      </c>
      <c r="Z97" s="174" t="s">
        <v>198</v>
      </c>
      <c r="AA97" s="229" cm="1">
        <f t="array" aca="1" ref="AA97" ca="1">INDEX(_xlfn.SWITCH(SupplyChain_Tier1_Backend[[#This Row],[Methodology]],"Tier 1",rng_RSD1,"Tier 2",rng_RSD2,"Tier 3",rng_RSD3),MATCH(_xlfn.CONCAT(SupplyChain_Tier1_Backend[[#This Row],[Level 1]:[Level 6]]),rng_LevelsConcat,0))</f>
        <v>0.25</v>
      </c>
      <c r="AB97" s="220">
        <f>SupplyChain_Tier1_Frontend[[#This Row],[Data]]</f>
        <v>0</v>
      </c>
      <c r="AC97" s="220" t="str">
        <f>SupplyChain_Tier1_Frontend[[#This Row],[Units]]</f>
        <v>£</v>
      </c>
      <c r="AD9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7" s="174" t="str">
        <f>SupplyChain_Tier1_Frontend[[#This Row],[Units]]</f>
        <v>£</v>
      </c>
      <c r="AF97" s="210">
        <f ca="1">_xlfn.XLOOKUP(_xlfn.CONCAT(SupplyChain_Tier1_Backend[[#This Row],[Level 1]:[Level 6]]),rng_EFConcat,rng_EF1)*SupplyChain_Tier1_Backend[[#This Row],[Converted data]]/1000</f>
        <v>0</v>
      </c>
      <c r="AG97" s="210">
        <f ca="1">_xlfn.XLOOKUP(_xlfn.CONCAT(SupplyChain_Tier1_Backend[[#This Row],[Level 1]:[Level 6]]),rng_EFConcat,rng_EF2)*SupplyChain_Tier1_Backend[[#This Row],[Converted data]]/1000</f>
        <v>0</v>
      </c>
      <c r="AH97" s="210">
        <f ca="1">_xlfn.XLOOKUP(_xlfn.CONCAT(SupplyChain_Tier1_Backend[[#This Row],[Level 1]:[Level 6]]),rng_EFConcat,rng_EF3)*SupplyChain_Tier1_Backend[[#This Row],[Converted data]]/1000</f>
        <v>0</v>
      </c>
      <c r="AI97" s="210">
        <f ca="1">_xlfn.XLOOKUP(_xlfn.CONCAT(SupplyChain_Tier1_Backend[[#This Row],[Level 1]:[Level 6]]),rng_EFConcat,rng_EF3WTT)*SupplyChain_Tier1_Backend[[#This Row],[Converted data]]/1000</f>
        <v>0</v>
      </c>
      <c r="AJ97" s="210">
        <f ca="1">_xlfn.XLOOKUP(_xlfn.CONCAT(SupplyChain_Tier1_Backend[[#This Row],[Level 1]:[Level 6]]),rng_EFConcat,rng_EF3TD)*SupplyChain_Tier1_Backend[[#This Row],[Converted data]]/1000</f>
        <v>0</v>
      </c>
      <c r="AK97" s="210">
        <f ca="1">_xlfn.XLOOKUP(_xlfn.CONCAT(SupplyChain_Tier1_Backend[[#This Row],[Level 1]:[Level 6]]),rng_EFConcat,rng_EF3WTTTD)*SupplyChain_Tier1_Backend[[#This Row],[Converted data]]/1000</f>
        <v>0</v>
      </c>
      <c r="AL97" s="220" t="str">
        <f>IF($G97="","", SUM(SupplyChain_Tier1_Backend[[#This Row],[Scope 1 (tCO2e)]:[Scope 3 WTT T&amp;D (tCO2e)]]))</f>
        <v/>
      </c>
      <c r="AM97" s="220" t="str">
        <f>IF($G97="","", SupplyChain_Tier1_Backend[[#This Row],[Total (tCO2e)]]*(1-SupplyChain_Tier1_Backend[[#This Row],[RSD]]))</f>
        <v/>
      </c>
      <c r="AN97" s="220" t="str">
        <f>IF($G97="","", SupplyChain_Tier1_Backend[[#This Row],[Total (tCO2e)]]*(1+SupplyChain_Tier1_Backend[[#This Row],[RSD]]))</f>
        <v/>
      </c>
      <c r="AO97" s="210">
        <f ca="1">_xlfn.XLOOKUP(_xlfn.CONCAT(SupplyChain_Tier1_Backend[[#This Row],[Level 1]:[Level 6]]),rng_EFConcat,rng_EFOOS)*SupplyChain_Tier1_Backend[[#This Row],[Converted data]]/1000</f>
        <v>0</v>
      </c>
      <c r="AP97" s="174">
        <f>SupplyChain_Tier1_Frontend[[#This Row],[Ease of collection]]</f>
        <v>0</v>
      </c>
      <c r="AQ97" s="213">
        <f>SupplyChain_Tier1_Frontend[[#This Row],[Completeness]]</f>
        <v>0</v>
      </c>
      <c r="AR97" s="213">
        <f>SupplyChain_Tier1_Frontend[[#This Row],[Notes]]</f>
        <v>0</v>
      </c>
    </row>
    <row r="98" spans="2:44" ht="28.5" x14ac:dyDescent="0.35">
      <c r="B98" s="169"/>
      <c r="E98" s="236" t="s">
        <v>236</v>
      </c>
      <c r="F98" s="178" t="s">
        <v>1815</v>
      </c>
      <c r="G98" s="334"/>
      <c r="H98" s="172" t="s">
        <v>383</v>
      </c>
      <c r="I98" s="172" t="s">
        <v>384</v>
      </c>
      <c r="J98" s="336"/>
      <c r="K98" s="336"/>
      <c r="L98" s="337"/>
      <c r="M98" s="242">
        <f t="shared" si="4"/>
        <v>0</v>
      </c>
      <c r="N98"/>
      <c r="O98"/>
      <c r="Q98" s="211" t="str">
        <f t="shared" si="3"/>
        <v/>
      </c>
      <c r="R98" s="174" t="s">
        <v>267</v>
      </c>
      <c r="S98" s="174" t="s">
        <v>385</v>
      </c>
      <c r="T98" s="174" t="str" cm="1">
        <f t="array" aca="1" ref="T98" ca="1">_xlfn.XLOOKUP(SupplyChain_Tier1_Backend[[#This Row],[Level 2]],rng_Level2Long,rng_Level3Long)</f>
        <v>Supply chain</v>
      </c>
      <c r="U98" s="174" t="str">
        <f>SupplyChain_Tier1_Frontend[[#This Row],[Category]]</f>
        <v>Professional, scientific and technical activities</v>
      </c>
      <c r="V98" s="174" t="str">
        <f>SupplyChain_Tier1_Frontend[[#This Row],[Product Category]]</f>
        <v>Accounting, bookkeeping and auditing services; tax consulting services</v>
      </c>
      <c r="W98" s="174" t="str" cm="1">
        <f t="array" aca="1" ref="W98" ca="1">_xlfn.XLOOKUP(SupplyChain_Tier1_Backend[[#This Row],[Level 5]],rng_Level5Long,rng_Level6Long)</f>
        <v>NaN</v>
      </c>
      <c r="X98" s="174" t="str">
        <f>SupplyChain_Tier1_Frontend[[#This Row],[Data type]]</f>
        <v>Spend-based EF</v>
      </c>
      <c r="Y98" s="174" t="s">
        <v>339</v>
      </c>
      <c r="Z98" s="174" t="s">
        <v>198</v>
      </c>
      <c r="AA98" s="229" cm="1">
        <f t="array" aca="1" ref="AA98" ca="1">INDEX(_xlfn.SWITCH(SupplyChain_Tier1_Backend[[#This Row],[Methodology]],"Tier 1",rng_RSD1,"Tier 2",rng_RSD2,"Tier 3",rng_RSD3),MATCH(_xlfn.CONCAT(SupplyChain_Tier1_Backend[[#This Row],[Level 1]:[Level 6]]),rng_LevelsConcat,0))</f>
        <v>0.25</v>
      </c>
      <c r="AB98" s="220">
        <f>SupplyChain_Tier1_Frontend[[#This Row],[Data]]</f>
        <v>0</v>
      </c>
      <c r="AC98" s="220" t="str">
        <f>SupplyChain_Tier1_Frontend[[#This Row],[Units]]</f>
        <v>£</v>
      </c>
      <c r="AD9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8" s="174" t="str">
        <f>SupplyChain_Tier1_Frontend[[#This Row],[Units]]</f>
        <v>£</v>
      </c>
      <c r="AF98" s="210">
        <f ca="1">_xlfn.XLOOKUP(_xlfn.CONCAT(SupplyChain_Tier1_Backend[[#This Row],[Level 1]:[Level 6]]),rng_EFConcat,rng_EF1)*SupplyChain_Tier1_Backend[[#This Row],[Converted data]]/1000</f>
        <v>0</v>
      </c>
      <c r="AG98" s="210">
        <f ca="1">_xlfn.XLOOKUP(_xlfn.CONCAT(SupplyChain_Tier1_Backend[[#This Row],[Level 1]:[Level 6]]),rng_EFConcat,rng_EF2)*SupplyChain_Tier1_Backend[[#This Row],[Converted data]]/1000</f>
        <v>0</v>
      </c>
      <c r="AH98" s="210">
        <f ca="1">_xlfn.XLOOKUP(_xlfn.CONCAT(SupplyChain_Tier1_Backend[[#This Row],[Level 1]:[Level 6]]),rng_EFConcat,rng_EF3)*SupplyChain_Tier1_Backend[[#This Row],[Converted data]]/1000</f>
        <v>0</v>
      </c>
      <c r="AI98" s="210">
        <f ca="1">_xlfn.XLOOKUP(_xlfn.CONCAT(SupplyChain_Tier1_Backend[[#This Row],[Level 1]:[Level 6]]),rng_EFConcat,rng_EF3WTT)*SupplyChain_Tier1_Backend[[#This Row],[Converted data]]/1000</f>
        <v>0</v>
      </c>
      <c r="AJ98" s="210">
        <f ca="1">_xlfn.XLOOKUP(_xlfn.CONCAT(SupplyChain_Tier1_Backend[[#This Row],[Level 1]:[Level 6]]),rng_EFConcat,rng_EF3TD)*SupplyChain_Tier1_Backend[[#This Row],[Converted data]]/1000</f>
        <v>0</v>
      </c>
      <c r="AK98" s="210">
        <f ca="1">_xlfn.XLOOKUP(_xlfn.CONCAT(SupplyChain_Tier1_Backend[[#This Row],[Level 1]:[Level 6]]),rng_EFConcat,rng_EF3WTTTD)*SupplyChain_Tier1_Backend[[#This Row],[Converted data]]/1000</f>
        <v>0</v>
      </c>
      <c r="AL98" s="220" t="str">
        <f>IF($G98="","", SUM(SupplyChain_Tier1_Backend[[#This Row],[Scope 1 (tCO2e)]:[Scope 3 WTT T&amp;D (tCO2e)]]))</f>
        <v/>
      </c>
      <c r="AM98" s="220" t="str">
        <f>IF($G98="","", SupplyChain_Tier1_Backend[[#This Row],[Total (tCO2e)]]*(1-SupplyChain_Tier1_Backend[[#This Row],[RSD]]))</f>
        <v/>
      </c>
      <c r="AN98" s="220" t="str">
        <f>IF($G98="","", SupplyChain_Tier1_Backend[[#This Row],[Total (tCO2e)]]*(1+SupplyChain_Tier1_Backend[[#This Row],[RSD]]))</f>
        <v/>
      </c>
      <c r="AO98" s="210">
        <f ca="1">_xlfn.XLOOKUP(_xlfn.CONCAT(SupplyChain_Tier1_Backend[[#This Row],[Level 1]:[Level 6]]),rng_EFConcat,rng_EFOOS)*SupplyChain_Tier1_Backend[[#This Row],[Converted data]]/1000</f>
        <v>0</v>
      </c>
      <c r="AP98" s="174">
        <f>SupplyChain_Tier1_Frontend[[#This Row],[Ease of collection]]</f>
        <v>0</v>
      </c>
      <c r="AQ98" s="213">
        <f>SupplyChain_Tier1_Frontend[[#This Row],[Completeness]]</f>
        <v>0</v>
      </c>
      <c r="AR98" s="213">
        <f>SupplyChain_Tier1_Frontend[[#This Row],[Notes]]</f>
        <v>0</v>
      </c>
    </row>
    <row r="99" spans="2:44" ht="28.5" x14ac:dyDescent="0.35">
      <c r="B99" s="169"/>
      <c r="E99" s="236" t="s">
        <v>236</v>
      </c>
      <c r="F99" s="178" t="s">
        <v>1816</v>
      </c>
      <c r="G99" s="334"/>
      <c r="H99" s="172" t="s">
        <v>383</v>
      </c>
      <c r="I99" s="172" t="s">
        <v>384</v>
      </c>
      <c r="J99" s="336"/>
      <c r="K99" s="336"/>
      <c r="L99" s="337"/>
      <c r="M99" s="242">
        <f t="shared" si="4"/>
        <v>0</v>
      </c>
      <c r="N99"/>
      <c r="O99"/>
      <c r="Q99" s="211" t="str">
        <f t="shared" si="3"/>
        <v/>
      </c>
      <c r="R99" s="174" t="s">
        <v>267</v>
      </c>
      <c r="S99" s="174" t="s">
        <v>385</v>
      </c>
      <c r="T99" s="174" t="str" cm="1">
        <f t="array" aca="1" ref="T99" ca="1">_xlfn.XLOOKUP(SupplyChain_Tier1_Backend[[#This Row],[Level 2]],rng_Level2Long,rng_Level3Long)</f>
        <v>Supply chain</v>
      </c>
      <c r="U99" s="174" t="str">
        <f>SupplyChain_Tier1_Frontend[[#This Row],[Category]]</f>
        <v>Professional, scientific and technical activities</v>
      </c>
      <c r="V99" s="174" t="str">
        <f>SupplyChain_Tier1_Frontend[[#This Row],[Product Category]]</f>
        <v>Services of head offices; management consulting services</v>
      </c>
      <c r="W99" s="174" t="str" cm="1">
        <f t="array" aca="1" ref="W99" ca="1">_xlfn.XLOOKUP(SupplyChain_Tier1_Backend[[#This Row],[Level 5]],rng_Level5Long,rng_Level6Long)</f>
        <v>NaN</v>
      </c>
      <c r="X99" s="174" t="str">
        <f>SupplyChain_Tier1_Frontend[[#This Row],[Data type]]</f>
        <v>Spend-based EF</v>
      </c>
      <c r="Y99" s="174" t="s">
        <v>339</v>
      </c>
      <c r="Z99" s="174" t="s">
        <v>198</v>
      </c>
      <c r="AA99" s="229" cm="1">
        <f t="array" aca="1" ref="AA99" ca="1">INDEX(_xlfn.SWITCH(SupplyChain_Tier1_Backend[[#This Row],[Methodology]],"Tier 1",rng_RSD1,"Tier 2",rng_RSD2,"Tier 3",rng_RSD3),MATCH(_xlfn.CONCAT(SupplyChain_Tier1_Backend[[#This Row],[Level 1]:[Level 6]]),rng_LevelsConcat,0))</f>
        <v>0.25</v>
      </c>
      <c r="AB99" s="220">
        <f>SupplyChain_Tier1_Frontend[[#This Row],[Data]]</f>
        <v>0</v>
      </c>
      <c r="AC99" s="220" t="str">
        <f>SupplyChain_Tier1_Frontend[[#This Row],[Units]]</f>
        <v>£</v>
      </c>
      <c r="AD9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99" s="174" t="str">
        <f>SupplyChain_Tier1_Frontend[[#This Row],[Units]]</f>
        <v>£</v>
      </c>
      <c r="AF99" s="210">
        <f ca="1">_xlfn.XLOOKUP(_xlfn.CONCAT(SupplyChain_Tier1_Backend[[#This Row],[Level 1]:[Level 6]]),rng_EFConcat,rng_EF1)*SupplyChain_Tier1_Backend[[#This Row],[Converted data]]/1000</f>
        <v>0</v>
      </c>
      <c r="AG99" s="210">
        <f ca="1">_xlfn.XLOOKUP(_xlfn.CONCAT(SupplyChain_Tier1_Backend[[#This Row],[Level 1]:[Level 6]]),rng_EFConcat,rng_EF2)*SupplyChain_Tier1_Backend[[#This Row],[Converted data]]/1000</f>
        <v>0</v>
      </c>
      <c r="AH99" s="210">
        <f ca="1">_xlfn.XLOOKUP(_xlfn.CONCAT(SupplyChain_Tier1_Backend[[#This Row],[Level 1]:[Level 6]]),rng_EFConcat,rng_EF3)*SupplyChain_Tier1_Backend[[#This Row],[Converted data]]/1000</f>
        <v>0</v>
      </c>
      <c r="AI99" s="210">
        <f ca="1">_xlfn.XLOOKUP(_xlfn.CONCAT(SupplyChain_Tier1_Backend[[#This Row],[Level 1]:[Level 6]]),rng_EFConcat,rng_EF3WTT)*SupplyChain_Tier1_Backend[[#This Row],[Converted data]]/1000</f>
        <v>0</v>
      </c>
      <c r="AJ99" s="210">
        <f ca="1">_xlfn.XLOOKUP(_xlfn.CONCAT(SupplyChain_Tier1_Backend[[#This Row],[Level 1]:[Level 6]]),rng_EFConcat,rng_EF3TD)*SupplyChain_Tier1_Backend[[#This Row],[Converted data]]/1000</f>
        <v>0</v>
      </c>
      <c r="AK99" s="210">
        <f ca="1">_xlfn.XLOOKUP(_xlfn.CONCAT(SupplyChain_Tier1_Backend[[#This Row],[Level 1]:[Level 6]]),rng_EFConcat,rng_EF3WTTTD)*SupplyChain_Tier1_Backend[[#This Row],[Converted data]]/1000</f>
        <v>0</v>
      </c>
      <c r="AL99" s="220" t="str">
        <f>IF($G99="","", SUM(SupplyChain_Tier1_Backend[[#This Row],[Scope 1 (tCO2e)]:[Scope 3 WTT T&amp;D (tCO2e)]]))</f>
        <v/>
      </c>
      <c r="AM99" s="220" t="str">
        <f>IF($G99="","", SupplyChain_Tier1_Backend[[#This Row],[Total (tCO2e)]]*(1-SupplyChain_Tier1_Backend[[#This Row],[RSD]]))</f>
        <v/>
      </c>
      <c r="AN99" s="220" t="str">
        <f>IF($G99="","", SupplyChain_Tier1_Backend[[#This Row],[Total (tCO2e)]]*(1+SupplyChain_Tier1_Backend[[#This Row],[RSD]]))</f>
        <v/>
      </c>
      <c r="AO99" s="210">
        <f ca="1">_xlfn.XLOOKUP(_xlfn.CONCAT(SupplyChain_Tier1_Backend[[#This Row],[Level 1]:[Level 6]]),rng_EFConcat,rng_EFOOS)*SupplyChain_Tier1_Backend[[#This Row],[Converted data]]/1000</f>
        <v>0</v>
      </c>
      <c r="AP99" s="174">
        <f>SupplyChain_Tier1_Frontend[[#This Row],[Ease of collection]]</f>
        <v>0</v>
      </c>
      <c r="AQ99" s="213">
        <f>SupplyChain_Tier1_Frontend[[#This Row],[Completeness]]</f>
        <v>0</v>
      </c>
      <c r="AR99" s="213">
        <f>SupplyChain_Tier1_Frontend[[#This Row],[Notes]]</f>
        <v>0</v>
      </c>
    </row>
    <row r="100" spans="2:44" ht="28.5" x14ac:dyDescent="0.35">
      <c r="B100" s="169"/>
      <c r="E100" s="236" t="s">
        <v>236</v>
      </c>
      <c r="F100" s="178" t="s">
        <v>1817</v>
      </c>
      <c r="G100" s="334"/>
      <c r="H100" s="172" t="s">
        <v>383</v>
      </c>
      <c r="I100" s="172" t="s">
        <v>384</v>
      </c>
      <c r="J100" s="336"/>
      <c r="K100" s="336"/>
      <c r="L100" s="337"/>
      <c r="M100" s="242">
        <f t="shared" si="4"/>
        <v>0</v>
      </c>
      <c r="N100"/>
      <c r="O100"/>
      <c r="Q100" s="211" t="str">
        <f t="shared" si="3"/>
        <v/>
      </c>
      <c r="R100" s="174" t="s">
        <v>267</v>
      </c>
      <c r="S100" s="174" t="s">
        <v>385</v>
      </c>
      <c r="T100" s="174" t="str" cm="1">
        <f t="array" aca="1" ref="T100" ca="1">_xlfn.XLOOKUP(SupplyChain_Tier1_Backend[[#This Row],[Level 2]],rng_Level2Long,rng_Level3Long)</f>
        <v>Supply chain</v>
      </c>
      <c r="U100" s="174" t="str">
        <f>SupplyChain_Tier1_Frontend[[#This Row],[Category]]</f>
        <v>Professional, scientific and technical activities</v>
      </c>
      <c r="V100" s="174" t="str">
        <f>SupplyChain_Tier1_Frontend[[#This Row],[Product Category]]</f>
        <v>Architectural and engineering services; technical testing and analysis services</v>
      </c>
      <c r="W100" s="174" t="str" cm="1">
        <f t="array" aca="1" ref="W100" ca="1">_xlfn.XLOOKUP(SupplyChain_Tier1_Backend[[#This Row],[Level 5]],rng_Level5Long,rng_Level6Long)</f>
        <v>NaN</v>
      </c>
      <c r="X100" s="174" t="str">
        <f>SupplyChain_Tier1_Frontend[[#This Row],[Data type]]</f>
        <v>Spend-based EF</v>
      </c>
      <c r="Y100" s="174" t="s">
        <v>339</v>
      </c>
      <c r="Z100" s="174" t="s">
        <v>198</v>
      </c>
      <c r="AA100" s="229" cm="1">
        <f t="array" aca="1" ref="AA100" ca="1">INDEX(_xlfn.SWITCH(SupplyChain_Tier1_Backend[[#This Row],[Methodology]],"Tier 1",rng_RSD1,"Tier 2",rng_RSD2,"Tier 3",rng_RSD3),MATCH(_xlfn.CONCAT(SupplyChain_Tier1_Backend[[#This Row],[Level 1]:[Level 6]]),rng_LevelsConcat,0))</f>
        <v>0.25</v>
      </c>
      <c r="AB100" s="220">
        <f>SupplyChain_Tier1_Frontend[[#This Row],[Data]]</f>
        <v>0</v>
      </c>
      <c r="AC100" s="220" t="str">
        <f>SupplyChain_Tier1_Frontend[[#This Row],[Units]]</f>
        <v>£</v>
      </c>
      <c r="AD10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0" s="174" t="str">
        <f>SupplyChain_Tier1_Frontend[[#This Row],[Units]]</f>
        <v>£</v>
      </c>
      <c r="AF100" s="210">
        <f ca="1">_xlfn.XLOOKUP(_xlfn.CONCAT(SupplyChain_Tier1_Backend[[#This Row],[Level 1]:[Level 6]]),rng_EFConcat,rng_EF1)*SupplyChain_Tier1_Backend[[#This Row],[Converted data]]/1000</f>
        <v>0</v>
      </c>
      <c r="AG100" s="210">
        <f ca="1">_xlfn.XLOOKUP(_xlfn.CONCAT(SupplyChain_Tier1_Backend[[#This Row],[Level 1]:[Level 6]]),rng_EFConcat,rng_EF2)*SupplyChain_Tier1_Backend[[#This Row],[Converted data]]/1000</f>
        <v>0</v>
      </c>
      <c r="AH100" s="210">
        <f ca="1">_xlfn.XLOOKUP(_xlfn.CONCAT(SupplyChain_Tier1_Backend[[#This Row],[Level 1]:[Level 6]]),rng_EFConcat,rng_EF3)*SupplyChain_Tier1_Backend[[#This Row],[Converted data]]/1000</f>
        <v>0</v>
      </c>
      <c r="AI100" s="210">
        <f ca="1">_xlfn.XLOOKUP(_xlfn.CONCAT(SupplyChain_Tier1_Backend[[#This Row],[Level 1]:[Level 6]]),rng_EFConcat,rng_EF3WTT)*SupplyChain_Tier1_Backend[[#This Row],[Converted data]]/1000</f>
        <v>0</v>
      </c>
      <c r="AJ100" s="210">
        <f ca="1">_xlfn.XLOOKUP(_xlfn.CONCAT(SupplyChain_Tier1_Backend[[#This Row],[Level 1]:[Level 6]]),rng_EFConcat,rng_EF3TD)*SupplyChain_Tier1_Backend[[#This Row],[Converted data]]/1000</f>
        <v>0</v>
      </c>
      <c r="AK100" s="210">
        <f ca="1">_xlfn.XLOOKUP(_xlfn.CONCAT(SupplyChain_Tier1_Backend[[#This Row],[Level 1]:[Level 6]]),rng_EFConcat,rng_EF3WTTTD)*SupplyChain_Tier1_Backend[[#This Row],[Converted data]]/1000</f>
        <v>0</v>
      </c>
      <c r="AL100" s="220" t="str">
        <f>IF($G100="","", SUM(SupplyChain_Tier1_Backend[[#This Row],[Scope 1 (tCO2e)]:[Scope 3 WTT T&amp;D (tCO2e)]]))</f>
        <v/>
      </c>
      <c r="AM100" s="220" t="str">
        <f>IF($G100="","", SupplyChain_Tier1_Backend[[#This Row],[Total (tCO2e)]]*(1-SupplyChain_Tier1_Backend[[#This Row],[RSD]]))</f>
        <v/>
      </c>
      <c r="AN100" s="220" t="str">
        <f>IF($G100="","", SupplyChain_Tier1_Backend[[#This Row],[Total (tCO2e)]]*(1+SupplyChain_Tier1_Backend[[#This Row],[RSD]]))</f>
        <v/>
      </c>
      <c r="AO100" s="210">
        <f ca="1">_xlfn.XLOOKUP(_xlfn.CONCAT(SupplyChain_Tier1_Backend[[#This Row],[Level 1]:[Level 6]]),rng_EFConcat,rng_EFOOS)*SupplyChain_Tier1_Backend[[#This Row],[Converted data]]/1000</f>
        <v>0</v>
      </c>
      <c r="AP100" s="174">
        <f>SupplyChain_Tier1_Frontend[[#This Row],[Ease of collection]]</f>
        <v>0</v>
      </c>
      <c r="AQ100" s="213">
        <f>SupplyChain_Tier1_Frontend[[#This Row],[Completeness]]</f>
        <v>0</v>
      </c>
      <c r="AR100" s="213">
        <f>SupplyChain_Tier1_Frontend[[#This Row],[Notes]]</f>
        <v>0</v>
      </c>
    </row>
    <row r="101" spans="2:44" ht="14.5" x14ac:dyDescent="0.35">
      <c r="B101" s="169"/>
      <c r="E101" s="236" t="s">
        <v>236</v>
      </c>
      <c r="F101" s="178" t="s">
        <v>1818</v>
      </c>
      <c r="G101" s="334"/>
      <c r="H101" s="172" t="s">
        <v>383</v>
      </c>
      <c r="I101" s="172" t="s">
        <v>384</v>
      </c>
      <c r="J101" s="336"/>
      <c r="K101" s="336"/>
      <c r="L101" s="337"/>
      <c r="M101" s="242">
        <f t="shared" si="4"/>
        <v>0</v>
      </c>
      <c r="N101"/>
      <c r="O101"/>
      <c r="Q101" s="211" t="str">
        <f t="shared" si="3"/>
        <v/>
      </c>
      <c r="R101" s="174" t="s">
        <v>267</v>
      </c>
      <c r="S101" s="174" t="s">
        <v>385</v>
      </c>
      <c r="T101" s="174" t="str" cm="1">
        <f t="array" aca="1" ref="T101" ca="1">_xlfn.XLOOKUP(SupplyChain_Tier1_Backend[[#This Row],[Level 2]],rng_Level2Long,rng_Level3Long)</f>
        <v>Supply chain</v>
      </c>
      <c r="U101" s="174" t="str">
        <f>SupplyChain_Tier1_Frontend[[#This Row],[Category]]</f>
        <v>Professional, scientific and technical activities</v>
      </c>
      <c r="V101" s="174" t="str">
        <f>SupplyChain_Tier1_Frontend[[#This Row],[Product Category]]</f>
        <v>Scientific research and development services</v>
      </c>
      <c r="W101" s="174" t="str" cm="1">
        <f t="array" aca="1" ref="W101" ca="1">_xlfn.XLOOKUP(SupplyChain_Tier1_Backend[[#This Row],[Level 5]],rng_Level5Long,rng_Level6Long)</f>
        <v>NaN</v>
      </c>
      <c r="X101" s="174" t="str">
        <f>SupplyChain_Tier1_Frontend[[#This Row],[Data type]]</f>
        <v>Spend-based EF</v>
      </c>
      <c r="Y101" s="174" t="s">
        <v>339</v>
      </c>
      <c r="Z101" s="174" t="s">
        <v>198</v>
      </c>
      <c r="AA101" s="229" cm="1">
        <f t="array" aca="1" ref="AA101" ca="1">INDEX(_xlfn.SWITCH(SupplyChain_Tier1_Backend[[#This Row],[Methodology]],"Tier 1",rng_RSD1,"Tier 2",rng_RSD2,"Tier 3",rng_RSD3),MATCH(_xlfn.CONCAT(SupplyChain_Tier1_Backend[[#This Row],[Level 1]:[Level 6]]),rng_LevelsConcat,0))</f>
        <v>0.25</v>
      </c>
      <c r="AB101" s="220">
        <f>SupplyChain_Tier1_Frontend[[#This Row],[Data]]</f>
        <v>0</v>
      </c>
      <c r="AC101" s="220" t="str">
        <f>SupplyChain_Tier1_Frontend[[#This Row],[Units]]</f>
        <v>£</v>
      </c>
      <c r="AD10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1" s="174" t="str">
        <f>SupplyChain_Tier1_Frontend[[#This Row],[Units]]</f>
        <v>£</v>
      </c>
      <c r="AF101" s="210">
        <f ca="1">_xlfn.XLOOKUP(_xlfn.CONCAT(SupplyChain_Tier1_Backend[[#This Row],[Level 1]:[Level 6]]),rng_EFConcat,rng_EF1)*SupplyChain_Tier1_Backend[[#This Row],[Converted data]]/1000</f>
        <v>0</v>
      </c>
      <c r="AG101" s="210">
        <f ca="1">_xlfn.XLOOKUP(_xlfn.CONCAT(SupplyChain_Tier1_Backend[[#This Row],[Level 1]:[Level 6]]),rng_EFConcat,rng_EF2)*SupplyChain_Tier1_Backend[[#This Row],[Converted data]]/1000</f>
        <v>0</v>
      </c>
      <c r="AH101" s="210">
        <f ca="1">_xlfn.XLOOKUP(_xlfn.CONCAT(SupplyChain_Tier1_Backend[[#This Row],[Level 1]:[Level 6]]),rng_EFConcat,rng_EF3)*SupplyChain_Tier1_Backend[[#This Row],[Converted data]]/1000</f>
        <v>0</v>
      </c>
      <c r="AI101" s="210">
        <f ca="1">_xlfn.XLOOKUP(_xlfn.CONCAT(SupplyChain_Tier1_Backend[[#This Row],[Level 1]:[Level 6]]),rng_EFConcat,rng_EF3WTT)*SupplyChain_Tier1_Backend[[#This Row],[Converted data]]/1000</f>
        <v>0</v>
      </c>
      <c r="AJ101" s="210">
        <f ca="1">_xlfn.XLOOKUP(_xlfn.CONCAT(SupplyChain_Tier1_Backend[[#This Row],[Level 1]:[Level 6]]),rng_EFConcat,rng_EF3TD)*SupplyChain_Tier1_Backend[[#This Row],[Converted data]]/1000</f>
        <v>0</v>
      </c>
      <c r="AK101" s="210">
        <f ca="1">_xlfn.XLOOKUP(_xlfn.CONCAT(SupplyChain_Tier1_Backend[[#This Row],[Level 1]:[Level 6]]),rng_EFConcat,rng_EF3WTTTD)*SupplyChain_Tier1_Backend[[#This Row],[Converted data]]/1000</f>
        <v>0</v>
      </c>
      <c r="AL101" s="220" t="str">
        <f>IF($G101="","", SUM(SupplyChain_Tier1_Backend[[#This Row],[Scope 1 (tCO2e)]:[Scope 3 WTT T&amp;D (tCO2e)]]))</f>
        <v/>
      </c>
      <c r="AM101" s="220" t="str">
        <f>IF($G101="","", SupplyChain_Tier1_Backend[[#This Row],[Total (tCO2e)]]*(1-SupplyChain_Tier1_Backend[[#This Row],[RSD]]))</f>
        <v/>
      </c>
      <c r="AN101" s="220" t="str">
        <f>IF($G101="","", SupplyChain_Tier1_Backend[[#This Row],[Total (tCO2e)]]*(1+SupplyChain_Tier1_Backend[[#This Row],[RSD]]))</f>
        <v/>
      </c>
      <c r="AO101" s="210">
        <f ca="1">_xlfn.XLOOKUP(_xlfn.CONCAT(SupplyChain_Tier1_Backend[[#This Row],[Level 1]:[Level 6]]),rng_EFConcat,rng_EFOOS)*SupplyChain_Tier1_Backend[[#This Row],[Converted data]]/1000</f>
        <v>0</v>
      </c>
      <c r="AP101" s="174">
        <f>SupplyChain_Tier1_Frontend[[#This Row],[Ease of collection]]</f>
        <v>0</v>
      </c>
      <c r="AQ101" s="213">
        <f>SupplyChain_Tier1_Frontend[[#This Row],[Completeness]]</f>
        <v>0</v>
      </c>
      <c r="AR101" s="213">
        <f>SupplyChain_Tier1_Frontend[[#This Row],[Notes]]</f>
        <v>0</v>
      </c>
    </row>
    <row r="102" spans="2:44" ht="14.5" x14ac:dyDescent="0.35">
      <c r="B102" s="169"/>
      <c r="E102" s="236" t="s">
        <v>236</v>
      </c>
      <c r="F102" s="178" t="s">
        <v>1819</v>
      </c>
      <c r="G102" s="334"/>
      <c r="H102" s="172" t="s">
        <v>383</v>
      </c>
      <c r="I102" s="172" t="s">
        <v>384</v>
      </c>
      <c r="J102" s="336"/>
      <c r="K102" s="336"/>
      <c r="L102" s="337"/>
      <c r="M102" s="242">
        <f t="shared" si="4"/>
        <v>0</v>
      </c>
      <c r="N102"/>
      <c r="O102"/>
      <c r="Q102" s="211" t="str">
        <f t="shared" si="3"/>
        <v/>
      </c>
      <c r="R102" s="174" t="s">
        <v>267</v>
      </c>
      <c r="S102" s="174" t="s">
        <v>385</v>
      </c>
      <c r="T102" s="174" t="str" cm="1">
        <f t="array" aca="1" ref="T102" ca="1">_xlfn.XLOOKUP(SupplyChain_Tier1_Backend[[#This Row],[Level 2]],rng_Level2Long,rng_Level3Long)</f>
        <v>Supply chain</v>
      </c>
      <c r="U102" s="174" t="str">
        <f>SupplyChain_Tier1_Frontend[[#This Row],[Category]]</f>
        <v>Professional, scientific and technical activities</v>
      </c>
      <c r="V102" s="174" t="str">
        <f>SupplyChain_Tier1_Frontend[[#This Row],[Product Category]]</f>
        <v>Advertising and market research services</v>
      </c>
      <c r="W102" s="174" t="str" cm="1">
        <f t="array" aca="1" ref="W102" ca="1">_xlfn.XLOOKUP(SupplyChain_Tier1_Backend[[#This Row],[Level 5]],rng_Level5Long,rng_Level6Long)</f>
        <v>NaN</v>
      </c>
      <c r="X102" s="174" t="str">
        <f>SupplyChain_Tier1_Frontend[[#This Row],[Data type]]</f>
        <v>Spend-based EF</v>
      </c>
      <c r="Y102" s="174" t="s">
        <v>339</v>
      </c>
      <c r="Z102" s="174" t="s">
        <v>198</v>
      </c>
      <c r="AA102" s="229" cm="1">
        <f t="array" aca="1" ref="AA102" ca="1">INDEX(_xlfn.SWITCH(SupplyChain_Tier1_Backend[[#This Row],[Methodology]],"Tier 1",rng_RSD1,"Tier 2",rng_RSD2,"Tier 3",rng_RSD3),MATCH(_xlfn.CONCAT(SupplyChain_Tier1_Backend[[#This Row],[Level 1]:[Level 6]]),rng_LevelsConcat,0))</f>
        <v>0.25</v>
      </c>
      <c r="AB102" s="220">
        <f>SupplyChain_Tier1_Frontend[[#This Row],[Data]]</f>
        <v>0</v>
      </c>
      <c r="AC102" s="220" t="str">
        <f>SupplyChain_Tier1_Frontend[[#This Row],[Units]]</f>
        <v>£</v>
      </c>
      <c r="AD10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2" s="174" t="str">
        <f>SupplyChain_Tier1_Frontend[[#This Row],[Units]]</f>
        <v>£</v>
      </c>
      <c r="AF102" s="210">
        <f ca="1">_xlfn.XLOOKUP(_xlfn.CONCAT(SupplyChain_Tier1_Backend[[#This Row],[Level 1]:[Level 6]]),rng_EFConcat,rng_EF1)*SupplyChain_Tier1_Backend[[#This Row],[Converted data]]/1000</f>
        <v>0</v>
      </c>
      <c r="AG102" s="210">
        <f ca="1">_xlfn.XLOOKUP(_xlfn.CONCAT(SupplyChain_Tier1_Backend[[#This Row],[Level 1]:[Level 6]]),rng_EFConcat,rng_EF2)*SupplyChain_Tier1_Backend[[#This Row],[Converted data]]/1000</f>
        <v>0</v>
      </c>
      <c r="AH102" s="210">
        <f ca="1">_xlfn.XLOOKUP(_xlfn.CONCAT(SupplyChain_Tier1_Backend[[#This Row],[Level 1]:[Level 6]]),rng_EFConcat,rng_EF3)*SupplyChain_Tier1_Backend[[#This Row],[Converted data]]/1000</f>
        <v>0</v>
      </c>
      <c r="AI102" s="210">
        <f ca="1">_xlfn.XLOOKUP(_xlfn.CONCAT(SupplyChain_Tier1_Backend[[#This Row],[Level 1]:[Level 6]]),rng_EFConcat,rng_EF3WTT)*SupplyChain_Tier1_Backend[[#This Row],[Converted data]]/1000</f>
        <v>0</v>
      </c>
      <c r="AJ102" s="210">
        <f ca="1">_xlfn.XLOOKUP(_xlfn.CONCAT(SupplyChain_Tier1_Backend[[#This Row],[Level 1]:[Level 6]]),rng_EFConcat,rng_EF3TD)*SupplyChain_Tier1_Backend[[#This Row],[Converted data]]/1000</f>
        <v>0</v>
      </c>
      <c r="AK102" s="210">
        <f ca="1">_xlfn.XLOOKUP(_xlfn.CONCAT(SupplyChain_Tier1_Backend[[#This Row],[Level 1]:[Level 6]]),rng_EFConcat,rng_EF3WTTTD)*SupplyChain_Tier1_Backend[[#This Row],[Converted data]]/1000</f>
        <v>0</v>
      </c>
      <c r="AL102" s="220" t="str">
        <f>IF($G102="","", SUM(SupplyChain_Tier1_Backend[[#This Row],[Scope 1 (tCO2e)]:[Scope 3 WTT T&amp;D (tCO2e)]]))</f>
        <v/>
      </c>
      <c r="AM102" s="220" t="str">
        <f>IF($G102="","", SupplyChain_Tier1_Backend[[#This Row],[Total (tCO2e)]]*(1-SupplyChain_Tier1_Backend[[#This Row],[RSD]]))</f>
        <v/>
      </c>
      <c r="AN102" s="220" t="str">
        <f>IF($G102="","", SupplyChain_Tier1_Backend[[#This Row],[Total (tCO2e)]]*(1+SupplyChain_Tier1_Backend[[#This Row],[RSD]]))</f>
        <v/>
      </c>
      <c r="AO102" s="210">
        <f ca="1">_xlfn.XLOOKUP(_xlfn.CONCAT(SupplyChain_Tier1_Backend[[#This Row],[Level 1]:[Level 6]]),rng_EFConcat,rng_EFOOS)*SupplyChain_Tier1_Backend[[#This Row],[Converted data]]/1000</f>
        <v>0</v>
      </c>
      <c r="AP102" s="174">
        <f>SupplyChain_Tier1_Frontend[[#This Row],[Ease of collection]]</f>
        <v>0</v>
      </c>
      <c r="AQ102" s="213">
        <f>SupplyChain_Tier1_Frontend[[#This Row],[Completeness]]</f>
        <v>0</v>
      </c>
      <c r="AR102" s="213">
        <f>SupplyChain_Tier1_Frontend[[#This Row],[Notes]]</f>
        <v>0</v>
      </c>
    </row>
    <row r="103" spans="2:44" ht="14.5" x14ac:dyDescent="0.35">
      <c r="B103" s="169"/>
      <c r="E103" s="236" t="s">
        <v>236</v>
      </c>
      <c r="F103" s="178" t="s">
        <v>1820</v>
      </c>
      <c r="G103" s="334"/>
      <c r="H103" s="172" t="s">
        <v>383</v>
      </c>
      <c r="I103" s="172" t="s">
        <v>384</v>
      </c>
      <c r="J103" s="336"/>
      <c r="K103" s="336"/>
      <c r="L103" s="337"/>
      <c r="M103" s="242">
        <f t="shared" si="4"/>
        <v>0</v>
      </c>
      <c r="N103"/>
      <c r="O103"/>
      <c r="Q103" s="211" t="str">
        <f t="shared" si="3"/>
        <v/>
      </c>
      <c r="R103" s="174" t="s">
        <v>267</v>
      </c>
      <c r="S103" s="174" t="s">
        <v>385</v>
      </c>
      <c r="T103" s="174" t="str" cm="1">
        <f t="array" aca="1" ref="T103" ca="1">_xlfn.XLOOKUP(SupplyChain_Tier1_Backend[[#This Row],[Level 2]],rng_Level2Long,rng_Level3Long)</f>
        <v>Supply chain</v>
      </c>
      <c r="U103" s="174" t="str">
        <f>SupplyChain_Tier1_Frontend[[#This Row],[Category]]</f>
        <v>Professional, scientific and technical activities</v>
      </c>
      <c r="V103" s="174" t="str">
        <f>SupplyChain_Tier1_Frontend[[#This Row],[Product Category]]</f>
        <v>Other professional, scientific and technical services</v>
      </c>
      <c r="W103" s="174" t="str" cm="1">
        <f t="array" aca="1" ref="W103" ca="1">_xlfn.XLOOKUP(SupplyChain_Tier1_Backend[[#This Row],[Level 5]],rng_Level5Long,rng_Level6Long)</f>
        <v>NaN</v>
      </c>
      <c r="X103" s="174" t="str">
        <f>SupplyChain_Tier1_Frontend[[#This Row],[Data type]]</f>
        <v>Spend-based EF</v>
      </c>
      <c r="Y103" s="174" t="s">
        <v>339</v>
      </c>
      <c r="Z103" s="174" t="s">
        <v>198</v>
      </c>
      <c r="AA103" s="229" cm="1">
        <f t="array" aca="1" ref="AA103" ca="1">INDEX(_xlfn.SWITCH(SupplyChain_Tier1_Backend[[#This Row],[Methodology]],"Tier 1",rng_RSD1,"Tier 2",rng_RSD2,"Tier 3",rng_RSD3),MATCH(_xlfn.CONCAT(SupplyChain_Tier1_Backend[[#This Row],[Level 1]:[Level 6]]),rng_LevelsConcat,0))</f>
        <v>0.25</v>
      </c>
      <c r="AB103" s="220">
        <f>SupplyChain_Tier1_Frontend[[#This Row],[Data]]</f>
        <v>0</v>
      </c>
      <c r="AC103" s="220" t="str">
        <f>SupplyChain_Tier1_Frontend[[#This Row],[Units]]</f>
        <v>£</v>
      </c>
      <c r="AD10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3" s="174" t="str">
        <f>SupplyChain_Tier1_Frontend[[#This Row],[Units]]</f>
        <v>£</v>
      </c>
      <c r="AF103" s="210">
        <f ca="1">_xlfn.XLOOKUP(_xlfn.CONCAT(SupplyChain_Tier1_Backend[[#This Row],[Level 1]:[Level 6]]),rng_EFConcat,rng_EF1)*SupplyChain_Tier1_Backend[[#This Row],[Converted data]]/1000</f>
        <v>0</v>
      </c>
      <c r="AG103" s="210">
        <f ca="1">_xlfn.XLOOKUP(_xlfn.CONCAT(SupplyChain_Tier1_Backend[[#This Row],[Level 1]:[Level 6]]),rng_EFConcat,rng_EF2)*SupplyChain_Tier1_Backend[[#This Row],[Converted data]]/1000</f>
        <v>0</v>
      </c>
      <c r="AH103" s="210">
        <f ca="1">_xlfn.XLOOKUP(_xlfn.CONCAT(SupplyChain_Tier1_Backend[[#This Row],[Level 1]:[Level 6]]),rng_EFConcat,rng_EF3)*SupplyChain_Tier1_Backend[[#This Row],[Converted data]]/1000</f>
        <v>0</v>
      </c>
      <c r="AI103" s="210">
        <f ca="1">_xlfn.XLOOKUP(_xlfn.CONCAT(SupplyChain_Tier1_Backend[[#This Row],[Level 1]:[Level 6]]),rng_EFConcat,rng_EF3WTT)*SupplyChain_Tier1_Backend[[#This Row],[Converted data]]/1000</f>
        <v>0</v>
      </c>
      <c r="AJ103" s="210">
        <f ca="1">_xlfn.XLOOKUP(_xlfn.CONCAT(SupplyChain_Tier1_Backend[[#This Row],[Level 1]:[Level 6]]),rng_EFConcat,rng_EF3TD)*SupplyChain_Tier1_Backend[[#This Row],[Converted data]]/1000</f>
        <v>0</v>
      </c>
      <c r="AK103" s="210">
        <f ca="1">_xlfn.XLOOKUP(_xlfn.CONCAT(SupplyChain_Tier1_Backend[[#This Row],[Level 1]:[Level 6]]),rng_EFConcat,rng_EF3WTTTD)*SupplyChain_Tier1_Backend[[#This Row],[Converted data]]/1000</f>
        <v>0</v>
      </c>
      <c r="AL103" s="220" t="str">
        <f>IF($G103="","", SUM(SupplyChain_Tier1_Backend[[#This Row],[Scope 1 (tCO2e)]:[Scope 3 WTT T&amp;D (tCO2e)]]))</f>
        <v/>
      </c>
      <c r="AM103" s="220" t="str">
        <f>IF($G103="","", SupplyChain_Tier1_Backend[[#This Row],[Total (tCO2e)]]*(1-SupplyChain_Tier1_Backend[[#This Row],[RSD]]))</f>
        <v/>
      </c>
      <c r="AN103" s="220" t="str">
        <f>IF($G103="","", SupplyChain_Tier1_Backend[[#This Row],[Total (tCO2e)]]*(1+SupplyChain_Tier1_Backend[[#This Row],[RSD]]))</f>
        <v/>
      </c>
      <c r="AO103" s="210">
        <f ca="1">_xlfn.XLOOKUP(_xlfn.CONCAT(SupplyChain_Tier1_Backend[[#This Row],[Level 1]:[Level 6]]),rng_EFConcat,rng_EFOOS)*SupplyChain_Tier1_Backend[[#This Row],[Converted data]]/1000</f>
        <v>0</v>
      </c>
      <c r="AP103" s="174">
        <f>SupplyChain_Tier1_Frontend[[#This Row],[Ease of collection]]</f>
        <v>0</v>
      </c>
      <c r="AQ103" s="213">
        <f>SupplyChain_Tier1_Frontend[[#This Row],[Completeness]]</f>
        <v>0</v>
      </c>
      <c r="AR103" s="213">
        <f>SupplyChain_Tier1_Frontend[[#This Row],[Notes]]</f>
        <v>0</v>
      </c>
    </row>
    <row r="104" spans="2:44" ht="14.5" x14ac:dyDescent="0.35">
      <c r="B104" s="169"/>
      <c r="E104" s="236" t="s">
        <v>236</v>
      </c>
      <c r="F104" s="178" t="s">
        <v>1821</v>
      </c>
      <c r="G104" s="334"/>
      <c r="H104" s="172" t="s">
        <v>383</v>
      </c>
      <c r="I104" s="172" t="s">
        <v>384</v>
      </c>
      <c r="J104" s="336"/>
      <c r="K104" s="336"/>
      <c r="L104" s="337"/>
      <c r="M104" s="242">
        <f t="shared" si="4"/>
        <v>0</v>
      </c>
      <c r="N104"/>
      <c r="O104"/>
      <c r="Q104" s="211" t="str">
        <f t="shared" si="3"/>
        <v/>
      </c>
      <c r="R104" s="174" t="s">
        <v>267</v>
      </c>
      <c r="S104" s="174" t="s">
        <v>385</v>
      </c>
      <c r="T104" s="174" t="str" cm="1">
        <f t="array" aca="1" ref="T104" ca="1">_xlfn.XLOOKUP(SupplyChain_Tier1_Backend[[#This Row],[Level 2]],rng_Level2Long,rng_Level3Long)</f>
        <v>Supply chain</v>
      </c>
      <c r="U104" s="174" t="str">
        <f>SupplyChain_Tier1_Frontend[[#This Row],[Category]]</f>
        <v>Professional, scientific and technical activities</v>
      </c>
      <c r="V104" s="174" t="str">
        <f>SupplyChain_Tier1_Frontend[[#This Row],[Product Category]]</f>
        <v>Veterinary services</v>
      </c>
      <c r="W104" s="174" t="str" cm="1">
        <f t="array" aca="1" ref="W104" ca="1">_xlfn.XLOOKUP(SupplyChain_Tier1_Backend[[#This Row],[Level 5]],rng_Level5Long,rng_Level6Long)</f>
        <v>NaN</v>
      </c>
      <c r="X104" s="174" t="str">
        <f>SupplyChain_Tier1_Frontend[[#This Row],[Data type]]</f>
        <v>Spend-based EF</v>
      </c>
      <c r="Y104" s="174" t="s">
        <v>339</v>
      </c>
      <c r="Z104" s="174" t="s">
        <v>198</v>
      </c>
      <c r="AA104" s="229" cm="1">
        <f t="array" aca="1" ref="AA104" ca="1">INDEX(_xlfn.SWITCH(SupplyChain_Tier1_Backend[[#This Row],[Methodology]],"Tier 1",rng_RSD1,"Tier 2",rng_RSD2,"Tier 3",rng_RSD3),MATCH(_xlfn.CONCAT(SupplyChain_Tier1_Backend[[#This Row],[Level 1]:[Level 6]]),rng_LevelsConcat,0))</f>
        <v>0.25</v>
      </c>
      <c r="AB104" s="220">
        <f>SupplyChain_Tier1_Frontend[[#This Row],[Data]]</f>
        <v>0</v>
      </c>
      <c r="AC104" s="220" t="str">
        <f>SupplyChain_Tier1_Frontend[[#This Row],[Units]]</f>
        <v>£</v>
      </c>
      <c r="AD10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4" s="174" t="str">
        <f>SupplyChain_Tier1_Frontend[[#This Row],[Units]]</f>
        <v>£</v>
      </c>
      <c r="AF104" s="210">
        <f ca="1">_xlfn.XLOOKUP(_xlfn.CONCAT(SupplyChain_Tier1_Backend[[#This Row],[Level 1]:[Level 6]]),rng_EFConcat,rng_EF1)*SupplyChain_Tier1_Backend[[#This Row],[Converted data]]/1000</f>
        <v>0</v>
      </c>
      <c r="AG104" s="210">
        <f ca="1">_xlfn.XLOOKUP(_xlfn.CONCAT(SupplyChain_Tier1_Backend[[#This Row],[Level 1]:[Level 6]]),rng_EFConcat,rng_EF2)*SupplyChain_Tier1_Backend[[#This Row],[Converted data]]/1000</f>
        <v>0</v>
      </c>
      <c r="AH104" s="210">
        <f ca="1">_xlfn.XLOOKUP(_xlfn.CONCAT(SupplyChain_Tier1_Backend[[#This Row],[Level 1]:[Level 6]]),rng_EFConcat,rng_EF3)*SupplyChain_Tier1_Backend[[#This Row],[Converted data]]/1000</f>
        <v>0</v>
      </c>
      <c r="AI104" s="210">
        <f ca="1">_xlfn.XLOOKUP(_xlfn.CONCAT(SupplyChain_Tier1_Backend[[#This Row],[Level 1]:[Level 6]]),rng_EFConcat,rng_EF3WTT)*SupplyChain_Tier1_Backend[[#This Row],[Converted data]]/1000</f>
        <v>0</v>
      </c>
      <c r="AJ104" s="210">
        <f ca="1">_xlfn.XLOOKUP(_xlfn.CONCAT(SupplyChain_Tier1_Backend[[#This Row],[Level 1]:[Level 6]]),rng_EFConcat,rng_EF3TD)*SupplyChain_Tier1_Backend[[#This Row],[Converted data]]/1000</f>
        <v>0</v>
      </c>
      <c r="AK104" s="210">
        <f ca="1">_xlfn.XLOOKUP(_xlfn.CONCAT(SupplyChain_Tier1_Backend[[#This Row],[Level 1]:[Level 6]]),rng_EFConcat,rng_EF3WTTTD)*SupplyChain_Tier1_Backend[[#This Row],[Converted data]]/1000</f>
        <v>0</v>
      </c>
      <c r="AL104" s="220" t="str">
        <f>IF($G104="","", SUM(SupplyChain_Tier1_Backend[[#This Row],[Scope 1 (tCO2e)]:[Scope 3 WTT T&amp;D (tCO2e)]]))</f>
        <v/>
      </c>
      <c r="AM104" s="220" t="str">
        <f>IF($G104="","", SupplyChain_Tier1_Backend[[#This Row],[Total (tCO2e)]]*(1-SupplyChain_Tier1_Backend[[#This Row],[RSD]]))</f>
        <v/>
      </c>
      <c r="AN104" s="220" t="str">
        <f>IF($G104="","", SupplyChain_Tier1_Backend[[#This Row],[Total (tCO2e)]]*(1+SupplyChain_Tier1_Backend[[#This Row],[RSD]]))</f>
        <v/>
      </c>
      <c r="AO104" s="210">
        <f ca="1">_xlfn.XLOOKUP(_xlfn.CONCAT(SupplyChain_Tier1_Backend[[#This Row],[Level 1]:[Level 6]]),rng_EFConcat,rng_EFOOS)*SupplyChain_Tier1_Backend[[#This Row],[Converted data]]/1000</f>
        <v>0</v>
      </c>
      <c r="AP104" s="174">
        <f>SupplyChain_Tier1_Frontend[[#This Row],[Ease of collection]]</f>
        <v>0</v>
      </c>
      <c r="AQ104" s="213">
        <f>SupplyChain_Tier1_Frontend[[#This Row],[Completeness]]</f>
        <v>0</v>
      </c>
      <c r="AR104" s="213">
        <f>SupplyChain_Tier1_Frontend[[#This Row],[Notes]]</f>
        <v>0</v>
      </c>
    </row>
    <row r="105" spans="2:44" ht="14.5" x14ac:dyDescent="0.35">
      <c r="B105" s="169"/>
      <c r="E105" s="236" t="s">
        <v>237</v>
      </c>
      <c r="F105" s="178" t="s">
        <v>1822</v>
      </c>
      <c r="G105" s="334"/>
      <c r="H105" s="172" t="s">
        <v>383</v>
      </c>
      <c r="I105" s="172" t="s">
        <v>384</v>
      </c>
      <c r="J105" s="336"/>
      <c r="K105" s="336"/>
      <c r="L105" s="337"/>
      <c r="M105" s="242">
        <f t="shared" si="4"/>
        <v>0</v>
      </c>
      <c r="N105"/>
      <c r="O105"/>
      <c r="Q105" s="211" t="str">
        <f t="shared" si="3"/>
        <v/>
      </c>
      <c r="R105" s="174" t="s">
        <v>267</v>
      </c>
      <c r="S105" s="174" t="s">
        <v>385</v>
      </c>
      <c r="T105" s="174" t="str" cm="1">
        <f t="array" aca="1" ref="T105" ca="1">_xlfn.XLOOKUP(SupplyChain_Tier1_Backend[[#This Row],[Level 2]],rng_Level2Long,rng_Level3Long)</f>
        <v>Supply chain</v>
      </c>
      <c r="U105" s="174" t="str">
        <f>SupplyChain_Tier1_Frontend[[#This Row],[Category]]</f>
        <v>Administrative and support service activities</v>
      </c>
      <c r="V105" s="174" t="str">
        <f>SupplyChain_Tier1_Frontend[[#This Row],[Product Category]]</f>
        <v>Rental and leasing services</v>
      </c>
      <c r="W105" s="174" t="str" cm="1">
        <f t="array" aca="1" ref="W105" ca="1">_xlfn.XLOOKUP(SupplyChain_Tier1_Backend[[#This Row],[Level 5]],rng_Level5Long,rng_Level6Long)</f>
        <v>NaN</v>
      </c>
      <c r="X105" s="174" t="str">
        <f>SupplyChain_Tier1_Frontend[[#This Row],[Data type]]</f>
        <v>Spend-based EF</v>
      </c>
      <c r="Y105" s="174" t="s">
        <v>339</v>
      </c>
      <c r="Z105" s="174" t="s">
        <v>198</v>
      </c>
      <c r="AA105" s="229" cm="1">
        <f t="array" aca="1" ref="AA105" ca="1">INDEX(_xlfn.SWITCH(SupplyChain_Tier1_Backend[[#This Row],[Methodology]],"Tier 1",rng_RSD1,"Tier 2",rng_RSD2,"Tier 3",rng_RSD3),MATCH(_xlfn.CONCAT(SupplyChain_Tier1_Backend[[#This Row],[Level 1]:[Level 6]]),rng_LevelsConcat,0))</f>
        <v>0.25</v>
      </c>
      <c r="AB105" s="220">
        <f>SupplyChain_Tier1_Frontend[[#This Row],[Data]]</f>
        <v>0</v>
      </c>
      <c r="AC105" s="220" t="str">
        <f>SupplyChain_Tier1_Frontend[[#This Row],[Units]]</f>
        <v>£</v>
      </c>
      <c r="AD10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5" s="174" t="str">
        <f>SupplyChain_Tier1_Frontend[[#This Row],[Units]]</f>
        <v>£</v>
      </c>
      <c r="AF105" s="210">
        <f ca="1">_xlfn.XLOOKUP(_xlfn.CONCAT(SupplyChain_Tier1_Backend[[#This Row],[Level 1]:[Level 6]]),rng_EFConcat,rng_EF1)*SupplyChain_Tier1_Backend[[#This Row],[Converted data]]/1000</f>
        <v>0</v>
      </c>
      <c r="AG105" s="210">
        <f ca="1">_xlfn.XLOOKUP(_xlfn.CONCAT(SupplyChain_Tier1_Backend[[#This Row],[Level 1]:[Level 6]]),rng_EFConcat,rng_EF2)*SupplyChain_Tier1_Backend[[#This Row],[Converted data]]/1000</f>
        <v>0</v>
      </c>
      <c r="AH105" s="210">
        <f ca="1">_xlfn.XLOOKUP(_xlfn.CONCAT(SupplyChain_Tier1_Backend[[#This Row],[Level 1]:[Level 6]]),rng_EFConcat,rng_EF3)*SupplyChain_Tier1_Backend[[#This Row],[Converted data]]/1000</f>
        <v>0</v>
      </c>
      <c r="AI105" s="210">
        <f ca="1">_xlfn.XLOOKUP(_xlfn.CONCAT(SupplyChain_Tier1_Backend[[#This Row],[Level 1]:[Level 6]]),rng_EFConcat,rng_EF3WTT)*SupplyChain_Tier1_Backend[[#This Row],[Converted data]]/1000</f>
        <v>0</v>
      </c>
      <c r="AJ105" s="210">
        <f ca="1">_xlfn.XLOOKUP(_xlfn.CONCAT(SupplyChain_Tier1_Backend[[#This Row],[Level 1]:[Level 6]]),rng_EFConcat,rng_EF3TD)*SupplyChain_Tier1_Backend[[#This Row],[Converted data]]/1000</f>
        <v>0</v>
      </c>
      <c r="AK105" s="210">
        <f ca="1">_xlfn.XLOOKUP(_xlfn.CONCAT(SupplyChain_Tier1_Backend[[#This Row],[Level 1]:[Level 6]]),rng_EFConcat,rng_EF3WTTTD)*SupplyChain_Tier1_Backend[[#This Row],[Converted data]]/1000</f>
        <v>0</v>
      </c>
      <c r="AL105" s="220" t="str">
        <f>IF($G105="","", SUM(SupplyChain_Tier1_Backend[[#This Row],[Scope 1 (tCO2e)]:[Scope 3 WTT T&amp;D (tCO2e)]]))</f>
        <v/>
      </c>
      <c r="AM105" s="220" t="str">
        <f>IF($G105="","", SupplyChain_Tier1_Backend[[#This Row],[Total (tCO2e)]]*(1-SupplyChain_Tier1_Backend[[#This Row],[RSD]]))</f>
        <v/>
      </c>
      <c r="AN105" s="220" t="str">
        <f>IF($G105="","", SupplyChain_Tier1_Backend[[#This Row],[Total (tCO2e)]]*(1+SupplyChain_Tier1_Backend[[#This Row],[RSD]]))</f>
        <v/>
      </c>
      <c r="AO105" s="210">
        <f ca="1">_xlfn.XLOOKUP(_xlfn.CONCAT(SupplyChain_Tier1_Backend[[#This Row],[Level 1]:[Level 6]]),rng_EFConcat,rng_EFOOS)*SupplyChain_Tier1_Backend[[#This Row],[Converted data]]/1000</f>
        <v>0</v>
      </c>
      <c r="AP105" s="174">
        <f>SupplyChain_Tier1_Frontend[[#This Row],[Ease of collection]]</f>
        <v>0</v>
      </c>
      <c r="AQ105" s="213">
        <f>SupplyChain_Tier1_Frontend[[#This Row],[Completeness]]</f>
        <v>0</v>
      </c>
      <c r="AR105" s="213">
        <f>SupplyChain_Tier1_Frontend[[#This Row],[Notes]]</f>
        <v>0</v>
      </c>
    </row>
    <row r="106" spans="2:44" ht="14.5" x14ac:dyDescent="0.35">
      <c r="B106" s="169"/>
      <c r="E106" s="236" t="s">
        <v>237</v>
      </c>
      <c r="F106" s="178" t="s">
        <v>1823</v>
      </c>
      <c r="G106" s="334"/>
      <c r="H106" s="172" t="s">
        <v>383</v>
      </c>
      <c r="I106" s="172" t="s">
        <v>384</v>
      </c>
      <c r="J106" s="336"/>
      <c r="K106" s="336"/>
      <c r="L106" s="337"/>
      <c r="M106" s="242">
        <f t="shared" si="4"/>
        <v>0</v>
      </c>
      <c r="N106"/>
      <c r="O106"/>
      <c r="Q106" s="211" t="str">
        <f t="shared" si="3"/>
        <v/>
      </c>
      <c r="R106" s="174" t="s">
        <v>267</v>
      </c>
      <c r="S106" s="174" t="s">
        <v>385</v>
      </c>
      <c r="T106" s="174" t="str" cm="1">
        <f t="array" aca="1" ref="T106" ca="1">_xlfn.XLOOKUP(SupplyChain_Tier1_Backend[[#This Row],[Level 2]],rng_Level2Long,rng_Level3Long)</f>
        <v>Supply chain</v>
      </c>
      <c r="U106" s="174" t="str">
        <f>SupplyChain_Tier1_Frontend[[#This Row],[Category]]</f>
        <v>Administrative and support service activities</v>
      </c>
      <c r="V106" s="174" t="str">
        <f>SupplyChain_Tier1_Frontend[[#This Row],[Product Category]]</f>
        <v>Employment services</v>
      </c>
      <c r="W106" s="174" t="str" cm="1">
        <f t="array" aca="1" ref="W106" ca="1">_xlfn.XLOOKUP(SupplyChain_Tier1_Backend[[#This Row],[Level 5]],rng_Level5Long,rng_Level6Long)</f>
        <v>NaN</v>
      </c>
      <c r="X106" s="174" t="str">
        <f>SupplyChain_Tier1_Frontend[[#This Row],[Data type]]</f>
        <v>Spend-based EF</v>
      </c>
      <c r="Y106" s="174" t="s">
        <v>339</v>
      </c>
      <c r="Z106" s="174" t="s">
        <v>198</v>
      </c>
      <c r="AA106" s="229" cm="1">
        <f t="array" aca="1" ref="AA106" ca="1">INDEX(_xlfn.SWITCH(SupplyChain_Tier1_Backend[[#This Row],[Methodology]],"Tier 1",rng_RSD1,"Tier 2",rng_RSD2,"Tier 3",rng_RSD3),MATCH(_xlfn.CONCAT(SupplyChain_Tier1_Backend[[#This Row],[Level 1]:[Level 6]]),rng_LevelsConcat,0))</f>
        <v>0.25</v>
      </c>
      <c r="AB106" s="220">
        <f>SupplyChain_Tier1_Frontend[[#This Row],[Data]]</f>
        <v>0</v>
      </c>
      <c r="AC106" s="220" t="str">
        <f>SupplyChain_Tier1_Frontend[[#This Row],[Units]]</f>
        <v>£</v>
      </c>
      <c r="AD10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6" s="174" t="str">
        <f>SupplyChain_Tier1_Frontend[[#This Row],[Units]]</f>
        <v>£</v>
      </c>
      <c r="AF106" s="210">
        <f ca="1">_xlfn.XLOOKUP(_xlfn.CONCAT(SupplyChain_Tier1_Backend[[#This Row],[Level 1]:[Level 6]]),rng_EFConcat,rng_EF1)*SupplyChain_Tier1_Backend[[#This Row],[Converted data]]/1000</f>
        <v>0</v>
      </c>
      <c r="AG106" s="210">
        <f ca="1">_xlfn.XLOOKUP(_xlfn.CONCAT(SupplyChain_Tier1_Backend[[#This Row],[Level 1]:[Level 6]]),rng_EFConcat,rng_EF2)*SupplyChain_Tier1_Backend[[#This Row],[Converted data]]/1000</f>
        <v>0</v>
      </c>
      <c r="AH106" s="210">
        <f ca="1">_xlfn.XLOOKUP(_xlfn.CONCAT(SupplyChain_Tier1_Backend[[#This Row],[Level 1]:[Level 6]]),rng_EFConcat,rng_EF3)*SupplyChain_Tier1_Backend[[#This Row],[Converted data]]/1000</f>
        <v>0</v>
      </c>
      <c r="AI106" s="210">
        <f ca="1">_xlfn.XLOOKUP(_xlfn.CONCAT(SupplyChain_Tier1_Backend[[#This Row],[Level 1]:[Level 6]]),rng_EFConcat,rng_EF3WTT)*SupplyChain_Tier1_Backend[[#This Row],[Converted data]]/1000</f>
        <v>0</v>
      </c>
      <c r="AJ106" s="210">
        <f ca="1">_xlfn.XLOOKUP(_xlfn.CONCAT(SupplyChain_Tier1_Backend[[#This Row],[Level 1]:[Level 6]]),rng_EFConcat,rng_EF3TD)*SupplyChain_Tier1_Backend[[#This Row],[Converted data]]/1000</f>
        <v>0</v>
      </c>
      <c r="AK106" s="210">
        <f ca="1">_xlfn.XLOOKUP(_xlfn.CONCAT(SupplyChain_Tier1_Backend[[#This Row],[Level 1]:[Level 6]]),rng_EFConcat,rng_EF3WTTTD)*SupplyChain_Tier1_Backend[[#This Row],[Converted data]]/1000</f>
        <v>0</v>
      </c>
      <c r="AL106" s="220" t="str">
        <f>IF($G106="","", SUM(SupplyChain_Tier1_Backend[[#This Row],[Scope 1 (tCO2e)]:[Scope 3 WTT T&amp;D (tCO2e)]]))</f>
        <v/>
      </c>
      <c r="AM106" s="220" t="str">
        <f>IF($G106="","", SupplyChain_Tier1_Backend[[#This Row],[Total (tCO2e)]]*(1-SupplyChain_Tier1_Backend[[#This Row],[RSD]]))</f>
        <v/>
      </c>
      <c r="AN106" s="220" t="str">
        <f>IF($G106="","", SupplyChain_Tier1_Backend[[#This Row],[Total (tCO2e)]]*(1+SupplyChain_Tier1_Backend[[#This Row],[RSD]]))</f>
        <v/>
      </c>
      <c r="AO106" s="210">
        <f ca="1">_xlfn.XLOOKUP(_xlfn.CONCAT(SupplyChain_Tier1_Backend[[#This Row],[Level 1]:[Level 6]]),rng_EFConcat,rng_EFOOS)*SupplyChain_Tier1_Backend[[#This Row],[Converted data]]/1000</f>
        <v>0</v>
      </c>
      <c r="AP106" s="174">
        <f>SupplyChain_Tier1_Frontend[[#This Row],[Ease of collection]]</f>
        <v>0</v>
      </c>
      <c r="AQ106" s="213">
        <f>SupplyChain_Tier1_Frontend[[#This Row],[Completeness]]</f>
        <v>0</v>
      </c>
      <c r="AR106" s="213">
        <f>SupplyChain_Tier1_Frontend[[#This Row],[Notes]]</f>
        <v>0</v>
      </c>
    </row>
    <row r="107" spans="2:44" ht="28.5" x14ac:dyDescent="0.35">
      <c r="B107" s="169"/>
      <c r="E107" s="236" t="s">
        <v>237</v>
      </c>
      <c r="F107" s="178" t="s">
        <v>1824</v>
      </c>
      <c r="G107" s="334"/>
      <c r="H107" s="172" t="s">
        <v>383</v>
      </c>
      <c r="I107" s="172" t="s">
        <v>384</v>
      </c>
      <c r="J107" s="336"/>
      <c r="K107" s="336"/>
      <c r="L107" s="337"/>
      <c r="M107" s="242">
        <f t="shared" si="4"/>
        <v>0</v>
      </c>
      <c r="N107"/>
      <c r="O107"/>
      <c r="Q107" s="211" t="str">
        <f t="shared" si="3"/>
        <v/>
      </c>
      <c r="R107" s="174" t="s">
        <v>267</v>
      </c>
      <c r="S107" s="174" t="s">
        <v>385</v>
      </c>
      <c r="T107" s="174" t="str" cm="1">
        <f t="array" aca="1" ref="T107" ca="1">_xlfn.XLOOKUP(SupplyChain_Tier1_Backend[[#This Row],[Level 2]],rng_Level2Long,rng_Level3Long)</f>
        <v>Supply chain</v>
      </c>
      <c r="U107" s="174" t="str">
        <f>SupplyChain_Tier1_Frontend[[#This Row],[Category]]</f>
        <v>Administrative and support service activities</v>
      </c>
      <c r="V107" s="174" t="str">
        <f>SupplyChain_Tier1_Frontend[[#This Row],[Product Category]]</f>
        <v>Travel agency, tour operator and other reservation services and related services</v>
      </c>
      <c r="W107" s="174" t="str" cm="1">
        <f t="array" aca="1" ref="W107" ca="1">_xlfn.XLOOKUP(SupplyChain_Tier1_Backend[[#This Row],[Level 5]],rng_Level5Long,rng_Level6Long)</f>
        <v>NaN</v>
      </c>
      <c r="X107" s="174" t="str">
        <f>SupplyChain_Tier1_Frontend[[#This Row],[Data type]]</f>
        <v>Spend-based EF</v>
      </c>
      <c r="Y107" s="174" t="s">
        <v>339</v>
      </c>
      <c r="Z107" s="174" t="s">
        <v>198</v>
      </c>
      <c r="AA107" s="229" cm="1">
        <f t="array" aca="1" ref="AA107" ca="1">INDEX(_xlfn.SWITCH(SupplyChain_Tier1_Backend[[#This Row],[Methodology]],"Tier 1",rng_RSD1,"Tier 2",rng_RSD2,"Tier 3",rng_RSD3),MATCH(_xlfn.CONCAT(SupplyChain_Tier1_Backend[[#This Row],[Level 1]:[Level 6]]),rng_LevelsConcat,0))</f>
        <v>0.25</v>
      </c>
      <c r="AB107" s="220">
        <f>SupplyChain_Tier1_Frontend[[#This Row],[Data]]</f>
        <v>0</v>
      </c>
      <c r="AC107" s="220" t="str">
        <f>SupplyChain_Tier1_Frontend[[#This Row],[Units]]</f>
        <v>£</v>
      </c>
      <c r="AD10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7" s="174" t="str">
        <f>SupplyChain_Tier1_Frontend[[#This Row],[Units]]</f>
        <v>£</v>
      </c>
      <c r="AF107" s="210">
        <f ca="1">_xlfn.XLOOKUP(_xlfn.CONCAT(SupplyChain_Tier1_Backend[[#This Row],[Level 1]:[Level 6]]),rng_EFConcat,rng_EF1)*SupplyChain_Tier1_Backend[[#This Row],[Converted data]]/1000</f>
        <v>0</v>
      </c>
      <c r="AG107" s="210">
        <f ca="1">_xlfn.XLOOKUP(_xlfn.CONCAT(SupplyChain_Tier1_Backend[[#This Row],[Level 1]:[Level 6]]),rng_EFConcat,rng_EF2)*SupplyChain_Tier1_Backend[[#This Row],[Converted data]]/1000</f>
        <v>0</v>
      </c>
      <c r="AH107" s="210">
        <f ca="1">_xlfn.XLOOKUP(_xlfn.CONCAT(SupplyChain_Tier1_Backend[[#This Row],[Level 1]:[Level 6]]),rng_EFConcat,rng_EF3)*SupplyChain_Tier1_Backend[[#This Row],[Converted data]]/1000</f>
        <v>0</v>
      </c>
      <c r="AI107" s="210">
        <f ca="1">_xlfn.XLOOKUP(_xlfn.CONCAT(SupplyChain_Tier1_Backend[[#This Row],[Level 1]:[Level 6]]),rng_EFConcat,rng_EF3WTT)*SupplyChain_Tier1_Backend[[#This Row],[Converted data]]/1000</f>
        <v>0</v>
      </c>
      <c r="AJ107" s="210">
        <f ca="1">_xlfn.XLOOKUP(_xlfn.CONCAT(SupplyChain_Tier1_Backend[[#This Row],[Level 1]:[Level 6]]),rng_EFConcat,rng_EF3TD)*SupplyChain_Tier1_Backend[[#This Row],[Converted data]]/1000</f>
        <v>0</v>
      </c>
      <c r="AK107" s="210">
        <f ca="1">_xlfn.XLOOKUP(_xlfn.CONCAT(SupplyChain_Tier1_Backend[[#This Row],[Level 1]:[Level 6]]),rng_EFConcat,rng_EF3WTTTD)*SupplyChain_Tier1_Backend[[#This Row],[Converted data]]/1000</f>
        <v>0</v>
      </c>
      <c r="AL107" s="220" t="str">
        <f>IF($G107="","", SUM(SupplyChain_Tier1_Backend[[#This Row],[Scope 1 (tCO2e)]:[Scope 3 WTT T&amp;D (tCO2e)]]))</f>
        <v/>
      </c>
      <c r="AM107" s="220" t="str">
        <f>IF($G107="","", SupplyChain_Tier1_Backend[[#This Row],[Total (tCO2e)]]*(1-SupplyChain_Tier1_Backend[[#This Row],[RSD]]))</f>
        <v/>
      </c>
      <c r="AN107" s="220" t="str">
        <f>IF($G107="","", SupplyChain_Tier1_Backend[[#This Row],[Total (tCO2e)]]*(1+SupplyChain_Tier1_Backend[[#This Row],[RSD]]))</f>
        <v/>
      </c>
      <c r="AO107" s="210">
        <f ca="1">_xlfn.XLOOKUP(_xlfn.CONCAT(SupplyChain_Tier1_Backend[[#This Row],[Level 1]:[Level 6]]),rng_EFConcat,rng_EFOOS)*SupplyChain_Tier1_Backend[[#This Row],[Converted data]]/1000</f>
        <v>0</v>
      </c>
      <c r="AP107" s="174">
        <f>SupplyChain_Tier1_Frontend[[#This Row],[Ease of collection]]</f>
        <v>0</v>
      </c>
      <c r="AQ107" s="213">
        <f>SupplyChain_Tier1_Frontend[[#This Row],[Completeness]]</f>
        <v>0</v>
      </c>
      <c r="AR107" s="213">
        <f>SupplyChain_Tier1_Frontend[[#This Row],[Notes]]</f>
        <v>0</v>
      </c>
    </row>
    <row r="108" spans="2:44" ht="14.5" x14ac:dyDescent="0.35">
      <c r="B108" s="169"/>
      <c r="E108" s="236" t="s">
        <v>237</v>
      </c>
      <c r="F108" s="178" t="s">
        <v>1825</v>
      </c>
      <c r="G108" s="334"/>
      <c r="H108" s="172" t="s">
        <v>383</v>
      </c>
      <c r="I108" s="172" t="s">
        <v>384</v>
      </c>
      <c r="J108" s="336"/>
      <c r="K108" s="336"/>
      <c r="L108" s="337"/>
      <c r="M108" s="242">
        <f t="shared" si="4"/>
        <v>0</v>
      </c>
      <c r="N108"/>
      <c r="O108"/>
      <c r="Q108" s="211" t="str">
        <f t="shared" si="3"/>
        <v/>
      </c>
      <c r="R108" s="174" t="s">
        <v>267</v>
      </c>
      <c r="S108" s="174" t="s">
        <v>385</v>
      </c>
      <c r="T108" s="174" t="str" cm="1">
        <f t="array" aca="1" ref="T108" ca="1">_xlfn.XLOOKUP(SupplyChain_Tier1_Backend[[#This Row],[Level 2]],rng_Level2Long,rng_Level3Long)</f>
        <v>Supply chain</v>
      </c>
      <c r="U108" s="174" t="str">
        <f>SupplyChain_Tier1_Frontend[[#This Row],[Category]]</f>
        <v>Administrative and support service activities</v>
      </c>
      <c r="V108" s="174" t="str">
        <f>SupplyChain_Tier1_Frontend[[#This Row],[Product Category]]</f>
        <v>Security and investigation services</v>
      </c>
      <c r="W108" s="174" t="str" cm="1">
        <f t="array" aca="1" ref="W108" ca="1">_xlfn.XLOOKUP(SupplyChain_Tier1_Backend[[#This Row],[Level 5]],rng_Level5Long,rng_Level6Long)</f>
        <v>NaN</v>
      </c>
      <c r="X108" s="174" t="str">
        <f>SupplyChain_Tier1_Frontend[[#This Row],[Data type]]</f>
        <v>Spend-based EF</v>
      </c>
      <c r="Y108" s="174" t="s">
        <v>339</v>
      </c>
      <c r="Z108" s="174" t="s">
        <v>198</v>
      </c>
      <c r="AA108" s="229" cm="1">
        <f t="array" aca="1" ref="AA108" ca="1">INDEX(_xlfn.SWITCH(SupplyChain_Tier1_Backend[[#This Row],[Methodology]],"Tier 1",rng_RSD1,"Tier 2",rng_RSD2,"Tier 3",rng_RSD3),MATCH(_xlfn.CONCAT(SupplyChain_Tier1_Backend[[#This Row],[Level 1]:[Level 6]]),rng_LevelsConcat,0))</f>
        <v>0.25</v>
      </c>
      <c r="AB108" s="220">
        <f>SupplyChain_Tier1_Frontend[[#This Row],[Data]]</f>
        <v>0</v>
      </c>
      <c r="AC108" s="220" t="str">
        <f>SupplyChain_Tier1_Frontend[[#This Row],[Units]]</f>
        <v>£</v>
      </c>
      <c r="AD10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8" s="174" t="str">
        <f>SupplyChain_Tier1_Frontend[[#This Row],[Units]]</f>
        <v>£</v>
      </c>
      <c r="AF108" s="210">
        <f ca="1">_xlfn.XLOOKUP(_xlfn.CONCAT(SupplyChain_Tier1_Backend[[#This Row],[Level 1]:[Level 6]]),rng_EFConcat,rng_EF1)*SupplyChain_Tier1_Backend[[#This Row],[Converted data]]/1000</f>
        <v>0</v>
      </c>
      <c r="AG108" s="210">
        <f ca="1">_xlfn.XLOOKUP(_xlfn.CONCAT(SupplyChain_Tier1_Backend[[#This Row],[Level 1]:[Level 6]]),rng_EFConcat,rng_EF2)*SupplyChain_Tier1_Backend[[#This Row],[Converted data]]/1000</f>
        <v>0</v>
      </c>
      <c r="AH108" s="210">
        <f ca="1">_xlfn.XLOOKUP(_xlfn.CONCAT(SupplyChain_Tier1_Backend[[#This Row],[Level 1]:[Level 6]]),rng_EFConcat,rng_EF3)*SupplyChain_Tier1_Backend[[#This Row],[Converted data]]/1000</f>
        <v>0</v>
      </c>
      <c r="AI108" s="210">
        <f ca="1">_xlfn.XLOOKUP(_xlfn.CONCAT(SupplyChain_Tier1_Backend[[#This Row],[Level 1]:[Level 6]]),rng_EFConcat,rng_EF3WTT)*SupplyChain_Tier1_Backend[[#This Row],[Converted data]]/1000</f>
        <v>0</v>
      </c>
      <c r="AJ108" s="210">
        <f ca="1">_xlfn.XLOOKUP(_xlfn.CONCAT(SupplyChain_Tier1_Backend[[#This Row],[Level 1]:[Level 6]]),rng_EFConcat,rng_EF3TD)*SupplyChain_Tier1_Backend[[#This Row],[Converted data]]/1000</f>
        <v>0</v>
      </c>
      <c r="AK108" s="210">
        <f ca="1">_xlfn.XLOOKUP(_xlfn.CONCAT(SupplyChain_Tier1_Backend[[#This Row],[Level 1]:[Level 6]]),rng_EFConcat,rng_EF3WTTTD)*SupplyChain_Tier1_Backend[[#This Row],[Converted data]]/1000</f>
        <v>0</v>
      </c>
      <c r="AL108" s="220" t="str">
        <f>IF($G108="","", SUM(SupplyChain_Tier1_Backend[[#This Row],[Scope 1 (tCO2e)]:[Scope 3 WTT T&amp;D (tCO2e)]]))</f>
        <v/>
      </c>
      <c r="AM108" s="220" t="str">
        <f>IF($G108="","", SupplyChain_Tier1_Backend[[#This Row],[Total (tCO2e)]]*(1-SupplyChain_Tier1_Backend[[#This Row],[RSD]]))</f>
        <v/>
      </c>
      <c r="AN108" s="220" t="str">
        <f>IF($G108="","", SupplyChain_Tier1_Backend[[#This Row],[Total (tCO2e)]]*(1+SupplyChain_Tier1_Backend[[#This Row],[RSD]]))</f>
        <v/>
      </c>
      <c r="AO108" s="210">
        <f ca="1">_xlfn.XLOOKUP(_xlfn.CONCAT(SupplyChain_Tier1_Backend[[#This Row],[Level 1]:[Level 6]]),rng_EFConcat,rng_EFOOS)*SupplyChain_Tier1_Backend[[#This Row],[Converted data]]/1000</f>
        <v>0</v>
      </c>
      <c r="AP108" s="174">
        <f>SupplyChain_Tier1_Frontend[[#This Row],[Ease of collection]]</f>
        <v>0</v>
      </c>
      <c r="AQ108" s="213">
        <f>SupplyChain_Tier1_Frontend[[#This Row],[Completeness]]</f>
        <v>0</v>
      </c>
      <c r="AR108" s="213">
        <f>SupplyChain_Tier1_Frontend[[#This Row],[Notes]]</f>
        <v>0</v>
      </c>
    </row>
    <row r="109" spans="2:44" ht="14.5" x14ac:dyDescent="0.35">
      <c r="B109" s="169"/>
      <c r="E109" s="236" t="s">
        <v>237</v>
      </c>
      <c r="F109" s="178" t="s">
        <v>1826</v>
      </c>
      <c r="G109" s="334"/>
      <c r="H109" s="172" t="s">
        <v>383</v>
      </c>
      <c r="I109" s="172" t="s">
        <v>384</v>
      </c>
      <c r="J109" s="336"/>
      <c r="K109" s="336"/>
      <c r="L109" s="337"/>
      <c r="M109" s="242">
        <f t="shared" si="4"/>
        <v>0</v>
      </c>
      <c r="N109"/>
      <c r="O109"/>
      <c r="Q109" s="211" t="str">
        <f t="shared" si="3"/>
        <v/>
      </c>
      <c r="R109" s="174" t="s">
        <v>267</v>
      </c>
      <c r="S109" s="174" t="s">
        <v>385</v>
      </c>
      <c r="T109" s="174" t="str" cm="1">
        <f t="array" aca="1" ref="T109" ca="1">_xlfn.XLOOKUP(SupplyChain_Tier1_Backend[[#This Row],[Level 2]],rng_Level2Long,rng_Level3Long)</f>
        <v>Supply chain</v>
      </c>
      <c r="U109" s="174" t="str">
        <f>SupplyChain_Tier1_Frontend[[#This Row],[Category]]</f>
        <v>Administrative and support service activities</v>
      </c>
      <c r="V109" s="174" t="str">
        <f>SupplyChain_Tier1_Frontend[[#This Row],[Product Category]]</f>
        <v>Services to buildings and landscape</v>
      </c>
      <c r="W109" s="174" t="str" cm="1">
        <f t="array" aca="1" ref="W109" ca="1">_xlfn.XLOOKUP(SupplyChain_Tier1_Backend[[#This Row],[Level 5]],rng_Level5Long,rng_Level6Long)</f>
        <v>NaN</v>
      </c>
      <c r="X109" s="174" t="str">
        <f>SupplyChain_Tier1_Frontend[[#This Row],[Data type]]</f>
        <v>Spend-based EF</v>
      </c>
      <c r="Y109" s="174" t="s">
        <v>339</v>
      </c>
      <c r="Z109" s="174" t="s">
        <v>198</v>
      </c>
      <c r="AA109" s="229" cm="1">
        <f t="array" aca="1" ref="AA109" ca="1">INDEX(_xlfn.SWITCH(SupplyChain_Tier1_Backend[[#This Row],[Methodology]],"Tier 1",rng_RSD1,"Tier 2",rng_RSD2,"Tier 3",rng_RSD3),MATCH(_xlfn.CONCAT(SupplyChain_Tier1_Backend[[#This Row],[Level 1]:[Level 6]]),rng_LevelsConcat,0))</f>
        <v>0.25</v>
      </c>
      <c r="AB109" s="220">
        <f>SupplyChain_Tier1_Frontend[[#This Row],[Data]]</f>
        <v>0</v>
      </c>
      <c r="AC109" s="220" t="str">
        <f>SupplyChain_Tier1_Frontend[[#This Row],[Units]]</f>
        <v>£</v>
      </c>
      <c r="AD10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09" s="174" t="str">
        <f>SupplyChain_Tier1_Frontend[[#This Row],[Units]]</f>
        <v>£</v>
      </c>
      <c r="AF109" s="210">
        <f ca="1">_xlfn.XLOOKUP(_xlfn.CONCAT(SupplyChain_Tier1_Backend[[#This Row],[Level 1]:[Level 6]]),rng_EFConcat,rng_EF1)*SupplyChain_Tier1_Backend[[#This Row],[Converted data]]/1000</f>
        <v>0</v>
      </c>
      <c r="AG109" s="210">
        <f ca="1">_xlfn.XLOOKUP(_xlfn.CONCAT(SupplyChain_Tier1_Backend[[#This Row],[Level 1]:[Level 6]]),rng_EFConcat,rng_EF2)*SupplyChain_Tier1_Backend[[#This Row],[Converted data]]/1000</f>
        <v>0</v>
      </c>
      <c r="AH109" s="210">
        <f ca="1">_xlfn.XLOOKUP(_xlfn.CONCAT(SupplyChain_Tier1_Backend[[#This Row],[Level 1]:[Level 6]]),rng_EFConcat,rng_EF3)*SupplyChain_Tier1_Backend[[#This Row],[Converted data]]/1000</f>
        <v>0</v>
      </c>
      <c r="AI109" s="210">
        <f ca="1">_xlfn.XLOOKUP(_xlfn.CONCAT(SupplyChain_Tier1_Backend[[#This Row],[Level 1]:[Level 6]]),rng_EFConcat,rng_EF3WTT)*SupplyChain_Tier1_Backend[[#This Row],[Converted data]]/1000</f>
        <v>0</v>
      </c>
      <c r="AJ109" s="210">
        <f ca="1">_xlfn.XLOOKUP(_xlfn.CONCAT(SupplyChain_Tier1_Backend[[#This Row],[Level 1]:[Level 6]]),rng_EFConcat,rng_EF3TD)*SupplyChain_Tier1_Backend[[#This Row],[Converted data]]/1000</f>
        <v>0</v>
      </c>
      <c r="AK109" s="210">
        <f ca="1">_xlfn.XLOOKUP(_xlfn.CONCAT(SupplyChain_Tier1_Backend[[#This Row],[Level 1]:[Level 6]]),rng_EFConcat,rng_EF3WTTTD)*SupplyChain_Tier1_Backend[[#This Row],[Converted data]]/1000</f>
        <v>0</v>
      </c>
      <c r="AL109" s="220" t="str">
        <f>IF($G109="","", SUM(SupplyChain_Tier1_Backend[[#This Row],[Scope 1 (tCO2e)]:[Scope 3 WTT T&amp;D (tCO2e)]]))</f>
        <v/>
      </c>
      <c r="AM109" s="220" t="str">
        <f>IF($G109="","", SupplyChain_Tier1_Backend[[#This Row],[Total (tCO2e)]]*(1-SupplyChain_Tier1_Backend[[#This Row],[RSD]]))</f>
        <v/>
      </c>
      <c r="AN109" s="220" t="str">
        <f>IF($G109="","", SupplyChain_Tier1_Backend[[#This Row],[Total (tCO2e)]]*(1+SupplyChain_Tier1_Backend[[#This Row],[RSD]]))</f>
        <v/>
      </c>
      <c r="AO109" s="210">
        <f ca="1">_xlfn.XLOOKUP(_xlfn.CONCAT(SupplyChain_Tier1_Backend[[#This Row],[Level 1]:[Level 6]]),rng_EFConcat,rng_EFOOS)*SupplyChain_Tier1_Backend[[#This Row],[Converted data]]/1000</f>
        <v>0</v>
      </c>
      <c r="AP109" s="174">
        <f>SupplyChain_Tier1_Frontend[[#This Row],[Ease of collection]]</f>
        <v>0</v>
      </c>
      <c r="AQ109" s="213">
        <f>SupplyChain_Tier1_Frontend[[#This Row],[Completeness]]</f>
        <v>0</v>
      </c>
      <c r="AR109" s="213">
        <f>SupplyChain_Tier1_Frontend[[#This Row],[Notes]]</f>
        <v>0</v>
      </c>
    </row>
    <row r="110" spans="2:44" ht="28.5" x14ac:dyDescent="0.35">
      <c r="B110" s="169"/>
      <c r="E110" s="236" t="s">
        <v>237</v>
      </c>
      <c r="F110" s="178" t="s">
        <v>1827</v>
      </c>
      <c r="G110" s="334"/>
      <c r="H110" s="172" t="s">
        <v>383</v>
      </c>
      <c r="I110" s="172" t="s">
        <v>384</v>
      </c>
      <c r="J110" s="336"/>
      <c r="K110" s="336"/>
      <c r="L110" s="337"/>
      <c r="M110" s="242">
        <f t="shared" si="4"/>
        <v>0</v>
      </c>
      <c r="N110"/>
      <c r="O110"/>
      <c r="Q110" s="211" t="str">
        <f t="shared" ref="Q110:Q123" si="5">IF(M110=1,SUBSTITUTE(2025&amp;TRIM(cl_org_name_select)&amp;TRIM($E$11)&amp;(ROW(M110)-ROW($M$14))," ",""),"")</f>
        <v/>
      </c>
      <c r="R110" s="174" t="s">
        <v>267</v>
      </c>
      <c r="S110" s="174" t="s">
        <v>385</v>
      </c>
      <c r="T110" s="174" t="str" cm="1">
        <f t="array" aca="1" ref="T110" ca="1">_xlfn.XLOOKUP(SupplyChain_Tier1_Backend[[#This Row],[Level 2]],rng_Level2Long,rng_Level3Long)</f>
        <v>Supply chain</v>
      </c>
      <c r="U110" s="174" t="str">
        <f>SupplyChain_Tier1_Frontend[[#This Row],[Category]]</f>
        <v>Administrative and support service activities</v>
      </c>
      <c r="V110" s="174" t="str">
        <f>SupplyChain_Tier1_Frontend[[#This Row],[Product Category]]</f>
        <v>Office administrative, office support and other business support services</v>
      </c>
      <c r="W110" s="174" t="str" cm="1">
        <f t="array" aca="1" ref="W110" ca="1">_xlfn.XLOOKUP(SupplyChain_Tier1_Backend[[#This Row],[Level 5]],rng_Level5Long,rng_Level6Long)</f>
        <v>NaN</v>
      </c>
      <c r="X110" s="174" t="str">
        <f>SupplyChain_Tier1_Frontend[[#This Row],[Data type]]</f>
        <v>Spend-based EF</v>
      </c>
      <c r="Y110" s="174" t="s">
        <v>339</v>
      </c>
      <c r="Z110" s="174" t="s">
        <v>198</v>
      </c>
      <c r="AA110" s="229" cm="1">
        <f t="array" aca="1" ref="AA110" ca="1">INDEX(_xlfn.SWITCH(SupplyChain_Tier1_Backend[[#This Row],[Methodology]],"Tier 1",rng_RSD1,"Tier 2",rng_RSD2,"Tier 3",rng_RSD3),MATCH(_xlfn.CONCAT(SupplyChain_Tier1_Backend[[#This Row],[Level 1]:[Level 6]]),rng_LevelsConcat,0))</f>
        <v>0.25</v>
      </c>
      <c r="AB110" s="220">
        <f>SupplyChain_Tier1_Frontend[[#This Row],[Data]]</f>
        <v>0</v>
      </c>
      <c r="AC110" s="220" t="str">
        <f>SupplyChain_Tier1_Frontend[[#This Row],[Units]]</f>
        <v>£</v>
      </c>
      <c r="AD11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0" s="174" t="str">
        <f>SupplyChain_Tier1_Frontend[[#This Row],[Units]]</f>
        <v>£</v>
      </c>
      <c r="AF110" s="210">
        <f ca="1">_xlfn.XLOOKUP(_xlfn.CONCAT(SupplyChain_Tier1_Backend[[#This Row],[Level 1]:[Level 6]]),rng_EFConcat,rng_EF1)*SupplyChain_Tier1_Backend[[#This Row],[Converted data]]/1000</f>
        <v>0</v>
      </c>
      <c r="AG110" s="210">
        <f ca="1">_xlfn.XLOOKUP(_xlfn.CONCAT(SupplyChain_Tier1_Backend[[#This Row],[Level 1]:[Level 6]]),rng_EFConcat,rng_EF2)*SupplyChain_Tier1_Backend[[#This Row],[Converted data]]/1000</f>
        <v>0</v>
      </c>
      <c r="AH110" s="210">
        <f ca="1">_xlfn.XLOOKUP(_xlfn.CONCAT(SupplyChain_Tier1_Backend[[#This Row],[Level 1]:[Level 6]]),rng_EFConcat,rng_EF3)*SupplyChain_Tier1_Backend[[#This Row],[Converted data]]/1000</f>
        <v>0</v>
      </c>
      <c r="AI110" s="210">
        <f ca="1">_xlfn.XLOOKUP(_xlfn.CONCAT(SupplyChain_Tier1_Backend[[#This Row],[Level 1]:[Level 6]]),rng_EFConcat,rng_EF3WTT)*SupplyChain_Tier1_Backend[[#This Row],[Converted data]]/1000</f>
        <v>0</v>
      </c>
      <c r="AJ110" s="210">
        <f ca="1">_xlfn.XLOOKUP(_xlfn.CONCAT(SupplyChain_Tier1_Backend[[#This Row],[Level 1]:[Level 6]]),rng_EFConcat,rng_EF3TD)*SupplyChain_Tier1_Backend[[#This Row],[Converted data]]/1000</f>
        <v>0</v>
      </c>
      <c r="AK110" s="210">
        <f ca="1">_xlfn.XLOOKUP(_xlfn.CONCAT(SupplyChain_Tier1_Backend[[#This Row],[Level 1]:[Level 6]]),rng_EFConcat,rng_EF3WTTTD)*SupplyChain_Tier1_Backend[[#This Row],[Converted data]]/1000</f>
        <v>0</v>
      </c>
      <c r="AL110" s="220" t="str">
        <f>IF($G110="","", SUM(SupplyChain_Tier1_Backend[[#This Row],[Scope 1 (tCO2e)]:[Scope 3 WTT T&amp;D (tCO2e)]]))</f>
        <v/>
      </c>
      <c r="AM110" s="220" t="str">
        <f>IF($G110="","", SupplyChain_Tier1_Backend[[#This Row],[Total (tCO2e)]]*(1-SupplyChain_Tier1_Backend[[#This Row],[RSD]]))</f>
        <v/>
      </c>
      <c r="AN110" s="220" t="str">
        <f>IF($G110="","", SupplyChain_Tier1_Backend[[#This Row],[Total (tCO2e)]]*(1+SupplyChain_Tier1_Backend[[#This Row],[RSD]]))</f>
        <v/>
      </c>
      <c r="AO110" s="210">
        <f ca="1">_xlfn.XLOOKUP(_xlfn.CONCAT(SupplyChain_Tier1_Backend[[#This Row],[Level 1]:[Level 6]]),rng_EFConcat,rng_EFOOS)*SupplyChain_Tier1_Backend[[#This Row],[Converted data]]/1000</f>
        <v>0</v>
      </c>
      <c r="AP110" s="174">
        <f>SupplyChain_Tier1_Frontend[[#This Row],[Ease of collection]]</f>
        <v>0</v>
      </c>
      <c r="AQ110" s="213">
        <f>SupplyChain_Tier1_Frontend[[#This Row],[Completeness]]</f>
        <v>0</v>
      </c>
      <c r="AR110" s="213">
        <f>SupplyChain_Tier1_Frontend[[#This Row],[Notes]]</f>
        <v>0</v>
      </c>
    </row>
    <row r="111" spans="2:44" ht="28.5" x14ac:dyDescent="0.35">
      <c r="B111" s="169"/>
      <c r="E111" s="236" t="s">
        <v>238</v>
      </c>
      <c r="F111" s="178" t="s">
        <v>1828</v>
      </c>
      <c r="G111" s="334"/>
      <c r="H111" s="172" t="s">
        <v>383</v>
      </c>
      <c r="I111" s="172" t="s">
        <v>384</v>
      </c>
      <c r="J111" s="336"/>
      <c r="K111" s="336"/>
      <c r="L111" s="337"/>
      <c r="M111" s="242">
        <f t="shared" si="4"/>
        <v>0</v>
      </c>
      <c r="N111"/>
      <c r="O111"/>
      <c r="Q111" s="211" t="str">
        <f t="shared" si="5"/>
        <v/>
      </c>
      <c r="R111" s="174" t="s">
        <v>267</v>
      </c>
      <c r="S111" s="174" t="s">
        <v>385</v>
      </c>
      <c r="T111" s="174" t="str" cm="1">
        <f t="array" aca="1" ref="T111" ca="1">_xlfn.XLOOKUP(SupplyChain_Tier1_Backend[[#This Row],[Level 2]],rng_Level2Long,rng_Level3Long)</f>
        <v>Supply chain</v>
      </c>
      <c r="U111" s="174" t="str">
        <f>SupplyChain_Tier1_Frontend[[#This Row],[Category]]</f>
        <v>Public administration and defence; compulsory social security</v>
      </c>
      <c r="V111" s="174" t="str">
        <f>SupplyChain_Tier1_Frontend[[#This Row],[Product Category]]</f>
        <v>Public administration and defence services; compulsory social security services</v>
      </c>
      <c r="W111" s="174" t="str" cm="1">
        <f t="array" aca="1" ref="W111" ca="1">_xlfn.XLOOKUP(SupplyChain_Tier1_Backend[[#This Row],[Level 5]],rng_Level5Long,rng_Level6Long)</f>
        <v>NaN</v>
      </c>
      <c r="X111" s="174" t="str">
        <f>SupplyChain_Tier1_Frontend[[#This Row],[Data type]]</f>
        <v>Spend-based EF</v>
      </c>
      <c r="Y111" s="174" t="s">
        <v>339</v>
      </c>
      <c r="Z111" s="174" t="s">
        <v>198</v>
      </c>
      <c r="AA111" s="229" cm="1">
        <f t="array" aca="1" ref="AA111" ca="1">INDEX(_xlfn.SWITCH(SupplyChain_Tier1_Backend[[#This Row],[Methodology]],"Tier 1",rng_RSD1,"Tier 2",rng_RSD2,"Tier 3",rng_RSD3),MATCH(_xlfn.CONCAT(SupplyChain_Tier1_Backend[[#This Row],[Level 1]:[Level 6]]),rng_LevelsConcat,0))</f>
        <v>0.25</v>
      </c>
      <c r="AB111" s="220">
        <f>SupplyChain_Tier1_Frontend[[#This Row],[Data]]</f>
        <v>0</v>
      </c>
      <c r="AC111" s="220" t="str">
        <f>SupplyChain_Tier1_Frontend[[#This Row],[Units]]</f>
        <v>£</v>
      </c>
      <c r="AD11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1" s="174" t="str">
        <f>SupplyChain_Tier1_Frontend[[#This Row],[Units]]</f>
        <v>£</v>
      </c>
      <c r="AF111" s="210">
        <f ca="1">_xlfn.XLOOKUP(_xlfn.CONCAT(SupplyChain_Tier1_Backend[[#This Row],[Level 1]:[Level 6]]),rng_EFConcat,rng_EF1)*SupplyChain_Tier1_Backend[[#This Row],[Converted data]]/1000</f>
        <v>0</v>
      </c>
      <c r="AG111" s="210">
        <f ca="1">_xlfn.XLOOKUP(_xlfn.CONCAT(SupplyChain_Tier1_Backend[[#This Row],[Level 1]:[Level 6]]),rng_EFConcat,rng_EF2)*SupplyChain_Tier1_Backend[[#This Row],[Converted data]]/1000</f>
        <v>0</v>
      </c>
      <c r="AH111" s="210">
        <f ca="1">_xlfn.XLOOKUP(_xlfn.CONCAT(SupplyChain_Tier1_Backend[[#This Row],[Level 1]:[Level 6]]),rng_EFConcat,rng_EF3)*SupplyChain_Tier1_Backend[[#This Row],[Converted data]]/1000</f>
        <v>0</v>
      </c>
      <c r="AI111" s="210">
        <f ca="1">_xlfn.XLOOKUP(_xlfn.CONCAT(SupplyChain_Tier1_Backend[[#This Row],[Level 1]:[Level 6]]),rng_EFConcat,rng_EF3WTT)*SupplyChain_Tier1_Backend[[#This Row],[Converted data]]/1000</f>
        <v>0</v>
      </c>
      <c r="AJ111" s="210">
        <f ca="1">_xlfn.XLOOKUP(_xlfn.CONCAT(SupplyChain_Tier1_Backend[[#This Row],[Level 1]:[Level 6]]),rng_EFConcat,rng_EF3TD)*SupplyChain_Tier1_Backend[[#This Row],[Converted data]]/1000</f>
        <v>0</v>
      </c>
      <c r="AK111" s="210">
        <f ca="1">_xlfn.XLOOKUP(_xlfn.CONCAT(SupplyChain_Tier1_Backend[[#This Row],[Level 1]:[Level 6]]),rng_EFConcat,rng_EF3WTTTD)*SupplyChain_Tier1_Backend[[#This Row],[Converted data]]/1000</f>
        <v>0</v>
      </c>
      <c r="AL111" s="220" t="str">
        <f>IF($G111="","", SUM(SupplyChain_Tier1_Backend[[#This Row],[Scope 1 (tCO2e)]:[Scope 3 WTT T&amp;D (tCO2e)]]))</f>
        <v/>
      </c>
      <c r="AM111" s="220" t="str">
        <f>IF($G111="","", SupplyChain_Tier1_Backend[[#This Row],[Total (tCO2e)]]*(1-SupplyChain_Tier1_Backend[[#This Row],[RSD]]))</f>
        <v/>
      </c>
      <c r="AN111" s="220" t="str">
        <f>IF($G111="","", SupplyChain_Tier1_Backend[[#This Row],[Total (tCO2e)]]*(1+SupplyChain_Tier1_Backend[[#This Row],[RSD]]))</f>
        <v/>
      </c>
      <c r="AO111" s="210">
        <f ca="1">_xlfn.XLOOKUP(_xlfn.CONCAT(SupplyChain_Tier1_Backend[[#This Row],[Level 1]:[Level 6]]),rng_EFConcat,rng_EFOOS)*SupplyChain_Tier1_Backend[[#This Row],[Converted data]]/1000</f>
        <v>0</v>
      </c>
      <c r="AP111" s="174">
        <f>SupplyChain_Tier1_Frontend[[#This Row],[Ease of collection]]</f>
        <v>0</v>
      </c>
      <c r="AQ111" s="213">
        <f>SupplyChain_Tier1_Frontend[[#This Row],[Completeness]]</f>
        <v>0</v>
      </c>
      <c r="AR111" s="213">
        <f>SupplyChain_Tier1_Frontend[[#This Row],[Notes]]</f>
        <v>0</v>
      </c>
    </row>
    <row r="112" spans="2:44" ht="14.5" x14ac:dyDescent="0.35">
      <c r="B112" s="169"/>
      <c r="E112" s="236" t="s">
        <v>239</v>
      </c>
      <c r="F112" s="178" t="s">
        <v>1829</v>
      </c>
      <c r="G112" s="334"/>
      <c r="H112" s="172" t="s">
        <v>383</v>
      </c>
      <c r="I112" s="172" t="s">
        <v>384</v>
      </c>
      <c r="J112" s="336"/>
      <c r="K112" s="336"/>
      <c r="L112" s="337"/>
      <c r="M112" s="242">
        <f t="shared" si="4"/>
        <v>0</v>
      </c>
      <c r="N112"/>
      <c r="O112"/>
      <c r="Q112" s="211" t="str">
        <f t="shared" si="5"/>
        <v/>
      </c>
      <c r="R112" s="174" t="s">
        <v>267</v>
      </c>
      <c r="S112" s="174" t="s">
        <v>385</v>
      </c>
      <c r="T112" s="174" t="str" cm="1">
        <f t="array" aca="1" ref="T112" ca="1">_xlfn.XLOOKUP(SupplyChain_Tier1_Backend[[#This Row],[Level 2]],rng_Level2Long,rng_Level3Long)</f>
        <v>Supply chain</v>
      </c>
      <c r="U112" s="174" t="str">
        <f>SupplyChain_Tier1_Frontend[[#This Row],[Category]]</f>
        <v>Education</v>
      </c>
      <c r="V112" s="174" t="str">
        <f>SupplyChain_Tier1_Frontend[[#This Row],[Product Category]]</f>
        <v>Education services</v>
      </c>
      <c r="W112" s="174" t="str" cm="1">
        <f t="array" aca="1" ref="W112" ca="1">_xlfn.XLOOKUP(SupplyChain_Tier1_Backend[[#This Row],[Level 5]],rng_Level5Long,rng_Level6Long)</f>
        <v>NaN</v>
      </c>
      <c r="X112" s="174" t="str">
        <f>SupplyChain_Tier1_Frontend[[#This Row],[Data type]]</f>
        <v>Spend-based EF</v>
      </c>
      <c r="Y112" s="174" t="s">
        <v>339</v>
      </c>
      <c r="Z112" s="174" t="s">
        <v>198</v>
      </c>
      <c r="AA112" s="229" cm="1">
        <f t="array" aca="1" ref="AA112" ca="1">INDEX(_xlfn.SWITCH(SupplyChain_Tier1_Backend[[#This Row],[Methodology]],"Tier 1",rng_RSD1,"Tier 2",rng_RSD2,"Tier 3",rng_RSD3),MATCH(_xlfn.CONCAT(SupplyChain_Tier1_Backend[[#This Row],[Level 1]:[Level 6]]),rng_LevelsConcat,0))</f>
        <v>0.25</v>
      </c>
      <c r="AB112" s="220">
        <f>SupplyChain_Tier1_Frontend[[#This Row],[Data]]</f>
        <v>0</v>
      </c>
      <c r="AC112" s="220" t="str">
        <f>SupplyChain_Tier1_Frontend[[#This Row],[Units]]</f>
        <v>£</v>
      </c>
      <c r="AD11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2" s="174" t="str">
        <f>SupplyChain_Tier1_Frontend[[#This Row],[Units]]</f>
        <v>£</v>
      </c>
      <c r="AF112" s="210">
        <f ca="1">_xlfn.XLOOKUP(_xlfn.CONCAT(SupplyChain_Tier1_Backend[[#This Row],[Level 1]:[Level 6]]),rng_EFConcat,rng_EF1)*SupplyChain_Tier1_Backend[[#This Row],[Converted data]]/1000</f>
        <v>0</v>
      </c>
      <c r="AG112" s="210">
        <f ca="1">_xlfn.XLOOKUP(_xlfn.CONCAT(SupplyChain_Tier1_Backend[[#This Row],[Level 1]:[Level 6]]),rng_EFConcat,rng_EF2)*SupplyChain_Tier1_Backend[[#This Row],[Converted data]]/1000</f>
        <v>0</v>
      </c>
      <c r="AH112" s="210">
        <f ca="1">_xlfn.XLOOKUP(_xlfn.CONCAT(SupplyChain_Tier1_Backend[[#This Row],[Level 1]:[Level 6]]),rng_EFConcat,rng_EF3)*SupplyChain_Tier1_Backend[[#This Row],[Converted data]]/1000</f>
        <v>0</v>
      </c>
      <c r="AI112" s="210">
        <f ca="1">_xlfn.XLOOKUP(_xlfn.CONCAT(SupplyChain_Tier1_Backend[[#This Row],[Level 1]:[Level 6]]),rng_EFConcat,rng_EF3WTT)*SupplyChain_Tier1_Backend[[#This Row],[Converted data]]/1000</f>
        <v>0</v>
      </c>
      <c r="AJ112" s="210">
        <f ca="1">_xlfn.XLOOKUP(_xlfn.CONCAT(SupplyChain_Tier1_Backend[[#This Row],[Level 1]:[Level 6]]),rng_EFConcat,rng_EF3TD)*SupplyChain_Tier1_Backend[[#This Row],[Converted data]]/1000</f>
        <v>0</v>
      </c>
      <c r="AK112" s="210">
        <f ca="1">_xlfn.XLOOKUP(_xlfn.CONCAT(SupplyChain_Tier1_Backend[[#This Row],[Level 1]:[Level 6]]),rng_EFConcat,rng_EF3WTTTD)*SupplyChain_Tier1_Backend[[#This Row],[Converted data]]/1000</f>
        <v>0</v>
      </c>
      <c r="AL112" s="220" t="str">
        <f>IF($G112="","", SUM(SupplyChain_Tier1_Backend[[#This Row],[Scope 1 (tCO2e)]:[Scope 3 WTT T&amp;D (tCO2e)]]))</f>
        <v/>
      </c>
      <c r="AM112" s="220" t="str">
        <f>IF($G112="","", SupplyChain_Tier1_Backend[[#This Row],[Total (tCO2e)]]*(1-SupplyChain_Tier1_Backend[[#This Row],[RSD]]))</f>
        <v/>
      </c>
      <c r="AN112" s="220" t="str">
        <f>IF($G112="","", SupplyChain_Tier1_Backend[[#This Row],[Total (tCO2e)]]*(1+SupplyChain_Tier1_Backend[[#This Row],[RSD]]))</f>
        <v/>
      </c>
      <c r="AO112" s="210">
        <f ca="1">_xlfn.XLOOKUP(_xlfn.CONCAT(SupplyChain_Tier1_Backend[[#This Row],[Level 1]:[Level 6]]),rng_EFConcat,rng_EFOOS)*SupplyChain_Tier1_Backend[[#This Row],[Converted data]]/1000</f>
        <v>0</v>
      </c>
      <c r="AP112" s="174">
        <f>SupplyChain_Tier1_Frontend[[#This Row],[Ease of collection]]</f>
        <v>0</v>
      </c>
      <c r="AQ112" s="213">
        <f>SupplyChain_Tier1_Frontend[[#This Row],[Completeness]]</f>
        <v>0</v>
      </c>
      <c r="AR112" s="213">
        <f>SupplyChain_Tier1_Frontend[[#This Row],[Notes]]</f>
        <v>0</v>
      </c>
    </row>
    <row r="113" spans="2:44" ht="14.5" x14ac:dyDescent="0.35">
      <c r="B113" s="169"/>
      <c r="E113" s="236" t="s">
        <v>240</v>
      </c>
      <c r="F113" s="178" t="s">
        <v>1830</v>
      </c>
      <c r="G113" s="334"/>
      <c r="H113" s="172" t="s">
        <v>383</v>
      </c>
      <c r="I113" s="172" t="s">
        <v>384</v>
      </c>
      <c r="J113" s="336"/>
      <c r="K113" s="336"/>
      <c r="L113" s="337"/>
      <c r="M113" s="242">
        <f t="shared" si="4"/>
        <v>0</v>
      </c>
      <c r="N113"/>
      <c r="O113"/>
      <c r="Q113" s="211" t="str">
        <f t="shared" si="5"/>
        <v/>
      </c>
      <c r="R113" s="174" t="s">
        <v>267</v>
      </c>
      <c r="S113" s="174" t="s">
        <v>385</v>
      </c>
      <c r="T113" s="174" t="str" cm="1">
        <f t="array" aca="1" ref="T113" ca="1">_xlfn.XLOOKUP(SupplyChain_Tier1_Backend[[#This Row],[Level 2]],rng_Level2Long,rng_Level3Long)</f>
        <v>Supply chain</v>
      </c>
      <c r="U113" s="174" t="str">
        <f>SupplyChain_Tier1_Frontend[[#This Row],[Category]]</f>
        <v>Human health and social work activities</v>
      </c>
      <c r="V113" s="174" t="str">
        <f>SupplyChain_Tier1_Frontend[[#This Row],[Product Category]]</f>
        <v>Human health services</v>
      </c>
      <c r="W113" s="174" t="str" cm="1">
        <f t="array" aca="1" ref="W113" ca="1">_xlfn.XLOOKUP(SupplyChain_Tier1_Backend[[#This Row],[Level 5]],rng_Level5Long,rng_Level6Long)</f>
        <v>NaN</v>
      </c>
      <c r="X113" s="174" t="str">
        <f>SupplyChain_Tier1_Frontend[[#This Row],[Data type]]</f>
        <v>Spend-based EF</v>
      </c>
      <c r="Y113" s="174" t="s">
        <v>339</v>
      </c>
      <c r="Z113" s="174" t="s">
        <v>198</v>
      </c>
      <c r="AA113" s="229" cm="1">
        <f t="array" aca="1" ref="AA113" ca="1">INDEX(_xlfn.SWITCH(SupplyChain_Tier1_Backend[[#This Row],[Methodology]],"Tier 1",rng_RSD1,"Tier 2",rng_RSD2,"Tier 3",rng_RSD3),MATCH(_xlfn.CONCAT(SupplyChain_Tier1_Backend[[#This Row],[Level 1]:[Level 6]]),rng_LevelsConcat,0))</f>
        <v>0.25</v>
      </c>
      <c r="AB113" s="220">
        <f>SupplyChain_Tier1_Frontend[[#This Row],[Data]]</f>
        <v>0</v>
      </c>
      <c r="AC113" s="220" t="str">
        <f>SupplyChain_Tier1_Frontend[[#This Row],[Units]]</f>
        <v>£</v>
      </c>
      <c r="AD11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3" s="174" t="str">
        <f>SupplyChain_Tier1_Frontend[[#This Row],[Units]]</f>
        <v>£</v>
      </c>
      <c r="AF113" s="210">
        <f ca="1">_xlfn.XLOOKUP(_xlfn.CONCAT(SupplyChain_Tier1_Backend[[#This Row],[Level 1]:[Level 6]]),rng_EFConcat,rng_EF1)*SupplyChain_Tier1_Backend[[#This Row],[Converted data]]/1000</f>
        <v>0</v>
      </c>
      <c r="AG113" s="210">
        <f ca="1">_xlfn.XLOOKUP(_xlfn.CONCAT(SupplyChain_Tier1_Backend[[#This Row],[Level 1]:[Level 6]]),rng_EFConcat,rng_EF2)*SupplyChain_Tier1_Backend[[#This Row],[Converted data]]/1000</f>
        <v>0</v>
      </c>
      <c r="AH113" s="210">
        <f ca="1">_xlfn.XLOOKUP(_xlfn.CONCAT(SupplyChain_Tier1_Backend[[#This Row],[Level 1]:[Level 6]]),rng_EFConcat,rng_EF3)*SupplyChain_Tier1_Backend[[#This Row],[Converted data]]/1000</f>
        <v>0</v>
      </c>
      <c r="AI113" s="210">
        <f ca="1">_xlfn.XLOOKUP(_xlfn.CONCAT(SupplyChain_Tier1_Backend[[#This Row],[Level 1]:[Level 6]]),rng_EFConcat,rng_EF3WTT)*SupplyChain_Tier1_Backend[[#This Row],[Converted data]]/1000</f>
        <v>0</v>
      </c>
      <c r="AJ113" s="210">
        <f ca="1">_xlfn.XLOOKUP(_xlfn.CONCAT(SupplyChain_Tier1_Backend[[#This Row],[Level 1]:[Level 6]]),rng_EFConcat,rng_EF3TD)*SupplyChain_Tier1_Backend[[#This Row],[Converted data]]/1000</f>
        <v>0</v>
      </c>
      <c r="AK113" s="210">
        <f ca="1">_xlfn.XLOOKUP(_xlfn.CONCAT(SupplyChain_Tier1_Backend[[#This Row],[Level 1]:[Level 6]]),rng_EFConcat,rng_EF3WTTTD)*SupplyChain_Tier1_Backend[[#This Row],[Converted data]]/1000</f>
        <v>0</v>
      </c>
      <c r="AL113" s="220" t="str">
        <f>IF($G113="","", SUM(SupplyChain_Tier1_Backend[[#This Row],[Scope 1 (tCO2e)]:[Scope 3 WTT T&amp;D (tCO2e)]]))</f>
        <v/>
      </c>
      <c r="AM113" s="220" t="str">
        <f>IF($G113="","", SupplyChain_Tier1_Backend[[#This Row],[Total (tCO2e)]]*(1-SupplyChain_Tier1_Backend[[#This Row],[RSD]]))</f>
        <v/>
      </c>
      <c r="AN113" s="220" t="str">
        <f>IF($G113="","", SupplyChain_Tier1_Backend[[#This Row],[Total (tCO2e)]]*(1+SupplyChain_Tier1_Backend[[#This Row],[RSD]]))</f>
        <v/>
      </c>
      <c r="AO113" s="210">
        <f ca="1">_xlfn.XLOOKUP(_xlfn.CONCAT(SupplyChain_Tier1_Backend[[#This Row],[Level 1]:[Level 6]]),rng_EFConcat,rng_EFOOS)*SupplyChain_Tier1_Backend[[#This Row],[Converted data]]/1000</f>
        <v>0</v>
      </c>
      <c r="AP113" s="174">
        <f>SupplyChain_Tier1_Frontend[[#This Row],[Ease of collection]]</f>
        <v>0</v>
      </c>
      <c r="AQ113" s="213">
        <f>SupplyChain_Tier1_Frontend[[#This Row],[Completeness]]</f>
        <v>0</v>
      </c>
      <c r="AR113" s="213">
        <f>SupplyChain_Tier1_Frontend[[#This Row],[Notes]]</f>
        <v>0</v>
      </c>
    </row>
    <row r="114" spans="2:44" ht="14.5" x14ac:dyDescent="0.35">
      <c r="B114" s="169"/>
      <c r="E114" s="236" t="s">
        <v>240</v>
      </c>
      <c r="F114" s="178" t="s">
        <v>1831</v>
      </c>
      <c r="G114" s="334"/>
      <c r="H114" s="172" t="s">
        <v>383</v>
      </c>
      <c r="I114" s="172" t="s">
        <v>384</v>
      </c>
      <c r="J114" s="336"/>
      <c r="K114" s="336"/>
      <c r="L114" s="337"/>
      <c r="M114" s="242">
        <f t="shared" si="4"/>
        <v>0</v>
      </c>
      <c r="N114"/>
      <c r="O114"/>
      <c r="Q114" s="211" t="str">
        <f t="shared" si="5"/>
        <v/>
      </c>
      <c r="R114" s="174" t="s">
        <v>267</v>
      </c>
      <c r="S114" s="174" t="s">
        <v>385</v>
      </c>
      <c r="T114" s="174" t="str" cm="1">
        <f t="array" aca="1" ref="T114" ca="1">_xlfn.XLOOKUP(SupplyChain_Tier1_Backend[[#This Row],[Level 2]],rng_Level2Long,rng_Level3Long)</f>
        <v>Supply chain</v>
      </c>
      <c r="U114" s="174" t="str">
        <f>SupplyChain_Tier1_Frontend[[#This Row],[Category]]</f>
        <v>Human health and social work activities</v>
      </c>
      <c r="V114" s="174" t="str">
        <f>SupplyChain_Tier1_Frontend[[#This Row],[Product Category]]</f>
        <v>Residential care services</v>
      </c>
      <c r="W114" s="174" t="str" cm="1">
        <f t="array" aca="1" ref="W114" ca="1">_xlfn.XLOOKUP(SupplyChain_Tier1_Backend[[#This Row],[Level 5]],rng_Level5Long,rng_Level6Long)</f>
        <v>NaN</v>
      </c>
      <c r="X114" s="174" t="str">
        <f>SupplyChain_Tier1_Frontend[[#This Row],[Data type]]</f>
        <v>Spend-based EF</v>
      </c>
      <c r="Y114" s="174" t="s">
        <v>339</v>
      </c>
      <c r="Z114" s="174" t="s">
        <v>198</v>
      </c>
      <c r="AA114" s="229" cm="1">
        <f t="array" aca="1" ref="AA114" ca="1">INDEX(_xlfn.SWITCH(SupplyChain_Tier1_Backend[[#This Row],[Methodology]],"Tier 1",rng_RSD1,"Tier 2",rng_RSD2,"Tier 3",rng_RSD3),MATCH(_xlfn.CONCAT(SupplyChain_Tier1_Backend[[#This Row],[Level 1]:[Level 6]]),rng_LevelsConcat,0))</f>
        <v>0.25</v>
      </c>
      <c r="AB114" s="220">
        <f>SupplyChain_Tier1_Frontend[[#This Row],[Data]]</f>
        <v>0</v>
      </c>
      <c r="AC114" s="220" t="str">
        <f>SupplyChain_Tier1_Frontend[[#This Row],[Units]]</f>
        <v>£</v>
      </c>
      <c r="AD114"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4" s="174" t="str">
        <f>SupplyChain_Tier1_Frontend[[#This Row],[Units]]</f>
        <v>£</v>
      </c>
      <c r="AF114" s="210">
        <f ca="1">_xlfn.XLOOKUP(_xlfn.CONCAT(SupplyChain_Tier1_Backend[[#This Row],[Level 1]:[Level 6]]),rng_EFConcat,rng_EF1)*SupplyChain_Tier1_Backend[[#This Row],[Converted data]]/1000</f>
        <v>0</v>
      </c>
      <c r="AG114" s="210">
        <f ca="1">_xlfn.XLOOKUP(_xlfn.CONCAT(SupplyChain_Tier1_Backend[[#This Row],[Level 1]:[Level 6]]),rng_EFConcat,rng_EF2)*SupplyChain_Tier1_Backend[[#This Row],[Converted data]]/1000</f>
        <v>0</v>
      </c>
      <c r="AH114" s="210">
        <f ca="1">_xlfn.XLOOKUP(_xlfn.CONCAT(SupplyChain_Tier1_Backend[[#This Row],[Level 1]:[Level 6]]),rng_EFConcat,rng_EF3)*SupplyChain_Tier1_Backend[[#This Row],[Converted data]]/1000</f>
        <v>0</v>
      </c>
      <c r="AI114" s="210">
        <f ca="1">_xlfn.XLOOKUP(_xlfn.CONCAT(SupplyChain_Tier1_Backend[[#This Row],[Level 1]:[Level 6]]),rng_EFConcat,rng_EF3WTT)*SupplyChain_Tier1_Backend[[#This Row],[Converted data]]/1000</f>
        <v>0</v>
      </c>
      <c r="AJ114" s="210">
        <f ca="1">_xlfn.XLOOKUP(_xlfn.CONCAT(SupplyChain_Tier1_Backend[[#This Row],[Level 1]:[Level 6]]),rng_EFConcat,rng_EF3TD)*SupplyChain_Tier1_Backend[[#This Row],[Converted data]]/1000</f>
        <v>0</v>
      </c>
      <c r="AK114" s="210">
        <f ca="1">_xlfn.XLOOKUP(_xlfn.CONCAT(SupplyChain_Tier1_Backend[[#This Row],[Level 1]:[Level 6]]),rng_EFConcat,rng_EF3WTTTD)*SupplyChain_Tier1_Backend[[#This Row],[Converted data]]/1000</f>
        <v>0</v>
      </c>
      <c r="AL114" s="220" t="str">
        <f>IF($G114="","", SUM(SupplyChain_Tier1_Backend[[#This Row],[Scope 1 (tCO2e)]:[Scope 3 WTT T&amp;D (tCO2e)]]))</f>
        <v/>
      </c>
      <c r="AM114" s="220" t="str">
        <f>IF($G114="","", SupplyChain_Tier1_Backend[[#This Row],[Total (tCO2e)]]*(1-SupplyChain_Tier1_Backend[[#This Row],[RSD]]))</f>
        <v/>
      </c>
      <c r="AN114" s="220" t="str">
        <f>IF($G114="","", SupplyChain_Tier1_Backend[[#This Row],[Total (tCO2e)]]*(1+SupplyChain_Tier1_Backend[[#This Row],[RSD]]))</f>
        <v/>
      </c>
      <c r="AO114" s="210">
        <f ca="1">_xlfn.XLOOKUP(_xlfn.CONCAT(SupplyChain_Tier1_Backend[[#This Row],[Level 1]:[Level 6]]),rng_EFConcat,rng_EFOOS)*SupplyChain_Tier1_Backend[[#This Row],[Converted data]]/1000</f>
        <v>0</v>
      </c>
      <c r="AP114" s="174">
        <f>SupplyChain_Tier1_Frontend[[#This Row],[Ease of collection]]</f>
        <v>0</v>
      </c>
      <c r="AQ114" s="213">
        <f>SupplyChain_Tier1_Frontend[[#This Row],[Completeness]]</f>
        <v>0</v>
      </c>
      <c r="AR114" s="213">
        <f>SupplyChain_Tier1_Frontend[[#This Row],[Notes]]</f>
        <v>0</v>
      </c>
    </row>
    <row r="115" spans="2:44" ht="14.5" x14ac:dyDescent="0.35">
      <c r="B115" s="169"/>
      <c r="E115" s="236" t="s">
        <v>240</v>
      </c>
      <c r="F115" s="178" t="s">
        <v>1832</v>
      </c>
      <c r="G115" s="334"/>
      <c r="H115" s="172" t="s">
        <v>383</v>
      </c>
      <c r="I115" s="172" t="s">
        <v>384</v>
      </c>
      <c r="J115" s="336"/>
      <c r="K115" s="336"/>
      <c r="L115" s="337"/>
      <c r="M115" s="242">
        <f t="shared" si="4"/>
        <v>0</v>
      </c>
      <c r="N115"/>
      <c r="O115"/>
      <c r="Q115" s="211" t="str">
        <f t="shared" si="5"/>
        <v/>
      </c>
      <c r="R115" s="174" t="s">
        <v>267</v>
      </c>
      <c r="S115" s="174" t="s">
        <v>385</v>
      </c>
      <c r="T115" s="174" t="str" cm="1">
        <f t="array" aca="1" ref="T115" ca="1">_xlfn.XLOOKUP(SupplyChain_Tier1_Backend[[#This Row],[Level 2]],rng_Level2Long,rng_Level3Long)</f>
        <v>Supply chain</v>
      </c>
      <c r="U115" s="174" t="str">
        <f>SupplyChain_Tier1_Frontend[[#This Row],[Category]]</f>
        <v>Human health and social work activities</v>
      </c>
      <c r="V115" s="174" t="str">
        <f>SupplyChain_Tier1_Frontend[[#This Row],[Product Category]]</f>
        <v>Social work services without accommodation</v>
      </c>
      <c r="W115" s="174" t="str" cm="1">
        <f t="array" aca="1" ref="W115" ca="1">_xlfn.XLOOKUP(SupplyChain_Tier1_Backend[[#This Row],[Level 5]],rng_Level5Long,rng_Level6Long)</f>
        <v>NaN</v>
      </c>
      <c r="X115" s="174" t="str">
        <f>SupplyChain_Tier1_Frontend[[#This Row],[Data type]]</f>
        <v>Spend-based EF</v>
      </c>
      <c r="Y115" s="174" t="s">
        <v>339</v>
      </c>
      <c r="Z115" s="174" t="s">
        <v>198</v>
      </c>
      <c r="AA115" s="229" cm="1">
        <f t="array" aca="1" ref="AA115" ca="1">INDEX(_xlfn.SWITCH(SupplyChain_Tier1_Backend[[#This Row],[Methodology]],"Tier 1",rng_RSD1,"Tier 2",rng_RSD2,"Tier 3",rng_RSD3),MATCH(_xlfn.CONCAT(SupplyChain_Tier1_Backend[[#This Row],[Level 1]:[Level 6]]),rng_LevelsConcat,0))</f>
        <v>0.25</v>
      </c>
      <c r="AB115" s="220">
        <f>SupplyChain_Tier1_Frontend[[#This Row],[Data]]</f>
        <v>0</v>
      </c>
      <c r="AC115" s="220" t="str">
        <f>SupplyChain_Tier1_Frontend[[#This Row],[Units]]</f>
        <v>£</v>
      </c>
      <c r="AD115"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5" s="174" t="str">
        <f>SupplyChain_Tier1_Frontend[[#This Row],[Units]]</f>
        <v>£</v>
      </c>
      <c r="AF115" s="210">
        <f ca="1">_xlfn.XLOOKUP(_xlfn.CONCAT(SupplyChain_Tier1_Backend[[#This Row],[Level 1]:[Level 6]]),rng_EFConcat,rng_EF1)*SupplyChain_Tier1_Backend[[#This Row],[Converted data]]/1000</f>
        <v>0</v>
      </c>
      <c r="AG115" s="210">
        <f ca="1">_xlfn.XLOOKUP(_xlfn.CONCAT(SupplyChain_Tier1_Backend[[#This Row],[Level 1]:[Level 6]]),rng_EFConcat,rng_EF2)*SupplyChain_Tier1_Backend[[#This Row],[Converted data]]/1000</f>
        <v>0</v>
      </c>
      <c r="AH115" s="210">
        <f ca="1">_xlfn.XLOOKUP(_xlfn.CONCAT(SupplyChain_Tier1_Backend[[#This Row],[Level 1]:[Level 6]]),rng_EFConcat,rng_EF3)*SupplyChain_Tier1_Backend[[#This Row],[Converted data]]/1000</f>
        <v>0</v>
      </c>
      <c r="AI115" s="210">
        <f ca="1">_xlfn.XLOOKUP(_xlfn.CONCAT(SupplyChain_Tier1_Backend[[#This Row],[Level 1]:[Level 6]]),rng_EFConcat,rng_EF3WTT)*SupplyChain_Tier1_Backend[[#This Row],[Converted data]]/1000</f>
        <v>0</v>
      </c>
      <c r="AJ115" s="210">
        <f ca="1">_xlfn.XLOOKUP(_xlfn.CONCAT(SupplyChain_Tier1_Backend[[#This Row],[Level 1]:[Level 6]]),rng_EFConcat,rng_EF3TD)*SupplyChain_Tier1_Backend[[#This Row],[Converted data]]/1000</f>
        <v>0</v>
      </c>
      <c r="AK115" s="210">
        <f ca="1">_xlfn.XLOOKUP(_xlfn.CONCAT(SupplyChain_Tier1_Backend[[#This Row],[Level 1]:[Level 6]]),rng_EFConcat,rng_EF3WTTTD)*SupplyChain_Tier1_Backend[[#This Row],[Converted data]]/1000</f>
        <v>0</v>
      </c>
      <c r="AL115" s="220" t="str">
        <f>IF($G115="","", SUM(SupplyChain_Tier1_Backend[[#This Row],[Scope 1 (tCO2e)]:[Scope 3 WTT T&amp;D (tCO2e)]]))</f>
        <v/>
      </c>
      <c r="AM115" s="220" t="str">
        <f>IF($G115="","", SupplyChain_Tier1_Backend[[#This Row],[Total (tCO2e)]]*(1-SupplyChain_Tier1_Backend[[#This Row],[RSD]]))</f>
        <v/>
      </c>
      <c r="AN115" s="220" t="str">
        <f>IF($G115="","", SupplyChain_Tier1_Backend[[#This Row],[Total (tCO2e)]]*(1+SupplyChain_Tier1_Backend[[#This Row],[RSD]]))</f>
        <v/>
      </c>
      <c r="AO115" s="210">
        <f ca="1">_xlfn.XLOOKUP(_xlfn.CONCAT(SupplyChain_Tier1_Backend[[#This Row],[Level 1]:[Level 6]]),rng_EFConcat,rng_EFOOS)*SupplyChain_Tier1_Backend[[#This Row],[Converted data]]/1000</f>
        <v>0</v>
      </c>
      <c r="AP115" s="174">
        <f>SupplyChain_Tier1_Frontend[[#This Row],[Ease of collection]]</f>
        <v>0</v>
      </c>
      <c r="AQ115" s="213">
        <f>SupplyChain_Tier1_Frontend[[#This Row],[Completeness]]</f>
        <v>0</v>
      </c>
      <c r="AR115" s="213">
        <f>SupplyChain_Tier1_Frontend[[#This Row],[Notes]]</f>
        <v>0</v>
      </c>
    </row>
    <row r="116" spans="2:44" ht="14.5" x14ac:dyDescent="0.35">
      <c r="B116" s="169"/>
      <c r="E116" s="236" t="s">
        <v>241</v>
      </c>
      <c r="F116" s="178" t="s">
        <v>1833</v>
      </c>
      <c r="G116" s="334"/>
      <c r="H116" s="172" t="s">
        <v>383</v>
      </c>
      <c r="I116" s="172" t="s">
        <v>384</v>
      </c>
      <c r="J116" s="336"/>
      <c r="K116" s="336"/>
      <c r="L116" s="337"/>
      <c r="M116" s="242">
        <f t="shared" si="4"/>
        <v>0</v>
      </c>
      <c r="N116"/>
      <c r="O116"/>
      <c r="Q116" s="211" t="str">
        <f t="shared" si="5"/>
        <v/>
      </c>
      <c r="R116" s="174" t="s">
        <v>267</v>
      </c>
      <c r="S116" s="174" t="s">
        <v>385</v>
      </c>
      <c r="T116" s="174" t="str" cm="1">
        <f t="array" aca="1" ref="T116" ca="1">_xlfn.XLOOKUP(SupplyChain_Tier1_Backend[[#This Row],[Level 2]],rng_Level2Long,rng_Level3Long)</f>
        <v>Supply chain</v>
      </c>
      <c r="U116" s="174" t="str">
        <f>SupplyChain_Tier1_Frontend[[#This Row],[Category]]</f>
        <v>Arts, entertainment and recreation</v>
      </c>
      <c r="V116" s="174" t="str">
        <f>SupplyChain_Tier1_Frontend[[#This Row],[Product Category]]</f>
        <v>Creative, arts and entertainment services</v>
      </c>
      <c r="W116" s="174" t="str" cm="1">
        <f t="array" aca="1" ref="W116" ca="1">_xlfn.XLOOKUP(SupplyChain_Tier1_Backend[[#This Row],[Level 5]],rng_Level5Long,rng_Level6Long)</f>
        <v>NaN</v>
      </c>
      <c r="X116" s="174" t="str">
        <f>SupplyChain_Tier1_Frontend[[#This Row],[Data type]]</f>
        <v>Spend-based EF</v>
      </c>
      <c r="Y116" s="174" t="s">
        <v>339</v>
      </c>
      <c r="Z116" s="174" t="s">
        <v>198</v>
      </c>
      <c r="AA116" s="229" cm="1">
        <f t="array" aca="1" ref="AA116" ca="1">INDEX(_xlfn.SWITCH(SupplyChain_Tier1_Backend[[#This Row],[Methodology]],"Tier 1",rng_RSD1,"Tier 2",rng_RSD2,"Tier 3",rng_RSD3),MATCH(_xlfn.CONCAT(SupplyChain_Tier1_Backend[[#This Row],[Level 1]:[Level 6]]),rng_LevelsConcat,0))</f>
        <v>0.25</v>
      </c>
      <c r="AB116" s="220">
        <f>SupplyChain_Tier1_Frontend[[#This Row],[Data]]</f>
        <v>0</v>
      </c>
      <c r="AC116" s="220" t="str">
        <f>SupplyChain_Tier1_Frontend[[#This Row],[Units]]</f>
        <v>£</v>
      </c>
      <c r="AD116"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6" s="174" t="str">
        <f>SupplyChain_Tier1_Frontend[[#This Row],[Units]]</f>
        <v>£</v>
      </c>
      <c r="AF116" s="210">
        <f ca="1">_xlfn.XLOOKUP(_xlfn.CONCAT(SupplyChain_Tier1_Backend[[#This Row],[Level 1]:[Level 6]]),rng_EFConcat,rng_EF1)*SupplyChain_Tier1_Backend[[#This Row],[Converted data]]/1000</f>
        <v>0</v>
      </c>
      <c r="AG116" s="210">
        <f ca="1">_xlfn.XLOOKUP(_xlfn.CONCAT(SupplyChain_Tier1_Backend[[#This Row],[Level 1]:[Level 6]]),rng_EFConcat,rng_EF2)*SupplyChain_Tier1_Backend[[#This Row],[Converted data]]/1000</f>
        <v>0</v>
      </c>
      <c r="AH116" s="210">
        <f ca="1">_xlfn.XLOOKUP(_xlfn.CONCAT(SupplyChain_Tier1_Backend[[#This Row],[Level 1]:[Level 6]]),rng_EFConcat,rng_EF3)*SupplyChain_Tier1_Backend[[#This Row],[Converted data]]/1000</f>
        <v>0</v>
      </c>
      <c r="AI116" s="210">
        <f ca="1">_xlfn.XLOOKUP(_xlfn.CONCAT(SupplyChain_Tier1_Backend[[#This Row],[Level 1]:[Level 6]]),rng_EFConcat,rng_EF3WTT)*SupplyChain_Tier1_Backend[[#This Row],[Converted data]]/1000</f>
        <v>0</v>
      </c>
      <c r="AJ116" s="210">
        <f ca="1">_xlfn.XLOOKUP(_xlfn.CONCAT(SupplyChain_Tier1_Backend[[#This Row],[Level 1]:[Level 6]]),rng_EFConcat,rng_EF3TD)*SupplyChain_Tier1_Backend[[#This Row],[Converted data]]/1000</f>
        <v>0</v>
      </c>
      <c r="AK116" s="210">
        <f ca="1">_xlfn.XLOOKUP(_xlfn.CONCAT(SupplyChain_Tier1_Backend[[#This Row],[Level 1]:[Level 6]]),rng_EFConcat,rng_EF3WTTTD)*SupplyChain_Tier1_Backend[[#This Row],[Converted data]]/1000</f>
        <v>0</v>
      </c>
      <c r="AL116" s="220" t="str">
        <f>IF($G116="","", SUM(SupplyChain_Tier1_Backend[[#This Row],[Scope 1 (tCO2e)]:[Scope 3 WTT T&amp;D (tCO2e)]]))</f>
        <v/>
      </c>
      <c r="AM116" s="220" t="str">
        <f>IF($G116="","", SupplyChain_Tier1_Backend[[#This Row],[Total (tCO2e)]]*(1-SupplyChain_Tier1_Backend[[#This Row],[RSD]]))</f>
        <v/>
      </c>
      <c r="AN116" s="220" t="str">
        <f>IF($G116="","", SupplyChain_Tier1_Backend[[#This Row],[Total (tCO2e)]]*(1+SupplyChain_Tier1_Backend[[#This Row],[RSD]]))</f>
        <v/>
      </c>
      <c r="AO116" s="210">
        <f ca="1">_xlfn.XLOOKUP(_xlfn.CONCAT(SupplyChain_Tier1_Backend[[#This Row],[Level 1]:[Level 6]]),rng_EFConcat,rng_EFOOS)*SupplyChain_Tier1_Backend[[#This Row],[Converted data]]/1000</f>
        <v>0</v>
      </c>
      <c r="AP116" s="174">
        <f>SupplyChain_Tier1_Frontend[[#This Row],[Ease of collection]]</f>
        <v>0</v>
      </c>
      <c r="AQ116" s="213">
        <f>SupplyChain_Tier1_Frontend[[#This Row],[Completeness]]</f>
        <v>0</v>
      </c>
      <c r="AR116" s="213">
        <f>SupplyChain_Tier1_Frontend[[#This Row],[Notes]]</f>
        <v>0</v>
      </c>
    </row>
    <row r="117" spans="2:44" ht="28.5" x14ac:dyDescent="0.35">
      <c r="B117" s="169"/>
      <c r="E117" s="236" t="s">
        <v>241</v>
      </c>
      <c r="F117" s="178" t="s">
        <v>1834</v>
      </c>
      <c r="G117" s="334"/>
      <c r="H117" s="172" t="s">
        <v>383</v>
      </c>
      <c r="I117" s="172" t="s">
        <v>384</v>
      </c>
      <c r="J117" s="336"/>
      <c r="K117" s="336"/>
      <c r="L117" s="337"/>
      <c r="M117" s="242">
        <f t="shared" si="4"/>
        <v>0</v>
      </c>
      <c r="N117"/>
      <c r="O117"/>
      <c r="Q117" s="211" t="str">
        <f t="shared" si="5"/>
        <v/>
      </c>
      <c r="R117" s="174" t="s">
        <v>267</v>
      </c>
      <c r="S117" s="174" t="s">
        <v>385</v>
      </c>
      <c r="T117" s="174" t="str" cm="1">
        <f t="array" aca="1" ref="T117" ca="1">_xlfn.XLOOKUP(SupplyChain_Tier1_Backend[[#This Row],[Level 2]],rng_Level2Long,rng_Level3Long)</f>
        <v>Supply chain</v>
      </c>
      <c r="U117" s="174" t="str">
        <f>SupplyChain_Tier1_Frontend[[#This Row],[Category]]</f>
        <v>Arts, entertainment and recreation</v>
      </c>
      <c r="V117" s="174" t="str">
        <f>SupplyChain_Tier1_Frontend[[#This Row],[Product Category]]</f>
        <v>Libraries, archives, museums and other cultural services</v>
      </c>
      <c r="W117" s="174" t="str" cm="1">
        <f t="array" aca="1" ref="W117" ca="1">_xlfn.XLOOKUP(SupplyChain_Tier1_Backend[[#This Row],[Level 5]],rng_Level5Long,rng_Level6Long)</f>
        <v>NaN</v>
      </c>
      <c r="X117" s="174" t="str">
        <f>SupplyChain_Tier1_Frontend[[#This Row],[Data type]]</f>
        <v>Spend-based EF</v>
      </c>
      <c r="Y117" s="174" t="s">
        <v>339</v>
      </c>
      <c r="Z117" s="174" t="s">
        <v>198</v>
      </c>
      <c r="AA117" s="229" cm="1">
        <f t="array" aca="1" ref="AA117" ca="1">INDEX(_xlfn.SWITCH(SupplyChain_Tier1_Backend[[#This Row],[Methodology]],"Tier 1",rng_RSD1,"Tier 2",rng_RSD2,"Tier 3",rng_RSD3),MATCH(_xlfn.CONCAT(SupplyChain_Tier1_Backend[[#This Row],[Level 1]:[Level 6]]),rng_LevelsConcat,0))</f>
        <v>0.25</v>
      </c>
      <c r="AB117" s="220">
        <f>SupplyChain_Tier1_Frontend[[#This Row],[Data]]</f>
        <v>0</v>
      </c>
      <c r="AC117" s="220" t="str">
        <f>SupplyChain_Tier1_Frontend[[#This Row],[Units]]</f>
        <v>£</v>
      </c>
      <c r="AD117"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7" s="174" t="str">
        <f>SupplyChain_Tier1_Frontend[[#This Row],[Units]]</f>
        <v>£</v>
      </c>
      <c r="AF117" s="210">
        <f ca="1">_xlfn.XLOOKUP(_xlfn.CONCAT(SupplyChain_Tier1_Backend[[#This Row],[Level 1]:[Level 6]]),rng_EFConcat,rng_EF1)*SupplyChain_Tier1_Backend[[#This Row],[Converted data]]/1000</f>
        <v>0</v>
      </c>
      <c r="AG117" s="210">
        <f ca="1">_xlfn.XLOOKUP(_xlfn.CONCAT(SupplyChain_Tier1_Backend[[#This Row],[Level 1]:[Level 6]]),rng_EFConcat,rng_EF2)*SupplyChain_Tier1_Backend[[#This Row],[Converted data]]/1000</f>
        <v>0</v>
      </c>
      <c r="AH117" s="210">
        <f ca="1">_xlfn.XLOOKUP(_xlfn.CONCAT(SupplyChain_Tier1_Backend[[#This Row],[Level 1]:[Level 6]]),rng_EFConcat,rng_EF3)*SupplyChain_Tier1_Backend[[#This Row],[Converted data]]/1000</f>
        <v>0</v>
      </c>
      <c r="AI117" s="210">
        <f ca="1">_xlfn.XLOOKUP(_xlfn.CONCAT(SupplyChain_Tier1_Backend[[#This Row],[Level 1]:[Level 6]]),rng_EFConcat,rng_EF3WTT)*SupplyChain_Tier1_Backend[[#This Row],[Converted data]]/1000</f>
        <v>0</v>
      </c>
      <c r="AJ117" s="210">
        <f ca="1">_xlfn.XLOOKUP(_xlfn.CONCAT(SupplyChain_Tier1_Backend[[#This Row],[Level 1]:[Level 6]]),rng_EFConcat,rng_EF3TD)*SupplyChain_Tier1_Backend[[#This Row],[Converted data]]/1000</f>
        <v>0</v>
      </c>
      <c r="AK117" s="210">
        <f ca="1">_xlfn.XLOOKUP(_xlfn.CONCAT(SupplyChain_Tier1_Backend[[#This Row],[Level 1]:[Level 6]]),rng_EFConcat,rng_EF3WTTTD)*SupplyChain_Tier1_Backend[[#This Row],[Converted data]]/1000</f>
        <v>0</v>
      </c>
      <c r="AL117" s="220" t="str">
        <f>IF($G117="","", SUM(SupplyChain_Tier1_Backend[[#This Row],[Scope 1 (tCO2e)]:[Scope 3 WTT T&amp;D (tCO2e)]]))</f>
        <v/>
      </c>
      <c r="AM117" s="220" t="str">
        <f>IF($G117="","", SupplyChain_Tier1_Backend[[#This Row],[Total (tCO2e)]]*(1-SupplyChain_Tier1_Backend[[#This Row],[RSD]]))</f>
        <v/>
      </c>
      <c r="AN117" s="220" t="str">
        <f>IF($G117="","", SupplyChain_Tier1_Backend[[#This Row],[Total (tCO2e)]]*(1+SupplyChain_Tier1_Backend[[#This Row],[RSD]]))</f>
        <v/>
      </c>
      <c r="AO117" s="210">
        <f ca="1">_xlfn.XLOOKUP(_xlfn.CONCAT(SupplyChain_Tier1_Backend[[#This Row],[Level 1]:[Level 6]]),rng_EFConcat,rng_EFOOS)*SupplyChain_Tier1_Backend[[#This Row],[Converted data]]/1000</f>
        <v>0</v>
      </c>
      <c r="AP117" s="174">
        <f>SupplyChain_Tier1_Frontend[[#This Row],[Ease of collection]]</f>
        <v>0</v>
      </c>
      <c r="AQ117" s="213">
        <f>SupplyChain_Tier1_Frontend[[#This Row],[Completeness]]</f>
        <v>0</v>
      </c>
      <c r="AR117" s="213">
        <f>SupplyChain_Tier1_Frontend[[#This Row],[Notes]]</f>
        <v>0</v>
      </c>
    </row>
    <row r="118" spans="2:44" ht="14.5" x14ac:dyDescent="0.35">
      <c r="B118" s="169"/>
      <c r="E118" s="236" t="s">
        <v>241</v>
      </c>
      <c r="F118" s="178" t="s">
        <v>1835</v>
      </c>
      <c r="G118" s="334"/>
      <c r="H118" s="172" t="s">
        <v>383</v>
      </c>
      <c r="I118" s="172" t="s">
        <v>384</v>
      </c>
      <c r="J118" s="336"/>
      <c r="K118" s="336"/>
      <c r="L118" s="337"/>
      <c r="M118" s="242">
        <f t="shared" si="4"/>
        <v>0</v>
      </c>
      <c r="N118"/>
      <c r="O118"/>
      <c r="Q118" s="211" t="str">
        <f t="shared" si="5"/>
        <v/>
      </c>
      <c r="R118" s="174" t="s">
        <v>267</v>
      </c>
      <c r="S118" s="174" t="s">
        <v>385</v>
      </c>
      <c r="T118" s="174" t="str" cm="1">
        <f t="array" aca="1" ref="T118" ca="1">_xlfn.XLOOKUP(SupplyChain_Tier1_Backend[[#This Row],[Level 2]],rng_Level2Long,rng_Level3Long)</f>
        <v>Supply chain</v>
      </c>
      <c r="U118" s="174" t="str">
        <f>SupplyChain_Tier1_Frontend[[#This Row],[Category]]</f>
        <v>Arts, entertainment and recreation</v>
      </c>
      <c r="V118" s="174" t="str">
        <f>SupplyChain_Tier1_Frontend[[#This Row],[Product Category]]</f>
        <v>Gambling and betting services</v>
      </c>
      <c r="W118" s="174" t="str" cm="1">
        <f t="array" aca="1" ref="W118" ca="1">_xlfn.XLOOKUP(SupplyChain_Tier1_Backend[[#This Row],[Level 5]],rng_Level5Long,rng_Level6Long)</f>
        <v>NaN</v>
      </c>
      <c r="X118" s="174" t="str">
        <f>SupplyChain_Tier1_Frontend[[#This Row],[Data type]]</f>
        <v>Spend-based EF</v>
      </c>
      <c r="Y118" s="174" t="s">
        <v>339</v>
      </c>
      <c r="Z118" s="174" t="s">
        <v>198</v>
      </c>
      <c r="AA118" s="229" cm="1">
        <f t="array" aca="1" ref="AA118" ca="1">INDEX(_xlfn.SWITCH(SupplyChain_Tier1_Backend[[#This Row],[Methodology]],"Tier 1",rng_RSD1,"Tier 2",rng_RSD2,"Tier 3",rng_RSD3),MATCH(_xlfn.CONCAT(SupplyChain_Tier1_Backend[[#This Row],[Level 1]:[Level 6]]),rng_LevelsConcat,0))</f>
        <v>0.25</v>
      </c>
      <c r="AB118" s="220">
        <f>SupplyChain_Tier1_Frontend[[#This Row],[Data]]</f>
        <v>0</v>
      </c>
      <c r="AC118" s="220" t="str">
        <f>SupplyChain_Tier1_Frontend[[#This Row],[Units]]</f>
        <v>£</v>
      </c>
      <c r="AD118"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8" s="174" t="str">
        <f>SupplyChain_Tier1_Frontend[[#This Row],[Units]]</f>
        <v>£</v>
      </c>
      <c r="AF118" s="210">
        <f ca="1">_xlfn.XLOOKUP(_xlfn.CONCAT(SupplyChain_Tier1_Backend[[#This Row],[Level 1]:[Level 6]]),rng_EFConcat,rng_EF1)*SupplyChain_Tier1_Backend[[#This Row],[Converted data]]/1000</f>
        <v>0</v>
      </c>
      <c r="AG118" s="210">
        <f ca="1">_xlfn.XLOOKUP(_xlfn.CONCAT(SupplyChain_Tier1_Backend[[#This Row],[Level 1]:[Level 6]]),rng_EFConcat,rng_EF2)*SupplyChain_Tier1_Backend[[#This Row],[Converted data]]/1000</f>
        <v>0</v>
      </c>
      <c r="AH118" s="210">
        <f ca="1">_xlfn.XLOOKUP(_xlfn.CONCAT(SupplyChain_Tier1_Backend[[#This Row],[Level 1]:[Level 6]]),rng_EFConcat,rng_EF3)*SupplyChain_Tier1_Backend[[#This Row],[Converted data]]/1000</f>
        <v>0</v>
      </c>
      <c r="AI118" s="210">
        <f ca="1">_xlfn.XLOOKUP(_xlfn.CONCAT(SupplyChain_Tier1_Backend[[#This Row],[Level 1]:[Level 6]]),rng_EFConcat,rng_EF3WTT)*SupplyChain_Tier1_Backend[[#This Row],[Converted data]]/1000</f>
        <v>0</v>
      </c>
      <c r="AJ118" s="210">
        <f ca="1">_xlfn.XLOOKUP(_xlfn.CONCAT(SupplyChain_Tier1_Backend[[#This Row],[Level 1]:[Level 6]]),rng_EFConcat,rng_EF3TD)*SupplyChain_Tier1_Backend[[#This Row],[Converted data]]/1000</f>
        <v>0</v>
      </c>
      <c r="AK118" s="210">
        <f ca="1">_xlfn.XLOOKUP(_xlfn.CONCAT(SupplyChain_Tier1_Backend[[#This Row],[Level 1]:[Level 6]]),rng_EFConcat,rng_EF3WTTTD)*SupplyChain_Tier1_Backend[[#This Row],[Converted data]]/1000</f>
        <v>0</v>
      </c>
      <c r="AL118" s="220" t="str">
        <f>IF($G118="","", SUM(SupplyChain_Tier1_Backend[[#This Row],[Scope 1 (tCO2e)]:[Scope 3 WTT T&amp;D (tCO2e)]]))</f>
        <v/>
      </c>
      <c r="AM118" s="220" t="str">
        <f>IF($G118="","", SupplyChain_Tier1_Backend[[#This Row],[Total (tCO2e)]]*(1-SupplyChain_Tier1_Backend[[#This Row],[RSD]]))</f>
        <v/>
      </c>
      <c r="AN118" s="220" t="str">
        <f>IF($G118="","", SupplyChain_Tier1_Backend[[#This Row],[Total (tCO2e)]]*(1+SupplyChain_Tier1_Backend[[#This Row],[RSD]]))</f>
        <v/>
      </c>
      <c r="AO118" s="210">
        <f ca="1">_xlfn.XLOOKUP(_xlfn.CONCAT(SupplyChain_Tier1_Backend[[#This Row],[Level 1]:[Level 6]]),rng_EFConcat,rng_EFOOS)*SupplyChain_Tier1_Backend[[#This Row],[Converted data]]/1000</f>
        <v>0</v>
      </c>
      <c r="AP118" s="174">
        <f>SupplyChain_Tier1_Frontend[[#This Row],[Ease of collection]]</f>
        <v>0</v>
      </c>
      <c r="AQ118" s="213">
        <f>SupplyChain_Tier1_Frontend[[#This Row],[Completeness]]</f>
        <v>0</v>
      </c>
      <c r="AR118" s="213">
        <f>SupplyChain_Tier1_Frontend[[#This Row],[Notes]]</f>
        <v>0</v>
      </c>
    </row>
    <row r="119" spans="2:44" ht="28.5" x14ac:dyDescent="0.35">
      <c r="B119" s="169"/>
      <c r="E119" s="236" t="s">
        <v>241</v>
      </c>
      <c r="F119" s="178" t="s">
        <v>1836</v>
      </c>
      <c r="G119" s="334"/>
      <c r="H119" s="172" t="s">
        <v>383</v>
      </c>
      <c r="I119" s="172" t="s">
        <v>384</v>
      </c>
      <c r="J119" s="336"/>
      <c r="K119" s="336"/>
      <c r="L119" s="337"/>
      <c r="M119" s="242">
        <f t="shared" si="4"/>
        <v>0</v>
      </c>
      <c r="N119"/>
      <c r="O119"/>
      <c r="Q119" s="211" t="str">
        <f t="shared" si="5"/>
        <v/>
      </c>
      <c r="R119" s="174" t="s">
        <v>267</v>
      </c>
      <c r="S119" s="174" t="s">
        <v>385</v>
      </c>
      <c r="T119" s="174" t="str" cm="1">
        <f t="array" aca="1" ref="T119" ca="1">_xlfn.XLOOKUP(SupplyChain_Tier1_Backend[[#This Row],[Level 2]],rng_Level2Long,rng_Level3Long)</f>
        <v>Supply chain</v>
      </c>
      <c r="U119" s="174" t="str">
        <f>SupplyChain_Tier1_Frontend[[#This Row],[Category]]</f>
        <v>Arts, entertainment and recreation</v>
      </c>
      <c r="V119" s="174" t="str">
        <f>SupplyChain_Tier1_Frontend[[#This Row],[Product Category]]</f>
        <v>Sports services and amusement and recreation services</v>
      </c>
      <c r="W119" s="174" t="str" cm="1">
        <f t="array" aca="1" ref="W119" ca="1">_xlfn.XLOOKUP(SupplyChain_Tier1_Backend[[#This Row],[Level 5]],rng_Level5Long,rng_Level6Long)</f>
        <v>NaN</v>
      </c>
      <c r="X119" s="174" t="str">
        <f>SupplyChain_Tier1_Frontend[[#This Row],[Data type]]</f>
        <v>Spend-based EF</v>
      </c>
      <c r="Y119" s="174" t="s">
        <v>339</v>
      </c>
      <c r="Z119" s="174" t="s">
        <v>198</v>
      </c>
      <c r="AA119" s="229" cm="1">
        <f t="array" aca="1" ref="AA119" ca="1">INDEX(_xlfn.SWITCH(SupplyChain_Tier1_Backend[[#This Row],[Methodology]],"Tier 1",rng_RSD1,"Tier 2",rng_RSD2,"Tier 3",rng_RSD3),MATCH(_xlfn.CONCAT(SupplyChain_Tier1_Backend[[#This Row],[Level 1]:[Level 6]]),rng_LevelsConcat,0))</f>
        <v>0.25</v>
      </c>
      <c r="AB119" s="220">
        <f>SupplyChain_Tier1_Frontend[[#This Row],[Data]]</f>
        <v>0</v>
      </c>
      <c r="AC119" s="220" t="str">
        <f>SupplyChain_Tier1_Frontend[[#This Row],[Units]]</f>
        <v>£</v>
      </c>
      <c r="AD119"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19" s="174" t="str">
        <f>SupplyChain_Tier1_Frontend[[#This Row],[Units]]</f>
        <v>£</v>
      </c>
      <c r="AF119" s="210">
        <f ca="1">_xlfn.XLOOKUP(_xlfn.CONCAT(SupplyChain_Tier1_Backend[[#This Row],[Level 1]:[Level 6]]),rng_EFConcat,rng_EF1)*SupplyChain_Tier1_Backend[[#This Row],[Converted data]]/1000</f>
        <v>0</v>
      </c>
      <c r="AG119" s="210">
        <f ca="1">_xlfn.XLOOKUP(_xlfn.CONCAT(SupplyChain_Tier1_Backend[[#This Row],[Level 1]:[Level 6]]),rng_EFConcat,rng_EF2)*SupplyChain_Tier1_Backend[[#This Row],[Converted data]]/1000</f>
        <v>0</v>
      </c>
      <c r="AH119" s="210">
        <f ca="1">_xlfn.XLOOKUP(_xlfn.CONCAT(SupplyChain_Tier1_Backend[[#This Row],[Level 1]:[Level 6]]),rng_EFConcat,rng_EF3)*SupplyChain_Tier1_Backend[[#This Row],[Converted data]]/1000</f>
        <v>0</v>
      </c>
      <c r="AI119" s="210">
        <f ca="1">_xlfn.XLOOKUP(_xlfn.CONCAT(SupplyChain_Tier1_Backend[[#This Row],[Level 1]:[Level 6]]),rng_EFConcat,rng_EF3WTT)*SupplyChain_Tier1_Backend[[#This Row],[Converted data]]/1000</f>
        <v>0</v>
      </c>
      <c r="AJ119" s="210">
        <f ca="1">_xlfn.XLOOKUP(_xlfn.CONCAT(SupplyChain_Tier1_Backend[[#This Row],[Level 1]:[Level 6]]),rng_EFConcat,rng_EF3TD)*SupplyChain_Tier1_Backend[[#This Row],[Converted data]]/1000</f>
        <v>0</v>
      </c>
      <c r="AK119" s="210">
        <f ca="1">_xlfn.XLOOKUP(_xlfn.CONCAT(SupplyChain_Tier1_Backend[[#This Row],[Level 1]:[Level 6]]),rng_EFConcat,rng_EF3WTTTD)*SupplyChain_Tier1_Backend[[#This Row],[Converted data]]/1000</f>
        <v>0</v>
      </c>
      <c r="AL119" s="220" t="str">
        <f>IF($G119="","", SUM(SupplyChain_Tier1_Backend[[#This Row],[Scope 1 (tCO2e)]:[Scope 3 WTT T&amp;D (tCO2e)]]))</f>
        <v/>
      </c>
      <c r="AM119" s="220" t="str">
        <f>IF($G119="","", SupplyChain_Tier1_Backend[[#This Row],[Total (tCO2e)]]*(1-SupplyChain_Tier1_Backend[[#This Row],[RSD]]))</f>
        <v/>
      </c>
      <c r="AN119" s="220" t="str">
        <f>IF($G119="","", SupplyChain_Tier1_Backend[[#This Row],[Total (tCO2e)]]*(1+SupplyChain_Tier1_Backend[[#This Row],[RSD]]))</f>
        <v/>
      </c>
      <c r="AO119" s="210">
        <f ca="1">_xlfn.XLOOKUP(_xlfn.CONCAT(SupplyChain_Tier1_Backend[[#This Row],[Level 1]:[Level 6]]),rng_EFConcat,rng_EFOOS)*SupplyChain_Tier1_Backend[[#This Row],[Converted data]]/1000</f>
        <v>0</v>
      </c>
      <c r="AP119" s="174">
        <f>SupplyChain_Tier1_Frontend[[#This Row],[Ease of collection]]</f>
        <v>0</v>
      </c>
      <c r="AQ119" s="213">
        <f>SupplyChain_Tier1_Frontend[[#This Row],[Completeness]]</f>
        <v>0</v>
      </c>
      <c r="AR119" s="213">
        <f>SupplyChain_Tier1_Frontend[[#This Row],[Notes]]</f>
        <v>0</v>
      </c>
    </row>
    <row r="120" spans="2:44" ht="14.5" x14ac:dyDescent="0.35">
      <c r="B120" s="169"/>
      <c r="E120" s="236" t="s">
        <v>242</v>
      </c>
      <c r="F120" s="178" t="s">
        <v>1837</v>
      </c>
      <c r="G120" s="334"/>
      <c r="H120" s="172" t="s">
        <v>383</v>
      </c>
      <c r="I120" s="172" t="s">
        <v>384</v>
      </c>
      <c r="J120" s="336"/>
      <c r="K120" s="336"/>
      <c r="L120" s="337"/>
      <c r="M120" s="242">
        <f t="shared" si="4"/>
        <v>0</v>
      </c>
      <c r="N120"/>
      <c r="O120"/>
      <c r="Q120" s="211" t="str">
        <f t="shared" si="5"/>
        <v/>
      </c>
      <c r="R120" s="174" t="s">
        <v>267</v>
      </c>
      <c r="S120" s="174" t="s">
        <v>385</v>
      </c>
      <c r="T120" s="174" t="str" cm="1">
        <f t="array" aca="1" ref="T120" ca="1">_xlfn.XLOOKUP(SupplyChain_Tier1_Backend[[#This Row],[Level 2]],rng_Level2Long,rng_Level3Long)</f>
        <v>Supply chain</v>
      </c>
      <c r="U120" s="174" t="str">
        <f>SupplyChain_Tier1_Frontend[[#This Row],[Category]]</f>
        <v>Other service activities</v>
      </c>
      <c r="V120" s="174" t="str">
        <f>SupplyChain_Tier1_Frontend[[#This Row],[Product Category]]</f>
        <v>Services furnished by membership organisations</v>
      </c>
      <c r="W120" s="174" t="str" cm="1">
        <f t="array" aca="1" ref="W120" ca="1">_xlfn.XLOOKUP(SupplyChain_Tier1_Backend[[#This Row],[Level 5]],rng_Level5Long,rng_Level6Long)</f>
        <v>NaN</v>
      </c>
      <c r="X120" s="174" t="str">
        <f>SupplyChain_Tier1_Frontend[[#This Row],[Data type]]</f>
        <v>Spend-based EF</v>
      </c>
      <c r="Y120" s="174" t="s">
        <v>339</v>
      </c>
      <c r="Z120" s="174" t="s">
        <v>198</v>
      </c>
      <c r="AA120" s="229" cm="1">
        <f t="array" aca="1" ref="AA120" ca="1">INDEX(_xlfn.SWITCH(SupplyChain_Tier1_Backend[[#This Row],[Methodology]],"Tier 1",rng_RSD1,"Tier 2",rng_RSD2,"Tier 3",rng_RSD3),MATCH(_xlfn.CONCAT(SupplyChain_Tier1_Backend[[#This Row],[Level 1]:[Level 6]]),rng_LevelsConcat,0))</f>
        <v>0.25</v>
      </c>
      <c r="AB120" s="220">
        <f>SupplyChain_Tier1_Frontend[[#This Row],[Data]]</f>
        <v>0</v>
      </c>
      <c r="AC120" s="220" t="str">
        <f>SupplyChain_Tier1_Frontend[[#This Row],[Units]]</f>
        <v>£</v>
      </c>
      <c r="AD120"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20" s="174" t="str">
        <f>SupplyChain_Tier1_Frontend[[#This Row],[Units]]</f>
        <v>£</v>
      </c>
      <c r="AF120" s="210">
        <f ca="1">_xlfn.XLOOKUP(_xlfn.CONCAT(SupplyChain_Tier1_Backend[[#This Row],[Level 1]:[Level 6]]),rng_EFConcat,rng_EF1)*SupplyChain_Tier1_Backend[[#This Row],[Converted data]]/1000</f>
        <v>0</v>
      </c>
      <c r="AG120" s="210">
        <f ca="1">_xlfn.XLOOKUP(_xlfn.CONCAT(SupplyChain_Tier1_Backend[[#This Row],[Level 1]:[Level 6]]),rng_EFConcat,rng_EF2)*SupplyChain_Tier1_Backend[[#This Row],[Converted data]]/1000</f>
        <v>0</v>
      </c>
      <c r="AH120" s="210">
        <f ca="1">_xlfn.XLOOKUP(_xlfn.CONCAT(SupplyChain_Tier1_Backend[[#This Row],[Level 1]:[Level 6]]),rng_EFConcat,rng_EF3)*SupplyChain_Tier1_Backend[[#This Row],[Converted data]]/1000</f>
        <v>0</v>
      </c>
      <c r="AI120" s="210">
        <f ca="1">_xlfn.XLOOKUP(_xlfn.CONCAT(SupplyChain_Tier1_Backend[[#This Row],[Level 1]:[Level 6]]),rng_EFConcat,rng_EF3WTT)*SupplyChain_Tier1_Backend[[#This Row],[Converted data]]/1000</f>
        <v>0</v>
      </c>
      <c r="AJ120" s="210">
        <f ca="1">_xlfn.XLOOKUP(_xlfn.CONCAT(SupplyChain_Tier1_Backend[[#This Row],[Level 1]:[Level 6]]),rng_EFConcat,rng_EF3TD)*SupplyChain_Tier1_Backend[[#This Row],[Converted data]]/1000</f>
        <v>0</v>
      </c>
      <c r="AK120" s="210">
        <f ca="1">_xlfn.XLOOKUP(_xlfn.CONCAT(SupplyChain_Tier1_Backend[[#This Row],[Level 1]:[Level 6]]),rng_EFConcat,rng_EF3WTTTD)*SupplyChain_Tier1_Backend[[#This Row],[Converted data]]/1000</f>
        <v>0</v>
      </c>
      <c r="AL120" s="220" t="str">
        <f>IF($G120="","", SUM(SupplyChain_Tier1_Backend[[#This Row],[Scope 1 (tCO2e)]:[Scope 3 WTT T&amp;D (tCO2e)]]))</f>
        <v/>
      </c>
      <c r="AM120" s="220" t="str">
        <f>IF($G120="","", SupplyChain_Tier1_Backend[[#This Row],[Total (tCO2e)]]*(1-SupplyChain_Tier1_Backend[[#This Row],[RSD]]))</f>
        <v/>
      </c>
      <c r="AN120" s="220" t="str">
        <f>IF($G120="","", SupplyChain_Tier1_Backend[[#This Row],[Total (tCO2e)]]*(1+SupplyChain_Tier1_Backend[[#This Row],[RSD]]))</f>
        <v/>
      </c>
      <c r="AO120" s="210">
        <f ca="1">_xlfn.XLOOKUP(_xlfn.CONCAT(SupplyChain_Tier1_Backend[[#This Row],[Level 1]:[Level 6]]),rng_EFConcat,rng_EFOOS)*SupplyChain_Tier1_Backend[[#This Row],[Converted data]]/1000</f>
        <v>0</v>
      </c>
      <c r="AP120" s="174">
        <f>SupplyChain_Tier1_Frontend[[#This Row],[Ease of collection]]</f>
        <v>0</v>
      </c>
      <c r="AQ120" s="213">
        <f>SupplyChain_Tier1_Frontend[[#This Row],[Completeness]]</f>
        <v>0</v>
      </c>
      <c r="AR120" s="213">
        <f>SupplyChain_Tier1_Frontend[[#This Row],[Notes]]</f>
        <v>0</v>
      </c>
    </row>
    <row r="121" spans="2:44" ht="28.5" x14ac:dyDescent="0.35">
      <c r="B121" s="169"/>
      <c r="E121" s="236" t="s">
        <v>242</v>
      </c>
      <c r="F121" s="178" t="s">
        <v>1838</v>
      </c>
      <c r="G121" s="334"/>
      <c r="H121" s="172" t="s">
        <v>383</v>
      </c>
      <c r="I121" s="172" t="s">
        <v>384</v>
      </c>
      <c r="J121" s="336"/>
      <c r="K121" s="336"/>
      <c r="L121" s="337"/>
      <c r="M121" s="242">
        <f t="shared" si="4"/>
        <v>0</v>
      </c>
      <c r="N121"/>
      <c r="O121"/>
      <c r="Q121" s="211" t="str">
        <f t="shared" si="5"/>
        <v/>
      </c>
      <c r="R121" s="174" t="s">
        <v>267</v>
      </c>
      <c r="S121" s="174" t="s">
        <v>385</v>
      </c>
      <c r="T121" s="174" t="str" cm="1">
        <f t="array" aca="1" ref="T121" ca="1">_xlfn.XLOOKUP(SupplyChain_Tier1_Backend[[#This Row],[Level 2]],rng_Level2Long,rng_Level3Long)</f>
        <v>Supply chain</v>
      </c>
      <c r="U121" s="174" t="str">
        <f>SupplyChain_Tier1_Frontend[[#This Row],[Category]]</f>
        <v>Other service activities</v>
      </c>
      <c r="V121" s="174" t="str">
        <f>SupplyChain_Tier1_Frontend[[#This Row],[Product Category]]</f>
        <v>Repair services of computers and personal and household goods</v>
      </c>
      <c r="W121" s="174" t="str" cm="1">
        <f t="array" aca="1" ref="W121" ca="1">_xlfn.XLOOKUP(SupplyChain_Tier1_Backend[[#This Row],[Level 5]],rng_Level5Long,rng_Level6Long)</f>
        <v>NaN</v>
      </c>
      <c r="X121" s="174" t="str">
        <f>SupplyChain_Tier1_Frontend[[#This Row],[Data type]]</f>
        <v>Spend-based EF</v>
      </c>
      <c r="Y121" s="174" t="s">
        <v>339</v>
      </c>
      <c r="Z121" s="174" t="s">
        <v>198</v>
      </c>
      <c r="AA121" s="229" cm="1">
        <f t="array" aca="1" ref="AA121" ca="1">INDEX(_xlfn.SWITCH(SupplyChain_Tier1_Backend[[#This Row],[Methodology]],"Tier 1",rng_RSD1,"Tier 2",rng_RSD2,"Tier 3",rng_RSD3),MATCH(_xlfn.CONCAT(SupplyChain_Tier1_Backend[[#This Row],[Level 1]:[Level 6]]),rng_LevelsConcat,0))</f>
        <v>0.25</v>
      </c>
      <c r="AB121" s="220">
        <f>SupplyChain_Tier1_Frontend[[#This Row],[Data]]</f>
        <v>0</v>
      </c>
      <c r="AC121" s="220" t="str">
        <f>SupplyChain_Tier1_Frontend[[#This Row],[Units]]</f>
        <v>£</v>
      </c>
      <c r="AD121"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21" s="174" t="str">
        <f>SupplyChain_Tier1_Frontend[[#This Row],[Units]]</f>
        <v>£</v>
      </c>
      <c r="AF121" s="210">
        <f ca="1">_xlfn.XLOOKUP(_xlfn.CONCAT(SupplyChain_Tier1_Backend[[#This Row],[Level 1]:[Level 6]]),rng_EFConcat,rng_EF1)*SupplyChain_Tier1_Backend[[#This Row],[Converted data]]/1000</f>
        <v>0</v>
      </c>
      <c r="AG121" s="210">
        <f ca="1">_xlfn.XLOOKUP(_xlfn.CONCAT(SupplyChain_Tier1_Backend[[#This Row],[Level 1]:[Level 6]]),rng_EFConcat,rng_EF2)*SupplyChain_Tier1_Backend[[#This Row],[Converted data]]/1000</f>
        <v>0</v>
      </c>
      <c r="AH121" s="210">
        <f ca="1">_xlfn.XLOOKUP(_xlfn.CONCAT(SupplyChain_Tier1_Backend[[#This Row],[Level 1]:[Level 6]]),rng_EFConcat,rng_EF3)*SupplyChain_Tier1_Backend[[#This Row],[Converted data]]/1000</f>
        <v>0</v>
      </c>
      <c r="AI121" s="210">
        <f ca="1">_xlfn.XLOOKUP(_xlfn.CONCAT(SupplyChain_Tier1_Backend[[#This Row],[Level 1]:[Level 6]]),rng_EFConcat,rng_EF3WTT)*SupplyChain_Tier1_Backend[[#This Row],[Converted data]]/1000</f>
        <v>0</v>
      </c>
      <c r="AJ121" s="210">
        <f ca="1">_xlfn.XLOOKUP(_xlfn.CONCAT(SupplyChain_Tier1_Backend[[#This Row],[Level 1]:[Level 6]]),rng_EFConcat,rng_EF3TD)*SupplyChain_Tier1_Backend[[#This Row],[Converted data]]/1000</f>
        <v>0</v>
      </c>
      <c r="AK121" s="210">
        <f ca="1">_xlfn.XLOOKUP(_xlfn.CONCAT(SupplyChain_Tier1_Backend[[#This Row],[Level 1]:[Level 6]]),rng_EFConcat,rng_EF3WTTTD)*SupplyChain_Tier1_Backend[[#This Row],[Converted data]]/1000</f>
        <v>0</v>
      </c>
      <c r="AL121" s="220" t="str">
        <f>IF($G121="","", SUM(SupplyChain_Tier1_Backend[[#This Row],[Scope 1 (tCO2e)]:[Scope 3 WTT T&amp;D (tCO2e)]]))</f>
        <v/>
      </c>
      <c r="AM121" s="220" t="str">
        <f>IF($G121="","", SupplyChain_Tier1_Backend[[#This Row],[Total (tCO2e)]]*(1-SupplyChain_Tier1_Backend[[#This Row],[RSD]]))</f>
        <v/>
      </c>
      <c r="AN121" s="220" t="str">
        <f>IF($G121="","", SupplyChain_Tier1_Backend[[#This Row],[Total (tCO2e)]]*(1+SupplyChain_Tier1_Backend[[#This Row],[RSD]]))</f>
        <v/>
      </c>
      <c r="AO121" s="210">
        <f ca="1">_xlfn.XLOOKUP(_xlfn.CONCAT(SupplyChain_Tier1_Backend[[#This Row],[Level 1]:[Level 6]]),rng_EFConcat,rng_EFOOS)*SupplyChain_Tier1_Backend[[#This Row],[Converted data]]/1000</f>
        <v>0</v>
      </c>
      <c r="AP121" s="174">
        <f>SupplyChain_Tier1_Frontend[[#This Row],[Ease of collection]]</f>
        <v>0</v>
      </c>
      <c r="AQ121" s="213">
        <f>SupplyChain_Tier1_Frontend[[#This Row],[Completeness]]</f>
        <v>0</v>
      </c>
      <c r="AR121" s="213">
        <f>SupplyChain_Tier1_Frontend[[#This Row],[Notes]]</f>
        <v>0</v>
      </c>
    </row>
    <row r="122" spans="2:44" ht="14.5" x14ac:dyDescent="0.35">
      <c r="B122" s="169"/>
      <c r="E122" s="236" t="s">
        <v>242</v>
      </c>
      <c r="F122" s="178" t="s">
        <v>1839</v>
      </c>
      <c r="G122" s="334"/>
      <c r="H122" s="172" t="s">
        <v>383</v>
      </c>
      <c r="I122" s="172" t="s">
        <v>384</v>
      </c>
      <c r="J122" s="336"/>
      <c r="K122" s="336"/>
      <c r="L122" s="337"/>
      <c r="M122" s="242">
        <f t="shared" si="4"/>
        <v>0</v>
      </c>
      <c r="N122"/>
      <c r="O122"/>
      <c r="Q122" s="211" t="str">
        <f t="shared" si="5"/>
        <v/>
      </c>
      <c r="R122" s="174" t="s">
        <v>267</v>
      </c>
      <c r="S122" s="174" t="s">
        <v>385</v>
      </c>
      <c r="T122" s="174" t="str" cm="1">
        <f t="array" aca="1" ref="T122" ca="1">_xlfn.XLOOKUP(SupplyChain_Tier1_Backend[[#This Row],[Level 2]],rng_Level2Long,rng_Level3Long)</f>
        <v>Supply chain</v>
      </c>
      <c r="U122" s="174" t="str">
        <f>SupplyChain_Tier1_Frontend[[#This Row],[Category]]</f>
        <v>Other service activities</v>
      </c>
      <c r="V122" s="174" t="str">
        <f>SupplyChain_Tier1_Frontend[[#This Row],[Product Category]]</f>
        <v>Other personal services</v>
      </c>
      <c r="W122" s="174" t="str" cm="1">
        <f t="array" aca="1" ref="W122" ca="1">_xlfn.XLOOKUP(SupplyChain_Tier1_Backend[[#This Row],[Level 5]],rng_Level5Long,rng_Level6Long)</f>
        <v>NaN</v>
      </c>
      <c r="X122" s="174" t="str">
        <f>SupplyChain_Tier1_Frontend[[#This Row],[Data type]]</f>
        <v>Spend-based EF</v>
      </c>
      <c r="Y122" s="174" t="s">
        <v>339</v>
      </c>
      <c r="Z122" s="174" t="s">
        <v>198</v>
      </c>
      <c r="AA122" s="229" cm="1">
        <f t="array" aca="1" ref="AA122" ca="1">INDEX(_xlfn.SWITCH(SupplyChain_Tier1_Backend[[#This Row],[Methodology]],"Tier 1",rng_RSD1,"Tier 2",rng_RSD2,"Tier 3",rng_RSD3),MATCH(_xlfn.CONCAT(SupplyChain_Tier1_Backend[[#This Row],[Level 1]:[Level 6]]),rng_LevelsConcat,0))</f>
        <v>0.25</v>
      </c>
      <c r="AB122" s="220">
        <f>SupplyChain_Tier1_Frontend[[#This Row],[Data]]</f>
        <v>0</v>
      </c>
      <c r="AC122" s="220" t="str">
        <f>SupplyChain_Tier1_Frontend[[#This Row],[Units]]</f>
        <v>£</v>
      </c>
      <c r="AD122"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22" s="174" t="str">
        <f>SupplyChain_Tier1_Frontend[[#This Row],[Units]]</f>
        <v>£</v>
      </c>
      <c r="AF122" s="210">
        <f ca="1">_xlfn.XLOOKUP(_xlfn.CONCAT(SupplyChain_Tier1_Backend[[#This Row],[Level 1]:[Level 6]]),rng_EFConcat,rng_EF1)*SupplyChain_Tier1_Backend[[#This Row],[Converted data]]/1000</f>
        <v>0</v>
      </c>
      <c r="AG122" s="210">
        <f ca="1">_xlfn.XLOOKUP(_xlfn.CONCAT(SupplyChain_Tier1_Backend[[#This Row],[Level 1]:[Level 6]]),rng_EFConcat,rng_EF2)*SupplyChain_Tier1_Backend[[#This Row],[Converted data]]/1000</f>
        <v>0</v>
      </c>
      <c r="AH122" s="210">
        <f ca="1">_xlfn.XLOOKUP(_xlfn.CONCAT(SupplyChain_Tier1_Backend[[#This Row],[Level 1]:[Level 6]]),rng_EFConcat,rng_EF3)*SupplyChain_Tier1_Backend[[#This Row],[Converted data]]/1000</f>
        <v>0</v>
      </c>
      <c r="AI122" s="210">
        <f ca="1">_xlfn.XLOOKUP(_xlfn.CONCAT(SupplyChain_Tier1_Backend[[#This Row],[Level 1]:[Level 6]]),rng_EFConcat,rng_EF3WTT)*SupplyChain_Tier1_Backend[[#This Row],[Converted data]]/1000</f>
        <v>0</v>
      </c>
      <c r="AJ122" s="210">
        <f ca="1">_xlfn.XLOOKUP(_xlfn.CONCAT(SupplyChain_Tier1_Backend[[#This Row],[Level 1]:[Level 6]]),rng_EFConcat,rng_EF3TD)*SupplyChain_Tier1_Backend[[#This Row],[Converted data]]/1000</f>
        <v>0</v>
      </c>
      <c r="AK122" s="210">
        <f ca="1">_xlfn.XLOOKUP(_xlfn.CONCAT(SupplyChain_Tier1_Backend[[#This Row],[Level 1]:[Level 6]]),rng_EFConcat,rng_EF3WTTTD)*SupplyChain_Tier1_Backend[[#This Row],[Converted data]]/1000</f>
        <v>0</v>
      </c>
      <c r="AL122" s="220" t="str">
        <f>IF($G122="","", SUM(SupplyChain_Tier1_Backend[[#This Row],[Scope 1 (tCO2e)]:[Scope 3 WTT T&amp;D (tCO2e)]]))</f>
        <v/>
      </c>
      <c r="AM122" s="220" t="str">
        <f>IF($G122="","", SupplyChain_Tier1_Backend[[#This Row],[Total (tCO2e)]]*(1-SupplyChain_Tier1_Backend[[#This Row],[RSD]]))</f>
        <v/>
      </c>
      <c r="AN122" s="220" t="str">
        <f>IF($G122="","", SupplyChain_Tier1_Backend[[#This Row],[Total (tCO2e)]]*(1+SupplyChain_Tier1_Backend[[#This Row],[RSD]]))</f>
        <v/>
      </c>
      <c r="AO122" s="210">
        <f ca="1">_xlfn.XLOOKUP(_xlfn.CONCAT(SupplyChain_Tier1_Backend[[#This Row],[Level 1]:[Level 6]]),rng_EFConcat,rng_EFOOS)*SupplyChain_Tier1_Backend[[#This Row],[Converted data]]/1000</f>
        <v>0</v>
      </c>
      <c r="AP122" s="174">
        <f>SupplyChain_Tier1_Frontend[[#This Row],[Ease of collection]]</f>
        <v>0</v>
      </c>
      <c r="AQ122" s="213">
        <f>SupplyChain_Tier1_Frontend[[#This Row],[Completeness]]</f>
        <v>0</v>
      </c>
      <c r="AR122" s="213">
        <f>SupplyChain_Tier1_Frontend[[#This Row],[Notes]]</f>
        <v>0</v>
      </c>
    </row>
    <row r="123" spans="2:44" ht="28.5" x14ac:dyDescent="0.35">
      <c r="B123" s="169"/>
      <c r="E123" s="237" t="s">
        <v>243</v>
      </c>
      <c r="F123" s="238" t="s">
        <v>1840</v>
      </c>
      <c r="G123" s="334"/>
      <c r="H123" s="222" t="s">
        <v>383</v>
      </c>
      <c r="I123" s="172" t="s">
        <v>384</v>
      </c>
      <c r="J123" s="338"/>
      <c r="K123" s="338"/>
      <c r="L123" s="339"/>
      <c r="M123" s="242">
        <f t="shared" si="4"/>
        <v>0</v>
      </c>
      <c r="N123"/>
      <c r="O123"/>
      <c r="Q123" s="223" t="str">
        <f t="shared" si="5"/>
        <v/>
      </c>
      <c r="R123" s="174" t="s">
        <v>267</v>
      </c>
      <c r="S123" s="174" t="s">
        <v>385</v>
      </c>
      <c r="T123" s="216" t="str" cm="1">
        <f t="array" aca="1" ref="T123" ca="1">_xlfn.XLOOKUP(SupplyChain_Tier1_Backend[[#This Row],[Level 2]],rng_Level2Long,rng_Level3Long)</f>
        <v>Supply chain</v>
      </c>
      <c r="U123" s="174" t="str">
        <f>SupplyChain_Tier1_Frontend[[#This Row],[Category]]</f>
        <v>Activities of households as employers; undifferentiated goods- and services-producing activities of households for own use</v>
      </c>
      <c r="V123" s="174" t="str">
        <f>SupplyChain_Tier1_Frontend[[#This Row],[Product Category]]</f>
        <v>Services of households as employers of domestic personnel</v>
      </c>
      <c r="W123" s="216" t="str" cm="1">
        <f t="array" aca="1" ref="W123" ca="1">_xlfn.XLOOKUP(SupplyChain_Tier1_Backend[[#This Row],[Level 5]],rng_Level5Long,rng_Level6Long)</f>
        <v>NaN</v>
      </c>
      <c r="X123" s="174" t="str">
        <f>SupplyChain_Tier1_Frontend[[#This Row],[Data type]]</f>
        <v>Spend-based EF</v>
      </c>
      <c r="Y123" s="174" t="s">
        <v>339</v>
      </c>
      <c r="Z123" s="174" t="s">
        <v>198</v>
      </c>
      <c r="AA123" s="229" cm="1">
        <f t="array" aca="1" ref="AA123" ca="1">INDEX(_xlfn.SWITCH(SupplyChain_Tier1_Backend[[#This Row],[Methodology]],"Tier 1",rng_RSD1,"Tier 2",rng_RSD2,"Tier 3",rng_RSD3),MATCH(_xlfn.CONCAT(SupplyChain_Tier1_Backend[[#This Row],[Level 1]:[Level 6]]),rng_LevelsConcat,0))</f>
        <v>0.25</v>
      </c>
      <c r="AB123" s="220">
        <f>SupplyChain_Tier1_Frontend[[#This Row],[Data]]</f>
        <v>0</v>
      </c>
      <c r="AC123" s="220" t="str">
        <f>SupplyChain_Tier1_Frontend[[#This Row],[Units]]</f>
        <v>£</v>
      </c>
      <c r="AD123" s="220">
        <f>SUM(SupplyChain_Tier1_Backend[[#This Row],[Data]],
- SUMIFS(SupplyChain_Tier2_Backend[Data],SupplyChain_Tier2_Backend[Level 5],SupplyChain_Tier1_Backend[[#This Row],[Level 5]]),
- SUMIFS(SupplyChain_SupplierData_Backend[Data],SupplyChain_SupplierData_Backend[Level 5],SupplyChain_Tier1_Backend[[#This Row],[Level 5]])*0.25)</f>
        <v>0</v>
      </c>
      <c r="AE123" s="174" t="str">
        <f>SupplyChain_Tier1_Frontend[[#This Row],[Units]]</f>
        <v>£</v>
      </c>
      <c r="AF123" s="210">
        <f ca="1">_xlfn.XLOOKUP(_xlfn.CONCAT(SupplyChain_Tier1_Backend[[#This Row],[Level 1]:[Level 6]]),rng_EFConcat,rng_EF1)*SupplyChain_Tier1_Backend[[#This Row],[Converted data]]/1000</f>
        <v>0</v>
      </c>
      <c r="AG123" s="210">
        <f ca="1">_xlfn.XLOOKUP(_xlfn.CONCAT(SupplyChain_Tier1_Backend[[#This Row],[Level 1]:[Level 6]]),rng_EFConcat,rng_EF2)*SupplyChain_Tier1_Backend[[#This Row],[Converted data]]/1000</f>
        <v>0</v>
      </c>
      <c r="AH123" s="210">
        <f ca="1">_xlfn.XLOOKUP(_xlfn.CONCAT(SupplyChain_Tier1_Backend[[#This Row],[Level 1]:[Level 6]]),rng_EFConcat,rng_EF3)*SupplyChain_Tier1_Backend[[#This Row],[Converted data]]/1000</f>
        <v>0</v>
      </c>
      <c r="AI123" s="210">
        <f ca="1">_xlfn.XLOOKUP(_xlfn.CONCAT(SupplyChain_Tier1_Backend[[#This Row],[Level 1]:[Level 6]]),rng_EFConcat,rng_EF3WTT)*SupplyChain_Tier1_Backend[[#This Row],[Converted data]]/1000</f>
        <v>0</v>
      </c>
      <c r="AJ123" s="210">
        <f ca="1">_xlfn.XLOOKUP(_xlfn.CONCAT(SupplyChain_Tier1_Backend[[#This Row],[Level 1]:[Level 6]]),rng_EFConcat,rng_EF3TD)*SupplyChain_Tier1_Backend[[#This Row],[Converted data]]/1000</f>
        <v>0</v>
      </c>
      <c r="AK123" s="210">
        <f ca="1">_xlfn.XLOOKUP(_xlfn.CONCAT(SupplyChain_Tier1_Backend[[#This Row],[Level 1]:[Level 6]]),rng_EFConcat,rng_EF3WTTTD)*SupplyChain_Tier1_Backend[[#This Row],[Converted data]]/1000</f>
        <v>0</v>
      </c>
      <c r="AL123" s="220" t="str">
        <f>IF($G123="","", SUM(SupplyChain_Tier1_Backend[[#This Row],[Scope 1 (tCO2e)]:[Scope 3 WTT T&amp;D (tCO2e)]]))</f>
        <v/>
      </c>
      <c r="AM123" s="220" t="str">
        <f>IF($G123="","", SupplyChain_Tier1_Backend[[#This Row],[Total (tCO2e)]]*(1-SupplyChain_Tier1_Backend[[#This Row],[RSD]]))</f>
        <v/>
      </c>
      <c r="AN123" s="220" t="str">
        <f>IF($G123="","", SupplyChain_Tier1_Backend[[#This Row],[Total (tCO2e)]]*(1+SupplyChain_Tier1_Backend[[#This Row],[RSD]]))</f>
        <v/>
      </c>
      <c r="AO123" s="210">
        <f ca="1">_xlfn.XLOOKUP(_xlfn.CONCAT(SupplyChain_Tier1_Backend[[#This Row],[Level 1]:[Level 6]]),rng_EFConcat,rng_EFOOS)*SupplyChain_Tier1_Backend[[#This Row],[Converted data]]/1000</f>
        <v>0</v>
      </c>
      <c r="AP123" s="174">
        <f>SupplyChain_Tier1_Frontend[[#This Row],[Ease of collection]]</f>
        <v>0</v>
      </c>
      <c r="AQ123" s="213">
        <f>SupplyChain_Tier1_Frontend[[#This Row],[Completeness]]</f>
        <v>0</v>
      </c>
      <c r="AR123" s="213">
        <f>SupplyChain_Tier1_Frontend[[#This Row],[Notes]]</f>
        <v>0</v>
      </c>
    </row>
    <row r="124" spans="2:44" ht="14.5" thickBot="1" x14ac:dyDescent="0.35">
      <c r="B124" s="16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row>
    <row r="125" spans="2:44" x14ac:dyDescent="0.3">
      <c r="B125" s="161"/>
    </row>
    <row r="126" spans="2:44" x14ac:dyDescent="0.3">
      <c r="B126" s="159" t="s">
        <v>12</v>
      </c>
      <c r="E126" s="160" t="s">
        <v>389</v>
      </c>
    </row>
    <row r="128" spans="2:44" ht="32.15" customHeight="1" x14ac:dyDescent="0.35">
      <c r="B128" s="455" t="s">
        <v>390</v>
      </c>
      <c r="E128" s="260" t="s">
        <v>361</v>
      </c>
      <c r="F128" s="261" t="s">
        <v>381</v>
      </c>
      <c r="G128" s="261" t="s">
        <v>391</v>
      </c>
      <c r="H128" s="261" t="s">
        <v>392</v>
      </c>
      <c r="I128" s="261" t="s">
        <v>382</v>
      </c>
      <c r="J128" s="261" t="s">
        <v>291</v>
      </c>
      <c r="K128" s="261" t="s">
        <v>292</v>
      </c>
      <c r="L128" s="262" t="s">
        <v>293</v>
      </c>
      <c r="M128" s="188">
        <f>AVERAGEIF($M$129:$M$248,"&lt;&gt;0",$M$129:$M$248)</f>
        <v>4</v>
      </c>
      <c r="N128"/>
      <c r="Q128" s="225" t="s">
        <v>294</v>
      </c>
      <c r="R128" s="226" t="s">
        <v>295</v>
      </c>
      <c r="S128" s="226" t="s">
        <v>296</v>
      </c>
      <c r="T128" s="226" t="s">
        <v>297</v>
      </c>
      <c r="U128" s="226" t="s">
        <v>298</v>
      </c>
      <c r="V128" s="226" t="s">
        <v>299</v>
      </c>
      <c r="W128" s="226" t="s">
        <v>300</v>
      </c>
      <c r="X128" s="226" t="s">
        <v>301</v>
      </c>
      <c r="Y128" s="226" t="s">
        <v>302</v>
      </c>
      <c r="Z128" s="226" t="s">
        <v>287</v>
      </c>
      <c r="AA128" s="226" t="s">
        <v>303</v>
      </c>
      <c r="AB128" s="226" t="s">
        <v>288</v>
      </c>
      <c r="AC128" s="226" t="s">
        <v>289</v>
      </c>
      <c r="AD128" s="226" t="s">
        <v>304</v>
      </c>
      <c r="AE128" s="226" t="s">
        <v>305</v>
      </c>
      <c r="AF128" s="286" t="s">
        <v>306</v>
      </c>
      <c r="AG128" s="286" t="s">
        <v>307</v>
      </c>
      <c r="AH128" s="286" t="s">
        <v>308</v>
      </c>
      <c r="AI128" s="286" t="s">
        <v>309</v>
      </c>
      <c r="AJ128" s="286" t="s">
        <v>310</v>
      </c>
      <c r="AK128" s="286" t="s">
        <v>311</v>
      </c>
      <c r="AL128" s="286" t="s">
        <v>312</v>
      </c>
      <c r="AM128" s="286" t="s">
        <v>313</v>
      </c>
      <c r="AN128" s="286" t="s">
        <v>314</v>
      </c>
      <c r="AO128" s="286" t="s">
        <v>315</v>
      </c>
      <c r="AP128" s="226" t="s">
        <v>291</v>
      </c>
      <c r="AQ128" s="227" t="s">
        <v>292</v>
      </c>
      <c r="AR128" s="227" t="s">
        <v>293</v>
      </c>
    </row>
    <row r="129" spans="2:44" x14ac:dyDescent="0.3">
      <c r="B129" s="455"/>
      <c r="D129" s="147" cm="1">
        <f t="array" ref="D129:D248">_xlfn.SEQUENCE(120,,1,1)</f>
        <v>1</v>
      </c>
      <c r="E129" s="236" t="str">
        <f t="shared" ref="E129:E133" si="6">_xlfn.XLOOKUP($F129, $F$14:$F$123, $E$14:$E$123, "")</f>
        <v/>
      </c>
      <c r="F129" s="340"/>
      <c r="G129" s="341"/>
      <c r="H129" s="334"/>
      <c r="I129" s="334"/>
      <c r="J129" s="336"/>
      <c r="K129" s="336"/>
      <c r="L129" s="337"/>
      <c r="M129" s="242">
        <f>ISBLANK(F129)+ISBLANK(G129)+ISBLANK(H129)+ISBLANK(I129)</f>
        <v>4</v>
      </c>
      <c r="Q129" s="212" t="str">
        <f t="shared" ref="Q129:Q160" si="7">IF(M129=0,SUBSTITUTE(2025&amp;TRIM(cl_org_name_select)&amp;TRIM($E$126)&amp;(ROW(M129)-ROW($M$129))," ",""),"")</f>
        <v/>
      </c>
      <c r="R129" s="174" t="s">
        <v>267</v>
      </c>
      <c r="S129" s="174" t="s">
        <v>385</v>
      </c>
      <c r="T129" s="235" t="s">
        <v>385</v>
      </c>
      <c r="U129" s="174" t="str">
        <f>SupplyChain_Tier2_Frontend[[#This Row],[Category]]</f>
        <v/>
      </c>
      <c r="V129" s="174">
        <f>SupplyChain_Tier2_Frontend[[#This Row],[Product Category]]</f>
        <v>0</v>
      </c>
      <c r="W129" s="174" t="s">
        <v>339</v>
      </c>
      <c r="X129" s="174">
        <f>SupplyChain_Tier2_Frontend[[#This Row],[Data type]]</f>
        <v>0</v>
      </c>
      <c r="Y129" s="174" t="s">
        <v>339</v>
      </c>
      <c r="Z129" s="174" t="s">
        <v>199</v>
      </c>
      <c r="AA129" s="229" t="e" cm="1">
        <f t="array" ref="AA129">INDEX(_xlfn.SWITCH(SupplyChain_Tier2_Backend[[#This Row],[Methodology]],"Tier 1",rng_RSD1,"Tier 2",rng_RSD2,"Tier 3",rng_RSD3),MATCH(_xlfn.CONCAT(SupplyChain_Tier2_Backend[[#This Row],[Level 1]:[Level 6]]),rng_LevelsConcat,0))</f>
        <v>#N/A</v>
      </c>
      <c r="AB129" s="220">
        <f>SupplyChain_Tier2_Frontend[[#This Row],[Spend (£)]]</f>
        <v>0</v>
      </c>
      <c r="AC129" s="220" t="s">
        <v>383</v>
      </c>
      <c r="AD129" s="220">
        <f>SupplyChain_Tier2_Frontend[[#This Row],[Spend (£)]]</f>
        <v>0</v>
      </c>
      <c r="AE129" s="174" t="s">
        <v>383</v>
      </c>
      <c r="AF129" s="210" t="e">
        <f>_xlfn.XLOOKUP(_xlfn.CONCAT(SupplyChain_Tier2_Backend[[#This Row],[Level 1]:[Level 6]]),rng_EFConcat,rng_EF1)*SupplyChain_Tier2_Backend[[#This Row],[Converted data]]/1000</f>
        <v>#N/A</v>
      </c>
      <c r="AG129" s="210" t="e">
        <f>_xlfn.XLOOKUP(_xlfn.CONCAT(SupplyChain_Tier2_Backend[[#This Row],[Level 1]:[Level 6]]),rng_EFConcat,rng_EF2)*SupplyChain_Tier2_Backend[[#This Row],[Converted data]]/1000</f>
        <v>#N/A</v>
      </c>
      <c r="AH129" s="210">
        <f>SupplyChain_Tier2_Frontend[[#This Row],[Emissions (kgCO2e)]]/1000</f>
        <v>0</v>
      </c>
      <c r="AI129" s="210" t="e">
        <f>_xlfn.XLOOKUP(_xlfn.CONCAT(SupplyChain_Tier2_Backend[[#This Row],[Level 1]:[Level 6]]),rng_EFConcat,rng_EF3WTT)*SupplyChain_Tier2_Backend[[#This Row],[Converted data]]/1000</f>
        <v>#N/A</v>
      </c>
      <c r="AJ129" s="210" t="e">
        <f>_xlfn.XLOOKUP(_xlfn.CONCAT(SupplyChain_Tier2_Backend[[#This Row],[Level 1]:[Level 6]]),rng_EFConcat,rng_EF3TD)*SupplyChain_Tier2_Backend[[#This Row],[Converted data]]/1000</f>
        <v>#N/A</v>
      </c>
      <c r="AK129" s="210" t="e">
        <f>_xlfn.XLOOKUP(_xlfn.CONCAT(SupplyChain_Tier2_Backend[[#This Row],[Level 1]:[Level 6]]),rng_EFConcat,rng_EF3WTTTD)*SupplyChain_Tier2_Backend[[#This Row],[Converted data]]/1000</f>
        <v>#N/A</v>
      </c>
      <c r="AL129" s="220" t="e">
        <f>SUM(SupplyChain_Tier2_Backend[[#This Row],[Scope 1 (tCO2e)]:[Scope 3 WTT T&amp;D (tCO2e)]])</f>
        <v>#N/A</v>
      </c>
      <c r="AM129" s="220" t="e">
        <f>SupplyChain_Tier2_Backend[[#This Row],[Total (tCO2e)]]*(1-SupplyChain_Tier2_Backend[[#This Row],[RSD]])</f>
        <v>#N/A</v>
      </c>
      <c r="AN129" s="220" t="e">
        <f>SupplyChain_Tier2_Backend[[#This Row],[Total (tCO2e)]]*(1+SupplyChain_Tier2_Backend[[#This Row],[RSD]])</f>
        <v>#N/A</v>
      </c>
      <c r="AO129" s="210" t="e">
        <f>_xlfn.XLOOKUP(_xlfn.CONCAT(SupplyChain_Tier2_Backend[[#This Row],[Level 1]:[Level 6]]),rng_EFConcat,rng_EFOOS)*SupplyChain_Tier2_Backend[[#This Row],[Converted data]]/1000</f>
        <v>#N/A</v>
      </c>
      <c r="AP129" s="174">
        <f>SupplyChain_Tier2_Frontend[[#This Row],[Ease of collection]]</f>
        <v>0</v>
      </c>
      <c r="AQ129" s="213">
        <f>SupplyChain_Tier2_Frontend[[#This Row],[Completeness]]</f>
        <v>0</v>
      </c>
      <c r="AR129" s="213">
        <f>SupplyChain_Tier2_Frontend[[#This Row],[Notes]]</f>
        <v>0</v>
      </c>
    </row>
    <row r="130" spans="2:44" ht="14.5" x14ac:dyDescent="0.35">
      <c r="B130" s="455"/>
      <c r="D130" s="147">
        <v>2</v>
      </c>
      <c r="E130" s="236" t="str">
        <f t="shared" si="6"/>
        <v/>
      </c>
      <c r="F130" s="336"/>
      <c r="G130" s="334"/>
      <c r="H130" s="334"/>
      <c r="I130" s="334"/>
      <c r="J130" s="336"/>
      <c r="K130" s="336"/>
      <c r="L130" s="337"/>
      <c r="M130" s="242">
        <f t="shared" ref="M130:M193" si="8">ISBLANK(F130)+ISBLANK(G130)+ISBLANK(H130)+ISBLANK(I130)</f>
        <v>4</v>
      </c>
      <c r="Q130" s="211" t="str">
        <f t="shared" si="7"/>
        <v/>
      </c>
      <c r="R130" s="174" t="s">
        <v>267</v>
      </c>
      <c r="S130" s="174" t="s">
        <v>385</v>
      </c>
      <c r="T130" s="235" t="s">
        <v>385</v>
      </c>
      <c r="U130" s="173" t="str">
        <f>SupplyChain_Tier2_Frontend[[#This Row],[Category]]</f>
        <v/>
      </c>
      <c r="V130" s="173">
        <f>SupplyChain_Tier2_Frontend[[#This Row],[Product Category]]</f>
        <v>0</v>
      </c>
      <c r="W130" s="174" t="s">
        <v>339</v>
      </c>
      <c r="X130" s="174">
        <f>SupplyChain_Tier2_Frontend[[#This Row],[Data type]]</f>
        <v>0</v>
      </c>
      <c r="Y130" s="174" t="s">
        <v>339</v>
      </c>
      <c r="Z130" s="174" t="s">
        <v>199</v>
      </c>
      <c r="AA130" s="229" t="e" cm="1">
        <f t="array" ref="AA130">INDEX(_xlfn.SWITCH(SupplyChain_Tier2_Backend[[#This Row],[Methodology]],"Tier 1",rng_RSD1,"Tier 2",rng_RSD2,"Tier 3",rng_RSD3),MATCH(_xlfn.CONCAT(SupplyChain_Tier2_Backend[[#This Row],[Level 1]:[Level 6]]),rng_LevelsConcat,0))</f>
        <v>#N/A</v>
      </c>
      <c r="AB130" s="220">
        <f>SupplyChain_Tier2_Frontend[[#This Row],[Spend (£)]]</f>
        <v>0</v>
      </c>
      <c r="AC130" s="220" t="s">
        <v>383</v>
      </c>
      <c r="AD130" s="220">
        <f>SupplyChain_Tier2_Frontend[[#This Row],[Spend (£)]]</f>
        <v>0</v>
      </c>
      <c r="AE130" s="174" t="s">
        <v>383</v>
      </c>
      <c r="AF130" s="210" t="e">
        <f>_xlfn.XLOOKUP(_xlfn.CONCAT(SupplyChain_Tier2_Backend[[#This Row],[Level 1]:[Level 6]]),rng_EFConcat,rng_EF1)*SupplyChain_Tier2_Backend[[#This Row],[Converted data]]/1000</f>
        <v>#N/A</v>
      </c>
      <c r="AG130" s="210" t="e">
        <f>_xlfn.XLOOKUP(_xlfn.CONCAT(SupplyChain_Tier2_Backend[[#This Row],[Level 1]:[Level 6]]),rng_EFConcat,rng_EF2)*SupplyChain_Tier2_Backend[[#This Row],[Converted data]]/1000</f>
        <v>#N/A</v>
      </c>
      <c r="AH130" s="210">
        <f>SupplyChain_Tier2_Frontend[[#This Row],[Emissions (kgCO2e)]]/1000</f>
        <v>0</v>
      </c>
      <c r="AI130" s="210" t="e">
        <f>_xlfn.XLOOKUP(_xlfn.CONCAT(SupplyChain_Tier2_Backend[[#This Row],[Level 1]:[Level 6]]),rng_EFConcat,rng_EF3WTT)*SupplyChain_Tier2_Backend[[#This Row],[Converted data]]/1000</f>
        <v>#N/A</v>
      </c>
      <c r="AJ130" s="210" t="e">
        <f>_xlfn.XLOOKUP(_xlfn.CONCAT(SupplyChain_Tier2_Backend[[#This Row],[Level 1]:[Level 6]]),rng_EFConcat,rng_EF3TD)*SupplyChain_Tier2_Backend[[#This Row],[Converted data]]/1000</f>
        <v>#N/A</v>
      </c>
      <c r="AK130" s="210" t="e">
        <f>_xlfn.XLOOKUP(_xlfn.CONCAT(SupplyChain_Tier2_Backend[[#This Row],[Level 1]:[Level 6]]),rng_EFConcat,rng_EF3WTTTD)*SupplyChain_Tier2_Backend[[#This Row],[Converted data]]/1000</f>
        <v>#N/A</v>
      </c>
      <c r="AL130" s="220" t="e">
        <f>SUM(SupplyChain_Tier2_Backend[[#This Row],[Scope 1 (tCO2e)]:[Scope 3 WTT T&amp;D (tCO2e)]])</f>
        <v>#N/A</v>
      </c>
      <c r="AM130" s="220" t="e">
        <f>SupplyChain_Tier2_Backend[[#This Row],[Total (tCO2e)]]*(1-SupplyChain_Tier2_Backend[[#This Row],[RSD]])</f>
        <v>#N/A</v>
      </c>
      <c r="AN130" s="220" t="e">
        <f>SupplyChain_Tier2_Backend[[#This Row],[Total (tCO2e)]]*(1+SupplyChain_Tier2_Backend[[#This Row],[RSD]])</f>
        <v>#N/A</v>
      </c>
      <c r="AO130" s="210" t="e">
        <f>_xlfn.XLOOKUP(_xlfn.CONCAT(SupplyChain_Tier2_Backend[[#This Row],[Level 1]:[Level 6]]),rng_EFConcat,rng_EFOOS)*SupplyChain_Tier2_Backend[[#This Row],[Converted data]]/1000</f>
        <v>#N/A</v>
      </c>
      <c r="AP130" s="174">
        <f>SupplyChain_Tier2_Frontend[[#This Row],[Ease of collection]]</f>
        <v>0</v>
      </c>
      <c r="AQ130" s="213">
        <f>SupplyChain_Tier2_Frontend[[#This Row],[Completeness]]</f>
        <v>0</v>
      </c>
      <c r="AR130" s="213">
        <f>SupplyChain_Tier2_Frontend[[#This Row],[Notes]]</f>
        <v>0</v>
      </c>
    </row>
    <row r="131" spans="2:44" ht="14.5" x14ac:dyDescent="0.35">
      <c r="B131" s="455"/>
      <c r="D131" s="147">
        <v>3</v>
      </c>
      <c r="E131" s="236" t="str">
        <f t="shared" si="6"/>
        <v/>
      </c>
      <c r="F131" s="336"/>
      <c r="G131" s="334"/>
      <c r="H131" s="334"/>
      <c r="I131" s="334"/>
      <c r="J131" s="336"/>
      <c r="K131" s="336"/>
      <c r="L131" s="337"/>
      <c r="M131" s="242">
        <f t="shared" si="8"/>
        <v>4</v>
      </c>
      <c r="Q131" s="211" t="str">
        <f t="shared" si="7"/>
        <v/>
      </c>
      <c r="R131" s="174" t="s">
        <v>267</v>
      </c>
      <c r="S131" s="174" t="s">
        <v>385</v>
      </c>
      <c r="T131" s="235" t="s">
        <v>385</v>
      </c>
      <c r="U131" s="173" t="str">
        <f>SupplyChain_Tier2_Frontend[[#This Row],[Category]]</f>
        <v/>
      </c>
      <c r="V131" s="173">
        <f>SupplyChain_Tier2_Frontend[[#This Row],[Product Category]]</f>
        <v>0</v>
      </c>
      <c r="W131" s="174" t="s">
        <v>339</v>
      </c>
      <c r="X131" s="174">
        <f>SupplyChain_Tier2_Frontend[[#This Row],[Data type]]</f>
        <v>0</v>
      </c>
      <c r="Y131" s="174" t="s">
        <v>339</v>
      </c>
      <c r="Z131" s="174" t="s">
        <v>199</v>
      </c>
      <c r="AA131" s="229" t="e" cm="1">
        <f t="array" ref="AA131">INDEX(_xlfn.SWITCH(SupplyChain_Tier2_Backend[[#This Row],[Methodology]],"Tier 1",rng_RSD1,"Tier 2",rng_RSD2,"Tier 3",rng_RSD3),MATCH(_xlfn.CONCAT(SupplyChain_Tier2_Backend[[#This Row],[Level 1]:[Level 6]]),rng_LevelsConcat,0))</f>
        <v>#N/A</v>
      </c>
      <c r="AB131" s="220">
        <f>SupplyChain_Tier2_Frontend[[#This Row],[Spend (£)]]</f>
        <v>0</v>
      </c>
      <c r="AC131" s="220" t="s">
        <v>383</v>
      </c>
      <c r="AD131" s="220">
        <f>SupplyChain_Tier2_Frontend[[#This Row],[Spend (£)]]</f>
        <v>0</v>
      </c>
      <c r="AE131" s="174" t="s">
        <v>383</v>
      </c>
      <c r="AF131" s="210" t="e">
        <f>_xlfn.XLOOKUP(_xlfn.CONCAT(SupplyChain_Tier2_Backend[[#This Row],[Level 1]:[Level 6]]),rng_EFConcat,rng_EF1)*SupplyChain_Tier2_Backend[[#This Row],[Converted data]]/1000</f>
        <v>#N/A</v>
      </c>
      <c r="AG131" s="210" t="e">
        <f>_xlfn.XLOOKUP(_xlfn.CONCAT(SupplyChain_Tier2_Backend[[#This Row],[Level 1]:[Level 6]]),rng_EFConcat,rng_EF2)*SupplyChain_Tier2_Backend[[#This Row],[Converted data]]/1000</f>
        <v>#N/A</v>
      </c>
      <c r="AH131" s="210">
        <f>SupplyChain_Tier2_Frontend[[#This Row],[Emissions (kgCO2e)]]/1000</f>
        <v>0</v>
      </c>
      <c r="AI131" s="210" t="e">
        <f>_xlfn.XLOOKUP(_xlfn.CONCAT(SupplyChain_Tier2_Backend[[#This Row],[Level 1]:[Level 6]]),rng_EFConcat,rng_EF3WTT)*SupplyChain_Tier2_Backend[[#This Row],[Converted data]]/1000</f>
        <v>#N/A</v>
      </c>
      <c r="AJ131" s="210" t="e">
        <f>_xlfn.XLOOKUP(_xlfn.CONCAT(SupplyChain_Tier2_Backend[[#This Row],[Level 1]:[Level 6]]),rng_EFConcat,rng_EF3TD)*SupplyChain_Tier2_Backend[[#This Row],[Converted data]]/1000</f>
        <v>#N/A</v>
      </c>
      <c r="AK131" s="210" t="e">
        <f>_xlfn.XLOOKUP(_xlfn.CONCAT(SupplyChain_Tier2_Backend[[#This Row],[Level 1]:[Level 6]]),rng_EFConcat,rng_EF3WTTTD)*SupplyChain_Tier2_Backend[[#This Row],[Converted data]]/1000</f>
        <v>#N/A</v>
      </c>
      <c r="AL131" s="220" t="e">
        <f>SUM(SupplyChain_Tier2_Backend[[#This Row],[Scope 1 (tCO2e)]:[Scope 3 WTT T&amp;D (tCO2e)]])</f>
        <v>#N/A</v>
      </c>
      <c r="AM131" s="220" t="e">
        <f>SupplyChain_Tier2_Backend[[#This Row],[Total (tCO2e)]]*(1-SupplyChain_Tier2_Backend[[#This Row],[RSD]])</f>
        <v>#N/A</v>
      </c>
      <c r="AN131" s="220" t="e">
        <f>SupplyChain_Tier2_Backend[[#This Row],[Total (tCO2e)]]*(1+SupplyChain_Tier2_Backend[[#This Row],[RSD]])</f>
        <v>#N/A</v>
      </c>
      <c r="AO131" s="210" t="e">
        <f>_xlfn.XLOOKUP(_xlfn.CONCAT(SupplyChain_Tier2_Backend[[#This Row],[Level 1]:[Level 6]]),rng_EFConcat,rng_EFOOS)*SupplyChain_Tier2_Backend[[#This Row],[Converted data]]/1000</f>
        <v>#N/A</v>
      </c>
      <c r="AP131" s="174">
        <f>SupplyChain_Tier2_Frontend[[#This Row],[Ease of collection]]</f>
        <v>0</v>
      </c>
      <c r="AQ131" s="213">
        <f>SupplyChain_Tier2_Frontend[[#This Row],[Completeness]]</f>
        <v>0</v>
      </c>
      <c r="AR131" s="213">
        <f>SupplyChain_Tier2_Frontend[[#This Row],[Notes]]</f>
        <v>0</v>
      </c>
    </row>
    <row r="132" spans="2:44" ht="14.5" x14ac:dyDescent="0.35">
      <c r="B132" s="455"/>
      <c r="D132" s="147">
        <v>4</v>
      </c>
      <c r="E132" s="236" t="str">
        <f t="shared" si="6"/>
        <v/>
      </c>
      <c r="F132" s="336"/>
      <c r="G132" s="334"/>
      <c r="H132" s="334"/>
      <c r="I132" s="334"/>
      <c r="J132" s="336"/>
      <c r="K132" s="336"/>
      <c r="L132" s="337"/>
      <c r="M132" s="242">
        <f t="shared" si="8"/>
        <v>4</v>
      </c>
      <c r="Q132" s="211" t="str">
        <f t="shared" si="7"/>
        <v/>
      </c>
      <c r="R132" s="174" t="s">
        <v>267</v>
      </c>
      <c r="S132" s="174" t="s">
        <v>385</v>
      </c>
      <c r="T132" s="235" t="s">
        <v>385</v>
      </c>
      <c r="U132" s="173" t="str">
        <f>SupplyChain_Tier2_Frontend[[#This Row],[Category]]</f>
        <v/>
      </c>
      <c r="V132" s="173">
        <f>SupplyChain_Tier2_Frontend[[#This Row],[Product Category]]</f>
        <v>0</v>
      </c>
      <c r="W132" s="174" t="s">
        <v>339</v>
      </c>
      <c r="X132" s="174">
        <f>SupplyChain_Tier2_Frontend[[#This Row],[Data type]]</f>
        <v>0</v>
      </c>
      <c r="Y132" s="174" t="s">
        <v>339</v>
      </c>
      <c r="Z132" s="174" t="s">
        <v>199</v>
      </c>
      <c r="AA132" s="229" t="e" cm="1">
        <f t="array" ref="AA132">INDEX(_xlfn.SWITCH(SupplyChain_Tier2_Backend[[#This Row],[Methodology]],"Tier 1",rng_RSD1,"Tier 2",rng_RSD2,"Tier 3",rng_RSD3),MATCH(_xlfn.CONCAT(SupplyChain_Tier2_Backend[[#This Row],[Level 1]:[Level 6]]),rng_LevelsConcat,0))</f>
        <v>#N/A</v>
      </c>
      <c r="AB132" s="220">
        <f>SupplyChain_Tier2_Frontend[[#This Row],[Spend (£)]]</f>
        <v>0</v>
      </c>
      <c r="AC132" s="220" t="s">
        <v>383</v>
      </c>
      <c r="AD132" s="220">
        <f>SupplyChain_Tier2_Frontend[[#This Row],[Spend (£)]]</f>
        <v>0</v>
      </c>
      <c r="AE132" s="174" t="s">
        <v>383</v>
      </c>
      <c r="AF132" s="210" t="e">
        <f>_xlfn.XLOOKUP(_xlfn.CONCAT(SupplyChain_Tier2_Backend[[#This Row],[Level 1]:[Level 6]]),rng_EFConcat,rng_EF1)*SupplyChain_Tier2_Backend[[#This Row],[Converted data]]/1000</f>
        <v>#N/A</v>
      </c>
      <c r="AG132" s="210" t="e">
        <f>_xlfn.XLOOKUP(_xlfn.CONCAT(SupplyChain_Tier2_Backend[[#This Row],[Level 1]:[Level 6]]),rng_EFConcat,rng_EF2)*SupplyChain_Tier2_Backend[[#This Row],[Converted data]]/1000</f>
        <v>#N/A</v>
      </c>
      <c r="AH132" s="210">
        <f>SupplyChain_Tier2_Frontend[[#This Row],[Emissions (kgCO2e)]]/1000</f>
        <v>0</v>
      </c>
      <c r="AI132" s="210" t="e">
        <f>_xlfn.XLOOKUP(_xlfn.CONCAT(SupplyChain_Tier2_Backend[[#This Row],[Level 1]:[Level 6]]),rng_EFConcat,rng_EF3WTT)*SupplyChain_Tier2_Backend[[#This Row],[Converted data]]/1000</f>
        <v>#N/A</v>
      </c>
      <c r="AJ132" s="210" t="e">
        <f>_xlfn.XLOOKUP(_xlfn.CONCAT(SupplyChain_Tier2_Backend[[#This Row],[Level 1]:[Level 6]]),rng_EFConcat,rng_EF3TD)*SupplyChain_Tier2_Backend[[#This Row],[Converted data]]/1000</f>
        <v>#N/A</v>
      </c>
      <c r="AK132" s="210" t="e">
        <f>_xlfn.XLOOKUP(_xlfn.CONCAT(SupplyChain_Tier2_Backend[[#This Row],[Level 1]:[Level 6]]),rng_EFConcat,rng_EF3WTTTD)*SupplyChain_Tier2_Backend[[#This Row],[Converted data]]/1000</f>
        <v>#N/A</v>
      </c>
      <c r="AL132" s="220" t="e">
        <f>SUM(SupplyChain_Tier2_Backend[[#This Row],[Scope 1 (tCO2e)]:[Scope 3 WTT T&amp;D (tCO2e)]])</f>
        <v>#N/A</v>
      </c>
      <c r="AM132" s="220" t="e">
        <f>SupplyChain_Tier2_Backend[[#This Row],[Total (tCO2e)]]*(1-SupplyChain_Tier2_Backend[[#This Row],[RSD]])</f>
        <v>#N/A</v>
      </c>
      <c r="AN132" s="220" t="e">
        <f>SupplyChain_Tier2_Backend[[#This Row],[Total (tCO2e)]]*(1+SupplyChain_Tier2_Backend[[#This Row],[RSD]])</f>
        <v>#N/A</v>
      </c>
      <c r="AO132" s="210" t="e">
        <f>_xlfn.XLOOKUP(_xlfn.CONCAT(SupplyChain_Tier2_Backend[[#This Row],[Level 1]:[Level 6]]),rng_EFConcat,rng_EFOOS)*SupplyChain_Tier2_Backend[[#This Row],[Converted data]]/1000</f>
        <v>#N/A</v>
      </c>
      <c r="AP132" s="174">
        <f>SupplyChain_Tier2_Frontend[[#This Row],[Ease of collection]]</f>
        <v>0</v>
      </c>
      <c r="AQ132" s="213">
        <f>SupplyChain_Tier2_Frontend[[#This Row],[Completeness]]</f>
        <v>0</v>
      </c>
      <c r="AR132" s="213">
        <f>SupplyChain_Tier2_Frontend[[#This Row],[Notes]]</f>
        <v>0</v>
      </c>
    </row>
    <row r="133" spans="2:44" ht="14.5" x14ac:dyDescent="0.35">
      <c r="B133" s="455"/>
      <c r="D133" s="147">
        <v>5</v>
      </c>
      <c r="E133" s="236" t="str">
        <f t="shared" si="6"/>
        <v/>
      </c>
      <c r="F133" s="336"/>
      <c r="G133" s="334"/>
      <c r="H133" s="334"/>
      <c r="I133" s="334"/>
      <c r="J133" s="336"/>
      <c r="K133" s="336"/>
      <c r="L133" s="337"/>
      <c r="M133" s="242">
        <f t="shared" si="8"/>
        <v>4</v>
      </c>
      <c r="Q133" s="211" t="str">
        <f t="shared" si="7"/>
        <v/>
      </c>
      <c r="R133" s="174" t="s">
        <v>267</v>
      </c>
      <c r="S133" s="174" t="s">
        <v>385</v>
      </c>
      <c r="T133" s="235" t="s">
        <v>385</v>
      </c>
      <c r="U133" s="173" t="str">
        <f>SupplyChain_Tier2_Frontend[[#This Row],[Category]]</f>
        <v/>
      </c>
      <c r="V133" s="173">
        <f>SupplyChain_Tier2_Frontend[[#This Row],[Product Category]]</f>
        <v>0</v>
      </c>
      <c r="W133" s="174" t="s">
        <v>339</v>
      </c>
      <c r="X133" s="174">
        <f>SupplyChain_Tier2_Frontend[[#This Row],[Data type]]</f>
        <v>0</v>
      </c>
      <c r="Y133" s="174" t="s">
        <v>339</v>
      </c>
      <c r="Z133" s="174" t="s">
        <v>199</v>
      </c>
      <c r="AA133" s="229" t="e" cm="1">
        <f t="array" ref="AA133">INDEX(_xlfn.SWITCH(SupplyChain_Tier2_Backend[[#This Row],[Methodology]],"Tier 1",rng_RSD1,"Tier 2",rng_RSD2,"Tier 3",rng_RSD3),MATCH(_xlfn.CONCAT(SupplyChain_Tier2_Backend[[#This Row],[Level 1]:[Level 6]]),rng_LevelsConcat,0))</f>
        <v>#N/A</v>
      </c>
      <c r="AB133" s="220">
        <f>SupplyChain_Tier2_Frontend[[#This Row],[Spend (£)]]</f>
        <v>0</v>
      </c>
      <c r="AC133" s="220" t="s">
        <v>383</v>
      </c>
      <c r="AD133" s="220">
        <f>SupplyChain_Tier2_Frontend[[#This Row],[Spend (£)]]</f>
        <v>0</v>
      </c>
      <c r="AE133" s="174" t="s">
        <v>383</v>
      </c>
      <c r="AF133" s="210" t="e">
        <f>_xlfn.XLOOKUP(_xlfn.CONCAT(SupplyChain_Tier2_Backend[[#This Row],[Level 1]:[Level 6]]),rng_EFConcat,rng_EF1)*SupplyChain_Tier2_Backend[[#This Row],[Converted data]]/1000</f>
        <v>#N/A</v>
      </c>
      <c r="AG133" s="210" t="e">
        <f>_xlfn.XLOOKUP(_xlfn.CONCAT(SupplyChain_Tier2_Backend[[#This Row],[Level 1]:[Level 6]]),rng_EFConcat,rng_EF2)*SupplyChain_Tier2_Backend[[#This Row],[Converted data]]/1000</f>
        <v>#N/A</v>
      </c>
      <c r="AH133" s="210">
        <f>SupplyChain_Tier2_Frontend[[#This Row],[Emissions (kgCO2e)]]/1000</f>
        <v>0</v>
      </c>
      <c r="AI133" s="210" t="e">
        <f>_xlfn.XLOOKUP(_xlfn.CONCAT(SupplyChain_Tier2_Backend[[#This Row],[Level 1]:[Level 6]]),rng_EFConcat,rng_EF3WTT)*SupplyChain_Tier2_Backend[[#This Row],[Converted data]]/1000</f>
        <v>#N/A</v>
      </c>
      <c r="AJ133" s="210" t="e">
        <f>_xlfn.XLOOKUP(_xlfn.CONCAT(SupplyChain_Tier2_Backend[[#This Row],[Level 1]:[Level 6]]),rng_EFConcat,rng_EF3TD)*SupplyChain_Tier2_Backend[[#This Row],[Converted data]]/1000</f>
        <v>#N/A</v>
      </c>
      <c r="AK133" s="210" t="e">
        <f>_xlfn.XLOOKUP(_xlfn.CONCAT(SupplyChain_Tier2_Backend[[#This Row],[Level 1]:[Level 6]]),rng_EFConcat,rng_EF3WTTTD)*SupplyChain_Tier2_Backend[[#This Row],[Converted data]]/1000</f>
        <v>#N/A</v>
      </c>
      <c r="AL133" s="220" t="e">
        <f>SUM(SupplyChain_Tier2_Backend[[#This Row],[Scope 1 (tCO2e)]:[Scope 3 WTT T&amp;D (tCO2e)]])</f>
        <v>#N/A</v>
      </c>
      <c r="AM133" s="220" t="e">
        <f>SupplyChain_Tier2_Backend[[#This Row],[Total (tCO2e)]]*(1-SupplyChain_Tier2_Backend[[#This Row],[RSD]])</f>
        <v>#N/A</v>
      </c>
      <c r="AN133" s="220" t="e">
        <f>SupplyChain_Tier2_Backend[[#This Row],[Total (tCO2e)]]*(1+SupplyChain_Tier2_Backend[[#This Row],[RSD]])</f>
        <v>#N/A</v>
      </c>
      <c r="AO133" s="210" t="e">
        <f>_xlfn.XLOOKUP(_xlfn.CONCAT(SupplyChain_Tier2_Backend[[#This Row],[Level 1]:[Level 6]]),rng_EFConcat,rng_EFOOS)*SupplyChain_Tier2_Backend[[#This Row],[Converted data]]/1000</f>
        <v>#N/A</v>
      </c>
      <c r="AP133" s="174">
        <f>SupplyChain_Tier2_Frontend[[#This Row],[Ease of collection]]</f>
        <v>0</v>
      </c>
      <c r="AQ133" s="213">
        <f>SupplyChain_Tier2_Frontend[[#This Row],[Completeness]]</f>
        <v>0</v>
      </c>
      <c r="AR133" s="213">
        <f>SupplyChain_Tier2_Frontend[[#This Row],[Notes]]</f>
        <v>0</v>
      </c>
    </row>
    <row r="134" spans="2:44" ht="14.5" x14ac:dyDescent="0.35">
      <c r="B134" s="455"/>
      <c r="D134" s="147">
        <v>6</v>
      </c>
      <c r="E134" s="236" t="str">
        <f>_xlfn.XLOOKUP($F134, $F$14:$F$123, $E$14:$E$123, "")</f>
        <v/>
      </c>
      <c r="F134" s="336"/>
      <c r="G134" s="334"/>
      <c r="H134" s="334"/>
      <c r="I134" s="334"/>
      <c r="J134" s="336"/>
      <c r="K134" s="336"/>
      <c r="L134" s="337"/>
      <c r="M134" s="242">
        <f t="shared" si="8"/>
        <v>4</v>
      </c>
      <c r="Q134" s="211" t="str">
        <f t="shared" si="7"/>
        <v/>
      </c>
      <c r="R134" s="174" t="s">
        <v>267</v>
      </c>
      <c r="S134" s="174" t="s">
        <v>385</v>
      </c>
      <c r="T134" s="235" t="s">
        <v>385</v>
      </c>
      <c r="U134" s="173" t="str">
        <f>SupplyChain_Tier2_Frontend[[#This Row],[Category]]</f>
        <v/>
      </c>
      <c r="V134" s="173">
        <f>SupplyChain_Tier2_Frontend[[#This Row],[Product Category]]</f>
        <v>0</v>
      </c>
      <c r="W134" s="174" t="s">
        <v>339</v>
      </c>
      <c r="X134" s="174">
        <f>SupplyChain_Tier2_Frontend[[#This Row],[Data type]]</f>
        <v>0</v>
      </c>
      <c r="Y134" s="174" t="s">
        <v>339</v>
      </c>
      <c r="Z134" s="174" t="s">
        <v>199</v>
      </c>
      <c r="AA134" s="229" t="e" cm="1">
        <f t="array" ref="AA134">INDEX(_xlfn.SWITCH(SupplyChain_Tier2_Backend[[#This Row],[Methodology]],"Tier 1",rng_RSD1,"Tier 2",rng_RSD2,"Tier 3",rng_RSD3),MATCH(_xlfn.CONCAT(SupplyChain_Tier2_Backend[[#This Row],[Level 1]:[Level 6]]),rng_LevelsConcat,0))</f>
        <v>#N/A</v>
      </c>
      <c r="AB134" s="220">
        <f>SupplyChain_Tier2_Frontend[[#This Row],[Spend (£)]]</f>
        <v>0</v>
      </c>
      <c r="AC134" s="220" t="s">
        <v>383</v>
      </c>
      <c r="AD134" s="220">
        <f>SupplyChain_Tier2_Frontend[[#This Row],[Spend (£)]]</f>
        <v>0</v>
      </c>
      <c r="AE134" s="174" t="s">
        <v>383</v>
      </c>
      <c r="AF134" s="210" t="e">
        <f>_xlfn.XLOOKUP(_xlfn.CONCAT(SupplyChain_Tier2_Backend[[#This Row],[Level 1]:[Level 6]]),rng_EFConcat,rng_EF1)*SupplyChain_Tier2_Backend[[#This Row],[Converted data]]/1000</f>
        <v>#N/A</v>
      </c>
      <c r="AG134" s="210" t="e">
        <f>_xlfn.XLOOKUP(_xlfn.CONCAT(SupplyChain_Tier2_Backend[[#This Row],[Level 1]:[Level 6]]),rng_EFConcat,rng_EF2)*SupplyChain_Tier2_Backend[[#This Row],[Converted data]]/1000</f>
        <v>#N/A</v>
      </c>
      <c r="AH134" s="210">
        <f>SupplyChain_Tier2_Frontend[[#This Row],[Emissions (kgCO2e)]]/1000</f>
        <v>0</v>
      </c>
      <c r="AI134" s="210" t="e">
        <f>_xlfn.XLOOKUP(_xlfn.CONCAT(SupplyChain_Tier2_Backend[[#This Row],[Level 1]:[Level 6]]),rng_EFConcat,rng_EF3WTT)*SupplyChain_Tier2_Backend[[#This Row],[Converted data]]/1000</f>
        <v>#N/A</v>
      </c>
      <c r="AJ134" s="210" t="e">
        <f>_xlfn.XLOOKUP(_xlfn.CONCAT(SupplyChain_Tier2_Backend[[#This Row],[Level 1]:[Level 6]]),rng_EFConcat,rng_EF3TD)*SupplyChain_Tier2_Backend[[#This Row],[Converted data]]/1000</f>
        <v>#N/A</v>
      </c>
      <c r="AK134" s="210" t="e">
        <f>_xlfn.XLOOKUP(_xlfn.CONCAT(SupplyChain_Tier2_Backend[[#This Row],[Level 1]:[Level 6]]),rng_EFConcat,rng_EF3WTTTD)*SupplyChain_Tier2_Backend[[#This Row],[Converted data]]/1000</f>
        <v>#N/A</v>
      </c>
      <c r="AL134" s="220" t="e">
        <f>SUM(SupplyChain_Tier2_Backend[[#This Row],[Scope 1 (tCO2e)]:[Scope 3 WTT T&amp;D (tCO2e)]])</f>
        <v>#N/A</v>
      </c>
      <c r="AM134" s="220" t="e">
        <f>SupplyChain_Tier2_Backend[[#This Row],[Total (tCO2e)]]*(1-SupplyChain_Tier2_Backend[[#This Row],[RSD]])</f>
        <v>#N/A</v>
      </c>
      <c r="AN134" s="220" t="e">
        <f>SupplyChain_Tier2_Backend[[#This Row],[Total (tCO2e)]]*(1+SupplyChain_Tier2_Backend[[#This Row],[RSD]])</f>
        <v>#N/A</v>
      </c>
      <c r="AO134" s="210" t="e">
        <f>_xlfn.XLOOKUP(_xlfn.CONCAT(SupplyChain_Tier2_Backend[[#This Row],[Level 1]:[Level 6]]),rng_EFConcat,rng_EFOOS)*SupplyChain_Tier2_Backend[[#This Row],[Converted data]]/1000</f>
        <v>#N/A</v>
      </c>
      <c r="AP134" s="174">
        <f>SupplyChain_Tier2_Frontend[[#This Row],[Ease of collection]]</f>
        <v>0</v>
      </c>
      <c r="AQ134" s="213">
        <f>SupplyChain_Tier2_Frontend[[#This Row],[Completeness]]</f>
        <v>0</v>
      </c>
      <c r="AR134" s="213">
        <f>SupplyChain_Tier2_Frontend[[#This Row],[Notes]]</f>
        <v>0</v>
      </c>
    </row>
    <row r="135" spans="2:44" ht="14.5" x14ac:dyDescent="0.35">
      <c r="B135" s="455"/>
      <c r="D135" s="147">
        <v>7</v>
      </c>
      <c r="E135" s="236" t="str">
        <f t="shared" ref="E135:E198" si="9">_xlfn.XLOOKUP($F135, $F$14:$F$123, $E$14:$E$123, "")</f>
        <v/>
      </c>
      <c r="F135" s="336"/>
      <c r="G135" s="334"/>
      <c r="H135" s="334"/>
      <c r="I135" s="334"/>
      <c r="J135" s="336"/>
      <c r="K135" s="336"/>
      <c r="L135" s="337"/>
      <c r="M135" s="242">
        <f t="shared" si="8"/>
        <v>4</v>
      </c>
      <c r="Q135" s="211" t="str">
        <f t="shared" si="7"/>
        <v/>
      </c>
      <c r="R135" s="174" t="s">
        <v>267</v>
      </c>
      <c r="S135" s="174" t="s">
        <v>385</v>
      </c>
      <c r="T135" s="235" t="s">
        <v>385</v>
      </c>
      <c r="U135" s="173" t="str">
        <f>SupplyChain_Tier2_Frontend[[#This Row],[Category]]</f>
        <v/>
      </c>
      <c r="V135" s="173">
        <f>SupplyChain_Tier2_Frontend[[#This Row],[Product Category]]</f>
        <v>0</v>
      </c>
      <c r="W135" s="174" t="s">
        <v>339</v>
      </c>
      <c r="X135" s="174">
        <f>SupplyChain_Tier2_Frontend[[#This Row],[Data type]]</f>
        <v>0</v>
      </c>
      <c r="Y135" s="174" t="s">
        <v>339</v>
      </c>
      <c r="Z135" s="174" t="s">
        <v>199</v>
      </c>
      <c r="AA135" s="229" t="e" cm="1">
        <f t="array" ref="AA135">INDEX(_xlfn.SWITCH(SupplyChain_Tier2_Backend[[#This Row],[Methodology]],"Tier 1",rng_RSD1,"Tier 2",rng_RSD2,"Tier 3",rng_RSD3),MATCH(_xlfn.CONCAT(SupplyChain_Tier2_Backend[[#This Row],[Level 1]:[Level 6]]),rng_LevelsConcat,0))</f>
        <v>#N/A</v>
      </c>
      <c r="AB135" s="220">
        <f>SupplyChain_Tier2_Frontend[[#This Row],[Spend (£)]]</f>
        <v>0</v>
      </c>
      <c r="AC135" s="220" t="s">
        <v>383</v>
      </c>
      <c r="AD135" s="220">
        <f>SupplyChain_Tier2_Frontend[[#This Row],[Spend (£)]]</f>
        <v>0</v>
      </c>
      <c r="AE135" s="174" t="s">
        <v>383</v>
      </c>
      <c r="AF135" s="210" t="e">
        <f>_xlfn.XLOOKUP(_xlfn.CONCAT(SupplyChain_Tier2_Backend[[#This Row],[Level 1]:[Level 6]]),rng_EFConcat,rng_EF1)*SupplyChain_Tier2_Backend[[#This Row],[Converted data]]/1000</f>
        <v>#N/A</v>
      </c>
      <c r="AG135" s="210" t="e">
        <f>_xlfn.XLOOKUP(_xlfn.CONCAT(SupplyChain_Tier2_Backend[[#This Row],[Level 1]:[Level 6]]),rng_EFConcat,rng_EF2)*SupplyChain_Tier2_Backend[[#This Row],[Converted data]]/1000</f>
        <v>#N/A</v>
      </c>
      <c r="AH135" s="210">
        <f>SupplyChain_Tier2_Frontend[[#This Row],[Emissions (kgCO2e)]]/1000</f>
        <v>0</v>
      </c>
      <c r="AI135" s="210" t="e">
        <f>_xlfn.XLOOKUP(_xlfn.CONCAT(SupplyChain_Tier2_Backend[[#This Row],[Level 1]:[Level 6]]),rng_EFConcat,rng_EF3WTT)*SupplyChain_Tier2_Backend[[#This Row],[Converted data]]/1000</f>
        <v>#N/A</v>
      </c>
      <c r="AJ135" s="210" t="e">
        <f>_xlfn.XLOOKUP(_xlfn.CONCAT(SupplyChain_Tier2_Backend[[#This Row],[Level 1]:[Level 6]]),rng_EFConcat,rng_EF3TD)*SupplyChain_Tier2_Backend[[#This Row],[Converted data]]/1000</f>
        <v>#N/A</v>
      </c>
      <c r="AK135" s="210" t="e">
        <f>_xlfn.XLOOKUP(_xlfn.CONCAT(SupplyChain_Tier2_Backend[[#This Row],[Level 1]:[Level 6]]),rng_EFConcat,rng_EF3WTTTD)*SupplyChain_Tier2_Backend[[#This Row],[Converted data]]/1000</f>
        <v>#N/A</v>
      </c>
      <c r="AL135" s="220" t="e">
        <f>SUM(SupplyChain_Tier2_Backend[[#This Row],[Scope 1 (tCO2e)]:[Scope 3 WTT T&amp;D (tCO2e)]])</f>
        <v>#N/A</v>
      </c>
      <c r="AM135" s="220" t="e">
        <f>SupplyChain_Tier2_Backend[[#This Row],[Total (tCO2e)]]*(1-SupplyChain_Tier2_Backend[[#This Row],[RSD]])</f>
        <v>#N/A</v>
      </c>
      <c r="AN135" s="220" t="e">
        <f>SupplyChain_Tier2_Backend[[#This Row],[Total (tCO2e)]]*(1+SupplyChain_Tier2_Backend[[#This Row],[RSD]])</f>
        <v>#N/A</v>
      </c>
      <c r="AO135" s="210" t="e">
        <f>_xlfn.XLOOKUP(_xlfn.CONCAT(SupplyChain_Tier2_Backend[[#This Row],[Level 1]:[Level 6]]),rng_EFConcat,rng_EFOOS)*SupplyChain_Tier2_Backend[[#This Row],[Converted data]]/1000</f>
        <v>#N/A</v>
      </c>
      <c r="AP135" s="174">
        <f>SupplyChain_Tier2_Frontend[[#This Row],[Ease of collection]]</f>
        <v>0</v>
      </c>
      <c r="AQ135" s="213">
        <f>SupplyChain_Tier2_Frontend[[#This Row],[Completeness]]</f>
        <v>0</v>
      </c>
      <c r="AR135" s="213">
        <f>SupplyChain_Tier2_Frontend[[#This Row],[Notes]]</f>
        <v>0</v>
      </c>
    </row>
    <row r="136" spans="2:44" ht="14.5" x14ac:dyDescent="0.35">
      <c r="B136" s="455"/>
      <c r="D136" s="147">
        <v>8</v>
      </c>
      <c r="E136" s="236" t="str">
        <f t="shared" si="9"/>
        <v/>
      </c>
      <c r="F136" s="336"/>
      <c r="G136" s="334"/>
      <c r="H136" s="334"/>
      <c r="I136" s="334"/>
      <c r="J136" s="336"/>
      <c r="K136" s="336"/>
      <c r="L136" s="337"/>
      <c r="M136" s="242">
        <f t="shared" si="8"/>
        <v>4</v>
      </c>
      <c r="Q136" s="211" t="str">
        <f t="shared" si="7"/>
        <v/>
      </c>
      <c r="R136" s="174" t="s">
        <v>267</v>
      </c>
      <c r="S136" s="174" t="s">
        <v>385</v>
      </c>
      <c r="T136" s="235" t="s">
        <v>385</v>
      </c>
      <c r="U136" s="173" t="str">
        <f>SupplyChain_Tier2_Frontend[[#This Row],[Category]]</f>
        <v/>
      </c>
      <c r="V136" s="173">
        <f>SupplyChain_Tier2_Frontend[[#This Row],[Product Category]]</f>
        <v>0</v>
      </c>
      <c r="W136" s="174" t="s">
        <v>339</v>
      </c>
      <c r="X136" s="174">
        <f>SupplyChain_Tier2_Frontend[[#This Row],[Data type]]</f>
        <v>0</v>
      </c>
      <c r="Y136" s="174" t="s">
        <v>339</v>
      </c>
      <c r="Z136" s="174" t="s">
        <v>199</v>
      </c>
      <c r="AA136" s="229" t="e" cm="1">
        <f t="array" ref="AA136">INDEX(_xlfn.SWITCH(SupplyChain_Tier2_Backend[[#This Row],[Methodology]],"Tier 1",rng_RSD1,"Tier 2",rng_RSD2,"Tier 3",rng_RSD3),MATCH(_xlfn.CONCAT(SupplyChain_Tier2_Backend[[#This Row],[Level 1]:[Level 6]]),rng_LevelsConcat,0))</f>
        <v>#N/A</v>
      </c>
      <c r="AB136" s="220">
        <f>SupplyChain_Tier2_Frontend[[#This Row],[Spend (£)]]</f>
        <v>0</v>
      </c>
      <c r="AC136" s="220" t="s">
        <v>383</v>
      </c>
      <c r="AD136" s="220">
        <f>SupplyChain_Tier2_Frontend[[#This Row],[Spend (£)]]</f>
        <v>0</v>
      </c>
      <c r="AE136" s="174" t="s">
        <v>383</v>
      </c>
      <c r="AF136" s="210" t="e">
        <f>_xlfn.XLOOKUP(_xlfn.CONCAT(SupplyChain_Tier2_Backend[[#This Row],[Level 1]:[Level 6]]),rng_EFConcat,rng_EF1)*SupplyChain_Tier2_Backend[[#This Row],[Converted data]]/1000</f>
        <v>#N/A</v>
      </c>
      <c r="AG136" s="210" t="e">
        <f>_xlfn.XLOOKUP(_xlfn.CONCAT(SupplyChain_Tier2_Backend[[#This Row],[Level 1]:[Level 6]]),rng_EFConcat,rng_EF2)*SupplyChain_Tier2_Backend[[#This Row],[Converted data]]/1000</f>
        <v>#N/A</v>
      </c>
      <c r="AH136" s="210">
        <f>SupplyChain_Tier2_Frontend[[#This Row],[Emissions (kgCO2e)]]/1000</f>
        <v>0</v>
      </c>
      <c r="AI136" s="210" t="e">
        <f>_xlfn.XLOOKUP(_xlfn.CONCAT(SupplyChain_Tier2_Backend[[#This Row],[Level 1]:[Level 6]]),rng_EFConcat,rng_EF3WTT)*SupplyChain_Tier2_Backend[[#This Row],[Converted data]]/1000</f>
        <v>#N/A</v>
      </c>
      <c r="AJ136" s="210" t="e">
        <f>_xlfn.XLOOKUP(_xlfn.CONCAT(SupplyChain_Tier2_Backend[[#This Row],[Level 1]:[Level 6]]),rng_EFConcat,rng_EF3TD)*SupplyChain_Tier2_Backend[[#This Row],[Converted data]]/1000</f>
        <v>#N/A</v>
      </c>
      <c r="AK136" s="210" t="e">
        <f>_xlfn.XLOOKUP(_xlfn.CONCAT(SupplyChain_Tier2_Backend[[#This Row],[Level 1]:[Level 6]]),rng_EFConcat,rng_EF3WTTTD)*SupplyChain_Tier2_Backend[[#This Row],[Converted data]]/1000</f>
        <v>#N/A</v>
      </c>
      <c r="AL136" s="220" t="e">
        <f>SUM(SupplyChain_Tier2_Backend[[#This Row],[Scope 1 (tCO2e)]:[Scope 3 WTT T&amp;D (tCO2e)]])</f>
        <v>#N/A</v>
      </c>
      <c r="AM136" s="220" t="e">
        <f>SupplyChain_Tier2_Backend[[#This Row],[Total (tCO2e)]]*(1-SupplyChain_Tier2_Backend[[#This Row],[RSD]])</f>
        <v>#N/A</v>
      </c>
      <c r="AN136" s="220" t="e">
        <f>SupplyChain_Tier2_Backend[[#This Row],[Total (tCO2e)]]*(1+SupplyChain_Tier2_Backend[[#This Row],[RSD]])</f>
        <v>#N/A</v>
      </c>
      <c r="AO136" s="210" t="e">
        <f>_xlfn.XLOOKUP(_xlfn.CONCAT(SupplyChain_Tier2_Backend[[#This Row],[Level 1]:[Level 6]]),rng_EFConcat,rng_EFOOS)*SupplyChain_Tier2_Backend[[#This Row],[Converted data]]/1000</f>
        <v>#N/A</v>
      </c>
      <c r="AP136" s="174">
        <f>SupplyChain_Tier2_Frontend[[#This Row],[Ease of collection]]</f>
        <v>0</v>
      </c>
      <c r="AQ136" s="213">
        <f>SupplyChain_Tier2_Frontend[[#This Row],[Completeness]]</f>
        <v>0</v>
      </c>
      <c r="AR136" s="213">
        <f>SupplyChain_Tier2_Frontend[[#This Row],[Notes]]</f>
        <v>0</v>
      </c>
    </row>
    <row r="137" spans="2:44" ht="14.5" x14ac:dyDescent="0.35">
      <c r="B137" s="455"/>
      <c r="D137" s="147">
        <v>9</v>
      </c>
      <c r="E137" s="236" t="str">
        <f t="shared" si="9"/>
        <v/>
      </c>
      <c r="F137" s="336"/>
      <c r="G137" s="334"/>
      <c r="H137" s="334"/>
      <c r="I137" s="334"/>
      <c r="J137" s="336"/>
      <c r="K137" s="336"/>
      <c r="L137" s="337"/>
      <c r="M137" s="242">
        <f t="shared" si="8"/>
        <v>4</v>
      </c>
      <c r="Q137" s="211" t="str">
        <f t="shared" si="7"/>
        <v/>
      </c>
      <c r="R137" s="174" t="s">
        <v>267</v>
      </c>
      <c r="S137" s="174" t="s">
        <v>385</v>
      </c>
      <c r="T137" s="235" t="s">
        <v>385</v>
      </c>
      <c r="U137" s="173" t="str">
        <f>SupplyChain_Tier2_Frontend[[#This Row],[Category]]</f>
        <v/>
      </c>
      <c r="V137" s="173">
        <f>SupplyChain_Tier2_Frontend[[#This Row],[Product Category]]</f>
        <v>0</v>
      </c>
      <c r="W137" s="174" t="s">
        <v>339</v>
      </c>
      <c r="X137" s="174">
        <f>SupplyChain_Tier2_Frontend[[#This Row],[Data type]]</f>
        <v>0</v>
      </c>
      <c r="Y137" s="174" t="s">
        <v>339</v>
      </c>
      <c r="Z137" s="174" t="s">
        <v>199</v>
      </c>
      <c r="AA137" s="229" t="e" cm="1">
        <f t="array" ref="AA137">INDEX(_xlfn.SWITCH(SupplyChain_Tier2_Backend[[#This Row],[Methodology]],"Tier 1",rng_RSD1,"Tier 2",rng_RSD2,"Tier 3",rng_RSD3),MATCH(_xlfn.CONCAT(SupplyChain_Tier2_Backend[[#This Row],[Level 1]:[Level 6]]),rng_LevelsConcat,0))</f>
        <v>#N/A</v>
      </c>
      <c r="AB137" s="220">
        <f>SupplyChain_Tier2_Frontend[[#This Row],[Spend (£)]]</f>
        <v>0</v>
      </c>
      <c r="AC137" s="220" t="s">
        <v>383</v>
      </c>
      <c r="AD137" s="220">
        <f>SupplyChain_Tier2_Frontend[[#This Row],[Spend (£)]]</f>
        <v>0</v>
      </c>
      <c r="AE137" s="174" t="s">
        <v>383</v>
      </c>
      <c r="AF137" s="210" t="e">
        <f>_xlfn.XLOOKUP(_xlfn.CONCAT(SupplyChain_Tier2_Backend[[#This Row],[Level 1]:[Level 6]]),rng_EFConcat,rng_EF1)*SupplyChain_Tier2_Backend[[#This Row],[Converted data]]/1000</f>
        <v>#N/A</v>
      </c>
      <c r="AG137" s="210" t="e">
        <f>_xlfn.XLOOKUP(_xlfn.CONCAT(SupplyChain_Tier2_Backend[[#This Row],[Level 1]:[Level 6]]),rng_EFConcat,rng_EF2)*SupplyChain_Tier2_Backend[[#This Row],[Converted data]]/1000</f>
        <v>#N/A</v>
      </c>
      <c r="AH137" s="210">
        <f>SupplyChain_Tier2_Frontend[[#This Row],[Emissions (kgCO2e)]]/1000</f>
        <v>0</v>
      </c>
      <c r="AI137" s="210" t="e">
        <f>_xlfn.XLOOKUP(_xlfn.CONCAT(SupplyChain_Tier2_Backend[[#This Row],[Level 1]:[Level 6]]),rng_EFConcat,rng_EF3WTT)*SupplyChain_Tier2_Backend[[#This Row],[Converted data]]/1000</f>
        <v>#N/A</v>
      </c>
      <c r="AJ137" s="210" t="e">
        <f>_xlfn.XLOOKUP(_xlfn.CONCAT(SupplyChain_Tier2_Backend[[#This Row],[Level 1]:[Level 6]]),rng_EFConcat,rng_EF3TD)*SupplyChain_Tier2_Backend[[#This Row],[Converted data]]/1000</f>
        <v>#N/A</v>
      </c>
      <c r="AK137" s="210" t="e">
        <f>_xlfn.XLOOKUP(_xlfn.CONCAT(SupplyChain_Tier2_Backend[[#This Row],[Level 1]:[Level 6]]),rng_EFConcat,rng_EF3WTTTD)*SupplyChain_Tier2_Backend[[#This Row],[Converted data]]/1000</f>
        <v>#N/A</v>
      </c>
      <c r="AL137" s="220" t="e">
        <f>SUM(SupplyChain_Tier2_Backend[[#This Row],[Scope 1 (tCO2e)]:[Scope 3 WTT T&amp;D (tCO2e)]])</f>
        <v>#N/A</v>
      </c>
      <c r="AM137" s="220" t="e">
        <f>SupplyChain_Tier2_Backend[[#This Row],[Total (tCO2e)]]*(1-SupplyChain_Tier2_Backend[[#This Row],[RSD]])</f>
        <v>#N/A</v>
      </c>
      <c r="AN137" s="220" t="e">
        <f>SupplyChain_Tier2_Backend[[#This Row],[Total (tCO2e)]]*(1+SupplyChain_Tier2_Backend[[#This Row],[RSD]])</f>
        <v>#N/A</v>
      </c>
      <c r="AO137" s="210" t="e">
        <f>_xlfn.XLOOKUP(_xlfn.CONCAT(SupplyChain_Tier2_Backend[[#This Row],[Level 1]:[Level 6]]),rng_EFConcat,rng_EFOOS)*SupplyChain_Tier2_Backend[[#This Row],[Converted data]]/1000</f>
        <v>#N/A</v>
      </c>
      <c r="AP137" s="174">
        <f>SupplyChain_Tier2_Frontend[[#This Row],[Ease of collection]]</f>
        <v>0</v>
      </c>
      <c r="AQ137" s="213">
        <f>SupplyChain_Tier2_Frontend[[#This Row],[Completeness]]</f>
        <v>0</v>
      </c>
      <c r="AR137" s="213">
        <f>SupplyChain_Tier2_Frontend[[#This Row],[Notes]]</f>
        <v>0</v>
      </c>
    </row>
    <row r="138" spans="2:44" ht="14.5" x14ac:dyDescent="0.35">
      <c r="B138" s="455"/>
      <c r="D138" s="147">
        <v>10</v>
      </c>
      <c r="E138" s="236" t="str">
        <f t="shared" si="9"/>
        <v/>
      </c>
      <c r="F138" s="336"/>
      <c r="G138" s="334"/>
      <c r="H138" s="334"/>
      <c r="I138" s="334"/>
      <c r="J138" s="336"/>
      <c r="K138" s="336"/>
      <c r="L138" s="337"/>
      <c r="M138" s="242">
        <f t="shared" si="8"/>
        <v>4</v>
      </c>
      <c r="Q138" s="211" t="str">
        <f t="shared" si="7"/>
        <v/>
      </c>
      <c r="R138" s="174" t="s">
        <v>267</v>
      </c>
      <c r="S138" s="174" t="s">
        <v>385</v>
      </c>
      <c r="T138" s="235" t="s">
        <v>385</v>
      </c>
      <c r="U138" s="173" t="str">
        <f>SupplyChain_Tier2_Frontend[[#This Row],[Category]]</f>
        <v/>
      </c>
      <c r="V138" s="173">
        <f>SupplyChain_Tier2_Frontend[[#This Row],[Product Category]]</f>
        <v>0</v>
      </c>
      <c r="W138" s="174" t="s">
        <v>339</v>
      </c>
      <c r="X138" s="174">
        <f>SupplyChain_Tier2_Frontend[[#This Row],[Data type]]</f>
        <v>0</v>
      </c>
      <c r="Y138" s="174" t="s">
        <v>339</v>
      </c>
      <c r="Z138" s="174" t="s">
        <v>199</v>
      </c>
      <c r="AA138" s="229" t="e" cm="1">
        <f t="array" ref="AA138">INDEX(_xlfn.SWITCH(SupplyChain_Tier2_Backend[[#This Row],[Methodology]],"Tier 1",rng_RSD1,"Tier 2",rng_RSD2,"Tier 3",rng_RSD3),MATCH(_xlfn.CONCAT(SupplyChain_Tier2_Backend[[#This Row],[Level 1]:[Level 6]]),rng_LevelsConcat,0))</f>
        <v>#N/A</v>
      </c>
      <c r="AB138" s="220">
        <f>SupplyChain_Tier2_Frontend[[#This Row],[Spend (£)]]</f>
        <v>0</v>
      </c>
      <c r="AC138" s="220" t="s">
        <v>383</v>
      </c>
      <c r="AD138" s="220">
        <f>SupplyChain_Tier2_Frontend[[#This Row],[Spend (£)]]</f>
        <v>0</v>
      </c>
      <c r="AE138" s="174" t="s">
        <v>383</v>
      </c>
      <c r="AF138" s="210" t="e">
        <f>_xlfn.XLOOKUP(_xlfn.CONCAT(SupplyChain_Tier2_Backend[[#This Row],[Level 1]:[Level 6]]),rng_EFConcat,rng_EF1)*SupplyChain_Tier2_Backend[[#This Row],[Converted data]]/1000</f>
        <v>#N/A</v>
      </c>
      <c r="AG138" s="210" t="e">
        <f>_xlfn.XLOOKUP(_xlfn.CONCAT(SupplyChain_Tier2_Backend[[#This Row],[Level 1]:[Level 6]]),rng_EFConcat,rng_EF2)*SupplyChain_Tier2_Backend[[#This Row],[Converted data]]/1000</f>
        <v>#N/A</v>
      </c>
      <c r="AH138" s="210">
        <f>SupplyChain_Tier2_Frontend[[#This Row],[Emissions (kgCO2e)]]/1000</f>
        <v>0</v>
      </c>
      <c r="AI138" s="210" t="e">
        <f>_xlfn.XLOOKUP(_xlfn.CONCAT(SupplyChain_Tier2_Backend[[#This Row],[Level 1]:[Level 6]]),rng_EFConcat,rng_EF3WTT)*SupplyChain_Tier2_Backend[[#This Row],[Converted data]]/1000</f>
        <v>#N/A</v>
      </c>
      <c r="AJ138" s="210" t="e">
        <f>_xlfn.XLOOKUP(_xlfn.CONCAT(SupplyChain_Tier2_Backend[[#This Row],[Level 1]:[Level 6]]),rng_EFConcat,rng_EF3TD)*SupplyChain_Tier2_Backend[[#This Row],[Converted data]]/1000</f>
        <v>#N/A</v>
      </c>
      <c r="AK138" s="210" t="e">
        <f>_xlfn.XLOOKUP(_xlfn.CONCAT(SupplyChain_Tier2_Backend[[#This Row],[Level 1]:[Level 6]]),rng_EFConcat,rng_EF3WTTTD)*SupplyChain_Tier2_Backend[[#This Row],[Converted data]]/1000</f>
        <v>#N/A</v>
      </c>
      <c r="AL138" s="220" t="e">
        <f>SUM(SupplyChain_Tier2_Backend[[#This Row],[Scope 1 (tCO2e)]:[Scope 3 WTT T&amp;D (tCO2e)]])</f>
        <v>#N/A</v>
      </c>
      <c r="AM138" s="220" t="e">
        <f>SupplyChain_Tier2_Backend[[#This Row],[Total (tCO2e)]]*(1-SupplyChain_Tier2_Backend[[#This Row],[RSD]])</f>
        <v>#N/A</v>
      </c>
      <c r="AN138" s="220" t="e">
        <f>SupplyChain_Tier2_Backend[[#This Row],[Total (tCO2e)]]*(1+SupplyChain_Tier2_Backend[[#This Row],[RSD]])</f>
        <v>#N/A</v>
      </c>
      <c r="AO138" s="210" t="e">
        <f>_xlfn.XLOOKUP(_xlfn.CONCAT(SupplyChain_Tier2_Backend[[#This Row],[Level 1]:[Level 6]]),rng_EFConcat,rng_EFOOS)*SupplyChain_Tier2_Backend[[#This Row],[Converted data]]/1000</f>
        <v>#N/A</v>
      </c>
      <c r="AP138" s="174">
        <f>SupplyChain_Tier2_Frontend[[#This Row],[Ease of collection]]</f>
        <v>0</v>
      </c>
      <c r="AQ138" s="213">
        <f>SupplyChain_Tier2_Frontend[[#This Row],[Completeness]]</f>
        <v>0</v>
      </c>
      <c r="AR138" s="213">
        <f>SupplyChain_Tier2_Frontend[[#This Row],[Notes]]</f>
        <v>0</v>
      </c>
    </row>
    <row r="139" spans="2:44" ht="14.5" x14ac:dyDescent="0.35">
      <c r="B139" s="455"/>
      <c r="D139" s="147">
        <v>11</v>
      </c>
      <c r="E139" s="236" t="str">
        <f t="shared" si="9"/>
        <v/>
      </c>
      <c r="F139" s="336"/>
      <c r="G139" s="334"/>
      <c r="H139" s="334"/>
      <c r="I139" s="334"/>
      <c r="J139" s="336"/>
      <c r="K139" s="336"/>
      <c r="L139" s="337"/>
      <c r="M139" s="242">
        <f t="shared" si="8"/>
        <v>4</v>
      </c>
      <c r="Q139" s="211" t="str">
        <f t="shared" si="7"/>
        <v/>
      </c>
      <c r="R139" s="174" t="s">
        <v>267</v>
      </c>
      <c r="S139" s="174" t="s">
        <v>385</v>
      </c>
      <c r="T139" s="235" t="s">
        <v>385</v>
      </c>
      <c r="U139" s="173" t="str">
        <f>SupplyChain_Tier2_Frontend[[#This Row],[Category]]</f>
        <v/>
      </c>
      <c r="V139" s="173">
        <f>SupplyChain_Tier2_Frontend[[#This Row],[Product Category]]</f>
        <v>0</v>
      </c>
      <c r="W139" s="174" t="s">
        <v>339</v>
      </c>
      <c r="X139" s="174">
        <f>SupplyChain_Tier2_Frontend[[#This Row],[Data type]]</f>
        <v>0</v>
      </c>
      <c r="Y139" s="174" t="s">
        <v>339</v>
      </c>
      <c r="Z139" s="174" t="s">
        <v>199</v>
      </c>
      <c r="AA139" s="229" t="e" cm="1">
        <f t="array" ref="AA139">INDEX(_xlfn.SWITCH(SupplyChain_Tier2_Backend[[#This Row],[Methodology]],"Tier 1",rng_RSD1,"Tier 2",rng_RSD2,"Tier 3",rng_RSD3),MATCH(_xlfn.CONCAT(SupplyChain_Tier2_Backend[[#This Row],[Level 1]:[Level 6]]),rng_LevelsConcat,0))</f>
        <v>#N/A</v>
      </c>
      <c r="AB139" s="220">
        <f>SupplyChain_Tier2_Frontend[[#This Row],[Spend (£)]]</f>
        <v>0</v>
      </c>
      <c r="AC139" s="220" t="s">
        <v>383</v>
      </c>
      <c r="AD139" s="220">
        <f>SupplyChain_Tier2_Frontend[[#This Row],[Spend (£)]]</f>
        <v>0</v>
      </c>
      <c r="AE139" s="174" t="s">
        <v>383</v>
      </c>
      <c r="AF139" s="210" t="e">
        <f>_xlfn.XLOOKUP(_xlfn.CONCAT(SupplyChain_Tier2_Backend[[#This Row],[Level 1]:[Level 6]]),rng_EFConcat,rng_EF1)*SupplyChain_Tier2_Backend[[#This Row],[Converted data]]/1000</f>
        <v>#N/A</v>
      </c>
      <c r="AG139" s="210" t="e">
        <f>_xlfn.XLOOKUP(_xlfn.CONCAT(SupplyChain_Tier2_Backend[[#This Row],[Level 1]:[Level 6]]),rng_EFConcat,rng_EF2)*SupplyChain_Tier2_Backend[[#This Row],[Converted data]]/1000</f>
        <v>#N/A</v>
      </c>
      <c r="AH139" s="210">
        <f>SupplyChain_Tier2_Frontend[[#This Row],[Emissions (kgCO2e)]]/1000</f>
        <v>0</v>
      </c>
      <c r="AI139" s="210" t="e">
        <f>_xlfn.XLOOKUP(_xlfn.CONCAT(SupplyChain_Tier2_Backend[[#This Row],[Level 1]:[Level 6]]),rng_EFConcat,rng_EF3WTT)*SupplyChain_Tier2_Backend[[#This Row],[Converted data]]/1000</f>
        <v>#N/A</v>
      </c>
      <c r="AJ139" s="210" t="e">
        <f>_xlfn.XLOOKUP(_xlfn.CONCAT(SupplyChain_Tier2_Backend[[#This Row],[Level 1]:[Level 6]]),rng_EFConcat,rng_EF3TD)*SupplyChain_Tier2_Backend[[#This Row],[Converted data]]/1000</f>
        <v>#N/A</v>
      </c>
      <c r="AK139" s="210" t="e">
        <f>_xlfn.XLOOKUP(_xlfn.CONCAT(SupplyChain_Tier2_Backend[[#This Row],[Level 1]:[Level 6]]),rng_EFConcat,rng_EF3WTTTD)*SupplyChain_Tier2_Backend[[#This Row],[Converted data]]/1000</f>
        <v>#N/A</v>
      </c>
      <c r="AL139" s="220" t="e">
        <f>SUM(SupplyChain_Tier2_Backend[[#This Row],[Scope 1 (tCO2e)]:[Scope 3 WTT T&amp;D (tCO2e)]])</f>
        <v>#N/A</v>
      </c>
      <c r="AM139" s="220" t="e">
        <f>SupplyChain_Tier2_Backend[[#This Row],[Total (tCO2e)]]*(1-SupplyChain_Tier2_Backend[[#This Row],[RSD]])</f>
        <v>#N/A</v>
      </c>
      <c r="AN139" s="220" t="e">
        <f>SupplyChain_Tier2_Backend[[#This Row],[Total (tCO2e)]]*(1+SupplyChain_Tier2_Backend[[#This Row],[RSD]])</f>
        <v>#N/A</v>
      </c>
      <c r="AO139" s="210" t="e">
        <f>_xlfn.XLOOKUP(_xlfn.CONCAT(SupplyChain_Tier2_Backend[[#This Row],[Level 1]:[Level 6]]),rng_EFConcat,rng_EFOOS)*SupplyChain_Tier2_Backend[[#This Row],[Converted data]]/1000</f>
        <v>#N/A</v>
      </c>
      <c r="AP139" s="174">
        <f>SupplyChain_Tier2_Frontend[[#This Row],[Ease of collection]]</f>
        <v>0</v>
      </c>
      <c r="AQ139" s="213">
        <f>SupplyChain_Tier2_Frontend[[#This Row],[Completeness]]</f>
        <v>0</v>
      </c>
      <c r="AR139" s="213">
        <f>SupplyChain_Tier2_Frontend[[#This Row],[Notes]]</f>
        <v>0</v>
      </c>
    </row>
    <row r="140" spans="2:44" ht="14.5" x14ac:dyDescent="0.35">
      <c r="B140" s="455"/>
      <c r="D140" s="147">
        <v>12</v>
      </c>
      <c r="E140" s="236" t="str">
        <f t="shared" si="9"/>
        <v/>
      </c>
      <c r="F140" s="336"/>
      <c r="G140" s="334"/>
      <c r="H140" s="334"/>
      <c r="I140" s="334"/>
      <c r="J140" s="336"/>
      <c r="K140" s="336"/>
      <c r="L140" s="337"/>
      <c r="M140" s="242">
        <f t="shared" si="8"/>
        <v>4</v>
      </c>
      <c r="Q140" s="211" t="str">
        <f t="shared" si="7"/>
        <v/>
      </c>
      <c r="R140" s="174" t="s">
        <v>267</v>
      </c>
      <c r="S140" s="174" t="s">
        <v>385</v>
      </c>
      <c r="T140" s="235" t="s">
        <v>385</v>
      </c>
      <c r="U140" s="173" t="str">
        <f>SupplyChain_Tier2_Frontend[[#This Row],[Category]]</f>
        <v/>
      </c>
      <c r="V140" s="173">
        <f>SupplyChain_Tier2_Frontend[[#This Row],[Product Category]]</f>
        <v>0</v>
      </c>
      <c r="W140" s="174" t="s">
        <v>339</v>
      </c>
      <c r="X140" s="174">
        <f>SupplyChain_Tier2_Frontend[[#This Row],[Data type]]</f>
        <v>0</v>
      </c>
      <c r="Y140" s="174" t="s">
        <v>339</v>
      </c>
      <c r="Z140" s="174" t="s">
        <v>199</v>
      </c>
      <c r="AA140" s="229" t="e" cm="1">
        <f t="array" ref="AA140">INDEX(_xlfn.SWITCH(SupplyChain_Tier2_Backend[[#This Row],[Methodology]],"Tier 1",rng_RSD1,"Tier 2",rng_RSD2,"Tier 3",rng_RSD3),MATCH(_xlfn.CONCAT(SupplyChain_Tier2_Backend[[#This Row],[Level 1]:[Level 6]]),rng_LevelsConcat,0))</f>
        <v>#N/A</v>
      </c>
      <c r="AB140" s="220">
        <f>SupplyChain_Tier2_Frontend[[#This Row],[Spend (£)]]</f>
        <v>0</v>
      </c>
      <c r="AC140" s="220" t="s">
        <v>383</v>
      </c>
      <c r="AD140" s="220">
        <f>SupplyChain_Tier2_Frontend[[#This Row],[Spend (£)]]</f>
        <v>0</v>
      </c>
      <c r="AE140" s="174" t="s">
        <v>383</v>
      </c>
      <c r="AF140" s="210" t="e">
        <f>_xlfn.XLOOKUP(_xlfn.CONCAT(SupplyChain_Tier2_Backend[[#This Row],[Level 1]:[Level 6]]),rng_EFConcat,rng_EF1)*SupplyChain_Tier2_Backend[[#This Row],[Converted data]]/1000</f>
        <v>#N/A</v>
      </c>
      <c r="AG140" s="210" t="e">
        <f>_xlfn.XLOOKUP(_xlfn.CONCAT(SupplyChain_Tier2_Backend[[#This Row],[Level 1]:[Level 6]]),rng_EFConcat,rng_EF2)*SupplyChain_Tier2_Backend[[#This Row],[Converted data]]/1000</f>
        <v>#N/A</v>
      </c>
      <c r="AH140" s="210">
        <f>SupplyChain_Tier2_Frontend[[#This Row],[Emissions (kgCO2e)]]/1000</f>
        <v>0</v>
      </c>
      <c r="AI140" s="210" t="e">
        <f>_xlfn.XLOOKUP(_xlfn.CONCAT(SupplyChain_Tier2_Backend[[#This Row],[Level 1]:[Level 6]]),rng_EFConcat,rng_EF3WTT)*SupplyChain_Tier2_Backend[[#This Row],[Converted data]]/1000</f>
        <v>#N/A</v>
      </c>
      <c r="AJ140" s="210" t="e">
        <f>_xlfn.XLOOKUP(_xlfn.CONCAT(SupplyChain_Tier2_Backend[[#This Row],[Level 1]:[Level 6]]),rng_EFConcat,rng_EF3TD)*SupplyChain_Tier2_Backend[[#This Row],[Converted data]]/1000</f>
        <v>#N/A</v>
      </c>
      <c r="AK140" s="210" t="e">
        <f>_xlfn.XLOOKUP(_xlfn.CONCAT(SupplyChain_Tier2_Backend[[#This Row],[Level 1]:[Level 6]]),rng_EFConcat,rng_EF3WTTTD)*SupplyChain_Tier2_Backend[[#This Row],[Converted data]]/1000</f>
        <v>#N/A</v>
      </c>
      <c r="AL140" s="220" t="e">
        <f>SUM(SupplyChain_Tier2_Backend[[#This Row],[Scope 1 (tCO2e)]:[Scope 3 WTT T&amp;D (tCO2e)]])</f>
        <v>#N/A</v>
      </c>
      <c r="AM140" s="220" t="e">
        <f>SupplyChain_Tier2_Backend[[#This Row],[Total (tCO2e)]]*(1-SupplyChain_Tier2_Backend[[#This Row],[RSD]])</f>
        <v>#N/A</v>
      </c>
      <c r="AN140" s="220" t="e">
        <f>SupplyChain_Tier2_Backend[[#This Row],[Total (tCO2e)]]*(1+SupplyChain_Tier2_Backend[[#This Row],[RSD]])</f>
        <v>#N/A</v>
      </c>
      <c r="AO140" s="210" t="e">
        <f>_xlfn.XLOOKUP(_xlfn.CONCAT(SupplyChain_Tier2_Backend[[#This Row],[Level 1]:[Level 6]]),rng_EFConcat,rng_EFOOS)*SupplyChain_Tier2_Backend[[#This Row],[Converted data]]/1000</f>
        <v>#N/A</v>
      </c>
      <c r="AP140" s="174">
        <f>SupplyChain_Tier2_Frontend[[#This Row],[Ease of collection]]</f>
        <v>0</v>
      </c>
      <c r="AQ140" s="213">
        <f>SupplyChain_Tier2_Frontend[[#This Row],[Completeness]]</f>
        <v>0</v>
      </c>
      <c r="AR140" s="213">
        <f>SupplyChain_Tier2_Frontend[[#This Row],[Notes]]</f>
        <v>0</v>
      </c>
    </row>
    <row r="141" spans="2:44" ht="14.5" x14ac:dyDescent="0.35">
      <c r="D141" s="147">
        <v>13</v>
      </c>
      <c r="E141" s="236" t="str">
        <f t="shared" si="9"/>
        <v/>
      </c>
      <c r="F141" s="336"/>
      <c r="G141" s="334"/>
      <c r="H141" s="334"/>
      <c r="I141" s="334"/>
      <c r="J141" s="336"/>
      <c r="K141" s="336"/>
      <c r="L141" s="337"/>
      <c r="M141" s="242">
        <f t="shared" si="8"/>
        <v>4</v>
      </c>
      <c r="Q141" s="211" t="str">
        <f t="shared" si="7"/>
        <v/>
      </c>
      <c r="R141" s="174" t="s">
        <v>267</v>
      </c>
      <c r="S141" s="174" t="s">
        <v>385</v>
      </c>
      <c r="T141" s="235" t="s">
        <v>385</v>
      </c>
      <c r="U141" s="173" t="str">
        <f>SupplyChain_Tier2_Frontend[[#This Row],[Category]]</f>
        <v/>
      </c>
      <c r="V141" s="173">
        <f>SupplyChain_Tier2_Frontend[[#This Row],[Product Category]]</f>
        <v>0</v>
      </c>
      <c r="W141" s="174" t="s">
        <v>339</v>
      </c>
      <c r="X141" s="174">
        <f>SupplyChain_Tier2_Frontend[[#This Row],[Data type]]</f>
        <v>0</v>
      </c>
      <c r="Y141" s="174" t="s">
        <v>339</v>
      </c>
      <c r="Z141" s="174" t="s">
        <v>199</v>
      </c>
      <c r="AA141" s="229" t="e" cm="1">
        <f t="array" ref="AA141">INDEX(_xlfn.SWITCH(SupplyChain_Tier2_Backend[[#This Row],[Methodology]],"Tier 1",rng_RSD1,"Tier 2",rng_RSD2,"Tier 3",rng_RSD3),MATCH(_xlfn.CONCAT(SupplyChain_Tier2_Backend[[#This Row],[Level 1]:[Level 6]]),rng_LevelsConcat,0))</f>
        <v>#N/A</v>
      </c>
      <c r="AB141" s="220">
        <f>SupplyChain_Tier2_Frontend[[#This Row],[Spend (£)]]</f>
        <v>0</v>
      </c>
      <c r="AC141" s="220" t="s">
        <v>383</v>
      </c>
      <c r="AD141" s="220">
        <f>SupplyChain_Tier2_Frontend[[#This Row],[Spend (£)]]</f>
        <v>0</v>
      </c>
      <c r="AE141" s="174" t="s">
        <v>383</v>
      </c>
      <c r="AF141" s="210" t="e">
        <f>_xlfn.XLOOKUP(_xlfn.CONCAT(SupplyChain_Tier2_Backend[[#This Row],[Level 1]:[Level 6]]),rng_EFConcat,rng_EF1)*SupplyChain_Tier2_Backend[[#This Row],[Converted data]]/1000</f>
        <v>#N/A</v>
      </c>
      <c r="AG141" s="210" t="e">
        <f>_xlfn.XLOOKUP(_xlfn.CONCAT(SupplyChain_Tier2_Backend[[#This Row],[Level 1]:[Level 6]]),rng_EFConcat,rng_EF2)*SupplyChain_Tier2_Backend[[#This Row],[Converted data]]/1000</f>
        <v>#N/A</v>
      </c>
      <c r="AH141" s="210">
        <f>SupplyChain_Tier2_Frontend[[#This Row],[Emissions (kgCO2e)]]/1000</f>
        <v>0</v>
      </c>
      <c r="AI141" s="210" t="e">
        <f>_xlfn.XLOOKUP(_xlfn.CONCAT(SupplyChain_Tier2_Backend[[#This Row],[Level 1]:[Level 6]]),rng_EFConcat,rng_EF3WTT)*SupplyChain_Tier2_Backend[[#This Row],[Converted data]]/1000</f>
        <v>#N/A</v>
      </c>
      <c r="AJ141" s="210" t="e">
        <f>_xlfn.XLOOKUP(_xlfn.CONCAT(SupplyChain_Tier2_Backend[[#This Row],[Level 1]:[Level 6]]),rng_EFConcat,rng_EF3TD)*SupplyChain_Tier2_Backend[[#This Row],[Converted data]]/1000</f>
        <v>#N/A</v>
      </c>
      <c r="AK141" s="210" t="e">
        <f>_xlfn.XLOOKUP(_xlfn.CONCAT(SupplyChain_Tier2_Backend[[#This Row],[Level 1]:[Level 6]]),rng_EFConcat,rng_EF3WTTTD)*SupplyChain_Tier2_Backend[[#This Row],[Converted data]]/1000</f>
        <v>#N/A</v>
      </c>
      <c r="AL141" s="220" t="e">
        <f>SUM(SupplyChain_Tier2_Backend[[#This Row],[Scope 1 (tCO2e)]:[Scope 3 WTT T&amp;D (tCO2e)]])</f>
        <v>#N/A</v>
      </c>
      <c r="AM141" s="220" t="e">
        <f>SupplyChain_Tier2_Backend[[#This Row],[Total (tCO2e)]]*(1-SupplyChain_Tier2_Backend[[#This Row],[RSD]])</f>
        <v>#N/A</v>
      </c>
      <c r="AN141" s="220" t="e">
        <f>SupplyChain_Tier2_Backend[[#This Row],[Total (tCO2e)]]*(1+SupplyChain_Tier2_Backend[[#This Row],[RSD]])</f>
        <v>#N/A</v>
      </c>
      <c r="AO141" s="210" t="e">
        <f>_xlfn.XLOOKUP(_xlfn.CONCAT(SupplyChain_Tier2_Backend[[#This Row],[Level 1]:[Level 6]]),rng_EFConcat,rng_EFOOS)*SupplyChain_Tier2_Backend[[#This Row],[Converted data]]/1000</f>
        <v>#N/A</v>
      </c>
      <c r="AP141" s="174">
        <f>SupplyChain_Tier2_Frontend[[#This Row],[Ease of collection]]</f>
        <v>0</v>
      </c>
      <c r="AQ141" s="213">
        <f>SupplyChain_Tier2_Frontend[[#This Row],[Completeness]]</f>
        <v>0</v>
      </c>
      <c r="AR141" s="213">
        <f>SupplyChain_Tier2_Frontend[[#This Row],[Notes]]</f>
        <v>0</v>
      </c>
    </row>
    <row r="142" spans="2:44" ht="14.5" x14ac:dyDescent="0.35">
      <c r="D142" s="147">
        <v>14</v>
      </c>
      <c r="E142" s="236" t="str">
        <f t="shared" si="9"/>
        <v/>
      </c>
      <c r="F142" s="336"/>
      <c r="G142" s="334"/>
      <c r="H142" s="334"/>
      <c r="I142" s="334"/>
      <c r="J142" s="336"/>
      <c r="K142" s="336"/>
      <c r="L142" s="337"/>
      <c r="M142" s="242">
        <f t="shared" si="8"/>
        <v>4</v>
      </c>
      <c r="Q142" s="211" t="str">
        <f t="shared" si="7"/>
        <v/>
      </c>
      <c r="R142" s="174" t="s">
        <v>267</v>
      </c>
      <c r="S142" s="174" t="s">
        <v>385</v>
      </c>
      <c r="T142" s="235" t="s">
        <v>385</v>
      </c>
      <c r="U142" s="173" t="str">
        <f>SupplyChain_Tier2_Frontend[[#This Row],[Category]]</f>
        <v/>
      </c>
      <c r="V142" s="173">
        <f>SupplyChain_Tier2_Frontend[[#This Row],[Product Category]]</f>
        <v>0</v>
      </c>
      <c r="W142" s="174" t="s">
        <v>339</v>
      </c>
      <c r="X142" s="174">
        <f>SupplyChain_Tier2_Frontend[[#This Row],[Data type]]</f>
        <v>0</v>
      </c>
      <c r="Y142" s="174" t="s">
        <v>339</v>
      </c>
      <c r="Z142" s="174" t="s">
        <v>199</v>
      </c>
      <c r="AA142" s="229" t="e" cm="1">
        <f t="array" ref="AA142">INDEX(_xlfn.SWITCH(SupplyChain_Tier2_Backend[[#This Row],[Methodology]],"Tier 1",rng_RSD1,"Tier 2",rng_RSD2,"Tier 3",rng_RSD3),MATCH(_xlfn.CONCAT(SupplyChain_Tier2_Backend[[#This Row],[Level 1]:[Level 6]]),rng_LevelsConcat,0))</f>
        <v>#N/A</v>
      </c>
      <c r="AB142" s="220">
        <f>SupplyChain_Tier2_Frontend[[#This Row],[Spend (£)]]</f>
        <v>0</v>
      </c>
      <c r="AC142" s="220" t="s">
        <v>383</v>
      </c>
      <c r="AD142" s="220">
        <f>SupplyChain_Tier2_Frontend[[#This Row],[Spend (£)]]</f>
        <v>0</v>
      </c>
      <c r="AE142" s="174" t="s">
        <v>383</v>
      </c>
      <c r="AF142" s="210" t="e">
        <f>_xlfn.XLOOKUP(_xlfn.CONCAT(SupplyChain_Tier2_Backend[[#This Row],[Level 1]:[Level 6]]),rng_EFConcat,rng_EF1)*SupplyChain_Tier2_Backend[[#This Row],[Converted data]]/1000</f>
        <v>#N/A</v>
      </c>
      <c r="AG142" s="210" t="e">
        <f>_xlfn.XLOOKUP(_xlfn.CONCAT(SupplyChain_Tier2_Backend[[#This Row],[Level 1]:[Level 6]]),rng_EFConcat,rng_EF2)*SupplyChain_Tier2_Backend[[#This Row],[Converted data]]/1000</f>
        <v>#N/A</v>
      </c>
      <c r="AH142" s="210">
        <f>SupplyChain_Tier2_Frontend[[#This Row],[Emissions (kgCO2e)]]/1000</f>
        <v>0</v>
      </c>
      <c r="AI142" s="210" t="e">
        <f>_xlfn.XLOOKUP(_xlfn.CONCAT(SupplyChain_Tier2_Backend[[#This Row],[Level 1]:[Level 6]]),rng_EFConcat,rng_EF3WTT)*SupplyChain_Tier2_Backend[[#This Row],[Converted data]]/1000</f>
        <v>#N/A</v>
      </c>
      <c r="AJ142" s="210" t="e">
        <f>_xlfn.XLOOKUP(_xlfn.CONCAT(SupplyChain_Tier2_Backend[[#This Row],[Level 1]:[Level 6]]),rng_EFConcat,rng_EF3TD)*SupplyChain_Tier2_Backend[[#This Row],[Converted data]]/1000</f>
        <v>#N/A</v>
      </c>
      <c r="AK142" s="210" t="e">
        <f>_xlfn.XLOOKUP(_xlfn.CONCAT(SupplyChain_Tier2_Backend[[#This Row],[Level 1]:[Level 6]]),rng_EFConcat,rng_EF3WTTTD)*SupplyChain_Tier2_Backend[[#This Row],[Converted data]]/1000</f>
        <v>#N/A</v>
      </c>
      <c r="AL142" s="220" t="e">
        <f>SUM(SupplyChain_Tier2_Backend[[#This Row],[Scope 1 (tCO2e)]:[Scope 3 WTT T&amp;D (tCO2e)]])</f>
        <v>#N/A</v>
      </c>
      <c r="AM142" s="220" t="e">
        <f>SupplyChain_Tier2_Backend[[#This Row],[Total (tCO2e)]]*(1-SupplyChain_Tier2_Backend[[#This Row],[RSD]])</f>
        <v>#N/A</v>
      </c>
      <c r="AN142" s="220" t="e">
        <f>SupplyChain_Tier2_Backend[[#This Row],[Total (tCO2e)]]*(1+SupplyChain_Tier2_Backend[[#This Row],[RSD]])</f>
        <v>#N/A</v>
      </c>
      <c r="AO142" s="210" t="e">
        <f>_xlfn.XLOOKUP(_xlfn.CONCAT(SupplyChain_Tier2_Backend[[#This Row],[Level 1]:[Level 6]]),rng_EFConcat,rng_EFOOS)*SupplyChain_Tier2_Backend[[#This Row],[Converted data]]/1000</f>
        <v>#N/A</v>
      </c>
      <c r="AP142" s="174">
        <f>SupplyChain_Tier2_Frontend[[#This Row],[Ease of collection]]</f>
        <v>0</v>
      </c>
      <c r="AQ142" s="213">
        <f>SupplyChain_Tier2_Frontend[[#This Row],[Completeness]]</f>
        <v>0</v>
      </c>
      <c r="AR142" s="213">
        <f>SupplyChain_Tier2_Frontend[[#This Row],[Notes]]</f>
        <v>0</v>
      </c>
    </row>
    <row r="143" spans="2:44" ht="14.5" x14ac:dyDescent="0.35">
      <c r="D143" s="147">
        <v>15</v>
      </c>
      <c r="E143" s="236" t="str">
        <f t="shared" si="9"/>
        <v/>
      </c>
      <c r="F143" s="336"/>
      <c r="G143" s="334"/>
      <c r="H143" s="334"/>
      <c r="I143" s="334"/>
      <c r="J143" s="336"/>
      <c r="K143" s="336"/>
      <c r="L143" s="337"/>
      <c r="M143" s="242">
        <f t="shared" si="8"/>
        <v>4</v>
      </c>
      <c r="Q143" s="211" t="str">
        <f t="shared" si="7"/>
        <v/>
      </c>
      <c r="R143" s="174" t="s">
        <v>267</v>
      </c>
      <c r="S143" s="174" t="s">
        <v>385</v>
      </c>
      <c r="T143" s="235" t="s">
        <v>385</v>
      </c>
      <c r="U143" s="173" t="str">
        <f>SupplyChain_Tier2_Frontend[[#This Row],[Category]]</f>
        <v/>
      </c>
      <c r="V143" s="173">
        <f>SupplyChain_Tier2_Frontend[[#This Row],[Product Category]]</f>
        <v>0</v>
      </c>
      <c r="W143" s="174" t="s">
        <v>339</v>
      </c>
      <c r="X143" s="174">
        <f>SupplyChain_Tier2_Frontend[[#This Row],[Data type]]</f>
        <v>0</v>
      </c>
      <c r="Y143" s="174" t="s">
        <v>339</v>
      </c>
      <c r="Z143" s="174" t="s">
        <v>199</v>
      </c>
      <c r="AA143" s="229" t="e" cm="1">
        <f t="array" ref="AA143">INDEX(_xlfn.SWITCH(SupplyChain_Tier2_Backend[[#This Row],[Methodology]],"Tier 1",rng_RSD1,"Tier 2",rng_RSD2,"Tier 3",rng_RSD3),MATCH(_xlfn.CONCAT(SupplyChain_Tier2_Backend[[#This Row],[Level 1]:[Level 6]]),rng_LevelsConcat,0))</f>
        <v>#N/A</v>
      </c>
      <c r="AB143" s="220">
        <f>SupplyChain_Tier2_Frontend[[#This Row],[Spend (£)]]</f>
        <v>0</v>
      </c>
      <c r="AC143" s="220" t="s">
        <v>383</v>
      </c>
      <c r="AD143" s="220">
        <f>SupplyChain_Tier2_Frontend[[#This Row],[Spend (£)]]</f>
        <v>0</v>
      </c>
      <c r="AE143" s="174" t="s">
        <v>383</v>
      </c>
      <c r="AF143" s="210" t="e">
        <f>_xlfn.XLOOKUP(_xlfn.CONCAT(SupplyChain_Tier2_Backend[[#This Row],[Level 1]:[Level 6]]),rng_EFConcat,rng_EF1)*SupplyChain_Tier2_Backend[[#This Row],[Converted data]]/1000</f>
        <v>#N/A</v>
      </c>
      <c r="AG143" s="210" t="e">
        <f>_xlfn.XLOOKUP(_xlfn.CONCAT(SupplyChain_Tier2_Backend[[#This Row],[Level 1]:[Level 6]]),rng_EFConcat,rng_EF2)*SupplyChain_Tier2_Backend[[#This Row],[Converted data]]/1000</f>
        <v>#N/A</v>
      </c>
      <c r="AH143" s="210">
        <f>SupplyChain_Tier2_Frontend[[#This Row],[Emissions (kgCO2e)]]/1000</f>
        <v>0</v>
      </c>
      <c r="AI143" s="210" t="e">
        <f>_xlfn.XLOOKUP(_xlfn.CONCAT(SupplyChain_Tier2_Backend[[#This Row],[Level 1]:[Level 6]]),rng_EFConcat,rng_EF3WTT)*SupplyChain_Tier2_Backend[[#This Row],[Converted data]]/1000</f>
        <v>#N/A</v>
      </c>
      <c r="AJ143" s="210" t="e">
        <f>_xlfn.XLOOKUP(_xlfn.CONCAT(SupplyChain_Tier2_Backend[[#This Row],[Level 1]:[Level 6]]),rng_EFConcat,rng_EF3TD)*SupplyChain_Tier2_Backend[[#This Row],[Converted data]]/1000</f>
        <v>#N/A</v>
      </c>
      <c r="AK143" s="210" t="e">
        <f>_xlfn.XLOOKUP(_xlfn.CONCAT(SupplyChain_Tier2_Backend[[#This Row],[Level 1]:[Level 6]]),rng_EFConcat,rng_EF3WTTTD)*SupplyChain_Tier2_Backend[[#This Row],[Converted data]]/1000</f>
        <v>#N/A</v>
      </c>
      <c r="AL143" s="220" t="e">
        <f>SUM(SupplyChain_Tier2_Backend[[#This Row],[Scope 1 (tCO2e)]:[Scope 3 WTT T&amp;D (tCO2e)]])</f>
        <v>#N/A</v>
      </c>
      <c r="AM143" s="220" t="e">
        <f>SupplyChain_Tier2_Backend[[#This Row],[Total (tCO2e)]]*(1-SupplyChain_Tier2_Backend[[#This Row],[RSD]])</f>
        <v>#N/A</v>
      </c>
      <c r="AN143" s="220" t="e">
        <f>SupplyChain_Tier2_Backend[[#This Row],[Total (tCO2e)]]*(1+SupplyChain_Tier2_Backend[[#This Row],[RSD]])</f>
        <v>#N/A</v>
      </c>
      <c r="AO143" s="210" t="e">
        <f>_xlfn.XLOOKUP(_xlfn.CONCAT(SupplyChain_Tier2_Backend[[#This Row],[Level 1]:[Level 6]]),rng_EFConcat,rng_EFOOS)*SupplyChain_Tier2_Backend[[#This Row],[Converted data]]/1000</f>
        <v>#N/A</v>
      </c>
      <c r="AP143" s="174">
        <f>SupplyChain_Tier2_Frontend[[#This Row],[Ease of collection]]</f>
        <v>0</v>
      </c>
      <c r="AQ143" s="213">
        <f>SupplyChain_Tier2_Frontend[[#This Row],[Completeness]]</f>
        <v>0</v>
      </c>
      <c r="AR143" s="213">
        <f>SupplyChain_Tier2_Frontend[[#This Row],[Notes]]</f>
        <v>0</v>
      </c>
    </row>
    <row r="144" spans="2:44" ht="14.5" x14ac:dyDescent="0.35">
      <c r="D144" s="147">
        <v>16</v>
      </c>
      <c r="E144" s="236" t="str">
        <f t="shared" si="9"/>
        <v/>
      </c>
      <c r="F144" s="336"/>
      <c r="G144" s="334"/>
      <c r="H144" s="334"/>
      <c r="I144" s="334"/>
      <c r="J144" s="336"/>
      <c r="K144" s="336"/>
      <c r="L144" s="337"/>
      <c r="M144" s="242">
        <f t="shared" si="8"/>
        <v>4</v>
      </c>
      <c r="Q144" s="211" t="str">
        <f t="shared" si="7"/>
        <v/>
      </c>
      <c r="R144" s="174" t="s">
        <v>267</v>
      </c>
      <c r="S144" s="174" t="s">
        <v>385</v>
      </c>
      <c r="T144" s="235" t="s">
        <v>385</v>
      </c>
      <c r="U144" s="173" t="str">
        <f>SupplyChain_Tier2_Frontend[[#This Row],[Category]]</f>
        <v/>
      </c>
      <c r="V144" s="173">
        <f>SupplyChain_Tier2_Frontend[[#This Row],[Product Category]]</f>
        <v>0</v>
      </c>
      <c r="W144" s="174" t="s">
        <v>339</v>
      </c>
      <c r="X144" s="174">
        <f>SupplyChain_Tier2_Frontend[[#This Row],[Data type]]</f>
        <v>0</v>
      </c>
      <c r="Y144" s="174" t="s">
        <v>339</v>
      </c>
      <c r="Z144" s="174" t="s">
        <v>199</v>
      </c>
      <c r="AA144" s="229" t="e" cm="1">
        <f t="array" ref="AA144">INDEX(_xlfn.SWITCH(SupplyChain_Tier2_Backend[[#This Row],[Methodology]],"Tier 1",rng_RSD1,"Tier 2",rng_RSD2,"Tier 3",rng_RSD3),MATCH(_xlfn.CONCAT(SupplyChain_Tier2_Backend[[#This Row],[Level 1]:[Level 6]]),rng_LevelsConcat,0))</f>
        <v>#N/A</v>
      </c>
      <c r="AB144" s="220">
        <f>SupplyChain_Tier2_Frontend[[#This Row],[Spend (£)]]</f>
        <v>0</v>
      </c>
      <c r="AC144" s="220" t="s">
        <v>383</v>
      </c>
      <c r="AD144" s="220">
        <f>SupplyChain_Tier2_Frontend[[#This Row],[Spend (£)]]</f>
        <v>0</v>
      </c>
      <c r="AE144" s="174" t="s">
        <v>383</v>
      </c>
      <c r="AF144" s="210" t="e">
        <f>_xlfn.XLOOKUP(_xlfn.CONCAT(SupplyChain_Tier2_Backend[[#This Row],[Level 1]:[Level 6]]),rng_EFConcat,rng_EF1)*SupplyChain_Tier2_Backend[[#This Row],[Converted data]]/1000</f>
        <v>#N/A</v>
      </c>
      <c r="AG144" s="210" t="e">
        <f>_xlfn.XLOOKUP(_xlfn.CONCAT(SupplyChain_Tier2_Backend[[#This Row],[Level 1]:[Level 6]]),rng_EFConcat,rng_EF2)*SupplyChain_Tier2_Backend[[#This Row],[Converted data]]/1000</f>
        <v>#N/A</v>
      </c>
      <c r="AH144" s="210">
        <f>SupplyChain_Tier2_Frontend[[#This Row],[Emissions (kgCO2e)]]/1000</f>
        <v>0</v>
      </c>
      <c r="AI144" s="210" t="e">
        <f>_xlfn.XLOOKUP(_xlfn.CONCAT(SupplyChain_Tier2_Backend[[#This Row],[Level 1]:[Level 6]]),rng_EFConcat,rng_EF3WTT)*SupplyChain_Tier2_Backend[[#This Row],[Converted data]]/1000</f>
        <v>#N/A</v>
      </c>
      <c r="AJ144" s="210" t="e">
        <f>_xlfn.XLOOKUP(_xlfn.CONCAT(SupplyChain_Tier2_Backend[[#This Row],[Level 1]:[Level 6]]),rng_EFConcat,rng_EF3TD)*SupplyChain_Tier2_Backend[[#This Row],[Converted data]]/1000</f>
        <v>#N/A</v>
      </c>
      <c r="AK144" s="210" t="e">
        <f>_xlfn.XLOOKUP(_xlfn.CONCAT(SupplyChain_Tier2_Backend[[#This Row],[Level 1]:[Level 6]]),rng_EFConcat,rng_EF3WTTTD)*SupplyChain_Tier2_Backend[[#This Row],[Converted data]]/1000</f>
        <v>#N/A</v>
      </c>
      <c r="AL144" s="220" t="e">
        <f>SUM(SupplyChain_Tier2_Backend[[#This Row],[Scope 1 (tCO2e)]:[Scope 3 WTT T&amp;D (tCO2e)]])</f>
        <v>#N/A</v>
      </c>
      <c r="AM144" s="220" t="e">
        <f>SupplyChain_Tier2_Backend[[#This Row],[Total (tCO2e)]]*(1-SupplyChain_Tier2_Backend[[#This Row],[RSD]])</f>
        <v>#N/A</v>
      </c>
      <c r="AN144" s="220" t="e">
        <f>SupplyChain_Tier2_Backend[[#This Row],[Total (tCO2e)]]*(1+SupplyChain_Tier2_Backend[[#This Row],[RSD]])</f>
        <v>#N/A</v>
      </c>
      <c r="AO144" s="210" t="e">
        <f>_xlfn.XLOOKUP(_xlfn.CONCAT(SupplyChain_Tier2_Backend[[#This Row],[Level 1]:[Level 6]]),rng_EFConcat,rng_EFOOS)*SupplyChain_Tier2_Backend[[#This Row],[Converted data]]/1000</f>
        <v>#N/A</v>
      </c>
      <c r="AP144" s="174">
        <f>SupplyChain_Tier2_Frontend[[#This Row],[Ease of collection]]</f>
        <v>0</v>
      </c>
      <c r="AQ144" s="213">
        <f>SupplyChain_Tier2_Frontend[[#This Row],[Completeness]]</f>
        <v>0</v>
      </c>
      <c r="AR144" s="213">
        <f>SupplyChain_Tier2_Frontend[[#This Row],[Notes]]</f>
        <v>0</v>
      </c>
    </row>
    <row r="145" spans="4:44" ht="14.5" x14ac:dyDescent="0.35">
      <c r="D145" s="147">
        <v>17</v>
      </c>
      <c r="E145" s="236" t="str">
        <f t="shared" si="9"/>
        <v/>
      </c>
      <c r="F145" s="336"/>
      <c r="G145" s="334"/>
      <c r="H145" s="334"/>
      <c r="I145" s="334"/>
      <c r="J145" s="336"/>
      <c r="K145" s="336"/>
      <c r="L145" s="337"/>
      <c r="M145" s="242">
        <f t="shared" si="8"/>
        <v>4</v>
      </c>
      <c r="Q145" s="211" t="str">
        <f t="shared" si="7"/>
        <v/>
      </c>
      <c r="R145" s="174" t="s">
        <v>267</v>
      </c>
      <c r="S145" s="174" t="s">
        <v>385</v>
      </c>
      <c r="T145" s="235" t="s">
        <v>385</v>
      </c>
      <c r="U145" s="173" t="str">
        <f>SupplyChain_Tier2_Frontend[[#This Row],[Category]]</f>
        <v/>
      </c>
      <c r="V145" s="173">
        <f>SupplyChain_Tier2_Frontend[[#This Row],[Product Category]]</f>
        <v>0</v>
      </c>
      <c r="W145" s="174" t="s">
        <v>339</v>
      </c>
      <c r="X145" s="174">
        <f>SupplyChain_Tier2_Frontend[[#This Row],[Data type]]</f>
        <v>0</v>
      </c>
      <c r="Y145" s="174" t="s">
        <v>339</v>
      </c>
      <c r="Z145" s="174" t="s">
        <v>199</v>
      </c>
      <c r="AA145" s="229" t="e" cm="1">
        <f t="array" ref="AA145">INDEX(_xlfn.SWITCH(SupplyChain_Tier2_Backend[[#This Row],[Methodology]],"Tier 1",rng_RSD1,"Tier 2",rng_RSD2,"Tier 3",rng_RSD3),MATCH(_xlfn.CONCAT(SupplyChain_Tier2_Backend[[#This Row],[Level 1]:[Level 6]]),rng_LevelsConcat,0))</f>
        <v>#N/A</v>
      </c>
      <c r="AB145" s="220">
        <f>SupplyChain_Tier2_Frontend[[#This Row],[Spend (£)]]</f>
        <v>0</v>
      </c>
      <c r="AC145" s="220" t="s">
        <v>383</v>
      </c>
      <c r="AD145" s="220">
        <f>SupplyChain_Tier2_Frontend[[#This Row],[Spend (£)]]</f>
        <v>0</v>
      </c>
      <c r="AE145" s="174" t="s">
        <v>383</v>
      </c>
      <c r="AF145" s="210" t="e">
        <f>_xlfn.XLOOKUP(_xlfn.CONCAT(SupplyChain_Tier2_Backend[[#This Row],[Level 1]:[Level 6]]),rng_EFConcat,rng_EF1)*SupplyChain_Tier2_Backend[[#This Row],[Converted data]]/1000</f>
        <v>#N/A</v>
      </c>
      <c r="AG145" s="210" t="e">
        <f>_xlfn.XLOOKUP(_xlfn.CONCAT(SupplyChain_Tier2_Backend[[#This Row],[Level 1]:[Level 6]]),rng_EFConcat,rng_EF2)*SupplyChain_Tier2_Backend[[#This Row],[Converted data]]/1000</f>
        <v>#N/A</v>
      </c>
      <c r="AH145" s="210">
        <f>SupplyChain_Tier2_Frontend[[#This Row],[Emissions (kgCO2e)]]/1000</f>
        <v>0</v>
      </c>
      <c r="AI145" s="210" t="e">
        <f>_xlfn.XLOOKUP(_xlfn.CONCAT(SupplyChain_Tier2_Backend[[#This Row],[Level 1]:[Level 6]]),rng_EFConcat,rng_EF3WTT)*SupplyChain_Tier2_Backend[[#This Row],[Converted data]]/1000</f>
        <v>#N/A</v>
      </c>
      <c r="AJ145" s="210" t="e">
        <f>_xlfn.XLOOKUP(_xlfn.CONCAT(SupplyChain_Tier2_Backend[[#This Row],[Level 1]:[Level 6]]),rng_EFConcat,rng_EF3TD)*SupplyChain_Tier2_Backend[[#This Row],[Converted data]]/1000</f>
        <v>#N/A</v>
      </c>
      <c r="AK145" s="210" t="e">
        <f>_xlfn.XLOOKUP(_xlfn.CONCAT(SupplyChain_Tier2_Backend[[#This Row],[Level 1]:[Level 6]]),rng_EFConcat,rng_EF3WTTTD)*SupplyChain_Tier2_Backend[[#This Row],[Converted data]]/1000</f>
        <v>#N/A</v>
      </c>
      <c r="AL145" s="220" t="e">
        <f>SUM(SupplyChain_Tier2_Backend[[#This Row],[Scope 1 (tCO2e)]:[Scope 3 WTT T&amp;D (tCO2e)]])</f>
        <v>#N/A</v>
      </c>
      <c r="AM145" s="220" t="e">
        <f>SupplyChain_Tier2_Backend[[#This Row],[Total (tCO2e)]]*(1-SupplyChain_Tier2_Backend[[#This Row],[RSD]])</f>
        <v>#N/A</v>
      </c>
      <c r="AN145" s="220" t="e">
        <f>SupplyChain_Tier2_Backend[[#This Row],[Total (tCO2e)]]*(1+SupplyChain_Tier2_Backend[[#This Row],[RSD]])</f>
        <v>#N/A</v>
      </c>
      <c r="AO145" s="210" t="e">
        <f>_xlfn.XLOOKUP(_xlfn.CONCAT(SupplyChain_Tier2_Backend[[#This Row],[Level 1]:[Level 6]]),rng_EFConcat,rng_EFOOS)*SupplyChain_Tier2_Backend[[#This Row],[Converted data]]/1000</f>
        <v>#N/A</v>
      </c>
      <c r="AP145" s="174">
        <f>SupplyChain_Tier2_Frontend[[#This Row],[Ease of collection]]</f>
        <v>0</v>
      </c>
      <c r="AQ145" s="213">
        <f>SupplyChain_Tier2_Frontend[[#This Row],[Completeness]]</f>
        <v>0</v>
      </c>
      <c r="AR145" s="213">
        <f>SupplyChain_Tier2_Frontend[[#This Row],[Notes]]</f>
        <v>0</v>
      </c>
    </row>
    <row r="146" spans="4:44" ht="14.5" x14ac:dyDescent="0.35">
      <c r="D146" s="147">
        <v>18</v>
      </c>
      <c r="E146" s="236" t="str">
        <f t="shared" si="9"/>
        <v/>
      </c>
      <c r="F146" s="336"/>
      <c r="G146" s="334"/>
      <c r="H146" s="334"/>
      <c r="I146" s="334"/>
      <c r="J146" s="336"/>
      <c r="K146" s="336"/>
      <c r="L146" s="337"/>
      <c r="M146" s="242">
        <f t="shared" si="8"/>
        <v>4</v>
      </c>
      <c r="Q146" s="211" t="str">
        <f t="shared" si="7"/>
        <v/>
      </c>
      <c r="R146" s="174" t="s">
        <v>267</v>
      </c>
      <c r="S146" s="174" t="s">
        <v>385</v>
      </c>
      <c r="T146" s="235" t="s">
        <v>385</v>
      </c>
      <c r="U146" s="173" t="str">
        <f>SupplyChain_Tier2_Frontend[[#This Row],[Category]]</f>
        <v/>
      </c>
      <c r="V146" s="173">
        <f>SupplyChain_Tier2_Frontend[[#This Row],[Product Category]]</f>
        <v>0</v>
      </c>
      <c r="W146" s="174" t="s">
        <v>339</v>
      </c>
      <c r="X146" s="174">
        <f>SupplyChain_Tier2_Frontend[[#This Row],[Data type]]</f>
        <v>0</v>
      </c>
      <c r="Y146" s="174" t="s">
        <v>339</v>
      </c>
      <c r="Z146" s="174" t="s">
        <v>199</v>
      </c>
      <c r="AA146" s="229" t="e" cm="1">
        <f t="array" ref="AA146">INDEX(_xlfn.SWITCH(SupplyChain_Tier2_Backend[[#This Row],[Methodology]],"Tier 1",rng_RSD1,"Tier 2",rng_RSD2,"Tier 3",rng_RSD3),MATCH(_xlfn.CONCAT(SupplyChain_Tier2_Backend[[#This Row],[Level 1]:[Level 6]]),rng_LevelsConcat,0))</f>
        <v>#N/A</v>
      </c>
      <c r="AB146" s="220">
        <f>SupplyChain_Tier2_Frontend[[#This Row],[Spend (£)]]</f>
        <v>0</v>
      </c>
      <c r="AC146" s="220" t="s">
        <v>383</v>
      </c>
      <c r="AD146" s="220">
        <f>SupplyChain_Tier2_Frontend[[#This Row],[Spend (£)]]</f>
        <v>0</v>
      </c>
      <c r="AE146" s="174" t="s">
        <v>383</v>
      </c>
      <c r="AF146" s="210" t="e">
        <f>_xlfn.XLOOKUP(_xlfn.CONCAT(SupplyChain_Tier2_Backend[[#This Row],[Level 1]:[Level 6]]),rng_EFConcat,rng_EF1)*SupplyChain_Tier2_Backend[[#This Row],[Converted data]]/1000</f>
        <v>#N/A</v>
      </c>
      <c r="AG146" s="210" t="e">
        <f>_xlfn.XLOOKUP(_xlfn.CONCAT(SupplyChain_Tier2_Backend[[#This Row],[Level 1]:[Level 6]]),rng_EFConcat,rng_EF2)*SupplyChain_Tier2_Backend[[#This Row],[Converted data]]/1000</f>
        <v>#N/A</v>
      </c>
      <c r="AH146" s="210">
        <f>SupplyChain_Tier2_Frontend[[#This Row],[Emissions (kgCO2e)]]/1000</f>
        <v>0</v>
      </c>
      <c r="AI146" s="210" t="e">
        <f>_xlfn.XLOOKUP(_xlfn.CONCAT(SupplyChain_Tier2_Backend[[#This Row],[Level 1]:[Level 6]]),rng_EFConcat,rng_EF3WTT)*SupplyChain_Tier2_Backend[[#This Row],[Converted data]]/1000</f>
        <v>#N/A</v>
      </c>
      <c r="AJ146" s="210" t="e">
        <f>_xlfn.XLOOKUP(_xlfn.CONCAT(SupplyChain_Tier2_Backend[[#This Row],[Level 1]:[Level 6]]),rng_EFConcat,rng_EF3TD)*SupplyChain_Tier2_Backend[[#This Row],[Converted data]]/1000</f>
        <v>#N/A</v>
      </c>
      <c r="AK146" s="210" t="e">
        <f>_xlfn.XLOOKUP(_xlfn.CONCAT(SupplyChain_Tier2_Backend[[#This Row],[Level 1]:[Level 6]]),rng_EFConcat,rng_EF3WTTTD)*SupplyChain_Tier2_Backend[[#This Row],[Converted data]]/1000</f>
        <v>#N/A</v>
      </c>
      <c r="AL146" s="220" t="e">
        <f>SUM(SupplyChain_Tier2_Backend[[#This Row],[Scope 1 (tCO2e)]:[Scope 3 WTT T&amp;D (tCO2e)]])</f>
        <v>#N/A</v>
      </c>
      <c r="AM146" s="220" t="e">
        <f>SupplyChain_Tier2_Backend[[#This Row],[Total (tCO2e)]]*(1-SupplyChain_Tier2_Backend[[#This Row],[RSD]])</f>
        <v>#N/A</v>
      </c>
      <c r="AN146" s="220" t="e">
        <f>SupplyChain_Tier2_Backend[[#This Row],[Total (tCO2e)]]*(1+SupplyChain_Tier2_Backend[[#This Row],[RSD]])</f>
        <v>#N/A</v>
      </c>
      <c r="AO146" s="210" t="e">
        <f>_xlfn.XLOOKUP(_xlfn.CONCAT(SupplyChain_Tier2_Backend[[#This Row],[Level 1]:[Level 6]]),rng_EFConcat,rng_EFOOS)*SupplyChain_Tier2_Backend[[#This Row],[Converted data]]/1000</f>
        <v>#N/A</v>
      </c>
      <c r="AP146" s="174">
        <f>SupplyChain_Tier2_Frontend[[#This Row],[Ease of collection]]</f>
        <v>0</v>
      </c>
      <c r="AQ146" s="213">
        <f>SupplyChain_Tier2_Frontend[[#This Row],[Completeness]]</f>
        <v>0</v>
      </c>
      <c r="AR146" s="213">
        <f>SupplyChain_Tier2_Frontend[[#This Row],[Notes]]</f>
        <v>0</v>
      </c>
    </row>
    <row r="147" spans="4:44" ht="14.5" x14ac:dyDescent="0.35">
      <c r="D147" s="147">
        <v>19</v>
      </c>
      <c r="E147" s="236" t="str">
        <f t="shared" si="9"/>
        <v/>
      </c>
      <c r="F147" s="336"/>
      <c r="G147" s="334"/>
      <c r="H147" s="334"/>
      <c r="I147" s="334"/>
      <c r="J147" s="336"/>
      <c r="K147" s="336"/>
      <c r="L147" s="337"/>
      <c r="M147" s="242">
        <f t="shared" si="8"/>
        <v>4</v>
      </c>
      <c r="Q147" s="211" t="str">
        <f t="shared" si="7"/>
        <v/>
      </c>
      <c r="R147" s="174" t="s">
        <v>267</v>
      </c>
      <c r="S147" s="174" t="s">
        <v>385</v>
      </c>
      <c r="T147" s="235" t="s">
        <v>385</v>
      </c>
      <c r="U147" s="173" t="str">
        <f>SupplyChain_Tier2_Frontend[[#This Row],[Category]]</f>
        <v/>
      </c>
      <c r="V147" s="173">
        <f>SupplyChain_Tier2_Frontend[[#This Row],[Product Category]]</f>
        <v>0</v>
      </c>
      <c r="W147" s="174" t="s">
        <v>339</v>
      </c>
      <c r="X147" s="174">
        <f>SupplyChain_Tier2_Frontend[[#This Row],[Data type]]</f>
        <v>0</v>
      </c>
      <c r="Y147" s="174" t="s">
        <v>339</v>
      </c>
      <c r="Z147" s="174" t="s">
        <v>199</v>
      </c>
      <c r="AA147" s="229" t="e" cm="1">
        <f t="array" ref="AA147">INDEX(_xlfn.SWITCH(SupplyChain_Tier2_Backend[[#This Row],[Methodology]],"Tier 1",rng_RSD1,"Tier 2",rng_RSD2,"Tier 3",rng_RSD3),MATCH(_xlfn.CONCAT(SupplyChain_Tier2_Backend[[#This Row],[Level 1]:[Level 6]]),rng_LevelsConcat,0))</f>
        <v>#N/A</v>
      </c>
      <c r="AB147" s="220">
        <f>SupplyChain_Tier2_Frontend[[#This Row],[Spend (£)]]</f>
        <v>0</v>
      </c>
      <c r="AC147" s="220" t="s">
        <v>383</v>
      </c>
      <c r="AD147" s="220">
        <f>SupplyChain_Tier2_Frontend[[#This Row],[Spend (£)]]</f>
        <v>0</v>
      </c>
      <c r="AE147" s="174" t="s">
        <v>383</v>
      </c>
      <c r="AF147" s="210" t="e">
        <f>_xlfn.XLOOKUP(_xlfn.CONCAT(SupplyChain_Tier2_Backend[[#This Row],[Level 1]:[Level 6]]),rng_EFConcat,rng_EF1)*SupplyChain_Tier2_Backend[[#This Row],[Converted data]]/1000</f>
        <v>#N/A</v>
      </c>
      <c r="AG147" s="210" t="e">
        <f>_xlfn.XLOOKUP(_xlfn.CONCAT(SupplyChain_Tier2_Backend[[#This Row],[Level 1]:[Level 6]]),rng_EFConcat,rng_EF2)*SupplyChain_Tier2_Backend[[#This Row],[Converted data]]/1000</f>
        <v>#N/A</v>
      </c>
      <c r="AH147" s="210">
        <f>SupplyChain_Tier2_Frontend[[#This Row],[Emissions (kgCO2e)]]/1000</f>
        <v>0</v>
      </c>
      <c r="AI147" s="210" t="e">
        <f>_xlfn.XLOOKUP(_xlfn.CONCAT(SupplyChain_Tier2_Backend[[#This Row],[Level 1]:[Level 6]]),rng_EFConcat,rng_EF3WTT)*SupplyChain_Tier2_Backend[[#This Row],[Converted data]]/1000</f>
        <v>#N/A</v>
      </c>
      <c r="AJ147" s="210" t="e">
        <f>_xlfn.XLOOKUP(_xlfn.CONCAT(SupplyChain_Tier2_Backend[[#This Row],[Level 1]:[Level 6]]),rng_EFConcat,rng_EF3TD)*SupplyChain_Tier2_Backend[[#This Row],[Converted data]]/1000</f>
        <v>#N/A</v>
      </c>
      <c r="AK147" s="210" t="e">
        <f>_xlfn.XLOOKUP(_xlfn.CONCAT(SupplyChain_Tier2_Backend[[#This Row],[Level 1]:[Level 6]]),rng_EFConcat,rng_EF3WTTTD)*SupplyChain_Tier2_Backend[[#This Row],[Converted data]]/1000</f>
        <v>#N/A</v>
      </c>
      <c r="AL147" s="220" t="e">
        <f>SUM(SupplyChain_Tier2_Backend[[#This Row],[Scope 1 (tCO2e)]:[Scope 3 WTT T&amp;D (tCO2e)]])</f>
        <v>#N/A</v>
      </c>
      <c r="AM147" s="220" t="e">
        <f>SupplyChain_Tier2_Backend[[#This Row],[Total (tCO2e)]]*(1-SupplyChain_Tier2_Backend[[#This Row],[RSD]])</f>
        <v>#N/A</v>
      </c>
      <c r="AN147" s="220" t="e">
        <f>SupplyChain_Tier2_Backend[[#This Row],[Total (tCO2e)]]*(1+SupplyChain_Tier2_Backend[[#This Row],[RSD]])</f>
        <v>#N/A</v>
      </c>
      <c r="AO147" s="210" t="e">
        <f>_xlfn.XLOOKUP(_xlfn.CONCAT(SupplyChain_Tier2_Backend[[#This Row],[Level 1]:[Level 6]]),rng_EFConcat,rng_EFOOS)*SupplyChain_Tier2_Backend[[#This Row],[Converted data]]/1000</f>
        <v>#N/A</v>
      </c>
      <c r="AP147" s="174">
        <f>SupplyChain_Tier2_Frontend[[#This Row],[Ease of collection]]</f>
        <v>0</v>
      </c>
      <c r="AQ147" s="213">
        <f>SupplyChain_Tier2_Frontend[[#This Row],[Completeness]]</f>
        <v>0</v>
      </c>
      <c r="AR147" s="213">
        <f>SupplyChain_Tier2_Frontend[[#This Row],[Notes]]</f>
        <v>0</v>
      </c>
    </row>
    <row r="148" spans="4:44" ht="14.5" x14ac:dyDescent="0.35">
      <c r="D148" s="147">
        <v>20</v>
      </c>
      <c r="E148" s="236" t="str">
        <f t="shared" si="9"/>
        <v/>
      </c>
      <c r="F148" s="336"/>
      <c r="G148" s="334"/>
      <c r="H148" s="334"/>
      <c r="I148" s="334"/>
      <c r="J148" s="336"/>
      <c r="K148" s="336"/>
      <c r="L148" s="337"/>
      <c r="M148" s="242">
        <f t="shared" si="8"/>
        <v>4</v>
      </c>
      <c r="Q148" s="211" t="str">
        <f t="shared" si="7"/>
        <v/>
      </c>
      <c r="R148" s="174" t="s">
        <v>267</v>
      </c>
      <c r="S148" s="174" t="s">
        <v>385</v>
      </c>
      <c r="T148" s="235" t="s">
        <v>385</v>
      </c>
      <c r="U148" s="173" t="str">
        <f>SupplyChain_Tier2_Frontend[[#This Row],[Category]]</f>
        <v/>
      </c>
      <c r="V148" s="173">
        <f>SupplyChain_Tier2_Frontend[[#This Row],[Product Category]]</f>
        <v>0</v>
      </c>
      <c r="W148" s="174" t="s">
        <v>339</v>
      </c>
      <c r="X148" s="174">
        <f>SupplyChain_Tier2_Frontend[[#This Row],[Data type]]</f>
        <v>0</v>
      </c>
      <c r="Y148" s="174" t="s">
        <v>339</v>
      </c>
      <c r="Z148" s="174" t="s">
        <v>199</v>
      </c>
      <c r="AA148" s="229" t="e" cm="1">
        <f t="array" ref="AA148">INDEX(_xlfn.SWITCH(SupplyChain_Tier2_Backend[[#This Row],[Methodology]],"Tier 1",rng_RSD1,"Tier 2",rng_RSD2,"Tier 3",rng_RSD3),MATCH(_xlfn.CONCAT(SupplyChain_Tier2_Backend[[#This Row],[Level 1]:[Level 6]]),rng_LevelsConcat,0))</f>
        <v>#N/A</v>
      </c>
      <c r="AB148" s="220">
        <f>SupplyChain_Tier2_Frontend[[#This Row],[Spend (£)]]</f>
        <v>0</v>
      </c>
      <c r="AC148" s="220" t="s">
        <v>383</v>
      </c>
      <c r="AD148" s="220">
        <f>SupplyChain_Tier2_Frontend[[#This Row],[Spend (£)]]</f>
        <v>0</v>
      </c>
      <c r="AE148" s="174" t="s">
        <v>383</v>
      </c>
      <c r="AF148" s="210" t="e">
        <f>_xlfn.XLOOKUP(_xlfn.CONCAT(SupplyChain_Tier2_Backend[[#This Row],[Level 1]:[Level 6]]),rng_EFConcat,rng_EF1)*SupplyChain_Tier2_Backend[[#This Row],[Converted data]]/1000</f>
        <v>#N/A</v>
      </c>
      <c r="AG148" s="210" t="e">
        <f>_xlfn.XLOOKUP(_xlfn.CONCAT(SupplyChain_Tier2_Backend[[#This Row],[Level 1]:[Level 6]]),rng_EFConcat,rng_EF2)*SupplyChain_Tier2_Backend[[#This Row],[Converted data]]/1000</f>
        <v>#N/A</v>
      </c>
      <c r="AH148" s="210">
        <f>SupplyChain_Tier2_Frontend[[#This Row],[Emissions (kgCO2e)]]/1000</f>
        <v>0</v>
      </c>
      <c r="AI148" s="210" t="e">
        <f>_xlfn.XLOOKUP(_xlfn.CONCAT(SupplyChain_Tier2_Backend[[#This Row],[Level 1]:[Level 6]]),rng_EFConcat,rng_EF3WTT)*SupplyChain_Tier2_Backend[[#This Row],[Converted data]]/1000</f>
        <v>#N/A</v>
      </c>
      <c r="AJ148" s="210" t="e">
        <f>_xlfn.XLOOKUP(_xlfn.CONCAT(SupplyChain_Tier2_Backend[[#This Row],[Level 1]:[Level 6]]),rng_EFConcat,rng_EF3TD)*SupplyChain_Tier2_Backend[[#This Row],[Converted data]]/1000</f>
        <v>#N/A</v>
      </c>
      <c r="AK148" s="210" t="e">
        <f>_xlfn.XLOOKUP(_xlfn.CONCAT(SupplyChain_Tier2_Backend[[#This Row],[Level 1]:[Level 6]]),rng_EFConcat,rng_EF3WTTTD)*SupplyChain_Tier2_Backend[[#This Row],[Converted data]]/1000</f>
        <v>#N/A</v>
      </c>
      <c r="AL148" s="220" t="e">
        <f>SUM(SupplyChain_Tier2_Backend[[#This Row],[Scope 1 (tCO2e)]:[Scope 3 WTT T&amp;D (tCO2e)]])</f>
        <v>#N/A</v>
      </c>
      <c r="AM148" s="220" t="e">
        <f>SupplyChain_Tier2_Backend[[#This Row],[Total (tCO2e)]]*(1-SupplyChain_Tier2_Backend[[#This Row],[RSD]])</f>
        <v>#N/A</v>
      </c>
      <c r="AN148" s="220" t="e">
        <f>SupplyChain_Tier2_Backend[[#This Row],[Total (tCO2e)]]*(1+SupplyChain_Tier2_Backend[[#This Row],[RSD]])</f>
        <v>#N/A</v>
      </c>
      <c r="AO148" s="210" t="e">
        <f>_xlfn.XLOOKUP(_xlfn.CONCAT(SupplyChain_Tier2_Backend[[#This Row],[Level 1]:[Level 6]]),rng_EFConcat,rng_EFOOS)*SupplyChain_Tier2_Backend[[#This Row],[Converted data]]/1000</f>
        <v>#N/A</v>
      </c>
      <c r="AP148" s="174">
        <f>SupplyChain_Tier2_Frontend[[#This Row],[Ease of collection]]</f>
        <v>0</v>
      </c>
      <c r="AQ148" s="213">
        <f>SupplyChain_Tier2_Frontend[[#This Row],[Completeness]]</f>
        <v>0</v>
      </c>
      <c r="AR148" s="213">
        <f>SupplyChain_Tier2_Frontend[[#This Row],[Notes]]</f>
        <v>0</v>
      </c>
    </row>
    <row r="149" spans="4:44" ht="14.5" x14ac:dyDescent="0.35">
      <c r="D149" s="147">
        <v>21</v>
      </c>
      <c r="E149" s="236" t="str">
        <f t="shared" si="9"/>
        <v/>
      </c>
      <c r="F149" s="338"/>
      <c r="G149" s="335"/>
      <c r="H149" s="335"/>
      <c r="I149" s="335"/>
      <c r="J149" s="336"/>
      <c r="K149" s="336"/>
      <c r="L149" s="339"/>
      <c r="M149" s="242">
        <f t="shared" si="8"/>
        <v>4</v>
      </c>
      <c r="Q149" s="223" t="str">
        <f t="shared" si="7"/>
        <v/>
      </c>
      <c r="R149" s="174" t="s">
        <v>267</v>
      </c>
      <c r="S149" s="174" t="s">
        <v>385</v>
      </c>
      <c r="T149" s="235" t="s">
        <v>385</v>
      </c>
      <c r="U149" s="215" t="str">
        <f>SupplyChain_Tier2_Frontend[[#This Row],[Category]]</f>
        <v/>
      </c>
      <c r="V149" s="215">
        <f>SupplyChain_Tier2_Frontend[[#This Row],[Product Category]]</f>
        <v>0</v>
      </c>
      <c r="W149" s="174" t="s">
        <v>339</v>
      </c>
      <c r="X149" s="174">
        <f>SupplyChain_Tier2_Frontend[[#This Row],[Data type]]</f>
        <v>0</v>
      </c>
      <c r="Y149" s="174" t="s">
        <v>339</v>
      </c>
      <c r="Z149" s="174" t="s">
        <v>199</v>
      </c>
      <c r="AA149" s="229" t="e" cm="1">
        <f t="array" ref="AA149">INDEX(_xlfn.SWITCH(SupplyChain_Tier2_Backend[[#This Row],[Methodology]],"Tier 1",rng_RSD1,"Tier 2",rng_RSD2,"Tier 3",rng_RSD3),MATCH(_xlfn.CONCAT(SupplyChain_Tier2_Backend[[#This Row],[Level 1]:[Level 6]]),rng_LevelsConcat,0))</f>
        <v>#N/A</v>
      </c>
      <c r="AB149" s="221">
        <f>SupplyChain_Tier2_Frontend[[#This Row],[Spend (£)]]</f>
        <v>0</v>
      </c>
      <c r="AC149" s="220" t="s">
        <v>383</v>
      </c>
      <c r="AD149" s="221">
        <f>SupplyChain_Tier2_Frontend[[#This Row],[Spend (£)]]</f>
        <v>0</v>
      </c>
      <c r="AE149" s="174" t="s">
        <v>383</v>
      </c>
      <c r="AF149" s="210" t="e">
        <f>_xlfn.XLOOKUP(_xlfn.CONCAT(SupplyChain_Tier2_Backend[[#This Row],[Level 1]:[Level 6]]),rng_EFConcat,rng_EF1)*SupplyChain_Tier2_Backend[[#This Row],[Converted data]]/1000</f>
        <v>#N/A</v>
      </c>
      <c r="AG149" s="210" t="e">
        <f>_xlfn.XLOOKUP(_xlfn.CONCAT(SupplyChain_Tier2_Backend[[#This Row],[Level 1]:[Level 6]]),rng_EFConcat,rng_EF2)*SupplyChain_Tier2_Backend[[#This Row],[Converted data]]/1000</f>
        <v>#N/A</v>
      </c>
      <c r="AH149" s="210">
        <f>SupplyChain_Tier2_Frontend[[#This Row],[Emissions (kgCO2e)]]/1000</f>
        <v>0</v>
      </c>
      <c r="AI149" s="210" t="e">
        <f>_xlfn.XLOOKUP(_xlfn.CONCAT(SupplyChain_Tier2_Backend[[#This Row],[Level 1]:[Level 6]]),rng_EFConcat,rng_EF3WTT)*SupplyChain_Tier2_Backend[[#This Row],[Converted data]]/1000</f>
        <v>#N/A</v>
      </c>
      <c r="AJ149" s="210" t="e">
        <f>_xlfn.XLOOKUP(_xlfn.CONCAT(SupplyChain_Tier2_Backend[[#This Row],[Level 1]:[Level 6]]),rng_EFConcat,rng_EF3TD)*SupplyChain_Tier2_Backend[[#This Row],[Converted data]]/1000</f>
        <v>#N/A</v>
      </c>
      <c r="AK149" s="210" t="e">
        <f>_xlfn.XLOOKUP(_xlfn.CONCAT(SupplyChain_Tier2_Backend[[#This Row],[Level 1]:[Level 6]]),rng_EFConcat,rng_EF3WTTTD)*SupplyChain_Tier2_Backend[[#This Row],[Converted data]]/1000</f>
        <v>#N/A</v>
      </c>
      <c r="AL149" s="220" t="e">
        <f>SUM(SupplyChain_Tier2_Backend[[#This Row],[Scope 1 (tCO2e)]:[Scope 3 WTT T&amp;D (tCO2e)]])</f>
        <v>#N/A</v>
      </c>
      <c r="AM149" s="220" t="e">
        <f>SupplyChain_Tier2_Backend[[#This Row],[Total (tCO2e)]]*(1-SupplyChain_Tier2_Backend[[#This Row],[RSD]])</f>
        <v>#N/A</v>
      </c>
      <c r="AN149" s="220" t="e">
        <f>SupplyChain_Tier2_Backend[[#This Row],[Total (tCO2e)]]*(1+SupplyChain_Tier2_Backend[[#This Row],[RSD]])</f>
        <v>#N/A</v>
      </c>
      <c r="AO149" s="210" t="e">
        <f>_xlfn.XLOOKUP(_xlfn.CONCAT(SupplyChain_Tier2_Backend[[#This Row],[Level 1]:[Level 6]]),rng_EFConcat,rng_EFOOS)*SupplyChain_Tier2_Backend[[#This Row],[Converted data]]/1000</f>
        <v>#N/A</v>
      </c>
      <c r="AP149" s="216">
        <f>SupplyChain_Tier2_Frontend[[#This Row],[Ease of collection]]</f>
        <v>0</v>
      </c>
      <c r="AQ149" s="228">
        <f>SupplyChain_Tier2_Frontend[[#This Row],[Completeness]]</f>
        <v>0</v>
      </c>
      <c r="AR149" s="228">
        <f>SupplyChain_Tier2_Frontend[[#This Row],[Notes]]</f>
        <v>0</v>
      </c>
    </row>
    <row r="150" spans="4:44" ht="14.5" x14ac:dyDescent="0.35">
      <c r="D150" s="147">
        <v>22</v>
      </c>
      <c r="E150" s="236" t="str">
        <f t="shared" si="9"/>
        <v/>
      </c>
      <c r="F150" s="336"/>
      <c r="G150" s="334"/>
      <c r="H150" s="334"/>
      <c r="I150" s="334"/>
      <c r="J150" s="336"/>
      <c r="K150" s="336"/>
      <c r="L150" s="337"/>
      <c r="M150" s="242">
        <f t="shared" si="8"/>
        <v>4</v>
      </c>
      <c r="Q150" s="211" t="str">
        <f t="shared" si="7"/>
        <v/>
      </c>
      <c r="R150" s="174" t="s">
        <v>267</v>
      </c>
      <c r="S150" s="174" t="s">
        <v>385</v>
      </c>
      <c r="T150" s="235" t="s">
        <v>385</v>
      </c>
      <c r="U150" s="173" t="str">
        <f>SupplyChain_Tier2_Frontend[[#This Row],[Category]]</f>
        <v/>
      </c>
      <c r="V150" s="173">
        <f>SupplyChain_Tier2_Frontend[[#This Row],[Product Category]]</f>
        <v>0</v>
      </c>
      <c r="W150" s="174" t="s">
        <v>339</v>
      </c>
      <c r="X150" s="174">
        <f>SupplyChain_Tier2_Frontend[[#This Row],[Data type]]</f>
        <v>0</v>
      </c>
      <c r="Y150" s="174" t="s">
        <v>339</v>
      </c>
      <c r="Z150" s="174" t="s">
        <v>199</v>
      </c>
      <c r="AA150" s="229" t="e" cm="1">
        <f t="array" ref="AA150">INDEX(_xlfn.SWITCH(SupplyChain_Tier2_Backend[[#This Row],[Methodology]],"Tier 1",rng_RSD1,"Tier 2",rng_RSD2,"Tier 3",rng_RSD3),MATCH(_xlfn.CONCAT(SupplyChain_Tier2_Backend[[#This Row],[Level 1]:[Level 6]]),rng_LevelsConcat,0))</f>
        <v>#N/A</v>
      </c>
      <c r="AB150" s="220">
        <f>SupplyChain_Tier2_Frontend[[#This Row],[Spend (£)]]</f>
        <v>0</v>
      </c>
      <c r="AC150" s="220" t="s">
        <v>383</v>
      </c>
      <c r="AD150" s="220">
        <f>SupplyChain_Tier2_Frontend[[#This Row],[Spend (£)]]</f>
        <v>0</v>
      </c>
      <c r="AE150" s="174" t="s">
        <v>383</v>
      </c>
      <c r="AF150" s="210" t="e">
        <f>_xlfn.XLOOKUP(_xlfn.CONCAT(SupplyChain_Tier2_Backend[[#This Row],[Level 1]:[Level 6]]),rng_EFConcat,rng_EF1)*SupplyChain_Tier2_Backend[[#This Row],[Converted data]]/1000</f>
        <v>#N/A</v>
      </c>
      <c r="AG150" s="210" t="e">
        <f>_xlfn.XLOOKUP(_xlfn.CONCAT(SupplyChain_Tier2_Backend[[#This Row],[Level 1]:[Level 6]]),rng_EFConcat,rng_EF2)*SupplyChain_Tier2_Backend[[#This Row],[Converted data]]/1000</f>
        <v>#N/A</v>
      </c>
      <c r="AH150" s="210">
        <f>SupplyChain_Tier2_Frontend[[#This Row],[Emissions (kgCO2e)]]/1000</f>
        <v>0</v>
      </c>
      <c r="AI150" s="210" t="e">
        <f>_xlfn.XLOOKUP(_xlfn.CONCAT(SupplyChain_Tier2_Backend[[#This Row],[Level 1]:[Level 6]]),rng_EFConcat,rng_EF3WTT)*SupplyChain_Tier2_Backend[[#This Row],[Converted data]]/1000</f>
        <v>#N/A</v>
      </c>
      <c r="AJ150" s="210" t="e">
        <f>_xlfn.XLOOKUP(_xlfn.CONCAT(SupplyChain_Tier2_Backend[[#This Row],[Level 1]:[Level 6]]),rng_EFConcat,rng_EF3TD)*SupplyChain_Tier2_Backend[[#This Row],[Converted data]]/1000</f>
        <v>#N/A</v>
      </c>
      <c r="AK150" s="210" t="e">
        <f>_xlfn.XLOOKUP(_xlfn.CONCAT(SupplyChain_Tier2_Backend[[#This Row],[Level 1]:[Level 6]]),rng_EFConcat,rng_EF3WTTTD)*SupplyChain_Tier2_Backend[[#This Row],[Converted data]]/1000</f>
        <v>#N/A</v>
      </c>
      <c r="AL150" s="220" t="e">
        <f>SUM(SupplyChain_Tier2_Backend[[#This Row],[Scope 1 (tCO2e)]:[Scope 3 WTT T&amp;D (tCO2e)]])</f>
        <v>#N/A</v>
      </c>
      <c r="AM150" s="220" t="e">
        <f>SupplyChain_Tier2_Backend[[#This Row],[Total (tCO2e)]]*(1-SupplyChain_Tier2_Backend[[#This Row],[RSD]])</f>
        <v>#N/A</v>
      </c>
      <c r="AN150" s="220" t="e">
        <f>SupplyChain_Tier2_Backend[[#This Row],[Total (tCO2e)]]*(1+SupplyChain_Tier2_Backend[[#This Row],[RSD]])</f>
        <v>#N/A</v>
      </c>
      <c r="AO150" s="210" t="e">
        <f>_xlfn.XLOOKUP(_xlfn.CONCAT(SupplyChain_Tier2_Backend[[#This Row],[Level 1]:[Level 6]]),rng_EFConcat,rng_EFOOS)*SupplyChain_Tier2_Backend[[#This Row],[Converted data]]/1000</f>
        <v>#N/A</v>
      </c>
      <c r="AP150" s="174">
        <f>SupplyChain_Tier2_Frontend[[#This Row],[Ease of collection]]</f>
        <v>0</v>
      </c>
      <c r="AQ150" s="213">
        <f>SupplyChain_Tier2_Frontend[[#This Row],[Completeness]]</f>
        <v>0</v>
      </c>
      <c r="AR150" s="213">
        <f>SupplyChain_Tier2_Frontend[[#This Row],[Notes]]</f>
        <v>0</v>
      </c>
    </row>
    <row r="151" spans="4:44" ht="14.5" x14ac:dyDescent="0.35">
      <c r="D151" s="147">
        <v>23</v>
      </c>
      <c r="E151" s="236" t="str">
        <f t="shared" si="9"/>
        <v/>
      </c>
      <c r="F151" s="336"/>
      <c r="G151" s="334"/>
      <c r="H151" s="334"/>
      <c r="I151" s="334"/>
      <c r="J151" s="336"/>
      <c r="K151" s="336"/>
      <c r="L151" s="337"/>
      <c r="M151" s="242">
        <f t="shared" si="8"/>
        <v>4</v>
      </c>
      <c r="Q151" s="211" t="str">
        <f t="shared" si="7"/>
        <v/>
      </c>
      <c r="R151" s="174" t="s">
        <v>267</v>
      </c>
      <c r="S151" s="174" t="s">
        <v>385</v>
      </c>
      <c r="T151" s="235" t="s">
        <v>385</v>
      </c>
      <c r="U151" s="173" t="str">
        <f>SupplyChain_Tier2_Frontend[[#This Row],[Category]]</f>
        <v/>
      </c>
      <c r="V151" s="173">
        <f>SupplyChain_Tier2_Frontend[[#This Row],[Product Category]]</f>
        <v>0</v>
      </c>
      <c r="W151" s="174" t="s">
        <v>339</v>
      </c>
      <c r="X151" s="174">
        <f>SupplyChain_Tier2_Frontend[[#This Row],[Data type]]</f>
        <v>0</v>
      </c>
      <c r="Y151" s="174" t="s">
        <v>339</v>
      </c>
      <c r="Z151" s="174" t="s">
        <v>199</v>
      </c>
      <c r="AA151" s="229" t="e" cm="1">
        <f t="array" ref="AA151">INDEX(_xlfn.SWITCH(SupplyChain_Tier2_Backend[[#This Row],[Methodology]],"Tier 1",rng_RSD1,"Tier 2",rng_RSD2,"Tier 3",rng_RSD3),MATCH(_xlfn.CONCAT(SupplyChain_Tier2_Backend[[#This Row],[Level 1]:[Level 6]]),rng_LevelsConcat,0))</f>
        <v>#N/A</v>
      </c>
      <c r="AB151" s="220">
        <f>SupplyChain_Tier2_Frontend[[#This Row],[Spend (£)]]</f>
        <v>0</v>
      </c>
      <c r="AC151" s="220" t="s">
        <v>383</v>
      </c>
      <c r="AD151" s="220">
        <f>SupplyChain_Tier2_Frontend[[#This Row],[Spend (£)]]</f>
        <v>0</v>
      </c>
      <c r="AE151" s="174" t="s">
        <v>383</v>
      </c>
      <c r="AF151" s="210" t="e">
        <f>_xlfn.XLOOKUP(_xlfn.CONCAT(SupplyChain_Tier2_Backend[[#This Row],[Level 1]:[Level 6]]),rng_EFConcat,rng_EF1)*SupplyChain_Tier2_Backend[[#This Row],[Converted data]]/1000</f>
        <v>#N/A</v>
      </c>
      <c r="AG151" s="210" t="e">
        <f>_xlfn.XLOOKUP(_xlfn.CONCAT(SupplyChain_Tier2_Backend[[#This Row],[Level 1]:[Level 6]]),rng_EFConcat,rng_EF2)*SupplyChain_Tier2_Backend[[#This Row],[Converted data]]/1000</f>
        <v>#N/A</v>
      </c>
      <c r="AH151" s="210">
        <f>SupplyChain_Tier2_Frontend[[#This Row],[Emissions (kgCO2e)]]/1000</f>
        <v>0</v>
      </c>
      <c r="AI151" s="210" t="e">
        <f>_xlfn.XLOOKUP(_xlfn.CONCAT(SupplyChain_Tier2_Backend[[#This Row],[Level 1]:[Level 6]]),rng_EFConcat,rng_EF3WTT)*SupplyChain_Tier2_Backend[[#This Row],[Converted data]]/1000</f>
        <v>#N/A</v>
      </c>
      <c r="AJ151" s="210" t="e">
        <f>_xlfn.XLOOKUP(_xlfn.CONCAT(SupplyChain_Tier2_Backend[[#This Row],[Level 1]:[Level 6]]),rng_EFConcat,rng_EF3TD)*SupplyChain_Tier2_Backend[[#This Row],[Converted data]]/1000</f>
        <v>#N/A</v>
      </c>
      <c r="AK151" s="210" t="e">
        <f>_xlfn.XLOOKUP(_xlfn.CONCAT(SupplyChain_Tier2_Backend[[#This Row],[Level 1]:[Level 6]]),rng_EFConcat,rng_EF3WTTTD)*SupplyChain_Tier2_Backend[[#This Row],[Converted data]]/1000</f>
        <v>#N/A</v>
      </c>
      <c r="AL151" s="220" t="e">
        <f>SUM(SupplyChain_Tier2_Backend[[#This Row],[Scope 1 (tCO2e)]:[Scope 3 WTT T&amp;D (tCO2e)]])</f>
        <v>#N/A</v>
      </c>
      <c r="AM151" s="220" t="e">
        <f>SupplyChain_Tier2_Backend[[#This Row],[Total (tCO2e)]]*(1-SupplyChain_Tier2_Backend[[#This Row],[RSD]])</f>
        <v>#N/A</v>
      </c>
      <c r="AN151" s="220" t="e">
        <f>SupplyChain_Tier2_Backend[[#This Row],[Total (tCO2e)]]*(1+SupplyChain_Tier2_Backend[[#This Row],[RSD]])</f>
        <v>#N/A</v>
      </c>
      <c r="AO151" s="210" t="e">
        <f>_xlfn.XLOOKUP(_xlfn.CONCAT(SupplyChain_Tier2_Backend[[#This Row],[Level 1]:[Level 6]]),rng_EFConcat,rng_EFOOS)*SupplyChain_Tier2_Backend[[#This Row],[Converted data]]/1000</f>
        <v>#N/A</v>
      </c>
      <c r="AP151" s="174">
        <f>SupplyChain_Tier2_Frontend[[#This Row],[Ease of collection]]</f>
        <v>0</v>
      </c>
      <c r="AQ151" s="213">
        <f>SupplyChain_Tier2_Frontend[[#This Row],[Completeness]]</f>
        <v>0</v>
      </c>
      <c r="AR151" s="213">
        <f>SupplyChain_Tier2_Frontend[[#This Row],[Notes]]</f>
        <v>0</v>
      </c>
    </row>
    <row r="152" spans="4:44" ht="14.5" x14ac:dyDescent="0.35">
      <c r="D152" s="147">
        <v>24</v>
      </c>
      <c r="E152" s="236" t="str">
        <f t="shared" si="9"/>
        <v/>
      </c>
      <c r="F152" s="336"/>
      <c r="G152" s="334"/>
      <c r="H152" s="334"/>
      <c r="I152" s="334"/>
      <c r="J152" s="336"/>
      <c r="K152" s="336"/>
      <c r="L152" s="337"/>
      <c r="M152" s="242">
        <f t="shared" si="8"/>
        <v>4</v>
      </c>
      <c r="Q152" s="211" t="str">
        <f t="shared" si="7"/>
        <v/>
      </c>
      <c r="R152" s="174" t="s">
        <v>267</v>
      </c>
      <c r="S152" s="174" t="s">
        <v>385</v>
      </c>
      <c r="T152" s="235" t="s">
        <v>385</v>
      </c>
      <c r="U152" s="173" t="str">
        <f>SupplyChain_Tier2_Frontend[[#This Row],[Category]]</f>
        <v/>
      </c>
      <c r="V152" s="173">
        <f>SupplyChain_Tier2_Frontend[[#This Row],[Product Category]]</f>
        <v>0</v>
      </c>
      <c r="W152" s="174" t="s">
        <v>339</v>
      </c>
      <c r="X152" s="174">
        <f>SupplyChain_Tier2_Frontend[[#This Row],[Data type]]</f>
        <v>0</v>
      </c>
      <c r="Y152" s="174" t="s">
        <v>339</v>
      </c>
      <c r="Z152" s="174" t="s">
        <v>199</v>
      </c>
      <c r="AA152" s="229" t="e" cm="1">
        <f t="array" ref="AA152">INDEX(_xlfn.SWITCH(SupplyChain_Tier2_Backend[[#This Row],[Methodology]],"Tier 1",rng_RSD1,"Tier 2",rng_RSD2,"Tier 3",rng_RSD3),MATCH(_xlfn.CONCAT(SupplyChain_Tier2_Backend[[#This Row],[Level 1]:[Level 6]]),rng_LevelsConcat,0))</f>
        <v>#N/A</v>
      </c>
      <c r="AB152" s="220">
        <f>SupplyChain_Tier2_Frontend[[#This Row],[Spend (£)]]</f>
        <v>0</v>
      </c>
      <c r="AC152" s="220" t="s">
        <v>383</v>
      </c>
      <c r="AD152" s="220">
        <f>SupplyChain_Tier2_Frontend[[#This Row],[Spend (£)]]</f>
        <v>0</v>
      </c>
      <c r="AE152" s="174" t="s">
        <v>383</v>
      </c>
      <c r="AF152" s="210" t="e">
        <f>_xlfn.XLOOKUP(_xlfn.CONCAT(SupplyChain_Tier2_Backend[[#This Row],[Level 1]:[Level 6]]),rng_EFConcat,rng_EF1)*SupplyChain_Tier2_Backend[[#This Row],[Converted data]]/1000</f>
        <v>#N/A</v>
      </c>
      <c r="AG152" s="210" t="e">
        <f>_xlfn.XLOOKUP(_xlfn.CONCAT(SupplyChain_Tier2_Backend[[#This Row],[Level 1]:[Level 6]]),rng_EFConcat,rng_EF2)*SupplyChain_Tier2_Backend[[#This Row],[Converted data]]/1000</f>
        <v>#N/A</v>
      </c>
      <c r="AH152" s="210">
        <f>SupplyChain_Tier2_Frontend[[#This Row],[Emissions (kgCO2e)]]/1000</f>
        <v>0</v>
      </c>
      <c r="AI152" s="210" t="e">
        <f>_xlfn.XLOOKUP(_xlfn.CONCAT(SupplyChain_Tier2_Backend[[#This Row],[Level 1]:[Level 6]]),rng_EFConcat,rng_EF3WTT)*SupplyChain_Tier2_Backend[[#This Row],[Converted data]]/1000</f>
        <v>#N/A</v>
      </c>
      <c r="AJ152" s="210" t="e">
        <f>_xlfn.XLOOKUP(_xlfn.CONCAT(SupplyChain_Tier2_Backend[[#This Row],[Level 1]:[Level 6]]),rng_EFConcat,rng_EF3TD)*SupplyChain_Tier2_Backend[[#This Row],[Converted data]]/1000</f>
        <v>#N/A</v>
      </c>
      <c r="AK152" s="210" t="e">
        <f>_xlfn.XLOOKUP(_xlfn.CONCAT(SupplyChain_Tier2_Backend[[#This Row],[Level 1]:[Level 6]]),rng_EFConcat,rng_EF3WTTTD)*SupplyChain_Tier2_Backend[[#This Row],[Converted data]]/1000</f>
        <v>#N/A</v>
      </c>
      <c r="AL152" s="220" t="e">
        <f>SUM(SupplyChain_Tier2_Backend[[#This Row],[Scope 1 (tCO2e)]:[Scope 3 WTT T&amp;D (tCO2e)]])</f>
        <v>#N/A</v>
      </c>
      <c r="AM152" s="220" t="e">
        <f>SupplyChain_Tier2_Backend[[#This Row],[Total (tCO2e)]]*(1-SupplyChain_Tier2_Backend[[#This Row],[RSD]])</f>
        <v>#N/A</v>
      </c>
      <c r="AN152" s="220" t="e">
        <f>SupplyChain_Tier2_Backend[[#This Row],[Total (tCO2e)]]*(1+SupplyChain_Tier2_Backend[[#This Row],[RSD]])</f>
        <v>#N/A</v>
      </c>
      <c r="AO152" s="210" t="e">
        <f>_xlfn.XLOOKUP(_xlfn.CONCAT(SupplyChain_Tier2_Backend[[#This Row],[Level 1]:[Level 6]]),rng_EFConcat,rng_EFOOS)*SupplyChain_Tier2_Backend[[#This Row],[Converted data]]/1000</f>
        <v>#N/A</v>
      </c>
      <c r="AP152" s="174">
        <f>SupplyChain_Tier2_Frontend[[#This Row],[Ease of collection]]</f>
        <v>0</v>
      </c>
      <c r="AQ152" s="213">
        <f>SupplyChain_Tier2_Frontend[[#This Row],[Completeness]]</f>
        <v>0</v>
      </c>
      <c r="AR152" s="213">
        <f>SupplyChain_Tier2_Frontend[[#This Row],[Notes]]</f>
        <v>0</v>
      </c>
    </row>
    <row r="153" spans="4:44" ht="14.5" x14ac:dyDescent="0.35">
      <c r="D153" s="147">
        <v>25</v>
      </c>
      <c r="E153" s="236" t="str">
        <f t="shared" si="9"/>
        <v/>
      </c>
      <c r="F153" s="336"/>
      <c r="G153" s="334"/>
      <c r="H153" s="334"/>
      <c r="I153" s="334"/>
      <c r="J153" s="336"/>
      <c r="K153" s="336"/>
      <c r="L153" s="337"/>
      <c r="M153" s="242">
        <f t="shared" si="8"/>
        <v>4</v>
      </c>
      <c r="Q153" s="211" t="str">
        <f t="shared" si="7"/>
        <v/>
      </c>
      <c r="R153" s="174" t="s">
        <v>267</v>
      </c>
      <c r="S153" s="174" t="s">
        <v>385</v>
      </c>
      <c r="T153" s="235" t="s">
        <v>385</v>
      </c>
      <c r="U153" s="173" t="str">
        <f>SupplyChain_Tier2_Frontend[[#This Row],[Category]]</f>
        <v/>
      </c>
      <c r="V153" s="173">
        <f>SupplyChain_Tier2_Frontend[[#This Row],[Product Category]]</f>
        <v>0</v>
      </c>
      <c r="W153" s="174" t="s">
        <v>339</v>
      </c>
      <c r="X153" s="174">
        <f>SupplyChain_Tier2_Frontend[[#This Row],[Data type]]</f>
        <v>0</v>
      </c>
      <c r="Y153" s="174" t="s">
        <v>339</v>
      </c>
      <c r="Z153" s="174" t="s">
        <v>199</v>
      </c>
      <c r="AA153" s="229" t="e" cm="1">
        <f t="array" ref="AA153">INDEX(_xlfn.SWITCH(SupplyChain_Tier2_Backend[[#This Row],[Methodology]],"Tier 1",rng_RSD1,"Tier 2",rng_RSD2,"Tier 3",rng_RSD3),MATCH(_xlfn.CONCAT(SupplyChain_Tier2_Backend[[#This Row],[Level 1]:[Level 6]]),rng_LevelsConcat,0))</f>
        <v>#N/A</v>
      </c>
      <c r="AB153" s="220">
        <f>SupplyChain_Tier2_Frontend[[#This Row],[Spend (£)]]</f>
        <v>0</v>
      </c>
      <c r="AC153" s="220" t="s">
        <v>383</v>
      </c>
      <c r="AD153" s="220">
        <f>SupplyChain_Tier2_Frontend[[#This Row],[Spend (£)]]</f>
        <v>0</v>
      </c>
      <c r="AE153" s="174" t="s">
        <v>383</v>
      </c>
      <c r="AF153" s="210" t="e">
        <f>_xlfn.XLOOKUP(_xlfn.CONCAT(SupplyChain_Tier2_Backend[[#This Row],[Level 1]:[Level 6]]),rng_EFConcat,rng_EF1)*SupplyChain_Tier2_Backend[[#This Row],[Converted data]]/1000</f>
        <v>#N/A</v>
      </c>
      <c r="AG153" s="210" t="e">
        <f>_xlfn.XLOOKUP(_xlfn.CONCAT(SupplyChain_Tier2_Backend[[#This Row],[Level 1]:[Level 6]]),rng_EFConcat,rng_EF2)*SupplyChain_Tier2_Backend[[#This Row],[Converted data]]/1000</f>
        <v>#N/A</v>
      </c>
      <c r="AH153" s="210">
        <f>SupplyChain_Tier2_Frontend[[#This Row],[Emissions (kgCO2e)]]/1000</f>
        <v>0</v>
      </c>
      <c r="AI153" s="210" t="e">
        <f>_xlfn.XLOOKUP(_xlfn.CONCAT(SupplyChain_Tier2_Backend[[#This Row],[Level 1]:[Level 6]]),rng_EFConcat,rng_EF3WTT)*SupplyChain_Tier2_Backend[[#This Row],[Converted data]]/1000</f>
        <v>#N/A</v>
      </c>
      <c r="AJ153" s="210" t="e">
        <f>_xlfn.XLOOKUP(_xlfn.CONCAT(SupplyChain_Tier2_Backend[[#This Row],[Level 1]:[Level 6]]),rng_EFConcat,rng_EF3TD)*SupplyChain_Tier2_Backend[[#This Row],[Converted data]]/1000</f>
        <v>#N/A</v>
      </c>
      <c r="AK153" s="210" t="e">
        <f>_xlfn.XLOOKUP(_xlfn.CONCAT(SupplyChain_Tier2_Backend[[#This Row],[Level 1]:[Level 6]]),rng_EFConcat,rng_EF3WTTTD)*SupplyChain_Tier2_Backend[[#This Row],[Converted data]]/1000</f>
        <v>#N/A</v>
      </c>
      <c r="AL153" s="220" t="e">
        <f>SUM(SupplyChain_Tier2_Backend[[#This Row],[Scope 1 (tCO2e)]:[Scope 3 WTT T&amp;D (tCO2e)]])</f>
        <v>#N/A</v>
      </c>
      <c r="AM153" s="220" t="e">
        <f>SupplyChain_Tier2_Backend[[#This Row],[Total (tCO2e)]]*(1-SupplyChain_Tier2_Backend[[#This Row],[RSD]])</f>
        <v>#N/A</v>
      </c>
      <c r="AN153" s="220" t="e">
        <f>SupplyChain_Tier2_Backend[[#This Row],[Total (tCO2e)]]*(1+SupplyChain_Tier2_Backend[[#This Row],[RSD]])</f>
        <v>#N/A</v>
      </c>
      <c r="AO153" s="210" t="e">
        <f>_xlfn.XLOOKUP(_xlfn.CONCAT(SupplyChain_Tier2_Backend[[#This Row],[Level 1]:[Level 6]]),rng_EFConcat,rng_EFOOS)*SupplyChain_Tier2_Backend[[#This Row],[Converted data]]/1000</f>
        <v>#N/A</v>
      </c>
      <c r="AP153" s="174">
        <f>SupplyChain_Tier2_Frontend[[#This Row],[Ease of collection]]</f>
        <v>0</v>
      </c>
      <c r="AQ153" s="213">
        <f>SupplyChain_Tier2_Frontend[[#This Row],[Completeness]]</f>
        <v>0</v>
      </c>
      <c r="AR153" s="213">
        <f>SupplyChain_Tier2_Frontend[[#This Row],[Notes]]</f>
        <v>0</v>
      </c>
    </row>
    <row r="154" spans="4:44" ht="14.5" x14ac:dyDescent="0.35">
      <c r="D154" s="147">
        <v>26</v>
      </c>
      <c r="E154" s="236" t="str">
        <f t="shared" si="9"/>
        <v/>
      </c>
      <c r="F154" s="336"/>
      <c r="G154" s="334"/>
      <c r="H154" s="334"/>
      <c r="I154" s="334"/>
      <c r="J154" s="336"/>
      <c r="K154" s="336"/>
      <c r="L154" s="337"/>
      <c r="M154" s="242">
        <f t="shared" si="8"/>
        <v>4</v>
      </c>
      <c r="Q154" s="211" t="str">
        <f t="shared" si="7"/>
        <v/>
      </c>
      <c r="R154" s="174" t="s">
        <v>267</v>
      </c>
      <c r="S154" s="174" t="s">
        <v>385</v>
      </c>
      <c r="T154" s="235" t="s">
        <v>385</v>
      </c>
      <c r="U154" s="173" t="str">
        <f>SupplyChain_Tier2_Frontend[[#This Row],[Category]]</f>
        <v/>
      </c>
      <c r="V154" s="173">
        <f>SupplyChain_Tier2_Frontend[[#This Row],[Product Category]]</f>
        <v>0</v>
      </c>
      <c r="W154" s="174" t="s">
        <v>339</v>
      </c>
      <c r="X154" s="174">
        <f>SupplyChain_Tier2_Frontend[[#This Row],[Data type]]</f>
        <v>0</v>
      </c>
      <c r="Y154" s="174" t="s">
        <v>339</v>
      </c>
      <c r="Z154" s="174" t="s">
        <v>199</v>
      </c>
      <c r="AA154" s="229" t="e" cm="1">
        <f t="array" ref="AA154">INDEX(_xlfn.SWITCH(SupplyChain_Tier2_Backend[[#This Row],[Methodology]],"Tier 1",rng_RSD1,"Tier 2",rng_RSD2,"Tier 3",rng_RSD3),MATCH(_xlfn.CONCAT(SupplyChain_Tier2_Backend[[#This Row],[Level 1]:[Level 6]]),rng_LevelsConcat,0))</f>
        <v>#N/A</v>
      </c>
      <c r="AB154" s="220">
        <f>SupplyChain_Tier2_Frontend[[#This Row],[Spend (£)]]</f>
        <v>0</v>
      </c>
      <c r="AC154" s="220" t="s">
        <v>383</v>
      </c>
      <c r="AD154" s="220">
        <f>SupplyChain_Tier2_Frontend[[#This Row],[Spend (£)]]</f>
        <v>0</v>
      </c>
      <c r="AE154" s="174" t="s">
        <v>383</v>
      </c>
      <c r="AF154" s="210" t="e">
        <f>_xlfn.XLOOKUP(_xlfn.CONCAT(SupplyChain_Tier2_Backend[[#This Row],[Level 1]:[Level 6]]),rng_EFConcat,rng_EF1)*SupplyChain_Tier2_Backend[[#This Row],[Converted data]]/1000</f>
        <v>#N/A</v>
      </c>
      <c r="AG154" s="210" t="e">
        <f>_xlfn.XLOOKUP(_xlfn.CONCAT(SupplyChain_Tier2_Backend[[#This Row],[Level 1]:[Level 6]]),rng_EFConcat,rng_EF2)*SupplyChain_Tier2_Backend[[#This Row],[Converted data]]/1000</f>
        <v>#N/A</v>
      </c>
      <c r="AH154" s="210">
        <f>SupplyChain_Tier2_Frontend[[#This Row],[Emissions (kgCO2e)]]/1000</f>
        <v>0</v>
      </c>
      <c r="AI154" s="210" t="e">
        <f>_xlfn.XLOOKUP(_xlfn.CONCAT(SupplyChain_Tier2_Backend[[#This Row],[Level 1]:[Level 6]]),rng_EFConcat,rng_EF3WTT)*SupplyChain_Tier2_Backend[[#This Row],[Converted data]]/1000</f>
        <v>#N/A</v>
      </c>
      <c r="AJ154" s="210" t="e">
        <f>_xlfn.XLOOKUP(_xlfn.CONCAT(SupplyChain_Tier2_Backend[[#This Row],[Level 1]:[Level 6]]),rng_EFConcat,rng_EF3TD)*SupplyChain_Tier2_Backend[[#This Row],[Converted data]]/1000</f>
        <v>#N/A</v>
      </c>
      <c r="AK154" s="210" t="e">
        <f>_xlfn.XLOOKUP(_xlfn.CONCAT(SupplyChain_Tier2_Backend[[#This Row],[Level 1]:[Level 6]]),rng_EFConcat,rng_EF3WTTTD)*SupplyChain_Tier2_Backend[[#This Row],[Converted data]]/1000</f>
        <v>#N/A</v>
      </c>
      <c r="AL154" s="220" t="e">
        <f>SUM(SupplyChain_Tier2_Backend[[#This Row],[Scope 1 (tCO2e)]:[Scope 3 WTT T&amp;D (tCO2e)]])</f>
        <v>#N/A</v>
      </c>
      <c r="AM154" s="220" t="e">
        <f>SupplyChain_Tier2_Backend[[#This Row],[Total (tCO2e)]]*(1-SupplyChain_Tier2_Backend[[#This Row],[RSD]])</f>
        <v>#N/A</v>
      </c>
      <c r="AN154" s="220" t="e">
        <f>SupplyChain_Tier2_Backend[[#This Row],[Total (tCO2e)]]*(1+SupplyChain_Tier2_Backend[[#This Row],[RSD]])</f>
        <v>#N/A</v>
      </c>
      <c r="AO154" s="210" t="e">
        <f>_xlfn.XLOOKUP(_xlfn.CONCAT(SupplyChain_Tier2_Backend[[#This Row],[Level 1]:[Level 6]]),rng_EFConcat,rng_EFOOS)*SupplyChain_Tier2_Backend[[#This Row],[Converted data]]/1000</f>
        <v>#N/A</v>
      </c>
      <c r="AP154" s="174">
        <f>SupplyChain_Tier2_Frontend[[#This Row],[Ease of collection]]</f>
        <v>0</v>
      </c>
      <c r="AQ154" s="213">
        <f>SupplyChain_Tier2_Frontend[[#This Row],[Completeness]]</f>
        <v>0</v>
      </c>
      <c r="AR154" s="213">
        <f>SupplyChain_Tier2_Frontend[[#This Row],[Notes]]</f>
        <v>0</v>
      </c>
    </row>
    <row r="155" spans="4:44" ht="14.5" x14ac:dyDescent="0.35">
      <c r="D155" s="147">
        <v>27</v>
      </c>
      <c r="E155" s="236" t="str">
        <f t="shared" si="9"/>
        <v/>
      </c>
      <c r="F155" s="336"/>
      <c r="G155" s="334"/>
      <c r="H155" s="334"/>
      <c r="I155" s="334"/>
      <c r="J155" s="336"/>
      <c r="K155" s="336"/>
      <c r="L155" s="337"/>
      <c r="M155" s="242">
        <f t="shared" si="8"/>
        <v>4</v>
      </c>
      <c r="Q155" s="211" t="str">
        <f t="shared" si="7"/>
        <v/>
      </c>
      <c r="R155" s="174" t="s">
        <v>267</v>
      </c>
      <c r="S155" s="174" t="s">
        <v>385</v>
      </c>
      <c r="T155" s="235" t="s">
        <v>385</v>
      </c>
      <c r="U155" s="173" t="str">
        <f>SupplyChain_Tier2_Frontend[[#This Row],[Category]]</f>
        <v/>
      </c>
      <c r="V155" s="173">
        <f>SupplyChain_Tier2_Frontend[[#This Row],[Product Category]]</f>
        <v>0</v>
      </c>
      <c r="W155" s="174" t="s">
        <v>339</v>
      </c>
      <c r="X155" s="174">
        <f>SupplyChain_Tier2_Frontend[[#This Row],[Data type]]</f>
        <v>0</v>
      </c>
      <c r="Y155" s="174" t="s">
        <v>339</v>
      </c>
      <c r="Z155" s="174" t="s">
        <v>199</v>
      </c>
      <c r="AA155" s="229" t="e" cm="1">
        <f t="array" ref="AA155">INDEX(_xlfn.SWITCH(SupplyChain_Tier2_Backend[[#This Row],[Methodology]],"Tier 1",rng_RSD1,"Tier 2",rng_RSD2,"Tier 3",rng_RSD3),MATCH(_xlfn.CONCAT(SupplyChain_Tier2_Backend[[#This Row],[Level 1]:[Level 6]]),rng_LevelsConcat,0))</f>
        <v>#N/A</v>
      </c>
      <c r="AB155" s="220">
        <f>SupplyChain_Tier2_Frontend[[#This Row],[Spend (£)]]</f>
        <v>0</v>
      </c>
      <c r="AC155" s="220" t="s">
        <v>383</v>
      </c>
      <c r="AD155" s="220">
        <f>SupplyChain_Tier2_Frontend[[#This Row],[Spend (£)]]</f>
        <v>0</v>
      </c>
      <c r="AE155" s="174" t="s">
        <v>383</v>
      </c>
      <c r="AF155" s="210" t="e">
        <f>_xlfn.XLOOKUP(_xlfn.CONCAT(SupplyChain_Tier2_Backend[[#This Row],[Level 1]:[Level 6]]),rng_EFConcat,rng_EF1)*SupplyChain_Tier2_Backend[[#This Row],[Converted data]]/1000</f>
        <v>#N/A</v>
      </c>
      <c r="AG155" s="210" t="e">
        <f>_xlfn.XLOOKUP(_xlfn.CONCAT(SupplyChain_Tier2_Backend[[#This Row],[Level 1]:[Level 6]]),rng_EFConcat,rng_EF2)*SupplyChain_Tier2_Backend[[#This Row],[Converted data]]/1000</f>
        <v>#N/A</v>
      </c>
      <c r="AH155" s="210">
        <f>SupplyChain_Tier2_Frontend[[#This Row],[Emissions (kgCO2e)]]/1000</f>
        <v>0</v>
      </c>
      <c r="AI155" s="210" t="e">
        <f>_xlfn.XLOOKUP(_xlfn.CONCAT(SupplyChain_Tier2_Backend[[#This Row],[Level 1]:[Level 6]]),rng_EFConcat,rng_EF3WTT)*SupplyChain_Tier2_Backend[[#This Row],[Converted data]]/1000</f>
        <v>#N/A</v>
      </c>
      <c r="AJ155" s="210" t="e">
        <f>_xlfn.XLOOKUP(_xlfn.CONCAT(SupplyChain_Tier2_Backend[[#This Row],[Level 1]:[Level 6]]),rng_EFConcat,rng_EF3TD)*SupplyChain_Tier2_Backend[[#This Row],[Converted data]]/1000</f>
        <v>#N/A</v>
      </c>
      <c r="AK155" s="210" t="e">
        <f>_xlfn.XLOOKUP(_xlfn.CONCAT(SupplyChain_Tier2_Backend[[#This Row],[Level 1]:[Level 6]]),rng_EFConcat,rng_EF3WTTTD)*SupplyChain_Tier2_Backend[[#This Row],[Converted data]]/1000</f>
        <v>#N/A</v>
      </c>
      <c r="AL155" s="220" t="e">
        <f>SUM(SupplyChain_Tier2_Backend[[#This Row],[Scope 1 (tCO2e)]:[Scope 3 WTT T&amp;D (tCO2e)]])</f>
        <v>#N/A</v>
      </c>
      <c r="AM155" s="220" t="e">
        <f>SupplyChain_Tier2_Backend[[#This Row],[Total (tCO2e)]]*(1-SupplyChain_Tier2_Backend[[#This Row],[RSD]])</f>
        <v>#N/A</v>
      </c>
      <c r="AN155" s="220" t="e">
        <f>SupplyChain_Tier2_Backend[[#This Row],[Total (tCO2e)]]*(1+SupplyChain_Tier2_Backend[[#This Row],[RSD]])</f>
        <v>#N/A</v>
      </c>
      <c r="AO155" s="210" t="e">
        <f>_xlfn.XLOOKUP(_xlfn.CONCAT(SupplyChain_Tier2_Backend[[#This Row],[Level 1]:[Level 6]]),rng_EFConcat,rng_EFOOS)*SupplyChain_Tier2_Backend[[#This Row],[Converted data]]/1000</f>
        <v>#N/A</v>
      </c>
      <c r="AP155" s="174">
        <f>SupplyChain_Tier2_Frontend[[#This Row],[Ease of collection]]</f>
        <v>0</v>
      </c>
      <c r="AQ155" s="213">
        <f>SupplyChain_Tier2_Frontend[[#This Row],[Completeness]]</f>
        <v>0</v>
      </c>
      <c r="AR155" s="213">
        <f>SupplyChain_Tier2_Frontend[[#This Row],[Notes]]</f>
        <v>0</v>
      </c>
    </row>
    <row r="156" spans="4:44" ht="14.5" x14ac:dyDescent="0.35">
      <c r="D156" s="147">
        <v>28</v>
      </c>
      <c r="E156" s="236" t="str">
        <f t="shared" si="9"/>
        <v/>
      </c>
      <c r="F156" s="336"/>
      <c r="G156" s="334"/>
      <c r="H156" s="334"/>
      <c r="I156" s="334"/>
      <c r="J156" s="336"/>
      <c r="K156" s="336"/>
      <c r="L156" s="337"/>
      <c r="M156" s="242">
        <f t="shared" si="8"/>
        <v>4</v>
      </c>
      <c r="Q156" s="211" t="str">
        <f t="shared" si="7"/>
        <v/>
      </c>
      <c r="R156" s="174" t="s">
        <v>267</v>
      </c>
      <c r="S156" s="174" t="s">
        <v>385</v>
      </c>
      <c r="T156" s="235" t="s">
        <v>385</v>
      </c>
      <c r="U156" s="173" t="str">
        <f>SupplyChain_Tier2_Frontend[[#This Row],[Category]]</f>
        <v/>
      </c>
      <c r="V156" s="173">
        <f>SupplyChain_Tier2_Frontend[[#This Row],[Product Category]]</f>
        <v>0</v>
      </c>
      <c r="W156" s="174" t="s">
        <v>339</v>
      </c>
      <c r="X156" s="174">
        <f>SupplyChain_Tier2_Frontend[[#This Row],[Data type]]</f>
        <v>0</v>
      </c>
      <c r="Y156" s="174" t="s">
        <v>339</v>
      </c>
      <c r="Z156" s="174" t="s">
        <v>199</v>
      </c>
      <c r="AA156" s="229" t="e" cm="1">
        <f t="array" ref="AA156">INDEX(_xlfn.SWITCH(SupplyChain_Tier2_Backend[[#This Row],[Methodology]],"Tier 1",rng_RSD1,"Tier 2",rng_RSD2,"Tier 3",rng_RSD3),MATCH(_xlfn.CONCAT(SupplyChain_Tier2_Backend[[#This Row],[Level 1]:[Level 6]]),rng_LevelsConcat,0))</f>
        <v>#N/A</v>
      </c>
      <c r="AB156" s="220">
        <f>SupplyChain_Tier2_Frontend[[#This Row],[Spend (£)]]</f>
        <v>0</v>
      </c>
      <c r="AC156" s="220" t="s">
        <v>383</v>
      </c>
      <c r="AD156" s="220">
        <f>SupplyChain_Tier2_Frontend[[#This Row],[Spend (£)]]</f>
        <v>0</v>
      </c>
      <c r="AE156" s="174" t="s">
        <v>383</v>
      </c>
      <c r="AF156" s="210" t="e">
        <f>_xlfn.XLOOKUP(_xlfn.CONCAT(SupplyChain_Tier2_Backend[[#This Row],[Level 1]:[Level 6]]),rng_EFConcat,rng_EF1)*SupplyChain_Tier2_Backend[[#This Row],[Converted data]]/1000</f>
        <v>#N/A</v>
      </c>
      <c r="AG156" s="210" t="e">
        <f>_xlfn.XLOOKUP(_xlfn.CONCAT(SupplyChain_Tier2_Backend[[#This Row],[Level 1]:[Level 6]]),rng_EFConcat,rng_EF2)*SupplyChain_Tier2_Backend[[#This Row],[Converted data]]/1000</f>
        <v>#N/A</v>
      </c>
      <c r="AH156" s="210">
        <f>SupplyChain_Tier2_Frontend[[#This Row],[Emissions (kgCO2e)]]/1000</f>
        <v>0</v>
      </c>
      <c r="AI156" s="210" t="e">
        <f>_xlfn.XLOOKUP(_xlfn.CONCAT(SupplyChain_Tier2_Backend[[#This Row],[Level 1]:[Level 6]]),rng_EFConcat,rng_EF3WTT)*SupplyChain_Tier2_Backend[[#This Row],[Converted data]]/1000</f>
        <v>#N/A</v>
      </c>
      <c r="AJ156" s="210" t="e">
        <f>_xlfn.XLOOKUP(_xlfn.CONCAT(SupplyChain_Tier2_Backend[[#This Row],[Level 1]:[Level 6]]),rng_EFConcat,rng_EF3TD)*SupplyChain_Tier2_Backend[[#This Row],[Converted data]]/1000</f>
        <v>#N/A</v>
      </c>
      <c r="AK156" s="210" t="e">
        <f>_xlfn.XLOOKUP(_xlfn.CONCAT(SupplyChain_Tier2_Backend[[#This Row],[Level 1]:[Level 6]]),rng_EFConcat,rng_EF3WTTTD)*SupplyChain_Tier2_Backend[[#This Row],[Converted data]]/1000</f>
        <v>#N/A</v>
      </c>
      <c r="AL156" s="220" t="e">
        <f>SUM(SupplyChain_Tier2_Backend[[#This Row],[Scope 1 (tCO2e)]:[Scope 3 WTT T&amp;D (tCO2e)]])</f>
        <v>#N/A</v>
      </c>
      <c r="AM156" s="220" t="e">
        <f>SupplyChain_Tier2_Backend[[#This Row],[Total (tCO2e)]]*(1-SupplyChain_Tier2_Backend[[#This Row],[RSD]])</f>
        <v>#N/A</v>
      </c>
      <c r="AN156" s="220" t="e">
        <f>SupplyChain_Tier2_Backend[[#This Row],[Total (tCO2e)]]*(1+SupplyChain_Tier2_Backend[[#This Row],[RSD]])</f>
        <v>#N/A</v>
      </c>
      <c r="AO156" s="210" t="e">
        <f>_xlfn.XLOOKUP(_xlfn.CONCAT(SupplyChain_Tier2_Backend[[#This Row],[Level 1]:[Level 6]]),rng_EFConcat,rng_EFOOS)*SupplyChain_Tier2_Backend[[#This Row],[Converted data]]/1000</f>
        <v>#N/A</v>
      </c>
      <c r="AP156" s="174">
        <f>SupplyChain_Tier2_Frontend[[#This Row],[Ease of collection]]</f>
        <v>0</v>
      </c>
      <c r="AQ156" s="213">
        <f>SupplyChain_Tier2_Frontend[[#This Row],[Completeness]]</f>
        <v>0</v>
      </c>
      <c r="AR156" s="213">
        <f>SupplyChain_Tier2_Frontend[[#This Row],[Notes]]</f>
        <v>0</v>
      </c>
    </row>
    <row r="157" spans="4:44" ht="14.5" x14ac:dyDescent="0.35">
      <c r="D157" s="147">
        <v>29</v>
      </c>
      <c r="E157" s="236" t="str">
        <f t="shared" si="9"/>
        <v/>
      </c>
      <c r="F157" s="336"/>
      <c r="G157" s="334"/>
      <c r="H157" s="334"/>
      <c r="I157" s="334"/>
      <c r="J157" s="336"/>
      <c r="K157" s="336"/>
      <c r="L157" s="337"/>
      <c r="M157" s="242">
        <f t="shared" si="8"/>
        <v>4</v>
      </c>
      <c r="Q157" s="211" t="str">
        <f t="shared" si="7"/>
        <v/>
      </c>
      <c r="R157" s="174" t="s">
        <v>267</v>
      </c>
      <c r="S157" s="174" t="s">
        <v>385</v>
      </c>
      <c r="T157" s="235" t="s">
        <v>385</v>
      </c>
      <c r="U157" s="173" t="str">
        <f>SupplyChain_Tier2_Frontend[[#This Row],[Category]]</f>
        <v/>
      </c>
      <c r="V157" s="173">
        <f>SupplyChain_Tier2_Frontend[[#This Row],[Product Category]]</f>
        <v>0</v>
      </c>
      <c r="W157" s="174" t="s">
        <v>339</v>
      </c>
      <c r="X157" s="174">
        <f>SupplyChain_Tier2_Frontend[[#This Row],[Data type]]</f>
        <v>0</v>
      </c>
      <c r="Y157" s="174" t="s">
        <v>339</v>
      </c>
      <c r="Z157" s="174" t="s">
        <v>199</v>
      </c>
      <c r="AA157" s="229" t="e" cm="1">
        <f t="array" ref="AA157">INDEX(_xlfn.SWITCH(SupplyChain_Tier2_Backend[[#This Row],[Methodology]],"Tier 1",rng_RSD1,"Tier 2",rng_RSD2,"Tier 3",rng_RSD3),MATCH(_xlfn.CONCAT(SupplyChain_Tier2_Backend[[#This Row],[Level 1]:[Level 6]]),rng_LevelsConcat,0))</f>
        <v>#N/A</v>
      </c>
      <c r="AB157" s="220">
        <f>SupplyChain_Tier2_Frontend[[#This Row],[Spend (£)]]</f>
        <v>0</v>
      </c>
      <c r="AC157" s="220" t="s">
        <v>383</v>
      </c>
      <c r="AD157" s="220">
        <f>SupplyChain_Tier2_Frontend[[#This Row],[Spend (£)]]</f>
        <v>0</v>
      </c>
      <c r="AE157" s="174" t="s">
        <v>383</v>
      </c>
      <c r="AF157" s="210" t="e">
        <f>_xlfn.XLOOKUP(_xlfn.CONCAT(SupplyChain_Tier2_Backend[[#This Row],[Level 1]:[Level 6]]),rng_EFConcat,rng_EF1)*SupplyChain_Tier2_Backend[[#This Row],[Converted data]]/1000</f>
        <v>#N/A</v>
      </c>
      <c r="AG157" s="210" t="e">
        <f>_xlfn.XLOOKUP(_xlfn.CONCAT(SupplyChain_Tier2_Backend[[#This Row],[Level 1]:[Level 6]]),rng_EFConcat,rng_EF2)*SupplyChain_Tier2_Backend[[#This Row],[Converted data]]/1000</f>
        <v>#N/A</v>
      </c>
      <c r="AH157" s="210">
        <f>SupplyChain_Tier2_Frontend[[#This Row],[Emissions (kgCO2e)]]/1000</f>
        <v>0</v>
      </c>
      <c r="AI157" s="210" t="e">
        <f>_xlfn.XLOOKUP(_xlfn.CONCAT(SupplyChain_Tier2_Backend[[#This Row],[Level 1]:[Level 6]]),rng_EFConcat,rng_EF3WTT)*SupplyChain_Tier2_Backend[[#This Row],[Converted data]]/1000</f>
        <v>#N/A</v>
      </c>
      <c r="AJ157" s="210" t="e">
        <f>_xlfn.XLOOKUP(_xlfn.CONCAT(SupplyChain_Tier2_Backend[[#This Row],[Level 1]:[Level 6]]),rng_EFConcat,rng_EF3TD)*SupplyChain_Tier2_Backend[[#This Row],[Converted data]]/1000</f>
        <v>#N/A</v>
      </c>
      <c r="AK157" s="210" t="e">
        <f>_xlfn.XLOOKUP(_xlfn.CONCAT(SupplyChain_Tier2_Backend[[#This Row],[Level 1]:[Level 6]]),rng_EFConcat,rng_EF3WTTTD)*SupplyChain_Tier2_Backend[[#This Row],[Converted data]]/1000</f>
        <v>#N/A</v>
      </c>
      <c r="AL157" s="220" t="e">
        <f>SUM(SupplyChain_Tier2_Backend[[#This Row],[Scope 1 (tCO2e)]:[Scope 3 WTT T&amp;D (tCO2e)]])</f>
        <v>#N/A</v>
      </c>
      <c r="AM157" s="220" t="e">
        <f>SupplyChain_Tier2_Backend[[#This Row],[Total (tCO2e)]]*(1-SupplyChain_Tier2_Backend[[#This Row],[RSD]])</f>
        <v>#N/A</v>
      </c>
      <c r="AN157" s="220" t="e">
        <f>SupplyChain_Tier2_Backend[[#This Row],[Total (tCO2e)]]*(1+SupplyChain_Tier2_Backend[[#This Row],[RSD]])</f>
        <v>#N/A</v>
      </c>
      <c r="AO157" s="210" t="e">
        <f>_xlfn.XLOOKUP(_xlfn.CONCAT(SupplyChain_Tier2_Backend[[#This Row],[Level 1]:[Level 6]]),rng_EFConcat,rng_EFOOS)*SupplyChain_Tier2_Backend[[#This Row],[Converted data]]/1000</f>
        <v>#N/A</v>
      </c>
      <c r="AP157" s="174">
        <f>SupplyChain_Tier2_Frontend[[#This Row],[Ease of collection]]</f>
        <v>0</v>
      </c>
      <c r="AQ157" s="213">
        <f>SupplyChain_Tier2_Frontend[[#This Row],[Completeness]]</f>
        <v>0</v>
      </c>
      <c r="AR157" s="213">
        <f>SupplyChain_Tier2_Frontend[[#This Row],[Notes]]</f>
        <v>0</v>
      </c>
    </row>
    <row r="158" spans="4:44" ht="14.5" x14ac:dyDescent="0.35">
      <c r="D158" s="147">
        <v>30</v>
      </c>
      <c r="E158" s="236" t="str">
        <f t="shared" si="9"/>
        <v/>
      </c>
      <c r="F158" s="336"/>
      <c r="G158" s="334"/>
      <c r="H158" s="334"/>
      <c r="I158" s="334"/>
      <c r="J158" s="336"/>
      <c r="K158" s="336"/>
      <c r="L158" s="337"/>
      <c r="M158" s="242">
        <f t="shared" si="8"/>
        <v>4</v>
      </c>
      <c r="Q158" s="211" t="str">
        <f t="shared" si="7"/>
        <v/>
      </c>
      <c r="R158" s="174" t="s">
        <v>267</v>
      </c>
      <c r="S158" s="174" t="s">
        <v>385</v>
      </c>
      <c r="T158" s="235" t="s">
        <v>385</v>
      </c>
      <c r="U158" s="173" t="str">
        <f>SupplyChain_Tier2_Frontend[[#This Row],[Category]]</f>
        <v/>
      </c>
      <c r="V158" s="173">
        <f>SupplyChain_Tier2_Frontend[[#This Row],[Product Category]]</f>
        <v>0</v>
      </c>
      <c r="W158" s="174" t="s">
        <v>339</v>
      </c>
      <c r="X158" s="174">
        <f>SupplyChain_Tier2_Frontend[[#This Row],[Data type]]</f>
        <v>0</v>
      </c>
      <c r="Y158" s="174" t="s">
        <v>339</v>
      </c>
      <c r="Z158" s="174" t="s">
        <v>199</v>
      </c>
      <c r="AA158" s="229" t="e" cm="1">
        <f t="array" ref="AA158">INDEX(_xlfn.SWITCH(SupplyChain_Tier2_Backend[[#This Row],[Methodology]],"Tier 1",rng_RSD1,"Tier 2",rng_RSD2,"Tier 3",rng_RSD3),MATCH(_xlfn.CONCAT(SupplyChain_Tier2_Backend[[#This Row],[Level 1]:[Level 6]]),rng_LevelsConcat,0))</f>
        <v>#N/A</v>
      </c>
      <c r="AB158" s="220">
        <f>SupplyChain_Tier2_Frontend[[#This Row],[Spend (£)]]</f>
        <v>0</v>
      </c>
      <c r="AC158" s="220" t="s">
        <v>383</v>
      </c>
      <c r="AD158" s="220">
        <f>SupplyChain_Tier2_Frontend[[#This Row],[Spend (£)]]</f>
        <v>0</v>
      </c>
      <c r="AE158" s="174" t="s">
        <v>383</v>
      </c>
      <c r="AF158" s="210" t="e">
        <f>_xlfn.XLOOKUP(_xlfn.CONCAT(SupplyChain_Tier2_Backend[[#This Row],[Level 1]:[Level 6]]),rng_EFConcat,rng_EF1)*SupplyChain_Tier2_Backend[[#This Row],[Converted data]]/1000</f>
        <v>#N/A</v>
      </c>
      <c r="AG158" s="210" t="e">
        <f>_xlfn.XLOOKUP(_xlfn.CONCAT(SupplyChain_Tier2_Backend[[#This Row],[Level 1]:[Level 6]]),rng_EFConcat,rng_EF2)*SupplyChain_Tier2_Backend[[#This Row],[Converted data]]/1000</f>
        <v>#N/A</v>
      </c>
      <c r="AH158" s="210">
        <f>SupplyChain_Tier2_Frontend[[#This Row],[Emissions (kgCO2e)]]/1000</f>
        <v>0</v>
      </c>
      <c r="AI158" s="210" t="e">
        <f>_xlfn.XLOOKUP(_xlfn.CONCAT(SupplyChain_Tier2_Backend[[#This Row],[Level 1]:[Level 6]]),rng_EFConcat,rng_EF3WTT)*SupplyChain_Tier2_Backend[[#This Row],[Converted data]]/1000</f>
        <v>#N/A</v>
      </c>
      <c r="AJ158" s="210" t="e">
        <f>_xlfn.XLOOKUP(_xlfn.CONCAT(SupplyChain_Tier2_Backend[[#This Row],[Level 1]:[Level 6]]),rng_EFConcat,rng_EF3TD)*SupplyChain_Tier2_Backend[[#This Row],[Converted data]]/1000</f>
        <v>#N/A</v>
      </c>
      <c r="AK158" s="210" t="e">
        <f>_xlfn.XLOOKUP(_xlfn.CONCAT(SupplyChain_Tier2_Backend[[#This Row],[Level 1]:[Level 6]]),rng_EFConcat,rng_EF3WTTTD)*SupplyChain_Tier2_Backend[[#This Row],[Converted data]]/1000</f>
        <v>#N/A</v>
      </c>
      <c r="AL158" s="220" t="e">
        <f>SUM(SupplyChain_Tier2_Backend[[#This Row],[Scope 1 (tCO2e)]:[Scope 3 WTT T&amp;D (tCO2e)]])</f>
        <v>#N/A</v>
      </c>
      <c r="AM158" s="220" t="e">
        <f>SupplyChain_Tier2_Backend[[#This Row],[Total (tCO2e)]]*(1-SupplyChain_Tier2_Backend[[#This Row],[RSD]])</f>
        <v>#N/A</v>
      </c>
      <c r="AN158" s="220" t="e">
        <f>SupplyChain_Tier2_Backend[[#This Row],[Total (tCO2e)]]*(1+SupplyChain_Tier2_Backend[[#This Row],[RSD]])</f>
        <v>#N/A</v>
      </c>
      <c r="AO158" s="210" t="e">
        <f>_xlfn.XLOOKUP(_xlfn.CONCAT(SupplyChain_Tier2_Backend[[#This Row],[Level 1]:[Level 6]]),rng_EFConcat,rng_EFOOS)*SupplyChain_Tier2_Backend[[#This Row],[Converted data]]/1000</f>
        <v>#N/A</v>
      </c>
      <c r="AP158" s="174">
        <f>SupplyChain_Tier2_Frontend[[#This Row],[Ease of collection]]</f>
        <v>0</v>
      </c>
      <c r="AQ158" s="213">
        <f>SupplyChain_Tier2_Frontend[[#This Row],[Completeness]]</f>
        <v>0</v>
      </c>
      <c r="AR158" s="213">
        <f>SupplyChain_Tier2_Frontend[[#This Row],[Notes]]</f>
        <v>0</v>
      </c>
    </row>
    <row r="159" spans="4:44" ht="14.5" x14ac:dyDescent="0.35">
      <c r="D159" s="147">
        <v>31</v>
      </c>
      <c r="E159" s="236" t="str">
        <f t="shared" si="9"/>
        <v/>
      </c>
      <c r="F159" s="336"/>
      <c r="G159" s="334"/>
      <c r="H159" s="334"/>
      <c r="I159" s="334"/>
      <c r="J159" s="336"/>
      <c r="K159" s="336"/>
      <c r="L159" s="337"/>
      <c r="M159" s="242">
        <f t="shared" si="8"/>
        <v>4</v>
      </c>
      <c r="Q159" s="211" t="str">
        <f t="shared" si="7"/>
        <v/>
      </c>
      <c r="R159" s="174" t="s">
        <v>267</v>
      </c>
      <c r="S159" s="174" t="s">
        <v>385</v>
      </c>
      <c r="T159" s="235" t="s">
        <v>385</v>
      </c>
      <c r="U159" s="173" t="str">
        <f>SupplyChain_Tier2_Frontend[[#This Row],[Category]]</f>
        <v/>
      </c>
      <c r="V159" s="173">
        <f>SupplyChain_Tier2_Frontend[[#This Row],[Product Category]]</f>
        <v>0</v>
      </c>
      <c r="W159" s="174" t="s">
        <v>339</v>
      </c>
      <c r="X159" s="174">
        <f>SupplyChain_Tier2_Frontend[[#This Row],[Data type]]</f>
        <v>0</v>
      </c>
      <c r="Y159" s="174" t="s">
        <v>339</v>
      </c>
      <c r="Z159" s="174" t="s">
        <v>199</v>
      </c>
      <c r="AA159" s="229" t="e" cm="1">
        <f t="array" ref="AA159">INDEX(_xlfn.SWITCH(SupplyChain_Tier2_Backend[[#This Row],[Methodology]],"Tier 1",rng_RSD1,"Tier 2",rng_RSD2,"Tier 3",rng_RSD3),MATCH(_xlfn.CONCAT(SupplyChain_Tier2_Backend[[#This Row],[Level 1]:[Level 6]]),rng_LevelsConcat,0))</f>
        <v>#N/A</v>
      </c>
      <c r="AB159" s="220">
        <f>SupplyChain_Tier2_Frontend[[#This Row],[Spend (£)]]</f>
        <v>0</v>
      </c>
      <c r="AC159" s="220" t="s">
        <v>383</v>
      </c>
      <c r="AD159" s="220">
        <f>SupplyChain_Tier2_Frontend[[#This Row],[Spend (£)]]</f>
        <v>0</v>
      </c>
      <c r="AE159" s="174" t="s">
        <v>383</v>
      </c>
      <c r="AF159" s="210" t="e">
        <f>_xlfn.XLOOKUP(_xlfn.CONCAT(SupplyChain_Tier2_Backend[[#This Row],[Level 1]:[Level 6]]),rng_EFConcat,rng_EF1)*SupplyChain_Tier2_Backend[[#This Row],[Converted data]]/1000</f>
        <v>#N/A</v>
      </c>
      <c r="AG159" s="210" t="e">
        <f>_xlfn.XLOOKUP(_xlfn.CONCAT(SupplyChain_Tier2_Backend[[#This Row],[Level 1]:[Level 6]]),rng_EFConcat,rng_EF2)*SupplyChain_Tier2_Backend[[#This Row],[Converted data]]/1000</f>
        <v>#N/A</v>
      </c>
      <c r="AH159" s="210">
        <f>SupplyChain_Tier2_Frontend[[#This Row],[Emissions (kgCO2e)]]/1000</f>
        <v>0</v>
      </c>
      <c r="AI159" s="210" t="e">
        <f>_xlfn.XLOOKUP(_xlfn.CONCAT(SupplyChain_Tier2_Backend[[#This Row],[Level 1]:[Level 6]]),rng_EFConcat,rng_EF3WTT)*SupplyChain_Tier2_Backend[[#This Row],[Converted data]]/1000</f>
        <v>#N/A</v>
      </c>
      <c r="AJ159" s="210" t="e">
        <f>_xlfn.XLOOKUP(_xlfn.CONCAT(SupplyChain_Tier2_Backend[[#This Row],[Level 1]:[Level 6]]),rng_EFConcat,rng_EF3TD)*SupplyChain_Tier2_Backend[[#This Row],[Converted data]]/1000</f>
        <v>#N/A</v>
      </c>
      <c r="AK159" s="210" t="e">
        <f>_xlfn.XLOOKUP(_xlfn.CONCAT(SupplyChain_Tier2_Backend[[#This Row],[Level 1]:[Level 6]]),rng_EFConcat,rng_EF3WTTTD)*SupplyChain_Tier2_Backend[[#This Row],[Converted data]]/1000</f>
        <v>#N/A</v>
      </c>
      <c r="AL159" s="220" t="e">
        <f>SUM(SupplyChain_Tier2_Backend[[#This Row],[Scope 1 (tCO2e)]:[Scope 3 WTT T&amp;D (tCO2e)]])</f>
        <v>#N/A</v>
      </c>
      <c r="AM159" s="220" t="e">
        <f>SupplyChain_Tier2_Backend[[#This Row],[Total (tCO2e)]]*(1-SupplyChain_Tier2_Backend[[#This Row],[RSD]])</f>
        <v>#N/A</v>
      </c>
      <c r="AN159" s="220" t="e">
        <f>SupplyChain_Tier2_Backend[[#This Row],[Total (tCO2e)]]*(1+SupplyChain_Tier2_Backend[[#This Row],[RSD]])</f>
        <v>#N/A</v>
      </c>
      <c r="AO159" s="210" t="e">
        <f>_xlfn.XLOOKUP(_xlfn.CONCAT(SupplyChain_Tier2_Backend[[#This Row],[Level 1]:[Level 6]]),rng_EFConcat,rng_EFOOS)*SupplyChain_Tier2_Backend[[#This Row],[Converted data]]/1000</f>
        <v>#N/A</v>
      </c>
      <c r="AP159" s="174">
        <f>SupplyChain_Tier2_Frontend[[#This Row],[Ease of collection]]</f>
        <v>0</v>
      </c>
      <c r="AQ159" s="213">
        <f>SupplyChain_Tier2_Frontend[[#This Row],[Completeness]]</f>
        <v>0</v>
      </c>
      <c r="AR159" s="213">
        <f>SupplyChain_Tier2_Frontend[[#This Row],[Notes]]</f>
        <v>0</v>
      </c>
    </row>
    <row r="160" spans="4:44" ht="14.5" x14ac:dyDescent="0.35">
      <c r="D160" s="147">
        <v>32</v>
      </c>
      <c r="E160" s="236" t="str">
        <f t="shared" si="9"/>
        <v/>
      </c>
      <c r="F160" s="336"/>
      <c r="G160" s="334"/>
      <c r="H160" s="334"/>
      <c r="I160" s="334"/>
      <c r="J160" s="336"/>
      <c r="K160" s="336"/>
      <c r="L160" s="337"/>
      <c r="M160" s="242">
        <f t="shared" si="8"/>
        <v>4</v>
      </c>
      <c r="Q160" s="211" t="str">
        <f t="shared" si="7"/>
        <v/>
      </c>
      <c r="R160" s="174" t="s">
        <v>267</v>
      </c>
      <c r="S160" s="174" t="s">
        <v>385</v>
      </c>
      <c r="T160" s="235" t="s">
        <v>385</v>
      </c>
      <c r="U160" s="173" t="str">
        <f>SupplyChain_Tier2_Frontend[[#This Row],[Category]]</f>
        <v/>
      </c>
      <c r="V160" s="173">
        <f>SupplyChain_Tier2_Frontend[[#This Row],[Product Category]]</f>
        <v>0</v>
      </c>
      <c r="W160" s="174" t="s">
        <v>339</v>
      </c>
      <c r="X160" s="174">
        <f>SupplyChain_Tier2_Frontend[[#This Row],[Data type]]</f>
        <v>0</v>
      </c>
      <c r="Y160" s="174" t="s">
        <v>339</v>
      </c>
      <c r="Z160" s="174" t="s">
        <v>199</v>
      </c>
      <c r="AA160" s="229" t="e" cm="1">
        <f t="array" ref="AA160">INDEX(_xlfn.SWITCH(SupplyChain_Tier2_Backend[[#This Row],[Methodology]],"Tier 1",rng_RSD1,"Tier 2",rng_RSD2,"Tier 3",rng_RSD3),MATCH(_xlfn.CONCAT(SupplyChain_Tier2_Backend[[#This Row],[Level 1]:[Level 6]]),rng_LevelsConcat,0))</f>
        <v>#N/A</v>
      </c>
      <c r="AB160" s="220">
        <f>SupplyChain_Tier2_Frontend[[#This Row],[Spend (£)]]</f>
        <v>0</v>
      </c>
      <c r="AC160" s="220" t="s">
        <v>383</v>
      </c>
      <c r="AD160" s="220">
        <f>SupplyChain_Tier2_Frontend[[#This Row],[Spend (£)]]</f>
        <v>0</v>
      </c>
      <c r="AE160" s="174" t="s">
        <v>383</v>
      </c>
      <c r="AF160" s="210" t="e">
        <f>_xlfn.XLOOKUP(_xlfn.CONCAT(SupplyChain_Tier2_Backend[[#This Row],[Level 1]:[Level 6]]),rng_EFConcat,rng_EF1)*SupplyChain_Tier2_Backend[[#This Row],[Converted data]]/1000</f>
        <v>#N/A</v>
      </c>
      <c r="AG160" s="210" t="e">
        <f>_xlfn.XLOOKUP(_xlfn.CONCAT(SupplyChain_Tier2_Backend[[#This Row],[Level 1]:[Level 6]]),rng_EFConcat,rng_EF2)*SupplyChain_Tier2_Backend[[#This Row],[Converted data]]/1000</f>
        <v>#N/A</v>
      </c>
      <c r="AH160" s="210">
        <f>SupplyChain_Tier2_Frontend[[#This Row],[Emissions (kgCO2e)]]/1000</f>
        <v>0</v>
      </c>
      <c r="AI160" s="210" t="e">
        <f>_xlfn.XLOOKUP(_xlfn.CONCAT(SupplyChain_Tier2_Backend[[#This Row],[Level 1]:[Level 6]]),rng_EFConcat,rng_EF3WTT)*SupplyChain_Tier2_Backend[[#This Row],[Converted data]]/1000</f>
        <v>#N/A</v>
      </c>
      <c r="AJ160" s="210" t="e">
        <f>_xlfn.XLOOKUP(_xlfn.CONCAT(SupplyChain_Tier2_Backend[[#This Row],[Level 1]:[Level 6]]),rng_EFConcat,rng_EF3TD)*SupplyChain_Tier2_Backend[[#This Row],[Converted data]]/1000</f>
        <v>#N/A</v>
      </c>
      <c r="AK160" s="210" t="e">
        <f>_xlfn.XLOOKUP(_xlfn.CONCAT(SupplyChain_Tier2_Backend[[#This Row],[Level 1]:[Level 6]]),rng_EFConcat,rng_EF3WTTTD)*SupplyChain_Tier2_Backend[[#This Row],[Converted data]]/1000</f>
        <v>#N/A</v>
      </c>
      <c r="AL160" s="220" t="e">
        <f>SUM(SupplyChain_Tier2_Backend[[#This Row],[Scope 1 (tCO2e)]:[Scope 3 WTT T&amp;D (tCO2e)]])</f>
        <v>#N/A</v>
      </c>
      <c r="AM160" s="220" t="e">
        <f>SupplyChain_Tier2_Backend[[#This Row],[Total (tCO2e)]]*(1-SupplyChain_Tier2_Backend[[#This Row],[RSD]])</f>
        <v>#N/A</v>
      </c>
      <c r="AN160" s="220" t="e">
        <f>SupplyChain_Tier2_Backend[[#This Row],[Total (tCO2e)]]*(1+SupplyChain_Tier2_Backend[[#This Row],[RSD]])</f>
        <v>#N/A</v>
      </c>
      <c r="AO160" s="210" t="e">
        <f>_xlfn.XLOOKUP(_xlfn.CONCAT(SupplyChain_Tier2_Backend[[#This Row],[Level 1]:[Level 6]]),rng_EFConcat,rng_EFOOS)*SupplyChain_Tier2_Backend[[#This Row],[Converted data]]/1000</f>
        <v>#N/A</v>
      </c>
      <c r="AP160" s="174">
        <f>SupplyChain_Tier2_Frontend[[#This Row],[Ease of collection]]</f>
        <v>0</v>
      </c>
      <c r="AQ160" s="213">
        <f>SupplyChain_Tier2_Frontend[[#This Row],[Completeness]]</f>
        <v>0</v>
      </c>
      <c r="AR160" s="213">
        <f>SupplyChain_Tier2_Frontend[[#This Row],[Notes]]</f>
        <v>0</v>
      </c>
    </row>
    <row r="161" spans="4:44" ht="14.5" x14ac:dyDescent="0.35">
      <c r="D161" s="147">
        <v>33</v>
      </c>
      <c r="E161" s="236" t="str">
        <f t="shared" si="9"/>
        <v/>
      </c>
      <c r="F161" s="336"/>
      <c r="G161" s="334"/>
      <c r="H161" s="334"/>
      <c r="I161" s="334"/>
      <c r="J161" s="336"/>
      <c r="K161" s="336"/>
      <c r="L161" s="337"/>
      <c r="M161" s="242">
        <f t="shared" si="8"/>
        <v>4</v>
      </c>
      <c r="Q161" s="211" t="str">
        <f t="shared" ref="Q161:Q192" si="10">IF(M161=0,SUBSTITUTE(2025&amp;TRIM(cl_org_name_select)&amp;TRIM($E$126)&amp;(ROW(M161)-ROW($M$129))," ",""),"")</f>
        <v/>
      </c>
      <c r="R161" s="174" t="s">
        <v>267</v>
      </c>
      <c r="S161" s="174" t="s">
        <v>385</v>
      </c>
      <c r="T161" s="235" t="s">
        <v>385</v>
      </c>
      <c r="U161" s="173" t="str">
        <f>SupplyChain_Tier2_Frontend[[#This Row],[Category]]</f>
        <v/>
      </c>
      <c r="V161" s="173">
        <f>SupplyChain_Tier2_Frontend[[#This Row],[Product Category]]</f>
        <v>0</v>
      </c>
      <c r="W161" s="174" t="s">
        <v>339</v>
      </c>
      <c r="X161" s="174">
        <f>SupplyChain_Tier2_Frontend[[#This Row],[Data type]]</f>
        <v>0</v>
      </c>
      <c r="Y161" s="174" t="s">
        <v>339</v>
      </c>
      <c r="Z161" s="174" t="s">
        <v>199</v>
      </c>
      <c r="AA161" s="229" t="e" cm="1">
        <f t="array" ref="AA161">INDEX(_xlfn.SWITCH(SupplyChain_Tier2_Backend[[#This Row],[Methodology]],"Tier 1",rng_RSD1,"Tier 2",rng_RSD2,"Tier 3",rng_RSD3),MATCH(_xlfn.CONCAT(SupplyChain_Tier2_Backend[[#This Row],[Level 1]:[Level 6]]),rng_LevelsConcat,0))</f>
        <v>#N/A</v>
      </c>
      <c r="AB161" s="220">
        <f>SupplyChain_Tier2_Frontend[[#This Row],[Spend (£)]]</f>
        <v>0</v>
      </c>
      <c r="AC161" s="220" t="s">
        <v>383</v>
      </c>
      <c r="AD161" s="220">
        <f>SupplyChain_Tier2_Frontend[[#This Row],[Spend (£)]]</f>
        <v>0</v>
      </c>
      <c r="AE161" s="174" t="s">
        <v>383</v>
      </c>
      <c r="AF161" s="210" t="e">
        <f>_xlfn.XLOOKUP(_xlfn.CONCAT(SupplyChain_Tier2_Backend[[#This Row],[Level 1]:[Level 6]]),rng_EFConcat,rng_EF1)*SupplyChain_Tier2_Backend[[#This Row],[Converted data]]/1000</f>
        <v>#N/A</v>
      </c>
      <c r="AG161" s="210" t="e">
        <f>_xlfn.XLOOKUP(_xlfn.CONCAT(SupplyChain_Tier2_Backend[[#This Row],[Level 1]:[Level 6]]),rng_EFConcat,rng_EF2)*SupplyChain_Tier2_Backend[[#This Row],[Converted data]]/1000</f>
        <v>#N/A</v>
      </c>
      <c r="AH161" s="210">
        <f>SupplyChain_Tier2_Frontend[[#This Row],[Emissions (kgCO2e)]]/1000</f>
        <v>0</v>
      </c>
      <c r="AI161" s="210" t="e">
        <f>_xlfn.XLOOKUP(_xlfn.CONCAT(SupplyChain_Tier2_Backend[[#This Row],[Level 1]:[Level 6]]),rng_EFConcat,rng_EF3WTT)*SupplyChain_Tier2_Backend[[#This Row],[Converted data]]/1000</f>
        <v>#N/A</v>
      </c>
      <c r="AJ161" s="210" t="e">
        <f>_xlfn.XLOOKUP(_xlfn.CONCAT(SupplyChain_Tier2_Backend[[#This Row],[Level 1]:[Level 6]]),rng_EFConcat,rng_EF3TD)*SupplyChain_Tier2_Backend[[#This Row],[Converted data]]/1000</f>
        <v>#N/A</v>
      </c>
      <c r="AK161" s="210" t="e">
        <f>_xlfn.XLOOKUP(_xlfn.CONCAT(SupplyChain_Tier2_Backend[[#This Row],[Level 1]:[Level 6]]),rng_EFConcat,rng_EF3WTTTD)*SupplyChain_Tier2_Backend[[#This Row],[Converted data]]/1000</f>
        <v>#N/A</v>
      </c>
      <c r="AL161" s="220" t="e">
        <f>SUM(SupplyChain_Tier2_Backend[[#This Row],[Scope 1 (tCO2e)]:[Scope 3 WTT T&amp;D (tCO2e)]])</f>
        <v>#N/A</v>
      </c>
      <c r="AM161" s="220" t="e">
        <f>SupplyChain_Tier2_Backend[[#This Row],[Total (tCO2e)]]*(1-SupplyChain_Tier2_Backend[[#This Row],[RSD]])</f>
        <v>#N/A</v>
      </c>
      <c r="AN161" s="220" t="e">
        <f>SupplyChain_Tier2_Backend[[#This Row],[Total (tCO2e)]]*(1+SupplyChain_Tier2_Backend[[#This Row],[RSD]])</f>
        <v>#N/A</v>
      </c>
      <c r="AO161" s="210" t="e">
        <f>_xlfn.XLOOKUP(_xlfn.CONCAT(SupplyChain_Tier2_Backend[[#This Row],[Level 1]:[Level 6]]),rng_EFConcat,rng_EFOOS)*SupplyChain_Tier2_Backend[[#This Row],[Converted data]]/1000</f>
        <v>#N/A</v>
      </c>
      <c r="AP161" s="174">
        <f>SupplyChain_Tier2_Frontend[[#This Row],[Ease of collection]]</f>
        <v>0</v>
      </c>
      <c r="AQ161" s="213">
        <f>SupplyChain_Tier2_Frontend[[#This Row],[Completeness]]</f>
        <v>0</v>
      </c>
      <c r="AR161" s="213">
        <f>SupplyChain_Tier2_Frontend[[#This Row],[Notes]]</f>
        <v>0</v>
      </c>
    </row>
    <row r="162" spans="4:44" ht="14.5" x14ac:dyDescent="0.35">
      <c r="D162" s="147">
        <v>34</v>
      </c>
      <c r="E162" s="236" t="str">
        <f t="shared" si="9"/>
        <v/>
      </c>
      <c r="F162" s="336"/>
      <c r="G162" s="334"/>
      <c r="H162" s="334"/>
      <c r="I162" s="334"/>
      <c r="J162" s="336"/>
      <c r="K162" s="336"/>
      <c r="L162" s="337"/>
      <c r="M162" s="242">
        <f t="shared" si="8"/>
        <v>4</v>
      </c>
      <c r="Q162" s="211" t="str">
        <f t="shared" si="10"/>
        <v/>
      </c>
      <c r="R162" s="174" t="s">
        <v>267</v>
      </c>
      <c r="S162" s="174" t="s">
        <v>385</v>
      </c>
      <c r="T162" s="235" t="s">
        <v>385</v>
      </c>
      <c r="U162" s="173" t="str">
        <f>SupplyChain_Tier2_Frontend[[#This Row],[Category]]</f>
        <v/>
      </c>
      <c r="V162" s="173">
        <f>SupplyChain_Tier2_Frontend[[#This Row],[Product Category]]</f>
        <v>0</v>
      </c>
      <c r="W162" s="174" t="s">
        <v>339</v>
      </c>
      <c r="X162" s="174">
        <f>SupplyChain_Tier2_Frontend[[#This Row],[Data type]]</f>
        <v>0</v>
      </c>
      <c r="Y162" s="174" t="s">
        <v>339</v>
      </c>
      <c r="Z162" s="174" t="s">
        <v>199</v>
      </c>
      <c r="AA162" s="229" t="e" cm="1">
        <f t="array" ref="AA162">INDEX(_xlfn.SWITCH(SupplyChain_Tier2_Backend[[#This Row],[Methodology]],"Tier 1",rng_RSD1,"Tier 2",rng_RSD2,"Tier 3",rng_RSD3),MATCH(_xlfn.CONCAT(SupplyChain_Tier2_Backend[[#This Row],[Level 1]:[Level 6]]),rng_LevelsConcat,0))</f>
        <v>#N/A</v>
      </c>
      <c r="AB162" s="220">
        <f>SupplyChain_Tier2_Frontend[[#This Row],[Spend (£)]]</f>
        <v>0</v>
      </c>
      <c r="AC162" s="220" t="s">
        <v>383</v>
      </c>
      <c r="AD162" s="220">
        <f>SupplyChain_Tier2_Frontend[[#This Row],[Spend (£)]]</f>
        <v>0</v>
      </c>
      <c r="AE162" s="174" t="s">
        <v>383</v>
      </c>
      <c r="AF162" s="210" t="e">
        <f>_xlfn.XLOOKUP(_xlfn.CONCAT(SupplyChain_Tier2_Backend[[#This Row],[Level 1]:[Level 6]]),rng_EFConcat,rng_EF1)*SupplyChain_Tier2_Backend[[#This Row],[Converted data]]/1000</f>
        <v>#N/A</v>
      </c>
      <c r="AG162" s="210" t="e">
        <f>_xlfn.XLOOKUP(_xlfn.CONCAT(SupplyChain_Tier2_Backend[[#This Row],[Level 1]:[Level 6]]),rng_EFConcat,rng_EF2)*SupplyChain_Tier2_Backend[[#This Row],[Converted data]]/1000</f>
        <v>#N/A</v>
      </c>
      <c r="AH162" s="210">
        <f>SupplyChain_Tier2_Frontend[[#This Row],[Emissions (kgCO2e)]]/1000</f>
        <v>0</v>
      </c>
      <c r="AI162" s="210" t="e">
        <f>_xlfn.XLOOKUP(_xlfn.CONCAT(SupplyChain_Tier2_Backend[[#This Row],[Level 1]:[Level 6]]),rng_EFConcat,rng_EF3WTT)*SupplyChain_Tier2_Backend[[#This Row],[Converted data]]/1000</f>
        <v>#N/A</v>
      </c>
      <c r="AJ162" s="210" t="e">
        <f>_xlfn.XLOOKUP(_xlfn.CONCAT(SupplyChain_Tier2_Backend[[#This Row],[Level 1]:[Level 6]]),rng_EFConcat,rng_EF3TD)*SupplyChain_Tier2_Backend[[#This Row],[Converted data]]/1000</f>
        <v>#N/A</v>
      </c>
      <c r="AK162" s="210" t="e">
        <f>_xlfn.XLOOKUP(_xlfn.CONCAT(SupplyChain_Tier2_Backend[[#This Row],[Level 1]:[Level 6]]),rng_EFConcat,rng_EF3WTTTD)*SupplyChain_Tier2_Backend[[#This Row],[Converted data]]/1000</f>
        <v>#N/A</v>
      </c>
      <c r="AL162" s="220" t="e">
        <f>SUM(SupplyChain_Tier2_Backend[[#This Row],[Scope 1 (tCO2e)]:[Scope 3 WTT T&amp;D (tCO2e)]])</f>
        <v>#N/A</v>
      </c>
      <c r="AM162" s="220" t="e">
        <f>SupplyChain_Tier2_Backend[[#This Row],[Total (tCO2e)]]*(1-SupplyChain_Tier2_Backend[[#This Row],[RSD]])</f>
        <v>#N/A</v>
      </c>
      <c r="AN162" s="220" t="e">
        <f>SupplyChain_Tier2_Backend[[#This Row],[Total (tCO2e)]]*(1+SupplyChain_Tier2_Backend[[#This Row],[RSD]])</f>
        <v>#N/A</v>
      </c>
      <c r="AO162" s="210" t="e">
        <f>_xlfn.XLOOKUP(_xlfn.CONCAT(SupplyChain_Tier2_Backend[[#This Row],[Level 1]:[Level 6]]),rng_EFConcat,rng_EFOOS)*SupplyChain_Tier2_Backend[[#This Row],[Converted data]]/1000</f>
        <v>#N/A</v>
      </c>
      <c r="AP162" s="174">
        <f>SupplyChain_Tier2_Frontend[[#This Row],[Ease of collection]]</f>
        <v>0</v>
      </c>
      <c r="AQ162" s="213">
        <f>SupplyChain_Tier2_Frontend[[#This Row],[Completeness]]</f>
        <v>0</v>
      </c>
      <c r="AR162" s="213">
        <f>SupplyChain_Tier2_Frontend[[#This Row],[Notes]]</f>
        <v>0</v>
      </c>
    </row>
    <row r="163" spans="4:44" ht="14.5" x14ac:dyDescent="0.35">
      <c r="D163" s="147">
        <v>35</v>
      </c>
      <c r="E163" s="236" t="str">
        <f t="shared" si="9"/>
        <v/>
      </c>
      <c r="F163" s="336"/>
      <c r="G163" s="334"/>
      <c r="H163" s="334"/>
      <c r="I163" s="334"/>
      <c r="J163" s="336"/>
      <c r="K163" s="336"/>
      <c r="L163" s="337"/>
      <c r="M163" s="242">
        <f t="shared" si="8"/>
        <v>4</v>
      </c>
      <c r="Q163" s="211" t="str">
        <f t="shared" si="10"/>
        <v/>
      </c>
      <c r="R163" s="174" t="s">
        <v>267</v>
      </c>
      <c r="S163" s="174" t="s">
        <v>385</v>
      </c>
      <c r="T163" s="235" t="s">
        <v>385</v>
      </c>
      <c r="U163" s="173" t="str">
        <f>SupplyChain_Tier2_Frontend[[#This Row],[Category]]</f>
        <v/>
      </c>
      <c r="V163" s="173">
        <f>SupplyChain_Tier2_Frontend[[#This Row],[Product Category]]</f>
        <v>0</v>
      </c>
      <c r="W163" s="174" t="s">
        <v>339</v>
      </c>
      <c r="X163" s="174">
        <f>SupplyChain_Tier2_Frontend[[#This Row],[Data type]]</f>
        <v>0</v>
      </c>
      <c r="Y163" s="174" t="s">
        <v>339</v>
      </c>
      <c r="Z163" s="174" t="s">
        <v>199</v>
      </c>
      <c r="AA163" s="229" t="e" cm="1">
        <f t="array" ref="AA163">INDEX(_xlfn.SWITCH(SupplyChain_Tier2_Backend[[#This Row],[Methodology]],"Tier 1",rng_RSD1,"Tier 2",rng_RSD2,"Tier 3",rng_RSD3),MATCH(_xlfn.CONCAT(SupplyChain_Tier2_Backend[[#This Row],[Level 1]:[Level 6]]),rng_LevelsConcat,0))</f>
        <v>#N/A</v>
      </c>
      <c r="AB163" s="220">
        <f>SupplyChain_Tier2_Frontend[[#This Row],[Spend (£)]]</f>
        <v>0</v>
      </c>
      <c r="AC163" s="220" t="s">
        <v>383</v>
      </c>
      <c r="AD163" s="220">
        <f>SupplyChain_Tier2_Frontend[[#This Row],[Spend (£)]]</f>
        <v>0</v>
      </c>
      <c r="AE163" s="174" t="s">
        <v>383</v>
      </c>
      <c r="AF163" s="210" t="e">
        <f>_xlfn.XLOOKUP(_xlfn.CONCAT(SupplyChain_Tier2_Backend[[#This Row],[Level 1]:[Level 6]]),rng_EFConcat,rng_EF1)*SupplyChain_Tier2_Backend[[#This Row],[Converted data]]/1000</f>
        <v>#N/A</v>
      </c>
      <c r="AG163" s="210" t="e">
        <f>_xlfn.XLOOKUP(_xlfn.CONCAT(SupplyChain_Tier2_Backend[[#This Row],[Level 1]:[Level 6]]),rng_EFConcat,rng_EF2)*SupplyChain_Tier2_Backend[[#This Row],[Converted data]]/1000</f>
        <v>#N/A</v>
      </c>
      <c r="AH163" s="210">
        <f>SupplyChain_Tier2_Frontend[[#This Row],[Emissions (kgCO2e)]]/1000</f>
        <v>0</v>
      </c>
      <c r="AI163" s="210" t="e">
        <f>_xlfn.XLOOKUP(_xlfn.CONCAT(SupplyChain_Tier2_Backend[[#This Row],[Level 1]:[Level 6]]),rng_EFConcat,rng_EF3WTT)*SupplyChain_Tier2_Backend[[#This Row],[Converted data]]/1000</f>
        <v>#N/A</v>
      </c>
      <c r="AJ163" s="210" t="e">
        <f>_xlfn.XLOOKUP(_xlfn.CONCAT(SupplyChain_Tier2_Backend[[#This Row],[Level 1]:[Level 6]]),rng_EFConcat,rng_EF3TD)*SupplyChain_Tier2_Backend[[#This Row],[Converted data]]/1000</f>
        <v>#N/A</v>
      </c>
      <c r="AK163" s="210" t="e">
        <f>_xlfn.XLOOKUP(_xlfn.CONCAT(SupplyChain_Tier2_Backend[[#This Row],[Level 1]:[Level 6]]),rng_EFConcat,rng_EF3WTTTD)*SupplyChain_Tier2_Backend[[#This Row],[Converted data]]/1000</f>
        <v>#N/A</v>
      </c>
      <c r="AL163" s="220" t="e">
        <f>SUM(SupplyChain_Tier2_Backend[[#This Row],[Scope 1 (tCO2e)]:[Scope 3 WTT T&amp;D (tCO2e)]])</f>
        <v>#N/A</v>
      </c>
      <c r="AM163" s="220" t="e">
        <f>SupplyChain_Tier2_Backend[[#This Row],[Total (tCO2e)]]*(1-SupplyChain_Tier2_Backend[[#This Row],[RSD]])</f>
        <v>#N/A</v>
      </c>
      <c r="AN163" s="220" t="e">
        <f>SupplyChain_Tier2_Backend[[#This Row],[Total (tCO2e)]]*(1+SupplyChain_Tier2_Backend[[#This Row],[RSD]])</f>
        <v>#N/A</v>
      </c>
      <c r="AO163" s="210" t="e">
        <f>_xlfn.XLOOKUP(_xlfn.CONCAT(SupplyChain_Tier2_Backend[[#This Row],[Level 1]:[Level 6]]),rng_EFConcat,rng_EFOOS)*SupplyChain_Tier2_Backend[[#This Row],[Converted data]]/1000</f>
        <v>#N/A</v>
      </c>
      <c r="AP163" s="174">
        <f>SupplyChain_Tier2_Frontend[[#This Row],[Ease of collection]]</f>
        <v>0</v>
      </c>
      <c r="AQ163" s="213">
        <f>SupplyChain_Tier2_Frontend[[#This Row],[Completeness]]</f>
        <v>0</v>
      </c>
      <c r="AR163" s="213">
        <f>SupplyChain_Tier2_Frontend[[#This Row],[Notes]]</f>
        <v>0</v>
      </c>
    </row>
    <row r="164" spans="4:44" ht="14.5" x14ac:dyDescent="0.35">
      <c r="D164" s="147">
        <v>36</v>
      </c>
      <c r="E164" s="236" t="str">
        <f t="shared" si="9"/>
        <v/>
      </c>
      <c r="F164" s="336"/>
      <c r="G164" s="334"/>
      <c r="H164" s="334"/>
      <c r="I164" s="334"/>
      <c r="J164" s="336"/>
      <c r="K164" s="336"/>
      <c r="L164" s="337"/>
      <c r="M164" s="242">
        <f t="shared" si="8"/>
        <v>4</v>
      </c>
      <c r="Q164" s="211" t="str">
        <f t="shared" si="10"/>
        <v/>
      </c>
      <c r="R164" s="174" t="s">
        <v>267</v>
      </c>
      <c r="S164" s="174" t="s">
        <v>385</v>
      </c>
      <c r="T164" s="235" t="s">
        <v>385</v>
      </c>
      <c r="U164" s="173" t="str">
        <f>SupplyChain_Tier2_Frontend[[#This Row],[Category]]</f>
        <v/>
      </c>
      <c r="V164" s="173">
        <f>SupplyChain_Tier2_Frontend[[#This Row],[Product Category]]</f>
        <v>0</v>
      </c>
      <c r="W164" s="174" t="s">
        <v>339</v>
      </c>
      <c r="X164" s="174">
        <f>SupplyChain_Tier2_Frontend[[#This Row],[Data type]]</f>
        <v>0</v>
      </c>
      <c r="Y164" s="174" t="s">
        <v>339</v>
      </c>
      <c r="Z164" s="174" t="s">
        <v>199</v>
      </c>
      <c r="AA164" s="229" t="e" cm="1">
        <f t="array" ref="AA164">INDEX(_xlfn.SWITCH(SupplyChain_Tier2_Backend[[#This Row],[Methodology]],"Tier 1",rng_RSD1,"Tier 2",rng_RSD2,"Tier 3",rng_RSD3),MATCH(_xlfn.CONCAT(SupplyChain_Tier2_Backend[[#This Row],[Level 1]:[Level 6]]),rng_LevelsConcat,0))</f>
        <v>#N/A</v>
      </c>
      <c r="AB164" s="220">
        <f>SupplyChain_Tier2_Frontend[[#This Row],[Spend (£)]]</f>
        <v>0</v>
      </c>
      <c r="AC164" s="220" t="s">
        <v>383</v>
      </c>
      <c r="AD164" s="220">
        <f>SupplyChain_Tier2_Frontend[[#This Row],[Spend (£)]]</f>
        <v>0</v>
      </c>
      <c r="AE164" s="174" t="s">
        <v>383</v>
      </c>
      <c r="AF164" s="210" t="e">
        <f>_xlfn.XLOOKUP(_xlfn.CONCAT(SupplyChain_Tier2_Backend[[#This Row],[Level 1]:[Level 6]]),rng_EFConcat,rng_EF1)*SupplyChain_Tier2_Backend[[#This Row],[Converted data]]/1000</f>
        <v>#N/A</v>
      </c>
      <c r="AG164" s="210" t="e">
        <f>_xlfn.XLOOKUP(_xlfn.CONCAT(SupplyChain_Tier2_Backend[[#This Row],[Level 1]:[Level 6]]),rng_EFConcat,rng_EF2)*SupplyChain_Tier2_Backend[[#This Row],[Converted data]]/1000</f>
        <v>#N/A</v>
      </c>
      <c r="AH164" s="210">
        <f>SupplyChain_Tier2_Frontend[[#This Row],[Emissions (kgCO2e)]]/1000</f>
        <v>0</v>
      </c>
      <c r="AI164" s="210" t="e">
        <f>_xlfn.XLOOKUP(_xlfn.CONCAT(SupplyChain_Tier2_Backend[[#This Row],[Level 1]:[Level 6]]),rng_EFConcat,rng_EF3WTT)*SupplyChain_Tier2_Backend[[#This Row],[Converted data]]/1000</f>
        <v>#N/A</v>
      </c>
      <c r="AJ164" s="210" t="e">
        <f>_xlfn.XLOOKUP(_xlfn.CONCAT(SupplyChain_Tier2_Backend[[#This Row],[Level 1]:[Level 6]]),rng_EFConcat,rng_EF3TD)*SupplyChain_Tier2_Backend[[#This Row],[Converted data]]/1000</f>
        <v>#N/A</v>
      </c>
      <c r="AK164" s="210" t="e">
        <f>_xlfn.XLOOKUP(_xlfn.CONCAT(SupplyChain_Tier2_Backend[[#This Row],[Level 1]:[Level 6]]),rng_EFConcat,rng_EF3WTTTD)*SupplyChain_Tier2_Backend[[#This Row],[Converted data]]/1000</f>
        <v>#N/A</v>
      </c>
      <c r="AL164" s="220" t="e">
        <f>SUM(SupplyChain_Tier2_Backend[[#This Row],[Scope 1 (tCO2e)]:[Scope 3 WTT T&amp;D (tCO2e)]])</f>
        <v>#N/A</v>
      </c>
      <c r="AM164" s="220" t="e">
        <f>SupplyChain_Tier2_Backend[[#This Row],[Total (tCO2e)]]*(1-SupplyChain_Tier2_Backend[[#This Row],[RSD]])</f>
        <v>#N/A</v>
      </c>
      <c r="AN164" s="220" t="e">
        <f>SupplyChain_Tier2_Backend[[#This Row],[Total (tCO2e)]]*(1+SupplyChain_Tier2_Backend[[#This Row],[RSD]])</f>
        <v>#N/A</v>
      </c>
      <c r="AO164" s="210" t="e">
        <f>_xlfn.XLOOKUP(_xlfn.CONCAT(SupplyChain_Tier2_Backend[[#This Row],[Level 1]:[Level 6]]),rng_EFConcat,rng_EFOOS)*SupplyChain_Tier2_Backend[[#This Row],[Converted data]]/1000</f>
        <v>#N/A</v>
      </c>
      <c r="AP164" s="174">
        <f>SupplyChain_Tier2_Frontend[[#This Row],[Ease of collection]]</f>
        <v>0</v>
      </c>
      <c r="AQ164" s="213">
        <f>SupplyChain_Tier2_Frontend[[#This Row],[Completeness]]</f>
        <v>0</v>
      </c>
      <c r="AR164" s="213">
        <f>SupplyChain_Tier2_Frontend[[#This Row],[Notes]]</f>
        <v>0</v>
      </c>
    </row>
    <row r="165" spans="4:44" ht="14.5" x14ac:dyDescent="0.35">
      <c r="D165" s="147">
        <v>37</v>
      </c>
      <c r="E165" s="236" t="str">
        <f t="shared" si="9"/>
        <v/>
      </c>
      <c r="F165" s="336"/>
      <c r="G165" s="334"/>
      <c r="H165" s="334"/>
      <c r="I165" s="334"/>
      <c r="J165" s="336"/>
      <c r="K165" s="336"/>
      <c r="L165" s="337"/>
      <c r="M165" s="242">
        <f t="shared" si="8"/>
        <v>4</v>
      </c>
      <c r="Q165" s="211" t="str">
        <f t="shared" si="10"/>
        <v/>
      </c>
      <c r="R165" s="174" t="s">
        <v>267</v>
      </c>
      <c r="S165" s="174" t="s">
        <v>385</v>
      </c>
      <c r="T165" s="235" t="s">
        <v>385</v>
      </c>
      <c r="U165" s="173" t="str">
        <f>SupplyChain_Tier2_Frontend[[#This Row],[Category]]</f>
        <v/>
      </c>
      <c r="V165" s="173">
        <f>SupplyChain_Tier2_Frontend[[#This Row],[Product Category]]</f>
        <v>0</v>
      </c>
      <c r="W165" s="174" t="s">
        <v>339</v>
      </c>
      <c r="X165" s="174">
        <f>SupplyChain_Tier2_Frontend[[#This Row],[Data type]]</f>
        <v>0</v>
      </c>
      <c r="Y165" s="174" t="s">
        <v>339</v>
      </c>
      <c r="Z165" s="174" t="s">
        <v>199</v>
      </c>
      <c r="AA165" s="229" t="e" cm="1">
        <f t="array" ref="AA165">INDEX(_xlfn.SWITCH(SupplyChain_Tier2_Backend[[#This Row],[Methodology]],"Tier 1",rng_RSD1,"Tier 2",rng_RSD2,"Tier 3",rng_RSD3),MATCH(_xlfn.CONCAT(SupplyChain_Tier2_Backend[[#This Row],[Level 1]:[Level 6]]),rng_LevelsConcat,0))</f>
        <v>#N/A</v>
      </c>
      <c r="AB165" s="220">
        <f>SupplyChain_Tier2_Frontend[[#This Row],[Spend (£)]]</f>
        <v>0</v>
      </c>
      <c r="AC165" s="220" t="s">
        <v>383</v>
      </c>
      <c r="AD165" s="220">
        <f>SupplyChain_Tier2_Frontend[[#This Row],[Spend (£)]]</f>
        <v>0</v>
      </c>
      <c r="AE165" s="174" t="s">
        <v>383</v>
      </c>
      <c r="AF165" s="210" t="e">
        <f>_xlfn.XLOOKUP(_xlfn.CONCAT(SupplyChain_Tier2_Backend[[#This Row],[Level 1]:[Level 6]]),rng_EFConcat,rng_EF1)*SupplyChain_Tier2_Backend[[#This Row],[Converted data]]/1000</f>
        <v>#N/A</v>
      </c>
      <c r="AG165" s="210" t="e">
        <f>_xlfn.XLOOKUP(_xlfn.CONCAT(SupplyChain_Tier2_Backend[[#This Row],[Level 1]:[Level 6]]),rng_EFConcat,rng_EF2)*SupplyChain_Tier2_Backend[[#This Row],[Converted data]]/1000</f>
        <v>#N/A</v>
      </c>
      <c r="AH165" s="210">
        <f>SupplyChain_Tier2_Frontend[[#This Row],[Emissions (kgCO2e)]]/1000</f>
        <v>0</v>
      </c>
      <c r="AI165" s="210" t="e">
        <f>_xlfn.XLOOKUP(_xlfn.CONCAT(SupplyChain_Tier2_Backend[[#This Row],[Level 1]:[Level 6]]),rng_EFConcat,rng_EF3WTT)*SupplyChain_Tier2_Backend[[#This Row],[Converted data]]/1000</f>
        <v>#N/A</v>
      </c>
      <c r="AJ165" s="210" t="e">
        <f>_xlfn.XLOOKUP(_xlfn.CONCAT(SupplyChain_Tier2_Backend[[#This Row],[Level 1]:[Level 6]]),rng_EFConcat,rng_EF3TD)*SupplyChain_Tier2_Backend[[#This Row],[Converted data]]/1000</f>
        <v>#N/A</v>
      </c>
      <c r="AK165" s="210" t="e">
        <f>_xlfn.XLOOKUP(_xlfn.CONCAT(SupplyChain_Tier2_Backend[[#This Row],[Level 1]:[Level 6]]),rng_EFConcat,rng_EF3WTTTD)*SupplyChain_Tier2_Backend[[#This Row],[Converted data]]/1000</f>
        <v>#N/A</v>
      </c>
      <c r="AL165" s="220" t="e">
        <f>SUM(SupplyChain_Tier2_Backend[[#This Row],[Scope 1 (tCO2e)]:[Scope 3 WTT T&amp;D (tCO2e)]])</f>
        <v>#N/A</v>
      </c>
      <c r="AM165" s="220" t="e">
        <f>SupplyChain_Tier2_Backend[[#This Row],[Total (tCO2e)]]*(1-SupplyChain_Tier2_Backend[[#This Row],[RSD]])</f>
        <v>#N/A</v>
      </c>
      <c r="AN165" s="220" t="e">
        <f>SupplyChain_Tier2_Backend[[#This Row],[Total (tCO2e)]]*(1+SupplyChain_Tier2_Backend[[#This Row],[RSD]])</f>
        <v>#N/A</v>
      </c>
      <c r="AO165" s="210" t="e">
        <f>_xlfn.XLOOKUP(_xlfn.CONCAT(SupplyChain_Tier2_Backend[[#This Row],[Level 1]:[Level 6]]),rng_EFConcat,rng_EFOOS)*SupplyChain_Tier2_Backend[[#This Row],[Converted data]]/1000</f>
        <v>#N/A</v>
      </c>
      <c r="AP165" s="174">
        <f>SupplyChain_Tier2_Frontend[[#This Row],[Ease of collection]]</f>
        <v>0</v>
      </c>
      <c r="AQ165" s="213">
        <f>SupplyChain_Tier2_Frontend[[#This Row],[Completeness]]</f>
        <v>0</v>
      </c>
      <c r="AR165" s="213">
        <f>SupplyChain_Tier2_Frontend[[#This Row],[Notes]]</f>
        <v>0</v>
      </c>
    </row>
    <row r="166" spans="4:44" ht="14.5" x14ac:dyDescent="0.35">
      <c r="D166" s="147">
        <v>38</v>
      </c>
      <c r="E166" s="236" t="str">
        <f t="shared" si="9"/>
        <v/>
      </c>
      <c r="F166" s="336"/>
      <c r="G166" s="334"/>
      <c r="H166" s="334"/>
      <c r="I166" s="334"/>
      <c r="J166" s="336"/>
      <c r="K166" s="336"/>
      <c r="L166" s="337"/>
      <c r="M166" s="242">
        <f t="shared" si="8"/>
        <v>4</v>
      </c>
      <c r="Q166" s="211" t="str">
        <f t="shared" si="10"/>
        <v/>
      </c>
      <c r="R166" s="174" t="s">
        <v>267</v>
      </c>
      <c r="S166" s="174" t="s">
        <v>385</v>
      </c>
      <c r="T166" s="235" t="s">
        <v>385</v>
      </c>
      <c r="U166" s="173" t="str">
        <f>SupplyChain_Tier2_Frontend[[#This Row],[Category]]</f>
        <v/>
      </c>
      <c r="V166" s="173">
        <f>SupplyChain_Tier2_Frontend[[#This Row],[Product Category]]</f>
        <v>0</v>
      </c>
      <c r="W166" s="174" t="s">
        <v>339</v>
      </c>
      <c r="X166" s="174">
        <f>SupplyChain_Tier2_Frontend[[#This Row],[Data type]]</f>
        <v>0</v>
      </c>
      <c r="Y166" s="174" t="s">
        <v>339</v>
      </c>
      <c r="Z166" s="174" t="s">
        <v>199</v>
      </c>
      <c r="AA166" s="229" t="e" cm="1">
        <f t="array" ref="AA166">INDEX(_xlfn.SWITCH(SupplyChain_Tier2_Backend[[#This Row],[Methodology]],"Tier 1",rng_RSD1,"Tier 2",rng_RSD2,"Tier 3",rng_RSD3),MATCH(_xlfn.CONCAT(SupplyChain_Tier2_Backend[[#This Row],[Level 1]:[Level 6]]),rng_LevelsConcat,0))</f>
        <v>#N/A</v>
      </c>
      <c r="AB166" s="220">
        <f>SupplyChain_Tier2_Frontend[[#This Row],[Spend (£)]]</f>
        <v>0</v>
      </c>
      <c r="AC166" s="220" t="s">
        <v>383</v>
      </c>
      <c r="AD166" s="220">
        <f>SupplyChain_Tier2_Frontend[[#This Row],[Spend (£)]]</f>
        <v>0</v>
      </c>
      <c r="AE166" s="174" t="s">
        <v>383</v>
      </c>
      <c r="AF166" s="210" t="e">
        <f>_xlfn.XLOOKUP(_xlfn.CONCAT(SupplyChain_Tier2_Backend[[#This Row],[Level 1]:[Level 6]]),rng_EFConcat,rng_EF1)*SupplyChain_Tier2_Backend[[#This Row],[Converted data]]/1000</f>
        <v>#N/A</v>
      </c>
      <c r="AG166" s="210" t="e">
        <f>_xlfn.XLOOKUP(_xlfn.CONCAT(SupplyChain_Tier2_Backend[[#This Row],[Level 1]:[Level 6]]),rng_EFConcat,rng_EF2)*SupplyChain_Tier2_Backend[[#This Row],[Converted data]]/1000</f>
        <v>#N/A</v>
      </c>
      <c r="AH166" s="210">
        <f>SupplyChain_Tier2_Frontend[[#This Row],[Emissions (kgCO2e)]]/1000</f>
        <v>0</v>
      </c>
      <c r="AI166" s="210" t="e">
        <f>_xlfn.XLOOKUP(_xlfn.CONCAT(SupplyChain_Tier2_Backend[[#This Row],[Level 1]:[Level 6]]),rng_EFConcat,rng_EF3WTT)*SupplyChain_Tier2_Backend[[#This Row],[Converted data]]/1000</f>
        <v>#N/A</v>
      </c>
      <c r="AJ166" s="210" t="e">
        <f>_xlfn.XLOOKUP(_xlfn.CONCAT(SupplyChain_Tier2_Backend[[#This Row],[Level 1]:[Level 6]]),rng_EFConcat,rng_EF3TD)*SupplyChain_Tier2_Backend[[#This Row],[Converted data]]/1000</f>
        <v>#N/A</v>
      </c>
      <c r="AK166" s="210" t="e">
        <f>_xlfn.XLOOKUP(_xlfn.CONCAT(SupplyChain_Tier2_Backend[[#This Row],[Level 1]:[Level 6]]),rng_EFConcat,rng_EF3WTTTD)*SupplyChain_Tier2_Backend[[#This Row],[Converted data]]/1000</f>
        <v>#N/A</v>
      </c>
      <c r="AL166" s="220" t="e">
        <f>SUM(SupplyChain_Tier2_Backend[[#This Row],[Scope 1 (tCO2e)]:[Scope 3 WTT T&amp;D (tCO2e)]])</f>
        <v>#N/A</v>
      </c>
      <c r="AM166" s="220" t="e">
        <f>SupplyChain_Tier2_Backend[[#This Row],[Total (tCO2e)]]*(1-SupplyChain_Tier2_Backend[[#This Row],[RSD]])</f>
        <v>#N/A</v>
      </c>
      <c r="AN166" s="220" t="e">
        <f>SupplyChain_Tier2_Backend[[#This Row],[Total (tCO2e)]]*(1+SupplyChain_Tier2_Backend[[#This Row],[RSD]])</f>
        <v>#N/A</v>
      </c>
      <c r="AO166" s="210" t="e">
        <f>_xlfn.XLOOKUP(_xlfn.CONCAT(SupplyChain_Tier2_Backend[[#This Row],[Level 1]:[Level 6]]),rng_EFConcat,rng_EFOOS)*SupplyChain_Tier2_Backend[[#This Row],[Converted data]]/1000</f>
        <v>#N/A</v>
      </c>
      <c r="AP166" s="174">
        <f>SupplyChain_Tier2_Frontend[[#This Row],[Ease of collection]]</f>
        <v>0</v>
      </c>
      <c r="AQ166" s="213">
        <f>SupplyChain_Tier2_Frontend[[#This Row],[Completeness]]</f>
        <v>0</v>
      </c>
      <c r="AR166" s="213">
        <f>SupplyChain_Tier2_Frontend[[#This Row],[Notes]]</f>
        <v>0</v>
      </c>
    </row>
    <row r="167" spans="4:44" ht="14.5" x14ac:dyDescent="0.35">
      <c r="D167" s="147">
        <v>39</v>
      </c>
      <c r="E167" s="236" t="str">
        <f t="shared" si="9"/>
        <v/>
      </c>
      <c r="F167" s="336"/>
      <c r="G167" s="334"/>
      <c r="H167" s="334"/>
      <c r="I167" s="334"/>
      <c r="J167" s="336"/>
      <c r="K167" s="336"/>
      <c r="L167" s="337"/>
      <c r="M167" s="242">
        <f t="shared" si="8"/>
        <v>4</v>
      </c>
      <c r="Q167" s="211" t="str">
        <f t="shared" si="10"/>
        <v/>
      </c>
      <c r="R167" s="174" t="s">
        <v>267</v>
      </c>
      <c r="S167" s="174" t="s">
        <v>385</v>
      </c>
      <c r="T167" s="235" t="s">
        <v>385</v>
      </c>
      <c r="U167" s="173" t="str">
        <f>SupplyChain_Tier2_Frontend[[#This Row],[Category]]</f>
        <v/>
      </c>
      <c r="V167" s="173">
        <f>SupplyChain_Tier2_Frontend[[#This Row],[Product Category]]</f>
        <v>0</v>
      </c>
      <c r="W167" s="174" t="s">
        <v>339</v>
      </c>
      <c r="X167" s="174">
        <f>SupplyChain_Tier2_Frontend[[#This Row],[Data type]]</f>
        <v>0</v>
      </c>
      <c r="Y167" s="174" t="s">
        <v>339</v>
      </c>
      <c r="Z167" s="174" t="s">
        <v>199</v>
      </c>
      <c r="AA167" s="229" t="e" cm="1">
        <f t="array" ref="AA167">INDEX(_xlfn.SWITCH(SupplyChain_Tier2_Backend[[#This Row],[Methodology]],"Tier 1",rng_RSD1,"Tier 2",rng_RSD2,"Tier 3",rng_RSD3),MATCH(_xlfn.CONCAT(SupplyChain_Tier2_Backend[[#This Row],[Level 1]:[Level 6]]),rng_LevelsConcat,0))</f>
        <v>#N/A</v>
      </c>
      <c r="AB167" s="220">
        <f>SupplyChain_Tier2_Frontend[[#This Row],[Spend (£)]]</f>
        <v>0</v>
      </c>
      <c r="AC167" s="220" t="s">
        <v>383</v>
      </c>
      <c r="AD167" s="220">
        <f>SupplyChain_Tier2_Frontend[[#This Row],[Spend (£)]]</f>
        <v>0</v>
      </c>
      <c r="AE167" s="174" t="s">
        <v>383</v>
      </c>
      <c r="AF167" s="210" t="e">
        <f>_xlfn.XLOOKUP(_xlfn.CONCAT(SupplyChain_Tier2_Backend[[#This Row],[Level 1]:[Level 6]]),rng_EFConcat,rng_EF1)*SupplyChain_Tier2_Backend[[#This Row],[Converted data]]/1000</f>
        <v>#N/A</v>
      </c>
      <c r="AG167" s="210" t="e">
        <f>_xlfn.XLOOKUP(_xlfn.CONCAT(SupplyChain_Tier2_Backend[[#This Row],[Level 1]:[Level 6]]),rng_EFConcat,rng_EF2)*SupplyChain_Tier2_Backend[[#This Row],[Converted data]]/1000</f>
        <v>#N/A</v>
      </c>
      <c r="AH167" s="210">
        <f>SupplyChain_Tier2_Frontend[[#This Row],[Emissions (kgCO2e)]]/1000</f>
        <v>0</v>
      </c>
      <c r="AI167" s="210" t="e">
        <f>_xlfn.XLOOKUP(_xlfn.CONCAT(SupplyChain_Tier2_Backend[[#This Row],[Level 1]:[Level 6]]),rng_EFConcat,rng_EF3WTT)*SupplyChain_Tier2_Backend[[#This Row],[Converted data]]/1000</f>
        <v>#N/A</v>
      </c>
      <c r="AJ167" s="210" t="e">
        <f>_xlfn.XLOOKUP(_xlfn.CONCAT(SupplyChain_Tier2_Backend[[#This Row],[Level 1]:[Level 6]]),rng_EFConcat,rng_EF3TD)*SupplyChain_Tier2_Backend[[#This Row],[Converted data]]/1000</f>
        <v>#N/A</v>
      </c>
      <c r="AK167" s="210" t="e">
        <f>_xlfn.XLOOKUP(_xlfn.CONCAT(SupplyChain_Tier2_Backend[[#This Row],[Level 1]:[Level 6]]),rng_EFConcat,rng_EF3WTTTD)*SupplyChain_Tier2_Backend[[#This Row],[Converted data]]/1000</f>
        <v>#N/A</v>
      </c>
      <c r="AL167" s="220" t="e">
        <f>SUM(SupplyChain_Tier2_Backend[[#This Row],[Scope 1 (tCO2e)]:[Scope 3 WTT T&amp;D (tCO2e)]])</f>
        <v>#N/A</v>
      </c>
      <c r="AM167" s="220" t="e">
        <f>SupplyChain_Tier2_Backend[[#This Row],[Total (tCO2e)]]*(1-SupplyChain_Tier2_Backend[[#This Row],[RSD]])</f>
        <v>#N/A</v>
      </c>
      <c r="AN167" s="220" t="e">
        <f>SupplyChain_Tier2_Backend[[#This Row],[Total (tCO2e)]]*(1+SupplyChain_Tier2_Backend[[#This Row],[RSD]])</f>
        <v>#N/A</v>
      </c>
      <c r="AO167" s="210" t="e">
        <f>_xlfn.XLOOKUP(_xlfn.CONCAT(SupplyChain_Tier2_Backend[[#This Row],[Level 1]:[Level 6]]),rng_EFConcat,rng_EFOOS)*SupplyChain_Tier2_Backend[[#This Row],[Converted data]]/1000</f>
        <v>#N/A</v>
      </c>
      <c r="AP167" s="174">
        <f>SupplyChain_Tier2_Frontend[[#This Row],[Ease of collection]]</f>
        <v>0</v>
      </c>
      <c r="AQ167" s="213">
        <f>SupplyChain_Tier2_Frontend[[#This Row],[Completeness]]</f>
        <v>0</v>
      </c>
      <c r="AR167" s="213">
        <f>SupplyChain_Tier2_Frontend[[#This Row],[Notes]]</f>
        <v>0</v>
      </c>
    </row>
    <row r="168" spans="4:44" ht="14.5" x14ac:dyDescent="0.35">
      <c r="D168" s="147">
        <v>40</v>
      </c>
      <c r="E168" s="236" t="str">
        <f t="shared" si="9"/>
        <v/>
      </c>
      <c r="F168" s="336"/>
      <c r="G168" s="334"/>
      <c r="H168" s="334"/>
      <c r="I168" s="334"/>
      <c r="J168" s="336"/>
      <c r="K168" s="336"/>
      <c r="L168" s="337"/>
      <c r="M168" s="242">
        <f t="shared" si="8"/>
        <v>4</v>
      </c>
      <c r="Q168" s="211" t="str">
        <f t="shared" si="10"/>
        <v/>
      </c>
      <c r="R168" s="174" t="s">
        <v>267</v>
      </c>
      <c r="S168" s="174" t="s">
        <v>385</v>
      </c>
      <c r="T168" s="235" t="s">
        <v>385</v>
      </c>
      <c r="U168" s="173" t="str">
        <f>SupplyChain_Tier2_Frontend[[#This Row],[Category]]</f>
        <v/>
      </c>
      <c r="V168" s="173">
        <f>SupplyChain_Tier2_Frontend[[#This Row],[Product Category]]</f>
        <v>0</v>
      </c>
      <c r="W168" s="174" t="s">
        <v>339</v>
      </c>
      <c r="X168" s="174">
        <f>SupplyChain_Tier2_Frontend[[#This Row],[Data type]]</f>
        <v>0</v>
      </c>
      <c r="Y168" s="174" t="s">
        <v>339</v>
      </c>
      <c r="Z168" s="174" t="s">
        <v>199</v>
      </c>
      <c r="AA168" s="229" t="e" cm="1">
        <f t="array" ref="AA168">INDEX(_xlfn.SWITCH(SupplyChain_Tier2_Backend[[#This Row],[Methodology]],"Tier 1",rng_RSD1,"Tier 2",rng_RSD2,"Tier 3",rng_RSD3),MATCH(_xlfn.CONCAT(SupplyChain_Tier2_Backend[[#This Row],[Level 1]:[Level 6]]),rng_LevelsConcat,0))</f>
        <v>#N/A</v>
      </c>
      <c r="AB168" s="220">
        <f>SupplyChain_Tier2_Frontend[[#This Row],[Spend (£)]]</f>
        <v>0</v>
      </c>
      <c r="AC168" s="220" t="s">
        <v>383</v>
      </c>
      <c r="AD168" s="220">
        <f>SupplyChain_Tier2_Frontend[[#This Row],[Spend (£)]]</f>
        <v>0</v>
      </c>
      <c r="AE168" s="174" t="s">
        <v>383</v>
      </c>
      <c r="AF168" s="210" t="e">
        <f>_xlfn.XLOOKUP(_xlfn.CONCAT(SupplyChain_Tier2_Backend[[#This Row],[Level 1]:[Level 6]]),rng_EFConcat,rng_EF1)*SupplyChain_Tier2_Backend[[#This Row],[Converted data]]/1000</f>
        <v>#N/A</v>
      </c>
      <c r="AG168" s="210" t="e">
        <f>_xlfn.XLOOKUP(_xlfn.CONCAT(SupplyChain_Tier2_Backend[[#This Row],[Level 1]:[Level 6]]),rng_EFConcat,rng_EF2)*SupplyChain_Tier2_Backend[[#This Row],[Converted data]]/1000</f>
        <v>#N/A</v>
      </c>
      <c r="AH168" s="210">
        <f>SupplyChain_Tier2_Frontend[[#This Row],[Emissions (kgCO2e)]]/1000</f>
        <v>0</v>
      </c>
      <c r="AI168" s="210" t="e">
        <f>_xlfn.XLOOKUP(_xlfn.CONCAT(SupplyChain_Tier2_Backend[[#This Row],[Level 1]:[Level 6]]),rng_EFConcat,rng_EF3WTT)*SupplyChain_Tier2_Backend[[#This Row],[Converted data]]/1000</f>
        <v>#N/A</v>
      </c>
      <c r="AJ168" s="210" t="e">
        <f>_xlfn.XLOOKUP(_xlfn.CONCAT(SupplyChain_Tier2_Backend[[#This Row],[Level 1]:[Level 6]]),rng_EFConcat,rng_EF3TD)*SupplyChain_Tier2_Backend[[#This Row],[Converted data]]/1000</f>
        <v>#N/A</v>
      </c>
      <c r="AK168" s="210" t="e">
        <f>_xlfn.XLOOKUP(_xlfn.CONCAT(SupplyChain_Tier2_Backend[[#This Row],[Level 1]:[Level 6]]),rng_EFConcat,rng_EF3WTTTD)*SupplyChain_Tier2_Backend[[#This Row],[Converted data]]/1000</f>
        <v>#N/A</v>
      </c>
      <c r="AL168" s="220" t="e">
        <f>SUM(SupplyChain_Tier2_Backend[[#This Row],[Scope 1 (tCO2e)]:[Scope 3 WTT T&amp;D (tCO2e)]])</f>
        <v>#N/A</v>
      </c>
      <c r="AM168" s="220" t="e">
        <f>SupplyChain_Tier2_Backend[[#This Row],[Total (tCO2e)]]*(1-SupplyChain_Tier2_Backend[[#This Row],[RSD]])</f>
        <v>#N/A</v>
      </c>
      <c r="AN168" s="220" t="e">
        <f>SupplyChain_Tier2_Backend[[#This Row],[Total (tCO2e)]]*(1+SupplyChain_Tier2_Backend[[#This Row],[RSD]])</f>
        <v>#N/A</v>
      </c>
      <c r="AO168" s="210" t="e">
        <f>_xlfn.XLOOKUP(_xlfn.CONCAT(SupplyChain_Tier2_Backend[[#This Row],[Level 1]:[Level 6]]),rng_EFConcat,rng_EFOOS)*SupplyChain_Tier2_Backend[[#This Row],[Converted data]]/1000</f>
        <v>#N/A</v>
      </c>
      <c r="AP168" s="174">
        <f>SupplyChain_Tier2_Frontend[[#This Row],[Ease of collection]]</f>
        <v>0</v>
      </c>
      <c r="AQ168" s="213">
        <f>SupplyChain_Tier2_Frontend[[#This Row],[Completeness]]</f>
        <v>0</v>
      </c>
      <c r="AR168" s="213">
        <f>SupplyChain_Tier2_Frontend[[#This Row],[Notes]]</f>
        <v>0</v>
      </c>
    </row>
    <row r="169" spans="4:44" ht="14.5" x14ac:dyDescent="0.35">
      <c r="D169" s="147">
        <v>41</v>
      </c>
      <c r="E169" s="236" t="str">
        <f t="shared" si="9"/>
        <v/>
      </c>
      <c r="F169" s="336"/>
      <c r="G169" s="334"/>
      <c r="H169" s="334"/>
      <c r="I169" s="334"/>
      <c r="J169" s="336"/>
      <c r="K169" s="336"/>
      <c r="L169" s="337"/>
      <c r="M169" s="242">
        <f t="shared" si="8"/>
        <v>4</v>
      </c>
      <c r="Q169" s="211" t="str">
        <f t="shared" si="10"/>
        <v/>
      </c>
      <c r="R169" s="174" t="s">
        <v>267</v>
      </c>
      <c r="S169" s="174" t="s">
        <v>385</v>
      </c>
      <c r="T169" s="235" t="s">
        <v>385</v>
      </c>
      <c r="U169" s="173" t="str">
        <f>SupplyChain_Tier2_Frontend[[#This Row],[Category]]</f>
        <v/>
      </c>
      <c r="V169" s="173">
        <f>SupplyChain_Tier2_Frontend[[#This Row],[Product Category]]</f>
        <v>0</v>
      </c>
      <c r="W169" s="174" t="s">
        <v>339</v>
      </c>
      <c r="X169" s="174">
        <f>SupplyChain_Tier2_Frontend[[#This Row],[Data type]]</f>
        <v>0</v>
      </c>
      <c r="Y169" s="174" t="s">
        <v>339</v>
      </c>
      <c r="Z169" s="174" t="s">
        <v>199</v>
      </c>
      <c r="AA169" s="229" t="e" cm="1">
        <f t="array" ref="AA169">INDEX(_xlfn.SWITCH(SupplyChain_Tier2_Backend[[#This Row],[Methodology]],"Tier 1",rng_RSD1,"Tier 2",rng_RSD2,"Tier 3",rng_RSD3),MATCH(_xlfn.CONCAT(SupplyChain_Tier2_Backend[[#This Row],[Level 1]:[Level 6]]),rng_LevelsConcat,0))</f>
        <v>#N/A</v>
      </c>
      <c r="AB169" s="220">
        <f>SupplyChain_Tier2_Frontend[[#This Row],[Spend (£)]]</f>
        <v>0</v>
      </c>
      <c r="AC169" s="220" t="s">
        <v>383</v>
      </c>
      <c r="AD169" s="220">
        <f>SupplyChain_Tier2_Frontend[[#This Row],[Spend (£)]]</f>
        <v>0</v>
      </c>
      <c r="AE169" s="174" t="s">
        <v>383</v>
      </c>
      <c r="AF169" s="210" t="e">
        <f>_xlfn.XLOOKUP(_xlfn.CONCAT(SupplyChain_Tier2_Backend[[#This Row],[Level 1]:[Level 6]]),rng_EFConcat,rng_EF1)*SupplyChain_Tier2_Backend[[#This Row],[Converted data]]/1000</f>
        <v>#N/A</v>
      </c>
      <c r="AG169" s="210" t="e">
        <f>_xlfn.XLOOKUP(_xlfn.CONCAT(SupplyChain_Tier2_Backend[[#This Row],[Level 1]:[Level 6]]),rng_EFConcat,rng_EF2)*SupplyChain_Tier2_Backend[[#This Row],[Converted data]]/1000</f>
        <v>#N/A</v>
      </c>
      <c r="AH169" s="210">
        <f>SupplyChain_Tier2_Frontend[[#This Row],[Emissions (kgCO2e)]]/1000</f>
        <v>0</v>
      </c>
      <c r="AI169" s="210" t="e">
        <f>_xlfn.XLOOKUP(_xlfn.CONCAT(SupplyChain_Tier2_Backend[[#This Row],[Level 1]:[Level 6]]),rng_EFConcat,rng_EF3WTT)*SupplyChain_Tier2_Backend[[#This Row],[Converted data]]/1000</f>
        <v>#N/A</v>
      </c>
      <c r="AJ169" s="210" t="e">
        <f>_xlfn.XLOOKUP(_xlfn.CONCAT(SupplyChain_Tier2_Backend[[#This Row],[Level 1]:[Level 6]]),rng_EFConcat,rng_EF3TD)*SupplyChain_Tier2_Backend[[#This Row],[Converted data]]/1000</f>
        <v>#N/A</v>
      </c>
      <c r="AK169" s="210" t="e">
        <f>_xlfn.XLOOKUP(_xlfn.CONCAT(SupplyChain_Tier2_Backend[[#This Row],[Level 1]:[Level 6]]),rng_EFConcat,rng_EF3WTTTD)*SupplyChain_Tier2_Backend[[#This Row],[Converted data]]/1000</f>
        <v>#N/A</v>
      </c>
      <c r="AL169" s="220" t="e">
        <f>SUM(SupplyChain_Tier2_Backend[[#This Row],[Scope 1 (tCO2e)]:[Scope 3 WTT T&amp;D (tCO2e)]])</f>
        <v>#N/A</v>
      </c>
      <c r="AM169" s="220" t="e">
        <f>SupplyChain_Tier2_Backend[[#This Row],[Total (tCO2e)]]*(1-SupplyChain_Tier2_Backend[[#This Row],[RSD]])</f>
        <v>#N/A</v>
      </c>
      <c r="AN169" s="220" t="e">
        <f>SupplyChain_Tier2_Backend[[#This Row],[Total (tCO2e)]]*(1+SupplyChain_Tier2_Backend[[#This Row],[RSD]])</f>
        <v>#N/A</v>
      </c>
      <c r="AO169" s="210" t="e">
        <f>_xlfn.XLOOKUP(_xlfn.CONCAT(SupplyChain_Tier2_Backend[[#This Row],[Level 1]:[Level 6]]),rng_EFConcat,rng_EFOOS)*SupplyChain_Tier2_Backend[[#This Row],[Converted data]]/1000</f>
        <v>#N/A</v>
      </c>
      <c r="AP169" s="174">
        <f>SupplyChain_Tier2_Frontend[[#This Row],[Ease of collection]]</f>
        <v>0</v>
      </c>
      <c r="AQ169" s="213">
        <f>SupplyChain_Tier2_Frontend[[#This Row],[Completeness]]</f>
        <v>0</v>
      </c>
      <c r="AR169" s="213">
        <f>SupplyChain_Tier2_Frontend[[#This Row],[Notes]]</f>
        <v>0</v>
      </c>
    </row>
    <row r="170" spans="4:44" ht="14.5" x14ac:dyDescent="0.35">
      <c r="D170" s="147">
        <v>42</v>
      </c>
      <c r="E170" s="236" t="str">
        <f t="shared" si="9"/>
        <v/>
      </c>
      <c r="F170" s="336"/>
      <c r="G170" s="334"/>
      <c r="H170" s="334"/>
      <c r="I170" s="334"/>
      <c r="J170" s="336"/>
      <c r="K170" s="336"/>
      <c r="L170" s="337"/>
      <c r="M170" s="242">
        <f t="shared" si="8"/>
        <v>4</v>
      </c>
      <c r="Q170" s="211" t="str">
        <f t="shared" si="10"/>
        <v/>
      </c>
      <c r="R170" s="174" t="s">
        <v>267</v>
      </c>
      <c r="S170" s="174" t="s">
        <v>385</v>
      </c>
      <c r="T170" s="235" t="s">
        <v>385</v>
      </c>
      <c r="U170" s="173" t="str">
        <f>SupplyChain_Tier2_Frontend[[#This Row],[Category]]</f>
        <v/>
      </c>
      <c r="V170" s="173">
        <f>SupplyChain_Tier2_Frontend[[#This Row],[Product Category]]</f>
        <v>0</v>
      </c>
      <c r="W170" s="174" t="s">
        <v>339</v>
      </c>
      <c r="X170" s="174">
        <f>SupplyChain_Tier2_Frontend[[#This Row],[Data type]]</f>
        <v>0</v>
      </c>
      <c r="Y170" s="174" t="s">
        <v>339</v>
      </c>
      <c r="Z170" s="174" t="s">
        <v>199</v>
      </c>
      <c r="AA170" s="229" t="e" cm="1">
        <f t="array" ref="AA170">INDEX(_xlfn.SWITCH(SupplyChain_Tier2_Backend[[#This Row],[Methodology]],"Tier 1",rng_RSD1,"Tier 2",rng_RSD2,"Tier 3",rng_RSD3),MATCH(_xlfn.CONCAT(SupplyChain_Tier2_Backend[[#This Row],[Level 1]:[Level 6]]),rng_LevelsConcat,0))</f>
        <v>#N/A</v>
      </c>
      <c r="AB170" s="220">
        <f>SupplyChain_Tier2_Frontend[[#This Row],[Spend (£)]]</f>
        <v>0</v>
      </c>
      <c r="AC170" s="220" t="s">
        <v>383</v>
      </c>
      <c r="AD170" s="220">
        <f>SupplyChain_Tier2_Frontend[[#This Row],[Spend (£)]]</f>
        <v>0</v>
      </c>
      <c r="AE170" s="174" t="s">
        <v>383</v>
      </c>
      <c r="AF170" s="210" t="e">
        <f>_xlfn.XLOOKUP(_xlfn.CONCAT(SupplyChain_Tier2_Backend[[#This Row],[Level 1]:[Level 6]]),rng_EFConcat,rng_EF1)*SupplyChain_Tier2_Backend[[#This Row],[Converted data]]/1000</f>
        <v>#N/A</v>
      </c>
      <c r="AG170" s="210" t="e">
        <f>_xlfn.XLOOKUP(_xlfn.CONCAT(SupplyChain_Tier2_Backend[[#This Row],[Level 1]:[Level 6]]),rng_EFConcat,rng_EF2)*SupplyChain_Tier2_Backend[[#This Row],[Converted data]]/1000</f>
        <v>#N/A</v>
      </c>
      <c r="AH170" s="210">
        <f>SupplyChain_Tier2_Frontend[[#This Row],[Emissions (kgCO2e)]]/1000</f>
        <v>0</v>
      </c>
      <c r="AI170" s="210" t="e">
        <f>_xlfn.XLOOKUP(_xlfn.CONCAT(SupplyChain_Tier2_Backend[[#This Row],[Level 1]:[Level 6]]),rng_EFConcat,rng_EF3WTT)*SupplyChain_Tier2_Backend[[#This Row],[Converted data]]/1000</f>
        <v>#N/A</v>
      </c>
      <c r="AJ170" s="210" t="e">
        <f>_xlfn.XLOOKUP(_xlfn.CONCAT(SupplyChain_Tier2_Backend[[#This Row],[Level 1]:[Level 6]]),rng_EFConcat,rng_EF3TD)*SupplyChain_Tier2_Backend[[#This Row],[Converted data]]/1000</f>
        <v>#N/A</v>
      </c>
      <c r="AK170" s="210" t="e">
        <f>_xlfn.XLOOKUP(_xlfn.CONCAT(SupplyChain_Tier2_Backend[[#This Row],[Level 1]:[Level 6]]),rng_EFConcat,rng_EF3WTTTD)*SupplyChain_Tier2_Backend[[#This Row],[Converted data]]/1000</f>
        <v>#N/A</v>
      </c>
      <c r="AL170" s="220" t="e">
        <f>SUM(SupplyChain_Tier2_Backend[[#This Row],[Scope 1 (tCO2e)]:[Scope 3 WTT T&amp;D (tCO2e)]])</f>
        <v>#N/A</v>
      </c>
      <c r="AM170" s="220" t="e">
        <f>SupplyChain_Tier2_Backend[[#This Row],[Total (tCO2e)]]*(1-SupplyChain_Tier2_Backend[[#This Row],[RSD]])</f>
        <v>#N/A</v>
      </c>
      <c r="AN170" s="220" t="e">
        <f>SupplyChain_Tier2_Backend[[#This Row],[Total (tCO2e)]]*(1+SupplyChain_Tier2_Backend[[#This Row],[RSD]])</f>
        <v>#N/A</v>
      </c>
      <c r="AO170" s="210" t="e">
        <f>_xlfn.XLOOKUP(_xlfn.CONCAT(SupplyChain_Tier2_Backend[[#This Row],[Level 1]:[Level 6]]),rng_EFConcat,rng_EFOOS)*SupplyChain_Tier2_Backend[[#This Row],[Converted data]]/1000</f>
        <v>#N/A</v>
      </c>
      <c r="AP170" s="174">
        <f>SupplyChain_Tier2_Frontend[[#This Row],[Ease of collection]]</f>
        <v>0</v>
      </c>
      <c r="AQ170" s="213">
        <f>SupplyChain_Tier2_Frontend[[#This Row],[Completeness]]</f>
        <v>0</v>
      </c>
      <c r="AR170" s="213">
        <f>SupplyChain_Tier2_Frontend[[#This Row],[Notes]]</f>
        <v>0</v>
      </c>
    </row>
    <row r="171" spans="4:44" ht="14.5" x14ac:dyDescent="0.35">
      <c r="D171" s="147">
        <v>43</v>
      </c>
      <c r="E171" s="236" t="str">
        <f t="shared" si="9"/>
        <v/>
      </c>
      <c r="F171" s="336"/>
      <c r="G171" s="334"/>
      <c r="H171" s="334"/>
      <c r="I171" s="334"/>
      <c r="J171" s="336"/>
      <c r="K171" s="336"/>
      <c r="L171" s="337"/>
      <c r="M171" s="242">
        <f t="shared" si="8"/>
        <v>4</v>
      </c>
      <c r="Q171" s="211" t="str">
        <f t="shared" si="10"/>
        <v/>
      </c>
      <c r="R171" s="174" t="s">
        <v>267</v>
      </c>
      <c r="S171" s="174" t="s">
        <v>385</v>
      </c>
      <c r="T171" s="235" t="s">
        <v>385</v>
      </c>
      <c r="U171" s="173" t="str">
        <f>SupplyChain_Tier2_Frontend[[#This Row],[Category]]</f>
        <v/>
      </c>
      <c r="V171" s="173">
        <f>SupplyChain_Tier2_Frontend[[#This Row],[Product Category]]</f>
        <v>0</v>
      </c>
      <c r="W171" s="174" t="s">
        <v>339</v>
      </c>
      <c r="X171" s="174">
        <f>SupplyChain_Tier2_Frontend[[#This Row],[Data type]]</f>
        <v>0</v>
      </c>
      <c r="Y171" s="174" t="s">
        <v>339</v>
      </c>
      <c r="Z171" s="174" t="s">
        <v>199</v>
      </c>
      <c r="AA171" s="229" t="e" cm="1">
        <f t="array" ref="AA171">INDEX(_xlfn.SWITCH(SupplyChain_Tier2_Backend[[#This Row],[Methodology]],"Tier 1",rng_RSD1,"Tier 2",rng_RSD2,"Tier 3",rng_RSD3),MATCH(_xlfn.CONCAT(SupplyChain_Tier2_Backend[[#This Row],[Level 1]:[Level 6]]),rng_LevelsConcat,0))</f>
        <v>#N/A</v>
      </c>
      <c r="AB171" s="220">
        <f>SupplyChain_Tier2_Frontend[[#This Row],[Spend (£)]]</f>
        <v>0</v>
      </c>
      <c r="AC171" s="220" t="s">
        <v>383</v>
      </c>
      <c r="AD171" s="220">
        <f>SupplyChain_Tier2_Frontend[[#This Row],[Spend (£)]]</f>
        <v>0</v>
      </c>
      <c r="AE171" s="174" t="s">
        <v>383</v>
      </c>
      <c r="AF171" s="210" t="e">
        <f>_xlfn.XLOOKUP(_xlfn.CONCAT(SupplyChain_Tier2_Backend[[#This Row],[Level 1]:[Level 6]]),rng_EFConcat,rng_EF1)*SupplyChain_Tier2_Backend[[#This Row],[Converted data]]/1000</f>
        <v>#N/A</v>
      </c>
      <c r="AG171" s="210" t="e">
        <f>_xlfn.XLOOKUP(_xlfn.CONCAT(SupplyChain_Tier2_Backend[[#This Row],[Level 1]:[Level 6]]),rng_EFConcat,rng_EF2)*SupplyChain_Tier2_Backend[[#This Row],[Converted data]]/1000</f>
        <v>#N/A</v>
      </c>
      <c r="AH171" s="210">
        <f>SupplyChain_Tier2_Frontend[[#This Row],[Emissions (kgCO2e)]]/1000</f>
        <v>0</v>
      </c>
      <c r="AI171" s="210" t="e">
        <f>_xlfn.XLOOKUP(_xlfn.CONCAT(SupplyChain_Tier2_Backend[[#This Row],[Level 1]:[Level 6]]),rng_EFConcat,rng_EF3WTT)*SupplyChain_Tier2_Backend[[#This Row],[Converted data]]/1000</f>
        <v>#N/A</v>
      </c>
      <c r="AJ171" s="210" t="e">
        <f>_xlfn.XLOOKUP(_xlfn.CONCAT(SupplyChain_Tier2_Backend[[#This Row],[Level 1]:[Level 6]]),rng_EFConcat,rng_EF3TD)*SupplyChain_Tier2_Backend[[#This Row],[Converted data]]/1000</f>
        <v>#N/A</v>
      </c>
      <c r="AK171" s="210" t="e">
        <f>_xlfn.XLOOKUP(_xlfn.CONCAT(SupplyChain_Tier2_Backend[[#This Row],[Level 1]:[Level 6]]),rng_EFConcat,rng_EF3WTTTD)*SupplyChain_Tier2_Backend[[#This Row],[Converted data]]/1000</f>
        <v>#N/A</v>
      </c>
      <c r="AL171" s="220" t="e">
        <f>SUM(SupplyChain_Tier2_Backend[[#This Row],[Scope 1 (tCO2e)]:[Scope 3 WTT T&amp;D (tCO2e)]])</f>
        <v>#N/A</v>
      </c>
      <c r="AM171" s="220" t="e">
        <f>SupplyChain_Tier2_Backend[[#This Row],[Total (tCO2e)]]*(1-SupplyChain_Tier2_Backend[[#This Row],[RSD]])</f>
        <v>#N/A</v>
      </c>
      <c r="AN171" s="220" t="e">
        <f>SupplyChain_Tier2_Backend[[#This Row],[Total (tCO2e)]]*(1+SupplyChain_Tier2_Backend[[#This Row],[RSD]])</f>
        <v>#N/A</v>
      </c>
      <c r="AO171" s="210" t="e">
        <f>_xlfn.XLOOKUP(_xlfn.CONCAT(SupplyChain_Tier2_Backend[[#This Row],[Level 1]:[Level 6]]),rng_EFConcat,rng_EFOOS)*SupplyChain_Tier2_Backend[[#This Row],[Converted data]]/1000</f>
        <v>#N/A</v>
      </c>
      <c r="AP171" s="174">
        <f>SupplyChain_Tier2_Frontend[[#This Row],[Ease of collection]]</f>
        <v>0</v>
      </c>
      <c r="AQ171" s="213">
        <f>SupplyChain_Tier2_Frontend[[#This Row],[Completeness]]</f>
        <v>0</v>
      </c>
      <c r="AR171" s="213">
        <f>SupplyChain_Tier2_Frontend[[#This Row],[Notes]]</f>
        <v>0</v>
      </c>
    </row>
    <row r="172" spans="4:44" ht="14.5" x14ac:dyDescent="0.35">
      <c r="D172" s="147">
        <v>44</v>
      </c>
      <c r="E172" s="236" t="str">
        <f t="shared" si="9"/>
        <v/>
      </c>
      <c r="F172" s="336"/>
      <c r="G172" s="334"/>
      <c r="H172" s="334"/>
      <c r="I172" s="334"/>
      <c r="J172" s="336"/>
      <c r="K172" s="336"/>
      <c r="L172" s="337"/>
      <c r="M172" s="242">
        <f t="shared" si="8"/>
        <v>4</v>
      </c>
      <c r="Q172" s="211" t="str">
        <f t="shared" si="10"/>
        <v/>
      </c>
      <c r="R172" s="174" t="s">
        <v>267</v>
      </c>
      <c r="S172" s="174" t="s">
        <v>385</v>
      </c>
      <c r="T172" s="235" t="s">
        <v>385</v>
      </c>
      <c r="U172" s="173" t="str">
        <f>SupplyChain_Tier2_Frontend[[#This Row],[Category]]</f>
        <v/>
      </c>
      <c r="V172" s="173">
        <f>SupplyChain_Tier2_Frontend[[#This Row],[Product Category]]</f>
        <v>0</v>
      </c>
      <c r="W172" s="174" t="s">
        <v>339</v>
      </c>
      <c r="X172" s="174">
        <f>SupplyChain_Tier2_Frontend[[#This Row],[Data type]]</f>
        <v>0</v>
      </c>
      <c r="Y172" s="174" t="s">
        <v>339</v>
      </c>
      <c r="Z172" s="174" t="s">
        <v>199</v>
      </c>
      <c r="AA172" s="229" t="e" cm="1">
        <f t="array" ref="AA172">INDEX(_xlfn.SWITCH(SupplyChain_Tier2_Backend[[#This Row],[Methodology]],"Tier 1",rng_RSD1,"Tier 2",rng_RSD2,"Tier 3",rng_RSD3),MATCH(_xlfn.CONCAT(SupplyChain_Tier2_Backend[[#This Row],[Level 1]:[Level 6]]),rng_LevelsConcat,0))</f>
        <v>#N/A</v>
      </c>
      <c r="AB172" s="220">
        <f>SupplyChain_Tier2_Frontend[[#This Row],[Spend (£)]]</f>
        <v>0</v>
      </c>
      <c r="AC172" s="220" t="s">
        <v>383</v>
      </c>
      <c r="AD172" s="220">
        <f>SupplyChain_Tier2_Frontend[[#This Row],[Spend (£)]]</f>
        <v>0</v>
      </c>
      <c r="AE172" s="174" t="s">
        <v>383</v>
      </c>
      <c r="AF172" s="210" t="e">
        <f>_xlfn.XLOOKUP(_xlfn.CONCAT(SupplyChain_Tier2_Backend[[#This Row],[Level 1]:[Level 6]]),rng_EFConcat,rng_EF1)*SupplyChain_Tier2_Backend[[#This Row],[Converted data]]/1000</f>
        <v>#N/A</v>
      </c>
      <c r="AG172" s="210" t="e">
        <f>_xlfn.XLOOKUP(_xlfn.CONCAT(SupplyChain_Tier2_Backend[[#This Row],[Level 1]:[Level 6]]),rng_EFConcat,rng_EF2)*SupplyChain_Tier2_Backend[[#This Row],[Converted data]]/1000</f>
        <v>#N/A</v>
      </c>
      <c r="AH172" s="210">
        <f>SupplyChain_Tier2_Frontend[[#This Row],[Emissions (kgCO2e)]]/1000</f>
        <v>0</v>
      </c>
      <c r="AI172" s="210" t="e">
        <f>_xlfn.XLOOKUP(_xlfn.CONCAT(SupplyChain_Tier2_Backend[[#This Row],[Level 1]:[Level 6]]),rng_EFConcat,rng_EF3WTT)*SupplyChain_Tier2_Backend[[#This Row],[Converted data]]/1000</f>
        <v>#N/A</v>
      </c>
      <c r="AJ172" s="210" t="e">
        <f>_xlfn.XLOOKUP(_xlfn.CONCAT(SupplyChain_Tier2_Backend[[#This Row],[Level 1]:[Level 6]]),rng_EFConcat,rng_EF3TD)*SupplyChain_Tier2_Backend[[#This Row],[Converted data]]/1000</f>
        <v>#N/A</v>
      </c>
      <c r="AK172" s="210" t="e">
        <f>_xlfn.XLOOKUP(_xlfn.CONCAT(SupplyChain_Tier2_Backend[[#This Row],[Level 1]:[Level 6]]),rng_EFConcat,rng_EF3WTTTD)*SupplyChain_Tier2_Backend[[#This Row],[Converted data]]/1000</f>
        <v>#N/A</v>
      </c>
      <c r="AL172" s="220" t="e">
        <f>SUM(SupplyChain_Tier2_Backend[[#This Row],[Scope 1 (tCO2e)]:[Scope 3 WTT T&amp;D (tCO2e)]])</f>
        <v>#N/A</v>
      </c>
      <c r="AM172" s="220" t="e">
        <f>SupplyChain_Tier2_Backend[[#This Row],[Total (tCO2e)]]*(1-SupplyChain_Tier2_Backend[[#This Row],[RSD]])</f>
        <v>#N/A</v>
      </c>
      <c r="AN172" s="220" t="e">
        <f>SupplyChain_Tier2_Backend[[#This Row],[Total (tCO2e)]]*(1+SupplyChain_Tier2_Backend[[#This Row],[RSD]])</f>
        <v>#N/A</v>
      </c>
      <c r="AO172" s="210" t="e">
        <f>_xlfn.XLOOKUP(_xlfn.CONCAT(SupplyChain_Tier2_Backend[[#This Row],[Level 1]:[Level 6]]),rng_EFConcat,rng_EFOOS)*SupplyChain_Tier2_Backend[[#This Row],[Converted data]]/1000</f>
        <v>#N/A</v>
      </c>
      <c r="AP172" s="174">
        <f>SupplyChain_Tier2_Frontend[[#This Row],[Ease of collection]]</f>
        <v>0</v>
      </c>
      <c r="AQ172" s="213">
        <f>SupplyChain_Tier2_Frontend[[#This Row],[Completeness]]</f>
        <v>0</v>
      </c>
      <c r="AR172" s="213">
        <f>SupplyChain_Tier2_Frontend[[#This Row],[Notes]]</f>
        <v>0</v>
      </c>
    </row>
    <row r="173" spans="4:44" ht="14.5" x14ac:dyDescent="0.35">
      <c r="D173" s="147">
        <v>45</v>
      </c>
      <c r="E173" s="236" t="str">
        <f t="shared" si="9"/>
        <v/>
      </c>
      <c r="F173" s="336"/>
      <c r="G173" s="334"/>
      <c r="H173" s="334"/>
      <c r="I173" s="334"/>
      <c r="J173" s="336"/>
      <c r="K173" s="336"/>
      <c r="L173" s="337"/>
      <c r="M173" s="242">
        <f t="shared" si="8"/>
        <v>4</v>
      </c>
      <c r="Q173" s="211" t="str">
        <f t="shared" si="10"/>
        <v/>
      </c>
      <c r="R173" s="174" t="s">
        <v>267</v>
      </c>
      <c r="S173" s="174" t="s">
        <v>385</v>
      </c>
      <c r="T173" s="235" t="s">
        <v>385</v>
      </c>
      <c r="U173" s="173" t="str">
        <f>SupplyChain_Tier2_Frontend[[#This Row],[Category]]</f>
        <v/>
      </c>
      <c r="V173" s="173">
        <f>SupplyChain_Tier2_Frontend[[#This Row],[Product Category]]</f>
        <v>0</v>
      </c>
      <c r="W173" s="174" t="s">
        <v>339</v>
      </c>
      <c r="X173" s="174">
        <f>SupplyChain_Tier2_Frontend[[#This Row],[Data type]]</f>
        <v>0</v>
      </c>
      <c r="Y173" s="174" t="s">
        <v>339</v>
      </c>
      <c r="Z173" s="174" t="s">
        <v>199</v>
      </c>
      <c r="AA173" s="229" t="e" cm="1">
        <f t="array" ref="AA173">INDEX(_xlfn.SWITCH(SupplyChain_Tier2_Backend[[#This Row],[Methodology]],"Tier 1",rng_RSD1,"Tier 2",rng_RSD2,"Tier 3",rng_RSD3),MATCH(_xlfn.CONCAT(SupplyChain_Tier2_Backend[[#This Row],[Level 1]:[Level 6]]),rng_LevelsConcat,0))</f>
        <v>#N/A</v>
      </c>
      <c r="AB173" s="220">
        <f>SupplyChain_Tier2_Frontend[[#This Row],[Spend (£)]]</f>
        <v>0</v>
      </c>
      <c r="AC173" s="220" t="s">
        <v>383</v>
      </c>
      <c r="AD173" s="220">
        <f>SupplyChain_Tier2_Frontend[[#This Row],[Spend (£)]]</f>
        <v>0</v>
      </c>
      <c r="AE173" s="174" t="s">
        <v>383</v>
      </c>
      <c r="AF173" s="210" t="e">
        <f>_xlfn.XLOOKUP(_xlfn.CONCAT(SupplyChain_Tier2_Backend[[#This Row],[Level 1]:[Level 6]]),rng_EFConcat,rng_EF1)*SupplyChain_Tier2_Backend[[#This Row],[Converted data]]/1000</f>
        <v>#N/A</v>
      </c>
      <c r="AG173" s="210" t="e">
        <f>_xlfn.XLOOKUP(_xlfn.CONCAT(SupplyChain_Tier2_Backend[[#This Row],[Level 1]:[Level 6]]),rng_EFConcat,rng_EF2)*SupplyChain_Tier2_Backend[[#This Row],[Converted data]]/1000</f>
        <v>#N/A</v>
      </c>
      <c r="AH173" s="210">
        <f>SupplyChain_Tier2_Frontend[[#This Row],[Emissions (kgCO2e)]]/1000</f>
        <v>0</v>
      </c>
      <c r="AI173" s="210" t="e">
        <f>_xlfn.XLOOKUP(_xlfn.CONCAT(SupplyChain_Tier2_Backend[[#This Row],[Level 1]:[Level 6]]),rng_EFConcat,rng_EF3WTT)*SupplyChain_Tier2_Backend[[#This Row],[Converted data]]/1000</f>
        <v>#N/A</v>
      </c>
      <c r="AJ173" s="210" t="e">
        <f>_xlfn.XLOOKUP(_xlfn.CONCAT(SupplyChain_Tier2_Backend[[#This Row],[Level 1]:[Level 6]]),rng_EFConcat,rng_EF3TD)*SupplyChain_Tier2_Backend[[#This Row],[Converted data]]/1000</f>
        <v>#N/A</v>
      </c>
      <c r="AK173" s="210" t="e">
        <f>_xlfn.XLOOKUP(_xlfn.CONCAT(SupplyChain_Tier2_Backend[[#This Row],[Level 1]:[Level 6]]),rng_EFConcat,rng_EF3WTTTD)*SupplyChain_Tier2_Backend[[#This Row],[Converted data]]/1000</f>
        <v>#N/A</v>
      </c>
      <c r="AL173" s="220" t="e">
        <f>SUM(SupplyChain_Tier2_Backend[[#This Row],[Scope 1 (tCO2e)]:[Scope 3 WTT T&amp;D (tCO2e)]])</f>
        <v>#N/A</v>
      </c>
      <c r="AM173" s="220" t="e">
        <f>SupplyChain_Tier2_Backend[[#This Row],[Total (tCO2e)]]*(1-SupplyChain_Tier2_Backend[[#This Row],[RSD]])</f>
        <v>#N/A</v>
      </c>
      <c r="AN173" s="220" t="e">
        <f>SupplyChain_Tier2_Backend[[#This Row],[Total (tCO2e)]]*(1+SupplyChain_Tier2_Backend[[#This Row],[RSD]])</f>
        <v>#N/A</v>
      </c>
      <c r="AO173" s="210" t="e">
        <f>_xlfn.XLOOKUP(_xlfn.CONCAT(SupplyChain_Tier2_Backend[[#This Row],[Level 1]:[Level 6]]),rng_EFConcat,rng_EFOOS)*SupplyChain_Tier2_Backend[[#This Row],[Converted data]]/1000</f>
        <v>#N/A</v>
      </c>
      <c r="AP173" s="174">
        <f>SupplyChain_Tier2_Frontend[[#This Row],[Ease of collection]]</f>
        <v>0</v>
      </c>
      <c r="AQ173" s="213">
        <f>SupplyChain_Tier2_Frontend[[#This Row],[Completeness]]</f>
        <v>0</v>
      </c>
      <c r="AR173" s="213">
        <f>SupplyChain_Tier2_Frontend[[#This Row],[Notes]]</f>
        <v>0</v>
      </c>
    </row>
    <row r="174" spans="4:44" ht="14.5" x14ac:dyDescent="0.35">
      <c r="D174" s="147">
        <v>46</v>
      </c>
      <c r="E174" s="236" t="str">
        <f t="shared" si="9"/>
        <v/>
      </c>
      <c r="F174" s="336"/>
      <c r="G174" s="334"/>
      <c r="H174" s="334"/>
      <c r="I174" s="334"/>
      <c r="J174" s="336"/>
      <c r="K174" s="336"/>
      <c r="L174" s="337"/>
      <c r="M174" s="242">
        <f t="shared" si="8"/>
        <v>4</v>
      </c>
      <c r="Q174" s="211" t="str">
        <f t="shared" si="10"/>
        <v/>
      </c>
      <c r="R174" s="174" t="s">
        <v>267</v>
      </c>
      <c r="S174" s="174" t="s">
        <v>385</v>
      </c>
      <c r="T174" s="235" t="s">
        <v>385</v>
      </c>
      <c r="U174" s="173" t="str">
        <f>SupplyChain_Tier2_Frontend[[#This Row],[Category]]</f>
        <v/>
      </c>
      <c r="V174" s="173">
        <f>SupplyChain_Tier2_Frontend[[#This Row],[Product Category]]</f>
        <v>0</v>
      </c>
      <c r="W174" s="174" t="s">
        <v>339</v>
      </c>
      <c r="X174" s="174">
        <f>SupplyChain_Tier2_Frontend[[#This Row],[Data type]]</f>
        <v>0</v>
      </c>
      <c r="Y174" s="174" t="s">
        <v>339</v>
      </c>
      <c r="Z174" s="174" t="s">
        <v>199</v>
      </c>
      <c r="AA174" s="229" t="e" cm="1">
        <f t="array" ref="AA174">INDEX(_xlfn.SWITCH(SupplyChain_Tier2_Backend[[#This Row],[Methodology]],"Tier 1",rng_RSD1,"Tier 2",rng_RSD2,"Tier 3",rng_RSD3),MATCH(_xlfn.CONCAT(SupplyChain_Tier2_Backend[[#This Row],[Level 1]:[Level 6]]),rng_LevelsConcat,0))</f>
        <v>#N/A</v>
      </c>
      <c r="AB174" s="220">
        <f>SupplyChain_Tier2_Frontend[[#This Row],[Spend (£)]]</f>
        <v>0</v>
      </c>
      <c r="AC174" s="220" t="s">
        <v>383</v>
      </c>
      <c r="AD174" s="220">
        <f>SupplyChain_Tier2_Frontend[[#This Row],[Spend (£)]]</f>
        <v>0</v>
      </c>
      <c r="AE174" s="174" t="s">
        <v>383</v>
      </c>
      <c r="AF174" s="210" t="e">
        <f>_xlfn.XLOOKUP(_xlfn.CONCAT(SupplyChain_Tier2_Backend[[#This Row],[Level 1]:[Level 6]]),rng_EFConcat,rng_EF1)*SupplyChain_Tier2_Backend[[#This Row],[Converted data]]/1000</f>
        <v>#N/A</v>
      </c>
      <c r="AG174" s="210" t="e">
        <f>_xlfn.XLOOKUP(_xlfn.CONCAT(SupplyChain_Tier2_Backend[[#This Row],[Level 1]:[Level 6]]),rng_EFConcat,rng_EF2)*SupplyChain_Tier2_Backend[[#This Row],[Converted data]]/1000</f>
        <v>#N/A</v>
      </c>
      <c r="AH174" s="210">
        <f>SupplyChain_Tier2_Frontend[[#This Row],[Emissions (kgCO2e)]]/1000</f>
        <v>0</v>
      </c>
      <c r="AI174" s="210" t="e">
        <f>_xlfn.XLOOKUP(_xlfn.CONCAT(SupplyChain_Tier2_Backend[[#This Row],[Level 1]:[Level 6]]),rng_EFConcat,rng_EF3WTT)*SupplyChain_Tier2_Backend[[#This Row],[Converted data]]/1000</f>
        <v>#N/A</v>
      </c>
      <c r="AJ174" s="210" t="e">
        <f>_xlfn.XLOOKUP(_xlfn.CONCAT(SupplyChain_Tier2_Backend[[#This Row],[Level 1]:[Level 6]]),rng_EFConcat,rng_EF3TD)*SupplyChain_Tier2_Backend[[#This Row],[Converted data]]/1000</f>
        <v>#N/A</v>
      </c>
      <c r="AK174" s="210" t="e">
        <f>_xlfn.XLOOKUP(_xlfn.CONCAT(SupplyChain_Tier2_Backend[[#This Row],[Level 1]:[Level 6]]),rng_EFConcat,rng_EF3WTTTD)*SupplyChain_Tier2_Backend[[#This Row],[Converted data]]/1000</f>
        <v>#N/A</v>
      </c>
      <c r="AL174" s="220" t="e">
        <f>SUM(SupplyChain_Tier2_Backend[[#This Row],[Scope 1 (tCO2e)]:[Scope 3 WTT T&amp;D (tCO2e)]])</f>
        <v>#N/A</v>
      </c>
      <c r="AM174" s="220" t="e">
        <f>SupplyChain_Tier2_Backend[[#This Row],[Total (tCO2e)]]*(1-SupplyChain_Tier2_Backend[[#This Row],[RSD]])</f>
        <v>#N/A</v>
      </c>
      <c r="AN174" s="220" t="e">
        <f>SupplyChain_Tier2_Backend[[#This Row],[Total (tCO2e)]]*(1+SupplyChain_Tier2_Backend[[#This Row],[RSD]])</f>
        <v>#N/A</v>
      </c>
      <c r="AO174" s="210" t="e">
        <f>_xlfn.XLOOKUP(_xlfn.CONCAT(SupplyChain_Tier2_Backend[[#This Row],[Level 1]:[Level 6]]),rng_EFConcat,rng_EFOOS)*SupplyChain_Tier2_Backend[[#This Row],[Converted data]]/1000</f>
        <v>#N/A</v>
      </c>
      <c r="AP174" s="174">
        <f>SupplyChain_Tier2_Frontend[[#This Row],[Ease of collection]]</f>
        <v>0</v>
      </c>
      <c r="AQ174" s="213">
        <f>SupplyChain_Tier2_Frontend[[#This Row],[Completeness]]</f>
        <v>0</v>
      </c>
      <c r="AR174" s="213">
        <f>SupplyChain_Tier2_Frontend[[#This Row],[Notes]]</f>
        <v>0</v>
      </c>
    </row>
    <row r="175" spans="4:44" ht="14.5" x14ac:dyDescent="0.35">
      <c r="D175" s="147">
        <v>47</v>
      </c>
      <c r="E175" s="236" t="str">
        <f t="shared" si="9"/>
        <v/>
      </c>
      <c r="F175" s="336"/>
      <c r="G175" s="334"/>
      <c r="H175" s="334"/>
      <c r="I175" s="334"/>
      <c r="J175" s="336"/>
      <c r="K175" s="336"/>
      <c r="L175" s="337"/>
      <c r="M175" s="242">
        <f t="shared" si="8"/>
        <v>4</v>
      </c>
      <c r="Q175" s="211" t="str">
        <f t="shared" si="10"/>
        <v/>
      </c>
      <c r="R175" s="174" t="s">
        <v>267</v>
      </c>
      <c r="S175" s="174" t="s">
        <v>385</v>
      </c>
      <c r="T175" s="235" t="s">
        <v>385</v>
      </c>
      <c r="U175" s="173" t="str">
        <f>SupplyChain_Tier2_Frontend[[#This Row],[Category]]</f>
        <v/>
      </c>
      <c r="V175" s="173">
        <f>SupplyChain_Tier2_Frontend[[#This Row],[Product Category]]</f>
        <v>0</v>
      </c>
      <c r="W175" s="174" t="s">
        <v>339</v>
      </c>
      <c r="X175" s="174">
        <f>SupplyChain_Tier2_Frontend[[#This Row],[Data type]]</f>
        <v>0</v>
      </c>
      <c r="Y175" s="174" t="s">
        <v>339</v>
      </c>
      <c r="Z175" s="174" t="s">
        <v>199</v>
      </c>
      <c r="AA175" s="229" t="e" cm="1">
        <f t="array" ref="AA175">INDEX(_xlfn.SWITCH(SupplyChain_Tier2_Backend[[#This Row],[Methodology]],"Tier 1",rng_RSD1,"Tier 2",rng_RSD2,"Tier 3",rng_RSD3),MATCH(_xlfn.CONCAT(SupplyChain_Tier2_Backend[[#This Row],[Level 1]:[Level 6]]),rng_LevelsConcat,0))</f>
        <v>#N/A</v>
      </c>
      <c r="AB175" s="220">
        <f>SupplyChain_Tier2_Frontend[[#This Row],[Spend (£)]]</f>
        <v>0</v>
      </c>
      <c r="AC175" s="220" t="s">
        <v>383</v>
      </c>
      <c r="AD175" s="220">
        <f>SupplyChain_Tier2_Frontend[[#This Row],[Spend (£)]]</f>
        <v>0</v>
      </c>
      <c r="AE175" s="174" t="s">
        <v>383</v>
      </c>
      <c r="AF175" s="210" t="e">
        <f>_xlfn.XLOOKUP(_xlfn.CONCAT(SupplyChain_Tier2_Backend[[#This Row],[Level 1]:[Level 6]]),rng_EFConcat,rng_EF1)*SupplyChain_Tier2_Backend[[#This Row],[Converted data]]/1000</f>
        <v>#N/A</v>
      </c>
      <c r="AG175" s="210" t="e">
        <f>_xlfn.XLOOKUP(_xlfn.CONCAT(SupplyChain_Tier2_Backend[[#This Row],[Level 1]:[Level 6]]),rng_EFConcat,rng_EF2)*SupplyChain_Tier2_Backend[[#This Row],[Converted data]]/1000</f>
        <v>#N/A</v>
      </c>
      <c r="AH175" s="210">
        <f>SupplyChain_Tier2_Frontend[[#This Row],[Emissions (kgCO2e)]]/1000</f>
        <v>0</v>
      </c>
      <c r="AI175" s="210" t="e">
        <f>_xlfn.XLOOKUP(_xlfn.CONCAT(SupplyChain_Tier2_Backend[[#This Row],[Level 1]:[Level 6]]),rng_EFConcat,rng_EF3WTT)*SupplyChain_Tier2_Backend[[#This Row],[Converted data]]/1000</f>
        <v>#N/A</v>
      </c>
      <c r="AJ175" s="210" t="e">
        <f>_xlfn.XLOOKUP(_xlfn.CONCAT(SupplyChain_Tier2_Backend[[#This Row],[Level 1]:[Level 6]]),rng_EFConcat,rng_EF3TD)*SupplyChain_Tier2_Backend[[#This Row],[Converted data]]/1000</f>
        <v>#N/A</v>
      </c>
      <c r="AK175" s="210" t="e">
        <f>_xlfn.XLOOKUP(_xlfn.CONCAT(SupplyChain_Tier2_Backend[[#This Row],[Level 1]:[Level 6]]),rng_EFConcat,rng_EF3WTTTD)*SupplyChain_Tier2_Backend[[#This Row],[Converted data]]/1000</f>
        <v>#N/A</v>
      </c>
      <c r="AL175" s="220" t="e">
        <f>SUM(SupplyChain_Tier2_Backend[[#This Row],[Scope 1 (tCO2e)]:[Scope 3 WTT T&amp;D (tCO2e)]])</f>
        <v>#N/A</v>
      </c>
      <c r="AM175" s="220" t="e">
        <f>SupplyChain_Tier2_Backend[[#This Row],[Total (tCO2e)]]*(1-SupplyChain_Tier2_Backend[[#This Row],[RSD]])</f>
        <v>#N/A</v>
      </c>
      <c r="AN175" s="220" t="e">
        <f>SupplyChain_Tier2_Backend[[#This Row],[Total (tCO2e)]]*(1+SupplyChain_Tier2_Backend[[#This Row],[RSD]])</f>
        <v>#N/A</v>
      </c>
      <c r="AO175" s="210" t="e">
        <f>_xlfn.XLOOKUP(_xlfn.CONCAT(SupplyChain_Tier2_Backend[[#This Row],[Level 1]:[Level 6]]),rng_EFConcat,rng_EFOOS)*SupplyChain_Tier2_Backend[[#This Row],[Converted data]]/1000</f>
        <v>#N/A</v>
      </c>
      <c r="AP175" s="174">
        <f>SupplyChain_Tier2_Frontend[[#This Row],[Ease of collection]]</f>
        <v>0</v>
      </c>
      <c r="AQ175" s="213">
        <f>SupplyChain_Tier2_Frontend[[#This Row],[Completeness]]</f>
        <v>0</v>
      </c>
      <c r="AR175" s="213">
        <f>SupplyChain_Tier2_Frontend[[#This Row],[Notes]]</f>
        <v>0</v>
      </c>
    </row>
    <row r="176" spans="4:44" ht="14.5" x14ac:dyDescent="0.35">
      <c r="D176" s="147">
        <v>48</v>
      </c>
      <c r="E176" s="236" t="str">
        <f t="shared" si="9"/>
        <v/>
      </c>
      <c r="F176" s="336"/>
      <c r="G176" s="334"/>
      <c r="H176" s="334"/>
      <c r="I176" s="334"/>
      <c r="J176" s="336"/>
      <c r="K176" s="336"/>
      <c r="L176" s="337"/>
      <c r="M176" s="242">
        <f t="shared" si="8"/>
        <v>4</v>
      </c>
      <c r="Q176" s="211" t="str">
        <f t="shared" si="10"/>
        <v/>
      </c>
      <c r="R176" s="174" t="s">
        <v>267</v>
      </c>
      <c r="S176" s="174" t="s">
        <v>385</v>
      </c>
      <c r="T176" s="235" t="s">
        <v>385</v>
      </c>
      <c r="U176" s="173" t="str">
        <f>SupplyChain_Tier2_Frontend[[#This Row],[Category]]</f>
        <v/>
      </c>
      <c r="V176" s="173">
        <f>SupplyChain_Tier2_Frontend[[#This Row],[Product Category]]</f>
        <v>0</v>
      </c>
      <c r="W176" s="174" t="s">
        <v>339</v>
      </c>
      <c r="X176" s="174">
        <f>SupplyChain_Tier2_Frontend[[#This Row],[Data type]]</f>
        <v>0</v>
      </c>
      <c r="Y176" s="174" t="s">
        <v>339</v>
      </c>
      <c r="Z176" s="174" t="s">
        <v>199</v>
      </c>
      <c r="AA176" s="229" t="e" cm="1">
        <f t="array" ref="AA176">INDEX(_xlfn.SWITCH(SupplyChain_Tier2_Backend[[#This Row],[Methodology]],"Tier 1",rng_RSD1,"Tier 2",rng_RSD2,"Tier 3",rng_RSD3),MATCH(_xlfn.CONCAT(SupplyChain_Tier2_Backend[[#This Row],[Level 1]:[Level 6]]),rng_LevelsConcat,0))</f>
        <v>#N/A</v>
      </c>
      <c r="AB176" s="220">
        <f>SupplyChain_Tier2_Frontend[[#This Row],[Spend (£)]]</f>
        <v>0</v>
      </c>
      <c r="AC176" s="220" t="s">
        <v>383</v>
      </c>
      <c r="AD176" s="220">
        <f>SupplyChain_Tier2_Frontend[[#This Row],[Spend (£)]]</f>
        <v>0</v>
      </c>
      <c r="AE176" s="174" t="s">
        <v>383</v>
      </c>
      <c r="AF176" s="210" t="e">
        <f>_xlfn.XLOOKUP(_xlfn.CONCAT(SupplyChain_Tier2_Backend[[#This Row],[Level 1]:[Level 6]]),rng_EFConcat,rng_EF1)*SupplyChain_Tier2_Backend[[#This Row],[Converted data]]/1000</f>
        <v>#N/A</v>
      </c>
      <c r="AG176" s="210" t="e">
        <f>_xlfn.XLOOKUP(_xlfn.CONCAT(SupplyChain_Tier2_Backend[[#This Row],[Level 1]:[Level 6]]),rng_EFConcat,rng_EF2)*SupplyChain_Tier2_Backend[[#This Row],[Converted data]]/1000</f>
        <v>#N/A</v>
      </c>
      <c r="AH176" s="210">
        <f>SupplyChain_Tier2_Frontend[[#This Row],[Emissions (kgCO2e)]]/1000</f>
        <v>0</v>
      </c>
      <c r="AI176" s="210" t="e">
        <f>_xlfn.XLOOKUP(_xlfn.CONCAT(SupplyChain_Tier2_Backend[[#This Row],[Level 1]:[Level 6]]),rng_EFConcat,rng_EF3WTT)*SupplyChain_Tier2_Backend[[#This Row],[Converted data]]/1000</f>
        <v>#N/A</v>
      </c>
      <c r="AJ176" s="210" t="e">
        <f>_xlfn.XLOOKUP(_xlfn.CONCAT(SupplyChain_Tier2_Backend[[#This Row],[Level 1]:[Level 6]]),rng_EFConcat,rng_EF3TD)*SupplyChain_Tier2_Backend[[#This Row],[Converted data]]/1000</f>
        <v>#N/A</v>
      </c>
      <c r="AK176" s="210" t="e">
        <f>_xlfn.XLOOKUP(_xlfn.CONCAT(SupplyChain_Tier2_Backend[[#This Row],[Level 1]:[Level 6]]),rng_EFConcat,rng_EF3WTTTD)*SupplyChain_Tier2_Backend[[#This Row],[Converted data]]/1000</f>
        <v>#N/A</v>
      </c>
      <c r="AL176" s="220" t="e">
        <f>SUM(SupplyChain_Tier2_Backend[[#This Row],[Scope 1 (tCO2e)]:[Scope 3 WTT T&amp;D (tCO2e)]])</f>
        <v>#N/A</v>
      </c>
      <c r="AM176" s="220" t="e">
        <f>SupplyChain_Tier2_Backend[[#This Row],[Total (tCO2e)]]*(1-SupplyChain_Tier2_Backend[[#This Row],[RSD]])</f>
        <v>#N/A</v>
      </c>
      <c r="AN176" s="220" t="e">
        <f>SupplyChain_Tier2_Backend[[#This Row],[Total (tCO2e)]]*(1+SupplyChain_Tier2_Backend[[#This Row],[RSD]])</f>
        <v>#N/A</v>
      </c>
      <c r="AO176" s="210" t="e">
        <f>_xlfn.XLOOKUP(_xlfn.CONCAT(SupplyChain_Tier2_Backend[[#This Row],[Level 1]:[Level 6]]),rng_EFConcat,rng_EFOOS)*SupplyChain_Tier2_Backend[[#This Row],[Converted data]]/1000</f>
        <v>#N/A</v>
      </c>
      <c r="AP176" s="174">
        <f>SupplyChain_Tier2_Frontend[[#This Row],[Ease of collection]]</f>
        <v>0</v>
      </c>
      <c r="AQ176" s="213">
        <f>SupplyChain_Tier2_Frontend[[#This Row],[Completeness]]</f>
        <v>0</v>
      </c>
      <c r="AR176" s="213">
        <f>SupplyChain_Tier2_Frontend[[#This Row],[Notes]]</f>
        <v>0</v>
      </c>
    </row>
    <row r="177" spans="4:44" ht="14.5" x14ac:dyDescent="0.35">
      <c r="D177" s="147">
        <v>49</v>
      </c>
      <c r="E177" s="236" t="str">
        <f t="shared" si="9"/>
        <v/>
      </c>
      <c r="F177" s="336"/>
      <c r="G177" s="334"/>
      <c r="H177" s="334"/>
      <c r="I177" s="334"/>
      <c r="J177" s="336"/>
      <c r="K177" s="336"/>
      <c r="L177" s="337"/>
      <c r="M177" s="242">
        <f t="shared" si="8"/>
        <v>4</v>
      </c>
      <c r="Q177" s="211" t="str">
        <f t="shared" si="10"/>
        <v/>
      </c>
      <c r="R177" s="174" t="s">
        <v>267</v>
      </c>
      <c r="S177" s="174" t="s">
        <v>385</v>
      </c>
      <c r="T177" s="235" t="s">
        <v>385</v>
      </c>
      <c r="U177" s="173" t="str">
        <f>SupplyChain_Tier2_Frontend[[#This Row],[Category]]</f>
        <v/>
      </c>
      <c r="V177" s="173">
        <f>SupplyChain_Tier2_Frontend[[#This Row],[Product Category]]</f>
        <v>0</v>
      </c>
      <c r="W177" s="174" t="s">
        <v>339</v>
      </c>
      <c r="X177" s="174">
        <f>SupplyChain_Tier2_Frontend[[#This Row],[Data type]]</f>
        <v>0</v>
      </c>
      <c r="Y177" s="174" t="s">
        <v>339</v>
      </c>
      <c r="Z177" s="174" t="s">
        <v>199</v>
      </c>
      <c r="AA177" s="229" t="e" cm="1">
        <f t="array" ref="AA177">INDEX(_xlfn.SWITCH(SupplyChain_Tier2_Backend[[#This Row],[Methodology]],"Tier 1",rng_RSD1,"Tier 2",rng_RSD2,"Tier 3",rng_RSD3),MATCH(_xlfn.CONCAT(SupplyChain_Tier2_Backend[[#This Row],[Level 1]:[Level 6]]),rng_LevelsConcat,0))</f>
        <v>#N/A</v>
      </c>
      <c r="AB177" s="220">
        <f>SupplyChain_Tier2_Frontend[[#This Row],[Spend (£)]]</f>
        <v>0</v>
      </c>
      <c r="AC177" s="220" t="s">
        <v>383</v>
      </c>
      <c r="AD177" s="220">
        <f>SupplyChain_Tier2_Frontend[[#This Row],[Spend (£)]]</f>
        <v>0</v>
      </c>
      <c r="AE177" s="174" t="s">
        <v>383</v>
      </c>
      <c r="AF177" s="210" t="e">
        <f>_xlfn.XLOOKUP(_xlfn.CONCAT(SupplyChain_Tier2_Backend[[#This Row],[Level 1]:[Level 6]]),rng_EFConcat,rng_EF1)*SupplyChain_Tier2_Backend[[#This Row],[Converted data]]/1000</f>
        <v>#N/A</v>
      </c>
      <c r="AG177" s="210" t="e">
        <f>_xlfn.XLOOKUP(_xlfn.CONCAT(SupplyChain_Tier2_Backend[[#This Row],[Level 1]:[Level 6]]),rng_EFConcat,rng_EF2)*SupplyChain_Tier2_Backend[[#This Row],[Converted data]]/1000</f>
        <v>#N/A</v>
      </c>
      <c r="AH177" s="210">
        <f>SupplyChain_Tier2_Frontend[[#This Row],[Emissions (kgCO2e)]]/1000</f>
        <v>0</v>
      </c>
      <c r="AI177" s="210" t="e">
        <f>_xlfn.XLOOKUP(_xlfn.CONCAT(SupplyChain_Tier2_Backend[[#This Row],[Level 1]:[Level 6]]),rng_EFConcat,rng_EF3WTT)*SupplyChain_Tier2_Backend[[#This Row],[Converted data]]/1000</f>
        <v>#N/A</v>
      </c>
      <c r="AJ177" s="210" t="e">
        <f>_xlfn.XLOOKUP(_xlfn.CONCAT(SupplyChain_Tier2_Backend[[#This Row],[Level 1]:[Level 6]]),rng_EFConcat,rng_EF3TD)*SupplyChain_Tier2_Backend[[#This Row],[Converted data]]/1000</f>
        <v>#N/A</v>
      </c>
      <c r="AK177" s="210" t="e">
        <f>_xlfn.XLOOKUP(_xlfn.CONCAT(SupplyChain_Tier2_Backend[[#This Row],[Level 1]:[Level 6]]),rng_EFConcat,rng_EF3WTTTD)*SupplyChain_Tier2_Backend[[#This Row],[Converted data]]/1000</f>
        <v>#N/A</v>
      </c>
      <c r="AL177" s="220" t="e">
        <f>SUM(SupplyChain_Tier2_Backend[[#This Row],[Scope 1 (tCO2e)]:[Scope 3 WTT T&amp;D (tCO2e)]])</f>
        <v>#N/A</v>
      </c>
      <c r="AM177" s="220" t="e">
        <f>SupplyChain_Tier2_Backend[[#This Row],[Total (tCO2e)]]*(1-SupplyChain_Tier2_Backend[[#This Row],[RSD]])</f>
        <v>#N/A</v>
      </c>
      <c r="AN177" s="220" t="e">
        <f>SupplyChain_Tier2_Backend[[#This Row],[Total (tCO2e)]]*(1+SupplyChain_Tier2_Backend[[#This Row],[RSD]])</f>
        <v>#N/A</v>
      </c>
      <c r="AO177" s="210" t="e">
        <f>_xlfn.XLOOKUP(_xlfn.CONCAT(SupplyChain_Tier2_Backend[[#This Row],[Level 1]:[Level 6]]),rng_EFConcat,rng_EFOOS)*SupplyChain_Tier2_Backend[[#This Row],[Converted data]]/1000</f>
        <v>#N/A</v>
      </c>
      <c r="AP177" s="174">
        <f>SupplyChain_Tier2_Frontend[[#This Row],[Ease of collection]]</f>
        <v>0</v>
      </c>
      <c r="AQ177" s="213">
        <f>SupplyChain_Tier2_Frontend[[#This Row],[Completeness]]</f>
        <v>0</v>
      </c>
      <c r="AR177" s="213">
        <f>SupplyChain_Tier2_Frontend[[#This Row],[Notes]]</f>
        <v>0</v>
      </c>
    </row>
    <row r="178" spans="4:44" ht="14.5" x14ac:dyDescent="0.35">
      <c r="D178" s="147">
        <v>50</v>
      </c>
      <c r="E178" s="236" t="str">
        <f t="shared" si="9"/>
        <v/>
      </c>
      <c r="F178" s="336"/>
      <c r="G178" s="334"/>
      <c r="H178" s="334"/>
      <c r="I178" s="334"/>
      <c r="J178" s="336"/>
      <c r="K178" s="336"/>
      <c r="L178" s="337"/>
      <c r="M178" s="242">
        <f t="shared" si="8"/>
        <v>4</v>
      </c>
      <c r="Q178" s="211" t="str">
        <f t="shared" si="10"/>
        <v/>
      </c>
      <c r="R178" s="174" t="s">
        <v>267</v>
      </c>
      <c r="S178" s="174" t="s">
        <v>385</v>
      </c>
      <c r="T178" s="235" t="s">
        <v>385</v>
      </c>
      <c r="U178" s="173" t="str">
        <f>SupplyChain_Tier2_Frontend[[#This Row],[Category]]</f>
        <v/>
      </c>
      <c r="V178" s="173">
        <f>SupplyChain_Tier2_Frontend[[#This Row],[Product Category]]</f>
        <v>0</v>
      </c>
      <c r="W178" s="174" t="s">
        <v>339</v>
      </c>
      <c r="X178" s="174">
        <f>SupplyChain_Tier2_Frontend[[#This Row],[Data type]]</f>
        <v>0</v>
      </c>
      <c r="Y178" s="174" t="s">
        <v>339</v>
      </c>
      <c r="Z178" s="174" t="s">
        <v>199</v>
      </c>
      <c r="AA178" s="229" t="e" cm="1">
        <f t="array" ref="AA178">INDEX(_xlfn.SWITCH(SupplyChain_Tier2_Backend[[#This Row],[Methodology]],"Tier 1",rng_RSD1,"Tier 2",rng_RSD2,"Tier 3",rng_RSD3),MATCH(_xlfn.CONCAT(SupplyChain_Tier2_Backend[[#This Row],[Level 1]:[Level 6]]),rng_LevelsConcat,0))</f>
        <v>#N/A</v>
      </c>
      <c r="AB178" s="220">
        <f>SupplyChain_Tier2_Frontend[[#This Row],[Spend (£)]]</f>
        <v>0</v>
      </c>
      <c r="AC178" s="220" t="s">
        <v>383</v>
      </c>
      <c r="AD178" s="220">
        <f>SupplyChain_Tier2_Frontend[[#This Row],[Spend (£)]]</f>
        <v>0</v>
      </c>
      <c r="AE178" s="174" t="s">
        <v>383</v>
      </c>
      <c r="AF178" s="210" t="e">
        <f>_xlfn.XLOOKUP(_xlfn.CONCAT(SupplyChain_Tier2_Backend[[#This Row],[Level 1]:[Level 6]]),rng_EFConcat,rng_EF1)*SupplyChain_Tier2_Backend[[#This Row],[Converted data]]/1000</f>
        <v>#N/A</v>
      </c>
      <c r="AG178" s="210" t="e">
        <f>_xlfn.XLOOKUP(_xlfn.CONCAT(SupplyChain_Tier2_Backend[[#This Row],[Level 1]:[Level 6]]),rng_EFConcat,rng_EF2)*SupplyChain_Tier2_Backend[[#This Row],[Converted data]]/1000</f>
        <v>#N/A</v>
      </c>
      <c r="AH178" s="210">
        <f>SupplyChain_Tier2_Frontend[[#This Row],[Emissions (kgCO2e)]]/1000</f>
        <v>0</v>
      </c>
      <c r="AI178" s="210" t="e">
        <f>_xlfn.XLOOKUP(_xlfn.CONCAT(SupplyChain_Tier2_Backend[[#This Row],[Level 1]:[Level 6]]),rng_EFConcat,rng_EF3WTT)*SupplyChain_Tier2_Backend[[#This Row],[Converted data]]/1000</f>
        <v>#N/A</v>
      </c>
      <c r="AJ178" s="210" t="e">
        <f>_xlfn.XLOOKUP(_xlfn.CONCAT(SupplyChain_Tier2_Backend[[#This Row],[Level 1]:[Level 6]]),rng_EFConcat,rng_EF3TD)*SupplyChain_Tier2_Backend[[#This Row],[Converted data]]/1000</f>
        <v>#N/A</v>
      </c>
      <c r="AK178" s="210" t="e">
        <f>_xlfn.XLOOKUP(_xlfn.CONCAT(SupplyChain_Tier2_Backend[[#This Row],[Level 1]:[Level 6]]),rng_EFConcat,rng_EF3WTTTD)*SupplyChain_Tier2_Backend[[#This Row],[Converted data]]/1000</f>
        <v>#N/A</v>
      </c>
      <c r="AL178" s="220" t="e">
        <f>SUM(SupplyChain_Tier2_Backend[[#This Row],[Scope 1 (tCO2e)]:[Scope 3 WTT T&amp;D (tCO2e)]])</f>
        <v>#N/A</v>
      </c>
      <c r="AM178" s="220" t="e">
        <f>SupplyChain_Tier2_Backend[[#This Row],[Total (tCO2e)]]*(1-SupplyChain_Tier2_Backend[[#This Row],[RSD]])</f>
        <v>#N/A</v>
      </c>
      <c r="AN178" s="220" t="e">
        <f>SupplyChain_Tier2_Backend[[#This Row],[Total (tCO2e)]]*(1+SupplyChain_Tier2_Backend[[#This Row],[RSD]])</f>
        <v>#N/A</v>
      </c>
      <c r="AO178" s="210" t="e">
        <f>_xlfn.XLOOKUP(_xlfn.CONCAT(SupplyChain_Tier2_Backend[[#This Row],[Level 1]:[Level 6]]),rng_EFConcat,rng_EFOOS)*SupplyChain_Tier2_Backend[[#This Row],[Converted data]]/1000</f>
        <v>#N/A</v>
      </c>
      <c r="AP178" s="174">
        <f>SupplyChain_Tier2_Frontend[[#This Row],[Ease of collection]]</f>
        <v>0</v>
      </c>
      <c r="AQ178" s="213">
        <f>SupplyChain_Tier2_Frontend[[#This Row],[Completeness]]</f>
        <v>0</v>
      </c>
      <c r="AR178" s="213">
        <f>SupplyChain_Tier2_Frontend[[#This Row],[Notes]]</f>
        <v>0</v>
      </c>
    </row>
    <row r="179" spans="4:44" ht="14.5" x14ac:dyDescent="0.35">
      <c r="D179" s="147">
        <v>51</v>
      </c>
      <c r="E179" s="236" t="str">
        <f t="shared" si="9"/>
        <v/>
      </c>
      <c r="F179" s="336"/>
      <c r="G179" s="334"/>
      <c r="H179" s="334"/>
      <c r="I179" s="334"/>
      <c r="J179" s="336"/>
      <c r="K179" s="336"/>
      <c r="L179" s="337"/>
      <c r="M179" s="242">
        <f t="shared" si="8"/>
        <v>4</v>
      </c>
      <c r="Q179" s="211" t="str">
        <f t="shared" si="10"/>
        <v/>
      </c>
      <c r="R179" s="174" t="s">
        <v>267</v>
      </c>
      <c r="S179" s="174" t="s">
        <v>385</v>
      </c>
      <c r="T179" s="235" t="s">
        <v>385</v>
      </c>
      <c r="U179" s="173" t="str">
        <f>SupplyChain_Tier2_Frontend[[#This Row],[Category]]</f>
        <v/>
      </c>
      <c r="V179" s="173">
        <f>SupplyChain_Tier2_Frontend[[#This Row],[Product Category]]</f>
        <v>0</v>
      </c>
      <c r="W179" s="174" t="s">
        <v>339</v>
      </c>
      <c r="X179" s="174">
        <f>SupplyChain_Tier2_Frontend[[#This Row],[Data type]]</f>
        <v>0</v>
      </c>
      <c r="Y179" s="174" t="s">
        <v>339</v>
      </c>
      <c r="Z179" s="174" t="s">
        <v>199</v>
      </c>
      <c r="AA179" s="229" t="e" cm="1">
        <f t="array" ref="AA179">INDEX(_xlfn.SWITCH(SupplyChain_Tier2_Backend[[#This Row],[Methodology]],"Tier 1",rng_RSD1,"Tier 2",rng_RSD2,"Tier 3",rng_RSD3),MATCH(_xlfn.CONCAT(SupplyChain_Tier2_Backend[[#This Row],[Level 1]:[Level 6]]),rng_LevelsConcat,0))</f>
        <v>#N/A</v>
      </c>
      <c r="AB179" s="220">
        <f>SupplyChain_Tier2_Frontend[[#This Row],[Spend (£)]]</f>
        <v>0</v>
      </c>
      <c r="AC179" s="220" t="s">
        <v>383</v>
      </c>
      <c r="AD179" s="220">
        <f>SupplyChain_Tier2_Frontend[[#This Row],[Spend (£)]]</f>
        <v>0</v>
      </c>
      <c r="AE179" s="174" t="s">
        <v>383</v>
      </c>
      <c r="AF179" s="210" t="e">
        <f>_xlfn.XLOOKUP(_xlfn.CONCAT(SupplyChain_Tier2_Backend[[#This Row],[Level 1]:[Level 6]]),rng_EFConcat,rng_EF1)*SupplyChain_Tier2_Backend[[#This Row],[Converted data]]/1000</f>
        <v>#N/A</v>
      </c>
      <c r="AG179" s="210" t="e">
        <f>_xlfn.XLOOKUP(_xlfn.CONCAT(SupplyChain_Tier2_Backend[[#This Row],[Level 1]:[Level 6]]),rng_EFConcat,rng_EF2)*SupplyChain_Tier2_Backend[[#This Row],[Converted data]]/1000</f>
        <v>#N/A</v>
      </c>
      <c r="AH179" s="210">
        <f>SupplyChain_Tier2_Frontend[[#This Row],[Emissions (kgCO2e)]]/1000</f>
        <v>0</v>
      </c>
      <c r="AI179" s="210" t="e">
        <f>_xlfn.XLOOKUP(_xlfn.CONCAT(SupplyChain_Tier2_Backend[[#This Row],[Level 1]:[Level 6]]),rng_EFConcat,rng_EF3WTT)*SupplyChain_Tier2_Backend[[#This Row],[Converted data]]/1000</f>
        <v>#N/A</v>
      </c>
      <c r="AJ179" s="210" t="e">
        <f>_xlfn.XLOOKUP(_xlfn.CONCAT(SupplyChain_Tier2_Backend[[#This Row],[Level 1]:[Level 6]]),rng_EFConcat,rng_EF3TD)*SupplyChain_Tier2_Backend[[#This Row],[Converted data]]/1000</f>
        <v>#N/A</v>
      </c>
      <c r="AK179" s="210" t="e">
        <f>_xlfn.XLOOKUP(_xlfn.CONCAT(SupplyChain_Tier2_Backend[[#This Row],[Level 1]:[Level 6]]),rng_EFConcat,rng_EF3WTTTD)*SupplyChain_Tier2_Backend[[#This Row],[Converted data]]/1000</f>
        <v>#N/A</v>
      </c>
      <c r="AL179" s="220" t="e">
        <f>SUM(SupplyChain_Tier2_Backend[[#This Row],[Scope 1 (tCO2e)]:[Scope 3 WTT T&amp;D (tCO2e)]])</f>
        <v>#N/A</v>
      </c>
      <c r="AM179" s="220" t="e">
        <f>SupplyChain_Tier2_Backend[[#This Row],[Total (tCO2e)]]*(1-SupplyChain_Tier2_Backend[[#This Row],[RSD]])</f>
        <v>#N/A</v>
      </c>
      <c r="AN179" s="220" t="e">
        <f>SupplyChain_Tier2_Backend[[#This Row],[Total (tCO2e)]]*(1+SupplyChain_Tier2_Backend[[#This Row],[RSD]])</f>
        <v>#N/A</v>
      </c>
      <c r="AO179" s="210" t="e">
        <f>_xlfn.XLOOKUP(_xlfn.CONCAT(SupplyChain_Tier2_Backend[[#This Row],[Level 1]:[Level 6]]),rng_EFConcat,rng_EFOOS)*SupplyChain_Tier2_Backend[[#This Row],[Converted data]]/1000</f>
        <v>#N/A</v>
      </c>
      <c r="AP179" s="174">
        <f>SupplyChain_Tier2_Frontend[[#This Row],[Ease of collection]]</f>
        <v>0</v>
      </c>
      <c r="AQ179" s="213">
        <f>SupplyChain_Tier2_Frontend[[#This Row],[Completeness]]</f>
        <v>0</v>
      </c>
      <c r="AR179" s="213">
        <f>SupplyChain_Tier2_Frontend[[#This Row],[Notes]]</f>
        <v>0</v>
      </c>
    </row>
    <row r="180" spans="4:44" ht="14.5" x14ac:dyDescent="0.35">
      <c r="D180" s="147">
        <v>52</v>
      </c>
      <c r="E180" s="236" t="str">
        <f t="shared" si="9"/>
        <v/>
      </c>
      <c r="F180" s="336"/>
      <c r="G180" s="334"/>
      <c r="H180" s="334"/>
      <c r="I180" s="334"/>
      <c r="J180" s="336"/>
      <c r="K180" s="336"/>
      <c r="L180" s="337"/>
      <c r="M180" s="242">
        <f t="shared" si="8"/>
        <v>4</v>
      </c>
      <c r="Q180" s="211" t="str">
        <f t="shared" si="10"/>
        <v/>
      </c>
      <c r="R180" s="174" t="s">
        <v>267</v>
      </c>
      <c r="S180" s="174" t="s">
        <v>385</v>
      </c>
      <c r="T180" s="235" t="s">
        <v>385</v>
      </c>
      <c r="U180" s="173" t="str">
        <f>SupplyChain_Tier2_Frontend[[#This Row],[Category]]</f>
        <v/>
      </c>
      <c r="V180" s="173">
        <f>SupplyChain_Tier2_Frontend[[#This Row],[Product Category]]</f>
        <v>0</v>
      </c>
      <c r="W180" s="174" t="s">
        <v>339</v>
      </c>
      <c r="X180" s="174">
        <f>SupplyChain_Tier2_Frontend[[#This Row],[Data type]]</f>
        <v>0</v>
      </c>
      <c r="Y180" s="174" t="s">
        <v>339</v>
      </c>
      <c r="Z180" s="174" t="s">
        <v>199</v>
      </c>
      <c r="AA180" s="229" t="e" cm="1">
        <f t="array" ref="AA180">INDEX(_xlfn.SWITCH(SupplyChain_Tier2_Backend[[#This Row],[Methodology]],"Tier 1",rng_RSD1,"Tier 2",rng_RSD2,"Tier 3",rng_RSD3),MATCH(_xlfn.CONCAT(SupplyChain_Tier2_Backend[[#This Row],[Level 1]:[Level 6]]),rng_LevelsConcat,0))</f>
        <v>#N/A</v>
      </c>
      <c r="AB180" s="220">
        <f>SupplyChain_Tier2_Frontend[[#This Row],[Spend (£)]]</f>
        <v>0</v>
      </c>
      <c r="AC180" s="220" t="s">
        <v>383</v>
      </c>
      <c r="AD180" s="220">
        <f>SupplyChain_Tier2_Frontend[[#This Row],[Spend (£)]]</f>
        <v>0</v>
      </c>
      <c r="AE180" s="174" t="s">
        <v>383</v>
      </c>
      <c r="AF180" s="210" t="e">
        <f>_xlfn.XLOOKUP(_xlfn.CONCAT(SupplyChain_Tier2_Backend[[#This Row],[Level 1]:[Level 6]]),rng_EFConcat,rng_EF1)*SupplyChain_Tier2_Backend[[#This Row],[Converted data]]/1000</f>
        <v>#N/A</v>
      </c>
      <c r="AG180" s="210" t="e">
        <f>_xlfn.XLOOKUP(_xlfn.CONCAT(SupplyChain_Tier2_Backend[[#This Row],[Level 1]:[Level 6]]),rng_EFConcat,rng_EF2)*SupplyChain_Tier2_Backend[[#This Row],[Converted data]]/1000</f>
        <v>#N/A</v>
      </c>
      <c r="AH180" s="210">
        <f>SupplyChain_Tier2_Frontend[[#This Row],[Emissions (kgCO2e)]]/1000</f>
        <v>0</v>
      </c>
      <c r="AI180" s="210" t="e">
        <f>_xlfn.XLOOKUP(_xlfn.CONCAT(SupplyChain_Tier2_Backend[[#This Row],[Level 1]:[Level 6]]),rng_EFConcat,rng_EF3WTT)*SupplyChain_Tier2_Backend[[#This Row],[Converted data]]/1000</f>
        <v>#N/A</v>
      </c>
      <c r="AJ180" s="210" t="e">
        <f>_xlfn.XLOOKUP(_xlfn.CONCAT(SupplyChain_Tier2_Backend[[#This Row],[Level 1]:[Level 6]]),rng_EFConcat,rng_EF3TD)*SupplyChain_Tier2_Backend[[#This Row],[Converted data]]/1000</f>
        <v>#N/A</v>
      </c>
      <c r="AK180" s="210" t="e">
        <f>_xlfn.XLOOKUP(_xlfn.CONCAT(SupplyChain_Tier2_Backend[[#This Row],[Level 1]:[Level 6]]),rng_EFConcat,rng_EF3WTTTD)*SupplyChain_Tier2_Backend[[#This Row],[Converted data]]/1000</f>
        <v>#N/A</v>
      </c>
      <c r="AL180" s="220" t="e">
        <f>SUM(SupplyChain_Tier2_Backend[[#This Row],[Scope 1 (tCO2e)]:[Scope 3 WTT T&amp;D (tCO2e)]])</f>
        <v>#N/A</v>
      </c>
      <c r="AM180" s="220" t="e">
        <f>SupplyChain_Tier2_Backend[[#This Row],[Total (tCO2e)]]*(1-SupplyChain_Tier2_Backend[[#This Row],[RSD]])</f>
        <v>#N/A</v>
      </c>
      <c r="AN180" s="220" t="e">
        <f>SupplyChain_Tier2_Backend[[#This Row],[Total (tCO2e)]]*(1+SupplyChain_Tier2_Backend[[#This Row],[RSD]])</f>
        <v>#N/A</v>
      </c>
      <c r="AO180" s="210" t="e">
        <f>_xlfn.XLOOKUP(_xlfn.CONCAT(SupplyChain_Tier2_Backend[[#This Row],[Level 1]:[Level 6]]),rng_EFConcat,rng_EFOOS)*SupplyChain_Tier2_Backend[[#This Row],[Converted data]]/1000</f>
        <v>#N/A</v>
      </c>
      <c r="AP180" s="174">
        <f>SupplyChain_Tier2_Frontend[[#This Row],[Ease of collection]]</f>
        <v>0</v>
      </c>
      <c r="AQ180" s="213">
        <f>SupplyChain_Tier2_Frontend[[#This Row],[Completeness]]</f>
        <v>0</v>
      </c>
      <c r="AR180" s="213">
        <f>SupplyChain_Tier2_Frontend[[#This Row],[Notes]]</f>
        <v>0</v>
      </c>
    </row>
    <row r="181" spans="4:44" ht="14.5" x14ac:dyDescent="0.35">
      <c r="D181" s="147">
        <v>53</v>
      </c>
      <c r="E181" s="236" t="str">
        <f t="shared" si="9"/>
        <v/>
      </c>
      <c r="F181" s="336"/>
      <c r="G181" s="334"/>
      <c r="H181" s="334"/>
      <c r="I181" s="334"/>
      <c r="J181" s="336"/>
      <c r="K181" s="336"/>
      <c r="L181" s="337"/>
      <c r="M181" s="242">
        <f t="shared" si="8"/>
        <v>4</v>
      </c>
      <c r="Q181" s="211" t="str">
        <f t="shared" si="10"/>
        <v/>
      </c>
      <c r="R181" s="174" t="s">
        <v>267</v>
      </c>
      <c r="S181" s="174" t="s">
        <v>385</v>
      </c>
      <c r="T181" s="235" t="s">
        <v>385</v>
      </c>
      <c r="U181" s="173" t="str">
        <f>SupplyChain_Tier2_Frontend[[#This Row],[Category]]</f>
        <v/>
      </c>
      <c r="V181" s="173">
        <f>SupplyChain_Tier2_Frontend[[#This Row],[Product Category]]</f>
        <v>0</v>
      </c>
      <c r="W181" s="174" t="s">
        <v>339</v>
      </c>
      <c r="X181" s="174">
        <f>SupplyChain_Tier2_Frontend[[#This Row],[Data type]]</f>
        <v>0</v>
      </c>
      <c r="Y181" s="174" t="s">
        <v>339</v>
      </c>
      <c r="Z181" s="174" t="s">
        <v>199</v>
      </c>
      <c r="AA181" s="229" t="e" cm="1">
        <f t="array" ref="AA181">INDEX(_xlfn.SWITCH(SupplyChain_Tier2_Backend[[#This Row],[Methodology]],"Tier 1",rng_RSD1,"Tier 2",rng_RSD2,"Tier 3",rng_RSD3),MATCH(_xlfn.CONCAT(SupplyChain_Tier2_Backend[[#This Row],[Level 1]:[Level 6]]),rng_LevelsConcat,0))</f>
        <v>#N/A</v>
      </c>
      <c r="AB181" s="220">
        <f>SupplyChain_Tier2_Frontend[[#This Row],[Spend (£)]]</f>
        <v>0</v>
      </c>
      <c r="AC181" s="220" t="s">
        <v>383</v>
      </c>
      <c r="AD181" s="220">
        <f>SupplyChain_Tier2_Frontend[[#This Row],[Spend (£)]]</f>
        <v>0</v>
      </c>
      <c r="AE181" s="174" t="s">
        <v>383</v>
      </c>
      <c r="AF181" s="210" t="e">
        <f>_xlfn.XLOOKUP(_xlfn.CONCAT(SupplyChain_Tier2_Backend[[#This Row],[Level 1]:[Level 6]]),rng_EFConcat,rng_EF1)*SupplyChain_Tier2_Backend[[#This Row],[Converted data]]/1000</f>
        <v>#N/A</v>
      </c>
      <c r="AG181" s="210" t="e">
        <f>_xlfn.XLOOKUP(_xlfn.CONCAT(SupplyChain_Tier2_Backend[[#This Row],[Level 1]:[Level 6]]),rng_EFConcat,rng_EF2)*SupplyChain_Tier2_Backend[[#This Row],[Converted data]]/1000</f>
        <v>#N/A</v>
      </c>
      <c r="AH181" s="210">
        <f>SupplyChain_Tier2_Frontend[[#This Row],[Emissions (kgCO2e)]]/1000</f>
        <v>0</v>
      </c>
      <c r="AI181" s="210" t="e">
        <f>_xlfn.XLOOKUP(_xlfn.CONCAT(SupplyChain_Tier2_Backend[[#This Row],[Level 1]:[Level 6]]),rng_EFConcat,rng_EF3WTT)*SupplyChain_Tier2_Backend[[#This Row],[Converted data]]/1000</f>
        <v>#N/A</v>
      </c>
      <c r="AJ181" s="210" t="e">
        <f>_xlfn.XLOOKUP(_xlfn.CONCAT(SupplyChain_Tier2_Backend[[#This Row],[Level 1]:[Level 6]]),rng_EFConcat,rng_EF3TD)*SupplyChain_Tier2_Backend[[#This Row],[Converted data]]/1000</f>
        <v>#N/A</v>
      </c>
      <c r="AK181" s="210" t="e">
        <f>_xlfn.XLOOKUP(_xlfn.CONCAT(SupplyChain_Tier2_Backend[[#This Row],[Level 1]:[Level 6]]),rng_EFConcat,rng_EF3WTTTD)*SupplyChain_Tier2_Backend[[#This Row],[Converted data]]/1000</f>
        <v>#N/A</v>
      </c>
      <c r="AL181" s="220" t="e">
        <f>SUM(SupplyChain_Tier2_Backend[[#This Row],[Scope 1 (tCO2e)]:[Scope 3 WTT T&amp;D (tCO2e)]])</f>
        <v>#N/A</v>
      </c>
      <c r="AM181" s="220" t="e">
        <f>SupplyChain_Tier2_Backend[[#This Row],[Total (tCO2e)]]*(1-SupplyChain_Tier2_Backend[[#This Row],[RSD]])</f>
        <v>#N/A</v>
      </c>
      <c r="AN181" s="220" t="e">
        <f>SupplyChain_Tier2_Backend[[#This Row],[Total (tCO2e)]]*(1+SupplyChain_Tier2_Backend[[#This Row],[RSD]])</f>
        <v>#N/A</v>
      </c>
      <c r="AO181" s="210" t="e">
        <f>_xlfn.XLOOKUP(_xlfn.CONCAT(SupplyChain_Tier2_Backend[[#This Row],[Level 1]:[Level 6]]),rng_EFConcat,rng_EFOOS)*SupplyChain_Tier2_Backend[[#This Row],[Converted data]]/1000</f>
        <v>#N/A</v>
      </c>
      <c r="AP181" s="174">
        <f>SupplyChain_Tier2_Frontend[[#This Row],[Ease of collection]]</f>
        <v>0</v>
      </c>
      <c r="AQ181" s="213">
        <f>SupplyChain_Tier2_Frontend[[#This Row],[Completeness]]</f>
        <v>0</v>
      </c>
      <c r="AR181" s="213">
        <f>SupplyChain_Tier2_Frontend[[#This Row],[Notes]]</f>
        <v>0</v>
      </c>
    </row>
    <row r="182" spans="4:44" ht="14.5" x14ac:dyDescent="0.35">
      <c r="D182" s="147">
        <v>54</v>
      </c>
      <c r="E182" s="236" t="str">
        <f t="shared" si="9"/>
        <v/>
      </c>
      <c r="F182" s="336"/>
      <c r="G182" s="334"/>
      <c r="H182" s="334"/>
      <c r="I182" s="334"/>
      <c r="J182" s="336"/>
      <c r="K182" s="336"/>
      <c r="L182" s="337"/>
      <c r="M182" s="242">
        <f t="shared" si="8"/>
        <v>4</v>
      </c>
      <c r="Q182" s="211" t="str">
        <f t="shared" si="10"/>
        <v/>
      </c>
      <c r="R182" s="174" t="s">
        <v>267</v>
      </c>
      <c r="S182" s="174" t="s">
        <v>385</v>
      </c>
      <c r="T182" s="235" t="s">
        <v>385</v>
      </c>
      <c r="U182" s="173" t="str">
        <f>SupplyChain_Tier2_Frontend[[#This Row],[Category]]</f>
        <v/>
      </c>
      <c r="V182" s="173">
        <f>SupplyChain_Tier2_Frontend[[#This Row],[Product Category]]</f>
        <v>0</v>
      </c>
      <c r="W182" s="174" t="s">
        <v>339</v>
      </c>
      <c r="X182" s="174">
        <f>SupplyChain_Tier2_Frontend[[#This Row],[Data type]]</f>
        <v>0</v>
      </c>
      <c r="Y182" s="174" t="s">
        <v>339</v>
      </c>
      <c r="Z182" s="174" t="s">
        <v>199</v>
      </c>
      <c r="AA182" s="229" t="e" cm="1">
        <f t="array" ref="AA182">INDEX(_xlfn.SWITCH(SupplyChain_Tier2_Backend[[#This Row],[Methodology]],"Tier 1",rng_RSD1,"Tier 2",rng_RSD2,"Tier 3",rng_RSD3),MATCH(_xlfn.CONCAT(SupplyChain_Tier2_Backend[[#This Row],[Level 1]:[Level 6]]),rng_LevelsConcat,0))</f>
        <v>#N/A</v>
      </c>
      <c r="AB182" s="220">
        <f>SupplyChain_Tier2_Frontend[[#This Row],[Spend (£)]]</f>
        <v>0</v>
      </c>
      <c r="AC182" s="220" t="s">
        <v>383</v>
      </c>
      <c r="AD182" s="220">
        <f>SupplyChain_Tier2_Frontend[[#This Row],[Spend (£)]]</f>
        <v>0</v>
      </c>
      <c r="AE182" s="174" t="s">
        <v>383</v>
      </c>
      <c r="AF182" s="210" t="e">
        <f>_xlfn.XLOOKUP(_xlfn.CONCAT(SupplyChain_Tier2_Backend[[#This Row],[Level 1]:[Level 6]]),rng_EFConcat,rng_EF1)*SupplyChain_Tier2_Backend[[#This Row],[Converted data]]/1000</f>
        <v>#N/A</v>
      </c>
      <c r="AG182" s="210" t="e">
        <f>_xlfn.XLOOKUP(_xlfn.CONCAT(SupplyChain_Tier2_Backend[[#This Row],[Level 1]:[Level 6]]),rng_EFConcat,rng_EF2)*SupplyChain_Tier2_Backend[[#This Row],[Converted data]]/1000</f>
        <v>#N/A</v>
      </c>
      <c r="AH182" s="210">
        <f>SupplyChain_Tier2_Frontend[[#This Row],[Emissions (kgCO2e)]]/1000</f>
        <v>0</v>
      </c>
      <c r="AI182" s="210" t="e">
        <f>_xlfn.XLOOKUP(_xlfn.CONCAT(SupplyChain_Tier2_Backend[[#This Row],[Level 1]:[Level 6]]),rng_EFConcat,rng_EF3WTT)*SupplyChain_Tier2_Backend[[#This Row],[Converted data]]/1000</f>
        <v>#N/A</v>
      </c>
      <c r="AJ182" s="210" t="e">
        <f>_xlfn.XLOOKUP(_xlfn.CONCAT(SupplyChain_Tier2_Backend[[#This Row],[Level 1]:[Level 6]]),rng_EFConcat,rng_EF3TD)*SupplyChain_Tier2_Backend[[#This Row],[Converted data]]/1000</f>
        <v>#N/A</v>
      </c>
      <c r="AK182" s="210" t="e">
        <f>_xlfn.XLOOKUP(_xlfn.CONCAT(SupplyChain_Tier2_Backend[[#This Row],[Level 1]:[Level 6]]),rng_EFConcat,rng_EF3WTTTD)*SupplyChain_Tier2_Backend[[#This Row],[Converted data]]/1000</f>
        <v>#N/A</v>
      </c>
      <c r="AL182" s="220" t="e">
        <f>SUM(SupplyChain_Tier2_Backend[[#This Row],[Scope 1 (tCO2e)]:[Scope 3 WTT T&amp;D (tCO2e)]])</f>
        <v>#N/A</v>
      </c>
      <c r="AM182" s="220" t="e">
        <f>SupplyChain_Tier2_Backend[[#This Row],[Total (tCO2e)]]*(1-SupplyChain_Tier2_Backend[[#This Row],[RSD]])</f>
        <v>#N/A</v>
      </c>
      <c r="AN182" s="220" t="e">
        <f>SupplyChain_Tier2_Backend[[#This Row],[Total (tCO2e)]]*(1+SupplyChain_Tier2_Backend[[#This Row],[RSD]])</f>
        <v>#N/A</v>
      </c>
      <c r="AO182" s="210" t="e">
        <f>_xlfn.XLOOKUP(_xlfn.CONCAT(SupplyChain_Tier2_Backend[[#This Row],[Level 1]:[Level 6]]),rng_EFConcat,rng_EFOOS)*SupplyChain_Tier2_Backend[[#This Row],[Converted data]]/1000</f>
        <v>#N/A</v>
      </c>
      <c r="AP182" s="174">
        <f>SupplyChain_Tier2_Frontend[[#This Row],[Ease of collection]]</f>
        <v>0</v>
      </c>
      <c r="AQ182" s="213">
        <f>SupplyChain_Tier2_Frontend[[#This Row],[Completeness]]</f>
        <v>0</v>
      </c>
      <c r="AR182" s="213">
        <f>SupplyChain_Tier2_Frontend[[#This Row],[Notes]]</f>
        <v>0</v>
      </c>
    </row>
    <row r="183" spans="4:44" ht="14.5" x14ac:dyDescent="0.35">
      <c r="D183" s="147">
        <v>55</v>
      </c>
      <c r="E183" s="236" t="str">
        <f t="shared" si="9"/>
        <v/>
      </c>
      <c r="F183" s="336"/>
      <c r="G183" s="334"/>
      <c r="H183" s="334"/>
      <c r="I183" s="334"/>
      <c r="J183" s="336"/>
      <c r="K183" s="336"/>
      <c r="L183" s="337"/>
      <c r="M183" s="242">
        <f t="shared" si="8"/>
        <v>4</v>
      </c>
      <c r="Q183" s="211" t="str">
        <f t="shared" si="10"/>
        <v/>
      </c>
      <c r="R183" s="174" t="s">
        <v>267</v>
      </c>
      <c r="S183" s="174" t="s">
        <v>385</v>
      </c>
      <c r="T183" s="235" t="s">
        <v>385</v>
      </c>
      <c r="U183" s="173" t="str">
        <f>SupplyChain_Tier2_Frontend[[#This Row],[Category]]</f>
        <v/>
      </c>
      <c r="V183" s="173">
        <f>SupplyChain_Tier2_Frontend[[#This Row],[Product Category]]</f>
        <v>0</v>
      </c>
      <c r="W183" s="174" t="s">
        <v>339</v>
      </c>
      <c r="X183" s="174">
        <f>SupplyChain_Tier2_Frontend[[#This Row],[Data type]]</f>
        <v>0</v>
      </c>
      <c r="Y183" s="174" t="s">
        <v>339</v>
      </c>
      <c r="Z183" s="174" t="s">
        <v>199</v>
      </c>
      <c r="AA183" s="229" t="e" cm="1">
        <f t="array" ref="AA183">INDEX(_xlfn.SWITCH(SupplyChain_Tier2_Backend[[#This Row],[Methodology]],"Tier 1",rng_RSD1,"Tier 2",rng_RSD2,"Tier 3",rng_RSD3),MATCH(_xlfn.CONCAT(SupplyChain_Tier2_Backend[[#This Row],[Level 1]:[Level 6]]),rng_LevelsConcat,0))</f>
        <v>#N/A</v>
      </c>
      <c r="AB183" s="220">
        <f>SupplyChain_Tier2_Frontend[[#This Row],[Spend (£)]]</f>
        <v>0</v>
      </c>
      <c r="AC183" s="220" t="s">
        <v>383</v>
      </c>
      <c r="AD183" s="220">
        <f>SupplyChain_Tier2_Frontend[[#This Row],[Spend (£)]]</f>
        <v>0</v>
      </c>
      <c r="AE183" s="174" t="s">
        <v>383</v>
      </c>
      <c r="AF183" s="210" t="e">
        <f>_xlfn.XLOOKUP(_xlfn.CONCAT(SupplyChain_Tier2_Backend[[#This Row],[Level 1]:[Level 6]]),rng_EFConcat,rng_EF1)*SupplyChain_Tier2_Backend[[#This Row],[Converted data]]/1000</f>
        <v>#N/A</v>
      </c>
      <c r="AG183" s="210" t="e">
        <f>_xlfn.XLOOKUP(_xlfn.CONCAT(SupplyChain_Tier2_Backend[[#This Row],[Level 1]:[Level 6]]),rng_EFConcat,rng_EF2)*SupplyChain_Tier2_Backend[[#This Row],[Converted data]]/1000</f>
        <v>#N/A</v>
      </c>
      <c r="AH183" s="210">
        <f>SupplyChain_Tier2_Frontend[[#This Row],[Emissions (kgCO2e)]]/1000</f>
        <v>0</v>
      </c>
      <c r="AI183" s="210" t="e">
        <f>_xlfn.XLOOKUP(_xlfn.CONCAT(SupplyChain_Tier2_Backend[[#This Row],[Level 1]:[Level 6]]),rng_EFConcat,rng_EF3WTT)*SupplyChain_Tier2_Backend[[#This Row],[Converted data]]/1000</f>
        <v>#N/A</v>
      </c>
      <c r="AJ183" s="210" t="e">
        <f>_xlfn.XLOOKUP(_xlfn.CONCAT(SupplyChain_Tier2_Backend[[#This Row],[Level 1]:[Level 6]]),rng_EFConcat,rng_EF3TD)*SupplyChain_Tier2_Backend[[#This Row],[Converted data]]/1000</f>
        <v>#N/A</v>
      </c>
      <c r="AK183" s="210" t="e">
        <f>_xlfn.XLOOKUP(_xlfn.CONCAT(SupplyChain_Tier2_Backend[[#This Row],[Level 1]:[Level 6]]),rng_EFConcat,rng_EF3WTTTD)*SupplyChain_Tier2_Backend[[#This Row],[Converted data]]/1000</f>
        <v>#N/A</v>
      </c>
      <c r="AL183" s="220" t="e">
        <f>SUM(SupplyChain_Tier2_Backend[[#This Row],[Scope 1 (tCO2e)]:[Scope 3 WTT T&amp;D (tCO2e)]])</f>
        <v>#N/A</v>
      </c>
      <c r="AM183" s="220" t="e">
        <f>SupplyChain_Tier2_Backend[[#This Row],[Total (tCO2e)]]*(1-SupplyChain_Tier2_Backend[[#This Row],[RSD]])</f>
        <v>#N/A</v>
      </c>
      <c r="AN183" s="220" t="e">
        <f>SupplyChain_Tier2_Backend[[#This Row],[Total (tCO2e)]]*(1+SupplyChain_Tier2_Backend[[#This Row],[RSD]])</f>
        <v>#N/A</v>
      </c>
      <c r="AO183" s="210" t="e">
        <f>_xlfn.XLOOKUP(_xlfn.CONCAT(SupplyChain_Tier2_Backend[[#This Row],[Level 1]:[Level 6]]),rng_EFConcat,rng_EFOOS)*SupplyChain_Tier2_Backend[[#This Row],[Converted data]]/1000</f>
        <v>#N/A</v>
      </c>
      <c r="AP183" s="174">
        <f>SupplyChain_Tier2_Frontend[[#This Row],[Ease of collection]]</f>
        <v>0</v>
      </c>
      <c r="AQ183" s="213">
        <f>SupplyChain_Tier2_Frontend[[#This Row],[Completeness]]</f>
        <v>0</v>
      </c>
      <c r="AR183" s="213">
        <f>SupplyChain_Tier2_Frontend[[#This Row],[Notes]]</f>
        <v>0</v>
      </c>
    </row>
    <row r="184" spans="4:44" ht="14.5" x14ac:dyDescent="0.35">
      <c r="D184" s="147">
        <v>56</v>
      </c>
      <c r="E184" s="236" t="str">
        <f t="shared" si="9"/>
        <v/>
      </c>
      <c r="F184" s="336"/>
      <c r="G184" s="334"/>
      <c r="H184" s="334"/>
      <c r="I184" s="334"/>
      <c r="J184" s="336"/>
      <c r="K184" s="336"/>
      <c r="L184" s="337"/>
      <c r="M184" s="242">
        <f t="shared" si="8"/>
        <v>4</v>
      </c>
      <c r="Q184" s="211" t="str">
        <f t="shared" si="10"/>
        <v/>
      </c>
      <c r="R184" s="174" t="s">
        <v>267</v>
      </c>
      <c r="S184" s="174" t="s">
        <v>385</v>
      </c>
      <c r="T184" s="235" t="s">
        <v>385</v>
      </c>
      <c r="U184" s="173" t="str">
        <f>SupplyChain_Tier2_Frontend[[#This Row],[Category]]</f>
        <v/>
      </c>
      <c r="V184" s="173">
        <f>SupplyChain_Tier2_Frontend[[#This Row],[Product Category]]</f>
        <v>0</v>
      </c>
      <c r="W184" s="174" t="s">
        <v>339</v>
      </c>
      <c r="X184" s="174">
        <f>SupplyChain_Tier2_Frontend[[#This Row],[Data type]]</f>
        <v>0</v>
      </c>
      <c r="Y184" s="174" t="s">
        <v>339</v>
      </c>
      <c r="Z184" s="174" t="s">
        <v>199</v>
      </c>
      <c r="AA184" s="229" t="e" cm="1">
        <f t="array" ref="AA184">INDEX(_xlfn.SWITCH(SupplyChain_Tier2_Backend[[#This Row],[Methodology]],"Tier 1",rng_RSD1,"Tier 2",rng_RSD2,"Tier 3",rng_RSD3),MATCH(_xlfn.CONCAT(SupplyChain_Tier2_Backend[[#This Row],[Level 1]:[Level 6]]),rng_LevelsConcat,0))</f>
        <v>#N/A</v>
      </c>
      <c r="AB184" s="220">
        <f>SupplyChain_Tier2_Frontend[[#This Row],[Spend (£)]]</f>
        <v>0</v>
      </c>
      <c r="AC184" s="220" t="s">
        <v>383</v>
      </c>
      <c r="AD184" s="220">
        <f>SupplyChain_Tier2_Frontend[[#This Row],[Spend (£)]]</f>
        <v>0</v>
      </c>
      <c r="AE184" s="174" t="s">
        <v>383</v>
      </c>
      <c r="AF184" s="210" t="e">
        <f>_xlfn.XLOOKUP(_xlfn.CONCAT(SupplyChain_Tier2_Backend[[#This Row],[Level 1]:[Level 6]]),rng_EFConcat,rng_EF1)*SupplyChain_Tier2_Backend[[#This Row],[Converted data]]/1000</f>
        <v>#N/A</v>
      </c>
      <c r="AG184" s="210" t="e">
        <f>_xlfn.XLOOKUP(_xlfn.CONCAT(SupplyChain_Tier2_Backend[[#This Row],[Level 1]:[Level 6]]),rng_EFConcat,rng_EF2)*SupplyChain_Tier2_Backend[[#This Row],[Converted data]]/1000</f>
        <v>#N/A</v>
      </c>
      <c r="AH184" s="210">
        <f>SupplyChain_Tier2_Frontend[[#This Row],[Emissions (kgCO2e)]]/1000</f>
        <v>0</v>
      </c>
      <c r="AI184" s="210" t="e">
        <f>_xlfn.XLOOKUP(_xlfn.CONCAT(SupplyChain_Tier2_Backend[[#This Row],[Level 1]:[Level 6]]),rng_EFConcat,rng_EF3WTT)*SupplyChain_Tier2_Backend[[#This Row],[Converted data]]/1000</f>
        <v>#N/A</v>
      </c>
      <c r="AJ184" s="210" t="e">
        <f>_xlfn.XLOOKUP(_xlfn.CONCAT(SupplyChain_Tier2_Backend[[#This Row],[Level 1]:[Level 6]]),rng_EFConcat,rng_EF3TD)*SupplyChain_Tier2_Backend[[#This Row],[Converted data]]/1000</f>
        <v>#N/A</v>
      </c>
      <c r="AK184" s="210" t="e">
        <f>_xlfn.XLOOKUP(_xlfn.CONCAT(SupplyChain_Tier2_Backend[[#This Row],[Level 1]:[Level 6]]),rng_EFConcat,rng_EF3WTTTD)*SupplyChain_Tier2_Backend[[#This Row],[Converted data]]/1000</f>
        <v>#N/A</v>
      </c>
      <c r="AL184" s="220" t="e">
        <f>SUM(SupplyChain_Tier2_Backend[[#This Row],[Scope 1 (tCO2e)]:[Scope 3 WTT T&amp;D (tCO2e)]])</f>
        <v>#N/A</v>
      </c>
      <c r="AM184" s="220" t="e">
        <f>SupplyChain_Tier2_Backend[[#This Row],[Total (tCO2e)]]*(1-SupplyChain_Tier2_Backend[[#This Row],[RSD]])</f>
        <v>#N/A</v>
      </c>
      <c r="AN184" s="220" t="e">
        <f>SupplyChain_Tier2_Backend[[#This Row],[Total (tCO2e)]]*(1+SupplyChain_Tier2_Backend[[#This Row],[RSD]])</f>
        <v>#N/A</v>
      </c>
      <c r="AO184" s="210" t="e">
        <f>_xlfn.XLOOKUP(_xlfn.CONCAT(SupplyChain_Tier2_Backend[[#This Row],[Level 1]:[Level 6]]),rng_EFConcat,rng_EFOOS)*SupplyChain_Tier2_Backend[[#This Row],[Converted data]]/1000</f>
        <v>#N/A</v>
      </c>
      <c r="AP184" s="174">
        <f>SupplyChain_Tier2_Frontend[[#This Row],[Ease of collection]]</f>
        <v>0</v>
      </c>
      <c r="AQ184" s="213">
        <f>SupplyChain_Tier2_Frontend[[#This Row],[Completeness]]</f>
        <v>0</v>
      </c>
      <c r="AR184" s="213">
        <f>SupplyChain_Tier2_Frontend[[#This Row],[Notes]]</f>
        <v>0</v>
      </c>
    </row>
    <row r="185" spans="4:44" ht="14.5" x14ac:dyDescent="0.35">
      <c r="D185" s="147">
        <v>57</v>
      </c>
      <c r="E185" s="236" t="str">
        <f t="shared" si="9"/>
        <v/>
      </c>
      <c r="F185" s="336"/>
      <c r="G185" s="334"/>
      <c r="H185" s="334"/>
      <c r="I185" s="334"/>
      <c r="J185" s="336"/>
      <c r="K185" s="336"/>
      <c r="L185" s="337"/>
      <c r="M185" s="242">
        <f t="shared" si="8"/>
        <v>4</v>
      </c>
      <c r="Q185" s="211" t="str">
        <f t="shared" si="10"/>
        <v/>
      </c>
      <c r="R185" s="174" t="s">
        <v>267</v>
      </c>
      <c r="S185" s="174" t="s">
        <v>385</v>
      </c>
      <c r="T185" s="235" t="s">
        <v>385</v>
      </c>
      <c r="U185" s="173" t="str">
        <f>SupplyChain_Tier2_Frontend[[#This Row],[Category]]</f>
        <v/>
      </c>
      <c r="V185" s="173">
        <f>SupplyChain_Tier2_Frontend[[#This Row],[Product Category]]</f>
        <v>0</v>
      </c>
      <c r="W185" s="174" t="s">
        <v>339</v>
      </c>
      <c r="X185" s="174">
        <f>SupplyChain_Tier2_Frontend[[#This Row],[Data type]]</f>
        <v>0</v>
      </c>
      <c r="Y185" s="174" t="s">
        <v>339</v>
      </c>
      <c r="Z185" s="174" t="s">
        <v>199</v>
      </c>
      <c r="AA185" s="229" t="e" cm="1">
        <f t="array" ref="AA185">INDEX(_xlfn.SWITCH(SupplyChain_Tier2_Backend[[#This Row],[Methodology]],"Tier 1",rng_RSD1,"Tier 2",rng_RSD2,"Tier 3",rng_RSD3),MATCH(_xlfn.CONCAT(SupplyChain_Tier2_Backend[[#This Row],[Level 1]:[Level 6]]),rng_LevelsConcat,0))</f>
        <v>#N/A</v>
      </c>
      <c r="AB185" s="220">
        <f>SupplyChain_Tier2_Frontend[[#This Row],[Spend (£)]]</f>
        <v>0</v>
      </c>
      <c r="AC185" s="220" t="s">
        <v>383</v>
      </c>
      <c r="AD185" s="220">
        <f>SupplyChain_Tier2_Frontend[[#This Row],[Spend (£)]]</f>
        <v>0</v>
      </c>
      <c r="AE185" s="174" t="s">
        <v>383</v>
      </c>
      <c r="AF185" s="210" t="e">
        <f>_xlfn.XLOOKUP(_xlfn.CONCAT(SupplyChain_Tier2_Backend[[#This Row],[Level 1]:[Level 6]]),rng_EFConcat,rng_EF1)*SupplyChain_Tier2_Backend[[#This Row],[Converted data]]/1000</f>
        <v>#N/A</v>
      </c>
      <c r="AG185" s="210" t="e">
        <f>_xlfn.XLOOKUP(_xlfn.CONCAT(SupplyChain_Tier2_Backend[[#This Row],[Level 1]:[Level 6]]),rng_EFConcat,rng_EF2)*SupplyChain_Tier2_Backend[[#This Row],[Converted data]]/1000</f>
        <v>#N/A</v>
      </c>
      <c r="AH185" s="210">
        <f>SupplyChain_Tier2_Frontend[[#This Row],[Emissions (kgCO2e)]]/1000</f>
        <v>0</v>
      </c>
      <c r="AI185" s="210" t="e">
        <f>_xlfn.XLOOKUP(_xlfn.CONCAT(SupplyChain_Tier2_Backend[[#This Row],[Level 1]:[Level 6]]),rng_EFConcat,rng_EF3WTT)*SupplyChain_Tier2_Backend[[#This Row],[Converted data]]/1000</f>
        <v>#N/A</v>
      </c>
      <c r="AJ185" s="210" t="e">
        <f>_xlfn.XLOOKUP(_xlfn.CONCAT(SupplyChain_Tier2_Backend[[#This Row],[Level 1]:[Level 6]]),rng_EFConcat,rng_EF3TD)*SupplyChain_Tier2_Backend[[#This Row],[Converted data]]/1000</f>
        <v>#N/A</v>
      </c>
      <c r="AK185" s="210" t="e">
        <f>_xlfn.XLOOKUP(_xlfn.CONCAT(SupplyChain_Tier2_Backend[[#This Row],[Level 1]:[Level 6]]),rng_EFConcat,rng_EF3WTTTD)*SupplyChain_Tier2_Backend[[#This Row],[Converted data]]/1000</f>
        <v>#N/A</v>
      </c>
      <c r="AL185" s="220" t="e">
        <f>SUM(SupplyChain_Tier2_Backend[[#This Row],[Scope 1 (tCO2e)]:[Scope 3 WTT T&amp;D (tCO2e)]])</f>
        <v>#N/A</v>
      </c>
      <c r="AM185" s="220" t="e">
        <f>SupplyChain_Tier2_Backend[[#This Row],[Total (tCO2e)]]*(1-SupplyChain_Tier2_Backend[[#This Row],[RSD]])</f>
        <v>#N/A</v>
      </c>
      <c r="AN185" s="220" t="e">
        <f>SupplyChain_Tier2_Backend[[#This Row],[Total (tCO2e)]]*(1+SupplyChain_Tier2_Backend[[#This Row],[RSD]])</f>
        <v>#N/A</v>
      </c>
      <c r="AO185" s="210" t="e">
        <f>_xlfn.XLOOKUP(_xlfn.CONCAT(SupplyChain_Tier2_Backend[[#This Row],[Level 1]:[Level 6]]),rng_EFConcat,rng_EFOOS)*SupplyChain_Tier2_Backend[[#This Row],[Converted data]]/1000</f>
        <v>#N/A</v>
      </c>
      <c r="AP185" s="174">
        <f>SupplyChain_Tier2_Frontend[[#This Row],[Ease of collection]]</f>
        <v>0</v>
      </c>
      <c r="AQ185" s="213">
        <f>SupplyChain_Tier2_Frontend[[#This Row],[Completeness]]</f>
        <v>0</v>
      </c>
      <c r="AR185" s="213">
        <f>SupplyChain_Tier2_Frontend[[#This Row],[Notes]]</f>
        <v>0</v>
      </c>
    </row>
    <row r="186" spans="4:44" ht="14.5" x14ac:dyDescent="0.35">
      <c r="D186" s="147">
        <v>58</v>
      </c>
      <c r="E186" s="236" t="str">
        <f t="shared" si="9"/>
        <v/>
      </c>
      <c r="F186" s="336"/>
      <c r="G186" s="334"/>
      <c r="H186" s="334"/>
      <c r="I186" s="334"/>
      <c r="J186" s="336"/>
      <c r="K186" s="336"/>
      <c r="L186" s="337"/>
      <c r="M186" s="242">
        <f t="shared" si="8"/>
        <v>4</v>
      </c>
      <c r="Q186" s="211" t="str">
        <f t="shared" si="10"/>
        <v/>
      </c>
      <c r="R186" s="174" t="s">
        <v>267</v>
      </c>
      <c r="S186" s="174" t="s">
        <v>385</v>
      </c>
      <c r="T186" s="235" t="s">
        <v>385</v>
      </c>
      <c r="U186" s="173" t="str">
        <f>SupplyChain_Tier2_Frontend[[#This Row],[Category]]</f>
        <v/>
      </c>
      <c r="V186" s="173">
        <f>SupplyChain_Tier2_Frontend[[#This Row],[Product Category]]</f>
        <v>0</v>
      </c>
      <c r="W186" s="174" t="s">
        <v>339</v>
      </c>
      <c r="X186" s="174">
        <f>SupplyChain_Tier2_Frontend[[#This Row],[Data type]]</f>
        <v>0</v>
      </c>
      <c r="Y186" s="174" t="s">
        <v>339</v>
      </c>
      <c r="Z186" s="174" t="s">
        <v>199</v>
      </c>
      <c r="AA186" s="229" t="e" cm="1">
        <f t="array" ref="AA186">INDEX(_xlfn.SWITCH(SupplyChain_Tier2_Backend[[#This Row],[Methodology]],"Tier 1",rng_RSD1,"Tier 2",rng_RSD2,"Tier 3",rng_RSD3),MATCH(_xlfn.CONCAT(SupplyChain_Tier2_Backend[[#This Row],[Level 1]:[Level 6]]),rng_LevelsConcat,0))</f>
        <v>#N/A</v>
      </c>
      <c r="AB186" s="220">
        <f>SupplyChain_Tier2_Frontend[[#This Row],[Spend (£)]]</f>
        <v>0</v>
      </c>
      <c r="AC186" s="220" t="s">
        <v>383</v>
      </c>
      <c r="AD186" s="220">
        <f>SupplyChain_Tier2_Frontend[[#This Row],[Spend (£)]]</f>
        <v>0</v>
      </c>
      <c r="AE186" s="174" t="s">
        <v>383</v>
      </c>
      <c r="AF186" s="210" t="e">
        <f>_xlfn.XLOOKUP(_xlfn.CONCAT(SupplyChain_Tier2_Backend[[#This Row],[Level 1]:[Level 6]]),rng_EFConcat,rng_EF1)*SupplyChain_Tier2_Backend[[#This Row],[Converted data]]/1000</f>
        <v>#N/A</v>
      </c>
      <c r="AG186" s="210" t="e">
        <f>_xlfn.XLOOKUP(_xlfn.CONCAT(SupplyChain_Tier2_Backend[[#This Row],[Level 1]:[Level 6]]),rng_EFConcat,rng_EF2)*SupplyChain_Tier2_Backend[[#This Row],[Converted data]]/1000</f>
        <v>#N/A</v>
      </c>
      <c r="AH186" s="210">
        <f>SupplyChain_Tier2_Frontend[[#This Row],[Emissions (kgCO2e)]]/1000</f>
        <v>0</v>
      </c>
      <c r="AI186" s="210" t="e">
        <f>_xlfn.XLOOKUP(_xlfn.CONCAT(SupplyChain_Tier2_Backend[[#This Row],[Level 1]:[Level 6]]),rng_EFConcat,rng_EF3WTT)*SupplyChain_Tier2_Backend[[#This Row],[Converted data]]/1000</f>
        <v>#N/A</v>
      </c>
      <c r="AJ186" s="210" t="e">
        <f>_xlfn.XLOOKUP(_xlfn.CONCAT(SupplyChain_Tier2_Backend[[#This Row],[Level 1]:[Level 6]]),rng_EFConcat,rng_EF3TD)*SupplyChain_Tier2_Backend[[#This Row],[Converted data]]/1000</f>
        <v>#N/A</v>
      </c>
      <c r="AK186" s="210" t="e">
        <f>_xlfn.XLOOKUP(_xlfn.CONCAT(SupplyChain_Tier2_Backend[[#This Row],[Level 1]:[Level 6]]),rng_EFConcat,rng_EF3WTTTD)*SupplyChain_Tier2_Backend[[#This Row],[Converted data]]/1000</f>
        <v>#N/A</v>
      </c>
      <c r="AL186" s="220" t="e">
        <f>SUM(SupplyChain_Tier2_Backend[[#This Row],[Scope 1 (tCO2e)]:[Scope 3 WTT T&amp;D (tCO2e)]])</f>
        <v>#N/A</v>
      </c>
      <c r="AM186" s="220" t="e">
        <f>SupplyChain_Tier2_Backend[[#This Row],[Total (tCO2e)]]*(1-SupplyChain_Tier2_Backend[[#This Row],[RSD]])</f>
        <v>#N/A</v>
      </c>
      <c r="AN186" s="220" t="e">
        <f>SupplyChain_Tier2_Backend[[#This Row],[Total (tCO2e)]]*(1+SupplyChain_Tier2_Backend[[#This Row],[RSD]])</f>
        <v>#N/A</v>
      </c>
      <c r="AO186" s="210" t="e">
        <f>_xlfn.XLOOKUP(_xlfn.CONCAT(SupplyChain_Tier2_Backend[[#This Row],[Level 1]:[Level 6]]),rng_EFConcat,rng_EFOOS)*SupplyChain_Tier2_Backend[[#This Row],[Converted data]]/1000</f>
        <v>#N/A</v>
      </c>
      <c r="AP186" s="174">
        <f>SupplyChain_Tier2_Frontend[[#This Row],[Ease of collection]]</f>
        <v>0</v>
      </c>
      <c r="AQ186" s="213">
        <f>SupplyChain_Tier2_Frontend[[#This Row],[Completeness]]</f>
        <v>0</v>
      </c>
      <c r="AR186" s="213">
        <f>SupplyChain_Tier2_Frontend[[#This Row],[Notes]]</f>
        <v>0</v>
      </c>
    </row>
    <row r="187" spans="4:44" ht="14.5" x14ac:dyDescent="0.35">
      <c r="D187" s="147">
        <v>59</v>
      </c>
      <c r="E187" s="236" t="str">
        <f t="shared" si="9"/>
        <v/>
      </c>
      <c r="F187" s="336"/>
      <c r="G187" s="334"/>
      <c r="H187" s="334"/>
      <c r="I187" s="334"/>
      <c r="J187" s="336"/>
      <c r="K187" s="336"/>
      <c r="L187" s="337"/>
      <c r="M187" s="242">
        <f t="shared" si="8"/>
        <v>4</v>
      </c>
      <c r="Q187" s="211" t="str">
        <f t="shared" si="10"/>
        <v/>
      </c>
      <c r="R187" s="174" t="s">
        <v>267</v>
      </c>
      <c r="S187" s="174" t="s">
        <v>385</v>
      </c>
      <c r="T187" s="235" t="s">
        <v>385</v>
      </c>
      <c r="U187" s="173" t="str">
        <f>SupplyChain_Tier2_Frontend[[#This Row],[Category]]</f>
        <v/>
      </c>
      <c r="V187" s="173">
        <f>SupplyChain_Tier2_Frontend[[#This Row],[Product Category]]</f>
        <v>0</v>
      </c>
      <c r="W187" s="174" t="s">
        <v>339</v>
      </c>
      <c r="X187" s="174">
        <f>SupplyChain_Tier2_Frontend[[#This Row],[Data type]]</f>
        <v>0</v>
      </c>
      <c r="Y187" s="174" t="s">
        <v>339</v>
      </c>
      <c r="Z187" s="174" t="s">
        <v>199</v>
      </c>
      <c r="AA187" s="229" t="e" cm="1">
        <f t="array" ref="AA187">INDEX(_xlfn.SWITCH(SupplyChain_Tier2_Backend[[#This Row],[Methodology]],"Tier 1",rng_RSD1,"Tier 2",rng_RSD2,"Tier 3",rng_RSD3),MATCH(_xlfn.CONCAT(SupplyChain_Tier2_Backend[[#This Row],[Level 1]:[Level 6]]),rng_LevelsConcat,0))</f>
        <v>#N/A</v>
      </c>
      <c r="AB187" s="220">
        <f>SupplyChain_Tier2_Frontend[[#This Row],[Spend (£)]]</f>
        <v>0</v>
      </c>
      <c r="AC187" s="220" t="s">
        <v>383</v>
      </c>
      <c r="AD187" s="220">
        <f>SupplyChain_Tier2_Frontend[[#This Row],[Spend (£)]]</f>
        <v>0</v>
      </c>
      <c r="AE187" s="174" t="s">
        <v>383</v>
      </c>
      <c r="AF187" s="210" t="e">
        <f>_xlfn.XLOOKUP(_xlfn.CONCAT(SupplyChain_Tier2_Backend[[#This Row],[Level 1]:[Level 6]]),rng_EFConcat,rng_EF1)*SupplyChain_Tier2_Backend[[#This Row],[Converted data]]/1000</f>
        <v>#N/A</v>
      </c>
      <c r="AG187" s="210" t="e">
        <f>_xlfn.XLOOKUP(_xlfn.CONCAT(SupplyChain_Tier2_Backend[[#This Row],[Level 1]:[Level 6]]),rng_EFConcat,rng_EF2)*SupplyChain_Tier2_Backend[[#This Row],[Converted data]]/1000</f>
        <v>#N/A</v>
      </c>
      <c r="AH187" s="210">
        <f>SupplyChain_Tier2_Frontend[[#This Row],[Emissions (kgCO2e)]]/1000</f>
        <v>0</v>
      </c>
      <c r="AI187" s="210" t="e">
        <f>_xlfn.XLOOKUP(_xlfn.CONCAT(SupplyChain_Tier2_Backend[[#This Row],[Level 1]:[Level 6]]),rng_EFConcat,rng_EF3WTT)*SupplyChain_Tier2_Backend[[#This Row],[Converted data]]/1000</f>
        <v>#N/A</v>
      </c>
      <c r="AJ187" s="210" t="e">
        <f>_xlfn.XLOOKUP(_xlfn.CONCAT(SupplyChain_Tier2_Backend[[#This Row],[Level 1]:[Level 6]]),rng_EFConcat,rng_EF3TD)*SupplyChain_Tier2_Backend[[#This Row],[Converted data]]/1000</f>
        <v>#N/A</v>
      </c>
      <c r="AK187" s="210" t="e">
        <f>_xlfn.XLOOKUP(_xlfn.CONCAT(SupplyChain_Tier2_Backend[[#This Row],[Level 1]:[Level 6]]),rng_EFConcat,rng_EF3WTTTD)*SupplyChain_Tier2_Backend[[#This Row],[Converted data]]/1000</f>
        <v>#N/A</v>
      </c>
      <c r="AL187" s="220" t="e">
        <f>SUM(SupplyChain_Tier2_Backend[[#This Row],[Scope 1 (tCO2e)]:[Scope 3 WTT T&amp;D (tCO2e)]])</f>
        <v>#N/A</v>
      </c>
      <c r="AM187" s="220" t="e">
        <f>SupplyChain_Tier2_Backend[[#This Row],[Total (tCO2e)]]*(1-SupplyChain_Tier2_Backend[[#This Row],[RSD]])</f>
        <v>#N/A</v>
      </c>
      <c r="AN187" s="220" t="e">
        <f>SupplyChain_Tier2_Backend[[#This Row],[Total (tCO2e)]]*(1+SupplyChain_Tier2_Backend[[#This Row],[RSD]])</f>
        <v>#N/A</v>
      </c>
      <c r="AO187" s="210" t="e">
        <f>_xlfn.XLOOKUP(_xlfn.CONCAT(SupplyChain_Tier2_Backend[[#This Row],[Level 1]:[Level 6]]),rng_EFConcat,rng_EFOOS)*SupplyChain_Tier2_Backend[[#This Row],[Converted data]]/1000</f>
        <v>#N/A</v>
      </c>
      <c r="AP187" s="174">
        <f>SupplyChain_Tier2_Frontend[[#This Row],[Ease of collection]]</f>
        <v>0</v>
      </c>
      <c r="AQ187" s="213">
        <f>SupplyChain_Tier2_Frontend[[#This Row],[Completeness]]</f>
        <v>0</v>
      </c>
      <c r="AR187" s="213">
        <f>SupplyChain_Tier2_Frontend[[#This Row],[Notes]]</f>
        <v>0</v>
      </c>
    </row>
    <row r="188" spans="4:44" ht="14.5" x14ac:dyDescent="0.35">
      <c r="D188" s="147">
        <v>60</v>
      </c>
      <c r="E188" s="236" t="str">
        <f t="shared" si="9"/>
        <v/>
      </c>
      <c r="F188" s="336"/>
      <c r="G188" s="334"/>
      <c r="H188" s="334"/>
      <c r="I188" s="334"/>
      <c r="J188" s="336"/>
      <c r="K188" s="336"/>
      <c r="L188" s="337"/>
      <c r="M188" s="242">
        <f t="shared" si="8"/>
        <v>4</v>
      </c>
      <c r="Q188" s="211" t="str">
        <f t="shared" si="10"/>
        <v/>
      </c>
      <c r="R188" s="174" t="s">
        <v>267</v>
      </c>
      <c r="S188" s="174" t="s">
        <v>385</v>
      </c>
      <c r="T188" s="235" t="s">
        <v>385</v>
      </c>
      <c r="U188" s="173" t="str">
        <f>SupplyChain_Tier2_Frontend[[#This Row],[Category]]</f>
        <v/>
      </c>
      <c r="V188" s="173">
        <f>SupplyChain_Tier2_Frontend[[#This Row],[Product Category]]</f>
        <v>0</v>
      </c>
      <c r="W188" s="174" t="s">
        <v>339</v>
      </c>
      <c r="X188" s="174">
        <f>SupplyChain_Tier2_Frontend[[#This Row],[Data type]]</f>
        <v>0</v>
      </c>
      <c r="Y188" s="174" t="s">
        <v>339</v>
      </c>
      <c r="Z188" s="174" t="s">
        <v>199</v>
      </c>
      <c r="AA188" s="229" t="e" cm="1">
        <f t="array" ref="AA188">INDEX(_xlfn.SWITCH(SupplyChain_Tier2_Backend[[#This Row],[Methodology]],"Tier 1",rng_RSD1,"Tier 2",rng_RSD2,"Tier 3",rng_RSD3),MATCH(_xlfn.CONCAT(SupplyChain_Tier2_Backend[[#This Row],[Level 1]:[Level 6]]),rng_LevelsConcat,0))</f>
        <v>#N/A</v>
      </c>
      <c r="AB188" s="220">
        <f>SupplyChain_Tier2_Frontend[[#This Row],[Spend (£)]]</f>
        <v>0</v>
      </c>
      <c r="AC188" s="220" t="s">
        <v>383</v>
      </c>
      <c r="AD188" s="220">
        <f>SupplyChain_Tier2_Frontend[[#This Row],[Spend (£)]]</f>
        <v>0</v>
      </c>
      <c r="AE188" s="174" t="s">
        <v>383</v>
      </c>
      <c r="AF188" s="210" t="e">
        <f>_xlfn.XLOOKUP(_xlfn.CONCAT(SupplyChain_Tier2_Backend[[#This Row],[Level 1]:[Level 6]]),rng_EFConcat,rng_EF1)*SupplyChain_Tier2_Backend[[#This Row],[Converted data]]/1000</f>
        <v>#N/A</v>
      </c>
      <c r="AG188" s="210" t="e">
        <f>_xlfn.XLOOKUP(_xlfn.CONCAT(SupplyChain_Tier2_Backend[[#This Row],[Level 1]:[Level 6]]),rng_EFConcat,rng_EF2)*SupplyChain_Tier2_Backend[[#This Row],[Converted data]]/1000</f>
        <v>#N/A</v>
      </c>
      <c r="AH188" s="210">
        <f>SupplyChain_Tier2_Frontend[[#This Row],[Emissions (kgCO2e)]]/1000</f>
        <v>0</v>
      </c>
      <c r="AI188" s="210" t="e">
        <f>_xlfn.XLOOKUP(_xlfn.CONCAT(SupplyChain_Tier2_Backend[[#This Row],[Level 1]:[Level 6]]),rng_EFConcat,rng_EF3WTT)*SupplyChain_Tier2_Backend[[#This Row],[Converted data]]/1000</f>
        <v>#N/A</v>
      </c>
      <c r="AJ188" s="210" t="e">
        <f>_xlfn.XLOOKUP(_xlfn.CONCAT(SupplyChain_Tier2_Backend[[#This Row],[Level 1]:[Level 6]]),rng_EFConcat,rng_EF3TD)*SupplyChain_Tier2_Backend[[#This Row],[Converted data]]/1000</f>
        <v>#N/A</v>
      </c>
      <c r="AK188" s="210" t="e">
        <f>_xlfn.XLOOKUP(_xlfn.CONCAT(SupplyChain_Tier2_Backend[[#This Row],[Level 1]:[Level 6]]),rng_EFConcat,rng_EF3WTTTD)*SupplyChain_Tier2_Backend[[#This Row],[Converted data]]/1000</f>
        <v>#N/A</v>
      </c>
      <c r="AL188" s="220" t="e">
        <f>SUM(SupplyChain_Tier2_Backend[[#This Row],[Scope 1 (tCO2e)]:[Scope 3 WTT T&amp;D (tCO2e)]])</f>
        <v>#N/A</v>
      </c>
      <c r="AM188" s="220" t="e">
        <f>SupplyChain_Tier2_Backend[[#This Row],[Total (tCO2e)]]*(1-SupplyChain_Tier2_Backend[[#This Row],[RSD]])</f>
        <v>#N/A</v>
      </c>
      <c r="AN188" s="220" t="e">
        <f>SupplyChain_Tier2_Backend[[#This Row],[Total (tCO2e)]]*(1+SupplyChain_Tier2_Backend[[#This Row],[RSD]])</f>
        <v>#N/A</v>
      </c>
      <c r="AO188" s="210" t="e">
        <f>_xlfn.XLOOKUP(_xlfn.CONCAT(SupplyChain_Tier2_Backend[[#This Row],[Level 1]:[Level 6]]),rng_EFConcat,rng_EFOOS)*SupplyChain_Tier2_Backend[[#This Row],[Converted data]]/1000</f>
        <v>#N/A</v>
      </c>
      <c r="AP188" s="174">
        <f>SupplyChain_Tier2_Frontend[[#This Row],[Ease of collection]]</f>
        <v>0</v>
      </c>
      <c r="AQ188" s="213">
        <f>SupplyChain_Tier2_Frontend[[#This Row],[Completeness]]</f>
        <v>0</v>
      </c>
      <c r="AR188" s="213">
        <f>SupplyChain_Tier2_Frontend[[#This Row],[Notes]]</f>
        <v>0</v>
      </c>
    </row>
    <row r="189" spans="4:44" ht="14.5" x14ac:dyDescent="0.35">
      <c r="D189" s="147">
        <v>61</v>
      </c>
      <c r="E189" s="236" t="str">
        <f t="shared" si="9"/>
        <v/>
      </c>
      <c r="F189" s="336"/>
      <c r="G189" s="334"/>
      <c r="H189" s="334"/>
      <c r="I189" s="334"/>
      <c r="J189" s="336"/>
      <c r="K189" s="336"/>
      <c r="L189" s="337"/>
      <c r="M189" s="242">
        <f t="shared" si="8"/>
        <v>4</v>
      </c>
      <c r="Q189" s="211" t="str">
        <f t="shared" si="10"/>
        <v/>
      </c>
      <c r="R189" s="174" t="s">
        <v>267</v>
      </c>
      <c r="S189" s="174" t="s">
        <v>385</v>
      </c>
      <c r="T189" s="235" t="s">
        <v>385</v>
      </c>
      <c r="U189" s="173" t="str">
        <f>SupplyChain_Tier2_Frontend[[#This Row],[Category]]</f>
        <v/>
      </c>
      <c r="V189" s="173">
        <f>SupplyChain_Tier2_Frontend[[#This Row],[Product Category]]</f>
        <v>0</v>
      </c>
      <c r="W189" s="174" t="s">
        <v>339</v>
      </c>
      <c r="X189" s="174">
        <f>SupplyChain_Tier2_Frontend[[#This Row],[Data type]]</f>
        <v>0</v>
      </c>
      <c r="Y189" s="174" t="s">
        <v>339</v>
      </c>
      <c r="Z189" s="174" t="s">
        <v>199</v>
      </c>
      <c r="AA189" s="229" t="e" cm="1">
        <f t="array" ref="AA189">INDEX(_xlfn.SWITCH(SupplyChain_Tier2_Backend[[#This Row],[Methodology]],"Tier 1",rng_RSD1,"Tier 2",rng_RSD2,"Tier 3",rng_RSD3),MATCH(_xlfn.CONCAT(SupplyChain_Tier2_Backend[[#This Row],[Level 1]:[Level 6]]),rng_LevelsConcat,0))</f>
        <v>#N/A</v>
      </c>
      <c r="AB189" s="220">
        <f>SupplyChain_Tier2_Frontend[[#This Row],[Spend (£)]]</f>
        <v>0</v>
      </c>
      <c r="AC189" s="220" t="s">
        <v>383</v>
      </c>
      <c r="AD189" s="220">
        <f>SupplyChain_Tier2_Frontend[[#This Row],[Spend (£)]]</f>
        <v>0</v>
      </c>
      <c r="AE189" s="174" t="s">
        <v>383</v>
      </c>
      <c r="AF189" s="210" t="e">
        <f>_xlfn.XLOOKUP(_xlfn.CONCAT(SupplyChain_Tier2_Backend[[#This Row],[Level 1]:[Level 6]]),rng_EFConcat,rng_EF1)*SupplyChain_Tier2_Backend[[#This Row],[Converted data]]/1000</f>
        <v>#N/A</v>
      </c>
      <c r="AG189" s="210" t="e">
        <f>_xlfn.XLOOKUP(_xlfn.CONCAT(SupplyChain_Tier2_Backend[[#This Row],[Level 1]:[Level 6]]),rng_EFConcat,rng_EF2)*SupplyChain_Tier2_Backend[[#This Row],[Converted data]]/1000</f>
        <v>#N/A</v>
      </c>
      <c r="AH189" s="210">
        <f>SupplyChain_Tier2_Frontend[[#This Row],[Emissions (kgCO2e)]]/1000</f>
        <v>0</v>
      </c>
      <c r="AI189" s="210" t="e">
        <f>_xlfn.XLOOKUP(_xlfn.CONCAT(SupplyChain_Tier2_Backend[[#This Row],[Level 1]:[Level 6]]),rng_EFConcat,rng_EF3WTT)*SupplyChain_Tier2_Backend[[#This Row],[Converted data]]/1000</f>
        <v>#N/A</v>
      </c>
      <c r="AJ189" s="210" t="e">
        <f>_xlfn.XLOOKUP(_xlfn.CONCAT(SupplyChain_Tier2_Backend[[#This Row],[Level 1]:[Level 6]]),rng_EFConcat,rng_EF3TD)*SupplyChain_Tier2_Backend[[#This Row],[Converted data]]/1000</f>
        <v>#N/A</v>
      </c>
      <c r="AK189" s="210" t="e">
        <f>_xlfn.XLOOKUP(_xlfn.CONCAT(SupplyChain_Tier2_Backend[[#This Row],[Level 1]:[Level 6]]),rng_EFConcat,rng_EF3WTTTD)*SupplyChain_Tier2_Backend[[#This Row],[Converted data]]/1000</f>
        <v>#N/A</v>
      </c>
      <c r="AL189" s="220" t="e">
        <f>SUM(SupplyChain_Tier2_Backend[[#This Row],[Scope 1 (tCO2e)]:[Scope 3 WTT T&amp;D (tCO2e)]])</f>
        <v>#N/A</v>
      </c>
      <c r="AM189" s="220" t="e">
        <f>SupplyChain_Tier2_Backend[[#This Row],[Total (tCO2e)]]*(1-SupplyChain_Tier2_Backend[[#This Row],[RSD]])</f>
        <v>#N/A</v>
      </c>
      <c r="AN189" s="220" t="e">
        <f>SupplyChain_Tier2_Backend[[#This Row],[Total (tCO2e)]]*(1+SupplyChain_Tier2_Backend[[#This Row],[RSD]])</f>
        <v>#N/A</v>
      </c>
      <c r="AO189" s="210" t="e">
        <f>_xlfn.XLOOKUP(_xlfn.CONCAT(SupplyChain_Tier2_Backend[[#This Row],[Level 1]:[Level 6]]),rng_EFConcat,rng_EFOOS)*SupplyChain_Tier2_Backend[[#This Row],[Converted data]]/1000</f>
        <v>#N/A</v>
      </c>
      <c r="AP189" s="174">
        <f>SupplyChain_Tier2_Frontend[[#This Row],[Ease of collection]]</f>
        <v>0</v>
      </c>
      <c r="AQ189" s="213">
        <f>SupplyChain_Tier2_Frontend[[#This Row],[Completeness]]</f>
        <v>0</v>
      </c>
      <c r="AR189" s="213">
        <f>SupplyChain_Tier2_Frontend[[#This Row],[Notes]]</f>
        <v>0</v>
      </c>
    </row>
    <row r="190" spans="4:44" ht="14.5" x14ac:dyDescent="0.35">
      <c r="D190" s="147">
        <v>62</v>
      </c>
      <c r="E190" s="236" t="str">
        <f t="shared" si="9"/>
        <v/>
      </c>
      <c r="F190" s="336"/>
      <c r="G190" s="334"/>
      <c r="H190" s="334"/>
      <c r="I190" s="334"/>
      <c r="J190" s="336"/>
      <c r="K190" s="336"/>
      <c r="L190" s="337"/>
      <c r="M190" s="242">
        <f t="shared" si="8"/>
        <v>4</v>
      </c>
      <c r="Q190" s="211" t="str">
        <f t="shared" si="10"/>
        <v/>
      </c>
      <c r="R190" s="174" t="s">
        <v>267</v>
      </c>
      <c r="S190" s="174" t="s">
        <v>385</v>
      </c>
      <c r="T190" s="235" t="s">
        <v>385</v>
      </c>
      <c r="U190" s="173" t="str">
        <f>SupplyChain_Tier2_Frontend[[#This Row],[Category]]</f>
        <v/>
      </c>
      <c r="V190" s="173">
        <f>SupplyChain_Tier2_Frontend[[#This Row],[Product Category]]</f>
        <v>0</v>
      </c>
      <c r="W190" s="174" t="s">
        <v>339</v>
      </c>
      <c r="X190" s="174">
        <f>SupplyChain_Tier2_Frontend[[#This Row],[Data type]]</f>
        <v>0</v>
      </c>
      <c r="Y190" s="174" t="s">
        <v>339</v>
      </c>
      <c r="Z190" s="174" t="s">
        <v>199</v>
      </c>
      <c r="AA190" s="229" t="e" cm="1">
        <f t="array" ref="AA190">INDEX(_xlfn.SWITCH(SupplyChain_Tier2_Backend[[#This Row],[Methodology]],"Tier 1",rng_RSD1,"Tier 2",rng_RSD2,"Tier 3",rng_RSD3),MATCH(_xlfn.CONCAT(SupplyChain_Tier2_Backend[[#This Row],[Level 1]:[Level 6]]),rng_LevelsConcat,0))</f>
        <v>#N/A</v>
      </c>
      <c r="AB190" s="220">
        <f>SupplyChain_Tier2_Frontend[[#This Row],[Spend (£)]]</f>
        <v>0</v>
      </c>
      <c r="AC190" s="220" t="s">
        <v>383</v>
      </c>
      <c r="AD190" s="220">
        <f>SupplyChain_Tier2_Frontend[[#This Row],[Spend (£)]]</f>
        <v>0</v>
      </c>
      <c r="AE190" s="174" t="s">
        <v>383</v>
      </c>
      <c r="AF190" s="210" t="e">
        <f>_xlfn.XLOOKUP(_xlfn.CONCAT(SupplyChain_Tier2_Backend[[#This Row],[Level 1]:[Level 6]]),rng_EFConcat,rng_EF1)*SupplyChain_Tier2_Backend[[#This Row],[Converted data]]/1000</f>
        <v>#N/A</v>
      </c>
      <c r="AG190" s="210" t="e">
        <f>_xlfn.XLOOKUP(_xlfn.CONCAT(SupplyChain_Tier2_Backend[[#This Row],[Level 1]:[Level 6]]),rng_EFConcat,rng_EF2)*SupplyChain_Tier2_Backend[[#This Row],[Converted data]]/1000</f>
        <v>#N/A</v>
      </c>
      <c r="AH190" s="210">
        <f>SupplyChain_Tier2_Frontend[[#This Row],[Emissions (kgCO2e)]]/1000</f>
        <v>0</v>
      </c>
      <c r="AI190" s="210" t="e">
        <f>_xlfn.XLOOKUP(_xlfn.CONCAT(SupplyChain_Tier2_Backend[[#This Row],[Level 1]:[Level 6]]),rng_EFConcat,rng_EF3WTT)*SupplyChain_Tier2_Backend[[#This Row],[Converted data]]/1000</f>
        <v>#N/A</v>
      </c>
      <c r="AJ190" s="210" t="e">
        <f>_xlfn.XLOOKUP(_xlfn.CONCAT(SupplyChain_Tier2_Backend[[#This Row],[Level 1]:[Level 6]]),rng_EFConcat,rng_EF3TD)*SupplyChain_Tier2_Backend[[#This Row],[Converted data]]/1000</f>
        <v>#N/A</v>
      </c>
      <c r="AK190" s="210" t="e">
        <f>_xlfn.XLOOKUP(_xlfn.CONCAT(SupplyChain_Tier2_Backend[[#This Row],[Level 1]:[Level 6]]),rng_EFConcat,rng_EF3WTTTD)*SupplyChain_Tier2_Backend[[#This Row],[Converted data]]/1000</f>
        <v>#N/A</v>
      </c>
      <c r="AL190" s="220" t="e">
        <f>SUM(SupplyChain_Tier2_Backend[[#This Row],[Scope 1 (tCO2e)]:[Scope 3 WTT T&amp;D (tCO2e)]])</f>
        <v>#N/A</v>
      </c>
      <c r="AM190" s="220" t="e">
        <f>SupplyChain_Tier2_Backend[[#This Row],[Total (tCO2e)]]*(1-SupplyChain_Tier2_Backend[[#This Row],[RSD]])</f>
        <v>#N/A</v>
      </c>
      <c r="AN190" s="220" t="e">
        <f>SupplyChain_Tier2_Backend[[#This Row],[Total (tCO2e)]]*(1+SupplyChain_Tier2_Backend[[#This Row],[RSD]])</f>
        <v>#N/A</v>
      </c>
      <c r="AO190" s="210" t="e">
        <f>_xlfn.XLOOKUP(_xlfn.CONCAT(SupplyChain_Tier2_Backend[[#This Row],[Level 1]:[Level 6]]),rng_EFConcat,rng_EFOOS)*SupplyChain_Tier2_Backend[[#This Row],[Converted data]]/1000</f>
        <v>#N/A</v>
      </c>
      <c r="AP190" s="174">
        <f>SupplyChain_Tier2_Frontend[[#This Row],[Ease of collection]]</f>
        <v>0</v>
      </c>
      <c r="AQ190" s="213">
        <f>SupplyChain_Tier2_Frontend[[#This Row],[Completeness]]</f>
        <v>0</v>
      </c>
      <c r="AR190" s="213">
        <f>SupplyChain_Tier2_Frontend[[#This Row],[Notes]]</f>
        <v>0</v>
      </c>
    </row>
    <row r="191" spans="4:44" ht="14.5" x14ac:dyDescent="0.35">
      <c r="D191" s="147">
        <v>63</v>
      </c>
      <c r="E191" s="236" t="str">
        <f t="shared" si="9"/>
        <v/>
      </c>
      <c r="F191" s="336"/>
      <c r="G191" s="334"/>
      <c r="H191" s="334"/>
      <c r="I191" s="334"/>
      <c r="J191" s="336"/>
      <c r="K191" s="336"/>
      <c r="L191" s="337"/>
      <c r="M191" s="242">
        <f t="shared" si="8"/>
        <v>4</v>
      </c>
      <c r="Q191" s="211" t="str">
        <f t="shared" si="10"/>
        <v/>
      </c>
      <c r="R191" s="174" t="s">
        <v>267</v>
      </c>
      <c r="S191" s="174" t="s">
        <v>385</v>
      </c>
      <c r="T191" s="235" t="s">
        <v>385</v>
      </c>
      <c r="U191" s="173" t="str">
        <f>SupplyChain_Tier2_Frontend[[#This Row],[Category]]</f>
        <v/>
      </c>
      <c r="V191" s="173">
        <f>SupplyChain_Tier2_Frontend[[#This Row],[Product Category]]</f>
        <v>0</v>
      </c>
      <c r="W191" s="174" t="s">
        <v>339</v>
      </c>
      <c r="X191" s="174">
        <f>SupplyChain_Tier2_Frontend[[#This Row],[Data type]]</f>
        <v>0</v>
      </c>
      <c r="Y191" s="174" t="s">
        <v>339</v>
      </c>
      <c r="Z191" s="174" t="s">
        <v>199</v>
      </c>
      <c r="AA191" s="229" t="e" cm="1">
        <f t="array" ref="AA191">INDEX(_xlfn.SWITCH(SupplyChain_Tier2_Backend[[#This Row],[Methodology]],"Tier 1",rng_RSD1,"Tier 2",rng_RSD2,"Tier 3",rng_RSD3),MATCH(_xlfn.CONCAT(SupplyChain_Tier2_Backend[[#This Row],[Level 1]:[Level 6]]),rng_LevelsConcat,0))</f>
        <v>#N/A</v>
      </c>
      <c r="AB191" s="220">
        <f>SupplyChain_Tier2_Frontend[[#This Row],[Spend (£)]]</f>
        <v>0</v>
      </c>
      <c r="AC191" s="220" t="s">
        <v>383</v>
      </c>
      <c r="AD191" s="220">
        <f>SupplyChain_Tier2_Frontend[[#This Row],[Spend (£)]]</f>
        <v>0</v>
      </c>
      <c r="AE191" s="174" t="s">
        <v>383</v>
      </c>
      <c r="AF191" s="210" t="e">
        <f>_xlfn.XLOOKUP(_xlfn.CONCAT(SupplyChain_Tier2_Backend[[#This Row],[Level 1]:[Level 6]]),rng_EFConcat,rng_EF1)*SupplyChain_Tier2_Backend[[#This Row],[Converted data]]/1000</f>
        <v>#N/A</v>
      </c>
      <c r="AG191" s="210" t="e">
        <f>_xlfn.XLOOKUP(_xlfn.CONCAT(SupplyChain_Tier2_Backend[[#This Row],[Level 1]:[Level 6]]),rng_EFConcat,rng_EF2)*SupplyChain_Tier2_Backend[[#This Row],[Converted data]]/1000</f>
        <v>#N/A</v>
      </c>
      <c r="AH191" s="210">
        <f>SupplyChain_Tier2_Frontend[[#This Row],[Emissions (kgCO2e)]]/1000</f>
        <v>0</v>
      </c>
      <c r="AI191" s="210" t="e">
        <f>_xlfn.XLOOKUP(_xlfn.CONCAT(SupplyChain_Tier2_Backend[[#This Row],[Level 1]:[Level 6]]),rng_EFConcat,rng_EF3WTT)*SupplyChain_Tier2_Backend[[#This Row],[Converted data]]/1000</f>
        <v>#N/A</v>
      </c>
      <c r="AJ191" s="210" t="e">
        <f>_xlfn.XLOOKUP(_xlfn.CONCAT(SupplyChain_Tier2_Backend[[#This Row],[Level 1]:[Level 6]]),rng_EFConcat,rng_EF3TD)*SupplyChain_Tier2_Backend[[#This Row],[Converted data]]/1000</f>
        <v>#N/A</v>
      </c>
      <c r="AK191" s="210" t="e">
        <f>_xlfn.XLOOKUP(_xlfn.CONCAT(SupplyChain_Tier2_Backend[[#This Row],[Level 1]:[Level 6]]),rng_EFConcat,rng_EF3WTTTD)*SupplyChain_Tier2_Backend[[#This Row],[Converted data]]/1000</f>
        <v>#N/A</v>
      </c>
      <c r="AL191" s="220" t="e">
        <f>SUM(SupplyChain_Tier2_Backend[[#This Row],[Scope 1 (tCO2e)]:[Scope 3 WTT T&amp;D (tCO2e)]])</f>
        <v>#N/A</v>
      </c>
      <c r="AM191" s="220" t="e">
        <f>SupplyChain_Tier2_Backend[[#This Row],[Total (tCO2e)]]*(1-SupplyChain_Tier2_Backend[[#This Row],[RSD]])</f>
        <v>#N/A</v>
      </c>
      <c r="AN191" s="220" t="e">
        <f>SupplyChain_Tier2_Backend[[#This Row],[Total (tCO2e)]]*(1+SupplyChain_Tier2_Backend[[#This Row],[RSD]])</f>
        <v>#N/A</v>
      </c>
      <c r="AO191" s="210" t="e">
        <f>_xlfn.XLOOKUP(_xlfn.CONCAT(SupplyChain_Tier2_Backend[[#This Row],[Level 1]:[Level 6]]),rng_EFConcat,rng_EFOOS)*SupplyChain_Tier2_Backend[[#This Row],[Converted data]]/1000</f>
        <v>#N/A</v>
      </c>
      <c r="AP191" s="174">
        <f>SupplyChain_Tier2_Frontend[[#This Row],[Ease of collection]]</f>
        <v>0</v>
      </c>
      <c r="AQ191" s="213">
        <f>SupplyChain_Tier2_Frontend[[#This Row],[Completeness]]</f>
        <v>0</v>
      </c>
      <c r="AR191" s="213">
        <f>SupplyChain_Tier2_Frontend[[#This Row],[Notes]]</f>
        <v>0</v>
      </c>
    </row>
    <row r="192" spans="4:44" ht="14.5" x14ac:dyDescent="0.35">
      <c r="D192" s="147">
        <v>64</v>
      </c>
      <c r="E192" s="236" t="str">
        <f t="shared" si="9"/>
        <v/>
      </c>
      <c r="F192" s="336"/>
      <c r="G192" s="334"/>
      <c r="H192" s="334"/>
      <c r="I192" s="334"/>
      <c r="J192" s="336"/>
      <c r="K192" s="336"/>
      <c r="L192" s="337"/>
      <c r="M192" s="242">
        <f t="shared" si="8"/>
        <v>4</v>
      </c>
      <c r="Q192" s="211" t="str">
        <f t="shared" si="10"/>
        <v/>
      </c>
      <c r="R192" s="174" t="s">
        <v>267</v>
      </c>
      <c r="S192" s="174" t="s">
        <v>385</v>
      </c>
      <c r="T192" s="235" t="s">
        <v>385</v>
      </c>
      <c r="U192" s="173" t="str">
        <f>SupplyChain_Tier2_Frontend[[#This Row],[Category]]</f>
        <v/>
      </c>
      <c r="V192" s="173">
        <f>SupplyChain_Tier2_Frontend[[#This Row],[Product Category]]</f>
        <v>0</v>
      </c>
      <c r="W192" s="174" t="s">
        <v>339</v>
      </c>
      <c r="X192" s="174">
        <f>SupplyChain_Tier2_Frontend[[#This Row],[Data type]]</f>
        <v>0</v>
      </c>
      <c r="Y192" s="174" t="s">
        <v>339</v>
      </c>
      <c r="Z192" s="174" t="s">
        <v>199</v>
      </c>
      <c r="AA192" s="229" t="e" cm="1">
        <f t="array" ref="AA192">INDEX(_xlfn.SWITCH(SupplyChain_Tier2_Backend[[#This Row],[Methodology]],"Tier 1",rng_RSD1,"Tier 2",rng_RSD2,"Tier 3",rng_RSD3),MATCH(_xlfn.CONCAT(SupplyChain_Tier2_Backend[[#This Row],[Level 1]:[Level 6]]),rng_LevelsConcat,0))</f>
        <v>#N/A</v>
      </c>
      <c r="AB192" s="220">
        <f>SupplyChain_Tier2_Frontend[[#This Row],[Spend (£)]]</f>
        <v>0</v>
      </c>
      <c r="AC192" s="220" t="s">
        <v>383</v>
      </c>
      <c r="AD192" s="220">
        <f>SupplyChain_Tier2_Frontend[[#This Row],[Spend (£)]]</f>
        <v>0</v>
      </c>
      <c r="AE192" s="174" t="s">
        <v>383</v>
      </c>
      <c r="AF192" s="210" t="e">
        <f>_xlfn.XLOOKUP(_xlfn.CONCAT(SupplyChain_Tier2_Backend[[#This Row],[Level 1]:[Level 6]]),rng_EFConcat,rng_EF1)*SupplyChain_Tier2_Backend[[#This Row],[Converted data]]/1000</f>
        <v>#N/A</v>
      </c>
      <c r="AG192" s="210" t="e">
        <f>_xlfn.XLOOKUP(_xlfn.CONCAT(SupplyChain_Tier2_Backend[[#This Row],[Level 1]:[Level 6]]),rng_EFConcat,rng_EF2)*SupplyChain_Tier2_Backend[[#This Row],[Converted data]]/1000</f>
        <v>#N/A</v>
      </c>
      <c r="AH192" s="210">
        <f>SupplyChain_Tier2_Frontend[[#This Row],[Emissions (kgCO2e)]]/1000</f>
        <v>0</v>
      </c>
      <c r="AI192" s="210" t="e">
        <f>_xlfn.XLOOKUP(_xlfn.CONCAT(SupplyChain_Tier2_Backend[[#This Row],[Level 1]:[Level 6]]),rng_EFConcat,rng_EF3WTT)*SupplyChain_Tier2_Backend[[#This Row],[Converted data]]/1000</f>
        <v>#N/A</v>
      </c>
      <c r="AJ192" s="210" t="e">
        <f>_xlfn.XLOOKUP(_xlfn.CONCAT(SupplyChain_Tier2_Backend[[#This Row],[Level 1]:[Level 6]]),rng_EFConcat,rng_EF3TD)*SupplyChain_Tier2_Backend[[#This Row],[Converted data]]/1000</f>
        <v>#N/A</v>
      </c>
      <c r="AK192" s="210" t="e">
        <f>_xlfn.XLOOKUP(_xlfn.CONCAT(SupplyChain_Tier2_Backend[[#This Row],[Level 1]:[Level 6]]),rng_EFConcat,rng_EF3WTTTD)*SupplyChain_Tier2_Backend[[#This Row],[Converted data]]/1000</f>
        <v>#N/A</v>
      </c>
      <c r="AL192" s="220" t="e">
        <f>SUM(SupplyChain_Tier2_Backend[[#This Row],[Scope 1 (tCO2e)]:[Scope 3 WTT T&amp;D (tCO2e)]])</f>
        <v>#N/A</v>
      </c>
      <c r="AM192" s="220" t="e">
        <f>SupplyChain_Tier2_Backend[[#This Row],[Total (tCO2e)]]*(1-SupplyChain_Tier2_Backend[[#This Row],[RSD]])</f>
        <v>#N/A</v>
      </c>
      <c r="AN192" s="220" t="e">
        <f>SupplyChain_Tier2_Backend[[#This Row],[Total (tCO2e)]]*(1+SupplyChain_Tier2_Backend[[#This Row],[RSD]])</f>
        <v>#N/A</v>
      </c>
      <c r="AO192" s="210" t="e">
        <f>_xlfn.XLOOKUP(_xlfn.CONCAT(SupplyChain_Tier2_Backend[[#This Row],[Level 1]:[Level 6]]),rng_EFConcat,rng_EFOOS)*SupplyChain_Tier2_Backend[[#This Row],[Converted data]]/1000</f>
        <v>#N/A</v>
      </c>
      <c r="AP192" s="174">
        <f>SupplyChain_Tier2_Frontend[[#This Row],[Ease of collection]]</f>
        <v>0</v>
      </c>
      <c r="AQ192" s="213">
        <f>SupplyChain_Tier2_Frontend[[#This Row],[Completeness]]</f>
        <v>0</v>
      </c>
      <c r="AR192" s="213">
        <f>SupplyChain_Tier2_Frontend[[#This Row],[Notes]]</f>
        <v>0</v>
      </c>
    </row>
    <row r="193" spans="4:44" ht="14.5" x14ac:dyDescent="0.35">
      <c r="D193" s="147">
        <v>65</v>
      </c>
      <c r="E193" s="236" t="str">
        <f t="shared" si="9"/>
        <v/>
      </c>
      <c r="F193" s="336"/>
      <c r="G193" s="334"/>
      <c r="H193" s="334"/>
      <c r="I193" s="334"/>
      <c r="J193" s="336"/>
      <c r="K193" s="336"/>
      <c r="L193" s="337"/>
      <c r="M193" s="242">
        <f t="shared" si="8"/>
        <v>4</v>
      </c>
      <c r="Q193" s="211" t="str">
        <f t="shared" ref="Q193:Q224" si="11">IF(M193=0,SUBSTITUTE(2025&amp;TRIM(cl_org_name_select)&amp;TRIM($E$126)&amp;(ROW(M193)-ROW($M$129))," ",""),"")</f>
        <v/>
      </c>
      <c r="R193" s="174" t="s">
        <v>267</v>
      </c>
      <c r="S193" s="174" t="s">
        <v>385</v>
      </c>
      <c r="T193" s="235" t="s">
        <v>385</v>
      </c>
      <c r="U193" s="173" t="str">
        <f>SupplyChain_Tier2_Frontend[[#This Row],[Category]]</f>
        <v/>
      </c>
      <c r="V193" s="173">
        <f>SupplyChain_Tier2_Frontend[[#This Row],[Product Category]]</f>
        <v>0</v>
      </c>
      <c r="W193" s="174" t="s">
        <v>339</v>
      </c>
      <c r="X193" s="174">
        <f>SupplyChain_Tier2_Frontend[[#This Row],[Data type]]</f>
        <v>0</v>
      </c>
      <c r="Y193" s="174" t="s">
        <v>339</v>
      </c>
      <c r="Z193" s="174" t="s">
        <v>199</v>
      </c>
      <c r="AA193" s="229" t="e" cm="1">
        <f t="array" ref="AA193">INDEX(_xlfn.SWITCH(SupplyChain_Tier2_Backend[[#This Row],[Methodology]],"Tier 1",rng_RSD1,"Tier 2",rng_RSD2,"Tier 3",rng_RSD3),MATCH(_xlfn.CONCAT(SupplyChain_Tier2_Backend[[#This Row],[Level 1]:[Level 6]]),rng_LevelsConcat,0))</f>
        <v>#N/A</v>
      </c>
      <c r="AB193" s="220">
        <f>SupplyChain_Tier2_Frontend[[#This Row],[Spend (£)]]</f>
        <v>0</v>
      </c>
      <c r="AC193" s="220" t="s">
        <v>383</v>
      </c>
      <c r="AD193" s="220">
        <f>SupplyChain_Tier2_Frontend[[#This Row],[Spend (£)]]</f>
        <v>0</v>
      </c>
      <c r="AE193" s="174" t="s">
        <v>383</v>
      </c>
      <c r="AF193" s="210" t="e">
        <f>_xlfn.XLOOKUP(_xlfn.CONCAT(SupplyChain_Tier2_Backend[[#This Row],[Level 1]:[Level 6]]),rng_EFConcat,rng_EF1)*SupplyChain_Tier2_Backend[[#This Row],[Converted data]]/1000</f>
        <v>#N/A</v>
      </c>
      <c r="AG193" s="210" t="e">
        <f>_xlfn.XLOOKUP(_xlfn.CONCAT(SupplyChain_Tier2_Backend[[#This Row],[Level 1]:[Level 6]]),rng_EFConcat,rng_EF2)*SupplyChain_Tier2_Backend[[#This Row],[Converted data]]/1000</f>
        <v>#N/A</v>
      </c>
      <c r="AH193" s="210">
        <f>SupplyChain_Tier2_Frontend[[#This Row],[Emissions (kgCO2e)]]/1000</f>
        <v>0</v>
      </c>
      <c r="AI193" s="210" t="e">
        <f>_xlfn.XLOOKUP(_xlfn.CONCAT(SupplyChain_Tier2_Backend[[#This Row],[Level 1]:[Level 6]]),rng_EFConcat,rng_EF3WTT)*SupplyChain_Tier2_Backend[[#This Row],[Converted data]]/1000</f>
        <v>#N/A</v>
      </c>
      <c r="AJ193" s="210" t="e">
        <f>_xlfn.XLOOKUP(_xlfn.CONCAT(SupplyChain_Tier2_Backend[[#This Row],[Level 1]:[Level 6]]),rng_EFConcat,rng_EF3TD)*SupplyChain_Tier2_Backend[[#This Row],[Converted data]]/1000</f>
        <v>#N/A</v>
      </c>
      <c r="AK193" s="210" t="e">
        <f>_xlfn.XLOOKUP(_xlfn.CONCAT(SupplyChain_Tier2_Backend[[#This Row],[Level 1]:[Level 6]]),rng_EFConcat,rng_EF3WTTTD)*SupplyChain_Tier2_Backend[[#This Row],[Converted data]]/1000</f>
        <v>#N/A</v>
      </c>
      <c r="AL193" s="220" t="e">
        <f>SUM(SupplyChain_Tier2_Backend[[#This Row],[Scope 1 (tCO2e)]:[Scope 3 WTT T&amp;D (tCO2e)]])</f>
        <v>#N/A</v>
      </c>
      <c r="AM193" s="220" t="e">
        <f>SupplyChain_Tier2_Backend[[#This Row],[Total (tCO2e)]]*(1-SupplyChain_Tier2_Backend[[#This Row],[RSD]])</f>
        <v>#N/A</v>
      </c>
      <c r="AN193" s="220" t="e">
        <f>SupplyChain_Tier2_Backend[[#This Row],[Total (tCO2e)]]*(1+SupplyChain_Tier2_Backend[[#This Row],[RSD]])</f>
        <v>#N/A</v>
      </c>
      <c r="AO193" s="210" t="e">
        <f>_xlfn.XLOOKUP(_xlfn.CONCAT(SupplyChain_Tier2_Backend[[#This Row],[Level 1]:[Level 6]]),rng_EFConcat,rng_EFOOS)*SupplyChain_Tier2_Backend[[#This Row],[Converted data]]/1000</f>
        <v>#N/A</v>
      </c>
      <c r="AP193" s="174">
        <f>SupplyChain_Tier2_Frontend[[#This Row],[Ease of collection]]</f>
        <v>0</v>
      </c>
      <c r="AQ193" s="213">
        <f>SupplyChain_Tier2_Frontend[[#This Row],[Completeness]]</f>
        <v>0</v>
      </c>
      <c r="AR193" s="213">
        <f>SupplyChain_Tier2_Frontend[[#This Row],[Notes]]</f>
        <v>0</v>
      </c>
    </row>
    <row r="194" spans="4:44" ht="14.5" x14ac:dyDescent="0.35">
      <c r="D194" s="147">
        <v>66</v>
      </c>
      <c r="E194" s="236" t="str">
        <f t="shared" si="9"/>
        <v/>
      </c>
      <c r="F194" s="336"/>
      <c r="G194" s="334"/>
      <c r="H194" s="334"/>
      <c r="I194" s="334"/>
      <c r="J194" s="336"/>
      <c r="K194" s="336"/>
      <c r="L194" s="337"/>
      <c r="M194" s="242">
        <f t="shared" ref="M194:M248" si="12">ISBLANK(F194)+ISBLANK(G194)+ISBLANK(H194)+ISBLANK(I194)</f>
        <v>4</v>
      </c>
      <c r="Q194" s="211" t="str">
        <f t="shared" si="11"/>
        <v/>
      </c>
      <c r="R194" s="174" t="s">
        <v>267</v>
      </c>
      <c r="S194" s="174" t="s">
        <v>385</v>
      </c>
      <c r="T194" s="235" t="s">
        <v>385</v>
      </c>
      <c r="U194" s="173" t="str">
        <f>SupplyChain_Tier2_Frontend[[#This Row],[Category]]</f>
        <v/>
      </c>
      <c r="V194" s="173">
        <f>SupplyChain_Tier2_Frontend[[#This Row],[Product Category]]</f>
        <v>0</v>
      </c>
      <c r="W194" s="174" t="s">
        <v>339</v>
      </c>
      <c r="X194" s="174">
        <f>SupplyChain_Tier2_Frontend[[#This Row],[Data type]]</f>
        <v>0</v>
      </c>
      <c r="Y194" s="174" t="s">
        <v>339</v>
      </c>
      <c r="Z194" s="174" t="s">
        <v>199</v>
      </c>
      <c r="AA194" s="229" t="e" cm="1">
        <f t="array" ref="AA194">INDEX(_xlfn.SWITCH(SupplyChain_Tier2_Backend[[#This Row],[Methodology]],"Tier 1",rng_RSD1,"Tier 2",rng_RSD2,"Tier 3",rng_RSD3),MATCH(_xlfn.CONCAT(SupplyChain_Tier2_Backend[[#This Row],[Level 1]:[Level 6]]),rng_LevelsConcat,0))</f>
        <v>#N/A</v>
      </c>
      <c r="AB194" s="220">
        <f>SupplyChain_Tier2_Frontend[[#This Row],[Spend (£)]]</f>
        <v>0</v>
      </c>
      <c r="AC194" s="220" t="s">
        <v>383</v>
      </c>
      <c r="AD194" s="220">
        <f>SupplyChain_Tier2_Frontend[[#This Row],[Spend (£)]]</f>
        <v>0</v>
      </c>
      <c r="AE194" s="174" t="s">
        <v>383</v>
      </c>
      <c r="AF194" s="210" t="e">
        <f>_xlfn.XLOOKUP(_xlfn.CONCAT(SupplyChain_Tier2_Backend[[#This Row],[Level 1]:[Level 6]]),rng_EFConcat,rng_EF1)*SupplyChain_Tier2_Backend[[#This Row],[Converted data]]/1000</f>
        <v>#N/A</v>
      </c>
      <c r="AG194" s="210" t="e">
        <f>_xlfn.XLOOKUP(_xlfn.CONCAT(SupplyChain_Tier2_Backend[[#This Row],[Level 1]:[Level 6]]),rng_EFConcat,rng_EF2)*SupplyChain_Tier2_Backend[[#This Row],[Converted data]]/1000</f>
        <v>#N/A</v>
      </c>
      <c r="AH194" s="210">
        <f>SupplyChain_Tier2_Frontend[[#This Row],[Emissions (kgCO2e)]]/1000</f>
        <v>0</v>
      </c>
      <c r="AI194" s="210" t="e">
        <f>_xlfn.XLOOKUP(_xlfn.CONCAT(SupplyChain_Tier2_Backend[[#This Row],[Level 1]:[Level 6]]),rng_EFConcat,rng_EF3WTT)*SupplyChain_Tier2_Backend[[#This Row],[Converted data]]/1000</f>
        <v>#N/A</v>
      </c>
      <c r="AJ194" s="210" t="e">
        <f>_xlfn.XLOOKUP(_xlfn.CONCAT(SupplyChain_Tier2_Backend[[#This Row],[Level 1]:[Level 6]]),rng_EFConcat,rng_EF3TD)*SupplyChain_Tier2_Backend[[#This Row],[Converted data]]/1000</f>
        <v>#N/A</v>
      </c>
      <c r="AK194" s="210" t="e">
        <f>_xlfn.XLOOKUP(_xlfn.CONCAT(SupplyChain_Tier2_Backend[[#This Row],[Level 1]:[Level 6]]),rng_EFConcat,rng_EF3WTTTD)*SupplyChain_Tier2_Backend[[#This Row],[Converted data]]/1000</f>
        <v>#N/A</v>
      </c>
      <c r="AL194" s="220" t="e">
        <f>SUM(SupplyChain_Tier2_Backend[[#This Row],[Scope 1 (tCO2e)]:[Scope 3 WTT T&amp;D (tCO2e)]])</f>
        <v>#N/A</v>
      </c>
      <c r="AM194" s="220" t="e">
        <f>SupplyChain_Tier2_Backend[[#This Row],[Total (tCO2e)]]*(1-SupplyChain_Tier2_Backend[[#This Row],[RSD]])</f>
        <v>#N/A</v>
      </c>
      <c r="AN194" s="220" t="e">
        <f>SupplyChain_Tier2_Backend[[#This Row],[Total (tCO2e)]]*(1+SupplyChain_Tier2_Backend[[#This Row],[RSD]])</f>
        <v>#N/A</v>
      </c>
      <c r="AO194" s="210" t="e">
        <f>_xlfn.XLOOKUP(_xlfn.CONCAT(SupplyChain_Tier2_Backend[[#This Row],[Level 1]:[Level 6]]),rng_EFConcat,rng_EFOOS)*SupplyChain_Tier2_Backend[[#This Row],[Converted data]]/1000</f>
        <v>#N/A</v>
      </c>
      <c r="AP194" s="174">
        <f>SupplyChain_Tier2_Frontend[[#This Row],[Ease of collection]]</f>
        <v>0</v>
      </c>
      <c r="AQ194" s="213">
        <f>SupplyChain_Tier2_Frontend[[#This Row],[Completeness]]</f>
        <v>0</v>
      </c>
      <c r="AR194" s="213">
        <f>SupplyChain_Tier2_Frontend[[#This Row],[Notes]]</f>
        <v>0</v>
      </c>
    </row>
    <row r="195" spans="4:44" ht="14.5" x14ac:dyDescent="0.35">
      <c r="D195" s="147">
        <v>67</v>
      </c>
      <c r="E195" s="236" t="str">
        <f t="shared" si="9"/>
        <v/>
      </c>
      <c r="F195" s="336"/>
      <c r="G195" s="334"/>
      <c r="H195" s="334"/>
      <c r="I195" s="334"/>
      <c r="J195" s="336"/>
      <c r="K195" s="336"/>
      <c r="L195" s="337"/>
      <c r="M195" s="242">
        <f t="shared" si="12"/>
        <v>4</v>
      </c>
      <c r="Q195" s="211" t="str">
        <f t="shared" si="11"/>
        <v/>
      </c>
      <c r="R195" s="174" t="s">
        <v>267</v>
      </c>
      <c r="S195" s="174" t="s">
        <v>385</v>
      </c>
      <c r="T195" s="235" t="s">
        <v>385</v>
      </c>
      <c r="U195" s="173" t="str">
        <f>SupplyChain_Tier2_Frontend[[#This Row],[Category]]</f>
        <v/>
      </c>
      <c r="V195" s="173">
        <f>SupplyChain_Tier2_Frontend[[#This Row],[Product Category]]</f>
        <v>0</v>
      </c>
      <c r="W195" s="174" t="s">
        <v>339</v>
      </c>
      <c r="X195" s="174">
        <f>SupplyChain_Tier2_Frontend[[#This Row],[Data type]]</f>
        <v>0</v>
      </c>
      <c r="Y195" s="174" t="s">
        <v>339</v>
      </c>
      <c r="Z195" s="174" t="s">
        <v>199</v>
      </c>
      <c r="AA195" s="229" t="e" cm="1">
        <f t="array" ref="AA195">INDEX(_xlfn.SWITCH(SupplyChain_Tier2_Backend[[#This Row],[Methodology]],"Tier 1",rng_RSD1,"Tier 2",rng_RSD2,"Tier 3",rng_RSD3),MATCH(_xlfn.CONCAT(SupplyChain_Tier2_Backend[[#This Row],[Level 1]:[Level 6]]),rng_LevelsConcat,0))</f>
        <v>#N/A</v>
      </c>
      <c r="AB195" s="220">
        <f>SupplyChain_Tier2_Frontend[[#This Row],[Spend (£)]]</f>
        <v>0</v>
      </c>
      <c r="AC195" s="220" t="s">
        <v>383</v>
      </c>
      <c r="AD195" s="220">
        <f>SupplyChain_Tier2_Frontend[[#This Row],[Spend (£)]]</f>
        <v>0</v>
      </c>
      <c r="AE195" s="174" t="s">
        <v>383</v>
      </c>
      <c r="AF195" s="210" t="e">
        <f>_xlfn.XLOOKUP(_xlfn.CONCAT(SupplyChain_Tier2_Backend[[#This Row],[Level 1]:[Level 6]]),rng_EFConcat,rng_EF1)*SupplyChain_Tier2_Backend[[#This Row],[Converted data]]/1000</f>
        <v>#N/A</v>
      </c>
      <c r="AG195" s="210" t="e">
        <f>_xlfn.XLOOKUP(_xlfn.CONCAT(SupplyChain_Tier2_Backend[[#This Row],[Level 1]:[Level 6]]),rng_EFConcat,rng_EF2)*SupplyChain_Tier2_Backend[[#This Row],[Converted data]]/1000</f>
        <v>#N/A</v>
      </c>
      <c r="AH195" s="210">
        <f>SupplyChain_Tier2_Frontend[[#This Row],[Emissions (kgCO2e)]]/1000</f>
        <v>0</v>
      </c>
      <c r="AI195" s="210" t="e">
        <f>_xlfn.XLOOKUP(_xlfn.CONCAT(SupplyChain_Tier2_Backend[[#This Row],[Level 1]:[Level 6]]),rng_EFConcat,rng_EF3WTT)*SupplyChain_Tier2_Backend[[#This Row],[Converted data]]/1000</f>
        <v>#N/A</v>
      </c>
      <c r="AJ195" s="210" t="e">
        <f>_xlfn.XLOOKUP(_xlfn.CONCAT(SupplyChain_Tier2_Backend[[#This Row],[Level 1]:[Level 6]]),rng_EFConcat,rng_EF3TD)*SupplyChain_Tier2_Backend[[#This Row],[Converted data]]/1000</f>
        <v>#N/A</v>
      </c>
      <c r="AK195" s="210" t="e">
        <f>_xlfn.XLOOKUP(_xlfn.CONCAT(SupplyChain_Tier2_Backend[[#This Row],[Level 1]:[Level 6]]),rng_EFConcat,rng_EF3WTTTD)*SupplyChain_Tier2_Backend[[#This Row],[Converted data]]/1000</f>
        <v>#N/A</v>
      </c>
      <c r="AL195" s="220" t="e">
        <f>SUM(SupplyChain_Tier2_Backend[[#This Row],[Scope 1 (tCO2e)]:[Scope 3 WTT T&amp;D (tCO2e)]])</f>
        <v>#N/A</v>
      </c>
      <c r="AM195" s="220" t="e">
        <f>SupplyChain_Tier2_Backend[[#This Row],[Total (tCO2e)]]*(1-SupplyChain_Tier2_Backend[[#This Row],[RSD]])</f>
        <v>#N/A</v>
      </c>
      <c r="AN195" s="220" t="e">
        <f>SupplyChain_Tier2_Backend[[#This Row],[Total (tCO2e)]]*(1+SupplyChain_Tier2_Backend[[#This Row],[RSD]])</f>
        <v>#N/A</v>
      </c>
      <c r="AO195" s="210" t="e">
        <f>_xlfn.XLOOKUP(_xlfn.CONCAT(SupplyChain_Tier2_Backend[[#This Row],[Level 1]:[Level 6]]),rng_EFConcat,rng_EFOOS)*SupplyChain_Tier2_Backend[[#This Row],[Converted data]]/1000</f>
        <v>#N/A</v>
      </c>
      <c r="AP195" s="174">
        <f>SupplyChain_Tier2_Frontend[[#This Row],[Ease of collection]]</f>
        <v>0</v>
      </c>
      <c r="AQ195" s="213">
        <f>SupplyChain_Tier2_Frontend[[#This Row],[Completeness]]</f>
        <v>0</v>
      </c>
      <c r="AR195" s="213">
        <f>SupplyChain_Tier2_Frontend[[#This Row],[Notes]]</f>
        <v>0</v>
      </c>
    </row>
    <row r="196" spans="4:44" ht="14.5" x14ac:dyDescent="0.35">
      <c r="D196" s="147">
        <v>68</v>
      </c>
      <c r="E196" s="236" t="str">
        <f t="shared" si="9"/>
        <v/>
      </c>
      <c r="F196" s="336"/>
      <c r="G196" s="334"/>
      <c r="H196" s="334"/>
      <c r="I196" s="334"/>
      <c r="J196" s="336"/>
      <c r="K196" s="336"/>
      <c r="L196" s="337"/>
      <c r="M196" s="242">
        <f t="shared" si="12"/>
        <v>4</v>
      </c>
      <c r="Q196" s="211" t="str">
        <f t="shared" si="11"/>
        <v/>
      </c>
      <c r="R196" s="174" t="s">
        <v>267</v>
      </c>
      <c r="S196" s="174" t="s">
        <v>385</v>
      </c>
      <c r="T196" s="235" t="s">
        <v>385</v>
      </c>
      <c r="U196" s="173" t="str">
        <f>SupplyChain_Tier2_Frontend[[#This Row],[Category]]</f>
        <v/>
      </c>
      <c r="V196" s="173">
        <f>SupplyChain_Tier2_Frontend[[#This Row],[Product Category]]</f>
        <v>0</v>
      </c>
      <c r="W196" s="174" t="s">
        <v>339</v>
      </c>
      <c r="X196" s="174">
        <f>SupplyChain_Tier2_Frontend[[#This Row],[Data type]]</f>
        <v>0</v>
      </c>
      <c r="Y196" s="174" t="s">
        <v>339</v>
      </c>
      <c r="Z196" s="174" t="s">
        <v>199</v>
      </c>
      <c r="AA196" s="229" t="e" cm="1">
        <f t="array" ref="AA196">INDEX(_xlfn.SWITCH(SupplyChain_Tier2_Backend[[#This Row],[Methodology]],"Tier 1",rng_RSD1,"Tier 2",rng_RSD2,"Tier 3",rng_RSD3),MATCH(_xlfn.CONCAT(SupplyChain_Tier2_Backend[[#This Row],[Level 1]:[Level 6]]),rng_LevelsConcat,0))</f>
        <v>#N/A</v>
      </c>
      <c r="AB196" s="220">
        <f>SupplyChain_Tier2_Frontend[[#This Row],[Spend (£)]]</f>
        <v>0</v>
      </c>
      <c r="AC196" s="220" t="s">
        <v>383</v>
      </c>
      <c r="AD196" s="220">
        <f>SupplyChain_Tier2_Frontend[[#This Row],[Spend (£)]]</f>
        <v>0</v>
      </c>
      <c r="AE196" s="174" t="s">
        <v>383</v>
      </c>
      <c r="AF196" s="210" t="e">
        <f>_xlfn.XLOOKUP(_xlfn.CONCAT(SupplyChain_Tier2_Backend[[#This Row],[Level 1]:[Level 6]]),rng_EFConcat,rng_EF1)*SupplyChain_Tier2_Backend[[#This Row],[Converted data]]/1000</f>
        <v>#N/A</v>
      </c>
      <c r="AG196" s="210" t="e">
        <f>_xlfn.XLOOKUP(_xlfn.CONCAT(SupplyChain_Tier2_Backend[[#This Row],[Level 1]:[Level 6]]),rng_EFConcat,rng_EF2)*SupplyChain_Tier2_Backend[[#This Row],[Converted data]]/1000</f>
        <v>#N/A</v>
      </c>
      <c r="AH196" s="210">
        <f>SupplyChain_Tier2_Frontend[[#This Row],[Emissions (kgCO2e)]]/1000</f>
        <v>0</v>
      </c>
      <c r="AI196" s="210" t="e">
        <f>_xlfn.XLOOKUP(_xlfn.CONCAT(SupplyChain_Tier2_Backend[[#This Row],[Level 1]:[Level 6]]),rng_EFConcat,rng_EF3WTT)*SupplyChain_Tier2_Backend[[#This Row],[Converted data]]/1000</f>
        <v>#N/A</v>
      </c>
      <c r="AJ196" s="210" t="e">
        <f>_xlfn.XLOOKUP(_xlfn.CONCAT(SupplyChain_Tier2_Backend[[#This Row],[Level 1]:[Level 6]]),rng_EFConcat,rng_EF3TD)*SupplyChain_Tier2_Backend[[#This Row],[Converted data]]/1000</f>
        <v>#N/A</v>
      </c>
      <c r="AK196" s="210" t="e">
        <f>_xlfn.XLOOKUP(_xlfn.CONCAT(SupplyChain_Tier2_Backend[[#This Row],[Level 1]:[Level 6]]),rng_EFConcat,rng_EF3WTTTD)*SupplyChain_Tier2_Backend[[#This Row],[Converted data]]/1000</f>
        <v>#N/A</v>
      </c>
      <c r="AL196" s="220" t="e">
        <f>SUM(SupplyChain_Tier2_Backend[[#This Row],[Scope 1 (tCO2e)]:[Scope 3 WTT T&amp;D (tCO2e)]])</f>
        <v>#N/A</v>
      </c>
      <c r="AM196" s="220" t="e">
        <f>SupplyChain_Tier2_Backend[[#This Row],[Total (tCO2e)]]*(1-SupplyChain_Tier2_Backend[[#This Row],[RSD]])</f>
        <v>#N/A</v>
      </c>
      <c r="AN196" s="220" t="e">
        <f>SupplyChain_Tier2_Backend[[#This Row],[Total (tCO2e)]]*(1+SupplyChain_Tier2_Backend[[#This Row],[RSD]])</f>
        <v>#N/A</v>
      </c>
      <c r="AO196" s="210" t="e">
        <f>_xlfn.XLOOKUP(_xlfn.CONCAT(SupplyChain_Tier2_Backend[[#This Row],[Level 1]:[Level 6]]),rng_EFConcat,rng_EFOOS)*SupplyChain_Tier2_Backend[[#This Row],[Converted data]]/1000</f>
        <v>#N/A</v>
      </c>
      <c r="AP196" s="174">
        <f>SupplyChain_Tier2_Frontend[[#This Row],[Ease of collection]]</f>
        <v>0</v>
      </c>
      <c r="AQ196" s="213">
        <f>SupplyChain_Tier2_Frontend[[#This Row],[Completeness]]</f>
        <v>0</v>
      </c>
      <c r="AR196" s="213">
        <f>SupplyChain_Tier2_Frontend[[#This Row],[Notes]]</f>
        <v>0</v>
      </c>
    </row>
    <row r="197" spans="4:44" ht="14.5" x14ac:dyDescent="0.35">
      <c r="D197" s="147">
        <v>69</v>
      </c>
      <c r="E197" s="236" t="str">
        <f t="shared" si="9"/>
        <v/>
      </c>
      <c r="F197" s="336"/>
      <c r="G197" s="334"/>
      <c r="H197" s="334"/>
      <c r="I197" s="334"/>
      <c r="J197" s="336"/>
      <c r="K197" s="336"/>
      <c r="L197" s="337"/>
      <c r="M197" s="242">
        <f t="shared" si="12"/>
        <v>4</v>
      </c>
      <c r="Q197" s="211" t="str">
        <f t="shared" si="11"/>
        <v/>
      </c>
      <c r="R197" s="174" t="s">
        <v>267</v>
      </c>
      <c r="S197" s="174" t="s">
        <v>385</v>
      </c>
      <c r="T197" s="235" t="s">
        <v>385</v>
      </c>
      <c r="U197" s="173" t="str">
        <f>SupplyChain_Tier2_Frontend[[#This Row],[Category]]</f>
        <v/>
      </c>
      <c r="V197" s="173">
        <f>SupplyChain_Tier2_Frontend[[#This Row],[Product Category]]</f>
        <v>0</v>
      </c>
      <c r="W197" s="174" t="s">
        <v>339</v>
      </c>
      <c r="X197" s="174">
        <f>SupplyChain_Tier2_Frontend[[#This Row],[Data type]]</f>
        <v>0</v>
      </c>
      <c r="Y197" s="174" t="s">
        <v>339</v>
      </c>
      <c r="Z197" s="174" t="s">
        <v>199</v>
      </c>
      <c r="AA197" s="229" t="e" cm="1">
        <f t="array" ref="AA197">INDEX(_xlfn.SWITCH(SupplyChain_Tier2_Backend[[#This Row],[Methodology]],"Tier 1",rng_RSD1,"Tier 2",rng_RSD2,"Tier 3",rng_RSD3),MATCH(_xlfn.CONCAT(SupplyChain_Tier2_Backend[[#This Row],[Level 1]:[Level 6]]),rng_LevelsConcat,0))</f>
        <v>#N/A</v>
      </c>
      <c r="AB197" s="220">
        <f>SupplyChain_Tier2_Frontend[[#This Row],[Spend (£)]]</f>
        <v>0</v>
      </c>
      <c r="AC197" s="220" t="s">
        <v>383</v>
      </c>
      <c r="AD197" s="220">
        <f>SupplyChain_Tier2_Frontend[[#This Row],[Spend (£)]]</f>
        <v>0</v>
      </c>
      <c r="AE197" s="174" t="s">
        <v>383</v>
      </c>
      <c r="AF197" s="210" t="e">
        <f>_xlfn.XLOOKUP(_xlfn.CONCAT(SupplyChain_Tier2_Backend[[#This Row],[Level 1]:[Level 6]]),rng_EFConcat,rng_EF1)*SupplyChain_Tier2_Backend[[#This Row],[Converted data]]/1000</f>
        <v>#N/A</v>
      </c>
      <c r="AG197" s="210" t="e">
        <f>_xlfn.XLOOKUP(_xlfn.CONCAT(SupplyChain_Tier2_Backend[[#This Row],[Level 1]:[Level 6]]),rng_EFConcat,rng_EF2)*SupplyChain_Tier2_Backend[[#This Row],[Converted data]]/1000</f>
        <v>#N/A</v>
      </c>
      <c r="AH197" s="210">
        <f>SupplyChain_Tier2_Frontend[[#This Row],[Emissions (kgCO2e)]]/1000</f>
        <v>0</v>
      </c>
      <c r="AI197" s="210" t="e">
        <f>_xlfn.XLOOKUP(_xlfn.CONCAT(SupplyChain_Tier2_Backend[[#This Row],[Level 1]:[Level 6]]),rng_EFConcat,rng_EF3WTT)*SupplyChain_Tier2_Backend[[#This Row],[Converted data]]/1000</f>
        <v>#N/A</v>
      </c>
      <c r="AJ197" s="210" t="e">
        <f>_xlfn.XLOOKUP(_xlfn.CONCAT(SupplyChain_Tier2_Backend[[#This Row],[Level 1]:[Level 6]]),rng_EFConcat,rng_EF3TD)*SupplyChain_Tier2_Backend[[#This Row],[Converted data]]/1000</f>
        <v>#N/A</v>
      </c>
      <c r="AK197" s="210" t="e">
        <f>_xlfn.XLOOKUP(_xlfn.CONCAT(SupplyChain_Tier2_Backend[[#This Row],[Level 1]:[Level 6]]),rng_EFConcat,rng_EF3WTTTD)*SupplyChain_Tier2_Backend[[#This Row],[Converted data]]/1000</f>
        <v>#N/A</v>
      </c>
      <c r="AL197" s="220" t="e">
        <f>SUM(SupplyChain_Tier2_Backend[[#This Row],[Scope 1 (tCO2e)]:[Scope 3 WTT T&amp;D (tCO2e)]])</f>
        <v>#N/A</v>
      </c>
      <c r="AM197" s="220" t="e">
        <f>SupplyChain_Tier2_Backend[[#This Row],[Total (tCO2e)]]*(1-SupplyChain_Tier2_Backend[[#This Row],[RSD]])</f>
        <v>#N/A</v>
      </c>
      <c r="AN197" s="220" t="e">
        <f>SupplyChain_Tier2_Backend[[#This Row],[Total (tCO2e)]]*(1+SupplyChain_Tier2_Backend[[#This Row],[RSD]])</f>
        <v>#N/A</v>
      </c>
      <c r="AO197" s="210" t="e">
        <f>_xlfn.XLOOKUP(_xlfn.CONCAT(SupplyChain_Tier2_Backend[[#This Row],[Level 1]:[Level 6]]),rng_EFConcat,rng_EFOOS)*SupplyChain_Tier2_Backend[[#This Row],[Converted data]]/1000</f>
        <v>#N/A</v>
      </c>
      <c r="AP197" s="174">
        <f>SupplyChain_Tier2_Frontend[[#This Row],[Ease of collection]]</f>
        <v>0</v>
      </c>
      <c r="AQ197" s="213">
        <f>SupplyChain_Tier2_Frontend[[#This Row],[Completeness]]</f>
        <v>0</v>
      </c>
      <c r="AR197" s="213">
        <f>SupplyChain_Tier2_Frontend[[#This Row],[Notes]]</f>
        <v>0</v>
      </c>
    </row>
    <row r="198" spans="4:44" ht="14.5" x14ac:dyDescent="0.35">
      <c r="D198" s="147">
        <v>70</v>
      </c>
      <c r="E198" s="236" t="str">
        <f t="shared" si="9"/>
        <v/>
      </c>
      <c r="F198" s="336"/>
      <c r="G198" s="334"/>
      <c r="H198" s="334"/>
      <c r="I198" s="334"/>
      <c r="J198" s="336"/>
      <c r="K198" s="336"/>
      <c r="L198" s="337"/>
      <c r="M198" s="242">
        <f t="shared" si="12"/>
        <v>4</v>
      </c>
      <c r="Q198" s="211" t="str">
        <f t="shared" si="11"/>
        <v/>
      </c>
      <c r="R198" s="174" t="s">
        <v>267</v>
      </c>
      <c r="S198" s="174" t="s">
        <v>385</v>
      </c>
      <c r="T198" s="235" t="s">
        <v>385</v>
      </c>
      <c r="U198" s="173" t="str">
        <f>SupplyChain_Tier2_Frontend[[#This Row],[Category]]</f>
        <v/>
      </c>
      <c r="V198" s="173">
        <f>SupplyChain_Tier2_Frontend[[#This Row],[Product Category]]</f>
        <v>0</v>
      </c>
      <c r="W198" s="174" t="s">
        <v>339</v>
      </c>
      <c r="X198" s="174">
        <f>SupplyChain_Tier2_Frontend[[#This Row],[Data type]]</f>
        <v>0</v>
      </c>
      <c r="Y198" s="174" t="s">
        <v>339</v>
      </c>
      <c r="Z198" s="174" t="s">
        <v>199</v>
      </c>
      <c r="AA198" s="229" t="e" cm="1">
        <f t="array" ref="AA198">INDEX(_xlfn.SWITCH(SupplyChain_Tier2_Backend[[#This Row],[Methodology]],"Tier 1",rng_RSD1,"Tier 2",rng_RSD2,"Tier 3",rng_RSD3),MATCH(_xlfn.CONCAT(SupplyChain_Tier2_Backend[[#This Row],[Level 1]:[Level 6]]),rng_LevelsConcat,0))</f>
        <v>#N/A</v>
      </c>
      <c r="AB198" s="220">
        <f>SupplyChain_Tier2_Frontend[[#This Row],[Spend (£)]]</f>
        <v>0</v>
      </c>
      <c r="AC198" s="220" t="s">
        <v>383</v>
      </c>
      <c r="AD198" s="220">
        <f>SupplyChain_Tier2_Frontend[[#This Row],[Spend (£)]]</f>
        <v>0</v>
      </c>
      <c r="AE198" s="174" t="s">
        <v>383</v>
      </c>
      <c r="AF198" s="210" t="e">
        <f>_xlfn.XLOOKUP(_xlfn.CONCAT(SupplyChain_Tier2_Backend[[#This Row],[Level 1]:[Level 6]]),rng_EFConcat,rng_EF1)*SupplyChain_Tier2_Backend[[#This Row],[Converted data]]/1000</f>
        <v>#N/A</v>
      </c>
      <c r="AG198" s="210" t="e">
        <f>_xlfn.XLOOKUP(_xlfn.CONCAT(SupplyChain_Tier2_Backend[[#This Row],[Level 1]:[Level 6]]),rng_EFConcat,rng_EF2)*SupplyChain_Tier2_Backend[[#This Row],[Converted data]]/1000</f>
        <v>#N/A</v>
      </c>
      <c r="AH198" s="210">
        <f>SupplyChain_Tier2_Frontend[[#This Row],[Emissions (kgCO2e)]]/1000</f>
        <v>0</v>
      </c>
      <c r="AI198" s="210" t="e">
        <f>_xlfn.XLOOKUP(_xlfn.CONCAT(SupplyChain_Tier2_Backend[[#This Row],[Level 1]:[Level 6]]),rng_EFConcat,rng_EF3WTT)*SupplyChain_Tier2_Backend[[#This Row],[Converted data]]/1000</f>
        <v>#N/A</v>
      </c>
      <c r="AJ198" s="210" t="e">
        <f>_xlfn.XLOOKUP(_xlfn.CONCAT(SupplyChain_Tier2_Backend[[#This Row],[Level 1]:[Level 6]]),rng_EFConcat,rng_EF3TD)*SupplyChain_Tier2_Backend[[#This Row],[Converted data]]/1000</f>
        <v>#N/A</v>
      </c>
      <c r="AK198" s="210" t="e">
        <f>_xlfn.XLOOKUP(_xlfn.CONCAT(SupplyChain_Tier2_Backend[[#This Row],[Level 1]:[Level 6]]),rng_EFConcat,rng_EF3WTTTD)*SupplyChain_Tier2_Backend[[#This Row],[Converted data]]/1000</f>
        <v>#N/A</v>
      </c>
      <c r="AL198" s="220" t="e">
        <f>SUM(SupplyChain_Tier2_Backend[[#This Row],[Scope 1 (tCO2e)]:[Scope 3 WTT T&amp;D (tCO2e)]])</f>
        <v>#N/A</v>
      </c>
      <c r="AM198" s="220" t="e">
        <f>SupplyChain_Tier2_Backend[[#This Row],[Total (tCO2e)]]*(1-SupplyChain_Tier2_Backend[[#This Row],[RSD]])</f>
        <v>#N/A</v>
      </c>
      <c r="AN198" s="220" t="e">
        <f>SupplyChain_Tier2_Backend[[#This Row],[Total (tCO2e)]]*(1+SupplyChain_Tier2_Backend[[#This Row],[RSD]])</f>
        <v>#N/A</v>
      </c>
      <c r="AO198" s="210" t="e">
        <f>_xlfn.XLOOKUP(_xlfn.CONCAT(SupplyChain_Tier2_Backend[[#This Row],[Level 1]:[Level 6]]),rng_EFConcat,rng_EFOOS)*SupplyChain_Tier2_Backend[[#This Row],[Converted data]]/1000</f>
        <v>#N/A</v>
      </c>
      <c r="AP198" s="174">
        <f>SupplyChain_Tier2_Frontend[[#This Row],[Ease of collection]]</f>
        <v>0</v>
      </c>
      <c r="AQ198" s="213">
        <f>SupplyChain_Tier2_Frontend[[#This Row],[Completeness]]</f>
        <v>0</v>
      </c>
      <c r="AR198" s="213">
        <f>SupplyChain_Tier2_Frontend[[#This Row],[Notes]]</f>
        <v>0</v>
      </c>
    </row>
    <row r="199" spans="4:44" ht="14.5" x14ac:dyDescent="0.35">
      <c r="D199" s="147">
        <v>71</v>
      </c>
      <c r="E199" s="236" t="str">
        <f t="shared" ref="E199:E248" si="13">_xlfn.XLOOKUP($F199, $F$14:$F$123, $E$14:$E$123, "")</f>
        <v/>
      </c>
      <c r="F199" s="336"/>
      <c r="G199" s="334"/>
      <c r="H199" s="334"/>
      <c r="I199" s="334"/>
      <c r="J199" s="336"/>
      <c r="K199" s="336"/>
      <c r="L199" s="337"/>
      <c r="M199" s="242">
        <f t="shared" si="12"/>
        <v>4</v>
      </c>
      <c r="Q199" s="211" t="str">
        <f t="shared" si="11"/>
        <v/>
      </c>
      <c r="R199" s="174" t="s">
        <v>267</v>
      </c>
      <c r="S199" s="174" t="s">
        <v>385</v>
      </c>
      <c r="T199" s="235" t="s">
        <v>385</v>
      </c>
      <c r="U199" s="173" t="str">
        <f>SupplyChain_Tier2_Frontend[[#This Row],[Category]]</f>
        <v/>
      </c>
      <c r="V199" s="173">
        <f>SupplyChain_Tier2_Frontend[[#This Row],[Product Category]]</f>
        <v>0</v>
      </c>
      <c r="W199" s="174" t="s">
        <v>339</v>
      </c>
      <c r="X199" s="174">
        <f>SupplyChain_Tier2_Frontend[[#This Row],[Data type]]</f>
        <v>0</v>
      </c>
      <c r="Y199" s="174" t="s">
        <v>339</v>
      </c>
      <c r="Z199" s="174" t="s">
        <v>199</v>
      </c>
      <c r="AA199" s="229" t="e" cm="1">
        <f t="array" ref="AA199">INDEX(_xlfn.SWITCH(SupplyChain_Tier2_Backend[[#This Row],[Methodology]],"Tier 1",rng_RSD1,"Tier 2",rng_RSD2,"Tier 3",rng_RSD3),MATCH(_xlfn.CONCAT(SupplyChain_Tier2_Backend[[#This Row],[Level 1]:[Level 6]]),rng_LevelsConcat,0))</f>
        <v>#N/A</v>
      </c>
      <c r="AB199" s="220">
        <f>SupplyChain_Tier2_Frontend[[#This Row],[Spend (£)]]</f>
        <v>0</v>
      </c>
      <c r="AC199" s="220" t="s">
        <v>383</v>
      </c>
      <c r="AD199" s="220">
        <f>SupplyChain_Tier2_Frontend[[#This Row],[Spend (£)]]</f>
        <v>0</v>
      </c>
      <c r="AE199" s="174" t="s">
        <v>383</v>
      </c>
      <c r="AF199" s="210" t="e">
        <f>_xlfn.XLOOKUP(_xlfn.CONCAT(SupplyChain_Tier2_Backend[[#This Row],[Level 1]:[Level 6]]),rng_EFConcat,rng_EF1)*SupplyChain_Tier2_Backend[[#This Row],[Converted data]]/1000</f>
        <v>#N/A</v>
      </c>
      <c r="AG199" s="210" t="e">
        <f>_xlfn.XLOOKUP(_xlfn.CONCAT(SupplyChain_Tier2_Backend[[#This Row],[Level 1]:[Level 6]]),rng_EFConcat,rng_EF2)*SupplyChain_Tier2_Backend[[#This Row],[Converted data]]/1000</f>
        <v>#N/A</v>
      </c>
      <c r="AH199" s="210">
        <f>SupplyChain_Tier2_Frontend[[#This Row],[Emissions (kgCO2e)]]/1000</f>
        <v>0</v>
      </c>
      <c r="AI199" s="210" t="e">
        <f>_xlfn.XLOOKUP(_xlfn.CONCAT(SupplyChain_Tier2_Backend[[#This Row],[Level 1]:[Level 6]]),rng_EFConcat,rng_EF3WTT)*SupplyChain_Tier2_Backend[[#This Row],[Converted data]]/1000</f>
        <v>#N/A</v>
      </c>
      <c r="AJ199" s="210" t="e">
        <f>_xlfn.XLOOKUP(_xlfn.CONCAT(SupplyChain_Tier2_Backend[[#This Row],[Level 1]:[Level 6]]),rng_EFConcat,rng_EF3TD)*SupplyChain_Tier2_Backend[[#This Row],[Converted data]]/1000</f>
        <v>#N/A</v>
      </c>
      <c r="AK199" s="210" t="e">
        <f>_xlfn.XLOOKUP(_xlfn.CONCAT(SupplyChain_Tier2_Backend[[#This Row],[Level 1]:[Level 6]]),rng_EFConcat,rng_EF3WTTTD)*SupplyChain_Tier2_Backend[[#This Row],[Converted data]]/1000</f>
        <v>#N/A</v>
      </c>
      <c r="AL199" s="220" t="e">
        <f>SUM(SupplyChain_Tier2_Backend[[#This Row],[Scope 1 (tCO2e)]:[Scope 3 WTT T&amp;D (tCO2e)]])</f>
        <v>#N/A</v>
      </c>
      <c r="AM199" s="220" t="e">
        <f>SupplyChain_Tier2_Backend[[#This Row],[Total (tCO2e)]]*(1-SupplyChain_Tier2_Backend[[#This Row],[RSD]])</f>
        <v>#N/A</v>
      </c>
      <c r="AN199" s="220" t="e">
        <f>SupplyChain_Tier2_Backend[[#This Row],[Total (tCO2e)]]*(1+SupplyChain_Tier2_Backend[[#This Row],[RSD]])</f>
        <v>#N/A</v>
      </c>
      <c r="AO199" s="210" t="e">
        <f>_xlfn.XLOOKUP(_xlfn.CONCAT(SupplyChain_Tier2_Backend[[#This Row],[Level 1]:[Level 6]]),rng_EFConcat,rng_EFOOS)*SupplyChain_Tier2_Backend[[#This Row],[Converted data]]/1000</f>
        <v>#N/A</v>
      </c>
      <c r="AP199" s="174">
        <f>SupplyChain_Tier2_Frontend[[#This Row],[Ease of collection]]</f>
        <v>0</v>
      </c>
      <c r="AQ199" s="213">
        <f>SupplyChain_Tier2_Frontend[[#This Row],[Completeness]]</f>
        <v>0</v>
      </c>
      <c r="AR199" s="213">
        <f>SupplyChain_Tier2_Frontend[[#This Row],[Notes]]</f>
        <v>0</v>
      </c>
    </row>
    <row r="200" spans="4:44" ht="14.5" x14ac:dyDescent="0.35">
      <c r="D200" s="147">
        <v>72</v>
      </c>
      <c r="E200" s="236" t="str">
        <f t="shared" si="13"/>
        <v/>
      </c>
      <c r="F200" s="336"/>
      <c r="G200" s="334"/>
      <c r="H200" s="334"/>
      <c r="I200" s="334"/>
      <c r="J200" s="336"/>
      <c r="K200" s="336"/>
      <c r="L200" s="337"/>
      <c r="M200" s="242">
        <f t="shared" si="12"/>
        <v>4</v>
      </c>
      <c r="Q200" s="211" t="str">
        <f t="shared" si="11"/>
        <v/>
      </c>
      <c r="R200" s="174" t="s">
        <v>267</v>
      </c>
      <c r="S200" s="174" t="s">
        <v>385</v>
      </c>
      <c r="T200" s="235" t="s">
        <v>385</v>
      </c>
      <c r="U200" s="173" t="str">
        <f>SupplyChain_Tier2_Frontend[[#This Row],[Category]]</f>
        <v/>
      </c>
      <c r="V200" s="173">
        <f>SupplyChain_Tier2_Frontend[[#This Row],[Product Category]]</f>
        <v>0</v>
      </c>
      <c r="W200" s="174" t="s">
        <v>339</v>
      </c>
      <c r="X200" s="174">
        <f>SupplyChain_Tier2_Frontend[[#This Row],[Data type]]</f>
        <v>0</v>
      </c>
      <c r="Y200" s="174" t="s">
        <v>339</v>
      </c>
      <c r="Z200" s="174" t="s">
        <v>199</v>
      </c>
      <c r="AA200" s="229" t="e" cm="1">
        <f t="array" ref="AA200">INDEX(_xlfn.SWITCH(SupplyChain_Tier2_Backend[[#This Row],[Methodology]],"Tier 1",rng_RSD1,"Tier 2",rng_RSD2,"Tier 3",rng_RSD3),MATCH(_xlfn.CONCAT(SupplyChain_Tier2_Backend[[#This Row],[Level 1]:[Level 6]]),rng_LevelsConcat,0))</f>
        <v>#N/A</v>
      </c>
      <c r="AB200" s="220">
        <f>SupplyChain_Tier2_Frontend[[#This Row],[Spend (£)]]</f>
        <v>0</v>
      </c>
      <c r="AC200" s="220" t="s">
        <v>383</v>
      </c>
      <c r="AD200" s="220">
        <f>SupplyChain_Tier2_Frontend[[#This Row],[Spend (£)]]</f>
        <v>0</v>
      </c>
      <c r="AE200" s="174" t="s">
        <v>383</v>
      </c>
      <c r="AF200" s="210" t="e">
        <f>_xlfn.XLOOKUP(_xlfn.CONCAT(SupplyChain_Tier2_Backend[[#This Row],[Level 1]:[Level 6]]),rng_EFConcat,rng_EF1)*SupplyChain_Tier2_Backend[[#This Row],[Converted data]]/1000</f>
        <v>#N/A</v>
      </c>
      <c r="AG200" s="210" t="e">
        <f>_xlfn.XLOOKUP(_xlfn.CONCAT(SupplyChain_Tier2_Backend[[#This Row],[Level 1]:[Level 6]]),rng_EFConcat,rng_EF2)*SupplyChain_Tier2_Backend[[#This Row],[Converted data]]/1000</f>
        <v>#N/A</v>
      </c>
      <c r="AH200" s="210">
        <f>SupplyChain_Tier2_Frontend[[#This Row],[Emissions (kgCO2e)]]/1000</f>
        <v>0</v>
      </c>
      <c r="AI200" s="210" t="e">
        <f>_xlfn.XLOOKUP(_xlfn.CONCAT(SupplyChain_Tier2_Backend[[#This Row],[Level 1]:[Level 6]]),rng_EFConcat,rng_EF3WTT)*SupplyChain_Tier2_Backend[[#This Row],[Converted data]]/1000</f>
        <v>#N/A</v>
      </c>
      <c r="AJ200" s="210" t="e">
        <f>_xlfn.XLOOKUP(_xlfn.CONCAT(SupplyChain_Tier2_Backend[[#This Row],[Level 1]:[Level 6]]),rng_EFConcat,rng_EF3TD)*SupplyChain_Tier2_Backend[[#This Row],[Converted data]]/1000</f>
        <v>#N/A</v>
      </c>
      <c r="AK200" s="210" t="e">
        <f>_xlfn.XLOOKUP(_xlfn.CONCAT(SupplyChain_Tier2_Backend[[#This Row],[Level 1]:[Level 6]]),rng_EFConcat,rng_EF3WTTTD)*SupplyChain_Tier2_Backend[[#This Row],[Converted data]]/1000</f>
        <v>#N/A</v>
      </c>
      <c r="AL200" s="220" t="e">
        <f>SUM(SupplyChain_Tier2_Backend[[#This Row],[Scope 1 (tCO2e)]:[Scope 3 WTT T&amp;D (tCO2e)]])</f>
        <v>#N/A</v>
      </c>
      <c r="AM200" s="220" t="e">
        <f>SupplyChain_Tier2_Backend[[#This Row],[Total (tCO2e)]]*(1-SupplyChain_Tier2_Backend[[#This Row],[RSD]])</f>
        <v>#N/A</v>
      </c>
      <c r="AN200" s="220" t="e">
        <f>SupplyChain_Tier2_Backend[[#This Row],[Total (tCO2e)]]*(1+SupplyChain_Tier2_Backend[[#This Row],[RSD]])</f>
        <v>#N/A</v>
      </c>
      <c r="AO200" s="210" t="e">
        <f>_xlfn.XLOOKUP(_xlfn.CONCAT(SupplyChain_Tier2_Backend[[#This Row],[Level 1]:[Level 6]]),rng_EFConcat,rng_EFOOS)*SupplyChain_Tier2_Backend[[#This Row],[Converted data]]/1000</f>
        <v>#N/A</v>
      </c>
      <c r="AP200" s="174">
        <f>SupplyChain_Tier2_Frontend[[#This Row],[Ease of collection]]</f>
        <v>0</v>
      </c>
      <c r="AQ200" s="213">
        <f>SupplyChain_Tier2_Frontend[[#This Row],[Completeness]]</f>
        <v>0</v>
      </c>
      <c r="AR200" s="213">
        <f>SupplyChain_Tier2_Frontend[[#This Row],[Notes]]</f>
        <v>0</v>
      </c>
    </row>
    <row r="201" spans="4:44" ht="14.5" x14ac:dyDescent="0.35">
      <c r="D201" s="147">
        <v>73</v>
      </c>
      <c r="E201" s="236" t="str">
        <f t="shared" si="13"/>
        <v/>
      </c>
      <c r="F201" s="336"/>
      <c r="G201" s="334"/>
      <c r="H201" s="334"/>
      <c r="I201" s="334"/>
      <c r="J201" s="336"/>
      <c r="K201" s="336"/>
      <c r="L201" s="337"/>
      <c r="M201" s="242">
        <f t="shared" si="12"/>
        <v>4</v>
      </c>
      <c r="Q201" s="211" t="str">
        <f t="shared" si="11"/>
        <v/>
      </c>
      <c r="R201" s="174" t="s">
        <v>267</v>
      </c>
      <c r="S201" s="174" t="s">
        <v>385</v>
      </c>
      <c r="T201" s="235" t="s">
        <v>385</v>
      </c>
      <c r="U201" s="173" t="str">
        <f>SupplyChain_Tier2_Frontend[[#This Row],[Category]]</f>
        <v/>
      </c>
      <c r="V201" s="173">
        <f>SupplyChain_Tier2_Frontend[[#This Row],[Product Category]]</f>
        <v>0</v>
      </c>
      <c r="W201" s="174" t="s">
        <v>339</v>
      </c>
      <c r="X201" s="174">
        <f>SupplyChain_Tier2_Frontend[[#This Row],[Data type]]</f>
        <v>0</v>
      </c>
      <c r="Y201" s="174" t="s">
        <v>339</v>
      </c>
      <c r="Z201" s="174" t="s">
        <v>199</v>
      </c>
      <c r="AA201" s="229" t="e" cm="1">
        <f t="array" ref="AA201">INDEX(_xlfn.SWITCH(SupplyChain_Tier2_Backend[[#This Row],[Methodology]],"Tier 1",rng_RSD1,"Tier 2",rng_RSD2,"Tier 3",rng_RSD3),MATCH(_xlfn.CONCAT(SupplyChain_Tier2_Backend[[#This Row],[Level 1]:[Level 6]]),rng_LevelsConcat,0))</f>
        <v>#N/A</v>
      </c>
      <c r="AB201" s="220">
        <f>SupplyChain_Tier2_Frontend[[#This Row],[Spend (£)]]</f>
        <v>0</v>
      </c>
      <c r="AC201" s="220" t="s">
        <v>383</v>
      </c>
      <c r="AD201" s="220">
        <f>SupplyChain_Tier2_Frontend[[#This Row],[Spend (£)]]</f>
        <v>0</v>
      </c>
      <c r="AE201" s="174" t="s">
        <v>383</v>
      </c>
      <c r="AF201" s="210" t="e">
        <f>_xlfn.XLOOKUP(_xlfn.CONCAT(SupplyChain_Tier2_Backend[[#This Row],[Level 1]:[Level 6]]),rng_EFConcat,rng_EF1)*SupplyChain_Tier2_Backend[[#This Row],[Converted data]]/1000</f>
        <v>#N/A</v>
      </c>
      <c r="AG201" s="210" t="e">
        <f>_xlfn.XLOOKUP(_xlfn.CONCAT(SupplyChain_Tier2_Backend[[#This Row],[Level 1]:[Level 6]]),rng_EFConcat,rng_EF2)*SupplyChain_Tier2_Backend[[#This Row],[Converted data]]/1000</f>
        <v>#N/A</v>
      </c>
      <c r="AH201" s="210">
        <f>SupplyChain_Tier2_Frontend[[#This Row],[Emissions (kgCO2e)]]/1000</f>
        <v>0</v>
      </c>
      <c r="AI201" s="210" t="e">
        <f>_xlfn.XLOOKUP(_xlfn.CONCAT(SupplyChain_Tier2_Backend[[#This Row],[Level 1]:[Level 6]]),rng_EFConcat,rng_EF3WTT)*SupplyChain_Tier2_Backend[[#This Row],[Converted data]]/1000</f>
        <v>#N/A</v>
      </c>
      <c r="AJ201" s="210" t="e">
        <f>_xlfn.XLOOKUP(_xlfn.CONCAT(SupplyChain_Tier2_Backend[[#This Row],[Level 1]:[Level 6]]),rng_EFConcat,rng_EF3TD)*SupplyChain_Tier2_Backend[[#This Row],[Converted data]]/1000</f>
        <v>#N/A</v>
      </c>
      <c r="AK201" s="210" t="e">
        <f>_xlfn.XLOOKUP(_xlfn.CONCAT(SupplyChain_Tier2_Backend[[#This Row],[Level 1]:[Level 6]]),rng_EFConcat,rng_EF3WTTTD)*SupplyChain_Tier2_Backend[[#This Row],[Converted data]]/1000</f>
        <v>#N/A</v>
      </c>
      <c r="AL201" s="220" t="e">
        <f>SUM(SupplyChain_Tier2_Backend[[#This Row],[Scope 1 (tCO2e)]:[Scope 3 WTT T&amp;D (tCO2e)]])</f>
        <v>#N/A</v>
      </c>
      <c r="AM201" s="220" t="e">
        <f>SupplyChain_Tier2_Backend[[#This Row],[Total (tCO2e)]]*(1-SupplyChain_Tier2_Backend[[#This Row],[RSD]])</f>
        <v>#N/A</v>
      </c>
      <c r="AN201" s="220" t="e">
        <f>SupplyChain_Tier2_Backend[[#This Row],[Total (tCO2e)]]*(1+SupplyChain_Tier2_Backend[[#This Row],[RSD]])</f>
        <v>#N/A</v>
      </c>
      <c r="AO201" s="210" t="e">
        <f>_xlfn.XLOOKUP(_xlfn.CONCAT(SupplyChain_Tier2_Backend[[#This Row],[Level 1]:[Level 6]]),rng_EFConcat,rng_EFOOS)*SupplyChain_Tier2_Backend[[#This Row],[Converted data]]/1000</f>
        <v>#N/A</v>
      </c>
      <c r="AP201" s="174">
        <f>SupplyChain_Tier2_Frontend[[#This Row],[Ease of collection]]</f>
        <v>0</v>
      </c>
      <c r="AQ201" s="213">
        <f>SupplyChain_Tier2_Frontend[[#This Row],[Completeness]]</f>
        <v>0</v>
      </c>
      <c r="AR201" s="213">
        <f>SupplyChain_Tier2_Frontend[[#This Row],[Notes]]</f>
        <v>0</v>
      </c>
    </row>
    <row r="202" spans="4:44" ht="14.5" x14ac:dyDescent="0.35">
      <c r="D202" s="147">
        <v>74</v>
      </c>
      <c r="E202" s="236" t="str">
        <f t="shared" si="13"/>
        <v/>
      </c>
      <c r="F202" s="336"/>
      <c r="G202" s="334"/>
      <c r="H202" s="334"/>
      <c r="I202" s="334"/>
      <c r="J202" s="336"/>
      <c r="K202" s="336"/>
      <c r="L202" s="337"/>
      <c r="M202" s="242">
        <f t="shared" si="12"/>
        <v>4</v>
      </c>
      <c r="Q202" s="211" t="str">
        <f t="shared" si="11"/>
        <v/>
      </c>
      <c r="R202" s="174" t="s">
        <v>267</v>
      </c>
      <c r="S202" s="174" t="s">
        <v>385</v>
      </c>
      <c r="T202" s="235" t="s">
        <v>385</v>
      </c>
      <c r="U202" s="173" t="str">
        <f>SupplyChain_Tier2_Frontend[[#This Row],[Category]]</f>
        <v/>
      </c>
      <c r="V202" s="173">
        <f>SupplyChain_Tier2_Frontend[[#This Row],[Product Category]]</f>
        <v>0</v>
      </c>
      <c r="W202" s="174" t="s">
        <v>339</v>
      </c>
      <c r="X202" s="174">
        <f>SupplyChain_Tier2_Frontend[[#This Row],[Data type]]</f>
        <v>0</v>
      </c>
      <c r="Y202" s="174" t="s">
        <v>339</v>
      </c>
      <c r="Z202" s="174" t="s">
        <v>199</v>
      </c>
      <c r="AA202" s="229" t="e" cm="1">
        <f t="array" ref="AA202">INDEX(_xlfn.SWITCH(SupplyChain_Tier2_Backend[[#This Row],[Methodology]],"Tier 1",rng_RSD1,"Tier 2",rng_RSD2,"Tier 3",rng_RSD3),MATCH(_xlfn.CONCAT(SupplyChain_Tier2_Backend[[#This Row],[Level 1]:[Level 6]]),rng_LevelsConcat,0))</f>
        <v>#N/A</v>
      </c>
      <c r="AB202" s="220">
        <f>SupplyChain_Tier2_Frontend[[#This Row],[Spend (£)]]</f>
        <v>0</v>
      </c>
      <c r="AC202" s="220" t="s">
        <v>383</v>
      </c>
      <c r="AD202" s="220">
        <f>SupplyChain_Tier2_Frontend[[#This Row],[Spend (£)]]</f>
        <v>0</v>
      </c>
      <c r="AE202" s="174" t="s">
        <v>383</v>
      </c>
      <c r="AF202" s="210" t="e">
        <f>_xlfn.XLOOKUP(_xlfn.CONCAT(SupplyChain_Tier2_Backend[[#This Row],[Level 1]:[Level 6]]),rng_EFConcat,rng_EF1)*SupplyChain_Tier2_Backend[[#This Row],[Converted data]]/1000</f>
        <v>#N/A</v>
      </c>
      <c r="AG202" s="210" t="e">
        <f>_xlfn.XLOOKUP(_xlfn.CONCAT(SupplyChain_Tier2_Backend[[#This Row],[Level 1]:[Level 6]]),rng_EFConcat,rng_EF2)*SupplyChain_Tier2_Backend[[#This Row],[Converted data]]/1000</f>
        <v>#N/A</v>
      </c>
      <c r="AH202" s="210">
        <f>SupplyChain_Tier2_Frontend[[#This Row],[Emissions (kgCO2e)]]/1000</f>
        <v>0</v>
      </c>
      <c r="AI202" s="210" t="e">
        <f>_xlfn.XLOOKUP(_xlfn.CONCAT(SupplyChain_Tier2_Backend[[#This Row],[Level 1]:[Level 6]]),rng_EFConcat,rng_EF3WTT)*SupplyChain_Tier2_Backend[[#This Row],[Converted data]]/1000</f>
        <v>#N/A</v>
      </c>
      <c r="AJ202" s="210" t="e">
        <f>_xlfn.XLOOKUP(_xlfn.CONCAT(SupplyChain_Tier2_Backend[[#This Row],[Level 1]:[Level 6]]),rng_EFConcat,rng_EF3TD)*SupplyChain_Tier2_Backend[[#This Row],[Converted data]]/1000</f>
        <v>#N/A</v>
      </c>
      <c r="AK202" s="210" t="e">
        <f>_xlfn.XLOOKUP(_xlfn.CONCAT(SupplyChain_Tier2_Backend[[#This Row],[Level 1]:[Level 6]]),rng_EFConcat,rng_EF3WTTTD)*SupplyChain_Tier2_Backend[[#This Row],[Converted data]]/1000</f>
        <v>#N/A</v>
      </c>
      <c r="AL202" s="220" t="e">
        <f>SUM(SupplyChain_Tier2_Backend[[#This Row],[Scope 1 (tCO2e)]:[Scope 3 WTT T&amp;D (tCO2e)]])</f>
        <v>#N/A</v>
      </c>
      <c r="AM202" s="220" t="e">
        <f>SupplyChain_Tier2_Backend[[#This Row],[Total (tCO2e)]]*(1-SupplyChain_Tier2_Backend[[#This Row],[RSD]])</f>
        <v>#N/A</v>
      </c>
      <c r="AN202" s="220" t="e">
        <f>SupplyChain_Tier2_Backend[[#This Row],[Total (tCO2e)]]*(1+SupplyChain_Tier2_Backend[[#This Row],[RSD]])</f>
        <v>#N/A</v>
      </c>
      <c r="AO202" s="210" t="e">
        <f>_xlfn.XLOOKUP(_xlfn.CONCAT(SupplyChain_Tier2_Backend[[#This Row],[Level 1]:[Level 6]]),rng_EFConcat,rng_EFOOS)*SupplyChain_Tier2_Backend[[#This Row],[Converted data]]/1000</f>
        <v>#N/A</v>
      </c>
      <c r="AP202" s="174">
        <f>SupplyChain_Tier2_Frontend[[#This Row],[Ease of collection]]</f>
        <v>0</v>
      </c>
      <c r="AQ202" s="213">
        <f>SupplyChain_Tier2_Frontend[[#This Row],[Completeness]]</f>
        <v>0</v>
      </c>
      <c r="AR202" s="213">
        <f>SupplyChain_Tier2_Frontend[[#This Row],[Notes]]</f>
        <v>0</v>
      </c>
    </row>
    <row r="203" spans="4:44" ht="14.5" x14ac:dyDescent="0.35">
      <c r="D203" s="147">
        <v>75</v>
      </c>
      <c r="E203" s="236" t="str">
        <f t="shared" si="13"/>
        <v/>
      </c>
      <c r="F203" s="336"/>
      <c r="G203" s="334"/>
      <c r="H203" s="334"/>
      <c r="I203" s="334"/>
      <c r="J203" s="336"/>
      <c r="K203" s="336"/>
      <c r="L203" s="337"/>
      <c r="M203" s="242">
        <f t="shared" si="12"/>
        <v>4</v>
      </c>
      <c r="Q203" s="211" t="str">
        <f t="shared" si="11"/>
        <v/>
      </c>
      <c r="R203" s="174" t="s">
        <v>267</v>
      </c>
      <c r="S203" s="174" t="s">
        <v>385</v>
      </c>
      <c r="T203" s="235" t="s">
        <v>385</v>
      </c>
      <c r="U203" s="173" t="str">
        <f>SupplyChain_Tier2_Frontend[[#This Row],[Category]]</f>
        <v/>
      </c>
      <c r="V203" s="173">
        <f>SupplyChain_Tier2_Frontend[[#This Row],[Product Category]]</f>
        <v>0</v>
      </c>
      <c r="W203" s="174" t="s">
        <v>339</v>
      </c>
      <c r="X203" s="174">
        <f>SupplyChain_Tier2_Frontend[[#This Row],[Data type]]</f>
        <v>0</v>
      </c>
      <c r="Y203" s="174" t="s">
        <v>339</v>
      </c>
      <c r="Z203" s="174" t="s">
        <v>199</v>
      </c>
      <c r="AA203" s="229" t="e" cm="1">
        <f t="array" ref="AA203">INDEX(_xlfn.SWITCH(SupplyChain_Tier2_Backend[[#This Row],[Methodology]],"Tier 1",rng_RSD1,"Tier 2",rng_RSD2,"Tier 3",rng_RSD3),MATCH(_xlfn.CONCAT(SupplyChain_Tier2_Backend[[#This Row],[Level 1]:[Level 6]]),rng_LevelsConcat,0))</f>
        <v>#N/A</v>
      </c>
      <c r="AB203" s="220">
        <f>SupplyChain_Tier2_Frontend[[#This Row],[Spend (£)]]</f>
        <v>0</v>
      </c>
      <c r="AC203" s="220" t="s">
        <v>383</v>
      </c>
      <c r="AD203" s="220">
        <f>SupplyChain_Tier2_Frontend[[#This Row],[Spend (£)]]</f>
        <v>0</v>
      </c>
      <c r="AE203" s="174" t="s">
        <v>383</v>
      </c>
      <c r="AF203" s="210" t="e">
        <f>_xlfn.XLOOKUP(_xlfn.CONCAT(SupplyChain_Tier2_Backend[[#This Row],[Level 1]:[Level 6]]),rng_EFConcat,rng_EF1)*SupplyChain_Tier2_Backend[[#This Row],[Converted data]]/1000</f>
        <v>#N/A</v>
      </c>
      <c r="AG203" s="210" t="e">
        <f>_xlfn.XLOOKUP(_xlfn.CONCAT(SupplyChain_Tier2_Backend[[#This Row],[Level 1]:[Level 6]]),rng_EFConcat,rng_EF2)*SupplyChain_Tier2_Backend[[#This Row],[Converted data]]/1000</f>
        <v>#N/A</v>
      </c>
      <c r="AH203" s="210">
        <f>SupplyChain_Tier2_Frontend[[#This Row],[Emissions (kgCO2e)]]/1000</f>
        <v>0</v>
      </c>
      <c r="AI203" s="210" t="e">
        <f>_xlfn.XLOOKUP(_xlfn.CONCAT(SupplyChain_Tier2_Backend[[#This Row],[Level 1]:[Level 6]]),rng_EFConcat,rng_EF3WTT)*SupplyChain_Tier2_Backend[[#This Row],[Converted data]]/1000</f>
        <v>#N/A</v>
      </c>
      <c r="AJ203" s="210" t="e">
        <f>_xlfn.XLOOKUP(_xlfn.CONCAT(SupplyChain_Tier2_Backend[[#This Row],[Level 1]:[Level 6]]),rng_EFConcat,rng_EF3TD)*SupplyChain_Tier2_Backend[[#This Row],[Converted data]]/1000</f>
        <v>#N/A</v>
      </c>
      <c r="AK203" s="210" t="e">
        <f>_xlfn.XLOOKUP(_xlfn.CONCAT(SupplyChain_Tier2_Backend[[#This Row],[Level 1]:[Level 6]]),rng_EFConcat,rng_EF3WTTTD)*SupplyChain_Tier2_Backend[[#This Row],[Converted data]]/1000</f>
        <v>#N/A</v>
      </c>
      <c r="AL203" s="220" t="e">
        <f>SUM(SupplyChain_Tier2_Backend[[#This Row],[Scope 1 (tCO2e)]:[Scope 3 WTT T&amp;D (tCO2e)]])</f>
        <v>#N/A</v>
      </c>
      <c r="AM203" s="220" t="e">
        <f>SupplyChain_Tier2_Backend[[#This Row],[Total (tCO2e)]]*(1-SupplyChain_Tier2_Backend[[#This Row],[RSD]])</f>
        <v>#N/A</v>
      </c>
      <c r="AN203" s="220" t="e">
        <f>SupplyChain_Tier2_Backend[[#This Row],[Total (tCO2e)]]*(1+SupplyChain_Tier2_Backend[[#This Row],[RSD]])</f>
        <v>#N/A</v>
      </c>
      <c r="AO203" s="210" t="e">
        <f>_xlfn.XLOOKUP(_xlfn.CONCAT(SupplyChain_Tier2_Backend[[#This Row],[Level 1]:[Level 6]]),rng_EFConcat,rng_EFOOS)*SupplyChain_Tier2_Backend[[#This Row],[Converted data]]/1000</f>
        <v>#N/A</v>
      </c>
      <c r="AP203" s="174">
        <f>SupplyChain_Tier2_Frontend[[#This Row],[Ease of collection]]</f>
        <v>0</v>
      </c>
      <c r="AQ203" s="213">
        <f>SupplyChain_Tier2_Frontend[[#This Row],[Completeness]]</f>
        <v>0</v>
      </c>
      <c r="AR203" s="213">
        <f>SupplyChain_Tier2_Frontend[[#This Row],[Notes]]</f>
        <v>0</v>
      </c>
    </row>
    <row r="204" spans="4:44" ht="14.5" x14ac:dyDescent="0.35">
      <c r="D204" s="147">
        <v>76</v>
      </c>
      <c r="E204" s="236" t="str">
        <f t="shared" si="13"/>
        <v/>
      </c>
      <c r="F204" s="336"/>
      <c r="G204" s="334"/>
      <c r="H204" s="334"/>
      <c r="I204" s="334"/>
      <c r="J204" s="336"/>
      <c r="K204" s="336"/>
      <c r="L204" s="337"/>
      <c r="M204" s="242">
        <f t="shared" si="12"/>
        <v>4</v>
      </c>
      <c r="Q204" s="211" t="str">
        <f t="shared" si="11"/>
        <v/>
      </c>
      <c r="R204" s="174" t="s">
        <v>267</v>
      </c>
      <c r="S204" s="174" t="s">
        <v>385</v>
      </c>
      <c r="T204" s="235" t="s">
        <v>385</v>
      </c>
      <c r="U204" s="173" t="str">
        <f>SupplyChain_Tier2_Frontend[[#This Row],[Category]]</f>
        <v/>
      </c>
      <c r="V204" s="173">
        <f>SupplyChain_Tier2_Frontend[[#This Row],[Product Category]]</f>
        <v>0</v>
      </c>
      <c r="W204" s="174" t="s">
        <v>339</v>
      </c>
      <c r="X204" s="174">
        <f>SupplyChain_Tier2_Frontend[[#This Row],[Data type]]</f>
        <v>0</v>
      </c>
      <c r="Y204" s="174" t="s">
        <v>339</v>
      </c>
      <c r="Z204" s="174" t="s">
        <v>199</v>
      </c>
      <c r="AA204" s="229" t="e" cm="1">
        <f t="array" ref="AA204">INDEX(_xlfn.SWITCH(SupplyChain_Tier2_Backend[[#This Row],[Methodology]],"Tier 1",rng_RSD1,"Tier 2",rng_RSD2,"Tier 3",rng_RSD3),MATCH(_xlfn.CONCAT(SupplyChain_Tier2_Backend[[#This Row],[Level 1]:[Level 6]]),rng_LevelsConcat,0))</f>
        <v>#N/A</v>
      </c>
      <c r="AB204" s="220">
        <f>SupplyChain_Tier2_Frontend[[#This Row],[Spend (£)]]</f>
        <v>0</v>
      </c>
      <c r="AC204" s="220" t="s">
        <v>383</v>
      </c>
      <c r="AD204" s="220">
        <f>SupplyChain_Tier2_Frontend[[#This Row],[Spend (£)]]</f>
        <v>0</v>
      </c>
      <c r="AE204" s="174" t="s">
        <v>383</v>
      </c>
      <c r="AF204" s="210" t="e">
        <f>_xlfn.XLOOKUP(_xlfn.CONCAT(SupplyChain_Tier2_Backend[[#This Row],[Level 1]:[Level 6]]),rng_EFConcat,rng_EF1)*SupplyChain_Tier2_Backend[[#This Row],[Converted data]]/1000</f>
        <v>#N/A</v>
      </c>
      <c r="AG204" s="210" t="e">
        <f>_xlfn.XLOOKUP(_xlfn.CONCAT(SupplyChain_Tier2_Backend[[#This Row],[Level 1]:[Level 6]]),rng_EFConcat,rng_EF2)*SupplyChain_Tier2_Backend[[#This Row],[Converted data]]/1000</f>
        <v>#N/A</v>
      </c>
      <c r="AH204" s="210">
        <f>SupplyChain_Tier2_Frontend[[#This Row],[Emissions (kgCO2e)]]/1000</f>
        <v>0</v>
      </c>
      <c r="AI204" s="210" t="e">
        <f>_xlfn.XLOOKUP(_xlfn.CONCAT(SupplyChain_Tier2_Backend[[#This Row],[Level 1]:[Level 6]]),rng_EFConcat,rng_EF3WTT)*SupplyChain_Tier2_Backend[[#This Row],[Converted data]]/1000</f>
        <v>#N/A</v>
      </c>
      <c r="AJ204" s="210" t="e">
        <f>_xlfn.XLOOKUP(_xlfn.CONCAT(SupplyChain_Tier2_Backend[[#This Row],[Level 1]:[Level 6]]),rng_EFConcat,rng_EF3TD)*SupplyChain_Tier2_Backend[[#This Row],[Converted data]]/1000</f>
        <v>#N/A</v>
      </c>
      <c r="AK204" s="210" t="e">
        <f>_xlfn.XLOOKUP(_xlfn.CONCAT(SupplyChain_Tier2_Backend[[#This Row],[Level 1]:[Level 6]]),rng_EFConcat,rng_EF3WTTTD)*SupplyChain_Tier2_Backend[[#This Row],[Converted data]]/1000</f>
        <v>#N/A</v>
      </c>
      <c r="AL204" s="220" t="e">
        <f>SUM(SupplyChain_Tier2_Backend[[#This Row],[Scope 1 (tCO2e)]:[Scope 3 WTT T&amp;D (tCO2e)]])</f>
        <v>#N/A</v>
      </c>
      <c r="AM204" s="220" t="e">
        <f>SupplyChain_Tier2_Backend[[#This Row],[Total (tCO2e)]]*(1-SupplyChain_Tier2_Backend[[#This Row],[RSD]])</f>
        <v>#N/A</v>
      </c>
      <c r="AN204" s="220" t="e">
        <f>SupplyChain_Tier2_Backend[[#This Row],[Total (tCO2e)]]*(1+SupplyChain_Tier2_Backend[[#This Row],[RSD]])</f>
        <v>#N/A</v>
      </c>
      <c r="AO204" s="210" t="e">
        <f>_xlfn.XLOOKUP(_xlfn.CONCAT(SupplyChain_Tier2_Backend[[#This Row],[Level 1]:[Level 6]]),rng_EFConcat,rng_EFOOS)*SupplyChain_Tier2_Backend[[#This Row],[Converted data]]/1000</f>
        <v>#N/A</v>
      </c>
      <c r="AP204" s="174">
        <f>SupplyChain_Tier2_Frontend[[#This Row],[Ease of collection]]</f>
        <v>0</v>
      </c>
      <c r="AQ204" s="213">
        <f>SupplyChain_Tier2_Frontend[[#This Row],[Completeness]]</f>
        <v>0</v>
      </c>
      <c r="AR204" s="213">
        <f>SupplyChain_Tier2_Frontend[[#This Row],[Notes]]</f>
        <v>0</v>
      </c>
    </row>
    <row r="205" spans="4:44" ht="14.5" x14ac:dyDescent="0.35">
      <c r="D205" s="147">
        <v>77</v>
      </c>
      <c r="E205" s="236" t="str">
        <f t="shared" si="13"/>
        <v/>
      </c>
      <c r="F205" s="336"/>
      <c r="G205" s="334"/>
      <c r="H205" s="334"/>
      <c r="I205" s="334"/>
      <c r="J205" s="336"/>
      <c r="K205" s="336"/>
      <c r="L205" s="337"/>
      <c r="M205" s="242">
        <f t="shared" si="12"/>
        <v>4</v>
      </c>
      <c r="Q205" s="211" t="str">
        <f t="shared" si="11"/>
        <v/>
      </c>
      <c r="R205" s="174" t="s">
        <v>267</v>
      </c>
      <c r="S205" s="174" t="s">
        <v>385</v>
      </c>
      <c r="T205" s="235" t="s">
        <v>385</v>
      </c>
      <c r="U205" s="173" t="str">
        <f>SupplyChain_Tier2_Frontend[[#This Row],[Category]]</f>
        <v/>
      </c>
      <c r="V205" s="173">
        <f>SupplyChain_Tier2_Frontend[[#This Row],[Product Category]]</f>
        <v>0</v>
      </c>
      <c r="W205" s="174" t="s">
        <v>339</v>
      </c>
      <c r="X205" s="174">
        <f>SupplyChain_Tier2_Frontend[[#This Row],[Data type]]</f>
        <v>0</v>
      </c>
      <c r="Y205" s="174" t="s">
        <v>339</v>
      </c>
      <c r="Z205" s="174" t="s">
        <v>199</v>
      </c>
      <c r="AA205" s="229" t="e" cm="1">
        <f t="array" ref="AA205">INDEX(_xlfn.SWITCH(SupplyChain_Tier2_Backend[[#This Row],[Methodology]],"Tier 1",rng_RSD1,"Tier 2",rng_RSD2,"Tier 3",rng_RSD3),MATCH(_xlfn.CONCAT(SupplyChain_Tier2_Backend[[#This Row],[Level 1]:[Level 6]]),rng_LevelsConcat,0))</f>
        <v>#N/A</v>
      </c>
      <c r="AB205" s="220">
        <f>SupplyChain_Tier2_Frontend[[#This Row],[Spend (£)]]</f>
        <v>0</v>
      </c>
      <c r="AC205" s="220" t="s">
        <v>383</v>
      </c>
      <c r="AD205" s="220">
        <f>SupplyChain_Tier2_Frontend[[#This Row],[Spend (£)]]</f>
        <v>0</v>
      </c>
      <c r="AE205" s="174" t="s">
        <v>383</v>
      </c>
      <c r="AF205" s="210" t="e">
        <f>_xlfn.XLOOKUP(_xlfn.CONCAT(SupplyChain_Tier2_Backend[[#This Row],[Level 1]:[Level 6]]),rng_EFConcat,rng_EF1)*SupplyChain_Tier2_Backend[[#This Row],[Converted data]]/1000</f>
        <v>#N/A</v>
      </c>
      <c r="AG205" s="210" t="e">
        <f>_xlfn.XLOOKUP(_xlfn.CONCAT(SupplyChain_Tier2_Backend[[#This Row],[Level 1]:[Level 6]]),rng_EFConcat,rng_EF2)*SupplyChain_Tier2_Backend[[#This Row],[Converted data]]/1000</f>
        <v>#N/A</v>
      </c>
      <c r="AH205" s="210">
        <f>SupplyChain_Tier2_Frontend[[#This Row],[Emissions (kgCO2e)]]/1000</f>
        <v>0</v>
      </c>
      <c r="AI205" s="210" t="e">
        <f>_xlfn.XLOOKUP(_xlfn.CONCAT(SupplyChain_Tier2_Backend[[#This Row],[Level 1]:[Level 6]]),rng_EFConcat,rng_EF3WTT)*SupplyChain_Tier2_Backend[[#This Row],[Converted data]]/1000</f>
        <v>#N/A</v>
      </c>
      <c r="AJ205" s="210" t="e">
        <f>_xlfn.XLOOKUP(_xlfn.CONCAT(SupplyChain_Tier2_Backend[[#This Row],[Level 1]:[Level 6]]),rng_EFConcat,rng_EF3TD)*SupplyChain_Tier2_Backend[[#This Row],[Converted data]]/1000</f>
        <v>#N/A</v>
      </c>
      <c r="AK205" s="210" t="e">
        <f>_xlfn.XLOOKUP(_xlfn.CONCAT(SupplyChain_Tier2_Backend[[#This Row],[Level 1]:[Level 6]]),rng_EFConcat,rng_EF3WTTTD)*SupplyChain_Tier2_Backend[[#This Row],[Converted data]]/1000</f>
        <v>#N/A</v>
      </c>
      <c r="AL205" s="220" t="e">
        <f>SUM(SupplyChain_Tier2_Backend[[#This Row],[Scope 1 (tCO2e)]:[Scope 3 WTT T&amp;D (tCO2e)]])</f>
        <v>#N/A</v>
      </c>
      <c r="AM205" s="220" t="e">
        <f>SupplyChain_Tier2_Backend[[#This Row],[Total (tCO2e)]]*(1-SupplyChain_Tier2_Backend[[#This Row],[RSD]])</f>
        <v>#N/A</v>
      </c>
      <c r="AN205" s="220" t="e">
        <f>SupplyChain_Tier2_Backend[[#This Row],[Total (tCO2e)]]*(1+SupplyChain_Tier2_Backend[[#This Row],[RSD]])</f>
        <v>#N/A</v>
      </c>
      <c r="AO205" s="210" t="e">
        <f>_xlfn.XLOOKUP(_xlfn.CONCAT(SupplyChain_Tier2_Backend[[#This Row],[Level 1]:[Level 6]]),rng_EFConcat,rng_EFOOS)*SupplyChain_Tier2_Backend[[#This Row],[Converted data]]/1000</f>
        <v>#N/A</v>
      </c>
      <c r="AP205" s="174">
        <f>SupplyChain_Tier2_Frontend[[#This Row],[Ease of collection]]</f>
        <v>0</v>
      </c>
      <c r="AQ205" s="213">
        <f>SupplyChain_Tier2_Frontend[[#This Row],[Completeness]]</f>
        <v>0</v>
      </c>
      <c r="AR205" s="213">
        <f>SupplyChain_Tier2_Frontend[[#This Row],[Notes]]</f>
        <v>0</v>
      </c>
    </row>
    <row r="206" spans="4:44" ht="14.5" x14ac:dyDescent="0.35">
      <c r="D206" s="147">
        <v>78</v>
      </c>
      <c r="E206" s="236" t="str">
        <f t="shared" si="13"/>
        <v/>
      </c>
      <c r="F206" s="336"/>
      <c r="G206" s="334"/>
      <c r="H206" s="334"/>
      <c r="I206" s="334"/>
      <c r="J206" s="336"/>
      <c r="K206" s="336"/>
      <c r="L206" s="337"/>
      <c r="M206" s="242">
        <f t="shared" si="12"/>
        <v>4</v>
      </c>
      <c r="Q206" s="211" t="str">
        <f t="shared" si="11"/>
        <v/>
      </c>
      <c r="R206" s="174" t="s">
        <v>267</v>
      </c>
      <c r="S206" s="174" t="s">
        <v>385</v>
      </c>
      <c r="T206" s="235" t="s">
        <v>385</v>
      </c>
      <c r="U206" s="173" t="str">
        <f>SupplyChain_Tier2_Frontend[[#This Row],[Category]]</f>
        <v/>
      </c>
      <c r="V206" s="173">
        <f>SupplyChain_Tier2_Frontend[[#This Row],[Product Category]]</f>
        <v>0</v>
      </c>
      <c r="W206" s="174" t="s">
        <v>339</v>
      </c>
      <c r="X206" s="174">
        <f>SupplyChain_Tier2_Frontend[[#This Row],[Data type]]</f>
        <v>0</v>
      </c>
      <c r="Y206" s="174" t="s">
        <v>339</v>
      </c>
      <c r="Z206" s="174" t="s">
        <v>199</v>
      </c>
      <c r="AA206" s="229" t="e" cm="1">
        <f t="array" ref="AA206">INDEX(_xlfn.SWITCH(SupplyChain_Tier2_Backend[[#This Row],[Methodology]],"Tier 1",rng_RSD1,"Tier 2",rng_RSD2,"Tier 3",rng_RSD3),MATCH(_xlfn.CONCAT(SupplyChain_Tier2_Backend[[#This Row],[Level 1]:[Level 6]]),rng_LevelsConcat,0))</f>
        <v>#N/A</v>
      </c>
      <c r="AB206" s="220">
        <f>SupplyChain_Tier2_Frontend[[#This Row],[Spend (£)]]</f>
        <v>0</v>
      </c>
      <c r="AC206" s="220" t="s">
        <v>383</v>
      </c>
      <c r="AD206" s="220">
        <f>SupplyChain_Tier2_Frontend[[#This Row],[Spend (£)]]</f>
        <v>0</v>
      </c>
      <c r="AE206" s="174" t="s">
        <v>383</v>
      </c>
      <c r="AF206" s="210" t="e">
        <f>_xlfn.XLOOKUP(_xlfn.CONCAT(SupplyChain_Tier2_Backend[[#This Row],[Level 1]:[Level 6]]),rng_EFConcat,rng_EF1)*SupplyChain_Tier2_Backend[[#This Row],[Converted data]]/1000</f>
        <v>#N/A</v>
      </c>
      <c r="AG206" s="210" t="e">
        <f>_xlfn.XLOOKUP(_xlfn.CONCAT(SupplyChain_Tier2_Backend[[#This Row],[Level 1]:[Level 6]]),rng_EFConcat,rng_EF2)*SupplyChain_Tier2_Backend[[#This Row],[Converted data]]/1000</f>
        <v>#N/A</v>
      </c>
      <c r="AH206" s="210">
        <f>SupplyChain_Tier2_Frontend[[#This Row],[Emissions (kgCO2e)]]/1000</f>
        <v>0</v>
      </c>
      <c r="AI206" s="210" t="e">
        <f>_xlfn.XLOOKUP(_xlfn.CONCAT(SupplyChain_Tier2_Backend[[#This Row],[Level 1]:[Level 6]]),rng_EFConcat,rng_EF3WTT)*SupplyChain_Tier2_Backend[[#This Row],[Converted data]]/1000</f>
        <v>#N/A</v>
      </c>
      <c r="AJ206" s="210" t="e">
        <f>_xlfn.XLOOKUP(_xlfn.CONCAT(SupplyChain_Tier2_Backend[[#This Row],[Level 1]:[Level 6]]),rng_EFConcat,rng_EF3TD)*SupplyChain_Tier2_Backend[[#This Row],[Converted data]]/1000</f>
        <v>#N/A</v>
      </c>
      <c r="AK206" s="210" t="e">
        <f>_xlfn.XLOOKUP(_xlfn.CONCAT(SupplyChain_Tier2_Backend[[#This Row],[Level 1]:[Level 6]]),rng_EFConcat,rng_EF3WTTTD)*SupplyChain_Tier2_Backend[[#This Row],[Converted data]]/1000</f>
        <v>#N/A</v>
      </c>
      <c r="AL206" s="220" t="e">
        <f>SUM(SupplyChain_Tier2_Backend[[#This Row],[Scope 1 (tCO2e)]:[Scope 3 WTT T&amp;D (tCO2e)]])</f>
        <v>#N/A</v>
      </c>
      <c r="AM206" s="220" t="e">
        <f>SupplyChain_Tier2_Backend[[#This Row],[Total (tCO2e)]]*(1-SupplyChain_Tier2_Backend[[#This Row],[RSD]])</f>
        <v>#N/A</v>
      </c>
      <c r="AN206" s="220" t="e">
        <f>SupplyChain_Tier2_Backend[[#This Row],[Total (tCO2e)]]*(1+SupplyChain_Tier2_Backend[[#This Row],[RSD]])</f>
        <v>#N/A</v>
      </c>
      <c r="AO206" s="210" t="e">
        <f>_xlfn.XLOOKUP(_xlfn.CONCAT(SupplyChain_Tier2_Backend[[#This Row],[Level 1]:[Level 6]]),rng_EFConcat,rng_EFOOS)*SupplyChain_Tier2_Backend[[#This Row],[Converted data]]/1000</f>
        <v>#N/A</v>
      </c>
      <c r="AP206" s="174">
        <f>SupplyChain_Tier2_Frontend[[#This Row],[Ease of collection]]</f>
        <v>0</v>
      </c>
      <c r="AQ206" s="213">
        <f>SupplyChain_Tier2_Frontend[[#This Row],[Completeness]]</f>
        <v>0</v>
      </c>
      <c r="AR206" s="213">
        <f>SupplyChain_Tier2_Frontend[[#This Row],[Notes]]</f>
        <v>0</v>
      </c>
    </row>
    <row r="207" spans="4:44" ht="14.5" x14ac:dyDescent="0.35">
      <c r="D207" s="147">
        <v>79</v>
      </c>
      <c r="E207" s="236" t="str">
        <f t="shared" si="13"/>
        <v/>
      </c>
      <c r="F207" s="336"/>
      <c r="G207" s="334"/>
      <c r="H207" s="334"/>
      <c r="I207" s="334"/>
      <c r="J207" s="336"/>
      <c r="K207" s="336"/>
      <c r="L207" s="337"/>
      <c r="M207" s="242">
        <f t="shared" si="12"/>
        <v>4</v>
      </c>
      <c r="Q207" s="211" t="str">
        <f t="shared" si="11"/>
        <v/>
      </c>
      <c r="R207" s="174" t="s">
        <v>267</v>
      </c>
      <c r="S207" s="174" t="s">
        <v>385</v>
      </c>
      <c r="T207" s="235" t="s">
        <v>385</v>
      </c>
      <c r="U207" s="173" t="str">
        <f>SupplyChain_Tier2_Frontend[[#This Row],[Category]]</f>
        <v/>
      </c>
      <c r="V207" s="173">
        <f>SupplyChain_Tier2_Frontend[[#This Row],[Product Category]]</f>
        <v>0</v>
      </c>
      <c r="W207" s="174" t="s">
        <v>339</v>
      </c>
      <c r="X207" s="174">
        <f>SupplyChain_Tier2_Frontend[[#This Row],[Data type]]</f>
        <v>0</v>
      </c>
      <c r="Y207" s="174" t="s">
        <v>339</v>
      </c>
      <c r="Z207" s="174" t="s">
        <v>199</v>
      </c>
      <c r="AA207" s="229" t="e" cm="1">
        <f t="array" ref="AA207">INDEX(_xlfn.SWITCH(SupplyChain_Tier2_Backend[[#This Row],[Methodology]],"Tier 1",rng_RSD1,"Tier 2",rng_RSD2,"Tier 3",rng_RSD3),MATCH(_xlfn.CONCAT(SupplyChain_Tier2_Backend[[#This Row],[Level 1]:[Level 6]]),rng_LevelsConcat,0))</f>
        <v>#N/A</v>
      </c>
      <c r="AB207" s="220">
        <f>SupplyChain_Tier2_Frontend[[#This Row],[Spend (£)]]</f>
        <v>0</v>
      </c>
      <c r="AC207" s="220" t="s">
        <v>383</v>
      </c>
      <c r="AD207" s="220">
        <f>SupplyChain_Tier2_Frontend[[#This Row],[Spend (£)]]</f>
        <v>0</v>
      </c>
      <c r="AE207" s="174" t="s">
        <v>383</v>
      </c>
      <c r="AF207" s="210" t="e">
        <f>_xlfn.XLOOKUP(_xlfn.CONCAT(SupplyChain_Tier2_Backend[[#This Row],[Level 1]:[Level 6]]),rng_EFConcat,rng_EF1)*SupplyChain_Tier2_Backend[[#This Row],[Converted data]]/1000</f>
        <v>#N/A</v>
      </c>
      <c r="AG207" s="210" t="e">
        <f>_xlfn.XLOOKUP(_xlfn.CONCAT(SupplyChain_Tier2_Backend[[#This Row],[Level 1]:[Level 6]]),rng_EFConcat,rng_EF2)*SupplyChain_Tier2_Backend[[#This Row],[Converted data]]/1000</f>
        <v>#N/A</v>
      </c>
      <c r="AH207" s="210">
        <f>SupplyChain_Tier2_Frontend[[#This Row],[Emissions (kgCO2e)]]/1000</f>
        <v>0</v>
      </c>
      <c r="AI207" s="210" t="e">
        <f>_xlfn.XLOOKUP(_xlfn.CONCAT(SupplyChain_Tier2_Backend[[#This Row],[Level 1]:[Level 6]]),rng_EFConcat,rng_EF3WTT)*SupplyChain_Tier2_Backend[[#This Row],[Converted data]]/1000</f>
        <v>#N/A</v>
      </c>
      <c r="AJ207" s="210" t="e">
        <f>_xlfn.XLOOKUP(_xlfn.CONCAT(SupplyChain_Tier2_Backend[[#This Row],[Level 1]:[Level 6]]),rng_EFConcat,rng_EF3TD)*SupplyChain_Tier2_Backend[[#This Row],[Converted data]]/1000</f>
        <v>#N/A</v>
      </c>
      <c r="AK207" s="210" t="e">
        <f>_xlfn.XLOOKUP(_xlfn.CONCAT(SupplyChain_Tier2_Backend[[#This Row],[Level 1]:[Level 6]]),rng_EFConcat,rng_EF3WTTTD)*SupplyChain_Tier2_Backend[[#This Row],[Converted data]]/1000</f>
        <v>#N/A</v>
      </c>
      <c r="AL207" s="220" t="e">
        <f>SUM(SupplyChain_Tier2_Backend[[#This Row],[Scope 1 (tCO2e)]:[Scope 3 WTT T&amp;D (tCO2e)]])</f>
        <v>#N/A</v>
      </c>
      <c r="AM207" s="220" t="e">
        <f>SupplyChain_Tier2_Backend[[#This Row],[Total (tCO2e)]]*(1-SupplyChain_Tier2_Backend[[#This Row],[RSD]])</f>
        <v>#N/A</v>
      </c>
      <c r="AN207" s="220" t="e">
        <f>SupplyChain_Tier2_Backend[[#This Row],[Total (tCO2e)]]*(1+SupplyChain_Tier2_Backend[[#This Row],[RSD]])</f>
        <v>#N/A</v>
      </c>
      <c r="AO207" s="210" t="e">
        <f>_xlfn.XLOOKUP(_xlfn.CONCAT(SupplyChain_Tier2_Backend[[#This Row],[Level 1]:[Level 6]]),rng_EFConcat,rng_EFOOS)*SupplyChain_Tier2_Backend[[#This Row],[Converted data]]/1000</f>
        <v>#N/A</v>
      </c>
      <c r="AP207" s="174">
        <f>SupplyChain_Tier2_Frontend[[#This Row],[Ease of collection]]</f>
        <v>0</v>
      </c>
      <c r="AQ207" s="213">
        <f>SupplyChain_Tier2_Frontend[[#This Row],[Completeness]]</f>
        <v>0</v>
      </c>
      <c r="AR207" s="213">
        <f>SupplyChain_Tier2_Frontend[[#This Row],[Notes]]</f>
        <v>0</v>
      </c>
    </row>
    <row r="208" spans="4:44" ht="14.5" x14ac:dyDescent="0.35">
      <c r="D208" s="147">
        <v>80</v>
      </c>
      <c r="E208" s="236" t="str">
        <f t="shared" si="13"/>
        <v/>
      </c>
      <c r="F208" s="336"/>
      <c r="G208" s="334"/>
      <c r="H208" s="334"/>
      <c r="I208" s="334"/>
      <c r="J208" s="336"/>
      <c r="K208" s="336"/>
      <c r="L208" s="337"/>
      <c r="M208" s="242">
        <f t="shared" si="12"/>
        <v>4</v>
      </c>
      <c r="Q208" s="211" t="str">
        <f t="shared" si="11"/>
        <v/>
      </c>
      <c r="R208" s="174" t="s">
        <v>267</v>
      </c>
      <c r="S208" s="174" t="s">
        <v>385</v>
      </c>
      <c r="T208" s="235" t="s">
        <v>385</v>
      </c>
      <c r="U208" s="173" t="str">
        <f>SupplyChain_Tier2_Frontend[[#This Row],[Category]]</f>
        <v/>
      </c>
      <c r="V208" s="173">
        <f>SupplyChain_Tier2_Frontend[[#This Row],[Product Category]]</f>
        <v>0</v>
      </c>
      <c r="W208" s="174" t="s">
        <v>339</v>
      </c>
      <c r="X208" s="174">
        <f>SupplyChain_Tier2_Frontend[[#This Row],[Data type]]</f>
        <v>0</v>
      </c>
      <c r="Y208" s="174" t="s">
        <v>339</v>
      </c>
      <c r="Z208" s="174" t="s">
        <v>199</v>
      </c>
      <c r="AA208" s="229" t="e" cm="1">
        <f t="array" ref="AA208">INDEX(_xlfn.SWITCH(SupplyChain_Tier2_Backend[[#This Row],[Methodology]],"Tier 1",rng_RSD1,"Tier 2",rng_RSD2,"Tier 3",rng_RSD3),MATCH(_xlfn.CONCAT(SupplyChain_Tier2_Backend[[#This Row],[Level 1]:[Level 6]]),rng_LevelsConcat,0))</f>
        <v>#N/A</v>
      </c>
      <c r="AB208" s="220">
        <f>SupplyChain_Tier2_Frontend[[#This Row],[Spend (£)]]</f>
        <v>0</v>
      </c>
      <c r="AC208" s="220" t="s">
        <v>383</v>
      </c>
      <c r="AD208" s="220">
        <f>SupplyChain_Tier2_Frontend[[#This Row],[Spend (£)]]</f>
        <v>0</v>
      </c>
      <c r="AE208" s="174" t="s">
        <v>383</v>
      </c>
      <c r="AF208" s="210" t="e">
        <f>_xlfn.XLOOKUP(_xlfn.CONCAT(SupplyChain_Tier2_Backend[[#This Row],[Level 1]:[Level 6]]),rng_EFConcat,rng_EF1)*SupplyChain_Tier2_Backend[[#This Row],[Converted data]]/1000</f>
        <v>#N/A</v>
      </c>
      <c r="AG208" s="210" t="e">
        <f>_xlfn.XLOOKUP(_xlfn.CONCAT(SupplyChain_Tier2_Backend[[#This Row],[Level 1]:[Level 6]]),rng_EFConcat,rng_EF2)*SupplyChain_Tier2_Backend[[#This Row],[Converted data]]/1000</f>
        <v>#N/A</v>
      </c>
      <c r="AH208" s="210">
        <f>SupplyChain_Tier2_Frontend[[#This Row],[Emissions (kgCO2e)]]/1000</f>
        <v>0</v>
      </c>
      <c r="AI208" s="210" t="e">
        <f>_xlfn.XLOOKUP(_xlfn.CONCAT(SupplyChain_Tier2_Backend[[#This Row],[Level 1]:[Level 6]]),rng_EFConcat,rng_EF3WTT)*SupplyChain_Tier2_Backend[[#This Row],[Converted data]]/1000</f>
        <v>#N/A</v>
      </c>
      <c r="AJ208" s="210" t="e">
        <f>_xlfn.XLOOKUP(_xlfn.CONCAT(SupplyChain_Tier2_Backend[[#This Row],[Level 1]:[Level 6]]),rng_EFConcat,rng_EF3TD)*SupplyChain_Tier2_Backend[[#This Row],[Converted data]]/1000</f>
        <v>#N/A</v>
      </c>
      <c r="AK208" s="210" t="e">
        <f>_xlfn.XLOOKUP(_xlfn.CONCAT(SupplyChain_Tier2_Backend[[#This Row],[Level 1]:[Level 6]]),rng_EFConcat,rng_EF3WTTTD)*SupplyChain_Tier2_Backend[[#This Row],[Converted data]]/1000</f>
        <v>#N/A</v>
      </c>
      <c r="AL208" s="220" t="e">
        <f>SUM(SupplyChain_Tier2_Backend[[#This Row],[Scope 1 (tCO2e)]:[Scope 3 WTT T&amp;D (tCO2e)]])</f>
        <v>#N/A</v>
      </c>
      <c r="AM208" s="220" t="e">
        <f>SupplyChain_Tier2_Backend[[#This Row],[Total (tCO2e)]]*(1-SupplyChain_Tier2_Backend[[#This Row],[RSD]])</f>
        <v>#N/A</v>
      </c>
      <c r="AN208" s="220" t="e">
        <f>SupplyChain_Tier2_Backend[[#This Row],[Total (tCO2e)]]*(1+SupplyChain_Tier2_Backend[[#This Row],[RSD]])</f>
        <v>#N/A</v>
      </c>
      <c r="AO208" s="210" t="e">
        <f>_xlfn.XLOOKUP(_xlfn.CONCAT(SupplyChain_Tier2_Backend[[#This Row],[Level 1]:[Level 6]]),rng_EFConcat,rng_EFOOS)*SupplyChain_Tier2_Backend[[#This Row],[Converted data]]/1000</f>
        <v>#N/A</v>
      </c>
      <c r="AP208" s="174">
        <f>SupplyChain_Tier2_Frontend[[#This Row],[Ease of collection]]</f>
        <v>0</v>
      </c>
      <c r="AQ208" s="213">
        <f>SupplyChain_Tier2_Frontend[[#This Row],[Completeness]]</f>
        <v>0</v>
      </c>
      <c r="AR208" s="213">
        <f>SupplyChain_Tier2_Frontend[[#This Row],[Notes]]</f>
        <v>0</v>
      </c>
    </row>
    <row r="209" spans="4:44" ht="14.5" x14ac:dyDescent="0.35">
      <c r="D209" s="147">
        <v>81</v>
      </c>
      <c r="E209" s="236" t="str">
        <f t="shared" si="13"/>
        <v/>
      </c>
      <c r="F209" s="336"/>
      <c r="G209" s="334"/>
      <c r="H209" s="334"/>
      <c r="I209" s="334"/>
      <c r="J209" s="336"/>
      <c r="K209" s="336"/>
      <c r="L209" s="337"/>
      <c r="M209" s="242">
        <f t="shared" si="12"/>
        <v>4</v>
      </c>
      <c r="Q209" s="211" t="str">
        <f t="shared" si="11"/>
        <v/>
      </c>
      <c r="R209" s="174" t="s">
        <v>267</v>
      </c>
      <c r="S209" s="174" t="s">
        <v>385</v>
      </c>
      <c r="T209" s="235" t="s">
        <v>385</v>
      </c>
      <c r="U209" s="173" t="str">
        <f>SupplyChain_Tier2_Frontend[[#This Row],[Category]]</f>
        <v/>
      </c>
      <c r="V209" s="173">
        <f>SupplyChain_Tier2_Frontend[[#This Row],[Product Category]]</f>
        <v>0</v>
      </c>
      <c r="W209" s="174" t="s">
        <v>339</v>
      </c>
      <c r="X209" s="174">
        <f>SupplyChain_Tier2_Frontend[[#This Row],[Data type]]</f>
        <v>0</v>
      </c>
      <c r="Y209" s="174" t="s">
        <v>339</v>
      </c>
      <c r="Z209" s="174" t="s">
        <v>199</v>
      </c>
      <c r="AA209" s="229" t="e" cm="1">
        <f t="array" ref="AA209">INDEX(_xlfn.SWITCH(SupplyChain_Tier2_Backend[[#This Row],[Methodology]],"Tier 1",rng_RSD1,"Tier 2",rng_RSD2,"Tier 3",rng_RSD3),MATCH(_xlfn.CONCAT(SupplyChain_Tier2_Backend[[#This Row],[Level 1]:[Level 6]]),rng_LevelsConcat,0))</f>
        <v>#N/A</v>
      </c>
      <c r="AB209" s="220">
        <f>SupplyChain_Tier2_Frontend[[#This Row],[Spend (£)]]</f>
        <v>0</v>
      </c>
      <c r="AC209" s="220" t="s">
        <v>383</v>
      </c>
      <c r="AD209" s="220">
        <f>SupplyChain_Tier2_Frontend[[#This Row],[Spend (£)]]</f>
        <v>0</v>
      </c>
      <c r="AE209" s="174" t="s">
        <v>383</v>
      </c>
      <c r="AF209" s="210" t="e">
        <f>_xlfn.XLOOKUP(_xlfn.CONCAT(SupplyChain_Tier2_Backend[[#This Row],[Level 1]:[Level 6]]),rng_EFConcat,rng_EF1)*SupplyChain_Tier2_Backend[[#This Row],[Converted data]]/1000</f>
        <v>#N/A</v>
      </c>
      <c r="AG209" s="210" t="e">
        <f>_xlfn.XLOOKUP(_xlfn.CONCAT(SupplyChain_Tier2_Backend[[#This Row],[Level 1]:[Level 6]]),rng_EFConcat,rng_EF2)*SupplyChain_Tier2_Backend[[#This Row],[Converted data]]/1000</f>
        <v>#N/A</v>
      </c>
      <c r="AH209" s="210">
        <f>SupplyChain_Tier2_Frontend[[#This Row],[Emissions (kgCO2e)]]/1000</f>
        <v>0</v>
      </c>
      <c r="AI209" s="210" t="e">
        <f>_xlfn.XLOOKUP(_xlfn.CONCAT(SupplyChain_Tier2_Backend[[#This Row],[Level 1]:[Level 6]]),rng_EFConcat,rng_EF3WTT)*SupplyChain_Tier2_Backend[[#This Row],[Converted data]]/1000</f>
        <v>#N/A</v>
      </c>
      <c r="AJ209" s="210" t="e">
        <f>_xlfn.XLOOKUP(_xlfn.CONCAT(SupplyChain_Tier2_Backend[[#This Row],[Level 1]:[Level 6]]),rng_EFConcat,rng_EF3TD)*SupplyChain_Tier2_Backend[[#This Row],[Converted data]]/1000</f>
        <v>#N/A</v>
      </c>
      <c r="AK209" s="210" t="e">
        <f>_xlfn.XLOOKUP(_xlfn.CONCAT(SupplyChain_Tier2_Backend[[#This Row],[Level 1]:[Level 6]]),rng_EFConcat,rng_EF3WTTTD)*SupplyChain_Tier2_Backend[[#This Row],[Converted data]]/1000</f>
        <v>#N/A</v>
      </c>
      <c r="AL209" s="220" t="e">
        <f>SUM(SupplyChain_Tier2_Backend[[#This Row],[Scope 1 (tCO2e)]:[Scope 3 WTT T&amp;D (tCO2e)]])</f>
        <v>#N/A</v>
      </c>
      <c r="AM209" s="220" t="e">
        <f>SupplyChain_Tier2_Backend[[#This Row],[Total (tCO2e)]]*(1-SupplyChain_Tier2_Backend[[#This Row],[RSD]])</f>
        <v>#N/A</v>
      </c>
      <c r="AN209" s="220" t="e">
        <f>SupplyChain_Tier2_Backend[[#This Row],[Total (tCO2e)]]*(1+SupplyChain_Tier2_Backend[[#This Row],[RSD]])</f>
        <v>#N/A</v>
      </c>
      <c r="AO209" s="210" t="e">
        <f>_xlfn.XLOOKUP(_xlfn.CONCAT(SupplyChain_Tier2_Backend[[#This Row],[Level 1]:[Level 6]]),rng_EFConcat,rng_EFOOS)*SupplyChain_Tier2_Backend[[#This Row],[Converted data]]/1000</f>
        <v>#N/A</v>
      </c>
      <c r="AP209" s="174">
        <f>SupplyChain_Tier2_Frontend[[#This Row],[Ease of collection]]</f>
        <v>0</v>
      </c>
      <c r="AQ209" s="213">
        <f>SupplyChain_Tier2_Frontend[[#This Row],[Completeness]]</f>
        <v>0</v>
      </c>
      <c r="AR209" s="213">
        <f>SupplyChain_Tier2_Frontend[[#This Row],[Notes]]</f>
        <v>0</v>
      </c>
    </row>
    <row r="210" spans="4:44" ht="14.5" x14ac:dyDescent="0.35">
      <c r="D210" s="147">
        <v>82</v>
      </c>
      <c r="E210" s="236" t="str">
        <f t="shared" si="13"/>
        <v/>
      </c>
      <c r="F210" s="336"/>
      <c r="G210" s="334"/>
      <c r="H210" s="334"/>
      <c r="I210" s="334"/>
      <c r="J210" s="336"/>
      <c r="K210" s="336"/>
      <c r="L210" s="337"/>
      <c r="M210" s="242">
        <f t="shared" si="12"/>
        <v>4</v>
      </c>
      <c r="Q210" s="211" t="str">
        <f t="shared" si="11"/>
        <v/>
      </c>
      <c r="R210" s="174" t="s">
        <v>267</v>
      </c>
      <c r="S210" s="174" t="s">
        <v>385</v>
      </c>
      <c r="T210" s="235" t="s">
        <v>385</v>
      </c>
      <c r="U210" s="173" t="str">
        <f>SupplyChain_Tier2_Frontend[[#This Row],[Category]]</f>
        <v/>
      </c>
      <c r="V210" s="173">
        <f>SupplyChain_Tier2_Frontend[[#This Row],[Product Category]]</f>
        <v>0</v>
      </c>
      <c r="W210" s="174" t="s">
        <v>339</v>
      </c>
      <c r="X210" s="174">
        <f>SupplyChain_Tier2_Frontend[[#This Row],[Data type]]</f>
        <v>0</v>
      </c>
      <c r="Y210" s="174" t="s">
        <v>339</v>
      </c>
      <c r="Z210" s="174" t="s">
        <v>199</v>
      </c>
      <c r="AA210" s="229" t="e" cm="1">
        <f t="array" ref="AA210">INDEX(_xlfn.SWITCH(SupplyChain_Tier2_Backend[[#This Row],[Methodology]],"Tier 1",rng_RSD1,"Tier 2",rng_RSD2,"Tier 3",rng_RSD3),MATCH(_xlfn.CONCAT(SupplyChain_Tier2_Backend[[#This Row],[Level 1]:[Level 6]]),rng_LevelsConcat,0))</f>
        <v>#N/A</v>
      </c>
      <c r="AB210" s="220">
        <f>SupplyChain_Tier2_Frontend[[#This Row],[Spend (£)]]</f>
        <v>0</v>
      </c>
      <c r="AC210" s="220" t="s">
        <v>383</v>
      </c>
      <c r="AD210" s="220">
        <f>SupplyChain_Tier2_Frontend[[#This Row],[Spend (£)]]</f>
        <v>0</v>
      </c>
      <c r="AE210" s="174" t="s">
        <v>383</v>
      </c>
      <c r="AF210" s="210" t="e">
        <f>_xlfn.XLOOKUP(_xlfn.CONCAT(SupplyChain_Tier2_Backend[[#This Row],[Level 1]:[Level 6]]),rng_EFConcat,rng_EF1)*SupplyChain_Tier2_Backend[[#This Row],[Converted data]]/1000</f>
        <v>#N/A</v>
      </c>
      <c r="AG210" s="210" t="e">
        <f>_xlfn.XLOOKUP(_xlfn.CONCAT(SupplyChain_Tier2_Backend[[#This Row],[Level 1]:[Level 6]]),rng_EFConcat,rng_EF2)*SupplyChain_Tier2_Backend[[#This Row],[Converted data]]/1000</f>
        <v>#N/A</v>
      </c>
      <c r="AH210" s="210">
        <f>SupplyChain_Tier2_Frontend[[#This Row],[Emissions (kgCO2e)]]/1000</f>
        <v>0</v>
      </c>
      <c r="AI210" s="210" t="e">
        <f>_xlfn.XLOOKUP(_xlfn.CONCAT(SupplyChain_Tier2_Backend[[#This Row],[Level 1]:[Level 6]]),rng_EFConcat,rng_EF3WTT)*SupplyChain_Tier2_Backend[[#This Row],[Converted data]]/1000</f>
        <v>#N/A</v>
      </c>
      <c r="AJ210" s="210" t="e">
        <f>_xlfn.XLOOKUP(_xlfn.CONCAT(SupplyChain_Tier2_Backend[[#This Row],[Level 1]:[Level 6]]),rng_EFConcat,rng_EF3TD)*SupplyChain_Tier2_Backend[[#This Row],[Converted data]]/1000</f>
        <v>#N/A</v>
      </c>
      <c r="AK210" s="210" t="e">
        <f>_xlfn.XLOOKUP(_xlfn.CONCAT(SupplyChain_Tier2_Backend[[#This Row],[Level 1]:[Level 6]]),rng_EFConcat,rng_EF3WTTTD)*SupplyChain_Tier2_Backend[[#This Row],[Converted data]]/1000</f>
        <v>#N/A</v>
      </c>
      <c r="AL210" s="220" t="e">
        <f>SUM(SupplyChain_Tier2_Backend[[#This Row],[Scope 1 (tCO2e)]:[Scope 3 WTT T&amp;D (tCO2e)]])</f>
        <v>#N/A</v>
      </c>
      <c r="AM210" s="220" t="e">
        <f>SupplyChain_Tier2_Backend[[#This Row],[Total (tCO2e)]]*(1-SupplyChain_Tier2_Backend[[#This Row],[RSD]])</f>
        <v>#N/A</v>
      </c>
      <c r="AN210" s="220" t="e">
        <f>SupplyChain_Tier2_Backend[[#This Row],[Total (tCO2e)]]*(1+SupplyChain_Tier2_Backend[[#This Row],[RSD]])</f>
        <v>#N/A</v>
      </c>
      <c r="AO210" s="210" t="e">
        <f>_xlfn.XLOOKUP(_xlfn.CONCAT(SupplyChain_Tier2_Backend[[#This Row],[Level 1]:[Level 6]]),rng_EFConcat,rng_EFOOS)*SupplyChain_Tier2_Backend[[#This Row],[Converted data]]/1000</f>
        <v>#N/A</v>
      </c>
      <c r="AP210" s="174">
        <f>SupplyChain_Tier2_Frontend[[#This Row],[Ease of collection]]</f>
        <v>0</v>
      </c>
      <c r="AQ210" s="213">
        <f>SupplyChain_Tier2_Frontend[[#This Row],[Completeness]]</f>
        <v>0</v>
      </c>
      <c r="AR210" s="213">
        <f>SupplyChain_Tier2_Frontend[[#This Row],[Notes]]</f>
        <v>0</v>
      </c>
    </row>
    <row r="211" spans="4:44" ht="14.5" x14ac:dyDescent="0.35">
      <c r="D211" s="147">
        <v>83</v>
      </c>
      <c r="E211" s="236" t="str">
        <f t="shared" si="13"/>
        <v/>
      </c>
      <c r="F211" s="336"/>
      <c r="G211" s="334"/>
      <c r="H211" s="334"/>
      <c r="I211" s="334"/>
      <c r="J211" s="336"/>
      <c r="K211" s="336"/>
      <c r="L211" s="337"/>
      <c r="M211" s="242">
        <f t="shared" si="12"/>
        <v>4</v>
      </c>
      <c r="Q211" s="211" t="str">
        <f t="shared" si="11"/>
        <v/>
      </c>
      <c r="R211" s="174" t="s">
        <v>267</v>
      </c>
      <c r="S211" s="174" t="s">
        <v>385</v>
      </c>
      <c r="T211" s="235" t="s">
        <v>385</v>
      </c>
      <c r="U211" s="173" t="str">
        <f>SupplyChain_Tier2_Frontend[[#This Row],[Category]]</f>
        <v/>
      </c>
      <c r="V211" s="173">
        <f>SupplyChain_Tier2_Frontend[[#This Row],[Product Category]]</f>
        <v>0</v>
      </c>
      <c r="W211" s="174" t="s">
        <v>339</v>
      </c>
      <c r="X211" s="174">
        <f>SupplyChain_Tier2_Frontend[[#This Row],[Data type]]</f>
        <v>0</v>
      </c>
      <c r="Y211" s="174" t="s">
        <v>339</v>
      </c>
      <c r="Z211" s="174" t="s">
        <v>199</v>
      </c>
      <c r="AA211" s="229" t="e" cm="1">
        <f t="array" ref="AA211">INDEX(_xlfn.SWITCH(SupplyChain_Tier2_Backend[[#This Row],[Methodology]],"Tier 1",rng_RSD1,"Tier 2",rng_RSD2,"Tier 3",rng_RSD3),MATCH(_xlfn.CONCAT(SupplyChain_Tier2_Backend[[#This Row],[Level 1]:[Level 6]]),rng_LevelsConcat,0))</f>
        <v>#N/A</v>
      </c>
      <c r="AB211" s="220">
        <f>SupplyChain_Tier2_Frontend[[#This Row],[Spend (£)]]</f>
        <v>0</v>
      </c>
      <c r="AC211" s="220" t="s">
        <v>383</v>
      </c>
      <c r="AD211" s="220">
        <f>SupplyChain_Tier2_Frontend[[#This Row],[Spend (£)]]</f>
        <v>0</v>
      </c>
      <c r="AE211" s="174" t="s">
        <v>383</v>
      </c>
      <c r="AF211" s="210" t="e">
        <f>_xlfn.XLOOKUP(_xlfn.CONCAT(SupplyChain_Tier2_Backend[[#This Row],[Level 1]:[Level 6]]),rng_EFConcat,rng_EF1)*SupplyChain_Tier2_Backend[[#This Row],[Converted data]]/1000</f>
        <v>#N/A</v>
      </c>
      <c r="AG211" s="210" t="e">
        <f>_xlfn.XLOOKUP(_xlfn.CONCAT(SupplyChain_Tier2_Backend[[#This Row],[Level 1]:[Level 6]]),rng_EFConcat,rng_EF2)*SupplyChain_Tier2_Backend[[#This Row],[Converted data]]/1000</f>
        <v>#N/A</v>
      </c>
      <c r="AH211" s="210">
        <f>SupplyChain_Tier2_Frontend[[#This Row],[Emissions (kgCO2e)]]/1000</f>
        <v>0</v>
      </c>
      <c r="AI211" s="210" t="e">
        <f>_xlfn.XLOOKUP(_xlfn.CONCAT(SupplyChain_Tier2_Backend[[#This Row],[Level 1]:[Level 6]]),rng_EFConcat,rng_EF3WTT)*SupplyChain_Tier2_Backend[[#This Row],[Converted data]]/1000</f>
        <v>#N/A</v>
      </c>
      <c r="AJ211" s="210" t="e">
        <f>_xlfn.XLOOKUP(_xlfn.CONCAT(SupplyChain_Tier2_Backend[[#This Row],[Level 1]:[Level 6]]),rng_EFConcat,rng_EF3TD)*SupplyChain_Tier2_Backend[[#This Row],[Converted data]]/1000</f>
        <v>#N/A</v>
      </c>
      <c r="AK211" s="210" t="e">
        <f>_xlfn.XLOOKUP(_xlfn.CONCAT(SupplyChain_Tier2_Backend[[#This Row],[Level 1]:[Level 6]]),rng_EFConcat,rng_EF3WTTTD)*SupplyChain_Tier2_Backend[[#This Row],[Converted data]]/1000</f>
        <v>#N/A</v>
      </c>
      <c r="AL211" s="220" t="e">
        <f>SUM(SupplyChain_Tier2_Backend[[#This Row],[Scope 1 (tCO2e)]:[Scope 3 WTT T&amp;D (tCO2e)]])</f>
        <v>#N/A</v>
      </c>
      <c r="AM211" s="220" t="e">
        <f>SupplyChain_Tier2_Backend[[#This Row],[Total (tCO2e)]]*(1-SupplyChain_Tier2_Backend[[#This Row],[RSD]])</f>
        <v>#N/A</v>
      </c>
      <c r="AN211" s="220" t="e">
        <f>SupplyChain_Tier2_Backend[[#This Row],[Total (tCO2e)]]*(1+SupplyChain_Tier2_Backend[[#This Row],[RSD]])</f>
        <v>#N/A</v>
      </c>
      <c r="AO211" s="210" t="e">
        <f>_xlfn.XLOOKUP(_xlfn.CONCAT(SupplyChain_Tier2_Backend[[#This Row],[Level 1]:[Level 6]]),rng_EFConcat,rng_EFOOS)*SupplyChain_Tier2_Backend[[#This Row],[Converted data]]/1000</f>
        <v>#N/A</v>
      </c>
      <c r="AP211" s="174">
        <f>SupplyChain_Tier2_Frontend[[#This Row],[Ease of collection]]</f>
        <v>0</v>
      </c>
      <c r="AQ211" s="213">
        <f>SupplyChain_Tier2_Frontend[[#This Row],[Completeness]]</f>
        <v>0</v>
      </c>
      <c r="AR211" s="213">
        <f>SupplyChain_Tier2_Frontend[[#This Row],[Notes]]</f>
        <v>0</v>
      </c>
    </row>
    <row r="212" spans="4:44" ht="14.5" x14ac:dyDescent="0.35">
      <c r="D212" s="147">
        <v>84</v>
      </c>
      <c r="E212" s="236" t="str">
        <f t="shared" si="13"/>
        <v/>
      </c>
      <c r="F212" s="336"/>
      <c r="G212" s="334"/>
      <c r="H212" s="334"/>
      <c r="I212" s="334"/>
      <c r="J212" s="336"/>
      <c r="K212" s="336"/>
      <c r="L212" s="337"/>
      <c r="M212" s="242">
        <f t="shared" si="12"/>
        <v>4</v>
      </c>
      <c r="Q212" s="211" t="str">
        <f t="shared" si="11"/>
        <v/>
      </c>
      <c r="R212" s="174" t="s">
        <v>267</v>
      </c>
      <c r="S212" s="174" t="s">
        <v>385</v>
      </c>
      <c r="T212" s="235" t="s">
        <v>385</v>
      </c>
      <c r="U212" s="173" t="str">
        <f>SupplyChain_Tier2_Frontend[[#This Row],[Category]]</f>
        <v/>
      </c>
      <c r="V212" s="173">
        <f>SupplyChain_Tier2_Frontend[[#This Row],[Product Category]]</f>
        <v>0</v>
      </c>
      <c r="W212" s="174" t="s">
        <v>339</v>
      </c>
      <c r="X212" s="174">
        <f>SupplyChain_Tier2_Frontend[[#This Row],[Data type]]</f>
        <v>0</v>
      </c>
      <c r="Y212" s="174" t="s">
        <v>339</v>
      </c>
      <c r="Z212" s="174" t="s">
        <v>199</v>
      </c>
      <c r="AA212" s="229" t="e" cm="1">
        <f t="array" ref="AA212">INDEX(_xlfn.SWITCH(SupplyChain_Tier2_Backend[[#This Row],[Methodology]],"Tier 1",rng_RSD1,"Tier 2",rng_RSD2,"Tier 3",rng_RSD3),MATCH(_xlfn.CONCAT(SupplyChain_Tier2_Backend[[#This Row],[Level 1]:[Level 6]]),rng_LevelsConcat,0))</f>
        <v>#N/A</v>
      </c>
      <c r="AB212" s="220">
        <f>SupplyChain_Tier2_Frontend[[#This Row],[Spend (£)]]</f>
        <v>0</v>
      </c>
      <c r="AC212" s="220" t="s">
        <v>383</v>
      </c>
      <c r="AD212" s="220">
        <f>SupplyChain_Tier2_Frontend[[#This Row],[Spend (£)]]</f>
        <v>0</v>
      </c>
      <c r="AE212" s="174" t="s">
        <v>383</v>
      </c>
      <c r="AF212" s="210" t="e">
        <f>_xlfn.XLOOKUP(_xlfn.CONCAT(SupplyChain_Tier2_Backend[[#This Row],[Level 1]:[Level 6]]),rng_EFConcat,rng_EF1)*SupplyChain_Tier2_Backend[[#This Row],[Converted data]]/1000</f>
        <v>#N/A</v>
      </c>
      <c r="AG212" s="210" t="e">
        <f>_xlfn.XLOOKUP(_xlfn.CONCAT(SupplyChain_Tier2_Backend[[#This Row],[Level 1]:[Level 6]]),rng_EFConcat,rng_EF2)*SupplyChain_Tier2_Backend[[#This Row],[Converted data]]/1000</f>
        <v>#N/A</v>
      </c>
      <c r="AH212" s="210">
        <f>SupplyChain_Tier2_Frontend[[#This Row],[Emissions (kgCO2e)]]/1000</f>
        <v>0</v>
      </c>
      <c r="AI212" s="210" t="e">
        <f>_xlfn.XLOOKUP(_xlfn.CONCAT(SupplyChain_Tier2_Backend[[#This Row],[Level 1]:[Level 6]]),rng_EFConcat,rng_EF3WTT)*SupplyChain_Tier2_Backend[[#This Row],[Converted data]]/1000</f>
        <v>#N/A</v>
      </c>
      <c r="AJ212" s="210" t="e">
        <f>_xlfn.XLOOKUP(_xlfn.CONCAT(SupplyChain_Tier2_Backend[[#This Row],[Level 1]:[Level 6]]),rng_EFConcat,rng_EF3TD)*SupplyChain_Tier2_Backend[[#This Row],[Converted data]]/1000</f>
        <v>#N/A</v>
      </c>
      <c r="AK212" s="210" t="e">
        <f>_xlfn.XLOOKUP(_xlfn.CONCAT(SupplyChain_Tier2_Backend[[#This Row],[Level 1]:[Level 6]]),rng_EFConcat,rng_EF3WTTTD)*SupplyChain_Tier2_Backend[[#This Row],[Converted data]]/1000</f>
        <v>#N/A</v>
      </c>
      <c r="AL212" s="220" t="e">
        <f>SUM(SupplyChain_Tier2_Backend[[#This Row],[Scope 1 (tCO2e)]:[Scope 3 WTT T&amp;D (tCO2e)]])</f>
        <v>#N/A</v>
      </c>
      <c r="AM212" s="220" t="e">
        <f>SupplyChain_Tier2_Backend[[#This Row],[Total (tCO2e)]]*(1-SupplyChain_Tier2_Backend[[#This Row],[RSD]])</f>
        <v>#N/A</v>
      </c>
      <c r="AN212" s="220" t="e">
        <f>SupplyChain_Tier2_Backend[[#This Row],[Total (tCO2e)]]*(1+SupplyChain_Tier2_Backend[[#This Row],[RSD]])</f>
        <v>#N/A</v>
      </c>
      <c r="AO212" s="210" t="e">
        <f>_xlfn.XLOOKUP(_xlfn.CONCAT(SupplyChain_Tier2_Backend[[#This Row],[Level 1]:[Level 6]]),rng_EFConcat,rng_EFOOS)*SupplyChain_Tier2_Backend[[#This Row],[Converted data]]/1000</f>
        <v>#N/A</v>
      </c>
      <c r="AP212" s="174">
        <f>SupplyChain_Tier2_Frontend[[#This Row],[Ease of collection]]</f>
        <v>0</v>
      </c>
      <c r="AQ212" s="213">
        <f>SupplyChain_Tier2_Frontend[[#This Row],[Completeness]]</f>
        <v>0</v>
      </c>
      <c r="AR212" s="213">
        <f>SupplyChain_Tier2_Frontend[[#This Row],[Notes]]</f>
        <v>0</v>
      </c>
    </row>
    <row r="213" spans="4:44" ht="14.5" x14ac:dyDescent="0.35">
      <c r="D213" s="147">
        <v>85</v>
      </c>
      <c r="E213" s="236" t="str">
        <f t="shared" si="13"/>
        <v/>
      </c>
      <c r="F213" s="336"/>
      <c r="G213" s="334"/>
      <c r="H213" s="334"/>
      <c r="I213" s="334"/>
      <c r="J213" s="336"/>
      <c r="K213" s="336"/>
      <c r="L213" s="337"/>
      <c r="M213" s="242">
        <f t="shared" si="12"/>
        <v>4</v>
      </c>
      <c r="Q213" s="211" t="str">
        <f t="shared" si="11"/>
        <v/>
      </c>
      <c r="R213" s="174" t="s">
        <v>267</v>
      </c>
      <c r="S213" s="174" t="s">
        <v>385</v>
      </c>
      <c r="T213" s="235" t="s">
        <v>385</v>
      </c>
      <c r="U213" s="173" t="str">
        <f>SupplyChain_Tier2_Frontend[[#This Row],[Category]]</f>
        <v/>
      </c>
      <c r="V213" s="173">
        <f>SupplyChain_Tier2_Frontend[[#This Row],[Product Category]]</f>
        <v>0</v>
      </c>
      <c r="W213" s="174" t="s">
        <v>339</v>
      </c>
      <c r="X213" s="174">
        <f>SupplyChain_Tier2_Frontend[[#This Row],[Data type]]</f>
        <v>0</v>
      </c>
      <c r="Y213" s="174" t="s">
        <v>339</v>
      </c>
      <c r="Z213" s="174" t="s">
        <v>199</v>
      </c>
      <c r="AA213" s="229" t="e" cm="1">
        <f t="array" ref="AA213">INDEX(_xlfn.SWITCH(SupplyChain_Tier2_Backend[[#This Row],[Methodology]],"Tier 1",rng_RSD1,"Tier 2",rng_RSD2,"Tier 3",rng_RSD3),MATCH(_xlfn.CONCAT(SupplyChain_Tier2_Backend[[#This Row],[Level 1]:[Level 6]]),rng_LevelsConcat,0))</f>
        <v>#N/A</v>
      </c>
      <c r="AB213" s="220">
        <f>SupplyChain_Tier2_Frontend[[#This Row],[Spend (£)]]</f>
        <v>0</v>
      </c>
      <c r="AC213" s="220" t="s">
        <v>383</v>
      </c>
      <c r="AD213" s="220">
        <f>SupplyChain_Tier2_Frontend[[#This Row],[Spend (£)]]</f>
        <v>0</v>
      </c>
      <c r="AE213" s="174" t="s">
        <v>383</v>
      </c>
      <c r="AF213" s="210" t="e">
        <f>_xlfn.XLOOKUP(_xlfn.CONCAT(SupplyChain_Tier2_Backend[[#This Row],[Level 1]:[Level 6]]),rng_EFConcat,rng_EF1)*SupplyChain_Tier2_Backend[[#This Row],[Converted data]]/1000</f>
        <v>#N/A</v>
      </c>
      <c r="AG213" s="210" t="e">
        <f>_xlfn.XLOOKUP(_xlfn.CONCAT(SupplyChain_Tier2_Backend[[#This Row],[Level 1]:[Level 6]]),rng_EFConcat,rng_EF2)*SupplyChain_Tier2_Backend[[#This Row],[Converted data]]/1000</f>
        <v>#N/A</v>
      </c>
      <c r="AH213" s="210">
        <f>SupplyChain_Tier2_Frontend[[#This Row],[Emissions (kgCO2e)]]/1000</f>
        <v>0</v>
      </c>
      <c r="AI213" s="210" t="e">
        <f>_xlfn.XLOOKUP(_xlfn.CONCAT(SupplyChain_Tier2_Backend[[#This Row],[Level 1]:[Level 6]]),rng_EFConcat,rng_EF3WTT)*SupplyChain_Tier2_Backend[[#This Row],[Converted data]]/1000</f>
        <v>#N/A</v>
      </c>
      <c r="AJ213" s="210" t="e">
        <f>_xlfn.XLOOKUP(_xlfn.CONCAT(SupplyChain_Tier2_Backend[[#This Row],[Level 1]:[Level 6]]),rng_EFConcat,rng_EF3TD)*SupplyChain_Tier2_Backend[[#This Row],[Converted data]]/1000</f>
        <v>#N/A</v>
      </c>
      <c r="AK213" s="210" t="e">
        <f>_xlfn.XLOOKUP(_xlfn.CONCAT(SupplyChain_Tier2_Backend[[#This Row],[Level 1]:[Level 6]]),rng_EFConcat,rng_EF3WTTTD)*SupplyChain_Tier2_Backend[[#This Row],[Converted data]]/1000</f>
        <v>#N/A</v>
      </c>
      <c r="AL213" s="220" t="e">
        <f>SUM(SupplyChain_Tier2_Backend[[#This Row],[Scope 1 (tCO2e)]:[Scope 3 WTT T&amp;D (tCO2e)]])</f>
        <v>#N/A</v>
      </c>
      <c r="AM213" s="220" t="e">
        <f>SupplyChain_Tier2_Backend[[#This Row],[Total (tCO2e)]]*(1-SupplyChain_Tier2_Backend[[#This Row],[RSD]])</f>
        <v>#N/A</v>
      </c>
      <c r="AN213" s="220" t="e">
        <f>SupplyChain_Tier2_Backend[[#This Row],[Total (tCO2e)]]*(1+SupplyChain_Tier2_Backend[[#This Row],[RSD]])</f>
        <v>#N/A</v>
      </c>
      <c r="AO213" s="210" t="e">
        <f>_xlfn.XLOOKUP(_xlfn.CONCAT(SupplyChain_Tier2_Backend[[#This Row],[Level 1]:[Level 6]]),rng_EFConcat,rng_EFOOS)*SupplyChain_Tier2_Backend[[#This Row],[Converted data]]/1000</f>
        <v>#N/A</v>
      </c>
      <c r="AP213" s="174">
        <f>SupplyChain_Tier2_Frontend[[#This Row],[Ease of collection]]</f>
        <v>0</v>
      </c>
      <c r="AQ213" s="213">
        <f>SupplyChain_Tier2_Frontend[[#This Row],[Completeness]]</f>
        <v>0</v>
      </c>
      <c r="AR213" s="213">
        <f>SupplyChain_Tier2_Frontend[[#This Row],[Notes]]</f>
        <v>0</v>
      </c>
    </row>
    <row r="214" spans="4:44" ht="14.5" x14ac:dyDescent="0.35">
      <c r="D214" s="147">
        <v>86</v>
      </c>
      <c r="E214" s="236" t="str">
        <f t="shared" si="13"/>
        <v/>
      </c>
      <c r="F214" s="336"/>
      <c r="G214" s="334"/>
      <c r="H214" s="334"/>
      <c r="I214" s="334"/>
      <c r="J214" s="336"/>
      <c r="K214" s="336"/>
      <c r="L214" s="337"/>
      <c r="M214" s="242">
        <f t="shared" si="12"/>
        <v>4</v>
      </c>
      <c r="Q214" s="211" t="str">
        <f t="shared" si="11"/>
        <v/>
      </c>
      <c r="R214" s="174" t="s">
        <v>267</v>
      </c>
      <c r="S214" s="174" t="s">
        <v>385</v>
      </c>
      <c r="T214" s="235" t="s">
        <v>385</v>
      </c>
      <c r="U214" s="173" t="str">
        <f>SupplyChain_Tier2_Frontend[[#This Row],[Category]]</f>
        <v/>
      </c>
      <c r="V214" s="173">
        <f>SupplyChain_Tier2_Frontend[[#This Row],[Product Category]]</f>
        <v>0</v>
      </c>
      <c r="W214" s="174" t="s">
        <v>339</v>
      </c>
      <c r="X214" s="174">
        <f>SupplyChain_Tier2_Frontend[[#This Row],[Data type]]</f>
        <v>0</v>
      </c>
      <c r="Y214" s="174" t="s">
        <v>339</v>
      </c>
      <c r="Z214" s="174" t="s">
        <v>199</v>
      </c>
      <c r="AA214" s="229" t="e" cm="1">
        <f t="array" ref="AA214">INDEX(_xlfn.SWITCH(SupplyChain_Tier2_Backend[[#This Row],[Methodology]],"Tier 1",rng_RSD1,"Tier 2",rng_RSD2,"Tier 3",rng_RSD3),MATCH(_xlfn.CONCAT(SupplyChain_Tier2_Backend[[#This Row],[Level 1]:[Level 6]]),rng_LevelsConcat,0))</f>
        <v>#N/A</v>
      </c>
      <c r="AB214" s="220">
        <f>SupplyChain_Tier2_Frontend[[#This Row],[Spend (£)]]</f>
        <v>0</v>
      </c>
      <c r="AC214" s="220" t="s">
        <v>383</v>
      </c>
      <c r="AD214" s="220">
        <f>SupplyChain_Tier2_Frontend[[#This Row],[Spend (£)]]</f>
        <v>0</v>
      </c>
      <c r="AE214" s="174" t="s">
        <v>383</v>
      </c>
      <c r="AF214" s="210" t="e">
        <f>_xlfn.XLOOKUP(_xlfn.CONCAT(SupplyChain_Tier2_Backend[[#This Row],[Level 1]:[Level 6]]),rng_EFConcat,rng_EF1)*SupplyChain_Tier2_Backend[[#This Row],[Converted data]]/1000</f>
        <v>#N/A</v>
      </c>
      <c r="AG214" s="210" t="e">
        <f>_xlfn.XLOOKUP(_xlfn.CONCAT(SupplyChain_Tier2_Backend[[#This Row],[Level 1]:[Level 6]]),rng_EFConcat,rng_EF2)*SupplyChain_Tier2_Backend[[#This Row],[Converted data]]/1000</f>
        <v>#N/A</v>
      </c>
      <c r="AH214" s="210">
        <f>SupplyChain_Tier2_Frontend[[#This Row],[Emissions (kgCO2e)]]/1000</f>
        <v>0</v>
      </c>
      <c r="AI214" s="210" t="e">
        <f>_xlfn.XLOOKUP(_xlfn.CONCAT(SupplyChain_Tier2_Backend[[#This Row],[Level 1]:[Level 6]]),rng_EFConcat,rng_EF3WTT)*SupplyChain_Tier2_Backend[[#This Row],[Converted data]]/1000</f>
        <v>#N/A</v>
      </c>
      <c r="AJ214" s="210" t="e">
        <f>_xlfn.XLOOKUP(_xlfn.CONCAT(SupplyChain_Tier2_Backend[[#This Row],[Level 1]:[Level 6]]),rng_EFConcat,rng_EF3TD)*SupplyChain_Tier2_Backend[[#This Row],[Converted data]]/1000</f>
        <v>#N/A</v>
      </c>
      <c r="AK214" s="210" t="e">
        <f>_xlfn.XLOOKUP(_xlfn.CONCAT(SupplyChain_Tier2_Backend[[#This Row],[Level 1]:[Level 6]]),rng_EFConcat,rng_EF3WTTTD)*SupplyChain_Tier2_Backend[[#This Row],[Converted data]]/1000</f>
        <v>#N/A</v>
      </c>
      <c r="AL214" s="220" t="e">
        <f>SUM(SupplyChain_Tier2_Backend[[#This Row],[Scope 1 (tCO2e)]:[Scope 3 WTT T&amp;D (tCO2e)]])</f>
        <v>#N/A</v>
      </c>
      <c r="AM214" s="220" t="e">
        <f>SupplyChain_Tier2_Backend[[#This Row],[Total (tCO2e)]]*(1-SupplyChain_Tier2_Backend[[#This Row],[RSD]])</f>
        <v>#N/A</v>
      </c>
      <c r="AN214" s="220" t="e">
        <f>SupplyChain_Tier2_Backend[[#This Row],[Total (tCO2e)]]*(1+SupplyChain_Tier2_Backend[[#This Row],[RSD]])</f>
        <v>#N/A</v>
      </c>
      <c r="AO214" s="210" t="e">
        <f>_xlfn.XLOOKUP(_xlfn.CONCAT(SupplyChain_Tier2_Backend[[#This Row],[Level 1]:[Level 6]]),rng_EFConcat,rng_EFOOS)*SupplyChain_Tier2_Backend[[#This Row],[Converted data]]/1000</f>
        <v>#N/A</v>
      </c>
      <c r="AP214" s="174">
        <f>SupplyChain_Tier2_Frontend[[#This Row],[Ease of collection]]</f>
        <v>0</v>
      </c>
      <c r="AQ214" s="213">
        <f>SupplyChain_Tier2_Frontend[[#This Row],[Completeness]]</f>
        <v>0</v>
      </c>
      <c r="AR214" s="213">
        <f>SupplyChain_Tier2_Frontend[[#This Row],[Notes]]</f>
        <v>0</v>
      </c>
    </row>
    <row r="215" spans="4:44" ht="14.5" x14ac:dyDescent="0.35">
      <c r="D215" s="147">
        <v>87</v>
      </c>
      <c r="E215" s="236" t="str">
        <f t="shared" si="13"/>
        <v/>
      </c>
      <c r="F215" s="336"/>
      <c r="G215" s="334"/>
      <c r="H215" s="334"/>
      <c r="I215" s="334"/>
      <c r="J215" s="336"/>
      <c r="K215" s="336"/>
      <c r="L215" s="337"/>
      <c r="M215" s="242">
        <f t="shared" si="12"/>
        <v>4</v>
      </c>
      <c r="Q215" s="211" t="str">
        <f t="shared" si="11"/>
        <v/>
      </c>
      <c r="R215" s="174" t="s">
        <v>267</v>
      </c>
      <c r="S215" s="174" t="s">
        <v>385</v>
      </c>
      <c r="T215" s="235" t="s">
        <v>385</v>
      </c>
      <c r="U215" s="173" t="str">
        <f>SupplyChain_Tier2_Frontend[[#This Row],[Category]]</f>
        <v/>
      </c>
      <c r="V215" s="173">
        <f>SupplyChain_Tier2_Frontend[[#This Row],[Product Category]]</f>
        <v>0</v>
      </c>
      <c r="W215" s="174" t="s">
        <v>339</v>
      </c>
      <c r="X215" s="174">
        <f>SupplyChain_Tier2_Frontend[[#This Row],[Data type]]</f>
        <v>0</v>
      </c>
      <c r="Y215" s="174" t="s">
        <v>339</v>
      </c>
      <c r="Z215" s="174" t="s">
        <v>199</v>
      </c>
      <c r="AA215" s="229" t="e" cm="1">
        <f t="array" ref="AA215">INDEX(_xlfn.SWITCH(SupplyChain_Tier2_Backend[[#This Row],[Methodology]],"Tier 1",rng_RSD1,"Tier 2",rng_RSD2,"Tier 3",rng_RSD3),MATCH(_xlfn.CONCAT(SupplyChain_Tier2_Backend[[#This Row],[Level 1]:[Level 6]]),rng_LevelsConcat,0))</f>
        <v>#N/A</v>
      </c>
      <c r="AB215" s="220">
        <f>SupplyChain_Tier2_Frontend[[#This Row],[Spend (£)]]</f>
        <v>0</v>
      </c>
      <c r="AC215" s="220" t="s">
        <v>383</v>
      </c>
      <c r="AD215" s="220">
        <f>SupplyChain_Tier2_Frontend[[#This Row],[Spend (£)]]</f>
        <v>0</v>
      </c>
      <c r="AE215" s="174" t="s">
        <v>383</v>
      </c>
      <c r="AF215" s="210" t="e">
        <f>_xlfn.XLOOKUP(_xlfn.CONCAT(SupplyChain_Tier2_Backend[[#This Row],[Level 1]:[Level 6]]),rng_EFConcat,rng_EF1)*SupplyChain_Tier2_Backend[[#This Row],[Converted data]]/1000</f>
        <v>#N/A</v>
      </c>
      <c r="AG215" s="210" t="e">
        <f>_xlfn.XLOOKUP(_xlfn.CONCAT(SupplyChain_Tier2_Backend[[#This Row],[Level 1]:[Level 6]]),rng_EFConcat,rng_EF2)*SupplyChain_Tier2_Backend[[#This Row],[Converted data]]/1000</f>
        <v>#N/A</v>
      </c>
      <c r="AH215" s="210">
        <f>SupplyChain_Tier2_Frontend[[#This Row],[Emissions (kgCO2e)]]/1000</f>
        <v>0</v>
      </c>
      <c r="AI215" s="210" t="e">
        <f>_xlfn.XLOOKUP(_xlfn.CONCAT(SupplyChain_Tier2_Backend[[#This Row],[Level 1]:[Level 6]]),rng_EFConcat,rng_EF3WTT)*SupplyChain_Tier2_Backend[[#This Row],[Converted data]]/1000</f>
        <v>#N/A</v>
      </c>
      <c r="AJ215" s="210" t="e">
        <f>_xlfn.XLOOKUP(_xlfn.CONCAT(SupplyChain_Tier2_Backend[[#This Row],[Level 1]:[Level 6]]),rng_EFConcat,rng_EF3TD)*SupplyChain_Tier2_Backend[[#This Row],[Converted data]]/1000</f>
        <v>#N/A</v>
      </c>
      <c r="AK215" s="210" t="e">
        <f>_xlfn.XLOOKUP(_xlfn.CONCAT(SupplyChain_Tier2_Backend[[#This Row],[Level 1]:[Level 6]]),rng_EFConcat,rng_EF3WTTTD)*SupplyChain_Tier2_Backend[[#This Row],[Converted data]]/1000</f>
        <v>#N/A</v>
      </c>
      <c r="AL215" s="220" t="e">
        <f>SUM(SupplyChain_Tier2_Backend[[#This Row],[Scope 1 (tCO2e)]:[Scope 3 WTT T&amp;D (tCO2e)]])</f>
        <v>#N/A</v>
      </c>
      <c r="AM215" s="220" t="e">
        <f>SupplyChain_Tier2_Backend[[#This Row],[Total (tCO2e)]]*(1-SupplyChain_Tier2_Backend[[#This Row],[RSD]])</f>
        <v>#N/A</v>
      </c>
      <c r="AN215" s="220" t="e">
        <f>SupplyChain_Tier2_Backend[[#This Row],[Total (tCO2e)]]*(1+SupplyChain_Tier2_Backend[[#This Row],[RSD]])</f>
        <v>#N/A</v>
      </c>
      <c r="AO215" s="210" t="e">
        <f>_xlfn.XLOOKUP(_xlfn.CONCAT(SupplyChain_Tier2_Backend[[#This Row],[Level 1]:[Level 6]]),rng_EFConcat,rng_EFOOS)*SupplyChain_Tier2_Backend[[#This Row],[Converted data]]/1000</f>
        <v>#N/A</v>
      </c>
      <c r="AP215" s="174">
        <f>SupplyChain_Tier2_Frontend[[#This Row],[Ease of collection]]</f>
        <v>0</v>
      </c>
      <c r="AQ215" s="213">
        <f>SupplyChain_Tier2_Frontend[[#This Row],[Completeness]]</f>
        <v>0</v>
      </c>
      <c r="AR215" s="213">
        <f>SupplyChain_Tier2_Frontend[[#This Row],[Notes]]</f>
        <v>0</v>
      </c>
    </row>
    <row r="216" spans="4:44" ht="14.5" x14ac:dyDescent="0.35">
      <c r="D216" s="147">
        <v>88</v>
      </c>
      <c r="E216" s="236" t="str">
        <f t="shared" si="13"/>
        <v/>
      </c>
      <c r="F216" s="336"/>
      <c r="G216" s="334"/>
      <c r="H216" s="334"/>
      <c r="I216" s="334"/>
      <c r="J216" s="336"/>
      <c r="K216" s="336"/>
      <c r="L216" s="337"/>
      <c r="M216" s="242">
        <f t="shared" si="12"/>
        <v>4</v>
      </c>
      <c r="Q216" s="211" t="str">
        <f t="shared" si="11"/>
        <v/>
      </c>
      <c r="R216" s="174" t="s">
        <v>267</v>
      </c>
      <c r="S216" s="174" t="s">
        <v>385</v>
      </c>
      <c r="T216" s="235" t="s">
        <v>385</v>
      </c>
      <c r="U216" s="173" t="str">
        <f>SupplyChain_Tier2_Frontend[[#This Row],[Category]]</f>
        <v/>
      </c>
      <c r="V216" s="173">
        <f>SupplyChain_Tier2_Frontend[[#This Row],[Product Category]]</f>
        <v>0</v>
      </c>
      <c r="W216" s="174" t="s">
        <v>339</v>
      </c>
      <c r="X216" s="174">
        <f>SupplyChain_Tier2_Frontend[[#This Row],[Data type]]</f>
        <v>0</v>
      </c>
      <c r="Y216" s="174" t="s">
        <v>339</v>
      </c>
      <c r="Z216" s="174" t="s">
        <v>199</v>
      </c>
      <c r="AA216" s="229" t="e" cm="1">
        <f t="array" ref="AA216">INDEX(_xlfn.SWITCH(SupplyChain_Tier2_Backend[[#This Row],[Methodology]],"Tier 1",rng_RSD1,"Tier 2",rng_RSD2,"Tier 3",rng_RSD3),MATCH(_xlfn.CONCAT(SupplyChain_Tier2_Backend[[#This Row],[Level 1]:[Level 6]]),rng_LevelsConcat,0))</f>
        <v>#N/A</v>
      </c>
      <c r="AB216" s="220">
        <f>SupplyChain_Tier2_Frontend[[#This Row],[Spend (£)]]</f>
        <v>0</v>
      </c>
      <c r="AC216" s="220" t="s">
        <v>383</v>
      </c>
      <c r="AD216" s="220">
        <f>SupplyChain_Tier2_Frontend[[#This Row],[Spend (£)]]</f>
        <v>0</v>
      </c>
      <c r="AE216" s="174" t="s">
        <v>383</v>
      </c>
      <c r="AF216" s="210" t="e">
        <f>_xlfn.XLOOKUP(_xlfn.CONCAT(SupplyChain_Tier2_Backend[[#This Row],[Level 1]:[Level 6]]),rng_EFConcat,rng_EF1)*SupplyChain_Tier2_Backend[[#This Row],[Converted data]]/1000</f>
        <v>#N/A</v>
      </c>
      <c r="AG216" s="210" t="e">
        <f>_xlfn.XLOOKUP(_xlfn.CONCAT(SupplyChain_Tier2_Backend[[#This Row],[Level 1]:[Level 6]]),rng_EFConcat,rng_EF2)*SupplyChain_Tier2_Backend[[#This Row],[Converted data]]/1000</f>
        <v>#N/A</v>
      </c>
      <c r="AH216" s="210">
        <f>SupplyChain_Tier2_Frontend[[#This Row],[Emissions (kgCO2e)]]/1000</f>
        <v>0</v>
      </c>
      <c r="AI216" s="210" t="e">
        <f>_xlfn.XLOOKUP(_xlfn.CONCAT(SupplyChain_Tier2_Backend[[#This Row],[Level 1]:[Level 6]]),rng_EFConcat,rng_EF3WTT)*SupplyChain_Tier2_Backend[[#This Row],[Converted data]]/1000</f>
        <v>#N/A</v>
      </c>
      <c r="AJ216" s="210" t="e">
        <f>_xlfn.XLOOKUP(_xlfn.CONCAT(SupplyChain_Tier2_Backend[[#This Row],[Level 1]:[Level 6]]),rng_EFConcat,rng_EF3TD)*SupplyChain_Tier2_Backend[[#This Row],[Converted data]]/1000</f>
        <v>#N/A</v>
      </c>
      <c r="AK216" s="210" t="e">
        <f>_xlfn.XLOOKUP(_xlfn.CONCAT(SupplyChain_Tier2_Backend[[#This Row],[Level 1]:[Level 6]]),rng_EFConcat,rng_EF3WTTTD)*SupplyChain_Tier2_Backend[[#This Row],[Converted data]]/1000</f>
        <v>#N/A</v>
      </c>
      <c r="AL216" s="220" t="e">
        <f>SUM(SupplyChain_Tier2_Backend[[#This Row],[Scope 1 (tCO2e)]:[Scope 3 WTT T&amp;D (tCO2e)]])</f>
        <v>#N/A</v>
      </c>
      <c r="AM216" s="220" t="e">
        <f>SupplyChain_Tier2_Backend[[#This Row],[Total (tCO2e)]]*(1-SupplyChain_Tier2_Backend[[#This Row],[RSD]])</f>
        <v>#N/A</v>
      </c>
      <c r="AN216" s="220" t="e">
        <f>SupplyChain_Tier2_Backend[[#This Row],[Total (tCO2e)]]*(1+SupplyChain_Tier2_Backend[[#This Row],[RSD]])</f>
        <v>#N/A</v>
      </c>
      <c r="AO216" s="210" t="e">
        <f>_xlfn.XLOOKUP(_xlfn.CONCAT(SupplyChain_Tier2_Backend[[#This Row],[Level 1]:[Level 6]]),rng_EFConcat,rng_EFOOS)*SupplyChain_Tier2_Backend[[#This Row],[Converted data]]/1000</f>
        <v>#N/A</v>
      </c>
      <c r="AP216" s="174">
        <f>SupplyChain_Tier2_Frontend[[#This Row],[Ease of collection]]</f>
        <v>0</v>
      </c>
      <c r="AQ216" s="213">
        <f>SupplyChain_Tier2_Frontend[[#This Row],[Completeness]]</f>
        <v>0</v>
      </c>
      <c r="AR216" s="213">
        <f>SupplyChain_Tier2_Frontend[[#This Row],[Notes]]</f>
        <v>0</v>
      </c>
    </row>
    <row r="217" spans="4:44" ht="14.5" x14ac:dyDescent="0.35">
      <c r="D217" s="147">
        <v>89</v>
      </c>
      <c r="E217" s="236" t="str">
        <f t="shared" si="13"/>
        <v/>
      </c>
      <c r="F217" s="336"/>
      <c r="G217" s="334"/>
      <c r="H217" s="334"/>
      <c r="I217" s="334"/>
      <c r="J217" s="336"/>
      <c r="K217" s="336"/>
      <c r="L217" s="337"/>
      <c r="M217" s="242">
        <f t="shared" si="12"/>
        <v>4</v>
      </c>
      <c r="Q217" s="211" t="str">
        <f t="shared" si="11"/>
        <v/>
      </c>
      <c r="R217" s="174" t="s">
        <v>267</v>
      </c>
      <c r="S217" s="174" t="s">
        <v>385</v>
      </c>
      <c r="T217" s="235" t="s">
        <v>385</v>
      </c>
      <c r="U217" s="173" t="str">
        <f>SupplyChain_Tier2_Frontend[[#This Row],[Category]]</f>
        <v/>
      </c>
      <c r="V217" s="173">
        <f>SupplyChain_Tier2_Frontend[[#This Row],[Product Category]]</f>
        <v>0</v>
      </c>
      <c r="W217" s="174" t="s">
        <v>339</v>
      </c>
      <c r="X217" s="174">
        <f>SupplyChain_Tier2_Frontend[[#This Row],[Data type]]</f>
        <v>0</v>
      </c>
      <c r="Y217" s="174" t="s">
        <v>339</v>
      </c>
      <c r="Z217" s="174" t="s">
        <v>199</v>
      </c>
      <c r="AA217" s="229" t="e" cm="1">
        <f t="array" ref="AA217">INDEX(_xlfn.SWITCH(SupplyChain_Tier2_Backend[[#This Row],[Methodology]],"Tier 1",rng_RSD1,"Tier 2",rng_RSD2,"Tier 3",rng_RSD3),MATCH(_xlfn.CONCAT(SupplyChain_Tier2_Backend[[#This Row],[Level 1]:[Level 6]]),rng_LevelsConcat,0))</f>
        <v>#N/A</v>
      </c>
      <c r="AB217" s="220">
        <f>SupplyChain_Tier2_Frontend[[#This Row],[Spend (£)]]</f>
        <v>0</v>
      </c>
      <c r="AC217" s="220" t="s">
        <v>383</v>
      </c>
      <c r="AD217" s="220">
        <f>SupplyChain_Tier2_Frontend[[#This Row],[Spend (£)]]</f>
        <v>0</v>
      </c>
      <c r="AE217" s="174" t="s">
        <v>383</v>
      </c>
      <c r="AF217" s="210" t="e">
        <f>_xlfn.XLOOKUP(_xlfn.CONCAT(SupplyChain_Tier2_Backend[[#This Row],[Level 1]:[Level 6]]),rng_EFConcat,rng_EF1)*SupplyChain_Tier2_Backend[[#This Row],[Converted data]]/1000</f>
        <v>#N/A</v>
      </c>
      <c r="AG217" s="210" t="e">
        <f>_xlfn.XLOOKUP(_xlfn.CONCAT(SupplyChain_Tier2_Backend[[#This Row],[Level 1]:[Level 6]]),rng_EFConcat,rng_EF2)*SupplyChain_Tier2_Backend[[#This Row],[Converted data]]/1000</f>
        <v>#N/A</v>
      </c>
      <c r="AH217" s="210">
        <f>SupplyChain_Tier2_Frontend[[#This Row],[Emissions (kgCO2e)]]/1000</f>
        <v>0</v>
      </c>
      <c r="AI217" s="210" t="e">
        <f>_xlfn.XLOOKUP(_xlfn.CONCAT(SupplyChain_Tier2_Backend[[#This Row],[Level 1]:[Level 6]]),rng_EFConcat,rng_EF3WTT)*SupplyChain_Tier2_Backend[[#This Row],[Converted data]]/1000</f>
        <v>#N/A</v>
      </c>
      <c r="AJ217" s="210" t="e">
        <f>_xlfn.XLOOKUP(_xlfn.CONCAT(SupplyChain_Tier2_Backend[[#This Row],[Level 1]:[Level 6]]),rng_EFConcat,rng_EF3TD)*SupplyChain_Tier2_Backend[[#This Row],[Converted data]]/1000</f>
        <v>#N/A</v>
      </c>
      <c r="AK217" s="210" t="e">
        <f>_xlfn.XLOOKUP(_xlfn.CONCAT(SupplyChain_Tier2_Backend[[#This Row],[Level 1]:[Level 6]]),rng_EFConcat,rng_EF3WTTTD)*SupplyChain_Tier2_Backend[[#This Row],[Converted data]]/1000</f>
        <v>#N/A</v>
      </c>
      <c r="AL217" s="220" t="e">
        <f>SUM(SupplyChain_Tier2_Backend[[#This Row],[Scope 1 (tCO2e)]:[Scope 3 WTT T&amp;D (tCO2e)]])</f>
        <v>#N/A</v>
      </c>
      <c r="AM217" s="220" t="e">
        <f>SupplyChain_Tier2_Backend[[#This Row],[Total (tCO2e)]]*(1-SupplyChain_Tier2_Backend[[#This Row],[RSD]])</f>
        <v>#N/A</v>
      </c>
      <c r="AN217" s="220" t="e">
        <f>SupplyChain_Tier2_Backend[[#This Row],[Total (tCO2e)]]*(1+SupplyChain_Tier2_Backend[[#This Row],[RSD]])</f>
        <v>#N/A</v>
      </c>
      <c r="AO217" s="210" t="e">
        <f>_xlfn.XLOOKUP(_xlfn.CONCAT(SupplyChain_Tier2_Backend[[#This Row],[Level 1]:[Level 6]]),rng_EFConcat,rng_EFOOS)*SupplyChain_Tier2_Backend[[#This Row],[Converted data]]/1000</f>
        <v>#N/A</v>
      </c>
      <c r="AP217" s="174">
        <f>SupplyChain_Tier2_Frontend[[#This Row],[Ease of collection]]</f>
        <v>0</v>
      </c>
      <c r="AQ217" s="213">
        <f>SupplyChain_Tier2_Frontend[[#This Row],[Completeness]]</f>
        <v>0</v>
      </c>
      <c r="AR217" s="213">
        <f>SupplyChain_Tier2_Frontend[[#This Row],[Notes]]</f>
        <v>0</v>
      </c>
    </row>
    <row r="218" spans="4:44" ht="14.5" x14ac:dyDescent="0.35">
      <c r="D218" s="147">
        <v>90</v>
      </c>
      <c r="E218" s="236" t="str">
        <f t="shared" si="13"/>
        <v/>
      </c>
      <c r="F218" s="336"/>
      <c r="G218" s="334"/>
      <c r="H218" s="334"/>
      <c r="I218" s="334"/>
      <c r="J218" s="336"/>
      <c r="K218" s="336"/>
      <c r="L218" s="337"/>
      <c r="M218" s="242">
        <f t="shared" si="12"/>
        <v>4</v>
      </c>
      <c r="Q218" s="211" t="str">
        <f t="shared" si="11"/>
        <v/>
      </c>
      <c r="R218" s="174" t="s">
        <v>267</v>
      </c>
      <c r="S218" s="174" t="s">
        <v>385</v>
      </c>
      <c r="T218" s="235" t="s">
        <v>385</v>
      </c>
      <c r="U218" s="173" t="str">
        <f>SupplyChain_Tier2_Frontend[[#This Row],[Category]]</f>
        <v/>
      </c>
      <c r="V218" s="173">
        <f>SupplyChain_Tier2_Frontend[[#This Row],[Product Category]]</f>
        <v>0</v>
      </c>
      <c r="W218" s="174" t="s">
        <v>339</v>
      </c>
      <c r="X218" s="174">
        <f>SupplyChain_Tier2_Frontend[[#This Row],[Data type]]</f>
        <v>0</v>
      </c>
      <c r="Y218" s="174" t="s">
        <v>339</v>
      </c>
      <c r="Z218" s="174" t="s">
        <v>199</v>
      </c>
      <c r="AA218" s="229" t="e" cm="1">
        <f t="array" ref="AA218">INDEX(_xlfn.SWITCH(SupplyChain_Tier2_Backend[[#This Row],[Methodology]],"Tier 1",rng_RSD1,"Tier 2",rng_RSD2,"Tier 3",rng_RSD3),MATCH(_xlfn.CONCAT(SupplyChain_Tier2_Backend[[#This Row],[Level 1]:[Level 6]]),rng_LevelsConcat,0))</f>
        <v>#N/A</v>
      </c>
      <c r="AB218" s="220">
        <f>SupplyChain_Tier2_Frontend[[#This Row],[Spend (£)]]</f>
        <v>0</v>
      </c>
      <c r="AC218" s="220" t="s">
        <v>383</v>
      </c>
      <c r="AD218" s="220">
        <f>SupplyChain_Tier2_Frontend[[#This Row],[Spend (£)]]</f>
        <v>0</v>
      </c>
      <c r="AE218" s="174" t="s">
        <v>383</v>
      </c>
      <c r="AF218" s="210" t="e">
        <f>_xlfn.XLOOKUP(_xlfn.CONCAT(SupplyChain_Tier2_Backend[[#This Row],[Level 1]:[Level 6]]),rng_EFConcat,rng_EF1)*SupplyChain_Tier2_Backend[[#This Row],[Converted data]]/1000</f>
        <v>#N/A</v>
      </c>
      <c r="AG218" s="210" t="e">
        <f>_xlfn.XLOOKUP(_xlfn.CONCAT(SupplyChain_Tier2_Backend[[#This Row],[Level 1]:[Level 6]]),rng_EFConcat,rng_EF2)*SupplyChain_Tier2_Backend[[#This Row],[Converted data]]/1000</f>
        <v>#N/A</v>
      </c>
      <c r="AH218" s="210">
        <f>SupplyChain_Tier2_Frontend[[#This Row],[Emissions (kgCO2e)]]/1000</f>
        <v>0</v>
      </c>
      <c r="AI218" s="210" t="e">
        <f>_xlfn.XLOOKUP(_xlfn.CONCAT(SupplyChain_Tier2_Backend[[#This Row],[Level 1]:[Level 6]]),rng_EFConcat,rng_EF3WTT)*SupplyChain_Tier2_Backend[[#This Row],[Converted data]]/1000</f>
        <v>#N/A</v>
      </c>
      <c r="AJ218" s="210" t="e">
        <f>_xlfn.XLOOKUP(_xlfn.CONCAT(SupplyChain_Tier2_Backend[[#This Row],[Level 1]:[Level 6]]),rng_EFConcat,rng_EF3TD)*SupplyChain_Tier2_Backend[[#This Row],[Converted data]]/1000</f>
        <v>#N/A</v>
      </c>
      <c r="AK218" s="210" t="e">
        <f>_xlfn.XLOOKUP(_xlfn.CONCAT(SupplyChain_Tier2_Backend[[#This Row],[Level 1]:[Level 6]]),rng_EFConcat,rng_EF3WTTTD)*SupplyChain_Tier2_Backend[[#This Row],[Converted data]]/1000</f>
        <v>#N/A</v>
      </c>
      <c r="AL218" s="220" t="e">
        <f>SUM(SupplyChain_Tier2_Backend[[#This Row],[Scope 1 (tCO2e)]:[Scope 3 WTT T&amp;D (tCO2e)]])</f>
        <v>#N/A</v>
      </c>
      <c r="AM218" s="220" t="e">
        <f>SupplyChain_Tier2_Backend[[#This Row],[Total (tCO2e)]]*(1-SupplyChain_Tier2_Backend[[#This Row],[RSD]])</f>
        <v>#N/A</v>
      </c>
      <c r="AN218" s="220" t="e">
        <f>SupplyChain_Tier2_Backend[[#This Row],[Total (tCO2e)]]*(1+SupplyChain_Tier2_Backend[[#This Row],[RSD]])</f>
        <v>#N/A</v>
      </c>
      <c r="AO218" s="210" t="e">
        <f>_xlfn.XLOOKUP(_xlfn.CONCAT(SupplyChain_Tier2_Backend[[#This Row],[Level 1]:[Level 6]]),rng_EFConcat,rng_EFOOS)*SupplyChain_Tier2_Backend[[#This Row],[Converted data]]/1000</f>
        <v>#N/A</v>
      </c>
      <c r="AP218" s="174">
        <f>SupplyChain_Tier2_Frontend[[#This Row],[Ease of collection]]</f>
        <v>0</v>
      </c>
      <c r="AQ218" s="213">
        <f>SupplyChain_Tier2_Frontend[[#This Row],[Completeness]]</f>
        <v>0</v>
      </c>
      <c r="AR218" s="213">
        <f>SupplyChain_Tier2_Frontend[[#This Row],[Notes]]</f>
        <v>0</v>
      </c>
    </row>
    <row r="219" spans="4:44" ht="14.5" x14ac:dyDescent="0.35">
      <c r="D219" s="147">
        <v>91</v>
      </c>
      <c r="E219" s="236" t="str">
        <f t="shared" si="13"/>
        <v/>
      </c>
      <c r="F219" s="336"/>
      <c r="G219" s="334"/>
      <c r="H219" s="334"/>
      <c r="I219" s="334"/>
      <c r="J219" s="336"/>
      <c r="K219" s="336"/>
      <c r="L219" s="337"/>
      <c r="M219" s="242">
        <f t="shared" si="12"/>
        <v>4</v>
      </c>
      <c r="Q219" s="211" t="str">
        <f t="shared" si="11"/>
        <v/>
      </c>
      <c r="R219" s="174" t="s">
        <v>267</v>
      </c>
      <c r="S219" s="174" t="s">
        <v>385</v>
      </c>
      <c r="T219" s="235" t="s">
        <v>385</v>
      </c>
      <c r="U219" s="173" t="str">
        <f>SupplyChain_Tier2_Frontend[[#This Row],[Category]]</f>
        <v/>
      </c>
      <c r="V219" s="173">
        <f>SupplyChain_Tier2_Frontend[[#This Row],[Product Category]]</f>
        <v>0</v>
      </c>
      <c r="W219" s="174" t="s">
        <v>339</v>
      </c>
      <c r="X219" s="174">
        <f>SupplyChain_Tier2_Frontend[[#This Row],[Data type]]</f>
        <v>0</v>
      </c>
      <c r="Y219" s="174" t="s">
        <v>339</v>
      </c>
      <c r="Z219" s="174" t="s">
        <v>199</v>
      </c>
      <c r="AA219" s="229" t="e" cm="1">
        <f t="array" ref="AA219">INDEX(_xlfn.SWITCH(SupplyChain_Tier2_Backend[[#This Row],[Methodology]],"Tier 1",rng_RSD1,"Tier 2",rng_RSD2,"Tier 3",rng_RSD3),MATCH(_xlfn.CONCAT(SupplyChain_Tier2_Backend[[#This Row],[Level 1]:[Level 6]]),rng_LevelsConcat,0))</f>
        <v>#N/A</v>
      </c>
      <c r="AB219" s="220">
        <f>SupplyChain_Tier2_Frontend[[#This Row],[Spend (£)]]</f>
        <v>0</v>
      </c>
      <c r="AC219" s="220" t="s">
        <v>383</v>
      </c>
      <c r="AD219" s="220">
        <f>SupplyChain_Tier2_Frontend[[#This Row],[Spend (£)]]</f>
        <v>0</v>
      </c>
      <c r="AE219" s="174" t="s">
        <v>383</v>
      </c>
      <c r="AF219" s="210" t="e">
        <f>_xlfn.XLOOKUP(_xlfn.CONCAT(SupplyChain_Tier2_Backend[[#This Row],[Level 1]:[Level 6]]),rng_EFConcat,rng_EF1)*SupplyChain_Tier2_Backend[[#This Row],[Converted data]]/1000</f>
        <v>#N/A</v>
      </c>
      <c r="AG219" s="210" t="e">
        <f>_xlfn.XLOOKUP(_xlfn.CONCAT(SupplyChain_Tier2_Backend[[#This Row],[Level 1]:[Level 6]]),rng_EFConcat,rng_EF2)*SupplyChain_Tier2_Backend[[#This Row],[Converted data]]/1000</f>
        <v>#N/A</v>
      </c>
      <c r="AH219" s="210">
        <f>SupplyChain_Tier2_Frontend[[#This Row],[Emissions (kgCO2e)]]/1000</f>
        <v>0</v>
      </c>
      <c r="AI219" s="210" t="e">
        <f>_xlfn.XLOOKUP(_xlfn.CONCAT(SupplyChain_Tier2_Backend[[#This Row],[Level 1]:[Level 6]]),rng_EFConcat,rng_EF3WTT)*SupplyChain_Tier2_Backend[[#This Row],[Converted data]]/1000</f>
        <v>#N/A</v>
      </c>
      <c r="AJ219" s="210" t="e">
        <f>_xlfn.XLOOKUP(_xlfn.CONCAT(SupplyChain_Tier2_Backend[[#This Row],[Level 1]:[Level 6]]),rng_EFConcat,rng_EF3TD)*SupplyChain_Tier2_Backend[[#This Row],[Converted data]]/1000</f>
        <v>#N/A</v>
      </c>
      <c r="AK219" s="210" t="e">
        <f>_xlfn.XLOOKUP(_xlfn.CONCAT(SupplyChain_Tier2_Backend[[#This Row],[Level 1]:[Level 6]]),rng_EFConcat,rng_EF3WTTTD)*SupplyChain_Tier2_Backend[[#This Row],[Converted data]]/1000</f>
        <v>#N/A</v>
      </c>
      <c r="AL219" s="220" t="e">
        <f>SUM(SupplyChain_Tier2_Backend[[#This Row],[Scope 1 (tCO2e)]:[Scope 3 WTT T&amp;D (tCO2e)]])</f>
        <v>#N/A</v>
      </c>
      <c r="AM219" s="220" t="e">
        <f>SupplyChain_Tier2_Backend[[#This Row],[Total (tCO2e)]]*(1-SupplyChain_Tier2_Backend[[#This Row],[RSD]])</f>
        <v>#N/A</v>
      </c>
      <c r="AN219" s="220" t="e">
        <f>SupplyChain_Tier2_Backend[[#This Row],[Total (tCO2e)]]*(1+SupplyChain_Tier2_Backend[[#This Row],[RSD]])</f>
        <v>#N/A</v>
      </c>
      <c r="AO219" s="210" t="e">
        <f>_xlfn.XLOOKUP(_xlfn.CONCAT(SupplyChain_Tier2_Backend[[#This Row],[Level 1]:[Level 6]]),rng_EFConcat,rng_EFOOS)*SupplyChain_Tier2_Backend[[#This Row],[Converted data]]/1000</f>
        <v>#N/A</v>
      </c>
      <c r="AP219" s="174">
        <f>SupplyChain_Tier2_Frontend[[#This Row],[Ease of collection]]</f>
        <v>0</v>
      </c>
      <c r="AQ219" s="213">
        <f>SupplyChain_Tier2_Frontend[[#This Row],[Completeness]]</f>
        <v>0</v>
      </c>
      <c r="AR219" s="213">
        <f>SupplyChain_Tier2_Frontend[[#This Row],[Notes]]</f>
        <v>0</v>
      </c>
    </row>
    <row r="220" spans="4:44" ht="14.5" x14ac:dyDescent="0.35">
      <c r="D220" s="147">
        <v>92</v>
      </c>
      <c r="E220" s="236" t="str">
        <f t="shared" si="13"/>
        <v/>
      </c>
      <c r="F220" s="336"/>
      <c r="G220" s="334"/>
      <c r="H220" s="334"/>
      <c r="I220" s="334"/>
      <c r="J220" s="336"/>
      <c r="K220" s="336"/>
      <c r="L220" s="337"/>
      <c r="M220" s="242">
        <f t="shared" si="12"/>
        <v>4</v>
      </c>
      <c r="Q220" s="211" t="str">
        <f t="shared" si="11"/>
        <v/>
      </c>
      <c r="R220" s="174" t="s">
        <v>267</v>
      </c>
      <c r="S220" s="174" t="s">
        <v>385</v>
      </c>
      <c r="T220" s="235" t="s">
        <v>385</v>
      </c>
      <c r="U220" s="173" t="str">
        <f>SupplyChain_Tier2_Frontend[[#This Row],[Category]]</f>
        <v/>
      </c>
      <c r="V220" s="173">
        <f>SupplyChain_Tier2_Frontend[[#This Row],[Product Category]]</f>
        <v>0</v>
      </c>
      <c r="W220" s="174" t="s">
        <v>339</v>
      </c>
      <c r="X220" s="174">
        <f>SupplyChain_Tier2_Frontend[[#This Row],[Data type]]</f>
        <v>0</v>
      </c>
      <c r="Y220" s="174" t="s">
        <v>339</v>
      </c>
      <c r="Z220" s="174" t="s">
        <v>199</v>
      </c>
      <c r="AA220" s="229" t="e" cm="1">
        <f t="array" ref="AA220">INDEX(_xlfn.SWITCH(SupplyChain_Tier2_Backend[[#This Row],[Methodology]],"Tier 1",rng_RSD1,"Tier 2",rng_RSD2,"Tier 3",rng_RSD3),MATCH(_xlfn.CONCAT(SupplyChain_Tier2_Backend[[#This Row],[Level 1]:[Level 6]]),rng_LevelsConcat,0))</f>
        <v>#N/A</v>
      </c>
      <c r="AB220" s="220">
        <f>SupplyChain_Tier2_Frontend[[#This Row],[Spend (£)]]</f>
        <v>0</v>
      </c>
      <c r="AC220" s="220" t="s">
        <v>383</v>
      </c>
      <c r="AD220" s="220">
        <f>SupplyChain_Tier2_Frontend[[#This Row],[Spend (£)]]</f>
        <v>0</v>
      </c>
      <c r="AE220" s="174" t="s">
        <v>383</v>
      </c>
      <c r="AF220" s="210" t="e">
        <f>_xlfn.XLOOKUP(_xlfn.CONCAT(SupplyChain_Tier2_Backend[[#This Row],[Level 1]:[Level 6]]),rng_EFConcat,rng_EF1)*SupplyChain_Tier2_Backend[[#This Row],[Converted data]]/1000</f>
        <v>#N/A</v>
      </c>
      <c r="AG220" s="210" t="e">
        <f>_xlfn.XLOOKUP(_xlfn.CONCAT(SupplyChain_Tier2_Backend[[#This Row],[Level 1]:[Level 6]]),rng_EFConcat,rng_EF2)*SupplyChain_Tier2_Backend[[#This Row],[Converted data]]/1000</f>
        <v>#N/A</v>
      </c>
      <c r="AH220" s="210">
        <f>SupplyChain_Tier2_Frontend[[#This Row],[Emissions (kgCO2e)]]/1000</f>
        <v>0</v>
      </c>
      <c r="AI220" s="210" t="e">
        <f>_xlfn.XLOOKUP(_xlfn.CONCAT(SupplyChain_Tier2_Backend[[#This Row],[Level 1]:[Level 6]]),rng_EFConcat,rng_EF3WTT)*SupplyChain_Tier2_Backend[[#This Row],[Converted data]]/1000</f>
        <v>#N/A</v>
      </c>
      <c r="AJ220" s="210" t="e">
        <f>_xlfn.XLOOKUP(_xlfn.CONCAT(SupplyChain_Tier2_Backend[[#This Row],[Level 1]:[Level 6]]),rng_EFConcat,rng_EF3TD)*SupplyChain_Tier2_Backend[[#This Row],[Converted data]]/1000</f>
        <v>#N/A</v>
      </c>
      <c r="AK220" s="210" t="e">
        <f>_xlfn.XLOOKUP(_xlfn.CONCAT(SupplyChain_Tier2_Backend[[#This Row],[Level 1]:[Level 6]]),rng_EFConcat,rng_EF3WTTTD)*SupplyChain_Tier2_Backend[[#This Row],[Converted data]]/1000</f>
        <v>#N/A</v>
      </c>
      <c r="AL220" s="220" t="e">
        <f>SUM(SupplyChain_Tier2_Backend[[#This Row],[Scope 1 (tCO2e)]:[Scope 3 WTT T&amp;D (tCO2e)]])</f>
        <v>#N/A</v>
      </c>
      <c r="AM220" s="220" t="e">
        <f>SupplyChain_Tier2_Backend[[#This Row],[Total (tCO2e)]]*(1-SupplyChain_Tier2_Backend[[#This Row],[RSD]])</f>
        <v>#N/A</v>
      </c>
      <c r="AN220" s="220" t="e">
        <f>SupplyChain_Tier2_Backend[[#This Row],[Total (tCO2e)]]*(1+SupplyChain_Tier2_Backend[[#This Row],[RSD]])</f>
        <v>#N/A</v>
      </c>
      <c r="AO220" s="210" t="e">
        <f>_xlfn.XLOOKUP(_xlfn.CONCAT(SupplyChain_Tier2_Backend[[#This Row],[Level 1]:[Level 6]]),rng_EFConcat,rng_EFOOS)*SupplyChain_Tier2_Backend[[#This Row],[Converted data]]/1000</f>
        <v>#N/A</v>
      </c>
      <c r="AP220" s="174">
        <f>SupplyChain_Tier2_Frontend[[#This Row],[Ease of collection]]</f>
        <v>0</v>
      </c>
      <c r="AQ220" s="213">
        <f>SupplyChain_Tier2_Frontend[[#This Row],[Completeness]]</f>
        <v>0</v>
      </c>
      <c r="AR220" s="213">
        <f>SupplyChain_Tier2_Frontend[[#This Row],[Notes]]</f>
        <v>0</v>
      </c>
    </row>
    <row r="221" spans="4:44" ht="14.5" x14ac:dyDescent="0.35">
      <c r="D221" s="147">
        <v>93</v>
      </c>
      <c r="E221" s="236" t="str">
        <f t="shared" si="13"/>
        <v/>
      </c>
      <c r="F221" s="336"/>
      <c r="G221" s="334"/>
      <c r="H221" s="334"/>
      <c r="I221" s="334"/>
      <c r="J221" s="336"/>
      <c r="K221" s="336"/>
      <c r="L221" s="337"/>
      <c r="M221" s="242">
        <f t="shared" si="12"/>
        <v>4</v>
      </c>
      <c r="Q221" s="211" t="str">
        <f t="shared" si="11"/>
        <v/>
      </c>
      <c r="R221" s="174" t="s">
        <v>267</v>
      </c>
      <c r="S221" s="174" t="s">
        <v>385</v>
      </c>
      <c r="T221" s="235" t="s">
        <v>385</v>
      </c>
      <c r="U221" s="173" t="str">
        <f>SupplyChain_Tier2_Frontend[[#This Row],[Category]]</f>
        <v/>
      </c>
      <c r="V221" s="173">
        <f>SupplyChain_Tier2_Frontend[[#This Row],[Product Category]]</f>
        <v>0</v>
      </c>
      <c r="W221" s="174" t="s">
        <v>339</v>
      </c>
      <c r="X221" s="174">
        <f>SupplyChain_Tier2_Frontend[[#This Row],[Data type]]</f>
        <v>0</v>
      </c>
      <c r="Y221" s="174" t="s">
        <v>339</v>
      </c>
      <c r="Z221" s="174" t="s">
        <v>199</v>
      </c>
      <c r="AA221" s="229" t="e" cm="1">
        <f t="array" ref="AA221">INDEX(_xlfn.SWITCH(SupplyChain_Tier2_Backend[[#This Row],[Methodology]],"Tier 1",rng_RSD1,"Tier 2",rng_RSD2,"Tier 3",rng_RSD3),MATCH(_xlfn.CONCAT(SupplyChain_Tier2_Backend[[#This Row],[Level 1]:[Level 6]]),rng_LevelsConcat,0))</f>
        <v>#N/A</v>
      </c>
      <c r="AB221" s="220">
        <f>SupplyChain_Tier2_Frontend[[#This Row],[Spend (£)]]</f>
        <v>0</v>
      </c>
      <c r="AC221" s="220" t="s">
        <v>383</v>
      </c>
      <c r="AD221" s="220">
        <f>SupplyChain_Tier2_Frontend[[#This Row],[Spend (£)]]</f>
        <v>0</v>
      </c>
      <c r="AE221" s="174" t="s">
        <v>383</v>
      </c>
      <c r="AF221" s="210" t="e">
        <f>_xlfn.XLOOKUP(_xlfn.CONCAT(SupplyChain_Tier2_Backend[[#This Row],[Level 1]:[Level 6]]),rng_EFConcat,rng_EF1)*SupplyChain_Tier2_Backend[[#This Row],[Converted data]]/1000</f>
        <v>#N/A</v>
      </c>
      <c r="AG221" s="210" t="e">
        <f>_xlfn.XLOOKUP(_xlfn.CONCAT(SupplyChain_Tier2_Backend[[#This Row],[Level 1]:[Level 6]]),rng_EFConcat,rng_EF2)*SupplyChain_Tier2_Backend[[#This Row],[Converted data]]/1000</f>
        <v>#N/A</v>
      </c>
      <c r="AH221" s="210">
        <f>SupplyChain_Tier2_Frontend[[#This Row],[Emissions (kgCO2e)]]/1000</f>
        <v>0</v>
      </c>
      <c r="AI221" s="210" t="e">
        <f>_xlfn.XLOOKUP(_xlfn.CONCAT(SupplyChain_Tier2_Backend[[#This Row],[Level 1]:[Level 6]]),rng_EFConcat,rng_EF3WTT)*SupplyChain_Tier2_Backend[[#This Row],[Converted data]]/1000</f>
        <v>#N/A</v>
      </c>
      <c r="AJ221" s="210" t="e">
        <f>_xlfn.XLOOKUP(_xlfn.CONCAT(SupplyChain_Tier2_Backend[[#This Row],[Level 1]:[Level 6]]),rng_EFConcat,rng_EF3TD)*SupplyChain_Tier2_Backend[[#This Row],[Converted data]]/1000</f>
        <v>#N/A</v>
      </c>
      <c r="AK221" s="210" t="e">
        <f>_xlfn.XLOOKUP(_xlfn.CONCAT(SupplyChain_Tier2_Backend[[#This Row],[Level 1]:[Level 6]]),rng_EFConcat,rng_EF3WTTTD)*SupplyChain_Tier2_Backend[[#This Row],[Converted data]]/1000</f>
        <v>#N/A</v>
      </c>
      <c r="AL221" s="220" t="e">
        <f>SUM(SupplyChain_Tier2_Backend[[#This Row],[Scope 1 (tCO2e)]:[Scope 3 WTT T&amp;D (tCO2e)]])</f>
        <v>#N/A</v>
      </c>
      <c r="AM221" s="220" t="e">
        <f>SupplyChain_Tier2_Backend[[#This Row],[Total (tCO2e)]]*(1-SupplyChain_Tier2_Backend[[#This Row],[RSD]])</f>
        <v>#N/A</v>
      </c>
      <c r="AN221" s="220" t="e">
        <f>SupplyChain_Tier2_Backend[[#This Row],[Total (tCO2e)]]*(1+SupplyChain_Tier2_Backend[[#This Row],[RSD]])</f>
        <v>#N/A</v>
      </c>
      <c r="AO221" s="210" t="e">
        <f>_xlfn.XLOOKUP(_xlfn.CONCAT(SupplyChain_Tier2_Backend[[#This Row],[Level 1]:[Level 6]]),rng_EFConcat,rng_EFOOS)*SupplyChain_Tier2_Backend[[#This Row],[Converted data]]/1000</f>
        <v>#N/A</v>
      </c>
      <c r="AP221" s="174">
        <f>SupplyChain_Tier2_Frontend[[#This Row],[Ease of collection]]</f>
        <v>0</v>
      </c>
      <c r="AQ221" s="213">
        <f>SupplyChain_Tier2_Frontend[[#This Row],[Completeness]]</f>
        <v>0</v>
      </c>
      <c r="AR221" s="213">
        <f>SupplyChain_Tier2_Frontend[[#This Row],[Notes]]</f>
        <v>0</v>
      </c>
    </row>
    <row r="222" spans="4:44" ht="14.5" x14ac:dyDescent="0.35">
      <c r="D222" s="147">
        <v>94</v>
      </c>
      <c r="E222" s="236" t="str">
        <f t="shared" si="13"/>
        <v/>
      </c>
      <c r="F222" s="336"/>
      <c r="G222" s="334"/>
      <c r="H222" s="334"/>
      <c r="I222" s="334"/>
      <c r="J222" s="336"/>
      <c r="K222" s="336"/>
      <c r="L222" s="337"/>
      <c r="M222" s="242">
        <f t="shared" si="12"/>
        <v>4</v>
      </c>
      <c r="Q222" s="211" t="str">
        <f t="shared" si="11"/>
        <v/>
      </c>
      <c r="R222" s="174" t="s">
        <v>267</v>
      </c>
      <c r="S222" s="174" t="s">
        <v>385</v>
      </c>
      <c r="T222" s="235" t="s">
        <v>385</v>
      </c>
      <c r="U222" s="173" t="str">
        <f>SupplyChain_Tier2_Frontend[[#This Row],[Category]]</f>
        <v/>
      </c>
      <c r="V222" s="173">
        <f>SupplyChain_Tier2_Frontend[[#This Row],[Product Category]]</f>
        <v>0</v>
      </c>
      <c r="W222" s="174" t="s">
        <v>339</v>
      </c>
      <c r="X222" s="174">
        <f>SupplyChain_Tier2_Frontend[[#This Row],[Data type]]</f>
        <v>0</v>
      </c>
      <c r="Y222" s="174" t="s">
        <v>339</v>
      </c>
      <c r="Z222" s="174" t="s">
        <v>199</v>
      </c>
      <c r="AA222" s="229" t="e" cm="1">
        <f t="array" ref="AA222">INDEX(_xlfn.SWITCH(SupplyChain_Tier2_Backend[[#This Row],[Methodology]],"Tier 1",rng_RSD1,"Tier 2",rng_RSD2,"Tier 3",rng_RSD3),MATCH(_xlfn.CONCAT(SupplyChain_Tier2_Backend[[#This Row],[Level 1]:[Level 6]]),rng_LevelsConcat,0))</f>
        <v>#N/A</v>
      </c>
      <c r="AB222" s="220">
        <f>SupplyChain_Tier2_Frontend[[#This Row],[Spend (£)]]</f>
        <v>0</v>
      </c>
      <c r="AC222" s="220" t="s">
        <v>383</v>
      </c>
      <c r="AD222" s="220">
        <f>SupplyChain_Tier2_Frontend[[#This Row],[Spend (£)]]</f>
        <v>0</v>
      </c>
      <c r="AE222" s="174" t="s">
        <v>383</v>
      </c>
      <c r="AF222" s="210" t="e">
        <f>_xlfn.XLOOKUP(_xlfn.CONCAT(SupplyChain_Tier2_Backend[[#This Row],[Level 1]:[Level 6]]),rng_EFConcat,rng_EF1)*SupplyChain_Tier2_Backend[[#This Row],[Converted data]]/1000</f>
        <v>#N/A</v>
      </c>
      <c r="AG222" s="210" t="e">
        <f>_xlfn.XLOOKUP(_xlfn.CONCAT(SupplyChain_Tier2_Backend[[#This Row],[Level 1]:[Level 6]]),rng_EFConcat,rng_EF2)*SupplyChain_Tier2_Backend[[#This Row],[Converted data]]/1000</f>
        <v>#N/A</v>
      </c>
      <c r="AH222" s="210">
        <f>SupplyChain_Tier2_Frontend[[#This Row],[Emissions (kgCO2e)]]/1000</f>
        <v>0</v>
      </c>
      <c r="AI222" s="210" t="e">
        <f>_xlfn.XLOOKUP(_xlfn.CONCAT(SupplyChain_Tier2_Backend[[#This Row],[Level 1]:[Level 6]]),rng_EFConcat,rng_EF3WTT)*SupplyChain_Tier2_Backend[[#This Row],[Converted data]]/1000</f>
        <v>#N/A</v>
      </c>
      <c r="AJ222" s="210" t="e">
        <f>_xlfn.XLOOKUP(_xlfn.CONCAT(SupplyChain_Tier2_Backend[[#This Row],[Level 1]:[Level 6]]),rng_EFConcat,rng_EF3TD)*SupplyChain_Tier2_Backend[[#This Row],[Converted data]]/1000</f>
        <v>#N/A</v>
      </c>
      <c r="AK222" s="210" t="e">
        <f>_xlfn.XLOOKUP(_xlfn.CONCAT(SupplyChain_Tier2_Backend[[#This Row],[Level 1]:[Level 6]]),rng_EFConcat,rng_EF3WTTTD)*SupplyChain_Tier2_Backend[[#This Row],[Converted data]]/1000</f>
        <v>#N/A</v>
      </c>
      <c r="AL222" s="220" t="e">
        <f>SUM(SupplyChain_Tier2_Backend[[#This Row],[Scope 1 (tCO2e)]:[Scope 3 WTT T&amp;D (tCO2e)]])</f>
        <v>#N/A</v>
      </c>
      <c r="AM222" s="220" t="e">
        <f>SupplyChain_Tier2_Backend[[#This Row],[Total (tCO2e)]]*(1-SupplyChain_Tier2_Backend[[#This Row],[RSD]])</f>
        <v>#N/A</v>
      </c>
      <c r="AN222" s="220" t="e">
        <f>SupplyChain_Tier2_Backend[[#This Row],[Total (tCO2e)]]*(1+SupplyChain_Tier2_Backend[[#This Row],[RSD]])</f>
        <v>#N/A</v>
      </c>
      <c r="AO222" s="210" t="e">
        <f>_xlfn.XLOOKUP(_xlfn.CONCAT(SupplyChain_Tier2_Backend[[#This Row],[Level 1]:[Level 6]]),rng_EFConcat,rng_EFOOS)*SupplyChain_Tier2_Backend[[#This Row],[Converted data]]/1000</f>
        <v>#N/A</v>
      </c>
      <c r="AP222" s="174">
        <f>SupplyChain_Tier2_Frontend[[#This Row],[Ease of collection]]</f>
        <v>0</v>
      </c>
      <c r="AQ222" s="213">
        <f>SupplyChain_Tier2_Frontend[[#This Row],[Completeness]]</f>
        <v>0</v>
      </c>
      <c r="AR222" s="213">
        <f>SupplyChain_Tier2_Frontend[[#This Row],[Notes]]</f>
        <v>0</v>
      </c>
    </row>
    <row r="223" spans="4:44" ht="14.5" x14ac:dyDescent="0.35">
      <c r="D223" s="147">
        <v>95</v>
      </c>
      <c r="E223" s="236" t="str">
        <f t="shared" si="13"/>
        <v/>
      </c>
      <c r="F223" s="336"/>
      <c r="G223" s="334"/>
      <c r="H223" s="334"/>
      <c r="I223" s="334"/>
      <c r="J223" s="336"/>
      <c r="K223" s="336"/>
      <c r="L223" s="337"/>
      <c r="M223" s="242">
        <f t="shared" si="12"/>
        <v>4</v>
      </c>
      <c r="Q223" s="211" t="str">
        <f t="shared" si="11"/>
        <v/>
      </c>
      <c r="R223" s="174" t="s">
        <v>267</v>
      </c>
      <c r="S223" s="174" t="s">
        <v>385</v>
      </c>
      <c r="T223" s="235" t="s">
        <v>385</v>
      </c>
      <c r="U223" s="173" t="str">
        <f>SupplyChain_Tier2_Frontend[[#This Row],[Category]]</f>
        <v/>
      </c>
      <c r="V223" s="173">
        <f>SupplyChain_Tier2_Frontend[[#This Row],[Product Category]]</f>
        <v>0</v>
      </c>
      <c r="W223" s="174" t="s">
        <v>339</v>
      </c>
      <c r="X223" s="174">
        <f>SupplyChain_Tier2_Frontend[[#This Row],[Data type]]</f>
        <v>0</v>
      </c>
      <c r="Y223" s="174" t="s">
        <v>339</v>
      </c>
      <c r="Z223" s="174" t="s">
        <v>199</v>
      </c>
      <c r="AA223" s="229" t="e" cm="1">
        <f t="array" ref="AA223">INDEX(_xlfn.SWITCH(SupplyChain_Tier2_Backend[[#This Row],[Methodology]],"Tier 1",rng_RSD1,"Tier 2",rng_RSD2,"Tier 3",rng_RSD3),MATCH(_xlfn.CONCAT(SupplyChain_Tier2_Backend[[#This Row],[Level 1]:[Level 6]]),rng_LevelsConcat,0))</f>
        <v>#N/A</v>
      </c>
      <c r="AB223" s="220">
        <f>SupplyChain_Tier2_Frontend[[#This Row],[Spend (£)]]</f>
        <v>0</v>
      </c>
      <c r="AC223" s="220" t="s">
        <v>383</v>
      </c>
      <c r="AD223" s="220">
        <f>SupplyChain_Tier2_Frontend[[#This Row],[Spend (£)]]</f>
        <v>0</v>
      </c>
      <c r="AE223" s="174" t="s">
        <v>383</v>
      </c>
      <c r="AF223" s="210" t="e">
        <f>_xlfn.XLOOKUP(_xlfn.CONCAT(SupplyChain_Tier2_Backend[[#This Row],[Level 1]:[Level 6]]),rng_EFConcat,rng_EF1)*SupplyChain_Tier2_Backend[[#This Row],[Converted data]]/1000</f>
        <v>#N/A</v>
      </c>
      <c r="AG223" s="210" t="e">
        <f>_xlfn.XLOOKUP(_xlfn.CONCAT(SupplyChain_Tier2_Backend[[#This Row],[Level 1]:[Level 6]]),rng_EFConcat,rng_EF2)*SupplyChain_Tier2_Backend[[#This Row],[Converted data]]/1000</f>
        <v>#N/A</v>
      </c>
      <c r="AH223" s="210">
        <f>SupplyChain_Tier2_Frontend[[#This Row],[Emissions (kgCO2e)]]/1000</f>
        <v>0</v>
      </c>
      <c r="AI223" s="210" t="e">
        <f>_xlfn.XLOOKUP(_xlfn.CONCAT(SupplyChain_Tier2_Backend[[#This Row],[Level 1]:[Level 6]]),rng_EFConcat,rng_EF3WTT)*SupplyChain_Tier2_Backend[[#This Row],[Converted data]]/1000</f>
        <v>#N/A</v>
      </c>
      <c r="AJ223" s="210" t="e">
        <f>_xlfn.XLOOKUP(_xlfn.CONCAT(SupplyChain_Tier2_Backend[[#This Row],[Level 1]:[Level 6]]),rng_EFConcat,rng_EF3TD)*SupplyChain_Tier2_Backend[[#This Row],[Converted data]]/1000</f>
        <v>#N/A</v>
      </c>
      <c r="AK223" s="210" t="e">
        <f>_xlfn.XLOOKUP(_xlfn.CONCAT(SupplyChain_Tier2_Backend[[#This Row],[Level 1]:[Level 6]]),rng_EFConcat,rng_EF3WTTTD)*SupplyChain_Tier2_Backend[[#This Row],[Converted data]]/1000</f>
        <v>#N/A</v>
      </c>
      <c r="AL223" s="220" t="e">
        <f>SUM(SupplyChain_Tier2_Backend[[#This Row],[Scope 1 (tCO2e)]:[Scope 3 WTT T&amp;D (tCO2e)]])</f>
        <v>#N/A</v>
      </c>
      <c r="AM223" s="220" t="e">
        <f>SupplyChain_Tier2_Backend[[#This Row],[Total (tCO2e)]]*(1-SupplyChain_Tier2_Backend[[#This Row],[RSD]])</f>
        <v>#N/A</v>
      </c>
      <c r="AN223" s="220" t="e">
        <f>SupplyChain_Tier2_Backend[[#This Row],[Total (tCO2e)]]*(1+SupplyChain_Tier2_Backend[[#This Row],[RSD]])</f>
        <v>#N/A</v>
      </c>
      <c r="AO223" s="210" t="e">
        <f>_xlfn.XLOOKUP(_xlfn.CONCAT(SupplyChain_Tier2_Backend[[#This Row],[Level 1]:[Level 6]]),rng_EFConcat,rng_EFOOS)*SupplyChain_Tier2_Backend[[#This Row],[Converted data]]/1000</f>
        <v>#N/A</v>
      </c>
      <c r="AP223" s="174">
        <f>SupplyChain_Tier2_Frontend[[#This Row],[Ease of collection]]</f>
        <v>0</v>
      </c>
      <c r="AQ223" s="213">
        <f>SupplyChain_Tier2_Frontend[[#This Row],[Completeness]]</f>
        <v>0</v>
      </c>
      <c r="AR223" s="213">
        <f>SupplyChain_Tier2_Frontend[[#This Row],[Notes]]</f>
        <v>0</v>
      </c>
    </row>
    <row r="224" spans="4:44" ht="14.5" x14ac:dyDescent="0.35">
      <c r="D224" s="147">
        <v>96</v>
      </c>
      <c r="E224" s="236" t="str">
        <f t="shared" si="13"/>
        <v/>
      </c>
      <c r="F224" s="336"/>
      <c r="G224" s="334"/>
      <c r="H224" s="334"/>
      <c r="I224" s="334"/>
      <c r="J224" s="336"/>
      <c r="K224" s="336"/>
      <c r="L224" s="337"/>
      <c r="M224" s="242">
        <f t="shared" si="12"/>
        <v>4</v>
      </c>
      <c r="Q224" s="211" t="str">
        <f t="shared" si="11"/>
        <v/>
      </c>
      <c r="R224" s="174" t="s">
        <v>267</v>
      </c>
      <c r="S224" s="174" t="s">
        <v>385</v>
      </c>
      <c r="T224" s="235" t="s">
        <v>385</v>
      </c>
      <c r="U224" s="173" t="str">
        <f>SupplyChain_Tier2_Frontend[[#This Row],[Category]]</f>
        <v/>
      </c>
      <c r="V224" s="173">
        <f>SupplyChain_Tier2_Frontend[[#This Row],[Product Category]]</f>
        <v>0</v>
      </c>
      <c r="W224" s="174" t="s">
        <v>339</v>
      </c>
      <c r="X224" s="174">
        <f>SupplyChain_Tier2_Frontend[[#This Row],[Data type]]</f>
        <v>0</v>
      </c>
      <c r="Y224" s="174" t="s">
        <v>339</v>
      </c>
      <c r="Z224" s="174" t="s">
        <v>199</v>
      </c>
      <c r="AA224" s="229" t="e" cm="1">
        <f t="array" ref="AA224">INDEX(_xlfn.SWITCH(SupplyChain_Tier2_Backend[[#This Row],[Methodology]],"Tier 1",rng_RSD1,"Tier 2",rng_RSD2,"Tier 3",rng_RSD3),MATCH(_xlfn.CONCAT(SupplyChain_Tier2_Backend[[#This Row],[Level 1]:[Level 6]]),rng_LevelsConcat,0))</f>
        <v>#N/A</v>
      </c>
      <c r="AB224" s="220">
        <f>SupplyChain_Tier2_Frontend[[#This Row],[Spend (£)]]</f>
        <v>0</v>
      </c>
      <c r="AC224" s="220" t="s">
        <v>383</v>
      </c>
      <c r="AD224" s="220">
        <f>SupplyChain_Tier2_Frontend[[#This Row],[Spend (£)]]</f>
        <v>0</v>
      </c>
      <c r="AE224" s="174" t="s">
        <v>383</v>
      </c>
      <c r="AF224" s="210" t="e">
        <f>_xlfn.XLOOKUP(_xlfn.CONCAT(SupplyChain_Tier2_Backend[[#This Row],[Level 1]:[Level 6]]),rng_EFConcat,rng_EF1)*SupplyChain_Tier2_Backend[[#This Row],[Converted data]]/1000</f>
        <v>#N/A</v>
      </c>
      <c r="AG224" s="210" t="e">
        <f>_xlfn.XLOOKUP(_xlfn.CONCAT(SupplyChain_Tier2_Backend[[#This Row],[Level 1]:[Level 6]]),rng_EFConcat,rng_EF2)*SupplyChain_Tier2_Backend[[#This Row],[Converted data]]/1000</f>
        <v>#N/A</v>
      </c>
      <c r="AH224" s="210">
        <f>SupplyChain_Tier2_Frontend[[#This Row],[Emissions (kgCO2e)]]/1000</f>
        <v>0</v>
      </c>
      <c r="AI224" s="210" t="e">
        <f>_xlfn.XLOOKUP(_xlfn.CONCAT(SupplyChain_Tier2_Backend[[#This Row],[Level 1]:[Level 6]]),rng_EFConcat,rng_EF3WTT)*SupplyChain_Tier2_Backend[[#This Row],[Converted data]]/1000</f>
        <v>#N/A</v>
      </c>
      <c r="AJ224" s="210" t="e">
        <f>_xlfn.XLOOKUP(_xlfn.CONCAT(SupplyChain_Tier2_Backend[[#This Row],[Level 1]:[Level 6]]),rng_EFConcat,rng_EF3TD)*SupplyChain_Tier2_Backend[[#This Row],[Converted data]]/1000</f>
        <v>#N/A</v>
      </c>
      <c r="AK224" s="210" t="e">
        <f>_xlfn.XLOOKUP(_xlfn.CONCAT(SupplyChain_Tier2_Backend[[#This Row],[Level 1]:[Level 6]]),rng_EFConcat,rng_EF3WTTTD)*SupplyChain_Tier2_Backend[[#This Row],[Converted data]]/1000</f>
        <v>#N/A</v>
      </c>
      <c r="AL224" s="220" t="e">
        <f>SUM(SupplyChain_Tier2_Backend[[#This Row],[Scope 1 (tCO2e)]:[Scope 3 WTT T&amp;D (tCO2e)]])</f>
        <v>#N/A</v>
      </c>
      <c r="AM224" s="220" t="e">
        <f>SupplyChain_Tier2_Backend[[#This Row],[Total (tCO2e)]]*(1-SupplyChain_Tier2_Backend[[#This Row],[RSD]])</f>
        <v>#N/A</v>
      </c>
      <c r="AN224" s="220" t="e">
        <f>SupplyChain_Tier2_Backend[[#This Row],[Total (tCO2e)]]*(1+SupplyChain_Tier2_Backend[[#This Row],[RSD]])</f>
        <v>#N/A</v>
      </c>
      <c r="AO224" s="210" t="e">
        <f>_xlfn.XLOOKUP(_xlfn.CONCAT(SupplyChain_Tier2_Backend[[#This Row],[Level 1]:[Level 6]]),rng_EFConcat,rng_EFOOS)*SupplyChain_Tier2_Backend[[#This Row],[Converted data]]/1000</f>
        <v>#N/A</v>
      </c>
      <c r="AP224" s="174">
        <f>SupplyChain_Tier2_Frontend[[#This Row],[Ease of collection]]</f>
        <v>0</v>
      </c>
      <c r="AQ224" s="213">
        <f>SupplyChain_Tier2_Frontend[[#This Row],[Completeness]]</f>
        <v>0</v>
      </c>
      <c r="AR224" s="213">
        <f>SupplyChain_Tier2_Frontend[[#This Row],[Notes]]</f>
        <v>0</v>
      </c>
    </row>
    <row r="225" spans="4:44" ht="14.5" x14ac:dyDescent="0.35">
      <c r="D225" s="147">
        <v>97</v>
      </c>
      <c r="E225" s="236" t="str">
        <f t="shared" si="13"/>
        <v/>
      </c>
      <c r="F225" s="336"/>
      <c r="G225" s="334"/>
      <c r="H225" s="334"/>
      <c r="I225" s="334"/>
      <c r="J225" s="336"/>
      <c r="K225" s="336"/>
      <c r="L225" s="337"/>
      <c r="M225" s="242">
        <f t="shared" si="12"/>
        <v>4</v>
      </c>
      <c r="Q225" s="211" t="str">
        <f t="shared" ref="Q225:Q248" si="14">IF(M225=0,SUBSTITUTE(2025&amp;TRIM(cl_org_name_select)&amp;TRIM($E$126)&amp;(ROW(M225)-ROW($M$129))," ",""),"")</f>
        <v/>
      </c>
      <c r="R225" s="174" t="s">
        <v>267</v>
      </c>
      <c r="S225" s="174" t="s">
        <v>385</v>
      </c>
      <c r="T225" s="235" t="s">
        <v>385</v>
      </c>
      <c r="U225" s="173" t="str">
        <f>SupplyChain_Tier2_Frontend[[#This Row],[Category]]</f>
        <v/>
      </c>
      <c r="V225" s="173">
        <f>SupplyChain_Tier2_Frontend[[#This Row],[Product Category]]</f>
        <v>0</v>
      </c>
      <c r="W225" s="174" t="s">
        <v>339</v>
      </c>
      <c r="X225" s="174">
        <f>SupplyChain_Tier2_Frontend[[#This Row],[Data type]]</f>
        <v>0</v>
      </c>
      <c r="Y225" s="174" t="s">
        <v>339</v>
      </c>
      <c r="Z225" s="174" t="s">
        <v>199</v>
      </c>
      <c r="AA225" s="229" t="e" cm="1">
        <f t="array" ref="AA225">INDEX(_xlfn.SWITCH(SupplyChain_Tier2_Backend[[#This Row],[Methodology]],"Tier 1",rng_RSD1,"Tier 2",rng_RSD2,"Tier 3",rng_RSD3),MATCH(_xlfn.CONCAT(SupplyChain_Tier2_Backend[[#This Row],[Level 1]:[Level 6]]),rng_LevelsConcat,0))</f>
        <v>#N/A</v>
      </c>
      <c r="AB225" s="220">
        <f>SupplyChain_Tier2_Frontend[[#This Row],[Spend (£)]]</f>
        <v>0</v>
      </c>
      <c r="AC225" s="220" t="s">
        <v>383</v>
      </c>
      <c r="AD225" s="220">
        <f>SupplyChain_Tier2_Frontend[[#This Row],[Spend (£)]]</f>
        <v>0</v>
      </c>
      <c r="AE225" s="174" t="s">
        <v>383</v>
      </c>
      <c r="AF225" s="210" t="e">
        <f>_xlfn.XLOOKUP(_xlfn.CONCAT(SupplyChain_Tier2_Backend[[#This Row],[Level 1]:[Level 6]]),rng_EFConcat,rng_EF1)*SupplyChain_Tier2_Backend[[#This Row],[Converted data]]/1000</f>
        <v>#N/A</v>
      </c>
      <c r="AG225" s="210" t="e">
        <f>_xlfn.XLOOKUP(_xlfn.CONCAT(SupplyChain_Tier2_Backend[[#This Row],[Level 1]:[Level 6]]),rng_EFConcat,rng_EF2)*SupplyChain_Tier2_Backend[[#This Row],[Converted data]]/1000</f>
        <v>#N/A</v>
      </c>
      <c r="AH225" s="210">
        <f>SupplyChain_Tier2_Frontend[[#This Row],[Emissions (kgCO2e)]]/1000</f>
        <v>0</v>
      </c>
      <c r="AI225" s="210" t="e">
        <f>_xlfn.XLOOKUP(_xlfn.CONCAT(SupplyChain_Tier2_Backend[[#This Row],[Level 1]:[Level 6]]),rng_EFConcat,rng_EF3WTT)*SupplyChain_Tier2_Backend[[#This Row],[Converted data]]/1000</f>
        <v>#N/A</v>
      </c>
      <c r="AJ225" s="210" t="e">
        <f>_xlfn.XLOOKUP(_xlfn.CONCAT(SupplyChain_Tier2_Backend[[#This Row],[Level 1]:[Level 6]]),rng_EFConcat,rng_EF3TD)*SupplyChain_Tier2_Backend[[#This Row],[Converted data]]/1000</f>
        <v>#N/A</v>
      </c>
      <c r="AK225" s="210" t="e">
        <f>_xlfn.XLOOKUP(_xlfn.CONCAT(SupplyChain_Tier2_Backend[[#This Row],[Level 1]:[Level 6]]),rng_EFConcat,rng_EF3WTTTD)*SupplyChain_Tier2_Backend[[#This Row],[Converted data]]/1000</f>
        <v>#N/A</v>
      </c>
      <c r="AL225" s="220" t="e">
        <f>SUM(SupplyChain_Tier2_Backend[[#This Row],[Scope 1 (tCO2e)]:[Scope 3 WTT T&amp;D (tCO2e)]])</f>
        <v>#N/A</v>
      </c>
      <c r="AM225" s="220" t="e">
        <f>SupplyChain_Tier2_Backend[[#This Row],[Total (tCO2e)]]*(1-SupplyChain_Tier2_Backend[[#This Row],[RSD]])</f>
        <v>#N/A</v>
      </c>
      <c r="AN225" s="220" t="e">
        <f>SupplyChain_Tier2_Backend[[#This Row],[Total (tCO2e)]]*(1+SupplyChain_Tier2_Backend[[#This Row],[RSD]])</f>
        <v>#N/A</v>
      </c>
      <c r="AO225" s="210" t="e">
        <f>_xlfn.XLOOKUP(_xlfn.CONCAT(SupplyChain_Tier2_Backend[[#This Row],[Level 1]:[Level 6]]),rng_EFConcat,rng_EFOOS)*SupplyChain_Tier2_Backend[[#This Row],[Converted data]]/1000</f>
        <v>#N/A</v>
      </c>
      <c r="AP225" s="174">
        <f>SupplyChain_Tier2_Frontend[[#This Row],[Ease of collection]]</f>
        <v>0</v>
      </c>
      <c r="AQ225" s="213">
        <f>SupplyChain_Tier2_Frontend[[#This Row],[Completeness]]</f>
        <v>0</v>
      </c>
      <c r="AR225" s="213">
        <f>SupplyChain_Tier2_Frontend[[#This Row],[Notes]]</f>
        <v>0</v>
      </c>
    </row>
    <row r="226" spans="4:44" ht="14.5" x14ac:dyDescent="0.35">
      <c r="D226" s="147">
        <v>98</v>
      </c>
      <c r="E226" s="236" t="str">
        <f t="shared" si="13"/>
        <v/>
      </c>
      <c r="F226" s="336"/>
      <c r="G226" s="334"/>
      <c r="H226" s="334"/>
      <c r="I226" s="334"/>
      <c r="J226" s="336"/>
      <c r="K226" s="336"/>
      <c r="L226" s="337"/>
      <c r="M226" s="242">
        <f t="shared" si="12"/>
        <v>4</v>
      </c>
      <c r="Q226" s="211" t="str">
        <f t="shared" si="14"/>
        <v/>
      </c>
      <c r="R226" s="174" t="s">
        <v>267</v>
      </c>
      <c r="S226" s="174" t="s">
        <v>385</v>
      </c>
      <c r="T226" s="235" t="s">
        <v>385</v>
      </c>
      <c r="U226" s="173" t="str">
        <f>SupplyChain_Tier2_Frontend[[#This Row],[Category]]</f>
        <v/>
      </c>
      <c r="V226" s="173">
        <f>SupplyChain_Tier2_Frontend[[#This Row],[Product Category]]</f>
        <v>0</v>
      </c>
      <c r="W226" s="174" t="s">
        <v>339</v>
      </c>
      <c r="X226" s="174">
        <f>SupplyChain_Tier2_Frontend[[#This Row],[Data type]]</f>
        <v>0</v>
      </c>
      <c r="Y226" s="174" t="s">
        <v>339</v>
      </c>
      <c r="Z226" s="174" t="s">
        <v>199</v>
      </c>
      <c r="AA226" s="229" t="e" cm="1">
        <f t="array" ref="AA226">INDEX(_xlfn.SWITCH(SupplyChain_Tier2_Backend[[#This Row],[Methodology]],"Tier 1",rng_RSD1,"Tier 2",rng_RSD2,"Tier 3",rng_RSD3),MATCH(_xlfn.CONCAT(SupplyChain_Tier2_Backend[[#This Row],[Level 1]:[Level 6]]),rng_LevelsConcat,0))</f>
        <v>#N/A</v>
      </c>
      <c r="AB226" s="220">
        <f>SupplyChain_Tier2_Frontend[[#This Row],[Spend (£)]]</f>
        <v>0</v>
      </c>
      <c r="AC226" s="220" t="s">
        <v>383</v>
      </c>
      <c r="AD226" s="220">
        <f>SupplyChain_Tier2_Frontend[[#This Row],[Spend (£)]]</f>
        <v>0</v>
      </c>
      <c r="AE226" s="174" t="s">
        <v>383</v>
      </c>
      <c r="AF226" s="210" t="e">
        <f>_xlfn.XLOOKUP(_xlfn.CONCAT(SupplyChain_Tier2_Backend[[#This Row],[Level 1]:[Level 6]]),rng_EFConcat,rng_EF1)*SupplyChain_Tier2_Backend[[#This Row],[Converted data]]/1000</f>
        <v>#N/A</v>
      </c>
      <c r="AG226" s="210" t="e">
        <f>_xlfn.XLOOKUP(_xlfn.CONCAT(SupplyChain_Tier2_Backend[[#This Row],[Level 1]:[Level 6]]),rng_EFConcat,rng_EF2)*SupplyChain_Tier2_Backend[[#This Row],[Converted data]]/1000</f>
        <v>#N/A</v>
      </c>
      <c r="AH226" s="210">
        <f>SupplyChain_Tier2_Frontend[[#This Row],[Emissions (kgCO2e)]]/1000</f>
        <v>0</v>
      </c>
      <c r="AI226" s="210" t="e">
        <f>_xlfn.XLOOKUP(_xlfn.CONCAT(SupplyChain_Tier2_Backend[[#This Row],[Level 1]:[Level 6]]),rng_EFConcat,rng_EF3WTT)*SupplyChain_Tier2_Backend[[#This Row],[Converted data]]/1000</f>
        <v>#N/A</v>
      </c>
      <c r="AJ226" s="210" t="e">
        <f>_xlfn.XLOOKUP(_xlfn.CONCAT(SupplyChain_Tier2_Backend[[#This Row],[Level 1]:[Level 6]]),rng_EFConcat,rng_EF3TD)*SupplyChain_Tier2_Backend[[#This Row],[Converted data]]/1000</f>
        <v>#N/A</v>
      </c>
      <c r="AK226" s="210" t="e">
        <f>_xlfn.XLOOKUP(_xlfn.CONCAT(SupplyChain_Tier2_Backend[[#This Row],[Level 1]:[Level 6]]),rng_EFConcat,rng_EF3WTTTD)*SupplyChain_Tier2_Backend[[#This Row],[Converted data]]/1000</f>
        <v>#N/A</v>
      </c>
      <c r="AL226" s="220" t="e">
        <f>SUM(SupplyChain_Tier2_Backend[[#This Row],[Scope 1 (tCO2e)]:[Scope 3 WTT T&amp;D (tCO2e)]])</f>
        <v>#N/A</v>
      </c>
      <c r="AM226" s="220" t="e">
        <f>SupplyChain_Tier2_Backend[[#This Row],[Total (tCO2e)]]*(1-SupplyChain_Tier2_Backend[[#This Row],[RSD]])</f>
        <v>#N/A</v>
      </c>
      <c r="AN226" s="220" t="e">
        <f>SupplyChain_Tier2_Backend[[#This Row],[Total (tCO2e)]]*(1+SupplyChain_Tier2_Backend[[#This Row],[RSD]])</f>
        <v>#N/A</v>
      </c>
      <c r="AO226" s="210" t="e">
        <f>_xlfn.XLOOKUP(_xlfn.CONCAT(SupplyChain_Tier2_Backend[[#This Row],[Level 1]:[Level 6]]),rng_EFConcat,rng_EFOOS)*SupplyChain_Tier2_Backend[[#This Row],[Converted data]]/1000</f>
        <v>#N/A</v>
      </c>
      <c r="AP226" s="174">
        <f>SupplyChain_Tier2_Frontend[[#This Row],[Ease of collection]]</f>
        <v>0</v>
      </c>
      <c r="AQ226" s="213">
        <f>SupplyChain_Tier2_Frontend[[#This Row],[Completeness]]</f>
        <v>0</v>
      </c>
      <c r="AR226" s="213">
        <f>SupplyChain_Tier2_Frontend[[#This Row],[Notes]]</f>
        <v>0</v>
      </c>
    </row>
    <row r="227" spans="4:44" ht="14.5" x14ac:dyDescent="0.35">
      <c r="D227" s="147">
        <v>99</v>
      </c>
      <c r="E227" s="236" t="str">
        <f t="shared" si="13"/>
        <v/>
      </c>
      <c r="F227" s="336"/>
      <c r="G227" s="334"/>
      <c r="H227" s="334"/>
      <c r="I227" s="334"/>
      <c r="J227" s="336"/>
      <c r="K227" s="336"/>
      <c r="L227" s="337"/>
      <c r="M227" s="242">
        <f t="shared" si="12"/>
        <v>4</v>
      </c>
      <c r="Q227" s="211" t="str">
        <f t="shared" si="14"/>
        <v/>
      </c>
      <c r="R227" s="174" t="s">
        <v>267</v>
      </c>
      <c r="S227" s="174" t="s">
        <v>385</v>
      </c>
      <c r="T227" s="235" t="s">
        <v>385</v>
      </c>
      <c r="U227" s="173" t="str">
        <f>SupplyChain_Tier2_Frontend[[#This Row],[Category]]</f>
        <v/>
      </c>
      <c r="V227" s="173">
        <f>SupplyChain_Tier2_Frontend[[#This Row],[Product Category]]</f>
        <v>0</v>
      </c>
      <c r="W227" s="174" t="s">
        <v>339</v>
      </c>
      <c r="X227" s="174">
        <f>SupplyChain_Tier2_Frontend[[#This Row],[Data type]]</f>
        <v>0</v>
      </c>
      <c r="Y227" s="174" t="s">
        <v>339</v>
      </c>
      <c r="Z227" s="174" t="s">
        <v>199</v>
      </c>
      <c r="AA227" s="229" t="e" cm="1">
        <f t="array" ref="AA227">INDEX(_xlfn.SWITCH(SupplyChain_Tier2_Backend[[#This Row],[Methodology]],"Tier 1",rng_RSD1,"Tier 2",rng_RSD2,"Tier 3",rng_RSD3),MATCH(_xlfn.CONCAT(SupplyChain_Tier2_Backend[[#This Row],[Level 1]:[Level 6]]),rng_LevelsConcat,0))</f>
        <v>#N/A</v>
      </c>
      <c r="AB227" s="220">
        <f>SupplyChain_Tier2_Frontend[[#This Row],[Spend (£)]]</f>
        <v>0</v>
      </c>
      <c r="AC227" s="220" t="s">
        <v>383</v>
      </c>
      <c r="AD227" s="220">
        <f>SupplyChain_Tier2_Frontend[[#This Row],[Spend (£)]]</f>
        <v>0</v>
      </c>
      <c r="AE227" s="174" t="s">
        <v>383</v>
      </c>
      <c r="AF227" s="210" t="e">
        <f>_xlfn.XLOOKUP(_xlfn.CONCAT(SupplyChain_Tier2_Backend[[#This Row],[Level 1]:[Level 6]]),rng_EFConcat,rng_EF1)*SupplyChain_Tier2_Backend[[#This Row],[Converted data]]/1000</f>
        <v>#N/A</v>
      </c>
      <c r="AG227" s="210" t="e">
        <f>_xlfn.XLOOKUP(_xlfn.CONCAT(SupplyChain_Tier2_Backend[[#This Row],[Level 1]:[Level 6]]),rng_EFConcat,rng_EF2)*SupplyChain_Tier2_Backend[[#This Row],[Converted data]]/1000</f>
        <v>#N/A</v>
      </c>
      <c r="AH227" s="210">
        <f>SupplyChain_Tier2_Frontend[[#This Row],[Emissions (kgCO2e)]]/1000</f>
        <v>0</v>
      </c>
      <c r="AI227" s="210" t="e">
        <f>_xlfn.XLOOKUP(_xlfn.CONCAT(SupplyChain_Tier2_Backend[[#This Row],[Level 1]:[Level 6]]),rng_EFConcat,rng_EF3WTT)*SupplyChain_Tier2_Backend[[#This Row],[Converted data]]/1000</f>
        <v>#N/A</v>
      </c>
      <c r="AJ227" s="210" t="e">
        <f>_xlfn.XLOOKUP(_xlfn.CONCAT(SupplyChain_Tier2_Backend[[#This Row],[Level 1]:[Level 6]]),rng_EFConcat,rng_EF3TD)*SupplyChain_Tier2_Backend[[#This Row],[Converted data]]/1000</f>
        <v>#N/A</v>
      </c>
      <c r="AK227" s="210" t="e">
        <f>_xlfn.XLOOKUP(_xlfn.CONCAT(SupplyChain_Tier2_Backend[[#This Row],[Level 1]:[Level 6]]),rng_EFConcat,rng_EF3WTTTD)*SupplyChain_Tier2_Backend[[#This Row],[Converted data]]/1000</f>
        <v>#N/A</v>
      </c>
      <c r="AL227" s="220" t="e">
        <f>SUM(SupplyChain_Tier2_Backend[[#This Row],[Scope 1 (tCO2e)]:[Scope 3 WTT T&amp;D (tCO2e)]])</f>
        <v>#N/A</v>
      </c>
      <c r="AM227" s="220" t="e">
        <f>SupplyChain_Tier2_Backend[[#This Row],[Total (tCO2e)]]*(1-SupplyChain_Tier2_Backend[[#This Row],[RSD]])</f>
        <v>#N/A</v>
      </c>
      <c r="AN227" s="220" t="e">
        <f>SupplyChain_Tier2_Backend[[#This Row],[Total (tCO2e)]]*(1+SupplyChain_Tier2_Backend[[#This Row],[RSD]])</f>
        <v>#N/A</v>
      </c>
      <c r="AO227" s="210" t="e">
        <f>_xlfn.XLOOKUP(_xlfn.CONCAT(SupplyChain_Tier2_Backend[[#This Row],[Level 1]:[Level 6]]),rng_EFConcat,rng_EFOOS)*SupplyChain_Tier2_Backend[[#This Row],[Converted data]]/1000</f>
        <v>#N/A</v>
      </c>
      <c r="AP227" s="174">
        <f>SupplyChain_Tier2_Frontend[[#This Row],[Ease of collection]]</f>
        <v>0</v>
      </c>
      <c r="AQ227" s="213">
        <f>SupplyChain_Tier2_Frontend[[#This Row],[Completeness]]</f>
        <v>0</v>
      </c>
      <c r="AR227" s="213">
        <f>SupplyChain_Tier2_Frontend[[#This Row],[Notes]]</f>
        <v>0</v>
      </c>
    </row>
    <row r="228" spans="4:44" ht="14.5" x14ac:dyDescent="0.35">
      <c r="D228" s="147">
        <v>100</v>
      </c>
      <c r="E228" s="236" t="str">
        <f t="shared" si="13"/>
        <v/>
      </c>
      <c r="F228" s="336"/>
      <c r="G228" s="334"/>
      <c r="H228" s="334"/>
      <c r="I228" s="334"/>
      <c r="J228" s="336"/>
      <c r="K228" s="336"/>
      <c r="L228" s="337"/>
      <c r="M228" s="242">
        <f t="shared" si="12"/>
        <v>4</v>
      </c>
      <c r="Q228" s="211" t="str">
        <f t="shared" si="14"/>
        <v/>
      </c>
      <c r="R228" s="174" t="s">
        <v>267</v>
      </c>
      <c r="S228" s="174" t="s">
        <v>385</v>
      </c>
      <c r="T228" s="235" t="s">
        <v>385</v>
      </c>
      <c r="U228" s="173" t="str">
        <f>SupplyChain_Tier2_Frontend[[#This Row],[Category]]</f>
        <v/>
      </c>
      <c r="V228" s="173">
        <f>SupplyChain_Tier2_Frontend[[#This Row],[Product Category]]</f>
        <v>0</v>
      </c>
      <c r="W228" s="174" t="s">
        <v>339</v>
      </c>
      <c r="X228" s="174">
        <f>SupplyChain_Tier2_Frontend[[#This Row],[Data type]]</f>
        <v>0</v>
      </c>
      <c r="Y228" s="174" t="s">
        <v>339</v>
      </c>
      <c r="Z228" s="174" t="s">
        <v>199</v>
      </c>
      <c r="AA228" s="229" t="e" cm="1">
        <f t="array" ref="AA228">INDEX(_xlfn.SWITCH(SupplyChain_Tier2_Backend[[#This Row],[Methodology]],"Tier 1",rng_RSD1,"Tier 2",rng_RSD2,"Tier 3",rng_RSD3),MATCH(_xlfn.CONCAT(SupplyChain_Tier2_Backend[[#This Row],[Level 1]:[Level 6]]),rng_LevelsConcat,0))</f>
        <v>#N/A</v>
      </c>
      <c r="AB228" s="220">
        <f>SupplyChain_Tier2_Frontend[[#This Row],[Spend (£)]]</f>
        <v>0</v>
      </c>
      <c r="AC228" s="220" t="s">
        <v>383</v>
      </c>
      <c r="AD228" s="220">
        <f>SupplyChain_Tier2_Frontend[[#This Row],[Spend (£)]]</f>
        <v>0</v>
      </c>
      <c r="AE228" s="174" t="s">
        <v>383</v>
      </c>
      <c r="AF228" s="210" t="e">
        <f>_xlfn.XLOOKUP(_xlfn.CONCAT(SupplyChain_Tier2_Backend[[#This Row],[Level 1]:[Level 6]]),rng_EFConcat,rng_EF1)*SupplyChain_Tier2_Backend[[#This Row],[Converted data]]/1000</f>
        <v>#N/A</v>
      </c>
      <c r="AG228" s="210" t="e">
        <f>_xlfn.XLOOKUP(_xlfn.CONCAT(SupplyChain_Tier2_Backend[[#This Row],[Level 1]:[Level 6]]),rng_EFConcat,rng_EF2)*SupplyChain_Tier2_Backend[[#This Row],[Converted data]]/1000</f>
        <v>#N/A</v>
      </c>
      <c r="AH228" s="210">
        <f>SupplyChain_Tier2_Frontend[[#This Row],[Emissions (kgCO2e)]]/1000</f>
        <v>0</v>
      </c>
      <c r="AI228" s="210" t="e">
        <f>_xlfn.XLOOKUP(_xlfn.CONCAT(SupplyChain_Tier2_Backend[[#This Row],[Level 1]:[Level 6]]),rng_EFConcat,rng_EF3WTT)*SupplyChain_Tier2_Backend[[#This Row],[Converted data]]/1000</f>
        <v>#N/A</v>
      </c>
      <c r="AJ228" s="210" t="e">
        <f>_xlfn.XLOOKUP(_xlfn.CONCAT(SupplyChain_Tier2_Backend[[#This Row],[Level 1]:[Level 6]]),rng_EFConcat,rng_EF3TD)*SupplyChain_Tier2_Backend[[#This Row],[Converted data]]/1000</f>
        <v>#N/A</v>
      </c>
      <c r="AK228" s="210" t="e">
        <f>_xlfn.XLOOKUP(_xlfn.CONCAT(SupplyChain_Tier2_Backend[[#This Row],[Level 1]:[Level 6]]),rng_EFConcat,rng_EF3WTTTD)*SupplyChain_Tier2_Backend[[#This Row],[Converted data]]/1000</f>
        <v>#N/A</v>
      </c>
      <c r="AL228" s="220" t="e">
        <f>SUM(SupplyChain_Tier2_Backend[[#This Row],[Scope 1 (tCO2e)]:[Scope 3 WTT T&amp;D (tCO2e)]])</f>
        <v>#N/A</v>
      </c>
      <c r="AM228" s="220" t="e">
        <f>SupplyChain_Tier2_Backend[[#This Row],[Total (tCO2e)]]*(1-SupplyChain_Tier2_Backend[[#This Row],[RSD]])</f>
        <v>#N/A</v>
      </c>
      <c r="AN228" s="220" t="e">
        <f>SupplyChain_Tier2_Backend[[#This Row],[Total (tCO2e)]]*(1+SupplyChain_Tier2_Backend[[#This Row],[RSD]])</f>
        <v>#N/A</v>
      </c>
      <c r="AO228" s="210" t="e">
        <f>_xlfn.XLOOKUP(_xlfn.CONCAT(SupplyChain_Tier2_Backend[[#This Row],[Level 1]:[Level 6]]),rng_EFConcat,rng_EFOOS)*SupplyChain_Tier2_Backend[[#This Row],[Converted data]]/1000</f>
        <v>#N/A</v>
      </c>
      <c r="AP228" s="174">
        <f>SupplyChain_Tier2_Frontend[[#This Row],[Ease of collection]]</f>
        <v>0</v>
      </c>
      <c r="AQ228" s="213">
        <f>SupplyChain_Tier2_Frontend[[#This Row],[Completeness]]</f>
        <v>0</v>
      </c>
      <c r="AR228" s="213">
        <f>SupplyChain_Tier2_Frontend[[#This Row],[Notes]]</f>
        <v>0</v>
      </c>
    </row>
    <row r="229" spans="4:44" ht="14.5" x14ac:dyDescent="0.35">
      <c r="D229" s="147">
        <v>101</v>
      </c>
      <c r="E229" s="236" t="str">
        <f t="shared" si="13"/>
        <v/>
      </c>
      <c r="F229" s="336"/>
      <c r="G229" s="334"/>
      <c r="H229" s="334"/>
      <c r="I229" s="334"/>
      <c r="J229" s="336"/>
      <c r="K229" s="336"/>
      <c r="L229" s="337"/>
      <c r="M229" s="242">
        <f t="shared" si="12"/>
        <v>4</v>
      </c>
      <c r="Q229" s="211" t="str">
        <f t="shared" si="14"/>
        <v/>
      </c>
      <c r="R229" s="174" t="s">
        <v>267</v>
      </c>
      <c r="S229" s="174" t="s">
        <v>385</v>
      </c>
      <c r="T229" s="235" t="s">
        <v>385</v>
      </c>
      <c r="U229" s="173" t="str">
        <f>SupplyChain_Tier2_Frontend[[#This Row],[Category]]</f>
        <v/>
      </c>
      <c r="V229" s="173">
        <f>SupplyChain_Tier2_Frontend[[#This Row],[Product Category]]</f>
        <v>0</v>
      </c>
      <c r="W229" s="174" t="s">
        <v>339</v>
      </c>
      <c r="X229" s="174">
        <f>SupplyChain_Tier2_Frontend[[#This Row],[Data type]]</f>
        <v>0</v>
      </c>
      <c r="Y229" s="174" t="s">
        <v>339</v>
      </c>
      <c r="Z229" s="174" t="s">
        <v>199</v>
      </c>
      <c r="AA229" s="229" t="e" cm="1">
        <f t="array" ref="AA229">INDEX(_xlfn.SWITCH(SupplyChain_Tier2_Backend[[#This Row],[Methodology]],"Tier 1",rng_RSD1,"Tier 2",rng_RSD2,"Tier 3",rng_RSD3),MATCH(_xlfn.CONCAT(SupplyChain_Tier2_Backend[[#This Row],[Level 1]:[Level 6]]),rng_LevelsConcat,0))</f>
        <v>#N/A</v>
      </c>
      <c r="AB229" s="220">
        <f>SupplyChain_Tier2_Frontend[[#This Row],[Spend (£)]]</f>
        <v>0</v>
      </c>
      <c r="AC229" s="220" t="s">
        <v>383</v>
      </c>
      <c r="AD229" s="220">
        <f>SupplyChain_Tier2_Frontend[[#This Row],[Spend (£)]]</f>
        <v>0</v>
      </c>
      <c r="AE229" s="174" t="s">
        <v>383</v>
      </c>
      <c r="AF229" s="210" t="e">
        <f>_xlfn.XLOOKUP(_xlfn.CONCAT(SupplyChain_Tier2_Backend[[#This Row],[Level 1]:[Level 6]]),rng_EFConcat,rng_EF1)*SupplyChain_Tier2_Backend[[#This Row],[Converted data]]/1000</f>
        <v>#N/A</v>
      </c>
      <c r="AG229" s="210" t="e">
        <f>_xlfn.XLOOKUP(_xlfn.CONCAT(SupplyChain_Tier2_Backend[[#This Row],[Level 1]:[Level 6]]),rng_EFConcat,rng_EF2)*SupplyChain_Tier2_Backend[[#This Row],[Converted data]]/1000</f>
        <v>#N/A</v>
      </c>
      <c r="AH229" s="210">
        <f>SupplyChain_Tier2_Frontend[[#This Row],[Emissions (kgCO2e)]]/1000</f>
        <v>0</v>
      </c>
      <c r="AI229" s="210" t="e">
        <f>_xlfn.XLOOKUP(_xlfn.CONCAT(SupplyChain_Tier2_Backend[[#This Row],[Level 1]:[Level 6]]),rng_EFConcat,rng_EF3WTT)*SupplyChain_Tier2_Backend[[#This Row],[Converted data]]/1000</f>
        <v>#N/A</v>
      </c>
      <c r="AJ229" s="210" t="e">
        <f>_xlfn.XLOOKUP(_xlfn.CONCAT(SupplyChain_Tier2_Backend[[#This Row],[Level 1]:[Level 6]]),rng_EFConcat,rng_EF3TD)*SupplyChain_Tier2_Backend[[#This Row],[Converted data]]/1000</f>
        <v>#N/A</v>
      </c>
      <c r="AK229" s="210" t="e">
        <f>_xlfn.XLOOKUP(_xlfn.CONCAT(SupplyChain_Tier2_Backend[[#This Row],[Level 1]:[Level 6]]),rng_EFConcat,rng_EF3WTTTD)*SupplyChain_Tier2_Backend[[#This Row],[Converted data]]/1000</f>
        <v>#N/A</v>
      </c>
      <c r="AL229" s="220" t="e">
        <f>SUM(SupplyChain_Tier2_Backend[[#This Row],[Scope 1 (tCO2e)]:[Scope 3 WTT T&amp;D (tCO2e)]])</f>
        <v>#N/A</v>
      </c>
      <c r="AM229" s="220" t="e">
        <f>SupplyChain_Tier2_Backend[[#This Row],[Total (tCO2e)]]*(1-SupplyChain_Tier2_Backend[[#This Row],[RSD]])</f>
        <v>#N/A</v>
      </c>
      <c r="AN229" s="220" t="e">
        <f>SupplyChain_Tier2_Backend[[#This Row],[Total (tCO2e)]]*(1+SupplyChain_Tier2_Backend[[#This Row],[RSD]])</f>
        <v>#N/A</v>
      </c>
      <c r="AO229" s="210" t="e">
        <f>_xlfn.XLOOKUP(_xlfn.CONCAT(SupplyChain_Tier2_Backend[[#This Row],[Level 1]:[Level 6]]),rng_EFConcat,rng_EFOOS)*SupplyChain_Tier2_Backend[[#This Row],[Converted data]]/1000</f>
        <v>#N/A</v>
      </c>
      <c r="AP229" s="174">
        <f>SupplyChain_Tier2_Frontend[[#This Row],[Ease of collection]]</f>
        <v>0</v>
      </c>
      <c r="AQ229" s="213">
        <f>SupplyChain_Tier2_Frontend[[#This Row],[Completeness]]</f>
        <v>0</v>
      </c>
      <c r="AR229" s="213">
        <f>SupplyChain_Tier2_Frontend[[#This Row],[Notes]]</f>
        <v>0</v>
      </c>
    </row>
    <row r="230" spans="4:44" ht="14.5" x14ac:dyDescent="0.35">
      <c r="D230" s="147">
        <v>102</v>
      </c>
      <c r="E230" s="236" t="str">
        <f t="shared" si="13"/>
        <v/>
      </c>
      <c r="F230" s="336"/>
      <c r="G230" s="334"/>
      <c r="H230" s="334"/>
      <c r="I230" s="334"/>
      <c r="J230" s="336"/>
      <c r="K230" s="336"/>
      <c r="L230" s="337"/>
      <c r="M230" s="242">
        <f t="shared" si="12"/>
        <v>4</v>
      </c>
      <c r="Q230" s="211" t="str">
        <f t="shared" si="14"/>
        <v/>
      </c>
      <c r="R230" s="174" t="s">
        <v>267</v>
      </c>
      <c r="S230" s="174" t="s">
        <v>385</v>
      </c>
      <c r="T230" s="235" t="s">
        <v>385</v>
      </c>
      <c r="U230" s="173" t="str">
        <f>SupplyChain_Tier2_Frontend[[#This Row],[Category]]</f>
        <v/>
      </c>
      <c r="V230" s="173">
        <f>SupplyChain_Tier2_Frontend[[#This Row],[Product Category]]</f>
        <v>0</v>
      </c>
      <c r="W230" s="174" t="s">
        <v>339</v>
      </c>
      <c r="X230" s="174">
        <f>SupplyChain_Tier2_Frontend[[#This Row],[Data type]]</f>
        <v>0</v>
      </c>
      <c r="Y230" s="174" t="s">
        <v>339</v>
      </c>
      <c r="Z230" s="174" t="s">
        <v>199</v>
      </c>
      <c r="AA230" s="229" t="e" cm="1">
        <f t="array" ref="AA230">INDEX(_xlfn.SWITCH(SupplyChain_Tier2_Backend[[#This Row],[Methodology]],"Tier 1",rng_RSD1,"Tier 2",rng_RSD2,"Tier 3",rng_RSD3),MATCH(_xlfn.CONCAT(SupplyChain_Tier2_Backend[[#This Row],[Level 1]:[Level 6]]),rng_LevelsConcat,0))</f>
        <v>#N/A</v>
      </c>
      <c r="AB230" s="220">
        <f>SupplyChain_Tier2_Frontend[[#This Row],[Spend (£)]]</f>
        <v>0</v>
      </c>
      <c r="AC230" s="220" t="s">
        <v>383</v>
      </c>
      <c r="AD230" s="220">
        <f>SupplyChain_Tier2_Frontend[[#This Row],[Spend (£)]]</f>
        <v>0</v>
      </c>
      <c r="AE230" s="174" t="s">
        <v>383</v>
      </c>
      <c r="AF230" s="210" t="e">
        <f>_xlfn.XLOOKUP(_xlfn.CONCAT(SupplyChain_Tier2_Backend[[#This Row],[Level 1]:[Level 6]]),rng_EFConcat,rng_EF1)*SupplyChain_Tier2_Backend[[#This Row],[Converted data]]/1000</f>
        <v>#N/A</v>
      </c>
      <c r="AG230" s="210" t="e">
        <f>_xlfn.XLOOKUP(_xlfn.CONCAT(SupplyChain_Tier2_Backend[[#This Row],[Level 1]:[Level 6]]),rng_EFConcat,rng_EF2)*SupplyChain_Tier2_Backend[[#This Row],[Converted data]]/1000</f>
        <v>#N/A</v>
      </c>
      <c r="AH230" s="210">
        <f>SupplyChain_Tier2_Frontend[[#This Row],[Emissions (kgCO2e)]]/1000</f>
        <v>0</v>
      </c>
      <c r="AI230" s="210" t="e">
        <f>_xlfn.XLOOKUP(_xlfn.CONCAT(SupplyChain_Tier2_Backend[[#This Row],[Level 1]:[Level 6]]),rng_EFConcat,rng_EF3WTT)*SupplyChain_Tier2_Backend[[#This Row],[Converted data]]/1000</f>
        <v>#N/A</v>
      </c>
      <c r="AJ230" s="210" t="e">
        <f>_xlfn.XLOOKUP(_xlfn.CONCAT(SupplyChain_Tier2_Backend[[#This Row],[Level 1]:[Level 6]]),rng_EFConcat,rng_EF3TD)*SupplyChain_Tier2_Backend[[#This Row],[Converted data]]/1000</f>
        <v>#N/A</v>
      </c>
      <c r="AK230" s="210" t="e">
        <f>_xlfn.XLOOKUP(_xlfn.CONCAT(SupplyChain_Tier2_Backend[[#This Row],[Level 1]:[Level 6]]),rng_EFConcat,rng_EF3WTTTD)*SupplyChain_Tier2_Backend[[#This Row],[Converted data]]/1000</f>
        <v>#N/A</v>
      </c>
      <c r="AL230" s="220" t="e">
        <f>SUM(SupplyChain_Tier2_Backend[[#This Row],[Scope 1 (tCO2e)]:[Scope 3 WTT T&amp;D (tCO2e)]])</f>
        <v>#N/A</v>
      </c>
      <c r="AM230" s="220" t="e">
        <f>SupplyChain_Tier2_Backend[[#This Row],[Total (tCO2e)]]*(1-SupplyChain_Tier2_Backend[[#This Row],[RSD]])</f>
        <v>#N/A</v>
      </c>
      <c r="AN230" s="220" t="e">
        <f>SupplyChain_Tier2_Backend[[#This Row],[Total (tCO2e)]]*(1+SupplyChain_Tier2_Backend[[#This Row],[RSD]])</f>
        <v>#N/A</v>
      </c>
      <c r="AO230" s="210" t="e">
        <f>_xlfn.XLOOKUP(_xlfn.CONCAT(SupplyChain_Tier2_Backend[[#This Row],[Level 1]:[Level 6]]),rng_EFConcat,rng_EFOOS)*SupplyChain_Tier2_Backend[[#This Row],[Converted data]]/1000</f>
        <v>#N/A</v>
      </c>
      <c r="AP230" s="174">
        <f>SupplyChain_Tier2_Frontend[[#This Row],[Ease of collection]]</f>
        <v>0</v>
      </c>
      <c r="AQ230" s="213">
        <f>SupplyChain_Tier2_Frontend[[#This Row],[Completeness]]</f>
        <v>0</v>
      </c>
      <c r="AR230" s="213">
        <f>SupplyChain_Tier2_Frontend[[#This Row],[Notes]]</f>
        <v>0</v>
      </c>
    </row>
    <row r="231" spans="4:44" ht="14.5" x14ac:dyDescent="0.35">
      <c r="D231" s="147">
        <v>103</v>
      </c>
      <c r="E231" s="236" t="str">
        <f t="shared" si="13"/>
        <v/>
      </c>
      <c r="F231" s="336"/>
      <c r="G231" s="334"/>
      <c r="H231" s="334"/>
      <c r="I231" s="334"/>
      <c r="J231" s="336"/>
      <c r="K231" s="336"/>
      <c r="L231" s="337"/>
      <c r="M231" s="242">
        <f t="shared" si="12"/>
        <v>4</v>
      </c>
      <c r="Q231" s="211" t="str">
        <f t="shared" si="14"/>
        <v/>
      </c>
      <c r="R231" s="174" t="s">
        <v>267</v>
      </c>
      <c r="S231" s="174" t="s">
        <v>385</v>
      </c>
      <c r="T231" s="235" t="s">
        <v>385</v>
      </c>
      <c r="U231" s="173" t="str">
        <f>SupplyChain_Tier2_Frontend[[#This Row],[Category]]</f>
        <v/>
      </c>
      <c r="V231" s="173">
        <f>SupplyChain_Tier2_Frontend[[#This Row],[Product Category]]</f>
        <v>0</v>
      </c>
      <c r="W231" s="174" t="s">
        <v>339</v>
      </c>
      <c r="X231" s="174">
        <f>SupplyChain_Tier2_Frontend[[#This Row],[Data type]]</f>
        <v>0</v>
      </c>
      <c r="Y231" s="174" t="s">
        <v>339</v>
      </c>
      <c r="Z231" s="174" t="s">
        <v>199</v>
      </c>
      <c r="AA231" s="229" t="e" cm="1">
        <f t="array" ref="AA231">INDEX(_xlfn.SWITCH(SupplyChain_Tier2_Backend[[#This Row],[Methodology]],"Tier 1",rng_RSD1,"Tier 2",rng_RSD2,"Tier 3",rng_RSD3),MATCH(_xlfn.CONCAT(SupplyChain_Tier2_Backend[[#This Row],[Level 1]:[Level 6]]),rng_LevelsConcat,0))</f>
        <v>#N/A</v>
      </c>
      <c r="AB231" s="220">
        <f>SupplyChain_Tier2_Frontend[[#This Row],[Spend (£)]]</f>
        <v>0</v>
      </c>
      <c r="AC231" s="220" t="s">
        <v>383</v>
      </c>
      <c r="AD231" s="220">
        <f>SupplyChain_Tier2_Frontend[[#This Row],[Spend (£)]]</f>
        <v>0</v>
      </c>
      <c r="AE231" s="174" t="s">
        <v>383</v>
      </c>
      <c r="AF231" s="210" t="e">
        <f>_xlfn.XLOOKUP(_xlfn.CONCAT(SupplyChain_Tier2_Backend[[#This Row],[Level 1]:[Level 6]]),rng_EFConcat,rng_EF1)*SupplyChain_Tier2_Backend[[#This Row],[Converted data]]/1000</f>
        <v>#N/A</v>
      </c>
      <c r="AG231" s="210" t="e">
        <f>_xlfn.XLOOKUP(_xlfn.CONCAT(SupplyChain_Tier2_Backend[[#This Row],[Level 1]:[Level 6]]),rng_EFConcat,rng_EF2)*SupplyChain_Tier2_Backend[[#This Row],[Converted data]]/1000</f>
        <v>#N/A</v>
      </c>
      <c r="AH231" s="210">
        <f>SupplyChain_Tier2_Frontend[[#This Row],[Emissions (kgCO2e)]]/1000</f>
        <v>0</v>
      </c>
      <c r="AI231" s="210" t="e">
        <f>_xlfn.XLOOKUP(_xlfn.CONCAT(SupplyChain_Tier2_Backend[[#This Row],[Level 1]:[Level 6]]),rng_EFConcat,rng_EF3WTT)*SupplyChain_Tier2_Backend[[#This Row],[Converted data]]/1000</f>
        <v>#N/A</v>
      </c>
      <c r="AJ231" s="210" t="e">
        <f>_xlfn.XLOOKUP(_xlfn.CONCAT(SupplyChain_Tier2_Backend[[#This Row],[Level 1]:[Level 6]]),rng_EFConcat,rng_EF3TD)*SupplyChain_Tier2_Backend[[#This Row],[Converted data]]/1000</f>
        <v>#N/A</v>
      </c>
      <c r="AK231" s="210" t="e">
        <f>_xlfn.XLOOKUP(_xlfn.CONCAT(SupplyChain_Tier2_Backend[[#This Row],[Level 1]:[Level 6]]),rng_EFConcat,rng_EF3WTTTD)*SupplyChain_Tier2_Backend[[#This Row],[Converted data]]/1000</f>
        <v>#N/A</v>
      </c>
      <c r="AL231" s="220" t="e">
        <f>SUM(SupplyChain_Tier2_Backend[[#This Row],[Scope 1 (tCO2e)]:[Scope 3 WTT T&amp;D (tCO2e)]])</f>
        <v>#N/A</v>
      </c>
      <c r="AM231" s="220" t="e">
        <f>SupplyChain_Tier2_Backend[[#This Row],[Total (tCO2e)]]*(1-SupplyChain_Tier2_Backend[[#This Row],[RSD]])</f>
        <v>#N/A</v>
      </c>
      <c r="AN231" s="220" t="e">
        <f>SupplyChain_Tier2_Backend[[#This Row],[Total (tCO2e)]]*(1+SupplyChain_Tier2_Backend[[#This Row],[RSD]])</f>
        <v>#N/A</v>
      </c>
      <c r="AO231" s="210" t="e">
        <f>_xlfn.XLOOKUP(_xlfn.CONCAT(SupplyChain_Tier2_Backend[[#This Row],[Level 1]:[Level 6]]),rng_EFConcat,rng_EFOOS)*SupplyChain_Tier2_Backend[[#This Row],[Converted data]]/1000</f>
        <v>#N/A</v>
      </c>
      <c r="AP231" s="174">
        <f>SupplyChain_Tier2_Frontend[[#This Row],[Ease of collection]]</f>
        <v>0</v>
      </c>
      <c r="AQ231" s="213">
        <f>SupplyChain_Tier2_Frontend[[#This Row],[Completeness]]</f>
        <v>0</v>
      </c>
      <c r="AR231" s="213">
        <f>SupplyChain_Tier2_Frontend[[#This Row],[Notes]]</f>
        <v>0</v>
      </c>
    </row>
    <row r="232" spans="4:44" ht="14.5" x14ac:dyDescent="0.35">
      <c r="D232" s="147">
        <v>104</v>
      </c>
      <c r="E232" s="236" t="str">
        <f t="shared" si="13"/>
        <v/>
      </c>
      <c r="F232" s="336"/>
      <c r="G232" s="334"/>
      <c r="H232" s="334"/>
      <c r="I232" s="334"/>
      <c r="J232" s="336"/>
      <c r="K232" s="336"/>
      <c r="L232" s="337"/>
      <c r="M232" s="242">
        <f t="shared" si="12"/>
        <v>4</v>
      </c>
      <c r="Q232" s="211" t="str">
        <f t="shared" si="14"/>
        <v/>
      </c>
      <c r="R232" s="174" t="s">
        <v>267</v>
      </c>
      <c r="S232" s="174" t="s">
        <v>385</v>
      </c>
      <c r="T232" s="235" t="s">
        <v>385</v>
      </c>
      <c r="U232" s="173" t="str">
        <f>SupplyChain_Tier2_Frontend[[#This Row],[Category]]</f>
        <v/>
      </c>
      <c r="V232" s="173">
        <f>SupplyChain_Tier2_Frontend[[#This Row],[Product Category]]</f>
        <v>0</v>
      </c>
      <c r="W232" s="174" t="s">
        <v>339</v>
      </c>
      <c r="X232" s="174">
        <f>SupplyChain_Tier2_Frontend[[#This Row],[Data type]]</f>
        <v>0</v>
      </c>
      <c r="Y232" s="174" t="s">
        <v>339</v>
      </c>
      <c r="Z232" s="174" t="s">
        <v>199</v>
      </c>
      <c r="AA232" s="229" t="e" cm="1">
        <f t="array" ref="AA232">INDEX(_xlfn.SWITCH(SupplyChain_Tier2_Backend[[#This Row],[Methodology]],"Tier 1",rng_RSD1,"Tier 2",rng_RSD2,"Tier 3",rng_RSD3),MATCH(_xlfn.CONCAT(SupplyChain_Tier2_Backend[[#This Row],[Level 1]:[Level 6]]),rng_LevelsConcat,0))</f>
        <v>#N/A</v>
      </c>
      <c r="AB232" s="220">
        <f>SupplyChain_Tier2_Frontend[[#This Row],[Spend (£)]]</f>
        <v>0</v>
      </c>
      <c r="AC232" s="220" t="s">
        <v>383</v>
      </c>
      <c r="AD232" s="220">
        <f>SupplyChain_Tier2_Frontend[[#This Row],[Spend (£)]]</f>
        <v>0</v>
      </c>
      <c r="AE232" s="174" t="s">
        <v>383</v>
      </c>
      <c r="AF232" s="210" t="e">
        <f>_xlfn.XLOOKUP(_xlfn.CONCAT(SupplyChain_Tier2_Backend[[#This Row],[Level 1]:[Level 6]]),rng_EFConcat,rng_EF1)*SupplyChain_Tier2_Backend[[#This Row],[Converted data]]/1000</f>
        <v>#N/A</v>
      </c>
      <c r="AG232" s="210" t="e">
        <f>_xlfn.XLOOKUP(_xlfn.CONCAT(SupplyChain_Tier2_Backend[[#This Row],[Level 1]:[Level 6]]),rng_EFConcat,rng_EF2)*SupplyChain_Tier2_Backend[[#This Row],[Converted data]]/1000</f>
        <v>#N/A</v>
      </c>
      <c r="AH232" s="210">
        <f>SupplyChain_Tier2_Frontend[[#This Row],[Emissions (kgCO2e)]]/1000</f>
        <v>0</v>
      </c>
      <c r="AI232" s="210" t="e">
        <f>_xlfn.XLOOKUP(_xlfn.CONCAT(SupplyChain_Tier2_Backend[[#This Row],[Level 1]:[Level 6]]),rng_EFConcat,rng_EF3WTT)*SupplyChain_Tier2_Backend[[#This Row],[Converted data]]/1000</f>
        <v>#N/A</v>
      </c>
      <c r="AJ232" s="210" t="e">
        <f>_xlfn.XLOOKUP(_xlfn.CONCAT(SupplyChain_Tier2_Backend[[#This Row],[Level 1]:[Level 6]]),rng_EFConcat,rng_EF3TD)*SupplyChain_Tier2_Backend[[#This Row],[Converted data]]/1000</f>
        <v>#N/A</v>
      </c>
      <c r="AK232" s="210" t="e">
        <f>_xlfn.XLOOKUP(_xlfn.CONCAT(SupplyChain_Tier2_Backend[[#This Row],[Level 1]:[Level 6]]),rng_EFConcat,rng_EF3WTTTD)*SupplyChain_Tier2_Backend[[#This Row],[Converted data]]/1000</f>
        <v>#N/A</v>
      </c>
      <c r="AL232" s="220" t="e">
        <f>SUM(SupplyChain_Tier2_Backend[[#This Row],[Scope 1 (tCO2e)]:[Scope 3 WTT T&amp;D (tCO2e)]])</f>
        <v>#N/A</v>
      </c>
      <c r="AM232" s="220" t="e">
        <f>SupplyChain_Tier2_Backend[[#This Row],[Total (tCO2e)]]*(1-SupplyChain_Tier2_Backend[[#This Row],[RSD]])</f>
        <v>#N/A</v>
      </c>
      <c r="AN232" s="220" t="e">
        <f>SupplyChain_Tier2_Backend[[#This Row],[Total (tCO2e)]]*(1+SupplyChain_Tier2_Backend[[#This Row],[RSD]])</f>
        <v>#N/A</v>
      </c>
      <c r="AO232" s="210" t="e">
        <f>_xlfn.XLOOKUP(_xlfn.CONCAT(SupplyChain_Tier2_Backend[[#This Row],[Level 1]:[Level 6]]),rng_EFConcat,rng_EFOOS)*SupplyChain_Tier2_Backend[[#This Row],[Converted data]]/1000</f>
        <v>#N/A</v>
      </c>
      <c r="AP232" s="174">
        <f>SupplyChain_Tier2_Frontend[[#This Row],[Ease of collection]]</f>
        <v>0</v>
      </c>
      <c r="AQ232" s="213">
        <f>SupplyChain_Tier2_Frontend[[#This Row],[Completeness]]</f>
        <v>0</v>
      </c>
      <c r="AR232" s="213">
        <f>SupplyChain_Tier2_Frontend[[#This Row],[Notes]]</f>
        <v>0</v>
      </c>
    </row>
    <row r="233" spans="4:44" ht="14.5" x14ac:dyDescent="0.35">
      <c r="D233" s="147">
        <v>105</v>
      </c>
      <c r="E233" s="236" t="str">
        <f t="shared" si="13"/>
        <v/>
      </c>
      <c r="F233" s="336"/>
      <c r="G233" s="334"/>
      <c r="H233" s="334"/>
      <c r="I233" s="334"/>
      <c r="J233" s="336"/>
      <c r="K233" s="336"/>
      <c r="L233" s="337"/>
      <c r="M233" s="242">
        <f t="shared" si="12"/>
        <v>4</v>
      </c>
      <c r="Q233" s="211" t="str">
        <f t="shared" si="14"/>
        <v/>
      </c>
      <c r="R233" s="174" t="s">
        <v>267</v>
      </c>
      <c r="S233" s="174" t="s">
        <v>385</v>
      </c>
      <c r="T233" s="235" t="s">
        <v>385</v>
      </c>
      <c r="U233" s="173" t="str">
        <f>SupplyChain_Tier2_Frontend[[#This Row],[Category]]</f>
        <v/>
      </c>
      <c r="V233" s="173">
        <f>SupplyChain_Tier2_Frontend[[#This Row],[Product Category]]</f>
        <v>0</v>
      </c>
      <c r="W233" s="174" t="s">
        <v>339</v>
      </c>
      <c r="X233" s="174">
        <f>SupplyChain_Tier2_Frontend[[#This Row],[Data type]]</f>
        <v>0</v>
      </c>
      <c r="Y233" s="174" t="s">
        <v>339</v>
      </c>
      <c r="Z233" s="174" t="s">
        <v>199</v>
      </c>
      <c r="AA233" s="229" t="e" cm="1">
        <f t="array" ref="AA233">INDEX(_xlfn.SWITCH(SupplyChain_Tier2_Backend[[#This Row],[Methodology]],"Tier 1",rng_RSD1,"Tier 2",rng_RSD2,"Tier 3",rng_RSD3),MATCH(_xlfn.CONCAT(SupplyChain_Tier2_Backend[[#This Row],[Level 1]:[Level 6]]),rng_LevelsConcat,0))</f>
        <v>#N/A</v>
      </c>
      <c r="AB233" s="220">
        <f>SupplyChain_Tier2_Frontend[[#This Row],[Spend (£)]]</f>
        <v>0</v>
      </c>
      <c r="AC233" s="220" t="s">
        <v>383</v>
      </c>
      <c r="AD233" s="220">
        <f>SupplyChain_Tier2_Frontend[[#This Row],[Spend (£)]]</f>
        <v>0</v>
      </c>
      <c r="AE233" s="174" t="s">
        <v>383</v>
      </c>
      <c r="AF233" s="210" t="e">
        <f>_xlfn.XLOOKUP(_xlfn.CONCAT(SupplyChain_Tier2_Backend[[#This Row],[Level 1]:[Level 6]]),rng_EFConcat,rng_EF1)*SupplyChain_Tier2_Backend[[#This Row],[Converted data]]/1000</f>
        <v>#N/A</v>
      </c>
      <c r="AG233" s="210" t="e">
        <f>_xlfn.XLOOKUP(_xlfn.CONCAT(SupplyChain_Tier2_Backend[[#This Row],[Level 1]:[Level 6]]),rng_EFConcat,rng_EF2)*SupplyChain_Tier2_Backend[[#This Row],[Converted data]]/1000</f>
        <v>#N/A</v>
      </c>
      <c r="AH233" s="210">
        <f>SupplyChain_Tier2_Frontend[[#This Row],[Emissions (kgCO2e)]]/1000</f>
        <v>0</v>
      </c>
      <c r="AI233" s="210" t="e">
        <f>_xlfn.XLOOKUP(_xlfn.CONCAT(SupplyChain_Tier2_Backend[[#This Row],[Level 1]:[Level 6]]),rng_EFConcat,rng_EF3WTT)*SupplyChain_Tier2_Backend[[#This Row],[Converted data]]/1000</f>
        <v>#N/A</v>
      </c>
      <c r="AJ233" s="210" t="e">
        <f>_xlfn.XLOOKUP(_xlfn.CONCAT(SupplyChain_Tier2_Backend[[#This Row],[Level 1]:[Level 6]]),rng_EFConcat,rng_EF3TD)*SupplyChain_Tier2_Backend[[#This Row],[Converted data]]/1000</f>
        <v>#N/A</v>
      </c>
      <c r="AK233" s="210" t="e">
        <f>_xlfn.XLOOKUP(_xlfn.CONCAT(SupplyChain_Tier2_Backend[[#This Row],[Level 1]:[Level 6]]),rng_EFConcat,rng_EF3WTTTD)*SupplyChain_Tier2_Backend[[#This Row],[Converted data]]/1000</f>
        <v>#N/A</v>
      </c>
      <c r="AL233" s="220" t="e">
        <f>SUM(SupplyChain_Tier2_Backend[[#This Row],[Scope 1 (tCO2e)]:[Scope 3 WTT T&amp;D (tCO2e)]])</f>
        <v>#N/A</v>
      </c>
      <c r="AM233" s="220" t="e">
        <f>SupplyChain_Tier2_Backend[[#This Row],[Total (tCO2e)]]*(1-SupplyChain_Tier2_Backend[[#This Row],[RSD]])</f>
        <v>#N/A</v>
      </c>
      <c r="AN233" s="220" t="e">
        <f>SupplyChain_Tier2_Backend[[#This Row],[Total (tCO2e)]]*(1+SupplyChain_Tier2_Backend[[#This Row],[RSD]])</f>
        <v>#N/A</v>
      </c>
      <c r="AO233" s="210" t="e">
        <f>_xlfn.XLOOKUP(_xlfn.CONCAT(SupplyChain_Tier2_Backend[[#This Row],[Level 1]:[Level 6]]),rng_EFConcat,rng_EFOOS)*SupplyChain_Tier2_Backend[[#This Row],[Converted data]]/1000</f>
        <v>#N/A</v>
      </c>
      <c r="AP233" s="174">
        <f>SupplyChain_Tier2_Frontend[[#This Row],[Ease of collection]]</f>
        <v>0</v>
      </c>
      <c r="AQ233" s="213">
        <f>SupplyChain_Tier2_Frontend[[#This Row],[Completeness]]</f>
        <v>0</v>
      </c>
      <c r="AR233" s="213">
        <f>SupplyChain_Tier2_Frontend[[#This Row],[Notes]]</f>
        <v>0</v>
      </c>
    </row>
    <row r="234" spans="4:44" ht="14.5" x14ac:dyDescent="0.35">
      <c r="D234" s="147">
        <v>106</v>
      </c>
      <c r="E234" s="236" t="str">
        <f t="shared" si="13"/>
        <v/>
      </c>
      <c r="F234" s="336"/>
      <c r="G234" s="334"/>
      <c r="H234" s="334"/>
      <c r="I234" s="334"/>
      <c r="J234" s="336"/>
      <c r="K234" s="336"/>
      <c r="L234" s="337"/>
      <c r="M234" s="242">
        <f t="shared" si="12"/>
        <v>4</v>
      </c>
      <c r="Q234" s="211" t="str">
        <f t="shared" si="14"/>
        <v/>
      </c>
      <c r="R234" s="174" t="s">
        <v>267</v>
      </c>
      <c r="S234" s="174" t="s">
        <v>385</v>
      </c>
      <c r="T234" s="235" t="s">
        <v>385</v>
      </c>
      <c r="U234" s="173" t="str">
        <f>SupplyChain_Tier2_Frontend[[#This Row],[Category]]</f>
        <v/>
      </c>
      <c r="V234" s="173">
        <f>SupplyChain_Tier2_Frontend[[#This Row],[Product Category]]</f>
        <v>0</v>
      </c>
      <c r="W234" s="174" t="s">
        <v>339</v>
      </c>
      <c r="X234" s="174">
        <f>SupplyChain_Tier2_Frontend[[#This Row],[Data type]]</f>
        <v>0</v>
      </c>
      <c r="Y234" s="174" t="s">
        <v>339</v>
      </c>
      <c r="Z234" s="174" t="s">
        <v>199</v>
      </c>
      <c r="AA234" s="229" t="e" cm="1">
        <f t="array" ref="AA234">INDEX(_xlfn.SWITCH(SupplyChain_Tier2_Backend[[#This Row],[Methodology]],"Tier 1",rng_RSD1,"Tier 2",rng_RSD2,"Tier 3",rng_RSD3),MATCH(_xlfn.CONCAT(SupplyChain_Tier2_Backend[[#This Row],[Level 1]:[Level 6]]),rng_LevelsConcat,0))</f>
        <v>#N/A</v>
      </c>
      <c r="AB234" s="220">
        <f>SupplyChain_Tier2_Frontend[[#This Row],[Spend (£)]]</f>
        <v>0</v>
      </c>
      <c r="AC234" s="220" t="s">
        <v>383</v>
      </c>
      <c r="AD234" s="220">
        <f>SupplyChain_Tier2_Frontend[[#This Row],[Spend (£)]]</f>
        <v>0</v>
      </c>
      <c r="AE234" s="174" t="s">
        <v>383</v>
      </c>
      <c r="AF234" s="210" t="e">
        <f>_xlfn.XLOOKUP(_xlfn.CONCAT(SupplyChain_Tier2_Backend[[#This Row],[Level 1]:[Level 6]]),rng_EFConcat,rng_EF1)*SupplyChain_Tier2_Backend[[#This Row],[Converted data]]/1000</f>
        <v>#N/A</v>
      </c>
      <c r="AG234" s="210" t="e">
        <f>_xlfn.XLOOKUP(_xlfn.CONCAT(SupplyChain_Tier2_Backend[[#This Row],[Level 1]:[Level 6]]),rng_EFConcat,rng_EF2)*SupplyChain_Tier2_Backend[[#This Row],[Converted data]]/1000</f>
        <v>#N/A</v>
      </c>
      <c r="AH234" s="210">
        <f>SupplyChain_Tier2_Frontend[[#This Row],[Emissions (kgCO2e)]]/1000</f>
        <v>0</v>
      </c>
      <c r="AI234" s="210" t="e">
        <f>_xlfn.XLOOKUP(_xlfn.CONCAT(SupplyChain_Tier2_Backend[[#This Row],[Level 1]:[Level 6]]),rng_EFConcat,rng_EF3WTT)*SupplyChain_Tier2_Backend[[#This Row],[Converted data]]/1000</f>
        <v>#N/A</v>
      </c>
      <c r="AJ234" s="210" t="e">
        <f>_xlfn.XLOOKUP(_xlfn.CONCAT(SupplyChain_Tier2_Backend[[#This Row],[Level 1]:[Level 6]]),rng_EFConcat,rng_EF3TD)*SupplyChain_Tier2_Backend[[#This Row],[Converted data]]/1000</f>
        <v>#N/A</v>
      </c>
      <c r="AK234" s="210" t="e">
        <f>_xlfn.XLOOKUP(_xlfn.CONCAT(SupplyChain_Tier2_Backend[[#This Row],[Level 1]:[Level 6]]),rng_EFConcat,rng_EF3WTTTD)*SupplyChain_Tier2_Backend[[#This Row],[Converted data]]/1000</f>
        <v>#N/A</v>
      </c>
      <c r="AL234" s="220" t="e">
        <f>SUM(SupplyChain_Tier2_Backend[[#This Row],[Scope 1 (tCO2e)]:[Scope 3 WTT T&amp;D (tCO2e)]])</f>
        <v>#N/A</v>
      </c>
      <c r="AM234" s="220" t="e">
        <f>SupplyChain_Tier2_Backend[[#This Row],[Total (tCO2e)]]*(1-SupplyChain_Tier2_Backend[[#This Row],[RSD]])</f>
        <v>#N/A</v>
      </c>
      <c r="AN234" s="220" t="e">
        <f>SupplyChain_Tier2_Backend[[#This Row],[Total (tCO2e)]]*(1+SupplyChain_Tier2_Backend[[#This Row],[RSD]])</f>
        <v>#N/A</v>
      </c>
      <c r="AO234" s="210" t="e">
        <f>_xlfn.XLOOKUP(_xlfn.CONCAT(SupplyChain_Tier2_Backend[[#This Row],[Level 1]:[Level 6]]),rng_EFConcat,rng_EFOOS)*SupplyChain_Tier2_Backend[[#This Row],[Converted data]]/1000</f>
        <v>#N/A</v>
      </c>
      <c r="AP234" s="174">
        <f>SupplyChain_Tier2_Frontend[[#This Row],[Ease of collection]]</f>
        <v>0</v>
      </c>
      <c r="AQ234" s="213">
        <f>SupplyChain_Tier2_Frontend[[#This Row],[Completeness]]</f>
        <v>0</v>
      </c>
      <c r="AR234" s="213">
        <f>SupplyChain_Tier2_Frontend[[#This Row],[Notes]]</f>
        <v>0</v>
      </c>
    </row>
    <row r="235" spans="4:44" ht="14.5" x14ac:dyDescent="0.35">
      <c r="D235" s="147">
        <v>107</v>
      </c>
      <c r="E235" s="236" t="str">
        <f t="shared" si="13"/>
        <v/>
      </c>
      <c r="F235" s="336"/>
      <c r="G235" s="334"/>
      <c r="H235" s="334"/>
      <c r="I235" s="334"/>
      <c r="J235" s="336"/>
      <c r="K235" s="336"/>
      <c r="L235" s="337"/>
      <c r="M235" s="242">
        <f t="shared" si="12"/>
        <v>4</v>
      </c>
      <c r="Q235" s="211" t="str">
        <f t="shared" si="14"/>
        <v/>
      </c>
      <c r="R235" s="174" t="s">
        <v>267</v>
      </c>
      <c r="S235" s="174" t="s">
        <v>385</v>
      </c>
      <c r="T235" s="235" t="s">
        <v>385</v>
      </c>
      <c r="U235" s="173" t="str">
        <f>SupplyChain_Tier2_Frontend[[#This Row],[Category]]</f>
        <v/>
      </c>
      <c r="V235" s="173">
        <f>SupplyChain_Tier2_Frontend[[#This Row],[Product Category]]</f>
        <v>0</v>
      </c>
      <c r="W235" s="174" t="s">
        <v>339</v>
      </c>
      <c r="X235" s="174">
        <f>SupplyChain_Tier2_Frontend[[#This Row],[Data type]]</f>
        <v>0</v>
      </c>
      <c r="Y235" s="174" t="s">
        <v>339</v>
      </c>
      <c r="Z235" s="174" t="s">
        <v>199</v>
      </c>
      <c r="AA235" s="229" t="e" cm="1">
        <f t="array" ref="AA235">INDEX(_xlfn.SWITCH(SupplyChain_Tier2_Backend[[#This Row],[Methodology]],"Tier 1",rng_RSD1,"Tier 2",rng_RSD2,"Tier 3",rng_RSD3),MATCH(_xlfn.CONCAT(SupplyChain_Tier2_Backend[[#This Row],[Level 1]:[Level 6]]),rng_LevelsConcat,0))</f>
        <v>#N/A</v>
      </c>
      <c r="AB235" s="220">
        <f>SupplyChain_Tier2_Frontend[[#This Row],[Spend (£)]]</f>
        <v>0</v>
      </c>
      <c r="AC235" s="220" t="s">
        <v>383</v>
      </c>
      <c r="AD235" s="220">
        <f>SupplyChain_Tier2_Frontend[[#This Row],[Spend (£)]]</f>
        <v>0</v>
      </c>
      <c r="AE235" s="174" t="s">
        <v>383</v>
      </c>
      <c r="AF235" s="210" t="e">
        <f>_xlfn.XLOOKUP(_xlfn.CONCAT(SupplyChain_Tier2_Backend[[#This Row],[Level 1]:[Level 6]]),rng_EFConcat,rng_EF1)*SupplyChain_Tier2_Backend[[#This Row],[Converted data]]/1000</f>
        <v>#N/A</v>
      </c>
      <c r="AG235" s="210" t="e">
        <f>_xlfn.XLOOKUP(_xlfn.CONCAT(SupplyChain_Tier2_Backend[[#This Row],[Level 1]:[Level 6]]),rng_EFConcat,rng_EF2)*SupplyChain_Tier2_Backend[[#This Row],[Converted data]]/1000</f>
        <v>#N/A</v>
      </c>
      <c r="AH235" s="210">
        <f>SupplyChain_Tier2_Frontend[[#This Row],[Emissions (kgCO2e)]]/1000</f>
        <v>0</v>
      </c>
      <c r="AI235" s="210" t="e">
        <f>_xlfn.XLOOKUP(_xlfn.CONCAT(SupplyChain_Tier2_Backend[[#This Row],[Level 1]:[Level 6]]),rng_EFConcat,rng_EF3WTT)*SupplyChain_Tier2_Backend[[#This Row],[Converted data]]/1000</f>
        <v>#N/A</v>
      </c>
      <c r="AJ235" s="210" t="e">
        <f>_xlfn.XLOOKUP(_xlfn.CONCAT(SupplyChain_Tier2_Backend[[#This Row],[Level 1]:[Level 6]]),rng_EFConcat,rng_EF3TD)*SupplyChain_Tier2_Backend[[#This Row],[Converted data]]/1000</f>
        <v>#N/A</v>
      </c>
      <c r="AK235" s="210" t="e">
        <f>_xlfn.XLOOKUP(_xlfn.CONCAT(SupplyChain_Tier2_Backend[[#This Row],[Level 1]:[Level 6]]),rng_EFConcat,rng_EF3WTTTD)*SupplyChain_Tier2_Backend[[#This Row],[Converted data]]/1000</f>
        <v>#N/A</v>
      </c>
      <c r="AL235" s="220" t="e">
        <f>SUM(SupplyChain_Tier2_Backend[[#This Row],[Scope 1 (tCO2e)]:[Scope 3 WTT T&amp;D (tCO2e)]])</f>
        <v>#N/A</v>
      </c>
      <c r="AM235" s="220" t="e">
        <f>SupplyChain_Tier2_Backend[[#This Row],[Total (tCO2e)]]*(1-SupplyChain_Tier2_Backend[[#This Row],[RSD]])</f>
        <v>#N/A</v>
      </c>
      <c r="AN235" s="220" t="e">
        <f>SupplyChain_Tier2_Backend[[#This Row],[Total (tCO2e)]]*(1+SupplyChain_Tier2_Backend[[#This Row],[RSD]])</f>
        <v>#N/A</v>
      </c>
      <c r="AO235" s="210" t="e">
        <f>_xlfn.XLOOKUP(_xlfn.CONCAT(SupplyChain_Tier2_Backend[[#This Row],[Level 1]:[Level 6]]),rng_EFConcat,rng_EFOOS)*SupplyChain_Tier2_Backend[[#This Row],[Converted data]]/1000</f>
        <v>#N/A</v>
      </c>
      <c r="AP235" s="174">
        <f>SupplyChain_Tier2_Frontend[[#This Row],[Ease of collection]]</f>
        <v>0</v>
      </c>
      <c r="AQ235" s="213">
        <f>SupplyChain_Tier2_Frontend[[#This Row],[Completeness]]</f>
        <v>0</v>
      </c>
      <c r="AR235" s="213">
        <f>SupplyChain_Tier2_Frontend[[#This Row],[Notes]]</f>
        <v>0</v>
      </c>
    </row>
    <row r="236" spans="4:44" ht="14.5" x14ac:dyDescent="0.35">
      <c r="D236" s="147">
        <v>108</v>
      </c>
      <c r="E236" s="236" t="str">
        <f t="shared" si="13"/>
        <v/>
      </c>
      <c r="F236" s="336"/>
      <c r="G236" s="334"/>
      <c r="H236" s="334"/>
      <c r="I236" s="334"/>
      <c r="J236" s="336"/>
      <c r="K236" s="336"/>
      <c r="L236" s="337"/>
      <c r="M236" s="242">
        <f t="shared" si="12"/>
        <v>4</v>
      </c>
      <c r="Q236" s="211" t="str">
        <f t="shared" si="14"/>
        <v/>
      </c>
      <c r="R236" s="174" t="s">
        <v>267</v>
      </c>
      <c r="S236" s="174" t="s">
        <v>385</v>
      </c>
      <c r="T236" s="235" t="s">
        <v>385</v>
      </c>
      <c r="U236" s="173" t="str">
        <f>SupplyChain_Tier2_Frontend[[#This Row],[Category]]</f>
        <v/>
      </c>
      <c r="V236" s="173">
        <f>SupplyChain_Tier2_Frontend[[#This Row],[Product Category]]</f>
        <v>0</v>
      </c>
      <c r="W236" s="174" t="s">
        <v>339</v>
      </c>
      <c r="X236" s="174">
        <f>SupplyChain_Tier2_Frontend[[#This Row],[Data type]]</f>
        <v>0</v>
      </c>
      <c r="Y236" s="174" t="s">
        <v>339</v>
      </c>
      <c r="Z236" s="174" t="s">
        <v>199</v>
      </c>
      <c r="AA236" s="229" t="e" cm="1">
        <f t="array" ref="AA236">INDEX(_xlfn.SWITCH(SupplyChain_Tier2_Backend[[#This Row],[Methodology]],"Tier 1",rng_RSD1,"Tier 2",rng_RSD2,"Tier 3",rng_RSD3),MATCH(_xlfn.CONCAT(SupplyChain_Tier2_Backend[[#This Row],[Level 1]:[Level 6]]),rng_LevelsConcat,0))</f>
        <v>#N/A</v>
      </c>
      <c r="AB236" s="220">
        <f>SupplyChain_Tier2_Frontend[[#This Row],[Spend (£)]]</f>
        <v>0</v>
      </c>
      <c r="AC236" s="220" t="s">
        <v>383</v>
      </c>
      <c r="AD236" s="220">
        <f>SupplyChain_Tier2_Frontend[[#This Row],[Spend (£)]]</f>
        <v>0</v>
      </c>
      <c r="AE236" s="174" t="s">
        <v>383</v>
      </c>
      <c r="AF236" s="210" t="e">
        <f>_xlfn.XLOOKUP(_xlfn.CONCAT(SupplyChain_Tier2_Backend[[#This Row],[Level 1]:[Level 6]]),rng_EFConcat,rng_EF1)*SupplyChain_Tier2_Backend[[#This Row],[Converted data]]/1000</f>
        <v>#N/A</v>
      </c>
      <c r="AG236" s="210" t="e">
        <f>_xlfn.XLOOKUP(_xlfn.CONCAT(SupplyChain_Tier2_Backend[[#This Row],[Level 1]:[Level 6]]),rng_EFConcat,rng_EF2)*SupplyChain_Tier2_Backend[[#This Row],[Converted data]]/1000</f>
        <v>#N/A</v>
      </c>
      <c r="AH236" s="210">
        <f>SupplyChain_Tier2_Frontend[[#This Row],[Emissions (kgCO2e)]]/1000</f>
        <v>0</v>
      </c>
      <c r="AI236" s="210" t="e">
        <f>_xlfn.XLOOKUP(_xlfn.CONCAT(SupplyChain_Tier2_Backend[[#This Row],[Level 1]:[Level 6]]),rng_EFConcat,rng_EF3WTT)*SupplyChain_Tier2_Backend[[#This Row],[Converted data]]/1000</f>
        <v>#N/A</v>
      </c>
      <c r="AJ236" s="210" t="e">
        <f>_xlfn.XLOOKUP(_xlfn.CONCAT(SupplyChain_Tier2_Backend[[#This Row],[Level 1]:[Level 6]]),rng_EFConcat,rng_EF3TD)*SupplyChain_Tier2_Backend[[#This Row],[Converted data]]/1000</f>
        <v>#N/A</v>
      </c>
      <c r="AK236" s="210" t="e">
        <f>_xlfn.XLOOKUP(_xlfn.CONCAT(SupplyChain_Tier2_Backend[[#This Row],[Level 1]:[Level 6]]),rng_EFConcat,rng_EF3WTTTD)*SupplyChain_Tier2_Backend[[#This Row],[Converted data]]/1000</f>
        <v>#N/A</v>
      </c>
      <c r="AL236" s="220" t="e">
        <f>SUM(SupplyChain_Tier2_Backend[[#This Row],[Scope 1 (tCO2e)]:[Scope 3 WTT T&amp;D (tCO2e)]])</f>
        <v>#N/A</v>
      </c>
      <c r="AM236" s="220" t="e">
        <f>SupplyChain_Tier2_Backend[[#This Row],[Total (tCO2e)]]*(1-SupplyChain_Tier2_Backend[[#This Row],[RSD]])</f>
        <v>#N/A</v>
      </c>
      <c r="AN236" s="220" t="e">
        <f>SupplyChain_Tier2_Backend[[#This Row],[Total (tCO2e)]]*(1+SupplyChain_Tier2_Backend[[#This Row],[RSD]])</f>
        <v>#N/A</v>
      </c>
      <c r="AO236" s="210" t="e">
        <f>_xlfn.XLOOKUP(_xlfn.CONCAT(SupplyChain_Tier2_Backend[[#This Row],[Level 1]:[Level 6]]),rng_EFConcat,rng_EFOOS)*SupplyChain_Tier2_Backend[[#This Row],[Converted data]]/1000</f>
        <v>#N/A</v>
      </c>
      <c r="AP236" s="174">
        <f>SupplyChain_Tier2_Frontend[[#This Row],[Ease of collection]]</f>
        <v>0</v>
      </c>
      <c r="AQ236" s="213">
        <f>SupplyChain_Tier2_Frontend[[#This Row],[Completeness]]</f>
        <v>0</v>
      </c>
      <c r="AR236" s="213">
        <f>SupplyChain_Tier2_Frontend[[#This Row],[Notes]]</f>
        <v>0</v>
      </c>
    </row>
    <row r="237" spans="4:44" ht="14.5" x14ac:dyDescent="0.35">
      <c r="D237" s="147">
        <v>109</v>
      </c>
      <c r="E237" s="236" t="str">
        <f t="shared" si="13"/>
        <v/>
      </c>
      <c r="F237" s="336"/>
      <c r="G237" s="334"/>
      <c r="H237" s="334"/>
      <c r="I237" s="334"/>
      <c r="J237" s="336"/>
      <c r="K237" s="336"/>
      <c r="L237" s="337"/>
      <c r="M237" s="242">
        <f t="shared" si="12"/>
        <v>4</v>
      </c>
      <c r="Q237" s="211" t="str">
        <f t="shared" si="14"/>
        <v/>
      </c>
      <c r="R237" s="174" t="s">
        <v>267</v>
      </c>
      <c r="S237" s="174" t="s">
        <v>385</v>
      </c>
      <c r="T237" s="235" t="s">
        <v>385</v>
      </c>
      <c r="U237" s="173" t="str">
        <f>SupplyChain_Tier2_Frontend[[#This Row],[Category]]</f>
        <v/>
      </c>
      <c r="V237" s="173">
        <f>SupplyChain_Tier2_Frontend[[#This Row],[Product Category]]</f>
        <v>0</v>
      </c>
      <c r="W237" s="174" t="s">
        <v>339</v>
      </c>
      <c r="X237" s="174">
        <f>SupplyChain_Tier2_Frontend[[#This Row],[Data type]]</f>
        <v>0</v>
      </c>
      <c r="Y237" s="174" t="s">
        <v>339</v>
      </c>
      <c r="Z237" s="174" t="s">
        <v>199</v>
      </c>
      <c r="AA237" s="229" t="e" cm="1">
        <f t="array" ref="AA237">INDEX(_xlfn.SWITCH(SupplyChain_Tier2_Backend[[#This Row],[Methodology]],"Tier 1",rng_RSD1,"Tier 2",rng_RSD2,"Tier 3",rng_RSD3),MATCH(_xlfn.CONCAT(SupplyChain_Tier2_Backend[[#This Row],[Level 1]:[Level 6]]),rng_LevelsConcat,0))</f>
        <v>#N/A</v>
      </c>
      <c r="AB237" s="220">
        <f>SupplyChain_Tier2_Frontend[[#This Row],[Spend (£)]]</f>
        <v>0</v>
      </c>
      <c r="AC237" s="220" t="s">
        <v>383</v>
      </c>
      <c r="AD237" s="220">
        <f>SupplyChain_Tier2_Frontend[[#This Row],[Spend (£)]]</f>
        <v>0</v>
      </c>
      <c r="AE237" s="174" t="s">
        <v>383</v>
      </c>
      <c r="AF237" s="210" t="e">
        <f>_xlfn.XLOOKUP(_xlfn.CONCAT(SupplyChain_Tier2_Backend[[#This Row],[Level 1]:[Level 6]]),rng_EFConcat,rng_EF1)*SupplyChain_Tier2_Backend[[#This Row],[Converted data]]/1000</f>
        <v>#N/A</v>
      </c>
      <c r="AG237" s="210" t="e">
        <f>_xlfn.XLOOKUP(_xlfn.CONCAT(SupplyChain_Tier2_Backend[[#This Row],[Level 1]:[Level 6]]),rng_EFConcat,rng_EF2)*SupplyChain_Tier2_Backend[[#This Row],[Converted data]]/1000</f>
        <v>#N/A</v>
      </c>
      <c r="AH237" s="210">
        <f>SupplyChain_Tier2_Frontend[[#This Row],[Emissions (kgCO2e)]]/1000</f>
        <v>0</v>
      </c>
      <c r="AI237" s="210" t="e">
        <f>_xlfn.XLOOKUP(_xlfn.CONCAT(SupplyChain_Tier2_Backend[[#This Row],[Level 1]:[Level 6]]),rng_EFConcat,rng_EF3WTT)*SupplyChain_Tier2_Backend[[#This Row],[Converted data]]/1000</f>
        <v>#N/A</v>
      </c>
      <c r="AJ237" s="210" t="e">
        <f>_xlfn.XLOOKUP(_xlfn.CONCAT(SupplyChain_Tier2_Backend[[#This Row],[Level 1]:[Level 6]]),rng_EFConcat,rng_EF3TD)*SupplyChain_Tier2_Backend[[#This Row],[Converted data]]/1000</f>
        <v>#N/A</v>
      </c>
      <c r="AK237" s="210" t="e">
        <f>_xlfn.XLOOKUP(_xlfn.CONCAT(SupplyChain_Tier2_Backend[[#This Row],[Level 1]:[Level 6]]),rng_EFConcat,rng_EF3WTTTD)*SupplyChain_Tier2_Backend[[#This Row],[Converted data]]/1000</f>
        <v>#N/A</v>
      </c>
      <c r="AL237" s="220" t="e">
        <f>SUM(SupplyChain_Tier2_Backend[[#This Row],[Scope 1 (tCO2e)]:[Scope 3 WTT T&amp;D (tCO2e)]])</f>
        <v>#N/A</v>
      </c>
      <c r="AM237" s="220" t="e">
        <f>SupplyChain_Tier2_Backend[[#This Row],[Total (tCO2e)]]*(1-SupplyChain_Tier2_Backend[[#This Row],[RSD]])</f>
        <v>#N/A</v>
      </c>
      <c r="AN237" s="220" t="e">
        <f>SupplyChain_Tier2_Backend[[#This Row],[Total (tCO2e)]]*(1+SupplyChain_Tier2_Backend[[#This Row],[RSD]])</f>
        <v>#N/A</v>
      </c>
      <c r="AO237" s="210" t="e">
        <f>_xlfn.XLOOKUP(_xlfn.CONCAT(SupplyChain_Tier2_Backend[[#This Row],[Level 1]:[Level 6]]),rng_EFConcat,rng_EFOOS)*SupplyChain_Tier2_Backend[[#This Row],[Converted data]]/1000</f>
        <v>#N/A</v>
      </c>
      <c r="AP237" s="174">
        <f>SupplyChain_Tier2_Frontend[[#This Row],[Ease of collection]]</f>
        <v>0</v>
      </c>
      <c r="AQ237" s="213">
        <f>SupplyChain_Tier2_Frontend[[#This Row],[Completeness]]</f>
        <v>0</v>
      </c>
      <c r="AR237" s="213">
        <f>SupplyChain_Tier2_Frontend[[#This Row],[Notes]]</f>
        <v>0</v>
      </c>
    </row>
    <row r="238" spans="4:44" ht="14.5" x14ac:dyDescent="0.35">
      <c r="D238" s="147">
        <v>110</v>
      </c>
      <c r="E238" s="236" t="str">
        <f t="shared" si="13"/>
        <v/>
      </c>
      <c r="F238" s="336"/>
      <c r="G238" s="334"/>
      <c r="H238" s="334"/>
      <c r="I238" s="334"/>
      <c r="J238" s="336"/>
      <c r="K238" s="336"/>
      <c r="L238" s="337"/>
      <c r="M238" s="242">
        <f t="shared" si="12"/>
        <v>4</v>
      </c>
      <c r="Q238" s="211" t="str">
        <f t="shared" si="14"/>
        <v/>
      </c>
      <c r="R238" s="174" t="s">
        <v>267</v>
      </c>
      <c r="S238" s="174" t="s">
        <v>385</v>
      </c>
      <c r="T238" s="235" t="s">
        <v>385</v>
      </c>
      <c r="U238" s="173" t="str">
        <f>SupplyChain_Tier2_Frontend[[#This Row],[Category]]</f>
        <v/>
      </c>
      <c r="V238" s="173">
        <f>SupplyChain_Tier2_Frontend[[#This Row],[Product Category]]</f>
        <v>0</v>
      </c>
      <c r="W238" s="174" t="s">
        <v>339</v>
      </c>
      <c r="X238" s="174">
        <f>SupplyChain_Tier2_Frontend[[#This Row],[Data type]]</f>
        <v>0</v>
      </c>
      <c r="Y238" s="174" t="s">
        <v>339</v>
      </c>
      <c r="Z238" s="174" t="s">
        <v>199</v>
      </c>
      <c r="AA238" s="229" t="e" cm="1">
        <f t="array" ref="AA238">INDEX(_xlfn.SWITCH(SupplyChain_Tier2_Backend[[#This Row],[Methodology]],"Tier 1",rng_RSD1,"Tier 2",rng_RSD2,"Tier 3",rng_RSD3),MATCH(_xlfn.CONCAT(SupplyChain_Tier2_Backend[[#This Row],[Level 1]:[Level 6]]),rng_LevelsConcat,0))</f>
        <v>#N/A</v>
      </c>
      <c r="AB238" s="220">
        <f>SupplyChain_Tier2_Frontend[[#This Row],[Spend (£)]]</f>
        <v>0</v>
      </c>
      <c r="AC238" s="220" t="s">
        <v>383</v>
      </c>
      <c r="AD238" s="220">
        <f>SupplyChain_Tier2_Frontend[[#This Row],[Spend (£)]]</f>
        <v>0</v>
      </c>
      <c r="AE238" s="174" t="s">
        <v>383</v>
      </c>
      <c r="AF238" s="210" t="e">
        <f>_xlfn.XLOOKUP(_xlfn.CONCAT(SupplyChain_Tier2_Backend[[#This Row],[Level 1]:[Level 6]]),rng_EFConcat,rng_EF1)*SupplyChain_Tier2_Backend[[#This Row],[Converted data]]/1000</f>
        <v>#N/A</v>
      </c>
      <c r="AG238" s="210" t="e">
        <f>_xlfn.XLOOKUP(_xlfn.CONCAT(SupplyChain_Tier2_Backend[[#This Row],[Level 1]:[Level 6]]),rng_EFConcat,rng_EF2)*SupplyChain_Tier2_Backend[[#This Row],[Converted data]]/1000</f>
        <v>#N/A</v>
      </c>
      <c r="AH238" s="210">
        <f>SupplyChain_Tier2_Frontend[[#This Row],[Emissions (kgCO2e)]]/1000</f>
        <v>0</v>
      </c>
      <c r="AI238" s="210" t="e">
        <f>_xlfn.XLOOKUP(_xlfn.CONCAT(SupplyChain_Tier2_Backend[[#This Row],[Level 1]:[Level 6]]),rng_EFConcat,rng_EF3WTT)*SupplyChain_Tier2_Backend[[#This Row],[Converted data]]/1000</f>
        <v>#N/A</v>
      </c>
      <c r="AJ238" s="210" t="e">
        <f>_xlfn.XLOOKUP(_xlfn.CONCAT(SupplyChain_Tier2_Backend[[#This Row],[Level 1]:[Level 6]]),rng_EFConcat,rng_EF3TD)*SupplyChain_Tier2_Backend[[#This Row],[Converted data]]/1000</f>
        <v>#N/A</v>
      </c>
      <c r="AK238" s="210" t="e">
        <f>_xlfn.XLOOKUP(_xlfn.CONCAT(SupplyChain_Tier2_Backend[[#This Row],[Level 1]:[Level 6]]),rng_EFConcat,rng_EF3WTTTD)*SupplyChain_Tier2_Backend[[#This Row],[Converted data]]/1000</f>
        <v>#N/A</v>
      </c>
      <c r="AL238" s="220" t="e">
        <f>SUM(SupplyChain_Tier2_Backend[[#This Row],[Scope 1 (tCO2e)]:[Scope 3 WTT T&amp;D (tCO2e)]])</f>
        <v>#N/A</v>
      </c>
      <c r="AM238" s="220" t="e">
        <f>SupplyChain_Tier2_Backend[[#This Row],[Total (tCO2e)]]*(1-SupplyChain_Tier2_Backend[[#This Row],[RSD]])</f>
        <v>#N/A</v>
      </c>
      <c r="AN238" s="220" t="e">
        <f>SupplyChain_Tier2_Backend[[#This Row],[Total (tCO2e)]]*(1+SupplyChain_Tier2_Backend[[#This Row],[RSD]])</f>
        <v>#N/A</v>
      </c>
      <c r="AO238" s="210" t="e">
        <f>_xlfn.XLOOKUP(_xlfn.CONCAT(SupplyChain_Tier2_Backend[[#This Row],[Level 1]:[Level 6]]),rng_EFConcat,rng_EFOOS)*SupplyChain_Tier2_Backend[[#This Row],[Converted data]]/1000</f>
        <v>#N/A</v>
      </c>
      <c r="AP238" s="174">
        <f>SupplyChain_Tier2_Frontend[[#This Row],[Ease of collection]]</f>
        <v>0</v>
      </c>
      <c r="AQ238" s="213">
        <f>SupplyChain_Tier2_Frontend[[#This Row],[Completeness]]</f>
        <v>0</v>
      </c>
      <c r="AR238" s="213">
        <f>SupplyChain_Tier2_Frontend[[#This Row],[Notes]]</f>
        <v>0</v>
      </c>
    </row>
    <row r="239" spans="4:44" ht="14.5" x14ac:dyDescent="0.35">
      <c r="D239" s="147">
        <v>111</v>
      </c>
      <c r="E239" s="236" t="str">
        <f t="shared" si="13"/>
        <v/>
      </c>
      <c r="F239" s="336"/>
      <c r="G239" s="334"/>
      <c r="H239" s="334"/>
      <c r="I239" s="334"/>
      <c r="J239" s="336"/>
      <c r="K239" s="336"/>
      <c r="L239" s="337"/>
      <c r="M239" s="242">
        <f t="shared" si="12"/>
        <v>4</v>
      </c>
      <c r="Q239" s="211" t="str">
        <f t="shared" si="14"/>
        <v/>
      </c>
      <c r="R239" s="174" t="s">
        <v>267</v>
      </c>
      <c r="S239" s="174" t="s">
        <v>385</v>
      </c>
      <c r="T239" s="235" t="s">
        <v>385</v>
      </c>
      <c r="U239" s="173" t="str">
        <f>SupplyChain_Tier2_Frontend[[#This Row],[Category]]</f>
        <v/>
      </c>
      <c r="V239" s="173">
        <f>SupplyChain_Tier2_Frontend[[#This Row],[Product Category]]</f>
        <v>0</v>
      </c>
      <c r="W239" s="174" t="s">
        <v>339</v>
      </c>
      <c r="X239" s="174">
        <f>SupplyChain_Tier2_Frontend[[#This Row],[Data type]]</f>
        <v>0</v>
      </c>
      <c r="Y239" s="174" t="s">
        <v>339</v>
      </c>
      <c r="Z239" s="174" t="s">
        <v>199</v>
      </c>
      <c r="AA239" s="229" t="e" cm="1">
        <f t="array" ref="AA239">INDEX(_xlfn.SWITCH(SupplyChain_Tier2_Backend[[#This Row],[Methodology]],"Tier 1",rng_RSD1,"Tier 2",rng_RSD2,"Tier 3",rng_RSD3),MATCH(_xlfn.CONCAT(SupplyChain_Tier2_Backend[[#This Row],[Level 1]:[Level 6]]),rng_LevelsConcat,0))</f>
        <v>#N/A</v>
      </c>
      <c r="AB239" s="220">
        <f>SupplyChain_Tier2_Frontend[[#This Row],[Spend (£)]]</f>
        <v>0</v>
      </c>
      <c r="AC239" s="220" t="s">
        <v>383</v>
      </c>
      <c r="AD239" s="220">
        <f>SupplyChain_Tier2_Frontend[[#This Row],[Spend (£)]]</f>
        <v>0</v>
      </c>
      <c r="AE239" s="174" t="s">
        <v>383</v>
      </c>
      <c r="AF239" s="210" t="e">
        <f>_xlfn.XLOOKUP(_xlfn.CONCAT(SupplyChain_Tier2_Backend[[#This Row],[Level 1]:[Level 6]]),rng_EFConcat,rng_EF1)*SupplyChain_Tier2_Backend[[#This Row],[Converted data]]/1000</f>
        <v>#N/A</v>
      </c>
      <c r="AG239" s="210" t="e">
        <f>_xlfn.XLOOKUP(_xlfn.CONCAT(SupplyChain_Tier2_Backend[[#This Row],[Level 1]:[Level 6]]),rng_EFConcat,rng_EF2)*SupplyChain_Tier2_Backend[[#This Row],[Converted data]]/1000</f>
        <v>#N/A</v>
      </c>
      <c r="AH239" s="210">
        <f>SupplyChain_Tier2_Frontend[[#This Row],[Emissions (kgCO2e)]]/1000</f>
        <v>0</v>
      </c>
      <c r="AI239" s="210" t="e">
        <f>_xlfn.XLOOKUP(_xlfn.CONCAT(SupplyChain_Tier2_Backend[[#This Row],[Level 1]:[Level 6]]),rng_EFConcat,rng_EF3WTT)*SupplyChain_Tier2_Backend[[#This Row],[Converted data]]/1000</f>
        <v>#N/A</v>
      </c>
      <c r="AJ239" s="210" t="e">
        <f>_xlfn.XLOOKUP(_xlfn.CONCAT(SupplyChain_Tier2_Backend[[#This Row],[Level 1]:[Level 6]]),rng_EFConcat,rng_EF3TD)*SupplyChain_Tier2_Backend[[#This Row],[Converted data]]/1000</f>
        <v>#N/A</v>
      </c>
      <c r="AK239" s="210" t="e">
        <f>_xlfn.XLOOKUP(_xlfn.CONCAT(SupplyChain_Tier2_Backend[[#This Row],[Level 1]:[Level 6]]),rng_EFConcat,rng_EF3WTTTD)*SupplyChain_Tier2_Backend[[#This Row],[Converted data]]/1000</f>
        <v>#N/A</v>
      </c>
      <c r="AL239" s="220" t="e">
        <f>SUM(SupplyChain_Tier2_Backend[[#This Row],[Scope 1 (tCO2e)]:[Scope 3 WTT T&amp;D (tCO2e)]])</f>
        <v>#N/A</v>
      </c>
      <c r="AM239" s="220" t="e">
        <f>SupplyChain_Tier2_Backend[[#This Row],[Total (tCO2e)]]*(1-SupplyChain_Tier2_Backend[[#This Row],[RSD]])</f>
        <v>#N/A</v>
      </c>
      <c r="AN239" s="220" t="e">
        <f>SupplyChain_Tier2_Backend[[#This Row],[Total (tCO2e)]]*(1+SupplyChain_Tier2_Backend[[#This Row],[RSD]])</f>
        <v>#N/A</v>
      </c>
      <c r="AO239" s="210" t="e">
        <f>_xlfn.XLOOKUP(_xlfn.CONCAT(SupplyChain_Tier2_Backend[[#This Row],[Level 1]:[Level 6]]),rng_EFConcat,rng_EFOOS)*SupplyChain_Tier2_Backend[[#This Row],[Converted data]]/1000</f>
        <v>#N/A</v>
      </c>
      <c r="AP239" s="174">
        <f>SupplyChain_Tier2_Frontend[[#This Row],[Ease of collection]]</f>
        <v>0</v>
      </c>
      <c r="AQ239" s="213">
        <f>SupplyChain_Tier2_Frontend[[#This Row],[Completeness]]</f>
        <v>0</v>
      </c>
      <c r="AR239" s="213">
        <f>SupplyChain_Tier2_Frontend[[#This Row],[Notes]]</f>
        <v>0</v>
      </c>
    </row>
    <row r="240" spans="4:44" ht="14.5" x14ac:dyDescent="0.35">
      <c r="D240" s="147">
        <v>112</v>
      </c>
      <c r="E240" s="236" t="str">
        <f t="shared" si="13"/>
        <v/>
      </c>
      <c r="F240" s="336"/>
      <c r="G240" s="334"/>
      <c r="H240" s="334"/>
      <c r="I240" s="334"/>
      <c r="J240" s="336"/>
      <c r="K240" s="336"/>
      <c r="L240" s="337"/>
      <c r="M240" s="242">
        <f t="shared" si="12"/>
        <v>4</v>
      </c>
      <c r="Q240" s="211" t="str">
        <f t="shared" si="14"/>
        <v/>
      </c>
      <c r="R240" s="174" t="s">
        <v>267</v>
      </c>
      <c r="S240" s="174" t="s">
        <v>385</v>
      </c>
      <c r="T240" s="235" t="s">
        <v>385</v>
      </c>
      <c r="U240" s="173" t="str">
        <f>SupplyChain_Tier2_Frontend[[#This Row],[Category]]</f>
        <v/>
      </c>
      <c r="V240" s="173">
        <f>SupplyChain_Tier2_Frontend[[#This Row],[Product Category]]</f>
        <v>0</v>
      </c>
      <c r="W240" s="174" t="s">
        <v>339</v>
      </c>
      <c r="X240" s="174">
        <f>SupplyChain_Tier2_Frontend[[#This Row],[Data type]]</f>
        <v>0</v>
      </c>
      <c r="Y240" s="174" t="s">
        <v>339</v>
      </c>
      <c r="Z240" s="174" t="s">
        <v>199</v>
      </c>
      <c r="AA240" s="229" t="e" cm="1">
        <f t="array" ref="AA240">INDEX(_xlfn.SWITCH(SupplyChain_Tier2_Backend[[#This Row],[Methodology]],"Tier 1",rng_RSD1,"Tier 2",rng_RSD2,"Tier 3",rng_RSD3),MATCH(_xlfn.CONCAT(SupplyChain_Tier2_Backend[[#This Row],[Level 1]:[Level 6]]),rng_LevelsConcat,0))</f>
        <v>#N/A</v>
      </c>
      <c r="AB240" s="220">
        <f>SupplyChain_Tier2_Frontend[[#This Row],[Spend (£)]]</f>
        <v>0</v>
      </c>
      <c r="AC240" s="220" t="s">
        <v>383</v>
      </c>
      <c r="AD240" s="220">
        <f>SupplyChain_Tier2_Frontend[[#This Row],[Spend (£)]]</f>
        <v>0</v>
      </c>
      <c r="AE240" s="174" t="s">
        <v>383</v>
      </c>
      <c r="AF240" s="210" t="e">
        <f>_xlfn.XLOOKUP(_xlfn.CONCAT(SupplyChain_Tier2_Backend[[#This Row],[Level 1]:[Level 6]]),rng_EFConcat,rng_EF1)*SupplyChain_Tier2_Backend[[#This Row],[Converted data]]/1000</f>
        <v>#N/A</v>
      </c>
      <c r="AG240" s="210" t="e">
        <f>_xlfn.XLOOKUP(_xlfn.CONCAT(SupplyChain_Tier2_Backend[[#This Row],[Level 1]:[Level 6]]),rng_EFConcat,rng_EF2)*SupplyChain_Tier2_Backend[[#This Row],[Converted data]]/1000</f>
        <v>#N/A</v>
      </c>
      <c r="AH240" s="210">
        <f>SupplyChain_Tier2_Frontend[[#This Row],[Emissions (kgCO2e)]]/1000</f>
        <v>0</v>
      </c>
      <c r="AI240" s="210" t="e">
        <f>_xlfn.XLOOKUP(_xlfn.CONCAT(SupplyChain_Tier2_Backend[[#This Row],[Level 1]:[Level 6]]),rng_EFConcat,rng_EF3WTT)*SupplyChain_Tier2_Backend[[#This Row],[Converted data]]/1000</f>
        <v>#N/A</v>
      </c>
      <c r="AJ240" s="210" t="e">
        <f>_xlfn.XLOOKUP(_xlfn.CONCAT(SupplyChain_Tier2_Backend[[#This Row],[Level 1]:[Level 6]]),rng_EFConcat,rng_EF3TD)*SupplyChain_Tier2_Backend[[#This Row],[Converted data]]/1000</f>
        <v>#N/A</v>
      </c>
      <c r="AK240" s="210" t="e">
        <f>_xlfn.XLOOKUP(_xlfn.CONCAT(SupplyChain_Tier2_Backend[[#This Row],[Level 1]:[Level 6]]),rng_EFConcat,rng_EF3WTTTD)*SupplyChain_Tier2_Backend[[#This Row],[Converted data]]/1000</f>
        <v>#N/A</v>
      </c>
      <c r="AL240" s="220" t="e">
        <f>SUM(SupplyChain_Tier2_Backend[[#This Row],[Scope 1 (tCO2e)]:[Scope 3 WTT T&amp;D (tCO2e)]])</f>
        <v>#N/A</v>
      </c>
      <c r="AM240" s="220" t="e">
        <f>SupplyChain_Tier2_Backend[[#This Row],[Total (tCO2e)]]*(1-SupplyChain_Tier2_Backend[[#This Row],[RSD]])</f>
        <v>#N/A</v>
      </c>
      <c r="AN240" s="220" t="e">
        <f>SupplyChain_Tier2_Backend[[#This Row],[Total (tCO2e)]]*(1+SupplyChain_Tier2_Backend[[#This Row],[RSD]])</f>
        <v>#N/A</v>
      </c>
      <c r="AO240" s="210" t="e">
        <f>_xlfn.XLOOKUP(_xlfn.CONCAT(SupplyChain_Tier2_Backend[[#This Row],[Level 1]:[Level 6]]),rng_EFConcat,rng_EFOOS)*SupplyChain_Tier2_Backend[[#This Row],[Converted data]]/1000</f>
        <v>#N/A</v>
      </c>
      <c r="AP240" s="174">
        <f>SupplyChain_Tier2_Frontend[[#This Row],[Ease of collection]]</f>
        <v>0</v>
      </c>
      <c r="AQ240" s="213">
        <f>SupplyChain_Tier2_Frontend[[#This Row],[Completeness]]</f>
        <v>0</v>
      </c>
      <c r="AR240" s="213">
        <f>SupplyChain_Tier2_Frontend[[#This Row],[Notes]]</f>
        <v>0</v>
      </c>
    </row>
    <row r="241" spans="4:44" ht="14.5" x14ac:dyDescent="0.35">
      <c r="D241" s="147">
        <v>113</v>
      </c>
      <c r="E241" s="236" t="str">
        <f t="shared" si="13"/>
        <v/>
      </c>
      <c r="F241" s="336"/>
      <c r="G241" s="334"/>
      <c r="H241" s="334"/>
      <c r="I241" s="334"/>
      <c r="J241" s="336"/>
      <c r="K241" s="336"/>
      <c r="L241" s="337"/>
      <c r="M241" s="242">
        <f t="shared" si="12"/>
        <v>4</v>
      </c>
      <c r="Q241" s="211" t="str">
        <f t="shared" si="14"/>
        <v/>
      </c>
      <c r="R241" s="174" t="s">
        <v>267</v>
      </c>
      <c r="S241" s="174" t="s">
        <v>385</v>
      </c>
      <c r="T241" s="235" t="s">
        <v>385</v>
      </c>
      <c r="U241" s="173" t="str">
        <f>SupplyChain_Tier2_Frontend[[#This Row],[Category]]</f>
        <v/>
      </c>
      <c r="V241" s="173">
        <f>SupplyChain_Tier2_Frontend[[#This Row],[Product Category]]</f>
        <v>0</v>
      </c>
      <c r="W241" s="174" t="s">
        <v>339</v>
      </c>
      <c r="X241" s="174">
        <f>SupplyChain_Tier2_Frontend[[#This Row],[Data type]]</f>
        <v>0</v>
      </c>
      <c r="Y241" s="174" t="s">
        <v>339</v>
      </c>
      <c r="Z241" s="174" t="s">
        <v>199</v>
      </c>
      <c r="AA241" s="229" t="e" cm="1">
        <f t="array" ref="AA241">INDEX(_xlfn.SWITCH(SupplyChain_Tier2_Backend[[#This Row],[Methodology]],"Tier 1",rng_RSD1,"Tier 2",rng_RSD2,"Tier 3",rng_RSD3),MATCH(_xlfn.CONCAT(SupplyChain_Tier2_Backend[[#This Row],[Level 1]:[Level 6]]),rng_LevelsConcat,0))</f>
        <v>#N/A</v>
      </c>
      <c r="AB241" s="220">
        <f>SupplyChain_Tier2_Frontend[[#This Row],[Spend (£)]]</f>
        <v>0</v>
      </c>
      <c r="AC241" s="220" t="s">
        <v>383</v>
      </c>
      <c r="AD241" s="220">
        <f>SupplyChain_Tier2_Frontend[[#This Row],[Spend (£)]]</f>
        <v>0</v>
      </c>
      <c r="AE241" s="174" t="s">
        <v>383</v>
      </c>
      <c r="AF241" s="210" t="e">
        <f>_xlfn.XLOOKUP(_xlfn.CONCAT(SupplyChain_Tier2_Backend[[#This Row],[Level 1]:[Level 6]]),rng_EFConcat,rng_EF1)*SupplyChain_Tier2_Backend[[#This Row],[Converted data]]/1000</f>
        <v>#N/A</v>
      </c>
      <c r="AG241" s="210" t="e">
        <f>_xlfn.XLOOKUP(_xlfn.CONCAT(SupplyChain_Tier2_Backend[[#This Row],[Level 1]:[Level 6]]),rng_EFConcat,rng_EF2)*SupplyChain_Tier2_Backend[[#This Row],[Converted data]]/1000</f>
        <v>#N/A</v>
      </c>
      <c r="AH241" s="210">
        <f>SupplyChain_Tier2_Frontend[[#This Row],[Emissions (kgCO2e)]]/1000</f>
        <v>0</v>
      </c>
      <c r="AI241" s="210" t="e">
        <f>_xlfn.XLOOKUP(_xlfn.CONCAT(SupplyChain_Tier2_Backend[[#This Row],[Level 1]:[Level 6]]),rng_EFConcat,rng_EF3WTT)*SupplyChain_Tier2_Backend[[#This Row],[Converted data]]/1000</f>
        <v>#N/A</v>
      </c>
      <c r="AJ241" s="210" t="e">
        <f>_xlfn.XLOOKUP(_xlfn.CONCAT(SupplyChain_Tier2_Backend[[#This Row],[Level 1]:[Level 6]]),rng_EFConcat,rng_EF3TD)*SupplyChain_Tier2_Backend[[#This Row],[Converted data]]/1000</f>
        <v>#N/A</v>
      </c>
      <c r="AK241" s="210" t="e">
        <f>_xlfn.XLOOKUP(_xlfn.CONCAT(SupplyChain_Tier2_Backend[[#This Row],[Level 1]:[Level 6]]),rng_EFConcat,rng_EF3WTTTD)*SupplyChain_Tier2_Backend[[#This Row],[Converted data]]/1000</f>
        <v>#N/A</v>
      </c>
      <c r="AL241" s="220" t="e">
        <f>SUM(SupplyChain_Tier2_Backend[[#This Row],[Scope 1 (tCO2e)]:[Scope 3 WTT T&amp;D (tCO2e)]])</f>
        <v>#N/A</v>
      </c>
      <c r="AM241" s="220" t="e">
        <f>SupplyChain_Tier2_Backend[[#This Row],[Total (tCO2e)]]*(1-SupplyChain_Tier2_Backend[[#This Row],[RSD]])</f>
        <v>#N/A</v>
      </c>
      <c r="AN241" s="220" t="e">
        <f>SupplyChain_Tier2_Backend[[#This Row],[Total (tCO2e)]]*(1+SupplyChain_Tier2_Backend[[#This Row],[RSD]])</f>
        <v>#N/A</v>
      </c>
      <c r="AO241" s="210" t="e">
        <f>_xlfn.XLOOKUP(_xlfn.CONCAT(SupplyChain_Tier2_Backend[[#This Row],[Level 1]:[Level 6]]),rng_EFConcat,rng_EFOOS)*SupplyChain_Tier2_Backend[[#This Row],[Converted data]]/1000</f>
        <v>#N/A</v>
      </c>
      <c r="AP241" s="174">
        <f>SupplyChain_Tier2_Frontend[[#This Row],[Ease of collection]]</f>
        <v>0</v>
      </c>
      <c r="AQ241" s="213">
        <f>SupplyChain_Tier2_Frontend[[#This Row],[Completeness]]</f>
        <v>0</v>
      </c>
      <c r="AR241" s="213">
        <f>SupplyChain_Tier2_Frontend[[#This Row],[Notes]]</f>
        <v>0</v>
      </c>
    </row>
    <row r="242" spans="4:44" ht="14.5" x14ac:dyDescent="0.35">
      <c r="D242" s="147">
        <v>114</v>
      </c>
      <c r="E242" s="236" t="str">
        <f t="shared" si="13"/>
        <v/>
      </c>
      <c r="F242" s="336"/>
      <c r="G242" s="334"/>
      <c r="H242" s="334"/>
      <c r="I242" s="334"/>
      <c r="J242" s="336"/>
      <c r="K242" s="336"/>
      <c r="L242" s="337"/>
      <c r="M242" s="242">
        <f t="shared" si="12"/>
        <v>4</v>
      </c>
      <c r="Q242" s="211" t="str">
        <f t="shared" si="14"/>
        <v/>
      </c>
      <c r="R242" s="174" t="s">
        <v>267</v>
      </c>
      <c r="S242" s="174" t="s">
        <v>385</v>
      </c>
      <c r="T242" s="235" t="s">
        <v>385</v>
      </c>
      <c r="U242" s="173" t="str">
        <f>SupplyChain_Tier2_Frontend[[#This Row],[Category]]</f>
        <v/>
      </c>
      <c r="V242" s="173">
        <f>SupplyChain_Tier2_Frontend[[#This Row],[Product Category]]</f>
        <v>0</v>
      </c>
      <c r="W242" s="174" t="s">
        <v>339</v>
      </c>
      <c r="X242" s="174">
        <f>SupplyChain_Tier2_Frontend[[#This Row],[Data type]]</f>
        <v>0</v>
      </c>
      <c r="Y242" s="174" t="s">
        <v>339</v>
      </c>
      <c r="Z242" s="174" t="s">
        <v>199</v>
      </c>
      <c r="AA242" s="229" t="e" cm="1">
        <f t="array" ref="AA242">INDEX(_xlfn.SWITCH(SupplyChain_Tier2_Backend[[#This Row],[Methodology]],"Tier 1",rng_RSD1,"Tier 2",rng_RSD2,"Tier 3",rng_RSD3),MATCH(_xlfn.CONCAT(SupplyChain_Tier2_Backend[[#This Row],[Level 1]:[Level 6]]),rng_LevelsConcat,0))</f>
        <v>#N/A</v>
      </c>
      <c r="AB242" s="220">
        <f>SupplyChain_Tier2_Frontend[[#This Row],[Spend (£)]]</f>
        <v>0</v>
      </c>
      <c r="AC242" s="220" t="s">
        <v>383</v>
      </c>
      <c r="AD242" s="220">
        <f>SupplyChain_Tier2_Frontend[[#This Row],[Spend (£)]]</f>
        <v>0</v>
      </c>
      <c r="AE242" s="174" t="s">
        <v>383</v>
      </c>
      <c r="AF242" s="210" t="e">
        <f>_xlfn.XLOOKUP(_xlfn.CONCAT(SupplyChain_Tier2_Backend[[#This Row],[Level 1]:[Level 6]]),rng_EFConcat,rng_EF1)*SupplyChain_Tier2_Backend[[#This Row],[Converted data]]/1000</f>
        <v>#N/A</v>
      </c>
      <c r="AG242" s="210" t="e">
        <f>_xlfn.XLOOKUP(_xlfn.CONCAT(SupplyChain_Tier2_Backend[[#This Row],[Level 1]:[Level 6]]),rng_EFConcat,rng_EF2)*SupplyChain_Tier2_Backend[[#This Row],[Converted data]]/1000</f>
        <v>#N/A</v>
      </c>
      <c r="AH242" s="210">
        <f>SupplyChain_Tier2_Frontend[[#This Row],[Emissions (kgCO2e)]]/1000</f>
        <v>0</v>
      </c>
      <c r="AI242" s="210" t="e">
        <f>_xlfn.XLOOKUP(_xlfn.CONCAT(SupplyChain_Tier2_Backend[[#This Row],[Level 1]:[Level 6]]),rng_EFConcat,rng_EF3WTT)*SupplyChain_Tier2_Backend[[#This Row],[Converted data]]/1000</f>
        <v>#N/A</v>
      </c>
      <c r="AJ242" s="210" t="e">
        <f>_xlfn.XLOOKUP(_xlfn.CONCAT(SupplyChain_Tier2_Backend[[#This Row],[Level 1]:[Level 6]]),rng_EFConcat,rng_EF3TD)*SupplyChain_Tier2_Backend[[#This Row],[Converted data]]/1000</f>
        <v>#N/A</v>
      </c>
      <c r="AK242" s="210" t="e">
        <f>_xlfn.XLOOKUP(_xlfn.CONCAT(SupplyChain_Tier2_Backend[[#This Row],[Level 1]:[Level 6]]),rng_EFConcat,rng_EF3WTTTD)*SupplyChain_Tier2_Backend[[#This Row],[Converted data]]/1000</f>
        <v>#N/A</v>
      </c>
      <c r="AL242" s="220" t="e">
        <f>SUM(SupplyChain_Tier2_Backend[[#This Row],[Scope 1 (tCO2e)]:[Scope 3 WTT T&amp;D (tCO2e)]])</f>
        <v>#N/A</v>
      </c>
      <c r="AM242" s="220" t="e">
        <f>SupplyChain_Tier2_Backend[[#This Row],[Total (tCO2e)]]*(1-SupplyChain_Tier2_Backend[[#This Row],[RSD]])</f>
        <v>#N/A</v>
      </c>
      <c r="AN242" s="220" t="e">
        <f>SupplyChain_Tier2_Backend[[#This Row],[Total (tCO2e)]]*(1+SupplyChain_Tier2_Backend[[#This Row],[RSD]])</f>
        <v>#N/A</v>
      </c>
      <c r="AO242" s="210" t="e">
        <f>_xlfn.XLOOKUP(_xlfn.CONCAT(SupplyChain_Tier2_Backend[[#This Row],[Level 1]:[Level 6]]),rng_EFConcat,rng_EFOOS)*SupplyChain_Tier2_Backend[[#This Row],[Converted data]]/1000</f>
        <v>#N/A</v>
      </c>
      <c r="AP242" s="174">
        <f>SupplyChain_Tier2_Frontend[[#This Row],[Ease of collection]]</f>
        <v>0</v>
      </c>
      <c r="AQ242" s="213">
        <f>SupplyChain_Tier2_Frontend[[#This Row],[Completeness]]</f>
        <v>0</v>
      </c>
      <c r="AR242" s="213">
        <f>SupplyChain_Tier2_Frontend[[#This Row],[Notes]]</f>
        <v>0</v>
      </c>
    </row>
    <row r="243" spans="4:44" ht="14.5" x14ac:dyDescent="0.35">
      <c r="D243" s="147">
        <v>115</v>
      </c>
      <c r="E243" s="236" t="str">
        <f t="shared" si="13"/>
        <v/>
      </c>
      <c r="F243" s="336"/>
      <c r="G243" s="334"/>
      <c r="H243" s="334"/>
      <c r="I243" s="334"/>
      <c r="J243" s="336"/>
      <c r="K243" s="336"/>
      <c r="L243" s="337"/>
      <c r="M243" s="242">
        <f t="shared" si="12"/>
        <v>4</v>
      </c>
      <c r="Q243" s="211" t="str">
        <f t="shared" si="14"/>
        <v/>
      </c>
      <c r="R243" s="174" t="s">
        <v>267</v>
      </c>
      <c r="S243" s="174" t="s">
        <v>385</v>
      </c>
      <c r="T243" s="235" t="s">
        <v>385</v>
      </c>
      <c r="U243" s="173" t="str">
        <f>SupplyChain_Tier2_Frontend[[#This Row],[Category]]</f>
        <v/>
      </c>
      <c r="V243" s="173">
        <f>SupplyChain_Tier2_Frontend[[#This Row],[Product Category]]</f>
        <v>0</v>
      </c>
      <c r="W243" s="174" t="s">
        <v>339</v>
      </c>
      <c r="X243" s="174">
        <f>SupplyChain_Tier2_Frontend[[#This Row],[Data type]]</f>
        <v>0</v>
      </c>
      <c r="Y243" s="174" t="s">
        <v>339</v>
      </c>
      <c r="Z243" s="174" t="s">
        <v>199</v>
      </c>
      <c r="AA243" s="229" t="e" cm="1">
        <f t="array" ref="AA243">INDEX(_xlfn.SWITCH(SupplyChain_Tier2_Backend[[#This Row],[Methodology]],"Tier 1",rng_RSD1,"Tier 2",rng_RSD2,"Tier 3",rng_RSD3),MATCH(_xlfn.CONCAT(SupplyChain_Tier2_Backend[[#This Row],[Level 1]:[Level 6]]),rng_LevelsConcat,0))</f>
        <v>#N/A</v>
      </c>
      <c r="AB243" s="220">
        <f>SupplyChain_Tier2_Frontend[[#This Row],[Spend (£)]]</f>
        <v>0</v>
      </c>
      <c r="AC243" s="220" t="s">
        <v>383</v>
      </c>
      <c r="AD243" s="220">
        <f>SupplyChain_Tier2_Frontend[[#This Row],[Spend (£)]]</f>
        <v>0</v>
      </c>
      <c r="AE243" s="174" t="s">
        <v>383</v>
      </c>
      <c r="AF243" s="210" t="e">
        <f>_xlfn.XLOOKUP(_xlfn.CONCAT(SupplyChain_Tier2_Backend[[#This Row],[Level 1]:[Level 6]]),rng_EFConcat,rng_EF1)*SupplyChain_Tier2_Backend[[#This Row],[Converted data]]/1000</f>
        <v>#N/A</v>
      </c>
      <c r="AG243" s="210" t="e">
        <f>_xlfn.XLOOKUP(_xlfn.CONCAT(SupplyChain_Tier2_Backend[[#This Row],[Level 1]:[Level 6]]),rng_EFConcat,rng_EF2)*SupplyChain_Tier2_Backend[[#This Row],[Converted data]]/1000</f>
        <v>#N/A</v>
      </c>
      <c r="AH243" s="210">
        <f>SupplyChain_Tier2_Frontend[[#This Row],[Emissions (kgCO2e)]]/1000</f>
        <v>0</v>
      </c>
      <c r="AI243" s="210" t="e">
        <f>_xlfn.XLOOKUP(_xlfn.CONCAT(SupplyChain_Tier2_Backend[[#This Row],[Level 1]:[Level 6]]),rng_EFConcat,rng_EF3WTT)*SupplyChain_Tier2_Backend[[#This Row],[Converted data]]/1000</f>
        <v>#N/A</v>
      </c>
      <c r="AJ243" s="210" t="e">
        <f>_xlfn.XLOOKUP(_xlfn.CONCAT(SupplyChain_Tier2_Backend[[#This Row],[Level 1]:[Level 6]]),rng_EFConcat,rng_EF3TD)*SupplyChain_Tier2_Backend[[#This Row],[Converted data]]/1000</f>
        <v>#N/A</v>
      </c>
      <c r="AK243" s="210" t="e">
        <f>_xlfn.XLOOKUP(_xlfn.CONCAT(SupplyChain_Tier2_Backend[[#This Row],[Level 1]:[Level 6]]),rng_EFConcat,rng_EF3WTTTD)*SupplyChain_Tier2_Backend[[#This Row],[Converted data]]/1000</f>
        <v>#N/A</v>
      </c>
      <c r="AL243" s="220" t="e">
        <f>SUM(SupplyChain_Tier2_Backend[[#This Row],[Scope 1 (tCO2e)]:[Scope 3 WTT T&amp;D (tCO2e)]])</f>
        <v>#N/A</v>
      </c>
      <c r="AM243" s="220" t="e">
        <f>SupplyChain_Tier2_Backend[[#This Row],[Total (tCO2e)]]*(1-SupplyChain_Tier2_Backend[[#This Row],[RSD]])</f>
        <v>#N/A</v>
      </c>
      <c r="AN243" s="220" t="e">
        <f>SupplyChain_Tier2_Backend[[#This Row],[Total (tCO2e)]]*(1+SupplyChain_Tier2_Backend[[#This Row],[RSD]])</f>
        <v>#N/A</v>
      </c>
      <c r="AO243" s="210" t="e">
        <f>_xlfn.XLOOKUP(_xlfn.CONCAT(SupplyChain_Tier2_Backend[[#This Row],[Level 1]:[Level 6]]),rng_EFConcat,rng_EFOOS)*SupplyChain_Tier2_Backend[[#This Row],[Converted data]]/1000</f>
        <v>#N/A</v>
      </c>
      <c r="AP243" s="174">
        <f>SupplyChain_Tier2_Frontend[[#This Row],[Ease of collection]]</f>
        <v>0</v>
      </c>
      <c r="AQ243" s="213">
        <f>SupplyChain_Tier2_Frontend[[#This Row],[Completeness]]</f>
        <v>0</v>
      </c>
      <c r="AR243" s="213">
        <f>SupplyChain_Tier2_Frontend[[#This Row],[Notes]]</f>
        <v>0</v>
      </c>
    </row>
    <row r="244" spans="4:44" ht="14.5" x14ac:dyDescent="0.35">
      <c r="D244" s="147">
        <v>116</v>
      </c>
      <c r="E244" s="236" t="str">
        <f t="shared" si="13"/>
        <v/>
      </c>
      <c r="F244" s="336"/>
      <c r="G244" s="334"/>
      <c r="H244" s="334"/>
      <c r="I244" s="334"/>
      <c r="J244" s="336"/>
      <c r="K244" s="336"/>
      <c r="L244" s="337"/>
      <c r="M244" s="242">
        <f t="shared" si="12"/>
        <v>4</v>
      </c>
      <c r="Q244" s="211" t="str">
        <f t="shared" si="14"/>
        <v/>
      </c>
      <c r="R244" s="174" t="s">
        <v>267</v>
      </c>
      <c r="S244" s="174" t="s">
        <v>385</v>
      </c>
      <c r="T244" s="235" t="s">
        <v>385</v>
      </c>
      <c r="U244" s="173" t="str">
        <f>SupplyChain_Tier2_Frontend[[#This Row],[Category]]</f>
        <v/>
      </c>
      <c r="V244" s="173">
        <f>SupplyChain_Tier2_Frontend[[#This Row],[Product Category]]</f>
        <v>0</v>
      </c>
      <c r="W244" s="174" t="s">
        <v>339</v>
      </c>
      <c r="X244" s="174">
        <f>SupplyChain_Tier2_Frontend[[#This Row],[Data type]]</f>
        <v>0</v>
      </c>
      <c r="Y244" s="174" t="s">
        <v>339</v>
      </c>
      <c r="Z244" s="174" t="s">
        <v>199</v>
      </c>
      <c r="AA244" s="229" t="e" cm="1">
        <f t="array" ref="AA244">INDEX(_xlfn.SWITCH(SupplyChain_Tier2_Backend[[#This Row],[Methodology]],"Tier 1",rng_RSD1,"Tier 2",rng_RSD2,"Tier 3",rng_RSD3),MATCH(_xlfn.CONCAT(SupplyChain_Tier2_Backend[[#This Row],[Level 1]:[Level 6]]),rng_LevelsConcat,0))</f>
        <v>#N/A</v>
      </c>
      <c r="AB244" s="220">
        <f>SupplyChain_Tier2_Frontend[[#This Row],[Spend (£)]]</f>
        <v>0</v>
      </c>
      <c r="AC244" s="220" t="s">
        <v>383</v>
      </c>
      <c r="AD244" s="220">
        <f>SupplyChain_Tier2_Frontend[[#This Row],[Spend (£)]]</f>
        <v>0</v>
      </c>
      <c r="AE244" s="174" t="s">
        <v>383</v>
      </c>
      <c r="AF244" s="210" t="e">
        <f>_xlfn.XLOOKUP(_xlfn.CONCAT(SupplyChain_Tier2_Backend[[#This Row],[Level 1]:[Level 6]]),rng_EFConcat,rng_EF1)*SupplyChain_Tier2_Backend[[#This Row],[Converted data]]/1000</f>
        <v>#N/A</v>
      </c>
      <c r="AG244" s="210" t="e">
        <f>_xlfn.XLOOKUP(_xlfn.CONCAT(SupplyChain_Tier2_Backend[[#This Row],[Level 1]:[Level 6]]),rng_EFConcat,rng_EF2)*SupplyChain_Tier2_Backend[[#This Row],[Converted data]]/1000</f>
        <v>#N/A</v>
      </c>
      <c r="AH244" s="210">
        <f>SupplyChain_Tier2_Frontend[[#This Row],[Emissions (kgCO2e)]]/1000</f>
        <v>0</v>
      </c>
      <c r="AI244" s="210" t="e">
        <f>_xlfn.XLOOKUP(_xlfn.CONCAT(SupplyChain_Tier2_Backend[[#This Row],[Level 1]:[Level 6]]),rng_EFConcat,rng_EF3WTT)*SupplyChain_Tier2_Backend[[#This Row],[Converted data]]/1000</f>
        <v>#N/A</v>
      </c>
      <c r="AJ244" s="210" t="e">
        <f>_xlfn.XLOOKUP(_xlfn.CONCAT(SupplyChain_Tier2_Backend[[#This Row],[Level 1]:[Level 6]]),rng_EFConcat,rng_EF3TD)*SupplyChain_Tier2_Backend[[#This Row],[Converted data]]/1000</f>
        <v>#N/A</v>
      </c>
      <c r="AK244" s="210" t="e">
        <f>_xlfn.XLOOKUP(_xlfn.CONCAT(SupplyChain_Tier2_Backend[[#This Row],[Level 1]:[Level 6]]),rng_EFConcat,rng_EF3WTTTD)*SupplyChain_Tier2_Backend[[#This Row],[Converted data]]/1000</f>
        <v>#N/A</v>
      </c>
      <c r="AL244" s="220" t="e">
        <f>SUM(SupplyChain_Tier2_Backend[[#This Row],[Scope 1 (tCO2e)]:[Scope 3 WTT T&amp;D (tCO2e)]])</f>
        <v>#N/A</v>
      </c>
      <c r="AM244" s="220" t="e">
        <f>SupplyChain_Tier2_Backend[[#This Row],[Total (tCO2e)]]*(1-SupplyChain_Tier2_Backend[[#This Row],[RSD]])</f>
        <v>#N/A</v>
      </c>
      <c r="AN244" s="220" t="e">
        <f>SupplyChain_Tier2_Backend[[#This Row],[Total (tCO2e)]]*(1+SupplyChain_Tier2_Backend[[#This Row],[RSD]])</f>
        <v>#N/A</v>
      </c>
      <c r="AO244" s="210" t="e">
        <f>_xlfn.XLOOKUP(_xlfn.CONCAT(SupplyChain_Tier2_Backend[[#This Row],[Level 1]:[Level 6]]),rng_EFConcat,rng_EFOOS)*SupplyChain_Tier2_Backend[[#This Row],[Converted data]]/1000</f>
        <v>#N/A</v>
      </c>
      <c r="AP244" s="174">
        <f>SupplyChain_Tier2_Frontend[[#This Row],[Ease of collection]]</f>
        <v>0</v>
      </c>
      <c r="AQ244" s="213">
        <f>SupplyChain_Tier2_Frontend[[#This Row],[Completeness]]</f>
        <v>0</v>
      </c>
      <c r="AR244" s="213">
        <f>SupplyChain_Tier2_Frontend[[#This Row],[Notes]]</f>
        <v>0</v>
      </c>
    </row>
    <row r="245" spans="4:44" ht="14.5" x14ac:dyDescent="0.35">
      <c r="D245" s="147">
        <v>117</v>
      </c>
      <c r="E245" s="236" t="str">
        <f t="shared" si="13"/>
        <v/>
      </c>
      <c r="F245" s="336"/>
      <c r="G245" s="334"/>
      <c r="H245" s="334"/>
      <c r="I245" s="334"/>
      <c r="J245" s="336"/>
      <c r="K245" s="336"/>
      <c r="L245" s="337"/>
      <c r="M245" s="242">
        <f t="shared" si="12"/>
        <v>4</v>
      </c>
      <c r="Q245" s="211" t="str">
        <f t="shared" si="14"/>
        <v/>
      </c>
      <c r="R245" s="174" t="s">
        <v>267</v>
      </c>
      <c r="S245" s="174" t="s">
        <v>385</v>
      </c>
      <c r="T245" s="235" t="s">
        <v>385</v>
      </c>
      <c r="U245" s="173" t="str">
        <f>SupplyChain_Tier2_Frontend[[#This Row],[Category]]</f>
        <v/>
      </c>
      <c r="V245" s="173">
        <f>SupplyChain_Tier2_Frontend[[#This Row],[Product Category]]</f>
        <v>0</v>
      </c>
      <c r="W245" s="174" t="s">
        <v>339</v>
      </c>
      <c r="X245" s="174">
        <f>SupplyChain_Tier2_Frontend[[#This Row],[Data type]]</f>
        <v>0</v>
      </c>
      <c r="Y245" s="174" t="s">
        <v>339</v>
      </c>
      <c r="Z245" s="174" t="s">
        <v>199</v>
      </c>
      <c r="AA245" s="229" t="e" cm="1">
        <f t="array" ref="AA245">INDEX(_xlfn.SWITCH(SupplyChain_Tier2_Backend[[#This Row],[Methodology]],"Tier 1",rng_RSD1,"Tier 2",rng_RSD2,"Tier 3",rng_RSD3),MATCH(_xlfn.CONCAT(SupplyChain_Tier2_Backend[[#This Row],[Level 1]:[Level 6]]),rng_LevelsConcat,0))</f>
        <v>#N/A</v>
      </c>
      <c r="AB245" s="220">
        <f>SupplyChain_Tier2_Frontend[[#This Row],[Spend (£)]]</f>
        <v>0</v>
      </c>
      <c r="AC245" s="220" t="s">
        <v>383</v>
      </c>
      <c r="AD245" s="220">
        <f>SupplyChain_Tier2_Frontend[[#This Row],[Spend (£)]]</f>
        <v>0</v>
      </c>
      <c r="AE245" s="174" t="s">
        <v>383</v>
      </c>
      <c r="AF245" s="210" t="e">
        <f>_xlfn.XLOOKUP(_xlfn.CONCAT(SupplyChain_Tier2_Backend[[#This Row],[Level 1]:[Level 6]]),rng_EFConcat,rng_EF1)*SupplyChain_Tier2_Backend[[#This Row],[Converted data]]/1000</f>
        <v>#N/A</v>
      </c>
      <c r="AG245" s="210" t="e">
        <f>_xlfn.XLOOKUP(_xlfn.CONCAT(SupplyChain_Tier2_Backend[[#This Row],[Level 1]:[Level 6]]),rng_EFConcat,rng_EF2)*SupplyChain_Tier2_Backend[[#This Row],[Converted data]]/1000</f>
        <v>#N/A</v>
      </c>
      <c r="AH245" s="210">
        <f>SupplyChain_Tier2_Frontend[[#This Row],[Emissions (kgCO2e)]]/1000</f>
        <v>0</v>
      </c>
      <c r="AI245" s="210" t="e">
        <f>_xlfn.XLOOKUP(_xlfn.CONCAT(SupplyChain_Tier2_Backend[[#This Row],[Level 1]:[Level 6]]),rng_EFConcat,rng_EF3WTT)*SupplyChain_Tier2_Backend[[#This Row],[Converted data]]/1000</f>
        <v>#N/A</v>
      </c>
      <c r="AJ245" s="210" t="e">
        <f>_xlfn.XLOOKUP(_xlfn.CONCAT(SupplyChain_Tier2_Backend[[#This Row],[Level 1]:[Level 6]]),rng_EFConcat,rng_EF3TD)*SupplyChain_Tier2_Backend[[#This Row],[Converted data]]/1000</f>
        <v>#N/A</v>
      </c>
      <c r="AK245" s="210" t="e">
        <f>_xlfn.XLOOKUP(_xlfn.CONCAT(SupplyChain_Tier2_Backend[[#This Row],[Level 1]:[Level 6]]),rng_EFConcat,rng_EF3WTTTD)*SupplyChain_Tier2_Backend[[#This Row],[Converted data]]/1000</f>
        <v>#N/A</v>
      </c>
      <c r="AL245" s="220" t="e">
        <f>SUM(SupplyChain_Tier2_Backend[[#This Row],[Scope 1 (tCO2e)]:[Scope 3 WTT T&amp;D (tCO2e)]])</f>
        <v>#N/A</v>
      </c>
      <c r="AM245" s="220" t="e">
        <f>SupplyChain_Tier2_Backend[[#This Row],[Total (tCO2e)]]*(1-SupplyChain_Tier2_Backend[[#This Row],[RSD]])</f>
        <v>#N/A</v>
      </c>
      <c r="AN245" s="220" t="e">
        <f>SupplyChain_Tier2_Backend[[#This Row],[Total (tCO2e)]]*(1+SupplyChain_Tier2_Backend[[#This Row],[RSD]])</f>
        <v>#N/A</v>
      </c>
      <c r="AO245" s="210" t="e">
        <f>_xlfn.XLOOKUP(_xlfn.CONCAT(SupplyChain_Tier2_Backend[[#This Row],[Level 1]:[Level 6]]),rng_EFConcat,rng_EFOOS)*SupplyChain_Tier2_Backend[[#This Row],[Converted data]]/1000</f>
        <v>#N/A</v>
      </c>
      <c r="AP245" s="174">
        <f>SupplyChain_Tier2_Frontend[[#This Row],[Ease of collection]]</f>
        <v>0</v>
      </c>
      <c r="AQ245" s="213">
        <f>SupplyChain_Tier2_Frontend[[#This Row],[Completeness]]</f>
        <v>0</v>
      </c>
      <c r="AR245" s="213">
        <f>SupplyChain_Tier2_Frontend[[#This Row],[Notes]]</f>
        <v>0</v>
      </c>
    </row>
    <row r="246" spans="4:44" ht="14.5" x14ac:dyDescent="0.35">
      <c r="D246" s="147">
        <v>118</v>
      </c>
      <c r="E246" s="236" t="str">
        <f t="shared" si="13"/>
        <v/>
      </c>
      <c r="F246" s="336"/>
      <c r="G246" s="334"/>
      <c r="H246" s="334"/>
      <c r="I246" s="334"/>
      <c r="J246" s="336"/>
      <c r="K246" s="336"/>
      <c r="L246" s="337"/>
      <c r="M246" s="242">
        <f t="shared" si="12"/>
        <v>4</v>
      </c>
      <c r="Q246" s="211" t="str">
        <f t="shared" si="14"/>
        <v/>
      </c>
      <c r="R246" s="174" t="s">
        <v>267</v>
      </c>
      <c r="S246" s="174" t="s">
        <v>385</v>
      </c>
      <c r="T246" s="235" t="s">
        <v>385</v>
      </c>
      <c r="U246" s="173" t="str">
        <f>SupplyChain_Tier2_Frontend[[#This Row],[Category]]</f>
        <v/>
      </c>
      <c r="V246" s="173">
        <f>SupplyChain_Tier2_Frontend[[#This Row],[Product Category]]</f>
        <v>0</v>
      </c>
      <c r="W246" s="174" t="s">
        <v>339</v>
      </c>
      <c r="X246" s="174">
        <f>SupplyChain_Tier2_Frontend[[#This Row],[Data type]]</f>
        <v>0</v>
      </c>
      <c r="Y246" s="174" t="s">
        <v>339</v>
      </c>
      <c r="Z246" s="174" t="s">
        <v>199</v>
      </c>
      <c r="AA246" s="229" t="e" cm="1">
        <f t="array" ref="AA246">INDEX(_xlfn.SWITCH(SupplyChain_Tier2_Backend[[#This Row],[Methodology]],"Tier 1",rng_RSD1,"Tier 2",rng_RSD2,"Tier 3",rng_RSD3),MATCH(_xlfn.CONCAT(SupplyChain_Tier2_Backend[[#This Row],[Level 1]:[Level 6]]),rng_LevelsConcat,0))</f>
        <v>#N/A</v>
      </c>
      <c r="AB246" s="220">
        <f>SupplyChain_Tier2_Frontend[[#This Row],[Spend (£)]]</f>
        <v>0</v>
      </c>
      <c r="AC246" s="220" t="s">
        <v>383</v>
      </c>
      <c r="AD246" s="220">
        <f>SupplyChain_Tier2_Frontend[[#This Row],[Spend (£)]]</f>
        <v>0</v>
      </c>
      <c r="AE246" s="174" t="s">
        <v>383</v>
      </c>
      <c r="AF246" s="210" t="e">
        <f>_xlfn.XLOOKUP(_xlfn.CONCAT(SupplyChain_Tier2_Backend[[#This Row],[Level 1]:[Level 6]]),rng_EFConcat,rng_EF1)*SupplyChain_Tier2_Backend[[#This Row],[Converted data]]/1000</f>
        <v>#N/A</v>
      </c>
      <c r="AG246" s="210" t="e">
        <f>_xlfn.XLOOKUP(_xlfn.CONCAT(SupplyChain_Tier2_Backend[[#This Row],[Level 1]:[Level 6]]),rng_EFConcat,rng_EF2)*SupplyChain_Tier2_Backend[[#This Row],[Converted data]]/1000</f>
        <v>#N/A</v>
      </c>
      <c r="AH246" s="210">
        <f>SupplyChain_Tier2_Frontend[[#This Row],[Emissions (kgCO2e)]]/1000</f>
        <v>0</v>
      </c>
      <c r="AI246" s="210" t="e">
        <f>_xlfn.XLOOKUP(_xlfn.CONCAT(SupplyChain_Tier2_Backend[[#This Row],[Level 1]:[Level 6]]),rng_EFConcat,rng_EF3WTT)*SupplyChain_Tier2_Backend[[#This Row],[Converted data]]/1000</f>
        <v>#N/A</v>
      </c>
      <c r="AJ246" s="210" t="e">
        <f>_xlfn.XLOOKUP(_xlfn.CONCAT(SupplyChain_Tier2_Backend[[#This Row],[Level 1]:[Level 6]]),rng_EFConcat,rng_EF3TD)*SupplyChain_Tier2_Backend[[#This Row],[Converted data]]/1000</f>
        <v>#N/A</v>
      </c>
      <c r="AK246" s="210" t="e">
        <f>_xlfn.XLOOKUP(_xlfn.CONCAT(SupplyChain_Tier2_Backend[[#This Row],[Level 1]:[Level 6]]),rng_EFConcat,rng_EF3WTTTD)*SupplyChain_Tier2_Backend[[#This Row],[Converted data]]/1000</f>
        <v>#N/A</v>
      </c>
      <c r="AL246" s="220" t="e">
        <f>SUM(SupplyChain_Tier2_Backend[[#This Row],[Scope 1 (tCO2e)]:[Scope 3 WTT T&amp;D (tCO2e)]])</f>
        <v>#N/A</v>
      </c>
      <c r="AM246" s="220" t="e">
        <f>SupplyChain_Tier2_Backend[[#This Row],[Total (tCO2e)]]*(1-SupplyChain_Tier2_Backend[[#This Row],[RSD]])</f>
        <v>#N/A</v>
      </c>
      <c r="AN246" s="220" t="e">
        <f>SupplyChain_Tier2_Backend[[#This Row],[Total (tCO2e)]]*(1+SupplyChain_Tier2_Backend[[#This Row],[RSD]])</f>
        <v>#N/A</v>
      </c>
      <c r="AO246" s="210" t="e">
        <f>_xlfn.XLOOKUP(_xlfn.CONCAT(SupplyChain_Tier2_Backend[[#This Row],[Level 1]:[Level 6]]),rng_EFConcat,rng_EFOOS)*SupplyChain_Tier2_Backend[[#This Row],[Converted data]]/1000</f>
        <v>#N/A</v>
      </c>
      <c r="AP246" s="174">
        <f>SupplyChain_Tier2_Frontend[[#This Row],[Ease of collection]]</f>
        <v>0</v>
      </c>
      <c r="AQ246" s="213">
        <f>SupplyChain_Tier2_Frontend[[#This Row],[Completeness]]</f>
        <v>0</v>
      </c>
      <c r="AR246" s="213">
        <f>SupplyChain_Tier2_Frontend[[#This Row],[Notes]]</f>
        <v>0</v>
      </c>
    </row>
    <row r="247" spans="4:44" ht="14.5" x14ac:dyDescent="0.35">
      <c r="D247" s="147">
        <v>119</v>
      </c>
      <c r="E247" s="236" t="str">
        <f t="shared" si="13"/>
        <v/>
      </c>
      <c r="F247" s="336"/>
      <c r="G247" s="334"/>
      <c r="H247" s="334"/>
      <c r="I247" s="334"/>
      <c r="J247" s="336"/>
      <c r="K247" s="336"/>
      <c r="L247" s="337"/>
      <c r="M247" s="242">
        <f t="shared" si="12"/>
        <v>4</v>
      </c>
      <c r="Q247" s="211" t="str">
        <f t="shared" si="14"/>
        <v/>
      </c>
      <c r="R247" s="174" t="s">
        <v>267</v>
      </c>
      <c r="S247" s="174" t="s">
        <v>385</v>
      </c>
      <c r="T247" s="235" t="s">
        <v>385</v>
      </c>
      <c r="U247" s="173" t="str">
        <f>SupplyChain_Tier2_Frontend[[#This Row],[Category]]</f>
        <v/>
      </c>
      <c r="V247" s="173">
        <f>SupplyChain_Tier2_Frontend[[#This Row],[Product Category]]</f>
        <v>0</v>
      </c>
      <c r="W247" s="174" t="s">
        <v>339</v>
      </c>
      <c r="X247" s="174">
        <f>SupplyChain_Tier2_Frontend[[#This Row],[Data type]]</f>
        <v>0</v>
      </c>
      <c r="Y247" s="174" t="s">
        <v>339</v>
      </c>
      <c r="Z247" s="174" t="s">
        <v>199</v>
      </c>
      <c r="AA247" s="229" t="e" cm="1">
        <f t="array" ref="AA247">INDEX(_xlfn.SWITCH(SupplyChain_Tier2_Backend[[#This Row],[Methodology]],"Tier 1",rng_RSD1,"Tier 2",rng_RSD2,"Tier 3",rng_RSD3),MATCH(_xlfn.CONCAT(SupplyChain_Tier2_Backend[[#This Row],[Level 1]:[Level 6]]),rng_LevelsConcat,0))</f>
        <v>#N/A</v>
      </c>
      <c r="AB247" s="220">
        <f>SupplyChain_Tier2_Frontend[[#This Row],[Spend (£)]]</f>
        <v>0</v>
      </c>
      <c r="AC247" s="220" t="s">
        <v>383</v>
      </c>
      <c r="AD247" s="220">
        <f>SupplyChain_Tier2_Frontend[[#This Row],[Spend (£)]]</f>
        <v>0</v>
      </c>
      <c r="AE247" s="174" t="s">
        <v>383</v>
      </c>
      <c r="AF247" s="210" t="e">
        <f>_xlfn.XLOOKUP(_xlfn.CONCAT(SupplyChain_Tier2_Backend[[#This Row],[Level 1]:[Level 6]]),rng_EFConcat,rng_EF1)*SupplyChain_Tier2_Backend[[#This Row],[Converted data]]/1000</f>
        <v>#N/A</v>
      </c>
      <c r="AG247" s="210" t="e">
        <f>_xlfn.XLOOKUP(_xlfn.CONCAT(SupplyChain_Tier2_Backend[[#This Row],[Level 1]:[Level 6]]),rng_EFConcat,rng_EF2)*SupplyChain_Tier2_Backend[[#This Row],[Converted data]]/1000</f>
        <v>#N/A</v>
      </c>
      <c r="AH247" s="210">
        <f>SupplyChain_Tier2_Frontend[[#This Row],[Emissions (kgCO2e)]]/1000</f>
        <v>0</v>
      </c>
      <c r="AI247" s="210" t="e">
        <f>_xlfn.XLOOKUP(_xlfn.CONCAT(SupplyChain_Tier2_Backend[[#This Row],[Level 1]:[Level 6]]),rng_EFConcat,rng_EF3WTT)*SupplyChain_Tier2_Backend[[#This Row],[Converted data]]/1000</f>
        <v>#N/A</v>
      </c>
      <c r="AJ247" s="210" t="e">
        <f>_xlfn.XLOOKUP(_xlfn.CONCAT(SupplyChain_Tier2_Backend[[#This Row],[Level 1]:[Level 6]]),rng_EFConcat,rng_EF3TD)*SupplyChain_Tier2_Backend[[#This Row],[Converted data]]/1000</f>
        <v>#N/A</v>
      </c>
      <c r="AK247" s="210" t="e">
        <f>_xlfn.XLOOKUP(_xlfn.CONCAT(SupplyChain_Tier2_Backend[[#This Row],[Level 1]:[Level 6]]),rng_EFConcat,rng_EF3WTTTD)*SupplyChain_Tier2_Backend[[#This Row],[Converted data]]/1000</f>
        <v>#N/A</v>
      </c>
      <c r="AL247" s="220" t="e">
        <f>SUM(SupplyChain_Tier2_Backend[[#This Row],[Scope 1 (tCO2e)]:[Scope 3 WTT T&amp;D (tCO2e)]])</f>
        <v>#N/A</v>
      </c>
      <c r="AM247" s="220" t="e">
        <f>SupplyChain_Tier2_Backend[[#This Row],[Total (tCO2e)]]*(1-SupplyChain_Tier2_Backend[[#This Row],[RSD]])</f>
        <v>#N/A</v>
      </c>
      <c r="AN247" s="220" t="e">
        <f>SupplyChain_Tier2_Backend[[#This Row],[Total (tCO2e)]]*(1+SupplyChain_Tier2_Backend[[#This Row],[RSD]])</f>
        <v>#N/A</v>
      </c>
      <c r="AO247" s="210" t="e">
        <f>_xlfn.XLOOKUP(_xlfn.CONCAT(SupplyChain_Tier2_Backend[[#This Row],[Level 1]:[Level 6]]),rng_EFConcat,rng_EFOOS)*SupplyChain_Tier2_Backend[[#This Row],[Converted data]]/1000</f>
        <v>#N/A</v>
      </c>
      <c r="AP247" s="174">
        <f>SupplyChain_Tier2_Frontend[[#This Row],[Ease of collection]]</f>
        <v>0</v>
      </c>
      <c r="AQ247" s="213">
        <f>SupplyChain_Tier2_Frontend[[#This Row],[Completeness]]</f>
        <v>0</v>
      </c>
      <c r="AR247" s="213">
        <f>SupplyChain_Tier2_Frontend[[#This Row],[Notes]]</f>
        <v>0</v>
      </c>
    </row>
    <row r="248" spans="4:44" ht="14.5" x14ac:dyDescent="0.35">
      <c r="D248" s="147">
        <v>120</v>
      </c>
      <c r="E248" s="236" t="str">
        <f t="shared" si="13"/>
        <v/>
      </c>
      <c r="F248" s="338"/>
      <c r="G248" s="335"/>
      <c r="H248" s="335"/>
      <c r="I248" s="335"/>
      <c r="J248" s="338"/>
      <c r="K248" s="338"/>
      <c r="L248" s="339"/>
      <c r="M248" s="242">
        <f t="shared" si="12"/>
        <v>4</v>
      </c>
      <c r="Q248" s="223" t="str">
        <f t="shared" si="14"/>
        <v/>
      </c>
      <c r="R248" s="174" t="s">
        <v>267</v>
      </c>
      <c r="S248" s="174" t="s">
        <v>385</v>
      </c>
      <c r="T248" s="235" t="s">
        <v>385</v>
      </c>
      <c r="U248" s="215" t="str">
        <f>SupplyChain_Tier2_Frontend[[#This Row],[Category]]</f>
        <v/>
      </c>
      <c r="V248" s="215">
        <f>SupplyChain_Tier2_Frontend[[#This Row],[Product Category]]</f>
        <v>0</v>
      </c>
      <c r="W248" s="174" t="s">
        <v>339</v>
      </c>
      <c r="X248" s="174">
        <f>SupplyChain_Tier2_Frontend[[#This Row],[Data type]]</f>
        <v>0</v>
      </c>
      <c r="Y248" s="174" t="s">
        <v>339</v>
      </c>
      <c r="Z248" s="174" t="s">
        <v>199</v>
      </c>
      <c r="AA248" s="229" t="e" cm="1">
        <f t="array" ref="AA248">INDEX(_xlfn.SWITCH(SupplyChain_Tier2_Backend[[#This Row],[Methodology]],"Tier 1",rng_RSD1,"Tier 2",rng_RSD2,"Tier 3",rng_RSD3),MATCH(_xlfn.CONCAT(SupplyChain_Tier2_Backend[[#This Row],[Level 1]:[Level 6]]),rng_LevelsConcat,0))</f>
        <v>#N/A</v>
      </c>
      <c r="AB248" s="221">
        <f>SupplyChain_Tier2_Frontend[[#This Row],[Spend (£)]]</f>
        <v>0</v>
      </c>
      <c r="AC248" s="220" t="s">
        <v>383</v>
      </c>
      <c r="AD248" s="221">
        <f>SupplyChain_Tier2_Frontend[[#This Row],[Spend (£)]]</f>
        <v>0</v>
      </c>
      <c r="AE248" s="174" t="s">
        <v>383</v>
      </c>
      <c r="AF248" s="210" t="e">
        <f>_xlfn.XLOOKUP(_xlfn.CONCAT(SupplyChain_Tier2_Backend[[#This Row],[Level 1]:[Level 6]]),rng_EFConcat,rng_EF1)*SupplyChain_Tier2_Backend[[#This Row],[Converted data]]/1000</f>
        <v>#N/A</v>
      </c>
      <c r="AG248" s="210" t="e">
        <f>_xlfn.XLOOKUP(_xlfn.CONCAT(SupplyChain_Tier2_Backend[[#This Row],[Level 1]:[Level 6]]),rng_EFConcat,rng_EF2)*SupplyChain_Tier2_Backend[[#This Row],[Converted data]]/1000</f>
        <v>#N/A</v>
      </c>
      <c r="AH248" s="210">
        <f>SupplyChain_Tier2_Frontend[[#This Row],[Emissions (kgCO2e)]]/1000</f>
        <v>0</v>
      </c>
      <c r="AI248" s="210" t="e">
        <f>_xlfn.XLOOKUP(_xlfn.CONCAT(SupplyChain_Tier2_Backend[[#This Row],[Level 1]:[Level 6]]),rng_EFConcat,rng_EF3WTT)*SupplyChain_Tier2_Backend[[#This Row],[Converted data]]/1000</f>
        <v>#N/A</v>
      </c>
      <c r="AJ248" s="210" t="e">
        <f>_xlfn.XLOOKUP(_xlfn.CONCAT(SupplyChain_Tier2_Backend[[#This Row],[Level 1]:[Level 6]]),rng_EFConcat,rng_EF3TD)*SupplyChain_Tier2_Backend[[#This Row],[Converted data]]/1000</f>
        <v>#N/A</v>
      </c>
      <c r="AK248" s="210" t="e">
        <f>_xlfn.XLOOKUP(_xlfn.CONCAT(SupplyChain_Tier2_Backend[[#This Row],[Level 1]:[Level 6]]),rng_EFConcat,rng_EF3WTTTD)*SupplyChain_Tier2_Backend[[#This Row],[Converted data]]/1000</f>
        <v>#N/A</v>
      </c>
      <c r="AL248" s="220" t="e">
        <f>SUM(SupplyChain_Tier2_Backend[[#This Row],[Scope 1 (tCO2e)]:[Scope 3 WTT T&amp;D (tCO2e)]])</f>
        <v>#N/A</v>
      </c>
      <c r="AM248" s="220" t="e">
        <f>SupplyChain_Tier2_Backend[[#This Row],[Total (tCO2e)]]*(1-SupplyChain_Tier2_Backend[[#This Row],[RSD]])</f>
        <v>#N/A</v>
      </c>
      <c r="AN248" s="220" t="e">
        <f>SupplyChain_Tier2_Backend[[#This Row],[Total (tCO2e)]]*(1+SupplyChain_Tier2_Backend[[#This Row],[RSD]])</f>
        <v>#N/A</v>
      </c>
      <c r="AO248" s="210" t="e">
        <f>_xlfn.XLOOKUP(_xlfn.CONCAT(SupplyChain_Tier2_Backend[[#This Row],[Level 1]:[Level 6]]),rng_EFConcat,rng_EFOOS)*SupplyChain_Tier2_Backend[[#This Row],[Converted data]]/1000</f>
        <v>#N/A</v>
      </c>
      <c r="AP248" s="216">
        <f>SupplyChain_Tier2_Frontend[[#This Row],[Ease of collection]]</f>
        <v>0</v>
      </c>
      <c r="AQ248" s="228">
        <f>SupplyChain_Tier2_Frontend[[#This Row],[Completeness]]</f>
        <v>0</v>
      </c>
      <c r="AR248" s="228">
        <f>SupplyChain_Tier2_Frontend[[#This Row],[Notes]]</f>
        <v>0</v>
      </c>
    </row>
  </sheetData>
  <sheetProtection algorithmName="SHA-512" hashValue="hcIGY3fqKSzHK+shPoVaQkhLjf9KR2BUEBV/KF/nQavO23obvq49/6kY9n8b/zMkWhTDTr72kIfVmmgC8n8OoQ==" saltValue="T+g0bnql5qNcocsAnmPSSQ==" spinCount="100000" sheet="1" formatColumns="0"/>
  <mergeCells count="3">
    <mergeCell ref="B5:B9"/>
    <mergeCell ref="B128:B140"/>
    <mergeCell ref="B13:B25"/>
  </mergeCells>
  <phoneticPr fontId="16" type="noConversion"/>
  <conditionalFormatting sqref="J1">
    <cfRule type="containsText" dxfId="13" priority="1" operator="containsText" text="No data missing">
      <formula>NOT(ISERROR(SEARCH("No data missing",J1)))</formula>
    </cfRule>
  </conditionalFormatting>
  <conditionalFormatting sqref="M13">
    <cfRule type="iconSet" priority="3">
      <iconSet showValue="0">
        <cfvo type="percent" val="0"/>
        <cfvo type="num" val="1E-3"/>
        <cfvo type="num" val="1"/>
      </iconSet>
    </cfRule>
  </conditionalFormatting>
  <conditionalFormatting sqref="M128">
    <cfRule type="iconSet" priority="2">
      <iconSet showValue="0">
        <cfvo type="percent" val="0"/>
        <cfvo type="num" val="1E-3"/>
        <cfvo type="num" val="4"/>
      </iconSet>
    </cfRule>
  </conditionalFormatting>
  <dataValidations count="7">
    <dataValidation type="list" allowBlank="1" showInputMessage="1" showErrorMessage="1" sqref="K14:K123 K129:K248" xr:uid="{17B53DCA-0876-4D26-8EAF-AAA17976E9BD}">
      <formula1>rng_data_completeness</formula1>
    </dataValidation>
    <dataValidation type="list" allowBlank="1" showInputMessage="1" showErrorMessage="1" sqref="J14:J123 J129:J248" xr:uid="{075F3A41-3867-4688-83DF-4888FB5C9C36}">
      <formula1>rng_data_ease</formula1>
    </dataValidation>
    <dataValidation type="list" allowBlank="1" showInputMessage="1" showErrorMessage="1" sqref="F129:F248" xr:uid="{9BC047E1-9694-4746-A20A-D13782FA5066}">
      <formula1>$F$14:$F$123</formula1>
    </dataValidation>
    <dataValidation type="list" allowBlank="1" showInputMessage="1" showErrorMessage="1" sqref="I130:I248" xr:uid="{04CED633-BC9E-4FE2-9313-08D5887733C0}">
      <formula1>"rng_supply_chain_data_type"</formula1>
    </dataValidation>
    <dataValidation type="list" allowBlank="1" showInputMessage="1" showErrorMessage="1" sqref="I129" xr:uid="{1865183E-4FD1-46D3-9C99-28319979E2ED}">
      <formula1>rng_supply_chain_data_type</formula1>
    </dataValidation>
    <dataValidation type="list" allowBlank="1" showInputMessage="1" showErrorMessage="1" sqref="R14:R123" xr:uid="{6B5FF5CC-D532-4124-A58F-C1C311DF1008}">
      <formula1>rng_Level1Unique</formula1>
    </dataValidation>
    <dataValidation type="list" allowBlank="1" showInputMessage="1" showErrorMessage="1" sqref="S14:S123" xr:uid="{872FCC3C-CC5B-45A0-B165-12ED646B090D}">
      <formula1>DROPDOWN(rng_Level1,$R14,cl_Level2Target)</formula1>
    </dataValidation>
  </dataValidations>
  <pageMargins left="0.7" right="0.7" top="0.75" bottom="0.75" header="0.3" footer="0.3"/>
  <pageSetup paperSize="9" orientation="portrait" r:id="rId1"/>
  <ignoredErrors>
    <ignoredError sqref="R14:R123 S14:S123 R129:T248" calculatedColumn="1"/>
  </ignoredErrors>
  <tableParts count="4">
    <tablePart r:id="rId2"/>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iconSet" priority="6" id="{BCD25CC5-E799-43CC-A8AA-204451DE926A}">
            <x14:iconSet showValue="0" custom="1">
              <x14:cfvo type="percent">
                <xm:f>0</xm:f>
              </x14:cfvo>
              <x14:cfvo type="num">
                <xm:f>0</xm:f>
              </x14:cfvo>
              <x14:cfvo type="num">
                <xm:f>1</xm:f>
              </x14:cfvo>
              <x14:cfIcon iconSet="4TrafficLights" iconId="0"/>
              <x14:cfIcon iconSet="4TrafficLights" iconId="0"/>
              <x14:cfIcon iconSet="3TrafficLights1" iconId="2"/>
            </x14:iconSet>
          </x14:cfRule>
          <xm:sqref>M14:M123</xm:sqref>
        </x14:conditionalFormatting>
        <x14:conditionalFormatting xmlns:xm="http://schemas.microsoft.com/office/excel/2006/main">
          <x14:cfRule type="iconSet" priority="4" id="{8E2B252E-077F-4DF5-AD47-8EFEB90E33C9}">
            <x14:iconSet showValue="0" custom="1">
              <x14:cfvo type="percent">
                <xm:f>0</xm:f>
              </x14:cfvo>
              <x14:cfvo type="num">
                <xm:f>1</xm:f>
              </x14:cfvo>
              <x14:cfvo type="num">
                <xm:f>4</xm:f>
              </x14:cfvo>
              <x14:cfIcon iconSet="3TrafficLights1" iconId="2"/>
              <x14:cfIcon iconSet="3TrafficLights1" iconId="0"/>
              <x14:cfIcon iconSet="4TrafficLights" iconId="0"/>
            </x14:iconSet>
          </x14:cfRule>
          <xm:sqref>M129:M248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74ED-6C85-4F1C-B931-A14B382F3D18}">
  <sheetPr codeName="Sheet20">
    <tabColor theme="9"/>
  </sheetPr>
  <dimension ref="A1:AV154"/>
  <sheetViews>
    <sheetView showGridLines="0" zoomScale="70" zoomScaleNormal="70" workbookViewId="0">
      <selection activeCell="T13" sqref="T13"/>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5.453125" style="147" customWidth="1"/>
    <col min="5" max="5" width="2.81640625" style="205" customWidth="1"/>
    <col min="6" max="6" width="27.1796875" style="147" customWidth="1"/>
    <col min="7" max="7" width="30.1796875" style="147" customWidth="1"/>
    <col min="8" max="8" width="37.6328125" style="147" bestFit="1" customWidth="1"/>
    <col min="9" max="9" width="27.81640625" style="147" customWidth="1"/>
    <col min="10" max="10" width="24.54296875" style="147" customWidth="1"/>
    <col min="11" max="13" width="26.54296875" style="147" customWidth="1"/>
    <col min="14" max="14" width="24.81640625" style="147" customWidth="1"/>
    <col min="15" max="15" width="25.54296875" style="147" customWidth="1"/>
    <col min="16" max="16" width="36.54296875" style="147" customWidth="1"/>
    <col min="17" max="17" width="35.1796875" style="147" customWidth="1"/>
    <col min="18" max="19" width="3.54296875" style="147" customWidth="1"/>
    <col min="20" max="20" width="17.81640625" style="147" customWidth="1"/>
    <col min="21" max="27" width="17.453125" style="147" customWidth="1" outlineLevel="1"/>
    <col min="28" max="28" width="40" style="147" customWidth="1" outlineLevel="1"/>
    <col min="29" max="33" width="17.453125" style="147" customWidth="1" outlineLevel="1"/>
    <col min="34" max="34" width="19.54296875" style="147" customWidth="1" outlineLevel="1"/>
    <col min="35" max="35" width="19" style="147" customWidth="1" outlineLevel="1"/>
    <col min="36" max="36" width="20.54296875" style="147" customWidth="1" outlineLevel="1"/>
    <col min="37" max="38" width="21" style="147" customWidth="1" outlineLevel="1"/>
    <col min="39" max="39" width="26.453125" style="147" customWidth="1" outlineLevel="1"/>
    <col min="40" max="40" width="26.1796875" style="147" customWidth="1" outlineLevel="1"/>
    <col min="41" max="41" width="31.453125" style="147" customWidth="1" outlineLevel="1"/>
    <col min="42" max="42" width="17.54296875" style="147" customWidth="1" outlineLevel="1"/>
    <col min="43" max="45" width="17.453125" style="147" customWidth="1" outlineLevel="1"/>
    <col min="46" max="46" width="22.453125" style="147" customWidth="1" outlineLevel="1"/>
    <col min="47" max="47" width="18.26953125" style="147" customWidth="1" outlineLevel="1"/>
    <col min="48" max="48" width="17.453125" style="147" customWidth="1" outlineLevel="1"/>
    <col min="49" max="16384" width="8.7265625" style="147"/>
  </cols>
  <sheetData>
    <row r="1" spans="1:48" s="150" customFormat="1" ht="15.5" x14ac:dyDescent="0.35">
      <c r="B1" s="196" t="s">
        <v>213</v>
      </c>
      <c r="C1" s="201"/>
      <c r="D1" s="201"/>
      <c r="E1" s="201"/>
      <c r="F1" s="200" t="s">
        <v>61</v>
      </c>
      <c r="G1" s="201">
        <f>cl_year_select</f>
        <v>0</v>
      </c>
    </row>
    <row r="2" spans="1:48" s="153" customFormat="1" x14ac:dyDescent="0.3">
      <c r="B2" s="197" t="s">
        <v>267</v>
      </c>
      <c r="C2" s="203"/>
      <c r="D2" s="203"/>
      <c r="E2" s="203"/>
      <c r="F2" s="202" t="s">
        <v>64</v>
      </c>
      <c r="G2" s="203">
        <f>cl_org_name_select</f>
        <v>0</v>
      </c>
    </row>
    <row r="3" spans="1:48" x14ac:dyDescent="0.3"/>
    <row r="4" spans="1:48" ht="14.5" x14ac:dyDescent="0.35">
      <c r="B4" s="159" t="s">
        <v>10</v>
      </c>
      <c r="F4" s="191" t="s">
        <v>1</v>
      </c>
      <c r="G4"/>
    </row>
    <row r="5" spans="1:48" ht="14.5" x14ac:dyDescent="0.35">
      <c r="B5" s="455" t="s">
        <v>394</v>
      </c>
      <c r="F5" s="162" t="s">
        <v>37</v>
      </c>
      <c r="G5"/>
    </row>
    <row r="6" spans="1:48" ht="14.5" x14ac:dyDescent="0.35">
      <c r="B6" s="455"/>
      <c r="F6" s="170" t="s">
        <v>38</v>
      </c>
      <c r="G6"/>
    </row>
    <row r="7" spans="1:48" ht="14.5" x14ac:dyDescent="0.35">
      <c r="B7" s="455"/>
      <c r="F7" s="192" t="s">
        <v>283</v>
      </c>
      <c r="G7"/>
    </row>
    <row r="8" spans="1:48" ht="14.5" thickBot="1" x14ac:dyDescent="0.35">
      <c r="B8" s="455"/>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row>
    <row r="9" spans="1:48" x14ac:dyDescent="0.3"/>
    <row r="10" spans="1:48" x14ac:dyDescent="0.3">
      <c r="F10" s="160" t="s">
        <v>395</v>
      </c>
      <c r="I10" s="415"/>
    </row>
    <row r="11" spans="1:48" ht="19.5" customHeight="1" x14ac:dyDescent="0.3">
      <c r="F11" s="416" t="s">
        <v>1861</v>
      </c>
    </row>
    <row r="12" spans="1:48" x14ac:dyDescent="0.3"/>
    <row r="13" spans="1:48" s="389" customFormat="1" ht="22.5" customHeight="1" x14ac:dyDescent="0.35">
      <c r="B13" s="390" t="s">
        <v>12</v>
      </c>
      <c r="E13" s="391"/>
      <c r="F13" s="367" t="s">
        <v>396</v>
      </c>
      <c r="G13" s="367" t="s">
        <v>361</v>
      </c>
      <c r="H13" s="367" t="s">
        <v>397</v>
      </c>
      <c r="I13" s="367" t="s">
        <v>1853</v>
      </c>
      <c r="J13" s="367" t="s">
        <v>1854</v>
      </c>
      <c r="K13" s="367" t="s">
        <v>287</v>
      </c>
      <c r="L13" s="367" t="s">
        <v>1856</v>
      </c>
      <c r="M13" s="367" t="s">
        <v>1855</v>
      </c>
      <c r="N13" s="367" t="s">
        <v>382</v>
      </c>
      <c r="O13" s="367" t="s">
        <v>291</v>
      </c>
      <c r="P13" s="367" t="s">
        <v>292</v>
      </c>
      <c r="Q13" s="367" t="s">
        <v>293</v>
      </c>
      <c r="R13" s="188">
        <f>IFERROR(AVERAGEIF($R$14:$R$94,"&lt;&gt;0",$R$14:$R$94),1)</f>
        <v>9</v>
      </c>
      <c r="U13" s="392" t="s">
        <v>294</v>
      </c>
      <c r="V13" s="393" t="s">
        <v>295</v>
      </c>
      <c r="W13" s="393" t="s">
        <v>296</v>
      </c>
      <c r="X13" s="393" t="s">
        <v>297</v>
      </c>
      <c r="Y13" s="393" t="s">
        <v>298</v>
      </c>
      <c r="Z13" s="393" t="s">
        <v>299</v>
      </c>
      <c r="AA13" s="393" t="s">
        <v>300</v>
      </c>
      <c r="AB13" s="393" t="s">
        <v>301</v>
      </c>
      <c r="AC13" s="393" t="s">
        <v>302</v>
      </c>
      <c r="AD13" s="393" t="s">
        <v>287</v>
      </c>
      <c r="AE13" s="393" t="s">
        <v>303</v>
      </c>
      <c r="AF13" s="393" t="s">
        <v>288</v>
      </c>
      <c r="AG13" s="393" t="s">
        <v>289</v>
      </c>
      <c r="AH13" s="394" t="s">
        <v>304</v>
      </c>
      <c r="AI13" s="394" t="s">
        <v>305</v>
      </c>
      <c r="AJ13" s="394" t="s">
        <v>306</v>
      </c>
      <c r="AK13" s="394" t="s">
        <v>307</v>
      </c>
      <c r="AL13" s="394" t="s">
        <v>308</v>
      </c>
      <c r="AM13" s="394" t="s">
        <v>309</v>
      </c>
      <c r="AN13" s="394" t="s">
        <v>310</v>
      </c>
      <c r="AO13" s="394" t="s">
        <v>311</v>
      </c>
      <c r="AP13" s="394" t="s">
        <v>312</v>
      </c>
      <c r="AQ13" s="394" t="s">
        <v>313</v>
      </c>
      <c r="AR13" s="394" t="s">
        <v>314</v>
      </c>
      <c r="AS13" s="394" t="s">
        <v>315</v>
      </c>
      <c r="AT13" s="394" t="s">
        <v>291</v>
      </c>
      <c r="AU13" s="395" t="s">
        <v>292</v>
      </c>
      <c r="AV13" s="395" t="s">
        <v>293</v>
      </c>
    </row>
    <row r="14" spans="1:48" ht="17.5" customHeight="1" x14ac:dyDescent="0.35">
      <c r="D14" s="204">
        <v>1</v>
      </c>
      <c r="E14" s="206" t="s">
        <v>398</v>
      </c>
      <c r="F14" s="425"/>
      <c r="G14" s="425"/>
      <c r="H14" s="425"/>
      <c r="I14" s="426"/>
      <c r="J14" s="427"/>
      <c r="K14" s="425"/>
      <c r="L14" s="425"/>
      <c r="M14" s="425"/>
      <c r="N14" s="425"/>
      <c r="O14" s="387"/>
      <c r="P14" s="387"/>
      <c r="Q14" s="388"/>
      <c r="R14" s="242">
        <f>ISBLANK(F14)+ISBLANK(G14)+ISBLANK(H14)+ISBLANK(I14)+ISBLANK(J14)+ISBLANK(K14)+ISBLANK(L14)+ISBLANK(M14)+ISBLANK(N14)</f>
        <v>9</v>
      </c>
      <c r="U14" s="214" t="str">
        <f t="shared" ref="U14:U45" si="0">IF(R14=0,SUBSTITUTE(2025&amp;TRIM(cl_org_name_select)&amp;TRIM($F$10)&amp;(ROW(R14)-ROW($R$14))," ",""),"")</f>
        <v/>
      </c>
      <c r="V14" s="216" t="s">
        <v>267</v>
      </c>
      <c r="W14" s="174" t="s">
        <v>385</v>
      </c>
      <c r="X14" s="216" t="str" cm="1">
        <f t="array" aca="1" ref="X14" ca="1">_xlfn.XLOOKUP(SupplyChain_SupplierData_Backend[[#This Row],[Level 2]],rng_Level2Long,rng_Level3Long)</f>
        <v>Supply chain</v>
      </c>
      <c r="Y14" s="216">
        <f>SupplyChain_SupplierData_Frontend[[#This Row],[Category]]</f>
        <v>0</v>
      </c>
      <c r="Z14" s="216">
        <f>SupplyChain_SupplierData_Frontend[[#This Row],[Product category]]</f>
        <v>0</v>
      </c>
      <c r="AA14" s="216" t="e" cm="1">
        <f t="array" aca="1" ref="AA14" ca="1">_xlfn.XLOOKUP(SupplyChain_SupplierData_Backend[[#This Row],[Level 5]],rng_Level5Long,rng_Level6Long)</f>
        <v>#N/A</v>
      </c>
      <c r="AB14" s="216">
        <f>SupplyChain_SupplierData_Frontend[[#This Row],[Data type]]</f>
        <v>0</v>
      </c>
      <c r="AC14" s="414">
        <f>SupplyChain_SupplierData_Frontend[[#This Row],[Data assessment score]]</f>
        <v>0</v>
      </c>
      <c r="AD14" s="216">
        <f>SupplyChain_SupplierData_Frontend[[#This Row],[Methodology]]</f>
        <v>0</v>
      </c>
      <c r="AE14" s="396" t="e" cm="1">
        <f t="array" aca="1" ref="AE14" ca="1">INDEX(_xlfn.SWITCH(SupplyChain_SupplierData_Backend[[#This Row],[Methodology]],"Tier 1",rng_RSD1,"Tier 2",rng_RSD2,"Tier 3",rng_RSD3),MATCH(SupplyChain_SupplierData_Backend[[#This Row],[Level 2]],rng_Level2Long,0))</f>
        <v>#N/A</v>
      </c>
      <c r="AF14" s="218">
        <f>SupplyChain_SupplierData_Frontend[[#This Row],[Spend with supplier GBP]]</f>
        <v>0</v>
      </c>
      <c r="AG14" s="174" t="s">
        <v>383</v>
      </c>
      <c r="AH14" s="218">
        <f>SupplyChain_SupplierData_Backend[[#This Row],[Data]]</f>
        <v>0</v>
      </c>
      <c r="AI14" s="174" t="s">
        <v>383</v>
      </c>
      <c r="AJ14" s="219">
        <v>0</v>
      </c>
      <c r="AK14" s="219">
        <v>0</v>
      </c>
      <c r="AL14" s="219">
        <f>SupplyChain_SupplierData_Frontend[[#This Row],[Emissions kgCO2e]]/1000</f>
        <v>0</v>
      </c>
      <c r="AM14" s="219">
        <v>0</v>
      </c>
      <c r="AN14" s="219">
        <v>0</v>
      </c>
      <c r="AO14" s="219">
        <v>0</v>
      </c>
      <c r="AP14" s="219">
        <f>SUM(SupplyChain_SupplierData_Backend[[#This Row],[Scope 1 (tCO2e)]:[Scope 3 WTT T&amp;D (tCO2e)]])</f>
        <v>0</v>
      </c>
      <c r="AQ14" s="219" t="e">
        <f ca="1">SupplyChain_SupplierData_Backend[[#This Row],[Total (tCO2e)]]*(1-SupplyChain_SupplierData_Backend[[#This Row],[RSD]])</f>
        <v>#N/A</v>
      </c>
      <c r="AR14" s="219" t="e">
        <f ca="1">SupplyChain_SupplierData_Backend[[#This Row],[Total (tCO2e)]]*(1+SupplyChain_SupplierData_Backend[[#This Row],[RSD]])</f>
        <v>#N/A</v>
      </c>
      <c r="AS14" s="217"/>
      <c r="AT14" s="216">
        <f>SupplyChain_SupplierData_Frontend[[#This Row],[Ease of collection]]</f>
        <v>0</v>
      </c>
      <c r="AU14" s="228">
        <f>SupplyChain_SupplierData_Frontend[[#This Row],[Completeness]]</f>
        <v>0</v>
      </c>
      <c r="AV14" s="228">
        <f>SupplyChain_SupplierData_Frontend[[#This Row],[Notes]]</f>
        <v>0</v>
      </c>
    </row>
    <row r="15" spans="1:48" customFormat="1" ht="17.5" customHeight="1" x14ac:dyDescent="0.35">
      <c r="A15" s="147"/>
      <c r="B15" s="455" t="s">
        <v>401</v>
      </c>
      <c r="C15" s="147"/>
      <c r="D15" s="147"/>
      <c r="E15" s="206"/>
      <c r="F15" s="425"/>
      <c r="G15" s="425"/>
      <c r="H15" s="425"/>
      <c r="I15" s="426"/>
      <c r="J15" s="427"/>
      <c r="K15" s="425"/>
      <c r="L15" s="428"/>
      <c r="M15" s="425"/>
      <c r="N15" s="425"/>
      <c r="O15" s="387"/>
      <c r="P15" s="387"/>
      <c r="Q15" s="388"/>
      <c r="R15" s="242">
        <f t="shared" ref="R15:R78" si="1">ISBLANK(F15)+ISBLANK(G15)+ISBLANK(H15)+ISBLANK(I15)+ISBLANK(J15)+ISBLANK(K15)+ISBLANK(L15)+ISBLANK(M15)+ISBLANK(N15)</f>
        <v>9</v>
      </c>
      <c r="U15" s="214" t="str">
        <f t="shared" si="0"/>
        <v/>
      </c>
      <c r="V15" s="216" t="s">
        <v>267</v>
      </c>
      <c r="W15" s="174" t="s">
        <v>385</v>
      </c>
      <c r="X15" s="216" t="str" cm="1">
        <f t="array" aca="1" ref="X15" ca="1">_xlfn.XLOOKUP(SupplyChain_SupplierData_Backend[[#This Row],[Level 2]],rng_Level2Long,rng_Level3Long)</f>
        <v>Supply chain</v>
      </c>
      <c r="Y15" s="216">
        <f>SupplyChain_SupplierData_Frontend[[#This Row],[Category]]</f>
        <v>0</v>
      </c>
      <c r="Z15" s="216">
        <f>SupplyChain_SupplierData_Frontend[[#This Row],[Product category]]</f>
        <v>0</v>
      </c>
      <c r="AA15" s="216" t="e" cm="1">
        <f t="array" aca="1" ref="AA15" ca="1">_xlfn.XLOOKUP(SupplyChain_SupplierData_Backend[[#This Row],[Level 5]],rng_Level5Long,rng_Level6Long)</f>
        <v>#N/A</v>
      </c>
      <c r="AB15" s="216">
        <f>SupplyChain_SupplierData_Frontend[[#This Row],[Data type]]</f>
        <v>0</v>
      </c>
      <c r="AC15" s="414">
        <f>SupplyChain_SupplierData_Frontend[[#This Row],[Data assessment score]]</f>
        <v>0</v>
      </c>
      <c r="AD15" s="216">
        <f>SupplyChain_SupplierData_Frontend[[#This Row],[Methodology]]</f>
        <v>0</v>
      </c>
      <c r="AE15" s="396" t="e" cm="1">
        <f t="array" aca="1" ref="AE15" ca="1">INDEX(_xlfn.SWITCH(SupplyChain_SupplierData_Backend[[#This Row],[Methodology]],"Tier 1",rng_RSD1,"Tier 2",rng_RSD2,"Tier 3",rng_RSD3),MATCH(SupplyChain_SupplierData_Backend[[#This Row],[Level 2]],rng_Level2Long,0))</f>
        <v>#N/A</v>
      </c>
      <c r="AF15" s="218">
        <f>SupplyChain_SupplierData_Frontend[[#This Row],[Spend with supplier GBP]]</f>
        <v>0</v>
      </c>
      <c r="AG15" s="174" t="s">
        <v>383</v>
      </c>
      <c r="AH15" s="218">
        <f>SupplyChain_SupplierData_Backend[[#This Row],[Data]]</f>
        <v>0</v>
      </c>
      <c r="AI15" s="174" t="s">
        <v>383</v>
      </c>
      <c r="AJ15" s="219">
        <v>0</v>
      </c>
      <c r="AK15" s="219">
        <v>0</v>
      </c>
      <c r="AL15" s="219">
        <f>SupplyChain_SupplierData_Frontend[[#This Row],[Emissions kgCO2e]]/1000</f>
        <v>0</v>
      </c>
      <c r="AM15" s="219">
        <v>0</v>
      </c>
      <c r="AN15" s="219">
        <v>0</v>
      </c>
      <c r="AO15" s="219">
        <v>0</v>
      </c>
      <c r="AP15" s="219">
        <f>SUM(SupplyChain_SupplierData_Backend[[#This Row],[Scope 1 (tCO2e)]:[Scope 3 WTT T&amp;D (tCO2e)]])</f>
        <v>0</v>
      </c>
      <c r="AQ15" s="219" t="e">
        <f ca="1">SupplyChain_SupplierData_Backend[[#This Row],[Total (tCO2e)]]*(1-SupplyChain_SupplierData_Backend[[#This Row],[RSD]])</f>
        <v>#N/A</v>
      </c>
      <c r="AR15" s="219" t="e">
        <f ca="1">SupplyChain_SupplierData_Backend[[#This Row],[Total (tCO2e)]]*(1+SupplyChain_SupplierData_Backend[[#This Row],[RSD]])</f>
        <v>#N/A</v>
      </c>
      <c r="AS15" s="217"/>
      <c r="AT15" s="216">
        <f>SupplyChain_SupplierData_Frontend[[#This Row],[Ease of collection]]</f>
        <v>0</v>
      </c>
      <c r="AU15" s="228">
        <f>SupplyChain_SupplierData_Frontend[[#This Row],[Completeness]]</f>
        <v>0</v>
      </c>
      <c r="AV15" s="228">
        <f>SupplyChain_SupplierData_Frontend[[#This Row],[Notes]]</f>
        <v>0</v>
      </c>
    </row>
    <row r="16" spans="1:48" customFormat="1" ht="17.5" customHeight="1" x14ac:dyDescent="0.35">
      <c r="A16" s="147"/>
      <c r="B16" s="455"/>
      <c r="C16" s="147"/>
      <c r="D16" s="147"/>
      <c r="E16" s="206"/>
      <c r="F16" s="425"/>
      <c r="G16" s="425"/>
      <c r="H16" s="425"/>
      <c r="I16" s="426"/>
      <c r="J16" s="427"/>
      <c r="K16" s="425"/>
      <c r="L16" s="428"/>
      <c r="M16" s="425"/>
      <c r="N16" s="425"/>
      <c r="O16" s="387"/>
      <c r="P16" s="387"/>
      <c r="Q16" s="388"/>
      <c r="R16" s="242">
        <f t="shared" si="1"/>
        <v>9</v>
      </c>
      <c r="U16" s="214" t="str">
        <f t="shared" si="0"/>
        <v/>
      </c>
      <c r="V16" s="216" t="s">
        <v>267</v>
      </c>
      <c r="W16" s="174" t="s">
        <v>385</v>
      </c>
      <c r="X16" s="216" t="str" cm="1">
        <f t="array" aca="1" ref="X16" ca="1">_xlfn.XLOOKUP(SupplyChain_SupplierData_Backend[[#This Row],[Level 2]],rng_Level2Long,rng_Level3Long)</f>
        <v>Supply chain</v>
      </c>
      <c r="Y16" s="216">
        <f>SupplyChain_SupplierData_Frontend[[#This Row],[Category]]</f>
        <v>0</v>
      </c>
      <c r="Z16" s="216">
        <f>SupplyChain_SupplierData_Frontend[[#This Row],[Product category]]</f>
        <v>0</v>
      </c>
      <c r="AA16" s="216" t="e" cm="1">
        <f t="array" aca="1" ref="AA16" ca="1">_xlfn.XLOOKUP(SupplyChain_SupplierData_Backend[[#This Row],[Level 5]],rng_Level5Long,rng_Level6Long)</f>
        <v>#N/A</v>
      </c>
      <c r="AB16" s="216">
        <f>SupplyChain_SupplierData_Frontend[[#This Row],[Data type]]</f>
        <v>0</v>
      </c>
      <c r="AC16" s="414">
        <f>SupplyChain_SupplierData_Frontend[[#This Row],[Data assessment score]]</f>
        <v>0</v>
      </c>
      <c r="AD16" s="216">
        <f>SupplyChain_SupplierData_Frontend[[#This Row],[Methodology]]</f>
        <v>0</v>
      </c>
      <c r="AE16" s="396" t="e" cm="1">
        <f t="array" aca="1" ref="AE16" ca="1">INDEX(_xlfn.SWITCH(SupplyChain_SupplierData_Backend[[#This Row],[Methodology]],"Tier 1",rng_RSD1,"Tier 2",rng_RSD2,"Tier 3",rng_RSD3),MATCH(SupplyChain_SupplierData_Backend[[#This Row],[Level 2]],rng_Level2Long,0))</f>
        <v>#N/A</v>
      </c>
      <c r="AF16" s="218">
        <f>SupplyChain_SupplierData_Frontend[[#This Row],[Spend with supplier GBP]]</f>
        <v>0</v>
      </c>
      <c r="AG16" s="174" t="s">
        <v>383</v>
      </c>
      <c r="AH16" s="218">
        <f>SupplyChain_SupplierData_Backend[[#This Row],[Data]]</f>
        <v>0</v>
      </c>
      <c r="AI16" s="174" t="s">
        <v>383</v>
      </c>
      <c r="AJ16" s="219">
        <v>0</v>
      </c>
      <c r="AK16" s="219">
        <v>0</v>
      </c>
      <c r="AL16" s="219">
        <f>SupplyChain_SupplierData_Frontend[[#This Row],[Emissions kgCO2e]]/1000</f>
        <v>0</v>
      </c>
      <c r="AM16" s="219">
        <v>0</v>
      </c>
      <c r="AN16" s="219">
        <v>0</v>
      </c>
      <c r="AO16" s="219">
        <v>0</v>
      </c>
      <c r="AP16" s="219">
        <f>SUM(SupplyChain_SupplierData_Backend[[#This Row],[Scope 1 (tCO2e)]:[Scope 3 WTT T&amp;D (tCO2e)]])</f>
        <v>0</v>
      </c>
      <c r="AQ16" s="219" t="e">
        <f ca="1">SupplyChain_SupplierData_Backend[[#This Row],[Total (tCO2e)]]*(1-SupplyChain_SupplierData_Backend[[#This Row],[RSD]])</f>
        <v>#N/A</v>
      </c>
      <c r="AR16" s="219" t="e">
        <f ca="1">SupplyChain_SupplierData_Backend[[#This Row],[Total (tCO2e)]]*(1+SupplyChain_SupplierData_Backend[[#This Row],[RSD]])</f>
        <v>#N/A</v>
      </c>
      <c r="AS16" s="217"/>
      <c r="AT16" s="216">
        <f>SupplyChain_SupplierData_Frontend[[#This Row],[Ease of collection]]</f>
        <v>0</v>
      </c>
      <c r="AU16" s="228">
        <f>SupplyChain_SupplierData_Frontend[[#This Row],[Completeness]]</f>
        <v>0</v>
      </c>
      <c r="AV16" s="228">
        <f>SupplyChain_SupplierData_Frontend[[#This Row],[Notes]]</f>
        <v>0</v>
      </c>
    </row>
    <row r="17" spans="1:48" customFormat="1" ht="17.5" customHeight="1" x14ac:dyDescent="0.35">
      <c r="A17" s="147"/>
      <c r="B17" s="455"/>
      <c r="C17" s="147"/>
      <c r="D17" s="147"/>
      <c r="E17" s="206"/>
      <c r="F17" s="425"/>
      <c r="G17" s="425"/>
      <c r="H17" s="425"/>
      <c r="I17" s="426"/>
      <c r="J17" s="427"/>
      <c r="K17" s="425"/>
      <c r="L17" s="428"/>
      <c r="M17" s="425"/>
      <c r="N17" s="425"/>
      <c r="O17" s="387"/>
      <c r="P17" s="387"/>
      <c r="Q17" s="388"/>
      <c r="R17" s="242">
        <f t="shared" si="1"/>
        <v>9</v>
      </c>
      <c r="U17" s="214" t="str">
        <f t="shared" si="0"/>
        <v/>
      </c>
      <c r="V17" s="216" t="s">
        <v>267</v>
      </c>
      <c r="W17" s="174" t="s">
        <v>385</v>
      </c>
      <c r="X17" s="216" t="str" cm="1">
        <f t="array" aca="1" ref="X17" ca="1">_xlfn.XLOOKUP(SupplyChain_SupplierData_Backend[[#This Row],[Level 2]],rng_Level2Long,rng_Level3Long)</f>
        <v>Supply chain</v>
      </c>
      <c r="Y17" s="216">
        <f>SupplyChain_SupplierData_Frontend[[#This Row],[Category]]</f>
        <v>0</v>
      </c>
      <c r="Z17" s="216">
        <f>SupplyChain_SupplierData_Frontend[[#This Row],[Product category]]</f>
        <v>0</v>
      </c>
      <c r="AA17" s="216" t="e" cm="1">
        <f t="array" aca="1" ref="AA17" ca="1">_xlfn.XLOOKUP(SupplyChain_SupplierData_Backend[[#This Row],[Level 5]],rng_Level5Long,rng_Level6Long)</f>
        <v>#N/A</v>
      </c>
      <c r="AB17" s="216">
        <f>SupplyChain_SupplierData_Frontend[[#This Row],[Data type]]</f>
        <v>0</v>
      </c>
      <c r="AC17" s="414">
        <f>SupplyChain_SupplierData_Frontend[[#This Row],[Data assessment score]]</f>
        <v>0</v>
      </c>
      <c r="AD17" s="216">
        <f>SupplyChain_SupplierData_Frontend[[#This Row],[Methodology]]</f>
        <v>0</v>
      </c>
      <c r="AE17" s="396" t="e" cm="1">
        <f t="array" aca="1" ref="AE17" ca="1">INDEX(_xlfn.SWITCH(SupplyChain_SupplierData_Backend[[#This Row],[Methodology]],"Tier 1",rng_RSD1,"Tier 2",rng_RSD2,"Tier 3",rng_RSD3),MATCH(SupplyChain_SupplierData_Backend[[#This Row],[Level 2]],rng_Level2Long,0))</f>
        <v>#N/A</v>
      </c>
      <c r="AF17" s="218">
        <f>SupplyChain_SupplierData_Frontend[[#This Row],[Spend with supplier GBP]]</f>
        <v>0</v>
      </c>
      <c r="AG17" s="174" t="s">
        <v>383</v>
      </c>
      <c r="AH17" s="218">
        <f>SupplyChain_SupplierData_Backend[[#This Row],[Data]]</f>
        <v>0</v>
      </c>
      <c r="AI17" s="174" t="s">
        <v>383</v>
      </c>
      <c r="AJ17" s="219">
        <v>0</v>
      </c>
      <c r="AK17" s="219">
        <v>0</v>
      </c>
      <c r="AL17" s="219">
        <f>SupplyChain_SupplierData_Frontend[[#This Row],[Emissions kgCO2e]]/1000</f>
        <v>0</v>
      </c>
      <c r="AM17" s="219">
        <v>0</v>
      </c>
      <c r="AN17" s="219">
        <v>0</v>
      </c>
      <c r="AO17" s="219">
        <v>0</v>
      </c>
      <c r="AP17" s="219">
        <f>SUM(SupplyChain_SupplierData_Backend[[#This Row],[Scope 1 (tCO2e)]:[Scope 3 WTT T&amp;D (tCO2e)]])</f>
        <v>0</v>
      </c>
      <c r="AQ17" s="219" t="e">
        <f ca="1">SupplyChain_SupplierData_Backend[[#This Row],[Total (tCO2e)]]*(1-SupplyChain_SupplierData_Backend[[#This Row],[RSD]])</f>
        <v>#N/A</v>
      </c>
      <c r="AR17" s="219" t="e">
        <f ca="1">SupplyChain_SupplierData_Backend[[#This Row],[Total (tCO2e)]]*(1+SupplyChain_SupplierData_Backend[[#This Row],[RSD]])</f>
        <v>#N/A</v>
      </c>
      <c r="AS17" s="217"/>
      <c r="AT17" s="216">
        <f>SupplyChain_SupplierData_Frontend[[#This Row],[Ease of collection]]</f>
        <v>0</v>
      </c>
      <c r="AU17" s="228">
        <f>SupplyChain_SupplierData_Frontend[[#This Row],[Completeness]]</f>
        <v>0</v>
      </c>
      <c r="AV17" s="228">
        <f>SupplyChain_SupplierData_Frontend[[#This Row],[Notes]]</f>
        <v>0</v>
      </c>
    </row>
    <row r="18" spans="1:48" customFormat="1" ht="17.5" customHeight="1" x14ac:dyDescent="0.35">
      <c r="A18" s="147"/>
      <c r="B18" s="455"/>
      <c r="C18" s="147"/>
      <c r="D18" s="204">
        <v>2</v>
      </c>
      <c r="E18" s="206" t="s">
        <v>398</v>
      </c>
      <c r="F18" s="425"/>
      <c r="G18" s="425"/>
      <c r="H18" s="425"/>
      <c r="I18" s="426"/>
      <c r="J18" s="427"/>
      <c r="K18" s="429"/>
      <c r="L18" s="430"/>
      <c r="M18" s="429"/>
      <c r="N18" s="425"/>
      <c r="O18" s="387"/>
      <c r="P18" s="387"/>
      <c r="Q18" s="388"/>
      <c r="R18" s="242">
        <f t="shared" si="1"/>
        <v>9</v>
      </c>
      <c r="U18" s="214" t="str">
        <f t="shared" si="0"/>
        <v/>
      </c>
      <c r="V18" s="216" t="s">
        <v>267</v>
      </c>
      <c r="W18" s="174" t="s">
        <v>385</v>
      </c>
      <c r="X18" s="216" t="str" cm="1">
        <f t="array" aca="1" ref="X18" ca="1">_xlfn.XLOOKUP(SupplyChain_SupplierData_Backend[[#This Row],[Level 2]],rng_Level2Long,rng_Level3Long)</f>
        <v>Supply chain</v>
      </c>
      <c r="Y18" s="216">
        <f>SupplyChain_SupplierData_Frontend[[#This Row],[Category]]</f>
        <v>0</v>
      </c>
      <c r="Z18" s="216">
        <f>SupplyChain_SupplierData_Frontend[[#This Row],[Product category]]</f>
        <v>0</v>
      </c>
      <c r="AA18" s="216" t="e" cm="1">
        <f t="array" aca="1" ref="AA18" ca="1">_xlfn.XLOOKUP(SupplyChain_SupplierData_Backend[[#This Row],[Level 5]],rng_Level5Long,rng_Level6Long)</f>
        <v>#N/A</v>
      </c>
      <c r="AB18" s="216">
        <f>SupplyChain_SupplierData_Frontend[[#This Row],[Data type]]</f>
        <v>0</v>
      </c>
      <c r="AC18" s="414">
        <f>SupplyChain_SupplierData_Frontend[[#This Row],[Data assessment score]]</f>
        <v>0</v>
      </c>
      <c r="AD18" s="216">
        <f>SupplyChain_SupplierData_Frontend[[#This Row],[Methodology]]</f>
        <v>0</v>
      </c>
      <c r="AE18" s="396" t="e" cm="1">
        <f t="array" aca="1" ref="AE18" ca="1">INDEX(_xlfn.SWITCH(SupplyChain_SupplierData_Backend[[#This Row],[Methodology]],"Tier 1",rng_RSD1,"Tier 2",rng_RSD2,"Tier 3",rng_RSD3),MATCH(SupplyChain_SupplierData_Backend[[#This Row],[Level 2]],rng_Level2Long,0))</f>
        <v>#N/A</v>
      </c>
      <c r="AF18" s="218">
        <f>SupplyChain_SupplierData_Frontend[[#This Row],[Spend with supplier GBP]]</f>
        <v>0</v>
      </c>
      <c r="AG18" s="174" t="s">
        <v>383</v>
      </c>
      <c r="AH18" s="218">
        <f>SupplyChain_SupplierData_Backend[[#This Row],[Data]]</f>
        <v>0</v>
      </c>
      <c r="AI18" s="174" t="s">
        <v>383</v>
      </c>
      <c r="AJ18" s="219">
        <v>0</v>
      </c>
      <c r="AK18" s="219">
        <v>0</v>
      </c>
      <c r="AL18" s="219">
        <f>SupplyChain_SupplierData_Frontend[[#This Row],[Emissions kgCO2e]]/1000</f>
        <v>0</v>
      </c>
      <c r="AM18" s="219">
        <v>0</v>
      </c>
      <c r="AN18" s="219">
        <v>0</v>
      </c>
      <c r="AO18" s="219">
        <v>0</v>
      </c>
      <c r="AP18" s="219">
        <f>SUM(SupplyChain_SupplierData_Backend[[#This Row],[Scope 1 (tCO2e)]:[Scope 3 WTT T&amp;D (tCO2e)]])</f>
        <v>0</v>
      </c>
      <c r="AQ18" s="219" t="e">
        <f ca="1">SupplyChain_SupplierData_Backend[[#This Row],[Total (tCO2e)]]*(1-SupplyChain_SupplierData_Backend[[#This Row],[RSD]])</f>
        <v>#N/A</v>
      </c>
      <c r="AR18" s="219" t="e">
        <f ca="1">SupplyChain_SupplierData_Backend[[#This Row],[Total (tCO2e)]]*(1+SupplyChain_SupplierData_Backend[[#This Row],[RSD]])</f>
        <v>#N/A</v>
      </c>
      <c r="AS18" s="217"/>
      <c r="AT18" s="216">
        <f>SupplyChain_SupplierData_Frontend[[#This Row],[Ease of collection]]</f>
        <v>0</v>
      </c>
      <c r="AU18" s="228">
        <f>SupplyChain_SupplierData_Frontend[[#This Row],[Completeness]]</f>
        <v>0</v>
      </c>
      <c r="AV18" s="228">
        <f>SupplyChain_SupplierData_Frontend[[#This Row],[Notes]]</f>
        <v>0</v>
      </c>
    </row>
    <row r="19" spans="1:48" customFormat="1" ht="17.5" customHeight="1" x14ac:dyDescent="0.35">
      <c r="A19" s="147"/>
      <c r="B19" s="455"/>
      <c r="C19" s="147"/>
      <c r="D19" s="147"/>
      <c r="E19" s="206"/>
      <c r="F19" s="425"/>
      <c r="G19" s="425"/>
      <c r="H19" s="425"/>
      <c r="I19" s="426"/>
      <c r="J19" s="427"/>
      <c r="K19" s="425"/>
      <c r="L19" s="428"/>
      <c r="M19" s="425"/>
      <c r="N19" s="425"/>
      <c r="O19" s="387"/>
      <c r="P19" s="387"/>
      <c r="Q19" s="388"/>
      <c r="R19" s="242">
        <f t="shared" si="1"/>
        <v>9</v>
      </c>
      <c r="U19" s="214" t="str">
        <f t="shared" si="0"/>
        <v/>
      </c>
      <c r="V19" s="216" t="s">
        <v>267</v>
      </c>
      <c r="W19" s="174" t="s">
        <v>385</v>
      </c>
      <c r="X19" s="216" t="str" cm="1">
        <f t="array" aca="1" ref="X19" ca="1">_xlfn.XLOOKUP(SupplyChain_SupplierData_Backend[[#This Row],[Level 2]],rng_Level2Long,rng_Level3Long)</f>
        <v>Supply chain</v>
      </c>
      <c r="Y19" s="216">
        <f>SupplyChain_SupplierData_Frontend[[#This Row],[Category]]</f>
        <v>0</v>
      </c>
      <c r="Z19" s="216">
        <f>SupplyChain_SupplierData_Frontend[[#This Row],[Product category]]</f>
        <v>0</v>
      </c>
      <c r="AA19" s="216" t="e" cm="1">
        <f t="array" aca="1" ref="AA19" ca="1">_xlfn.XLOOKUP(SupplyChain_SupplierData_Backend[[#This Row],[Level 5]],rng_Level5Long,rng_Level6Long)</f>
        <v>#N/A</v>
      </c>
      <c r="AB19" s="216">
        <f>SupplyChain_SupplierData_Frontend[[#This Row],[Data type]]</f>
        <v>0</v>
      </c>
      <c r="AC19" s="414">
        <f>SupplyChain_SupplierData_Frontend[[#This Row],[Data assessment score]]</f>
        <v>0</v>
      </c>
      <c r="AD19" s="216">
        <f>SupplyChain_SupplierData_Frontend[[#This Row],[Methodology]]</f>
        <v>0</v>
      </c>
      <c r="AE19" s="396" t="e" cm="1">
        <f t="array" aca="1" ref="AE19" ca="1">INDEX(_xlfn.SWITCH(SupplyChain_SupplierData_Backend[[#This Row],[Methodology]],"Tier 1",rng_RSD1,"Tier 2",rng_RSD2,"Tier 3",rng_RSD3),MATCH(SupplyChain_SupplierData_Backend[[#This Row],[Level 2]],rng_Level2Long,0))</f>
        <v>#N/A</v>
      </c>
      <c r="AF19" s="218">
        <f>SupplyChain_SupplierData_Frontend[[#This Row],[Spend with supplier GBP]]</f>
        <v>0</v>
      </c>
      <c r="AG19" s="174" t="s">
        <v>383</v>
      </c>
      <c r="AH19" s="218">
        <f>SupplyChain_SupplierData_Backend[[#This Row],[Data]]</f>
        <v>0</v>
      </c>
      <c r="AI19" s="174" t="s">
        <v>383</v>
      </c>
      <c r="AJ19" s="219">
        <v>0</v>
      </c>
      <c r="AK19" s="219">
        <v>0</v>
      </c>
      <c r="AL19" s="219">
        <f>SupplyChain_SupplierData_Frontend[[#This Row],[Emissions kgCO2e]]/1000</f>
        <v>0</v>
      </c>
      <c r="AM19" s="219">
        <v>0</v>
      </c>
      <c r="AN19" s="219">
        <v>0</v>
      </c>
      <c r="AO19" s="219">
        <v>0</v>
      </c>
      <c r="AP19" s="219">
        <f>SUM(SupplyChain_SupplierData_Backend[[#This Row],[Scope 1 (tCO2e)]:[Scope 3 WTT T&amp;D (tCO2e)]])</f>
        <v>0</v>
      </c>
      <c r="AQ19" s="219" t="e">
        <f ca="1">SupplyChain_SupplierData_Backend[[#This Row],[Total (tCO2e)]]*(1-SupplyChain_SupplierData_Backend[[#This Row],[RSD]])</f>
        <v>#N/A</v>
      </c>
      <c r="AR19" s="219" t="e">
        <f ca="1">SupplyChain_SupplierData_Backend[[#This Row],[Total (tCO2e)]]*(1+SupplyChain_SupplierData_Backend[[#This Row],[RSD]])</f>
        <v>#N/A</v>
      </c>
      <c r="AS19" s="217"/>
      <c r="AT19" s="216">
        <f>SupplyChain_SupplierData_Frontend[[#This Row],[Ease of collection]]</f>
        <v>0</v>
      </c>
      <c r="AU19" s="228">
        <f>SupplyChain_SupplierData_Frontend[[#This Row],[Completeness]]</f>
        <v>0</v>
      </c>
      <c r="AV19" s="228">
        <f>SupplyChain_SupplierData_Frontend[[#This Row],[Notes]]</f>
        <v>0</v>
      </c>
    </row>
    <row r="20" spans="1:48" customFormat="1" ht="17.5" customHeight="1" x14ac:dyDescent="0.35">
      <c r="A20" s="147"/>
      <c r="B20" s="455"/>
      <c r="C20" s="147"/>
      <c r="D20" s="147"/>
      <c r="E20" s="206"/>
      <c r="F20" s="425"/>
      <c r="G20" s="425"/>
      <c r="H20" s="425"/>
      <c r="I20" s="426"/>
      <c r="J20" s="427"/>
      <c r="K20" s="425"/>
      <c r="L20" s="428"/>
      <c r="M20" s="425"/>
      <c r="N20" s="425"/>
      <c r="O20" s="387"/>
      <c r="P20" s="387"/>
      <c r="Q20" s="388"/>
      <c r="R20" s="242">
        <f t="shared" si="1"/>
        <v>9</v>
      </c>
      <c r="U20" s="214" t="str">
        <f t="shared" si="0"/>
        <v/>
      </c>
      <c r="V20" s="216" t="s">
        <v>267</v>
      </c>
      <c r="W20" s="174" t="s">
        <v>385</v>
      </c>
      <c r="X20" s="216" t="str" cm="1">
        <f t="array" aca="1" ref="X20" ca="1">_xlfn.XLOOKUP(SupplyChain_SupplierData_Backend[[#This Row],[Level 2]],rng_Level2Long,rng_Level3Long)</f>
        <v>Supply chain</v>
      </c>
      <c r="Y20" s="216">
        <f>SupplyChain_SupplierData_Frontend[[#This Row],[Category]]</f>
        <v>0</v>
      </c>
      <c r="Z20" s="216">
        <f>SupplyChain_SupplierData_Frontend[[#This Row],[Product category]]</f>
        <v>0</v>
      </c>
      <c r="AA20" s="216" t="e" cm="1">
        <f t="array" aca="1" ref="AA20" ca="1">_xlfn.XLOOKUP(SupplyChain_SupplierData_Backend[[#This Row],[Level 5]],rng_Level5Long,rng_Level6Long)</f>
        <v>#N/A</v>
      </c>
      <c r="AB20" s="216">
        <f>SupplyChain_SupplierData_Frontend[[#This Row],[Data type]]</f>
        <v>0</v>
      </c>
      <c r="AC20" s="414">
        <f>SupplyChain_SupplierData_Frontend[[#This Row],[Data assessment score]]</f>
        <v>0</v>
      </c>
      <c r="AD20" s="216">
        <f>SupplyChain_SupplierData_Frontend[[#This Row],[Methodology]]</f>
        <v>0</v>
      </c>
      <c r="AE20" s="396" t="e" cm="1">
        <f t="array" aca="1" ref="AE20" ca="1">INDEX(_xlfn.SWITCH(SupplyChain_SupplierData_Backend[[#This Row],[Methodology]],"Tier 1",rng_RSD1,"Tier 2",rng_RSD2,"Tier 3",rng_RSD3),MATCH(SupplyChain_SupplierData_Backend[[#This Row],[Level 2]],rng_Level2Long,0))</f>
        <v>#N/A</v>
      </c>
      <c r="AF20" s="218">
        <f>SupplyChain_SupplierData_Frontend[[#This Row],[Spend with supplier GBP]]</f>
        <v>0</v>
      </c>
      <c r="AG20" s="174" t="s">
        <v>383</v>
      </c>
      <c r="AH20" s="218">
        <f>SupplyChain_SupplierData_Backend[[#This Row],[Data]]</f>
        <v>0</v>
      </c>
      <c r="AI20" s="174" t="s">
        <v>383</v>
      </c>
      <c r="AJ20" s="219">
        <v>0</v>
      </c>
      <c r="AK20" s="219">
        <v>0</v>
      </c>
      <c r="AL20" s="219">
        <f>SupplyChain_SupplierData_Frontend[[#This Row],[Emissions kgCO2e]]/1000</f>
        <v>0</v>
      </c>
      <c r="AM20" s="219">
        <v>0</v>
      </c>
      <c r="AN20" s="219">
        <v>0</v>
      </c>
      <c r="AO20" s="219">
        <v>0</v>
      </c>
      <c r="AP20" s="219">
        <f>SUM(SupplyChain_SupplierData_Backend[[#This Row],[Scope 1 (tCO2e)]:[Scope 3 WTT T&amp;D (tCO2e)]])</f>
        <v>0</v>
      </c>
      <c r="AQ20" s="219" t="e">
        <f ca="1">SupplyChain_SupplierData_Backend[[#This Row],[Total (tCO2e)]]*(1-SupplyChain_SupplierData_Backend[[#This Row],[RSD]])</f>
        <v>#N/A</v>
      </c>
      <c r="AR20" s="219" t="e">
        <f ca="1">SupplyChain_SupplierData_Backend[[#This Row],[Total (tCO2e)]]*(1+SupplyChain_SupplierData_Backend[[#This Row],[RSD]])</f>
        <v>#N/A</v>
      </c>
      <c r="AS20" s="217"/>
      <c r="AT20" s="216">
        <f>SupplyChain_SupplierData_Frontend[[#This Row],[Ease of collection]]</f>
        <v>0</v>
      </c>
      <c r="AU20" s="228">
        <f>SupplyChain_SupplierData_Frontend[[#This Row],[Completeness]]</f>
        <v>0</v>
      </c>
      <c r="AV20" s="228">
        <f>SupplyChain_SupplierData_Frontend[[#This Row],[Notes]]</f>
        <v>0</v>
      </c>
    </row>
    <row r="21" spans="1:48" customFormat="1" ht="17.5" customHeight="1" x14ac:dyDescent="0.35">
      <c r="A21" s="147"/>
      <c r="B21" s="455"/>
      <c r="C21" s="147"/>
      <c r="D21" s="147"/>
      <c r="E21" s="206"/>
      <c r="F21" s="425"/>
      <c r="G21" s="425"/>
      <c r="H21" s="425"/>
      <c r="I21" s="426"/>
      <c r="J21" s="427"/>
      <c r="K21" s="425"/>
      <c r="L21" s="428"/>
      <c r="M21" s="425"/>
      <c r="N21" s="425"/>
      <c r="O21" s="387"/>
      <c r="P21" s="387"/>
      <c r="Q21" s="388"/>
      <c r="R21" s="242">
        <f t="shared" si="1"/>
        <v>9</v>
      </c>
      <c r="U21" s="214" t="str">
        <f t="shared" si="0"/>
        <v/>
      </c>
      <c r="V21" s="216" t="s">
        <v>267</v>
      </c>
      <c r="W21" s="174" t="s">
        <v>385</v>
      </c>
      <c r="X21" s="216" t="str" cm="1">
        <f t="array" aca="1" ref="X21" ca="1">_xlfn.XLOOKUP(SupplyChain_SupplierData_Backend[[#This Row],[Level 2]],rng_Level2Long,rng_Level3Long)</f>
        <v>Supply chain</v>
      </c>
      <c r="Y21" s="216">
        <f>SupplyChain_SupplierData_Frontend[[#This Row],[Category]]</f>
        <v>0</v>
      </c>
      <c r="Z21" s="216">
        <f>SupplyChain_SupplierData_Frontend[[#This Row],[Product category]]</f>
        <v>0</v>
      </c>
      <c r="AA21" s="216" t="e" cm="1">
        <f t="array" aca="1" ref="AA21" ca="1">_xlfn.XLOOKUP(SupplyChain_SupplierData_Backend[[#This Row],[Level 5]],rng_Level5Long,rng_Level6Long)</f>
        <v>#N/A</v>
      </c>
      <c r="AB21" s="216">
        <f>SupplyChain_SupplierData_Frontend[[#This Row],[Data type]]</f>
        <v>0</v>
      </c>
      <c r="AC21" s="414">
        <f>SupplyChain_SupplierData_Frontend[[#This Row],[Data assessment score]]</f>
        <v>0</v>
      </c>
      <c r="AD21" s="216">
        <f>SupplyChain_SupplierData_Frontend[[#This Row],[Methodology]]</f>
        <v>0</v>
      </c>
      <c r="AE21" s="396" t="e" cm="1">
        <f t="array" aca="1" ref="AE21" ca="1">INDEX(_xlfn.SWITCH(SupplyChain_SupplierData_Backend[[#This Row],[Methodology]],"Tier 1",rng_RSD1,"Tier 2",rng_RSD2,"Tier 3",rng_RSD3),MATCH(SupplyChain_SupplierData_Backend[[#This Row],[Level 2]],rng_Level2Long,0))</f>
        <v>#N/A</v>
      </c>
      <c r="AF21" s="218">
        <f>SupplyChain_SupplierData_Frontend[[#This Row],[Spend with supplier GBP]]</f>
        <v>0</v>
      </c>
      <c r="AG21" s="174" t="s">
        <v>383</v>
      </c>
      <c r="AH21" s="218">
        <f>SupplyChain_SupplierData_Backend[[#This Row],[Data]]</f>
        <v>0</v>
      </c>
      <c r="AI21" s="174" t="s">
        <v>383</v>
      </c>
      <c r="AJ21" s="219">
        <v>0</v>
      </c>
      <c r="AK21" s="219">
        <v>0</v>
      </c>
      <c r="AL21" s="219">
        <f>SupplyChain_SupplierData_Frontend[[#This Row],[Emissions kgCO2e]]/1000</f>
        <v>0</v>
      </c>
      <c r="AM21" s="219">
        <v>0</v>
      </c>
      <c r="AN21" s="219">
        <v>0</v>
      </c>
      <c r="AO21" s="219">
        <v>0</v>
      </c>
      <c r="AP21" s="219">
        <f>SUM(SupplyChain_SupplierData_Backend[[#This Row],[Scope 1 (tCO2e)]:[Scope 3 WTT T&amp;D (tCO2e)]])</f>
        <v>0</v>
      </c>
      <c r="AQ21" s="219" t="e">
        <f ca="1">SupplyChain_SupplierData_Backend[[#This Row],[Total (tCO2e)]]*(1-SupplyChain_SupplierData_Backend[[#This Row],[RSD]])</f>
        <v>#N/A</v>
      </c>
      <c r="AR21" s="219" t="e">
        <f ca="1">SupplyChain_SupplierData_Backend[[#This Row],[Total (tCO2e)]]*(1+SupplyChain_SupplierData_Backend[[#This Row],[RSD]])</f>
        <v>#N/A</v>
      </c>
      <c r="AS21" s="217"/>
      <c r="AT21" s="216">
        <f>SupplyChain_SupplierData_Frontend[[#This Row],[Ease of collection]]</f>
        <v>0</v>
      </c>
      <c r="AU21" s="228">
        <f>SupplyChain_SupplierData_Frontend[[#This Row],[Completeness]]</f>
        <v>0</v>
      </c>
      <c r="AV21" s="228">
        <f>SupplyChain_SupplierData_Frontend[[#This Row],[Notes]]</f>
        <v>0</v>
      </c>
    </row>
    <row r="22" spans="1:48" customFormat="1" ht="17.5" customHeight="1" x14ac:dyDescent="0.35">
      <c r="A22" s="147"/>
      <c r="B22" s="455"/>
      <c r="C22" s="147"/>
      <c r="D22" s="204">
        <v>3</v>
      </c>
      <c r="E22" s="206" t="s">
        <v>398</v>
      </c>
      <c r="F22" s="425"/>
      <c r="G22" s="425"/>
      <c r="H22" s="425"/>
      <c r="I22" s="426"/>
      <c r="J22" s="427"/>
      <c r="K22" s="425"/>
      <c r="L22" s="428"/>
      <c r="M22" s="425"/>
      <c r="N22" s="425"/>
      <c r="O22" s="387"/>
      <c r="P22" s="387"/>
      <c r="Q22" s="388"/>
      <c r="R22" s="242">
        <f t="shared" si="1"/>
        <v>9</v>
      </c>
      <c r="U22" s="214" t="str">
        <f t="shared" si="0"/>
        <v/>
      </c>
      <c r="V22" s="216" t="s">
        <v>267</v>
      </c>
      <c r="W22" s="174" t="s">
        <v>385</v>
      </c>
      <c r="X22" s="216" t="str" cm="1">
        <f t="array" aca="1" ref="X22" ca="1">_xlfn.XLOOKUP(SupplyChain_SupplierData_Backend[[#This Row],[Level 2]],rng_Level2Long,rng_Level3Long)</f>
        <v>Supply chain</v>
      </c>
      <c r="Y22" s="216">
        <f>SupplyChain_SupplierData_Frontend[[#This Row],[Category]]</f>
        <v>0</v>
      </c>
      <c r="Z22" s="216">
        <f>SupplyChain_SupplierData_Frontend[[#This Row],[Product category]]</f>
        <v>0</v>
      </c>
      <c r="AA22" s="216" t="e" cm="1">
        <f t="array" aca="1" ref="AA22" ca="1">_xlfn.XLOOKUP(SupplyChain_SupplierData_Backend[[#This Row],[Level 5]],rng_Level5Long,rng_Level6Long)</f>
        <v>#N/A</v>
      </c>
      <c r="AB22" s="216">
        <f>SupplyChain_SupplierData_Frontend[[#This Row],[Data type]]</f>
        <v>0</v>
      </c>
      <c r="AC22" s="414">
        <f>SupplyChain_SupplierData_Frontend[[#This Row],[Data assessment score]]</f>
        <v>0</v>
      </c>
      <c r="AD22" s="216">
        <f>SupplyChain_SupplierData_Frontend[[#This Row],[Methodology]]</f>
        <v>0</v>
      </c>
      <c r="AE22" s="396" t="e" cm="1">
        <f t="array" aca="1" ref="AE22" ca="1">INDEX(_xlfn.SWITCH(SupplyChain_SupplierData_Backend[[#This Row],[Methodology]],"Tier 1",rng_RSD1,"Tier 2",rng_RSD2,"Tier 3",rng_RSD3),MATCH(SupplyChain_SupplierData_Backend[[#This Row],[Level 2]],rng_Level2Long,0))</f>
        <v>#N/A</v>
      </c>
      <c r="AF22" s="218">
        <f>SupplyChain_SupplierData_Frontend[[#This Row],[Spend with supplier GBP]]</f>
        <v>0</v>
      </c>
      <c r="AG22" s="174" t="s">
        <v>383</v>
      </c>
      <c r="AH22" s="218">
        <f>SupplyChain_SupplierData_Backend[[#This Row],[Data]]</f>
        <v>0</v>
      </c>
      <c r="AI22" s="174" t="s">
        <v>383</v>
      </c>
      <c r="AJ22" s="219">
        <v>0</v>
      </c>
      <c r="AK22" s="219">
        <v>0</v>
      </c>
      <c r="AL22" s="219">
        <f>SupplyChain_SupplierData_Frontend[[#This Row],[Emissions kgCO2e]]/1000</f>
        <v>0</v>
      </c>
      <c r="AM22" s="219">
        <v>0</v>
      </c>
      <c r="AN22" s="219">
        <v>0</v>
      </c>
      <c r="AO22" s="219">
        <v>0</v>
      </c>
      <c r="AP22" s="219">
        <f>SUM(SupplyChain_SupplierData_Backend[[#This Row],[Scope 1 (tCO2e)]:[Scope 3 WTT T&amp;D (tCO2e)]])</f>
        <v>0</v>
      </c>
      <c r="AQ22" s="219" t="e">
        <f ca="1">SupplyChain_SupplierData_Backend[[#This Row],[Total (tCO2e)]]*(1-SupplyChain_SupplierData_Backend[[#This Row],[RSD]])</f>
        <v>#N/A</v>
      </c>
      <c r="AR22" s="219" t="e">
        <f ca="1">SupplyChain_SupplierData_Backend[[#This Row],[Total (tCO2e)]]*(1+SupplyChain_SupplierData_Backend[[#This Row],[RSD]])</f>
        <v>#N/A</v>
      </c>
      <c r="AS22" s="217"/>
      <c r="AT22" s="216">
        <f>SupplyChain_SupplierData_Frontend[[#This Row],[Ease of collection]]</f>
        <v>0</v>
      </c>
      <c r="AU22" s="228">
        <f>SupplyChain_SupplierData_Frontend[[#This Row],[Completeness]]</f>
        <v>0</v>
      </c>
      <c r="AV22" s="228">
        <f>SupplyChain_SupplierData_Frontend[[#This Row],[Notes]]</f>
        <v>0</v>
      </c>
    </row>
    <row r="23" spans="1:48" customFormat="1" ht="17.5" customHeight="1" x14ac:dyDescent="0.35">
      <c r="A23" s="147"/>
      <c r="B23" s="455"/>
      <c r="C23" s="147"/>
      <c r="D23" s="147"/>
      <c r="E23" s="206"/>
      <c r="F23" s="425"/>
      <c r="G23" s="425"/>
      <c r="H23" s="425"/>
      <c r="I23" s="426"/>
      <c r="J23" s="427"/>
      <c r="K23" s="425"/>
      <c r="L23" s="428"/>
      <c r="M23" s="425"/>
      <c r="N23" s="425"/>
      <c r="O23" s="387"/>
      <c r="P23" s="387"/>
      <c r="Q23" s="388"/>
      <c r="R23" s="242">
        <f t="shared" si="1"/>
        <v>9</v>
      </c>
      <c r="U23" s="214" t="str">
        <f t="shared" si="0"/>
        <v/>
      </c>
      <c r="V23" s="216" t="s">
        <v>267</v>
      </c>
      <c r="W23" s="174" t="s">
        <v>385</v>
      </c>
      <c r="X23" s="216" t="str" cm="1">
        <f t="array" aca="1" ref="X23" ca="1">_xlfn.XLOOKUP(SupplyChain_SupplierData_Backend[[#This Row],[Level 2]],rng_Level2Long,rng_Level3Long)</f>
        <v>Supply chain</v>
      </c>
      <c r="Y23" s="216">
        <f>SupplyChain_SupplierData_Frontend[[#This Row],[Category]]</f>
        <v>0</v>
      </c>
      <c r="Z23" s="216">
        <f>SupplyChain_SupplierData_Frontend[[#This Row],[Product category]]</f>
        <v>0</v>
      </c>
      <c r="AA23" s="216" t="e" cm="1">
        <f t="array" aca="1" ref="AA23" ca="1">_xlfn.XLOOKUP(SupplyChain_SupplierData_Backend[[#This Row],[Level 5]],rng_Level5Long,rng_Level6Long)</f>
        <v>#N/A</v>
      </c>
      <c r="AB23" s="216">
        <f>SupplyChain_SupplierData_Frontend[[#This Row],[Data type]]</f>
        <v>0</v>
      </c>
      <c r="AC23" s="414">
        <f>SupplyChain_SupplierData_Frontend[[#This Row],[Data assessment score]]</f>
        <v>0</v>
      </c>
      <c r="AD23" s="216">
        <f>SupplyChain_SupplierData_Frontend[[#This Row],[Methodology]]</f>
        <v>0</v>
      </c>
      <c r="AE23" s="396" t="e" cm="1">
        <f t="array" aca="1" ref="AE23" ca="1">INDEX(_xlfn.SWITCH(SupplyChain_SupplierData_Backend[[#This Row],[Methodology]],"Tier 1",rng_RSD1,"Tier 2",rng_RSD2,"Tier 3",rng_RSD3),MATCH(SupplyChain_SupplierData_Backend[[#This Row],[Level 2]],rng_Level2Long,0))</f>
        <v>#N/A</v>
      </c>
      <c r="AF23" s="218">
        <f>SupplyChain_SupplierData_Frontend[[#This Row],[Spend with supplier GBP]]</f>
        <v>0</v>
      </c>
      <c r="AG23" s="174" t="s">
        <v>383</v>
      </c>
      <c r="AH23" s="218">
        <f>SupplyChain_SupplierData_Backend[[#This Row],[Data]]</f>
        <v>0</v>
      </c>
      <c r="AI23" s="174" t="s">
        <v>383</v>
      </c>
      <c r="AJ23" s="219">
        <v>0</v>
      </c>
      <c r="AK23" s="219">
        <v>0</v>
      </c>
      <c r="AL23" s="219">
        <f>SupplyChain_SupplierData_Frontend[[#This Row],[Emissions kgCO2e]]/1000</f>
        <v>0</v>
      </c>
      <c r="AM23" s="219">
        <v>0</v>
      </c>
      <c r="AN23" s="219">
        <v>0</v>
      </c>
      <c r="AO23" s="219">
        <v>0</v>
      </c>
      <c r="AP23" s="219">
        <f>SUM(SupplyChain_SupplierData_Backend[[#This Row],[Scope 1 (tCO2e)]:[Scope 3 WTT T&amp;D (tCO2e)]])</f>
        <v>0</v>
      </c>
      <c r="AQ23" s="219" t="e">
        <f ca="1">SupplyChain_SupplierData_Backend[[#This Row],[Total (tCO2e)]]*(1-SupplyChain_SupplierData_Backend[[#This Row],[RSD]])</f>
        <v>#N/A</v>
      </c>
      <c r="AR23" s="219" t="e">
        <f ca="1">SupplyChain_SupplierData_Backend[[#This Row],[Total (tCO2e)]]*(1+SupplyChain_SupplierData_Backend[[#This Row],[RSD]])</f>
        <v>#N/A</v>
      </c>
      <c r="AS23" s="217"/>
      <c r="AT23" s="216">
        <f>SupplyChain_SupplierData_Frontend[[#This Row],[Ease of collection]]</f>
        <v>0</v>
      </c>
      <c r="AU23" s="228">
        <f>SupplyChain_SupplierData_Frontend[[#This Row],[Completeness]]</f>
        <v>0</v>
      </c>
      <c r="AV23" s="228">
        <f>SupplyChain_SupplierData_Frontend[[#This Row],[Notes]]</f>
        <v>0</v>
      </c>
    </row>
    <row r="24" spans="1:48" customFormat="1" ht="17.5" customHeight="1" x14ac:dyDescent="0.35">
      <c r="A24" s="147"/>
      <c r="B24" s="455"/>
      <c r="C24" s="147"/>
      <c r="D24" s="147"/>
      <c r="E24" s="207"/>
      <c r="F24" s="425"/>
      <c r="G24" s="425"/>
      <c r="H24" s="425"/>
      <c r="I24" s="426"/>
      <c r="J24" s="427"/>
      <c r="K24" s="425"/>
      <c r="L24" s="428"/>
      <c r="M24" s="425"/>
      <c r="N24" s="425"/>
      <c r="O24" s="387"/>
      <c r="P24" s="387"/>
      <c r="Q24" s="388"/>
      <c r="R24" s="242">
        <f t="shared" si="1"/>
        <v>9</v>
      </c>
      <c r="U24" s="214" t="str">
        <f t="shared" si="0"/>
        <v/>
      </c>
      <c r="V24" s="216" t="s">
        <v>267</v>
      </c>
      <c r="W24" s="174" t="s">
        <v>385</v>
      </c>
      <c r="X24" s="216" t="str" cm="1">
        <f t="array" aca="1" ref="X24" ca="1">_xlfn.XLOOKUP(SupplyChain_SupplierData_Backend[[#This Row],[Level 2]],rng_Level2Long,rng_Level3Long)</f>
        <v>Supply chain</v>
      </c>
      <c r="Y24" s="216">
        <f>SupplyChain_SupplierData_Frontend[[#This Row],[Category]]</f>
        <v>0</v>
      </c>
      <c r="Z24" s="216">
        <f>SupplyChain_SupplierData_Frontend[[#This Row],[Product category]]</f>
        <v>0</v>
      </c>
      <c r="AA24" s="216" t="e" cm="1">
        <f t="array" aca="1" ref="AA24" ca="1">_xlfn.XLOOKUP(SupplyChain_SupplierData_Backend[[#This Row],[Level 5]],rng_Level5Long,rng_Level6Long)</f>
        <v>#N/A</v>
      </c>
      <c r="AB24" s="216">
        <f>SupplyChain_SupplierData_Frontend[[#This Row],[Data type]]</f>
        <v>0</v>
      </c>
      <c r="AC24" s="414">
        <f>SupplyChain_SupplierData_Frontend[[#This Row],[Data assessment score]]</f>
        <v>0</v>
      </c>
      <c r="AD24" s="216">
        <f>SupplyChain_SupplierData_Frontend[[#This Row],[Methodology]]</f>
        <v>0</v>
      </c>
      <c r="AE24" s="396" t="e" cm="1">
        <f t="array" aca="1" ref="AE24" ca="1">INDEX(_xlfn.SWITCH(SupplyChain_SupplierData_Backend[[#This Row],[Methodology]],"Tier 1",rng_RSD1,"Tier 2",rng_RSD2,"Tier 3",rng_RSD3),MATCH(SupplyChain_SupplierData_Backend[[#This Row],[Level 2]],rng_Level2Long,0))</f>
        <v>#N/A</v>
      </c>
      <c r="AF24" s="218">
        <f>SupplyChain_SupplierData_Frontend[[#This Row],[Spend with supplier GBP]]</f>
        <v>0</v>
      </c>
      <c r="AG24" s="174" t="s">
        <v>383</v>
      </c>
      <c r="AH24" s="218">
        <f>SupplyChain_SupplierData_Backend[[#This Row],[Data]]</f>
        <v>0</v>
      </c>
      <c r="AI24" s="174" t="s">
        <v>383</v>
      </c>
      <c r="AJ24" s="219">
        <v>0</v>
      </c>
      <c r="AK24" s="219">
        <v>0</v>
      </c>
      <c r="AL24" s="219">
        <f>SupplyChain_SupplierData_Frontend[[#This Row],[Emissions kgCO2e]]/1000</f>
        <v>0</v>
      </c>
      <c r="AM24" s="219">
        <v>0</v>
      </c>
      <c r="AN24" s="219">
        <v>0</v>
      </c>
      <c r="AO24" s="219">
        <v>0</v>
      </c>
      <c r="AP24" s="219">
        <f>SUM(SupplyChain_SupplierData_Backend[[#This Row],[Scope 1 (tCO2e)]:[Scope 3 WTT T&amp;D (tCO2e)]])</f>
        <v>0</v>
      </c>
      <c r="AQ24" s="219" t="e">
        <f ca="1">SupplyChain_SupplierData_Backend[[#This Row],[Total (tCO2e)]]*(1-SupplyChain_SupplierData_Backend[[#This Row],[RSD]])</f>
        <v>#N/A</v>
      </c>
      <c r="AR24" s="219" t="e">
        <f ca="1">SupplyChain_SupplierData_Backend[[#This Row],[Total (tCO2e)]]*(1+SupplyChain_SupplierData_Backend[[#This Row],[RSD]])</f>
        <v>#N/A</v>
      </c>
      <c r="AS24" s="217"/>
      <c r="AT24" s="216">
        <f>SupplyChain_SupplierData_Frontend[[#This Row],[Ease of collection]]</f>
        <v>0</v>
      </c>
      <c r="AU24" s="228">
        <f>SupplyChain_SupplierData_Frontend[[#This Row],[Completeness]]</f>
        <v>0</v>
      </c>
      <c r="AV24" s="228">
        <f>SupplyChain_SupplierData_Frontend[[#This Row],[Notes]]</f>
        <v>0</v>
      </c>
    </row>
    <row r="25" spans="1:48" customFormat="1" ht="17.5" customHeight="1" x14ac:dyDescent="0.35">
      <c r="A25" s="147"/>
      <c r="B25" s="455"/>
      <c r="C25" s="147"/>
      <c r="D25" s="147"/>
      <c r="E25" s="207"/>
      <c r="F25" s="425"/>
      <c r="G25" s="425"/>
      <c r="H25" s="425"/>
      <c r="I25" s="426"/>
      <c r="J25" s="427"/>
      <c r="K25" s="425"/>
      <c r="L25" s="428"/>
      <c r="M25" s="425"/>
      <c r="N25" s="425"/>
      <c r="O25" s="387"/>
      <c r="P25" s="387"/>
      <c r="Q25" s="388"/>
      <c r="R25" s="242">
        <f t="shared" si="1"/>
        <v>9</v>
      </c>
      <c r="U25" s="214" t="str">
        <f t="shared" si="0"/>
        <v/>
      </c>
      <c r="V25" s="216" t="s">
        <v>267</v>
      </c>
      <c r="W25" s="174" t="s">
        <v>385</v>
      </c>
      <c r="X25" s="216" t="str" cm="1">
        <f t="array" aca="1" ref="X25" ca="1">_xlfn.XLOOKUP(SupplyChain_SupplierData_Backend[[#This Row],[Level 2]],rng_Level2Long,rng_Level3Long)</f>
        <v>Supply chain</v>
      </c>
      <c r="Y25" s="216">
        <f>SupplyChain_SupplierData_Frontend[[#This Row],[Category]]</f>
        <v>0</v>
      </c>
      <c r="Z25" s="216">
        <f>SupplyChain_SupplierData_Frontend[[#This Row],[Product category]]</f>
        <v>0</v>
      </c>
      <c r="AA25" s="216" t="e" cm="1">
        <f t="array" aca="1" ref="AA25" ca="1">_xlfn.XLOOKUP(SupplyChain_SupplierData_Backend[[#This Row],[Level 5]],rng_Level5Long,rng_Level6Long)</f>
        <v>#N/A</v>
      </c>
      <c r="AB25" s="216">
        <f>SupplyChain_SupplierData_Frontend[[#This Row],[Data type]]</f>
        <v>0</v>
      </c>
      <c r="AC25" s="414">
        <f>SupplyChain_SupplierData_Frontend[[#This Row],[Data assessment score]]</f>
        <v>0</v>
      </c>
      <c r="AD25" s="216">
        <f>SupplyChain_SupplierData_Frontend[[#This Row],[Methodology]]</f>
        <v>0</v>
      </c>
      <c r="AE25" s="396" t="e" cm="1">
        <f t="array" aca="1" ref="AE25" ca="1">INDEX(_xlfn.SWITCH(SupplyChain_SupplierData_Backend[[#This Row],[Methodology]],"Tier 1",rng_RSD1,"Tier 2",rng_RSD2,"Tier 3",rng_RSD3),MATCH(SupplyChain_SupplierData_Backend[[#This Row],[Level 2]],rng_Level2Long,0))</f>
        <v>#N/A</v>
      </c>
      <c r="AF25" s="218">
        <f>SupplyChain_SupplierData_Frontend[[#This Row],[Spend with supplier GBP]]</f>
        <v>0</v>
      </c>
      <c r="AG25" s="174" t="s">
        <v>383</v>
      </c>
      <c r="AH25" s="218">
        <f>SupplyChain_SupplierData_Backend[[#This Row],[Data]]</f>
        <v>0</v>
      </c>
      <c r="AI25" s="174" t="s">
        <v>383</v>
      </c>
      <c r="AJ25" s="219">
        <v>0</v>
      </c>
      <c r="AK25" s="219">
        <v>0</v>
      </c>
      <c r="AL25" s="219">
        <f>SupplyChain_SupplierData_Frontend[[#This Row],[Emissions kgCO2e]]/1000</f>
        <v>0</v>
      </c>
      <c r="AM25" s="219">
        <v>0</v>
      </c>
      <c r="AN25" s="219">
        <v>0</v>
      </c>
      <c r="AO25" s="219">
        <v>0</v>
      </c>
      <c r="AP25" s="219">
        <f>SUM(SupplyChain_SupplierData_Backend[[#This Row],[Scope 1 (tCO2e)]:[Scope 3 WTT T&amp;D (tCO2e)]])</f>
        <v>0</v>
      </c>
      <c r="AQ25" s="219" t="e">
        <f ca="1">SupplyChain_SupplierData_Backend[[#This Row],[Total (tCO2e)]]*(1-SupplyChain_SupplierData_Backend[[#This Row],[RSD]])</f>
        <v>#N/A</v>
      </c>
      <c r="AR25" s="219" t="e">
        <f ca="1">SupplyChain_SupplierData_Backend[[#This Row],[Total (tCO2e)]]*(1+SupplyChain_SupplierData_Backend[[#This Row],[RSD]])</f>
        <v>#N/A</v>
      </c>
      <c r="AS25" s="217"/>
      <c r="AT25" s="216">
        <f>SupplyChain_SupplierData_Frontend[[#This Row],[Ease of collection]]</f>
        <v>0</v>
      </c>
      <c r="AU25" s="228">
        <f>SupplyChain_SupplierData_Frontend[[#This Row],[Completeness]]</f>
        <v>0</v>
      </c>
      <c r="AV25" s="228">
        <f>SupplyChain_SupplierData_Frontend[[#This Row],[Notes]]</f>
        <v>0</v>
      </c>
    </row>
    <row r="26" spans="1:48" customFormat="1" ht="17.5" customHeight="1" x14ac:dyDescent="0.35">
      <c r="A26" s="147"/>
      <c r="B26" s="455"/>
      <c r="C26" s="147"/>
      <c r="D26" s="204">
        <v>4</v>
      </c>
      <c r="E26" s="206" t="s">
        <v>398</v>
      </c>
      <c r="F26" s="425"/>
      <c r="G26" s="425"/>
      <c r="H26" s="425"/>
      <c r="I26" s="426"/>
      <c r="J26" s="427"/>
      <c r="K26" s="425"/>
      <c r="L26" s="428"/>
      <c r="M26" s="425"/>
      <c r="N26" s="425"/>
      <c r="O26" s="387"/>
      <c r="P26" s="387"/>
      <c r="Q26" s="388"/>
      <c r="R26" s="242">
        <f t="shared" si="1"/>
        <v>9</v>
      </c>
      <c r="U26" s="214" t="str">
        <f t="shared" si="0"/>
        <v/>
      </c>
      <c r="V26" s="216" t="s">
        <v>267</v>
      </c>
      <c r="W26" s="174" t="s">
        <v>385</v>
      </c>
      <c r="X26" s="216" t="str" cm="1">
        <f t="array" aca="1" ref="X26" ca="1">_xlfn.XLOOKUP(SupplyChain_SupplierData_Backend[[#This Row],[Level 2]],rng_Level2Long,rng_Level3Long)</f>
        <v>Supply chain</v>
      </c>
      <c r="Y26" s="216">
        <f>SupplyChain_SupplierData_Frontend[[#This Row],[Category]]</f>
        <v>0</v>
      </c>
      <c r="Z26" s="216">
        <f>SupplyChain_SupplierData_Frontend[[#This Row],[Product category]]</f>
        <v>0</v>
      </c>
      <c r="AA26" s="216" t="e" cm="1">
        <f t="array" aca="1" ref="AA26" ca="1">_xlfn.XLOOKUP(SupplyChain_SupplierData_Backend[[#This Row],[Level 5]],rng_Level5Long,rng_Level6Long)</f>
        <v>#N/A</v>
      </c>
      <c r="AB26" s="216">
        <f>SupplyChain_SupplierData_Frontend[[#This Row],[Data type]]</f>
        <v>0</v>
      </c>
      <c r="AC26" s="414">
        <f>SupplyChain_SupplierData_Frontend[[#This Row],[Data assessment score]]</f>
        <v>0</v>
      </c>
      <c r="AD26" s="216">
        <f>SupplyChain_SupplierData_Frontend[[#This Row],[Methodology]]</f>
        <v>0</v>
      </c>
      <c r="AE26" s="396" t="e" cm="1">
        <f t="array" aca="1" ref="AE26" ca="1">INDEX(_xlfn.SWITCH(SupplyChain_SupplierData_Backend[[#This Row],[Methodology]],"Tier 1",rng_RSD1,"Tier 2",rng_RSD2,"Tier 3",rng_RSD3),MATCH(SupplyChain_SupplierData_Backend[[#This Row],[Level 2]],rng_Level2Long,0))</f>
        <v>#N/A</v>
      </c>
      <c r="AF26" s="218">
        <f>SupplyChain_SupplierData_Frontend[[#This Row],[Spend with supplier GBP]]</f>
        <v>0</v>
      </c>
      <c r="AG26" s="174" t="s">
        <v>383</v>
      </c>
      <c r="AH26" s="218">
        <f>SupplyChain_SupplierData_Backend[[#This Row],[Data]]</f>
        <v>0</v>
      </c>
      <c r="AI26" s="174" t="s">
        <v>383</v>
      </c>
      <c r="AJ26" s="219">
        <v>0</v>
      </c>
      <c r="AK26" s="219">
        <v>0</v>
      </c>
      <c r="AL26" s="219">
        <f>SupplyChain_SupplierData_Frontend[[#This Row],[Emissions kgCO2e]]/1000</f>
        <v>0</v>
      </c>
      <c r="AM26" s="219">
        <v>0</v>
      </c>
      <c r="AN26" s="219">
        <v>0</v>
      </c>
      <c r="AO26" s="219">
        <v>0</v>
      </c>
      <c r="AP26" s="219">
        <f>SUM(SupplyChain_SupplierData_Backend[[#This Row],[Scope 1 (tCO2e)]:[Scope 3 WTT T&amp;D (tCO2e)]])</f>
        <v>0</v>
      </c>
      <c r="AQ26" s="219" t="e">
        <f ca="1">SupplyChain_SupplierData_Backend[[#This Row],[Total (tCO2e)]]*(1-SupplyChain_SupplierData_Backend[[#This Row],[RSD]])</f>
        <v>#N/A</v>
      </c>
      <c r="AR26" s="219" t="e">
        <f ca="1">SupplyChain_SupplierData_Backend[[#This Row],[Total (tCO2e)]]*(1+SupplyChain_SupplierData_Backend[[#This Row],[RSD]])</f>
        <v>#N/A</v>
      </c>
      <c r="AS26" s="217"/>
      <c r="AT26" s="216">
        <f>SupplyChain_SupplierData_Frontend[[#This Row],[Ease of collection]]</f>
        <v>0</v>
      </c>
      <c r="AU26" s="228">
        <f>SupplyChain_SupplierData_Frontend[[#This Row],[Completeness]]</f>
        <v>0</v>
      </c>
      <c r="AV26" s="228">
        <f>SupplyChain_SupplierData_Frontend[[#This Row],[Notes]]</f>
        <v>0</v>
      </c>
    </row>
    <row r="27" spans="1:48" customFormat="1" ht="17.5" customHeight="1" x14ac:dyDescent="0.35">
      <c r="A27" s="147"/>
      <c r="B27" s="455"/>
      <c r="C27" s="147"/>
      <c r="D27" s="147"/>
      <c r="E27" s="206"/>
      <c r="F27" s="425"/>
      <c r="G27" s="425"/>
      <c r="H27" s="425"/>
      <c r="I27" s="426"/>
      <c r="J27" s="427"/>
      <c r="K27" s="425"/>
      <c r="L27" s="428"/>
      <c r="M27" s="425"/>
      <c r="N27" s="425"/>
      <c r="O27" s="387"/>
      <c r="P27" s="387"/>
      <c r="Q27" s="388"/>
      <c r="R27" s="242">
        <f t="shared" si="1"/>
        <v>9</v>
      </c>
      <c r="U27" s="214" t="str">
        <f t="shared" si="0"/>
        <v/>
      </c>
      <c r="V27" s="216" t="s">
        <v>267</v>
      </c>
      <c r="W27" s="174" t="s">
        <v>385</v>
      </c>
      <c r="X27" s="216" t="str" cm="1">
        <f t="array" aca="1" ref="X27" ca="1">_xlfn.XLOOKUP(SupplyChain_SupplierData_Backend[[#This Row],[Level 2]],rng_Level2Long,rng_Level3Long)</f>
        <v>Supply chain</v>
      </c>
      <c r="Y27" s="216">
        <f>SupplyChain_SupplierData_Frontend[[#This Row],[Category]]</f>
        <v>0</v>
      </c>
      <c r="Z27" s="216">
        <f>SupplyChain_SupplierData_Frontend[[#This Row],[Product category]]</f>
        <v>0</v>
      </c>
      <c r="AA27" s="216" t="e" cm="1">
        <f t="array" aca="1" ref="AA27" ca="1">_xlfn.XLOOKUP(SupplyChain_SupplierData_Backend[[#This Row],[Level 5]],rng_Level5Long,rng_Level6Long)</f>
        <v>#N/A</v>
      </c>
      <c r="AB27" s="216">
        <f>SupplyChain_SupplierData_Frontend[[#This Row],[Data type]]</f>
        <v>0</v>
      </c>
      <c r="AC27" s="414">
        <f>SupplyChain_SupplierData_Frontend[[#This Row],[Data assessment score]]</f>
        <v>0</v>
      </c>
      <c r="AD27" s="216">
        <f>SupplyChain_SupplierData_Frontend[[#This Row],[Methodology]]</f>
        <v>0</v>
      </c>
      <c r="AE27" s="396" t="e" cm="1">
        <f t="array" aca="1" ref="AE27" ca="1">INDEX(_xlfn.SWITCH(SupplyChain_SupplierData_Backend[[#This Row],[Methodology]],"Tier 1",rng_RSD1,"Tier 2",rng_RSD2,"Tier 3",rng_RSD3),MATCH(SupplyChain_SupplierData_Backend[[#This Row],[Level 2]],rng_Level2Long,0))</f>
        <v>#N/A</v>
      </c>
      <c r="AF27" s="218">
        <f>SupplyChain_SupplierData_Frontend[[#This Row],[Spend with supplier GBP]]</f>
        <v>0</v>
      </c>
      <c r="AG27" s="174" t="s">
        <v>383</v>
      </c>
      <c r="AH27" s="218">
        <f>SupplyChain_SupplierData_Backend[[#This Row],[Data]]</f>
        <v>0</v>
      </c>
      <c r="AI27" s="174" t="s">
        <v>383</v>
      </c>
      <c r="AJ27" s="219">
        <v>0</v>
      </c>
      <c r="AK27" s="219">
        <v>0</v>
      </c>
      <c r="AL27" s="219">
        <f>SupplyChain_SupplierData_Frontend[[#This Row],[Emissions kgCO2e]]/1000</f>
        <v>0</v>
      </c>
      <c r="AM27" s="219">
        <v>0</v>
      </c>
      <c r="AN27" s="219">
        <v>0</v>
      </c>
      <c r="AO27" s="219">
        <v>0</v>
      </c>
      <c r="AP27" s="219">
        <f>SUM(SupplyChain_SupplierData_Backend[[#This Row],[Scope 1 (tCO2e)]:[Scope 3 WTT T&amp;D (tCO2e)]])</f>
        <v>0</v>
      </c>
      <c r="AQ27" s="219" t="e">
        <f ca="1">SupplyChain_SupplierData_Backend[[#This Row],[Total (tCO2e)]]*(1-SupplyChain_SupplierData_Backend[[#This Row],[RSD]])</f>
        <v>#N/A</v>
      </c>
      <c r="AR27" s="219" t="e">
        <f ca="1">SupplyChain_SupplierData_Backend[[#This Row],[Total (tCO2e)]]*(1+SupplyChain_SupplierData_Backend[[#This Row],[RSD]])</f>
        <v>#N/A</v>
      </c>
      <c r="AS27" s="217"/>
      <c r="AT27" s="216">
        <f>SupplyChain_SupplierData_Frontend[[#This Row],[Ease of collection]]</f>
        <v>0</v>
      </c>
      <c r="AU27" s="228">
        <f>SupplyChain_SupplierData_Frontend[[#This Row],[Completeness]]</f>
        <v>0</v>
      </c>
      <c r="AV27" s="228">
        <f>SupplyChain_SupplierData_Frontend[[#This Row],[Notes]]</f>
        <v>0</v>
      </c>
    </row>
    <row r="28" spans="1:48" customFormat="1" ht="17.5" customHeight="1" x14ac:dyDescent="0.35">
      <c r="A28" s="147"/>
      <c r="B28" s="455"/>
      <c r="C28" s="147"/>
      <c r="D28" s="147"/>
      <c r="E28" s="206"/>
      <c r="F28" s="425"/>
      <c r="G28" s="425"/>
      <c r="H28" s="425"/>
      <c r="I28" s="426"/>
      <c r="J28" s="427"/>
      <c r="K28" s="425"/>
      <c r="L28" s="428"/>
      <c r="M28" s="425"/>
      <c r="N28" s="425"/>
      <c r="O28" s="387"/>
      <c r="P28" s="387"/>
      <c r="Q28" s="388"/>
      <c r="R28" s="242">
        <f t="shared" si="1"/>
        <v>9</v>
      </c>
      <c r="U28" s="214" t="str">
        <f t="shared" si="0"/>
        <v/>
      </c>
      <c r="V28" s="216" t="s">
        <v>267</v>
      </c>
      <c r="W28" s="174" t="s">
        <v>385</v>
      </c>
      <c r="X28" s="216" t="str" cm="1">
        <f t="array" aca="1" ref="X28" ca="1">_xlfn.XLOOKUP(SupplyChain_SupplierData_Backend[[#This Row],[Level 2]],rng_Level2Long,rng_Level3Long)</f>
        <v>Supply chain</v>
      </c>
      <c r="Y28" s="216">
        <f>SupplyChain_SupplierData_Frontend[[#This Row],[Category]]</f>
        <v>0</v>
      </c>
      <c r="Z28" s="216">
        <f>SupplyChain_SupplierData_Frontend[[#This Row],[Product category]]</f>
        <v>0</v>
      </c>
      <c r="AA28" s="216" t="e" cm="1">
        <f t="array" aca="1" ref="AA28" ca="1">_xlfn.XLOOKUP(SupplyChain_SupplierData_Backend[[#This Row],[Level 5]],rng_Level5Long,rng_Level6Long)</f>
        <v>#N/A</v>
      </c>
      <c r="AB28" s="216">
        <f>SupplyChain_SupplierData_Frontend[[#This Row],[Data type]]</f>
        <v>0</v>
      </c>
      <c r="AC28" s="414">
        <f>SupplyChain_SupplierData_Frontend[[#This Row],[Data assessment score]]</f>
        <v>0</v>
      </c>
      <c r="AD28" s="216">
        <f>SupplyChain_SupplierData_Frontend[[#This Row],[Methodology]]</f>
        <v>0</v>
      </c>
      <c r="AE28" s="396" t="e" cm="1">
        <f t="array" aca="1" ref="AE28" ca="1">INDEX(_xlfn.SWITCH(SupplyChain_SupplierData_Backend[[#This Row],[Methodology]],"Tier 1",rng_RSD1,"Tier 2",rng_RSD2,"Tier 3",rng_RSD3),MATCH(SupplyChain_SupplierData_Backend[[#This Row],[Level 2]],rng_Level2Long,0))</f>
        <v>#N/A</v>
      </c>
      <c r="AF28" s="218">
        <f>SupplyChain_SupplierData_Frontend[[#This Row],[Spend with supplier GBP]]</f>
        <v>0</v>
      </c>
      <c r="AG28" s="174" t="s">
        <v>383</v>
      </c>
      <c r="AH28" s="218">
        <f>SupplyChain_SupplierData_Backend[[#This Row],[Data]]</f>
        <v>0</v>
      </c>
      <c r="AI28" s="174" t="s">
        <v>383</v>
      </c>
      <c r="AJ28" s="219">
        <v>0</v>
      </c>
      <c r="AK28" s="219">
        <v>0</v>
      </c>
      <c r="AL28" s="219">
        <f>SupplyChain_SupplierData_Frontend[[#This Row],[Emissions kgCO2e]]/1000</f>
        <v>0</v>
      </c>
      <c r="AM28" s="219">
        <v>0</v>
      </c>
      <c r="AN28" s="219">
        <v>0</v>
      </c>
      <c r="AO28" s="219">
        <v>0</v>
      </c>
      <c r="AP28" s="219">
        <f>SUM(SupplyChain_SupplierData_Backend[[#This Row],[Scope 1 (tCO2e)]:[Scope 3 WTT T&amp;D (tCO2e)]])</f>
        <v>0</v>
      </c>
      <c r="AQ28" s="219" t="e">
        <f ca="1">SupplyChain_SupplierData_Backend[[#This Row],[Total (tCO2e)]]*(1-SupplyChain_SupplierData_Backend[[#This Row],[RSD]])</f>
        <v>#N/A</v>
      </c>
      <c r="AR28" s="219" t="e">
        <f ca="1">SupplyChain_SupplierData_Backend[[#This Row],[Total (tCO2e)]]*(1+SupplyChain_SupplierData_Backend[[#This Row],[RSD]])</f>
        <v>#N/A</v>
      </c>
      <c r="AS28" s="217"/>
      <c r="AT28" s="216">
        <f>SupplyChain_SupplierData_Frontend[[#This Row],[Ease of collection]]</f>
        <v>0</v>
      </c>
      <c r="AU28" s="228">
        <f>SupplyChain_SupplierData_Frontend[[#This Row],[Completeness]]</f>
        <v>0</v>
      </c>
      <c r="AV28" s="228">
        <f>SupplyChain_SupplierData_Frontend[[#This Row],[Notes]]</f>
        <v>0</v>
      </c>
    </row>
    <row r="29" spans="1:48" customFormat="1" ht="17.5" customHeight="1" x14ac:dyDescent="0.35">
      <c r="A29" s="147"/>
      <c r="B29" s="455"/>
      <c r="C29" s="147"/>
      <c r="D29" s="147"/>
      <c r="E29" s="206"/>
      <c r="F29" s="425"/>
      <c r="G29" s="425"/>
      <c r="H29" s="425"/>
      <c r="I29" s="426"/>
      <c r="J29" s="427"/>
      <c r="K29" s="425"/>
      <c r="L29" s="428"/>
      <c r="M29" s="425"/>
      <c r="N29" s="425"/>
      <c r="O29" s="387"/>
      <c r="P29" s="387"/>
      <c r="Q29" s="388"/>
      <c r="R29" s="242">
        <f t="shared" si="1"/>
        <v>9</v>
      </c>
      <c r="U29" s="214" t="str">
        <f t="shared" si="0"/>
        <v/>
      </c>
      <c r="V29" s="216" t="s">
        <v>267</v>
      </c>
      <c r="W29" s="174" t="s">
        <v>385</v>
      </c>
      <c r="X29" s="216" t="str" cm="1">
        <f t="array" aca="1" ref="X29" ca="1">_xlfn.XLOOKUP(SupplyChain_SupplierData_Backend[[#This Row],[Level 2]],rng_Level2Long,rng_Level3Long)</f>
        <v>Supply chain</v>
      </c>
      <c r="Y29" s="216">
        <f>SupplyChain_SupplierData_Frontend[[#This Row],[Category]]</f>
        <v>0</v>
      </c>
      <c r="Z29" s="216">
        <f>SupplyChain_SupplierData_Frontend[[#This Row],[Product category]]</f>
        <v>0</v>
      </c>
      <c r="AA29" s="216" t="e" cm="1">
        <f t="array" aca="1" ref="AA29" ca="1">_xlfn.XLOOKUP(SupplyChain_SupplierData_Backend[[#This Row],[Level 5]],rng_Level5Long,rng_Level6Long)</f>
        <v>#N/A</v>
      </c>
      <c r="AB29" s="216">
        <f>SupplyChain_SupplierData_Frontend[[#This Row],[Data type]]</f>
        <v>0</v>
      </c>
      <c r="AC29" s="414">
        <f>SupplyChain_SupplierData_Frontend[[#This Row],[Data assessment score]]</f>
        <v>0</v>
      </c>
      <c r="AD29" s="216">
        <f>SupplyChain_SupplierData_Frontend[[#This Row],[Methodology]]</f>
        <v>0</v>
      </c>
      <c r="AE29" s="396" t="e" cm="1">
        <f t="array" aca="1" ref="AE29" ca="1">INDEX(_xlfn.SWITCH(SupplyChain_SupplierData_Backend[[#This Row],[Methodology]],"Tier 1",rng_RSD1,"Tier 2",rng_RSD2,"Tier 3",rng_RSD3),MATCH(SupplyChain_SupplierData_Backend[[#This Row],[Level 2]],rng_Level2Long,0))</f>
        <v>#N/A</v>
      </c>
      <c r="AF29" s="218">
        <f>SupplyChain_SupplierData_Frontend[[#This Row],[Spend with supplier GBP]]</f>
        <v>0</v>
      </c>
      <c r="AG29" s="174" t="s">
        <v>383</v>
      </c>
      <c r="AH29" s="218">
        <f>SupplyChain_SupplierData_Backend[[#This Row],[Data]]</f>
        <v>0</v>
      </c>
      <c r="AI29" s="174" t="s">
        <v>383</v>
      </c>
      <c r="AJ29" s="219">
        <v>0</v>
      </c>
      <c r="AK29" s="219">
        <v>0</v>
      </c>
      <c r="AL29" s="219">
        <f>SupplyChain_SupplierData_Frontend[[#This Row],[Emissions kgCO2e]]/1000</f>
        <v>0</v>
      </c>
      <c r="AM29" s="219">
        <v>0</v>
      </c>
      <c r="AN29" s="219">
        <v>0</v>
      </c>
      <c r="AO29" s="219">
        <v>0</v>
      </c>
      <c r="AP29" s="219">
        <f>SUM(SupplyChain_SupplierData_Backend[[#This Row],[Scope 1 (tCO2e)]:[Scope 3 WTT T&amp;D (tCO2e)]])</f>
        <v>0</v>
      </c>
      <c r="AQ29" s="219" t="e">
        <f ca="1">SupplyChain_SupplierData_Backend[[#This Row],[Total (tCO2e)]]*(1-SupplyChain_SupplierData_Backend[[#This Row],[RSD]])</f>
        <v>#N/A</v>
      </c>
      <c r="AR29" s="219" t="e">
        <f ca="1">SupplyChain_SupplierData_Backend[[#This Row],[Total (tCO2e)]]*(1+SupplyChain_SupplierData_Backend[[#This Row],[RSD]])</f>
        <v>#N/A</v>
      </c>
      <c r="AS29" s="217"/>
      <c r="AT29" s="216">
        <f>SupplyChain_SupplierData_Frontend[[#This Row],[Ease of collection]]</f>
        <v>0</v>
      </c>
      <c r="AU29" s="228">
        <f>SupplyChain_SupplierData_Frontend[[#This Row],[Completeness]]</f>
        <v>0</v>
      </c>
      <c r="AV29" s="228">
        <f>SupplyChain_SupplierData_Frontend[[#This Row],[Notes]]</f>
        <v>0</v>
      </c>
    </row>
    <row r="30" spans="1:48" customFormat="1" ht="17.5" customHeight="1" x14ac:dyDescent="0.35">
      <c r="A30" s="147"/>
      <c r="B30" s="455"/>
      <c r="C30" s="147"/>
      <c r="D30" s="204">
        <v>5</v>
      </c>
      <c r="E30" s="206" t="s">
        <v>398</v>
      </c>
      <c r="F30" s="425"/>
      <c r="G30" s="425"/>
      <c r="H30" s="425"/>
      <c r="I30" s="426"/>
      <c r="J30" s="427"/>
      <c r="K30" s="425"/>
      <c r="L30" s="428"/>
      <c r="M30" s="425"/>
      <c r="N30" s="425"/>
      <c r="O30" s="387"/>
      <c r="P30" s="387"/>
      <c r="Q30" s="388"/>
      <c r="R30" s="242">
        <f t="shared" si="1"/>
        <v>9</v>
      </c>
      <c r="U30" s="214" t="str">
        <f t="shared" si="0"/>
        <v/>
      </c>
      <c r="V30" s="216" t="s">
        <v>267</v>
      </c>
      <c r="W30" s="174" t="s">
        <v>385</v>
      </c>
      <c r="X30" s="216" t="str" cm="1">
        <f t="array" aca="1" ref="X30" ca="1">_xlfn.XLOOKUP(SupplyChain_SupplierData_Backend[[#This Row],[Level 2]],rng_Level2Long,rng_Level3Long)</f>
        <v>Supply chain</v>
      </c>
      <c r="Y30" s="216">
        <f>SupplyChain_SupplierData_Frontend[[#This Row],[Category]]</f>
        <v>0</v>
      </c>
      <c r="Z30" s="216">
        <f>SupplyChain_SupplierData_Frontend[[#This Row],[Product category]]</f>
        <v>0</v>
      </c>
      <c r="AA30" s="216" t="e" cm="1">
        <f t="array" aca="1" ref="AA30" ca="1">_xlfn.XLOOKUP(SupplyChain_SupplierData_Backend[[#This Row],[Level 5]],rng_Level5Long,rng_Level6Long)</f>
        <v>#N/A</v>
      </c>
      <c r="AB30" s="216">
        <f>SupplyChain_SupplierData_Frontend[[#This Row],[Data type]]</f>
        <v>0</v>
      </c>
      <c r="AC30" s="414">
        <f>SupplyChain_SupplierData_Frontend[[#This Row],[Data assessment score]]</f>
        <v>0</v>
      </c>
      <c r="AD30" s="216">
        <f>SupplyChain_SupplierData_Frontend[[#This Row],[Methodology]]</f>
        <v>0</v>
      </c>
      <c r="AE30" s="396" t="e" cm="1">
        <f t="array" aca="1" ref="AE30" ca="1">INDEX(_xlfn.SWITCH(SupplyChain_SupplierData_Backend[[#This Row],[Methodology]],"Tier 1",rng_RSD1,"Tier 2",rng_RSD2,"Tier 3",rng_RSD3),MATCH(SupplyChain_SupplierData_Backend[[#This Row],[Level 2]],rng_Level2Long,0))</f>
        <v>#N/A</v>
      </c>
      <c r="AF30" s="218">
        <f>SupplyChain_SupplierData_Frontend[[#This Row],[Spend with supplier GBP]]</f>
        <v>0</v>
      </c>
      <c r="AG30" s="174" t="s">
        <v>383</v>
      </c>
      <c r="AH30" s="218">
        <f>SupplyChain_SupplierData_Backend[[#This Row],[Data]]</f>
        <v>0</v>
      </c>
      <c r="AI30" s="174" t="s">
        <v>383</v>
      </c>
      <c r="AJ30" s="219">
        <v>0</v>
      </c>
      <c r="AK30" s="219">
        <v>0</v>
      </c>
      <c r="AL30" s="219">
        <f>SupplyChain_SupplierData_Frontend[[#This Row],[Emissions kgCO2e]]/1000</f>
        <v>0</v>
      </c>
      <c r="AM30" s="219">
        <v>0</v>
      </c>
      <c r="AN30" s="219">
        <v>0</v>
      </c>
      <c r="AO30" s="219">
        <v>0</v>
      </c>
      <c r="AP30" s="219">
        <f>SUM(SupplyChain_SupplierData_Backend[[#This Row],[Scope 1 (tCO2e)]:[Scope 3 WTT T&amp;D (tCO2e)]])</f>
        <v>0</v>
      </c>
      <c r="AQ30" s="219" t="e">
        <f ca="1">SupplyChain_SupplierData_Backend[[#This Row],[Total (tCO2e)]]*(1-SupplyChain_SupplierData_Backend[[#This Row],[RSD]])</f>
        <v>#N/A</v>
      </c>
      <c r="AR30" s="219" t="e">
        <f ca="1">SupplyChain_SupplierData_Backend[[#This Row],[Total (tCO2e)]]*(1+SupplyChain_SupplierData_Backend[[#This Row],[RSD]])</f>
        <v>#N/A</v>
      </c>
      <c r="AS30" s="217"/>
      <c r="AT30" s="216">
        <f>SupplyChain_SupplierData_Frontend[[#This Row],[Ease of collection]]</f>
        <v>0</v>
      </c>
      <c r="AU30" s="228">
        <f>SupplyChain_SupplierData_Frontend[[#This Row],[Completeness]]</f>
        <v>0</v>
      </c>
      <c r="AV30" s="228">
        <f>SupplyChain_SupplierData_Frontend[[#This Row],[Notes]]</f>
        <v>0</v>
      </c>
    </row>
    <row r="31" spans="1:48" customFormat="1" ht="17.5" customHeight="1" x14ac:dyDescent="0.35">
      <c r="A31" s="147"/>
      <c r="B31" s="455"/>
      <c r="C31" s="147"/>
      <c r="D31" s="147"/>
      <c r="E31" s="206"/>
      <c r="F31" s="425"/>
      <c r="G31" s="425"/>
      <c r="H31" s="425"/>
      <c r="I31" s="426"/>
      <c r="J31" s="427"/>
      <c r="K31" s="425"/>
      <c r="L31" s="428"/>
      <c r="M31" s="425"/>
      <c r="N31" s="425"/>
      <c r="O31" s="387"/>
      <c r="P31" s="387"/>
      <c r="Q31" s="388"/>
      <c r="R31" s="242">
        <f t="shared" si="1"/>
        <v>9</v>
      </c>
      <c r="U31" s="214" t="str">
        <f t="shared" si="0"/>
        <v/>
      </c>
      <c r="V31" s="216" t="s">
        <v>267</v>
      </c>
      <c r="W31" s="174" t="s">
        <v>385</v>
      </c>
      <c r="X31" s="216" t="str" cm="1">
        <f t="array" aca="1" ref="X31" ca="1">_xlfn.XLOOKUP(SupplyChain_SupplierData_Backend[[#This Row],[Level 2]],rng_Level2Long,rng_Level3Long)</f>
        <v>Supply chain</v>
      </c>
      <c r="Y31" s="216">
        <f>SupplyChain_SupplierData_Frontend[[#This Row],[Category]]</f>
        <v>0</v>
      </c>
      <c r="Z31" s="216">
        <f>SupplyChain_SupplierData_Frontend[[#This Row],[Product category]]</f>
        <v>0</v>
      </c>
      <c r="AA31" s="216" t="e" cm="1">
        <f t="array" aca="1" ref="AA31" ca="1">_xlfn.XLOOKUP(SupplyChain_SupplierData_Backend[[#This Row],[Level 5]],rng_Level5Long,rng_Level6Long)</f>
        <v>#N/A</v>
      </c>
      <c r="AB31" s="216">
        <f>SupplyChain_SupplierData_Frontend[[#This Row],[Data type]]</f>
        <v>0</v>
      </c>
      <c r="AC31" s="414">
        <f>SupplyChain_SupplierData_Frontend[[#This Row],[Data assessment score]]</f>
        <v>0</v>
      </c>
      <c r="AD31" s="216">
        <f>SupplyChain_SupplierData_Frontend[[#This Row],[Methodology]]</f>
        <v>0</v>
      </c>
      <c r="AE31" s="396" t="e" cm="1">
        <f t="array" aca="1" ref="AE31" ca="1">INDEX(_xlfn.SWITCH(SupplyChain_SupplierData_Backend[[#This Row],[Methodology]],"Tier 1",rng_RSD1,"Tier 2",rng_RSD2,"Tier 3",rng_RSD3),MATCH(SupplyChain_SupplierData_Backend[[#This Row],[Level 2]],rng_Level2Long,0))</f>
        <v>#N/A</v>
      </c>
      <c r="AF31" s="218">
        <f>SupplyChain_SupplierData_Frontend[[#This Row],[Spend with supplier GBP]]</f>
        <v>0</v>
      </c>
      <c r="AG31" s="174" t="s">
        <v>383</v>
      </c>
      <c r="AH31" s="218">
        <f>SupplyChain_SupplierData_Backend[[#This Row],[Data]]</f>
        <v>0</v>
      </c>
      <c r="AI31" s="174" t="s">
        <v>383</v>
      </c>
      <c r="AJ31" s="219">
        <v>0</v>
      </c>
      <c r="AK31" s="219">
        <v>0</v>
      </c>
      <c r="AL31" s="219">
        <f>SupplyChain_SupplierData_Frontend[[#This Row],[Emissions kgCO2e]]/1000</f>
        <v>0</v>
      </c>
      <c r="AM31" s="219">
        <v>0</v>
      </c>
      <c r="AN31" s="219">
        <v>0</v>
      </c>
      <c r="AO31" s="219">
        <v>0</v>
      </c>
      <c r="AP31" s="219">
        <f>SUM(SupplyChain_SupplierData_Backend[[#This Row],[Scope 1 (tCO2e)]:[Scope 3 WTT T&amp;D (tCO2e)]])</f>
        <v>0</v>
      </c>
      <c r="AQ31" s="219" t="e">
        <f ca="1">SupplyChain_SupplierData_Backend[[#This Row],[Total (tCO2e)]]*(1-SupplyChain_SupplierData_Backend[[#This Row],[RSD]])</f>
        <v>#N/A</v>
      </c>
      <c r="AR31" s="219" t="e">
        <f ca="1">SupplyChain_SupplierData_Backend[[#This Row],[Total (tCO2e)]]*(1+SupplyChain_SupplierData_Backend[[#This Row],[RSD]])</f>
        <v>#N/A</v>
      </c>
      <c r="AS31" s="217"/>
      <c r="AT31" s="216">
        <f>SupplyChain_SupplierData_Frontend[[#This Row],[Ease of collection]]</f>
        <v>0</v>
      </c>
      <c r="AU31" s="228">
        <f>SupplyChain_SupplierData_Frontend[[#This Row],[Completeness]]</f>
        <v>0</v>
      </c>
      <c r="AV31" s="228">
        <f>SupplyChain_SupplierData_Frontend[[#This Row],[Notes]]</f>
        <v>0</v>
      </c>
    </row>
    <row r="32" spans="1:48" customFormat="1" ht="17.5" customHeight="1" x14ac:dyDescent="0.35">
      <c r="A32" s="147"/>
      <c r="B32" s="455"/>
      <c r="C32" s="147"/>
      <c r="D32" s="147"/>
      <c r="E32" s="206"/>
      <c r="F32" s="425"/>
      <c r="G32" s="425"/>
      <c r="H32" s="425"/>
      <c r="I32" s="426"/>
      <c r="J32" s="427"/>
      <c r="K32" s="425"/>
      <c r="L32" s="428"/>
      <c r="M32" s="425"/>
      <c r="N32" s="425"/>
      <c r="O32" s="387"/>
      <c r="P32" s="387"/>
      <c r="Q32" s="388"/>
      <c r="R32" s="242">
        <f t="shared" si="1"/>
        <v>9</v>
      </c>
      <c r="U32" s="214" t="str">
        <f t="shared" si="0"/>
        <v/>
      </c>
      <c r="V32" s="216" t="s">
        <v>267</v>
      </c>
      <c r="W32" s="174" t="s">
        <v>385</v>
      </c>
      <c r="X32" s="216" t="str" cm="1">
        <f t="array" aca="1" ref="X32" ca="1">_xlfn.XLOOKUP(SupplyChain_SupplierData_Backend[[#This Row],[Level 2]],rng_Level2Long,rng_Level3Long)</f>
        <v>Supply chain</v>
      </c>
      <c r="Y32" s="216">
        <f>SupplyChain_SupplierData_Frontend[[#This Row],[Category]]</f>
        <v>0</v>
      </c>
      <c r="Z32" s="216">
        <f>SupplyChain_SupplierData_Frontend[[#This Row],[Product category]]</f>
        <v>0</v>
      </c>
      <c r="AA32" s="216" t="e" cm="1">
        <f t="array" aca="1" ref="AA32" ca="1">_xlfn.XLOOKUP(SupplyChain_SupplierData_Backend[[#This Row],[Level 5]],rng_Level5Long,rng_Level6Long)</f>
        <v>#N/A</v>
      </c>
      <c r="AB32" s="216">
        <f>SupplyChain_SupplierData_Frontend[[#This Row],[Data type]]</f>
        <v>0</v>
      </c>
      <c r="AC32" s="414">
        <f>SupplyChain_SupplierData_Frontend[[#This Row],[Data assessment score]]</f>
        <v>0</v>
      </c>
      <c r="AD32" s="216">
        <f>SupplyChain_SupplierData_Frontend[[#This Row],[Methodology]]</f>
        <v>0</v>
      </c>
      <c r="AE32" s="396" t="e" cm="1">
        <f t="array" aca="1" ref="AE32" ca="1">INDEX(_xlfn.SWITCH(SupplyChain_SupplierData_Backend[[#This Row],[Methodology]],"Tier 1",rng_RSD1,"Tier 2",rng_RSD2,"Tier 3",rng_RSD3),MATCH(SupplyChain_SupplierData_Backend[[#This Row],[Level 2]],rng_Level2Long,0))</f>
        <v>#N/A</v>
      </c>
      <c r="AF32" s="218">
        <f>SupplyChain_SupplierData_Frontend[[#This Row],[Spend with supplier GBP]]</f>
        <v>0</v>
      </c>
      <c r="AG32" s="174" t="s">
        <v>383</v>
      </c>
      <c r="AH32" s="218">
        <f>SupplyChain_SupplierData_Backend[[#This Row],[Data]]</f>
        <v>0</v>
      </c>
      <c r="AI32" s="174" t="s">
        <v>383</v>
      </c>
      <c r="AJ32" s="219">
        <v>0</v>
      </c>
      <c r="AK32" s="219">
        <v>0</v>
      </c>
      <c r="AL32" s="219">
        <f>SupplyChain_SupplierData_Frontend[[#This Row],[Emissions kgCO2e]]/1000</f>
        <v>0</v>
      </c>
      <c r="AM32" s="219">
        <v>0</v>
      </c>
      <c r="AN32" s="219">
        <v>0</v>
      </c>
      <c r="AO32" s="219">
        <v>0</v>
      </c>
      <c r="AP32" s="219">
        <f>SUM(SupplyChain_SupplierData_Backend[[#This Row],[Scope 1 (tCO2e)]:[Scope 3 WTT T&amp;D (tCO2e)]])</f>
        <v>0</v>
      </c>
      <c r="AQ32" s="219" t="e">
        <f ca="1">SupplyChain_SupplierData_Backend[[#This Row],[Total (tCO2e)]]*(1-SupplyChain_SupplierData_Backend[[#This Row],[RSD]])</f>
        <v>#N/A</v>
      </c>
      <c r="AR32" s="219" t="e">
        <f ca="1">SupplyChain_SupplierData_Backend[[#This Row],[Total (tCO2e)]]*(1+SupplyChain_SupplierData_Backend[[#This Row],[RSD]])</f>
        <v>#N/A</v>
      </c>
      <c r="AS32" s="217"/>
      <c r="AT32" s="216">
        <f>SupplyChain_SupplierData_Frontend[[#This Row],[Ease of collection]]</f>
        <v>0</v>
      </c>
      <c r="AU32" s="228">
        <f>SupplyChain_SupplierData_Frontend[[#This Row],[Completeness]]</f>
        <v>0</v>
      </c>
      <c r="AV32" s="228">
        <f>SupplyChain_SupplierData_Frontend[[#This Row],[Notes]]</f>
        <v>0</v>
      </c>
    </row>
    <row r="33" spans="1:48" customFormat="1" ht="17.5" customHeight="1" x14ac:dyDescent="0.35">
      <c r="A33" s="147"/>
      <c r="B33" s="455"/>
      <c r="C33" s="147"/>
      <c r="D33" s="147"/>
      <c r="E33" s="206"/>
      <c r="F33" s="425"/>
      <c r="G33" s="425"/>
      <c r="H33" s="425"/>
      <c r="I33" s="426"/>
      <c r="J33" s="427"/>
      <c r="K33" s="425"/>
      <c r="L33" s="428"/>
      <c r="M33" s="425"/>
      <c r="N33" s="425"/>
      <c r="O33" s="387"/>
      <c r="P33" s="387"/>
      <c r="Q33" s="388"/>
      <c r="R33" s="242">
        <f t="shared" si="1"/>
        <v>9</v>
      </c>
      <c r="U33" s="214" t="str">
        <f t="shared" si="0"/>
        <v/>
      </c>
      <c r="V33" s="216" t="s">
        <v>267</v>
      </c>
      <c r="W33" s="174" t="s">
        <v>385</v>
      </c>
      <c r="X33" s="216" t="str" cm="1">
        <f t="array" aca="1" ref="X33" ca="1">_xlfn.XLOOKUP(SupplyChain_SupplierData_Backend[[#This Row],[Level 2]],rng_Level2Long,rng_Level3Long)</f>
        <v>Supply chain</v>
      </c>
      <c r="Y33" s="216">
        <f>SupplyChain_SupplierData_Frontend[[#This Row],[Category]]</f>
        <v>0</v>
      </c>
      <c r="Z33" s="216">
        <f>SupplyChain_SupplierData_Frontend[[#This Row],[Product category]]</f>
        <v>0</v>
      </c>
      <c r="AA33" s="216" t="e" cm="1">
        <f t="array" aca="1" ref="AA33" ca="1">_xlfn.XLOOKUP(SupplyChain_SupplierData_Backend[[#This Row],[Level 5]],rng_Level5Long,rng_Level6Long)</f>
        <v>#N/A</v>
      </c>
      <c r="AB33" s="216">
        <f>SupplyChain_SupplierData_Frontend[[#This Row],[Data type]]</f>
        <v>0</v>
      </c>
      <c r="AC33" s="414">
        <f>SupplyChain_SupplierData_Frontend[[#This Row],[Data assessment score]]</f>
        <v>0</v>
      </c>
      <c r="AD33" s="216">
        <f>SupplyChain_SupplierData_Frontend[[#This Row],[Methodology]]</f>
        <v>0</v>
      </c>
      <c r="AE33" s="396" t="e" cm="1">
        <f t="array" aca="1" ref="AE33" ca="1">INDEX(_xlfn.SWITCH(SupplyChain_SupplierData_Backend[[#This Row],[Methodology]],"Tier 1",rng_RSD1,"Tier 2",rng_RSD2,"Tier 3",rng_RSD3),MATCH(SupplyChain_SupplierData_Backend[[#This Row],[Level 2]],rng_Level2Long,0))</f>
        <v>#N/A</v>
      </c>
      <c r="AF33" s="218">
        <f>SupplyChain_SupplierData_Frontend[[#This Row],[Spend with supplier GBP]]</f>
        <v>0</v>
      </c>
      <c r="AG33" s="174" t="s">
        <v>383</v>
      </c>
      <c r="AH33" s="218">
        <f>SupplyChain_SupplierData_Backend[[#This Row],[Data]]</f>
        <v>0</v>
      </c>
      <c r="AI33" s="174" t="s">
        <v>383</v>
      </c>
      <c r="AJ33" s="219">
        <v>0</v>
      </c>
      <c r="AK33" s="219">
        <v>0</v>
      </c>
      <c r="AL33" s="219">
        <f>SupplyChain_SupplierData_Frontend[[#This Row],[Emissions kgCO2e]]/1000</f>
        <v>0</v>
      </c>
      <c r="AM33" s="219">
        <v>0</v>
      </c>
      <c r="AN33" s="219">
        <v>0</v>
      </c>
      <c r="AO33" s="219">
        <v>0</v>
      </c>
      <c r="AP33" s="219">
        <f>SUM(SupplyChain_SupplierData_Backend[[#This Row],[Scope 1 (tCO2e)]:[Scope 3 WTT T&amp;D (tCO2e)]])</f>
        <v>0</v>
      </c>
      <c r="AQ33" s="219" t="e">
        <f ca="1">SupplyChain_SupplierData_Backend[[#This Row],[Total (tCO2e)]]*(1-SupplyChain_SupplierData_Backend[[#This Row],[RSD]])</f>
        <v>#N/A</v>
      </c>
      <c r="AR33" s="219" t="e">
        <f ca="1">SupplyChain_SupplierData_Backend[[#This Row],[Total (tCO2e)]]*(1+SupplyChain_SupplierData_Backend[[#This Row],[RSD]])</f>
        <v>#N/A</v>
      </c>
      <c r="AS33" s="217"/>
      <c r="AT33" s="216">
        <f>SupplyChain_SupplierData_Frontend[[#This Row],[Ease of collection]]</f>
        <v>0</v>
      </c>
      <c r="AU33" s="228">
        <f>SupplyChain_SupplierData_Frontend[[#This Row],[Completeness]]</f>
        <v>0</v>
      </c>
      <c r="AV33" s="228">
        <f>SupplyChain_SupplierData_Frontend[[#This Row],[Notes]]</f>
        <v>0</v>
      </c>
    </row>
    <row r="34" spans="1:48" customFormat="1" ht="17.5" customHeight="1" x14ac:dyDescent="0.35">
      <c r="A34" s="147"/>
      <c r="B34" s="455"/>
      <c r="C34" s="147"/>
      <c r="D34" s="204">
        <v>6</v>
      </c>
      <c r="E34" s="206" t="s">
        <v>398</v>
      </c>
      <c r="F34" s="425"/>
      <c r="G34" s="425"/>
      <c r="H34" s="425"/>
      <c r="I34" s="426"/>
      <c r="J34" s="427"/>
      <c r="K34" s="425"/>
      <c r="L34" s="428"/>
      <c r="M34" s="425"/>
      <c r="N34" s="425"/>
      <c r="O34" s="387"/>
      <c r="P34" s="387"/>
      <c r="Q34" s="388"/>
      <c r="R34" s="242">
        <f t="shared" si="1"/>
        <v>9</v>
      </c>
      <c r="U34" s="214" t="str">
        <f t="shared" si="0"/>
        <v/>
      </c>
      <c r="V34" s="216" t="s">
        <v>267</v>
      </c>
      <c r="W34" s="174" t="s">
        <v>385</v>
      </c>
      <c r="X34" s="216" t="str" cm="1">
        <f t="array" aca="1" ref="X34" ca="1">_xlfn.XLOOKUP(SupplyChain_SupplierData_Backend[[#This Row],[Level 2]],rng_Level2Long,rng_Level3Long)</f>
        <v>Supply chain</v>
      </c>
      <c r="Y34" s="216">
        <f>SupplyChain_SupplierData_Frontend[[#This Row],[Category]]</f>
        <v>0</v>
      </c>
      <c r="Z34" s="216">
        <f>SupplyChain_SupplierData_Frontend[[#This Row],[Product category]]</f>
        <v>0</v>
      </c>
      <c r="AA34" s="216" t="e" cm="1">
        <f t="array" aca="1" ref="AA34" ca="1">_xlfn.XLOOKUP(SupplyChain_SupplierData_Backend[[#This Row],[Level 5]],rng_Level5Long,rng_Level6Long)</f>
        <v>#N/A</v>
      </c>
      <c r="AB34" s="216">
        <f>SupplyChain_SupplierData_Frontend[[#This Row],[Data type]]</f>
        <v>0</v>
      </c>
      <c r="AC34" s="414">
        <f>SupplyChain_SupplierData_Frontend[[#This Row],[Data assessment score]]</f>
        <v>0</v>
      </c>
      <c r="AD34" s="216">
        <f>SupplyChain_SupplierData_Frontend[[#This Row],[Methodology]]</f>
        <v>0</v>
      </c>
      <c r="AE34" s="396" t="e" cm="1">
        <f t="array" aca="1" ref="AE34" ca="1">INDEX(_xlfn.SWITCH(SupplyChain_SupplierData_Backend[[#This Row],[Methodology]],"Tier 1",rng_RSD1,"Tier 2",rng_RSD2,"Tier 3",rng_RSD3),MATCH(SupplyChain_SupplierData_Backend[[#This Row],[Level 2]],rng_Level2Long,0))</f>
        <v>#N/A</v>
      </c>
      <c r="AF34" s="218">
        <f>SupplyChain_SupplierData_Frontend[[#This Row],[Spend with supplier GBP]]</f>
        <v>0</v>
      </c>
      <c r="AG34" s="174" t="s">
        <v>383</v>
      </c>
      <c r="AH34" s="218">
        <f>SupplyChain_SupplierData_Backend[[#This Row],[Data]]</f>
        <v>0</v>
      </c>
      <c r="AI34" s="174" t="s">
        <v>383</v>
      </c>
      <c r="AJ34" s="219">
        <v>0</v>
      </c>
      <c r="AK34" s="219">
        <v>0</v>
      </c>
      <c r="AL34" s="219">
        <f>SupplyChain_SupplierData_Frontend[[#This Row],[Emissions kgCO2e]]/1000</f>
        <v>0</v>
      </c>
      <c r="AM34" s="219">
        <v>0</v>
      </c>
      <c r="AN34" s="219">
        <v>0</v>
      </c>
      <c r="AO34" s="219">
        <v>0</v>
      </c>
      <c r="AP34" s="219">
        <f>SUM(SupplyChain_SupplierData_Backend[[#This Row],[Scope 1 (tCO2e)]:[Scope 3 WTT T&amp;D (tCO2e)]])</f>
        <v>0</v>
      </c>
      <c r="AQ34" s="219" t="e">
        <f ca="1">SupplyChain_SupplierData_Backend[[#This Row],[Total (tCO2e)]]*(1-SupplyChain_SupplierData_Backend[[#This Row],[RSD]])</f>
        <v>#N/A</v>
      </c>
      <c r="AR34" s="219" t="e">
        <f ca="1">SupplyChain_SupplierData_Backend[[#This Row],[Total (tCO2e)]]*(1+SupplyChain_SupplierData_Backend[[#This Row],[RSD]])</f>
        <v>#N/A</v>
      </c>
      <c r="AS34" s="217"/>
      <c r="AT34" s="216">
        <f>SupplyChain_SupplierData_Frontend[[#This Row],[Ease of collection]]</f>
        <v>0</v>
      </c>
      <c r="AU34" s="228">
        <f>SupplyChain_SupplierData_Frontend[[#This Row],[Completeness]]</f>
        <v>0</v>
      </c>
      <c r="AV34" s="228">
        <f>SupplyChain_SupplierData_Frontend[[#This Row],[Notes]]</f>
        <v>0</v>
      </c>
    </row>
    <row r="35" spans="1:48" customFormat="1" ht="17.5" customHeight="1" x14ac:dyDescent="0.35">
      <c r="A35" s="147"/>
      <c r="B35" s="455"/>
      <c r="C35" s="147"/>
      <c r="D35" s="147"/>
      <c r="E35" s="207"/>
      <c r="F35" s="425"/>
      <c r="G35" s="425"/>
      <c r="H35" s="425"/>
      <c r="I35" s="426"/>
      <c r="J35" s="427"/>
      <c r="K35" s="425"/>
      <c r="L35" s="428"/>
      <c r="M35" s="425"/>
      <c r="N35" s="425"/>
      <c r="O35" s="387"/>
      <c r="P35" s="387"/>
      <c r="Q35" s="388"/>
      <c r="R35" s="242">
        <f t="shared" si="1"/>
        <v>9</v>
      </c>
      <c r="U35" s="214" t="str">
        <f t="shared" si="0"/>
        <v/>
      </c>
      <c r="V35" s="216" t="s">
        <v>267</v>
      </c>
      <c r="W35" s="174" t="s">
        <v>385</v>
      </c>
      <c r="X35" s="216" t="str" cm="1">
        <f t="array" aca="1" ref="X35" ca="1">_xlfn.XLOOKUP(SupplyChain_SupplierData_Backend[[#This Row],[Level 2]],rng_Level2Long,rng_Level3Long)</f>
        <v>Supply chain</v>
      </c>
      <c r="Y35" s="216">
        <f>SupplyChain_SupplierData_Frontend[[#This Row],[Category]]</f>
        <v>0</v>
      </c>
      <c r="Z35" s="216">
        <f>SupplyChain_SupplierData_Frontend[[#This Row],[Product category]]</f>
        <v>0</v>
      </c>
      <c r="AA35" s="216" t="e" cm="1">
        <f t="array" aca="1" ref="AA35" ca="1">_xlfn.XLOOKUP(SupplyChain_SupplierData_Backend[[#This Row],[Level 5]],rng_Level5Long,rng_Level6Long)</f>
        <v>#N/A</v>
      </c>
      <c r="AB35" s="216">
        <f>SupplyChain_SupplierData_Frontend[[#This Row],[Data type]]</f>
        <v>0</v>
      </c>
      <c r="AC35" s="414">
        <f>SupplyChain_SupplierData_Frontend[[#This Row],[Data assessment score]]</f>
        <v>0</v>
      </c>
      <c r="AD35" s="216">
        <f>SupplyChain_SupplierData_Frontend[[#This Row],[Methodology]]</f>
        <v>0</v>
      </c>
      <c r="AE35" s="396" t="e" cm="1">
        <f t="array" aca="1" ref="AE35" ca="1">INDEX(_xlfn.SWITCH(SupplyChain_SupplierData_Backend[[#This Row],[Methodology]],"Tier 1",rng_RSD1,"Tier 2",rng_RSD2,"Tier 3",rng_RSD3),MATCH(SupplyChain_SupplierData_Backend[[#This Row],[Level 2]],rng_Level2Long,0))</f>
        <v>#N/A</v>
      </c>
      <c r="AF35" s="218">
        <f>SupplyChain_SupplierData_Frontend[[#This Row],[Spend with supplier GBP]]</f>
        <v>0</v>
      </c>
      <c r="AG35" s="174" t="s">
        <v>383</v>
      </c>
      <c r="AH35" s="218">
        <f>SupplyChain_SupplierData_Backend[[#This Row],[Data]]</f>
        <v>0</v>
      </c>
      <c r="AI35" s="174" t="s">
        <v>383</v>
      </c>
      <c r="AJ35" s="219">
        <v>0</v>
      </c>
      <c r="AK35" s="219">
        <v>0</v>
      </c>
      <c r="AL35" s="219">
        <f>SupplyChain_SupplierData_Frontend[[#This Row],[Emissions kgCO2e]]/1000</f>
        <v>0</v>
      </c>
      <c r="AM35" s="219">
        <v>0</v>
      </c>
      <c r="AN35" s="219">
        <v>0</v>
      </c>
      <c r="AO35" s="219">
        <v>0</v>
      </c>
      <c r="AP35" s="219">
        <f>SUM(SupplyChain_SupplierData_Backend[[#This Row],[Scope 1 (tCO2e)]:[Scope 3 WTT T&amp;D (tCO2e)]])</f>
        <v>0</v>
      </c>
      <c r="AQ35" s="219" t="e">
        <f ca="1">SupplyChain_SupplierData_Backend[[#This Row],[Total (tCO2e)]]*(1-SupplyChain_SupplierData_Backend[[#This Row],[RSD]])</f>
        <v>#N/A</v>
      </c>
      <c r="AR35" s="219" t="e">
        <f ca="1">SupplyChain_SupplierData_Backend[[#This Row],[Total (tCO2e)]]*(1+SupplyChain_SupplierData_Backend[[#This Row],[RSD]])</f>
        <v>#N/A</v>
      </c>
      <c r="AS35" s="217"/>
      <c r="AT35" s="216">
        <f>SupplyChain_SupplierData_Frontend[[#This Row],[Ease of collection]]</f>
        <v>0</v>
      </c>
      <c r="AU35" s="228">
        <f>SupplyChain_SupplierData_Frontend[[#This Row],[Completeness]]</f>
        <v>0</v>
      </c>
      <c r="AV35" s="228">
        <f>SupplyChain_SupplierData_Frontend[[#This Row],[Notes]]</f>
        <v>0</v>
      </c>
    </row>
    <row r="36" spans="1:48" customFormat="1" ht="17.5" customHeight="1" x14ac:dyDescent="0.35">
      <c r="A36" s="147"/>
      <c r="B36" s="455"/>
      <c r="C36" s="147"/>
      <c r="D36" s="147"/>
      <c r="E36" s="207"/>
      <c r="F36" s="425"/>
      <c r="G36" s="425"/>
      <c r="H36" s="425"/>
      <c r="I36" s="426"/>
      <c r="J36" s="427"/>
      <c r="K36" s="425"/>
      <c r="L36" s="428"/>
      <c r="M36" s="425"/>
      <c r="N36" s="425"/>
      <c r="O36" s="387"/>
      <c r="P36" s="387"/>
      <c r="Q36" s="388"/>
      <c r="R36" s="242">
        <f t="shared" si="1"/>
        <v>9</v>
      </c>
      <c r="U36" s="214" t="str">
        <f t="shared" si="0"/>
        <v/>
      </c>
      <c r="V36" s="216" t="s">
        <v>267</v>
      </c>
      <c r="W36" s="174" t="s">
        <v>385</v>
      </c>
      <c r="X36" s="216" t="str" cm="1">
        <f t="array" aca="1" ref="X36" ca="1">_xlfn.XLOOKUP(SupplyChain_SupplierData_Backend[[#This Row],[Level 2]],rng_Level2Long,rng_Level3Long)</f>
        <v>Supply chain</v>
      </c>
      <c r="Y36" s="216">
        <f>SupplyChain_SupplierData_Frontend[[#This Row],[Category]]</f>
        <v>0</v>
      </c>
      <c r="Z36" s="216">
        <f>SupplyChain_SupplierData_Frontend[[#This Row],[Product category]]</f>
        <v>0</v>
      </c>
      <c r="AA36" s="216" t="e" cm="1">
        <f t="array" aca="1" ref="AA36" ca="1">_xlfn.XLOOKUP(SupplyChain_SupplierData_Backend[[#This Row],[Level 5]],rng_Level5Long,rng_Level6Long)</f>
        <v>#N/A</v>
      </c>
      <c r="AB36" s="216">
        <f>SupplyChain_SupplierData_Frontend[[#This Row],[Data type]]</f>
        <v>0</v>
      </c>
      <c r="AC36" s="414">
        <f>SupplyChain_SupplierData_Frontend[[#This Row],[Data assessment score]]</f>
        <v>0</v>
      </c>
      <c r="AD36" s="216">
        <f>SupplyChain_SupplierData_Frontend[[#This Row],[Methodology]]</f>
        <v>0</v>
      </c>
      <c r="AE36" s="396" t="e" cm="1">
        <f t="array" aca="1" ref="AE36" ca="1">INDEX(_xlfn.SWITCH(SupplyChain_SupplierData_Backend[[#This Row],[Methodology]],"Tier 1",rng_RSD1,"Tier 2",rng_RSD2,"Tier 3",rng_RSD3),MATCH(SupplyChain_SupplierData_Backend[[#This Row],[Level 2]],rng_Level2Long,0))</f>
        <v>#N/A</v>
      </c>
      <c r="AF36" s="218">
        <f>SupplyChain_SupplierData_Frontend[[#This Row],[Spend with supplier GBP]]</f>
        <v>0</v>
      </c>
      <c r="AG36" s="174" t="s">
        <v>383</v>
      </c>
      <c r="AH36" s="218">
        <f>SupplyChain_SupplierData_Backend[[#This Row],[Data]]</f>
        <v>0</v>
      </c>
      <c r="AI36" s="174" t="s">
        <v>383</v>
      </c>
      <c r="AJ36" s="219">
        <v>0</v>
      </c>
      <c r="AK36" s="219">
        <v>0</v>
      </c>
      <c r="AL36" s="219">
        <f>SupplyChain_SupplierData_Frontend[[#This Row],[Emissions kgCO2e]]/1000</f>
        <v>0</v>
      </c>
      <c r="AM36" s="219">
        <v>0</v>
      </c>
      <c r="AN36" s="219">
        <v>0</v>
      </c>
      <c r="AO36" s="219">
        <v>0</v>
      </c>
      <c r="AP36" s="219">
        <f>SUM(SupplyChain_SupplierData_Backend[[#This Row],[Scope 1 (tCO2e)]:[Scope 3 WTT T&amp;D (tCO2e)]])</f>
        <v>0</v>
      </c>
      <c r="AQ36" s="219" t="e">
        <f ca="1">SupplyChain_SupplierData_Backend[[#This Row],[Total (tCO2e)]]*(1-SupplyChain_SupplierData_Backend[[#This Row],[RSD]])</f>
        <v>#N/A</v>
      </c>
      <c r="AR36" s="219" t="e">
        <f ca="1">SupplyChain_SupplierData_Backend[[#This Row],[Total (tCO2e)]]*(1+SupplyChain_SupplierData_Backend[[#This Row],[RSD]])</f>
        <v>#N/A</v>
      </c>
      <c r="AS36" s="217"/>
      <c r="AT36" s="216">
        <f>SupplyChain_SupplierData_Frontend[[#This Row],[Ease of collection]]</f>
        <v>0</v>
      </c>
      <c r="AU36" s="228">
        <f>SupplyChain_SupplierData_Frontend[[#This Row],[Completeness]]</f>
        <v>0</v>
      </c>
      <c r="AV36" s="228">
        <f>SupplyChain_SupplierData_Frontend[[#This Row],[Notes]]</f>
        <v>0</v>
      </c>
    </row>
    <row r="37" spans="1:48" customFormat="1" ht="17.5" customHeight="1" x14ac:dyDescent="0.35">
      <c r="A37" s="147"/>
      <c r="B37" s="455"/>
      <c r="C37" s="147"/>
      <c r="D37" s="147"/>
      <c r="E37" s="207"/>
      <c r="F37" s="425"/>
      <c r="G37" s="425"/>
      <c r="H37" s="425"/>
      <c r="I37" s="426"/>
      <c r="J37" s="427"/>
      <c r="K37" s="425"/>
      <c r="L37" s="428"/>
      <c r="M37" s="425"/>
      <c r="N37" s="425"/>
      <c r="O37" s="387"/>
      <c r="P37" s="387"/>
      <c r="Q37" s="388"/>
      <c r="R37" s="242">
        <f t="shared" si="1"/>
        <v>9</v>
      </c>
      <c r="U37" s="214" t="str">
        <f t="shared" si="0"/>
        <v/>
      </c>
      <c r="V37" s="216" t="s">
        <v>267</v>
      </c>
      <c r="W37" s="174" t="s">
        <v>385</v>
      </c>
      <c r="X37" s="216" t="str" cm="1">
        <f t="array" aca="1" ref="X37" ca="1">_xlfn.XLOOKUP(SupplyChain_SupplierData_Backend[[#This Row],[Level 2]],rng_Level2Long,rng_Level3Long)</f>
        <v>Supply chain</v>
      </c>
      <c r="Y37" s="216">
        <f>SupplyChain_SupplierData_Frontend[[#This Row],[Category]]</f>
        <v>0</v>
      </c>
      <c r="Z37" s="216">
        <f>SupplyChain_SupplierData_Frontend[[#This Row],[Product category]]</f>
        <v>0</v>
      </c>
      <c r="AA37" s="216" t="e" cm="1">
        <f t="array" aca="1" ref="AA37" ca="1">_xlfn.XLOOKUP(SupplyChain_SupplierData_Backend[[#This Row],[Level 5]],rng_Level5Long,rng_Level6Long)</f>
        <v>#N/A</v>
      </c>
      <c r="AB37" s="216">
        <f>SupplyChain_SupplierData_Frontend[[#This Row],[Data type]]</f>
        <v>0</v>
      </c>
      <c r="AC37" s="414">
        <f>SupplyChain_SupplierData_Frontend[[#This Row],[Data assessment score]]</f>
        <v>0</v>
      </c>
      <c r="AD37" s="216">
        <f>SupplyChain_SupplierData_Frontend[[#This Row],[Methodology]]</f>
        <v>0</v>
      </c>
      <c r="AE37" s="396" t="e" cm="1">
        <f t="array" aca="1" ref="AE37" ca="1">INDEX(_xlfn.SWITCH(SupplyChain_SupplierData_Backend[[#This Row],[Methodology]],"Tier 1",rng_RSD1,"Tier 2",rng_RSD2,"Tier 3",rng_RSD3),MATCH(SupplyChain_SupplierData_Backend[[#This Row],[Level 2]],rng_Level2Long,0))</f>
        <v>#N/A</v>
      </c>
      <c r="AF37" s="218">
        <f>SupplyChain_SupplierData_Frontend[[#This Row],[Spend with supplier GBP]]</f>
        <v>0</v>
      </c>
      <c r="AG37" s="174" t="s">
        <v>383</v>
      </c>
      <c r="AH37" s="218">
        <f>SupplyChain_SupplierData_Backend[[#This Row],[Data]]</f>
        <v>0</v>
      </c>
      <c r="AI37" s="174" t="s">
        <v>383</v>
      </c>
      <c r="AJ37" s="219">
        <v>0</v>
      </c>
      <c r="AK37" s="219">
        <v>0</v>
      </c>
      <c r="AL37" s="219">
        <f>SupplyChain_SupplierData_Frontend[[#This Row],[Emissions kgCO2e]]/1000</f>
        <v>0</v>
      </c>
      <c r="AM37" s="219">
        <v>0</v>
      </c>
      <c r="AN37" s="219">
        <v>0</v>
      </c>
      <c r="AO37" s="219">
        <v>0</v>
      </c>
      <c r="AP37" s="219">
        <f>SUM(SupplyChain_SupplierData_Backend[[#This Row],[Scope 1 (tCO2e)]:[Scope 3 WTT T&amp;D (tCO2e)]])</f>
        <v>0</v>
      </c>
      <c r="AQ37" s="219" t="e">
        <f ca="1">SupplyChain_SupplierData_Backend[[#This Row],[Total (tCO2e)]]*(1-SupplyChain_SupplierData_Backend[[#This Row],[RSD]])</f>
        <v>#N/A</v>
      </c>
      <c r="AR37" s="219" t="e">
        <f ca="1">SupplyChain_SupplierData_Backend[[#This Row],[Total (tCO2e)]]*(1+SupplyChain_SupplierData_Backend[[#This Row],[RSD]])</f>
        <v>#N/A</v>
      </c>
      <c r="AS37" s="217"/>
      <c r="AT37" s="216">
        <f>SupplyChain_SupplierData_Frontend[[#This Row],[Ease of collection]]</f>
        <v>0</v>
      </c>
      <c r="AU37" s="228">
        <f>SupplyChain_SupplierData_Frontend[[#This Row],[Completeness]]</f>
        <v>0</v>
      </c>
      <c r="AV37" s="228">
        <f>SupplyChain_SupplierData_Frontend[[#This Row],[Notes]]</f>
        <v>0</v>
      </c>
    </row>
    <row r="38" spans="1:48" customFormat="1" ht="17.5" customHeight="1" x14ac:dyDescent="0.35">
      <c r="A38" s="147"/>
      <c r="B38" s="455"/>
      <c r="C38" s="147"/>
      <c r="D38" s="204">
        <v>7</v>
      </c>
      <c r="E38" s="206" t="s">
        <v>398</v>
      </c>
      <c r="F38" s="425"/>
      <c r="G38" s="425"/>
      <c r="H38" s="425"/>
      <c r="I38" s="426"/>
      <c r="J38" s="427"/>
      <c r="K38" s="425"/>
      <c r="L38" s="428"/>
      <c r="M38" s="425"/>
      <c r="N38" s="425"/>
      <c r="O38" s="387"/>
      <c r="P38" s="387"/>
      <c r="Q38" s="388"/>
      <c r="R38" s="242">
        <f t="shared" si="1"/>
        <v>9</v>
      </c>
      <c r="U38" s="214" t="str">
        <f t="shared" si="0"/>
        <v/>
      </c>
      <c r="V38" s="216" t="s">
        <v>267</v>
      </c>
      <c r="W38" s="174" t="s">
        <v>385</v>
      </c>
      <c r="X38" s="216" t="str" cm="1">
        <f t="array" aca="1" ref="X38" ca="1">_xlfn.XLOOKUP(SupplyChain_SupplierData_Backend[[#This Row],[Level 2]],rng_Level2Long,rng_Level3Long)</f>
        <v>Supply chain</v>
      </c>
      <c r="Y38" s="216">
        <f>SupplyChain_SupplierData_Frontend[[#This Row],[Category]]</f>
        <v>0</v>
      </c>
      <c r="Z38" s="216">
        <f>SupplyChain_SupplierData_Frontend[[#This Row],[Product category]]</f>
        <v>0</v>
      </c>
      <c r="AA38" s="216" t="e" cm="1">
        <f t="array" aca="1" ref="AA38" ca="1">_xlfn.XLOOKUP(SupplyChain_SupplierData_Backend[[#This Row],[Level 5]],rng_Level5Long,rng_Level6Long)</f>
        <v>#N/A</v>
      </c>
      <c r="AB38" s="216">
        <f>SupplyChain_SupplierData_Frontend[[#This Row],[Data type]]</f>
        <v>0</v>
      </c>
      <c r="AC38" s="414">
        <f>SupplyChain_SupplierData_Frontend[[#This Row],[Data assessment score]]</f>
        <v>0</v>
      </c>
      <c r="AD38" s="216">
        <f>SupplyChain_SupplierData_Frontend[[#This Row],[Methodology]]</f>
        <v>0</v>
      </c>
      <c r="AE38" s="396" t="e" cm="1">
        <f t="array" aca="1" ref="AE38" ca="1">INDEX(_xlfn.SWITCH(SupplyChain_SupplierData_Backend[[#This Row],[Methodology]],"Tier 1",rng_RSD1,"Tier 2",rng_RSD2,"Tier 3",rng_RSD3),MATCH(SupplyChain_SupplierData_Backend[[#This Row],[Level 2]],rng_Level2Long,0))</f>
        <v>#N/A</v>
      </c>
      <c r="AF38" s="218">
        <f>SupplyChain_SupplierData_Frontend[[#This Row],[Spend with supplier GBP]]</f>
        <v>0</v>
      </c>
      <c r="AG38" s="174" t="s">
        <v>383</v>
      </c>
      <c r="AH38" s="218">
        <f>SupplyChain_SupplierData_Backend[[#This Row],[Data]]</f>
        <v>0</v>
      </c>
      <c r="AI38" s="174" t="s">
        <v>383</v>
      </c>
      <c r="AJ38" s="219">
        <v>0</v>
      </c>
      <c r="AK38" s="219">
        <v>0</v>
      </c>
      <c r="AL38" s="219">
        <f>SupplyChain_SupplierData_Frontend[[#This Row],[Emissions kgCO2e]]/1000</f>
        <v>0</v>
      </c>
      <c r="AM38" s="219">
        <v>0</v>
      </c>
      <c r="AN38" s="219">
        <v>0</v>
      </c>
      <c r="AO38" s="219">
        <v>0</v>
      </c>
      <c r="AP38" s="219">
        <f>SUM(SupplyChain_SupplierData_Backend[[#This Row],[Scope 1 (tCO2e)]:[Scope 3 WTT T&amp;D (tCO2e)]])</f>
        <v>0</v>
      </c>
      <c r="AQ38" s="219" t="e">
        <f ca="1">SupplyChain_SupplierData_Backend[[#This Row],[Total (tCO2e)]]*(1-SupplyChain_SupplierData_Backend[[#This Row],[RSD]])</f>
        <v>#N/A</v>
      </c>
      <c r="AR38" s="219" t="e">
        <f ca="1">SupplyChain_SupplierData_Backend[[#This Row],[Total (tCO2e)]]*(1+SupplyChain_SupplierData_Backend[[#This Row],[RSD]])</f>
        <v>#N/A</v>
      </c>
      <c r="AS38" s="217"/>
      <c r="AT38" s="216">
        <f>SupplyChain_SupplierData_Frontend[[#This Row],[Ease of collection]]</f>
        <v>0</v>
      </c>
      <c r="AU38" s="228">
        <f>SupplyChain_SupplierData_Frontend[[#This Row],[Completeness]]</f>
        <v>0</v>
      </c>
      <c r="AV38" s="228">
        <f>SupplyChain_SupplierData_Frontend[[#This Row],[Notes]]</f>
        <v>0</v>
      </c>
    </row>
    <row r="39" spans="1:48" customFormat="1" ht="17.5" customHeight="1" x14ac:dyDescent="0.35">
      <c r="A39" s="147"/>
      <c r="B39" s="169"/>
      <c r="C39" s="147"/>
      <c r="D39" s="147"/>
      <c r="E39" s="206"/>
      <c r="F39" s="425"/>
      <c r="G39" s="425"/>
      <c r="H39" s="425"/>
      <c r="I39" s="426"/>
      <c r="J39" s="427"/>
      <c r="K39" s="425"/>
      <c r="L39" s="428"/>
      <c r="M39" s="425"/>
      <c r="N39" s="425"/>
      <c r="O39" s="387"/>
      <c r="P39" s="387"/>
      <c r="Q39" s="388"/>
      <c r="R39" s="242">
        <f t="shared" si="1"/>
        <v>9</v>
      </c>
      <c r="U39" s="214" t="str">
        <f t="shared" si="0"/>
        <v/>
      </c>
      <c r="V39" s="216" t="s">
        <v>267</v>
      </c>
      <c r="W39" s="174" t="s">
        <v>385</v>
      </c>
      <c r="X39" s="216" t="str" cm="1">
        <f t="array" aca="1" ref="X39" ca="1">_xlfn.XLOOKUP(SupplyChain_SupplierData_Backend[[#This Row],[Level 2]],rng_Level2Long,rng_Level3Long)</f>
        <v>Supply chain</v>
      </c>
      <c r="Y39" s="216">
        <f>SupplyChain_SupplierData_Frontend[[#This Row],[Category]]</f>
        <v>0</v>
      </c>
      <c r="Z39" s="216">
        <f>SupplyChain_SupplierData_Frontend[[#This Row],[Product category]]</f>
        <v>0</v>
      </c>
      <c r="AA39" s="216" t="e" cm="1">
        <f t="array" aca="1" ref="AA39" ca="1">_xlfn.XLOOKUP(SupplyChain_SupplierData_Backend[[#This Row],[Level 5]],rng_Level5Long,rng_Level6Long)</f>
        <v>#N/A</v>
      </c>
      <c r="AB39" s="216">
        <f>SupplyChain_SupplierData_Frontend[[#This Row],[Data type]]</f>
        <v>0</v>
      </c>
      <c r="AC39" s="414">
        <f>SupplyChain_SupplierData_Frontend[[#This Row],[Data assessment score]]</f>
        <v>0</v>
      </c>
      <c r="AD39" s="216">
        <f>SupplyChain_SupplierData_Frontend[[#This Row],[Methodology]]</f>
        <v>0</v>
      </c>
      <c r="AE39" s="396" t="e" cm="1">
        <f t="array" aca="1" ref="AE39" ca="1">INDEX(_xlfn.SWITCH(SupplyChain_SupplierData_Backend[[#This Row],[Methodology]],"Tier 1",rng_RSD1,"Tier 2",rng_RSD2,"Tier 3",rng_RSD3),MATCH(SupplyChain_SupplierData_Backend[[#This Row],[Level 2]],rng_Level2Long,0))</f>
        <v>#N/A</v>
      </c>
      <c r="AF39" s="218">
        <f>SupplyChain_SupplierData_Frontend[[#This Row],[Spend with supplier GBP]]</f>
        <v>0</v>
      </c>
      <c r="AG39" s="174" t="s">
        <v>383</v>
      </c>
      <c r="AH39" s="218">
        <f>SupplyChain_SupplierData_Backend[[#This Row],[Data]]</f>
        <v>0</v>
      </c>
      <c r="AI39" s="174" t="s">
        <v>383</v>
      </c>
      <c r="AJ39" s="219">
        <v>0</v>
      </c>
      <c r="AK39" s="219">
        <v>0</v>
      </c>
      <c r="AL39" s="219">
        <f>SupplyChain_SupplierData_Frontend[[#This Row],[Emissions kgCO2e]]/1000</f>
        <v>0</v>
      </c>
      <c r="AM39" s="219">
        <v>0</v>
      </c>
      <c r="AN39" s="219">
        <v>0</v>
      </c>
      <c r="AO39" s="219">
        <v>0</v>
      </c>
      <c r="AP39" s="219">
        <f>SUM(SupplyChain_SupplierData_Backend[[#This Row],[Scope 1 (tCO2e)]:[Scope 3 WTT T&amp;D (tCO2e)]])</f>
        <v>0</v>
      </c>
      <c r="AQ39" s="219" t="e">
        <f ca="1">SupplyChain_SupplierData_Backend[[#This Row],[Total (tCO2e)]]*(1-SupplyChain_SupplierData_Backend[[#This Row],[RSD]])</f>
        <v>#N/A</v>
      </c>
      <c r="AR39" s="219" t="e">
        <f ca="1">SupplyChain_SupplierData_Backend[[#This Row],[Total (tCO2e)]]*(1+SupplyChain_SupplierData_Backend[[#This Row],[RSD]])</f>
        <v>#N/A</v>
      </c>
      <c r="AS39" s="217"/>
      <c r="AT39" s="216">
        <f>SupplyChain_SupplierData_Frontend[[#This Row],[Ease of collection]]</f>
        <v>0</v>
      </c>
      <c r="AU39" s="228">
        <f>SupplyChain_SupplierData_Frontend[[#This Row],[Completeness]]</f>
        <v>0</v>
      </c>
      <c r="AV39" s="228">
        <f>SupplyChain_SupplierData_Frontend[[#This Row],[Notes]]</f>
        <v>0</v>
      </c>
    </row>
    <row r="40" spans="1:48" customFormat="1" ht="17.5" customHeight="1" x14ac:dyDescent="0.35">
      <c r="A40" s="147"/>
      <c r="B40" s="169"/>
      <c r="C40" s="147"/>
      <c r="D40" s="147"/>
      <c r="E40" s="206"/>
      <c r="F40" s="425"/>
      <c r="G40" s="425"/>
      <c r="H40" s="425"/>
      <c r="I40" s="426"/>
      <c r="J40" s="427"/>
      <c r="K40" s="425"/>
      <c r="L40" s="428"/>
      <c r="M40" s="425"/>
      <c r="N40" s="425"/>
      <c r="O40" s="387"/>
      <c r="P40" s="387"/>
      <c r="Q40" s="388"/>
      <c r="R40" s="242">
        <f t="shared" si="1"/>
        <v>9</v>
      </c>
      <c r="U40" s="214" t="str">
        <f t="shared" si="0"/>
        <v/>
      </c>
      <c r="V40" s="216" t="s">
        <v>267</v>
      </c>
      <c r="W40" s="174" t="s">
        <v>385</v>
      </c>
      <c r="X40" s="216" t="str" cm="1">
        <f t="array" aca="1" ref="X40" ca="1">_xlfn.XLOOKUP(SupplyChain_SupplierData_Backend[[#This Row],[Level 2]],rng_Level2Long,rng_Level3Long)</f>
        <v>Supply chain</v>
      </c>
      <c r="Y40" s="216">
        <f>SupplyChain_SupplierData_Frontend[[#This Row],[Category]]</f>
        <v>0</v>
      </c>
      <c r="Z40" s="216">
        <f>SupplyChain_SupplierData_Frontend[[#This Row],[Product category]]</f>
        <v>0</v>
      </c>
      <c r="AA40" s="216" t="e" cm="1">
        <f t="array" aca="1" ref="AA40" ca="1">_xlfn.XLOOKUP(SupplyChain_SupplierData_Backend[[#This Row],[Level 5]],rng_Level5Long,rng_Level6Long)</f>
        <v>#N/A</v>
      </c>
      <c r="AB40" s="216">
        <f>SupplyChain_SupplierData_Frontend[[#This Row],[Data type]]</f>
        <v>0</v>
      </c>
      <c r="AC40" s="414">
        <f>SupplyChain_SupplierData_Frontend[[#This Row],[Data assessment score]]</f>
        <v>0</v>
      </c>
      <c r="AD40" s="216">
        <f>SupplyChain_SupplierData_Frontend[[#This Row],[Methodology]]</f>
        <v>0</v>
      </c>
      <c r="AE40" s="396" t="e" cm="1">
        <f t="array" aca="1" ref="AE40" ca="1">INDEX(_xlfn.SWITCH(SupplyChain_SupplierData_Backend[[#This Row],[Methodology]],"Tier 1",rng_RSD1,"Tier 2",rng_RSD2,"Tier 3",rng_RSD3),MATCH(SupplyChain_SupplierData_Backend[[#This Row],[Level 2]],rng_Level2Long,0))</f>
        <v>#N/A</v>
      </c>
      <c r="AF40" s="218">
        <f>SupplyChain_SupplierData_Frontend[[#This Row],[Spend with supplier GBP]]</f>
        <v>0</v>
      </c>
      <c r="AG40" s="174" t="s">
        <v>383</v>
      </c>
      <c r="AH40" s="218">
        <f>SupplyChain_SupplierData_Backend[[#This Row],[Data]]</f>
        <v>0</v>
      </c>
      <c r="AI40" s="174" t="s">
        <v>383</v>
      </c>
      <c r="AJ40" s="219">
        <v>0</v>
      </c>
      <c r="AK40" s="219">
        <v>0</v>
      </c>
      <c r="AL40" s="219">
        <f>SupplyChain_SupplierData_Frontend[[#This Row],[Emissions kgCO2e]]/1000</f>
        <v>0</v>
      </c>
      <c r="AM40" s="219">
        <v>0</v>
      </c>
      <c r="AN40" s="219">
        <v>0</v>
      </c>
      <c r="AO40" s="219">
        <v>0</v>
      </c>
      <c r="AP40" s="219">
        <f>SUM(SupplyChain_SupplierData_Backend[[#This Row],[Scope 1 (tCO2e)]:[Scope 3 WTT T&amp;D (tCO2e)]])</f>
        <v>0</v>
      </c>
      <c r="AQ40" s="219" t="e">
        <f ca="1">SupplyChain_SupplierData_Backend[[#This Row],[Total (tCO2e)]]*(1-SupplyChain_SupplierData_Backend[[#This Row],[RSD]])</f>
        <v>#N/A</v>
      </c>
      <c r="AR40" s="219" t="e">
        <f ca="1">SupplyChain_SupplierData_Backend[[#This Row],[Total (tCO2e)]]*(1+SupplyChain_SupplierData_Backend[[#This Row],[RSD]])</f>
        <v>#N/A</v>
      </c>
      <c r="AS40" s="217"/>
      <c r="AT40" s="216">
        <f>SupplyChain_SupplierData_Frontend[[#This Row],[Ease of collection]]</f>
        <v>0</v>
      </c>
      <c r="AU40" s="228">
        <f>SupplyChain_SupplierData_Frontend[[#This Row],[Completeness]]</f>
        <v>0</v>
      </c>
      <c r="AV40" s="228">
        <f>SupplyChain_SupplierData_Frontend[[#This Row],[Notes]]</f>
        <v>0</v>
      </c>
    </row>
    <row r="41" spans="1:48" customFormat="1" ht="17.5" customHeight="1" x14ac:dyDescent="0.35">
      <c r="A41" s="147"/>
      <c r="B41" s="169"/>
      <c r="C41" s="147"/>
      <c r="D41" s="147"/>
      <c r="E41" s="206"/>
      <c r="F41" s="425"/>
      <c r="G41" s="425"/>
      <c r="H41" s="425"/>
      <c r="I41" s="426"/>
      <c r="J41" s="427"/>
      <c r="K41" s="425"/>
      <c r="L41" s="428"/>
      <c r="M41" s="425"/>
      <c r="N41" s="425"/>
      <c r="O41" s="387"/>
      <c r="P41" s="387"/>
      <c r="Q41" s="388"/>
      <c r="R41" s="242">
        <f t="shared" si="1"/>
        <v>9</v>
      </c>
      <c r="U41" s="214" t="str">
        <f t="shared" si="0"/>
        <v/>
      </c>
      <c r="V41" s="216" t="s">
        <v>267</v>
      </c>
      <c r="W41" s="174" t="s">
        <v>385</v>
      </c>
      <c r="X41" s="216" t="str" cm="1">
        <f t="array" aca="1" ref="X41" ca="1">_xlfn.XLOOKUP(SupplyChain_SupplierData_Backend[[#This Row],[Level 2]],rng_Level2Long,rng_Level3Long)</f>
        <v>Supply chain</v>
      </c>
      <c r="Y41" s="216">
        <f>SupplyChain_SupplierData_Frontend[[#This Row],[Category]]</f>
        <v>0</v>
      </c>
      <c r="Z41" s="216">
        <f>SupplyChain_SupplierData_Frontend[[#This Row],[Product category]]</f>
        <v>0</v>
      </c>
      <c r="AA41" s="216" t="e" cm="1">
        <f t="array" aca="1" ref="AA41" ca="1">_xlfn.XLOOKUP(SupplyChain_SupplierData_Backend[[#This Row],[Level 5]],rng_Level5Long,rng_Level6Long)</f>
        <v>#N/A</v>
      </c>
      <c r="AB41" s="216">
        <f>SupplyChain_SupplierData_Frontend[[#This Row],[Data type]]</f>
        <v>0</v>
      </c>
      <c r="AC41" s="414">
        <f>SupplyChain_SupplierData_Frontend[[#This Row],[Data assessment score]]</f>
        <v>0</v>
      </c>
      <c r="AD41" s="216">
        <f>SupplyChain_SupplierData_Frontend[[#This Row],[Methodology]]</f>
        <v>0</v>
      </c>
      <c r="AE41" s="396" t="e" cm="1">
        <f t="array" aca="1" ref="AE41" ca="1">INDEX(_xlfn.SWITCH(SupplyChain_SupplierData_Backend[[#This Row],[Methodology]],"Tier 1",rng_RSD1,"Tier 2",rng_RSD2,"Tier 3",rng_RSD3),MATCH(SupplyChain_SupplierData_Backend[[#This Row],[Level 2]],rng_Level2Long,0))</f>
        <v>#N/A</v>
      </c>
      <c r="AF41" s="218">
        <f>SupplyChain_SupplierData_Frontend[[#This Row],[Spend with supplier GBP]]</f>
        <v>0</v>
      </c>
      <c r="AG41" s="174" t="s">
        <v>383</v>
      </c>
      <c r="AH41" s="218">
        <f>SupplyChain_SupplierData_Backend[[#This Row],[Data]]</f>
        <v>0</v>
      </c>
      <c r="AI41" s="174" t="s">
        <v>383</v>
      </c>
      <c r="AJ41" s="219">
        <v>0</v>
      </c>
      <c r="AK41" s="219">
        <v>0</v>
      </c>
      <c r="AL41" s="219">
        <f>SupplyChain_SupplierData_Frontend[[#This Row],[Emissions kgCO2e]]/1000</f>
        <v>0</v>
      </c>
      <c r="AM41" s="219">
        <v>0</v>
      </c>
      <c r="AN41" s="219">
        <v>0</v>
      </c>
      <c r="AO41" s="219">
        <v>0</v>
      </c>
      <c r="AP41" s="219">
        <f>SUM(SupplyChain_SupplierData_Backend[[#This Row],[Scope 1 (tCO2e)]:[Scope 3 WTT T&amp;D (tCO2e)]])</f>
        <v>0</v>
      </c>
      <c r="AQ41" s="219" t="e">
        <f ca="1">SupplyChain_SupplierData_Backend[[#This Row],[Total (tCO2e)]]*(1-SupplyChain_SupplierData_Backend[[#This Row],[RSD]])</f>
        <v>#N/A</v>
      </c>
      <c r="AR41" s="219" t="e">
        <f ca="1">SupplyChain_SupplierData_Backend[[#This Row],[Total (tCO2e)]]*(1+SupplyChain_SupplierData_Backend[[#This Row],[RSD]])</f>
        <v>#N/A</v>
      </c>
      <c r="AS41" s="217"/>
      <c r="AT41" s="216">
        <f>SupplyChain_SupplierData_Frontend[[#This Row],[Ease of collection]]</f>
        <v>0</v>
      </c>
      <c r="AU41" s="228">
        <f>SupplyChain_SupplierData_Frontend[[#This Row],[Completeness]]</f>
        <v>0</v>
      </c>
      <c r="AV41" s="228">
        <f>SupplyChain_SupplierData_Frontend[[#This Row],[Notes]]</f>
        <v>0</v>
      </c>
    </row>
    <row r="42" spans="1:48" customFormat="1" ht="17.5" customHeight="1" x14ac:dyDescent="0.35">
      <c r="A42" s="147"/>
      <c r="B42" s="169"/>
      <c r="C42" s="147"/>
      <c r="D42" s="204">
        <v>8</v>
      </c>
      <c r="E42" s="206" t="s">
        <v>398</v>
      </c>
      <c r="F42" s="425"/>
      <c r="G42" s="425"/>
      <c r="H42" s="425"/>
      <c r="I42" s="426"/>
      <c r="J42" s="427"/>
      <c r="K42" s="425"/>
      <c r="L42" s="428"/>
      <c r="M42" s="425"/>
      <c r="N42" s="425"/>
      <c r="O42" s="387"/>
      <c r="P42" s="387"/>
      <c r="Q42" s="388"/>
      <c r="R42" s="242">
        <f t="shared" si="1"/>
        <v>9</v>
      </c>
      <c r="U42" s="214" t="str">
        <f t="shared" si="0"/>
        <v/>
      </c>
      <c r="V42" s="216" t="s">
        <v>267</v>
      </c>
      <c r="W42" s="174" t="s">
        <v>385</v>
      </c>
      <c r="X42" s="216" t="str" cm="1">
        <f t="array" aca="1" ref="X42" ca="1">_xlfn.XLOOKUP(SupplyChain_SupplierData_Backend[[#This Row],[Level 2]],rng_Level2Long,rng_Level3Long)</f>
        <v>Supply chain</v>
      </c>
      <c r="Y42" s="216">
        <f>SupplyChain_SupplierData_Frontend[[#This Row],[Category]]</f>
        <v>0</v>
      </c>
      <c r="Z42" s="216">
        <f>SupplyChain_SupplierData_Frontend[[#This Row],[Product category]]</f>
        <v>0</v>
      </c>
      <c r="AA42" s="216" t="e" cm="1">
        <f t="array" aca="1" ref="AA42" ca="1">_xlfn.XLOOKUP(SupplyChain_SupplierData_Backend[[#This Row],[Level 5]],rng_Level5Long,rng_Level6Long)</f>
        <v>#N/A</v>
      </c>
      <c r="AB42" s="216">
        <f>SupplyChain_SupplierData_Frontend[[#This Row],[Data type]]</f>
        <v>0</v>
      </c>
      <c r="AC42" s="414">
        <f>SupplyChain_SupplierData_Frontend[[#This Row],[Data assessment score]]</f>
        <v>0</v>
      </c>
      <c r="AD42" s="216">
        <f>SupplyChain_SupplierData_Frontend[[#This Row],[Methodology]]</f>
        <v>0</v>
      </c>
      <c r="AE42" s="396" t="e" cm="1">
        <f t="array" aca="1" ref="AE42" ca="1">INDEX(_xlfn.SWITCH(SupplyChain_SupplierData_Backend[[#This Row],[Methodology]],"Tier 1",rng_RSD1,"Tier 2",rng_RSD2,"Tier 3",rng_RSD3),MATCH(SupplyChain_SupplierData_Backend[[#This Row],[Level 2]],rng_Level2Long,0))</f>
        <v>#N/A</v>
      </c>
      <c r="AF42" s="218">
        <f>SupplyChain_SupplierData_Frontend[[#This Row],[Spend with supplier GBP]]</f>
        <v>0</v>
      </c>
      <c r="AG42" s="174" t="s">
        <v>383</v>
      </c>
      <c r="AH42" s="218">
        <f>SupplyChain_SupplierData_Backend[[#This Row],[Data]]</f>
        <v>0</v>
      </c>
      <c r="AI42" s="174" t="s">
        <v>383</v>
      </c>
      <c r="AJ42" s="219">
        <v>0</v>
      </c>
      <c r="AK42" s="219">
        <v>0</v>
      </c>
      <c r="AL42" s="219">
        <f>SupplyChain_SupplierData_Frontend[[#This Row],[Emissions kgCO2e]]/1000</f>
        <v>0</v>
      </c>
      <c r="AM42" s="219">
        <v>0</v>
      </c>
      <c r="AN42" s="219">
        <v>0</v>
      </c>
      <c r="AO42" s="219">
        <v>0</v>
      </c>
      <c r="AP42" s="219">
        <f>SUM(SupplyChain_SupplierData_Backend[[#This Row],[Scope 1 (tCO2e)]:[Scope 3 WTT T&amp;D (tCO2e)]])</f>
        <v>0</v>
      </c>
      <c r="AQ42" s="219" t="e">
        <f ca="1">SupplyChain_SupplierData_Backend[[#This Row],[Total (tCO2e)]]*(1-SupplyChain_SupplierData_Backend[[#This Row],[RSD]])</f>
        <v>#N/A</v>
      </c>
      <c r="AR42" s="219" t="e">
        <f ca="1">SupplyChain_SupplierData_Backend[[#This Row],[Total (tCO2e)]]*(1+SupplyChain_SupplierData_Backend[[#This Row],[RSD]])</f>
        <v>#N/A</v>
      </c>
      <c r="AS42" s="217"/>
      <c r="AT42" s="216">
        <f>SupplyChain_SupplierData_Frontend[[#This Row],[Ease of collection]]</f>
        <v>0</v>
      </c>
      <c r="AU42" s="228">
        <f>SupplyChain_SupplierData_Frontend[[#This Row],[Completeness]]</f>
        <v>0</v>
      </c>
      <c r="AV42" s="228">
        <f>SupplyChain_SupplierData_Frontend[[#This Row],[Notes]]</f>
        <v>0</v>
      </c>
    </row>
    <row r="43" spans="1:48" customFormat="1" ht="17.5" customHeight="1" x14ac:dyDescent="0.35">
      <c r="A43" s="147"/>
      <c r="B43" s="169"/>
      <c r="C43" s="147"/>
      <c r="D43" s="147"/>
      <c r="E43" s="206"/>
      <c r="F43" s="425"/>
      <c r="G43" s="425"/>
      <c r="H43" s="425"/>
      <c r="I43" s="426"/>
      <c r="J43" s="427"/>
      <c r="K43" s="425"/>
      <c r="L43" s="428"/>
      <c r="M43" s="425"/>
      <c r="N43" s="425"/>
      <c r="O43" s="387"/>
      <c r="P43" s="387"/>
      <c r="Q43" s="388"/>
      <c r="R43" s="242">
        <f t="shared" si="1"/>
        <v>9</v>
      </c>
      <c r="U43" s="214" t="str">
        <f t="shared" si="0"/>
        <v/>
      </c>
      <c r="V43" s="216" t="s">
        <v>267</v>
      </c>
      <c r="W43" s="174" t="s">
        <v>385</v>
      </c>
      <c r="X43" s="216" t="str" cm="1">
        <f t="array" aca="1" ref="X43" ca="1">_xlfn.XLOOKUP(SupplyChain_SupplierData_Backend[[#This Row],[Level 2]],rng_Level2Long,rng_Level3Long)</f>
        <v>Supply chain</v>
      </c>
      <c r="Y43" s="216">
        <f>SupplyChain_SupplierData_Frontend[[#This Row],[Category]]</f>
        <v>0</v>
      </c>
      <c r="Z43" s="216">
        <f>SupplyChain_SupplierData_Frontend[[#This Row],[Product category]]</f>
        <v>0</v>
      </c>
      <c r="AA43" s="216" t="e" cm="1">
        <f t="array" aca="1" ref="AA43" ca="1">_xlfn.XLOOKUP(SupplyChain_SupplierData_Backend[[#This Row],[Level 5]],rng_Level5Long,rng_Level6Long)</f>
        <v>#N/A</v>
      </c>
      <c r="AB43" s="216">
        <f>SupplyChain_SupplierData_Frontend[[#This Row],[Data type]]</f>
        <v>0</v>
      </c>
      <c r="AC43" s="414">
        <f>SupplyChain_SupplierData_Frontend[[#This Row],[Data assessment score]]</f>
        <v>0</v>
      </c>
      <c r="AD43" s="216">
        <f>SupplyChain_SupplierData_Frontend[[#This Row],[Methodology]]</f>
        <v>0</v>
      </c>
      <c r="AE43" s="396" t="e" cm="1">
        <f t="array" aca="1" ref="AE43" ca="1">INDEX(_xlfn.SWITCH(SupplyChain_SupplierData_Backend[[#This Row],[Methodology]],"Tier 1",rng_RSD1,"Tier 2",rng_RSD2,"Tier 3",rng_RSD3),MATCH(SupplyChain_SupplierData_Backend[[#This Row],[Level 2]],rng_Level2Long,0))</f>
        <v>#N/A</v>
      </c>
      <c r="AF43" s="218">
        <f>SupplyChain_SupplierData_Frontend[[#This Row],[Spend with supplier GBP]]</f>
        <v>0</v>
      </c>
      <c r="AG43" s="174" t="s">
        <v>383</v>
      </c>
      <c r="AH43" s="218">
        <f>SupplyChain_SupplierData_Backend[[#This Row],[Data]]</f>
        <v>0</v>
      </c>
      <c r="AI43" s="174" t="s">
        <v>383</v>
      </c>
      <c r="AJ43" s="219">
        <v>0</v>
      </c>
      <c r="AK43" s="219">
        <v>0</v>
      </c>
      <c r="AL43" s="219">
        <f>SupplyChain_SupplierData_Frontend[[#This Row],[Emissions kgCO2e]]/1000</f>
        <v>0</v>
      </c>
      <c r="AM43" s="219">
        <v>0</v>
      </c>
      <c r="AN43" s="219">
        <v>0</v>
      </c>
      <c r="AO43" s="219">
        <v>0</v>
      </c>
      <c r="AP43" s="219">
        <f>SUM(SupplyChain_SupplierData_Backend[[#This Row],[Scope 1 (tCO2e)]:[Scope 3 WTT T&amp;D (tCO2e)]])</f>
        <v>0</v>
      </c>
      <c r="AQ43" s="219" t="e">
        <f ca="1">SupplyChain_SupplierData_Backend[[#This Row],[Total (tCO2e)]]*(1-SupplyChain_SupplierData_Backend[[#This Row],[RSD]])</f>
        <v>#N/A</v>
      </c>
      <c r="AR43" s="219" t="e">
        <f ca="1">SupplyChain_SupplierData_Backend[[#This Row],[Total (tCO2e)]]*(1+SupplyChain_SupplierData_Backend[[#This Row],[RSD]])</f>
        <v>#N/A</v>
      </c>
      <c r="AS43" s="217"/>
      <c r="AT43" s="216">
        <f>SupplyChain_SupplierData_Frontend[[#This Row],[Ease of collection]]</f>
        <v>0</v>
      </c>
      <c r="AU43" s="228">
        <f>SupplyChain_SupplierData_Frontend[[#This Row],[Completeness]]</f>
        <v>0</v>
      </c>
      <c r="AV43" s="228">
        <f>SupplyChain_SupplierData_Frontend[[#This Row],[Notes]]</f>
        <v>0</v>
      </c>
    </row>
    <row r="44" spans="1:48" customFormat="1" ht="17.5" customHeight="1" x14ac:dyDescent="0.35">
      <c r="A44" s="147"/>
      <c r="B44" s="169"/>
      <c r="C44" s="147"/>
      <c r="D44" s="147"/>
      <c r="E44" s="206"/>
      <c r="F44" s="425"/>
      <c r="G44" s="425"/>
      <c r="H44" s="425"/>
      <c r="I44" s="426"/>
      <c r="J44" s="427"/>
      <c r="K44" s="425"/>
      <c r="L44" s="428"/>
      <c r="M44" s="425"/>
      <c r="N44" s="425"/>
      <c r="O44" s="387"/>
      <c r="P44" s="387"/>
      <c r="Q44" s="388"/>
      <c r="R44" s="242">
        <f t="shared" si="1"/>
        <v>9</v>
      </c>
      <c r="U44" s="214" t="str">
        <f t="shared" si="0"/>
        <v/>
      </c>
      <c r="V44" s="216" t="s">
        <v>267</v>
      </c>
      <c r="W44" s="174" t="s">
        <v>385</v>
      </c>
      <c r="X44" s="216" t="str" cm="1">
        <f t="array" aca="1" ref="X44" ca="1">_xlfn.XLOOKUP(SupplyChain_SupplierData_Backend[[#This Row],[Level 2]],rng_Level2Long,rng_Level3Long)</f>
        <v>Supply chain</v>
      </c>
      <c r="Y44" s="216">
        <f>SupplyChain_SupplierData_Frontend[[#This Row],[Category]]</f>
        <v>0</v>
      </c>
      <c r="Z44" s="216">
        <f>SupplyChain_SupplierData_Frontend[[#This Row],[Product category]]</f>
        <v>0</v>
      </c>
      <c r="AA44" s="216" t="e" cm="1">
        <f t="array" aca="1" ref="AA44" ca="1">_xlfn.XLOOKUP(SupplyChain_SupplierData_Backend[[#This Row],[Level 5]],rng_Level5Long,rng_Level6Long)</f>
        <v>#N/A</v>
      </c>
      <c r="AB44" s="216">
        <f>SupplyChain_SupplierData_Frontend[[#This Row],[Data type]]</f>
        <v>0</v>
      </c>
      <c r="AC44" s="414">
        <f>SupplyChain_SupplierData_Frontend[[#This Row],[Data assessment score]]</f>
        <v>0</v>
      </c>
      <c r="AD44" s="216">
        <f>SupplyChain_SupplierData_Frontend[[#This Row],[Methodology]]</f>
        <v>0</v>
      </c>
      <c r="AE44" s="396" t="e" cm="1">
        <f t="array" aca="1" ref="AE44" ca="1">INDEX(_xlfn.SWITCH(SupplyChain_SupplierData_Backend[[#This Row],[Methodology]],"Tier 1",rng_RSD1,"Tier 2",rng_RSD2,"Tier 3",rng_RSD3),MATCH(SupplyChain_SupplierData_Backend[[#This Row],[Level 2]],rng_Level2Long,0))</f>
        <v>#N/A</v>
      </c>
      <c r="AF44" s="218">
        <f>SupplyChain_SupplierData_Frontend[[#This Row],[Spend with supplier GBP]]</f>
        <v>0</v>
      </c>
      <c r="AG44" s="174" t="s">
        <v>383</v>
      </c>
      <c r="AH44" s="218">
        <f>SupplyChain_SupplierData_Backend[[#This Row],[Data]]</f>
        <v>0</v>
      </c>
      <c r="AI44" s="174" t="s">
        <v>383</v>
      </c>
      <c r="AJ44" s="219">
        <v>0</v>
      </c>
      <c r="AK44" s="219">
        <v>0</v>
      </c>
      <c r="AL44" s="219">
        <f>SupplyChain_SupplierData_Frontend[[#This Row],[Emissions kgCO2e]]/1000</f>
        <v>0</v>
      </c>
      <c r="AM44" s="219">
        <v>0</v>
      </c>
      <c r="AN44" s="219">
        <v>0</v>
      </c>
      <c r="AO44" s="219">
        <v>0</v>
      </c>
      <c r="AP44" s="219">
        <f>SUM(SupplyChain_SupplierData_Backend[[#This Row],[Scope 1 (tCO2e)]:[Scope 3 WTT T&amp;D (tCO2e)]])</f>
        <v>0</v>
      </c>
      <c r="AQ44" s="219" t="e">
        <f ca="1">SupplyChain_SupplierData_Backend[[#This Row],[Total (tCO2e)]]*(1-SupplyChain_SupplierData_Backend[[#This Row],[RSD]])</f>
        <v>#N/A</v>
      </c>
      <c r="AR44" s="219" t="e">
        <f ca="1">SupplyChain_SupplierData_Backend[[#This Row],[Total (tCO2e)]]*(1+SupplyChain_SupplierData_Backend[[#This Row],[RSD]])</f>
        <v>#N/A</v>
      </c>
      <c r="AS44" s="217"/>
      <c r="AT44" s="216">
        <f>SupplyChain_SupplierData_Frontend[[#This Row],[Ease of collection]]</f>
        <v>0</v>
      </c>
      <c r="AU44" s="228">
        <f>SupplyChain_SupplierData_Frontend[[#This Row],[Completeness]]</f>
        <v>0</v>
      </c>
      <c r="AV44" s="228">
        <f>SupplyChain_SupplierData_Frontend[[#This Row],[Notes]]</f>
        <v>0</v>
      </c>
    </row>
    <row r="45" spans="1:48" customFormat="1" ht="17.5" customHeight="1" x14ac:dyDescent="0.35">
      <c r="A45" s="147"/>
      <c r="B45" s="169"/>
      <c r="C45" s="147"/>
      <c r="D45" s="147"/>
      <c r="E45" s="206"/>
      <c r="F45" s="425"/>
      <c r="G45" s="425"/>
      <c r="H45" s="425"/>
      <c r="I45" s="426"/>
      <c r="J45" s="427"/>
      <c r="K45" s="425"/>
      <c r="L45" s="428"/>
      <c r="M45" s="425"/>
      <c r="N45" s="425"/>
      <c r="O45" s="387"/>
      <c r="P45" s="387"/>
      <c r="Q45" s="388"/>
      <c r="R45" s="242">
        <f t="shared" si="1"/>
        <v>9</v>
      </c>
      <c r="U45" s="214" t="str">
        <f t="shared" si="0"/>
        <v/>
      </c>
      <c r="V45" s="216" t="s">
        <v>267</v>
      </c>
      <c r="W45" s="174" t="s">
        <v>385</v>
      </c>
      <c r="X45" s="216" t="str" cm="1">
        <f t="array" aca="1" ref="X45" ca="1">_xlfn.XLOOKUP(SupplyChain_SupplierData_Backend[[#This Row],[Level 2]],rng_Level2Long,rng_Level3Long)</f>
        <v>Supply chain</v>
      </c>
      <c r="Y45" s="216">
        <f>SupplyChain_SupplierData_Frontend[[#This Row],[Category]]</f>
        <v>0</v>
      </c>
      <c r="Z45" s="216">
        <f>SupplyChain_SupplierData_Frontend[[#This Row],[Product category]]</f>
        <v>0</v>
      </c>
      <c r="AA45" s="216" t="e" cm="1">
        <f t="array" aca="1" ref="AA45" ca="1">_xlfn.XLOOKUP(SupplyChain_SupplierData_Backend[[#This Row],[Level 5]],rng_Level5Long,rng_Level6Long)</f>
        <v>#N/A</v>
      </c>
      <c r="AB45" s="216">
        <f>SupplyChain_SupplierData_Frontend[[#This Row],[Data type]]</f>
        <v>0</v>
      </c>
      <c r="AC45" s="414">
        <f>SupplyChain_SupplierData_Frontend[[#This Row],[Data assessment score]]</f>
        <v>0</v>
      </c>
      <c r="AD45" s="216">
        <f>SupplyChain_SupplierData_Frontend[[#This Row],[Methodology]]</f>
        <v>0</v>
      </c>
      <c r="AE45" s="396" t="e" cm="1">
        <f t="array" aca="1" ref="AE45" ca="1">INDEX(_xlfn.SWITCH(SupplyChain_SupplierData_Backend[[#This Row],[Methodology]],"Tier 1",rng_RSD1,"Tier 2",rng_RSD2,"Tier 3",rng_RSD3),MATCH(SupplyChain_SupplierData_Backend[[#This Row],[Level 2]],rng_Level2Long,0))</f>
        <v>#N/A</v>
      </c>
      <c r="AF45" s="218">
        <f>SupplyChain_SupplierData_Frontend[[#This Row],[Spend with supplier GBP]]</f>
        <v>0</v>
      </c>
      <c r="AG45" s="174" t="s">
        <v>383</v>
      </c>
      <c r="AH45" s="218">
        <f>SupplyChain_SupplierData_Backend[[#This Row],[Data]]</f>
        <v>0</v>
      </c>
      <c r="AI45" s="174" t="s">
        <v>383</v>
      </c>
      <c r="AJ45" s="219">
        <v>0</v>
      </c>
      <c r="AK45" s="219">
        <v>0</v>
      </c>
      <c r="AL45" s="219">
        <f>SupplyChain_SupplierData_Frontend[[#This Row],[Emissions kgCO2e]]/1000</f>
        <v>0</v>
      </c>
      <c r="AM45" s="219">
        <v>0</v>
      </c>
      <c r="AN45" s="219">
        <v>0</v>
      </c>
      <c r="AO45" s="219">
        <v>0</v>
      </c>
      <c r="AP45" s="219">
        <f>SUM(SupplyChain_SupplierData_Backend[[#This Row],[Scope 1 (tCO2e)]:[Scope 3 WTT T&amp;D (tCO2e)]])</f>
        <v>0</v>
      </c>
      <c r="AQ45" s="219" t="e">
        <f ca="1">SupplyChain_SupplierData_Backend[[#This Row],[Total (tCO2e)]]*(1-SupplyChain_SupplierData_Backend[[#This Row],[RSD]])</f>
        <v>#N/A</v>
      </c>
      <c r="AR45" s="219" t="e">
        <f ca="1">SupplyChain_SupplierData_Backend[[#This Row],[Total (tCO2e)]]*(1+SupplyChain_SupplierData_Backend[[#This Row],[RSD]])</f>
        <v>#N/A</v>
      </c>
      <c r="AS45" s="217"/>
      <c r="AT45" s="216">
        <f>SupplyChain_SupplierData_Frontend[[#This Row],[Ease of collection]]</f>
        <v>0</v>
      </c>
      <c r="AU45" s="228">
        <f>SupplyChain_SupplierData_Frontend[[#This Row],[Completeness]]</f>
        <v>0</v>
      </c>
      <c r="AV45" s="228">
        <f>SupplyChain_SupplierData_Frontend[[#This Row],[Notes]]</f>
        <v>0</v>
      </c>
    </row>
    <row r="46" spans="1:48" customFormat="1" ht="17.5" customHeight="1" x14ac:dyDescent="0.35">
      <c r="A46" s="147"/>
      <c r="B46" s="169"/>
      <c r="C46" s="147"/>
      <c r="D46" s="204">
        <v>9</v>
      </c>
      <c r="E46" s="206" t="s">
        <v>398</v>
      </c>
      <c r="F46" s="425"/>
      <c r="G46" s="425"/>
      <c r="H46" s="425"/>
      <c r="I46" s="426"/>
      <c r="J46" s="427"/>
      <c r="K46" s="425"/>
      <c r="L46" s="428"/>
      <c r="M46" s="425"/>
      <c r="N46" s="425"/>
      <c r="O46" s="387"/>
      <c r="P46" s="387"/>
      <c r="Q46" s="388"/>
      <c r="R46" s="242">
        <f t="shared" si="1"/>
        <v>9</v>
      </c>
      <c r="U46" s="214" t="str">
        <f t="shared" ref="U46:U77" si="2">IF(R46=0,SUBSTITUTE(2025&amp;TRIM(cl_org_name_select)&amp;TRIM($F$10)&amp;(ROW(R46)-ROW($R$14))," ",""),"")</f>
        <v/>
      </c>
      <c r="V46" s="216" t="s">
        <v>267</v>
      </c>
      <c r="W46" s="174" t="s">
        <v>385</v>
      </c>
      <c r="X46" s="216" t="str" cm="1">
        <f t="array" aca="1" ref="X46" ca="1">_xlfn.XLOOKUP(SupplyChain_SupplierData_Backend[[#This Row],[Level 2]],rng_Level2Long,rng_Level3Long)</f>
        <v>Supply chain</v>
      </c>
      <c r="Y46" s="216">
        <f>SupplyChain_SupplierData_Frontend[[#This Row],[Category]]</f>
        <v>0</v>
      </c>
      <c r="Z46" s="216">
        <f>SupplyChain_SupplierData_Frontend[[#This Row],[Product category]]</f>
        <v>0</v>
      </c>
      <c r="AA46" s="216" t="e" cm="1">
        <f t="array" aca="1" ref="AA46" ca="1">_xlfn.XLOOKUP(SupplyChain_SupplierData_Backend[[#This Row],[Level 5]],rng_Level5Long,rng_Level6Long)</f>
        <v>#N/A</v>
      </c>
      <c r="AB46" s="216">
        <f>SupplyChain_SupplierData_Frontend[[#This Row],[Data type]]</f>
        <v>0</v>
      </c>
      <c r="AC46" s="414">
        <f>SupplyChain_SupplierData_Frontend[[#This Row],[Data assessment score]]</f>
        <v>0</v>
      </c>
      <c r="AD46" s="216">
        <f>SupplyChain_SupplierData_Frontend[[#This Row],[Methodology]]</f>
        <v>0</v>
      </c>
      <c r="AE46" s="396" t="e" cm="1">
        <f t="array" aca="1" ref="AE46" ca="1">INDEX(_xlfn.SWITCH(SupplyChain_SupplierData_Backend[[#This Row],[Methodology]],"Tier 1",rng_RSD1,"Tier 2",rng_RSD2,"Tier 3",rng_RSD3),MATCH(SupplyChain_SupplierData_Backend[[#This Row],[Level 2]],rng_Level2Long,0))</f>
        <v>#N/A</v>
      </c>
      <c r="AF46" s="218">
        <f>SupplyChain_SupplierData_Frontend[[#This Row],[Spend with supplier GBP]]</f>
        <v>0</v>
      </c>
      <c r="AG46" s="174" t="s">
        <v>383</v>
      </c>
      <c r="AH46" s="218">
        <f>SupplyChain_SupplierData_Backend[[#This Row],[Data]]</f>
        <v>0</v>
      </c>
      <c r="AI46" s="174" t="s">
        <v>383</v>
      </c>
      <c r="AJ46" s="219">
        <v>0</v>
      </c>
      <c r="AK46" s="219">
        <v>0</v>
      </c>
      <c r="AL46" s="219">
        <f>SupplyChain_SupplierData_Frontend[[#This Row],[Emissions kgCO2e]]/1000</f>
        <v>0</v>
      </c>
      <c r="AM46" s="219">
        <v>0</v>
      </c>
      <c r="AN46" s="219">
        <v>0</v>
      </c>
      <c r="AO46" s="219">
        <v>0</v>
      </c>
      <c r="AP46" s="219">
        <f>SUM(SupplyChain_SupplierData_Backend[[#This Row],[Scope 1 (tCO2e)]:[Scope 3 WTT T&amp;D (tCO2e)]])</f>
        <v>0</v>
      </c>
      <c r="AQ46" s="219" t="e">
        <f ca="1">SupplyChain_SupplierData_Backend[[#This Row],[Total (tCO2e)]]*(1-SupplyChain_SupplierData_Backend[[#This Row],[RSD]])</f>
        <v>#N/A</v>
      </c>
      <c r="AR46" s="219" t="e">
        <f ca="1">SupplyChain_SupplierData_Backend[[#This Row],[Total (tCO2e)]]*(1+SupplyChain_SupplierData_Backend[[#This Row],[RSD]])</f>
        <v>#N/A</v>
      </c>
      <c r="AS46" s="217"/>
      <c r="AT46" s="216">
        <f>SupplyChain_SupplierData_Frontend[[#This Row],[Ease of collection]]</f>
        <v>0</v>
      </c>
      <c r="AU46" s="228">
        <f>SupplyChain_SupplierData_Frontend[[#This Row],[Completeness]]</f>
        <v>0</v>
      </c>
      <c r="AV46" s="228">
        <f>SupplyChain_SupplierData_Frontend[[#This Row],[Notes]]</f>
        <v>0</v>
      </c>
    </row>
    <row r="47" spans="1:48" customFormat="1" ht="17.5" customHeight="1" x14ac:dyDescent="0.35">
      <c r="A47" s="147"/>
      <c r="B47" s="169"/>
      <c r="C47" s="147"/>
      <c r="D47" s="147"/>
      <c r="E47" s="207"/>
      <c r="F47" s="425"/>
      <c r="G47" s="425"/>
      <c r="H47" s="425"/>
      <c r="I47" s="426"/>
      <c r="J47" s="427"/>
      <c r="K47" s="425"/>
      <c r="L47" s="428"/>
      <c r="M47" s="425"/>
      <c r="N47" s="425"/>
      <c r="O47" s="387"/>
      <c r="P47" s="387"/>
      <c r="Q47" s="388"/>
      <c r="R47" s="242">
        <f t="shared" si="1"/>
        <v>9</v>
      </c>
      <c r="U47" s="214" t="str">
        <f t="shared" si="2"/>
        <v/>
      </c>
      <c r="V47" s="216" t="s">
        <v>267</v>
      </c>
      <c r="W47" s="174" t="s">
        <v>385</v>
      </c>
      <c r="X47" s="216" t="str" cm="1">
        <f t="array" aca="1" ref="X47" ca="1">_xlfn.XLOOKUP(SupplyChain_SupplierData_Backend[[#This Row],[Level 2]],rng_Level2Long,rng_Level3Long)</f>
        <v>Supply chain</v>
      </c>
      <c r="Y47" s="216">
        <f>SupplyChain_SupplierData_Frontend[[#This Row],[Category]]</f>
        <v>0</v>
      </c>
      <c r="Z47" s="216">
        <f>SupplyChain_SupplierData_Frontend[[#This Row],[Product category]]</f>
        <v>0</v>
      </c>
      <c r="AA47" s="216" t="e" cm="1">
        <f t="array" aca="1" ref="AA47" ca="1">_xlfn.XLOOKUP(SupplyChain_SupplierData_Backend[[#This Row],[Level 5]],rng_Level5Long,rng_Level6Long)</f>
        <v>#N/A</v>
      </c>
      <c r="AB47" s="216">
        <f>SupplyChain_SupplierData_Frontend[[#This Row],[Data type]]</f>
        <v>0</v>
      </c>
      <c r="AC47" s="414">
        <f>SupplyChain_SupplierData_Frontend[[#This Row],[Data assessment score]]</f>
        <v>0</v>
      </c>
      <c r="AD47" s="216">
        <f>SupplyChain_SupplierData_Frontend[[#This Row],[Methodology]]</f>
        <v>0</v>
      </c>
      <c r="AE47" s="396" t="e" cm="1">
        <f t="array" aca="1" ref="AE47" ca="1">INDEX(_xlfn.SWITCH(SupplyChain_SupplierData_Backend[[#This Row],[Methodology]],"Tier 1",rng_RSD1,"Tier 2",rng_RSD2,"Tier 3",rng_RSD3),MATCH(SupplyChain_SupplierData_Backend[[#This Row],[Level 2]],rng_Level2Long,0))</f>
        <v>#N/A</v>
      </c>
      <c r="AF47" s="218">
        <f>SupplyChain_SupplierData_Frontend[[#This Row],[Spend with supplier GBP]]</f>
        <v>0</v>
      </c>
      <c r="AG47" s="174" t="s">
        <v>383</v>
      </c>
      <c r="AH47" s="218">
        <f>SupplyChain_SupplierData_Backend[[#This Row],[Data]]</f>
        <v>0</v>
      </c>
      <c r="AI47" s="174" t="s">
        <v>383</v>
      </c>
      <c r="AJ47" s="219">
        <v>0</v>
      </c>
      <c r="AK47" s="219">
        <v>0</v>
      </c>
      <c r="AL47" s="219">
        <f>SupplyChain_SupplierData_Frontend[[#This Row],[Emissions kgCO2e]]/1000</f>
        <v>0</v>
      </c>
      <c r="AM47" s="219">
        <v>0</v>
      </c>
      <c r="AN47" s="219">
        <v>0</v>
      </c>
      <c r="AO47" s="219">
        <v>0</v>
      </c>
      <c r="AP47" s="219">
        <f>SUM(SupplyChain_SupplierData_Backend[[#This Row],[Scope 1 (tCO2e)]:[Scope 3 WTT T&amp;D (tCO2e)]])</f>
        <v>0</v>
      </c>
      <c r="AQ47" s="219" t="e">
        <f ca="1">SupplyChain_SupplierData_Backend[[#This Row],[Total (tCO2e)]]*(1-SupplyChain_SupplierData_Backend[[#This Row],[RSD]])</f>
        <v>#N/A</v>
      </c>
      <c r="AR47" s="219" t="e">
        <f ca="1">SupplyChain_SupplierData_Backend[[#This Row],[Total (tCO2e)]]*(1+SupplyChain_SupplierData_Backend[[#This Row],[RSD]])</f>
        <v>#N/A</v>
      </c>
      <c r="AS47" s="217"/>
      <c r="AT47" s="216">
        <f>SupplyChain_SupplierData_Frontend[[#This Row],[Ease of collection]]</f>
        <v>0</v>
      </c>
      <c r="AU47" s="228">
        <f>SupplyChain_SupplierData_Frontend[[#This Row],[Completeness]]</f>
        <v>0</v>
      </c>
      <c r="AV47" s="228">
        <f>SupplyChain_SupplierData_Frontend[[#This Row],[Notes]]</f>
        <v>0</v>
      </c>
    </row>
    <row r="48" spans="1:48" customFormat="1" ht="17.5" customHeight="1" x14ac:dyDescent="0.35">
      <c r="A48" s="147"/>
      <c r="B48" s="169"/>
      <c r="C48" s="147"/>
      <c r="D48" s="147"/>
      <c r="E48" s="207"/>
      <c r="F48" s="425"/>
      <c r="G48" s="425"/>
      <c r="H48" s="425"/>
      <c r="I48" s="426"/>
      <c r="J48" s="427"/>
      <c r="K48" s="425"/>
      <c r="L48" s="428"/>
      <c r="M48" s="425"/>
      <c r="N48" s="425"/>
      <c r="O48" s="387"/>
      <c r="P48" s="387"/>
      <c r="Q48" s="388"/>
      <c r="R48" s="242">
        <f t="shared" si="1"/>
        <v>9</v>
      </c>
      <c r="U48" s="214" t="str">
        <f t="shared" si="2"/>
        <v/>
      </c>
      <c r="V48" s="216" t="s">
        <v>267</v>
      </c>
      <c r="W48" s="174" t="s">
        <v>385</v>
      </c>
      <c r="X48" s="216" t="str" cm="1">
        <f t="array" aca="1" ref="X48" ca="1">_xlfn.XLOOKUP(SupplyChain_SupplierData_Backend[[#This Row],[Level 2]],rng_Level2Long,rng_Level3Long)</f>
        <v>Supply chain</v>
      </c>
      <c r="Y48" s="216">
        <f>SupplyChain_SupplierData_Frontend[[#This Row],[Category]]</f>
        <v>0</v>
      </c>
      <c r="Z48" s="216">
        <f>SupplyChain_SupplierData_Frontend[[#This Row],[Product category]]</f>
        <v>0</v>
      </c>
      <c r="AA48" s="216" t="e" cm="1">
        <f t="array" aca="1" ref="AA48" ca="1">_xlfn.XLOOKUP(SupplyChain_SupplierData_Backend[[#This Row],[Level 5]],rng_Level5Long,rng_Level6Long)</f>
        <v>#N/A</v>
      </c>
      <c r="AB48" s="216">
        <f>SupplyChain_SupplierData_Frontend[[#This Row],[Data type]]</f>
        <v>0</v>
      </c>
      <c r="AC48" s="414">
        <f>SupplyChain_SupplierData_Frontend[[#This Row],[Data assessment score]]</f>
        <v>0</v>
      </c>
      <c r="AD48" s="216">
        <f>SupplyChain_SupplierData_Frontend[[#This Row],[Methodology]]</f>
        <v>0</v>
      </c>
      <c r="AE48" s="396" t="e" cm="1">
        <f t="array" aca="1" ref="AE48" ca="1">INDEX(_xlfn.SWITCH(SupplyChain_SupplierData_Backend[[#This Row],[Methodology]],"Tier 1",rng_RSD1,"Tier 2",rng_RSD2,"Tier 3",rng_RSD3),MATCH(SupplyChain_SupplierData_Backend[[#This Row],[Level 2]],rng_Level2Long,0))</f>
        <v>#N/A</v>
      </c>
      <c r="AF48" s="218">
        <f>SupplyChain_SupplierData_Frontend[[#This Row],[Spend with supplier GBP]]</f>
        <v>0</v>
      </c>
      <c r="AG48" s="174" t="s">
        <v>383</v>
      </c>
      <c r="AH48" s="218">
        <f>SupplyChain_SupplierData_Backend[[#This Row],[Data]]</f>
        <v>0</v>
      </c>
      <c r="AI48" s="174" t="s">
        <v>383</v>
      </c>
      <c r="AJ48" s="219">
        <v>0</v>
      </c>
      <c r="AK48" s="219">
        <v>0</v>
      </c>
      <c r="AL48" s="219">
        <f>SupplyChain_SupplierData_Frontend[[#This Row],[Emissions kgCO2e]]/1000</f>
        <v>0</v>
      </c>
      <c r="AM48" s="219">
        <v>0</v>
      </c>
      <c r="AN48" s="219">
        <v>0</v>
      </c>
      <c r="AO48" s="219">
        <v>0</v>
      </c>
      <c r="AP48" s="219">
        <f>SUM(SupplyChain_SupplierData_Backend[[#This Row],[Scope 1 (tCO2e)]:[Scope 3 WTT T&amp;D (tCO2e)]])</f>
        <v>0</v>
      </c>
      <c r="AQ48" s="219" t="e">
        <f ca="1">SupplyChain_SupplierData_Backend[[#This Row],[Total (tCO2e)]]*(1-SupplyChain_SupplierData_Backend[[#This Row],[RSD]])</f>
        <v>#N/A</v>
      </c>
      <c r="AR48" s="219" t="e">
        <f ca="1">SupplyChain_SupplierData_Backend[[#This Row],[Total (tCO2e)]]*(1+SupplyChain_SupplierData_Backend[[#This Row],[RSD]])</f>
        <v>#N/A</v>
      </c>
      <c r="AS48" s="217"/>
      <c r="AT48" s="216">
        <f>SupplyChain_SupplierData_Frontend[[#This Row],[Ease of collection]]</f>
        <v>0</v>
      </c>
      <c r="AU48" s="228">
        <f>SupplyChain_SupplierData_Frontend[[#This Row],[Completeness]]</f>
        <v>0</v>
      </c>
      <c r="AV48" s="228">
        <f>SupplyChain_SupplierData_Frontend[[#This Row],[Notes]]</f>
        <v>0</v>
      </c>
    </row>
    <row r="49" spans="1:48" customFormat="1" ht="17.5" customHeight="1" x14ac:dyDescent="0.35">
      <c r="A49" s="147"/>
      <c r="B49" s="169"/>
      <c r="C49" s="147"/>
      <c r="D49" s="147"/>
      <c r="E49" s="207"/>
      <c r="F49" s="425"/>
      <c r="G49" s="425"/>
      <c r="H49" s="425"/>
      <c r="I49" s="426"/>
      <c r="J49" s="427"/>
      <c r="K49" s="425"/>
      <c r="L49" s="428"/>
      <c r="M49" s="425"/>
      <c r="N49" s="425"/>
      <c r="O49" s="387"/>
      <c r="P49" s="387"/>
      <c r="Q49" s="388"/>
      <c r="R49" s="242">
        <f t="shared" si="1"/>
        <v>9</v>
      </c>
      <c r="U49" s="214" t="str">
        <f t="shared" si="2"/>
        <v/>
      </c>
      <c r="V49" s="216" t="s">
        <v>267</v>
      </c>
      <c r="W49" s="174" t="s">
        <v>385</v>
      </c>
      <c r="X49" s="216" t="str" cm="1">
        <f t="array" aca="1" ref="X49" ca="1">_xlfn.XLOOKUP(SupplyChain_SupplierData_Backend[[#This Row],[Level 2]],rng_Level2Long,rng_Level3Long)</f>
        <v>Supply chain</v>
      </c>
      <c r="Y49" s="216">
        <f>SupplyChain_SupplierData_Frontend[[#This Row],[Category]]</f>
        <v>0</v>
      </c>
      <c r="Z49" s="216">
        <f>SupplyChain_SupplierData_Frontend[[#This Row],[Product category]]</f>
        <v>0</v>
      </c>
      <c r="AA49" s="216" t="e" cm="1">
        <f t="array" aca="1" ref="AA49" ca="1">_xlfn.XLOOKUP(SupplyChain_SupplierData_Backend[[#This Row],[Level 5]],rng_Level5Long,rng_Level6Long)</f>
        <v>#N/A</v>
      </c>
      <c r="AB49" s="216">
        <f>SupplyChain_SupplierData_Frontend[[#This Row],[Data type]]</f>
        <v>0</v>
      </c>
      <c r="AC49" s="414">
        <f>SupplyChain_SupplierData_Frontend[[#This Row],[Data assessment score]]</f>
        <v>0</v>
      </c>
      <c r="AD49" s="216">
        <f>SupplyChain_SupplierData_Frontend[[#This Row],[Methodology]]</f>
        <v>0</v>
      </c>
      <c r="AE49" s="396" t="e" cm="1">
        <f t="array" aca="1" ref="AE49" ca="1">INDEX(_xlfn.SWITCH(SupplyChain_SupplierData_Backend[[#This Row],[Methodology]],"Tier 1",rng_RSD1,"Tier 2",rng_RSD2,"Tier 3",rng_RSD3),MATCH(SupplyChain_SupplierData_Backend[[#This Row],[Level 2]],rng_Level2Long,0))</f>
        <v>#N/A</v>
      </c>
      <c r="AF49" s="218">
        <f>SupplyChain_SupplierData_Frontend[[#This Row],[Spend with supplier GBP]]</f>
        <v>0</v>
      </c>
      <c r="AG49" s="174" t="s">
        <v>383</v>
      </c>
      <c r="AH49" s="218">
        <f>SupplyChain_SupplierData_Backend[[#This Row],[Data]]</f>
        <v>0</v>
      </c>
      <c r="AI49" s="174" t="s">
        <v>383</v>
      </c>
      <c r="AJ49" s="219">
        <v>0</v>
      </c>
      <c r="AK49" s="219">
        <v>0</v>
      </c>
      <c r="AL49" s="219">
        <f>SupplyChain_SupplierData_Frontend[[#This Row],[Emissions kgCO2e]]/1000</f>
        <v>0</v>
      </c>
      <c r="AM49" s="219">
        <v>0</v>
      </c>
      <c r="AN49" s="219">
        <v>0</v>
      </c>
      <c r="AO49" s="219">
        <v>0</v>
      </c>
      <c r="AP49" s="219">
        <f>SUM(SupplyChain_SupplierData_Backend[[#This Row],[Scope 1 (tCO2e)]:[Scope 3 WTT T&amp;D (tCO2e)]])</f>
        <v>0</v>
      </c>
      <c r="AQ49" s="219" t="e">
        <f ca="1">SupplyChain_SupplierData_Backend[[#This Row],[Total (tCO2e)]]*(1-SupplyChain_SupplierData_Backend[[#This Row],[RSD]])</f>
        <v>#N/A</v>
      </c>
      <c r="AR49" s="219" t="e">
        <f ca="1">SupplyChain_SupplierData_Backend[[#This Row],[Total (tCO2e)]]*(1+SupplyChain_SupplierData_Backend[[#This Row],[RSD]])</f>
        <v>#N/A</v>
      </c>
      <c r="AS49" s="217"/>
      <c r="AT49" s="216">
        <f>SupplyChain_SupplierData_Frontend[[#This Row],[Ease of collection]]</f>
        <v>0</v>
      </c>
      <c r="AU49" s="228">
        <f>SupplyChain_SupplierData_Frontend[[#This Row],[Completeness]]</f>
        <v>0</v>
      </c>
      <c r="AV49" s="228">
        <f>SupplyChain_SupplierData_Frontend[[#This Row],[Notes]]</f>
        <v>0</v>
      </c>
    </row>
    <row r="50" spans="1:48" customFormat="1" ht="17.5" customHeight="1" x14ac:dyDescent="0.35">
      <c r="A50" s="147"/>
      <c r="B50" s="169"/>
      <c r="C50" s="147"/>
      <c r="D50" s="204">
        <v>10</v>
      </c>
      <c r="E50" s="206" t="s">
        <v>398</v>
      </c>
      <c r="F50" s="425"/>
      <c r="G50" s="425"/>
      <c r="H50" s="425"/>
      <c r="I50" s="426"/>
      <c r="J50" s="427"/>
      <c r="K50" s="425"/>
      <c r="L50" s="428"/>
      <c r="M50" s="425"/>
      <c r="N50" s="425"/>
      <c r="O50" s="387"/>
      <c r="P50" s="387"/>
      <c r="Q50" s="388"/>
      <c r="R50" s="242">
        <f t="shared" si="1"/>
        <v>9</v>
      </c>
      <c r="U50" s="214" t="str">
        <f t="shared" si="2"/>
        <v/>
      </c>
      <c r="V50" s="216" t="s">
        <v>267</v>
      </c>
      <c r="W50" s="174" t="s">
        <v>385</v>
      </c>
      <c r="X50" s="216" t="str" cm="1">
        <f t="array" aca="1" ref="X50" ca="1">_xlfn.XLOOKUP(SupplyChain_SupplierData_Backend[[#This Row],[Level 2]],rng_Level2Long,rng_Level3Long)</f>
        <v>Supply chain</v>
      </c>
      <c r="Y50" s="216">
        <f>SupplyChain_SupplierData_Frontend[[#This Row],[Category]]</f>
        <v>0</v>
      </c>
      <c r="Z50" s="216">
        <f>SupplyChain_SupplierData_Frontend[[#This Row],[Product category]]</f>
        <v>0</v>
      </c>
      <c r="AA50" s="216" t="e" cm="1">
        <f t="array" aca="1" ref="AA50" ca="1">_xlfn.XLOOKUP(SupplyChain_SupplierData_Backend[[#This Row],[Level 5]],rng_Level5Long,rng_Level6Long)</f>
        <v>#N/A</v>
      </c>
      <c r="AB50" s="216">
        <f>SupplyChain_SupplierData_Frontend[[#This Row],[Data type]]</f>
        <v>0</v>
      </c>
      <c r="AC50" s="414">
        <f>SupplyChain_SupplierData_Frontend[[#This Row],[Data assessment score]]</f>
        <v>0</v>
      </c>
      <c r="AD50" s="216">
        <f>SupplyChain_SupplierData_Frontend[[#This Row],[Methodology]]</f>
        <v>0</v>
      </c>
      <c r="AE50" s="396" t="e" cm="1">
        <f t="array" aca="1" ref="AE50" ca="1">INDEX(_xlfn.SWITCH(SupplyChain_SupplierData_Backend[[#This Row],[Methodology]],"Tier 1",rng_RSD1,"Tier 2",rng_RSD2,"Tier 3",rng_RSD3),MATCH(SupplyChain_SupplierData_Backend[[#This Row],[Level 2]],rng_Level2Long,0))</f>
        <v>#N/A</v>
      </c>
      <c r="AF50" s="218">
        <f>SupplyChain_SupplierData_Frontend[[#This Row],[Spend with supplier GBP]]</f>
        <v>0</v>
      </c>
      <c r="AG50" s="174" t="s">
        <v>383</v>
      </c>
      <c r="AH50" s="218">
        <f>SupplyChain_SupplierData_Backend[[#This Row],[Data]]</f>
        <v>0</v>
      </c>
      <c r="AI50" s="174" t="s">
        <v>383</v>
      </c>
      <c r="AJ50" s="219">
        <v>0</v>
      </c>
      <c r="AK50" s="219">
        <v>0</v>
      </c>
      <c r="AL50" s="219">
        <f>SupplyChain_SupplierData_Frontend[[#This Row],[Emissions kgCO2e]]/1000</f>
        <v>0</v>
      </c>
      <c r="AM50" s="219">
        <v>0</v>
      </c>
      <c r="AN50" s="219">
        <v>0</v>
      </c>
      <c r="AO50" s="219">
        <v>0</v>
      </c>
      <c r="AP50" s="219">
        <f>SUM(SupplyChain_SupplierData_Backend[[#This Row],[Scope 1 (tCO2e)]:[Scope 3 WTT T&amp;D (tCO2e)]])</f>
        <v>0</v>
      </c>
      <c r="AQ50" s="219" t="e">
        <f ca="1">SupplyChain_SupplierData_Backend[[#This Row],[Total (tCO2e)]]*(1-SupplyChain_SupplierData_Backend[[#This Row],[RSD]])</f>
        <v>#N/A</v>
      </c>
      <c r="AR50" s="219" t="e">
        <f ca="1">SupplyChain_SupplierData_Backend[[#This Row],[Total (tCO2e)]]*(1+SupplyChain_SupplierData_Backend[[#This Row],[RSD]])</f>
        <v>#N/A</v>
      </c>
      <c r="AS50" s="217"/>
      <c r="AT50" s="216">
        <f>SupplyChain_SupplierData_Frontend[[#This Row],[Ease of collection]]</f>
        <v>0</v>
      </c>
      <c r="AU50" s="228">
        <f>SupplyChain_SupplierData_Frontend[[#This Row],[Completeness]]</f>
        <v>0</v>
      </c>
      <c r="AV50" s="228">
        <f>SupplyChain_SupplierData_Frontend[[#This Row],[Notes]]</f>
        <v>0</v>
      </c>
    </row>
    <row r="51" spans="1:48" customFormat="1" ht="17.5" customHeight="1" x14ac:dyDescent="0.35">
      <c r="A51" s="147"/>
      <c r="B51" s="169"/>
      <c r="C51" s="147"/>
      <c r="D51" s="147"/>
      <c r="E51" s="206"/>
      <c r="F51" s="425"/>
      <c r="G51" s="425"/>
      <c r="H51" s="425"/>
      <c r="I51" s="426"/>
      <c r="J51" s="427"/>
      <c r="K51" s="425"/>
      <c r="L51" s="428"/>
      <c r="M51" s="425"/>
      <c r="N51" s="425"/>
      <c r="O51" s="387"/>
      <c r="P51" s="387"/>
      <c r="Q51" s="388"/>
      <c r="R51" s="242">
        <f t="shared" si="1"/>
        <v>9</v>
      </c>
      <c r="U51" s="214" t="str">
        <f t="shared" si="2"/>
        <v/>
      </c>
      <c r="V51" s="216" t="s">
        <v>267</v>
      </c>
      <c r="W51" s="174" t="s">
        <v>385</v>
      </c>
      <c r="X51" s="216" t="str" cm="1">
        <f t="array" aca="1" ref="X51" ca="1">_xlfn.XLOOKUP(SupplyChain_SupplierData_Backend[[#This Row],[Level 2]],rng_Level2Long,rng_Level3Long)</f>
        <v>Supply chain</v>
      </c>
      <c r="Y51" s="216">
        <f>SupplyChain_SupplierData_Frontend[[#This Row],[Category]]</f>
        <v>0</v>
      </c>
      <c r="Z51" s="216">
        <f>SupplyChain_SupplierData_Frontend[[#This Row],[Product category]]</f>
        <v>0</v>
      </c>
      <c r="AA51" s="216" t="e" cm="1">
        <f t="array" aca="1" ref="AA51" ca="1">_xlfn.XLOOKUP(SupplyChain_SupplierData_Backend[[#This Row],[Level 5]],rng_Level5Long,rng_Level6Long)</f>
        <v>#N/A</v>
      </c>
      <c r="AB51" s="216">
        <f>SupplyChain_SupplierData_Frontend[[#This Row],[Data type]]</f>
        <v>0</v>
      </c>
      <c r="AC51" s="414">
        <f>SupplyChain_SupplierData_Frontend[[#This Row],[Data assessment score]]</f>
        <v>0</v>
      </c>
      <c r="AD51" s="216">
        <f>SupplyChain_SupplierData_Frontend[[#This Row],[Methodology]]</f>
        <v>0</v>
      </c>
      <c r="AE51" s="396" t="e" cm="1">
        <f t="array" aca="1" ref="AE51" ca="1">INDEX(_xlfn.SWITCH(SupplyChain_SupplierData_Backend[[#This Row],[Methodology]],"Tier 1",rng_RSD1,"Tier 2",rng_RSD2,"Tier 3",rng_RSD3),MATCH(SupplyChain_SupplierData_Backend[[#This Row],[Level 2]],rng_Level2Long,0))</f>
        <v>#N/A</v>
      </c>
      <c r="AF51" s="218">
        <f>SupplyChain_SupplierData_Frontend[[#This Row],[Spend with supplier GBP]]</f>
        <v>0</v>
      </c>
      <c r="AG51" s="174" t="s">
        <v>383</v>
      </c>
      <c r="AH51" s="218">
        <f>SupplyChain_SupplierData_Backend[[#This Row],[Data]]</f>
        <v>0</v>
      </c>
      <c r="AI51" s="174" t="s">
        <v>383</v>
      </c>
      <c r="AJ51" s="219">
        <v>0</v>
      </c>
      <c r="AK51" s="219">
        <v>0</v>
      </c>
      <c r="AL51" s="219">
        <f>SupplyChain_SupplierData_Frontend[[#This Row],[Emissions kgCO2e]]/1000</f>
        <v>0</v>
      </c>
      <c r="AM51" s="219">
        <v>0</v>
      </c>
      <c r="AN51" s="219">
        <v>0</v>
      </c>
      <c r="AO51" s="219">
        <v>0</v>
      </c>
      <c r="AP51" s="219">
        <f>SUM(SupplyChain_SupplierData_Backend[[#This Row],[Scope 1 (tCO2e)]:[Scope 3 WTT T&amp;D (tCO2e)]])</f>
        <v>0</v>
      </c>
      <c r="AQ51" s="219" t="e">
        <f ca="1">SupplyChain_SupplierData_Backend[[#This Row],[Total (tCO2e)]]*(1-SupplyChain_SupplierData_Backend[[#This Row],[RSD]])</f>
        <v>#N/A</v>
      </c>
      <c r="AR51" s="219" t="e">
        <f ca="1">SupplyChain_SupplierData_Backend[[#This Row],[Total (tCO2e)]]*(1+SupplyChain_SupplierData_Backend[[#This Row],[RSD]])</f>
        <v>#N/A</v>
      </c>
      <c r="AS51" s="217"/>
      <c r="AT51" s="216">
        <f>SupplyChain_SupplierData_Frontend[[#This Row],[Ease of collection]]</f>
        <v>0</v>
      </c>
      <c r="AU51" s="228">
        <f>SupplyChain_SupplierData_Frontend[[#This Row],[Completeness]]</f>
        <v>0</v>
      </c>
      <c r="AV51" s="228">
        <f>SupplyChain_SupplierData_Frontend[[#This Row],[Notes]]</f>
        <v>0</v>
      </c>
    </row>
    <row r="52" spans="1:48" customFormat="1" ht="17.5" customHeight="1" x14ac:dyDescent="0.35">
      <c r="A52" s="147"/>
      <c r="B52" s="169"/>
      <c r="C52" s="147"/>
      <c r="D52" s="147"/>
      <c r="E52" s="206"/>
      <c r="F52" s="425"/>
      <c r="G52" s="425"/>
      <c r="H52" s="425"/>
      <c r="I52" s="426"/>
      <c r="J52" s="427"/>
      <c r="K52" s="425"/>
      <c r="L52" s="428"/>
      <c r="M52" s="425"/>
      <c r="N52" s="425"/>
      <c r="O52" s="387"/>
      <c r="P52" s="387"/>
      <c r="Q52" s="388"/>
      <c r="R52" s="242">
        <f t="shared" si="1"/>
        <v>9</v>
      </c>
      <c r="U52" s="214" t="str">
        <f t="shared" si="2"/>
        <v/>
      </c>
      <c r="V52" s="216" t="s">
        <v>267</v>
      </c>
      <c r="W52" s="174" t="s">
        <v>385</v>
      </c>
      <c r="X52" s="216" t="str" cm="1">
        <f t="array" aca="1" ref="X52" ca="1">_xlfn.XLOOKUP(SupplyChain_SupplierData_Backend[[#This Row],[Level 2]],rng_Level2Long,rng_Level3Long)</f>
        <v>Supply chain</v>
      </c>
      <c r="Y52" s="216">
        <f>SupplyChain_SupplierData_Frontend[[#This Row],[Category]]</f>
        <v>0</v>
      </c>
      <c r="Z52" s="216">
        <f>SupplyChain_SupplierData_Frontend[[#This Row],[Product category]]</f>
        <v>0</v>
      </c>
      <c r="AA52" s="216" t="e" cm="1">
        <f t="array" aca="1" ref="AA52" ca="1">_xlfn.XLOOKUP(SupplyChain_SupplierData_Backend[[#This Row],[Level 5]],rng_Level5Long,rng_Level6Long)</f>
        <v>#N/A</v>
      </c>
      <c r="AB52" s="216">
        <f>SupplyChain_SupplierData_Frontend[[#This Row],[Data type]]</f>
        <v>0</v>
      </c>
      <c r="AC52" s="414">
        <f>SupplyChain_SupplierData_Frontend[[#This Row],[Data assessment score]]</f>
        <v>0</v>
      </c>
      <c r="AD52" s="216">
        <f>SupplyChain_SupplierData_Frontend[[#This Row],[Methodology]]</f>
        <v>0</v>
      </c>
      <c r="AE52" s="396" t="e" cm="1">
        <f t="array" aca="1" ref="AE52" ca="1">INDEX(_xlfn.SWITCH(SupplyChain_SupplierData_Backend[[#This Row],[Methodology]],"Tier 1",rng_RSD1,"Tier 2",rng_RSD2,"Tier 3",rng_RSD3),MATCH(SupplyChain_SupplierData_Backend[[#This Row],[Level 2]],rng_Level2Long,0))</f>
        <v>#N/A</v>
      </c>
      <c r="AF52" s="218">
        <f>SupplyChain_SupplierData_Frontend[[#This Row],[Spend with supplier GBP]]</f>
        <v>0</v>
      </c>
      <c r="AG52" s="174" t="s">
        <v>383</v>
      </c>
      <c r="AH52" s="218">
        <f>SupplyChain_SupplierData_Backend[[#This Row],[Data]]</f>
        <v>0</v>
      </c>
      <c r="AI52" s="174" t="s">
        <v>383</v>
      </c>
      <c r="AJ52" s="219">
        <v>0</v>
      </c>
      <c r="AK52" s="219">
        <v>0</v>
      </c>
      <c r="AL52" s="219">
        <f>SupplyChain_SupplierData_Frontend[[#This Row],[Emissions kgCO2e]]/1000</f>
        <v>0</v>
      </c>
      <c r="AM52" s="219">
        <v>0</v>
      </c>
      <c r="AN52" s="219">
        <v>0</v>
      </c>
      <c r="AO52" s="219">
        <v>0</v>
      </c>
      <c r="AP52" s="219">
        <f>SUM(SupplyChain_SupplierData_Backend[[#This Row],[Scope 1 (tCO2e)]:[Scope 3 WTT T&amp;D (tCO2e)]])</f>
        <v>0</v>
      </c>
      <c r="AQ52" s="219" t="e">
        <f ca="1">SupplyChain_SupplierData_Backend[[#This Row],[Total (tCO2e)]]*(1-SupplyChain_SupplierData_Backend[[#This Row],[RSD]])</f>
        <v>#N/A</v>
      </c>
      <c r="AR52" s="219" t="e">
        <f ca="1">SupplyChain_SupplierData_Backend[[#This Row],[Total (tCO2e)]]*(1+SupplyChain_SupplierData_Backend[[#This Row],[RSD]])</f>
        <v>#N/A</v>
      </c>
      <c r="AS52" s="217"/>
      <c r="AT52" s="216">
        <f>SupplyChain_SupplierData_Frontend[[#This Row],[Ease of collection]]</f>
        <v>0</v>
      </c>
      <c r="AU52" s="228">
        <f>SupplyChain_SupplierData_Frontend[[#This Row],[Completeness]]</f>
        <v>0</v>
      </c>
      <c r="AV52" s="228">
        <f>SupplyChain_SupplierData_Frontend[[#This Row],[Notes]]</f>
        <v>0</v>
      </c>
    </row>
    <row r="53" spans="1:48" customFormat="1" ht="17.5" customHeight="1" x14ac:dyDescent="0.35">
      <c r="A53" s="147"/>
      <c r="B53" s="169"/>
      <c r="C53" s="147"/>
      <c r="D53" s="147"/>
      <c r="E53" s="206"/>
      <c r="F53" s="425"/>
      <c r="G53" s="425"/>
      <c r="H53" s="425"/>
      <c r="I53" s="426"/>
      <c r="J53" s="427"/>
      <c r="K53" s="425"/>
      <c r="L53" s="428"/>
      <c r="M53" s="425"/>
      <c r="N53" s="425"/>
      <c r="O53" s="387"/>
      <c r="P53" s="387"/>
      <c r="Q53" s="388"/>
      <c r="R53" s="242">
        <f t="shared" si="1"/>
        <v>9</v>
      </c>
      <c r="U53" s="214" t="str">
        <f t="shared" si="2"/>
        <v/>
      </c>
      <c r="V53" s="216" t="s">
        <v>267</v>
      </c>
      <c r="W53" s="174" t="s">
        <v>385</v>
      </c>
      <c r="X53" s="216" t="str" cm="1">
        <f t="array" aca="1" ref="X53" ca="1">_xlfn.XLOOKUP(SupplyChain_SupplierData_Backend[[#This Row],[Level 2]],rng_Level2Long,rng_Level3Long)</f>
        <v>Supply chain</v>
      </c>
      <c r="Y53" s="216">
        <f>SupplyChain_SupplierData_Frontend[[#This Row],[Category]]</f>
        <v>0</v>
      </c>
      <c r="Z53" s="216">
        <f>SupplyChain_SupplierData_Frontend[[#This Row],[Product category]]</f>
        <v>0</v>
      </c>
      <c r="AA53" s="216" t="e" cm="1">
        <f t="array" aca="1" ref="AA53" ca="1">_xlfn.XLOOKUP(SupplyChain_SupplierData_Backend[[#This Row],[Level 5]],rng_Level5Long,rng_Level6Long)</f>
        <v>#N/A</v>
      </c>
      <c r="AB53" s="216">
        <f>SupplyChain_SupplierData_Frontend[[#This Row],[Data type]]</f>
        <v>0</v>
      </c>
      <c r="AC53" s="414">
        <f>SupplyChain_SupplierData_Frontend[[#This Row],[Data assessment score]]</f>
        <v>0</v>
      </c>
      <c r="AD53" s="216">
        <f>SupplyChain_SupplierData_Frontend[[#This Row],[Methodology]]</f>
        <v>0</v>
      </c>
      <c r="AE53" s="396" t="e" cm="1">
        <f t="array" aca="1" ref="AE53" ca="1">INDEX(_xlfn.SWITCH(SupplyChain_SupplierData_Backend[[#This Row],[Methodology]],"Tier 1",rng_RSD1,"Tier 2",rng_RSD2,"Tier 3",rng_RSD3),MATCH(SupplyChain_SupplierData_Backend[[#This Row],[Level 2]],rng_Level2Long,0))</f>
        <v>#N/A</v>
      </c>
      <c r="AF53" s="218">
        <f>SupplyChain_SupplierData_Frontend[[#This Row],[Spend with supplier GBP]]</f>
        <v>0</v>
      </c>
      <c r="AG53" s="174" t="s">
        <v>383</v>
      </c>
      <c r="AH53" s="218">
        <f>SupplyChain_SupplierData_Backend[[#This Row],[Data]]</f>
        <v>0</v>
      </c>
      <c r="AI53" s="174" t="s">
        <v>383</v>
      </c>
      <c r="AJ53" s="219">
        <v>0</v>
      </c>
      <c r="AK53" s="219">
        <v>0</v>
      </c>
      <c r="AL53" s="219">
        <f>SupplyChain_SupplierData_Frontend[[#This Row],[Emissions kgCO2e]]/1000</f>
        <v>0</v>
      </c>
      <c r="AM53" s="219">
        <v>0</v>
      </c>
      <c r="AN53" s="219">
        <v>0</v>
      </c>
      <c r="AO53" s="219">
        <v>0</v>
      </c>
      <c r="AP53" s="219">
        <f>SUM(SupplyChain_SupplierData_Backend[[#This Row],[Scope 1 (tCO2e)]:[Scope 3 WTT T&amp;D (tCO2e)]])</f>
        <v>0</v>
      </c>
      <c r="AQ53" s="219" t="e">
        <f ca="1">SupplyChain_SupplierData_Backend[[#This Row],[Total (tCO2e)]]*(1-SupplyChain_SupplierData_Backend[[#This Row],[RSD]])</f>
        <v>#N/A</v>
      </c>
      <c r="AR53" s="219" t="e">
        <f ca="1">SupplyChain_SupplierData_Backend[[#This Row],[Total (tCO2e)]]*(1+SupplyChain_SupplierData_Backend[[#This Row],[RSD]])</f>
        <v>#N/A</v>
      </c>
      <c r="AS53" s="217"/>
      <c r="AT53" s="216">
        <f>SupplyChain_SupplierData_Frontend[[#This Row],[Ease of collection]]</f>
        <v>0</v>
      </c>
      <c r="AU53" s="228">
        <f>SupplyChain_SupplierData_Frontend[[#This Row],[Completeness]]</f>
        <v>0</v>
      </c>
      <c r="AV53" s="228">
        <f>SupplyChain_SupplierData_Frontend[[#This Row],[Notes]]</f>
        <v>0</v>
      </c>
    </row>
    <row r="54" spans="1:48" customFormat="1" ht="17.5" customHeight="1" x14ac:dyDescent="0.35">
      <c r="A54" s="147"/>
      <c r="B54" s="169"/>
      <c r="C54" s="147"/>
      <c r="D54" s="204">
        <v>11</v>
      </c>
      <c r="E54" s="206" t="s">
        <v>398</v>
      </c>
      <c r="F54" s="425"/>
      <c r="G54" s="425"/>
      <c r="H54" s="425"/>
      <c r="I54" s="426"/>
      <c r="J54" s="427"/>
      <c r="K54" s="425"/>
      <c r="L54" s="428"/>
      <c r="M54" s="425"/>
      <c r="N54" s="425"/>
      <c r="O54" s="387"/>
      <c r="P54" s="387"/>
      <c r="Q54" s="388"/>
      <c r="R54" s="242">
        <f t="shared" si="1"/>
        <v>9</v>
      </c>
      <c r="U54" s="214" t="str">
        <f t="shared" si="2"/>
        <v/>
      </c>
      <c r="V54" s="216" t="s">
        <v>267</v>
      </c>
      <c r="W54" s="174" t="s">
        <v>385</v>
      </c>
      <c r="X54" s="216" t="str" cm="1">
        <f t="array" aca="1" ref="X54" ca="1">_xlfn.XLOOKUP(SupplyChain_SupplierData_Backend[[#This Row],[Level 2]],rng_Level2Long,rng_Level3Long)</f>
        <v>Supply chain</v>
      </c>
      <c r="Y54" s="216">
        <f>SupplyChain_SupplierData_Frontend[[#This Row],[Category]]</f>
        <v>0</v>
      </c>
      <c r="Z54" s="216">
        <f>SupplyChain_SupplierData_Frontend[[#This Row],[Product category]]</f>
        <v>0</v>
      </c>
      <c r="AA54" s="216" t="e" cm="1">
        <f t="array" aca="1" ref="AA54" ca="1">_xlfn.XLOOKUP(SupplyChain_SupplierData_Backend[[#This Row],[Level 5]],rng_Level5Long,rng_Level6Long)</f>
        <v>#N/A</v>
      </c>
      <c r="AB54" s="216">
        <f>SupplyChain_SupplierData_Frontend[[#This Row],[Data type]]</f>
        <v>0</v>
      </c>
      <c r="AC54" s="414">
        <f>SupplyChain_SupplierData_Frontend[[#This Row],[Data assessment score]]</f>
        <v>0</v>
      </c>
      <c r="AD54" s="216">
        <f>SupplyChain_SupplierData_Frontend[[#This Row],[Methodology]]</f>
        <v>0</v>
      </c>
      <c r="AE54" s="396" t="e" cm="1">
        <f t="array" aca="1" ref="AE54" ca="1">INDEX(_xlfn.SWITCH(SupplyChain_SupplierData_Backend[[#This Row],[Methodology]],"Tier 1",rng_RSD1,"Tier 2",rng_RSD2,"Tier 3",rng_RSD3),MATCH(SupplyChain_SupplierData_Backend[[#This Row],[Level 2]],rng_Level2Long,0))</f>
        <v>#N/A</v>
      </c>
      <c r="AF54" s="218">
        <f>SupplyChain_SupplierData_Frontend[[#This Row],[Spend with supplier GBP]]</f>
        <v>0</v>
      </c>
      <c r="AG54" s="174" t="s">
        <v>383</v>
      </c>
      <c r="AH54" s="218">
        <f>SupplyChain_SupplierData_Backend[[#This Row],[Data]]</f>
        <v>0</v>
      </c>
      <c r="AI54" s="174" t="s">
        <v>383</v>
      </c>
      <c r="AJ54" s="219">
        <v>0</v>
      </c>
      <c r="AK54" s="219">
        <v>0</v>
      </c>
      <c r="AL54" s="219">
        <f>SupplyChain_SupplierData_Frontend[[#This Row],[Emissions kgCO2e]]/1000</f>
        <v>0</v>
      </c>
      <c r="AM54" s="219">
        <v>0</v>
      </c>
      <c r="AN54" s="219">
        <v>0</v>
      </c>
      <c r="AO54" s="219">
        <v>0</v>
      </c>
      <c r="AP54" s="219">
        <f>SUM(SupplyChain_SupplierData_Backend[[#This Row],[Scope 1 (tCO2e)]:[Scope 3 WTT T&amp;D (tCO2e)]])</f>
        <v>0</v>
      </c>
      <c r="AQ54" s="219" t="e">
        <f ca="1">SupplyChain_SupplierData_Backend[[#This Row],[Total (tCO2e)]]*(1-SupplyChain_SupplierData_Backend[[#This Row],[RSD]])</f>
        <v>#N/A</v>
      </c>
      <c r="AR54" s="219" t="e">
        <f ca="1">SupplyChain_SupplierData_Backend[[#This Row],[Total (tCO2e)]]*(1+SupplyChain_SupplierData_Backend[[#This Row],[RSD]])</f>
        <v>#N/A</v>
      </c>
      <c r="AS54" s="217"/>
      <c r="AT54" s="216">
        <f>SupplyChain_SupplierData_Frontend[[#This Row],[Ease of collection]]</f>
        <v>0</v>
      </c>
      <c r="AU54" s="228">
        <f>SupplyChain_SupplierData_Frontend[[#This Row],[Completeness]]</f>
        <v>0</v>
      </c>
      <c r="AV54" s="228">
        <f>SupplyChain_SupplierData_Frontend[[#This Row],[Notes]]</f>
        <v>0</v>
      </c>
    </row>
    <row r="55" spans="1:48" customFormat="1" ht="17.5" customHeight="1" x14ac:dyDescent="0.35">
      <c r="A55" s="147"/>
      <c r="B55" s="169"/>
      <c r="C55" s="147"/>
      <c r="D55" s="147"/>
      <c r="E55" s="206"/>
      <c r="F55" s="425"/>
      <c r="G55" s="425"/>
      <c r="H55" s="425"/>
      <c r="I55" s="426"/>
      <c r="J55" s="427"/>
      <c r="K55" s="425"/>
      <c r="L55" s="428"/>
      <c r="M55" s="425"/>
      <c r="N55" s="425"/>
      <c r="O55" s="387"/>
      <c r="P55" s="387"/>
      <c r="Q55" s="388"/>
      <c r="R55" s="242">
        <f t="shared" si="1"/>
        <v>9</v>
      </c>
      <c r="U55" s="214" t="str">
        <f t="shared" si="2"/>
        <v/>
      </c>
      <c r="V55" s="216" t="s">
        <v>267</v>
      </c>
      <c r="W55" s="174" t="s">
        <v>385</v>
      </c>
      <c r="X55" s="216" t="str" cm="1">
        <f t="array" aca="1" ref="X55" ca="1">_xlfn.XLOOKUP(SupplyChain_SupplierData_Backend[[#This Row],[Level 2]],rng_Level2Long,rng_Level3Long)</f>
        <v>Supply chain</v>
      </c>
      <c r="Y55" s="216">
        <f>SupplyChain_SupplierData_Frontend[[#This Row],[Category]]</f>
        <v>0</v>
      </c>
      <c r="Z55" s="216">
        <f>SupplyChain_SupplierData_Frontend[[#This Row],[Product category]]</f>
        <v>0</v>
      </c>
      <c r="AA55" s="216" t="e" cm="1">
        <f t="array" aca="1" ref="AA55" ca="1">_xlfn.XLOOKUP(SupplyChain_SupplierData_Backend[[#This Row],[Level 5]],rng_Level5Long,rng_Level6Long)</f>
        <v>#N/A</v>
      </c>
      <c r="AB55" s="216">
        <f>SupplyChain_SupplierData_Frontend[[#This Row],[Data type]]</f>
        <v>0</v>
      </c>
      <c r="AC55" s="414">
        <f>SupplyChain_SupplierData_Frontend[[#This Row],[Data assessment score]]</f>
        <v>0</v>
      </c>
      <c r="AD55" s="216">
        <f>SupplyChain_SupplierData_Frontend[[#This Row],[Methodology]]</f>
        <v>0</v>
      </c>
      <c r="AE55" s="396" t="e" cm="1">
        <f t="array" aca="1" ref="AE55" ca="1">INDEX(_xlfn.SWITCH(SupplyChain_SupplierData_Backend[[#This Row],[Methodology]],"Tier 1",rng_RSD1,"Tier 2",rng_RSD2,"Tier 3",rng_RSD3),MATCH(SupplyChain_SupplierData_Backend[[#This Row],[Level 2]],rng_Level2Long,0))</f>
        <v>#N/A</v>
      </c>
      <c r="AF55" s="218">
        <f>SupplyChain_SupplierData_Frontend[[#This Row],[Spend with supplier GBP]]</f>
        <v>0</v>
      </c>
      <c r="AG55" s="174" t="s">
        <v>383</v>
      </c>
      <c r="AH55" s="218">
        <f>SupplyChain_SupplierData_Backend[[#This Row],[Data]]</f>
        <v>0</v>
      </c>
      <c r="AI55" s="174" t="s">
        <v>383</v>
      </c>
      <c r="AJ55" s="219">
        <v>0</v>
      </c>
      <c r="AK55" s="219">
        <v>0</v>
      </c>
      <c r="AL55" s="219">
        <f>SupplyChain_SupplierData_Frontend[[#This Row],[Emissions kgCO2e]]/1000</f>
        <v>0</v>
      </c>
      <c r="AM55" s="219">
        <v>0</v>
      </c>
      <c r="AN55" s="219">
        <v>0</v>
      </c>
      <c r="AO55" s="219">
        <v>0</v>
      </c>
      <c r="AP55" s="219">
        <f>SUM(SupplyChain_SupplierData_Backend[[#This Row],[Scope 1 (tCO2e)]:[Scope 3 WTT T&amp;D (tCO2e)]])</f>
        <v>0</v>
      </c>
      <c r="AQ55" s="219" t="e">
        <f ca="1">SupplyChain_SupplierData_Backend[[#This Row],[Total (tCO2e)]]*(1-SupplyChain_SupplierData_Backend[[#This Row],[RSD]])</f>
        <v>#N/A</v>
      </c>
      <c r="AR55" s="219" t="e">
        <f ca="1">SupplyChain_SupplierData_Backend[[#This Row],[Total (tCO2e)]]*(1+SupplyChain_SupplierData_Backend[[#This Row],[RSD]])</f>
        <v>#N/A</v>
      </c>
      <c r="AS55" s="217"/>
      <c r="AT55" s="216">
        <f>SupplyChain_SupplierData_Frontend[[#This Row],[Ease of collection]]</f>
        <v>0</v>
      </c>
      <c r="AU55" s="228">
        <f>SupplyChain_SupplierData_Frontend[[#This Row],[Completeness]]</f>
        <v>0</v>
      </c>
      <c r="AV55" s="228">
        <f>SupplyChain_SupplierData_Frontend[[#This Row],[Notes]]</f>
        <v>0</v>
      </c>
    </row>
    <row r="56" spans="1:48" customFormat="1" ht="17.5" customHeight="1" x14ac:dyDescent="0.35">
      <c r="A56" s="147"/>
      <c r="B56" s="169"/>
      <c r="C56" s="147"/>
      <c r="D56" s="147"/>
      <c r="E56" s="206"/>
      <c r="F56" s="425"/>
      <c r="G56" s="425"/>
      <c r="H56" s="425"/>
      <c r="I56" s="426"/>
      <c r="J56" s="427"/>
      <c r="K56" s="425"/>
      <c r="L56" s="428"/>
      <c r="M56" s="425"/>
      <c r="N56" s="425"/>
      <c r="O56" s="387"/>
      <c r="P56" s="387"/>
      <c r="Q56" s="388"/>
      <c r="R56" s="242">
        <f t="shared" si="1"/>
        <v>9</v>
      </c>
      <c r="U56" s="214" t="str">
        <f t="shared" si="2"/>
        <v/>
      </c>
      <c r="V56" s="216" t="s">
        <v>267</v>
      </c>
      <c r="W56" s="174" t="s">
        <v>385</v>
      </c>
      <c r="X56" s="216" t="str" cm="1">
        <f t="array" aca="1" ref="X56" ca="1">_xlfn.XLOOKUP(SupplyChain_SupplierData_Backend[[#This Row],[Level 2]],rng_Level2Long,rng_Level3Long)</f>
        <v>Supply chain</v>
      </c>
      <c r="Y56" s="216">
        <f>SupplyChain_SupplierData_Frontend[[#This Row],[Category]]</f>
        <v>0</v>
      </c>
      <c r="Z56" s="216">
        <f>SupplyChain_SupplierData_Frontend[[#This Row],[Product category]]</f>
        <v>0</v>
      </c>
      <c r="AA56" s="216" t="e" cm="1">
        <f t="array" aca="1" ref="AA56" ca="1">_xlfn.XLOOKUP(SupplyChain_SupplierData_Backend[[#This Row],[Level 5]],rng_Level5Long,rng_Level6Long)</f>
        <v>#N/A</v>
      </c>
      <c r="AB56" s="216">
        <f>SupplyChain_SupplierData_Frontend[[#This Row],[Data type]]</f>
        <v>0</v>
      </c>
      <c r="AC56" s="414">
        <f>SupplyChain_SupplierData_Frontend[[#This Row],[Data assessment score]]</f>
        <v>0</v>
      </c>
      <c r="AD56" s="216">
        <f>SupplyChain_SupplierData_Frontend[[#This Row],[Methodology]]</f>
        <v>0</v>
      </c>
      <c r="AE56" s="396" t="e" cm="1">
        <f t="array" aca="1" ref="AE56" ca="1">INDEX(_xlfn.SWITCH(SupplyChain_SupplierData_Backend[[#This Row],[Methodology]],"Tier 1",rng_RSD1,"Tier 2",rng_RSD2,"Tier 3",rng_RSD3),MATCH(SupplyChain_SupplierData_Backend[[#This Row],[Level 2]],rng_Level2Long,0))</f>
        <v>#N/A</v>
      </c>
      <c r="AF56" s="218">
        <f>SupplyChain_SupplierData_Frontend[[#This Row],[Spend with supplier GBP]]</f>
        <v>0</v>
      </c>
      <c r="AG56" s="174" t="s">
        <v>383</v>
      </c>
      <c r="AH56" s="218">
        <f>SupplyChain_SupplierData_Backend[[#This Row],[Data]]</f>
        <v>0</v>
      </c>
      <c r="AI56" s="174" t="s">
        <v>383</v>
      </c>
      <c r="AJ56" s="219">
        <v>0</v>
      </c>
      <c r="AK56" s="219">
        <v>0</v>
      </c>
      <c r="AL56" s="219">
        <f>SupplyChain_SupplierData_Frontend[[#This Row],[Emissions kgCO2e]]/1000</f>
        <v>0</v>
      </c>
      <c r="AM56" s="219">
        <v>0</v>
      </c>
      <c r="AN56" s="219">
        <v>0</v>
      </c>
      <c r="AO56" s="219">
        <v>0</v>
      </c>
      <c r="AP56" s="219">
        <f>SUM(SupplyChain_SupplierData_Backend[[#This Row],[Scope 1 (tCO2e)]:[Scope 3 WTT T&amp;D (tCO2e)]])</f>
        <v>0</v>
      </c>
      <c r="AQ56" s="219" t="e">
        <f ca="1">SupplyChain_SupplierData_Backend[[#This Row],[Total (tCO2e)]]*(1-SupplyChain_SupplierData_Backend[[#This Row],[RSD]])</f>
        <v>#N/A</v>
      </c>
      <c r="AR56" s="219" t="e">
        <f ca="1">SupplyChain_SupplierData_Backend[[#This Row],[Total (tCO2e)]]*(1+SupplyChain_SupplierData_Backend[[#This Row],[RSD]])</f>
        <v>#N/A</v>
      </c>
      <c r="AS56" s="217"/>
      <c r="AT56" s="216">
        <f>SupplyChain_SupplierData_Frontend[[#This Row],[Ease of collection]]</f>
        <v>0</v>
      </c>
      <c r="AU56" s="228">
        <f>SupplyChain_SupplierData_Frontend[[#This Row],[Completeness]]</f>
        <v>0</v>
      </c>
      <c r="AV56" s="228">
        <f>SupplyChain_SupplierData_Frontend[[#This Row],[Notes]]</f>
        <v>0</v>
      </c>
    </row>
    <row r="57" spans="1:48" customFormat="1" ht="17.5" customHeight="1" x14ac:dyDescent="0.35">
      <c r="A57" s="147"/>
      <c r="B57" s="169"/>
      <c r="C57" s="147"/>
      <c r="D57" s="147"/>
      <c r="E57" s="206"/>
      <c r="F57" s="425"/>
      <c r="G57" s="425"/>
      <c r="H57" s="425"/>
      <c r="I57" s="426"/>
      <c r="J57" s="427"/>
      <c r="K57" s="425"/>
      <c r="L57" s="428"/>
      <c r="M57" s="425"/>
      <c r="N57" s="425"/>
      <c r="O57" s="387"/>
      <c r="P57" s="387"/>
      <c r="Q57" s="388"/>
      <c r="R57" s="242">
        <f t="shared" si="1"/>
        <v>9</v>
      </c>
      <c r="U57" s="214" t="str">
        <f t="shared" si="2"/>
        <v/>
      </c>
      <c r="V57" s="216" t="s">
        <v>267</v>
      </c>
      <c r="W57" s="174" t="s">
        <v>385</v>
      </c>
      <c r="X57" s="216" t="str" cm="1">
        <f t="array" aca="1" ref="X57" ca="1">_xlfn.XLOOKUP(SupplyChain_SupplierData_Backend[[#This Row],[Level 2]],rng_Level2Long,rng_Level3Long)</f>
        <v>Supply chain</v>
      </c>
      <c r="Y57" s="216">
        <f>SupplyChain_SupplierData_Frontend[[#This Row],[Category]]</f>
        <v>0</v>
      </c>
      <c r="Z57" s="216">
        <f>SupplyChain_SupplierData_Frontend[[#This Row],[Product category]]</f>
        <v>0</v>
      </c>
      <c r="AA57" s="216" t="e" cm="1">
        <f t="array" aca="1" ref="AA57" ca="1">_xlfn.XLOOKUP(SupplyChain_SupplierData_Backend[[#This Row],[Level 5]],rng_Level5Long,rng_Level6Long)</f>
        <v>#N/A</v>
      </c>
      <c r="AB57" s="216">
        <f>SupplyChain_SupplierData_Frontend[[#This Row],[Data type]]</f>
        <v>0</v>
      </c>
      <c r="AC57" s="414">
        <f>SupplyChain_SupplierData_Frontend[[#This Row],[Data assessment score]]</f>
        <v>0</v>
      </c>
      <c r="AD57" s="216">
        <f>SupplyChain_SupplierData_Frontend[[#This Row],[Methodology]]</f>
        <v>0</v>
      </c>
      <c r="AE57" s="396" t="e" cm="1">
        <f t="array" aca="1" ref="AE57" ca="1">INDEX(_xlfn.SWITCH(SupplyChain_SupplierData_Backend[[#This Row],[Methodology]],"Tier 1",rng_RSD1,"Tier 2",rng_RSD2,"Tier 3",rng_RSD3),MATCH(SupplyChain_SupplierData_Backend[[#This Row],[Level 2]],rng_Level2Long,0))</f>
        <v>#N/A</v>
      </c>
      <c r="AF57" s="218">
        <f>SupplyChain_SupplierData_Frontend[[#This Row],[Spend with supplier GBP]]</f>
        <v>0</v>
      </c>
      <c r="AG57" s="174" t="s">
        <v>383</v>
      </c>
      <c r="AH57" s="218">
        <f>SupplyChain_SupplierData_Backend[[#This Row],[Data]]</f>
        <v>0</v>
      </c>
      <c r="AI57" s="174" t="s">
        <v>383</v>
      </c>
      <c r="AJ57" s="219">
        <v>0</v>
      </c>
      <c r="AK57" s="219">
        <v>0</v>
      </c>
      <c r="AL57" s="219">
        <f>SupplyChain_SupplierData_Frontend[[#This Row],[Emissions kgCO2e]]/1000</f>
        <v>0</v>
      </c>
      <c r="AM57" s="219">
        <v>0</v>
      </c>
      <c r="AN57" s="219">
        <v>0</v>
      </c>
      <c r="AO57" s="219">
        <v>0</v>
      </c>
      <c r="AP57" s="219">
        <f>SUM(SupplyChain_SupplierData_Backend[[#This Row],[Scope 1 (tCO2e)]:[Scope 3 WTT T&amp;D (tCO2e)]])</f>
        <v>0</v>
      </c>
      <c r="AQ57" s="219" t="e">
        <f ca="1">SupplyChain_SupplierData_Backend[[#This Row],[Total (tCO2e)]]*(1-SupplyChain_SupplierData_Backend[[#This Row],[RSD]])</f>
        <v>#N/A</v>
      </c>
      <c r="AR57" s="219" t="e">
        <f ca="1">SupplyChain_SupplierData_Backend[[#This Row],[Total (tCO2e)]]*(1+SupplyChain_SupplierData_Backend[[#This Row],[RSD]])</f>
        <v>#N/A</v>
      </c>
      <c r="AS57" s="217"/>
      <c r="AT57" s="216">
        <f>SupplyChain_SupplierData_Frontend[[#This Row],[Ease of collection]]</f>
        <v>0</v>
      </c>
      <c r="AU57" s="228">
        <f>SupplyChain_SupplierData_Frontend[[#This Row],[Completeness]]</f>
        <v>0</v>
      </c>
      <c r="AV57" s="228">
        <f>SupplyChain_SupplierData_Frontend[[#This Row],[Notes]]</f>
        <v>0</v>
      </c>
    </row>
    <row r="58" spans="1:48" customFormat="1" ht="17.5" customHeight="1" x14ac:dyDescent="0.35">
      <c r="A58" s="147"/>
      <c r="B58" s="169"/>
      <c r="C58" s="147"/>
      <c r="D58" s="204">
        <v>12</v>
      </c>
      <c r="E58" s="206" t="s">
        <v>398</v>
      </c>
      <c r="F58" s="425"/>
      <c r="G58" s="425"/>
      <c r="H58" s="425"/>
      <c r="I58" s="426"/>
      <c r="J58" s="427"/>
      <c r="K58" s="425"/>
      <c r="L58" s="428"/>
      <c r="M58" s="425"/>
      <c r="N58" s="425"/>
      <c r="O58" s="387"/>
      <c r="P58" s="387"/>
      <c r="Q58" s="388"/>
      <c r="R58" s="242">
        <f t="shared" si="1"/>
        <v>9</v>
      </c>
      <c r="U58" s="214" t="str">
        <f t="shared" si="2"/>
        <v/>
      </c>
      <c r="V58" s="216" t="s">
        <v>267</v>
      </c>
      <c r="W58" s="174" t="s">
        <v>385</v>
      </c>
      <c r="X58" s="216" t="str" cm="1">
        <f t="array" aca="1" ref="X58" ca="1">_xlfn.XLOOKUP(SupplyChain_SupplierData_Backend[[#This Row],[Level 2]],rng_Level2Long,rng_Level3Long)</f>
        <v>Supply chain</v>
      </c>
      <c r="Y58" s="216">
        <f>SupplyChain_SupplierData_Frontend[[#This Row],[Category]]</f>
        <v>0</v>
      </c>
      <c r="Z58" s="216">
        <f>SupplyChain_SupplierData_Frontend[[#This Row],[Product category]]</f>
        <v>0</v>
      </c>
      <c r="AA58" s="216" t="e" cm="1">
        <f t="array" aca="1" ref="AA58" ca="1">_xlfn.XLOOKUP(SupplyChain_SupplierData_Backend[[#This Row],[Level 5]],rng_Level5Long,rng_Level6Long)</f>
        <v>#N/A</v>
      </c>
      <c r="AB58" s="216">
        <f>SupplyChain_SupplierData_Frontend[[#This Row],[Data type]]</f>
        <v>0</v>
      </c>
      <c r="AC58" s="414">
        <f>SupplyChain_SupplierData_Frontend[[#This Row],[Data assessment score]]</f>
        <v>0</v>
      </c>
      <c r="AD58" s="216">
        <f>SupplyChain_SupplierData_Frontend[[#This Row],[Methodology]]</f>
        <v>0</v>
      </c>
      <c r="AE58" s="396" t="e" cm="1">
        <f t="array" aca="1" ref="AE58" ca="1">INDEX(_xlfn.SWITCH(SupplyChain_SupplierData_Backend[[#This Row],[Methodology]],"Tier 1",rng_RSD1,"Tier 2",rng_RSD2,"Tier 3",rng_RSD3),MATCH(SupplyChain_SupplierData_Backend[[#This Row],[Level 2]],rng_Level2Long,0))</f>
        <v>#N/A</v>
      </c>
      <c r="AF58" s="218">
        <f>SupplyChain_SupplierData_Frontend[[#This Row],[Spend with supplier GBP]]</f>
        <v>0</v>
      </c>
      <c r="AG58" s="174" t="s">
        <v>383</v>
      </c>
      <c r="AH58" s="218">
        <f>SupplyChain_SupplierData_Backend[[#This Row],[Data]]</f>
        <v>0</v>
      </c>
      <c r="AI58" s="174" t="s">
        <v>383</v>
      </c>
      <c r="AJ58" s="219">
        <v>0</v>
      </c>
      <c r="AK58" s="219">
        <v>0</v>
      </c>
      <c r="AL58" s="219">
        <f>SupplyChain_SupplierData_Frontend[[#This Row],[Emissions kgCO2e]]/1000</f>
        <v>0</v>
      </c>
      <c r="AM58" s="219">
        <v>0</v>
      </c>
      <c r="AN58" s="219">
        <v>0</v>
      </c>
      <c r="AO58" s="219">
        <v>0</v>
      </c>
      <c r="AP58" s="219">
        <f>SUM(SupplyChain_SupplierData_Backend[[#This Row],[Scope 1 (tCO2e)]:[Scope 3 WTT T&amp;D (tCO2e)]])</f>
        <v>0</v>
      </c>
      <c r="AQ58" s="219" t="e">
        <f ca="1">SupplyChain_SupplierData_Backend[[#This Row],[Total (tCO2e)]]*(1-SupplyChain_SupplierData_Backend[[#This Row],[RSD]])</f>
        <v>#N/A</v>
      </c>
      <c r="AR58" s="219" t="e">
        <f ca="1">SupplyChain_SupplierData_Backend[[#This Row],[Total (tCO2e)]]*(1+SupplyChain_SupplierData_Backend[[#This Row],[RSD]])</f>
        <v>#N/A</v>
      </c>
      <c r="AS58" s="217"/>
      <c r="AT58" s="216">
        <f>SupplyChain_SupplierData_Frontend[[#This Row],[Ease of collection]]</f>
        <v>0</v>
      </c>
      <c r="AU58" s="228">
        <f>SupplyChain_SupplierData_Frontend[[#This Row],[Completeness]]</f>
        <v>0</v>
      </c>
      <c r="AV58" s="228">
        <f>SupplyChain_SupplierData_Frontend[[#This Row],[Notes]]</f>
        <v>0</v>
      </c>
    </row>
    <row r="59" spans="1:48" customFormat="1" ht="17.5" customHeight="1" x14ac:dyDescent="0.35">
      <c r="A59" s="147"/>
      <c r="B59" s="169"/>
      <c r="C59" s="147"/>
      <c r="D59" s="147"/>
      <c r="E59" s="206"/>
      <c r="F59" s="425"/>
      <c r="G59" s="425"/>
      <c r="H59" s="425"/>
      <c r="I59" s="426"/>
      <c r="J59" s="427"/>
      <c r="K59" s="425"/>
      <c r="L59" s="428"/>
      <c r="M59" s="425"/>
      <c r="N59" s="425"/>
      <c r="O59" s="387"/>
      <c r="P59" s="387"/>
      <c r="Q59" s="388"/>
      <c r="R59" s="242">
        <f t="shared" si="1"/>
        <v>9</v>
      </c>
      <c r="U59" s="214" t="str">
        <f t="shared" si="2"/>
        <v/>
      </c>
      <c r="V59" s="216" t="s">
        <v>267</v>
      </c>
      <c r="W59" s="174" t="s">
        <v>385</v>
      </c>
      <c r="X59" s="216" t="str" cm="1">
        <f t="array" aca="1" ref="X59" ca="1">_xlfn.XLOOKUP(SupplyChain_SupplierData_Backend[[#This Row],[Level 2]],rng_Level2Long,rng_Level3Long)</f>
        <v>Supply chain</v>
      </c>
      <c r="Y59" s="216">
        <f>SupplyChain_SupplierData_Frontend[[#This Row],[Category]]</f>
        <v>0</v>
      </c>
      <c r="Z59" s="216">
        <f>SupplyChain_SupplierData_Frontend[[#This Row],[Product category]]</f>
        <v>0</v>
      </c>
      <c r="AA59" s="216" t="e" cm="1">
        <f t="array" aca="1" ref="AA59" ca="1">_xlfn.XLOOKUP(SupplyChain_SupplierData_Backend[[#This Row],[Level 5]],rng_Level5Long,rng_Level6Long)</f>
        <v>#N/A</v>
      </c>
      <c r="AB59" s="216">
        <f>SupplyChain_SupplierData_Frontend[[#This Row],[Data type]]</f>
        <v>0</v>
      </c>
      <c r="AC59" s="414">
        <f>SupplyChain_SupplierData_Frontend[[#This Row],[Data assessment score]]</f>
        <v>0</v>
      </c>
      <c r="AD59" s="216">
        <f>SupplyChain_SupplierData_Frontend[[#This Row],[Methodology]]</f>
        <v>0</v>
      </c>
      <c r="AE59" s="396" t="e" cm="1">
        <f t="array" aca="1" ref="AE59" ca="1">INDEX(_xlfn.SWITCH(SupplyChain_SupplierData_Backend[[#This Row],[Methodology]],"Tier 1",rng_RSD1,"Tier 2",rng_RSD2,"Tier 3",rng_RSD3),MATCH(SupplyChain_SupplierData_Backend[[#This Row],[Level 2]],rng_Level2Long,0))</f>
        <v>#N/A</v>
      </c>
      <c r="AF59" s="218">
        <f>SupplyChain_SupplierData_Frontend[[#This Row],[Spend with supplier GBP]]</f>
        <v>0</v>
      </c>
      <c r="AG59" s="174" t="s">
        <v>383</v>
      </c>
      <c r="AH59" s="218">
        <f>SupplyChain_SupplierData_Backend[[#This Row],[Data]]</f>
        <v>0</v>
      </c>
      <c r="AI59" s="174" t="s">
        <v>383</v>
      </c>
      <c r="AJ59" s="219">
        <v>0</v>
      </c>
      <c r="AK59" s="219">
        <v>0</v>
      </c>
      <c r="AL59" s="219">
        <f>SupplyChain_SupplierData_Frontend[[#This Row],[Emissions kgCO2e]]/1000</f>
        <v>0</v>
      </c>
      <c r="AM59" s="219">
        <v>0</v>
      </c>
      <c r="AN59" s="219">
        <v>0</v>
      </c>
      <c r="AO59" s="219">
        <v>0</v>
      </c>
      <c r="AP59" s="219">
        <f>SUM(SupplyChain_SupplierData_Backend[[#This Row],[Scope 1 (tCO2e)]:[Scope 3 WTT T&amp;D (tCO2e)]])</f>
        <v>0</v>
      </c>
      <c r="AQ59" s="219" t="e">
        <f ca="1">SupplyChain_SupplierData_Backend[[#This Row],[Total (tCO2e)]]*(1-SupplyChain_SupplierData_Backend[[#This Row],[RSD]])</f>
        <v>#N/A</v>
      </c>
      <c r="AR59" s="219" t="e">
        <f ca="1">SupplyChain_SupplierData_Backend[[#This Row],[Total (tCO2e)]]*(1+SupplyChain_SupplierData_Backend[[#This Row],[RSD]])</f>
        <v>#N/A</v>
      </c>
      <c r="AS59" s="217"/>
      <c r="AT59" s="216">
        <f>SupplyChain_SupplierData_Frontend[[#This Row],[Ease of collection]]</f>
        <v>0</v>
      </c>
      <c r="AU59" s="228">
        <f>SupplyChain_SupplierData_Frontend[[#This Row],[Completeness]]</f>
        <v>0</v>
      </c>
      <c r="AV59" s="228">
        <f>SupplyChain_SupplierData_Frontend[[#This Row],[Notes]]</f>
        <v>0</v>
      </c>
    </row>
    <row r="60" spans="1:48" customFormat="1" ht="17.5" customHeight="1" x14ac:dyDescent="0.35">
      <c r="A60" s="147"/>
      <c r="B60" s="169"/>
      <c r="C60" s="147"/>
      <c r="D60" s="147"/>
      <c r="E60" s="207"/>
      <c r="F60" s="425"/>
      <c r="G60" s="425"/>
      <c r="H60" s="425"/>
      <c r="I60" s="426"/>
      <c r="J60" s="427"/>
      <c r="K60" s="425"/>
      <c r="L60" s="428"/>
      <c r="M60" s="425"/>
      <c r="N60" s="425"/>
      <c r="O60" s="387"/>
      <c r="P60" s="387"/>
      <c r="Q60" s="388"/>
      <c r="R60" s="242">
        <f t="shared" si="1"/>
        <v>9</v>
      </c>
      <c r="U60" s="214" t="str">
        <f t="shared" si="2"/>
        <v/>
      </c>
      <c r="V60" s="216" t="s">
        <v>267</v>
      </c>
      <c r="W60" s="174" t="s">
        <v>385</v>
      </c>
      <c r="X60" s="216" t="str" cm="1">
        <f t="array" aca="1" ref="X60" ca="1">_xlfn.XLOOKUP(SupplyChain_SupplierData_Backend[[#This Row],[Level 2]],rng_Level2Long,rng_Level3Long)</f>
        <v>Supply chain</v>
      </c>
      <c r="Y60" s="216">
        <f>SupplyChain_SupplierData_Frontend[[#This Row],[Category]]</f>
        <v>0</v>
      </c>
      <c r="Z60" s="216">
        <f>SupplyChain_SupplierData_Frontend[[#This Row],[Product category]]</f>
        <v>0</v>
      </c>
      <c r="AA60" s="216" t="e" cm="1">
        <f t="array" aca="1" ref="AA60" ca="1">_xlfn.XLOOKUP(SupplyChain_SupplierData_Backend[[#This Row],[Level 5]],rng_Level5Long,rng_Level6Long)</f>
        <v>#N/A</v>
      </c>
      <c r="AB60" s="216">
        <f>SupplyChain_SupplierData_Frontend[[#This Row],[Data type]]</f>
        <v>0</v>
      </c>
      <c r="AC60" s="414">
        <f>SupplyChain_SupplierData_Frontend[[#This Row],[Data assessment score]]</f>
        <v>0</v>
      </c>
      <c r="AD60" s="216">
        <f>SupplyChain_SupplierData_Frontend[[#This Row],[Methodology]]</f>
        <v>0</v>
      </c>
      <c r="AE60" s="396" t="e" cm="1">
        <f t="array" aca="1" ref="AE60" ca="1">INDEX(_xlfn.SWITCH(SupplyChain_SupplierData_Backend[[#This Row],[Methodology]],"Tier 1",rng_RSD1,"Tier 2",rng_RSD2,"Tier 3",rng_RSD3),MATCH(SupplyChain_SupplierData_Backend[[#This Row],[Level 2]],rng_Level2Long,0))</f>
        <v>#N/A</v>
      </c>
      <c r="AF60" s="218">
        <f>SupplyChain_SupplierData_Frontend[[#This Row],[Spend with supplier GBP]]</f>
        <v>0</v>
      </c>
      <c r="AG60" s="174" t="s">
        <v>383</v>
      </c>
      <c r="AH60" s="218">
        <f>SupplyChain_SupplierData_Backend[[#This Row],[Data]]</f>
        <v>0</v>
      </c>
      <c r="AI60" s="174" t="s">
        <v>383</v>
      </c>
      <c r="AJ60" s="219">
        <v>0</v>
      </c>
      <c r="AK60" s="219">
        <v>0</v>
      </c>
      <c r="AL60" s="219">
        <f>SupplyChain_SupplierData_Frontend[[#This Row],[Emissions kgCO2e]]/1000</f>
        <v>0</v>
      </c>
      <c r="AM60" s="219">
        <v>0</v>
      </c>
      <c r="AN60" s="219">
        <v>0</v>
      </c>
      <c r="AO60" s="219">
        <v>0</v>
      </c>
      <c r="AP60" s="219">
        <f>SUM(SupplyChain_SupplierData_Backend[[#This Row],[Scope 1 (tCO2e)]:[Scope 3 WTT T&amp;D (tCO2e)]])</f>
        <v>0</v>
      </c>
      <c r="AQ60" s="219" t="e">
        <f ca="1">SupplyChain_SupplierData_Backend[[#This Row],[Total (tCO2e)]]*(1-SupplyChain_SupplierData_Backend[[#This Row],[RSD]])</f>
        <v>#N/A</v>
      </c>
      <c r="AR60" s="219" t="e">
        <f ca="1">SupplyChain_SupplierData_Backend[[#This Row],[Total (tCO2e)]]*(1+SupplyChain_SupplierData_Backend[[#This Row],[RSD]])</f>
        <v>#N/A</v>
      </c>
      <c r="AS60" s="217"/>
      <c r="AT60" s="216">
        <f>SupplyChain_SupplierData_Frontend[[#This Row],[Ease of collection]]</f>
        <v>0</v>
      </c>
      <c r="AU60" s="228">
        <f>SupplyChain_SupplierData_Frontend[[#This Row],[Completeness]]</f>
        <v>0</v>
      </c>
      <c r="AV60" s="228">
        <f>SupplyChain_SupplierData_Frontend[[#This Row],[Notes]]</f>
        <v>0</v>
      </c>
    </row>
    <row r="61" spans="1:48" customFormat="1" ht="17.5" customHeight="1" x14ac:dyDescent="0.35">
      <c r="A61" s="147"/>
      <c r="B61" s="169"/>
      <c r="C61" s="147"/>
      <c r="D61" s="147"/>
      <c r="E61" s="207"/>
      <c r="F61" s="425"/>
      <c r="G61" s="425"/>
      <c r="H61" s="425"/>
      <c r="I61" s="426"/>
      <c r="J61" s="427"/>
      <c r="K61" s="425"/>
      <c r="L61" s="428"/>
      <c r="M61" s="425"/>
      <c r="N61" s="425"/>
      <c r="O61" s="387"/>
      <c r="P61" s="387"/>
      <c r="Q61" s="388"/>
      <c r="R61" s="242">
        <f t="shared" si="1"/>
        <v>9</v>
      </c>
      <c r="U61" s="214" t="str">
        <f t="shared" si="2"/>
        <v/>
      </c>
      <c r="V61" s="216" t="s">
        <v>267</v>
      </c>
      <c r="W61" s="174" t="s">
        <v>385</v>
      </c>
      <c r="X61" s="216" t="str" cm="1">
        <f t="array" aca="1" ref="X61" ca="1">_xlfn.XLOOKUP(SupplyChain_SupplierData_Backend[[#This Row],[Level 2]],rng_Level2Long,rng_Level3Long)</f>
        <v>Supply chain</v>
      </c>
      <c r="Y61" s="216">
        <f>SupplyChain_SupplierData_Frontend[[#This Row],[Category]]</f>
        <v>0</v>
      </c>
      <c r="Z61" s="216">
        <f>SupplyChain_SupplierData_Frontend[[#This Row],[Product category]]</f>
        <v>0</v>
      </c>
      <c r="AA61" s="216" t="e" cm="1">
        <f t="array" aca="1" ref="AA61" ca="1">_xlfn.XLOOKUP(SupplyChain_SupplierData_Backend[[#This Row],[Level 5]],rng_Level5Long,rng_Level6Long)</f>
        <v>#N/A</v>
      </c>
      <c r="AB61" s="216">
        <f>SupplyChain_SupplierData_Frontend[[#This Row],[Data type]]</f>
        <v>0</v>
      </c>
      <c r="AC61" s="414">
        <f>SupplyChain_SupplierData_Frontend[[#This Row],[Data assessment score]]</f>
        <v>0</v>
      </c>
      <c r="AD61" s="216">
        <f>SupplyChain_SupplierData_Frontend[[#This Row],[Methodology]]</f>
        <v>0</v>
      </c>
      <c r="AE61" s="396" t="e" cm="1">
        <f t="array" aca="1" ref="AE61" ca="1">INDEX(_xlfn.SWITCH(SupplyChain_SupplierData_Backend[[#This Row],[Methodology]],"Tier 1",rng_RSD1,"Tier 2",rng_RSD2,"Tier 3",rng_RSD3),MATCH(SupplyChain_SupplierData_Backend[[#This Row],[Level 2]],rng_Level2Long,0))</f>
        <v>#N/A</v>
      </c>
      <c r="AF61" s="218">
        <f>SupplyChain_SupplierData_Frontend[[#This Row],[Spend with supplier GBP]]</f>
        <v>0</v>
      </c>
      <c r="AG61" s="174" t="s">
        <v>383</v>
      </c>
      <c r="AH61" s="218">
        <f>SupplyChain_SupplierData_Backend[[#This Row],[Data]]</f>
        <v>0</v>
      </c>
      <c r="AI61" s="174" t="s">
        <v>383</v>
      </c>
      <c r="AJ61" s="219">
        <v>0</v>
      </c>
      <c r="AK61" s="219">
        <v>0</v>
      </c>
      <c r="AL61" s="219">
        <f>SupplyChain_SupplierData_Frontend[[#This Row],[Emissions kgCO2e]]/1000</f>
        <v>0</v>
      </c>
      <c r="AM61" s="219">
        <v>0</v>
      </c>
      <c r="AN61" s="219">
        <v>0</v>
      </c>
      <c r="AO61" s="219">
        <v>0</v>
      </c>
      <c r="AP61" s="219">
        <f>SUM(SupplyChain_SupplierData_Backend[[#This Row],[Scope 1 (tCO2e)]:[Scope 3 WTT T&amp;D (tCO2e)]])</f>
        <v>0</v>
      </c>
      <c r="AQ61" s="219" t="e">
        <f ca="1">SupplyChain_SupplierData_Backend[[#This Row],[Total (tCO2e)]]*(1-SupplyChain_SupplierData_Backend[[#This Row],[RSD]])</f>
        <v>#N/A</v>
      </c>
      <c r="AR61" s="219" t="e">
        <f ca="1">SupplyChain_SupplierData_Backend[[#This Row],[Total (tCO2e)]]*(1+SupplyChain_SupplierData_Backend[[#This Row],[RSD]])</f>
        <v>#N/A</v>
      </c>
      <c r="AS61" s="217"/>
      <c r="AT61" s="216">
        <f>SupplyChain_SupplierData_Frontend[[#This Row],[Ease of collection]]</f>
        <v>0</v>
      </c>
      <c r="AU61" s="228">
        <f>SupplyChain_SupplierData_Frontend[[#This Row],[Completeness]]</f>
        <v>0</v>
      </c>
      <c r="AV61" s="228">
        <f>SupplyChain_SupplierData_Frontend[[#This Row],[Notes]]</f>
        <v>0</v>
      </c>
    </row>
    <row r="62" spans="1:48" customFormat="1" ht="17.5" customHeight="1" x14ac:dyDescent="0.35">
      <c r="A62" s="147"/>
      <c r="B62" s="169"/>
      <c r="C62" s="147"/>
      <c r="D62" s="204">
        <v>13</v>
      </c>
      <c r="E62" s="206" t="s">
        <v>398</v>
      </c>
      <c r="F62" s="425"/>
      <c r="G62" s="425"/>
      <c r="H62" s="425"/>
      <c r="I62" s="426"/>
      <c r="J62" s="427"/>
      <c r="K62" s="425"/>
      <c r="L62" s="428"/>
      <c r="M62" s="425"/>
      <c r="N62" s="425"/>
      <c r="O62" s="387"/>
      <c r="P62" s="387"/>
      <c r="Q62" s="388"/>
      <c r="R62" s="242">
        <f t="shared" si="1"/>
        <v>9</v>
      </c>
      <c r="U62" s="214" t="str">
        <f t="shared" si="2"/>
        <v/>
      </c>
      <c r="V62" s="216" t="s">
        <v>267</v>
      </c>
      <c r="W62" s="174" t="s">
        <v>385</v>
      </c>
      <c r="X62" s="216" t="str" cm="1">
        <f t="array" aca="1" ref="X62" ca="1">_xlfn.XLOOKUP(SupplyChain_SupplierData_Backend[[#This Row],[Level 2]],rng_Level2Long,rng_Level3Long)</f>
        <v>Supply chain</v>
      </c>
      <c r="Y62" s="216">
        <f>SupplyChain_SupplierData_Frontend[[#This Row],[Category]]</f>
        <v>0</v>
      </c>
      <c r="Z62" s="216">
        <f>SupplyChain_SupplierData_Frontend[[#This Row],[Product category]]</f>
        <v>0</v>
      </c>
      <c r="AA62" s="216" t="e" cm="1">
        <f t="array" aca="1" ref="AA62" ca="1">_xlfn.XLOOKUP(SupplyChain_SupplierData_Backend[[#This Row],[Level 5]],rng_Level5Long,rng_Level6Long)</f>
        <v>#N/A</v>
      </c>
      <c r="AB62" s="216">
        <f>SupplyChain_SupplierData_Frontend[[#This Row],[Data type]]</f>
        <v>0</v>
      </c>
      <c r="AC62" s="414">
        <f>SupplyChain_SupplierData_Frontend[[#This Row],[Data assessment score]]</f>
        <v>0</v>
      </c>
      <c r="AD62" s="216">
        <f>SupplyChain_SupplierData_Frontend[[#This Row],[Methodology]]</f>
        <v>0</v>
      </c>
      <c r="AE62" s="396" t="e" cm="1">
        <f t="array" aca="1" ref="AE62" ca="1">INDEX(_xlfn.SWITCH(SupplyChain_SupplierData_Backend[[#This Row],[Methodology]],"Tier 1",rng_RSD1,"Tier 2",rng_RSD2,"Tier 3",rng_RSD3),MATCH(SupplyChain_SupplierData_Backend[[#This Row],[Level 2]],rng_Level2Long,0))</f>
        <v>#N/A</v>
      </c>
      <c r="AF62" s="218">
        <f>SupplyChain_SupplierData_Frontend[[#This Row],[Spend with supplier GBP]]</f>
        <v>0</v>
      </c>
      <c r="AG62" s="174" t="s">
        <v>383</v>
      </c>
      <c r="AH62" s="218">
        <f>SupplyChain_SupplierData_Backend[[#This Row],[Data]]</f>
        <v>0</v>
      </c>
      <c r="AI62" s="174" t="s">
        <v>383</v>
      </c>
      <c r="AJ62" s="219">
        <v>0</v>
      </c>
      <c r="AK62" s="219">
        <v>0</v>
      </c>
      <c r="AL62" s="219">
        <f>SupplyChain_SupplierData_Frontend[[#This Row],[Emissions kgCO2e]]/1000</f>
        <v>0</v>
      </c>
      <c r="AM62" s="219">
        <v>0</v>
      </c>
      <c r="AN62" s="219">
        <v>0</v>
      </c>
      <c r="AO62" s="219">
        <v>0</v>
      </c>
      <c r="AP62" s="219">
        <f>SUM(SupplyChain_SupplierData_Backend[[#This Row],[Scope 1 (tCO2e)]:[Scope 3 WTT T&amp;D (tCO2e)]])</f>
        <v>0</v>
      </c>
      <c r="AQ62" s="219" t="e">
        <f ca="1">SupplyChain_SupplierData_Backend[[#This Row],[Total (tCO2e)]]*(1-SupplyChain_SupplierData_Backend[[#This Row],[RSD]])</f>
        <v>#N/A</v>
      </c>
      <c r="AR62" s="219" t="e">
        <f ca="1">SupplyChain_SupplierData_Backend[[#This Row],[Total (tCO2e)]]*(1+SupplyChain_SupplierData_Backend[[#This Row],[RSD]])</f>
        <v>#N/A</v>
      </c>
      <c r="AS62" s="217"/>
      <c r="AT62" s="216">
        <f>SupplyChain_SupplierData_Frontend[[#This Row],[Ease of collection]]</f>
        <v>0</v>
      </c>
      <c r="AU62" s="228">
        <f>SupplyChain_SupplierData_Frontend[[#This Row],[Completeness]]</f>
        <v>0</v>
      </c>
      <c r="AV62" s="228">
        <f>SupplyChain_SupplierData_Frontend[[#This Row],[Notes]]</f>
        <v>0</v>
      </c>
    </row>
    <row r="63" spans="1:48" customFormat="1" ht="17.5" customHeight="1" x14ac:dyDescent="0.35">
      <c r="A63" s="147"/>
      <c r="B63" s="169"/>
      <c r="C63" s="147"/>
      <c r="D63" s="147"/>
      <c r="E63" s="206"/>
      <c r="F63" s="425"/>
      <c r="G63" s="425"/>
      <c r="H63" s="425"/>
      <c r="I63" s="426"/>
      <c r="J63" s="427"/>
      <c r="K63" s="425"/>
      <c r="L63" s="428"/>
      <c r="M63" s="425"/>
      <c r="N63" s="425"/>
      <c r="O63" s="387"/>
      <c r="P63" s="387"/>
      <c r="Q63" s="388"/>
      <c r="R63" s="242">
        <f t="shared" si="1"/>
        <v>9</v>
      </c>
      <c r="U63" s="214" t="str">
        <f t="shared" si="2"/>
        <v/>
      </c>
      <c r="V63" s="216" t="s">
        <v>267</v>
      </c>
      <c r="W63" s="174" t="s">
        <v>385</v>
      </c>
      <c r="X63" s="216" t="str" cm="1">
        <f t="array" aca="1" ref="X63" ca="1">_xlfn.XLOOKUP(SupplyChain_SupplierData_Backend[[#This Row],[Level 2]],rng_Level2Long,rng_Level3Long)</f>
        <v>Supply chain</v>
      </c>
      <c r="Y63" s="216">
        <f>SupplyChain_SupplierData_Frontend[[#This Row],[Category]]</f>
        <v>0</v>
      </c>
      <c r="Z63" s="216">
        <f>SupplyChain_SupplierData_Frontend[[#This Row],[Product category]]</f>
        <v>0</v>
      </c>
      <c r="AA63" s="216" t="e" cm="1">
        <f t="array" aca="1" ref="AA63" ca="1">_xlfn.XLOOKUP(SupplyChain_SupplierData_Backend[[#This Row],[Level 5]],rng_Level5Long,rng_Level6Long)</f>
        <v>#N/A</v>
      </c>
      <c r="AB63" s="216">
        <f>SupplyChain_SupplierData_Frontend[[#This Row],[Data type]]</f>
        <v>0</v>
      </c>
      <c r="AC63" s="414">
        <f>SupplyChain_SupplierData_Frontend[[#This Row],[Data assessment score]]</f>
        <v>0</v>
      </c>
      <c r="AD63" s="216">
        <f>SupplyChain_SupplierData_Frontend[[#This Row],[Methodology]]</f>
        <v>0</v>
      </c>
      <c r="AE63" s="396" t="e" cm="1">
        <f t="array" aca="1" ref="AE63" ca="1">INDEX(_xlfn.SWITCH(SupplyChain_SupplierData_Backend[[#This Row],[Methodology]],"Tier 1",rng_RSD1,"Tier 2",rng_RSD2,"Tier 3",rng_RSD3),MATCH(SupplyChain_SupplierData_Backend[[#This Row],[Level 2]],rng_Level2Long,0))</f>
        <v>#N/A</v>
      </c>
      <c r="AF63" s="218">
        <f>SupplyChain_SupplierData_Frontend[[#This Row],[Spend with supplier GBP]]</f>
        <v>0</v>
      </c>
      <c r="AG63" s="174" t="s">
        <v>383</v>
      </c>
      <c r="AH63" s="218">
        <f>SupplyChain_SupplierData_Backend[[#This Row],[Data]]</f>
        <v>0</v>
      </c>
      <c r="AI63" s="174" t="s">
        <v>383</v>
      </c>
      <c r="AJ63" s="219">
        <v>0</v>
      </c>
      <c r="AK63" s="219">
        <v>0</v>
      </c>
      <c r="AL63" s="219">
        <f>SupplyChain_SupplierData_Frontend[[#This Row],[Emissions kgCO2e]]/1000</f>
        <v>0</v>
      </c>
      <c r="AM63" s="219">
        <v>0</v>
      </c>
      <c r="AN63" s="219">
        <v>0</v>
      </c>
      <c r="AO63" s="219">
        <v>0</v>
      </c>
      <c r="AP63" s="219">
        <f>SUM(SupplyChain_SupplierData_Backend[[#This Row],[Scope 1 (tCO2e)]:[Scope 3 WTT T&amp;D (tCO2e)]])</f>
        <v>0</v>
      </c>
      <c r="AQ63" s="219" t="e">
        <f ca="1">SupplyChain_SupplierData_Backend[[#This Row],[Total (tCO2e)]]*(1-SupplyChain_SupplierData_Backend[[#This Row],[RSD]])</f>
        <v>#N/A</v>
      </c>
      <c r="AR63" s="219" t="e">
        <f ca="1">SupplyChain_SupplierData_Backend[[#This Row],[Total (tCO2e)]]*(1+SupplyChain_SupplierData_Backend[[#This Row],[RSD]])</f>
        <v>#N/A</v>
      </c>
      <c r="AS63" s="217"/>
      <c r="AT63" s="216">
        <f>SupplyChain_SupplierData_Frontend[[#This Row],[Ease of collection]]</f>
        <v>0</v>
      </c>
      <c r="AU63" s="228">
        <f>SupplyChain_SupplierData_Frontend[[#This Row],[Completeness]]</f>
        <v>0</v>
      </c>
      <c r="AV63" s="228">
        <f>SupplyChain_SupplierData_Frontend[[#This Row],[Notes]]</f>
        <v>0</v>
      </c>
    </row>
    <row r="64" spans="1:48" customFormat="1" ht="17.5" customHeight="1" x14ac:dyDescent="0.35">
      <c r="A64" s="147"/>
      <c r="B64" s="169"/>
      <c r="C64" s="147"/>
      <c r="D64" s="147"/>
      <c r="E64" s="206"/>
      <c r="F64" s="425"/>
      <c r="G64" s="425"/>
      <c r="H64" s="425"/>
      <c r="I64" s="426"/>
      <c r="J64" s="427"/>
      <c r="K64" s="425"/>
      <c r="L64" s="428"/>
      <c r="M64" s="425"/>
      <c r="N64" s="425"/>
      <c r="O64" s="387"/>
      <c r="P64" s="387"/>
      <c r="Q64" s="388"/>
      <c r="R64" s="242">
        <f t="shared" si="1"/>
        <v>9</v>
      </c>
      <c r="U64" s="214" t="str">
        <f t="shared" si="2"/>
        <v/>
      </c>
      <c r="V64" s="216" t="s">
        <v>267</v>
      </c>
      <c r="W64" s="174" t="s">
        <v>385</v>
      </c>
      <c r="X64" s="216" t="str" cm="1">
        <f t="array" aca="1" ref="X64" ca="1">_xlfn.XLOOKUP(SupplyChain_SupplierData_Backend[[#This Row],[Level 2]],rng_Level2Long,rng_Level3Long)</f>
        <v>Supply chain</v>
      </c>
      <c r="Y64" s="216">
        <f>SupplyChain_SupplierData_Frontend[[#This Row],[Category]]</f>
        <v>0</v>
      </c>
      <c r="Z64" s="216">
        <f>SupplyChain_SupplierData_Frontend[[#This Row],[Product category]]</f>
        <v>0</v>
      </c>
      <c r="AA64" s="216" t="e" cm="1">
        <f t="array" aca="1" ref="AA64" ca="1">_xlfn.XLOOKUP(SupplyChain_SupplierData_Backend[[#This Row],[Level 5]],rng_Level5Long,rng_Level6Long)</f>
        <v>#N/A</v>
      </c>
      <c r="AB64" s="216">
        <f>SupplyChain_SupplierData_Frontend[[#This Row],[Data type]]</f>
        <v>0</v>
      </c>
      <c r="AC64" s="414">
        <f>SupplyChain_SupplierData_Frontend[[#This Row],[Data assessment score]]</f>
        <v>0</v>
      </c>
      <c r="AD64" s="216">
        <f>SupplyChain_SupplierData_Frontend[[#This Row],[Methodology]]</f>
        <v>0</v>
      </c>
      <c r="AE64" s="396" t="e" cm="1">
        <f t="array" aca="1" ref="AE64" ca="1">INDEX(_xlfn.SWITCH(SupplyChain_SupplierData_Backend[[#This Row],[Methodology]],"Tier 1",rng_RSD1,"Tier 2",rng_RSD2,"Tier 3",rng_RSD3),MATCH(SupplyChain_SupplierData_Backend[[#This Row],[Level 2]],rng_Level2Long,0))</f>
        <v>#N/A</v>
      </c>
      <c r="AF64" s="218">
        <f>SupplyChain_SupplierData_Frontend[[#This Row],[Spend with supplier GBP]]</f>
        <v>0</v>
      </c>
      <c r="AG64" s="174" t="s">
        <v>383</v>
      </c>
      <c r="AH64" s="218">
        <f>SupplyChain_SupplierData_Backend[[#This Row],[Data]]</f>
        <v>0</v>
      </c>
      <c r="AI64" s="174" t="s">
        <v>383</v>
      </c>
      <c r="AJ64" s="219">
        <v>0</v>
      </c>
      <c r="AK64" s="219">
        <v>0</v>
      </c>
      <c r="AL64" s="219">
        <f>SupplyChain_SupplierData_Frontend[[#This Row],[Emissions kgCO2e]]/1000</f>
        <v>0</v>
      </c>
      <c r="AM64" s="219">
        <v>0</v>
      </c>
      <c r="AN64" s="219">
        <v>0</v>
      </c>
      <c r="AO64" s="219">
        <v>0</v>
      </c>
      <c r="AP64" s="219">
        <f>SUM(SupplyChain_SupplierData_Backend[[#This Row],[Scope 1 (tCO2e)]:[Scope 3 WTT T&amp;D (tCO2e)]])</f>
        <v>0</v>
      </c>
      <c r="AQ64" s="219" t="e">
        <f ca="1">SupplyChain_SupplierData_Backend[[#This Row],[Total (tCO2e)]]*(1-SupplyChain_SupplierData_Backend[[#This Row],[RSD]])</f>
        <v>#N/A</v>
      </c>
      <c r="AR64" s="219" t="e">
        <f ca="1">SupplyChain_SupplierData_Backend[[#This Row],[Total (tCO2e)]]*(1+SupplyChain_SupplierData_Backend[[#This Row],[RSD]])</f>
        <v>#N/A</v>
      </c>
      <c r="AS64" s="217"/>
      <c r="AT64" s="216">
        <f>SupplyChain_SupplierData_Frontend[[#This Row],[Ease of collection]]</f>
        <v>0</v>
      </c>
      <c r="AU64" s="228">
        <f>SupplyChain_SupplierData_Frontend[[#This Row],[Completeness]]</f>
        <v>0</v>
      </c>
      <c r="AV64" s="228">
        <f>SupplyChain_SupplierData_Frontend[[#This Row],[Notes]]</f>
        <v>0</v>
      </c>
    </row>
    <row r="65" spans="1:48" customFormat="1" ht="17.5" customHeight="1" x14ac:dyDescent="0.35">
      <c r="A65" s="147"/>
      <c r="B65" s="169"/>
      <c r="C65" s="147"/>
      <c r="D65" s="147"/>
      <c r="E65" s="206"/>
      <c r="F65" s="425"/>
      <c r="G65" s="425"/>
      <c r="H65" s="425"/>
      <c r="I65" s="426"/>
      <c r="J65" s="427"/>
      <c r="K65" s="425"/>
      <c r="L65" s="428"/>
      <c r="M65" s="425"/>
      <c r="N65" s="425"/>
      <c r="O65" s="387"/>
      <c r="P65" s="387"/>
      <c r="Q65" s="388"/>
      <c r="R65" s="242">
        <f t="shared" si="1"/>
        <v>9</v>
      </c>
      <c r="U65" s="214" t="str">
        <f t="shared" si="2"/>
        <v/>
      </c>
      <c r="V65" s="216" t="s">
        <v>267</v>
      </c>
      <c r="W65" s="174" t="s">
        <v>385</v>
      </c>
      <c r="X65" s="216" t="str" cm="1">
        <f t="array" aca="1" ref="X65" ca="1">_xlfn.XLOOKUP(SupplyChain_SupplierData_Backend[[#This Row],[Level 2]],rng_Level2Long,rng_Level3Long)</f>
        <v>Supply chain</v>
      </c>
      <c r="Y65" s="216">
        <f>SupplyChain_SupplierData_Frontend[[#This Row],[Category]]</f>
        <v>0</v>
      </c>
      <c r="Z65" s="216">
        <f>SupplyChain_SupplierData_Frontend[[#This Row],[Product category]]</f>
        <v>0</v>
      </c>
      <c r="AA65" s="216" t="e" cm="1">
        <f t="array" aca="1" ref="AA65" ca="1">_xlfn.XLOOKUP(SupplyChain_SupplierData_Backend[[#This Row],[Level 5]],rng_Level5Long,rng_Level6Long)</f>
        <v>#N/A</v>
      </c>
      <c r="AB65" s="216">
        <f>SupplyChain_SupplierData_Frontend[[#This Row],[Data type]]</f>
        <v>0</v>
      </c>
      <c r="AC65" s="414">
        <f>SupplyChain_SupplierData_Frontend[[#This Row],[Data assessment score]]</f>
        <v>0</v>
      </c>
      <c r="AD65" s="216">
        <f>SupplyChain_SupplierData_Frontend[[#This Row],[Methodology]]</f>
        <v>0</v>
      </c>
      <c r="AE65" s="396" t="e" cm="1">
        <f t="array" aca="1" ref="AE65" ca="1">INDEX(_xlfn.SWITCH(SupplyChain_SupplierData_Backend[[#This Row],[Methodology]],"Tier 1",rng_RSD1,"Tier 2",rng_RSD2,"Tier 3",rng_RSD3),MATCH(SupplyChain_SupplierData_Backend[[#This Row],[Level 2]],rng_Level2Long,0))</f>
        <v>#N/A</v>
      </c>
      <c r="AF65" s="218">
        <f>SupplyChain_SupplierData_Frontend[[#This Row],[Spend with supplier GBP]]</f>
        <v>0</v>
      </c>
      <c r="AG65" s="174" t="s">
        <v>383</v>
      </c>
      <c r="AH65" s="218">
        <f>SupplyChain_SupplierData_Backend[[#This Row],[Data]]</f>
        <v>0</v>
      </c>
      <c r="AI65" s="174" t="s">
        <v>383</v>
      </c>
      <c r="AJ65" s="219">
        <v>0</v>
      </c>
      <c r="AK65" s="219">
        <v>0</v>
      </c>
      <c r="AL65" s="219">
        <f>SupplyChain_SupplierData_Frontend[[#This Row],[Emissions kgCO2e]]/1000</f>
        <v>0</v>
      </c>
      <c r="AM65" s="219">
        <v>0</v>
      </c>
      <c r="AN65" s="219">
        <v>0</v>
      </c>
      <c r="AO65" s="219">
        <v>0</v>
      </c>
      <c r="AP65" s="219">
        <f>SUM(SupplyChain_SupplierData_Backend[[#This Row],[Scope 1 (tCO2e)]:[Scope 3 WTT T&amp;D (tCO2e)]])</f>
        <v>0</v>
      </c>
      <c r="AQ65" s="219" t="e">
        <f ca="1">SupplyChain_SupplierData_Backend[[#This Row],[Total (tCO2e)]]*(1-SupplyChain_SupplierData_Backend[[#This Row],[RSD]])</f>
        <v>#N/A</v>
      </c>
      <c r="AR65" s="219" t="e">
        <f ca="1">SupplyChain_SupplierData_Backend[[#This Row],[Total (tCO2e)]]*(1+SupplyChain_SupplierData_Backend[[#This Row],[RSD]])</f>
        <v>#N/A</v>
      </c>
      <c r="AS65" s="217"/>
      <c r="AT65" s="216">
        <f>SupplyChain_SupplierData_Frontend[[#This Row],[Ease of collection]]</f>
        <v>0</v>
      </c>
      <c r="AU65" s="228">
        <f>SupplyChain_SupplierData_Frontend[[#This Row],[Completeness]]</f>
        <v>0</v>
      </c>
      <c r="AV65" s="228">
        <f>SupplyChain_SupplierData_Frontend[[#This Row],[Notes]]</f>
        <v>0</v>
      </c>
    </row>
    <row r="66" spans="1:48" customFormat="1" ht="17.5" customHeight="1" x14ac:dyDescent="0.35">
      <c r="A66" s="147"/>
      <c r="B66" s="169"/>
      <c r="C66" s="147"/>
      <c r="D66" s="204">
        <v>14</v>
      </c>
      <c r="E66" s="206" t="s">
        <v>398</v>
      </c>
      <c r="F66" s="425"/>
      <c r="G66" s="425"/>
      <c r="H66" s="425"/>
      <c r="I66" s="426"/>
      <c r="J66" s="427"/>
      <c r="K66" s="425"/>
      <c r="L66" s="428"/>
      <c r="M66" s="425"/>
      <c r="N66" s="425"/>
      <c r="O66" s="387"/>
      <c r="P66" s="387"/>
      <c r="Q66" s="388"/>
      <c r="R66" s="242">
        <f t="shared" si="1"/>
        <v>9</v>
      </c>
      <c r="U66" s="214" t="str">
        <f t="shared" si="2"/>
        <v/>
      </c>
      <c r="V66" s="216" t="s">
        <v>267</v>
      </c>
      <c r="W66" s="174" t="s">
        <v>385</v>
      </c>
      <c r="X66" s="216" t="str" cm="1">
        <f t="array" aca="1" ref="X66" ca="1">_xlfn.XLOOKUP(SupplyChain_SupplierData_Backend[[#This Row],[Level 2]],rng_Level2Long,rng_Level3Long)</f>
        <v>Supply chain</v>
      </c>
      <c r="Y66" s="216">
        <f>SupplyChain_SupplierData_Frontend[[#This Row],[Category]]</f>
        <v>0</v>
      </c>
      <c r="Z66" s="216">
        <f>SupplyChain_SupplierData_Frontend[[#This Row],[Product category]]</f>
        <v>0</v>
      </c>
      <c r="AA66" s="216" t="e" cm="1">
        <f t="array" aca="1" ref="AA66" ca="1">_xlfn.XLOOKUP(SupplyChain_SupplierData_Backend[[#This Row],[Level 5]],rng_Level5Long,rng_Level6Long)</f>
        <v>#N/A</v>
      </c>
      <c r="AB66" s="216">
        <f>SupplyChain_SupplierData_Frontend[[#This Row],[Data type]]</f>
        <v>0</v>
      </c>
      <c r="AC66" s="414">
        <f>SupplyChain_SupplierData_Frontend[[#This Row],[Data assessment score]]</f>
        <v>0</v>
      </c>
      <c r="AD66" s="216">
        <f>SupplyChain_SupplierData_Frontend[[#This Row],[Methodology]]</f>
        <v>0</v>
      </c>
      <c r="AE66" s="396" t="e" cm="1">
        <f t="array" aca="1" ref="AE66" ca="1">INDEX(_xlfn.SWITCH(SupplyChain_SupplierData_Backend[[#This Row],[Methodology]],"Tier 1",rng_RSD1,"Tier 2",rng_RSD2,"Tier 3",rng_RSD3),MATCH(SupplyChain_SupplierData_Backend[[#This Row],[Level 2]],rng_Level2Long,0))</f>
        <v>#N/A</v>
      </c>
      <c r="AF66" s="218">
        <f>SupplyChain_SupplierData_Frontend[[#This Row],[Spend with supplier GBP]]</f>
        <v>0</v>
      </c>
      <c r="AG66" s="174" t="s">
        <v>383</v>
      </c>
      <c r="AH66" s="218">
        <f>SupplyChain_SupplierData_Backend[[#This Row],[Data]]</f>
        <v>0</v>
      </c>
      <c r="AI66" s="174" t="s">
        <v>383</v>
      </c>
      <c r="AJ66" s="219">
        <v>0</v>
      </c>
      <c r="AK66" s="219">
        <v>0</v>
      </c>
      <c r="AL66" s="219">
        <f>SupplyChain_SupplierData_Frontend[[#This Row],[Emissions kgCO2e]]/1000</f>
        <v>0</v>
      </c>
      <c r="AM66" s="219">
        <v>0</v>
      </c>
      <c r="AN66" s="219">
        <v>0</v>
      </c>
      <c r="AO66" s="219">
        <v>0</v>
      </c>
      <c r="AP66" s="219">
        <f>SUM(SupplyChain_SupplierData_Backend[[#This Row],[Scope 1 (tCO2e)]:[Scope 3 WTT T&amp;D (tCO2e)]])</f>
        <v>0</v>
      </c>
      <c r="AQ66" s="219" t="e">
        <f ca="1">SupplyChain_SupplierData_Backend[[#This Row],[Total (tCO2e)]]*(1-SupplyChain_SupplierData_Backend[[#This Row],[RSD]])</f>
        <v>#N/A</v>
      </c>
      <c r="AR66" s="219" t="e">
        <f ca="1">SupplyChain_SupplierData_Backend[[#This Row],[Total (tCO2e)]]*(1+SupplyChain_SupplierData_Backend[[#This Row],[RSD]])</f>
        <v>#N/A</v>
      </c>
      <c r="AS66" s="217"/>
      <c r="AT66" s="216">
        <f>SupplyChain_SupplierData_Frontend[[#This Row],[Ease of collection]]</f>
        <v>0</v>
      </c>
      <c r="AU66" s="228">
        <f>SupplyChain_SupplierData_Frontend[[#This Row],[Completeness]]</f>
        <v>0</v>
      </c>
      <c r="AV66" s="228">
        <f>SupplyChain_SupplierData_Frontend[[#This Row],[Notes]]</f>
        <v>0</v>
      </c>
    </row>
    <row r="67" spans="1:48" customFormat="1" ht="17.5" customHeight="1" x14ac:dyDescent="0.35">
      <c r="A67" s="147"/>
      <c r="B67" s="169"/>
      <c r="C67" s="147"/>
      <c r="D67" s="147"/>
      <c r="E67" s="206"/>
      <c r="F67" s="425"/>
      <c r="G67" s="425"/>
      <c r="H67" s="425"/>
      <c r="I67" s="426"/>
      <c r="J67" s="427"/>
      <c r="K67" s="425"/>
      <c r="L67" s="428"/>
      <c r="M67" s="425"/>
      <c r="N67" s="425"/>
      <c r="O67" s="387"/>
      <c r="P67" s="387"/>
      <c r="Q67" s="388"/>
      <c r="R67" s="242">
        <f t="shared" si="1"/>
        <v>9</v>
      </c>
      <c r="U67" s="214" t="str">
        <f t="shared" si="2"/>
        <v/>
      </c>
      <c r="V67" s="216" t="s">
        <v>267</v>
      </c>
      <c r="W67" s="174" t="s">
        <v>385</v>
      </c>
      <c r="X67" s="216" t="str" cm="1">
        <f t="array" aca="1" ref="X67" ca="1">_xlfn.XLOOKUP(SupplyChain_SupplierData_Backend[[#This Row],[Level 2]],rng_Level2Long,rng_Level3Long)</f>
        <v>Supply chain</v>
      </c>
      <c r="Y67" s="216">
        <f>SupplyChain_SupplierData_Frontend[[#This Row],[Category]]</f>
        <v>0</v>
      </c>
      <c r="Z67" s="216">
        <f>SupplyChain_SupplierData_Frontend[[#This Row],[Product category]]</f>
        <v>0</v>
      </c>
      <c r="AA67" s="216" t="e" cm="1">
        <f t="array" aca="1" ref="AA67" ca="1">_xlfn.XLOOKUP(SupplyChain_SupplierData_Backend[[#This Row],[Level 5]],rng_Level5Long,rng_Level6Long)</f>
        <v>#N/A</v>
      </c>
      <c r="AB67" s="216">
        <f>SupplyChain_SupplierData_Frontend[[#This Row],[Data type]]</f>
        <v>0</v>
      </c>
      <c r="AC67" s="414">
        <f>SupplyChain_SupplierData_Frontend[[#This Row],[Data assessment score]]</f>
        <v>0</v>
      </c>
      <c r="AD67" s="216">
        <f>SupplyChain_SupplierData_Frontend[[#This Row],[Methodology]]</f>
        <v>0</v>
      </c>
      <c r="AE67" s="396" t="e" cm="1">
        <f t="array" aca="1" ref="AE67" ca="1">INDEX(_xlfn.SWITCH(SupplyChain_SupplierData_Backend[[#This Row],[Methodology]],"Tier 1",rng_RSD1,"Tier 2",rng_RSD2,"Tier 3",rng_RSD3),MATCH(SupplyChain_SupplierData_Backend[[#This Row],[Level 2]],rng_Level2Long,0))</f>
        <v>#N/A</v>
      </c>
      <c r="AF67" s="218">
        <f>SupplyChain_SupplierData_Frontend[[#This Row],[Spend with supplier GBP]]</f>
        <v>0</v>
      </c>
      <c r="AG67" s="174" t="s">
        <v>383</v>
      </c>
      <c r="AH67" s="218">
        <f>SupplyChain_SupplierData_Backend[[#This Row],[Data]]</f>
        <v>0</v>
      </c>
      <c r="AI67" s="174" t="s">
        <v>383</v>
      </c>
      <c r="AJ67" s="219">
        <v>0</v>
      </c>
      <c r="AK67" s="219">
        <v>0</v>
      </c>
      <c r="AL67" s="219">
        <f>SupplyChain_SupplierData_Frontend[[#This Row],[Emissions kgCO2e]]/1000</f>
        <v>0</v>
      </c>
      <c r="AM67" s="219">
        <v>0</v>
      </c>
      <c r="AN67" s="219">
        <v>0</v>
      </c>
      <c r="AO67" s="219">
        <v>0</v>
      </c>
      <c r="AP67" s="219">
        <f>SUM(SupplyChain_SupplierData_Backend[[#This Row],[Scope 1 (tCO2e)]:[Scope 3 WTT T&amp;D (tCO2e)]])</f>
        <v>0</v>
      </c>
      <c r="AQ67" s="219" t="e">
        <f ca="1">SupplyChain_SupplierData_Backend[[#This Row],[Total (tCO2e)]]*(1-SupplyChain_SupplierData_Backend[[#This Row],[RSD]])</f>
        <v>#N/A</v>
      </c>
      <c r="AR67" s="219" t="e">
        <f ca="1">SupplyChain_SupplierData_Backend[[#This Row],[Total (tCO2e)]]*(1+SupplyChain_SupplierData_Backend[[#This Row],[RSD]])</f>
        <v>#N/A</v>
      </c>
      <c r="AS67" s="217"/>
      <c r="AT67" s="216">
        <f>SupplyChain_SupplierData_Frontend[[#This Row],[Ease of collection]]</f>
        <v>0</v>
      </c>
      <c r="AU67" s="228">
        <f>SupplyChain_SupplierData_Frontend[[#This Row],[Completeness]]</f>
        <v>0</v>
      </c>
      <c r="AV67" s="228">
        <f>SupplyChain_SupplierData_Frontend[[#This Row],[Notes]]</f>
        <v>0</v>
      </c>
    </row>
    <row r="68" spans="1:48" customFormat="1" ht="17.5" customHeight="1" x14ac:dyDescent="0.35">
      <c r="A68" s="147"/>
      <c r="B68" s="169"/>
      <c r="C68" s="147"/>
      <c r="D68" s="147"/>
      <c r="E68" s="206"/>
      <c r="F68" s="425"/>
      <c r="G68" s="425"/>
      <c r="H68" s="425"/>
      <c r="I68" s="426"/>
      <c r="J68" s="427"/>
      <c r="K68" s="425"/>
      <c r="L68" s="428"/>
      <c r="M68" s="425"/>
      <c r="N68" s="425"/>
      <c r="O68" s="387"/>
      <c r="P68" s="387"/>
      <c r="Q68" s="388"/>
      <c r="R68" s="242">
        <f t="shared" si="1"/>
        <v>9</v>
      </c>
      <c r="U68" s="214" t="str">
        <f t="shared" si="2"/>
        <v/>
      </c>
      <c r="V68" s="216" t="s">
        <v>267</v>
      </c>
      <c r="W68" s="174" t="s">
        <v>385</v>
      </c>
      <c r="X68" s="216" t="str" cm="1">
        <f t="array" aca="1" ref="X68" ca="1">_xlfn.XLOOKUP(SupplyChain_SupplierData_Backend[[#This Row],[Level 2]],rng_Level2Long,rng_Level3Long)</f>
        <v>Supply chain</v>
      </c>
      <c r="Y68" s="216">
        <f>SupplyChain_SupplierData_Frontend[[#This Row],[Category]]</f>
        <v>0</v>
      </c>
      <c r="Z68" s="216">
        <f>SupplyChain_SupplierData_Frontend[[#This Row],[Product category]]</f>
        <v>0</v>
      </c>
      <c r="AA68" s="216" t="e" cm="1">
        <f t="array" aca="1" ref="AA68" ca="1">_xlfn.XLOOKUP(SupplyChain_SupplierData_Backend[[#This Row],[Level 5]],rng_Level5Long,rng_Level6Long)</f>
        <v>#N/A</v>
      </c>
      <c r="AB68" s="216">
        <f>SupplyChain_SupplierData_Frontend[[#This Row],[Data type]]</f>
        <v>0</v>
      </c>
      <c r="AC68" s="414">
        <f>SupplyChain_SupplierData_Frontend[[#This Row],[Data assessment score]]</f>
        <v>0</v>
      </c>
      <c r="AD68" s="216">
        <f>SupplyChain_SupplierData_Frontend[[#This Row],[Methodology]]</f>
        <v>0</v>
      </c>
      <c r="AE68" s="396" t="e" cm="1">
        <f t="array" aca="1" ref="AE68" ca="1">INDEX(_xlfn.SWITCH(SupplyChain_SupplierData_Backend[[#This Row],[Methodology]],"Tier 1",rng_RSD1,"Tier 2",rng_RSD2,"Tier 3",rng_RSD3),MATCH(SupplyChain_SupplierData_Backend[[#This Row],[Level 2]],rng_Level2Long,0))</f>
        <v>#N/A</v>
      </c>
      <c r="AF68" s="218">
        <f>SupplyChain_SupplierData_Frontend[[#This Row],[Spend with supplier GBP]]</f>
        <v>0</v>
      </c>
      <c r="AG68" s="174" t="s">
        <v>383</v>
      </c>
      <c r="AH68" s="218">
        <f>SupplyChain_SupplierData_Backend[[#This Row],[Data]]</f>
        <v>0</v>
      </c>
      <c r="AI68" s="174" t="s">
        <v>383</v>
      </c>
      <c r="AJ68" s="219">
        <v>0</v>
      </c>
      <c r="AK68" s="219">
        <v>0</v>
      </c>
      <c r="AL68" s="219">
        <f>SupplyChain_SupplierData_Frontend[[#This Row],[Emissions kgCO2e]]/1000</f>
        <v>0</v>
      </c>
      <c r="AM68" s="219">
        <v>0</v>
      </c>
      <c r="AN68" s="219">
        <v>0</v>
      </c>
      <c r="AO68" s="219">
        <v>0</v>
      </c>
      <c r="AP68" s="219">
        <f>SUM(SupplyChain_SupplierData_Backend[[#This Row],[Scope 1 (tCO2e)]:[Scope 3 WTT T&amp;D (tCO2e)]])</f>
        <v>0</v>
      </c>
      <c r="AQ68" s="219" t="e">
        <f ca="1">SupplyChain_SupplierData_Backend[[#This Row],[Total (tCO2e)]]*(1-SupplyChain_SupplierData_Backend[[#This Row],[RSD]])</f>
        <v>#N/A</v>
      </c>
      <c r="AR68" s="219" t="e">
        <f ca="1">SupplyChain_SupplierData_Backend[[#This Row],[Total (tCO2e)]]*(1+SupplyChain_SupplierData_Backend[[#This Row],[RSD]])</f>
        <v>#N/A</v>
      </c>
      <c r="AS68" s="217"/>
      <c r="AT68" s="216">
        <f>SupplyChain_SupplierData_Frontend[[#This Row],[Ease of collection]]</f>
        <v>0</v>
      </c>
      <c r="AU68" s="228">
        <f>SupplyChain_SupplierData_Frontend[[#This Row],[Completeness]]</f>
        <v>0</v>
      </c>
      <c r="AV68" s="228">
        <f>SupplyChain_SupplierData_Frontend[[#This Row],[Notes]]</f>
        <v>0</v>
      </c>
    </row>
    <row r="69" spans="1:48" customFormat="1" ht="17.5" customHeight="1" x14ac:dyDescent="0.35">
      <c r="A69" s="147"/>
      <c r="B69" s="169"/>
      <c r="C69" s="147"/>
      <c r="D69" s="147"/>
      <c r="E69" s="206"/>
      <c r="F69" s="425"/>
      <c r="G69" s="425"/>
      <c r="H69" s="425"/>
      <c r="I69" s="426"/>
      <c r="J69" s="427"/>
      <c r="K69" s="425"/>
      <c r="L69" s="428"/>
      <c r="M69" s="425"/>
      <c r="N69" s="425"/>
      <c r="O69" s="387"/>
      <c r="P69" s="387"/>
      <c r="Q69" s="388"/>
      <c r="R69" s="242">
        <f t="shared" si="1"/>
        <v>9</v>
      </c>
      <c r="U69" s="214" t="str">
        <f t="shared" si="2"/>
        <v/>
      </c>
      <c r="V69" s="216" t="s">
        <v>267</v>
      </c>
      <c r="W69" s="174" t="s">
        <v>385</v>
      </c>
      <c r="X69" s="216" t="str" cm="1">
        <f t="array" aca="1" ref="X69" ca="1">_xlfn.XLOOKUP(SupplyChain_SupplierData_Backend[[#This Row],[Level 2]],rng_Level2Long,rng_Level3Long)</f>
        <v>Supply chain</v>
      </c>
      <c r="Y69" s="216">
        <f>SupplyChain_SupplierData_Frontend[[#This Row],[Category]]</f>
        <v>0</v>
      </c>
      <c r="Z69" s="216">
        <f>SupplyChain_SupplierData_Frontend[[#This Row],[Product category]]</f>
        <v>0</v>
      </c>
      <c r="AA69" s="216" t="e" cm="1">
        <f t="array" aca="1" ref="AA69" ca="1">_xlfn.XLOOKUP(SupplyChain_SupplierData_Backend[[#This Row],[Level 5]],rng_Level5Long,rng_Level6Long)</f>
        <v>#N/A</v>
      </c>
      <c r="AB69" s="216">
        <f>SupplyChain_SupplierData_Frontend[[#This Row],[Data type]]</f>
        <v>0</v>
      </c>
      <c r="AC69" s="414">
        <f>SupplyChain_SupplierData_Frontend[[#This Row],[Data assessment score]]</f>
        <v>0</v>
      </c>
      <c r="AD69" s="216">
        <f>SupplyChain_SupplierData_Frontend[[#This Row],[Methodology]]</f>
        <v>0</v>
      </c>
      <c r="AE69" s="396" t="e" cm="1">
        <f t="array" aca="1" ref="AE69" ca="1">INDEX(_xlfn.SWITCH(SupplyChain_SupplierData_Backend[[#This Row],[Methodology]],"Tier 1",rng_RSD1,"Tier 2",rng_RSD2,"Tier 3",rng_RSD3),MATCH(SupplyChain_SupplierData_Backend[[#This Row],[Level 2]],rng_Level2Long,0))</f>
        <v>#N/A</v>
      </c>
      <c r="AF69" s="218">
        <f>SupplyChain_SupplierData_Frontend[[#This Row],[Spend with supplier GBP]]</f>
        <v>0</v>
      </c>
      <c r="AG69" s="174" t="s">
        <v>383</v>
      </c>
      <c r="AH69" s="218">
        <f>SupplyChain_SupplierData_Backend[[#This Row],[Data]]</f>
        <v>0</v>
      </c>
      <c r="AI69" s="174" t="s">
        <v>383</v>
      </c>
      <c r="AJ69" s="219">
        <v>0</v>
      </c>
      <c r="AK69" s="219">
        <v>0</v>
      </c>
      <c r="AL69" s="219">
        <f>SupplyChain_SupplierData_Frontend[[#This Row],[Emissions kgCO2e]]/1000</f>
        <v>0</v>
      </c>
      <c r="AM69" s="219">
        <v>0</v>
      </c>
      <c r="AN69" s="219">
        <v>0</v>
      </c>
      <c r="AO69" s="219">
        <v>0</v>
      </c>
      <c r="AP69" s="219">
        <f>SUM(SupplyChain_SupplierData_Backend[[#This Row],[Scope 1 (tCO2e)]:[Scope 3 WTT T&amp;D (tCO2e)]])</f>
        <v>0</v>
      </c>
      <c r="AQ69" s="219" t="e">
        <f ca="1">SupplyChain_SupplierData_Backend[[#This Row],[Total (tCO2e)]]*(1-SupplyChain_SupplierData_Backend[[#This Row],[RSD]])</f>
        <v>#N/A</v>
      </c>
      <c r="AR69" s="219" t="e">
        <f ca="1">SupplyChain_SupplierData_Backend[[#This Row],[Total (tCO2e)]]*(1+SupplyChain_SupplierData_Backend[[#This Row],[RSD]])</f>
        <v>#N/A</v>
      </c>
      <c r="AS69" s="217"/>
      <c r="AT69" s="216">
        <f>SupplyChain_SupplierData_Frontend[[#This Row],[Ease of collection]]</f>
        <v>0</v>
      </c>
      <c r="AU69" s="228">
        <f>SupplyChain_SupplierData_Frontend[[#This Row],[Completeness]]</f>
        <v>0</v>
      </c>
      <c r="AV69" s="228">
        <f>SupplyChain_SupplierData_Frontend[[#This Row],[Notes]]</f>
        <v>0</v>
      </c>
    </row>
    <row r="70" spans="1:48" customFormat="1" ht="17.5" customHeight="1" x14ac:dyDescent="0.35">
      <c r="A70" s="147"/>
      <c r="B70" s="169"/>
      <c r="C70" s="147"/>
      <c r="D70" s="204">
        <v>15</v>
      </c>
      <c r="E70" s="206" t="s">
        <v>398</v>
      </c>
      <c r="F70" s="425"/>
      <c r="G70" s="425"/>
      <c r="H70" s="425"/>
      <c r="I70" s="426"/>
      <c r="J70" s="427"/>
      <c r="K70" s="425"/>
      <c r="L70" s="428"/>
      <c r="M70" s="425"/>
      <c r="N70" s="425"/>
      <c r="O70" s="387"/>
      <c r="P70" s="387"/>
      <c r="Q70" s="388"/>
      <c r="R70" s="242">
        <f t="shared" si="1"/>
        <v>9</v>
      </c>
      <c r="U70" s="214" t="str">
        <f t="shared" si="2"/>
        <v/>
      </c>
      <c r="V70" s="216" t="s">
        <v>267</v>
      </c>
      <c r="W70" s="174" t="s">
        <v>385</v>
      </c>
      <c r="X70" s="216" t="str" cm="1">
        <f t="array" aca="1" ref="X70" ca="1">_xlfn.XLOOKUP(SupplyChain_SupplierData_Backend[[#This Row],[Level 2]],rng_Level2Long,rng_Level3Long)</f>
        <v>Supply chain</v>
      </c>
      <c r="Y70" s="216">
        <f>SupplyChain_SupplierData_Frontend[[#This Row],[Category]]</f>
        <v>0</v>
      </c>
      <c r="Z70" s="216">
        <f>SupplyChain_SupplierData_Frontend[[#This Row],[Product category]]</f>
        <v>0</v>
      </c>
      <c r="AA70" s="216" t="e" cm="1">
        <f t="array" aca="1" ref="AA70" ca="1">_xlfn.XLOOKUP(SupplyChain_SupplierData_Backend[[#This Row],[Level 5]],rng_Level5Long,rng_Level6Long)</f>
        <v>#N/A</v>
      </c>
      <c r="AB70" s="216">
        <f>SupplyChain_SupplierData_Frontend[[#This Row],[Data type]]</f>
        <v>0</v>
      </c>
      <c r="AC70" s="414">
        <f>SupplyChain_SupplierData_Frontend[[#This Row],[Data assessment score]]</f>
        <v>0</v>
      </c>
      <c r="AD70" s="216">
        <f>SupplyChain_SupplierData_Frontend[[#This Row],[Methodology]]</f>
        <v>0</v>
      </c>
      <c r="AE70" s="396" t="e" cm="1">
        <f t="array" aca="1" ref="AE70" ca="1">INDEX(_xlfn.SWITCH(SupplyChain_SupplierData_Backend[[#This Row],[Methodology]],"Tier 1",rng_RSD1,"Tier 2",rng_RSD2,"Tier 3",rng_RSD3),MATCH(SupplyChain_SupplierData_Backend[[#This Row],[Level 2]],rng_Level2Long,0))</f>
        <v>#N/A</v>
      </c>
      <c r="AF70" s="218">
        <f>SupplyChain_SupplierData_Frontend[[#This Row],[Spend with supplier GBP]]</f>
        <v>0</v>
      </c>
      <c r="AG70" s="174" t="s">
        <v>383</v>
      </c>
      <c r="AH70" s="218">
        <f>SupplyChain_SupplierData_Backend[[#This Row],[Data]]</f>
        <v>0</v>
      </c>
      <c r="AI70" s="174" t="s">
        <v>383</v>
      </c>
      <c r="AJ70" s="219">
        <v>0</v>
      </c>
      <c r="AK70" s="219">
        <v>0</v>
      </c>
      <c r="AL70" s="219">
        <f>SupplyChain_SupplierData_Frontend[[#This Row],[Emissions kgCO2e]]/1000</f>
        <v>0</v>
      </c>
      <c r="AM70" s="219">
        <v>0</v>
      </c>
      <c r="AN70" s="219">
        <v>0</v>
      </c>
      <c r="AO70" s="219">
        <v>0</v>
      </c>
      <c r="AP70" s="219">
        <f>SUM(SupplyChain_SupplierData_Backend[[#This Row],[Scope 1 (tCO2e)]:[Scope 3 WTT T&amp;D (tCO2e)]])</f>
        <v>0</v>
      </c>
      <c r="AQ70" s="219" t="e">
        <f ca="1">SupplyChain_SupplierData_Backend[[#This Row],[Total (tCO2e)]]*(1-SupplyChain_SupplierData_Backend[[#This Row],[RSD]])</f>
        <v>#N/A</v>
      </c>
      <c r="AR70" s="219" t="e">
        <f ca="1">SupplyChain_SupplierData_Backend[[#This Row],[Total (tCO2e)]]*(1+SupplyChain_SupplierData_Backend[[#This Row],[RSD]])</f>
        <v>#N/A</v>
      </c>
      <c r="AS70" s="217"/>
      <c r="AT70" s="216">
        <f>SupplyChain_SupplierData_Frontend[[#This Row],[Ease of collection]]</f>
        <v>0</v>
      </c>
      <c r="AU70" s="228">
        <f>SupplyChain_SupplierData_Frontend[[#This Row],[Completeness]]</f>
        <v>0</v>
      </c>
      <c r="AV70" s="228">
        <f>SupplyChain_SupplierData_Frontend[[#This Row],[Notes]]</f>
        <v>0</v>
      </c>
    </row>
    <row r="71" spans="1:48" customFormat="1" ht="17.5" customHeight="1" x14ac:dyDescent="0.35">
      <c r="A71" s="147"/>
      <c r="B71" s="169"/>
      <c r="C71" s="147"/>
      <c r="D71" s="147"/>
      <c r="E71" s="207"/>
      <c r="F71" s="425"/>
      <c r="G71" s="425"/>
      <c r="H71" s="425"/>
      <c r="I71" s="426"/>
      <c r="J71" s="427"/>
      <c r="K71" s="425"/>
      <c r="L71" s="428"/>
      <c r="M71" s="425"/>
      <c r="N71" s="425"/>
      <c r="O71" s="387"/>
      <c r="P71" s="387"/>
      <c r="Q71" s="388"/>
      <c r="R71" s="242">
        <f t="shared" si="1"/>
        <v>9</v>
      </c>
      <c r="U71" s="214" t="str">
        <f t="shared" si="2"/>
        <v/>
      </c>
      <c r="V71" s="216" t="s">
        <v>267</v>
      </c>
      <c r="W71" s="174" t="s">
        <v>385</v>
      </c>
      <c r="X71" s="216" t="str" cm="1">
        <f t="array" aca="1" ref="X71" ca="1">_xlfn.XLOOKUP(SupplyChain_SupplierData_Backend[[#This Row],[Level 2]],rng_Level2Long,rng_Level3Long)</f>
        <v>Supply chain</v>
      </c>
      <c r="Y71" s="216">
        <f>SupplyChain_SupplierData_Frontend[[#This Row],[Category]]</f>
        <v>0</v>
      </c>
      <c r="Z71" s="216">
        <f>SupplyChain_SupplierData_Frontend[[#This Row],[Product category]]</f>
        <v>0</v>
      </c>
      <c r="AA71" s="216" t="e" cm="1">
        <f t="array" aca="1" ref="AA71" ca="1">_xlfn.XLOOKUP(SupplyChain_SupplierData_Backend[[#This Row],[Level 5]],rng_Level5Long,rng_Level6Long)</f>
        <v>#N/A</v>
      </c>
      <c r="AB71" s="216">
        <f>SupplyChain_SupplierData_Frontend[[#This Row],[Data type]]</f>
        <v>0</v>
      </c>
      <c r="AC71" s="414">
        <f>SupplyChain_SupplierData_Frontend[[#This Row],[Data assessment score]]</f>
        <v>0</v>
      </c>
      <c r="AD71" s="216">
        <f>SupplyChain_SupplierData_Frontend[[#This Row],[Methodology]]</f>
        <v>0</v>
      </c>
      <c r="AE71" s="396" t="e" cm="1">
        <f t="array" aca="1" ref="AE71" ca="1">INDEX(_xlfn.SWITCH(SupplyChain_SupplierData_Backend[[#This Row],[Methodology]],"Tier 1",rng_RSD1,"Tier 2",rng_RSD2,"Tier 3",rng_RSD3),MATCH(SupplyChain_SupplierData_Backend[[#This Row],[Level 2]],rng_Level2Long,0))</f>
        <v>#N/A</v>
      </c>
      <c r="AF71" s="218">
        <f>SupplyChain_SupplierData_Frontend[[#This Row],[Spend with supplier GBP]]</f>
        <v>0</v>
      </c>
      <c r="AG71" s="174" t="s">
        <v>383</v>
      </c>
      <c r="AH71" s="218">
        <f>SupplyChain_SupplierData_Backend[[#This Row],[Data]]</f>
        <v>0</v>
      </c>
      <c r="AI71" s="174" t="s">
        <v>383</v>
      </c>
      <c r="AJ71" s="219">
        <v>0</v>
      </c>
      <c r="AK71" s="219">
        <v>0</v>
      </c>
      <c r="AL71" s="219">
        <f>SupplyChain_SupplierData_Frontend[[#This Row],[Emissions kgCO2e]]/1000</f>
        <v>0</v>
      </c>
      <c r="AM71" s="219">
        <v>0</v>
      </c>
      <c r="AN71" s="219">
        <v>0</v>
      </c>
      <c r="AO71" s="219">
        <v>0</v>
      </c>
      <c r="AP71" s="219">
        <f>SUM(SupplyChain_SupplierData_Backend[[#This Row],[Scope 1 (tCO2e)]:[Scope 3 WTT T&amp;D (tCO2e)]])</f>
        <v>0</v>
      </c>
      <c r="AQ71" s="219" t="e">
        <f ca="1">SupplyChain_SupplierData_Backend[[#This Row],[Total (tCO2e)]]*(1-SupplyChain_SupplierData_Backend[[#This Row],[RSD]])</f>
        <v>#N/A</v>
      </c>
      <c r="AR71" s="219" t="e">
        <f ca="1">SupplyChain_SupplierData_Backend[[#This Row],[Total (tCO2e)]]*(1+SupplyChain_SupplierData_Backend[[#This Row],[RSD]])</f>
        <v>#N/A</v>
      </c>
      <c r="AS71" s="217"/>
      <c r="AT71" s="216">
        <f>SupplyChain_SupplierData_Frontend[[#This Row],[Ease of collection]]</f>
        <v>0</v>
      </c>
      <c r="AU71" s="228">
        <f>SupplyChain_SupplierData_Frontend[[#This Row],[Completeness]]</f>
        <v>0</v>
      </c>
      <c r="AV71" s="228">
        <f>SupplyChain_SupplierData_Frontend[[#This Row],[Notes]]</f>
        <v>0</v>
      </c>
    </row>
    <row r="72" spans="1:48" customFormat="1" ht="17.5" customHeight="1" x14ac:dyDescent="0.35">
      <c r="A72" s="147"/>
      <c r="B72" s="169"/>
      <c r="C72" s="147"/>
      <c r="D72" s="147"/>
      <c r="E72" s="207"/>
      <c r="F72" s="425"/>
      <c r="G72" s="425"/>
      <c r="H72" s="425"/>
      <c r="I72" s="426"/>
      <c r="J72" s="427"/>
      <c r="K72" s="425"/>
      <c r="L72" s="428"/>
      <c r="M72" s="425"/>
      <c r="N72" s="425"/>
      <c r="O72" s="387"/>
      <c r="P72" s="387"/>
      <c r="Q72" s="388"/>
      <c r="R72" s="242">
        <f t="shared" si="1"/>
        <v>9</v>
      </c>
      <c r="U72" s="214" t="str">
        <f t="shared" si="2"/>
        <v/>
      </c>
      <c r="V72" s="216" t="s">
        <v>267</v>
      </c>
      <c r="W72" s="174" t="s">
        <v>385</v>
      </c>
      <c r="X72" s="216" t="str" cm="1">
        <f t="array" aca="1" ref="X72" ca="1">_xlfn.XLOOKUP(SupplyChain_SupplierData_Backend[[#This Row],[Level 2]],rng_Level2Long,rng_Level3Long)</f>
        <v>Supply chain</v>
      </c>
      <c r="Y72" s="216">
        <f>SupplyChain_SupplierData_Frontend[[#This Row],[Category]]</f>
        <v>0</v>
      </c>
      <c r="Z72" s="216">
        <f>SupplyChain_SupplierData_Frontend[[#This Row],[Product category]]</f>
        <v>0</v>
      </c>
      <c r="AA72" s="216" t="e" cm="1">
        <f t="array" aca="1" ref="AA72" ca="1">_xlfn.XLOOKUP(SupplyChain_SupplierData_Backend[[#This Row],[Level 5]],rng_Level5Long,rng_Level6Long)</f>
        <v>#N/A</v>
      </c>
      <c r="AB72" s="216">
        <f>SupplyChain_SupplierData_Frontend[[#This Row],[Data type]]</f>
        <v>0</v>
      </c>
      <c r="AC72" s="414">
        <f>SupplyChain_SupplierData_Frontend[[#This Row],[Data assessment score]]</f>
        <v>0</v>
      </c>
      <c r="AD72" s="216">
        <f>SupplyChain_SupplierData_Frontend[[#This Row],[Methodology]]</f>
        <v>0</v>
      </c>
      <c r="AE72" s="396" t="e" cm="1">
        <f t="array" aca="1" ref="AE72" ca="1">INDEX(_xlfn.SWITCH(SupplyChain_SupplierData_Backend[[#This Row],[Methodology]],"Tier 1",rng_RSD1,"Tier 2",rng_RSD2,"Tier 3",rng_RSD3),MATCH(SupplyChain_SupplierData_Backend[[#This Row],[Level 2]],rng_Level2Long,0))</f>
        <v>#N/A</v>
      </c>
      <c r="AF72" s="218">
        <f>SupplyChain_SupplierData_Frontend[[#This Row],[Spend with supplier GBP]]</f>
        <v>0</v>
      </c>
      <c r="AG72" s="174" t="s">
        <v>383</v>
      </c>
      <c r="AH72" s="218">
        <f>SupplyChain_SupplierData_Backend[[#This Row],[Data]]</f>
        <v>0</v>
      </c>
      <c r="AI72" s="174" t="s">
        <v>383</v>
      </c>
      <c r="AJ72" s="219">
        <v>0</v>
      </c>
      <c r="AK72" s="219">
        <v>0</v>
      </c>
      <c r="AL72" s="219">
        <f>SupplyChain_SupplierData_Frontend[[#This Row],[Emissions kgCO2e]]/1000</f>
        <v>0</v>
      </c>
      <c r="AM72" s="219">
        <v>0</v>
      </c>
      <c r="AN72" s="219">
        <v>0</v>
      </c>
      <c r="AO72" s="219">
        <v>0</v>
      </c>
      <c r="AP72" s="219">
        <f>SUM(SupplyChain_SupplierData_Backend[[#This Row],[Scope 1 (tCO2e)]:[Scope 3 WTT T&amp;D (tCO2e)]])</f>
        <v>0</v>
      </c>
      <c r="AQ72" s="219" t="e">
        <f ca="1">SupplyChain_SupplierData_Backend[[#This Row],[Total (tCO2e)]]*(1-SupplyChain_SupplierData_Backend[[#This Row],[RSD]])</f>
        <v>#N/A</v>
      </c>
      <c r="AR72" s="219" t="e">
        <f ca="1">SupplyChain_SupplierData_Backend[[#This Row],[Total (tCO2e)]]*(1+SupplyChain_SupplierData_Backend[[#This Row],[RSD]])</f>
        <v>#N/A</v>
      </c>
      <c r="AS72" s="217"/>
      <c r="AT72" s="216">
        <f>SupplyChain_SupplierData_Frontend[[#This Row],[Ease of collection]]</f>
        <v>0</v>
      </c>
      <c r="AU72" s="228">
        <f>SupplyChain_SupplierData_Frontend[[#This Row],[Completeness]]</f>
        <v>0</v>
      </c>
      <c r="AV72" s="228">
        <f>SupplyChain_SupplierData_Frontend[[#This Row],[Notes]]</f>
        <v>0</v>
      </c>
    </row>
    <row r="73" spans="1:48" customFormat="1" ht="17.5" customHeight="1" x14ac:dyDescent="0.35">
      <c r="A73" s="147"/>
      <c r="B73" s="169"/>
      <c r="C73" s="147"/>
      <c r="D73" s="147"/>
      <c r="E73" s="207"/>
      <c r="F73" s="425"/>
      <c r="G73" s="425"/>
      <c r="H73" s="425"/>
      <c r="I73" s="426"/>
      <c r="J73" s="427"/>
      <c r="K73" s="425"/>
      <c r="L73" s="428"/>
      <c r="M73" s="425"/>
      <c r="N73" s="425"/>
      <c r="O73" s="387"/>
      <c r="P73" s="387"/>
      <c r="Q73" s="388"/>
      <c r="R73" s="242">
        <f t="shared" si="1"/>
        <v>9</v>
      </c>
      <c r="U73" s="214" t="str">
        <f t="shared" si="2"/>
        <v/>
      </c>
      <c r="V73" s="216" t="s">
        <v>267</v>
      </c>
      <c r="W73" s="174" t="s">
        <v>385</v>
      </c>
      <c r="X73" s="216" t="str" cm="1">
        <f t="array" aca="1" ref="X73" ca="1">_xlfn.XLOOKUP(SupplyChain_SupplierData_Backend[[#This Row],[Level 2]],rng_Level2Long,rng_Level3Long)</f>
        <v>Supply chain</v>
      </c>
      <c r="Y73" s="216">
        <f>SupplyChain_SupplierData_Frontend[[#This Row],[Category]]</f>
        <v>0</v>
      </c>
      <c r="Z73" s="216">
        <f>SupplyChain_SupplierData_Frontend[[#This Row],[Product category]]</f>
        <v>0</v>
      </c>
      <c r="AA73" s="216" t="e" cm="1">
        <f t="array" aca="1" ref="AA73" ca="1">_xlfn.XLOOKUP(SupplyChain_SupplierData_Backend[[#This Row],[Level 5]],rng_Level5Long,rng_Level6Long)</f>
        <v>#N/A</v>
      </c>
      <c r="AB73" s="216">
        <f>SupplyChain_SupplierData_Frontend[[#This Row],[Data type]]</f>
        <v>0</v>
      </c>
      <c r="AC73" s="414">
        <f>SupplyChain_SupplierData_Frontend[[#This Row],[Data assessment score]]</f>
        <v>0</v>
      </c>
      <c r="AD73" s="216">
        <f>SupplyChain_SupplierData_Frontend[[#This Row],[Methodology]]</f>
        <v>0</v>
      </c>
      <c r="AE73" s="396" t="e" cm="1">
        <f t="array" aca="1" ref="AE73" ca="1">INDEX(_xlfn.SWITCH(SupplyChain_SupplierData_Backend[[#This Row],[Methodology]],"Tier 1",rng_RSD1,"Tier 2",rng_RSD2,"Tier 3",rng_RSD3),MATCH(SupplyChain_SupplierData_Backend[[#This Row],[Level 2]],rng_Level2Long,0))</f>
        <v>#N/A</v>
      </c>
      <c r="AF73" s="218">
        <f>SupplyChain_SupplierData_Frontend[[#This Row],[Spend with supplier GBP]]</f>
        <v>0</v>
      </c>
      <c r="AG73" s="174" t="s">
        <v>383</v>
      </c>
      <c r="AH73" s="218">
        <f>SupplyChain_SupplierData_Backend[[#This Row],[Data]]</f>
        <v>0</v>
      </c>
      <c r="AI73" s="174" t="s">
        <v>383</v>
      </c>
      <c r="AJ73" s="219">
        <v>0</v>
      </c>
      <c r="AK73" s="219">
        <v>0</v>
      </c>
      <c r="AL73" s="219">
        <f>SupplyChain_SupplierData_Frontend[[#This Row],[Emissions kgCO2e]]/1000</f>
        <v>0</v>
      </c>
      <c r="AM73" s="219">
        <v>0</v>
      </c>
      <c r="AN73" s="219">
        <v>0</v>
      </c>
      <c r="AO73" s="219">
        <v>0</v>
      </c>
      <c r="AP73" s="219">
        <f>SUM(SupplyChain_SupplierData_Backend[[#This Row],[Scope 1 (tCO2e)]:[Scope 3 WTT T&amp;D (tCO2e)]])</f>
        <v>0</v>
      </c>
      <c r="AQ73" s="219" t="e">
        <f ca="1">SupplyChain_SupplierData_Backend[[#This Row],[Total (tCO2e)]]*(1-SupplyChain_SupplierData_Backend[[#This Row],[RSD]])</f>
        <v>#N/A</v>
      </c>
      <c r="AR73" s="219" t="e">
        <f ca="1">SupplyChain_SupplierData_Backend[[#This Row],[Total (tCO2e)]]*(1+SupplyChain_SupplierData_Backend[[#This Row],[RSD]])</f>
        <v>#N/A</v>
      </c>
      <c r="AS73" s="217"/>
      <c r="AT73" s="216">
        <f>SupplyChain_SupplierData_Frontend[[#This Row],[Ease of collection]]</f>
        <v>0</v>
      </c>
      <c r="AU73" s="228">
        <f>SupplyChain_SupplierData_Frontend[[#This Row],[Completeness]]</f>
        <v>0</v>
      </c>
      <c r="AV73" s="228">
        <f>SupplyChain_SupplierData_Frontend[[#This Row],[Notes]]</f>
        <v>0</v>
      </c>
    </row>
    <row r="74" spans="1:48" customFormat="1" ht="17.5" customHeight="1" x14ac:dyDescent="0.35">
      <c r="A74" s="147"/>
      <c r="B74" s="169"/>
      <c r="C74" s="147"/>
      <c r="D74" s="204">
        <v>16</v>
      </c>
      <c r="E74" s="206" t="s">
        <v>398</v>
      </c>
      <c r="F74" s="425"/>
      <c r="G74" s="425"/>
      <c r="H74" s="425"/>
      <c r="I74" s="426"/>
      <c r="J74" s="427"/>
      <c r="K74" s="425"/>
      <c r="L74" s="428"/>
      <c r="M74" s="425"/>
      <c r="N74" s="425"/>
      <c r="O74" s="387"/>
      <c r="P74" s="387"/>
      <c r="Q74" s="388"/>
      <c r="R74" s="242">
        <f t="shared" si="1"/>
        <v>9</v>
      </c>
      <c r="U74" s="214" t="str">
        <f t="shared" si="2"/>
        <v/>
      </c>
      <c r="V74" s="216" t="s">
        <v>267</v>
      </c>
      <c r="W74" s="174" t="s">
        <v>385</v>
      </c>
      <c r="X74" s="216" t="str" cm="1">
        <f t="array" aca="1" ref="X74" ca="1">_xlfn.XLOOKUP(SupplyChain_SupplierData_Backend[[#This Row],[Level 2]],rng_Level2Long,rng_Level3Long)</f>
        <v>Supply chain</v>
      </c>
      <c r="Y74" s="216">
        <f>SupplyChain_SupplierData_Frontend[[#This Row],[Category]]</f>
        <v>0</v>
      </c>
      <c r="Z74" s="216">
        <f>SupplyChain_SupplierData_Frontend[[#This Row],[Product category]]</f>
        <v>0</v>
      </c>
      <c r="AA74" s="216" t="e" cm="1">
        <f t="array" aca="1" ref="AA74" ca="1">_xlfn.XLOOKUP(SupplyChain_SupplierData_Backend[[#This Row],[Level 5]],rng_Level5Long,rng_Level6Long)</f>
        <v>#N/A</v>
      </c>
      <c r="AB74" s="216">
        <f>SupplyChain_SupplierData_Frontend[[#This Row],[Data type]]</f>
        <v>0</v>
      </c>
      <c r="AC74" s="414">
        <f>SupplyChain_SupplierData_Frontend[[#This Row],[Data assessment score]]</f>
        <v>0</v>
      </c>
      <c r="AD74" s="216">
        <f>SupplyChain_SupplierData_Frontend[[#This Row],[Methodology]]</f>
        <v>0</v>
      </c>
      <c r="AE74" s="396" t="e" cm="1">
        <f t="array" aca="1" ref="AE74" ca="1">INDEX(_xlfn.SWITCH(SupplyChain_SupplierData_Backend[[#This Row],[Methodology]],"Tier 1",rng_RSD1,"Tier 2",rng_RSD2,"Tier 3",rng_RSD3),MATCH(SupplyChain_SupplierData_Backend[[#This Row],[Level 2]],rng_Level2Long,0))</f>
        <v>#N/A</v>
      </c>
      <c r="AF74" s="218">
        <f>SupplyChain_SupplierData_Frontend[[#This Row],[Spend with supplier GBP]]</f>
        <v>0</v>
      </c>
      <c r="AG74" s="174" t="s">
        <v>383</v>
      </c>
      <c r="AH74" s="218">
        <f>SupplyChain_SupplierData_Backend[[#This Row],[Data]]</f>
        <v>0</v>
      </c>
      <c r="AI74" s="174" t="s">
        <v>383</v>
      </c>
      <c r="AJ74" s="219">
        <v>0</v>
      </c>
      <c r="AK74" s="219">
        <v>0</v>
      </c>
      <c r="AL74" s="219">
        <f>SupplyChain_SupplierData_Frontend[[#This Row],[Emissions kgCO2e]]/1000</f>
        <v>0</v>
      </c>
      <c r="AM74" s="219">
        <v>0</v>
      </c>
      <c r="AN74" s="219">
        <v>0</v>
      </c>
      <c r="AO74" s="219">
        <v>0</v>
      </c>
      <c r="AP74" s="219">
        <f>SUM(SupplyChain_SupplierData_Backend[[#This Row],[Scope 1 (tCO2e)]:[Scope 3 WTT T&amp;D (tCO2e)]])</f>
        <v>0</v>
      </c>
      <c r="AQ74" s="219" t="e">
        <f ca="1">SupplyChain_SupplierData_Backend[[#This Row],[Total (tCO2e)]]*(1-SupplyChain_SupplierData_Backend[[#This Row],[RSD]])</f>
        <v>#N/A</v>
      </c>
      <c r="AR74" s="219" t="e">
        <f ca="1">SupplyChain_SupplierData_Backend[[#This Row],[Total (tCO2e)]]*(1+SupplyChain_SupplierData_Backend[[#This Row],[RSD]])</f>
        <v>#N/A</v>
      </c>
      <c r="AS74" s="217"/>
      <c r="AT74" s="216">
        <f>SupplyChain_SupplierData_Frontend[[#This Row],[Ease of collection]]</f>
        <v>0</v>
      </c>
      <c r="AU74" s="228">
        <f>SupplyChain_SupplierData_Frontend[[#This Row],[Completeness]]</f>
        <v>0</v>
      </c>
      <c r="AV74" s="228">
        <f>SupplyChain_SupplierData_Frontend[[#This Row],[Notes]]</f>
        <v>0</v>
      </c>
    </row>
    <row r="75" spans="1:48" customFormat="1" ht="17.5" customHeight="1" x14ac:dyDescent="0.35">
      <c r="A75" s="147"/>
      <c r="B75" s="169"/>
      <c r="C75" s="147"/>
      <c r="D75" s="147"/>
      <c r="E75" s="206"/>
      <c r="F75" s="425"/>
      <c r="G75" s="425"/>
      <c r="H75" s="425"/>
      <c r="I75" s="426"/>
      <c r="J75" s="427"/>
      <c r="K75" s="425"/>
      <c r="L75" s="428"/>
      <c r="M75" s="425"/>
      <c r="N75" s="425"/>
      <c r="O75" s="387"/>
      <c r="P75" s="387"/>
      <c r="Q75" s="388"/>
      <c r="R75" s="242">
        <f t="shared" si="1"/>
        <v>9</v>
      </c>
      <c r="U75" s="214" t="str">
        <f t="shared" si="2"/>
        <v/>
      </c>
      <c r="V75" s="216" t="s">
        <v>267</v>
      </c>
      <c r="W75" s="174" t="s">
        <v>385</v>
      </c>
      <c r="X75" s="216" t="str" cm="1">
        <f t="array" aca="1" ref="X75" ca="1">_xlfn.XLOOKUP(SupplyChain_SupplierData_Backend[[#This Row],[Level 2]],rng_Level2Long,rng_Level3Long)</f>
        <v>Supply chain</v>
      </c>
      <c r="Y75" s="216">
        <f>SupplyChain_SupplierData_Frontend[[#This Row],[Category]]</f>
        <v>0</v>
      </c>
      <c r="Z75" s="216">
        <f>SupplyChain_SupplierData_Frontend[[#This Row],[Product category]]</f>
        <v>0</v>
      </c>
      <c r="AA75" s="216" t="e" cm="1">
        <f t="array" aca="1" ref="AA75" ca="1">_xlfn.XLOOKUP(SupplyChain_SupplierData_Backend[[#This Row],[Level 5]],rng_Level5Long,rng_Level6Long)</f>
        <v>#N/A</v>
      </c>
      <c r="AB75" s="216">
        <f>SupplyChain_SupplierData_Frontend[[#This Row],[Data type]]</f>
        <v>0</v>
      </c>
      <c r="AC75" s="414">
        <f>SupplyChain_SupplierData_Frontend[[#This Row],[Data assessment score]]</f>
        <v>0</v>
      </c>
      <c r="AD75" s="216">
        <f>SupplyChain_SupplierData_Frontend[[#This Row],[Methodology]]</f>
        <v>0</v>
      </c>
      <c r="AE75" s="396" t="e" cm="1">
        <f t="array" aca="1" ref="AE75" ca="1">INDEX(_xlfn.SWITCH(SupplyChain_SupplierData_Backend[[#This Row],[Methodology]],"Tier 1",rng_RSD1,"Tier 2",rng_RSD2,"Tier 3",rng_RSD3),MATCH(SupplyChain_SupplierData_Backend[[#This Row],[Level 2]],rng_Level2Long,0))</f>
        <v>#N/A</v>
      </c>
      <c r="AF75" s="218">
        <f>SupplyChain_SupplierData_Frontend[[#This Row],[Spend with supplier GBP]]</f>
        <v>0</v>
      </c>
      <c r="AG75" s="174" t="s">
        <v>383</v>
      </c>
      <c r="AH75" s="218">
        <f>SupplyChain_SupplierData_Backend[[#This Row],[Data]]</f>
        <v>0</v>
      </c>
      <c r="AI75" s="174" t="s">
        <v>383</v>
      </c>
      <c r="AJ75" s="219">
        <v>0</v>
      </c>
      <c r="AK75" s="219">
        <v>0</v>
      </c>
      <c r="AL75" s="219">
        <f>SupplyChain_SupplierData_Frontend[[#This Row],[Emissions kgCO2e]]/1000</f>
        <v>0</v>
      </c>
      <c r="AM75" s="219">
        <v>0</v>
      </c>
      <c r="AN75" s="219">
        <v>0</v>
      </c>
      <c r="AO75" s="219">
        <v>0</v>
      </c>
      <c r="AP75" s="219">
        <f>SUM(SupplyChain_SupplierData_Backend[[#This Row],[Scope 1 (tCO2e)]:[Scope 3 WTT T&amp;D (tCO2e)]])</f>
        <v>0</v>
      </c>
      <c r="AQ75" s="219" t="e">
        <f ca="1">SupplyChain_SupplierData_Backend[[#This Row],[Total (tCO2e)]]*(1-SupplyChain_SupplierData_Backend[[#This Row],[RSD]])</f>
        <v>#N/A</v>
      </c>
      <c r="AR75" s="219" t="e">
        <f ca="1">SupplyChain_SupplierData_Backend[[#This Row],[Total (tCO2e)]]*(1+SupplyChain_SupplierData_Backend[[#This Row],[RSD]])</f>
        <v>#N/A</v>
      </c>
      <c r="AS75" s="217"/>
      <c r="AT75" s="216">
        <f>SupplyChain_SupplierData_Frontend[[#This Row],[Ease of collection]]</f>
        <v>0</v>
      </c>
      <c r="AU75" s="228">
        <f>SupplyChain_SupplierData_Frontend[[#This Row],[Completeness]]</f>
        <v>0</v>
      </c>
      <c r="AV75" s="228">
        <f>SupplyChain_SupplierData_Frontend[[#This Row],[Notes]]</f>
        <v>0</v>
      </c>
    </row>
    <row r="76" spans="1:48" customFormat="1" ht="17.5" customHeight="1" x14ac:dyDescent="0.35">
      <c r="A76" s="147"/>
      <c r="B76" s="169"/>
      <c r="C76" s="147"/>
      <c r="D76" s="147"/>
      <c r="E76" s="206"/>
      <c r="F76" s="425"/>
      <c r="G76" s="425"/>
      <c r="H76" s="425"/>
      <c r="I76" s="426"/>
      <c r="J76" s="427"/>
      <c r="K76" s="425"/>
      <c r="L76" s="428"/>
      <c r="M76" s="425"/>
      <c r="N76" s="425"/>
      <c r="O76" s="387"/>
      <c r="P76" s="387"/>
      <c r="Q76" s="388"/>
      <c r="R76" s="242">
        <f t="shared" si="1"/>
        <v>9</v>
      </c>
      <c r="U76" s="214" t="str">
        <f t="shared" si="2"/>
        <v/>
      </c>
      <c r="V76" s="216" t="s">
        <v>267</v>
      </c>
      <c r="W76" s="174" t="s">
        <v>385</v>
      </c>
      <c r="X76" s="216" t="str" cm="1">
        <f t="array" aca="1" ref="X76" ca="1">_xlfn.XLOOKUP(SupplyChain_SupplierData_Backend[[#This Row],[Level 2]],rng_Level2Long,rng_Level3Long)</f>
        <v>Supply chain</v>
      </c>
      <c r="Y76" s="216">
        <f>SupplyChain_SupplierData_Frontend[[#This Row],[Category]]</f>
        <v>0</v>
      </c>
      <c r="Z76" s="216">
        <f>SupplyChain_SupplierData_Frontend[[#This Row],[Product category]]</f>
        <v>0</v>
      </c>
      <c r="AA76" s="216" t="e" cm="1">
        <f t="array" aca="1" ref="AA76" ca="1">_xlfn.XLOOKUP(SupplyChain_SupplierData_Backend[[#This Row],[Level 5]],rng_Level5Long,rng_Level6Long)</f>
        <v>#N/A</v>
      </c>
      <c r="AB76" s="216">
        <f>SupplyChain_SupplierData_Frontend[[#This Row],[Data type]]</f>
        <v>0</v>
      </c>
      <c r="AC76" s="414">
        <f>SupplyChain_SupplierData_Frontend[[#This Row],[Data assessment score]]</f>
        <v>0</v>
      </c>
      <c r="AD76" s="216">
        <f>SupplyChain_SupplierData_Frontend[[#This Row],[Methodology]]</f>
        <v>0</v>
      </c>
      <c r="AE76" s="396" t="e" cm="1">
        <f t="array" aca="1" ref="AE76" ca="1">INDEX(_xlfn.SWITCH(SupplyChain_SupplierData_Backend[[#This Row],[Methodology]],"Tier 1",rng_RSD1,"Tier 2",rng_RSD2,"Tier 3",rng_RSD3),MATCH(SupplyChain_SupplierData_Backend[[#This Row],[Level 2]],rng_Level2Long,0))</f>
        <v>#N/A</v>
      </c>
      <c r="AF76" s="218">
        <f>SupplyChain_SupplierData_Frontend[[#This Row],[Spend with supplier GBP]]</f>
        <v>0</v>
      </c>
      <c r="AG76" s="174" t="s">
        <v>383</v>
      </c>
      <c r="AH76" s="218">
        <f>SupplyChain_SupplierData_Backend[[#This Row],[Data]]</f>
        <v>0</v>
      </c>
      <c r="AI76" s="174" t="s">
        <v>383</v>
      </c>
      <c r="AJ76" s="219">
        <v>0</v>
      </c>
      <c r="AK76" s="219">
        <v>0</v>
      </c>
      <c r="AL76" s="219">
        <f>SupplyChain_SupplierData_Frontend[[#This Row],[Emissions kgCO2e]]/1000</f>
        <v>0</v>
      </c>
      <c r="AM76" s="219">
        <v>0</v>
      </c>
      <c r="AN76" s="219">
        <v>0</v>
      </c>
      <c r="AO76" s="219">
        <v>0</v>
      </c>
      <c r="AP76" s="219">
        <f>SUM(SupplyChain_SupplierData_Backend[[#This Row],[Scope 1 (tCO2e)]:[Scope 3 WTT T&amp;D (tCO2e)]])</f>
        <v>0</v>
      </c>
      <c r="AQ76" s="219" t="e">
        <f ca="1">SupplyChain_SupplierData_Backend[[#This Row],[Total (tCO2e)]]*(1-SupplyChain_SupplierData_Backend[[#This Row],[RSD]])</f>
        <v>#N/A</v>
      </c>
      <c r="AR76" s="219" t="e">
        <f ca="1">SupplyChain_SupplierData_Backend[[#This Row],[Total (tCO2e)]]*(1+SupplyChain_SupplierData_Backend[[#This Row],[RSD]])</f>
        <v>#N/A</v>
      </c>
      <c r="AS76" s="217"/>
      <c r="AT76" s="216">
        <f>SupplyChain_SupplierData_Frontend[[#This Row],[Ease of collection]]</f>
        <v>0</v>
      </c>
      <c r="AU76" s="228">
        <f>SupplyChain_SupplierData_Frontend[[#This Row],[Completeness]]</f>
        <v>0</v>
      </c>
      <c r="AV76" s="228">
        <f>SupplyChain_SupplierData_Frontend[[#This Row],[Notes]]</f>
        <v>0</v>
      </c>
    </row>
    <row r="77" spans="1:48" customFormat="1" ht="17.5" customHeight="1" x14ac:dyDescent="0.35">
      <c r="A77" s="147"/>
      <c r="B77" s="169"/>
      <c r="C77" s="147"/>
      <c r="D77" s="147"/>
      <c r="E77" s="206"/>
      <c r="F77" s="425"/>
      <c r="G77" s="425"/>
      <c r="H77" s="425"/>
      <c r="I77" s="426"/>
      <c r="J77" s="427"/>
      <c r="K77" s="425"/>
      <c r="L77" s="428"/>
      <c r="M77" s="425"/>
      <c r="N77" s="425"/>
      <c r="O77" s="387"/>
      <c r="P77" s="387"/>
      <c r="Q77" s="388"/>
      <c r="R77" s="242">
        <f t="shared" si="1"/>
        <v>9</v>
      </c>
      <c r="U77" s="214" t="str">
        <f t="shared" si="2"/>
        <v/>
      </c>
      <c r="V77" s="216" t="s">
        <v>267</v>
      </c>
      <c r="W77" s="174" t="s">
        <v>385</v>
      </c>
      <c r="X77" s="216" t="str" cm="1">
        <f t="array" aca="1" ref="X77" ca="1">_xlfn.XLOOKUP(SupplyChain_SupplierData_Backend[[#This Row],[Level 2]],rng_Level2Long,rng_Level3Long)</f>
        <v>Supply chain</v>
      </c>
      <c r="Y77" s="216">
        <f>SupplyChain_SupplierData_Frontend[[#This Row],[Category]]</f>
        <v>0</v>
      </c>
      <c r="Z77" s="216">
        <f>SupplyChain_SupplierData_Frontend[[#This Row],[Product category]]</f>
        <v>0</v>
      </c>
      <c r="AA77" s="216" t="e" cm="1">
        <f t="array" aca="1" ref="AA77" ca="1">_xlfn.XLOOKUP(SupplyChain_SupplierData_Backend[[#This Row],[Level 5]],rng_Level5Long,rng_Level6Long)</f>
        <v>#N/A</v>
      </c>
      <c r="AB77" s="216">
        <f>SupplyChain_SupplierData_Frontend[[#This Row],[Data type]]</f>
        <v>0</v>
      </c>
      <c r="AC77" s="414">
        <f>SupplyChain_SupplierData_Frontend[[#This Row],[Data assessment score]]</f>
        <v>0</v>
      </c>
      <c r="AD77" s="216">
        <f>SupplyChain_SupplierData_Frontend[[#This Row],[Methodology]]</f>
        <v>0</v>
      </c>
      <c r="AE77" s="396" t="e" cm="1">
        <f t="array" aca="1" ref="AE77" ca="1">INDEX(_xlfn.SWITCH(SupplyChain_SupplierData_Backend[[#This Row],[Methodology]],"Tier 1",rng_RSD1,"Tier 2",rng_RSD2,"Tier 3",rng_RSD3),MATCH(SupplyChain_SupplierData_Backend[[#This Row],[Level 2]],rng_Level2Long,0))</f>
        <v>#N/A</v>
      </c>
      <c r="AF77" s="218">
        <f>SupplyChain_SupplierData_Frontend[[#This Row],[Spend with supplier GBP]]</f>
        <v>0</v>
      </c>
      <c r="AG77" s="174" t="s">
        <v>383</v>
      </c>
      <c r="AH77" s="218">
        <f>SupplyChain_SupplierData_Backend[[#This Row],[Data]]</f>
        <v>0</v>
      </c>
      <c r="AI77" s="174" t="s">
        <v>383</v>
      </c>
      <c r="AJ77" s="219">
        <v>0</v>
      </c>
      <c r="AK77" s="219">
        <v>0</v>
      </c>
      <c r="AL77" s="219">
        <f>SupplyChain_SupplierData_Frontend[[#This Row],[Emissions kgCO2e]]/1000</f>
        <v>0</v>
      </c>
      <c r="AM77" s="219">
        <v>0</v>
      </c>
      <c r="AN77" s="219">
        <v>0</v>
      </c>
      <c r="AO77" s="219">
        <v>0</v>
      </c>
      <c r="AP77" s="219">
        <f>SUM(SupplyChain_SupplierData_Backend[[#This Row],[Scope 1 (tCO2e)]:[Scope 3 WTT T&amp;D (tCO2e)]])</f>
        <v>0</v>
      </c>
      <c r="AQ77" s="219" t="e">
        <f ca="1">SupplyChain_SupplierData_Backend[[#This Row],[Total (tCO2e)]]*(1-SupplyChain_SupplierData_Backend[[#This Row],[RSD]])</f>
        <v>#N/A</v>
      </c>
      <c r="AR77" s="219" t="e">
        <f ca="1">SupplyChain_SupplierData_Backend[[#This Row],[Total (tCO2e)]]*(1+SupplyChain_SupplierData_Backend[[#This Row],[RSD]])</f>
        <v>#N/A</v>
      </c>
      <c r="AS77" s="217"/>
      <c r="AT77" s="216">
        <f>SupplyChain_SupplierData_Frontend[[#This Row],[Ease of collection]]</f>
        <v>0</v>
      </c>
      <c r="AU77" s="228">
        <f>SupplyChain_SupplierData_Frontend[[#This Row],[Completeness]]</f>
        <v>0</v>
      </c>
      <c r="AV77" s="228">
        <f>SupplyChain_SupplierData_Frontend[[#This Row],[Notes]]</f>
        <v>0</v>
      </c>
    </row>
    <row r="78" spans="1:48" customFormat="1" ht="17.5" customHeight="1" x14ac:dyDescent="0.35">
      <c r="A78" s="147"/>
      <c r="B78" s="169"/>
      <c r="C78" s="147"/>
      <c r="D78" s="204">
        <v>17</v>
      </c>
      <c r="E78" s="206" t="s">
        <v>398</v>
      </c>
      <c r="F78" s="425"/>
      <c r="G78" s="425"/>
      <c r="H78" s="425"/>
      <c r="I78" s="426"/>
      <c r="J78" s="427"/>
      <c r="K78" s="425"/>
      <c r="L78" s="428"/>
      <c r="M78" s="425"/>
      <c r="N78" s="425"/>
      <c r="O78" s="387"/>
      <c r="P78" s="387"/>
      <c r="Q78" s="388"/>
      <c r="R78" s="242">
        <f t="shared" si="1"/>
        <v>9</v>
      </c>
      <c r="U78" s="214" t="str">
        <f t="shared" ref="U78:U94" si="3">IF(R78=0,SUBSTITUTE(2025&amp;TRIM(cl_org_name_select)&amp;TRIM($F$10)&amp;(ROW(R78)-ROW($R$14))," ",""),"")</f>
        <v/>
      </c>
      <c r="V78" s="216" t="s">
        <v>267</v>
      </c>
      <c r="W78" s="174" t="s">
        <v>385</v>
      </c>
      <c r="X78" s="216" t="str" cm="1">
        <f t="array" aca="1" ref="X78" ca="1">_xlfn.XLOOKUP(SupplyChain_SupplierData_Backend[[#This Row],[Level 2]],rng_Level2Long,rng_Level3Long)</f>
        <v>Supply chain</v>
      </c>
      <c r="Y78" s="216">
        <f>SupplyChain_SupplierData_Frontend[[#This Row],[Category]]</f>
        <v>0</v>
      </c>
      <c r="Z78" s="216">
        <f>SupplyChain_SupplierData_Frontend[[#This Row],[Product category]]</f>
        <v>0</v>
      </c>
      <c r="AA78" s="216" t="e" cm="1">
        <f t="array" aca="1" ref="AA78" ca="1">_xlfn.XLOOKUP(SupplyChain_SupplierData_Backend[[#This Row],[Level 5]],rng_Level5Long,rng_Level6Long)</f>
        <v>#N/A</v>
      </c>
      <c r="AB78" s="216">
        <f>SupplyChain_SupplierData_Frontend[[#This Row],[Data type]]</f>
        <v>0</v>
      </c>
      <c r="AC78" s="414">
        <f>SupplyChain_SupplierData_Frontend[[#This Row],[Data assessment score]]</f>
        <v>0</v>
      </c>
      <c r="AD78" s="216">
        <f>SupplyChain_SupplierData_Frontend[[#This Row],[Methodology]]</f>
        <v>0</v>
      </c>
      <c r="AE78" s="396" t="e" cm="1">
        <f t="array" aca="1" ref="AE78" ca="1">INDEX(_xlfn.SWITCH(SupplyChain_SupplierData_Backend[[#This Row],[Methodology]],"Tier 1",rng_RSD1,"Tier 2",rng_RSD2,"Tier 3",rng_RSD3),MATCH(SupplyChain_SupplierData_Backend[[#This Row],[Level 2]],rng_Level2Long,0))</f>
        <v>#N/A</v>
      </c>
      <c r="AF78" s="218">
        <f>SupplyChain_SupplierData_Frontend[[#This Row],[Spend with supplier GBP]]</f>
        <v>0</v>
      </c>
      <c r="AG78" s="174" t="s">
        <v>383</v>
      </c>
      <c r="AH78" s="218">
        <f>SupplyChain_SupplierData_Backend[[#This Row],[Data]]</f>
        <v>0</v>
      </c>
      <c r="AI78" s="174" t="s">
        <v>383</v>
      </c>
      <c r="AJ78" s="219">
        <v>0</v>
      </c>
      <c r="AK78" s="219">
        <v>0</v>
      </c>
      <c r="AL78" s="219">
        <f>SupplyChain_SupplierData_Frontend[[#This Row],[Emissions kgCO2e]]/1000</f>
        <v>0</v>
      </c>
      <c r="AM78" s="219">
        <v>0</v>
      </c>
      <c r="AN78" s="219">
        <v>0</v>
      </c>
      <c r="AO78" s="219">
        <v>0</v>
      </c>
      <c r="AP78" s="219">
        <f>SUM(SupplyChain_SupplierData_Backend[[#This Row],[Scope 1 (tCO2e)]:[Scope 3 WTT T&amp;D (tCO2e)]])</f>
        <v>0</v>
      </c>
      <c r="AQ78" s="219" t="e">
        <f ca="1">SupplyChain_SupplierData_Backend[[#This Row],[Total (tCO2e)]]*(1-SupplyChain_SupplierData_Backend[[#This Row],[RSD]])</f>
        <v>#N/A</v>
      </c>
      <c r="AR78" s="219" t="e">
        <f ca="1">SupplyChain_SupplierData_Backend[[#This Row],[Total (tCO2e)]]*(1+SupplyChain_SupplierData_Backend[[#This Row],[RSD]])</f>
        <v>#N/A</v>
      </c>
      <c r="AS78" s="217"/>
      <c r="AT78" s="216">
        <f>SupplyChain_SupplierData_Frontend[[#This Row],[Ease of collection]]</f>
        <v>0</v>
      </c>
      <c r="AU78" s="228">
        <f>SupplyChain_SupplierData_Frontend[[#This Row],[Completeness]]</f>
        <v>0</v>
      </c>
      <c r="AV78" s="228">
        <f>SupplyChain_SupplierData_Frontend[[#This Row],[Notes]]</f>
        <v>0</v>
      </c>
    </row>
    <row r="79" spans="1:48" customFormat="1" ht="17.5" customHeight="1" x14ac:dyDescent="0.35">
      <c r="A79" s="147"/>
      <c r="B79" s="169"/>
      <c r="C79" s="147"/>
      <c r="D79" s="147"/>
      <c r="E79" s="206"/>
      <c r="F79" s="425"/>
      <c r="G79" s="425"/>
      <c r="H79" s="425"/>
      <c r="I79" s="426"/>
      <c r="J79" s="427"/>
      <c r="K79" s="425"/>
      <c r="L79" s="428"/>
      <c r="M79" s="425"/>
      <c r="N79" s="425"/>
      <c r="O79" s="387"/>
      <c r="P79" s="387"/>
      <c r="Q79" s="388"/>
      <c r="R79" s="242">
        <f t="shared" ref="R79:R94" si="4">ISBLANK(F79)+ISBLANK(G79)+ISBLANK(H79)+ISBLANK(I79)+ISBLANK(J79)+ISBLANK(K79)+ISBLANK(L79)+ISBLANK(M79)+ISBLANK(N79)</f>
        <v>9</v>
      </c>
      <c r="U79" s="214" t="str">
        <f t="shared" si="3"/>
        <v/>
      </c>
      <c r="V79" s="216" t="s">
        <v>267</v>
      </c>
      <c r="W79" s="174" t="s">
        <v>385</v>
      </c>
      <c r="X79" s="216" t="str" cm="1">
        <f t="array" aca="1" ref="X79" ca="1">_xlfn.XLOOKUP(SupplyChain_SupplierData_Backend[[#This Row],[Level 2]],rng_Level2Long,rng_Level3Long)</f>
        <v>Supply chain</v>
      </c>
      <c r="Y79" s="216">
        <f>SupplyChain_SupplierData_Frontend[[#This Row],[Category]]</f>
        <v>0</v>
      </c>
      <c r="Z79" s="216">
        <f>SupplyChain_SupplierData_Frontend[[#This Row],[Product category]]</f>
        <v>0</v>
      </c>
      <c r="AA79" s="216" t="e" cm="1">
        <f t="array" aca="1" ref="AA79" ca="1">_xlfn.XLOOKUP(SupplyChain_SupplierData_Backend[[#This Row],[Level 5]],rng_Level5Long,rng_Level6Long)</f>
        <v>#N/A</v>
      </c>
      <c r="AB79" s="216">
        <f>SupplyChain_SupplierData_Frontend[[#This Row],[Data type]]</f>
        <v>0</v>
      </c>
      <c r="AC79" s="414">
        <f>SupplyChain_SupplierData_Frontend[[#This Row],[Data assessment score]]</f>
        <v>0</v>
      </c>
      <c r="AD79" s="216">
        <f>SupplyChain_SupplierData_Frontend[[#This Row],[Methodology]]</f>
        <v>0</v>
      </c>
      <c r="AE79" s="396" t="e" cm="1">
        <f t="array" aca="1" ref="AE79" ca="1">INDEX(_xlfn.SWITCH(SupplyChain_SupplierData_Backend[[#This Row],[Methodology]],"Tier 1",rng_RSD1,"Tier 2",rng_RSD2,"Tier 3",rng_RSD3),MATCH(SupplyChain_SupplierData_Backend[[#This Row],[Level 2]],rng_Level2Long,0))</f>
        <v>#N/A</v>
      </c>
      <c r="AF79" s="218">
        <f>SupplyChain_SupplierData_Frontend[[#This Row],[Spend with supplier GBP]]</f>
        <v>0</v>
      </c>
      <c r="AG79" s="174" t="s">
        <v>383</v>
      </c>
      <c r="AH79" s="218">
        <f>SupplyChain_SupplierData_Backend[[#This Row],[Data]]</f>
        <v>0</v>
      </c>
      <c r="AI79" s="174" t="s">
        <v>383</v>
      </c>
      <c r="AJ79" s="219">
        <v>0</v>
      </c>
      <c r="AK79" s="219">
        <v>0</v>
      </c>
      <c r="AL79" s="219">
        <f>SupplyChain_SupplierData_Frontend[[#This Row],[Emissions kgCO2e]]/1000</f>
        <v>0</v>
      </c>
      <c r="AM79" s="219">
        <v>0</v>
      </c>
      <c r="AN79" s="219">
        <v>0</v>
      </c>
      <c r="AO79" s="219">
        <v>0</v>
      </c>
      <c r="AP79" s="219">
        <f>SUM(SupplyChain_SupplierData_Backend[[#This Row],[Scope 1 (tCO2e)]:[Scope 3 WTT T&amp;D (tCO2e)]])</f>
        <v>0</v>
      </c>
      <c r="AQ79" s="219" t="e">
        <f ca="1">SupplyChain_SupplierData_Backend[[#This Row],[Total (tCO2e)]]*(1-SupplyChain_SupplierData_Backend[[#This Row],[RSD]])</f>
        <v>#N/A</v>
      </c>
      <c r="AR79" s="219" t="e">
        <f ca="1">SupplyChain_SupplierData_Backend[[#This Row],[Total (tCO2e)]]*(1+SupplyChain_SupplierData_Backend[[#This Row],[RSD]])</f>
        <v>#N/A</v>
      </c>
      <c r="AS79" s="217"/>
      <c r="AT79" s="216">
        <f>SupplyChain_SupplierData_Frontend[[#This Row],[Ease of collection]]</f>
        <v>0</v>
      </c>
      <c r="AU79" s="228">
        <f>SupplyChain_SupplierData_Frontend[[#This Row],[Completeness]]</f>
        <v>0</v>
      </c>
      <c r="AV79" s="228">
        <f>SupplyChain_SupplierData_Frontend[[#This Row],[Notes]]</f>
        <v>0</v>
      </c>
    </row>
    <row r="80" spans="1:48" customFormat="1" ht="17.5" customHeight="1" x14ac:dyDescent="0.35">
      <c r="A80" s="147"/>
      <c r="B80" s="169"/>
      <c r="C80" s="147"/>
      <c r="D80" s="147"/>
      <c r="E80" s="206"/>
      <c r="F80" s="425"/>
      <c r="G80" s="425"/>
      <c r="H80" s="425"/>
      <c r="I80" s="426"/>
      <c r="J80" s="427"/>
      <c r="K80" s="425"/>
      <c r="L80" s="428"/>
      <c r="M80" s="425"/>
      <c r="N80" s="425"/>
      <c r="O80" s="387"/>
      <c r="P80" s="387"/>
      <c r="Q80" s="388"/>
      <c r="R80" s="242">
        <f t="shared" si="4"/>
        <v>9</v>
      </c>
      <c r="U80" s="214" t="str">
        <f t="shared" si="3"/>
        <v/>
      </c>
      <c r="V80" s="216" t="s">
        <v>267</v>
      </c>
      <c r="W80" s="174" t="s">
        <v>385</v>
      </c>
      <c r="X80" s="216" t="str" cm="1">
        <f t="array" aca="1" ref="X80" ca="1">_xlfn.XLOOKUP(SupplyChain_SupplierData_Backend[[#This Row],[Level 2]],rng_Level2Long,rng_Level3Long)</f>
        <v>Supply chain</v>
      </c>
      <c r="Y80" s="216">
        <f>SupplyChain_SupplierData_Frontend[[#This Row],[Category]]</f>
        <v>0</v>
      </c>
      <c r="Z80" s="216">
        <f>SupplyChain_SupplierData_Frontend[[#This Row],[Product category]]</f>
        <v>0</v>
      </c>
      <c r="AA80" s="216" t="e" cm="1">
        <f t="array" aca="1" ref="AA80" ca="1">_xlfn.XLOOKUP(SupplyChain_SupplierData_Backend[[#This Row],[Level 5]],rng_Level5Long,rng_Level6Long)</f>
        <v>#N/A</v>
      </c>
      <c r="AB80" s="216">
        <f>SupplyChain_SupplierData_Frontend[[#This Row],[Data type]]</f>
        <v>0</v>
      </c>
      <c r="AC80" s="414">
        <f>SupplyChain_SupplierData_Frontend[[#This Row],[Data assessment score]]</f>
        <v>0</v>
      </c>
      <c r="AD80" s="216">
        <f>SupplyChain_SupplierData_Frontend[[#This Row],[Methodology]]</f>
        <v>0</v>
      </c>
      <c r="AE80" s="396" t="e" cm="1">
        <f t="array" aca="1" ref="AE80" ca="1">INDEX(_xlfn.SWITCH(SupplyChain_SupplierData_Backend[[#This Row],[Methodology]],"Tier 1",rng_RSD1,"Tier 2",rng_RSD2,"Tier 3",rng_RSD3),MATCH(SupplyChain_SupplierData_Backend[[#This Row],[Level 2]],rng_Level2Long,0))</f>
        <v>#N/A</v>
      </c>
      <c r="AF80" s="218">
        <f>SupplyChain_SupplierData_Frontend[[#This Row],[Spend with supplier GBP]]</f>
        <v>0</v>
      </c>
      <c r="AG80" s="174" t="s">
        <v>383</v>
      </c>
      <c r="AH80" s="218">
        <f>SupplyChain_SupplierData_Backend[[#This Row],[Data]]</f>
        <v>0</v>
      </c>
      <c r="AI80" s="174" t="s">
        <v>383</v>
      </c>
      <c r="AJ80" s="219">
        <v>0</v>
      </c>
      <c r="AK80" s="219">
        <v>0</v>
      </c>
      <c r="AL80" s="219">
        <f>SupplyChain_SupplierData_Frontend[[#This Row],[Emissions kgCO2e]]/1000</f>
        <v>0</v>
      </c>
      <c r="AM80" s="219">
        <v>0</v>
      </c>
      <c r="AN80" s="219">
        <v>0</v>
      </c>
      <c r="AO80" s="219">
        <v>0</v>
      </c>
      <c r="AP80" s="219">
        <f>SUM(SupplyChain_SupplierData_Backend[[#This Row],[Scope 1 (tCO2e)]:[Scope 3 WTT T&amp;D (tCO2e)]])</f>
        <v>0</v>
      </c>
      <c r="AQ80" s="219" t="e">
        <f ca="1">SupplyChain_SupplierData_Backend[[#This Row],[Total (tCO2e)]]*(1-SupplyChain_SupplierData_Backend[[#This Row],[RSD]])</f>
        <v>#N/A</v>
      </c>
      <c r="AR80" s="219" t="e">
        <f ca="1">SupplyChain_SupplierData_Backend[[#This Row],[Total (tCO2e)]]*(1+SupplyChain_SupplierData_Backend[[#This Row],[RSD]])</f>
        <v>#N/A</v>
      </c>
      <c r="AS80" s="217"/>
      <c r="AT80" s="216">
        <f>SupplyChain_SupplierData_Frontend[[#This Row],[Ease of collection]]</f>
        <v>0</v>
      </c>
      <c r="AU80" s="228">
        <f>SupplyChain_SupplierData_Frontend[[#This Row],[Completeness]]</f>
        <v>0</v>
      </c>
      <c r="AV80" s="228">
        <f>SupplyChain_SupplierData_Frontend[[#This Row],[Notes]]</f>
        <v>0</v>
      </c>
    </row>
    <row r="81" spans="1:48" customFormat="1" ht="17.5" customHeight="1" x14ac:dyDescent="0.35">
      <c r="A81" s="147"/>
      <c r="B81" s="169"/>
      <c r="C81" s="147"/>
      <c r="D81" s="147"/>
      <c r="E81" s="206"/>
      <c r="F81" s="425"/>
      <c r="G81" s="425"/>
      <c r="H81" s="425"/>
      <c r="I81" s="426"/>
      <c r="J81" s="427"/>
      <c r="K81" s="425"/>
      <c r="L81" s="428"/>
      <c r="M81" s="425"/>
      <c r="N81" s="425"/>
      <c r="O81" s="387"/>
      <c r="P81" s="387"/>
      <c r="Q81" s="388"/>
      <c r="R81" s="242">
        <f t="shared" si="4"/>
        <v>9</v>
      </c>
      <c r="U81" s="214" t="str">
        <f t="shared" si="3"/>
        <v/>
      </c>
      <c r="V81" s="216" t="s">
        <v>267</v>
      </c>
      <c r="W81" s="174" t="s">
        <v>385</v>
      </c>
      <c r="X81" s="216" t="str" cm="1">
        <f t="array" aca="1" ref="X81" ca="1">_xlfn.XLOOKUP(SupplyChain_SupplierData_Backend[[#This Row],[Level 2]],rng_Level2Long,rng_Level3Long)</f>
        <v>Supply chain</v>
      </c>
      <c r="Y81" s="216">
        <f>SupplyChain_SupplierData_Frontend[[#This Row],[Category]]</f>
        <v>0</v>
      </c>
      <c r="Z81" s="216">
        <f>SupplyChain_SupplierData_Frontend[[#This Row],[Product category]]</f>
        <v>0</v>
      </c>
      <c r="AA81" s="216" t="e" cm="1">
        <f t="array" aca="1" ref="AA81" ca="1">_xlfn.XLOOKUP(SupplyChain_SupplierData_Backend[[#This Row],[Level 5]],rng_Level5Long,rng_Level6Long)</f>
        <v>#N/A</v>
      </c>
      <c r="AB81" s="216">
        <f>SupplyChain_SupplierData_Frontend[[#This Row],[Data type]]</f>
        <v>0</v>
      </c>
      <c r="AC81" s="414">
        <f>SupplyChain_SupplierData_Frontend[[#This Row],[Data assessment score]]</f>
        <v>0</v>
      </c>
      <c r="AD81" s="216">
        <f>SupplyChain_SupplierData_Frontend[[#This Row],[Methodology]]</f>
        <v>0</v>
      </c>
      <c r="AE81" s="396" t="e" cm="1">
        <f t="array" aca="1" ref="AE81" ca="1">INDEX(_xlfn.SWITCH(SupplyChain_SupplierData_Backend[[#This Row],[Methodology]],"Tier 1",rng_RSD1,"Tier 2",rng_RSD2,"Tier 3",rng_RSD3),MATCH(SupplyChain_SupplierData_Backend[[#This Row],[Level 2]],rng_Level2Long,0))</f>
        <v>#N/A</v>
      </c>
      <c r="AF81" s="218">
        <f>SupplyChain_SupplierData_Frontend[[#This Row],[Spend with supplier GBP]]</f>
        <v>0</v>
      </c>
      <c r="AG81" s="174" t="s">
        <v>383</v>
      </c>
      <c r="AH81" s="218">
        <f>SupplyChain_SupplierData_Backend[[#This Row],[Data]]</f>
        <v>0</v>
      </c>
      <c r="AI81" s="174" t="s">
        <v>383</v>
      </c>
      <c r="AJ81" s="219">
        <v>0</v>
      </c>
      <c r="AK81" s="219">
        <v>0</v>
      </c>
      <c r="AL81" s="219">
        <f>SupplyChain_SupplierData_Frontend[[#This Row],[Emissions kgCO2e]]/1000</f>
        <v>0</v>
      </c>
      <c r="AM81" s="219">
        <v>0</v>
      </c>
      <c r="AN81" s="219">
        <v>0</v>
      </c>
      <c r="AO81" s="219">
        <v>0</v>
      </c>
      <c r="AP81" s="219">
        <f>SUM(SupplyChain_SupplierData_Backend[[#This Row],[Scope 1 (tCO2e)]:[Scope 3 WTT T&amp;D (tCO2e)]])</f>
        <v>0</v>
      </c>
      <c r="AQ81" s="219" t="e">
        <f ca="1">SupplyChain_SupplierData_Backend[[#This Row],[Total (tCO2e)]]*(1-SupplyChain_SupplierData_Backend[[#This Row],[RSD]])</f>
        <v>#N/A</v>
      </c>
      <c r="AR81" s="219" t="e">
        <f ca="1">SupplyChain_SupplierData_Backend[[#This Row],[Total (tCO2e)]]*(1+SupplyChain_SupplierData_Backend[[#This Row],[RSD]])</f>
        <v>#N/A</v>
      </c>
      <c r="AS81" s="217"/>
      <c r="AT81" s="216">
        <f>SupplyChain_SupplierData_Frontend[[#This Row],[Ease of collection]]</f>
        <v>0</v>
      </c>
      <c r="AU81" s="228">
        <f>SupplyChain_SupplierData_Frontend[[#This Row],[Completeness]]</f>
        <v>0</v>
      </c>
      <c r="AV81" s="228">
        <f>SupplyChain_SupplierData_Frontend[[#This Row],[Notes]]</f>
        <v>0</v>
      </c>
    </row>
    <row r="82" spans="1:48" customFormat="1" ht="17.5" customHeight="1" x14ac:dyDescent="0.35">
      <c r="A82" s="147"/>
      <c r="B82" s="169"/>
      <c r="C82" s="147"/>
      <c r="D82" s="204">
        <v>18</v>
      </c>
      <c r="E82" s="206" t="s">
        <v>398</v>
      </c>
      <c r="F82" s="425"/>
      <c r="G82" s="425"/>
      <c r="H82" s="425"/>
      <c r="I82" s="426"/>
      <c r="J82" s="427"/>
      <c r="K82" s="425"/>
      <c r="L82" s="428"/>
      <c r="M82" s="425"/>
      <c r="N82" s="425"/>
      <c r="O82" s="387"/>
      <c r="P82" s="387"/>
      <c r="Q82" s="388"/>
      <c r="R82" s="242">
        <f t="shared" si="4"/>
        <v>9</v>
      </c>
      <c r="U82" s="214" t="str">
        <f t="shared" si="3"/>
        <v/>
      </c>
      <c r="V82" s="216" t="s">
        <v>267</v>
      </c>
      <c r="W82" s="174" t="s">
        <v>385</v>
      </c>
      <c r="X82" s="216" t="str" cm="1">
        <f t="array" aca="1" ref="X82" ca="1">_xlfn.XLOOKUP(SupplyChain_SupplierData_Backend[[#This Row],[Level 2]],rng_Level2Long,rng_Level3Long)</f>
        <v>Supply chain</v>
      </c>
      <c r="Y82" s="216">
        <f>SupplyChain_SupplierData_Frontend[[#This Row],[Category]]</f>
        <v>0</v>
      </c>
      <c r="Z82" s="216">
        <f>SupplyChain_SupplierData_Frontend[[#This Row],[Product category]]</f>
        <v>0</v>
      </c>
      <c r="AA82" s="216" t="e" cm="1">
        <f t="array" aca="1" ref="AA82" ca="1">_xlfn.XLOOKUP(SupplyChain_SupplierData_Backend[[#This Row],[Level 5]],rng_Level5Long,rng_Level6Long)</f>
        <v>#N/A</v>
      </c>
      <c r="AB82" s="216">
        <f>SupplyChain_SupplierData_Frontend[[#This Row],[Data type]]</f>
        <v>0</v>
      </c>
      <c r="AC82" s="414">
        <f>SupplyChain_SupplierData_Frontend[[#This Row],[Data assessment score]]</f>
        <v>0</v>
      </c>
      <c r="AD82" s="216">
        <f>SupplyChain_SupplierData_Frontend[[#This Row],[Methodology]]</f>
        <v>0</v>
      </c>
      <c r="AE82" s="396" t="e" cm="1">
        <f t="array" aca="1" ref="AE82" ca="1">INDEX(_xlfn.SWITCH(SupplyChain_SupplierData_Backend[[#This Row],[Methodology]],"Tier 1",rng_RSD1,"Tier 2",rng_RSD2,"Tier 3",rng_RSD3),MATCH(SupplyChain_SupplierData_Backend[[#This Row],[Level 2]],rng_Level2Long,0))</f>
        <v>#N/A</v>
      </c>
      <c r="AF82" s="218">
        <f>SupplyChain_SupplierData_Frontend[[#This Row],[Spend with supplier GBP]]</f>
        <v>0</v>
      </c>
      <c r="AG82" s="174" t="s">
        <v>383</v>
      </c>
      <c r="AH82" s="218">
        <f>SupplyChain_SupplierData_Backend[[#This Row],[Data]]</f>
        <v>0</v>
      </c>
      <c r="AI82" s="174" t="s">
        <v>383</v>
      </c>
      <c r="AJ82" s="219">
        <v>0</v>
      </c>
      <c r="AK82" s="219">
        <v>0</v>
      </c>
      <c r="AL82" s="219">
        <f>SupplyChain_SupplierData_Frontend[[#This Row],[Emissions kgCO2e]]/1000</f>
        <v>0</v>
      </c>
      <c r="AM82" s="219">
        <v>0</v>
      </c>
      <c r="AN82" s="219">
        <v>0</v>
      </c>
      <c r="AO82" s="219">
        <v>0</v>
      </c>
      <c r="AP82" s="219">
        <f>SUM(SupplyChain_SupplierData_Backend[[#This Row],[Scope 1 (tCO2e)]:[Scope 3 WTT T&amp;D (tCO2e)]])</f>
        <v>0</v>
      </c>
      <c r="AQ82" s="219" t="e">
        <f ca="1">SupplyChain_SupplierData_Backend[[#This Row],[Total (tCO2e)]]*(1-SupplyChain_SupplierData_Backend[[#This Row],[RSD]])</f>
        <v>#N/A</v>
      </c>
      <c r="AR82" s="219" t="e">
        <f ca="1">SupplyChain_SupplierData_Backend[[#This Row],[Total (tCO2e)]]*(1+SupplyChain_SupplierData_Backend[[#This Row],[RSD]])</f>
        <v>#N/A</v>
      </c>
      <c r="AS82" s="217"/>
      <c r="AT82" s="216">
        <f>SupplyChain_SupplierData_Frontend[[#This Row],[Ease of collection]]</f>
        <v>0</v>
      </c>
      <c r="AU82" s="228">
        <f>SupplyChain_SupplierData_Frontend[[#This Row],[Completeness]]</f>
        <v>0</v>
      </c>
      <c r="AV82" s="228">
        <f>SupplyChain_SupplierData_Frontend[[#This Row],[Notes]]</f>
        <v>0</v>
      </c>
    </row>
    <row r="83" spans="1:48" customFormat="1" ht="17.5" customHeight="1" x14ac:dyDescent="0.35">
      <c r="A83" s="147"/>
      <c r="B83" s="169"/>
      <c r="C83" s="147"/>
      <c r="D83" s="147"/>
      <c r="E83" s="207"/>
      <c r="F83" s="425"/>
      <c r="G83" s="425"/>
      <c r="H83" s="425"/>
      <c r="I83" s="426"/>
      <c r="J83" s="427"/>
      <c r="K83" s="425"/>
      <c r="L83" s="428"/>
      <c r="M83" s="425"/>
      <c r="N83" s="425"/>
      <c r="O83" s="387"/>
      <c r="P83" s="387"/>
      <c r="Q83" s="388"/>
      <c r="R83" s="242">
        <f t="shared" si="4"/>
        <v>9</v>
      </c>
      <c r="U83" s="214" t="str">
        <f t="shared" si="3"/>
        <v/>
      </c>
      <c r="V83" s="216" t="s">
        <v>267</v>
      </c>
      <c r="W83" s="174" t="s">
        <v>385</v>
      </c>
      <c r="X83" s="216" t="str" cm="1">
        <f t="array" aca="1" ref="X83" ca="1">_xlfn.XLOOKUP(SupplyChain_SupplierData_Backend[[#This Row],[Level 2]],rng_Level2Long,rng_Level3Long)</f>
        <v>Supply chain</v>
      </c>
      <c r="Y83" s="216">
        <f>SupplyChain_SupplierData_Frontend[[#This Row],[Category]]</f>
        <v>0</v>
      </c>
      <c r="Z83" s="216">
        <f>SupplyChain_SupplierData_Frontend[[#This Row],[Product category]]</f>
        <v>0</v>
      </c>
      <c r="AA83" s="216" t="e" cm="1">
        <f t="array" aca="1" ref="AA83" ca="1">_xlfn.XLOOKUP(SupplyChain_SupplierData_Backend[[#This Row],[Level 5]],rng_Level5Long,rng_Level6Long)</f>
        <v>#N/A</v>
      </c>
      <c r="AB83" s="216">
        <f>SupplyChain_SupplierData_Frontend[[#This Row],[Data type]]</f>
        <v>0</v>
      </c>
      <c r="AC83" s="414">
        <f>SupplyChain_SupplierData_Frontend[[#This Row],[Data assessment score]]</f>
        <v>0</v>
      </c>
      <c r="AD83" s="216">
        <f>SupplyChain_SupplierData_Frontend[[#This Row],[Methodology]]</f>
        <v>0</v>
      </c>
      <c r="AE83" s="396" t="e" cm="1">
        <f t="array" aca="1" ref="AE83" ca="1">INDEX(_xlfn.SWITCH(SupplyChain_SupplierData_Backend[[#This Row],[Methodology]],"Tier 1",rng_RSD1,"Tier 2",rng_RSD2,"Tier 3",rng_RSD3),MATCH(SupplyChain_SupplierData_Backend[[#This Row],[Level 2]],rng_Level2Long,0))</f>
        <v>#N/A</v>
      </c>
      <c r="AF83" s="218">
        <f>SupplyChain_SupplierData_Frontend[[#This Row],[Spend with supplier GBP]]</f>
        <v>0</v>
      </c>
      <c r="AG83" s="174" t="s">
        <v>383</v>
      </c>
      <c r="AH83" s="218">
        <f>SupplyChain_SupplierData_Backend[[#This Row],[Data]]</f>
        <v>0</v>
      </c>
      <c r="AI83" s="174" t="s">
        <v>383</v>
      </c>
      <c r="AJ83" s="219">
        <v>0</v>
      </c>
      <c r="AK83" s="219">
        <v>0</v>
      </c>
      <c r="AL83" s="219">
        <f>SupplyChain_SupplierData_Frontend[[#This Row],[Emissions kgCO2e]]/1000</f>
        <v>0</v>
      </c>
      <c r="AM83" s="219">
        <v>0</v>
      </c>
      <c r="AN83" s="219">
        <v>0</v>
      </c>
      <c r="AO83" s="219">
        <v>0</v>
      </c>
      <c r="AP83" s="219">
        <f>SUM(SupplyChain_SupplierData_Backend[[#This Row],[Scope 1 (tCO2e)]:[Scope 3 WTT T&amp;D (tCO2e)]])</f>
        <v>0</v>
      </c>
      <c r="AQ83" s="219" t="e">
        <f ca="1">SupplyChain_SupplierData_Backend[[#This Row],[Total (tCO2e)]]*(1-SupplyChain_SupplierData_Backend[[#This Row],[RSD]])</f>
        <v>#N/A</v>
      </c>
      <c r="AR83" s="219" t="e">
        <f ca="1">SupplyChain_SupplierData_Backend[[#This Row],[Total (tCO2e)]]*(1+SupplyChain_SupplierData_Backend[[#This Row],[RSD]])</f>
        <v>#N/A</v>
      </c>
      <c r="AS83" s="217"/>
      <c r="AT83" s="216">
        <f>SupplyChain_SupplierData_Frontend[[#This Row],[Ease of collection]]</f>
        <v>0</v>
      </c>
      <c r="AU83" s="228">
        <f>SupplyChain_SupplierData_Frontend[[#This Row],[Completeness]]</f>
        <v>0</v>
      </c>
      <c r="AV83" s="228">
        <f>SupplyChain_SupplierData_Frontend[[#This Row],[Notes]]</f>
        <v>0</v>
      </c>
    </row>
    <row r="84" spans="1:48" customFormat="1" ht="17.5" customHeight="1" x14ac:dyDescent="0.35">
      <c r="A84" s="147"/>
      <c r="B84" s="169"/>
      <c r="C84" s="147"/>
      <c r="D84" s="147"/>
      <c r="E84" s="207"/>
      <c r="F84" s="425"/>
      <c r="G84" s="425"/>
      <c r="H84" s="425"/>
      <c r="I84" s="426"/>
      <c r="J84" s="427"/>
      <c r="K84" s="425"/>
      <c r="L84" s="428"/>
      <c r="M84" s="425"/>
      <c r="N84" s="425"/>
      <c r="O84" s="387"/>
      <c r="P84" s="387"/>
      <c r="Q84" s="388"/>
      <c r="R84" s="242">
        <f t="shared" si="4"/>
        <v>9</v>
      </c>
      <c r="U84" s="214" t="str">
        <f t="shared" si="3"/>
        <v/>
      </c>
      <c r="V84" s="216" t="s">
        <v>267</v>
      </c>
      <c r="W84" s="174" t="s">
        <v>385</v>
      </c>
      <c r="X84" s="216" t="str" cm="1">
        <f t="array" aca="1" ref="X84" ca="1">_xlfn.XLOOKUP(SupplyChain_SupplierData_Backend[[#This Row],[Level 2]],rng_Level2Long,rng_Level3Long)</f>
        <v>Supply chain</v>
      </c>
      <c r="Y84" s="216">
        <f>SupplyChain_SupplierData_Frontend[[#This Row],[Category]]</f>
        <v>0</v>
      </c>
      <c r="Z84" s="216">
        <f>SupplyChain_SupplierData_Frontend[[#This Row],[Product category]]</f>
        <v>0</v>
      </c>
      <c r="AA84" s="216" t="e" cm="1">
        <f t="array" aca="1" ref="AA84" ca="1">_xlfn.XLOOKUP(SupplyChain_SupplierData_Backend[[#This Row],[Level 5]],rng_Level5Long,rng_Level6Long)</f>
        <v>#N/A</v>
      </c>
      <c r="AB84" s="216">
        <f>SupplyChain_SupplierData_Frontend[[#This Row],[Data type]]</f>
        <v>0</v>
      </c>
      <c r="AC84" s="414">
        <f>SupplyChain_SupplierData_Frontend[[#This Row],[Data assessment score]]</f>
        <v>0</v>
      </c>
      <c r="AD84" s="216">
        <f>SupplyChain_SupplierData_Frontend[[#This Row],[Methodology]]</f>
        <v>0</v>
      </c>
      <c r="AE84" s="396" t="e" cm="1">
        <f t="array" aca="1" ref="AE84" ca="1">INDEX(_xlfn.SWITCH(SupplyChain_SupplierData_Backend[[#This Row],[Methodology]],"Tier 1",rng_RSD1,"Tier 2",rng_RSD2,"Tier 3",rng_RSD3),MATCH(SupplyChain_SupplierData_Backend[[#This Row],[Level 2]],rng_Level2Long,0))</f>
        <v>#N/A</v>
      </c>
      <c r="AF84" s="218">
        <f>SupplyChain_SupplierData_Frontend[[#This Row],[Spend with supplier GBP]]</f>
        <v>0</v>
      </c>
      <c r="AG84" s="174" t="s">
        <v>383</v>
      </c>
      <c r="AH84" s="218">
        <f>SupplyChain_SupplierData_Backend[[#This Row],[Data]]</f>
        <v>0</v>
      </c>
      <c r="AI84" s="174" t="s">
        <v>383</v>
      </c>
      <c r="AJ84" s="219">
        <v>0</v>
      </c>
      <c r="AK84" s="219">
        <v>0</v>
      </c>
      <c r="AL84" s="219">
        <f>SupplyChain_SupplierData_Frontend[[#This Row],[Emissions kgCO2e]]/1000</f>
        <v>0</v>
      </c>
      <c r="AM84" s="219">
        <v>0</v>
      </c>
      <c r="AN84" s="219">
        <v>0</v>
      </c>
      <c r="AO84" s="219">
        <v>0</v>
      </c>
      <c r="AP84" s="219">
        <f>SUM(SupplyChain_SupplierData_Backend[[#This Row],[Scope 1 (tCO2e)]:[Scope 3 WTT T&amp;D (tCO2e)]])</f>
        <v>0</v>
      </c>
      <c r="AQ84" s="219" t="e">
        <f ca="1">SupplyChain_SupplierData_Backend[[#This Row],[Total (tCO2e)]]*(1-SupplyChain_SupplierData_Backend[[#This Row],[RSD]])</f>
        <v>#N/A</v>
      </c>
      <c r="AR84" s="219" t="e">
        <f ca="1">SupplyChain_SupplierData_Backend[[#This Row],[Total (tCO2e)]]*(1+SupplyChain_SupplierData_Backend[[#This Row],[RSD]])</f>
        <v>#N/A</v>
      </c>
      <c r="AS84" s="217"/>
      <c r="AT84" s="216">
        <f>SupplyChain_SupplierData_Frontend[[#This Row],[Ease of collection]]</f>
        <v>0</v>
      </c>
      <c r="AU84" s="228">
        <f>SupplyChain_SupplierData_Frontend[[#This Row],[Completeness]]</f>
        <v>0</v>
      </c>
      <c r="AV84" s="228">
        <f>SupplyChain_SupplierData_Frontend[[#This Row],[Notes]]</f>
        <v>0</v>
      </c>
    </row>
    <row r="85" spans="1:48" customFormat="1" ht="17.5" customHeight="1" x14ac:dyDescent="0.35">
      <c r="A85" s="147"/>
      <c r="B85" s="169"/>
      <c r="C85" s="147"/>
      <c r="D85" s="147"/>
      <c r="E85" s="207"/>
      <c r="F85" s="425"/>
      <c r="G85" s="425"/>
      <c r="H85" s="425"/>
      <c r="I85" s="426"/>
      <c r="J85" s="427"/>
      <c r="K85" s="425"/>
      <c r="L85" s="428"/>
      <c r="M85" s="425"/>
      <c r="N85" s="425"/>
      <c r="O85" s="387"/>
      <c r="P85" s="387"/>
      <c r="Q85" s="388"/>
      <c r="R85" s="242">
        <f t="shared" si="4"/>
        <v>9</v>
      </c>
      <c r="U85" s="214" t="str">
        <f t="shared" si="3"/>
        <v/>
      </c>
      <c r="V85" s="216" t="s">
        <v>267</v>
      </c>
      <c r="W85" s="174" t="s">
        <v>385</v>
      </c>
      <c r="X85" s="216" t="str" cm="1">
        <f t="array" aca="1" ref="X85" ca="1">_xlfn.XLOOKUP(SupplyChain_SupplierData_Backend[[#This Row],[Level 2]],rng_Level2Long,rng_Level3Long)</f>
        <v>Supply chain</v>
      </c>
      <c r="Y85" s="216">
        <f>SupplyChain_SupplierData_Frontend[[#This Row],[Category]]</f>
        <v>0</v>
      </c>
      <c r="Z85" s="216">
        <f>SupplyChain_SupplierData_Frontend[[#This Row],[Product category]]</f>
        <v>0</v>
      </c>
      <c r="AA85" s="216" t="e" cm="1">
        <f t="array" aca="1" ref="AA85" ca="1">_xlfn.XLOOKUP(SupplyChain_SupplierData_Backend[[#This Row],[Level 5]],rng_Level5Long,rng_Level6Long)</f>
        <v>#N/A</v>
      </c>
      <c r="AB85" s="216">
        <f>SupplyChain_SupplierData_Frontend[[#This Row],[Data type]]</f>
        <v>0</v>
      </c>
      <c r="AC85" s="414">
        <f>SupplyChain_SupplierData_Frontend[[#This Row],[Data assessment score]]</f>
        <v>0</v>
      </c>
      <c r="AD85" s="216">
        <f>SupplyChain_SupplierData_Frontend[[#This Row],[Methodology]]</f>
        <v>0</v>
      </c>
      <c r="AE85" s="396" t="e" cm="1">
        <f t="array" aca="1" ref="AE85" ca="1">INDEX(_xlfn.SWITCH(SupplyChain_SupplierData_Backend[[#This Row],[Methodology]],"Tier 1",rng_RSD1,"Tier 2",rng_RSD2,"Tier 3",rng_RSD3),MATCH(SupplyChain_SupplierData_Backend[[#This Row],[Level 2]],rng_Level2Long,0))</f>
        <v>#N/A</v>
      </c>
      <c r="AF85" s="218">
        <f>SupplyChain_SupplierData_Frontend[[#This Row],[Spend with supplier GBP]]</f>
        <v>0</v>
      </c>
      <c r="AG85" s="174" t="s">
        <v>383</v>
      </c>
      <c r="AH85" s="218">
        <f>SupplyChain_SupplierData_Backend[[#This Row],[Data]]</f>
        <v>0</v>
      </c>
      <c r="AI85" s="174" t="s">
        <v>383</v>
      </c>
      <c r="AJ85" s="219">
        <v>0</v>
      </c>
      <c r="AK85" s="219">
        <v>0</v>
      </c>
      <c r="AL85" s="219">
        <f>SupplyChain_SupplierData_Frontend[[#This Row],[Emissions kgCO2e]]/1000</f>
        <v>0</v>
      </c>
      <c r="AM85" s="219">
        <v>0</v>
      </c>
      <c r="AN85" s="219">
        <v>0</v>
      </c>
      <c r="AO85" s="219">
        <v>0</v>
      </c>
      <c r="AP85" s="219">
        <f>SUM(SupplyChain_SupplierData_Backend[[#This Row],[Scope 1 (tCO2e)]:[Scope 3 WTT T&amp;D (tCO2e)]])</f>
        <v>0</v>
      </c>
      <c r="AQ85" s="219" t="e">
        <f ca="1">SupplyChain_SupplierData_Backend[[#This Row],[Total (tCO2e)]]*(1-SupplyChain_SupplierData_Backend[[#This Row],[RSD]])</f>
        <v>#N/A</v>
      </c>
      <c r="AR85" s="219" t="e">
        <f ca="1">SupplyChain_SupplierData_Backend[[#This Row],[Total (tCO2e)]]*(1+SupplyChain_SupplierData_Backend[[#This Row],[RSD]])</f>
        <v>#N/A</v>
      </c>
      <c r="AS85" s="217"/>
      <c r="AT85" s="216">
        <f>SupplyChain_SupplierData_Frontend[[#This Row],[Ease of collection]]</f>
        <v>0</v>
      </c>
      <c r="AU85" s="228">
        <f>SupplyChain_SupplierData_Frontend[[#This Row],[Completeness]]</f>
        <v>0</v>
      </c>
      <c r="AV85" s="228">
        <f>SupplyChain_SupplierData_Frontend[[#This Row],[Notes]]</f>
        <v>0</v>
      </c>
    </row>
    <row r="86" spans="1:48" customFormat="1" ht="17.5" customHeight="1" x14ac:dyDescent="0.35">
      <c r="A86" s="147"/>
      <c r="B86" s="169"/>
      <c r="C86" s="147"/>
      <c r="D86" s="204">
        <v>19</v>
      </c>
      <c r="E86" s="206" t="s">
        <v>398</v>
      </c>
      <c r="F86" s="425"/>
      <c r="G86" s="425"/>
      <c r="H86" s="425"/>
      <c r="I86" s="426"/>
      <c r="J86" s="427"/>
      <c r="K86" s="425"/>
      <c r="L86" s="428"/>
      <c r="M86" s="425"/>
      <c r="N86" s="425"/>
      <c r="O86" s="387"/>
      <c r="P86" s="387"/>
      <c r="Q86" s="388"/>
      <c r="R86" s="242">
        <f t="shared" si="4"/>
        <v>9</v>
      </c>
      <c r="U86" s="214" t="str">
        <f t="shared" si="3"/>
        <v/>
      </c>
      <c r="V86" s="216" t="s">
        <v>267</v>
      </c>
      <c r="W86" s="174" t="s">
        <v>385</v>
      </c>
      <c r="X86" s="216" t="str" cm="1">
        <f t="array" aca="1" ref="X86" ca="1">_xlfn.XLOOKUP(SupplyChain_SupplierData_Backend[[#This Row],[Level 2]],rng_Level2Long,rng_Level3Long)</f>
        <v>Supply chain</v>
      </c>
      <c r="Y86" s="216">
        <f>SupplyChain_SupplierData_Frontend[[#This Row],[Category]]</f>
        <v>0</v>
      </c>
      <c r="Z86" s="216">
        <f>SupplyChain_SupplierData_Frontend[[#This Row],[Product category]]</f>
        <v>0</v>
      </c>
      <c r="AA86" s="216" t="e" cm="1">
        <f t="array" aca="1" ref="AA86" ca="1">_xlfn.XLOOKUP(SupplyChain_SupplierData_Backend[[#This Row],[Level 5]],rng_Level5Long,rng_Level6Long)</f>
        <v>#N/A</v>
      </c>
      <c r="AB86" s="216">
        <f>SupplyChain_SupplierData_Frontend[[#This Row],[Data type]]</f>
        <v>0</v>
      </c>
      <c r="AC86" s="414">
        <f>SupplyChain_SupplierData_Frontend[[#This Row],[Data assessment score]]</f>
        <v>0</v>
      </c>
      <c r="AD86" s="216">
        <f>SupplyChain_SupplierData_Frontend[[#This Row],[Methodology]]</f>
        <v>0</v>
      </c>
      <c r="AE86" s="396" t="e" cm="1">
        <f t="array" aca="1" ref="AE86" ca="1">INDEX(_xlfn.SWITCH(SupplyChain_SupplierData_Backend[[#This Row],[Methodology]],"Tier 1",rng_RSD1,"Tier 2",rng_RSD2,"Tier 3",rng_RSD3),MATCH(SupplyChain_SupplierData_Backend[[#This Row],[Level 2]],rng_Level2Long,0))</f>
        <v>#N/A</v>
      </c>
      <c r="AF86" s="218">
        <f>SupplyChain_SupplierData_Frontend[[#This Row],[Spend with supplier GBP]]</f>
        <v>0</v>
      </c>
      <c r="AG86" s="174" t="s">
        <v>383</v>
      </c>
      <c r="AH86" s="218">
        <f>SupplyChain_SupplierData_Backend[[#This Row],[Data]]</f>
        <v>0</v>
      </c>
      <c r="AI86" s="174" t="s">
        <v>383</v>
      </c>
      <c r="AJ86" s="219">
        <v>0</v>
      </c>
      <c r="AK86" s="219">
        <v>0</v>
      </c>
      <c r="AL86" s="219">
        <f>SupplyChain_SupplierData_Frontend[[#This Row],[Emissions kgCO2e]]/1000</f>
        <v>0</v>
      </c>
      <c r="AM86" s="219">
        <v>0</v>
      </c>
      <c r="AN86" s="219">
        <v>0</v>
      </c>
      <c r="AO86" s="219">
        <v>0</v>
      </c>
      <c r="AP86" s="219">
        <f>SUM(SupplyChain_SupplierData_Backend[[#This Row],[Scope 1 (tCO2e)]:[Scope 3 WTT T&amp;D (tCO2e)]])</f>
        <v>0</v>
      </c>
      <c r="AQ86" s="219" t="e">
        <f ca="1">SupplyChain_SupplierData_Backend[[#This Row],[Total (tCO2e)]]*(1-SupplyChain_SupplierData_Backend[[#This Row],[RSD]])</f>
        <v>#N/A</v>
      </c>
      <c r="AR86" s="219" t="e">
        <f ca="1">SupplyChain_SupplierData_Backend[[#This Row],[Total (tCO2e)]]*(1+SupplyChain_SupplierData_Backend[[#This Row],[RSD]])</f>
        <v>#N/A</v>
      </c>
      <c r="AS86" s="217"/>
      <c r="AT86" s="216">
        <f>SupplyChain_SupplierData_Frontend[[#This Row],[Ease of collection]]</f>
        <v>0</v>
      </c>
      <c r="AU86" s="228">
        <f>SupplyChain_SupplierData_Frontend[[#This Row],[Completeness]]</f>
        <v>0</v>
      </c>
      <c r="AV86" s="228">
        <f>SupplyChain_SupplierData_Frontend[[#This Row],[Notes]]</f>
        <v>0</v>
      </c>
    </row>
    <row r="87" spans="1:48" customFormat="1" ht="17.5" customHeight="1" x14ac:dyDescent="0.35">
      <c r="A87" s="147"/>
      <c r="B87" s="169"/>
      <c r="C87" s="147"/>
      <c r="D87" s="147"/>
      <c r="E87" s="206"/>
      <c r="F87" s="425"/>
      <c r="G87" s="425"/>
      <c r="H87" s="425"/>
      <c r="I87" s="426"/>
      <c r="J87" s="427"/>
      <c r="K87" s="425"/>
      <c r="L87" s="428"/>
      <c r="M87" s="425"/>
      <c r="N87" s="425"/>
      <c r="O87" s="387"/>
      <c r="P87" s="387"/>
      <c r="Q87" s="388"/>
      <c r="R87" s="242">
        <f t="shared" si="4"/>
        <v>9</v>
      </c>
      <c r="U87" s="214" t="str">
        <f t="shared" si="3"/>
        <v/>
      </c>
      <c r="V87" s="216" t="s">
        <v>267</v>
      </c>
      <c r="W87" s="174" t="s">
        <v>385</v>
      </c>
      <c r="X87" s="216" t="str" cm="1">
        <f t="array" aca="1" ref="X87" ca="1">_xlfn.XLOOKUP(SupplyChain_SupplierData_Backend[[#This Row],[Level 2]],rng_Level2Long,rng_Level3Long)</f>
        <v>Supply chain</v>
      </c>
      <c r="Y87" s="216">
        <f>SupplyChain_SupplierData_Frontend[[#This Row],[Category]]</f>
        <v>0</v>
      </c>
      <c r="Z87" s="216">
        <f>SupplyChain_SupplierData_Frontend[[#This Row],[Product category]]</f>
        <v>0</v>
      </c>
      <c r="AA87" s="216" t="e" cm="1">
        <f t="array" aca="1" ref="AA87" ca="1">_xlfn.XLOOKUP(SupplyChain_SupplierData_Backend[[#This Row],[Level 5]],rng_Level5Long,rng_Level6Long)</f>
        <v>#N/A</v>
      </c>
      <c r="AB87" s="216">
        <f>SupplyChain_SupplierData_Frontend[[#This Row],[Data type]]</f>
        <v>0</v>
      </c>
      <c r="AC87" s="414">
        <f>SupplyChain_SupplierData_Frontend[[#This Row],[Data assessment score]]</f>
        <v>0</v>
      </c>
      <c r="AD87" s="216">
        <f>SupplyChain_SupplierData_Frontend[[#This Row],[Methodology]]</f>
        <v>0</v>
      </c>
      <c r="AE87" s="396" t="e" cm="1">
        <f t="array" aca="1" ref="AE87" ca="1">INDEX(_xlfn.SWITCH(SupplyChain_SupplierData_Backend[[#This Row],[Methodology]],"Tier 1",rng_RSD1,"Tier 2",rng_RSD2,"Tier 3",rng_RSD3),MATCH(SupplyChain_SupplierData_Backend[[#This Row],[Level 2]],rng_Level2Long,0))</f>
        <v>#N/A</v>
      </c>
      <c r="AF87" s="218">
        <f>SupplyChain_SupplierData_Frontend[[#This Row],[Spend with supplier GBP]]</f>
        <v>0</v>
      </c>
      <c r="AG87" s="174" t="s">
        <v>383</v>
      </c>
      <c r="AH87" s="218">
        <f>SupplyChain_SupplierData_Backend[[#This Row],[Data]]</f>
        <v>0</v>
      </c>
      <c r="AI87" s="174" t="s">
        <v>383</v>
      </c>
      <c r="AJ87" s="219">
        <v>0</v>
      </c>
      <c r="AK87" s="219">
        <v>0</v>
      </c>
      <c r="AL87" s="219">
        <f>SupplyChain_SupplierData_Frontend[[#This Row],[Emissions kgCO2e]]/1000</f>
        <v>0</v>
      </c>
      <c r="AM87" s="219">
        <v>0</v>
      </c>
      <c r="AN87" s="219">
        <v>0</v>
      </c>
      <c r="AO87" s="219">
        <v>0</v>
      </c>
      <c r="AP87" s="219">
        <f>SUM(SupplyChain_SupplierData_Backend[[#This Row],[Scope 1 (tCO2e)]:[Scope 3 WTT T&amp;D (tCO2e)]])</f>
        <v>0</v>
      </c>
      <c r="AQ87" s="219" t="e">
        <f ca="1">SupplyChain_SupplierData_Backend[[#This Row],[Total (tCO2e)]]*(1-SupplyChain_SupplierData_Backend[[#This Row],[RSD]])</f>
        <v>#N/A</v>
      </c>
      <c r="AR87" s="219" t="e">
        <f ca="1">SupplyChain_SupplierData_Backend[[#This Row],[Total (tCO2e)]]*(1+SupplyChain_SupplierData_Backend[[#This Row],[RSD]])</f>
        <v>#N/A</v>
      </c>
      <c r="AS87" s="217"/>
      <c r="AT87" s="216">
        <f>SupplyChain_SupplierData_Frontend[[#This Row],[Ease of collection]]</f>
        <v>0</v>
      </c>
      <c r="AU87" s="228">
        <f>SupplyChain_SupplierData_Frontend[[#This Row],[Completeness]]</f>
        <v>0</v>
      </c>
      <c r="AV87" s="228">
        <f>SupplyChain_SupplierData_Frontend[[#This Row],[Notes]]</f>
        <v>0</v>
      </c>
    </row>
    <row r="88" spans="1:48" customFormat="1" ht="17.5" customHeight="1" x14ac:dyDescent="0.35">
      <c r="A88" s="147"/>
      <c r="B88" s="169"/>
      <c r="C88" s="147"/>
      <c r="D88" s="147"/>
      <c r="E88" s="206"/>
      <c r="F88" s="425"/>
      <c r="G88" s="425"/>
      <c r="H88" s="425"/>
      <c r="I88" s="426"/>
      <c r="J88" s="427"/>
      <c r="K88" s="425"/>
      <c r="L88" s="428"/>
      <c r="M88" s="425"/>
      <c r="N88" s="425"/>
      <c r="O88" s="387"/>
      <c r="P88" s="387"/>
      <c r="Q88" s="388"/>
      <c r="R88" s="242">
        <f t="shared" si="4"/>
        <v>9</v>
      </c>
      <c r="U88" s="214" t="str">
        <f t="shared" si="3"/>
        <v/>
      </c>
      <c r="V88" s="216" t="s">
        <v>267</v>
      </c>
      <c r="W88" s="174" t="s">
        <v>385</v>
      </c>
      <c r="X88" s="216" t="str" cm="1">
        <f t="array" aca="1" ref="X88" ca="1">_xlfn.XLOOKUP(SupplyChain_SupplierData_Backend[[#This Row],[Level 2]],rng_Level2Long,rng_Level3Long)</f>
        <v>Supply chain</v>
      </c>
      <c r="Y88" s="216">
        <f>SupplyChain_SupplierData_Frontend[[#This Row],[Category]]</f>
        <v>0</v>
      </c>
      <c r="Z88" s="216">
        <f>SupplyChain_SupplierData_Frontend[[#This Row],[Product category]]</f>
        <v>0</v>
      </c>
      <c r="AA88" s="216" t="e" cm="1">
        <f t="array" aca="1" ref="AA88" ca="1">_xlfn.XLOOKUP(SupplyChain_SupplierData_Backend[[#This Row],[Level 5]],rng_Level5Long,rng_Level6Long)</f>
        <v>#N/A</v>
      </c>
      <c r="AB88" s="216">
        <f>SupplyChain_SupplierData_Frontend[[#This Row],[Data type]]</f>
        <v>0</v>
      </c>
      <c r="AC88" s="414">
        <f>SupplyChain_SupplierData_Frontend[[#This Row],[Data assessment score]]</f>
        <v>0</v>
      </c>
      <c r="AD88" s="216">
        <f>SupplyChain_SupplierData_Frontend[[#This Row],[Methodology]]</f>
        <v>0</v>
      </c>
      <c r="AE88" s="396" t="e" cm="1">
        <f t="array" aca="1" ref="AE88" ca="1">INDEX(_xlfn.SWITCH(SupplyChain_SupplierData_Backend[[#This Row],[Methodology]],"Tier 1",rng_RSD1,"Tier 2",rng_RSD2,"Tier 3",rng_RSD3),MATCH(SupplyChain_SupplierData_Backend[[#This Row],[Level 2]],rng_Level2Long,0))</f>
        <v>#N/A</v>
      </c>
      <c r="AF88" s="218">
        <f>SupplyChain_SupplierData_Frontend[[#This Row],[Spend with supplier GBP]]</f>
        <v>0</v>
      </c>
      <c r="AG88" s="174" t="s">
        <v>383</v>
      </c>
      <c r="AH88" s="218">
        <f>SupplyChain_SupplierData_Backend[[#This Row],[Data]]</f>
        <v>0</v>
      </c>
      <c r="AI88" s="174" t="s">
        <v>383</v>
      </c>
      <c r="AJ88" s="219">
        <v>0</v>
      </c>
      <c r="AK88" s="219">
        <v>0</v>
      </c>
      <c r="AL88" s="219">
        <f>SupplyChain_SupplierData_Frontend[[#This Row],[Emissions kgCO2e]]/1000</f>
        <v>0</v>
      </c>
      <c r="AM88" s="219">
        <v>0</v>
      </c>
      <c r="AN88" s="219">
        <v>0</v>
      </c>
      <c r="AO88" s="219">
        <v>0</v>
      </c>
      <c r="AP88" s="219">
        <f>SUM(SupplyChain_SupplierData_Backend[[#This Row],[Scope 1 (tCO2e)]:[Scope 3 WTT T&amp;D (tCO2e)]])</f>
        <v>0</v>
      </c>
      <c r="AQ88" s="219" t="e">
        <f ca="1">SupplyChain_SupplierData_Backend[[#This Row],[Total (tCO2e)]]*(1-SupplyChain_SupplierData_Backend[[#This Row],[RSD]])</f>
        <v>#N/A</v>
      </c>
      <c r="AR88" s="219" t="e">
        <f ca="1">SupplyChain_SupplierData_Backend[[#This Row],[Total (tCO2e)]]*(1+SupplyChain_SupplierData_Backend[[#This Row],[RSD]])</f>
        <v>#N/A</v>
      </c>
      <c r="AS88" s="217"/>
      <c r="AT88" s="216">
        <f>SupplyChain_SupplierData_Frontend[[#This Row],[Ease of collection]]</f>
        <v>0</v>
      </c>
      <c r="AU88" s="228">
        <f>SupplyChain_SupplierData_Frontend[[#This Row],[Completeness]]</f>
        <v>0</v>
      </c>
      <c r="AV88" s="228">
        <f>SupplyChain_SupplierData_Frontend[[#This Row],[Notes]]</f>
        <v>0</v>
      </c>
    </row>
    <row r="89" spans="1:48" customFormat="1" ht="17.5" customHeight="1" x14ac:dyDescent="0.35">
      <c r="A89" s="147"/>
      <c r="B89" s="169"/>
      <c r="C89" s="147"/>
      <c r="D89" s="147"/>
      <c r="E89" s="206"/>
      <c r="F89" s="425"/>
      <c r="G89" s="425"/>
      <c r="H89" s="425"/>
      <c r="I89" s="426"/>
      <c r="J89" s="427"/>
      <c r="K89" s="425"/>
      <c r="L89" s="428"/>
      <c r="M89" s="425"/>
      <c r="N89" s="425"/>
      <c r="O89" s="387"/>
      <c r="P89" s="387"/>
      <c r="Q89" s="388"/>
      <c r="R89" s="242">
        <f t="shared" si="4"/>
        <v>9</v>
      </c>
      <c r="U89" s="214" t="str">
        <f t="shared" si="3"/>
        <v/>
      </c>
      <c r="V89" s="216" t="s">
        <v>267</v>
      </c>
      <c r="W89" s="174" t="s">
        <v>385</v>
      </c>
      <c r="X89" s="216" t="str" cm="1">
        <f t="array" aca="1" ref="X89" ca="1">_xlfn.XLOOKUP(SupplyChain_SupplierData_Backend[[#This Row],[Level 2]],rng_Level2Long,rng_Level3Long)</f>
        <v>Supply chain</v>
      </c>
      <c r="Y89" s="216">
        <f>SupplyChain_SupplierData_Frontend[[#This Row],[Category]]</f>
        <v>0</v>
      </c>
      <c r="Z89" s="216">
        <f>SupplyChain_SupplierData_Frontend[[#This Row],[Product category]]</f>
        <v>0</v>
      </c>
      <c r="AA89" s="216" t="e" cm="1">
        <f t="array" aca="1" ref="AA89" ca="1">_xlfn.XLOOKUP(SupplyChain_SupplierData_Backend[[#This Row],[Level 5]],rng_Level5Long,rng_Level6Long)</f>
        <v>#N/A</v>
      </c>
      <c r="AB89" s="216">
        <f>SupplyChain_SupplierData_Frontend[[#This Row],[Data type]]</f>
        <v>0</v>
      </c>
      <c r="AC89" s="414">
        <f>SupplyChain_SupplierData_Frontend[[#This Row],[Data assessment score]]</f>
        <v>0</v>
      </c>
      <c r="AD89" s="216">
        <f>SupplyChain_SupplierData_Frontend[[#This Row],[Methodology]]</f>
        <v>0</v>
      </c>
      <c r="AE89" s="396" t="e" cm="1">
        <f t="array" aca="1" ref="AE89" ca="1">INDEX(_xlfn.SWITCH(SupplyChain_SupplierData_Backend[[#This Row],[Methodology]],"Tier 1",rng_RSD1,"Tier 2",rng_RSD2,"Tier 3",rng_RSD3),MATCH(SupplyChain_SupplierData_Backend[[#This Row],[Level 2]],rng_Level2Long,0))</f>
        <v>#N/A</v>
      </c>
      <c r="AF89" s="218">
        <f>SupplyChain_SupplierData_Frontend[[#This Row],[Spend with supplier GBP]]</f>
        <v>0</v>
      </c>
      <c r="AG89" s="174" t="s">
        <v>383</v>
      </c>
      <c r="AH89" s="218">
        <f>SupplyChain_SupplierData_Backend[[#This Row],[Data]]</f>
        <v>0</v>
      </c>
      <c r="AI89" s="174" t="s">
        <v>383</v>
      </c>
      <c r="AJ89" s="219">
        <v>0</v>
      </c>
      <c r="AK89" s="219">
        <v>0</v>
      </c>
      <c r="AL89" s="219">
        <f>SupplyChain_SupplierData_Frontend[[#This Row],[Emissions kgCO2e]]/1000</f>
        <v>0</v>
      </c>
      <c r="AM89" s="219">
        <v>0</v>
      </c>
      <c r="AN89" s="219">
        <v>0</v>
      </c>
      <c r="AO89" s="219">
        <v>0</v>
      </c>
      <c r="AP89" s="219">
        <f>SUM(SupplyChain_SupplierData_Backend[[#This Row],[Scope 1 (tCO2e)]:[Scope 3 WTT T&amp;D (tCO2e)]])</f>
        <v>0</v>
      </c>
      <c r="AQ89" s="219" t="e">
        <f ca="1">SupplyChain_SupplierData_Backend[[#This Row],[Total (tCO2e)]]*(1-SupplyChain_SupplierData_Backend[[#This Row],[RSD]])</f>
        <v>#N/A</v>
      </c>
      <c r="AR89" s="219" t="e">
        <f ca="1">SupplyChain_SupplierData_Backend[[#This Row],[Total (tCO2e)]]*(1+SupplyChain_SupplierData_Backend[[#This Row],[RSD]])</f>
        <v>#N/A</v>
      </c>
      <c r="AS89" s="217"/>
      <c r="AT89" s="216">
        <f>SupplyChain_SupplierData_Frontend[[#This Row],[Ease of collection]]</f>
        <v>0</v>
      </c>
      <c r="AU89" s="228">
        <f>SupplyChain_SupplierData_Frontend[[#This Row],[Completeness]]</f>
        <v>0</v>
      </c>
      <c r="AV89" s="228">
        <f>SupplyChain_SupplierData_Frontend[[#This Row],[Notes]]</f>
        <v>0</v>
      </c>
    </row>
    <row r="90" spans="1:48" customFormat="1" ht="17.5" customHeight="1" x14ac:dyDescent="0.35">
      <c r="A90" s="147"/>
      <c r="B90" s="169"/>
      <c r="C90" s="147"/>
      <c r="D90" s="204">
        <v>20</v>
      </c>
      <c r="E90" s="206" t="s">
        <v>398</v>
      </c>
      <c r="F90" s="425"/>
      <c r="G90" s="425"/>
      <c r="H90" s="425"/>
      <c r="I90" s="426"/>
      <c r="J90" s="427"/>
      <c r="K90" s="425"/>
      <c r="L90" s="428"/>
      <c r="M90" s="425"/>
      <c r="N90" s="425"/>
      <c r="O90" s="387"/>
      <c r="P90" s="387"/>
      <c r="Q90" s="388"/>
      <c r="R90" s="242">
        <f t="shared" si="4"/>
        <v>9</v>
      </c>
      <c r="U90" s="214" t="str">
        <f t="shared" si="3"/>
        <v/>
      </c>
      <c r="V90" s="216" t="s">
        <v>267</v>
      </c>
      <c r="W90" s="174" t="s">
        <v>385</v>
      </c>
      <c r="X90" s="216" t="str" cm="1">
        <f t="array" aca="1" ref="X90" ca="1">_xlfn.XLOOKUP(SupplyChain_SupplierData_Backend[[#This Row],[Level 2]],rng_Level2Long,rng_Level3Long)</f>
        <v>Supply chain</v>
      </c>
      <c r="Y90" s="216">
        <f>SupplyChain_SupplierData_Frontend[[#This Row],[Category]]</f>
        <v>0</v>
      </c>
      <c r="Z90" s="216">
        <f>SupplyChain_SupplierData_Frontend[[#This Row],[Product category]]</f>
        <v>0</v>
      </c>
      <c r="AA90" s="216" t="e" cm="1">
        <f t="array" aca="1" ref="AA90" ca="1">_xlfn.XLOOKUP(SupplyChain_SupplierData_Backend[[#This Row],[Level 5]],rng_Level5Long,rng_Level6Long)</f>
        <v>#N/A</v>
      </c>
      <c r="AB90" s="216">
        <f>SupplyChain_SupplierData_Frontend[[#This Row],[Data type]]</f>
        <v>0</v>
      </c>
      <c r="AC90" s="414">
        <f>SupplyChain_SupplierData_Frontend[[#This Row],[Data assessment score]]</f>
        <v>0</v>
      </c>
      <c r="AD90" s="216">
        <f>SupplyChain_SupplierData_Frontend[[#This Row],[Methodology]]</f>
        <v>0</v>
      </c>
      <c r="AE90" s="396" t="e" cm="1">
        <f t="array" aca="1" ref="AE90" ca="1">INDEX(_xlfn.SWITCH(SupplyChain_SupplierData_Backend[[#This Row],[Methodology]],"Tier 1",rng_RSD1,"Tier 2",rng_RSD2,"Tier 3",rng_RSD3),MATCH(SupplyChain_SupplierData_Backend[[#This Row],[Level 2]],rng_Level2Long,0))</f>
        <v>#N/A</v>
      </c>
      <c r="AF90" s="218">
        <f>SupplyChain_SupplierData_Frontend[[#This Row],[Spend with supplier GBP]]</f>
        <v>0</v>
      </c>
      <c r="AG90" s="174" t="s">
        <v>383</v>
      </c>
      <c r="AH90" s="218">
        <f>SupplyChain_SupplierData_Backend[[#This Row],[Data]]</f>
        <v>0</v>
      </c>
      <c r="AI90" s="174" t="s">
        <v>383</v>
      </c>
      <c r="AJ90" s="219">
        <v>0</v>
      </c>
      <c r="AK90" s="219">
        <v>0</v>
      </c>
      <c r="AL90" s="219">
        <f>SupplyChain_SupplierData_Frontend[[#This Row],[Emissions kgCO2e]]/1000</f>
        <v>0</v>
      </c>
      <c r="AM90" s="219">
        <v>0</v>
      </c>
      <c r="AN90" s="219">
        <v>0</v>
      </c>
      <c r="AO90" s="219">
        <v>0</v>
      </c>
      <c r="AP90" s="219">
        <f>SUM(SupplyChain_SupplierData_Backend[[#This Row],[Scope 1 (tCO2e)]:[Scope 3 WTT T&amp;D (tCO2e)]])</f>
        <v>0</v>
      </c>
      <c r="AQ90" s="219" t="e">
        <f ca="1">SupplyChain_SupplierData_Backend[[#This Row],[Total (tCO2e)]]*(1-SupplyChain_SupplierData_Backend[[#This Row],[RSD]])</f>
        <v>#N/A</v>
      </c>
      <c r="AR90" s="219" t="e">
        <f ca="1">SupplyChain_SupplierData_Backend[[#This Row],[Total (tCO2e)]]*(1+SupplyChain_SupplierData_Backend[[#This Row],[RSD]])</f>
        <v>#N/A</v>
      </c>
      <c r="AS90" s="217"/>
      <c r="AT90" s="216">
        <f>SupplyChain_SupplierData_Frontend[[#This Row],[Ease of collection]]</f>
        <v>0</v>
      </c>
      <c r="AU90" s="228">
        <f>SupplyChain_SupplierData_Frontend[[#This Row],[Completeness]]</f>
        <v>0</v>
      </c>
      <c r="AV90" s="228">
        <f>SupplyChain_SupplierData_Frontend[[#This Row],[Notes]]</f>
        <v>0</v>
      </c>
    </row>
    <row r="91" spans="1:48" customFormat="1" ht="17.5" customHeight="1" x14ac:dyDescent="0.35">
      <c r="A91" s="147"/>
      <c r="B91" s="169"/>
      <c r="C91" s="147"/>
      <c r="D91" s="147"/>
      <c r="E91" s="207"/>
      <c r="F91" s="425"/>
      <c r="G91" s="425"/>
      <c r="H91" s="425"/>
      <c r="I91" s="426"/>
      <c r="J91" s="427"/>
      <c r="K91" s="425"/>
      <c r="L91" s="428"/>
      <c r="M91" s="425"/>
      <c r="N91" s="425"/>
      <c r="O91" s="387"/>
      <c r="P91" s="387"/>
      <c r="Q91" s="388"/>
      <c r="R91" s="242">
        <f t="shared" si="4"/>
        <v>9</v>
      </c>
      <c r="U91" s="214" t="str">
        <f t="shared" si="3"/>
        <v/>
      </c>
      <c r="V91" s="216" t="s">
        <v>267</v>
      </c>
      <c r="W91" s="174" t="s">
        <v>385</v>
      </c>
      <c r="X91" s="216" t="str" cm="1">
        <f t="array" aca="1" ref="X91" ca="1">_xlfn.XLOOKUP(SupplyChain_SupplierData_Backend[[#This Row],[Level 2]],rng_Level2Long,rng_Level3Long)</f>
        <v>Supply chain</v>
      </c>
      <c r="Y91" s="216">
        <f>SupplyChain_SupplierData_Frontend[[#This Row],[Category]]</f>
        <v>0</v>
      </c>
      <c r="Z91" s="216">
        <f>SupplyChain_SupplierData_Frontend[[#This Row],[Product category]]</f>
        <v>0</v>
      </c>
      <c r="AA91" s="216" t="e" cm="1">
        <f t="array" aca="1" ref="AA91" ca="1">_xlfn.XLOOKUP(SupplyChain_SupplierData_Backend[[#This Row],[Level 5]],rng_Level5Long,rng_Level6Long)</f>
        <v>#N/A</v>
      </c>
      <c r="AB91" s="216">
        <f>SupplyChain_SupplierData_Frontend[[#This Row],[Data type]]</f>
        <v>0</v>
      </c>
      <c r="AC91" s="414">
        <f>SupplyChain_SupplierData_Frontend[[#This Row],[Data assessment score]]</f>
        <v>0</v>
      </c>
      <c r="AD91" s="216">
        <f>SupplyChain_SupplierData_Frontend[[#This Row],[Methodology]]</f>
        <v>0</v>
      </c>
      <c r="AE91" s="396" t="e" cm="1">
        <f t="array" aca="1" ref="AE91" ca="1">INDEX(_xlfn.SWITCH(SupplyChain_SupplierData_Backend[[#This Row],[Methodology]],"Tier 1",rng_RSD1,"Tier 2",rng_RSD2,"Tier 3",rng_RSD3),MATCH(SupplyChain_SupplierData_Backend[[#This Row],[Level 2]],rng_Level2Long,0))</f>
        <v>#N/A</v>
      </c>
      <c r="AF91" s="218">
        <f>SupplyChain_SupplierData_Frontend[[#This Row],[Spend with supplier GBP]]</f>
        <v>0</v>
      </c>
      <c r="AG91" s="174" t="s">
        <v>383</v>
      </c>
      <c r="AH91" s="218">
        <f>SupplyChain_SupplierData_Backend[[#This Row],[Data]]</f>
        <v>0</v>
      </c>
      <c r="AI91" s="174" t="s">
        <v>383</v>
      </c>
      <c r="AJ91" s="219">
        <v>0</v>
      </c>
      <c r="AK91" s="219">
        <v>0</v>
      </c>
      <c r="AL91" s="219">
        <f>SupplyChain_SupplierData_Frontend[[#This Row],[Emissions kgCO2e]]/1000</f>
        <v>0</v>
      </c>
      <c r="AM91" s="219">
        <v>0</v>
      </c>
      <c r="AN91" s="219">
        <v>0</v>
      </c>
      <c r="AO91" s="219">
        <v>0</v>
      </c>
      <c r="AP91" s="219">
        <f>SUM(SupplyChain_SupplierData_Backend[[#This Row],[Scope 1 (tCO2e)]:[Scope 3 WTT T&amp;D (tCO2e)]])</f>
        <v>0</v>
      </c>
      <c r="AQ91" s="219" t="e">
        <f ca="1">SupplyChain_SupplierData_Backend[[#This Row],[Total (tCO2e)]]*(1-SupplyChain_SupplierData_Backend[[#This Row],[RSD]])</f>
        <v>#N/A</v>
      </c>
      <c r="AR91" s="219" t="e">
        <f ca="1">SupplyChain_SupplierData_Backend[[#This Row],[Total (tCO2e)]]*(1+SupplyChain_SupplierData_Backend[[#This Row],[RSD]])</f>
        <v>#N/A</v>
      </c>
      <c r="AS91" s="217"/>
      <c r="AT91" s="216">
        <f>SupplyChain_SupplierData_Frontend[[#This Row],[Ease of collection]]</f>
        <v>0</v>
      </c>
      <c r="AU91" s="228">
        <f>SupplyChain_SupplierData_Frontend[[#This Row],[Completeness]]</f>
        <v>0</v>
      </c>
      <c r="AV91" s="228">
        <f>SupplyChain_SupplierData_Frontend[[#This Row],[Notes]]</f>
        <v>0</v>
      </c>
    </row>
    <row r="92" spans="1:48" customFormat="1" ht="17.5" customHeight="1" x14ac:dyDescent="0.35">
      <c r="A92" s="147"/>
      <c r="B92" s="169"/>
      <c r="C92" s="147"/>
      <c r="D92" s="147"/>
      <c r="E92" s="207"/>
      <c r="F92" s="425"/>
      <c r="G92" s="425"/>
      <c r="H92" s="425"/>
      <c r="I92" s="426"/>
      <c r="J92" s="427"/>
      <c r="K92" s="425"/>
      <c r="L92" s="428"/>
      <c r="M92" s="425"/>
      <c r="N92" s="425"/>
      <c r="O92" s="387"/>
      <c r="P92" s="387"/>
      <c r="Q92" s="388"/>
      <c r="R92" s="242">
        <f t="shared" si="4"/>
        <v>9</v>
      </c>
      <c r="U92" s="214" t="str">
        <f t="shared" si="3"/>
        <v/>
      </c>
      <c r="V92" s="216" t="s">
        <v>267</v>
      </c>
      <c r="W92" s="174" t="s">
        <v>385</v>
      </c>
      <c r="X92" s="216" t="str" cm="1">
        <f t="array" aca="1" ref="X92" ca="1">_xlfn.XLOOKUP(SupplyChain_SupplierData_Backend[[#This Row],[Level 2]],rng_Level2Long,rng_Level3Long)</f>
        <v>Supply chain</v>
      </c>
      <c r="Y92" s="216">
        <f>SupplyChain_SupplierData_Frontend[[#This Row],[Category]]</f>
        <v>0</v>
      </c>
      <c r="Z92" s="216">
        <f>SupplyChain_SupplierData_Frontend[[#This Row],[Product category]]</f>
        <v>0</v>
      </c>
      <c r="AA92" s="216" t="e" cm="1">
        <f t="array" aca="1" ref="AA92" ca="1">_xlfn.XLOOKUP(SupplyChain_SupplierData_Backend[[#This Row],[Level 5]],rng_Level5Long,rng_Level6Long)</f>
        <v>#N/A</v>
      </c>
      <c r="AB92" s="216">
        <f>SupplyChain_SupplierData_Frontend[[#This Row],[Data type]]</f>
        <v>0</v>
      </c>
      <c r="AC92" s="414">
        <f>SupplyChain_SupplierData_Frontend[[#This Row],[Data assessment score]]</f>
        <v>0</v>
      </c>
      <c r="AD92" s="216">
        <f>SupplyChain_SupplierData_Frontend[[#This Row],[Methodology]]</f>
        <v>0</v>
      </c>
      <c r="AE92" s="396" t="e" cm="1">
        <f t="array" aca="1" ref="AE92" ca="1">INDEX(_xlfn.SWITCH(SupplyChain_SupplierData_Backend[[#This Row],[Methodology]],"Tier 1",rng_RSD1,"Tier 2",rng_RSD2,"Tier 3",rng_RSD3),MATCH(SupplyChain_SupplierData_Backend[[#This Row],[Level 2]],rng_Level2Long,0))</f>
        <v>#N/A</v>
      </c>
      <c r="AF92" s="218">
        <f>SupplyChain_SupplierData_Frontend[[#This Row],[Spend with supplier GBP]]</f>
        <v>0</v>
      </c>
      <c r="AG92" s="174" t="s">
        <v>383</v>
      </c>
      <c r="AH92" s="218">
        <f>SupplyChain_SupplierData_Backend[[#This Row],[Data]]</f>
        <v>0</v>
      </c>
      <c r="AI92" s="174" t="s">
        <v>383</v>
      </c>
      <c r="AJ92" s="219">
        <v>0</v>
      </c>
      <c r="AK92" s="219">
        <v>0</v>
      </c>
      <c r="AL92" s="219">
        <f>SupplyChain_SupplierData_Frontend[[#This Row],[Emissions kgCO2e]]/1000</f>
        <v>0</v>
      </c>
      <c r="AM92" s="219">
        <v>0</v>
      </c>
      <c r="AN92" s="219">
        <v>0</v>
      </c>
      <c r="AO92" s="219">
        <v>0</v>
      </c>
      <c r="AP92" s="219">
        <f>SUM(SupplyChain_SupplierData_Backend[[#This Row],[Scope 1 (tCO2e)]:[Scope 3 WTT T&amp;D (tCO2e)]])</f>
        <v>0</v>
      </c>
      <c r="AQ92" s="219" t="e">
        <f ca="1">SupplyChain_SupplierData_Backend[[#This Row],[Total (tCO2e)]]*(1-SupplyChain_SupplierData_Backend[[#This Row],[RSD]])</f>
        <v>#N/A</v>
      </c>
      <c r="AR92" s="219" t="e">
        <f ca="1">SupplyChain_SupplierData_Backend[[#This Row],[Total (tCO2e)]]*(1+SupplyChain_SupplierData_Backend[[#This Row],[RSD]])</f>
        <v>#N/A</v>
      </c>
      <c r="AS92" s="217"/>
      <c r="AT92" s="216">
        <f>SupplyChain_SupplierData_Frontend[[#This Row],[Ease of collection]]</f>
        <v>0</v>
      </c>
      <c r="AU92" s="228">
        <f>SupplyChain_SupplierData_Frontend[[#This Row],[Completeness]]</f>
        <v>0</v>
      </c>
      <c r="AV92" s="228">
        <f>SupplyChain_SupplierData_Frontend[[#This Row],[Notes]]</f>
        <v>0</v>
      </c>
    </row>
    <row r="93" spans="1:48" customFormat="1" ht="17.5" customHeight="1" x14ac:dyDescent="0.35">
      <c r="A93" s="147"/>
      <c r="B93" s="169"/>
      <c r="C93" s="147"/>
      <c r="D93" s="147"/>
      <c r="E93" s="207"/>
      <c r="F93" s="425"/>
      <c r="G93" s="425"/>
      <c r="H93" s="425"/>
      <c r="I93" s="426"/>
      <c r="J93" s="427"/>
      <c r="K93" s="425"/>
      <c r="L93" s="428"/>
      <c r="M93" s="425"/>
      <c r="N93" s="425"/>
      <c r="O93" s="387"/>
      <c r="P93" s="387"/>
      <c r="Q93" s="388"/>
      <c r="R93" s="242">
        <f t="shared" si="4"/>
        <v>9</v>
      </c>
      <c r="U93" s="214" t="str">
        <f t="shared" si="3"/>
        <v/>
      </c>
      <c r="V93" s="216" t="s">
        <v>267</v>
      </c>
      <c r="W93" s="174" t="s">
        <v>385</v>
      </c>
      <c r="X93" s="216" t="str" cm="1">
        <f t="array" aca="1" ref="X93" ca="1">_xlfn.XLOOKUP(SupplyChain_SupplierData_Backend[[#This Row],[Level 2]],rng_Level2Long,rng_Level3Long)</f>
        <v>Supply chain</v>
      </c>
      <c r="Y93" s="216">
        <f>SupplyChain_SupplierData_Frontend[[#This Row],[Category]]</f>
        <v>0</v>
      </c>
      <c r="Z93" s="216">
        <f>SupplyChain_SupplierData_Frontend[[#This Row],[Product category]]</f>
        <v>0</v>
      </c>
      <c r="AA93" s="216" t="e" cm="1">
        <f t="array" aca="1" ref="AA93" ca="1">_xlfn.XLOOKUP(SupplyChain_SupplierData_Backend[[#This Row],[Level 5]],rng_Level5Long,rng_Level6Long)</f>
        <v>#N/A</v>
      </c>
      <c r="AB93" s="216">
        <f>SupplyChain_SupplierData_Frontend[[#This Row],[Data type]]</f>
        <v>0</v>
      </c>
      <c r="AC93" s="414">
        <f>SupplyChain_SupplierData_Frontend[[#This Row],[Data assessment score]]</f>
        <v>0</v>
      </c>
      <c r="AD93" s="216">
        <f>SupplyChain_SupplierData_Frontend[[#This Row],[Methodology]]</f>
        <v>0</v>
      </c>
      <c r="AE93" s="396" t="e" cm="1">
        <f t="array" aca="1" ref="AE93" ca="1">INDEX(_xlfn.SWITCH(SupplyChain_SupplierData_Backend[[#This Row],[Methodology]],"Tier 1",rng_RSD1,"Tier 2",rng_RSD2,"Tier 3",rng_RSD3),MATCH(SupplyChain_SupplierData_Backend[[#This Row],[Level 2]],rng_Level2Long,0))</f>
        <v>#N/A</v>
      </c>
      <c r="AF93" s="218">
        <f>SupplyChain_SupplierData_Frontend[[#This Row],[Spend with supplier GBP]]</f>
        <v>0</v>
      </c>
      <c r="AG93" s="174" t="s">
        <v>383</v>
      </c>
      <c r="AH93" s="218">
        <f>SupplyChain_SupplierData_Backend[[#This Row],[Data]]</f>
        <v>0</v>
      </c>
      <c r="AI93" s="174" t="s">
        <v>383</v>
      </c>
      <c r="AJ93" s="219">
        <v>0</v>
      </c>
      <c r="AK93" s="219">
        <v>0</v>
      </c>
      <c r="AL93" s="219">
        <f>SupplyChain_SupplierData_Frontend[[#This Row],[Emissions kgCO2e]]/1000</f>
        <v>0</v>
      </c>
      <c r="AM93" s="219">
        <v>0</v>
      </c>
      <c r="AN93" s="219">
        <v>0</v>
      </c>
      <c r="AO93" s="219">
        <v>0</v>
      </c>
      <c r="AP93" s="219">
        <f>SUM(SupplyChain_SupplierData_Backend[[#This Row],[Scope 1 (tCO2e)]:[Scope 3 WTT T&amp;D (tCO2e)]])</f>
        <v>0</v>
      </c>
      <c r="AQ93" s="219" t="e">
        <f ca="1">SupplyChain_SupplierData_Backend[[#This Row],[Total (tCO2e)]]*(1-SupplyChain_SupplierData_Backend[[#This Row],[RSD]])</f>
        <v>#N/A</v>
      </c>
      <c r="AR93" s="219" t="e">
        <f ca="1">SupplyChain_SupplierData_Backend[[#This Row],[Total (tCO2e)]]*(1+SupplyChain_SupplierData_Backend[[#This Row],[RSD]])</f>
        <v>#N/A</v>
      </c>
      <c r="AS93" s="217"/>
      <c r="AT93" s="216">
        <f>SupplyChain_SupplierData_Frontend[[#This Row],[Ease of collection]]</f>
        <v>0</v>
      </c>
      <c r="AU93" s="228">
        <f>SupplyChain_SupplierData_Frontend[[#This Row],[Completeness]]</f>
        <v>0</v>
      </c>
      <c r="AV93" s="228">
        <f>SupplyChain_SupplierData_Frontend[[#This Row],[Notes]]</f>
        <v>0</v>
      </c>
    </row>
    <row r="94" spans="1:48" customFormat="1" ht="17.5" customHeight="1" x14ac:dyDescent="0.35">
      <c r="A94" s="147"/>
      <c r="B94" s="169"/>
      <c r="C94" s="147"/>
      <c r="D94" s="147"/>
      <c r="E94" s="207"/>
      <c r="F94" s="425"/>
      <c r="G94" s="425"/>
      <c r="H94" s="425"/>
      <c r="I94" s="426"/>
      <c r="J94" s="427"/>
      <c r="K94" s="425"/>
      <c r="L94" s="428"/>
      <c r="M94" s="425"/>
      <c r="N94" s="425"/>
      <c r="O94" s="387"/>
      <c r="P94" s="387"/>
      <c r="Q94" s="388"/>
      <c r="R94" s="242">
        <f t="shared" si="4"/>
        <v>9</v>
      </c>
      <c r="U94" s="214" t="str">
        <f t="shared" si="3"/>
        <v/>
      </c>
      <c r="V94" s="216" t="s">
        <v>267</v>
      </c>
      <c r="W94" s="174" t="s">
        <v>385</v>
      </c>
      <c r="X94" s="216" t="str" cm="1">
        <f t="array" aca="1" ref="X94" ca="1">_xlfn.XLOOKUP(SupplyChain_SupplierData_Backend[[#This Row],[Level 2]],rng_Level2Long,rng_Level3Long)</f>
        <v>Supply chain</v>
      </c>
      <c r="Y94" s="216">
        <f>SupplyChain_SupplierData_Frontend[[#This Row],[Category]]</f>
        <v>0</v>
      </c>
      <c r="Z94" s="216">
        <f>SupplyChain_SupplierData_Frontend[[#This Row],[Product category]]</f>
        <v>0</v>
      </c>
      <c r="AA94" s="216" t="e" cm="1">
        <f t="array" aca="1" ref="AA94" ca="1">_xlfn.XLOOKUP(SupplyChain_SupplierData_Backend[[#This Row],[Level 5]],rng_Level5Long,rng_Level6Long)</f>
        <v>#N/A</v>
      </c>
      <c r="AB94" s="216">
        <f>SupplyChain_SupplierData_Frontend[[#This Row],[Data type]]</f>
        <v>0</v>
      </c>
      <c r="AC94" s="414">
        <f>SupplyChain_SupplierData_Frontend[[#This Row],[Data assessment score]]</f>
        <v>0</v>
      </c>
      <c r="AD94" s="216">
        <f>SupplyChain_SupplierData_Frontend[[#This Row],[Methodology]]</f>
        <v>0</v>
      </c>
      <c r="AE94" s="396" t="e" cm="1">
        <f t="array" aca="1" ref="AE94" ca="1">INDEX(_xlfn.SWITCH(SupplyChain_SupplierData_Backend[[#This Row],[Methodology]],"Tier 1",rng_RSD1,"Tier 2",rng_RSD2,"Tier 3",rng_RSD3),MATCH(SupplyChain_SupplierData_Backend[[#This Row],[Level 2]],rng_Level2Long,0))</f>
        <v>#N/A</v>
      </c>
      <c r="AF94" s="218">
        <f>SupplyChain_SupplierData_Frontend[[#This Row],[Spend with supplier GBP]]</f>
        <v>0</v>
      </c>
      <c r="AG94" s="174" t="s">
        <v>383</v>
      </c>
      <c r="AH94" s="218">
        <f>SupplyChain_SupplierData_Backend[[#This Row],[Data]]</f>
        <v>0</v>
      </c>
      <c r="AI94" s="174" t="s">
        <v>383</v>
      </c>
      <c r="AJ94" s="219">
        <v>0</v>
      </c>
      <c r="AK94" s="219">
        <v>0</v>
      </c>
      <c r="AL94" s="219">
        <f>SupplyChain_SupplierData_Frontend[[#This Row],[Emissions kgCO2e]]/1000</f>
        <v>0</v>
      </c>
      <c r="AM94" s="219">
        <v>0</v>
      </c>
      <c r="AN94" s="219">
        <v>0</v>
      </c>
      <c r="AO94" s="219">
        <v>0</v>
      </c>
      <c r="AP94" s="219">
        <f>SUM(SupplyChain_SupplierData_Backend[[#This Row],[Scope 1 (tCO2e)]:[Scope 3 WTT T&amp;D (tCO2e)]])</f>
        <v>0</v>
      </c>
      <c r="AQ94" s="219" t="e">
        <f ca="1">SupplyChain_SupplierData_Backend[[#This Row],[Total (tCO2e)]]*(1-SupplyChain_SupplierData_Backend[[#This Row],[RSD]])</f>
        <v>#N/A</v>
      </c>
      <c r="AR94" s="219" t="e">
        <f ca="1">SupplyChain_SupplierData_Backend[[#This Row],[Total (tCO2e)]]*(1+SupplyChain_SupplierData_Backend[[#This Row],[RSD]])</f>
        <v>#N/A</v>
      </c>
      <c r="AS94" s="217"/>
      <c r="AT94" s="216">
        <f>SupplyChain_SupplierData_Frontend[[#This Row],[Ease of collection]]</f>
        <v>0</v>
      </c>
      <c r="AU94" s="228">
        <f>SupplyChain_SupplierData_Frontend[[#This Row],[Completeness]]</f>
        <v>0</v>
      </c>
      <c r="AV94" s="228">
        <f>SupplyChain_SupplierData_Frontend[[#This Row],[Notes]]</f>
        <v>0</v>
      </c>
    </row>
    <row r="95" spans="1:48" customFormat="1" ht="14.5" x14ac:dyDescent="0.35">
      <c r="A95" s="147"/>
      <c r="B95" s="169"/>
      <c r="C95" s="147"/>
      <c r="D95" s="147"/>
      <c r="E95" s="207"/>
    </row>
    <row r="96" spans="1:48" customFormat="1" ht="14.5" x14ac:dyDescent="0.35">
      <c r="A96" s="147"/>
      <c r="B96" s="169"/>
      <c r="C96" s="147"/>
      <c r="D96" s="147"/>
      <c r="E96" s="207"/>
    </row>
    <row r="97" spans="1:5" customFormat="1" ht="14.5" x14ac:dyDescent="0.35">
      <c r="A97" s="147"/>
      <c r="B97" s="169"/>
      <c r="C97" s="147"/>
      <c r="D97" s="147"/>
      <c r="E97" s="207"/>
    </row>
    <row r="98" spans="1:5" customFormat="1" ht="14.5" x14ac:dyDescent="0.35">
      <c r="A98" s="147"/>
      <c r="B98" s="169"/>
      <c r="C98" s="147"/>
      <c r="D98" s="147"/>
      <c r="E98" s="207"/>
    </row>
    <row r="99" spans="1:5" customFormat="1" ht="14.5" x14ac:dyDescent="0.35">
      <c r="A99" s="147"/>
      <c r="B99" s="169"/>
      <c r="C99" s="147"/>
      <c r="D99" s="147"/>
      <c r="E99" s="207"/>
    </row>
    <row r="100" spans="1:5" customFormat="1" ht="14.5" x14ac:dyDescent="0.35">
      <c r="A100" s="147"/>
      <c r="B100" s="169"/>
      <c r="C100" s="147"/>
      <c r="D100" s="147"/>
      <c r="E100" s="207"/>
    </row>
    <row r="101" spans="1:5" customFormat="1" ht="14.5" x14ac:dyDescent="0.35">
      <c r="A101" s="147"/>
      <c r="B101" s="169"/>
      <c r="C101" s="147"/>
      <c r="D101" s="147"/>
      <c r="E101" s="207"/>
    </row>
    <row r="102" spans="1:5" customFormat="1" ht="14.5" x14ac:dyDescent="0.35">
      <c r="A102" s="147"/>
      <c r="B102" s="169"/>
      <c r="C102" s="147"/>
      <c r="D102" s="147"/>
      <c r="E102" s="207"/>
    </row>
    <row r="103" spans="1:5" customFormat="1" ht="14.5" x14ac:dyDescent="0.35">
      <c r="A103" s="147"/>
      <c r="B103" s="169"/>
      <c r="C103" s="147"/>
      <c r="D103" s="147"/>
      <c r="E103" s="207"/>
    </row>
    <row r="104" spans="1:5" customFormat="1" ht="14.5" x14ac:dyDescent="0.35">
      <c r="A104" s="147"/>
      <c r="B104" s="169"/>
      <c r="C104" s="147"/>
      <c r="D104" s="147"/>
      <c r="E104" s="207"/>
    </row>
    <row r="105" spans="1:5" customFormat="1" ht="14.5" x14ac:dyDescent="0.35">
      <c r="A105" s="147"/>
      <c r="B105" s="169"/>
      <c r="C105" s="147"/>
      <c r="D105" s="147"/>
      <c r="E105" s="207"/>
    </row>
    <row r="106" spans="1:5" customFormat="1" ht="14.5" x14ac:dyDescent="0.35">
      <c r="A106" s="147"/>
      <c r="B106" s="169"/>
      <c r="C106" s="147"/>
      <c r="D106" s="147"/>
      <c r="E106" s="207"/>
    </row>
    <row r="107" spans="1:5" customFormat="1" ht="14.5" x14ac:dyDescent="0.35">
      <c r="A107" s="147"/>
      <c r="B107" s="169"/>
      <c r="C107" s="147"/>
      <c r="D107" s="147"/>
      <c r="E107" s="207"/>
    </row>
    <row r="108" spans="1:5" customFormat="1" ht="14.5" x14ac:dyDescent="0.35">
      <c r="A108" s="147"/>
      <c r="B108" s="169"/>
      <c r="C108" s="147"/>
      <c r="D108" s="147"/>
      <c r="E108" s="207"/>
    </row>
    <row r="109" spans="1:5" customFormat="1" ht="14.5" x14ac:dyDescent="0.35">
      <c r="A109" s="147"/>
      <c r="B109" s="169"/>
      <c r="C109" s="147"/>
      <c r="D109" s="147"/>
      <c r="E109" s="207"/>
    </row>
    <row r="110" spans="1:5" customFormat="1" ht="14.5" x14ac:dyDescent="0.35">
      <c r="A110" s="147"/>
      <c r="B110" s="169"/>
      <c r="C110" s="147"/>
      <c r="D110" s="147"/>
      <c r="E110" s="207"/>
    </row>
    <row r="111" spans="1:5" customFormat="1" ht="14.5" x14ac:dyDescent="0.35">
      <c r="A111" s="147"/>
      <c r="B111" s="169"/>
      <c r="C111" s="147"/>
      <c r="D111" s="147"/>
      <c r="E111" s="207"/>
    </row>
    <row r="112" spans="1:5" customFormat="1" ht="14.5" x14ac:dyDescent="0.35">
      <c r="A112" s="147"/>
      <c r="B112" s="169"/>
      <c r="C112" s="147"/>
      <c r="D112" s="147"/>
      <c r="E112" s="207"/>
    </row>
    <row r="113" spans="1:5" customFormat="1" ht="14.5" x14ac:dyDescent="0.35">
      <c r="A113" s="147"/>
      <c r="B113" s="169"/>
      <c r="C113" s="147"/>
      <c r="D113" s="147"/>
      <c r="E113" s="207"/>
    </row>
    <row r="114" spans="1:5" customFormat="1" ht="14.5" x14ac:dyDescent="0.35">
      <c r="A114" s="147"/>
      <c r="B114" s="169"/>
      <c r="C114" s="147"/>
      <c r="D114" s="147"/>
      <c r="E114" s="207"/>
    </row>
    <row r="115" spans="1:5" customFormat="1" ht="14.5" x14ac:dyDescent="0.35">
      <c r="A115" s="147"/>
      <c r="B115" s="169"/>
      <c r="C115" s="147"/>
      <c r="D115" s="147"/>
      <c r="E115" s="207"/>
    </row>
    <row r="116" spans="1:5" customFormat="1" ht="14.5" x14ac:dyDescent="0.35">
      <c r="A116" s="147"/>
      <c r="B116" s="169"/>
      <c r="C116" s="147"/>
      <c r="D116" s="147"/>
      <c r="E116" s="207"/>
    </row>
    <row r="117" spans="1:5" customFormat="1" ht="14.5" x14ac:dyDescent="0.35">
      <c r="A117" s="147"/>
      <c r="B117" s="169"/>
      <c r="C117" s="147"/>
      <c r="D117" s="147"/>
      <c r="E117" s="207"/>
    </row>
    <row r="118" spans="1:5" customFormat="1" ht="14.5" x14ac:dyDescent="0.35">
      <c r="A118" s="147"/>
      <c r="B118" s="169"/>
      <c r="C118" s="147"/>
      <c r="D118" s="147"/>
      <c r="E118" s="207"/>
    </row>
    <row r="119" spans="1:5" customFormat="1" ht="14.5" x14ac:dyDescent="0.35">
      <c r="A119" s="147"/>
      <c r="B119" s="169"/>
      <c r="C119" s="147"/>
      <c r="D119" s="147"/>
      <c r="E119" s="207"/>
    </row>
    <row r="120" spans="1:5" customFormat="1" ht="14.5" x14ac:dyDescent="0.35">
      <c r="A120" s="147"/>
      <c r="B120" s="169"/>
      <c r="C120" s="147"/>
      <c r="D120" s="147"/>
      <c r="E120" s="207"/>
    </row>
    <row r="121" spans="1:5" customFormat="1" ht="14.5" x14ac:dyDescent="0.35">
      <c r="A121" s="147"/>
      <c r="B121" s="169"/>
      <c r="C121" s="147"/>
      <c r="D121" s="147"/>
      <c r="E121" s="207"/>
    </row>
    <row r="122" spans="1:5" customFormat="1" ht="14.5" x14ac:dyDescent="0.35">
      <c r="A122" s="147"/>
      <c r="B122" s="169"/>
      <c r="C122" s="147"/>
      <c r="D122" s="147"/>
      <c r="E122" s="207"/>
    </row>
    <row r="123" spans="1:5" customFormat="1" ht="14.5" x14ac:dyDescent="0.35">
      <c r="A123" s="147"/>
      <c r="B123" s="169"/>
      <c r="C123" s="147"/>
      <c r="D123" s="147"/>
      <c r="E123" s="207"/>
    </row>
    <row r="124" spans="1:5" customFormat="1" ht="14.5" x14ac:dyDescent="0.35">
      <c r="A124" s="147"/>
      <c r="B124" s="169"/>
      <c r="C124" s="147"/>
      <c r="D124" s="147"/>
      <c r="E124" s="207"/>
    </row>
    <row r="125" spans="1:5" customFormat="1" ht="14.5" x14ac:dyDescent="0.35">
      <c r="A125" s="147"/>
      <c r="B125" s="169"/>
      <c r="C125" s="147"/>
      <c r="D125" s="147"/>
      <c r="E125" s="207"/>
    </row>
    <row r="126" spans="1:5" customFormat="1" ht="14.5" x14ac:dyDescent="0.35">
      <c r="A126" s="147"/>
      <c r="B126" s="161"/>
      <c r="C126" s="147"/>
      <c r="D126" s="147"/>
      <c r="E126" s="207"/>
    </row>
    <row r="127" spans="1:5" customFormat="1" ht="14.5" x14ac:dyDescent="0.35">
      <c r="A127" s="147"/>
      <c r="B127" s="161"/>
      <c r="C127" s="147"/>
      <c r="D127" s="147"/>
      <c r="E127" s="207"/>
    </row>
    <row r="128" spans="1:5" customFormat="1" ht="14.5" x14ac:dyDescent="0.35">
      <c r="A128" s="147"/>
      <c r="B128" s="159"/>
      <c r="C128" s="147"/>
      <c r="D128" s="147"/>
      <c r="E128" s="207"/>
    </row>
    <row r="129" spans="1:5" customFormat="1" ht="14.5" x14ac:dyDescent="0.35">
      <c r="A129" s="147"/>
      <c r="B129" s="146"/>
      <c r="C129" s="147"/>
      <c r="D129" s="147"/>
      <c r="E129" s="207"/>
    </row>
    <row r="130" spans="1:5" customFormat="1" ht="14.5" x14ac:dyDescent="0.35">
      <c r="A130" s="147"/>
      <c r="B130" s="169"/>
      <c r="C130" s="147"/>
      <c r="D130" s="147"/>
      <c r="E130" s="207"/>
    </row>
    <row r="131" spans="1:5" customFormat="1" ht="14.5" x14ac:dyDescent="0.35">
      <c r="A131" s="147"/>
      <c r="B131" s="161"/>
      <c r="C131" s="147"/>
      <c r="D131" s="147"/>
      <c r="E131" s="207"/>
    </row>
    <row r="132" spans="1:5" customFormat="1" ht="14.5" x14ac:dyDescent="0.35">
      <c r="A132" s="147"/>
      <c r="B132" s="161"/>
      <c r="C132" s="147"/>
      <c r="D132" s="147"/>
      <c r="E132" s="207"/>
    </row>
    <row r="133" spans="1:5" customFormat="1" ht="14.5" x14ac:dyDescent="0.35">
      <c r="A133" s="147"/>
      <c r="B133" s="161"/>
      <c r="C133" s="147"/>
      <c r="D133" s="147"/>
      <c r="E133" s="207"/>
    </row>
    <row r="134" spans="1:5" customFormat="1" ht="14.5" x14ac:dyDescent="0.35">
      <c r="A134" s="147"/>
      <c r="B134" s="161"/>
      <c r="C134" s="147"/>
      <c r="D134" s="147"/>
      <c r="E134" s="207"/>
    </row>
    <row r="135" spans="1:5" customFormat="1" ht="14.5" x14ac:dyDescent="0.35">
      <c r="A135" s="147"/>
      <c r="B135" s="161"/>
      <c r="C135" s="147"/>
      <c r="D135" s="147"/>
      <c r="E135" s="207"/>
    </row>
    <row r="136" spans="1:5" customFormat="1" ht="14.5" x14ac:dyDescent="0.35">
      <c r="A136" s="147"/>
      <c r="B136" s="161"/>
      <c r="C136" s="147"/>
      <c r="D136" s="147"/>
      <c r="E136" s="207"/>
    </row>
    <row r="137" spans="1:5" customFormat="1" ht="14.5" x14ac:dyDescent="0.35">
      <c r="A137" s="147"/>
      <c r="B137" s="161"/>
      <c r="C137" s="147"/>
      <c r="D137" s="147"/>
      <c r="E137" s="207"/>
    </row>
    <row r="138" spans="1:5" customFormat="1" ht="14.5" x14ac:dyDescent="0.35">
      <c r="A138" s="147"/>
      <c r="B138" s="161"/>
      <c r="C138" s="147"/>
      <c r="D138" s="147"/>
      <c r="E138" s="207"/>
    </row>
    <row r="139" spans="1:5" customFormat="1" ht="14.5" x14ac:dyDescent="0.35">
      <c r="A139" s="147"/>
      <c r="B139" s="161"/>
      <c r="C139" s="147"/>
      <c r="D139" s="147"/>
      <c r="E139" s="207"/>
    </row>
    <row r="140" spans="1:5" customFormat="1" ht="14.5" x14ac:dyDescent="0.35">
      <c r="A140" s="147"/>
      <c r="B140" s="161"/>
      <c r="C140" s="147"/>
      <c r="D140" s="147"/>
      <c r="E140" s="207"/>
    </row>
    <row r="141" spans="1:5" customFormat="1" ht="14.5" x14ac:dyDescent="0.35">
      <c r="A141" s="147"/>
      <c r="B141" s="161"/>
      <c r="C141" s="147"/>
      <c r="D141" s="147"/>
      <c r="E141" s="207"/>
    </row>
    <row r="142" spans="1:5" customFormat="1" ht="14.5" x14ac:dyDescent="0.35">
      <c r="A142" s="147"/>
      <c r="B142" s="161"/>
      <c r="C142" s="147"/>
      <c r="D142" s="147"/>
      <c r="E142" s="207"/>
    </row>
    <row r="143" spans="1:5" customFormat="1" ht="14.5" x14ac:dyDescent="0.35">
      <c r="A143" s="147"/>
      <c r="B143" s="146"/>
      <c r="C143" s="147"/>
      <c r="D143" s="147"/>
      <c r="E143" s="207"/>
    </row>
    <row r="144" spans="1:5" customFormat="1" ht="14.5" x14ac:dyDescent="0.35">
      <c r="A144" s="147"/>
      <c r="B144" s="146"/>
      <c r="C144" s="147"/>
      <c r="D144" s="147"/>
      <c r="E144" s="207"/>
    </row>
    <row r="145" spans="1:5" customFormat="1" ht="14.5" x14ac:dyDescent="0.35">
      <c r="A145" s="147"/>
      <c r="B145" s="146"/>
      <c r="C145" s="147"/>
      <c r="D145" s="147"/>
      <c r="E145" s="207"/>
    </row>
    <row r="146" spans="1:5" customFormat="1" ht="14.5" x14ac:dyDescent="0.35">
      <c r="A146" s="147"/>
      <c r="B146" s="146"/>
      <c r="C146" s="147"/>
      <c r="D146" s="147"/>
      <c r="E146" s="207"/>
    </row>
    <row r="147" spans="1:5" customFormat="1" ht="14.5" x14ac:dyDescent="0.35">
      <c r="A147" s="147"/>
      <c r="B147" s="146"/>
      <c r="C147" s="147"/>
      <c r="D147" s="147"/>
      <c r="E147" s="207"/>
    </row>
    <row r="148" spans="1:5" customFormat="1" ht="14.5" x14ac:dyDescent="0.35">
      <c r="A148" s="147"/>
      <c r="B148" s="146"/>
      <c r="C148" s="147"/>
      <c r="D148" s="147"/>
      <c r="E148" s="207"/>
    </row>
    <row r="149" spans="1:5" customFormat="1" ht="14.5" x14ac:dyDescent="0.35">
      <c r="A149" s="147"/>
      <c r="B149" s="146"/>
      <c r="C149" s="147"/>
      <c r="D149" s="147"/>
      <c r="E149" s="207"/>
    </row>
    <row r="150" spans="1:5" customFormat="1" ht="14.5" x14ac:dyDescent="0.35">
      <c r="A150" s="147"/>
      <c r="B150" s="146"/>
      <c r="C150" s="147"/>
      <c r="D150" s="147"/>
      <c r="E150" s="207"/>
    </row>
    <row r="151" spans="1:5" customFormat="1" ht="14.5" x14ac:dyDescent="0.35">
      <c r="A151" s="147"/>
      <c r="B151" s="146"/>
      <c r="C151" s="147"/>
      <c r="D151" s="147"/>
      <c r="E151" s="207"/>
    </row>
    <row r="152" spans="1:5" customFormat="1" ht="14.5" x14ac:dyDescent="0.35">
      <c r="A152" s="147"/>
      <c r="B152" s="146"/>
      <c r="C152" s="147"/>
      <c r="D152" s="147"/>
      <c r="E152" s="207"/>
    </row>
    <row r="153" spans="1:5" customFormat="1" ht="14.5" x14ac:dyDescent="0.35">
      <c r="A153" s="147"/>
      <c r="B153" s="146"/>
      <c r="C153" s="147"/>
      <c r="D153" s="147"/>
      <c r="E153" s="207"/>
    </row>
    <row r="154" spans="1:5" ht="14.5" x14ac:dyDescent="0.35">
      <c r="E154" s="207"/>
    </row>
  </sheetData>
  <sheetProtection algorithmName="SHA-512" hashValue="0+KR13Zt5OKJ1tuKaEtcR7JiWNLGoBGeHuVUtu9PgEoehHxTthRRcLjKsvOoQ08gd5l37RsTQs5hgTaYqgftIg==" saltValue="fFoKrgiG/k6YnPfNNtk+4A==" spinCount="100000" sheet="1" objects="1" scenarios="1"/>
  <mergeCells count="2">
    <mergeCell ref="B5:B8"/>
    <mergeCell ref="B15:B38"/>
  </mergeCells>
  <phoneticPr fontId="16" type="noConversion"/>
  <dataValidations count="4">
    <dataValidation type="list" allowBlank="1" showInputMessage="1" showErrorMessage="1" sqref="O14:O94" xr:uid="{420EA392-E09C-4D8E-BA3B-2352410D51EF}">
      <formula1>rng_data_ease</formula1>
    </dataValidation>
    <dataValidation type="list" allowBlank="1" showInputMessage="1" showErrorMessage="1" sqref="P14:P94" xr:uid="{8864CC25-A8AE-498C-A8A1-E92E6A6894A3}">
      <formula1>rng_data_completeness</formula1>
    </dataValidation>
    <dataValidation type="list" allowBlank="1" showInputMessage="1" showErrorMessage="1" sqref="V14:V94" xr:uid="{20EC6EC6-4A2F-48CF-B34C-F7722EF6096C}">
      <formula1>rng_Level1Unique</formula1>
    </dataValidation>
    <dataValidation type="list" allowBlank="1" showInputMessage="1" showErrorMessage="1" sqref="W14:W94" xr:uid="{A749BEF3-FEC7-4AEA-BF3C-CD4B416E8171}">
      <formula1>DROPDOWN(rng_Level1,$V14,cl_Level2Target)</formula1>
    </dataValidation>
  </dataValidations>
  <pageMargins left="0.7" right="0.7" top="0.75" bottom="0.75" header="0.3" footer="0.3"/>
  <drawing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iconSet" priority="1" id="{0E951740-4F41-4229-B4CF-C2A73416B945}">
            <x14:iconSet showValue="0" custom="1">
              <x14:cfvo type="percent">
                <xm:f>0</xm:f>
              </x14:cfvo>
              <x14:cfvo type="num">
                <xm:f>1E-3</xm:f>
              </x14:cfvo>
              <x14:cfvo type="num">
                <xm:f>9</xm:f>
              </x14:cfvo>
              <x14:cfIcon iconSet="3TrafficLights1" iconId="0"/>
              <x14:cfIcon iconSet="3TrafficLights1" iconId="1"/>
              <x14:cfIcon iconSet="3TrafficLights1" iconId="2"/>
            </x14:iconSet>
          </x14:cfRule>
          <xm:sqref>R13</xm:sqref>
        </x14:conditionalFormatting>
        <x14:conditionalFormatting xmlns:xm="http://schemas.microsoft.com/office/excel/2006/main">
          <x14:cfRule type="iconSet" priority="2" id="{C7C561E5-7676-419F-8047-CCE4A3894639}">
            <x14:iconSet showValue="0" custom="1">
              <x14:cfvo type="percent">
                <xm:f>0</xm:f>
              </x14:cfvo>
              <x14:cfvo type="num">
                <xm:f>1</xm:f>
              </x14:cfvo>
              <x14:cfvo type="num">
                <xm:f>9</xm:f>
              </x14:cfvo>
              <x14:cfIcon iconSet="3TrafficLights1" iconId="2"/>
              <x14:cfIcon iconSet="3TrafficLights1" iconId="0"/>
              <x14:cfIcon iconSet="4TrafficLights" iconId="0"/>
            </x14:iconSet>
          </x14:cfRule>
          <xm:sqref>R14:R94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6A77-1C00-476F-AA8A-141BF524F1A1}">
  <sheetPr codeName="Sheet2"/>
  <dimension ref="B1:X12"/>
  <sheetViews>
    <sheetView workbookViewId="0"/>
  </sheetViews>
  <sheetFormatPr defaultColWidth="8.7265625" defaultRowHeight="14" x14ac:dyDescent="0.3"/>
  <cols>
    <col min="1" max="1" width="1.54296875" style="147" customWidth="1"/>
    <col min="2" max="2" width="32.54296875" style="146" customWidth="1"/>
    <col min="3" max="3" width="1.54296875" style="147" customWidth="1"/>
    <col min="4" max="4" width="3.54296875" style="147" customWidth="1"/>
    <col min="5" max="5" width="25.54296875" style="147" customWidth="1"/>
    <col min="6" max="6" width="32.54296875" style="147" customWidth="1"/>
    <col min="7" max="16384" width="8.7265625" style="147"/>
  </cols>
  <sheetData>
    <row r="1" spans="2:24" s="150" customFormat="1" ht="15.5" x14ac:dyDescent="0.35">
      <c r="B1" s="156" t="s">
        <v>6</v>
      </c>
      <c r="E1" s="152" t="s">
        <v>7</v>
      </c>
    </row>
    <row r="2" spans="2:24" s="153" customFormat="1" x14ac:dyDescent="0.3">
      <c r="B2" s="155" t="s">
        <v>8</v>
      </c>
      <c r="E2" s="154" t="s">
        <v>9</v>
      </c>
    </row>
    <row r="4" spans="2:24" x14ac:dyDescent="0.3">
      <c r="B4" s="159" t="s">
        <v>10</v>
      </c>
      <c r="E4" s="163" t="s">
        <v>0</v>
      </c>
      <c r="F4" s="165" t="s">
        <v>1</v>
      </c>
    </row>
    <row r="5" spans="2:24" x14ac:dyDescent="0.3">
      <c r="B5" s="451" t="s">
        <v>11</v>
      </c>
      <c r="F5" s="166" t="s">
        <v>2</v>
      </c>
    </row>
    <row r="6" spans="2:24" x14ac:dyDescent="0.3">
      <c r="B6" s="451"/>
      <c r="F6" s="164" t="s">
        <v>3</v>
      </c>
      <c r="G6" s="151"/>
    </row>
    <row r="7" spans="2:24" x14ac:dyDescent="0.3">
      <c r="B7" s="451"/>
      <c r="F7" s="167" t="s">
        <v>4</v>
      </c>
      <c r="G7" s="151"/>
    </row>
    <row r="8" spans="2:24" x14ac:dyDescent="0.3">
      <c r="B8" s="451"/>
      <c r="F8" s="168"/>
      <c r="G8" s="151"/>
    </row>
    <row r="9" spans="2:24" x14ac:dyDescent="0.3">
      <c r="B9" s="451"/>
      <c r="F9" s="149" t="s">
        <v>5</v>
      </c>
      <c r="G9" s="151"/>
    </row>
    <row r="10" spans="2:24" x14ac:dyDescent="0.3">
      <c r="B10" s="451"/>
      <c r="E10" s="158"/>
      <c r="F10" s="158"/>
      <c r="G10" s="157"/>
      <c r="H10" s="158"/>
      <c r="I10" s="158"/>
      <c r="J10" s="158"/>
      <c r="K10" s="158"/>
      <c r="L10" s="158"/>
      <c r="M10" s="158"/>
      <c r="N10" s="158"/>
      <c r="O10" s="158"/>
      <c r="P10" s="158"/>
      <c r="Q10" s="158"/>
      <c r="R10" s="158"/>
      <c r="S10" s="158"/>
      <c r="T10" s="158"/>
      <c r="U10" s="158"/>
      <c r="V10" s="158"/>
      <c r="W10" s="158"/>
      <c r="X10" s="158"/>
    </row>
    <row r="11" spans="2:24" x14ac:dyDescent="0.3">
      <c r="G11" s="151"/>
    </row>
    <row r="12" spans="2:24" x14ac:dyDescent="0.3">
      <c r="B12" s="159" t="s">
        <v>12</v>
      </c>
      <c r="E12" s="160" t="s">
        <v>13</v>
      </c>
    </row>
  </sheetData>
  <mergeCells count="1">
    <mergeCell ref="B5:B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27CCF9"/>
  </sheetPr>
  <dimension ref="A1:V105"/>
  <sheetViews>
    <sheetView topLeftCell="A58" zoomScale="74" workbookViewId="0"/>
  </sheetViews>
  <sheetFormatPr defaultColWidth="8.54296875" defaultRowHeight="14.5" x14ac:dyDescent="0.35"/>
  <cols>
    <col min="1" max="1" width="2.453125" style="1" customWidth="1"/>
    <col min="2" max="2" width="24.453125" style="1" customWidth="1"/>
    <col min="3" max="3" width="13.54296875" style="1" customWidth="1"/>
    <col min="4" max="4" width="20.453125" style="1" customWidth="1"/>
    <col min="5" max="6" width="20.54296875" style="1" customWidth="1"/>
    <col min="7" max="7" width="21.453125" style="1" customWidth="1"/>
    <col min="8" max="8" width="15.453125" style="1" customWidth="1"/>
    <col min="9" max="9" width="17" style="1" customWidth="1"/>
    <col min="10" max="10" width="19.453125" style="1" customWidth="1"/>
    <col min="11" max="11" width="17.453125" style="1" customWidth="1"/>
    <col min="12" max="12" width="22.453125" style="1" customWidth="1"/>
    <col min="13" max="13" width="21.453125" style="1" customWidth="1"/>
    <col min="14" max="14" width="20.54296875" style="1" customWidth="1"/>
    <col min="15" max="15" width="21.54296875" style="1" customWidth="1"/>
    <col min="16" max="16" width="20.1796875" style="1" customWidth="1"/>
    <col min="17" max="17" width="17.54296875" style="1" customWidth="1"/>
    <col min="18" max="18" width="15.453125" style="1" customWidth="1"/>
    <col min="19" max="19" width="8.54296875" style="1" customWidth="1"/>
    <col min="20" max="20" width="8.54296875" style="1" hidden="1" customWidth="1"/>
    <col min="21" max="21" width="0" style="1" hidden="1" customWidth="1"/>
    <col min="22" max="16384" width="8.54296875" style="1"/>
  </cols>
  <sheetData>
    <row r="1" spans="1:22" ht="15" thickBot="1" x14ac:dyDescent="0.4">
      <c r="B1" s="506" t="s">
        <v>149</v>
      </c>
      <c r="C1" s="507"/>
      <c r="D1" s="507"/>
      <c r="E1" s="507"/>
      <c r="F1" s="507"/>
      <c r="G1" s="507"/>
      <c r="H1" s="39" t="s">
        <v>166</v>
      </c>
      <c r="I1" s="36" t="s">
        <v>167</v>
      </c>
      <c r="J1" s="37" t="s">
        <v>168</v>
      </c>
      <c r="K1" s="31"/>
      <c r="L1" s="31"/>
      <c r="M1" s="31"/>
      <c r="N1" s="31"/>
      <c r="O1" s="31"/>
      <c r="P1" s="31"/>
      <c r="Q1" s="31"/>
    </row>
    <row r="2" spans="1:22" ht="21.5" thickBot="1" x14ac:dyDescent="0.4">
      <c r="B2" s="508"/>
      <c r="C2" s="509"/>
      <c r="D2" s="509"/>
      <c r="E2" s="509"/>
      <c r="F2" s="509"/>
      <c r="G2" s="509"/>
      <c r="H2" s="40"/>
      <c r="I2" s="35" t="s">
        <v>170</v>
      </c>
      <c r="J2" s="38" t="s">
        <v>171</v>
      </c>
      <c r="K2" s="31"/>
      <c r="L2" s="31"/>
      <c r="M2" s="31"/>
      <c r="N2" s="31"/>
      <c r="O2" s="31"/>
      <c r="P2" s="31"/>
      <c r="Q2" s="31"/>
    </row>
    <row r="3" spans="1:22" ht="108" customHeight="1" thickBot="1" x14ac:dyDescent="0.4">
      <c r="A3" s="11"/>
      <c r="B3" s="504" t="s">
        <v>1601</v>
      </c>
      <c r="C3" s="505"/>
      <c r="D3" s="505"/>
      <c r="E3" s="505"/>
      <c r="F3" s="505"/>
      <c r="G3" s="505"/>
      <c r="H3" s="505"/>
      <c r="I3" s="505"/>
      <c r="J3" s="505"/>
      <c r="K3" s="31"/>
      <c r="L3" s="31"/>
      <c r="M3" s="31"/>
      <c r="N3" s="31"/>
      <c r="O3" s="31"/>
      <c r="P3" s="31"/>
      <c r="Q3" s="31"/>
    </row>
    <row r="4" spans="1:22" ht="121.4" customHeight="1" x14ac:dyDescent="0.35">
      <c r="A4" s="11"/>
      <c r="B4" s="504" t="s">
        <v>1602</v>
      </c>
      <c r="C4" s="505"/>
      <c r="D4" s="505"/>
      <c r="E4" s="505"/>
      <c r="F4" s="505"/>
      <c r="G4" s="505"/>
      <c r="H4" s="505"/>
      <c r="I4" s="505"/>
      <c r="J4" s="505"/>
      <c r="K4" s="31"/>
      <c r="L4" s="31"/>
      <c r="M4" s="31"/>
      <c r="N4" s="31"/>
      <c r="O4" s="18"/>
      <c r="P4" s="17"/>
    </row>
    <row r="5" spans="1:22" x14ac:dyDescent="0.35">
      <c r="A5" s="7"/>
      <c r="B5" s="12"/>
      <c r="C5" s="41"/>
      <c r="D5" s="41"/>
      <c r="E5" s="12"/>
      <c r="F5" s="12"/>
      <c r="G5" s="12"/>
      <c r="H5" s="12"/>
      <c r="I5" s="12"/>
      <c r="J5" s="12"/>
    </row>
    <row r="6" spans="1:22" ht="18.5" x14ac:dyDescent="0.45">
      <c r="A6" s="7"/>
      <c r="B6" s="47" t="s">
        <v>1603</v>
      </c>
      <c r="C6"/>
      <c r="D6"/>
      <c r="E6"/>
      <c r="F6"/>
      <c r="G6"/>
      <c r="H6"/>
      <c r="I6"/>
      <c r="J6"/>
      <c r="K6"/>
      <c r="L6"/>
      <c r="M6"/>
      <c r="N6"/>
      <c r="O6"/>
      <c r="P6"/>
      <c r="Q6"/>
      <c r="T6" s="8" t="s">
        <v>1604</v>
      </c>
      <c r="U6" s="8" t="s">
        <v>1605</v>
      </c>
      <c r="V6" s="8"/>
    </row>
    <row r="7" spans="1:22" ht="29.5" thickBot="1" x14ac:dyDescent="0.4">
      <c r="A7" s="7"/>
      <c r="B7" s="22" t="s">
        <v>423</v>
      </c>
      <c r="C7" s="21" t="s">
        <v>424</v>
      </c>
      <c r="D7" s="21" t="s">
        <v>425</v>
      </c>
      <c r="E7" s="22" t="s">
        <v>426</v>
      </c>
      <c r="F7" s="22" t="s">
        <v>427</v>
      </c>
      <c r="G7" s="22" t="s">
        <v>428</v>
      </c>
      <c r="H7" s="22" t="s">
        <v>429</v>
      </c>
      <c r="I7" s="22" t="s">
        <v>303</v>
      </c>
      <c r="J7" s="22" t="s">
        <v>1606</v>
      </c>
      <c r="K7" s="22" t="s">
        <v>430</v>
      </c>
      <c r="L7" s="22" t="s">
        <v>432</v>
      </c>
      <c r="M7" s="22" t="s">
        <v>433</v>
      </c>
      <c r="N7" s="22" t="s">
        <v>434</v>
      </c>
      <c r="O7" s="22" t="s">
        <v>435</v>
      </c>
      <c r="P7" s="22" t="s">
        <v>1607</v>
      </c>
      <c r="Q7" s="22" t="s">
        <v>293</v>
      </c>
      <c r="R7" s="23" t="s">
        <v>291</v>
      </c>
      <c r="T7" s="1">
        <f>SUM(T8:T32)</f>
        <v>0</v>
      </c>
      <c r="U7" s="1">
        <f>SUM(U8:U32)</f>
        <v>0</v>
      </c>
      <c r="V7" s="8"/>
    </row>
    <row r="8" spans="1:22" ht="15" thickBot="1" x14ac:dyDescent="0.4">
      <c r="A8" s="7"/>
      <c r="B8" s="49"/>
      <c r="C8" s="48"/>
      <c r="D8" s="48"/>
      <c r="E8" s="49"/>
      <c r="F8" s="49"/>
      <c r="G8" s="49"/>
      <c r="H8" s="49"/>
      <c r="I8" s="68" t="str">
        <f>IF(F8="","",INDEX(#REF!,MATCH(RenewableElectricityTable[[#This Row],[Renewable Type]],#REF!,0),MATCH(RenewableElectricityTable[[#This Row],[Methodology used]],#REF!,0)))</f>
        <v/>
      </c>
      <c r="J8" s="75"/>
      <c r="K8" s="73"/>
      <c r="L8" s="76">
        <f>SUM(RenewableElectricityTable[[#This Row],[kWh consumed by reporting organisation]:[kWh exported to other PSB]])</f>
        <v>0</v>
      </c>
      <c r="M8" s="78"/>
      <c r="N8" s="78"/>
      <c r="O8" s="78"/>
      <c r="P8" s="81"/>
      <c r="Q8" s="54"/>
      <c r="R8" s="54"/>
      <c r="T8" s="1" cm="1">
        <f t="array" ref="T8">IF(OR(ISERROR(B8:R8)),1,0)</f>
        <v>0</v>
      </c>
      <c r="U8" s="1">
        <f t="shared" ref="U8:U32" si="0">IF(AND(D8="",E8=""),0,1)</f>
        <v>0</v>
      </c>
    </row>
    <row r="9" spans="1:22" ht="15" thickBot="1" x14ac:dyDescent="0.4">
      <c r="A9" s="7"/>
      <c r="B9" s="49"/>
      <c r="C9" s="48"/>
      <c r="D9" s="48"/>
      <c r="E9" s="49"/>
      <c r="F9" s="49"/>
      <c r="G9" s="49"/>
      <c r="H9" s="49"/>
      <c r="I9" s="68" t="str">
        <f>IF(F9="","",INDEX(#REF!,MATCH(RenewableElectricityTable[[#This Row],[Renewable Type]],#REF!,0),MATCH(RenewableElectricityTable[[#This Row],[Methodology used]],#REF!,0)))</f>
        <v/>
      </c>
      <c r="J9" s="75"/>
      <c r="K9" s="73"/>
      <c r="L9" s="76">
        <f>SUM(RenewableElectricityTable[[#This Row],[kWh consumed by reporting organisation]:[kWh exported to other PSB]])</f>
        <v>0</v>
      </c>
      <c r="M9" s="78"/>
      <c r="N9" s="78"/>
      <c r="O9" s="78"/>
      <c r="P9" s="81"/>
      <c r="Q9" s="54"/>
      <c r="R9" s="54"/>
      <c r="T9" s="1" cm="1">
        <f t="array" ref="T9">IF(OR(ISERROR(B9:R9)),1,0)</f>
        <v>0</v>
      </c>
      <c r="U9" s="1">
        <f t="shared" si="0"/>
        <v>0</v>
      </c>
    </row>
    <row r="10" spans="1:22" ht="15" thickBot="1" x14ac:dyDescent="0.4">
      <c r="A10" s="7"/>
      <c r="B10" s="49"/>
      <c r="C10" s="48"/>
      <c r="D10" s="48"/>
      <c r="E10" s="49"/>
      <c r="F10" s="49"/>
      <c r="G10" s="49"/>
      <c r="H10" s="49"/>
      <c r="I10" s="68" t="str">
        <f>IF(F10="","",INDEX(#REF!,MATCH(RenewableElectricityTable[[#This Row],[Renewable Type]],#REF!,0),MATCH(RenewableElectricityTable[[#This Row],[Methodology used]],#REF!,0)))</f>
        <v/>
      </c>
      <c r="J10" s="75"/>
      <c r="K10" s="73"/>
      <c r="L10" s="76">
        <f>SUM(RenewableElectricityTable[[#This Row],[kWh consumed by reporting organisation]:[kWh exported to other PSB]])</f>
        <v>0</v>
      </c>
      <c r="M10" s="78"/>
      <c r="N10" s="78"/>
      <c r="O10" s="78"/>
      <c r="P10" s="81"/>
      <c r="Q10" s="54"/>
      <c r="R10" s="54"/>
      <c r="T10" s="1" cm="1">
        <f t="array" ref="T10">IF(OR(ISERROR(B10:R10)),1,0)</f>
        <v>0</v>
      </c>
      <c r="U10" s="1">
        <f t="shared" si="0"/>
        <v>0</v>
      </c>
    </row>
    <row r="11" spans="1:22" ht="15" thickBot="1" x14ac:dyDescent="0.4">
      <c r="A11" s="7"/>
      <c r="B11" s="49"/>
      <c r="C11" s="48"/>
      <c r="D11" s="48"/>
      <c r="E11" s="49"/>
      <c r="F11" s="49"/>
      <c r="G11" s="49"/>
      <c r="H11" s="49"/>
      <c r="I11" s="68" t="str">
        <f>IF(F11="","",INDEX(#REF!,MATCH(RenewableElectricityTable[[#This Row],[Renewable Type]],#REF!,0),MATCH(RenewableElectricityTable[[#This Row],[Methodology used]],#REF!,0)))</f>
        <v/>
      </c>
      <c r="J11" s="75"/>
      <c r="K11" s="73"/>
      <c r="L11" s="76">
        <f>SUM(RenewableElectricityTable[[#This Row],[kWh consumed by reporting organisation]:[kWh exported to other PSB]])</f>
        <v>0</v>
      </c>
      <c r="M11" s="78"/>
      <c r="N11" s="78"/>
      <c r="O11" s="78"/>
      <c r="P11" s="81"/>
      <c r="Q11" s="54"/>
      <c r="R11" s="54"/>
      <c r="T11" s="1" cm="1">
        <f t="array" ref="T11">IF(OR(ISERROR(B11:R11)),1,0)</f>
        <v>0</v>
      </c>
      <c r="U11" s="1">
        <f t="shared" si="0"/>
        <v>0</v>
      </c>
    </row>
    <row r="12" spans="1:22" ht="15" thickBot="1" x14ac:dyDescent="0.4">
      <c r="A12" s="7"/>
      <c r="B12" s="49"/>
      <c r="C12" s="48"/>
      <c r="D12" s="48"/>
      <c r="E12" s="49"/>
      <c r="F12" s="49"/>
      <c r="G12" s="49"/>
      <c r="H12" s="49"/>
      <c r="I12" s="68" t="str">
        <f>IF(F12="","",INDEX(#REF!,MATCH(RenewableElectricityTable[[#This Row],[Renewable Type]],#REF!,0),MATCH(RenewableElectricityTable[[#This Row],[Methodology used]],#REF!,0)))</f>
        <v/>
      </c>
      <c r="J12" s="75"/>
      <c r="K12" s="73"/>
      <c r="L12" s="76">
        <f>SUM(RenewableElectricityTable[[#This Row],[kWh consumed by reporting organisation]:[kWh exported to other PSB]])</f>
        <v>0</v>
      </c>
      <c r="M12" s="78"/>
      <c r="N12" s="78"/>
      <c r="O12" s="78"/>
      <c r="P12" s="81"/>
      <c r="Q12" s="54"/>
      <c r="R12" s="54"/>
      <c r="T12" s="1" cm="1">
        <f t="array" ref="T12">IF(OR(ISERROR(B12:R12)),1,0)</f>
        <v>0</v>
      </c>
      <c r="U12" s="1">
        <f t="shared" si="0"/>
        <v>0</v>
      </c>
    </row>
    <row r="13" spans="1:22" ht="15" thickBot="1" x14ac:dyDescent="0.4">
      <c r="A13" s="7"/>
      <c r="B13" s="49"/>
      <c r="C13" s="48"/>
      <c r="D13" s="48"/>
      <c r="E13" s="49"/>
      <c r="F13" s="49"/>
      <c r="G13" s="49"/>
      <c r="H13" s="49"/>
      <c r="I13" s="68" t="str">
        <f>IF(F13="","",INDEX(#REF!,MATCH(RenewableElectricityTable[[#This Row],[Renewable Type]],#REF!,0),MATCH(RenewableElectricityTable[[#This Row],[Methodology used]],#REF!,0)))</f>
        <v/>
      </c>
      <c r="J13" s="75"/>
      <c r="K13" s="73"/>
      <c r="L13" s="76">
        <f>SUM(RenewableElectricityTable[[#This Row],[kWh consumed by reporting organisation]:[kWh exported to other PSB]])</f>
        <v>0</v>
      </c>
      <c r="M13" s="78"/>
      <c r="N13" s="78"/>
      <c r="O13" s="78"/>
      <c r="P13" s="81"/>
      <c r="Q13" s="54"/>
      <c r="R13" s="54"/>
      <c r="T13" s="1" cm="1">
        <f t="array" ref="T13">IF(OR(ISERROR(B13:R13)),1,0)</f>
        <v>0</v>
      </c>
      <c r="U13" s="1">
        <f t="shared" si="0"/>
        <v>0</v>
      </c>
    </row>
    <row r="14" spans="1:22" ht="15" thickBot="1" x14ac:dyDescent="0.4">
      <c r="A14" s="7"/>
      <c r="B14" s="49"/>
      <c r="C14" s="48"/>
      <c r="D14" s="48"/>
      <c r="E14" s="49"/>
      <c r="F14" s="49"/>
      <c r="G14" s="49"/>
      <c r="H14" s="49"/>
      <c r="I14" s="68" t="str">
        <f>IF(F14="","",INDEX(#REF!,MATCH(RenewableElectricityTable[[#This Row],[Renewable Type]],#REF!,0),MATCH(RenewableElectricityTable[[#This Row],[Methodology used]],#REF!,0)))</f>
        <v/>
      </c>
      <c r="J14" s="75"/>
      <c r="K14" s="73"/>
      <c r="L14" s="76">
        <f>SUM(RenewableElectricityTable[[#This Row],[kWh consumed by reporting organisation]:[kWh exported to other PSB]])</f>
        <v>0</v>
      </c>
      <c r="M14" s="78"/>
      <c r="N14" s="78"/>
      <c r="O14" s="78"/>
      <c r="P14" s="81"/>
      <c r="Q14" s="54"/>
      <c r="R14" s="54"/>
      <c r="T14" s="1" cm="1">
        <f t="array" ref="T14">IF(OR(ISERROR(B14:R14)),1,0)</f>
        <v>0</v>
      </c>
      <c r="U14" s="1">
        <f t="shared" si="0"/>
        <v>0</v>
      </c>
    </row>
    <row r="15" spans="1:22" ht="15" thickBot="1" x14ac:dyDescent="0.4">
      <c r="A15" s="7"/>
      <c r="B15" s="49"/>
      <c r="C15" s="48"/>
      <c r="D15" s="48"/>
      <c r="E15" s="49"/>
      <c r="F15" s="49"/>
      <c r="G15" s="49"/>
      <c r="H15" s="49"/>
      <c r="I15" s="68" t="str">
        <f>IF(F15="","",INDEX(#REF!,MATCH(RenewableElectricityTable[[#This Row],[Renewable Type]],#REF!,0),MATCH(RenewableElectricityTable[[#This Row],[Methodology used]],#REF!,0)))</f>
        <v/>
      </c>
      <c r="J15" s="75"/>
      <c r="K15" s="73"/>
      <c r="L15" s="76">
        <f>SUM(RenewableElectricityTable[[#This Row],[kWh consumed by reporting organisation]:[kWh exported to other PSB]])</f>
        <v>0</v>
      </c>
      <c r="M15" s="78"/>
      <c r="N15" s="78"/>
      <c r="O15" s="78"/>
      <c r="P15" s="81"/>
      <c r="Q15" s="54"/>
      <c r="R15" s="54"/>
      <c r="T15" s="1" cm="1">
        <f t="array" ref="T15">IF(OR(ISERROR(B15:R15)),1,0)</f>
        <v>0</v>
      </c>
      <c r="U15" s="1">
        <f t="shared" si="0"/>
        <v>0</v>
      </c>
    </row>
    <row r="16" spans="1:22" ht="15" thickBot="1" x14ac:dyDescent="0.4">
      <c r="A16" s="7"/>
      <c r="B16" s="49"/>
      <c r="C16" s="48"/>
      <c r="D16" s="48"/>
      <c r="E16" s="49"/>
      <c r="F16" s="49"/>
      <c r="G16" s="49"/>
      <c r="H16" s="49"/>
      <c r="I16" s="68" t="str">
        <f>IF(F16="","",INDEX(#REF!,MATCH(RenewableElectricityTable[[#This Row],[Renewable Type]],#REF!,0),MATCH(RenewableElectricityTable[[#This Row],[Methodology used]],#REF!,0)))</f>
        <v/>
      </c>
      <c r="J16" s="75"/>
      <c r="K16" s="73"/>
      <c r="L16" s="76">
        <f>SUM(RenewableElectricityTable[[#This Row],[kWh consumed by reporting organisation]:[kWh exported to other PSB]])</f>
        <v>0</v>
      </c>
      <c r="M16" s="78"/>
      <c r="N16" s="78"/>
      <c r="O16" s="78"/>
      <c r="P16" s="81"/>
      <c r="Q16" s="54"/>
      <c r="R16" s="54"/>
      <c r="T16" s="1" cm="1">
        <f t="array" ref="T16">IF(OR(ISERROR(B16:R16)),1,0)</f>
        <v>0</v>
      </c>
      <c r="U16" s="1">
        <f t="shared" si="0"/>
        <v>0</v>
      </c>
    </row>
    <row r="17" spans="1:21" ht="15" thickBot="1" x14ac:dyDescent="0.4">
      <c r="A17" s="7"/>
      <c r="B17" s="49"/>
      <c r="C17" s="48"/>
      <c r="D17" s="48"/>
      <c r="E17" s="49"/>
      <c r="F17" s="49"/>
      <c r="G17" s="49"/>
      <c r="H17" s="49"/>
      <c r="I17" s="68" t="str">
        <f>IF(F17="","",INDEX(#REF!,MATCH(RenewableElectricityTable[[#This Row],[Renewable Type]],#REF!,0),MATCH(RenewableElectricityTable[[#This Row],[Methodology used]],#REF!,0)))</f>
        <v/>
      </c>
      <c r="J17" s="75"/>
      <c r="K17" s="73"/>
      <c r="L17" s="76">
        <f>SUM(RenewableElectricityTable[[#This Row],[kWh consumed by reporting organisation]:[kWh exported to other PSB]])</f>
        <v>0</v>
      </c>
      <c r="M17" s="78"/>
      <c r="N17" s="78"/>
      <c r="O17" s="78"/>
      <c r="P17" s="81"/>
      <c r="Q17" s="54"/>
      <c r="R17" s="54"/>
      <c r="T17" s="1" cm="1">
        <f t="array" ref="T17">IF(OR(ISERROR(B17:R17)),1,0)</f>
        <v>0</v>
      </c>
      <c r="U17" s="1">
        <f t="shared" si="0"/>
        <v>0</v>
      </c>
    </row>
    <row r="18" spans="1:21" ht="15" thickBot="1" x14ac:dyDescent="0.4">
      <c r="A18" s="7"/>
      <c r="B18" s="49"/>
      <c r="C18" s="48"/>
      <c r="D18" s="48"/>
      <c r="E18" s="49"/>
      <c r="F18" s="49"/>
      <c r="G18" s="49"/>
      <c r="H18" s="49"/>
      <c r="I18" s="68" t="str">
        <f>IF(F18="","",INDEX(#REF!,MATCH(RenewableElectricityTable[[#This Row],[Renewable Type]],#REF!,0),MATCH(RenewableElectricityTable[[#This Row],[Methodology used]],#REF!,0)))</f>
        <v/>
      </c>
      <c r="J18" s="75"/>
      <c r="K18" s="73"/>
      <c r="L18" s="76">
        <f>SUM(RenewableElectricityTable[[#This Row],[kWh consumed by reporting organisation]:[kWh exported to other PSB]])</f>
        <v>0</v>
      </c>
      <c r="M18" s="78"/>
      <c r="N18" s="78"/>
      <c r="O18" s="78"/>
      <c r="P18" s="81"/>
      <c r="Q18" s="54"/>
      <c r="R18" s="54"/>
      <c r="T18" s="1" cm="1">
        <f t="array" ref="T18">IF(OR(ISERROR(B18:R18)),1,0)</f>
        <v>0</v>
      </c>
      <c r="U18" s="1">
        <f t="shared" si="0"/>
        <v>0</v>
      </c>
    </row>
    <row r="19" spans="1:21" ht="15" thickBot="1" x14ac:dyDescent="0.4">
      <c r="A19" s="7"/>
      <c r="B19" s="49"/>
      <c r="C19" s="48"/>
      <c r="D19" s="48"/>
      <c r="E19" s="49"/>
      <c r="F19" s="49"/>
      <c r="G19" s="49"/>
      <c r="H19" s="49"/>
      <c r="I19" s="68" t="str">
        <f>IF(F19="","",INDEX(#REF!,MATCH(RenewableElectricityTable[[#This Row],[Renewable Type]],#REF!,0),MATCH(RenewableElectricityTable[[#This Row],[Methodology used]],#REF!,0)))</f>
        <v/>
      </c>
      <c r="J19" s="75"/>
      <c r="K19" s="73"/>
      <c r="L19" s="76">
        <f>SUM(RenewableElectricityTable[[#This Row],[kWh consumed by reporting organisation]:[kWh exported to other PSB]])</f>
        <v>0</v>
      </c>
      <c r="M19" s="78"/>
      <c r="N19" s="78"/>
      <c r="O19" s="78"/>
      <c r="P19" s="81"/>
      <c r="Q19" s="54"/>
      <c r="R19" s="54"/>
      <c r="T19" s="1" cm="1">
        <f t="array" ref="T19">IF(OR(ISERROR(B19:R19)),1,0)</f>
        <v>0</v>
      </c>
      <c r="U19" s="1">
        <f t="shared" si="0"/>
        <v>0</v>
      </c>
    </row>
    <row r="20" spans="1:21" ht="15" thickBot="1" x14ac:dyDescent="0.4">
      <c r="A20" s="7"/>
      <c r="B20" s="49"/>
      <c r="C20" s="48"/>
      <c r="D20" s="48"/>
      <c r="E20" s="49"/>
      <c r="F20" s="49"/>
      <c r="G20" s="49"/>
      <c r="H20" s="49"/>
      <c r="I20" s="68" t="str">
        <f>IF(F20="","",INDEX(#REF!,MATCH(RenewableElectricityTable[[#This Row],[Renewable Type]],#REF!,0),MATCH(RenewableElectricityTable[[#This Row],[Methodology used]],#REF!,0)))</f>
        <v/>
      </c>
      <c r="J20" s="75"/>
      <c r="K20" s="73"/>
      <c r="L20" s="76">
        <f>SUM(RenewableElectricityTable[[#This Row],[kWh consumed by reporting organisation]:[kWh exported to other PSB]])</f>
        <v>0</v>
      </c>
      <c r="M20" s="78"/>
      <c r="N20" s="78"/>
      <c r="O20" s="78"/>
      <c r="P20" s="81"/>
      <c r="Q20" s="54"/>
      <c r="R20" s="54"/>
      <c r="T20" s="1" cm="1">
        <f t="array" ref="T20">IF(OR(ISERROR(B20:R20)),1,0)</f>
        <v>0</v>
      </c>
      <c r="U20" s="1">
        <f t="shared" si="0"/>
        <v>0</v>
      </c>
    </row>
    <row r="21" spans="1:21" ht="15" thickBot="1" x14ac:dyDescent="0.4">
      <c r="A21" s="7"/>
      <c r="B21" s="49"/>
      <c r="C21" s="48"/>
      <c r="D21" s="48"/>
      <c r="E21" s="49"/>
      <c r="F21" s="49"/>
      <c r="G21" s="49"/>
      <c r="H21" s="49"/>
      <c r="I21" s="68" t="str">
        <f>IF(F21="","",INDEX(#REF!,MATCH(RenewableElectricityTable[[#This Row],[Renewable Type]],#REF!,0),MATCH(RenewableElectricityTable[[#This Row],[Methodology used]],#REF!,0)))</f>
        <v/>
      </c>
      <c r="J21" s="75"/>
      <c r="K21" s="73"/>
      <c r="L21" s="76">
        <f>SUM(RenewableElectricityTable[[#This Row],[kWh consumed by reporting organisation]:[kWh exported to other PSB]])</f>
        <v>0</v>
      </c>
      <c r="M21" s="78"/>
      <c r="N21" s="78"/>
      <c r="O21" s="78"/>
      <c r="P21" s="81"/>
      <c r="Q21" s="54"/>
      <c r="R21" s="54"/>
      <c r="T21" s="1" cm="1">
        <f t="array" ref="T21">IF(OR(ISERROR(B21:R21)),1,0)</f>
        <v>0</v>
      </c>
      <c r="U21" s="1">
        <f t="shared" si="0"/>
        <v>0</v>
      </c>
    </row>
    <row r="22" spans="1:21" ht="15" thickBot="1" x14ac:dyDescent="0.4">
      <c r="A22" s="7"/>
      <c r="B22" s="49"/>
      <c r="C22" s="48"/>
      <c r="D22" s="48"/>
      <c r="E22" s="49"/>
      <c r="F22" s="49"/>
      <c r="G22" s="49"/>
      <c r="H22" s="49"/>
      <c r="I22" s="68" t="str">
        <f>IF(F22="","",INDEX(#REF!,MATCH(RenewableElectricityTable[[#This Row],[Renewable Type]],#REF!,0),MATCH(RenewableElectricityTable[[#This Row],[Methodology used]],#REF!,0)))</f>
        <v/>
      </c>
      <c r="J22" s="75"/>
      <c r="K22" s="73"/>
      <c r="L22" s="76">
        <f>SUM(RenewableElectricityTable[[#This Row],[kWh consumed by reporting organisation]:[kWh exported to other PSB]])</f>
        <v>0</v>
      </c>
      <c r="M22" s="78"/>
      <c r="N22" s="78"/>
      <c r="O22" s="78"/>
      <c r="P22" s="81"/>
      <c r="Q22" s="54"/>
      <c r="R22" s="54"/>
      <c r="T22" s="1" cm="1">
        <f t="array" ref="T22">IF(OR(ISERROR(B22:R22)),1,0)</f>
        <v>0</v>
      </c>
      <c r="U22" s="1">
        <f t="shared" si="0"/>
        <v>0</v>
      </c>
    </row>
    <row r="23" spans="1:21" ht="15" thickBot="1" x14ac:dyDescent="0.4">
      <c r="A23" s="7"/>
      <c r="B23" s="49"/>
      <c r="C23" s="48"/>
      <c r="D23" s="48"/>
      <c r="E23" s="49"/>
      <c r="F23" s="49"/>
      <c r="G23" s="49"/>
      <c r="H23" s="49"/>
      <c r="I23" s="68" t="str">
        <f>IF(F23="","",INDEX(#REF!,MATCH(RenewableElectricityTable[[#This Row],[Renewable Type]],#REF!,0),MATCH(RenewableElectricityTable[[#This Row],[Methodology used]],#REF!,0)))</f>
        <v/>
      </c>
      <c r="J23" s="75"/>
      <c r="K23" s="73"/>
      <c r="L23" s="76">
        <f>SUM(RenewableElectricityTable[[#This Row],[kWh consumed by reporting organisation]:[kWh exported to other PSB]])</f>
        <v>0</v>
      </c>
      <c r="M23" s="78"/>
      <c r="N23" s="78"/>
      <c r="O23" s="78"/>
      <c r="P23" s="81"/>
      <c r="Q23" s="54"/>
      <c r="R23" s="54"/>
      <c r="T23" s="1" cm="1">
        <f t="array" ref="T23">IF(OR(ISERROR(B23:R23)),1,0)</f>
        <v>0</v>
      </c>
      <c r="U23" s="1">
        <f t="shared" si="0"/>
        <v>0</v>
      </c>
    </row>
    <row r="24" spans="1:21" ht="15" thickBot="1" x14ac:dyDescent="0.4">
      <c r="A24" s="7"/>
      <c r="B24" s="49"/>
      <c r="C24" s="48"/>
      <c r="D24" s="48"/>
      <c r="E24" s="49"/>
      <c r="F24" s="49"/>
      <c r="G24" s="49"/>
      <c r="H24" s="49"/>
      <c r="I24" s="68" t="str">
        <f>IF(F24="","",INDEX(#REF!,MATCH(RenewableElectricityTable[[#This Row],[Renewable Type]],#REF!,0),MATCH(RenewableElectricityTable[[#This Row],[Methodology used]],#REF!,0)))</f>
        <v/>
      </c>
      <c r="J24" s="75"/>
      <c r="K24" s="73"/>
      <c r="L24" s="76">
        <f>SUM(RenewableElectricityTable[[#This Row],[kWh consumed by reporting organisation]:[kWh exported to other PSB]])</f>
        <v>0</v>
      </c>
      <c r="M24" s="78"/>
      <c r="N24" s="78"/>
      <c r="O24" s="78"/>
      <c r="P24" s="81"/>
      <c r="Q24" s="54"/>
      <c r="R24" s="54"/>
      <c r="T24" s="1" cm="1">
        <f t="array" ref="T24">IF(OR(ISERROR(B24:R24)),1,0)</f>
        <v>0</v>
      </c>
      <c r="U24" s="1">
        <f t="shared" si="0"/>
        <v>0</v>
      </c>
    </row>
    <row r="25" spans="1:21" ht="15" thickBot="1" x14ac:dyDescent="0.4">
      <c r="A25" s="7"/>
      <c r="B25" s="49"/>
      <c r="C25" s="48"/>
      <c r="D25" s="48"/>
      <c r="E25" s="49"/>
      <c r="F25" s="49"/>
      <c r="G25" s="49"/>
      <c r="H25" s="49"/>
      <c r="I25" s="68" t="str">
        <f>IF(F25="","",INDEX(#REF!,MATCH(RenewableElectricityTable[[#This Row],[Renewable Type]],#REF!,0),MATCH(RenewableElectricityTable[[#This Row],[Methodology used]],#REF!,0)))</f>
        <v/>
      </c>
      <c r="J25" s="75"/>
      <c r="K25" s="73"/>
      <c r="L25" s="76">
        <f>SUM(RenewableElectricityTable[[#This Row],[kWh consumed by reporting organisation]:[kWh exported to other PSB]])</f>
        <v>0</v>
      </c>
      <c r="M25" s="78"/>
      <c r="N25" s="78"/>
      <c r="O25" s="78"/>
      <c r="P25" s="81"/>
      <c r="Q25" s="54"/>
      <c r="R25" s="54"/>
      <c r="T25" s="1" cm="1">
        <f t="array" ref="T25">IF(OR(ISERROR(B25:R25)),1,0)</f>
        <v>0</v>
      </c>
      <c r="U25" s="1">
        <f t="shared" si="0"/>
        <v>0</v>
      </c>
    </row>
    <row r="26" spans="1:21" ht="15" thickBot="1" x14ac:dyDescent="0.4">
      <c r="A26" s="7"/>
      <c r="B26" s="49"/>
      <c r="C26" s="48"/>
      <c r="D26" s="48"/>
      <c r="E26" s="49"/>
      <c r="F26" s="49"/>
      <c r="G26" s="49"/>
      <c r="H26" s="49"/>
      <c r="I26" s="68" t="str">
        <f>IF(F26="","",INDEX(#REF!,MATCH(RenewableElectricityTable[[#This Row],[Renewable Type]],#REF!,0),MATCH(RenewableElectricityTable[[#This Row],[Methodology used]],#REF!,0)))</f>
        <v/>
      </c>
      <c r="J26" s="75"/>
      <c r="K26" s="73"/>
      <c r="L26" s="76">
        <f>SUM(RenewableElectricityTable[[#This Row],[kWh consumed by reporting organisation]:[kWh exported to other PSB]])</f>
        <v>0</v>
      </c>
      <c r="M26" s="78"/>
      <c r="N26" s="78"/>
      <c r="O26" s="78"/>
      <c r="P26" s="81"/>
      <c r="Q26" s="54"/>
      <c r="R26" s="54"/>
      <c r="T26" s="1" cm="1">
        <f t="array" ref="T26">IF(OR(ISERROR(B26:R26)),1,0)</f>
        <v>0</v>
      </c>
      <c r="U26" s="1">
        <f t="shared" si="0"/>
        <v>0</v>
      </c>
    </row>
    <row r="27" spans="1:21" ht="15" thickBot="1" x14ac:dyDescent="0.4">
      <c r="A27" s="7"/>
      <c r="B27" s="49"/>
      <c r="C27" s="48"/>
      <c r="D27" s="48"/>
      <c r="E27" s="49"/>
      <c r="F27" s="49"/>
      <c r="G27" s="49"/>
      <c r="H27" s="49"/>
      <c r="I27" s="68" t="str">
        <f>IF(F27="","",INDEX(#REF!,MATCH(RenewableElectricityTable[[#This Row],[Renewable Type]],#REF!,0),MATCH(RenewableElectricityTable[[#This Row],[Methodology used]],#REF!,0)))</f>
        <v/>
      </c>
      <c r="J27" s="75"/>
      <c r="K27" s="73"/>
      <c r="L27" s="76">
        <f>SUM(RenewableElectricityTable[[#This Row],[kWh consumed by reporting organisation]:[kWh exported to other PSB]])</f>
        <v>0</v>
      </c>
      <c r="M27" s="78"/>
      <c r="N27" s="78"/>
      <c r="O27" s="78"/>
      <c r="P27" s="81"/>
      <c r="Q27" s="54"/>
      <c r="R27" s="54"/>
      <c r="T27" s="1" cm="1">
        <f t="array" ref="T27">IF(OR(ISERROR(B27:R27)),1,0)</f>
        <v>0</v>
      </c>
      <c r="U27" s="1">
        <f t="shared" si="0"/>
        <v>0</v>
      </c>
    </row>
    <row r="28" spans="1:21" ht="15" thickBot="1" x14ac:dyDescent="0.4">
      <c r="A28" s="7"/>
      <c r="B28" s="49"/>
      <c r="C28" s="48"/>
      <c r="D28" s="48"/>
      <c r="E28" s="49"/>
      <c r="F28" s="49"/>
      <c r="G28" s="49"/>
      <c r="H28" s="49"/>
      <c r="I28" s="68" t="str">
        <f>IF(F28="","",INDEX(#REF!,MATCH(RenewableElectricityTable[[#This Row],[Renewable Type]],#REF!,0),MATCH(RenewableElectricityTable[[#This Row],[Methodology used]],#REF!,0)))</f>
        <v/>
      </c>
      <c r="J28" s="75"/>
      <c r="K28" s="73"/>
      <c r="L28" s="76">
        <f>SUM(RenewableElectricityTable[[#This Row],[kWh consumed by reporting organisation]:[kWh exported to other PSB]])</f>
        <v>0</v>
      </c>
      <c r="M28" s="78"/>
      <c r="N28" s="78"/>
      <c r="O28" s="78"/>
      <c r="P28" s="81"/>
      <c r="Q28" s="54"/>
      <c r="R28" s="54"/>
      <c r="T28" s="1" cm="1">
        <f t="array" ref="T28">IF(OR(ISERROR(B28:R28)),1,0)</f>
        <v>0</v>
      </c>
      <c r="U28" s="1">
        <f t="shared" si="0"/>
        <v>0</v>
      </c>
    </row>
    <row r="29" spans="1:21" ht="15" thickBot="1" x14ac:dyDescent="0.4">
      <c r="A29" s="7"/>
      <c r="B29" s="49"/>
      <c r="C29" s="48"/>
      <c r="D29" s="48"/>
      <c r="E29" s="49"/>
      <c r="F29" s="49"/>
      <c r="G29" s="49"/>
      <c r="H29" s="49"/>
      <c r="I29" s="68" t="str">
        <f>IF(F29="","",INDEX(#REF!,MATCH(RenewableElectricityTable[[#This Row],[Renewable Type]],#REF!,0),MATCH(RenewableElectricityTable[[#This Row],[Methodology used]],#REF!,0)))</f>
        <v/>
      </c>
      <c r="J29" s="75"/>
      <c r="K29" s="73"/>
      <c r="L29" s="76">
        <f>SUM(RenewableElectricityTable[[#This Row],[kWh consumed by reporting organisation]:[kWh exported to other PSB]])</f>
        <v>0</v>
      </c>
      <c r="M29" s="78"/>
      <c r="N29" s="78"/>
      <c r="O29" s="78"/>
      <c r="P29" s="81"/>
      <c r="Q29" s="54"/>
      <c r="R29" s="54"/>
      <c r="T29" s="1" cm="1">
        <f t="array" ref="T29">IF(OR(ISERROR(B29:R29)),1,0)</f>
        <v>0</v>
      </c>
      <c r="U29" s="1">
        <f t="shared" si="0"/>
        <v>0</v>
      </c>
    </row>
    <row r="30" spans="1:21" ht="15" thickBot="1" x14ac:dyDescent="0.4">
      <c r="A30" s="7"/>
      <c r="B30" s="49"/>
      <c r="C30" s="48"/>
      <c r="D30" s="48"/>
      <c r="E30" s="49"/>
      <c r="F30" s="49"/>
      <c r="G30" s="49"/>
      <c r="H30" s="49"/>
      <c r="I30" s="68" t="str">
        <f>IF(F30="","",INDEX(#REF!,MATCH(RenewableElectricityTable[[#This Row],[Renewable Type]],#REF!,0),MATCH(RenewableElectricityTable[[#This Row],[Methodology used]],#REF!,0)))</f>
        <v/>
      </c>
      <c r="J30" s="75"/>
      <c r="K30" s="73"/>
      <c r="L30" s="76">
        <f>SUM(RenewableElectricityTable[[#This Row],[kWh consumed by reporting organisation]:[kWh exported to other PSB]])</f>
        <v>0</v>
      </c>
      <c r="M30" s="78"/>
      <c r="N30" s="78"/>
      <c r="O30" s="78"/>
      <c r="P30" s="81"/>
      <c r="Q30" s="54"/>
      <c r="R30" s="54"/>
      <c r="T30" s="1" cm="1">
        <f t="array" ref="T30">IF(OR(ISERROR(B30:R30)),1,0)</f>
        <v>0</v>
      </c>
      <c r="U30" s="1">
        <f t="shared" si="0"/>
        <v>0</v>
      </c>
    </row>
    <row r="31" spans="1:21" ht="15" thickBot="1" x14ac:dyDescent="0.4">
      <c r="A31" s="7"/>
      <c r="B31" s="49"/>
      <c r="C31" s="48"/>
      <c r="D31" s="48"/>
      <c r="E31" s="49"/>
      <c r="F31" s="51"/>
      <c r="G31" s="51"/>
      <c r="H31" s="51"/>
      <c r="I31" s="68" t="str">
        <f>IF(F31="","",INDEX(#REF!,MATCH(RenewableElectricityTable[[#This Row],[Renewable Type]],#REF!,0),MATCH(RenewableElectricityTable[[#This Row],[Methodology used]],#REF!,0)))</f>
        <v/>
      </c>
      <c r="J31" s="75"/>
      <c r="K31" s="74"/>
      <c r="L31" s="77">
        <f>SUM(RenewableElectricityTable[[#This Row],[kWh consumed by reporting organisation]:[kWh exported to other PSB]])</f>
        <v>0</v>
      </c>
      <c r="M31" s="79"/>
      <c r="N31" s="79"/>
      <c r="O31" s="79"/>
      <c r="P31" s="81"/>
      <c r="Q31" s="54"/>
      <c r="R31" s="55"/>
      <c r="T31" s="1" cm="1">
        <f t="array" ref="T31">IF(OR(ISERROR(B31:R31)),1,0)</f>
        <v>0</v>
      </c>
      <c r="U31" s="1">
        <f t="shared" si="0"/>
        <v>0</v>
      </c>
    </row>
    <row r="32" spans="1:21" ht="15" thickBot="1" x14ac:dyDescent="0.4">
      <c r="A32" s="7"/>
      <c r="B32" s="145"/>
      <c r="C32" s="48"/>
      <c r="D32" s="48"/>
      <c r="E32" s="49"/>
      <c r="F32" s="49"/>
      <c r="G32" s="49"/>
      <c r="H32" s="49"/>
      <c r="I32" s="68" t="str">
        <f>IF(F32="","",INDEX(#REF!,MATCH(RenewableElectricityTable[[#This Row],[Renewable Type]],#REF!,0),MATCH(RenewableElectricityTable[[#This Row],[Methodology used]],#REF!,0)))</f>
        <v/>
      </c>
      <c r="J32" s="75"/>
      <c r="K32" s="73"/>
      <c r="L32" s="76">
        <f>SUM(RenewableElectricityTable[[#This Row],[kWh consumed by reporting organisation]:[kWh exported to other PSB]])</f>
        <v>0</v>
      </c>
      <c r="M32" s="78"/>
      <c r="N32" s="78"/>
      <c r="O32" s="78"/>
      <c r="P32" s="82"/>
      <c r="Q32" s="54"/>
      <c r="R32" s="54"/>
      <c r="T32" s="1" cm="1">
        <f t="array" ref="T32">IF(OR(ISERROR(B32:R32)),1,0)</f>
        <v>0</v>
      </c>
      <c r="U32" s="1">
        <f t="shared" si="0"/>
        <v>0</v>
      </c>
    </row>
    <row r="33" spans="1:21" x14ac:dyDescent="0.35">
      <c r="A33" s="7"/>
      <c r="B33"/>
      <c r="C33" s="41"/>
      <c r="D33" s="41"/>
      <c r="E33" s="30"/>
      <c r="F33" s="12"/>
      <c r="G33"/>
      <c r="H33"/>
      <c r="I33"/>
      <c r="J33" s="12"/>
      <c r="K33" s="12"/>
      <c r="L33" s="11"/>
      <c r="M33" s="19"/>
      <c r="N33" s="19"/>
      <c r="O33" s="17"/>
    </row>
    <row r="34" spans="1:21" ht="18" customHeight="1" x14ac:dyDescent="0.35">
      <c r="B34"/>
      <c r="C34" s="41"/>
      <c r="D34" s="41"/>
      <c r="E34" s="30"/>
      <c r="F34" s="12"/>
      <c r="G34"/>
      <c r="H34"/>
      <c r="I34"/>
      <c r="J34" s="12"/>
      <c r="K34" s="12"/>
      <c r="L34" s="11"/>
      <c r="M34" s="19"/>
      <c r="N34" s="19"/>
      <c r="O34" s="17"/>
    </row>
    <row r="35" spans="1:21" ht="18.5" x14ac:dyDescent="0.35">
      <c r="A35" s="12"/>
      <c r="B35" s="13" t="s">
        <v>1608</v>
      </c>
      <c r="E35" s="43"/>
      <c r="F35" s="43"/>
      <c r="G35"/>
      <c r="H35"/>
      <c r="I35"/>
      <c r="J35" s="12"/>
      <c r="K35" s="12"/>
      <c r="M35" s="19"/>
      <c r="N35" s="510" t="s">
        <v>1609</v>
      </c>
      <c r="O35" s="511"/>
      <c r="P35" s="512"/>
      <c r="T35" s="8" t="s">
        <v>1604</v>
      </c>
      <c r="U35" s="8" t="s">
        <v>1605</v>
      </c>
    </row>
    <row r="36" spans="1:21" ht="29.5" thickBot="1" x14ac:dyDescent="0.4">
      <c r="B36" s="22" t="s">
        <v>423</v>
      </c>
      <c r="C36" s="21" t="s">
        <v>424</v>
      </c>
      <c r="D36" s="21" t="s">
        <v>425</v>
      </c>
      <c r="E36" s="22" t="s">
        <v>426</v>
      </c>
      <c r="F36" s="22" t="s">
        <v>427</v>
      </c>
      <c r="G36" s="22" t="s">
        <v>428</v>
      </c>
      <c r="H36" s="22" t="s">
        <v>429</v>
      </c>
      <c r="I36" s="22" t="s">
        <v>303</v>
      </c>
      <c r="J36" s="22" t="s">
        <v>1610</v>
      </c>
      <c r="K36" s="46" t="s">
        <v>5</v>
      </c>
      <c r="L36" s="22" t="s">
        <v>432</v>
      </c>
      <c r="M36" s="22" t="s">
        <v>433</v>
      </c>
      <c r="N36" s="22" t="s">
        <v>1611</v>
      </c>
      <c r="O36" s="22" t="s">
        <v>435</v>
      </c>
      <c r="P36" s="22" t="s">
        <v>1607</v>
      </c>
      <c r="Q36" s="22" t="s">
        <v>293</v>
      </c>
      <c r="R36" s="23" t="s">
        <v>291</v>
      </c>
      <c r="T36" s="1">
        <f>SUM(T37:T60)</f>
        <v>0</v>
      </c>
      <c r="U36" s="1">
        <f>SUM(U37:U60)</f>
        <v>0</v>
      </c>
    </row>
    <row r="37" spans="1:21" ht="15" thickBot="1" x14ac:dyDescent="0.4">
      <c r="B37" s="49"/>
      <c r="C37" s="72" t="s">
        <v>437</v>
      </c>
      <c r="D37" s="48"/>
      <c r="E37" s="49"/>
      <c r="F37" s="49"/>
      <c r="G37" s="49"/>
      <c r="H37" s="49"/>
      <c r="I37" s="68" t="str">
        <f>IF(F37="","",INDEX(#REF!,MATCH(OnsiteHeatTable[[#This Row],[Renewable Type]],#REF!,0),MATCH(OnsiteHeatTable[[#This Row],[Methodology used]],#REF!,0)))</f>
        <v/>
      </c>
      <c r="J37" s="52"/>
      <c r="K37" s="24"/>
      <c r="L37" s="76">
        <f>SUM(OnsiteHeatTable[[#This Row],[kWh consumed by reporting organisation]:[kWh exported to other PSB]])</f>
        <v>0</v>
      </c>
      <c r="M37" s="78"/>
      <c r="N37" s="78"/>
      <c r="O37" s="78"/>
      <c r="P37" s="81"/>
      <c r="Q37" s="54"/>
      <c r="R37" s="54"/>
      <c r="T37" s="1" cm="1">
        <f t="array" ref="T37">IF(OR(ISERROR(B37:R37)),1,0)</f>
        <v>0</v>
      </c>
      <c r="U37" s="1">
        <f t="shared" ref="U37:U60" si="1">IF(AND(D37="",E37=""),0,1)</f>
        <v>0</v>
      </c>
    </row>
    <row r="38" spans="1:21" ht="15" thickBot="1" x14ac:dyDescent="0.4">
      <c r="B38" s="49"/>
      <c r="C38" s="72" t="s">
        <v>437</v>
      </c>
      <c r="D38" s="48"/>
      <c r="E38" s="49"/>
      <c r="F38" s="49"/>
      <c r="G38" s="49"/>
      <c r="H38" s="49"/>
      <c r="I38" s="68" t="str">
        <f>IF(F38="","",INDEX(#REF!,MATCH(OnsiteHeatTable[[#This Row],[Renewable Type]],#REF!,0),MATCH(OnsiteHeatTable[[#This Row],[Methodology used]],#REF!,0)))</f>
        <v/>
      </c>
      <c r="J38" s="52"/>
      <c r="K38" s="24"/>
      <c r="L38" s="76">
        <f>SUM(OnsiteHeatTable[[#This Row],[kWh consumed by reporting organisation]:[kWh exported to other PSB]])</f>
        <v>0</v>
      </c>
      <c r="M38" s="78"/>
      <c r="N38" s="78"/>
      <c r="O38" s="78"/>
      <c r="P38" s="81"/>
      <c r="Q38" s="54"/>
      <c r="R38" s="54"/>
      <c r="T38" s="1" cm="1">
        <f t="array" ref="T38">IF(OR(ISERROR(B38:R38)),1,0)</f>
        <v>0</v>
      </c>
      <c r="U38" s="1">
        <f t="shared" si="1"/>
        <v>0</v>
      </c>
    </row>
    <row r="39" spans="1:21" ht="15" thickBot="1" x14ac:dyDescent="0.4">
      <c r="B39" s="49"/>
      <c r="C39" s="72" t="s">
        <v>437</v>
      </c>
      <c r="D39" s="48"/>
      <c r="E39" s="49"/>
      <c r="F39" s="49"/>
      <c r="G39" s="49"/>
      <c r="H39" s="49"/>
      <c r="I39" s="68" t="str">
        <f>IF(F39="","",INDEX(#REF!,MATCH(OnsiteHeatTable[[#This Row],[Renewable Type]],#REF!,0),MATCH(OnsiteHeatTable[[#This Row],[Methodology used]],#REF!,0)))</f>
        <v/>
      </c>
      <c r="J39" s="52"/>
      <c r="K39" s="24"/>
      <c r="L39" s="76">
        <f>SUM(OnsiteHeatTable[[#This Row],[kWh consumed by reporting organisation]:[kWh exported to other PSB]])</f>
        <v>0</v>
      </c>
      <c r="M39" s="78"/>
      <c r="N39" s="78"/>
      <c r="O39" s="78"/>
      <c r="P39" s="81"/>
      <c r="Q39" s="54"/>
      <c r="R39" s="54"/>
      <c r="T39" s="1" cm="1">
        <f t="array" ref="T39">IF(OR(ISERROR(B39:R39)),1,0)</f>
        <v>0</v>
      </c>
      <c r="U39" s="1">
        <f t="shared" si="1"/>
        <v>0</v>
      </c>
    </row>
    <row r="40" spans="1:21" ht="15" thickBot="1" x14ac:dyDescent="0.4">
      <c r="B40" s="49"/>
      <c r="C40" s="72" t="s">
        <v>437</v>
      </c>
      <c r="D40" s="48"/>
      <c r="E40" s="49"/>
      <c r="F40" s="49"/>
      <c r="G40" s="49"/>
      <c r="H40" s="49"/>
      <c r="I40" s="68" t="str">
        <f>IF(F40="","",INDEX(#REF!,MATCH(OnsiteHeatTable[[#This Row],[Renewable Type]],#REF!,0),MATCH(OnsiteHeatTable[[#This Row],[Methodology used]],#REF!,0)))</f>
        <v/>
      </c>
      <c r="J40" s="52"/>
      <c r="K40" s="24"/>
      <c r="L40" s="76">
        <f>SUM(OnsiteHeatTable[[#This Row],[kWh consumed by reporting organisation]:[kWh exported to other PSB]])</f>
        <v>0</v>
      </c>
      <c r="M40" s="78"/>
      <c r="N40" s="78"/>
      <c r="O40" s="78"/>
      <c r="P40" s="81"/>
      <c r="Q40" s="54"/>
      <c r="R40" s="54"/>
      <c r="T40" s="1" cm="1">
        <f t="array" ref="T40">IF(OR(ISERROR(B40:R40)),1,0)</f>
        <v>0</v>
      </c>
      <c r="U40" s="1">
        <f t="shared" si="1"/>
        <v>0</v>
      </c>
    </row>
    <row r="41" spans="1:21" ht="15" thickBot="1" x14ac:dyDescent="0.4">
      <c r="B41" s="49"/>
      <c r="C41" s="72" t="s">
        <v>437</v>
      </c>
      <c r="D41" s="48"/>
      <c r="E41" s="49"/>
      <c r="F41" s="49"/>
      <c r="G41" s="49"/>
      <c r="H41" s="49"/>
      <c r="I41" s="68" t="str">
        <f>IF(F41="","",INDEX(#REF!,MATCH(OnsiteHeatTable[[#This Row],[Renewable Type]],#REF!,0),MATCH(OnsiteHeatTable[[#This Row],[Methodology used]],#REF!,0)))</f>
        <v/>
      </c>
      <c r="J41" s="52"/>
      <c r="K41" s="24"/>
      <c r="L41" s="76">
        <f>SUM(OnsiteHeatTable[[#This Row],[kWh consumed by reporting organisation]:[kWh exported to other PSB]])</f>
        <v>0</v>
      </c>
      <c r="M41" s="78"/>
      <c r="N41" s="78"/>
      <c r="O41" s="78"/>
      <c r="P41" s="81"/>
      <c r="Q41" s="54"/>
      <c r="R41" s="54"/>
      <c r="T41" s="1" cm="1">
        <f t="array" ref="T41">IF(OR(ISERROR(B41:R41)),1,0)</f>
        <v>0</v>
      </c>
      <c r="U41" s="1">
        <f t="shared" si="1"/>
        <v>0</v>
      </c>
    </row>
    <row r="42" spans="1:21" ht="15" thickBot="1" x14ac:dyDescent="0.4">
      <c r="B42" s="49"/>
      <c r="C42" s="72" t="s">
        <v>437</v>
      </c>
      <c r="D42" s="48"/>
      <c r="E42" s="49"/>
      <c r="F42" s="49"/>
      <c r="G42" s="49"/>
      <c r="H42" s="49"/>
      <c r="I42" s="68" t="str">
        <f>IF(F42="","",INDEX(#REF!,MATCH(OnsiteHeatTable[[#This Row],[Renewable Type]],#REF!,0),MATCH(OnsiteHeatTable[[#This Row],[Methodology used]],#REF!,0)))</f>
        <v/>
      </c>
      <c r="J42" s="52"/>
      <c r="K42" s="24"/>
      <c r="L42" s="76">
        <f>SUM(OnsiteHeatTable[[#This Row],[kWh consumed by reporting organisation]:[kWh exported to other PSB]])</f>
        <v>0</v>
      </c>
      <c r="M42" s="78"/>
      <c r="N42" s="78"/>
      <c r="O42" s="78"/>
      <c r="P42" s="81"/>
      <c r="Q42" s="54"/>
      <c r="R42" s="54"/>
      <c r="T42" s="1" cm="1">
        <f t="array" ref="T42">IF(OR(ISERROR(B42:R42)),1,0)</f>
        <v>0</v>
      </c>
      <c r="U42" s="1">
        <f t="shared" si="1"/>
        <v>0</v>
      </c>
    </row>
    <row r="43" spans="1:21" ht="15" thickBot="1" x14ac:dyDescent="0.4">
      <c r="B43" s="49"/>
      <c r="C43" s="72" t="s">
        <v>437</v>
      </c>
      <c r="D43" s="48"/>
      <c r="E43" s="49"/>
      <c r="F43" s="49"/>
      <c r="G43" s="49"/>
      <c r="H43" s="49"/>
      <c r="I43" s="68" t="str">
        <f>IF(F43="","",INDEX(#REF!,MATCH(OnsiteHeatTable[[#This Row],[Renewable Type]],#REF!,0),MATCH(OnsiteHeatTable[[#This Row],[Methodology used]],#REF!,0)))</f>
        <v/>
      </c>
      <c r="J43" s="52"/>
      <c r="K43" s="24"/>
      <c r="L43" s="76">
        <f>SUM(OnsiteHeatTable[[#This Row],[kWh consumed by reporting organisation]:[kWh exported to other PSB]])</f>
        <v>0</v>
      </c>
      <c r="M43" s="78"/>
      <c r="N43" s="78"/>
      <c r="O43" s="78"/>
      <c r="P43" s="81"/>
      <c r="Q43" s="54"/>
      <c r="R43" s="54"/>
      <c r="T43" s="1" cm="1">
        <f t="array" ref="T43">IF(OR(ISERROR(B43:R43)),1,0)</f>
        <v>0</v>
      </c>
      <c r="U43" s="1">
        <f t="shared" si="1"/>
        <v>0</v>
      </c>
    </row>
    <row r="44" spans="1:21" ht="15" thickBot="1" x14ac:dyDescent="0.4">
      <c r="B44" s="49"/>
      <c r="C44" s="72" t="s">
        <v>437</v>
      </c>
      <c r="D44" s="48"/>
      <c r="E44" s="49"/>
      <c r="F44" s="49"/>
      <c r="G44" s="49"/>
      <c r="H44" s="49"/>
      <c r="I44" s="68" t="str">
        <f>IF(F44="","",INDEX(#REF!,MATCH(OnsiteHeatTable[[#This Row],[Renewable Type]],#REF!,0),MATCH(OnsiteHeatTable[[#This Row],[Methodology used]],#REF!,0)))</f>
        <v/>
      </c>
      <c r="J44" s="52"/>
      <c r="K44" s="24"/>
      <c r="L44" s="76">
        <f>SUM(OnsiteHeatTable[[#This Row],[kWh consumed by reporting organisation]:[kWh exported to other PSB]])</f>
        <v>0</v>
      </c>
      <c r="M44" s="78"/>
      <c r="N44" s="78"/>
      <c r="O44" s="78"/>
      <c r="P44" s="81"/>
      <c r="Q44" s="54"/>
      <c r="R44" s="54"/>
      <c r="T44" s="1" cm="1">
        <f t="array" ref="T44">IF(OR(ISERROR(B44:R44)),1,0)</f>
        <v>0</v>
      </c>
      <c r="U44" s="1">
        <f t="shared" si="1"/>
        <v>0</v>
      </c>
    </row>
    <row r="45" spans="1:21" ht="15" thickBot="1" x14ac:dyDescent="0.4">
      <c r="B45" s="49"/>
      <c r="C45" s="72" t="s">
        <v>437</v>
      </c>
      <c r="D45" s="48"/>
      <c r="E45" s="49"/>
      <c r="F45" s="49"/>
      <c r="G45" s="49"/>
      <c r="H45" s="49"/>
      <c r="I45" s="68" t="str">
        <f>IF(F45="","",INDEX(#REF!,MATCH(OnsiteHeatTable[[#This Row],[Renewable Type]],#REF!,0),MATCH(OnsiteHeatTable[[#This Row],[Methodology used]],#REF!,0)))</f>
        <v/>
      </c>
      <c r="J45" s="52"/>
      <c r="K45" s="24"/>
      <c r="L45" s="76">
        <f>SUM(OnsiteHeatTable[[#This Row],[kWh consumed by reporting organisation]:[kWh exported to other PSB]])</f>
        <v>0</v>
      </c>
      <c r="M45" s="78"/>
      <c r="N45" s="78"/>
      <c r="O45" s="78"/>
      <c r="P45" s="81"/>
      <c r="Q45" s="54"/>
      <c r="R45" s="54"/>
      <c r="T45" s="1" cm="1">
        <f t="array" ref="T45">IF(OR(ISERROR(B45:R45)),1,0)</f>
        <v>0</v>
      </c>
      <c r="U45" s="1">
        <f t="shared" si="1"/>
        <v>0</v>
      </c>
    </row>
    <row r="46" spans="1:21" ht="15" thickBot="1" x14ac:dyDescent="0.4">
      <c r="B46" s="49"/>
      <c r="C46" s="72" t="s">
        <v>437</v>
      </c>
      <c r="D46" s="48"/>
      <c r="E46" s="49"/>
      <c r="F46" s="49"/>
      <c r="G46" s="49"/>
      <c r="H46" s="49"/>
      <c r="I46" s="68" t="str">
        <f>IF(F46="","",INDEX(#REF!,MATCH(OnsiteHeatTable[[#This Row],[Renewable Type]],#REF!,0),MATCH(OnsiteHeatTable[[#This Row],[Methodology used]],#REF!,0)))</f>
        <v/>
      </c>
      <c r="J46" s="52"/>
      <c r="K46" s="24"/>
      <c r="L46" s="76">
        <f>SUM(OnsiteHeatTable[[#This Row],[kWh consumed by reporting organisation]:[kWh exported to other PSB]])</f>
        <v>0</v>
      </c>
      <c r="M46" s="78"/>
      <c r="N46" s="78"/>
      <c r="O46" s="78"/>
      <c r="P46" s="81"/>
      <c r="Q46" s="54"/>
      <c r="R46" s="54"/>
      <c r="T46" s="1" cm="1">
        <f t="array" ref="T46">IF(OR(ISERROR(B46:R46)),1,0)</f>
        <v>0</v>
      </c>
      <c r="U46" s="1">
        <f t="shared" si="1"/>
        <v>0</v>
      </c>
    </row>
    <row r="47" spans="1:21" ht="15" thickBot="1" x14ac:dyDescent="0.4">
      <c r="B47" s="49"/>
      <c r="C47" s="72" t="s">
        <v>437</v>
      </c>
      <c r="D47" s="48"/>
      <c r="E47" s="49"/>
      <c r="F47" s="49"/>
      <c r="G47" s="49"/>
      <c r="H47" s="49"/>
      <c r="I47" s="68" t="str">
        <f>IF(F47="","",INDEX(#REF!,MATCH(OnsiteHeatTable[[#This Row],[Renewable Type]],#REF!,0),MATCH(OnsiteHeatTable[[#This Row],[Methodology used]],#REF!,0)))</f>
        <v/>
      </c>
      <c r="J47" s="52"/>
      <c r="K47" s="24"/>
      <c r="L47" s="76">
        <f>SUM(OnsiteHeatTable[[#This Row],[kWh consumed by reporting organisation]:[kWh exported to other PSB]])</f>
        <v>0</v>
      </c>
      <c r="M47" s="78"/>
      <c r="N47" s="78"/>
      <c r="O47" s="78"/>
      <c r="P47" s="81"/>
      <c r="Q47" s="54"/>
      <c r="R47" s="54"/>
      <c r="T47" s="1" cm="1">
        <f t="array" ref="T47">IF(OR(ISERROR(B47:R47)),1,0)</f>
        <v>0</v>
      </c>
      <c r="U47" s="1">
        <f t="shared" si="1"/>
        <v>0</v>
      </c>
    </row>
    <row r="48" spans="1:21" ht="15" thickBot="1" x14ac:dyDescent="0.4">
      <c r="B48" s="49"/>
      <c r="C48" s="72" t="s">
        <v>437</v>
      </c>
      <c r="D48" s="48"/>
      <c r="E48" s="49"/>
      <c r="F48" s="49"/>
      <c r="G48" s="49"/>
      <c r="H48" s="49"/>
      <c r="I48" s="68" t="str">
        <f>IF(F48="","",INDEX(#REF!,MATCH(OnsiteHeatTable[[#This Row],[Renewable Type]],#REF!,0),MATCH(OnsiteHeatTable[[#This Row],[Methodology used]],#REF!,0)))</f>
        <v/>
      </c>
      <c r="J48" s="52"/>
      <c r="K48" s="24"/>
      <c r="L48" s="76">
        <f>SUM(OnsiteHeatTable[[#This Row],[kWh consumed by reporting organisation]:[kWh exported to other PSB]])</f>
        <v>0</v>
      </c>
      <c r="M48" s="78"/>
      <c r="N48" s="78"/>
      <c r="O48" s="78"/>
      <c r="P48" s="81"/>
      <c r="Q48" s="54"/>
      <c r="R48" s="54"/>
      <c r="T48" s="1" cm="1">
        <f t="array" ref="T48">IF(OR(ISERROR(B48:R48)),1,0)</f>
        <v>0</v>
      </c>
      <c r="U48" s="1">
        <f t="shared" si="1"/>
        <v>0</v>
      </c>
    </row>
    <row r="49" spans="2:21" ht="15" thickBot="1" x14ac:dyDescent="0.4">
      <c r="B49" s="49"/>
      <c r="C49" s="72" t="s">
        <v>437</v>
      </c>
      <c r="D49" s="48"/>
      <c r="E49" s="49"/>
      <c r="F49" s="49"/>
      <c r="G49" s="49"/>
      <c r="H49" s="49"/>
      <c r="I49" s="68" t="str">
        <f>IF(F49="","",INDEX(#REF!,MATCH(OnsiteHeatTable[[#This Row],[Renewable Type]],#REF!,0),MATCH(OnsiteHeatTable[[#This Row],[Methodology used]],#REF!,0)))</f>
        <v/>
      </c>
      <c r="J49" s="52"/>
      <c r="K49" s="24"/>
      <c r="L49" s="76">
        <f>SUM(OnsiteHeatTable[[#This Row],[kWh consumed by reporting organisation]:[kWh exported to other PSB]])</f>
        <v>0</v>
      </c>
      <c r="M49" s="78"/>
      <c r="N49" s="78"/>
      <c r="O49" s="78"/>
      <c r="P49" s="81"/>
      <c r="Q49" s="54"/>
      <c r="R49" s="54"/>
      <c r="T49" s="1" cm="1">
        <f t="array" ref="T49">IF(OR(ISERROR(B49:R49)),1,0)</f>
        <v>0</v>
      </c>
      <c r="U49" s="1">
        <f t="shared" si="1"/>
        <v>0</v>
      </c>
    </row>
    <row r="50" spans="2:21" ht="15" thickBot="1" x14ac:dyDescent="0.4">
      <c r="B50" s="49"/>
      <c r="C50" s="72" t="s">
        <v>437</v>
      </c>
      <c r="D50" s="48"/>
      <c r="E50" s="49"/>
      <c r="F50" s="49"/>
      <c r="G50" s="49"/>
      <c r="H50" s="49"/>
      <c r="I50" s="68" t="str">
        <f>IF(F50="","",INDEX(#REF!,MATCH(OnsiteHeatTable[[#This Row],[Renewable Type]],#REF!,0),MATCH(OnsiteHeatTable[[#This Row],[Methodology used]],#REF!,0)))</f>
        <v/>
      </c>
      <c r="J50" s="52"/>
      <c r="K50" s="24"/>
      <c r="L50" s="76">
        <f>SUM(OnsiteHeatTable[[#This Row],[kWh consumed by reporting organisation]:[kWh exported to other PSB]])</f>
        <v>0</v>
      </c>
      <c r="M50" s="78"/>
      <c r="N50" s="78"/>
      <c r="O50" s="78"/>
      <c r="P50" s="81"/>
      <c r="Q50" s="54"/>
      <c r="R50" s="54"/>
      <c r="T50" s="1" cm="1">
        <f t="array" ref="T50">IF(OR(ISERROR(B50:R50)),1,0)</f>
        <v>0</v>
      </c>
      <c r="U50" s="1">
        <f t="shared" si="1"/>
        <v>0</v>
      </c>
    </row>
    <row r="51" spans="2:21" ht="15" thickBot="1" x14ac:dyDescent="0.4">
      <c r="B51" s="49"/>
      <c r="C51" s="72" t="s">
        <v>437</v>
      </c>
      <c r="D51" s="48"/>
      <c r="E51" s="49"/>
      <c r="F51" s="49"/>
      <c r="G51" s="49"/>
      <c r="H51" s="49"/>
      <c r="I51" s="68" t="str">
        <f>IF(F51="","",INDEX(#REF!,MATCH(OnsiteHeatTable[[#This Row],[Renewable Type]],#REF!,0),MATCH(OnsiteHeatTable[[#This Row],[Methodology used]],#REF!,0)))</f>
        <v/>
      </c>
      <c r="J51" s="52"/>
      <c r="K51" s="24"/>
      <c r="L51" s="76">
        <f>SUM(OnsiteHeatTable[[#This Row],[kWh consumed by reporting organisation]:[kWh exported to other PSB]])</f>
        <v>0</v>
      </c>
      <c r="M51" s="78"/>
      <c r="N51" s="78"/>
      <c r="O51" s="78"/>
      <c r="P51" s="81"/>
      <c r="Q51" s="54"/>
      <c r="R51" s="54"/>
      <c r="T51" s="1" cm="1">
        <f t="array" ref="T51">IF(OR(ISERROR(B51:R51)),1,0)</f>
        <v>0</v>
      </c>
      <c r="U51" s="1">
        <f t="shared" si="1"/>
        <v>0</v>
      </c>
    </row>
    <row r="52" spans="2:21" ht="15" thickBot="1" x14ac:dyDescent="0.4">
      <c r="B52" s="49"/>
      <c r="C52" s="72" t="s">
        <v>437</v>
      </c>
      <c r="D52" s="48"/>
      <c r="E52" s="49"/>
      <c r="F52" s="49"/>
      <c r="G52" s="49"/>
      <c r="H52" s="49"/>
      <c r="I52" s="68" t="str">
        <f>IF(F52="","",INDEX(#REF!,MATCH(OnsiteHeatTable[[#This Row],[Renewable Type]],#REF!,0),MATCH(OnsiteHeatTable[[#This Row],[Methodology used]],#REF!,0)))</f>
        <v/>
      </c>
      <c r="J52" s="52"/>
      <c r="K52" s="24"/>
      <c r="L52" s="76">
        <f>SUM(OnsiteHeatTable[[#This Row],[kWh consumed by reporting organisation]:[kWh exported to other PSB]])</f>
        <v>0</v>
      </c>
      <c r="M52" s="78"/>
      <c r="N52" s="78"/>
      <c r="O52" s="78"/>
      <c r="P52" s="81"/>
      <c r="Q52" s="54"/>
      <c r="R52" s="54"/>
      <c r="T52" s="1" cm="1">
        <f t="array" ref="T52">IF(OR(ISERROR(B52:R52)),1,0)</f>
        <v>0</v>
      </c>
      <c r="U52" s="1">
        <f t="shared" si="1"/>
        <v>0</v>
      </c>
    </row>
    <row r="53" spans="2:21" ht="15" thickBot="1" x14ac:dyDescent="0.4">
      <c r="B53" s="49"/>
      <c r="C53" s="72" t="s">
        <v>437</v>
      </c>
      <c r="D53" s="48"/>
      <c r="E53" s="49"/>
      <c r="F53" s="49"/>
      <c r="G53" s="49"/>
      <c r="H53" s="49"/>
      <c r="I53" s="68" t="str">
        <f>IF(F53="","",INDEX(#REF!,MATCH(OnsiteHeatTable[[#This Row],[Renewable Type]],#REF!,0),MATCH(OnsiteHeatTable[[#This Row],[Methodology used]],#REF!,0)))</f>
        <v/>
      </c>
      <c r="J53" s="52"/>
      <c r="K53" s="24"/>
      <c r="L53" s="76">
        <f>SUM(OnsiteHeatTable[[#This Row],[kWh consumed by reporting organisation]:[kWh exported to other PSB]])</f>
        <v>0</v>
      </c>
      <c r="M53" s="78"/>
      <c r="N53" s="78"/>
      <c r="O53" s="78"/>
      <c r="P53" s="81"/>
      <c r="Q53" s="54"/>
      <c r="R53" s="54"/>
      <c r="T53" s="1" cm="1">
        <f t="array" ref="T53">IF(OR(ISERROR(B53:R53)),1,0)</f>
        <v>0</v>
      </c>
      <c r="U53" s="1">
        <f t="shared" si="1"/>
        <v>0</v>
      </c>
    </row>
    <row r="54" spans="2:21" ht="15" thickBot="1" x14ac:dyDescent="0.4">
      <c r="B54" s="49"/>
      <c r="C54" s="72" t="s">
        <v>437</v>
      </c>
      <c r="D54" s="48"/>
      <c r="E54" s="49"/>
      <c r="F54" s="49"/>
      <c r="G54" s="49"/>
      <c r="H54" s="49"/>
      <c r="I54" s="68" t="str">
        <f>IF(F54="","",INDEX(#REF!,MATCH(OnsiteHeatTable[[#This Row],[Renewable Type]],#REF!,0),MATCH(OnsiteHeatTable[[#This Row],[Methodology used]],#REF!,0)))</f>
        <v/>
      </c>
      <c r="J54" s="52"/>
      <c r="K54" s="24"/>
      <c r="L54" s="76">
        <f>SUM(OnsiteHeatTable[[#This Row],[kWh consumed by reporting organisation]:[kWh exported to other PSB]])</f>
        <v>0</v>
      </c>
      <c r="M54" s="78"/>
      <c r="N54" s="78"/>
      <c r="O54" s="78"/>
      <c r="P54" s="81"/>
      <c r="Q54" s="54"/>
      <c r="R54" s="54"/>
      <c r="T54" s="1" cm="1">
        <f t="array" ref="T54">IF(OR(ISERROR(B54:R54)),1,0)</f>
        <v>0</v>
      </c>
      <c r="U54" s="1">
        <f t="shared" si="1"/>
        <v>0</v>
      </c>
    </row>
    <row r="55" spans="2:21" ht="15" thickBot="1" x14ac:dyDescent="0.4">
      <c r="B55" s="49"/>
      <c r="C55" s="72" t="s">
        <v>437</v>
      </c>
      <c r="D55" s="48"/>
      <c r="E55" s="49"/>
      <c r="F55" s="49"/>
      <c r="G55" s="49"/>
      <c r="H55" s="49"/>
      <c r="I55" s="68" t="str">
        <f>IF(F55="","",INDEX(#REF!,MATCH(OnsiteHeatTable[[#This Row],[Renewable Type]],#REF!,0),MATCH(OnsiteHeatTable[[#This Row],[Methodology used]],#REF!,0)))</f>
        <v/>
      </c>
      <c r="J55" s="52"/>
      <c r="K55" s="24"/>
      <c r="L55" s="76">
        <f>SUM(OnsiteHeatTable[[#This Row],[kWh consumed by reporting organisation]:[kWh exported to other PSB]])</f>
        <v>0</v>
      </c>
      <c r="M55" s="78"/>
      <c r="N55" s="78"/>
      <c r="O55" s="78"/>
      <c r="P55" s="81"/>
      <c r="Q55" s="54"/>
      <c r="R55" s="54"/>
      <c r="T55" s="1" cm="1">
        <f t="array" ref="T55">IF(OR(ISERROR(B55:R55)),1,0)</f>
        <v>0</v>
      </c>
      <c r="U55" s="1">
        <f t="shared" si="1"/>
        <v>0</v>
      </c>
    </row>
    <row r="56" spans="2:21" ht="15" thickBot="1" x14ac:dyDescent="0.4">
      <c r="B56" s="49"/>
      <c r="C56" s="72" t="s">
        <v>437</v>
      </c>
      <c r="D56" s="48"/>
      <c r="E56" s="49"/>
      <c r="F56" s="49"/>
      <c r="G56" s="49"/>
      <c r="H56" s="49"/>
      <c r="I56" s="68" t="str">
        <f>IF(F56="","",INDEX(#REF!,MATCH(OnsiteHeatTable[[#This Row],[Renewable Type]],#REF!,0),MATCH(OnsiteHeatTable[[#This Row],[Methodology used]],#REF!,0)))</f>
        <v/>
      </c>
      <c r="J56" s="52"/>
      <c r="K56" s="24"/>
      <c r="L56" s="76">
        <f>SUM(OnsiteHeatTable[[#This Row],[kWh consumed by reporting organisation]:[kWh exported to other PSB]])</f>
        <v>0</v>
      </c>
      <c r="M56" s="78"/>
      <c r="N56" s="78"/>
      <c r="O56" s="78"/>
      <c r="P56" s="81"/>
      <c r="Q56" s="54"/>
      <c r="R56" s="54"/>
      <c r="T56" s="1" cm="1">
        <f t="array" ref="T56">IF(OR(ISERROR(B56:R56)),1,0)</f>
        <v>0</v>
      </c>
      <c r="U56" s="1">
        <f t="shared" si="1"/>
        <v>0</v>
      </c>
    </row>
    <row r="57" spans="2:21" ht="15" thickBot="1" x14ac:dyDescent="0.4">
      <c r="B57" s="49"/>
      <c r="C57" s="72" t="s">
        <v>437</v>
      </c>
      <c r="D57" s="48"/>
      <c r="E57" s="49"/>
      <c r="F57" s="49"/>
      <c r="G57" s="49"/>
      <c r="H57" s="49"/>
      <c r="I57" s="68" t="str">
        <f>IF(F57="","",INDEX(#REF!,MATCH(OnsiteHeatTable[[#This Row],[Renewable Type]],#REF!,0),MATCH(OnsiteHeatTable[[#This Row],[Methodology used]],#REF!,0)))</f>
        <v/>
      </c>
      <c r="J57" s="52"/>
      <c r="K57" s="24"/>
      <c r="L57" s="76">
        <f>SUM(OnsiteHeatTable[[#This Row],[kWh consumed by reporting organisation]:[kWh exported to other PSB]])</f>
        <v>0</v>
      </c>
      <c r="M57" s="78"/>
      <c r="N57" s="78"/>
      <c r="O57" s="78"/>
      <c r="P57" s="81"/>
      <c r="Q57" s="54"/>
      <c r="R57" s="54"/>
      <c r="T57" s="1" cm="1">
        <f t="array" ref="T57">IF(OR(ISERROR(B57:R57)),1,0)</f>
        <v>0</v>
      </c>
      <c r="U57" s="1">
        <f t="shared" si="1"/>
        <v>0</v>
      </c>
    </row>
    <row r="58" spans="2:21" ht="15" thickBot="1" x14ac:dyDescent="0.4">
      <c r="B58" s="49"/>
      <c r="C58" s="72" t="s">
        <v>437</v>
      </c>
      <c r="D58" s="48"/>
      <c r="E58" s="49"/>
      <c r="F58" s="49"/>
      <c r="G58" s="49"/>
      <c r="H58" s="49"/>
      <c r="I58" s="68" t="str">
        <f>IF(F58="","",INDEX(#REF!,MATCH(OnsiteHeatTable[[#This Row],[Renewable Type]],#REF!,0),MATCH(OnsiteHeatTable[[#This Row],[Methodology used]],#REF!,0)))</f>
        <v/>
      </c>
      <c r="J58" s="52"/>
      <c r="K58" s="24"/>
      <c r="L58" s="76">
        <f>SUM(OnsiteHeatTable[[#This Row],[kWh consumed by reporting organisation]:[kWh exported to other PSB]])</f>
        <v>0</v>
      </c>
      <c r="M58" s="78"/>
      <c r="N58" s="78"/>
      <c r="O58" s="78"/>
      <c r="P58" s="81"/>
      <c r="Q58" s="54"/>
      <c r="R58" s="54"/>
      <c r="T58" s="1" cm="1">
        <f t="array" ref="T58">IF(OR(ISERROR(B58:R58)),1,0)</f>
        <v>0</v>
      </c>
      <c r="U58" s="1">
        <f t="shared" si="1"/>
        <v>0</v>
      </c>
    </row>
    <row r="59" spans="2:21" ht="15" thickBot="1" x14ac:dyDescent="0.4">
      <c r="B59" s="49"/>
      <c r="C59" s="72" t="s">
        <v>437</v>
      </c>
      <c r="D59" s="48"/>
      <c r="E59" s="49"/>
      <c r="F59" s="49"/>
      <c r="G59" s="49"/>
      <c r="H59" s="49"/>
      <c r="I59" s="68" t="str">
        <f>IF(F59="","",INDEX(#REF!,MATCH(OnsiteHeatTable[[#This Row],[Renewable Type]],#REF!,0),MATCH(OnsiteHeatTable[[#This Row],[Methodology used]],#REF!,0)))</f>
        <v/>
      </c>
      <c r="J59" s="52"/>
      <c r="K59" s="24"/>
      <c r="L59" s="76">
        <f>SUM(OnsiteHeatTable[[#This Row],[kWh consumed by reporting organisation]:[kWh exported to other PSB]])</f>
        <v>0</v>
      </c>
      <c r="M59" s="78"/>
      <c r="N59" s="78"/>
      <c r="O59" s="78"/>
      <c r="P59" s="81"/>
      <c r="Q59" s="54"/>
      <c r="R59" s="54"/>
      <c r="T59" s="1" cm="1">
        <f t="array" ref="T59">IF(OR(ISERROR(B59:R59)),1,0)</f>
        <v>0</v>
      </c>
      <c r="U59" s="1">
        <f t="shared" si="1"/>
        <v>0</v>
      </c>
    </row>
    <row r="60" spans="2:21" ht="15" thickBot="1" x14ac:dyDescent="0.4">
      <c r="B60" s="49"/>
      <c r="C60" s="72" t="s">
        <v>437</v>
      </c>
      <c r="D60" s="50"/>
      <c r="E60" s="51"/>
      <c r="F60" s="51"/>
      <c r="G60" s="51"/>
      <c r="H60" s="51"/>
      <c r="I60" s="68" t="str">
        <f>IF(F60="","",INDEX(#REF!,MATCH(OnsiteHeatTable[[#This Row],[Renewable Type]],#REF!,0),MATCH(OnsiteHeatTable[[#This Row],[Methodology used]],#REF!,0)))</f>
        <v/>
      </c>
      <c r="J60" s="52"/>
      <c r="K60" s="24"/>
      <c r="L60" s="77">
        <f>SUM(OnsiteHeatTable[[#This Row],[kWh consumed by reporting organisation]:[kWh exported to other PSB]])</f>
        <v>0</v>
      </c>
      <c r="M60" s="79"/>
      <c r="N60" s="79"/>
      <c r="O60" s="79"/>
      <c r="P60" s="81"/>
      <c r="Q60" s="54"/>
      <c r="R60" s="55"/>
      <c r="T60" s="1" cm="1">
        <f t="array" ref="T60">IF(OR(ISERROR(B60:R60)),1,0)</f>
        <v>0</v>
      </c>
      <c r="U60" s="1">
        <f t="shared" si="1"/>
        <v>0</v>
      </c>
    </row>
    <row r="62" spans="2:21" ht="18" customHeight="1" x14ac:dyDescent="0.35">
      <c r="B62"/>
      <c r="C62"/>
      <c r="D62"/>
      <c r="E62"/>
      <c r="F62"/>
      <c r="G62"/>
      <c r="H62"/>
      <c r="I62"/>
      <c r="J62"/>
      <c r="K62"/>
      <c r="L62"/>
      <c r="M62"/>
      <c r="N62"/>
      <c r="O62"/>
      <c r="P62"/>
      <c r="Q62"/>
    </row>
    <row r="63" spans="2:21" ht="18.5" x14ac:dyDescent="0.45">
      <c r="B63" s="47" t="s">
        <v>1612</v>
      </c>
      <c r="C63"/>
      <c r="D63"/>
      <c r="E63"/>
      <c r="F63"/>
      <c r="G63"/>
      <c r="H63"/>
      <c r="I63"/>
      <c r="J63"/>
      <c r="K63"/>
      <c r="M63"/>
      <c r="N63" s="502" t="s">
        <v>1609</v>
      </c>
      <c r="O63" s="503"/>
      <c r="P63" s="503"/>
      <c r="Q63"/>
      <c r="T63" s="8" t="s">
        <v>1604</v>
      </c>
      <c r="U63" s="8" t="s">
        <v>1605</v>
      </c>
    </row>
    <row r="64" spans="2:21" ht="29.5" thickBot="1" x14ac:dyDescent="0.4">
      <c r="B64" s="22" t="s">
        <v>423</v>
      </c>
      <c r="C64" s="21" t="s">
        <v>424</v>
      </c>
      <c r="D64" s="21" t="s">
        <v>425</v>
      </c>
      <c r="E64" s="22" t="s">
        <v>426</v>
      </c>
      <c r="F64" s="22" t="s">
        <v>427</v>
      </c>
      <c r="G64" s="22" t="s">
        <v>428</v>
      </c>
      <c r="H64" s="22" t="s">
        <v>429</v>
      </c>
      <c r="I64" s="22" t="s">
        <v>303</v>
      </c>
      <c r="J64" s="22" t="s">
        <v>1610</v>
      </c>
      <c r="K64" s="46" t="s">
        <v>5</v>
      </c>
      <c r="L64" s="22" t="s">
        <v>432</v>
      </c>
      <c r="M64" s="22" t="s">
        <v>433</v>
      </c>
      <c r="N64" s="22" t="s">
        <v>434</v>
      </c>
      <c r="O64" s="22" t="s">
        <v>435</v>
      </c>
      <c r="P64" s="22" t="s">
        <v>1607</v>
      </c>
      <c r="Q64" s="22" t="s">
        <v>293</v>
      </c>
      <c r="R64" s="23" t="s">
        <v>291</v>
      </c>
      <c r="T64" s="1">
        <f>SUM(T65:T88)</f>
        <v>0</v>
      </c>
      <c r="U64" s="1">
        <f>SUM(U65:U88)</f>
        <v>0</v>
      </c>
    </row>
    <row r="65" spans="2:21" ht="15" thickBot="1" x14ac:dyDescent="0.4">
      <c r="B65" s="49"/>
      <c r="C65" s="72" t="s">
        <v>553</v>
      </c>
      <c r="D65" s="48"/>
      <c r="E65" s="49"/>
      <c r="F65" s="49"/>
      <c r="G65" s="49"/>
      <c r="H65" s="49"/>
      <c r="I65" s="68" t="str">
        <f>IF(F65="","",INDEX(#REF!,MATCH(OffsiteHeatTable[[#This Row],[Renewable Type]],#REF!,0),MATCH(OffsiteHeatTable[[#This Row],[Methodology used]],#REF!,0)))</f>
        <v/>
      </c>
      <c r="J65" s="52">
        <v>1.5</v>
      </c>
      <c r="K65" s="24"/>
      <c r="L65" s="76">
        <f>SUM(OffsiteHeatTable[[#This Row],[kWh consumed by reporting organisation]:[kWh exported to other PSB]])</f>
        <v>0</v>
      </c>
      <c r="M65" s="78"/>
      <c r="N65" s="78"/>
      <c r="O65" s="78"/>
      <c r="P65" s="81"/>
      <c r="Q65" s="54"/>
      <c r="R65" s="54"/>
      <c r="T65" s="1" cm="1">
        <f t="array" ref="T65">IF(OR(ISERROR(B65:R65)),1,0)</f>
        <v>0</v>
      </c>
      <c r="U65" s="1">
        <f t="shared" ref="U65:U88" si="2">IF(AND(D65="",E65=""),0,1)</f>
        <v>0</v>
      </c>
    </row>
    <row r="66" spans="2:21" ht="15" thickBot="1" x14ac:dyDescent="0.4">
      <c r="B66" s="49"/>
      <c r="C66" s="72" t="s">
        <v>553</v>
      </c>
      <c r="D66" s="48"/>
      <c r="E66" s="49"/>
      <c r="F66" s="49"/>
      <c r="G66" s="49"/>
      <c r="H66" s="49"/>
      <c r="I66" s="68" t="str">
        <f>IF(F66="","",INDEX(#REF!,MATCH(OffsiteHeatTable[[#This Row],[Renewable Type]],#REF!,0),MATCH(OffsiteHeatTable[[#This Row],[Methodology used]],#REF!,0)))</f>
        <v/>
      </c>
      <c r="J66" s="52"/>
      <c r="K66" s="24"/>
      <c r="L66" s="76">
        <f>SUM(OffsiteHeatTable[[#This Row],[kWh consumed by reporting organisation]:[kWh exported to other PSB]])</f>
        <v>0</v>
      </c>
      <c r="M66" s="78"/>
      <c r="N66" s="78"/>
      <c r="O66" s="78"/>
      <c r="P66" s="81"/>
      <c r="Q66" s="54"/>
      <c r="R66" s="54"/>
      <c r="T66" s="1" cm="1">
        <f t="array" ref="T66">IF(OR(ISERROR(B66:R66)),1,0)</f>
        <v>0</v>
      </c>
      <c r="U66" s="1">
        <f t="shared" si="2"/>
        <v>0</v>
      </c>
    </row>
    <row r="67" spans="2:21" ht="15" thickBot="1" x14ac:dyDescent="0.4">
      <c r="B67" s="49"/>
      <c r="C67" s="72" t="s">
        <v>553</v>
      </c>
      <c r="D67" s="48"/>
      <c r="E67" s="49"/>
      <c r="F67" s="49"/>
      <c r="G67" s="49"/>
      <c r="H67" s="49"/>
      <c r="I67" s="68" t="str">
        <f>IF(F67="","",INDEX(#REF!,MATCH(OffsiteHeatTable[[#This Row],[Renewable Type]],#REF!,0),MATCH(OffsiteHeatTable[[#This Row],[Methodology used]],#REF!,0)))</f>
        <v/>
      </c>
      <c r="J67" s="52"/>
      <c r="K67" s="24"/>
      <c r="L67" s="76">
        <f>SUM(OffsiteHeatTable[[#This Row],[kWh consumed by reporting organisation]:[kWh exported to other PSB]])</f>
        <v>0</v>
      </c>
      <c r="M67" s="78"/>
      <c r="N67" s="78"/>
      <c r="O67" s="78"/>
      <c r="P67" s="81"/>
      <c r="Q67" s="54"/>
      <c r="R67" s="54"/>
      <c r="T67" s="1" cm="1">
        <f t="array" ref="T67">IF(OR(ISERROR(B67:R67)),1,0)</f>
        <v>0</v>
      </c>
      <c r="U67" s="1">
        <f t="shared" si="2"/>
        <v>0</v>
      </c>
    </row>
    <row r="68" spans="2:21" ht="15" thickBot="1" x14ac:dyDescent="0.4">
      <c r="B68" s="49"/>
      <c r="C68" s="72" t="s">
        <v>553</v>
      </c>
      <c r="D68" s="48"/>
      <c r="E68" s="49"/>
      <c r="F68" s="49"/>
      <c r="G68" s="49"/>
      <c r="H68" s="49"/>
      <c r="I68" s="68" t="str">
        <f>IF(F68="","",INDEX(#REF!,MATCH(OffsiteHeatTable[[#This Row],[Renewable Type]],#REF!,0),MATCH(OffsiteHeatTable[[#This Row],[Methodology used]],#REF!,0)))</f>
        <v/>
      </c>
      <c r="J68" s="52"/>
      <c r="K68" s="24"/>
      <c r="L68" s="76">
        <f>SUM(OffsiteHeatTable[[#This Row],[kWh consumed by reporting organisation]:[kWh exported to other PSB]])</f>
        <v>0</v>
      </c>
      <c r="M68" s="78"/>
      <c r="N68" s="78"/>
      <c r="O68" s="78"/>
      <c r="P68" s="81"/>
      <c r="Q68" s="54"/>
      <c r="R68" s="54"/>
      <c r="T68" s="1" cm="1">
        <f t="array" ref="T68">IF(OR(ISERROR(B68:R68)),1,0)</f>
        <v>0</v>
      </c>
      <c r="U68" s="1">
        <f t="shared" si="2"/>
        <v>0</v>
      </c>
    </row>
    <row r="69" spans="2:21" ht="15" thickBot="1" x14ac:dyDescent="0.4">
      <c r="B69" s="49"/>
      <c r="C69" s="72" t="s">
        <v>553</v>
      </c>
      <c r="D69" s="48"/>
      <c r="E69" s="49"/>
      <c r="F69" s="49"/>
      <c r="G69" s="49"/>
      <c r="H69" s="49"/>
      <c r="I69" s="68" t="str">
        <f>IF(F69="","",INDEX(#REF!,MATCH(OffsiteHeatTable[[#This Row],[Renewable Type]],#REF!,0),MATCH(OffsiteHeatTable[[#This Row],[Methodology used]],#REF!,0)))</f>
        <v/>
      </c>
      <c r="J69" s="52"/>
      <c r="K69" s="24"/>
      <c r="L69" s="76">
        <f>SUM(OffsiteHeatTable[[#This Row],[kWh consumed by reporting organisation]:[kWh exported to other PSB]])</f>
        <v>0</v>
      </c>
      <c r="M69" s="78"/>
      <c r="N69" s="78"/>
      <c r="O69" s="78"/>
      <c r="P69" s="81"/>
      <c r="Q69" s="54"/>
      <c r="R69" s="54"/>
      <c r="T69" s="1" cm="1">
        <f t="array" ref="T69">IF(OR(ISERROR(B69:R69)),1,0)</f>
        <v>0</v>
      </c>
      <c r="U69" s="1">
        <f t="shared" si="2"/>
        <v>0</v>
      </c>
    </row>
    <row r="70" spans="2:21" ht="15" thickBot="1" x14ac:dyDescent="0.4">
      <c r="B70" s="49"/>
      <c r="C70" s="72" t="s">
        <v>553</v>
      </c>
      <c r="D70" s="48"/>
      <c r="E70" s="49"/>
      <c r="F70" s="49"/>
      <c r="G70" s="49"/>
      <c r="H70" s="49"/>
      <c r="I70" s="68" t="str">
        <f>IF(F70="","",INDEX(#REF!,MATCH(OffsiteHeatTable[[#This Row],[Renewable Type]],#REF!,0),MATCH(OffsiteHeatTable[[#This Row],[Methodology used]],#REF!,0)))</f>
        <v/>
      </c>
      <c r="J70" s="52"/>
      <c r="K70" s="24"/>
      <c r="L70" s="76">
        <f>SUM(OffsiteHeatTable[[#This Row],[kWh consumed by reporting organisation]:[kWh exported to other PSB]])</f>
        <v>0</v>
      </c>
      <c r="M70" s="78"/>
      <c r="N70" s="78"/>
      <c r="O70" s="78"/>
      <c r="P70" s="81"/>
      <c r="Q70" s="54"/>
      <c r="R70" s="54"/>
      <c r="T70" s="1" cm="1">
        <f t="array" ref="T70">IF(OR(ISERROR(B70:R70)),1,0)</f>
        <v>0</v>
      </c>
      <c r="U70" s="1">
        <f t="shared" si="2"/>
        <v>0</v>
      </c>
    </row>
    <row r="71" spans="2:21" ht="15" thickBot="1" x14ac:dyDescent="0.4">
      <c r="B71" s="49"/>
      <c r="C71" s="72" t="s">
        <v>553</v>
      </c>
      <c r="D71" s="48"/>
      <c r="E71" s="49"/>
      <c r="F71" s="49"/>
      <c r="G71" s="49"/>
      <c r="H71" s="49"/>
      <c r="I71" s="68" t="str">
        <f>IF(F71="","",INDEX(#REF!,MATCH(OffsiteHeatTable[[#This Row],[Renewable Type]],#REF!,0),MATCH(OffsiteHeatTable[[#This Row],[Methodology used]],#REF!,0)))</f>
        <v/>
      </c>
      <c r="J71" s="52"/>
      <c r="K71" s="24"/>
      <c r="L71" s="76">
        <f>SUM(OffsiteHeatTable[[#This Row],[kWh consumed by reporting organisation]:[kWh exported to other PSB]])</f>
        <v>0</v>
      </c>
      <c r="M71" s="78"/>
      <c r="N71" s="78"/>
      <c r="O71" s="78"/>
      <c r="P71" s="81"/>
      <c r="Q71" s="54"/>
      <c r="R71" s="54"/>
      <c r="T71" s="1" cm="1">
        <f t="array" ref="T71">IF(OR(ISERROR(B71:R71)),1,0)</f>
        <v>0</v>
      </c>
      <c r="U71" s="1">
        <f t="shared" si="2"/>
        <v>0</v>
      </c>
    </row>
    <row r="72" spans="2:21" ht="15" thickBot="1" x14ac:dyDescent="0.4">
      <c r="B72" s="49"/>
      <c r="C72" s="72" t="s">
        <v>553</v>
      </c>
      <c r="D72" s="48"/>
      <c r="E72" s="49"/>
      <c r="F72" s="49"/>
      <c r="G72" s="49"/>
      <c r="H72" s="49"/>
      <c r="I72" s="68" t="str">
        <f>IF(F72="","",INDEX(#REF!,MATCH(OffsiteHeatTable[[#This Row],[Renewable Type]],#REF!,0),MATCH(OffsiteHeatTable[[#This Row],[Methodology used]],#REF!,0)))</f>
        <v/>
      </c>
      <c r="J72" s="52"/>
      <c r="K72" s="24"/>
      <c r="L72" s="76">
        <f>SUM(OffsiteHeatTable[[#This Row],[kWh consumed by reporting organisation]:[kWh exported to other PSB]])</f>
        <v>0</v>
      </c>
      <c r="M72" s="78"/>
      <c r="N72" s="78"/>
      <c r="O72" s="78"/>
      <c r="P72" s="81"/>
      <c r="Q72" s="54"/>
      <c r="R72" s="54"/>
      <c r="T72" s="1" cm="1">
        <f t="array" ref="T72">IF(OR(ISERROR(B72:R72)),1,0)</f>
        <v>0</v>
      </c>
      <c r="U72" s="1">
        <f t="shared" si="2"/>
        <v>0</v>
      </c>
    </row>
    <row r="73" spans="2:21" ht="15" thickBot="1" x14ac:dyDescent="0.4">
      <c r="B73" s="49"/>
      <c r="C73" s="72" t="s">
        <v>553</v>
      </c>
      <c r="D73" s="48"/>
      <c r="E73" s="49"/>
      <c r="F73" s="49"/>
      <c r="G73" s="49"/>
      <c r="H73" s="49"/>
      <c r="I73" s="68" t="str">
        <f>IF(F73="","",INDEX(#REF!,MATCH(OffsiteHeatTable[[#This Row],[Renewable Type]],#REF!,0),MATCH(OffsiteHeatTable[[#This Row],[Methodology used]],#REF!,0)))</f>
        <v/>
      </c>
      <c r="J73" s="52"/>
      <c r="K73" s="24"/>
      <c r="L73" s="76">
        <f>SUM(OffsiteHeatTable[[#This Row],[kWh consumed by reporting organisation]:[kWh exported to other PSB]])</f>
        <v>0</v>
      </c>
      <c r="M73" s="78"/>
      <c r="N73" s="78"/>
      <c r="O73" s="78"/>
      <c r="P73" s="81"/>
      <c r="Q73" s="54"/>
      <c r="R73" s="54"/>
      <c r="T73" s="1" cm="1">
        <f t="array" ref="T73">IF(OR(ISERROR(B73:R73)),1,0)</f>
        <v>0</v>
      </c>
      <c r="U73" s="1">
        <f t="shared" si="2"/>
        <v>0</v>
      </c>
    </row>
    <row r="74" spans="2:21" ht="15" thickBot="1" x14ac:dyDescent="0.4">
      <c r="B74" s="49"/>
      <c r="C74" s="72" t="s">
        <v>553</v>
      </c>
      <c r="D74" s="48"/>
      <c r="E74" s="49"/>
      <c r="F74" s="49"/>
      <c r="G74" s="49"/>
      <c r="H74" s="49"/>
      <c r="I74" s="68" t="str">
        <f>IF(F74="","",INDEX(#REF!,MATCH(OffsiteHeatTable[[#This Row],[Renewable Type]],#REF!,0),MATCH(OffsiteHeatTable[[#This Row],[Methodology used]],#REF!,0)))</f>
        <v/>
      </c>
      <c r="J74" s="52"/>
      <c r="K74" s="24"/>
      <c r="L74" s="76">
        <f>SUM(OffsiteHeatTable[[#This Row],[kWh consumed by reporting organisation]:[kWh exported to other PSB]])</f>
        <v>0</v>
      </c>
      <c r="M74" s="78"/>
      <c r="N74" s="78"/>
      <c r="O74" s="78"/>
      <c r="P74" s="81"/>
      <c r="Q74" s="54"/>
      <c r="R74" s="54"/>
      <c r="T74" s="1" cm="1">
        <f t="array" ref="T74">IF(OR(ISERROR(B74:R74)),1,0)</f>
        <v>0</v>
      </c>
      <c r="U74" s="1">
        <f t="shared" si="2"/>
        <v>0</v>
      </c>
    </row>
    <row r="75" spans="2:21" ht="15" thickBot="1" x14ac:dyDescent="0.4">
      <c r="B75" s="49"/>
      <c r="C75" s="72" t="s">
        <v>553</v>
      </c>
      <c r="D75" s="48"/>
      <c r="E75" s="49"/>
      <c r="F75" s="49"/>
      <c r="G75" s="49"/>
      <c r="H75" s="49"/>
      <c r="I75" s="68" t="str">
        <f>IF(F75="","",INDEX(#REF!,MATCH(OffsiteHeatTable[[#This Row],[Renewable Type]],#REF!,0),MATCH(OffsiteHeatTable[[#This Row],[Methodology used]],#REF!,0)))</f>
        <v/>
      </c>
      <c r="J75" s="52"/>
      <c r="K75" s="24"/>
      <c r="L75" s="76">
        <f>SUM(OffsiteHeatTable[[#This Row],[kWh consumed by reporting organisation]:[kWh exported to other PSB]])</f>
        <v>0</v>
      </c>
      <c r="M75" s="78"/>
      <c r="N75" s="78"/>
      <c r="O75" s="78"/>
      <c r="P75" s="81"/>
      <c r="Q75" s="54"/>
      <c r="R75" s="54"/>
      <c r="T75" s="1" cm="1">
        <f t="array" ref="T75">IF(OR(ISERROR(B75:R75)),1,0)</f>
        <v>0</v>
      </c>
      <c r="U75" s="1">
        <f t="shared" si="2"/>
        <v>0</v>
      </c>
    </row>
    <row r="76" spans="2:21" ht="14.15" customHeight="1" thickBot="1" x14ac:dyDescent="0.4">
      <c r="B76" s="49"/>
      <c r="C76" s="72" t="s">
        <v>553</v>
      </c>
      <c r="D76" s="48"/>
      <c r="E76" s="49"/>
      <c r="F76" s="49"/>
      <c r="G76" s="49"/>
      <c r="H76" s="49"/>
      <c r="I76" s="68" t="str">
        <f>IF(F76="","",INDEX(#REF!,MATCH(OffsiteHeatTable[[#This Row],[Renewable Type]],#REF!,0),MATCH(OffsiteHeatTable[[#This Row],[Methodology used]],#REF!,0)))</f>
        <v/>
      </c>
      <c r="J76" s="52"/>
      <c r="K76" s="24"/>
      <c r="L76" s="76">
        <f>SUM(OffsiteHeatTable[[#This Row],[kWh consumed by reporting organisation]:[kWh exported to other PSB]])</f>
        <v>0</v>
      </c>
      <c r="M76" s="78"/>
      <c r="N76" s="78"/>
      <c r="O76" s="78"/>
      <c r="P76" s="81"/>
      <c r="Q76" s="54"/>
      <c r="R76" s="54"/>
      <c r="T76" s="1" cm="1">
        <f t="array" ref="T76">IF(OR(ISERROR(B76:R76)),1,0)</f>
        <v>0</v>
      </c>
      <c r="U76" s="1">
        <f t="shared" si="2"/>
        <v>0</v>
      </c>
    </row>
    <row r="77" spans="2:21" ht="15" thickBot="1" x14ac:dyDescent="0.4">
      <c r="B77" s="49"/>
      <c r="C77" s="72" t="s">
        <v>553</v>
      </c>
      <c r="D77" s="48"/>
      <c r="E77" s="49"/>
      <c r="F77" s="49"/>
      <c r="G77" s="49"/>
      <c r="H77" s="49"/>
      <c r="I77" s="68" t="str">
        <f>IF(F77="","",INDEX(#REF!,MATCH(OffsiteHeatTable[[#This Row],[Renewable Type]],#REF!,0),MATCH(OffsiteHeatTable[[#This Row],[Methodology used]],#REF!,0)))</f>
        <v/>
      </c>
      <c r="J77" s="52"/>
      <c r="K77" s="24"/>
      <c r="L77" s="76">
        <f>SUM(OffsiteHeatTable[[#This Row],[kWh consumed by reporting organisation]:[kWh exported to other PSB]])</f>
        <v>0</v>
      </c>
      <c r="M77" s="78"/>
      <c r="N77" s="78"/>
      <c r="O77" s="78"/>
      <c r="P77" s="81"/>
      <c r="Q77" s="54"/>
      <c r="R77" s="54"/>
      <c r="T77" s="1" cm="1">
        <f t="array" ref="T77">IF(OR(ISERROR(B77:R77)),1,0)</f>
        <v>0</v>
      </c>
      <c r="U77" s="1">
        <f t="shared" si="2"/>
        <v>0</v>
      </c>
    </row>
    <row r="78" spans="2:21" ht="15" thickBot="1" x14ac:dyDescent="0.4">
      <c r="B78" s="49"/>
      <c r="C78" s="72" t="s">
        <v>553</v>
      </c>
      <c r="D78" s="48"/>
      <c r="E78" s="49"/>
      <c r="F78" s="49"/>
      <c r="G78" s="49"/>
      <c r="H78" s="49"/>
      <c r="I78" s="68" t="str">
        <f>IF(F78="","",INDEX(#REF!,MATCH(OffsiteHeatTable[[#This Row],[Renewable Type]],#REF!,0),MATCH(OffsiteHeatTable[[#This Row],[Methodology used]],#REF!,0)))</f>
        <v/>
      </c>
      <c r="J78" s="52"/>
      <c r="K78" s="24"/>
      <c r="L78" s="76">
        <f>SUM(OffsiteHeatTable[[#This Row],[kWh consumed by reporting organisation]:[kWh exported to other PSB]])</f>
        <v>0</v>
      </c>
      <c r="M78" s="78"/>
      <c r="N78" s="78"/>
      <c r="O78" s="78"/>
      <c r="P78" s="81"/>
      <c r="Q78" s="54"/>
      <c r="R78" s="54"/>
      <c r="T78" s="1" cm="1">
        <f t="array" ref="T78">IF(OR(ISERROR(B78:R78)),1,0)</f>
        <v>0</v>
      </c>
      <c r="U78" s="1">
        <f t="shared" si="2"/>
        <v>0</v>
      </c>
    </row>
    <row r="79" spans="2:21" ht="15" thickBot="1" x14ac:dyDescent="0.4">
      <c r="B79" s="49"/>
      <c r="C79" s="72" t="s">
        <v>553</v>
      </c>
      <c r="D79" s="48"/>
      <c r="E79" s="49"/>
      <c r="F79" s="49"/>
      <c r="G79" s="49"/>
      <c r="H79" s="49"/>
      <c r="I79" s="68" t="str">
        <f>IF(F79="","",INDEX(#REF!,MATCH(OffsiteHeatTable[[#This Row],[Renewable Type]],#REF!,0),MATCH(OffsiteHeatTable[[#This Row],[Methodology used]],#REF!,0)))</f>
        <v/>
      </c>
      <c r="J79" s="52"/>
      <c r="K79" s="24"/>
      <c r="L79" s="76">
        <f>SUM(OffsiteHeatTable[[#This Row],[kWh consumed by reporting organisation]:[kWh exported to other PSB]])</f>
        <v>0</v>
      </c>
      <c r="M79" s="78"/>
      <c r="N79" s="78"/>
      <c r="O79" s="78"/>
      <c r="P79" s="81"/>
      <c r="Q79" s="54"/>
      <c r="R79" s="54"/>
      <c r="T79" s="1" cm="1">
        <f t="array" ref="T79">IF(OR(ISERROR(B79:R79)),1,0)</f>
        <v>0</v>
      </c>
      <c r="U79" s="1">
        <f t="shared" si="2"/>
        <v>0</v>
      </c>
    </row>
    <row r="80" spans="2:21" ht="15" thickBot="1" x14ac:dyDescent="0.4">
      <c r="B80" s="49"/>
      <c r="C80" s="72" t="s">
        <v>553</v>
      </c>
      <c r="D80" s="48"/>
      <c r="E80" s="49"/>
      <c r="F80" s="49"/>
      <c r="G80" s="49"/>
      <c r="H80" s="49"/>
      <c r="I80" s="68" t="str">
        <f>IF(F80="","",INDEX(#REF!,MATCH(OffsiteHeatTable[[#This Row],[Renewable Type]],#REF!,0),MATCH(OffsiteHeatTable[[#This Row],[Methodology used]],#REF!,0)))</f>
        <v/>
      </c>
      <c r="J80" s="52"/>
      <c r="K80" s="24"/>
      <c r="L80" s="76">
        <f>SUM(OffsiteHeatTable[[#This Row],[kWh consumed by reporting organisation]:[kWh exported to other PSB]])</f>
        <v>0</v>
      </c>
      <c r="M80" s="78"/>
      <c r="N80" s="78"/>
      <c r="O80" s="78"/>
      <c r="P80" s="81"/>
      <c r="Q80" s="54"/>
      <c r="R80" s="54"/>
      <c r="T80" s="1" cm="1">
        <f t="array" ref="T80">IF(OR(ISERROR(B80:R80)),1,0)</f>
        <v>0</v>
      </c>
      <c r="U80" s="1">
        <f t="shared" si="2"/>
        <v>0</v>
      </c>
    </row>
    <row r="81" spans="2:21" ht="15" thickBot="1" x14ac:dyDescent="0.4">
      <c r="B81" s="49"/>
      <c r="C81" s="72" t="s">
        <v>553</v>
      </c>
      <c r="D81" s="48"/>
      <c r="E81" s="49"/>
      <c r="F81" s="49"/>
      <c r="G81" s="49"/>
      <c r="H81" s="49"/>
      <c r="I81" s="68" t="str">
        <f>IF(F81="","",INDEX(#REF!,MATCH(OffsiteHeatTable[[#This Row],[Renewable Type]],#REF!,0),MATCH(OffsiteHeatTable[[#This Row],[Methodology used]],#REF!,0)))</f>
        <v/>
      </c>
      <c r="J81" s="52"/>
      <c r="K81" s="24"/>
      <c r="L81" s="76">
        <f>SUM(OffsiteHeatTable[[#This Row],[kWh consumed by reporting organisation]:[kWh exported to other PSB]])</f>
        <v>0</v>
      </c>
      <c r="M81" s="78"/>
      <c r="N81" s="78"/>
      <c r="O81" s="78"/>
      <c r="P81" s="81"/>
      <c r="Q81" s="54"/>
      <c r="R81" s="54"/>
      <c r="T81" s="1" cm="1">
        <f t="array" ref="T81">IF(OR(ISERROR(B81:R81)),1,0)</f>
        <v>0</v>
      </c>
      <c r="U81" s="1">
        <f t="shared" si="2"/>
        <v>0</v>
      </c>
    </row>
    <row r="82" spans="2:21" ht="15" thickBot="1" x14ac:dyDescent="0.4">
      <c r="B82" s="49"/>
      <c r="C82" s="72" t="s">
        <v>553</v>
      </c>
      <c r="D82" s="48"/>
      <c r="E82" s="49"/>
      <c r="F82" s="49"/>
      <c r="G82" s="49"/>
      <c r="H82" s="49"/>
      <c r="I82" s="68" t="str">
        <f>IF(F82="","",INDEX(#REF!,MATCH(OffsiteHeatTable[[#This Row],[Renewable Type]],#REF!,0),MATCH(OffsiteHeatTable[[#This Row],[Methodology used]],#REF!,0)))</f>
        <v/>
      </c>
      <c r="J82" s="52"/>
      <c r="K82" s="24"/>
      <c r="L82" s="76">
        <f>SUM(OffsiteHeatTable[[#This Row],[kWh consumed by reporting organisation]:[kWh exported to other PSB]])</f>
        <v>0</v>
      </c>
      <c r="M82" s="78"/>
      <c r="N82" s="78"/>
      <c r="O82" s="78"/>
      <c r="P82" s="81"/>
      <c r="Q82" s="54"/>
      <c r="R82" s="54"/>
      <c r="T82" s="1" cm="1">
        <f t="array" ref="T82">IF(OR(ISERROR(B82:R82)),1,0)</f>
        <v>0</v>
      </c>
      <c r="U82" s="1">
        <f t="shared" si="2"/>
        <v>0</v>
      </c>
    </row>
    <row r="83" spans="2:21" ht="15" thickBot="1" x14ac:dyDescent="0.4">
      <c r="B83" s="49"/>
      <c r="C83" s="72" t="s">
        <v>553</v>
      </c>
      <c r="D83" s="48"/>
      <c r="E83" s="49"/>
      <c r="F83" s="49"/>
      <c r="G83" s="49"/>
      <c r="H83" s="49"/>
      <c r="I83" s="68" t="str">
        <f>IF(F83="","",INDEX(#REF!,MATCH(OffsiteHeatTable[[#This Row],[Renewable Type]],#REF!,0),MATCH(OffsiteHeatTable[[#This Row],[Methodology used]],#REF!,0)))</f>
        <v/>
      </c>
      <c r="J83" s="52"/>
      <c r="K83" s="24"/>
      <c r="L83" s="76">
        <f>SUM(OffsiteHeatTable[[#This Row],[kWh consumed by reporting organisation]:[kWh exported to other PSB]])</f>
        <v>0</v>
      </c>
      <c r="M83" s="78"/>
      <c r="N83" s="78"/>
      <c r="O83" s="78"/>
      <c r="P83" s="81"/>
      <c r="Q83" s="54"/>
      <c r="R83" s="54"/>
      <c r="T83" s="1" cm="1">
        <f t="array" ref="T83">IF(OR(ISERROR(B83:R83)),1,0)</f>
        <v>0</v>
      </c>
      <c r="U83" s="1">
        <f t="shared" si="2"/>
        <v>0</v>
      </c>
    </row>
    <row r="84" spans="2:21" ht="15" thickBot="1" x14ac:dyDescent="0.4">
      <c r="B84" s="49"/>
      <c r="C84" s="72" t="s">
        <v>553</v>
      </c>
      <c r="D84" s="48"/>
      <c r="E84" s="49"/>
      <c r="F84" s="49"/>
      <c r="G84" s="49"/>
      <c r="H84" s="49"/>
      <c r="I84" s="68" t="str">
        <f>IF(F84="","",INDEX(#REF!,MATCH(OffsiteHeatTable[[#This Row],[Renewable Type]],#REF!,0),MATCH(OffsiteHeatTable[[#This Row],[Methodology used]],#REF!,0)))</f>
        <v/>
      </c>
      <c r="J84" s="52"/>
      <c r="K84" s="24"/>
      <c r="L84" s="76">
        <f>SUM(OffsiteHeatTable[[#This Row],[kWh consumed by reporting organisation]:[kWh exported to other PSB]])</f>
        <v>0</v>
      </c>
      <c r="M84" s="78"/>
      <c r="N84" s="78"/>
      <c r="O84" s="78"/>
      <c r="P84" s="81"/>
      <c r="Q84" s="54"/>
      <c r="R84" s="54"/>
      <c r="T84" s="1" cm="1">
        <f t="array" ref="T84">IF(OR(ISERROR(B84:R84)),1,0)</f>
        <v>0</v>
      </c>
      <c r="U84" s="1">
        <f t="shared" si="2"/>
        <v>0</v>
      </c>
    </row>
    <row r="85" spans="2:21" ht="15" thickBot="1" x14ac:dyDescent="0.4">
      <c r="B85" s="49"/>
      <c r="C85" s="72" t="s">
        <v>553</v>
      </c>
      <c r="D85" s="48"/>
      <c r="E85" s="49"/>
      <c r="F85" s="49"/>
      <c r="G85" s="49"/>
      <c r="H85" s="49"/>
      <c r="I85" s="68" t="str">
        <f>IF(F85="","",INDEX(#REF!,MATCH(OffsiteHeatTable[[#This Row],[Renewable Type]],#REF!,0),MATCH(OffsiteHeatTable[[#This Row],[Methodology used]],#REF!,0)))</f>
        <v/>
      </c>
      <c r="J85" s="52"/>
      <c r="K85" s="24"/>
      <c r="L85" s="76">
        <f>SUM(OffsiteHeatTable[[#This Row],[kWh consumed by reporting organisation]:[kWh exported to other PSB]])</f>
        <v>0</v>
      </c>
      <c r="M85" s="78"/>
      <c r="N85" s="78"/>
      <c r="O85" s="78"/>
      <c r="P85" s="81"/>
      <c r="Q85" s="54"/>
      <c r="R85" s="54"/>
      <c r="T85" s="1" cm="1">
        <f t="array" ref="T85">IF(OR(ISERROR(B85:R85)),1,0)</f>
        <v>0</v>
      </c>
      <c r="U85" s="1">
        <f t="shared" si="2"/>
        <v>0</v>
      </c>
    </row>
    <row r="86" spans="2:21" ht="15" thickBot="1" x14ac:dyDescent="0.4">
      <c r="B86" s="49"/>
      <c r="C86" s="72" t="s">
        <v>553</v>
      </c>
      <c r="D86" s="48"/>
      <c r="E86" s="49"/>
      <c r="F86" s="49"/>
      <c r="G86" s="49"/>
      <c r="H86" s="49"/>
      <c r="I86" s="68" t="str">
        <f>IF(F86="","",INDEX(#REF!,MATCH(OffsiteHeatTable[[#This Row],[Renewable Type]],#REF!,0),MATCH(OffsiteHeatTable[[#This Row],[Methodology used]],#REF!,0)))</f>
        <v/>
      </c>
      <c r="J86" s="52"/>
      <c r="K86" s="24"/>
      <c r="L86" s="76">
        <f>SUM(OffsiteHeatTable[[#This Row],[kWh consumed by reporting organisation]:[kWh exported to other PSB]])</f>
        <v>0</v>
      </c>
      <c r="M86" s="78"/>
      <c r="N86" s="78"/>
      <c r="O86" s="78"/>
      <c r="P86" s="81"/>
      <c r="Q86" s="54"/>
      <c r="R86" s="54"/>
      <c r="T86" s="1" cm="1">
        <f t="array" ref="T86">IF(OR(ISERROR(B86:R86)),1,0)</f>
        <v>0</v>
      </c>
      <c r="U86" s="1">
        <f t="shared" si="2"/>
        <v>0</v>
      </c>
    </row>
    <row r="87" spans="2:21" ht="15" thickBot="1" x14ac:dyDescent="0.4">
      <c r="B87" s="49"/>
      <c r="C87" s="72" t="s">
        <v>553</v>
      </c>
      <c r="D87" s="48"/>
      <c r="E87" s="49"/>
      <c r="F87" s="49"/>
      <c r="G87" s="49"/>
      <c r="H87" s="49"/>
      <c r="I87" s="68" t="str">
        <f>IF(F87="","",INDEX(#REF!,MATCH(OffsiteHeatTable[[#This Row],[Renewable Type]],#REF!,0),MATCH(OffsiteHeatTable[[#This Row],[Methodology used]],#REF!,0)))</f>
        <v/>
      </c>
      <c r="J87" s="52"/>
      <c r="K87" s="24"/>
      <c r="L87" s="76">
        <f>SUM(OffsiteHeatTable[[#This Row],[kWh consumed by reporting organisation]:[kWh exported to other PSB]])</f>
        <v>0</v>
      </c>
      <c r="M87" s="78"/>
      <c r="N87" s="78"/>
      <c r="O87" s="78"/>
      <c r="P87" s="81"/>
      <c r="Q87" s="54"/>
      <c r="R87" s="54"/>
      <c r="T87" s="1" cm="1">
        <f t="array" ref="T87">IF(OR(ISERROR(B87:R87)),1,0)</f>
        <v>0</v>
      </c>
      <c r="U87" s="1">
        <f t="shared" si="2"/>
        <v>0</v>
      </c>
    </row>
    <row r="88" spans="2:21" ht="15" thickBot="1" x14ac:dyDescent="0.4">
      <c r="B88" s="49"/>
      <c r="C88" s="72" t="s">
        <v>553</v>
      </c>
      <c r="D88" s="50"/>
      <c r="E88" s="51"/>
      <c r="F88" s="51"/>
      <c r="G88" s="51"/>
      <c r="H88" s="51"/>
      <c r="I88" s="68" t="str">
        <f>IF(F88="","",INDEX(#REF!,MATCH(OffsiteHeatTable[[#This Row],[Renewable Type]],#REF!,0),MATCH(OffsiteHeatTable[[#This Row],[Methodology used]],#REF!,0)))</f>
        <v/>
      </c>
      <c r="J88" s="52"/>
      <c r="K88" s="24"/>
      <c r="L88" s="77">
        <f>SUM(OffsiteHeatTable[[#This Row],[kWh consumed by reporting organisation]:[kWh exported to other PSB]])</f>
        <v>0</v>
      </c>
      <c r="M88" s="79"/>
      <c r="N88" s="79"/>
      <c r="O88" s="79"/>
      <c r="P88" s="81"/>
      <c r="Q88" s="54"/>
      <c r="R88" s="55"/>
      <c r="T88" s="1" cm="1">
        <f t="array" ref="T88">IF(OR(ISERROR(B88:R88)),1,0)</f>
        <v>0</v>
      </c>
      <c r="U88" s="1">
        <f t="shared" si="2"/>
        <v>0</v>
      </c>
    </row>
    <row r="89" spans="2:21" x14ac:dyDescent="0.35">
      <c r="B89"/>
    </row>
    <row r="90" spans="2:21" ht="18.5" x14ac:dyDescent="0.35">
      <c r="B90" s="13" t="s">
        <v>1613</v>
      </c>
      <c r="D90" s="9" t="s">
        <v>1614</v>
      </c>
    </row>
    <row r="91" spans="2:21" ht="15" thickBot="1" x14ac:dyDescent="0.4">
      <c r="B91" s="21" t="s">
        <v>425</v>
      </c>
      <c r="C91" s="22" t="s">
        <v>1615</v>
      </c>
      <c r="D91" s="22" t="s">
        <v>427</v>
      </c>
      <c r="E91" s="22" t="s">
        <v>303</v>
      </c>
      <c r="F91" s="22" t="s">
        <v>1616</v>
      </c>
      <c r="G91" s="46" t="s">
        <v>5</v>
      </c>
      <c r="H91" s="46" t="s">
        <v>1617</v>
      </c>
      <c r="I91" s="22" t="s">
        <v>293</v>
      </c>
      <c r="J91" s="23" t="s">
        <v>291</v>
      </c>
    </row>
    <row r="92" spans="2:21" ht="15" thickBot="1" x14ac:dyDescent="0.4">
      <c r="B92" s="48"/>
      <c r="C92" s="49"/>
      <c r="D92" s="49"/>
      <c r="E92" s="44" t="str">
        <f>IF(D92="","",INDEX(#REF!,MATCH(PurchasedRenewablesTable[[#This Row],[Renewable Type]],#REF!,0),MATCH(PurchasedRenewablesTable[[#This Row],[Methodology used]],#REF!,0)))</f>
        <v/>
      </c>
      <c r="F92" s="52"/>
      <c r="G92" s="67"/>
      <c r="H92" s="45"/>
      <c r="I92" s="54"/>
      <c r="J92" s="54"/>
    </row>
    <row r="93" spans="2:21" ht="15" thickBot="1" x14ac:dyDescent="0.4">
      <c r="B93" s="48"/>
      <c r="C93" s="49"/>
      <c r="D93" s="49"/>
      <c r="E93" s="44" t="str">
        <f>IF(D93="","",INDEX(#REF!,MATCH(PurchasedRenewablesTable[[#This Row],[Renewable Type]],#REF!,0),MATCH(PurchasedRenewablesTable[[#This Row],[Methodology used]],#REF!,0)))</f>
        <v/>
      </c>
      <c r="F93" s="52"/>
      <c r="G93" s="67"/>
      <c r="H93" s="45"/>
      <c r="I93" s="54"/>
      <c r="J93" s="54"/>
    </row>
    <row r="94" spans="2:21" ht="15" thickBot="1" x14ac:dyDescent="0.4">
      <c r="B94" s="48"/>
      <c r="C94" s="49"/>
      <c r="D94" s="49"/>
      <c r="E94" s="44" t="str">
        <f>IF(D94="","",INDEX(#REF!,MATCH(PurchasedRenewablesTable[[#This Row],[Renewable Type]],#REF!,0),MATCH(PurchasedRenewablesTable[[#This Row],[Methodology used]],#REF!,0)))</f>
        <v/>
      </c>
      <c r="F94" s="52"/>
      <c r="G94" s="67"/>
      <c r="H94" s="45"/>
      <c r="I94" s="54"/>
      <c r="J94" s="54"/>
    </row>
    <row r="95" spans="2:21" ht="15" thickBot="1" x14ac:dyDescent="0.4">
      <c r="B95" s="48"/>
      <c r="C95" s="49"/>
      <c r="D95" s="49"/>
      <c r="E95" s="44" t="str">
        <f>IF(D95="","",INDEX(#REF!,MATCH(PurchasedRenewablesTable[[#This Row],[Renewable Type]],#REF!,0),MATCH(PurchasedRenewablesTable[[#This Row],[Methodology used]],#REF!,0)))</f>
        <v/>
      </c>
      <c r="F95" s="52"/>
      <c r="G95" s="67"/>
      <c r="H95" s="45"/>
      <c r="I95" s="54"/>
      <c r="J95" s="54"/>
    </row>
    <row r="96" spans="2:21" ht="15" thickBot="1" x14ac:dyDescent="0.4">
      <c r="B96" s="48"/>
      <c r="C96" s="49"/>
      <c r="D96" s="49"/>
      <c r="E96" s="44" t="str">
        <f>IF(D96="","",INDEX(#REF!,MATCH(PurchasedRenewablesTable[[#This Row],[Renewable Type]],#REF!,0),MATCH(PurchasedRenewablesTable[[#This Row],[Methodology used]],#REF!,0)))</f>
        <v/>
      </c>
      <c r="F96" s="52"/>
      <c r="G96" s="67"/>
      <c r="H96" s="45"/>
      <c r="I96" s="54"/>
      <c r="J96" s="54"/>
    </row>
    <row r="97" spans="2:10" ht="15" thickBot="1" x14ac:dyDescent="0.4">
      <c r="B97" s="48"/>
      <c r="C97" s="49"/>
      <c r="D97" s="49"/>
      <c r="E97" s="44" t="str">
        <f>IF(D97="","",INDEX(#REF!,MATCH(PurchasedRenewablesTable[[#This Row],[Renewable Type]],#REF!,0),MATCH(PurchasedRenewablesTable[[#This Row],[Methodology used]],#REF!,0)))</f>
        <v/>
      </c>
      <c r="F97" s="52"/>
      <c r="G97" s="67"/>
      <c r="H97" s="45"/>
      <c r="I97" s="54"/>
      <c r="J97" s="54"/>
    </row>
    <row r="98" spans="2:10" ht="15" thickBot="1" x14ac:dyDescent="0.4">
      <c r="B98" s="48"/>
      <c r="C98" s="49"/>
      <c r="D98" s="49"/>
      <c r="E98" s="44" t="str">
        <f>IF(D98="","",INDEX(#REF!,MATCH(PurchasedRenewablesTable[[#This Row],[Renewable Type]],#REF!,0),MATCH(PurchasedRenewablesTable[[#This Row],[Methodology used]],#REF!,0)))</f>
        <v/>
      </c>
      <c r="F98" s="52"/>
      <c r="G98" s="67"/>
      <c r="H98" s="45"/>
      <c r="I98" s="54"/>
      <c r="J98" s="54"/>
    </row>
    <row r="99" spans="2:10" ht="15" thickBot="1" x14ac:dyDescent="0.4">
      <c r="B99" s="48"/>
      <c r="C99" s="49"/>
      <c r="D99" s="49"/>
      <c r="E99" s="44" t="str">
        <f>IF(D99="","",INDEX(#REF!,MATCH(PurchasedRenewablesTable[[#This Row],[Renewable Type]],#REF!,0),MATCH(PurchasedRenewablesTable[[#This Row],[Methodology used]],#REF!,0)))</f>
        <v/>
      </c>
      <c r="F99" s="52"/>
      <c r="G99" s="67"/>
      <c r="H99" s="45"/>
      <c r="I99" s="54"/>
      <c r="J99" s="54"/>
    </row>
    <row r="100" spans="2:10" ht="15" thickBot="1" x14ac:dyDescent="0.4">
      <c r="B100" s="48"/>
      <c r="C100" s="49"/>
      <c r="D100" s="49"/>
      <c r="E100" s="44" t="str">
        <f>IF(D100="","",INDEX(#REF!,MATCH(PurchasedRenewablesTable[[#This Row],[Renewable Type]],#REF!,0),MATCH(PurchasedRenewablesTable[[#This Row],[Methodology used]],#REF!,0)))</f>
        <v/>
      </c>
      <c r="F100" s="52"/>
      <c r="G100" s="67"/>
      <c r="H100" s="45"/>
      <c r="I100" s="54"/>
      <c r="J100" s="54"/>
    </row>
    <row r="101" spans="2:10" ht="15" thickBot="1" x14ac:dyDescent="0.4">
      <c r="B101" s="48"/>
      <c r="C101" s="49"/>
      <c r="D101" s="49"/>
      <c r="E101" s="44" t="str">
        <f>IF(D101="","",INDEX(#REF!,MATCH(PurchasedRenewablesTable[[#This Row],[Renewable Type]],#REF!,0),MATCH(PurchasedRenewablesTable[[#This Row],[Methodology used]],#REF!,0)))</f>
        <v/>
      </c>
      <c r="F101" s="52"/>
      <c r="G101" s="67"/>
      <c r="H101" s="45"/>
      <c r="I101" s="54"/>
      <c r="J101" s="54"/>
    </row>
    <row r="102" spans="2:10" ht="15" thickBot="1" x14ac:dyDescent="0.4">
      <c r="B102" s="48"/>
      <c r="C102" s="49"/>
      <c r="D102" s="49"/>
      <c r="E102" s="44" t="str">
        <f>IF(D102="","",INDEX(#REF!,MATCH(PurchasedRenewablesTable[[#This Row],[Renewable Type]],#REF!,0),MATCH(PurchasedRenewablesTable[[#This Row],[Methodology used]],#REF!,0)))</f>
        <v/>
      </c>
      <c r="F102" s="52"/>
      <c r="G102" s="67"/>
      <c r="H102" s="45"/>
      <c r="I102" s="54"/>
      <c r="J102" s="54"/>
    </row>
    <row r="103" spans="2:10" ht="15" thickBot="1" x14ac:dyDescent="0.4">
      <c r="B103" s="48"/>
      <c r="C103" s="49"/>
      <c r="D103" s="49"/>
      <c r="E103" s="44" t="str">
        <f>IF(D103="","",INDEX(#REF!,MATCH(PurchasedRenewablesTable[[#This Row],[Renewable Type]],#REF!,0),MATCH(PurchasedRenewablesTable[[#This Row],[Methodology used]],#REF!,0)))</f>
        <v/>
      </c>
      <c r="F103" s="52"/>
      <c r="G103" s="67"/>
      <c r="H103" s="45"/>
      <c r="I103" s="54"/>
      <c r="J103" s="54"/>
    </row>
    <row r="104" spans="2:10" ht="15" thickBot="1" x14ac:dyDescent="0.4">
      <c r="B104" s="48"/>
      <c r="C104" s="49"/>
      <c r="D104" s="49"/>
      <c r="E104" s="44" t="str">
        <f>IF(D104="","",INDEX(#REF!,MATCH(PurchasedRenewablesTable[[#This Row],[Renewable Type]],#REF!,0),MATCH(PurchasedRenewablesTable[[#This Row],[Methodology used]],#REF!,0)))</f>
        <v/>
      </c>
      <c r="F104" s="52"/>
      <c r="G104" s="67"/>
      <c r="H104" s="45"/>
      <c r="I104" s="54"/>
      <c r="J104" s="54"/>
    </row>
    <row r="105" spans="2:10" ht="15" thickBot="1" x14ac:dyDescent="0.4">
      <c r="B105" s="50"/>
      <c r="C105" s="51"/>
      <c r="D105" s="51"/>
      <c r="E105" s="44" t="str">
        <f>IF(D105="","",INDEX(#REF!,MATCH(PurchasedRenewablesTable[[#This Row],[Renewable Type]],#REF!,0),MATCH(PurchasedRenewablesTable[[#This Row],[Methodology used]],#REF!,0)))</f>
        <v/>
      </c>
      <c r="F105" s="53"/>
      <c r="G105" s="67"/>
      <c r="H105" s="45"/>
      <c r="I105" s="54"/>
      <c r="J105" s="55"/>
    </row>
  </sheetData>
  <mergeCells count="5">
    <mergeCell ref="N63:P63"/>
    <mergeCell ref="B3:J3"/>
    <mergeCell ref="B4:J4"/>
    <mergeCell ref="B1:G2"/>
    <mergeCell ref="N35:P35"/>
  </mergeCells>
  <conditionalFormatting sqref="B3:B4">
    <cfRule type="expression" dxfId="12" priority="9">
      <formula>ISERROR($L3)</formula>
    </cfRule>
  </conditionalFormatting>
  <conditionalFormatting sqref="K37:K60">
    <cfRule type="expression" dxfId="11" priority="2">
      <formula>IF($X36=1,1,0)</formula>
    </cfRule>
  </conditionalFormatting>
  <conditionalFormatting sqref="K65:K88">
    <cfRule type="expression" dxfId="10" priority="1">
      <formula>IF($X64=1,1,0)</formula>
    </cfRule>
  </conditionalFormatting>
  <dataValidations count="31">
    <dataValidation type="list" allowBlank="1" showInputMessage="1" showErrorMessage="1" sqref="R37:R60 J92:J105 R65:R88 R8:R32" xr:uid="{00000000-0002-0000-0800-000000000000}">
      <formula1>Ease</formula1>
    </dataValidation>
    <dataValidation type="list" allowBlank="1" showInputMessage="1" showErrorMessage="1" sqref="D37:D60 D67:D88" xr:uid="{00000000-0002-0000-0800-000002000000}">
      <formula1>INDIRECT(SUBSTITUTE($B$35," ",""))</formula1>
    </dataValidation>
    <dataValidation type="list" allowBlank="1" showInputMessage="1" showErrorMessage="1" sqref="E37:E60 E65:E88 E8:E32" xr:uid="{00000000-0002-0000-0800-000003000000}">
      <formula1>INDIRECT(CONCATENATE(SUBSTITUTE(D8," ","")&amp;SUBSTITUTE(E$36," ","")))</formula1>
    </dataValidation>
    <dataValidation type="list" allowBlank="1" showInputMessage="1" showErrorMessage="1" sqref="B92:B105" xr:uid="{00000000-0002-0000-0800-000004000000}">
      <formula1>INDIRECT(SUBSTITUTE($B$90," ",""))</formula1>
    </dataValidation>
    <dataValidation type="list" allowBlank="1" showInputMessage="1" showErrorMessage="1" sqref="C92:C105" xr:uid="{00000000-0002-0000-0800-000005000000}">
      <formula1>INDIRECT(CONCATENATE(SUBSTITUTE(B92," ","")&amp;SUBSTITUTE(C$91," ","")))</formula1>
    </dataValidation>
    <dataValidation type="list" allowBlank="1" showInputMessage="1" showErrorMessage="1" sqref="D92:D105" xr:uid="{90BBAA99-ED03-4F4B-A697-8C533EEF011F}">
      <formula1>Methodologytier3</formula1>
    </dataValidation>
    <dataValidation type="list" allowBlank="1" showInputMessage="1" showErrorMessage="1" sqref="F37:F60 F65:F88 F8:F32" xr:uid="{00000000-0002-0000-0800-000001000000}">
      <formula1>Methodologyall</formula1>
    </dataValidation>
    <dataValidation type="list" allowBlank="1" showInputMessage="1" showErrorMessage="1" sqref="G37:G60 G65:G88 G8:G32" xr:uid="{20B61A10-DC96-4B4A-8885-2CB3974F06F1}">
      <formula1>Renewableelectricityownership</formula1>
    </dataValidation>
    <dataValidation allowBlank="1" showInputMessage="1" showErrorMessage="1" promptTitle="Info" prompt="Please enter the name of the site if known, or if aggregating all g renewable generation then please write 'All sites'" sqref="B36 B64 B7" xr:uid="{412287A2-0531-42B7-A7A9-10EFCA4AF994}"/>
    <dataValidation allowBlank="1" showInputMessage="1" showErrorMessage="1" promptTitle="Info" prompt="Please use the dropdown to select the type of generation" sqref="D36 D64 D7" xr:uid="{26D9273E-374A-46BE-BF1A-3EE50E1A19D9}"/>
    <dataValidation allowBlank="1" showInputMessage="1" showErrorMessage="1" promptTitle="Info" prompt="Please use the dropdown to select the renewable generation technology" sqref="E36 E64 E7" xr:uid="{61798D9D-636D-49BD-B7AF-414C13D3F319}"/>
    <dataValidation allowBlank="1" showInputMessage="1" showErrorMessage="1" promptTitle="Info" prompt="Please select the methodology tier, see guidance - table 34 for more info" sqref="F36 F64 F7" xr:uid="{907E9D19-99B6-49BE-8E7C-D99A84FBF6CB}"/>
    <dataValidation allowBlank="1" showInputMessage="1" showErrorMessage="1" promptTitle="Info" prompt="Please use the dropdown to select the onwership type of the generating asset" sqref="G36 G64 G7" xr:uid="{4BD50CEA-402E-4EEC-A674-2D1B69E08E2B}"/>
    <dataValidation allowBlank="1" showInputMessage="1" showErrorMessage="1" promptTitle="Info" prompt="Please enter the total maximum potential elecrical output capacity in Megawatts of the generating asset as measured at the inverter. If unknown then use the rated capacity of the assets themselves." sqref="J36 J64" xr:uid="{ECE9CD79-E783-498D-87AE-7EA4CC736B58}"/>
    <dataValidation allowBlank="1" showInputMessage="1" showErrorMessage="1" promptTitle="Info" prompt="Please enter data in kWh for the total energy generated by the asset in the reporting year." sqref="L36 L64" xr:uid="{C03F52CA-2D2F-4291-9D7C-AA5238282345}"/>
    <dataValidation allowBlank="1" showInputMessage="1" showErrorMessage="1" promptTitle="Info" prompt="Please enter data for how much of the energy genertaed in the reporting year was consumed by the reporting organisation" sqref="M36 M64 M7" xr:uid="{1338E05B-1BBB-416C-8A9D-69F4B645BD8D}"/>
    <dataValidation allowBlank="1" showInputMessage="1" showErrorMessage="1" promptTitle="Info" prompt="Please enter how much energy (in kWh) was exported to the grid by the generation asset within the reporting year" sqref="N36 N64 N7" xr:uid="{F2BC5CB3-76AF-4A87-B23B-17667CDDEF8F}"/>
    <dataValidation allowBlank="1" showInputMessage="1" showErrorMessage="1" promptTitle="Info" prompt="Please enter data for the amount of energy that was exported to another Welsh Public Sector Body in kWh during the reporting year" sqref="O36 O64 O7" xr:uid="{069EC8F9-93E7-4876-9253-9C779678302F}"/>
    <dataValidation allowBlank="1" showInputMessage="1" showErrorMessage="1" promptTitle="Info" prompt="If energy is exported to another Welsh Public Sector Body during the reporting year then please enter the name of that organisation here." sqref="P36 P64 P7" xr:uid="{99F97E27-61BE-44E0-99CF-A10B8A77BF98}"/>
    <dataValidation allowBlank="1" showInputMessage="1" showErrorMessage="1" promptTitle="Info" prompt="Please state whether this generating asset is onsite or offsite" sqref="C36 C64 C7" xr:uid="{E1382A43-0728-4BF1-AC34-FB0BC5136221}"/>
    <dataValidation type="list" allowBlank="1" showInputMessage="1" showErrorMessage="1" sqref="C8:C32" xr:uid="{B1B94E94-3114-481D-B244-13450450EFEE}">
      <formula1>"Onsite,Offsite"</formula1>
    </dataValidation>
    <dataValidation allowBlank="1" showInputMessage="1" showErrorMessage="1" promptTitle="Info" prompt="Please enter the age of the genrating asset to the nearest year, since first generation" sqref="H36 H64 H7" xr:uid="{19BE510F-920F-48A3-A9D3-06027E92B42D}"/>
    <dataValidation type="whole" allowBlank="1" showInputMessage="1" showErrorMessage="1" errorTitle="Error" error="Please enter a whole number" sqref="H37:H60 H65:H88 H8:H32" xr:uid="{4569174F-9324-48D6-83C0-5DD8B328D62F}">
      <formula1>0</formula1>
      <formula2>30</formula2>
    </dataValidation>
    <dataValidation type="list" allowBlank="1" showInputMessage="1" showErrorMessage="1" sqref="D65:D66" xr:uid="{99A7A3AE-48E4-49CE-BD2D-56C70C8DDCAF}">
      <formula1>INDIRECT(SUBSTITUTE($B$63," ",""))</formula1>
    </dataValidation>
    <dataValidation type="list" allowBlank="1" showInputMessage="1" showErrorMessage="1" sqref="C37:C60" xr:uid="{B2B5EA66-C20F-46E2-A74E-B83BFAC23F5E}">
      <formula1>"Onsite"</formula1>
    </dataValidation>
    <dataValidation type="list" allowBlank="1" showInputMessage="1" showErrorMessage="1" sqref="C65:C88" xr:uid="{620F6C6D-2A3D-4DEB-B71A-9E79711E5185}">
      <formula1>"Offsite"</formula1>
    </dataValidation>
    <dataValidation type="whole" allowBlank="1" showInputMessage="1" showErrorMessage="1" sqref="L8:L32" xr:uid="{13288AA6-E1C6-4BCF-A65E-F0B72D362767}">
      <formula1>0</formula1>
      <formula2>100</formula2>
    </dataValidation>
    <dataValidation allowBlank="1" showInputMessage="1" showErrorMessage="1" promptTitle="Info" prompt="State the percentage of the reporting year the electricity generating station was available to generate electricity. " sqref="K7" xr:uid="{688EBCB4-283D-46E1-B9D8-D782F99B0424}"/>
    <dataValidation allowBlank="1" showInputMessage="1" showErrorMessage="1" promptTitle="Info" prompt="Please enter the total maximum potential elecrical output capacity in kilowatts of the generating asset as measured at the inverter. If unknown then use the rated capacity of the assets themselves." sqref="J7" xr:uid="{09DC7584-C43A-4A92-A666-ADB07330A39D}"/>
    <dataValidation allowBlank="1" showInputMessage="1" showErrorMessage="1" promptTitle="Info" sqref="K36 K64" xr:uid="{D49A9B40-B013-487C-8A37-73CDB9E9ECDF}"/>
    <dataValidation type="list" allowBlank="1" showInputMessage="1" showErrorMessage="1" sqref="D8:D32" xr:uid="{E0FB0C2A-7ACC-40A7-AF57-AB39221EC624}">
      <formula1>INDIRECT(SUBSTITUTE($B$6," ",""))</formula1>
    </dataValidation>
  </dataValidations>
  <pageMargins left="0.7" right="0.7" top="0.75" bottom="0.75" header="0.3" footer="0.3"/>
  <pageSetup paperSize="9" orientation="portrait" r:id="rId1"/>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64BA41FA-1C72-470A-86A3-3D032905006F}">
          <x14:formula1>
            <xm:f>'Site Information orig'!$B$7:$B$1000</xm:f>
          </x14:formula1>
          <xm:sqref>B37:B60 B8:B32 B65:B88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B3EE2-6224-4151-A6B7-696F590B4B38}">
  <sheetPr codeName="Sheet21">
    <tabColor theme="3"/>
  </sheetPr>
  <dimension ref="B1:BD95"/>
  <sheetViews>
    <sheetView showGridLines="0" topLeftCell="A3" zoomScale="70" zoomScaleNormal="70" workbookViewId="0">
      <selection activeCell="I69" sqref="I69:I89"/>
    </sheetView>
  </sheetViews>
  <sheetFormatPr defaultColWidth="8.7265625" defaultRowHeight="14" zeroHeight="1" outlineLevelCol="1" x14ac:dyDescent="0.3"/>
  <cols>
    <col min="1" max="1" width="1.54296875" style="147" customWidth="1"/>
    <col min="2" max="2" width="32.54296875" style="146" customWidth="1"/>
    <col min="3" max="3" width="2.453125" style="147" customWidth="1"/>
    <col min="4" max="4" width="3.54296875" style="147" customWidth="1"/>
    <col min="5" max="5" width="32.81640625" style="147" customWidth="1"/>
    <col min="6" max="6" width="20.81640625" style="147" customWidth="1"/>
    <col min="7" max="7" width="25.26953125" style="147" customWidth="1"/>
    <col min="8" max="8" width="15.26953125" style="147" customWidth="1"/>
    <col min="9" max="9" width="14.1796875" style="147" customWidth="1"/>
    <col min="10" max="10" width="22.453125" style="147" customWidth="1"/>
    <col min="11" max="11" width="19.81640625" style="147" customWidth="1"/>
    <col min="12" max="12" width="30.81640625" style="147" customWidth="1"/>
    <col min="13" max="16" width="3.54296875" style="147" customWidth="1"/>
    <col min="17" max="17" width="5.7265625" style="147" customWidth="1" outlineLevel="1"/>
    <col min="18" max="18" width="13.54296875" style="147" customWidth="1" outlineLevel="1"/>
    <col min="19" max="19" width="18.7265625" style="147" customWidth="1" outlineLevel="1"/>
    <col min="20" max="20" width="17.1796875" style="147" customWidth="1" outlineLevel="1"/>
    <col min="21" max="22" width="17.453125" style="147" customWidth="1" outlineLevel="1"/>
    <col min="23" max="23" width="12.7265625" style="147" customWidth="1" outlineLevel="1"/>
    <col min="24" max="24" width="18.453125" style="147" customWidth="1" outlineLevel="1"/>
    <col min="25" max="25" width="9.54296875" style="147" customWidth="1" outlineLevel="1"/>
    <col min="26" max="26" width="14.1796875" style="147" customWidth="1" outlineLevel="1"/>
    <col min="27" max="27" width="12.81640625" style="147" customWidth="1" outlineLevel="1"/>
    <col min="28" max="29" width="10.26953125" style="147" customWidth="1" outlineLevel="1"/>
    <col min="30" max="30" width="13.7265625" style="147" customWidth="1" outlineLevel="1"/>
    <col min="31" max="31" width="12.54296875" style="147" customWidth="1" outlineLevel="1"/>
    <col min="32" max="32" width="10.26953125" style="147" customWidth="1" outlineLevel="1"/>
    <col min="33" max="33" width="11.26953125" style="147" customWidth="1" outlineLevel="1"/>
    <col min="34" max="34" width="11.1796875" style="147" customWidth="1" outlineLevel="1"/>
    <col min="35" max="35" width="17.453125" style="147" customWidth="1" outlineLevel="1"/>
    <col min="36" max="36" width="17.7265625" style="147" customWidth="1" outlineLevel="1"/>
    <col min="37" max="37" width="13" style="147" customWidth="1" outlineLevel="1"/>
    <col min="38" max="38" width="12.453125" style="147" customWidth="1" outlineLevel="1"/>
    <col min="39" max="39" width="10.54296875" style="147" customWidth="1" outlineLevel="1"/>
    <col min="40" max="40" width="11.81640625" style="147" customWidth="1" outlineLevel="1"/>
    <col min="41" max="41" width="10.26953125" style="147" customWidth="1" outlineLevel="1"/>
    <col min="42" max="42" width="14.453125" style="147" customWidth="1" outlineLevel="1"/>
    <col min="43" max="43" width="17.453125" style="147" customWidth="1" outlineLevel="1"/>
    <col min="44" max="44" width="8.7265625" style="147" customWidth="1" outlineLevel="1"/>
    <col min="45" max="16384" width="8.7265625" style="147"/>
  </cols>
  <sheetData>
    <row r="1" spans="2:44" s="150" customFormat="1" ht="15.5" x14ac:dyDescent="0.35">
      <c r="B1" s="196" t="s">
        <v>402</v>
      </c>
      <c r="C1" s="201"/>
      <c r="D1" s="201"/>
      <c r="E1" s="200" t="s">
        <v>61</v>
      </c>
      <c r="F1" s="201">
        <f>cl_year_select</f>
        <v>0</v>
      </c>
      <c r="I1" s="200" t="s">
        <v>274</v>
      </c>
      <c r="J1" s="199" t="str">
        <f>IF(SUM(M17,M42,M68)=12,"No data missing","Data missing, see traffic lights")</f>
        <v>Data missing, see traffic lights</v>
      </c>
    </row>
    <row r="2" spans="2:44" s="153" customFormat="1" ht="28" x14ac:dyDescent="0.3">
      <c r="B2" s="198" t="s">
        <v>403</v>
      </c>
      <c r="C2" s="203"/>
      <c r="D2" s="203"/>
      <c r="E2" s="202" t="s">
        <v>64</v>
      </c>
      <c r="F2" s="203">
        <f>cl_org_name_select</f>
        <v>0</v>
      </c>
    </row>
    <row r="3" spans="2:44" x14ac:dyDescent="0.3"/>
    <row r="4" spans="2:44" ht="14.5" x14ac:dyDescent="0.35">
      <c r="B4" s="159" t="s">
        <v>10</v>
      </c>
      <c r="E4" s="191" t="s">
        <v>1</v>
      </c>
      <c r="F4"/>
    </row>
    <row r="5" spans="2:44" ht="14.5" x14ac:dyDescent="0.35">
      <c r="B5" s="455" t="s">
        <v>404</v>
      </c>
      <c r="E5" s="162" t="s">
        <v>37</v>
      </c>
      <c r="F5"/>
    </row>
    <row r="6" spans="2:44" ht="14.5" x14ac:dyDescent="0.35">
      <c r="B6" s="455"/>
      <c r="E6" s="170" t="s">
        <v>38</v>
      </c>
      <c r="F6"/>
      <c r="G6" s="151"/>
    </row>
    <row r="7" spans="2:44" ht="14.5" x14ac:dyDescent="0.35">
      <c r="B7" s="455"/>
      <c r="E7" s="192" t="s">
        <v>283</v>
      </c>
      <c r="F7"/>
      <c r="G7" s="151"/>
    </row>
    <row r="8" spans="2:44" ht="14.5" x14ac:dyDescent="0.35">
      <c r="B8" s="455"/>
      <c r="E8" s="370"/>
      <c r="F8"/>
      <c r="G8" s="151"/>
    </row>
    <row r="9" spans="2:44" ht="14.5" x14ac:dyDescent="0.35">
      <c r="B9" s="455"/>
      <c r="E9" s="370"/>
      <c r="F9"/>
      <c r="G9" s="151"/>
    </row>
    <row r="10" spans="2:44" ht="14.5" x14ac:dyDescent="0.35">
      <c r="B10" s="455"/>
      <c r="E10" s="370"/>
      <c r="F10"/>
      <c r="G10" s="151"/>
    </row>
    <row r="11" spans="2:44" ht="14.5" x14ac:dyDescent="0.35">
      <c r="B11" s="455"/>
      <c r="E11" s="370"/>
      <c r="F11"/>
      <c r="G11" s="151"/>
    </row>
    <row r="12" spans="2:44" ht="14.5" x14ac:dyDescent="0.35">
      <c r="B12" s="455"/>
      <c r="E12" s="370"/>
      <c r="F12"/>
      <c r="G12" s="151"/>
    </row>
    <row r="13" spans="2:44" ht="14.5" thickBot="1" x14ac:dyDescent="0.35">
      <c r="B13" s="455"/>
      <c r="E13" s="176"/>
      <c r="F13" s="176"/>
      <c r="G13" s="177"/>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row>
    <row r="14" spans="2:44" x14ac:dyDescent="0.3">
      <c r="G14" s="151"/>
    </row>
    <row r="15" spans="2:44" x14ac:dyDescent="0.3">
      <c r="B15" s="159" t="s">
        <v>12</v>
      </c>
      <c r="E15" s="160" t="s">
        <v>405</v>
      </c>
    </row>
    <row r="16" spans="2:44" x14ac:dyDescent="0.3"/>
    <row r="17" spans="2:44" ht="28" customHeight="1" x14ac:dyDescent="0.35">
      <c r="B17" s="455" t="s">
        <v>406</v>
      </c>
      <c r="E17" s="257" t="s">
        <v>407</v>
      </c>
      <c r="F17" s="258" t="s">
        <v>408</v>
      </c>
      <c r="G17" s="258" t="s">
        <v>409</v>
      </c>
      <c r="H17" s="258" t="s">
        <v>288</v>
      </c>
      <c r="I17" s="258" t="s">
        <v>289</v>
      </c>
      <c r="J17" s="258" t="s">
        <v>291</v>
      </c>
      <c r="K17" s="258" t="s">
        <v>292</v>
      </c>
      <c r="L17" s="258" t="s">
        <v>293</v>
      </c>
      <c r="M17" s="188">
        <f>AVERAGEIF($M$18:$M$37,"&lt;&gt;0",$M$18:$M$37)</f>
        <v>4</v>
      </c>
      <c r="N17"/>
      <c r="O17"/>
      <c r="P17"/>
      <c r="Q17" s="225" t="s">
        <v>294</v>
      </c>
      <c r="R17" s="226" t="s">
        <v>295</v>
      </c>
      <c r="S17" s="226" t="s">
        <v>296</v>
      </c>
      <c r="T17" s="226" t="s">
        <v>297</v>
      </c>
      <c r="U17" s="226" t="s">
        <v>298</v>
      </c>
      <c r="V17" s="226" t="s">
        <v>299</v>
      </c>
      <c r="W17" s="226" t="s">
        <v>300</v>
      </c>
      <c r="X17" s="226" t="s">
        <v>301</v>
      </c>
      <c r="Y17" s="226" t="s">
        <v>302</v>
      </c>
      <c r="Z17" s="226" t="s">
        <v>287</v>
      </c>
      <c r="AA17" s="226" t="s">
        <v>303</v>
      </c>
      <c r="AB17" s="226" t="s">
        <v>288</v>
      </c>
      <c r="AC17" s="226" t="s">
        <v>289</v>
      </c>
      <c r="AD17" s="286" t="s">
        <v>304</v>
      </c>
      <c r="AE17" s="286" t="s">
        <v>305</v>
      </c>
      <c r="AF17" s="286" t="s">
        <v>306</v>
      </c>
      <c r="AG17" s="286" t="s">
        <v>307</v>
      </c>
      <c r="AH17" s="286" t="s">
        <v>308</v>
      </c>
      <c r="AI17" s="286" t="s">
        <v>309</v>
      </c>
      <c r="AJ17" s="286" t="s">
        <v>310</v>
      </c>
      <c r="AK17" s="286" t="s">
        <v>311</v>
      </c>
      <c r="AL17" s="286" t="s">
        <v>312</v>
      </c>
      <c r="AM17" s="286" t="s">
        <v>313</v>
      </c>
      <c r="AN17" s="286" t="s">
        <v>314</v>
      </c>
      <c r="AO17" s="286" t="s">
        <v>315</v>
      </c>
      <c r="AP17" s="286" t="s">
        <v>291</v>
      </c>
      <c r="AQ17" s="288" t="s">
        <v>292</v>
      </c>
      <c r="AR17" s="288" t="s">
        <v>293</v>
      </c>
    </row>
    <row r="18" spans="2:44" ht="14.5" x14ac:dyDescent="0.35">
      <c r="B18" s="455"/>
      <c r="E18" s="346"/>
      <c r="F18" s="336"/>
      <c r="G18" s="336"/>
      <c r="H18" s="334"/>
      <c r="I18" s="240" t="s">
        <v>410</v>
      </c>
      <c r="J18" s="336"/>
      <c r="K18" s="336"/>
      <c r="L18" s="361"/>
      <c r="M18" s="242">
        <f>ISBLANK(E18)+ISBLANK(F18)+ISBLANK(G18)+ISBLANK(H18)</f>
        <v>4</v>
      </c>
      <c r="N18"/>
      <c r="O18"/>
      <c r="P18"/>
      <c r="Q18" s="212" t="str">
        <f t="shared" ref="Q18:Q37" si="0">IF(M18=0,SUBSTITUTE(2025&amp;TRIM(cl_org_name_select)&amp;TRIM($E$15)&amp;(ROW(M18)-ROW($M$18))," ",""),"")</f>
        <v/>
      </c>
      <c r="R18" s="174" t="s">
        <v>200</v>
      </c>
      <c r="S18" s="174" t="s">
        <v>411</v>
      </c>
      <c r="T18" s="235">
        <f>FLAG_Tier1_Frontend[[#This Row],[Current land use type]]</f>
        <v>0</v>
      </c>
      <c r="U18" s="174">
        <f>FLAG_Tier1_Frontend[[#This Row],[Soil type]]</f>
        <v>0</v>
      </c>
      <c r="V18" s="174">
        <f>FLAG_Tier1_Frontend[[#This Row],[Previous land use type]]</f>
        <v>0</v>
      </c>
      <c r="W18" s="174" t="e" cm="1" vm="1">
        <f t="array" aca="1" ref="W18" ca="1">_xlfn._xlws.FILTER(rng_Level6Long,(rng_Level3Long=FLAG_Tier1_Backend[[#This Row],[Level 3]])*(rng_Level4Long=FLAG_Tier1_Backend[[#This Row],[Level 4]])*(rng_Level5Long=FLAG_Tier1_Backend[[#This Row],[Level 5]]))</f>
        <v>#VALUE!</v>
      </c>
      <c r="X18" s="174" t="s">
        <v>339</v>
      </c>
      <c r="Y18" s="174" t="s">
        <v>339</v>
      </c>
      <c r="Z18" s="174" t="s">
        <v>198</v>
      </c>
      <c r="AA18" s="229" t="e" cm="1" vm="2">
        <f t="array" aca="1" ref="AA18" ca="1">INDEX(_xlfn.SWITCH(FLAG_Tier1_Backend[[#This Row],[Methodology]],"Tier 1",rng_RSD1,"Tier 2",rng_RSD2,"Tier 3",rng_RSD3),MATCH(_xlfn.CONCAT(FLAG_Tier1_Backend[[#This Row],[Level 1]:[Level 6]]),rng_LevelsConcat,0))</f>
        <v>#VALUE!</v>
      </c>
      <c r="AB18" s="220">
        <f>FLAG_Tier1_Frontend[[#This Row],[Data]]</f>
        <v>0</v>
      </c>
      <c r="AC18" s="220" t="str">
        <f>FLAG_Tier1_Frontend[[#This Row],[Units]]</f>
        <v>Ha</v>
      </c>
      <c r="AD18" s="220" t="e" vm="2">
        <f ca="1">IF(FLAG_Tier1_Backend[[#This Row],[Units]]=FLAG_Tier1_Backend[[#This Row],[Standard units]],FLAG_Tier1_Backend[[#This Row],[Data]],FLAG_Tier1_Backend[[#This Row],[Data]]*_xlfn.XLOOKUP(_xlfn.CONCAT(FLAG_Tier1_Backend[[#This Row],[Level 1]:[Level 6]]),rng_EFConcat,rng_EFConversion))</f>
        <v>#VALUE!</v>
      </c>
      <c r="AE18" s="220" t="e" cm="1" vm="2">
        <f t="array" aca="1" ref="AE18" ca="1">_xlfn.XLOOKUP(_xlfn.CONCAT(FLAG_Tier1_Backend[[#This Row],[Level 1]:[Level 6]]),rng_LevelsConcat,rng_UnitsLong)</f>
        <v>#VALUE!</v>
      </c>
      <c r="AF18" s="210" t="e" vm="2">
        <f ca="1">_xlfn.XLOOKUP(_xlfn.CONCAT(FLAG_Tier1_Backend[[#This Row],[Level 1]:[Level 6]]),rng_EFConcat,rng_EF1)*FLAG_Tier1_Backend[[#This Row],[Converted data]]/1000</f>
        <v>#VALUE!</v>
      </c>
      <c r="AG18" s="210" t="e" vm="2">
        <f ca="1">_xlfn.XLOOKUP(_xlfn.CONCAT(FLAG_Tier1_Backend[[#This Row],[Level 1]:[Level 6]]),rng_EFConcat,rng_EF2)*FLAG_Tier1_Backend[[#This Row],[Converted data]]/1000</f>
        <v>#VALUE!</v>
      </c>
      <c r="AH18" s="210" t="e" vm="2">
        <f ca="1">_xlfn.XLOOKUP(_xlfn.CONCAT(FLAG_Tier1_Backend[[#This Row],[Level 1]:[Level 6]]),rng_EFConcat,rng_EF3)*FLAG_Tier1_Backend[[#This Row],[Converted data]]/1000</f>
        <v>#VALUE!</v>
      </c>
      <c r="AI18" s="210" t="e" vm="2">
        <f ca="1">_xlfn.XLOOKUP(_xlfn.CONCAT(FLAG_Tier1_Backend[[#This Row],[Level 1]:[Level 6]]),rng_EFConcat,rng_EF3WTT)*FLAG_Tier1_Backend[[#This Row],[Converted data]]/1000</f>
        <v>#VALUE!</v>
      </c>
      <c r="AJ18" s="210" t="e" vm="2">
        <f ca="1">_xlfn.XLOOKUP(_xlfn.CONCAT(FLAG_Tier1_Backend[[#This Row],[Level 1]:[Level 6]]),rng_EFConcat,rng_EF3TD)*FLAG_Tier1_Backend[[#This Row],[Converted data]]/1000</f>
        <v>#VALUE!</v>
      </c>
      <c r="AK18" s="210" t="e" vm="2">
        <f ca="1">_xlfn.XLOOKUP(_xlfn.CONCAT(FLAG_Tier1_Backend[[#This Row],[Level 1]:[Level 6]]),rng_EFConcat,rng_EF3WTTTD)*FLAG_Tier1_Backend[[#This Row],[Converted data]]/1000</f>
        <v>#VALUE!</v>
      </c>
      <c r="AL18" s="220" t="e" vm="2">
        <f ca="1">SUM(FLAG_Tier1_Backend[[#This Row],[Scope 1 (tCO2e)]:[Scope 3 WTT T&amp;D (tCO2e)]])</f>
        <v>#VALUE!</v>
      </c>
      <c r="AM18" s="220" t="e" vm="2">
        <f ca="1">FLAG_Tier1_Backend[[#This Row],[Total (tCO2e)]]*(1-FLAG_Tier1_Backend[[#This Row],[RSD]])</f>
        <v>#VALUE!</v>
      </c>
      <c r="AN18" s="220" t="e" vm="2">
        <f ca="1">FLAG_Tier1_Backend[[#This Row],[Total (tCO2e)]]*(1+FLAG_Tier1_Backend[[#This Row],[RSD]])</f>
        <v>#VALUE!</v>
      </c>
      <c r="AO18" s="210" t="e" vm="2">
        <f ca="1">_xlfn.XLOOKUP(_xlfn.CONCAT(FLAG_Tier1_Backend[[#This Row],[Level 1]:[Level 6]]),rng_EFConcat,rng_EFOOS)*FLAG_Tier1_Backend[[#This Row],[Converted data]]/1000</f>
        <v>#VALUE!</v>
      </c>
      <c r="AP18" s="174">
        <f>FLAG_Tier1_Frontend[[#This Row],[Ease of collection]]</f>
        <v>0</v>
      </c>
      <c r="AQ18" s="213">
        <f>FLAG_Tier1_Frontend[[#This Row],[Completeness]]</f>
        <v>0</v>
      </c>
      <c r="AR18" s="213">
        <f>FLAG_Tier1_Frontend[[#This Row],[Notes]]</f>
        <v>0</v>
      </c>
    </row>
    <row r="19" spans="2:44" x14ac:dyDescent="0.3">
      <c r="B19" s="455"/>
      <c r="E19" s="346"/>
      <c r="F19" s="336"/>
      <c r="G19" s="336"/>
      <c r="H19" s="334"/>
      <c r="I19" s="240" t="s">
        <v>410</v>
      </c>
      <c r="J19" s="336"/>
      <c r="K19" s="336"/>
      <c r="L19" s="337"/>
      <c r="M19" s="242">
        <f t="shared" ref="M19:M37" si="1">ISBLANK(E19)+ISBLANK(F19)+ISBLANK(G19)+ISBLANK(H19)</f>
        <v>4</v>
      </c>
      <c r="Q19" s="212" t="str">
        <f t="shared" si="0"/>
        <v/>
      </c>
      <c r="R19" s="174" t="s">
        <v>200</v>
      </c>
      <c r="S19" s="174" t="s">
        <v>411</v>
      </c>
      <c r="T19" s="174">
        <f>FLAG_Tier1_Frontend[[#This Row],[Current land use type]]</f>
        <v>0</v>
      </c>
      <c r="U19" s="174">
        <f>FLAG_Tier1_Frontend[[#This Row],[Soil type]]</f>
        <v>0</v>
      </c>
      <c r="V19" s="174">
        <f>FLAG_Tier1_Frontend[[#This Row],[Previous land use type]]</f>
        <v>0</v>
      </c>
      <c r="W19" s="174" t="e" cm="1" vm="1">
        <f t="array" aca="1" ref="W19" ca="1">_xlfn._xlws.FILTER(rng_Level6Long,(rng_Level3Long=FLAG_Tier1_Backend[[#This Row],[Level 3]])*(rng_Level4Long=FLAG_Tier1_Backend[[#This Row],[Level 4]])*(rng_Level5Long=FLAG_Tier1_Backend[[#This Row],[Level 5]]))</f>
        <v>#VALUE!</v>
      </c>
      <c r="X19" s="174" t="s">
        <v>339</v>
      </c>
      <c r="Y19" s="174" t="s">
        <v>339</v>
      </c>
      <c r="Z19" s="174" t="s">
        <v>198</v>
      </c>
      <c r="AA19" s="229" t="e" cm="1" vm="2">
        <f t="array" aca="1" ref="AA19" ca="1">INDEX(_xlfn.SWITCH(FLAG_Tier1_Backend[[#This Row],[Methodology]],"Tier 1",rng_RSD1,"Tier 2",rng_RSD2,"Tier 3",rng_RSD3),MATCH(_xlfn.CONCAT(FLAG_Tier1_Backend[[#This Row],[Level 1]:[Level 6]]),rng_LevelsConcat,0))</f>
        <v>#VALUE!</v>
      </c>
      <c r="AB19" s="220">
        <f>FLAG_Tier1_Frontend[[#This Row],[Data]]</f>
        <v>0</v>
      </c>
      <c r="AC19" s="220" t="str">
        <f>FLAG_Tier1_Frontend[[#This Row],[Units]]</f>
        <v>Ha</v>
      </c>
      <c r="AD19" s="220" t="e" vm="2">
        <f ca="1">IF(FLAG_Tier1_Backend[[#This Row],[Units]]=FLAG_Tier1_Backend[[#This Row],[Standard units]],FLAG_Tier1_Backend[[#This Row],[Data]],FLAG_Tier1_Backend[[#This Row],[Data]]*_xlfn.XLOOKUP(_xlfn.CONCAT(FLAG_Tier1_Backend[[#This Row],[Level 1]:[Level 6]]),rng_EFConcat,rng_EFConversion))</f>
        <v>#VALUE!</v>
      </c>
      <c r="AE19" s="220" t="e" cm="1" vm="2">
        <f t="array" aca="1" ref="AE19" ca="1">_xlfn.XLOOKUP(_xlfn.CONCAT(FLAG_Tier1_Backend[[#This Row],[Level 1]:[Level 6]]),rng_LevelsConcat,rng_UnitsLong)</f>
        <v>#VALUE!</v>
      </c>
      <c r="AF19" s="210" t="e" vm="2">
        <f ca="1">_xlfn.XLOOKUP(_xlfn.CONCAT(FLAG_Tier1_Backend[[#This Row],[Level 1]:[Level 6]]),rng_EFConcat,rng_EF1)*FLAG_Tier1_Backend[[#This Row],[Converted data]]/1000</f>
        <v>#VALUE!</v>
      </c>
      <c r="AG19" s="210" t="e" vm="2">
        <f ca="1">_xlfn.XLOOKUP(_xlfn.CONCAT(FLAG_Tier1_Backend[[#This Row],[Level 1]:[Level 6]]),rng_EFConcat,rng_EF2)*FLAG_Tier1_Backend[[#This Row],[Converted data]]/1000</f>
        <v>#VALUE!</v>
      </c>
      <c r="AH19" s="210" t="e" vm="2">
        <f ca="1">_xlfn.XLOOKUP(_xlfn.CONCAT(FLAG_Tier1_Backend[[#This Row],[Level 1]:[Level 6]]),rng_EFConcat,rng_EF3)*FLAG_Tier1_Backend[[#This Row],[Converted data]]/1000</f>
        <v>#VALUE!</v>
      </c>
      <c r="AI19" s="210" t="e" vm="2">
        <f ca="1">_xlfn.XLOOKUP(_xlfn.CONCAT(FLAG_Tier1_Backend[[#This Row],[Level 1]:[Level 6]]),rng_EFConcat,rng_EF3WTT)*FLAG_Tier1_Backend[[#This Row],[Converted data]]/1000</f>
        <v>#VALUE!</v>
      </c>
      <c r="AJ19" s="210" t="e" vm="2">
        <f ca="1">_xlfn.XLOOKUP(_xlfn.CONCAT(FLAG_Tier1_Backend[[#This Row],[Level 1]:[Level 6]]),rng_EFConcat,rng_EF3TD)*FLAG_Tier1_Backend[[#This Row],[Converted data]]/1000</f>
        <v>#VALUE!</v>
      </c>
      <c r="AK19" s="210" t="e" vm="2">
        <f ca="1">_xlfn.XLOOKUP(_xlfn.CONCAT(FLAG_Tier1_Backend[[#This Row],[Level 1]:[Level 6]]),rng_EFConcat,rng_EF3WTTTD)*FLAG_Tier1_Backend[[#This Row],[Converted data]]/1000</f>
        <v>#VALUE!</v>
      </c>
      <c r="AL19" s="220" t="e" vm="2">
        <f ca="1">SUM(FLAG_Tier1_Backend[[#This Row],[Scope 1 (tCO2e)]:[Scope 3 WTT T&amp;D (tCO2e)]])</f>
        <v>#VALUE!</v>
      </c>
      <c r="AM19" s="220" t="e" vm="2">
        <f ca="1">FLAG_Tier1_Backend[[#This Row],[Total (tCO2e)]]*(1-FLAG_Tier1_Backend[[#This Row],[RSD]])</f>
        <v>#VALUE!</v>
      </c>
      <c r="AN19" s="220" t="e" vm="2">
        <f ca="1">FLAG_Tier1_Backend[[#This Row],[Total (tCO2e)]]*(1+FLAG_Tier1_Backend[[#This Row],[RSD]])</f>
        <v>#VALUE!</v>
      </c>
      <c r="AO19" s="210" t="e" vm="2">
        <f ca="1">_xlfn.XLOOKUP(_xlfn.CONCAT(FLAG_Tier1_Backend[[#This Row],[Level 1]:[Level 6]]),rng_EFConcat,rng_EFOOS)*FLAG_Tier1_Backend[[#This Row],[Converted data]]/1000</f>
        <v>#VALUE!</v>
      </c>
      <c r="AP19" s="174">
        <f>FLAG_Tier1_Frontend[[#This Row],[Ease of collection]]</f>
        <v>0</v>
      </c>
      <c r="AQ19" s="213">
        <f>FLAG_Tier1_Frontend[[#This Row],[Completeness]]</f>
        <v>0</v>
      </c>
      <c r="AR19" s="213">
        <f>FLAG_Tier1_Frontend[[#This Row],[Notes]]</f>
        <v>0</v>
      </c>
    </row>
    <row r="20" spans="2:44" x14ac:dyDescent="0.3">
      <c r="B20" s="455"/>
      <c r="E20" s="346"/>
      <c r="F20" s="336"/>
      <c r="G20" s="336"/>
      <c r="H20" s="334"/>
      <c r="I20" s="240" t="s">
        <v>410</v>
      </c>
      <c r="J20" s="336"/>
      <c r="K20" s="336"/>
      <c r="L20" s="337"/>
      <c r="M20" s="242">
        <f t="shared" si="1"/>
        <v>4</v>
      </c>
      <c r="Q20" s="212" t="str">
        <f t="shared" si="0"/>
        <v/>
      </c>
      <c r="R20" s="174" t="s">
        <v>200</v>
      </c>
      <c r="S20" s="174" t="s">
        <v>411</v>
      </c>
      <c r="T20" s="174">
        <f>FLAG_Tier1_Frontend[[#This Row],[Current land use type]]</f>
        <v>0</v>
      </c>
      <c r="U20" s="174">
        <f>FLAG_Tier1_Frontend[[#This Row],[Soil type]]</f>
        <v>0</v>
      </c>
      <c r="V20" s="174">
        <f>FLAG_Tier1_Frontend[[#This Row],[Previous land use type]]</f>
        <v>0</v>
      </c>
      <c r="W20" s="174" t="e" cm="1" vm="1">
        <f t="array" aca="1" ref="W20" ca="1">_xlfn._xlws.FILTER(rng_Level6Long,(rng_Level3Long=FLAG_Tier1_Backend[[#This Row],[Level 3]])*(rng_Level4Long=FLAG_Tier1_Backend[[#This Row],[Level 4]])*(rng_Level5Long=FLAG_Tier1_Backend[[#This Row],[Level 5]]))</f>
        <v>#VALUE!</v>
      </c>
      <c r="X20" s="174" t="s">
        <v>339</v>
      </c>
      <c r="Y20" s="174" t="s">
        <v>339</v>
      </c>
      <c r="Z20" s="174" t="s">
        <v>198</v>
      </c>
      <c r="AA20" s="229" t="e" cm="1" vm="2">
        <f t="array" aca="1" ref="AA20" ca="1">INDEX(_xlfn.SWITCH(FLAG_Tier1_Backend[[#This Row],[Methodology]],"Tier 1",rng_RSD1,"Tier 2",rng_RSD2,"Tier 3",rng_RSD3),MATCH(_xlfn.CONCAT(FLAG_Tier1_Backend[[#This Row],[Level 1]:[Level 6]]),rng_LevelsConcat,0))</f>
        <v>#VALUE!</v>
      </c>
      <c r="AB20" s="220">
        <f>FLAG_Tier1_Frontend[[#This Row],[Data]]</f>
        <v>0</v>
      </c>
      <c r="AC20" s="220" t="str">
        <f>FLAG_Tier1_Frontend[[#This Row],[Units]]</f>
        <v>Ha</v>
      </c>
      <c r="AD20" s="220" t="e" vm="2">
        <f ca="1">IF(FLAG_Tier1_Backend[[#This Row],[Units]]=FLAG_Tier1_Backend[[#This Row],[Standard units]],FLAG_Tier1_Backend[[#This Row],[Data]],FLAG_Tier1_Backend[[#This Row],[Data]]*_xlfn.XLOOKUP(_xlfn.CONCAT(FLAG_Tier1_Backend[[#This Row],[Level 1]:[Level 6]]),rng_EFConcat,rng_EFConversion))</f>
        <v>#VALUE!</v>
      </c>
      <c r="AE20" s="220" t="e" cm="1" vm="2">
        <f t="array" aca="1" ref="AE20" ca="1">_xlfn.XLOOKUP(_xlfn.CONCAT(FLAG_Tier1_Backend[[#This Row],[Level 1]:[Level 6]]),rng_LevelsConcat,rng_UnitsLong)</f>
        <v>#VALUE!</v>
      </c>
      <c r="AF20" s="210" t="e" vm="2">
        <f ca="1">_xlfn.XLOOKUP(_xlfn.CONCAT(FLAG_Tier1_Backend[[#This Row],[Level 1]:[Level 6]]),rng_EFConcat,rng_EF1)*FLAG_Tier1_Backend[[#This Row],[Converted data]]/1000</f>
        <v>#VALUE!</v>
      </c>
      <c r="AG20" s="210" t="e" vm="2">
        <f ca="1">_xlfn.XLOOKUP(_xlfn.CONCAT(FLAG_Tier1_Backend[[#This Row],[Level 1]:[Level 6]]),rng_EFConcat,rng_EF2)*FLAG_Tier1_Backend[[#This Row],[Converted data]]/1000</f>
        <v>#VALUE!</v>
      </c>
      <c r="AH20" s="210" t="e" vm="2">
        <f ca="1">_xlfn.XLOOKUP(_xlfn.CONCAT(FLAG_Tier1_Backend[[#This Row],[Level 1]:[Level 6]]),rng_EFConcat,rng_EF3)*FLAG_Tier1_Backend[[#This Row],[Converted data]]/1000</f>
        <v>#VALUE!</v>
      </c>
      <c r="AI20" s="210" t="e" vm="2">
        <f ca="1">_xlfn.XLOOKUP(_xlfn.CONCAT(FLAG_Tier1_Backend[[#This Row],[Level 1]:[Level 6]]),rng_EFConcat,rng_EF3WTT)*FLAG_Tier1_Backend[[#This Row],[Converted data]]/1000</f>
        <v>#VALUE!</v>
      </c>
      <c r="AJ20" s="210" t="e" vm="2">
        <f ca="1">_xlfn.XLOOKUP(_xlfn.CONCAT(FLAG_Tier1_Backend[[#This Row],[Level 1]:[Level 6]]),rng_EFConcat,rng_EF3TD)*FLAG_Tier1_Backend[[#This Row],[Converted data]]/1000</f>
        <v>#VALUE!</v>
      </c>
      <c r="AK20" s="210" t="e" vm="2">
        <f ca="1">_xlfn.XLOOKUP(_xlfn.CONCAT(FLAG_Tier1_Backend[[#This Row],[Level 1]:[Level 6]]),rng_EFConcat,rng_EF3WTTTD)*FLAG_Tier1_Backend[[#This Row],[Converted data]]/1000</f>
        <v>#VALUE!</v>
      </c>
      <c r="AL20" s="220" t="e" vm="2">
        <f ca="1">SUM(FLAG_Tier1_Backend[[#This Row],[Scope 1 (tCO2e)]:[Scope 3 WTT T&amp;D (tCO2e)]])</f>
        <v>#VALUE!</v>
      </c>
      <c r="AM20" s="220" t="e" vm="2">
        <f ca="1">FLAG_Tier1_Backend[[#This Row],[Total (tCO2e)]]*(1-FLAG_Tier1_Backend[[#This Row],[RSD]])</f>
        <v>#VALUE!</v>
      </c>
      <c r="AN20" s="220" t="e" vm="2">
        <f ca="1">FLAG_Tier1_Backend[[#This Row],[Total (tCO2e)]]*(1+FLAG_Tier1_Backend[[#This Row],[RSD]])</f>
        <v>#VALUE!</v>
      </c>
      <c r="AO20" s="210" t="e" vm="2">
        <f ca="1">_xlfn.XLOOKUP(_xlfn.CONCAT(FLAG_Tier1_Backend[[#This Row],[Level 1]:[Level 6]]),rng_EFConcat,rng_EFOOS)*FLAG_Tier1_Backend[[#This Row],[Converted data]]/1000</f>
        <v>#VALUE!</v>
      </c>
      <c r="AP20" s="174">
        <f>FLAG_Tier1_Frontend[[#This Row],[Ease of collection]]</f>
        <v>0</v>
      </c>
      <c r="AQ20" s="213">
        <f>FLAG_Tier1_Frontend[[#This Row],[Completeness]]</f>
        <v>0</v>
      </c>
      <c r="AR20" s="213">
        <f>FLAG_Tier1_Frontend[[#This Row],[Notes]]</f>
        <v>0</v>
      </c>
    </row>
    <row r="21" spans="2:44" x14ac:dyDescent="0.3">
      <c r="B21" s="455"/>
      <c r="E21" s="346"/>
      <c r="F21" s="336"/>
      <c r="G21" s="336"/>
      <c r="H21" s="334"/>
      <c r="I21" s="240" t="s">
        <v>410</v>
      </c>
      <c r="J21" s="336"/>
      <c r="K21" s="336"/>
      <c r="L21" s="337"/>
      <c r="M21" s="242">
        <f t="shared" si="1"/>
        <v>4</v>
      </c>
      <c r="Q21" s="212" t="str">
        <f t="shared" si="0"/>
        <v/>
      </c>
      <c r="R21" s="174" t="s">
        <v>200</v>
      </c>
      <c r="S21" s="174" t="s">
        <v>411</v>
      </c>
      <c r="T21" s="174">
        <f>FLAG_Tier1_Frontend[[#This Row],[Current land use type]]</f>
        <v>0</v>
      </c>
      <c r="U21" s="174">
        <f>FLAG_Tier1_Frontend[[#This Row],[Soil type]]</f>
        <v>0</v>
      </c>
      <c r="V21" s="174">
        <f>FLAG_Tier1_Frontend[[#This Row],[Previous land use type]]</f>
        <v>0</v>
      </c>
      <c r="W21" s="174" t="e" cm="1" vm="1">
        <f t="array" aca="1" ref="W21" ca="1">_xlfn._xlws.FILTER(rng_Level6Long,(rng_Level3Long=FLAG_Tier1_Backend[[#This Row],[Level 3]])*(rng_Level4Long=FLAG_Tier1_Backend[[#This Row],[Level 4]])*(rng_Level5Long=FLAG_Tier1_Backend[[#This Row],[Level 5]]))</f>
        <v>#VALUE!</v>
      </c>
      <c r="X21" s="174" t="s">
        <v>339</v>
      </c>
      <c r="Y21" s="174" t="s">
        <v>339</v>
      </c>
      <c r="Z21" s="174" t="s">
        <v>198</v>
      </c>
      <c r="AA21" s="229" t="e" cm="1" vm="2">
        <f t="array" aca="1" ref="AA21" ca="1">INDEX(_xlfn.SWITCH(FLAG_Tier1_Backend[[#This Row],[Methodology]],"Tier 1",rng_RSD1,"Tier 2",rng_RSD2,"Tier 3",rng_RSD3),MATCH(_xlfn.CONCAT(FLAG_Tier1_Backend[[#This Row],[Level 1]:[Level 6]]),rng_LevelsConcat,0))</f>
        <v>#VALUE!</v>
      </c>
      <c r="AB21" s="220">
        <f>FLAG_Tier1_Frontend[[#This Row],[Data]]</f>
        <v>0</v>
      </c>
      <c r="AC21" s="220" t="str">
        <f>FLAG_Tier1_Frontend[[#This Row],[Units]]</f>
        <v>Ha</v>
      </c>
      <c r="AD21" s="220" t="e" vm="2">
        <f ca="1">IF(FLAG_Tier1_Backend[[#This Row],[Units]]=FLAG_Tier1_Backend[[#This Row],[Standard units]],FLAG_Tier1_Backend[[#This Row],[Data]],FLAG_Tier1_Backend[[#This Row],[Data]]*_xlfn.XLOOKUP(_xlfn.CONCAT(FLAG_Tier1_Backend[[#This Row],[Level 1]:[Level 6]]),rng_EFConcat,rng_EFConversion))</f>
        <v>#VALUE!</v>
      </c>
      <c r="AE21" s="220" t="e" cm="1" vm="2">
        <f t="array" aca="1" ref="AE21" ca="1">_xlfn.XLOOKUP(_xlfn.CONCAT(FLAG_Tier1_Backend[[#This Row],[Level 1]:[Level 6]]),rng_LevelsConcat,rng_UnitsLong)</f>
        <v>#VALUE!</v>
      </c>
      <c r="AF21" s="210" t="e" vm="2">
        <f ca="1">_xlfn.XLOOKUP(_xlfn.CONCAT(FLAG_Tier1_Backend[[#This Row],[Level 1]:[Level 6]]),rng_EFConcat,rng_EF1)*FLAG_Tier1_Backend[[#This Row],[Converted data]]/1000</f>
        <v>#VALUE!</v>
      </c>
      <c r="AG21" s="210" t="e" vm="2">
        <f ca="1">_xlfn.XLOOKUP(_xlfn.CONCAT(FLAG_Tier1_Backend[[#This Row],[Level 1]:[Level 6]]),rng_EFConcat,rng_EF2)*FLAG_Tier1_Backend[[#This Row],[Converted data]]/1000</f>
        <v>#VALUE!</v>
      </c>
      <c r="AH21" s="210" t="e" vm="2">
        <f ca="1">_xlfn.XLOOKUP(_xlfn.CONCAT(FLAG_Tier1_Backend[[#This Row],[Level 1]:[Level 6]]),rng_EFConcat,rng_EF3)*FLAG_Tier1_Backend[[#This Row],[Converted data]]/1000</f>
        <v>#VALUE!</v>
      </c>
      <c r="AI21" s="210" t="e" vm="2">
        <f ca="1">_xlfn.XLOOKUP(_xlfn.CONCAT(FLAG_Tier1_Backend[[#This Row],[Level 1]:[Level 6]]),rng_EFConcat,rng_EF3WTT)*FLAG_Tier1_Backend[[#This Row],[Converted data]]/1000</f>
        <v>#VALUE!</v>
      </c>
      <c r="AJ21" s="210" t="e" vm="2">
        <f ca="1">_xlfn.XLOOKUP(_xlfn.CONCAT(FLAG_Tier1_Backend[[#This Row],[Level 1]:[Level 6]]),rng_EFConcat,rng_EF3TD)*FLAG_Tier1_Backend[[#This Row],[Converted data]]/1000</f>
        <v>#VALUE!</v>
      </c>
      <c r="AK21" s="210" t="e" vm="2">
        <f ca="1">_xlfn.XLOOKUP(_xlfn.CONCAT(FLAG_Tier1_Backend[[#This Row],[Level 1]:[Level 6]]),rng_EFConcat,rng_EF3WTTTD)*FLAG_Tier1_Backend[[#This Row],[Converted data]]/1000</f>
        <v>#VALUE!</v>
      </c>
      <c r="AL21" s="220" t="e" vm="2">
        <f ca="1">SUM(FLAG_Tier1_Backend[[#This Row],[Scope 1 (tCO2e)]:[Scope 3 WTT T&amp;D (tCO2e)]])</f>
        <v>#VALUE!</v>
      </c>
      <c r="AM21" s="220" t="e" vm="2">
        <f ca="1">FLAG_Tier1_Backend[[#This Row],[Total (tCO2e)]]*(1-FLAG_Tier1_Backend[[#This Row],[RSD]])</f>
        <v>#VALUE!</v>
      </c>
      <c r="AN21" s="220" t="e" vm="2">
        <f ca="1">FLAG_Tier1_Backend[[#This Row],[Total (tCO2e)]]*(1+FLAG_Tier1_Backend[[#This Row],[RSD]])</f>
        <v>#VALUE!</v>
      </c>
      <c r="AO21" s="210" t="e" vm="2">
        <f ca="1">_xlfn.XLOOKUP(_xlfn.CONCAT(FLAG_Tier1_Backend[[#This Row],[Level 1]:[Level 6]]),rng_EFConcat,rng_EFOOS)*FLAG_Tier1_Backend[[#This Row],[Converted data]]/1000</f>
        <v>#VALUE!</v>
      </c>
      <c r="AP21" s="174">
        <f>FLAG_Tier1_Frontend[[#This Row],[Ease of collection]]</f>
        <v>0</v>
      </c>
      <c r="AQ21" s="213">
        <f>FLAG_Tier1_Frontend[[#This Row],[Completeness]]</f>
        <v>0</v>
      </c>
      <c r="AR21" s="213">
        <f>FLAG_Tier1_Frontend[[#This Row],[Notes]]</f>
        <v>0</v>
      </c>
    </row>
    <row r="22" spans="2:44" x14ac:dyDescent="0.3">
      <c r="B22" s="455"/>
      <c r="E22" s="346"/>
      <c r="F22" s="336"/>
      <c r="G22" s="336"/>
      <c r="H22" s="334"/>
      <c r="I22" s="240" t="s">
        <v>410</v>
      </c>
      <c r="J22" s="336"/>
      <c r="K22" s="336"/>
      <c r="L22" s="337"/>
      <c r="M22" s="242">
        <f t="shared" si="1"/>
        <v>4</v>
      </c>
      <c r="Q22" s="212" t="str">
        <f t="shared" si="0"/>
        <v/>
      </c>
      <c r="R22" s="174" t="s">
        <v>200</v>
      </c>
      <c r="S22" s="174" t="s">
        <v>411</v>
      </c>
      <c r="T22" s="174">
        <f>FLAG_Tier1_Frontend[[#This Row],[Current land use type]]</f>
        <v>0</v>
      </c>
      <c r="U22" s="174">
        <f>FLAG_Tier1_Frontend[[#This Row],[Soil type]]</f>
        <v>0</v>
      </c>
      <c r="V22" s="174">
        <f>FLAG_Tier1_Frontend[[#This Row],[Previous land use type]]</f>
        <v>0</v>
      </c>
      <c r="W22" s="174" t="e" cm="1" vm="1">
        <f t="array" aca="1" ref="W22" ca="1">_xlfn._xlws.FILTER(rng_Level6Long,(rng_Level3Long=FLAG_Tier1_Backend[[#This Row],[Level 3]])*(rng_Level4Long=FLAG_Tier1_Backend[[#This Row],[Level 4]])*(rng_Level5Long=FLAG_Tier1_Backend[[#This Row],[Level 5]]))</f>
        <v>#VALUE!</v>
      </c>
      <c r="X22" s="174" t="s">
        <v>339</v>
      </c>
      <c r="Y22" s="174" t="s">
        <v>339</v>
      </c>
      <c r="Z22" s="174" t="s">
        <v>198</v>
      </c>
      <c r="AA22" s="229" t="e" cm="1" vm="2">
        <f t="array" aca="1" ref="AA22" ca="1">INDEX(_xlfn.SWITCH(FLAG_Tier1_Backend[[#This Row],[Methodology]],"Tier 1",rng_RSD1,"Tier 2",rng_RSD2,"Tier 3",rng_RSD3),MATCH(_xlfn.CONCAT(FLAG_Tier1_Backend[[#This Row],[Level 1]:[Level 6]]),rng_LevelsConcat,0))</f>
        <v>#VALUE!</v>
      </c>
      <c r="AB22" s="220">
        <f>FLAG_Tier1_Frontend[[#This Row],[Data]]</f>
        <v>0</v>
      </c>
      <c r="AC22" s="220" t="str">
        <f>FLAG_Tier1_Frontend[[#This Row],[Units]]</f>
        <v>Ha</v>
      </c>
      <c r="AD22" s="220" t="e" vm="2">
        <f ca="1">IF(FLAG_Tier1_Backend[[#This Row],[Units]]=FLAG_Tier1_Backend[[#This Row],[Standard units]],FLAG_Tier1_Backend[[#This Row],[Data]],FLAG_Tier1_Backend[[#This Row],[Data]]*_xlfn.XLOOKUP(_xlfn.CONCAT(FLAG_Tier1_Backend[[#This Row],[Level 1]:[Level 6]]),rng_EFConcat,rng_EFConversion))</f>
        <v>#VALUE!</v>
      </c>
      <c r="AE22" s="220" t="e" cm="1" vm="2">
        <f t="array" aca="1" ref="AE22" ca="1">_xlfn.XLOOKUP(_xlfn.CONCAT(FLAG_Tier1_Backend[[#This Row],[Level 1]:[Level 6]]),rng_LevelsConcat,rng_UnitsLong)</f>
        <v>#VALUE!</v>
      </c>
      <c r="AF22" s="210" t="e" vm="2">
        <f ca="1">_xlfn.XLOOKUP(_xlfn.CONCAT(FLAG_Tier1_Backend[[#This Row],[Level 1]:[Level 6]]),rng_EFConcat,rng_EF1)*FLAG_Tier1_Backend[[#This Row],[Converted data]]/1000</f>
        <v>#VALUE!</v>
      </c>
      <c r="AG22" s="210" t="e" vm="2">
        <f ca="1">_xlfn.XLOOKUP(_xlfn.CONCAT(FLAG_Tier1_Backend[[#This Row],[Level 1]:[Level 6]]),rng_EFConcat,rng_EF2)*FLAG_Tier1_Backend[[#This Row],[Converted data]]/1000</f>
        <v>#VALUE!</v>
      </c>
      <c r="AH22" s="210" t="e" vm="2">
        <f ca="1">_xlfn.XLOOKUP(_xlfn.CONCAT(FLAG_Tier1_Backend[[#This Row],[Level 1]:[Level 6]]),rng_EFConcat,rng_EF3)*FLAG_Tier1_Backend[[#This Row],[Converted data]]/1000</f>
        <v>#VALUE!</v>
      </c>
      <c r="AI22" s="210" t="e" vm="2">
        <f ca="1">_xlfn.XLOOKUP(_xlfn.CONCAT(FLAG_Tier1_Backend[[#This Row],[Level 1]:[Level 6]]),rng_EFConcat,rng_EF3WTT)*FLAG_Tier1_Backend[[#This Row],[Converted data]]/1000</f>
        <v>#VALUE!</v>
      </c>
      <c r="AJ22" s="210" t="e" vm="2">
        <f ca="1">_xlfn.XLOOKUP(_xlfn.CONCAT(FLAG_Tier1_Backend[[#This Row],[Level 1]:[Level 6]]),rng_EFConcat,rng_EF3TD)*FLAG_Tier1_Backend[[#This Row],[Converted data]]/1000</f>
        <v>#VALUE!</v>
      </c>
      <c r="AK22" s="210" t="e" vm="2">
        <f ca="1">_xlfn.XLOOKUP(_xlfn.CONCAT(FLAG_Tier1_Backend[[#This Row],[Level 1]:[Level 6]]),rng_EFConcat,rng_EF3WTTTD)*FLAG_Tier1_Backend[[#This Row],[Converted data]]/1000</f>
        <v>#VALUE!</v>
      </c>
      <c r="AL22" s="220" t="e" vm="2">
        <f ca="1">SUM(FLAG_Tier1_Backend[[#This Row],[Scope 1 (tCO2e)]:[Scope 3 WTT T&amp;D (tCO2e)]])</f>
        <v>#VALUE!</v>
      </c>
      <c r="AM22" s="220" t="e" vm="2">
        <f ca="1">FLAG_Tier1_Backend[[#This Row],[Total (tCO2e)]]*(1-FLAG_Tier1_Backend[[#This Row],[RSD]])</f>
        <v>#VALUE!</v>
      </c>
      <c r="AN22" s="220" t="e" vm="2">
        <f ca="1">FLAG_Tier1_Backend[[#This Row],[Total (tCO2e)]]*(1+FLAG_Tier1_Backend[[#This Row],[RSD]])</f>
        <v>#VALUE!</v>
      </c>
      <c r="AO22" s="210" t="e" vm="2">
        <f ca="1">_xlfn.XLOOKUP(_xlfn.CONCAT(FLAG_Tier1_Backend[[#This Row],[Level 1]:[Level 6]]),rng_EFConcat,rng_EFOOS)*FLAG_Tier1_Backend[[#This Row],[Converted data]]/1000</f>
        <v>#VALUE!</v>
      </c>
      <c r="AP22" s="174">
        <f>FLAG_Tier1_Frontend[[#This Row],[Ease of collection]]</f>
        <v>0</v>
      </c>
      <c r="AQ22" s="213">
        <f>FLAG_Tier1_Frontend[[#This Row],[Completeness]]</f>
        <v>0</v>
      </c>
      <c r="AR22" s="213">
        <f>FLAG_Tier1_Frontend[[#This Row],[Notes]]</f>
        <v>0</v>
      </c>
    </row>
    <row r="23" spans="2:44" x14ac:dyDescent="0.3">
      <c r="B23" s="455"/>
      <c r="E23" s="346"/>
      <c r="F23" s="336"/>
      <c r="G23" s="336"/>
      <c r="H23" s="334"/>
      <c r="I23" s="240" t="s">
        <v>410</v>
      </c>
      <c r="J23" s="336"/>
      <c r="K23" s="336"/>
      <c r="L23" s="337"/>
      <c r="M23" s="242">
        <f t="shared" si="1"/>
        <v>4</v>
      </c>
      <c r="Q23" s="212" t="str">
        <f t="shared" si="0"/>
        <v/>
      </c>
      <c r="R23" s="174" t="s">
        <v>200</v>
      </c>
      <c r="S23" s="174" t="s">
        <v>411</v>
      </c>
      <c r="T23" s="174">
        <f>FLAG_Tier1_Frontend[[#This Row],[Current land use type]]</f>
        <v>0</v>
      </c>
      <c r="U23" s="174">
        <f>FLAG_Tier1_Frontend[[#This Row],[Soil type]]</f>
        <v>0</v>
      </c>
      <c r="V23" s="174">
        <f>FLAG_Tier1_Frontend[[#This Row],[Previous land use type]]</f>
        <v>0</v>
      </c>
      <c r="W23" s="174" t="e" cm="1" vm="1">
        <f t="array" aca="1" ref="W23" ca="1">_xlfn._xlws.FILTER(rng_Level6Long,(rng_Level3Long=FLAG_Tier1_Backend[[#This Row],[Level 3]])*(rng_Level4Long=FLAG_Tier1_Backend[[#This Row],[Level 4]])*(rng_Level5Long=FLAG_Tier1_Backend[[#This Row],[Level 5]]))</f>
        <v>#VALUE!</v>
      </c>
      <c r="X23" s="174" t="s">
        <v>339</v>
      </c>
      <c r="Y23" s="174" t="s">
        <v>339</v>
      </c>
      <c r="Z23" s="174" t="s">
        <v>198</v>
      </c>
      <c r="AA23" s="229" t="e" cm="1" vm="2">
        <f t="array" aca="1" ref="AA23" ca="1">INDEX(_xlfn.SWITCH(FLAG_Tier1_Backend[[#This Row],[Methodology]],"Tier 1",rng_RSD1,"Tier 2",rng_RSD2,"Tier 3",rng_RSD3),MATCH(_xlfn.CONCAT(FLAG_Tier1_Backend[[#This Row],[Level 1]:[Level 6]]),rng_LevelsConcat,0))</f>
        <v>#VALUE!</v>
      </c>
      <c r="AB23" s="220">
        <f>FLAG_Tier1_Frontend[[#This Row],[Data]]</f>
        <v>0</v>
      </c>
      <c r="AC23" s="220" t="str">
        <f>FLAG_Tier1_Frontend[[#This Row],[Units]]</f>
        <v>Ha</v>
      </c>
      <c r="AD23" s="220" t="e" vm="2">
        <f ca="1">IF(FLAG_Tier1_Backend[[#This Row],[Units]]=FLAG_Tier1_Backend[[#This Row],[Standard units]],FLAG_Tier1_Backend[[#This Row],[Data]],FLAG_Tier1_Backend[[#This Row],[Data]]*_xlfn.XLOOKUP(_xlfn.CONCAT(FLAG_Tier1_Backend[[#This Row],[Level 1]:[Level 6]]),rng_EFConcat,rng_EFConversion))</f>
        <v>#VALUE!</v>
      </c>
      <c r="AE23" s="220" t="e" cm="1" vm="2">
        <f t="array" aca="1" ref="AE23" ca="1">_xlfn.XLOOKUP(_xlfn.CONCAT(FLAG_Tier1_Backend[[#This Row],[Level 1]:[Level 6]]),rng_LevelsConcat,rng_UnitsLong)</f>
        <v>#VALUE!</v>
      </c>
      <c r="AF23" s="210" t="e" vm="2">
        <f ca="1">_xlfn.XLOOKUP(_xlfn.CONCAT(FLAG_Tier1_Backend[[#This Row],[Level 1]:[Level 6]]),rng_EFConcat,rng_EF1)*FLAG_Tier1_Backend[[#This Row],[Converted data]]/1000</f>
        <v>#VALUE!</v>
      </c>
      <c r="AG23" s="210" t="e" vm="2">
        <f ca="1">_xlfn.XLOOKUP(_xlfn.CONCAT(FLAG_Tier1_Backend[[#This Row],[Level 1]:[Level 6]]),rng_EFConcat,rng_EF2)*FLAG_Tier1_Backend[[#This Row],[Converted data]]/1000</f>
        <v>#VALUE!</v>
      </c>
      <c r="AH23" s="210" t="e" vm="2">
        <f ca="1">_xlfn.XLOOKUP(_xlfn.CONCAT(FLAG_Tier1_Backend[[#This Row],[Level 1]:[Level 6]]),rng_EFConcat,rng_EF3)*FLAG_Tier1_Backend[[#This Row],[Converted data]]/1000</f>
        <v>#VALUE!</v>
      </c>
      <c r="AI23" s="210" t="e" vm="2">
        <f ca="1">_xlfn.XLOOKUP(_xlfn.CONCAT(FLAG_Tier1_Backend[[#This Row],[Level 1]:[Level 6]]),rng_EFConcat,rng_EF3WTT)*FLAG_Tier1_Backend[[#This Row],[Converted data]]/1000</f>
        <v>#VALUE!</v>
      </c>
      <c r="AJ23" s="210" t="e" vm="2">
        <f ca="1">_xlfn.XLOOKUP(_xlfn.CONCAT(FLAG_Tier1_Backend[[#This Row],[Level 1]:[Level 6]]),rng_EFConcat,rng_EF3TD)*FLAG_Tier1_Backend[[#This Row],[Converted data]]/1000</f>
        <v>#VALUE!</v>
      </c>
      <c r="AK23" s="210" t="e" vm="2">
        <f ca="1">_xlfn.XLOOKUP(_xlfn.CONCAT(FLAG_Tier1_Backend[[#This Row],[Level 1]:[Level 6]]),rng_EFConcat,rng_EF3WTTTD)*FLAG_Tier1_Backend[[#This Row],[Converted data]]/1000</f>
        <v>#VALUE!</v>
      </c>
      <c r="AL23" s="220" t="e" vm="2">
        <f ca="1">SUM(FLAG_Tier1_Backend[[#This Row],[Scope 1 (tCO2e)]:[Scope 3 WTT T&amp;D (tCO2e)]])</f>
        <v>#VALUE!</v>
      </c>
      <c r="AM23" s="220" t="e" vm="2">
        <f ca="1">FLAG_Tier1_Backend[[#This Row],[Total (tCO2e)]]*(1-FLAG_Tier1_Backend[[#This Row],[RSD]])</f>
        <v>#VALUE!</v>
      </c>
      <c r="AN23" s="220" t="e" vm="2">
        <f ca="1">FLAG_Tier1_Backend[[#This Row],[Total (tCO2e)]]*(1+FLAG_Tier1_Backend[[#This Row],[RSD]])</f>
        <v>#VALUE!</v>
      </c>
      <c r="AO23" s="210" t="e" vm="2">
        <f ca="1">_xlfn.XLOOKUP(_xlfn.CONCAT(FLAG_Tier1_Backend[[#This Row],[Level 1]:[Level 6]]),rng_EFConcat,rng_EFOOS)*FLAG_Tier1_Backend[[#This Row],[Converted data]]/1000</f>
        <v>#VALUE!</v>
      </c>
      <c r="AP23" s="174">
        <f>FLAG_Tier1_Frontend[[#This Row],[Ease of collection]]</f>
        <v>0</v>
      </c>
      <c r="AQ23" s="213">
        <f>FLAG_Tier1_Frontend[[#This Row],[Completeness]]</f>
        <v>0</v>
      </c>
      <c r="AR23" s="213">
        <f>FLAG_Tier1_Frontend[[#This Row],[Notes]]</f>
        <v>0</v>
      </c>
    </row>
    <row r="24" spans="2:44" x14ac:dyDescent="0.3">
      <c r="B24" s="169"/>
      <c r="E24" s="346"/>
      <c r="F24" s="336"/>
      <c r="G24" s="336"/>
      <c r="H24" s="334"/>
      <c r="I24" s="240" t="s">
        <v>410</v>
      </c>
      <c r="J24" s="336"/>
      <c r="K24" s="336"/>
      <c r="L24" s="337"/>
      <c r="M24" s="242">
        <f t="shared" si="1"/>
        <v>4</v>
      </c>
      <c r="Q24" s="212" t="str">
        <f t="shared" si="0"/>
        <v/>
      </c>
      <c r="R24" s="174" t="s">
        <v>200</v>
      </c>
      <c r="S24" s="174" t="s">
        <v>411</v>
      </c>
      <c r="T24" s="174">
        <f>FLAG_Tier1_Frontend[[#This Row],[Current land use type]]</f>
        <v>0</v>
      </c>
      <c r="U24" s="174">
        <f>FLAG_Tier1_Frontend[[#This Row],[Soil type]]</f>
        <v>0</v>
      </c>
      <c r="V24" s="174">
        <f>FLAG_Tier1_Frontend[[#This Row],[Previous land use type]]</f>
        <v>0</v>
      </c>
      <c r="W24" s="174" t="e" cm="1" vm="1">
        <f t="array" aca="1" ref="W24" ca="1">_xlfn._xlws.FILTER(rng_Level6Long,(rng_Level3Long=FLAG_Tier1_Backend[[#This Row],[Level 3]])*(rng_Level4Long=FLAG_Tier1_Backend[[#This Row],[Level 4]])*(rng_Level5Long=FLAG_Tier1_Backend[[#This Row],[Level 5]]))</f>
        <v>#VALUE!</v>
      </c>
      <c r="X24" s="174" t="s">
        <v>339</v>
      </c>
      <c r="Y24" s="174" t="s">
        <v>339</v>
      </c>
      <c r="Z24" s="174" t="s">
        <v>198</v>
      </c>
      <c r="AA24" s="229" t="e" cm="1" vm="2">
        <f t="array" aca="1" ref="AA24" ca="1">INDEX(_xlfn.SWITCH(FLAG_Tier1_Backend[[#This Row],[Methodology]],"Tier 1",rng_RSD1,"Tier 2",rng_RSD2,"Tier 3",rng_RSD3),MATCH(_xlfn.CONCAT(FLAG_Tier1_Backend[[#This Row],[Level 1]:[Level 6]]),rng_LevelsConcat,0))</f>
        <v>#VALUE!</v>
      </c>
      <c r="AB24" s="220">
        <f>FLAG_Tier1_Frontend[[#This Row],[Data]]</f>
        <v>0</v>
      </c>
      <c r="AC24" s="220" t="str">
        <f>FLAG_Tier1_Frontend[[#This Row],[Units]]</f>
        <v>Ha</v>
      </c>
      <c r="AD24" s="220" t="e" vm="2">
        <f ca="1">IF(FLAG_Tier1_Backend[[#This Row],[Units]]=FLAG_Tier1_Backend[[#This Row],[Standard units]],FLAG_Tier1_Backend[[#This Row],[Data]],FLAG_Tier1_Backend[[#This Row],[Data]]*_xlfn.XLOOKUP(_xlfn.CONCAT(FLAG_Tier1_Backend[[#This Row],[Level 1]:[Level 6]]),rng_EFConcat,rng_EFConversion))</f>
        <v>#VALUE!</v>
      </c>
      <c r="AE24" s="220" t="e" cm="1" vm="2">
        <f t="array" aca="1" ref="AE24" ca="1">_xlfn.XLOOKUP(_xlfn.CONCAT(FLAG_Tier1_Backend[[#This Row],[Level 1]:[Level 6]]),rng_LevelsConcat,rng_UnitsLong)</f>
        <v>#VALUE!</v>
      </c>
      <c r="AF24" s="210" t="e" vm="2">
        <f ca="1">_xlfn.XLOOKUP(_xlfn.CONCAT(FLAG_Tier1_Backend[[#This Row],[Level 1]:[Level 6]]),rng_EFConcat,rng_EF1)*FLAG_Tier1_Backend[[#This Row],[Converted data]]/1000</f>
        <v>#VALUE!</v>
      </c>
      <c r="AG24" s="210" t="e" vm="2">
        <f ca="1">_xlfn.XLOOKUP(_xlfn.CONCAT(FLAG_Tier1_Backend[[#This Row],[Level 1]:[Level 6]]),rng_EFConcat,rng_EF2)*FLAG_Tier1_Backend[[#This Row],[Converted data]]/1000</f>
        <v>#VALUE!</v>
      </c>
      <c r="AH24" s="210" t="e" vm="2">
        <f ca="1">_xlfn.XLOOKUP(_xlfn.CONCAT(FLAG_Tier1_Backend[[#This Row],[Level 1]:[Level 6]]),rng_EFConcat,rng_EF3)*FLAG_Tier1_Backend[[#This Row],[Converted data]]/1000</f>
        <v>#VALUE!</v>
      </c>
      <c r="AI24" s="210" t="e" vm="2">
        <f ca="1">_xlfn.XLOOKUP(_xlfn.CONCAT(FLAG_Tier1_Backend[[#This Row],[Level 1]:[Level 6]]),rng_EFConcat,rng_EF3WTT)*FLAG_Tier1_Backend[[#This Row],[Converted data]]/1000</f>
        <v>#VALUE!</v>
      </c>
      <c r="AJ24" s="210" t="e" vm="2">
        <f ca="1">_xlfn.XLOOKUP(_xlfn.CONCAT(FLAG_Tier1_Backend[[#This Row],[Level 1]:[Level 6]]),rng_EFConcat,rng_EF3TD)*FLAG_Tier1_Backend[[#This Row],[Converted data]]/1000</f>
        <v>#VALUE!</v>
      </c>
      <c r="AK24" s="210" t="e" vm="2">
        <f ca="1">_xlfn.XLOOKUP(_xlfn.CONCAT(FLAG_Tier1_Backend[[#This Row],[Level 1]:[Level 6]]),rng_EFConcat,rng_EF3WTTTD)*FLAG_Tier1_Backend[[#This Row],[Converted data]]/1000</f>
        <v>#VALUE!</v>
      </c>
      <c r="AL24" s="220" t="e" vm="2">
        <f ca="1">SUM(FLAG_Tier1_Backend[[#This Row],[Scope 1 (tCO2e)]:[Scope 3 WTT T&amp;D (tCO2e)]])</f>
        <v>#VALUE!</v>
      </c>
      <c r="AM24" s="220" t="e" vm="2">
        <f ca="1">FLAG_Tier1_Backend[[#This Row],[Total (tCO2e)]]*(1-FLAG_Tier1_Backend[[#This Row],[RSD]])</f>
        <v>#VALUE!</v>
      </c>
      <c r="AN24" s="220" t="e" vm="2">
        <f ca="1">FLAG_Tier1_Backend[[#This Row],[Total (tCO2e)]]*(1+FLAG_Tier1_Backend[[#This Row],[RSD]])</f>
        <v>#VALUE!</v>
      </c>
      <c r="AO24" s="210" t="e" vm="2">
        <f ca="1">_xlfn.XLOOKUP(_xlfn.CONCAT(FLAG_Tier1_Backend[[#This Row],[Level 1]:[Level 6]]),rng_EFConcat,rng_EFOOS)*FLAG_Tier1_Backend[[#This Row],[Converted data]]/1000</f>
        <v>#VALUE!</v>
      </c>
      <c r="AP24" s="174">
        <f>FLAG_Tier1_Frontend[[#This Row],[Ease of collection]]</f>
        <v>0</v>
      </c>
      <c r="AQ24" s="213">
        <f>FLAG_Tier1_Frontend[[#This Row],[Completeness]]</f>
        <v>0</v>
      </c>
      <c r="AR24" s="213">
        <f>FLAG_Tier1_Frontend[[#This Row],[Notes]]</f>
        <v>0</v>
      </c>
    </row>
    <row r="25" spans="2:44" x14ac:dyDescent="0.3">
      <c r="B25" s="169"/>
      <c r="E25" s="346"/>
      <c r="F25" s="336"/>
      <c r="G25" s="336"/>
      <c r="H25" s="334"/>
      <c r="I25" s="240" t="s">
        <v>410</v>
      </c>
      <c r="J25" s="336"/>
      <c r="K25" s="336"/>
      <c r="L25" s="337"/>
      <c r="M25" s="242">
        <f t="shared" si="1"/>
        <v>4</v>
      </c>
      <c r="Q25" s="212" t="str">
        <f t="shared" si="0"/>
        <v/>
      </c>
      <c r="R25" s="174" t="s">
        <v>200</v>
      </c>
      <c r="S25" s="174" t="s">
        <v>411</v>
      </c>
      <c r="T25" s="174">
        <f>FLAG_Tier1_Frontend[[#This Row],[Current land use type]]</f>
        <v>0</v>
      </c>
      <c r="U25" s="174">
        <f>FLAG_Tier1_Frontend[[#This Row],[Soil type]]</f>
        <v>0</v>
      </c>
      <c r="V25" s="174">
        <f>FLAG_Tier1_Frontend[[#This Row],[Previous land use type]]</f>
        <v>0</v>
      </c>
      <c r="W25" s="174" t="e" cm="1" vm="1">
        <f t="array" aca="1" ref="W25" ca="1">_xlfn._xlws.FILTER(rng_Level6Long,(rng_Level3Long=FLAG_Tier1_Backend[[#This Row],[Level 3]])*(rng_Level4Long=FLAG_Tier1_Backend[[#This Row],[Level 4]])*(rng_Level5Long=FLAG_Tier1_Backend[[#This Row],[Level 5]]))</f>
        <v>#VALUE!</v>
      </c>
      <c r="X25" s="174" t="s">
        <v>339</v>
      </c>
      <c r="Y25" s="174" t="s">
        <v>339</v>
      </c>
      <c r="Z25" s="174" t="s">
        <v>198</v>
      </c>
      <c r="AA25" s="229" t="e" cm="1" vm="2">
        <f t="array" aca="1" ref="AA25" ca="1">INDEX(_xlfn.SWITCH(FLAG_Tier1_Backend[[#This Row],[Methodology]],"Tier 1",rng_RSD1,"Tier 2",rng_RSD2,"Tier 3",rng_RSD3),MATCH(_xlfn.CONCAT(FLAG_Tier1_Backend[[#This Row],[Level 1]:[Level 6]]),rng_LevelsConcat,0))</f>
        <v>#VALUE!</v>
      </c>
      <c r="AB25" s="220">
        <f>FLAG_Tier1_Frontend[[#This Row],[Data]]</f>
        <v>0</v>
      </c>
      <c r="AC25" s="220" t="str">
        <f>FLAG_Tier1_Frontend[[#This Row],[Units]]</f>
        <v>Ha</v>
      </c>
      <c r="AD25" s="220" t="e" vm="2">
        <f ca="1">IF(FLAG_Tier1_Backend[[#This Row],[Units]]=FLAG_Tier1_Backend[[#This Row],[Standard units]],FLAG_Tier1_Backend[[#This Row],[Data]],FLAG_Tier1_Backend[[#This Row],[Data]]*_xlfn.XLOOKUP(_xlfn.CONCAT(FLAG_Tier1_Backend[[#This Row],[Level 1]:[Level 6]]),rng_EFConcat,rng_EFConversion))</f>
        <v>#VALUE!</v>
      </c>
      <c r="AE25" s="220" t="e" cm="1" vm="2">
        <f t="array" aca="1" ref="AE25" ca="1">_xlfn.XLOOKUP(_xlfn.CONCAT(FLAG_Tier1_Backend[[#This Row],[Level 1]:[Level 6]]),rng_LevelsConcat,rng_UnitsLong)</f>
        <v>#VALUE!</v>
      </c>
      <c r="AF25" s="210" t="e" vm="2">
        <f ca="1">_xlfn.XLOOKUP(_xlfn.CONCAT(FLAG_Tier1_Backend[[#This Row],[Level 1]:[Level 6]]),rng_EFConcat,rng_EF1)*FLAG_Tier1_Backend[[#This Row],[Converted data]]/1000</f>
        <v>#VALUE!</v>
      </c>
      <c r="AG25" s="210" t="e" vm="2">
        <f ca="1">_xlfn.XLOOKUP(_xlfn.CONCAT(FLAG_Tier1_Backend[[#This Row],[Level 1]:[Level 6]]),rng_EFConcat,rng_EF2)*FLAG_Tier1_Backend[[#This Row],[Converted data]]/1000</f>
        <v>#VALUE!</v>
      </c>
      <c r="AH25" s="210" t="e" vm="2">
        <f ca="1">_xlfn.XLOOKUP(_xlfn.CONCAT(FLAG_Tier1_Backend[[#This Row],[Level 1]:[Level 6]]),rng_EFConcat,rng_EF3)*FLAG_Tier1_Backend[[#This Row],[Converted data]]/1000</f>
        <v>#VALUE!</v>
      </c>
      <c r="AI25" s="210" t="e" vm="2">
        <f ca="1">_xlfn.XLOOKUP(_xlfn.CONCAT(FLAG_Tier1_Backend[[#This Row],[Level 1]:[Level 6]]),rng_EFConcat,rng_EF3WTT)*FLAG_Tier1_Backend[[#This Row],[Converted data]]/1000</f>
        <v>#VALUE!</v>
      </c>
      <c r="AJ25" s="210" t="e" vm="2">
        <f ca="1">_xlfn.XLOOKUP(_xlfn.CONCAT(FLAG_Tier1_Backend[[#This Row],[Level 1]:[Level 6]]),rng_EFConcat,rng_EF3TD)*FLAG_Tier1_Backend[[#This Row],[Converted data]]/1000</f>
        <v>#VALUE!</v>
      </c>
      <c r="AK25" s="210" t="e" vm="2">
        <f ca="1">_xlfn.XLOOKUP(_xlfn.CONCAT(FLAG_Tier1_Backend[[#This Row],[Level 1]:[Level 6]]),rng_EFConcat,rng_EF3WTTTD)*FLAG_Tier1_Backend[[#This Row],[Converted data]]/1000</f>
        <v>#VALUE!</v>
      </c>
      <c r="AL25" s="220" t="e" vm="2">
        <f ca="1">SUM(FLAG_Tier1_Backend[[#This Row],[Scope 1 (tCO2e)]:[Scope 3 WTT T&amp;D (tCO2e)]])</f>
        <v>#VALUE!</v>
      </c>
      <c r="AM25" s="220" t="e" vm="2">
        <f ca="1">FLAG_Tier1_Backend[[#This Row],[Total (tCO2e)]]*(1-FLAG_Tier1_Backend[[#This Row],[RSD]])</f>
        <v>#VALUE!</v>
      </c>
      <c r="AN25" s="220" t="e" vm="2">
        <f ca="1">FLAG_Tier1_Backend[[#This Row],[Total (tCO2e)]]*(1+FLAG_Tier1_Backend[[#This Row],[RSD]])</f>
        <v>#VALUE!</v>
      </c>
      <c r="AO25" s="210" t="e" vm="2">
        <f ca="1">_xlfn.XLOOKUP(_xlfn.CONCAT(FLAG_Tier1_Backend[[#This Row],[Level 1]:[Level 6]]),rng_EFConcat,rng_EFOOS)*FLAG_Tier1_Backend[[#This Row],[Converted data]]/1000</f>
        <v>#VALUE!</v>
      </c>
      <c r="AP25" s="174">
        <f>FLAG_Tier1_Frontend[[#This Row],[Ease of collection]]</f>
        <v>0</v>
      </c>
      <c r="AQ25" s="213">
        <f>FLAG_Tier1_Frontend[[#This Row],[Completeness]]</f>
        <v>0</v>
      </c>
      <c r="AR25" s="213">
        <f>FLAG_Tier1_Frontend[[#This Row],[Notes]]</f>
        <v>0</v>
      </c>
    </row>
    <row r="26" spans="2:44" x14ac:dyDescent="0.3">
      <c r="B26" s="169"/>
      <c r="E26" s="346"/>
      <c r="F26" s="336"/>
      <c r="G26" s="336"/>
      <c r="H26" s="334"/>
      <c r="I26" s="240" t="s">
        <v>410</v>
      </c>
      <c r="J26" s="336"/>
      <c r="K26" s="336"/>
      <c r="L26" s="337"/>
      <c r="M26" s="242">
        <f t="shared" si="1"/>
        <v>4</v>
      </c>
      <c r="Q26" s="212" t="str">
        <f t="shared" si="0"/>
        <v/>
      </c>
      <c r="R26" s="174" t="s">
        <v>200</v>
      </c>
      <c r="S26" s="174" t="s">
        <v>411</v>
      </c>
      <c r="T26" s="174">
        <f>FLAG_Tier1_Frontend[[#This Row],[Current land use type]]</f>
        <v>0</v>
      </c>
      <c r="U26" s="174">
        <f>FLAG_Tier1_Frontend[[#This Row],[Soil type]]</f>
        <v>0</v>
      </c>
      <c r="V26" s="174">
        <f>FLAG_Tier1_Frontend[[#This Row],[Previous land use type]]</f>
        <v>0</v>
      </c>
      <c r="W26" s="174" t="e" cm="1" vm="1">
        <f t="array" aca="1" ref="W26" ca="1">_xlfn._xlws.FILTER(rng_Level6Long,(rng_Level3Long=FLAG_Tier1_Backend[[#This Row],[Level 3]])*(rng_Level4Long=FLAG_Tier1_Backend[[#This Row],[Level 4]])*(rng_Level5Long=FLAG_Tier1_Backend[[#This Row],[Level 5]]))</f>
        <v>#VALUE!</v>
      </c>
      <c r="X26" s="174" t="s">
        <v>339</v>
      </c>
      <c r="Y26" s="174" t="s">
        <v>339</v>
      </c>
      <c r="Z26" s="174" t="s">
        <v>198</v>
      </c>
      <c r="AA26" s="229" t="e" cm="1" vm="2">
        <f t="array" aca="1" ref="AA26" ca="1">INDEX(_xlfn.SWITCH(FLAG_Tier1_Backend[[#This Row],[Methodology]],"Tier 1",rng_RSD1,"Tier 2",rng_RSD2,"Tier 3",rng_RSD3),MATCH(_xlfn.CONCAT(FLAG_Tier1_Backend[[#This Row],[Level 1]:[Level 6]]),rng_LevelsConcat,0))</f>
        <v>#VALUE!</v>
      </c>
      <c r="AB26" s="220">
        <f>FLAG_Tier1_Frontend[[#This Row],[Data]]</f>
        <v>0</v>
      </c>
      <c r="AC26" s="220" t="str">
        <f>FLAG_Tier1_Frontend[[#This Row],[Units]]</f>
        <v>Ha</v>
      </c>
      <c r="AD26" s="220" t="e" vm="2">
        <f ca="1">IF(FLAG_Tier1_Backend[[#This Row],[Units]]=FLAG_Tier1_Backend[[#This Row],[Standard units]],FLAG_Tier1_Backend[[#This Row],[Data]],FLAG_Tier1_Backend[[#This Row],[Data]]*_xlfn.XLOOKUP(_xlfn.CONCAT(FLAG_Tier1_Backend[[#This Row],[Level 1]:[Level 6]]),rng_EFConcat,rng_EFConversion))</f>
        <v>#VALUE!</v>
      </c>
      <c r="AE26" s="220" t="e" cm="1" vm="2">
        <f t="array" aca="1" ref="AE26" ca="1">_xlfn.XLOOKUP(_xlfn.CONCAT(FLAG_Tier1_Backend[[#This Row],[Level 1]:[Level 6]]),rng_LevelsConcat,rng_UnitsLong)</f>
        <v>#VALUE!</v>
      </c>
      <c r="AF26" s="210" t="e" vm="2">
        <f ca="1">_xlfn.XLOOKUP(_xlfn.CONCAT(FLAG_Tier1_Backend[[#This Row],[Level 1]:[Level 6]]),rng_EFConcat,rng_EF1)*FLAG_Tier1_Backend[[#This Row],[Converted data]]/1000</f>
        <v>#VALUE!</v>
      </c>
      <c r="AG26" s="210" t="e" vm="2">
        <f ca="1">_xlfn.XLOOKUP(_xlfn.CONCAT(FLAG_Tier1_Backend[[#This Row],[Level 1]:[Level 6]]),rng_EFConcat,rng_EF2)*FLAG_Tier1_Backend[[#This Row],[Converted data]]/1000</f>
        <v>#VALUE!</v>
      </c>
      <c r="AH26" s="210" t="e" vm="2">
        <f ca="1">_xlfn.XLOOKUP(_xlfn.CONCAT(FLAG_Tier1_Backend[[#This Row],[Level 1]:[Level 6]]),rng_EFConcat,rng_EF3)*FLAG_Tier1_Backend[[#This Row],[Converted data]]/1000</f>
        <v>#VALUE!</v>
      </c>
      <c r="AI26" s="210" t="e" vm="2">
        <f ca="1">_xlfn.XLOOKUP(_xlfn.CONCAT(FLAG_Tier1_Backend[[#This Row],[Level 1]:[Level 6]]),rng_EFConcat,rng_EF3WTT)*FLAG_Tier1_Backend[[#This Row],[Converted data]]/1000</f>
        <v>#VALUE!</v>
      </c>
      <c r="AJ26" s="210" t="e" vm="2">
        <f ca="1">_xlfn.XLOOKUP(_xlfn.CONCAT(FLAG_Tier1_Backend[[#This Row],[Level 1]:[Level 6]]),rng_EFConcat,rng_EF3TD)*FLAG_Tier1_Backend[[#This Row],[Converted data]]/1000</f>
        <v>#VALUE!</v>
      </c>
      <c r="AK26" s="210" t="e" vm="2">
        <f ca="1">_xlfn.XLOOKUP(_xlfn.CONCAT(FLAG_Tier1_Backend[[#This Row],[Level 1]:[Level 6]]),rng_EFConcat,rng_EF3WTTTD)*FLAG_Tier1_Backend[[#This Row],[Converted data]]/1000</f>
        <v>#VALUE!</v>
      </c>
      <c r="AL26" s="220" t="e" vm="2">
        <f ca="1">SUM(FLAG_Tier1_Backend[[#This Row],[Scope 1 (tCO2e)]:[Scope 3 WTT T&amp;D (tCO2e)]])</f>
        <v>#VALUE!</v>
      </c>
      <c r="AM26" s="220" t="e" vm="2">
        <f ca="1">FLAG_Tier1_Backend[[#This Row],[Total (tCO2e)]]*(1-FLAG_Tier1_Backend[[#This Row],[RSD]])</f>
        <v>#VALUE!</v>
      </c>
      <c r="AN26" s="220" t="e" vm="2">
        <f ca="1">FLAG_Tier1_Backend[[#This Row],[Total (tCO2e)]]*(1+FLAG_Tier1_Backend[[#This Row],[RSD]])</f>
        <v>#VALUE!</v>
      </c>
      <c r="AO26" s="210" t="e" vm="2">
        <f ca="1">_xlfn.XLOOKUP(_xlfn.CONCAT(FLAG_Tier1_Backend[[#This Row],[Level 1]:[Level 6]]),rng_EFConcat,rng_EFOOS)*FLAG_Tier1_Backend[[#This Row],[Converted data]]/1000</f>
        <v>#VALUE!</v>
      </c>
      <c r="AP26" s="174">
        <f>FLAG_Tier1_Frontend[[#This Row],[Ease of collection]]</f>
        <v>0</v>
      </c>
      <c r="AQ26" s="213">
        <f>FLAG_Tier1_Frontend[[#This Row],[Completeness]]</f>
        <v>0</v>
      </c>
      <c r="AR26" s="213">
        <f>FLAG_Tier1_Frontend[[#This Row],[Notes]]</f>
        <v>0</v>
      </c>
    </row>
    <row r="27" spans="2:44" x14ac:dyDescent="0.3">
      <c r="B27" s="169"/>
      <c r="E27" s="346"/>
      <c r="F27" s="336"/>
      <c r="G27" s="336"/>
      <c r="H27" s="334"/>
      <c r="I27" s="240" t="s">
        <v>410</v>
      </c>
      <c r="J27" s="336"/>
      <c r="K27" s="336"/>
      <c r="L27" s="337"/>
      <c r="M27" s="242">
        <f t="shared" si="1"/>
        <v>4</v>
      </c>
      <c r="Q27" s="212" t="str">
        <f t="shared" si="0"/>
        <v/>
      </c>
      <c r="R27" s="174" t="s">
        <v>200</v>
      </c>
      <c r="S27" s="174" t="s">
        <v>411</v>
      </c>
      <c r="T27" s="174">
        <f>FLAG_Tier1_Frontend[[#This Row],[Current land use type]]</f>
        <v>0</v>
      </c>
      <c r="U27" s="174">
        <f>FLAG_Tier1_Frontend[[#This Row],[Soil type]]</f>
        <v>0</v>
      </c>
      <c r="V27" s="174">
        <f>FLAG_Tier1_Frontend[[#This Row],[Previous land use type]]</f>
        <v>0</v>
      </c>
      <c r="W27" s="174" t="e" cm="1" vm="1">
        <f t="array" aca="1" ref="W27" ca="1">_xlfn._xlws.FILTER(rng_Level6Long,(rng_Level3Long=FLAG_Tier1_Backend[[#This Row],[Level 3]])*(rng_Level4Long=FLAG_Tier1_Backend[[#This Row],[Level 4]])*(rng_Level5Long=FLAG_Tier1_Backend[[#This Row],[Level 5]]))</f>
        <v>#VALUE!</v>
      </c>
      <c r="X27" s="174" t="s">
        <v>339</v>
      </c>
      <c r="Y27" s="174" t="s">
        <v>339</v>
      </c>
      <c r="Z27" s="174" t="s">
        <v>198</v>
      </c>
      <c r="AA27" s="229" t="e" cm="1" vm="2">
        <f t="array" aca="1" ref="AA27" ca="1">INDEX(_xlfn.SWITCH(FLAG_Tier1_Backend[[#This Row],[Methodology]],"Tier 1",rng_RSD1,"Tier 2",rng_RSD2,"Tier 3",rng_RSD3),MATCH(_xlfn.CONCAT(FLAG_Tier1_Backend[[#This Row],[Level 1]:[Level 6]]),rng_LevelsConcat,0))</f>
        <v>#VALUE!</v>
      </c>
      <c r="AB27" s="220">
        <f>FLAG_Tier1_Frontend[[#This Row],[Data]]</f>
        <v>0</v>
      </c>
      <c r="AC27" s="220" t="str">
        <f>FLAG_Tier1_Frontend[[#This Row],[Units]]</f>
        <v>Ha</v>
      </c>
      <c r="AD27" s="220" t="e" vm="2">
        <f ca="1">IF(FLAG_Tier1_Backend[[#This Row],[Units]]=FLAG_Tier1_Backend[[#This Row],[Standard units]],FLAG_Tier1_Backend[[#This Row],[Data]],FLAG_Tier1_Backend[[#This Row],[Data]]*_xlfn.XLOOKUP(_xlfn.CONCAT(FLAG_Tier1_Backend[[#This Row],[Level 1]:[Level 6]]),rng_EFConcat,rng_EFConversion))</f>
        <v>#VALUE!</v>
      </c>
      <c r="AE27" s="220" t="e" cm="1" vm="2">
        <f t="array" aca="1" ref="AE27" ca="1">_xlfn.XLOOKUP(_xlfn.CONCAT(FLAG_Tier1_Backend[[#This Row],[Level 1]:[Level 6]]),rng_LevelsConcat,rng_UnitsLong)</f>
        <v>#VALUE!</v>
      </c>
      <c r="AF27" s="210" t="e" vm="2">
        <f ca="1">_xlfn.XLOOKUP(_xlfn.CONCAT(FLAG_Tier1_Backend[[#This Row],[Level 1]:[Level 6]]),rng_EFConcat,rng_EF1)*FLAG_Tier1_Backend[[#This Row],[Converted data]]/1000</f>
        <v>#VALUE!</v>
      </c>
      <c r="AG27" s="210" t="e" vm="2">
        <f ca="1">_xlfn.XLOOKUP(_xlfn.CONCAT(FLAG_Tier1_Backend[[#This Row],[Level 1]:[Level 6]]),rng_EFConcat,rng_EF2)*FLAG_Tier1_Backend[[#This Row],[Converted data]]/1000</f>
        <v>#VALUE!</v>
      </c>
      <c r="AH27" s="210" t="e" vm="2">
        <f ca="1">_xlfn.XLOOKUP(_xlfn.CONCAT(FLAG_Tier1_Backend[[#This Row],[Level 1]:[Level 6]]),rng_EFConcat,rng_EF3)*FLAG_Tier1_Backend[[#This Row],[Converted data]]/1000</f>
        <v>#VALUE!</v>
      </c>
      <c r="AI27" s="210" t="e" vm="2">
        <f ca="1">_xlfn.XLOOKUP(_xlfn.CONCAT(FLAG_Tier1_Backend[[#This Row],[Level 1]:[Level 6]]),rng_EFConcat,rng_EF3WTT)*FLAG_Tier1_Backend[[#This Row],[Converted data]]/1000</f>
        <v>#VALUE!</v>
      </c>
      <c r="AJ27" s="210" t="e" vm="2">
        <f ca="1">_xlfn.XLOOKUP(_xlfn.CONCAT(FLAG_Tier1_Backend[[#This Row],[Level 1]:[Level 6]]),rng_EFConcat,rng_EF3TD)*FLAG_Tier1_Backend[[#This Row],[Converted data]]/1000</f>
        <v>#VALUE!</v>
      </c>
      <c r="AK27" s="210" t="e" vm="2">
        <f ca="1">_xlfn.XLOOKUP(_xlfn.CONCAT(FLAG_Tier1_Backend[[#This Row],[Level 1]:[Level 6]]),rng_EFConcat,rng_EF3WTTTD)*FLAG_Tier1_Backend[[#This Row],[Converted data]]/1000</f>
        <v>#VALUE!</v>
      </c>
      <c r="AL27" s="220" t="e" vm="2">
        <f ca="1">SUM(FLAG_Tier1_Backend[[#This Row],[Scope 1 (tCO2e)]:[Scope 3 WTT T&amp;D (tCO2e)]])</f>
        <v>#VALUE!</v>
      </c>
      <c r="AM27" s="220" t="e" vm="2">
        <f ca="1">FLAG_Tier1_Backend[[#This Row],[Total (tCO2e)]]*(1-FLAG_Tier1_Backend[[#This Row],[RSD]])</f>
        <v>#VALUE!</v>
      </c>
      <c r="AN27" s="220" t="e" vm="2">
        <f ca="1">FLAG_Tier1_Backend[[#This Row],[Total (tCO2e)]]*(1+FLAG_Tier1_Backend[[#This Row],[RSD]])</f>
        <v>#VALUE!</v>
      </c>
      <c r="AO27" s="210" t="e" vm="2">
        <f ca="1">_xlfn.XLOOKUP(_xlfn.CONCAT(FLAG_Tier1_Backend[[#This Row],[Level 1]:[Level 6]]),rng_EFConcat,rng_EFOOS)*FLAG_Tier1_Backend[[#This Row],[Converted data]]/1000</f>
        <v>#VALUE!</v>
      </c>
      <c r="AP27" s="174">
        <f>FLAG_Tier1_Frontend[[#This Row],[Ease of collection]]</f>
        <v>0</v>
      </c>
      <c r="AQ27" s="213">
        <f>FLAG_Tier1_Frontend[[#This Row],[Completeness]]</f>
        <v>0</v>
      </c>
      <c r="AR27" s="213">
        <f>FLAG_Tier1_Frontend[[#This Row],[Notes]]</f>
        <v>0</v>
      </c>
    </row>
    <row r="28" spans="2:44" x14ac:dyDescent="0.3">
      <c r="B28" s="169"/>
      <c r="E28" s="346"/>
      <c r="F28" s="336"/>
      <c r="G28" s="336"/>
      <c r="H28" s="334"/>
      <c r="I28" s="240" t="s">
        <v>410</v>
      </c>
      <c r="J28" s="336"/>
      <c r="K28" s="336"/>
      <c r="L28" s="337"/>
      <c r="M28" s="242">
        <f t="shared" si="1"/>
        <v>4</v>
      </c>
      <c r="Q28" s="212" t="str">
        <f t="shared" si="0"/>
        <v/>
      </c>
      <c r="R28" s="174" t="s">
        <v>200</v>
      </c>
      <c r="S28" s="174" t="s">
        <v>411</v>
      </c>
      <c r="T28" s="174">
        <f>FLAG_Tier1_Frontend[[#This Row],[Current land use type]]</f>
        <v>0</v>
      </c>
      <c r="U28" s="174">
        <f>FLAG_Tier1_Frontend[[#This Row],[Soil type]]</f>
        <v>0</v>
      </c>
      <c r="V28" s="174">
        <f>FLAG_Tier1_Frontend[[#This Row],[Previous land use type]]</f>
        <v>0</v>
      </c>
      <c r="W28" s="174" t="e" cm="1" vm="1">
        <f t="array" aca="1" ref="W28" ca="1">_xlfn._xlws.FILTER(rng_Level6Long,(rng_Level3Long=FLAG_Tier1_Backend[[#This Row],[Level 3]])*(rng_Level4Long=FLAG_Tier1_Backend[[#This Row],[Level 4]])*(rng_Level5Long=FLAG_Tier1_Backend[[#This Row],[Level 5]]))</f>
        <v>#VALUE!</v>
      </c>
      <c r="X28" s="174" t="s">
        <v>339</v>
      </c>
      <c r="Y28" s="174" t="s">
        <v>339</v>
      </c>
      <c r="Z28" s="174" t="s">
        <v>198</v>
      </c>
      <c r="AA28" s="229" t="e" cm="1" vm="2">
        <f t="array" aca="1" ref="AA28" ca="1">INDEX(_xlfn.SWITCH(FLAG_Tier1_Backend[[#This Row],[Methodology]],"Tier 1",rng_RSD1,"Tier 2",rng_RSD2,"Tier 3",rng_RSD3),MATCH(_xlfn.CONCAT(FLAG_Tier1_Backend[[#This Row],[Level 1]:[Level 6]]),rng_LevelsConcat,0))</f>
        <v>#VALUE!</v>
      </c>
      <c r="AB28" s="220">
        <f>FLAG_Tier1_Frontend[[#This Row],[Data]]</f>
        <v>0</v>
      </c>
      <c r="AC28" s="220" t="str">
        <f>FLAG_Tier1_Frontend[[#This Row],[Units]]</f>
        <v>Ha</v>
      </c>
      <c r="AD28" s="220" t="e" vm="2">
        <f ca="1">IF(FLAG_Tier1_Backend[[#This Row],[Units]]=FLAG_Tier1_Backend[[#This Row],[Standard units]],FLAG_Tier1_Backend[[#This Row],[Data]],FLAG_Tier1_Backend[[#This Row],[Data]]*_xlfn.XLOOKUP(_xlfn.CONCAT(FLAG_Tier1_Backend[[#This Row],[Level 1]:[Level 6]]),rng_EFConcat,rng_EFConversion))</f>
        <v>#VALUE!</v>
      </c>
      <c r="AE28" s="220" t="e" cm="1" vm="2">
        <f t="array" aca="1" ref="AE28" ca="1">_xlfn.XLOOKUP(_xlfn.CONCAT(FLAG_Tier1_Backend[[#This Row],[Level 1]:[Level 6]]),rng_LevelsConcat,rng_UnitsLong)</f>
        <v>#VALUE!</v>
      </c>
      <c r="AF28" s="210" t="e" vm="2">
        <f ca="1">_xlfn.XLOOKUP(_xlfn.CONCAT(FLAG_Tier1_Backend[[#This Row],[Level 1]:[Level 6]]),rng_EFConcat,rng_EF1)*FLAG_Tier1_Backend[[#This Row],[Converted data]]/1000</f>
        <v>#VALUE!</v>
      </c>
      <c r="AG28" s="210" t="e" vm="2">
        <f ca="1">_xlfn.XLOOKUP(_xlfn.CONCAT(FLAG_Tier1_Backend[[#This Row],[Level 1]:[Level 6]]),rng_EFConcat,rng_EF2)*FLAG_Tier1_Backend[[#This Row],[Converted data]]/1000</f>
        <v>#VALUE!</v>
      </c>
      <c r="AH28" s="210" t="e" vm="2">
        <f ca="1">_xlfn.XLOOKUP(_xlfn.CONCAT(FLAG_Tier1_Backend[[#This Row],[Level 1]:[Level 6]]),rng_EFConcat,rng_EF3)*FLAG_Tier1_Backend[[#This Row],[Converted data]]/1000</f>
        <v>#VALUE!</v>
      </c>
      <c r="AI28" s="210" t="e" vm="2">
        <f ca="1">_xlfn.XLOOKUP(_xlfn.CONCAT(FLAG_Tier1_Backend[[#This Row],[Level 1]:[Level 6]]),rng_EFConcat,rng_EF3WTT)*FLAG_Tier1_Backend[[#This Row],[Converted data]]/1000</f>
        <v>#VALUE!</v>
      </c>
      <c r="AJ28" s="210" t="e" vm="2">
        <f ca="1">_xlfn.XLOOKUP(_xlfn.CONCAT(FLAG_Tier1_Backend[[#This Row],[Level 1]:[Level 6]]),rng_EFConcat,rng_EF3TD)*FLAG_Tier1_Backend[[#This Row],[Converted data]]/1000</f>
        <v>#VALUE!</v>
      </c>
      <c r="AK28" s="210" t="e" vm="2">
        <f ca="1">_xlfn.XLOOKUP(_xlfn.CONCAT(FLAG_Tier1_Backend[[#This Row],[Level 1]:[Level 6]]),rng_EFConcat,rng_EF3WTTTD)*FLAG_Tier1_Backend[[#This Row],[Converted data]]/1000</f>
        <v>#VALUE!</v>
      </c>
      <c r="AL28" s="220" t="e" vm="2">
        <f ca="1">SUM(FLAG_Tier1_Backend[[#This Row],[Scope 1 (tCO2e)]:[Scope 3 WTT T&amp;D (tCO2e)]])</f>
        <v>#VALUE!</v>
      </c>
      <c r="AM28" s="220" t="e" vm="2">
        <f ca="1">FLAG_Tier1_Backend[[#This Row],[Total (tCO2e)]]*(1-FLAG_Tier1_Backend[[#This Row],[RSD]])</f>
        <v>#VALUE!</v>
      </c>
      <c r="AN28" s="220" t="e" vm="2">
        <f ca="1">FLAG_Tier1_Backend[[#This Row],[Total (tCO2e)]]*(1+FLAG_Tier1_Backend[[#This Row],[RSD]])</f>
        <v>#VALUE!</v>
      </c>
      <c r="AO28" s="210" t="e" vm="2">
        <f ca="1">_xlfn.XLOOKUP(_xlfn.CONCAT(FLAG_Tier1_Backend[[#This Row],[Level 1]:[Level 6]]),rng_EFConcat,rng_EFOOS)*FLAG_Tier1_Backend[[#This Row],[Converted data]]/1000</f>
        <v>#VALUE!</v>
      </c>
      <c r="AP28" s="174">
        <f>FLAG_Tier1_Frontend[[#This Row],[Ease of collection]]</f>
        <v>0</v>
      </c>
      <c r="AQ28" s="213">
        <f>FLAG_Tier1_Frontend[[#This Row],[Completeness]]</f>
        <v>0</v>
      </c>
      <c r="AR28" s="213">
        <f>FLAG_Tier1_Frontend[[#This Row],[Notes]]</f>
        <v>0</v>
      </c>
    </row>
    <row r="29" spans="2:44" x14ac:dyDescent="0.3">
      <c r="B29" s="169"/>
      <c r="E29" s="346"/>
      <c r="F29" s="336"/>
      <c r="G29" s="336"/>
      <c r="H29" s="334"/>
      <c r="I29" s="240" t="s">
        <v>410</v>
      </c>
      <c r="J29" s="336"/>
      <c r="K29" s="336"/>
      <c r="L29" s="337"/>
      <c r="M29" s="242">
        <f t="shared" si="1"/>
        <v>4</v>
      </c>
      <c r="Q29" s="212" t="str">
        <f t="shared" si="0"/>
        <v/>
      </c>
      <c r="R29" s="174" t="s">
        <v>200</v>
      </c>
      <c r="S29" s="174" t="s">
        <v>411</v>
      </c>
      <c r="T29" s="174">
        <f>FLAG_Tier1_Frontend[[#This Row],[Current land use type]]</f>
        <v>0</v>
      </c>
      <c r="U29" s="174">
        <f>FLAG_Tier1_Frontend[[#This Row],[Soil type]]</f>
        <v>0</v>
      </c>
      <c r="V29" s="174">
        <f>FLAG_Tier1_Frontend[[#This Row],[Previous land use type]]</f>
        <v>0</v>
      </c>
      <c r="W29" s="174" t="e" cm="1" vm="1">
        <f t="array" aca="1" ref="W29" ca="1">_xlfn._xlws.FILTER(rng_Level6Long,(rng_Level3Long=FLAG_Tier1_Backend[[#This Row],[Level 3]])*(rng_Level4Long=FLAG_Tier1_Backend[[#This Row],[Level 4]])*(rng_Level5Long=FLAG_Tier1_Backend[[#This Row],[Level 5]]))</f>
        <v>#VALUE!</v>
      </c>
      <c r="X29" s="174" t="s">
        <v>339</v>
      </c>
      <c r="Y29" s="174" t="s">
        <v>339</v>
      </c>
      <c r="Z29" s="174" t="s">
        <v>198</v>
      </c>
      <c r="AA29" s="229" t="e" cm="1" vm="2">
        <f t="array" aca="1" ref="AA29" ca="1">INDEX(_xlfn.SWITCH(FLAG_Tier1_Backend[[#This Row],[Methodology]],"Tier 1",rng_RSD1,"Tier 2",rng_RSD2,"Tier 3",rng_RSD3),MATCH(_xlfn.CONCAT(FLAG_Tier1_Backend[[#This Row],[Level 1]:[Level 6]]),rng_LevelsConcat,0))</f>
        <v>#VALUE!</v>
      </c>
      <c r="AB29" s="220">
        <f>FLAG_Tier1_Frontend[[#This Row],[Data]]</f>
        <v>0</v>
      </c>
      <c r="AC29" s="220" t="str">
        <f>FLAG_Tier1_Frontend[[#This Row],[Units]]</f>
        <v>Ha</v>
      </c>
      <c r="AD29" s="220" t="e" vm="2">
        <f ca="1">IF(FLAG_Tier1_Backend[[#This Row],[Units]]=FLAG_Tier1_Backend[[#This Row],[Standard units]],FLAG_Tier1_Backend[[#This Row],[Data]],FLAG_Tier1_Backend[[#This Row],[Data]]*_xlfn.XLOOKUP(_xlfn.CONCAT(FLAG_Tier1_Backend[[#This Row],[Level 1]:[Level 6]]),rng_EFConcat,rng_EFConversion))</f>
        <v>#VALUE!</v>
      </c>
      <c r="AE29" s="220" t="e" cm="1" vm="2">
        <f t="array" aca="1" ref="AE29" ca="1">_xlfn.XLOOKUP(_xlfn.CONCAT(FLAG_Tier1_Backend[[#This Row],[Level 1]:[Level 6]]),rng_LevelsConcat,rng_UnitsLong)</f>
        <v>#VALUE!</v>
      </c>
      <c r="AF29" s="210" t="e" vm="2">
        <f ca="1">_xlfn.XLOOKUP(_xlfn.CONCAT(FLAG_Tier1_Backend[[#This Row],[Level 1]:[Level 6]]),rng_EFConcat,rng_EF1)*FLAG_Tier1_Backend[[#This Row],[Converted data]]/1000</f>
        <v>#VALUE!</v>
      </c>
      <c r="AG29" s="210" t="e" vm="2">
        <f ca="1">_xlfn.XLOOKUP(_xlfn.CONCAT(FLAG_Tier1_Backend[[#This Row],[Level 1]:[Level 6]]),rng_EFConcat,rng_EF2)*FLAG_Tier1_Backend[[#This Row],[Converted data]]/1000</f>
        <v>#VALUE!</v>
      </c>
      <c r="AH29" s="210" t="e" vm="2">
        <f ca="1">_xlfn.XLOOKUP(_xlfn.CONCAT(FLAG_Tier1_Backend[[#This Row],[Level 1]:[Level 6]]),rng_EFConcat,rng_EF3)*FLAG_Tier1_Backend[[#This Row],[Converted data]]/1000</f>
        <v>#VALUE!</v>
      </c>
      <c r="AI29" s="210" t="e" vm="2">
        <f ca="1">_xlfn.XLOOKUP(_xlfn.CONCAT(FLAG_Tier1_Backend[[#This Row],[Level 1]:[Level 6]]),rng_EFConcat,rng_EF3WTT)*FLAG_Tier1_Backend[[#This Row],[Converted data]]/1000</f>
        <v>#VALUE!</v>
      </c>
      <c r="AJ29" s="210" t="e" vm="2">
        <f ca="1">_xlfn.XLOOKUP(_xlfn.CONCAT(FLAG_Tier1_Backend[[#This Row],[Level 1]:[Level 6]]),rng_EFConcat,rng_EF3TD)*FLAG_Tier1_Backend[[#This Row],[Converted data]]/1000</f>
        <v>#VALUE!</v>
      </c>
      <c r="AK29" s="210" t="e" vm="2">
        <f ca="1">_xlfn.XLOOKUP(_xlfn.CONCAT(FLAG_Tier1_Backend[[#This Row],[Level 1]:[Level 6]]),rng_EFConcat,rng_EF3WTTTD)*FLAG_Tier1_Backend[[#This Row],[Converted data]]/1000</f>
        <v>#VALUE!</v>
      </c>
      <c r="AL29" s="220" t="e" vm="2">
        <f ca="1">SUM(FLAG_Tier1_Backend[[#This Row],[Scope 1 (tCO2e)]:[Scope 3 WTT T&amp;D (tCO2e)]])</f>
        <v>#VALUE!</v>
      </c>
      <c r="AM29" s="220" t="e" vm="2">
        <f ca="1">FLAG_Tier1_Backend[[#This Row],[Total (tCO2e)]]*(1-FLAG_Tier1_Backend[[#This Row],[RSD]])</f>
        <v>#VALUE!</v>
      </c>
      <c r="AN29" s="220" t="e" vm="2">
        <f ca="1">FLAG_Tier1_Backend[[#This Row],[Total (tCO2e)]]*(1+FLAG_Tier1_Backend[[#This Row],[RSD]])</f>
        <v>#VALUE!</v>
      </c>
      <c r="AO29" s="210" t="e" vm="2">
        <f ca="1">_xlfn.XLOOKUP(_xlfn.CONCAT(FLAG_Tier1_Backend[[#This Row],[Level 1]:[Level 6]]),rng_EFConcat,rng_EFOOS)*FLAG_Tier1_Backend[[#This Row],[Converted data]]/1000</f>
        <v>#VALUE!</v>
      </c>
      <c r="AP29" s="174">
        <f>FLAG_Tier1_Frontend[[#This Row],[Ease of collection]]</f>
        <v>0</v>
      </c>
      <c r="AQ29" s="213">
        <f>FLAG_Tier1_Frontend[[#This Row],[Completeness]]</f>
        <v>0</v>
      </c>
      <c r="AR29" s="213">
        <f>FLAG_Tier1_Frontend[[#This Row],[Notes]]</f>
        <v>0</v>
      </c>
    </row>
    <row r="30" spans="2:44" x14ac:dyDescent="0.3">
      <c r="B30" s="169"/>
      <c r="E30" s="346"/>
      <c r="F30" s="336"/>
      <c r="G30" s="336"/>
      <c r="H30" s="334"/>
      <c r="I30" s="240" t="s">
        <v>410</v>
      </c>
      <c r="J30" s="336"/>
      <c r="K30" s="336"/>
      <c r="L30" s="337"/>
      <c r="M30" s="242">
        <f t="shared" si="1"/>
        <v>4</v>
      </c>
      <c r="Q30" s="212" t="str">
        <f t="shared" si="0"/>
        <v/>
      </c>
      <c r="R30" s="174" t="s">
        <v>200</v>
      </c>
      <c r="S30" s="174" t="s">
        <v>411</v>
      </c>
      <c r="T30" s="174">
        <f>FLAG_Tier1_Frontend[[#This Row],[Current land use type]]</f>
        <v>0</v>
      </c>
      <c r="U30" s="174">
        <f>FLAG_Tier1_Frontend[[#This Row],[Soil type]]</f>
        <v>0</v>
      </c>
      <c r="V30" s="174">
        <f>FLAG_Tier1_Frontend[[#This Row],[Previous land use type]]</f>
        <v>0</v>
      </c>
      <c r="W30" s="174" t="e" cm="1" vm="1">
        <f t="array" aca="1" ref="W30" ca="1">_xlfn._xlws.FILTER(rng_Level6Long,(rng_Level3Long=FLAG_Tier1_Backend[[#This Row],[Level 3]])*(rng_Level4Long=FLAG_Tier1_Backend[[#This Row],[Level 4]])*(rng_Level5Long=FLAG_Tier1_Backend[[#This Row],[Level 5]]))</f>
        <v>#VALUE!</v>
      </c>
      <c r="X30" s="174" t="s">
        <v>339</v>
      </c>
      <c r="Y30" s="174" t="s">
        <v>339</v>
      </c>
      <c r="Z30" s="174" t="s">
        <v>198</v>
      </c>
      <c r="AA30" s="229" t="e" cm="1" vm="2">
        <f t="array" aca="1" ref="AA30" ca="1">INDEX(_xlfn.SWITCH(FLAG_Tier1_Backend[[#This Row],[Methodology]],"Tier 1",rng_RSD1,"Tier 2",rng_RSD2,"Tier 3",rng_RSD3),MATCH(_xlfn.CONCAT(FLAG_Tier1_Backend[[#This Row],[Level 1]:[Level 6]]),rng_LevelsConcat,0))</f>
        <v>#VALUE!</v>
      </c>
      <c r="AB30" s="220">
        <f>FLAG_Tier1_Frontend[[#This Row],[Data]]</f>
        <v>0</v>
      </c>
      <c r="AC30" s="220" t="str">
        <f>FLAG_Tier1_Frontend[[#This Row],[Units]]</f>
        <v>Ha</v>
      </c>
      <c r="AD30" s="220" t="e" vm="2">
        <f ca="1">IF(FLAG_Tier1_Backend[[#This Row],[Units]]=FLAG_Tier1_Backend[[#This Row],[Standard units]],FLAG_Tier1_Backend[[#This Row],[Data]],FLAG_Tier1_Backend[[#This Row],[Data]]*_xlfn.XLOOKUP(_xlfn.CONCAT(FLAG_Tier1_Backend[[#This Row],[Level 1]:[Level 6]]),rng_EFConcat,rng_EFConversion))</f>
        <v>#VALUE!</v>
      </c>
      <c r="AE30" s="220" t="e" cm="1" vm="2">
        <f t="array" aca="1" ref="AE30" ca="1">_xlfn.XLOOKUP(_xlfn.CONCAT(FLAG_Tier1_Backend[[#This Row],[Level 1]:[Level 6]]),rng_LevelsConcat,rng_UnitsLong)</f>
        <v>#VALUE!</v>
      </c>
      <c r="AF30" s="210" t="e" vm="2">
        <f ca="1">_xlfn.XLOOKUP(_xlfn.CONCAT(FLAG_Tier1_Backend[[#This Row],[Level 1]:[Level 6]]),rng_EFConcat,rng_EF1)*FLAG_Tier1_Backend[[#This Row],[Converted data]]/1000</f>
        <v>#VALUE!</v>
      </c>
      <c r="AG30" s="210" t="e" vm="2">
        <f ca="1">_xlfn.XLOOKUP(_xlfn.CONCAT(FLAG_Tier1_Backend[[#This Row],[Level 1]:[Level 6]]),rng_EFConcat,rng_EF2)*FLAG_Tier1_Backend[[#This Row],[Converted data]]/1000</f>
        <v>#VALUE!</v>
      </c>
      <c r="AH30" s="210" t="e" vm="2">
        <f ca="1">_xlfn.XLOOKUP(_xlfn.CONCAT(FLAG_Tier1_Backend[[#This Row],[Level 1]:[Level 6]]),rng_EFConcat,rng_EF3)*FLAG_Tier1_Backend[[#This Row],[Converted data]]/1000</f>
        <v>#VALUE!</v>
      </c>
      <c r="AI30" s="210" t="e" vm="2">
        <f ca="1">_xlfn.XLOOKUP(_xlfn.CONCAT(FLAG_Tier1_Backend[[#This Row],[Level 1]:[Level 6]]),rng_EFConcat,rng_EF3WTT)*FLAG_Tier1_Backend[[#This Row],[Converted data]]/1000</f>
        <v>#VALUE!</v>
      </c>
      <c r="AJ30" s="210" t="e" vm="2">
        <f ca="1">_xlfn.XLOOKUP(_xlfn.CONCAT(FLAG_Tier1_Backend[[#This Row],[Level 1]:[Level 6]]),rng_EFConcat,rng_EF3TD)*FLAG_Tier1_Backend[[#This Row],[Converted data]]/1000</f>
        <v>#VALUE!</v>
      </c>
      <c r="AK30" s="210" t="e" vm="2">
        <f ca="1">_xlfn.XLOOKUP(_xlfn.CONCAT(FLAG_Tier1_Backend[[#This Row],[Level 1]:[Level 6]]),rng_EFConcat,rng_EF3WTTTD)*FLAG_Tier1_Backend[[#This Row],[Converted data]]/1000</f>
        <v>#VALUE!</v>
      </c>
      <c r="AL30" s="220" t="e" vm="2">
        <f ca="1">SUM(FLAG_Tier1_Backend[[#This Row],[Scope 1 (tCO2e)]:[Scope 3 WTT T&amp;D (tCO2e)]])</f>
        <v>#VALUE!</v>
      </c>
      <c r="AM30" s="220" t="e" vm="2">
        <f ca="1">FLAG_Tier1_Backend[[#This Row],[Total (tCO2e)]]*(1-FLAG_Tier1_Backend[[#This Row],[RSD]])</f>
        <v>#VALUE!</v>
      </c>
      <c r="AN30" s="220" t="e" vm="2">
        <f ca="1">FLAG_Tier1_Backend[[#This Row],[Total (tCO2e)]]*(1+FLAG_Tier1_Backend[[#This Row],[RSD]])</f>
        <v>#VALUE!</v>
      </c>
      <c r="AO30" s="210" t="e" vm="2">
        <f ca="1">_xlfn.XLOOKUP(_xlfn.CONCAT(FLAG_Tier1_Backend[[#This Row],[Level 1]:[Level 6]]),rng_EFConcat,rng_EFOOS)*FLAG_Tier1_Backend[[#This Row],[Converted data]]/1000</f>
        <v>#VALUE!</v>
      </c>
      <c r="AP30" s="174">
        <f>FLAG_Tier1_Frontend[[#This Row],[Ease of collection]]</f>
        <v>0</v>
      </c>
      <c r="AQ30" s="213">
        <f>FLAG_Tier1_Frontend[[#This Row],[Completeness]]</f>
        <v>0</v>
      </c>
      <c r="AR30" s="213">
        <f>FLAG_Tier1_Frontend[[#This Row],[Notes]]</f>
        <v>0</v>
      </c>
    </row>
    <row r="31" spans="2:44" x14ac:dyDescent="0.3">
      <c r="B31" s="169"/>
      <c r="E31" s="346"/>
      <c r="F31" s="336"/>
      <c r="G31" s="336"/>
      <c r="H31" s="334"/>
      <c r="I31" s="240" t="s">
        <v>410</v>
      </c>
      <c r="J31" s="336"/>
      <c r="K31" s="336"/>
      <c r="L31" s="337"/>
      <c r="M31" s="242">
        <f t="shared" si="1"/>
        <v>4</v>
      </c>
      <c r="Q31" s="212" t="str">
        <f t="shared" si="0"/>
        <v/>
      </c>
      <c r="R31" s="174" t="s">
        <v>200</v>
      </c>
      <c r="S31" s="174" t="s">
        <v>411</v>
      </c>
      <c r="T31" s="174">
        <f>FLAG_Tier1_Frontend[[#This Row],[Current land use type]]</f>
        <v>0</v>
      </c>
      <c r="U31" s="174">
        <f>FLAG_Tier1_Frontend[[#This Row],[Soil type]]</f>
        <v>0</v>
      </c>
      <c r="V31" s="174">
        <f>FLAG_Tier1_Frontend[[#This Row],[Previous land use type]]</f>
        <v>0</v>
      </c>
      <c r="W31" s="174" t="e" cm="1" vm="1">
        <f t="array" aca="1" ref="W31" ca="1">_xlfn._xlws.FILTER(rng_Level6Long,(rng_Level3Long=FLAG_Tier1_Backend[[#This Row],[Level 3]])*(rng_Level4Long=FLAG_Tier1_Backend[[#This Row],[Level 4]])*(rng_Level5Long=FLAG_Tier1_Backend[[#This Row],[Level 5]]))</f>
        <v>#VALUE!</v>
      </c>
      <c r="X31" s="174" t="s">
        <v>339</v>
      </c>
      <c r="Y31" s="174" t="s">
        <v>339</v>
      </c>
      <c r="Z31" s="174" t="s">
        <v>198</v>
      </c>
      <c r="AA31" s="229" t="e" cm="1" vm="2">
        <f t="array" aca="1" ref="AA31" ca="1">INDEX(_xlfn.SWITCH(FLAG_Tier1_Backend[[#This Row],[Methodology]],"Tier 1",rng_RSD1,"Tier 2",rng_RSD2,"Tier 3",rng_RSD3),MATCH(_xlfn.CONCAT(FLAG_Tier1_Backend[[#This Row],[Level 1]:[Level 6]]),rng_LevelsConcat,0))</f>
        <v>#VALUE!</v>
      </c>
      <c r="AB31" s="220">
        <f>FLAG_Tier1_Frontend[[#This Row],[Data]]</f>
        <v>0</v>
      </c>
      <c r="AC31" s="220" t="str">
        <f>FLAG_Tier1_Frontend[[#This Row],[Units]]</f>
        <v>Ha</v>
      </c>
      <c r="AD31" s="220" t="e" vm="2">
        <f ca="1">IF(FLAG_Tier1_Backend[[#This Row],[Units]]=FLAG_Tier1_Backend[[#This Row],[Standard units]],FLAG_Tier1_Backend[[#This Row],[Data]],FLAG_Tier1_Backend[[#This Row],[Data]]*_xlfn.XLOOKUP(_xlfn.CONCAT(FLAG_Tier1_Backend[[#This Row],[Level 1]:[Level 6]]),rng_EFConcat,rng_EFConversion))</f>
        <v>#VALUE!</v>
      </c>
      <c r="AE31" s="220" t="e" cm="1" vm="2">
        <f t="array" aca="1" ref="AE31" ca="1">_xlfn.XLOOKUP(_xlfn.CONCAT(FLAG_Tier1_Backend[[#This Row],[Level 1]:[Level 6]]),rng_LevelsConcat,rng_UnitsLong)</f>
        <v>#VALUE!</v>
      </c>
      <c r="AF31" s="210" t="e" vm="2">
        <f ca="1">_xlfn.XLOOKUP(_xlfn.CONCAT(FLAG_Tier1_Backend[[#This Row],[Level 1]:[Level 6]]),rng_EFConcat,rng_EF1)*FLAG_Tier1_Backend[[#This Row],[Converted data]]/1000</f>
        <v>#VALUE!</v>
      </c>
      <c r="AG31" s="210" t="e" vm="2">
        <f ca="1">_xlfn.XLOOKUP(_xlfn.CONCAT(FLAG_Tier1_Backend[[#This Row],[Level 1]:[Level 6]]),rng_EFConcat,rng_EF2)*FLAG_Tier1_Backend[[#This Row],[Converted data]]/1000</f>
        <v>#VALUE!</v>
      </c>
      <c r="AH31" s="210" t="e" vm="2">
        <f ca="1">_xlfn.XLOOKUP(_xlfn.CONCAT(FLAG_Tier1_Backend[[#This Row],[Level 1]:[Level 6]]),rng_EFConcat,rng_EF3)*FLAG_Tier1_Backend[[#This Row],[Converted data]]/1000</f>
        <v>#VALUE!</v>
      </c>
      <c r="AI31" s="210" t="e" vm="2">
        <f ca="1">_xlfn.XLOOKUP(_xlfn.CONCAT(FLAG_Tier1_Backend[[#This Row],[Level 1]:[Level 6]]),rng_EFConcat,rng_EF3WTT)*FLAG_Tier1_Backend[[#This Row],[Converted data]]/1000</f>
        <v>#VALUE!</v>
      </c>
      <c r="AJ31" s="210" t="e" vm="2">
        <f ca="1">_xlfn.XLOOKUP(_xlfn.CONCAT(FLAG_Tier1_Backend[[#This Row],[Level 1]:[Level 6]]),rng_EFConcat,rng_EF3TD)*FLAG_Tier1_Backend[[#This Row],[Converted data]]/1000</f>
        <v>#VALUE!</v>
      </c>
      <c r="AK31" s="210" t="e" vm="2">
        <f ca="1">_xlfn.XLOOKUP(_xlfn.CONCAT(FLAG_Tier1_Backend[[#This Row],[Level 1]:[Level 6]]),rng_EFConcat,rng_EF3WTTTD)*FLAG_Tier1_Backend[[#This Row],[Converted data]]/1000</f>
        <v>#VALUE!</v>
      </c>
      <c r="AL31" s="220" t="e" vm="2">
        <f ca="1">SUM(FLAG_Tier1_Backend[[#This Row],[Scope 1 (tCO2e)]:[Scope 3 WTT T&amp;D (tCO2e)]])</f>
        <v>#VALUE!</v>
      </c>
      <c r="AM31" s="220" t="e" vm="2">
        <f ca="1">FLAG_Tier1_Backend[[#This Row],[Total (tCO2e)]]*(1-FLAG_Tier1_Backend[[#This Row],[RSD]])</f>
        <v>#VALUE!</v>
      </c>
      <c r="AN31" s="220" t="e" vm="2">
        <f ca="1">FLAG_Tier1_Backend[[#This Row],[Total (tCO2e)]]*(1+FLAG_Tier1_Backend[[#This Row],[RSD]])</f>
        <v>#VALUE!</v>
      </c>
      <c r="AO31" s="210" t="e" vm="2">
        <f ca="1">_xlfn.XLOOKUP(_xlfn.CONCAT(FLAG_Tier1_Backend[[#This Row],[Level 1]:[Level 6]]),rng_EFConcat,rng_EFOOS)*FLAG_Tier1_Backend[[#This Row],[Converted data]]/1000</f>
        <v>#VALUE!</v>
      </c>
      <c r="AP31" s="174">
        <f>FLAG_Tier1_Frontend[[#This Row],[Ease of collection]]</f>
        <v>0</v>
      </c>
      <c r="AQ31" s="213">
        <f>FLAG_Tier1_Frontend[[#This Row],[Completeness]]</f>
        <v>0</v>
      </c>
      <c r="AR31" s="213">
        <f>FLAG_Tier1_Frontend[[#This Row],[Notes]]</f>
        <v>0</v>
      </c>
    </row>
    <row r="32" spans="2:44" x14ac:dyDescent="0.3">
      <c r="B32" s="169"/>
      <c r="E32" s="346"/>
      <c r="F32" s="336"/>
      <c r="G32" s="336"/>
      <c r="H32" s="334"/>
      <c r="I32" s="240" t="s">
        <v>410</v>
      </c>
      <c r="J32" s="336"/>
      <c r="K32" s="336"/>
      <c r="L32" s="337"/>
      <c r="M32" s="242">
        <f t="shared" si="1"/>
        <v>4</v>
      </c>
      <c r="Q32" s="212" t="str">
        <f t="shared" si="0"/>
        <v/>
      </c>
      <c r="R32" s="174" t="s">
        <v>200</v>
      </c>
      <c r="S32" s="174" t="s">
        <v>411</v>
      </c>
      <c r="T32" s="174">
        <f>FLAG_Tier1_Frontend[[#This Row],[Current land use type]]</f>
        <v>0</v>
      </c>
      <c r="U32" s="174">
        <f>FLAG_Tier1_Frontend[[#This Row],[Soil type]]</f>
        <v>0</v>
      </c>
      <c r="V32" s="174">
        <f>FLAG_Tier1_Frontend[[#This Row],[Previous land use type]]</f>
        <v>0</v>
      </c>
      <c r="W32" s="174" t="e" cm="1" vm="1">
        <f t="array" aca="1" ref="W32" ca="1">_xlfn._xlws.FILTER(rng_Level6Long,(rng_Level3Long=FLAG_Tier1_Backend[[#This Row],[Level 3]])*(rng_Level4Long=FLAG_Tier1_Backend[[#This Row],[Level 4]])*(rng_Level5Long=FLAG_Tier1_Backend[[#This Row],[Level 5]]))</f>
        <v>#VALUE!</v>
      </c>
      <c r="X32" s="174" t="s">
        <v>339</v>
      </c>
      <c r="Y32" s="174" t="s">
        <v>339</v>
      </c>
      <c r="Z32" s="174" t="s">
        <v>198</v>
      </c>
      <c r="AA32" s="229" t="e" cm="1" vm="2">
        <f t="array" aca="1" ref="AA32" ca="1">INDEX(_xlfn.SWITCH(FLAG_Tier1_Backend[[#This Row],[Methodology]],"Tier 1",rng_RSD1,"Tier 2",rng_RSD2,"Tier 3",rng_RSD3),MATCH(_xlfn.CONCAT(FLAG_Tier1_Backend[[#This Row],[Level 1]:[Level 6]]),rng_LevelsConcat,0))</f>
        <v>#VALUE!</v>
      </c>
      <c r="AB32" s="220">
        <f>FLAG_Tier1_Frontend[[#This Row],[Data]]</f>
        <v>0</v>
      </c>
      <c r="AC32" s="220" t="str">
        <f>FLAG_Tier1_Frontend[[#This Row],[Units]]</f>
        <v>Ha</v>
      </c>
      <c r="AD32" s="220" t="e" vm="2">
        <f ca="1">IF(FLAG_Tier1_Backend[[#This Row],[Units]]=FLAG_Tier1_Backend[[#This Row],[Standard units]],FLAG_Tier1_Backend[[#This Row],[Data]],FLAG_Tier1_Backend[[#This Row],[Data]]*_xlfn.XLOOKUP(_xlfn.CONCAT(FLAG_Tier1_Backend[[#This Row],[Level 1]:[Level 6]]),rng_EFConcat,rng_EFConversion))</f>
        <v>#VALUE!</v>
      </c>
      <c r="AE32" s="220" t="e" cm="1" vm="2">
        <f t="array" aca="1" ref="AE32" ca="1">_xlfn.XLOOKUP(_xlfn.CONCAT(FLAG_Tier1_Backend[[#This Row],[Level 1]:[Level 6]]),rng_LevelsConcat,rng_UnitsLong)</f>
        <v>#VALUE!</v>
      </c>
      <c r="AF32" s="210" t="e" vm="2">
        <f ca="1">_xlfn.XLOOKUP(_xlfn.CONCAT(FLAG_Tier1_Backend[[#This Row],[Level 1]:[Level 6]]),rng_EFConcat,rng_EF1)*FLAG_Tier1_Backend[[#This Row],[Converted data]]/1000</f>
        <v>#VALUE!</v>
      </c>
      <c r="AG32" s="210" t="e" vm="2">
        <f ca="1">_xlfn.XLOOKUP(_xlfn.CONCAT(FLAG_Tier1_Backend[[#This Row],[Level 1]:[Level 6]]),rng_EFConcat,rng_EF2)*FLAG_Tier1_Backend[[#This Row],[Converted data]]/1000</f>
        <v>#VALUE!</v>
      </c>
      <c r="AH32" s="210" t="e" vm="2">
        <f ca="1">_xlfn.XLOOKUP(_xlfn.CONCAT(FLAG_Tier1_Backend[[#This Row],[Level 1]:[Level 6]]),rng_EFConcat,rng_EF3)*FLAG_Tier1_Backend[[#This Row],[Converted data]]/1000</f>
        <v>#VALUE!</v>
      </c>
      <c r="AI32" s="210" t="e" vm="2">
        <f ca="1">_xlfn.XLOOKUP(_xlfn.CONCAT(FLAG_Tier1_Backend[[#This Row],[Level 1]:[Level 6]]),rng_EFConcat,rng_EF3WTT)*FLAG_Tier1_Backend[[#This Row],[Converted data]]/1000</f>
        <v>#VALUE!</v>
      </c>
      <c r="AJ32" s="210" t="e" vm="2">
        <f ca="1">_xlfn.XLOOKUP(_xlfn.CONCAT(FLAG_Tier1_Backend[[#This Row],[Level 1]:[Level 6]]),rng_EFConcat,rng_EF3TD)*FLAG_Tier1_Backend[[#This Row],[Converted data]]/1000</f>
        <v>#VALUE!</v>
      </c>
      <c r="AK32" s="210" t="e" vm="2">
        <f ca="1">_xlfn.XLOOKUP(_xlfn.CONCAT(FLAG_Tier1_Backend[[#This Row],[Level 1]:[Level 6]]),rng_EFConcat,rng_EF3WTTTD)*FLAG_Tier1_Backend[[#This Row],[Converted data]]/1000</f>
        <v>#VALUE!</v>
      </c>
      <c r="AL32" s="220" t="e" vm="2">
        <f ca="1">SUM(FLAG_Tier1_Backend[[#This Row],[Scope 1 (tCO2e)]:[Scope 3 WTT T&amp;D (tCO2e)]])</f>
        <v>#VALUE!</v>
      </c>
      <c r="AM32" s="220" t="e" vm="2">
        <f ca="1">FLAG_Tier1_Backend[[#This Row],[Total (tCO2e)]]*(1-FLAG_Tier1_Backend[[#This Row],[RSD]])</f>
        <v>#VALUE!</v>
      </c>
      <c r="AN32" s="220" t="e" vm="2">
        <f ca="1">FLAG_Tier1_Backend[[#This Row],[Total (tCO2e)]]*(1+FLAG_Tier1_Backend[[#This Row],[RSD]])</f>
        <v>#VALUE!</v>
      </c>
      <c r="AO32" s="210" t="e" vm="2">
        <f ca="1">_xlfn.XLOOKUP(_xlfn.CONCAT(FLAG_Tier1_Backend[[#This Row],[Level 1]:[Level 6]]),rng_EFConcat,rng_EFOOS)*FLAG_Tier1_Backend[[#This Row],[Converted data]]/1000</f>
        <v>#VALUE!</v>
      </c>
      <c r="AP32" s="174">
        <f>FLAG_Tier1_Frontend[[#This Row],[Ease of collection]]</f>
        <v>0</v>
      </c>
      <c r="AQ32" s="213">
        <f>FLAG_Tier1_Frontend[[#This Row],[Completeness]]</f>
        <v>0</v>
      </c>
      <c r="AR32" s="213">
        <f>FLAG_Tier1_Frontend[[#This Row],[Notes]]</f>
        <v>0</v>
      </c>
    </row>
    <row r="33" spans="2:44" x14ac:dyDescent="0.3">
      <c r="B33" s="169"/>
      <c r="E33" s="346"/>
      <c r="F33" s="336"/>
      <c r="G33" s="336"/>
      <c r="H33" s="334"/>
      <c r="I33" s="240" t="s">
        <v>410</v>
      </c>
      <c r="J33" s="336"/>
      <c r="K33" s="336"/>
      <c r="L33" s="337"/>
      <c r="M33" s="242">
        <f t="shared" si="1"/>
        <v>4</v>
      </c>
      <c r="Q33" s="212" t="str">
        <f t="shared" si="0"/>
        <v/>
      </c>
      <c r="R33" s="174" t="s">
        <v>200</v>
      </c>
      <c r="S33" s="174" t="s">
        <v>411</v>
      </c>
      <c r="T33" s="174">
        <f>FLAG_Tier1_Frontend[[#This Row],[Current land use type]]</f>
        <v>0</v>
      </c>
      <c r="U33" s="174">
        <f>FLAG_Tier1_Frontend[[#This Row],[Soil type]]</f>
        <v>0</v>
      </c>
      <c r="V33" s="174">
        <f>FLAG_Tier1_Frontend[[#This Row],[Previous land use type]]</f>
        <v>0</v>
      </c>
      <c r="W33" s="174" t="e" cm="1" vm="1">
        <f t="array" aca="1" ref="W33" ca="1">_xlfn._xlws.FILTER(rng_Level6Long,(rng_Level3Long=FLAG_Tier1_Backend[[#This Row],[Level 3]])*(rng_Level4Long=FLAG_Tier1_Backend[[#This Row],[Level 4]])*(rng_Level5Long=FLAG_Tier1_Backend[[#This Row],[Level 5]]))</f>
        <v>#VALUE!</v>
      </c>
      <c r="X33" s="174" t="s">
        <v>339</v>
      </c>
      <c r="Y33" s="174" t="s">
        <v>339</v>
      </c>
      <c r="Z33" s="174" t="s">
        <v>198</v>
      </c>
      <c r="AA33" s="229" t="e" cm="1" vm="2">
        <f t="array" aca="1" ref="AA33" ca="1">INDEX(_xlfn.SWITCH(FLAG_Tier1_Backend[[#This Row],[Methodology]],"Tier 1",rng_RSD1,"Tier 2",rng_RSD2,"Tier 3",rng_RSD3),MATCH(_xlfn.CONCAT(FLAG_Tier1_Backend[[#This Row],[Level 1]:[Level 6]]),rng_LevelsConcat,0))</f>
        <v>#VALUE!</v>
      </c>
      <c r="AB33" s="220">
        <f>FLAG_Tier1_Frontend[[#This Row],[Data]]</f>
        <v>0</v>
      </c>
      <c r="AC33" s="220" t="str">
        <f>FLAG_Tier1_Frontend[[#This Row],[Units]]</f>
        <v>Ha</v>
      </c>
      <c r="AD33" s="220" t="e" vm="2">
        <f ca="1">IF(FLAG_Tier1_Backend[[#This Row],[Units]]=FLAG_Tier1_Backend[[#This Row],[Standard units]],FLAG_Tier1_Backend[[#This Row],[Data]],FLAG_Tier1_Backend[[#This Row],[Data]]*_xlfn.XLOOKUP(_xlfn.CONCAT(FLAG_Tier1_Backend[[#This Row],[Level 1]:[Level 6]]),rng_EFConcat,rng_EFConversion))</f>
        <v>#VALUE!</v>
      </c>
      <c r="AE33" s="220" t="e" cm="1" vm="2">
        <f t="array" aca="1" ref="AE33" ca="1">_xlfn.XLOOKUP(_xlfn.CONCAT(FLAG_Tier1_Backend[[#This Row],[Level 1]:[Level 6]]),rng_LevelsConcat,rng_UnitsLong)</f>
        <v>#VALUE!</v>
      </c>
      <c r="AF33" s="210" t="e" vm="2">
        <f ca="1">_xlfn.XLOOKUP(_xlfn.CONCAT(FLAG_Tier1_Backend[[#This Row],[Level 1]:[Level 6]]),rng_EFConcat,rng_EF1)*FLAG_Tier1_Backend[[#This Row],[Converted data]]/1000</f>
        <v>#VALUE!</v>
      </c>
      <c r="AG33" s="210" t="e" vm="2">
        <f ca="1">_xlfn.XLOOKUP(_xlfn.CONCAT(FLAG_Tier1_Backend[[#This Row],[Level 1]:[Level 6]]),rng_EFConcat,rng_EF2)*FLAG_Tier1_Backend[[#This Row],[Converted data]]/1000</f>
        <v>#VALUE!</v>
      </c>
      <c r="AH33" s="210" t="e" vm="2">
        <f ca="1">_xlfn.XLOOKUP(_xlfn.CONCAT(FLAG_Tier1_Backend[[#This Row],[Level 1]:[Level 6]]),rng_EFConcat,rng_EF3)*FLAG_Tier1_Backend[[#This Row],[Converted data]]/1000</f>
        <v>#VALUE!</v>
      </c>
      <c r="AI33" s="210" t="e" vm="2">
        <f ca="1">_xlfn.XLOOKUP(_xlfn.CONCAT(FLAG_Tier1_Backend[[#This Row],[Level 1]:[Level 6]]),rng_EFConcat,rng_EF3WTT)*FLAG_Tier1_Backend[[#This Row],[Converted data]]/1000</f>
        <v>#VALUE!</v>
      </c>
      <c r="AJ33" s="210" t="e" vm="2">
        <f ca="1">_xlfn.XLOOKUP(_xlfn.CONCAT(FLAG_Tier1_Backend[[#This Row],[Level 1]:[Level 6]]),rng_EFConcat,rng_EF3TD)*FLAG_Tier1_Backend[[#This Row],[Converted data]]/1000</f>
        <v>#VALUE!</v>
      </c>
      <c r="AK33" s="210" t="e" vm="2">
        <f ca="1">_xlfn.XLOOKUP(_xlfn.CONCAT(FLAG_Tier1_Backend[[#This Row],[Level 1]:[Level 6]]),rng_EFConcat,rng_EF3WTTTD)*FLAG_Tier1_Backend[[#This Row],[Converted data]]/1000</f>
        <v>#VALUE!</v>
      </c>
      <c r="AL33" s="220" t="e" vm="2">
        <f ca="1">SUM(FLAG_Tier1_Backend[[#This Row],[Scope 1 (tCO2e)]:[Scope 3 WTT T&amp;D (tCO2e)]])</f>
        <v>#VALUE!</v>
      </c>
      <c r="AM33" s="220" t="e" vm="2">
        <f ca="1">FLAG_Tier1_Backend[[#This Row],[Total (tCO2e)]]*(1-FLAG_Tier1_Backend[[#This Row],[RSD]])</f>
        <v>#VALUE!</v>
      </c>
      <c r="AN33" s="220" t="e" vm="2">
        <f ca="1">FLAG_Tier1_Backend[[#This Row],[Total (tCO2e)]]*(1+FLAG_Tier1_Backend[[#This Row],[RSD]])</f>
        <v>#VALUE!</v>
      </c>
      <c r="AO33" s="210" t="e" vm="2">
        <f ca="1">_xlfn.XLOOKUP(_xlfn.CONCAT(FLAG_Tier1_Backend[[#This Row],[Level 1]:[Level 6]]),rng_EFConcat,rng_EFOOS)*FLAG_Tier1_Backend[[#This Row],[Converted data]]/1000</f>
        <v>#VALUE!</v>
      </c>
      <c r="AP33" s="174">
        <f>FLAG_Tier1_Frontend[[#This Row],[Ease of collection]]</f>
        <v>0</v>
      </c>
      <c r="AQ33" s="213">
        <f>FLAG_Tier1_Frontend[[#This Row],[Completeness]]</f>
        <v>0</v>
      </c>
      <c r="AR33" s="213">
        <f>FLAG_Tier1_Frontend[[#This Row],[Notes]]</f>
        <v>0</v>
      </c>
    </row>
    <row r="34" spans="2:44" x14ac:dyDescent="0.3">
      <c r="E34" s="346"/>
      <c r="F34" s="336"/>
      <c r="G34" s="336"/>
      <c r="H34" s="334"/>
      <c r="I34" s="240" t="s">
        <v>410</v>
      </c>
      <c r="J34" s="336"/>
      <c r="K34" s="336"/>
      <c r="L34" s="337"/>
      <c r="M34" s="242">
        <f t="shared" si="1"/>
        <v>4</v>
      </c>
      <c r="Q34" s="212" t="str">
        <f t="shared" si="0"/>
        <v/>
      </c>
      <c r="R34" s="174" t="s">
        <v>200</v>
      </c>
      <c r="S34" s="174" t="s">
        <v>411</v>
      </c>
      <c r="T34" s="174">
        <f>FLAG_Tier1_Frontend[[#This Row],[Current land use type]]</f>
        <v>0</v>
      </c>
      <c r="U34" s="174">
        <f>FLAG_Tier1_Frontend[[#This Row],[Soil type]]</f>
        <v>0</v>
      </c>
      <c r="V34" s="174">
        <f>FLAG_Tier1_Frontend[[#This Row],[Previous land use type]]</f>
        <v>0</v>
      </c>
      <c r="W34" s="174" t="e" cm="1" vm="1">
        <f t="array" aca="1" ref="W34" ca="1">_xlfn._xlws.FILTER(rng_Level6Long,(rng_Level3Long=FLAG_Tier1_Backend[[#This Row],[Level 3]])*(rng_Level4Long=FLAG_Tier1_Backend[[#This Row],[Level 4]])*(rng_Level5Long=FLAG_Tier1_Backend[[#This Row],[Level 5]]))</f>
        <v>#VALUE!</v>
      </c>
      <c r="X34" s="174" t="s">
        <v>339</v>
      </c>
      <c r="Y34" s="174" t="s">
        <v>339</v>
      </c>
      <c r="Z34" s="174" t="s">
        <v>198</v>
      </c>
      <c r="AA34" s="229" t="e" cm="1" vm="2">
        <f t="array" aca="1" ref="AA34" ca="1">INDEX(_xlfn.SWITCH(FLAG_Tier1_Backend[[#This Row],[Methodology]],"Tier 1",rng_RSD1,"Tier 2",rng_RSD2,"Tier 3",rng_RSD3),MATCH(_xlfn.CONCAT(FLAG_Tier1_Backend[[#This Row],[Level 1]:[Level 6]]),rng_LevelsConcat,0))</f>
        <v>#VALUE!</v>
      </c>
      <c r="AB34" s="220">
        <f>FLAG_Tier1_Frontend[[#This Row],[Data]]</f>
        <v>0</v>
      </c>
      <c r="AC34" s="220" t="str">
        <f>FLAG_Tier1_Frontend[[#This Row],[Units]]</f>
        <v>Ha</v>
      </c>
      <c r="AD34" s="220" t="e" vm="2">
        <f ca="1">IF(FLAG_Tier1_Backend[[#This Row],[Units]]=FLAG_Tier1_Backend[[#This Row],[Standard units]],FLAG_Tier1_Backend[[#This Row],[Data]],FLAG_Tier1_Backend[[#This Row],[Data]]*_xlfn.XLOOKUP(_xlfn.CONCAT(FLAG_Tier1_Backend[[#This Row],[Level 1]:[Level 6]]),rng_EFConcat,rng_EFConversion))</f>
        <v>#VALUE!</v>
      </c>
      <c r="AE34" s="220" t="e" cm="1" vm="2">
        <f t="array" aca="1" ref="AE34" ca="1">_xlfn.XLOOKUP(_xlfn.CONCAT(FLAG_Tier1_Backend[[#This Row],[Level 1]:[Level 6]]),rng_LevelsConcat,rng_UnitsLong)</f>
        <v>#VALUE!</v>
      </c>
      <c r="AF34" s="210" t="e" vm="2">
        <f ca="1">_xlfn.XLOOKUP(_xlfn.CONCAT(FLAG_Tier1_Backend[[#This Row],[Level 1]:[Level 6]]),rng_EFConcat,rng_EF1)*FLAG_Tier1_Backend[[#This Row],[Converted data]]/1000</f>
        <v>#VALUE!</v>
      </c>
      <c r="AG34" s="210" t="e" vm="2">
        <f ca="1">_xlfn.XLOOKUP(_xlfn.CONCAT(FLAG_Tier1_Backend[[#This Row],[Level 1]:[Level 6]]),rng_EFConcat,rng_EF2)*FLAG_Tier1_Backend[[#This Row],[Converted data]]/1000</f>
        <v>#VALUE!</v>
      </c>
      <c r="AH34" s="210" t="e" vm="2">
        <f ca="1">_xlfn.XLOOKUP(_xlfn.CONCAT(FLAG_Tier1_Backend[[#This Row],[Level 1]:[Level 6]]),rng_EFConcat,rng_EF3)*FLAG_Tier1_Backend[[#This Row],[Converted data]]/1000</f>
        <v>#VALUE!</v>
      </c>
      <c r="AI34" s="210" t="e" vm="2">
        <f ca="1">_xlfn.XLOOKUP(_xlfn.CONCAT(FLAG_Tier1_Backend[[#This Row],[Level 1]:[Level 6]]),rng_EFConcat,rng_EF3WTT)*FLAG_Tier1_Backend[[#This Row],[Converted data]]/1000</f>
        <v>#VALUE!</v>
      </c>
      <c r="AJ34" s="210" t="e" vm="2">
        <f ca="1">_xlfn.XLOOKUP(_xlfn.CONCAT(FLAG_Tier1_Backend[[#This Row],[Level 1]:[Level 6]]),rng_EFConcat,rng_EF3TD)*FLAG_Tier1_Backend[[#This Row],[Converted data]]/1000</f>
        <v>#VALUE!</v>
      </c>
      <c r="AK34" s="210" t="e" vm="2">
        <f ca="1">_xlfn.XLOOKUP(_xlfn.CONCAT(FLAG_Tier1_Backend[[#This Row],[Level 1]:[Level 6]]),rng_EFConcat,rng_EF3WTTTD)*FLAG_Tier1_Backend[[#This Row],[Converted data]]/1000</f>
        <v>#VALUE!</v>
      </c>
      <c r="AL34" s="220" t="e" vm="2">
        <f ca="1">SUM(FLAG_Tier1_Backend[[#This Row],[Scope 1 (tCO2e)]:[Scope 3 WTT T&amp;D (tCO2e)]])</f>
        <v>#VALUE!</v>
      </c>
      <c r="AM34" s="220" t="e" vm="2">
        <f ca="1">FLAG_Tier1_Backend[[#This Row],[Total (tCO2e)]]*(1-FLAG_Tier1_Backend[[#This Row],[RSD]])</f>
        <v>#VALUE!</v>
      </c>
      <c r="AN34" s="220" t="e" vm="2">
        <f ca="1">FLAG_Tier1_Backend[[#This Row],[Total (tCO2e)]]*(1+FLAG_Tier1_Backend[[#This Row],[RSD]])</f>
        <v>#VALUE!</v>
      </c>
      <c r="AO34" s="210" t="e" vm="2">
        <f ca="1">_xlfn.XLOOKUP(_xlfn.CONCAT(FLAG_Tier1_Backend[[#This Row],[Level 1]:[Level 6]]),rng_EFConcat,rng_EFOOS)*FLAG_Tier1_Backend[[#This Row],[Converted data]]/1000</f>
        <v>#VALUE!</v>
      </c>
      <c r="AP34" s="174">
        <f>FLAG_Tier1_Frontend[[#This Row],[Ease of collection]]</f>
        <v>0</v>
      </c>
      <c r="AQ34" s="213">
        <f>FLAG_Tier1_Frontend[[#This Row],[Completeness]]</f>
        <v>0</v>
      </c>
      <c r="AR34" s="213">
        <f>FLAG_Tier1_Frontend[[#This Row],[Notes]]</f>
        <v>0</v>
      </c>
    </row>
    <row r="35" spans="2:44" x14ac:dyDescent="0.3">
      <c r="E35" s="346"/>
      <c r="F35" s="336"/>
      <c r="G35" s="336"/>
      <c r="H35" s="334"/>
      <c r="I35" s="240" t="s">
        <v>410</v>
      </c>
      <c r="J35" s="336"/>
      <c r="K35" s="336"/>
      <c r="L35" s="337"/>
      <c r="M35" s="242">
        <f t="shared" si="1"/>
        <v>4</v>
      </c>
      <c r="Q35" s="212" t="str">
        <f t="shared" si="0"/>
        <v/>
      </c>
      <c r="R35" s="174" t="s">
        <v>200</v>
      </c>
      <c r="S35" s="174" t="s">
        <v>411</v>
      </c>
      <c r="T35" s="174">
        <f>FLAG_Tier1_Frontend[[#This Row],[Current land use type]]</f>
        <v>0</v>
      </c>
      <c r="U35" s="174">
        <f>FLAG_Tier1_Frontend[[#This Row],[Soil type]]</f>
        <v>0</v>
      </c>
      <c r="V35" s="174">
        <f>FLAG_Tier1_Frontend[[#This Row],[Previous land use type]]</f>
        <v>0</v>
      </c>
      <c r="W35" s="174" t="e" cm="1" vm="1">
        <f t="array" aca="1" ref="W35" ca="1">_xlfn._xlws.FILTER(rng_Level6Long,(rng_Level3Long=FLAG_Tier1_Backend[[#This Row],[Level 3]])*(rng_Level4Long=FLAG_Tier1_Backend[[#This Row],[Level 4]])*(rng_Level5Long=FLAG_Tier1_Backend[[#This Row],[Level 5]]))</f>
        <v>#VALUE!</v>
      </c>
      <c r="X35" s="174" t="s">
        <v>339</v>
      </c>
      <c r="Y35" s="174" t="s">
        <v>339</v>
      </c>
      <c r="Z35" s="174" t="s">
        <v>198</v>
      </c>
      <c r="AA35" s="229" t="e" cm="1" vm="2">
        <f t="array" aca="1" ref="AA35" ca="1">INDEX(_xlfn.SWITCH(FLAG_Tier1_Backend[[#This Row],[Methodology]],"Tier 1",rng_RSD1,"Tier 2",rng_RSD2,"Tier 3",rng_RSD3),MATCH(_xlfn.CONCAT(FLAG_Tier1_Backend[[#This Row],[Level 1]:[Level 6]]),rng_LevelsConcat,0))</f>
        <v>#VALUE!</v>
      </c>
      <c r="AB35" s="220">
        <f>FLAG_Tier1_Frontend[[#This Row],[Data]]</f>
        <v>0</v>
      </c>
      <c r="AC35" s="220" t="str">
        <f>FLAG_Tier1_Frontend[[#This Row],[Units]]</f>
        <v>Ha</v>
      </c>
      <c r="AD35" s="220" t="e" vm="2">
        <f ca="1">IF(FLAG_Tier1_Backend[[#This Row],[Units]]=FLAG_Tier1_Backend[[#This Row],[Standard units]],FLAG_Tier1_Backend[[#This Row],[Data]],FLAG_Tier1_Backend[[#This Row],[Data]]*_xlfn.XLOOKUP(_xlfn.CONCAT(FLAG_Tier1_Backend[[#This Row],[Level 1]:[Level 6]]),rng_EFConcat,rng_EFConversion))</f>
        <v>#VALUE!</v>
      </c>
      <c r="AE35" s="220" t="e" cm="1" vm="2">
        <f t="array" aca="1" ref="AE35" ca="1">_xlfn.XLOOKUP(_xlfn.CONCAT(FLAG_Tier1_Backend[[#This Row],[Level 1]:[Level 6]]),rng_LevelsConcat,rng_UnitsLong)</f>
        <v>#VALUE!</v>
      </c>
      <c r="AF35" s="210" t="e" vm="2">
        <f ca="1">_xlfn.XLOOKUP(_xlfn.CONCAT(FLAG_Tier1_Backend[[#This Row],[Level 1]:[Level 6]]),rng_EFConcat,rng_EF1)*FLAG_Tier1_Backend[[#This Row],[Converted data]]/1000</f>
        <v>#VALUE!</v>
      </c>
      <c r="AG35" s="210" t="e" vm="2">
        <f ca="1">_xlfn.XLOOKUP(_xlfn.CONCAT(FLAG_Tier1_Backend[[#This Row],[Level 1]:[Level 6]]),rng_EFConcat,rng_EF2)*FLAG_Tier1_Backend[[#This Row],[Converted data]]/1000</f>
        <v>#VALUE!</v>
      </c>
      <c r="AH35" s="210" t="e" vm="2">
        <f ca="1">_xlfn.XLOOKUP(_xlfn.CONCAT(FLAG_Tier1_Backend[[#This Row],[Level 1]:[Level 6]]),rng_EFConcat,rng_EF3)*FLAG_Tier1_Backend[[#This Row],[Converted data]]/1000</f>
        <v>#VALUE!</v>
      </c>
      <c r="AI35" s="210" t="e" vm="2">
        <f ca="1">_xlfn.XLOOKUP(_xlfn.CONCAT(FLAG_Tier1_Backend[[#This Row],[Level 1]:[Level 6]]),rng_EFConcat,rng_EF3WTT)*FLAG_Tier1_Backend[[#This Row],[Converted data]]/1000</f>
        <v>#VALUE!</v>
      </c>
      <c r="AJ35" s="210" t="e" vm="2">
        <f ca="1">_xlfn.XLOOKUP(_xlfn.CONCAT(FLAG_Tier1_Backend[[#This Row],[Level 1]:[Level 6]]),rng_EFConcat,rng_EF3TD)*FLAG_Tier1_Backend[[#This Row],[Converted data]]/1000</f>
        <v>#VALUE!</v>
      </c>
      <c r="AK35" s="210" t="e" vm="2">
        <f ca="1">_xlfn.XLOOKUP(_xlfn.CONCAT(FLAG_Tier1_Backend[[#This Row],[Level 1]:[Level 6]]),rng_EFConcat,rng_EF3WTTTD)*FLAG_Tier1_Backend[[#This Row],[Converted data]]/1000</f>
        <v>#VALUE!</v>
      </c>
      <c r="AL35" s="220" t="e" vm="2">
        <f ca="1">SUM(FLAG_Tier1_Backend[[#This Row],[Scope 1 (tCO2e)]:[Scope 3 WTT T&amp;D (tCO2e)]])</f>
        <v>#VALUE!</v>
      </c>
      <c r="AM35" s="220" t="e" vm="2">
        <f ca="1">FLAG_Tier1_Backend[[#This Row],[Total (tCO2e)]]*(1-FLAG_Tier1_Backend[[#This Row],[RSD]])</f>
        <v>#VALUE!</v>
      </c>
      <c r="AN35" s="220" t="e" vm="2">
        <f ca="1">FLAG_Tier1_Backend[[#This Row],[Total (tCO2e)]]*(1+FLAG_Tier1_Backend[[#This Row],[RSD]])</f>
        <v>#VALUE!</v>
      </c>
      <c r="AO35" s="210" t="e" vm="2">
        <f ca="1">_xlfn.XLOOKUP(_xlfn.CONCAT(FLAG_Tier1_Backend[[#This Row],[Level 1]:[Level 6]]),rng_EFConcat,rng_EFOOS)*FLAG_Tier1_Backend[[#This Row],[Converted data]]/1000</f>
        <v>#VALUE!</v>
      </c>
      <c r="AP35" s="174">
        <f>FLAG_Tier1_Frontend[[#This Row],[Ease of collection]]</f>
        <v>0</v>
      </c>
      <c r="AQ35" s="213">
        <f>FLAG_Tier1_Frontend[[#This Row],[Completeness]]</f>
        <v>0</v>
      </c>
      <c r="AR35" s="213">
        <f>FLAG_Tier1_Frontend[[#This Row],[Notes]]</f>
        <v>0</v>
      </c>
    </row>
    <row r="36" spans="2:44" x14ac:dyDescent="0.3">
      <c r="E36" s="346"/>
      <c r="F36" s="336"/>
      <c r="G36" s="336"/>
      <c r="H36" s="334"/>
      <c r="I36" s="240" t="s">
        <v>410</v>
      </c>
      <c r="J36" s="336"/>
      <c r="K36" s="336"/>
      <c r="L36" s="337"/>
      <c r="M36" s="242">
        <f t="shared" si="1"/>
        <v>4</v>
      </c>
      <c r="Q36" s="212" t="str">
        <f t="shared" si="0"/>
        <v/>
      </c>
      <c r="R36" s="174" t="s">
        <v>200</v>
      </c>
      <c r="S36" s="174" t="s">
        <v>411</v>
      </c>
      <c r="T36" s="174">
        <f>FLAG_Tier1_Frontend[[#This Row],[Current land use type]]</f>
        <v>0</v>
      </c>
      <c r="U36" s="174">
        <f>FLAG_Tier1_Frontend[[#This Row],[Soil type]]</f>
        <v>0</v>
      </c>
      <c r="V36" s="174">
        <f>FLAG_Tier1_Frontend[[#This Row],[Previous land use type]]</f>
        <v>0</v>
      </c>
      <c r="W36" s="174" t="e" cm="1" vm="1">
        <f t="array" aca="1" ref="W36" ca="1">_xlfn._xlws.FILTER(rng_Level6Long,(rng_Level3Long=FLAG_Tier1_Backend[[#This Row],[Level 3]])*(rng_Level4Long=FLAG_Tier1_Backend[[#This Row],[Level 4]])*(rng_Level5Long=FLAG_Tier1_Backend[[#This Row],[Level 5]]))</f>
        <v>#VALUE!</v>
      </c>
      <c r="X36" s="174" t="s">
        <v>339</v>
      </c>
      <c r="Y36" s="174" t="s">
        <v>339</v>
      </c>
      <c r="Z36" s="174" t="s">
        <v>198</v>
      </c>
      <c r="AA36" s="229" t="e" cm="1" vm="2">
        <f t="array" aca="1" ref="AA36" ca="1">INDEX(_xlfn.SWITCH(FLAG_Tier1_Backend[[#This Row],[Methodology]],"Tier 1",rng_RSD1,"Tier 2",rng_RSD2,"Tier 3",rng_RSD3),MATCH(_xlfn.CONCAT(FLAG_Tier1_Backend[[#This Row],[Level 1]:[Level 6]]),rng_LevelsConcat,0))</f>
        <v>#VALUE!</v>
      </c>
      <c r="AB36" s="220">
        <f>FLAG_Tier1_Frontend[[#This Row],[Data]]</f>
        <v>0</v>
      </c>
      <c r="AC36" s="220" t="str">
        <f>FLAG_Tier1_Frontend[[#This Row],[Units]]</f>
        <v>Ha</v>
      </c>
      <c r="AD36" s="220" t="e" vm="2">
        <f ca="1">IF(FLAG_Tier1_Backend[[#This Row],[Units]]=FLAG_Tier1_Backend[[#This Row],[Standard units]],FLAG_Tier1_Backend[[#This Row],[Data]],FLAG_Tier1_Backend[[#This Row],[Data]]*_xlfn.XLOOKUP(_xlfn.CONCAT(FLAG_Tier1_Backend[[#This Row],[Level 1]:[Level 6]]),rng_EFConcat,rng_EFConversion))</f>
        <v>#VALUE!</v>
      </c>
      <c r="AE36" s="220" t="e" cm="1" vm="2">
        <f t="array" aca="1" ref="AE36" ca="1">_xlfn.XLOOKUP(_xlfn.CONCAT(FLAG_Tier1_Backend[[#This Row],[Level 1]:[Level 6]]),rng_LevelsConcat,rng_UnitsLong)</f>
        <v>#VALUE!</v>
      </c>
      <c r="AF36" s="210" t="e" vm="2">
        <f ca="1">_xlfn.XLOOKUP(_xlfn.CONCAT(FLAG_Tier1_Backend[[#This Row],[Level 1]:[Level 6]]),rng_EFConcat,rng_EF1)*FLAG_Tier1_Backend[[#This Row],[Converted data]]/1000</f>
        <v>#VALUE!</v>
      </c>
      <c r="AG36" s="210" t="e" vm="2">
        <f ca="1">_xlfn.XLOOKUP(_xlfn.CONCAT(FLAG_Tier1_Backend[[#This Row],[Level 1]:[Level 6]]),rng_EFConcat,rng_EF2)*FLAG_Tier1_Backend[[#This Row],[Converted data]]/1000</f>
        <v>#VALUE!</v>
      </c>
      <c r="AH36" s="210" t="e" vm="2">
        <f ca="1">_xlfn.XLOOKUP(_xlfn.CONCAT(FLAG_Tier1_Backend[[#This Row],[Level 1]:[Level 6]]),rng_EFConcat,rng_EF3)*FLAG_Tier1_Backend[[#This Row],[Converted data]]/1000</f>
        <v>#VALUE!</v>
      </c>
      <c r="AI36" s="210" t="e" vm="2">
        <f ca="1">_xlfn.XLOOKUP(_xlfn.CONCAT(FLAG_Tier1_Backend[[#This Row],[Level 1]:[Level 6]]),rng_EFConcat,rng_EF3WTT)*FLAG_Tier1_Backend[[#This Row],[Converted data]]/1000</f>
        <v>#VALUE!</v>
      </c>
      <c r="AJ36" s="210" t="e" vm="2">
        <f ca="1">_xlfn.XLOOKUP(_xlfn.CONCAT(FLAG_Tier1_Backend[[#This Row],[Level 1]:[Level 6]]),rng_EFConcat,rng_EF3TD)*FLAG_Tier1_Backend[[#This Row],[Converted data]]/1000</f>
        <v>#VALUE!</v>
      </c>
      <c r="AK36" s="210" t="e" vm="2">
        <f ca="1">_xlfn.XLOOKUP(_xlfn.CONCAT(FLAG_Tier1_Backend[[#This Row],[Level 1]:[Level 6]]),rng_EFConcat,rng_EF3WTTTD)*FLAG_Tier1_Backend[[#This Row],[Converted data]]/1000</f>
        <v>#VALUE!</v>
      </c>
      <c r="AL36" s="220" t="e" vm="2">
        <f ca="1">SUM(FLAG_Tier1_Backend[[#This Row],[Scope 1 (tCO2e)]:[Scope 3 WTT T&amp;D (tCO2e)]])</f>
        <v>#VALUE!</v>
      </c>
      <c r="AM36" s="220" t="e" vm="2">
        <f ca="1">FLAG_Tier1_Backend[[#This Row],[Total (tCO2e)]]*(1-FLAG_Tier1_Backend[[#This Row],[RSD]])</f>
        <v>#VALUE!</v>
      </c>
      <c r="AN36" s="220" t="e" vm="2">
        <f ca="1">FLAG_Tier1_Backend[[#This Row],[Total (tCO2e)]]*(1+FLAG_Tier1_Backend[[#This Row],[RSD]])</f>
        <v>#VALUE!</v>
      </c>
      <c r="AO36" s="210" t="e" vm="2">
        <f ca="1">_xlfn.XLOOKUP(_xlfn.CONCAT(FLAG_Tier1_Backend[[#This Row],[Level 1]:[Level 6]]),rng_EFConcat,rng_EFOOS)*FLAG_Tier1_Backend[[#This Row],[Converted data]]/1000</f>
        <v>#VALUE!</v>
      </c>
      <c r="AP36" s="174">
        <f>FLAG_Tier1_Frontend[[#This Row],[Ease of collection]]</f>
        <v>0</v>
      </c>
      <c r="AQ36" s="213">
        <f>FLAG_Tier1_Frontend[[#This Row],[Completeness]]</f>
        <v>0</v>
      </c>
      <c r="AR36" s="213">
        <f>FLAG_Tier1_Frontend[[#This Row],[Notes]]</f>
        <v>0</v>
      </c>
    </row>
    <row r="37" spans="2:44" x14ac:dyDescent="0.3">
      <c r="B37" s="161"/>
      <c r="E37" s="348"/>
      <c r="F37" s="338"/>
      <c r="G37" s="338"/>
      <c r="H37" s="335"/>
      <c r="I37" s="240" t="s">
        <v>410</v>
      </c>
      <c r="J37" s="338"/>
      <c r="K37" s="338"/>
      <c r="L37" s="339"/>
      <c r="M37" s="242">
        <f t="shared" si="1"/>
        <v>4</v>
      </c>
      <c r="Q37" s="214" t="str">
        <f t="shared" si="0"/>
        <v/>
      </c>
      <c r="R37" s="174" t="s">
        <v>200</v>
      </c>
      <c r="S37" s="174" t="s">
        <v>411</v>
      </c>
      <c r="T37" s="216">
        <f>FLAG_Tier1_Frontend[[#This Row],[Current land use type]]</f>
        <v>0</v>
      </c>
      <c r="U37" s="216">
        <f>FLAG_Tier1_Frontend[[#This Row],[Soil type]]</f>
        <v>0</v>
      </c>
      <c r="V37" s="216">
        <f>FLAG_Tier1_Frontend[[#This Row],[Previous land use type]]</f>
        <v>0</v>
      </c>
      <c r="W37" s="216" t="e" cm="1" vm="1">
        <f t="array" aca="1" ref="W37" ca="1">_xlfn._xlws.FILTER(rng_Level6Long,(rng_Level3Long=FLAG_Tier1_Backend[[#This Row],[Level 3]])*(rng_Level4Long=FLAG_Tier1_Backend[[#This Row],[Level 4]])*(rng_Level5Long=FLAG_Tier1_Backend[[#This Row],[Level 5]]))</f>
        <v>#VALUE!</v>
      </c>
      <c r="X37" s="174" t="s">
        <v>339</v>
      </c>
      <c r="Y37" s="174" t="s">
        <v>339</v>
      </c>
      <c r="Z37" s="174" t="s">
        <v>198</v>
      </c>
      <c r="AA37" s="229" t="e" cm="1" vm="2">
        <f t="array" aca="1" ref="AA37" ca="1">INDEX(_xlfn.SWITCH(FLAG_Tier1_Backend[[#This Row],[Methodology]],"Tier 1",rng_RSD1,"Tier 2",rng_RSD2,"Tier 3",rng_RSD3),MATCH(_xlfn.CONCAT(FLAG_Tier1_Backend[[#This Row],[Level 1]:[Level 6]]),rng_LevelsConcat,0))</f>
        <v>#VALUE!</v>
      </c>
      <c r="AB37" s="221">
        <f>FLAG_Tier1_Frontend[[#This Row],[Data]]</f>
        <v>0</v>
      </c>
      <c r="AC37" s="221" t="str">
        <f>FLAG_Tier1_Frontend[[#This Row],[Units]]</f>
        <v>Ha</v>
      </c>
      <c r="AD37" s="220" t="e" vm="2">
        <f ca="1">IF(FLAG_Tier1_Backend[[#This Row],[Units]]=FLAG_Tier1_Backend[[#This Row],[Standard units]],FLAG_Tier1_Backend[[#This Row],[Data]],FLAG_Tier1_Backend[[#This Row],[Data]]*_xlfn.XLOOKUP(_xlfn.CONCAT(FLAG_Tier1_Backend[[#This Row],[Level 1]:[Level 6]]),rng_EFConcat,rng_EFConversion))</f>
        <v>#VALUE!</v>
      </c>
      <c r="AE37" s="221" t="e" cm="1" vm="2">
        <f t="array" aca="1" ref="AE37" ca="1">_xlfn.XLOOKUP(_xlfn.CONCAT(FLAG_Tier1_Backend[[#This Row],[Level 1]:[Level 6]]),rng_LevelsConcat,rng_UnitsLong)</f>
        <v>#VALUE!</v>
      </c>
      <c r="AF37" s="210" t="e" vm="2">
        <f ca="1">_xlfn.XLOOKUP(_xlfn.CONCAT(FLAG_Tier1_Backend[[#This Row],[Level 1]:[Level 6]]),rng_EFConcat,rng_EF1)*FLAG_Tier1_Backend[[#This Row],[Converted data]]/1000</f>
        <v>#VALUE!</v>
      </c>
      <c r="AG37" s="210" t="e" vm="2">
        <f ca="1">_xlfn.XLOOKUP(_xlfn.CONCAT(FLAG_Tier1_Backend[[#This Row],[Level 1]:[Level 6]]),rng_EFConcat,rng_EF2)*FLAG_Tier1_Backend[[#This Row],[Converted data]]/1000</f>
        <v>#VALUE!</v>
      </c>
      <c r="AH37" s="210" t="e" vm="2">
        <f ca="1">_xlfn.XLOOKUP(_xlfn.CONCAT(FLAG_Tier1_Backend[[#This Row],[Level 1]:[Level 6]]),rng_EFConcat,rng_EF3)*FLAG_Tier1_Backend[[#This Row],[Converted data]]/1000</f>
        <v>#VALUE!</v>
      </c>
      <c r="AI37" s="210" t="e" vm="2">
        <f ca="1">_xlfn.XLOOKUP(_xlfn.CONCAT(FLAG_Tier1_Backend[[#This Row],[Level 1]:[Level 6]]),rng_EFConcat,rng_EF3WTT)*FLAG_Tier1_Backend[[#This Row],[Converted data]]/1000</f>
        <v>#VALUE!</v>
      </c>
      <c r="AJ37" s="210" t="e" vm="2">
        <f ca="1">_xlfn.XLOOKUP(_xlfn.CONCAT(FLAG_Tier1_Backend[[#This Row],[Level 1]:[Level 6]]),rng_EFConcat,rng_EF3TD)*FLAG_Tier1_Backend[[#This Row],[Converted data]]/1000</f>
        <v>#VALUE!</v>
      </c>
      <c r="AK37" s="210" t="e" vm="2">
        <f ca="1">_xlfn.XLOOKUP(_xlfn.CONCAT(FLAG_Tier1_Backend[[#This Row],[Level 1]:[Level 6]]),rng_EFConcat,rng_EF3WTTTD)*FLAG_Tier1_Backend[[#This Row],[Converted data]]/1000</f>
        <v>#VALUE!</v>
      </c>
      <c r="AL37" s="220" t="e" vm="2">
        <f ca="1">SUM(FLAG_Tier1_Backend[[#This Row],[Scope 1 (tCO2e)]:[Scope 3 WTT T&amp;D (tCO2e)]])</f>
        <v>#VALUE!</v>
      </c>
      <c r="AM37" s="220" t="e" vm="2">
        <f ca="1">FLAG_Tier1_Backend[[#This Row],[Total (tCO2e)]]*(1-FLAG_Tier1_Backend[[#This Row],[RSD]])</f>
        <v>#VALUE!</v>
      </c>
      <c r="AN37" s="220" t="e" vm="2">
        <f ca="1">FLAG_Tier1_Backend[[#This Row],[Total (tCO2e)]]*(1+FLAG_Tier1_Backend[[#This Row],[RSD]])</f>
        <v>#VALUE!</v>
      </c>
      <c r="AO37" s="210" t="e" vm="2">
        <f ca="1">_xlfn.XLOOKUP(_xlfn.CONCAT(FLAG_Tier1_Backend[[#This Row],[Level 1]:[Level 6]]),rng_EFConcat,rng_EFOOS)*FLAG_Tier1_Backend[[#This Row],[Converted data]]/1000</f>
        <v>#VALUE!</v>
      </c>
      <c r="AP37" s="216">
        <f>FLAG_Tier1_Frontend[[#This Row],[Ease of collection]]</f>
        <v>0</v>
      </c>
      <c r="AQ37" s="228">
        <f>FLAG_Tier1_Frontend[[#This Row],[Completeness]]</f>
        <v>0</v>
      </c>
      <c r="AR37" s="228">
        <f>FLAG_Tier1_Frontend[[#This Row],[Notes]]</f>
        <v>0</v>
      </c>
    </row>
    <row r="38" spans="2:44" ht="14.5" thickBot="1" x14ac:dyDescent="0.35">
      <c r="B38" s="16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row>
    <row r="39" spans="2:44" x14ac:dyDescent="0.3">
      <c r="B39" s="161"/>
    </row>
    <row r="40" spans="2:44" x14ac:dyDescent="0.3">
      <c r="B40" s="159" t="s">
        <v>12</v>
      </c>
      <c r="E40" s="160" t="s">
        <v>412</v>
      </c>
    </row>
    <row r="41" spans="2:44" x14ac:dyDescent="0.3"/>
    <row r="42" spans="2:44" ht="32.15" customHeight="1" x14ac:dyDescent="0.35">
      <c r="B42" s="455" t="s">
        <v>413</v>
      </c>
      <c r="E42" s="257" t="s">
        <v>414</v>
      </c>
      <c r="F42" s="258" t="s">
        <v>408</v>
      </c>
      <c r="G42" s="258" t="s">
        <v>415</v>
      </c>
      <c r="H42" s="258" t="s">
        <v>288</v>
      </c>
      <c r="I42" s="258" t="s">
        <v>289</v>
      </c>
      <c r="J42" s="258" t="s">
        <v>416</v>
      </c>
      <c r="K42" s="258" t="s">
        <v>291</v>
      </c>
      <c r="L42" s="259" t="s">
        <v>293</v>
      </c>
      <c r="M42" s="188">
        <f>AVERAGEIF($M$43:$M$63,"&lt;&gt;0",$M$43:$M$63)</f>
        <v>5</v>
      </c>
      <c r="N42"/>
      <c r="O42"/>
      <c r="Q42" s="225" t="s">
        <v>294</v>
      </c>
      <c r="R42" s="226" t="s">
        <v>295</v>
      </c>
      <c r="S42" s="226" t="s">
        <v>296</v>
      </c>
      <c r="T42" s="226" t="s">
        <v>297</v>
      </c>
      <c r="U42" s="226" t="s">
        <v>298</v>
      </c>
      <c r="V42" s="226" t="s">
        <v>299</v>
      </c>
      <c r="W42" s="226" t="s">
        <v>300</v>
      </c>
      <c r="X42" s="226" t="s">
        <v>301</v>
      </c>
      <c r="Y42" s="226" t="s">
        <v>302</v>
      </c>
      <c r="Z42" s="226" t="s">
        <v>287</v>
      </c>
      <c r="AA42" s="226" t="s">
        <v>303</v>
      </c>
      <c r="AB42" s="226" t="s">
        <v>288</v>
      </c>
      <c r="AC42" s="226" t="s">
        <v>289</v>
      </c>
      <c r="AD42" s="226" t="s">
        <v>304</v>
      </c>
      <c r="AE42" s="226" t="s">
        <v>305</v>
      </c>
      <c r="AF42" s="286" t="s">
        <v>306</v>
      </c>
      <c r="AG42" s="286" t="s">
        <v>307</v>
      </c>
      <c r="AH42" s="286" t="s">
        <v>308</v>
      </c>
      <c r="AI42" s="286" t="s">
        <v>309</v>
      </c>
      <c r="AJ42" s="286" t="s">
        <v>310</v>
      </c>
      <c r="AK42" s="286" t="s">
        <v>311</v>
      </c>
      <c r="AL42" s="286" t="s">
        <v>312</v>
      </c>
      <c r="AM42" s="286" t="s">
        <v>313</v>
      </c>
      <c r="AN42" s="286" t="s">
        <v>314</v>
      </c>
      <c r="AO42" s="286" t="s">
        <v>315</v>
      </c>
      <c r="AP42" s="226" t="s">
        <v>291</v>
      </c>
      <c r="AQ42" s="227" t="s">
        <v>292</v>
      </c>
      <c r="AR42" s="227" t="s">
        <v>293</v>
      </c>
    </row>
    <row r="43" spans="2:44" x14ac:dyDescent="0.3">
      <c r="B43" s="455"/>
      <c r="E43" s="342"/>
      <c r="F43" s="347"/>
      <c r="G43" s="347"/>
      <c r="H43" s="334"/>
      <c r="I43" s="240" t="s">
        <v>410</v>
      </c>
      <c r="J43" s="334"/>
      <c r="K43" s="336"/>
      <c r="L43" s="337"/>
      <c r="M43" s="242">
        <f>ISBLANK(E43)+ISBLANK(F43)+ISBLANK(G43)+ISBLANK(H43)+ISBLANK(J43)</f>
        <v>5</v>
      </c>
      <c r="Q43" s="212" t="str">
        <f t="shared" ref="Q43:Q63" si="2">IF(M43=0,SUBSTITUTE(2025&amp;TRIM(cl_org_name_select)&amp;TRIM($E$40)&amp;(ROW(M43)-ROW($M$43))," ",""),"")</f>
        <v/>
      </c>
      <c r="R43" s="174" t="s">
        <v>200</v>
      </c>
      <c r="S43" s="174" t="s">
        <v>411</v>
      </c>
      <c r="T43" s="235">
        <f>FLAG_Tier2_Frontend[[#This Row],[Land use type]]</f>
        <v>0</v>
      </c>
      <c r="U43" s="174">
        <f>FLAG_Tier2_Frontend[[#This Row],[Soil type]]</f>
        <v>0</v>
      </c>
      <c r="V43" s="174" t="s">
        <v>417</v>
      </c>
      <c r="W43" s="174" t="str">
        <f>IF(FLAG_Tier2_Frontend[[#This Row],[Emissions removed (tCO2e)]]&gt;=0,"Removals","Emissions")</f>
        <v>Removals</v>
      </c>
      <c r="X43" s="174" t="s">
        <v>339</v>
      </c>
      <c r="Y43" s="174" t="s">
        <v>339</v>
      </c>
      <c r="Z43" s="174">
        <f>FLAG_Tier2_Frontend[[#This Row],[Methodology used (IPCC equivalent Tier)]]</f>
        <v>0</v>
      </c>
      <c r="AA43" s="229" t="e" cm="1">
        <f t="array" aca="1" ref="AA43" ca="1">INDEX(_xlfn.SWITCH(FLAG_Tier2_Backend[[#This Row],[Methodology]],"Tier 1",rng_RSD1,"Tier 2",rng_RSD2,"Tier 3",rng_RSD3),MATCH(FLAG_Tier2_Backend[[#This Row],[Level 2]],rng_Level2Long,0))</f>
        <v>#N/A</v>
      </c>
      <c r="AB43" s="220">
        <f>FLAG_Tier2_Frontend[[#This Row],[Data]]</f>
        <v>0</v>
      </c>
      <c r="AC43" s="220" t="str">
        <f t="shared" ref="AC43:AC63" si="3">IF($I43="","",$I43)</f>
        <v>Ha</v>
      </c>
      <c r="AD43" s="220">
        <f>FLAG_Tier2_Backend[[#This Row],[Data]]</f>
        <v>0</v>
      </c>
      <c r="AE43" s="220" t="str">
        <f>FLAG_Tier2_Backend[[#This Row],[Units]]</f>
        <v>Ha</v>
      </c>
      <c r="AF43" s="210">
        <v>0</v>
      </c>
      <c r="AG43" s="210">
        <v>0</v>
      </c>
      <c r="AH43" s="210">
        <v>0</v>
      </c>
      <c r="AI43" s="210">
        <v>0</v>
      </c>
      <c r="AJ43" s="210">
        <v>0</v>
      </c>
      <c r="AK43" s="210">
        <v>0</v>
      </c>
      <c r="AL43" s="220">
        <f>SUM(FLAG_Tier2_Backend[[#This Row],[Scope 1 (tCO2e)]:[Scope 3 WTT T&amp;D (tCO2e)]])</f>
        <v>0</v>
      </c>
      <c r="AM43" s="220">
        <v>0</v>
      </c>
      <c r="AN43" s="220">
        <v>0</v>
      </c>
      <c r="AO43" s="210">
        <f>FLAG_Tier2_Frontend[[#This Row],[Emissions removed (tCO2e)]]</f>
        <v>0</v>
      </c>
      <c r="AP43" s="174">
        <f>FLAG_Tier2_Frontend[[#This Row],[Ease of collection]]</f>
        <v>0</v>
      </c>
      <c r="AQ43" s="213"/>
      <c r="AR43" s="213">
        <f>FLAG_Tier2_Frontend[[#This Row],[Notes]]</f>
        <v>0</v>
      </c>
    </row>
    <row r="44" spans="2:44" x14ac:dyDescent="0.3">
      <c r="B44" s="455"/>
      <c r="E44" s="342"/>
      <c r="F44" s="347"/>
      <c r="G44" s="347"/>
      <c r="H44" s="334"/>
      <c r="I44" s="240" t="s">
        <v>410</v>
      </c>
      <c r="J44" s="334"/>
      <c r="K44" s="336"/>
      <c r="L44" s="337"/>
      <c r="M44" s="242">
        <f t="shared" ref="M44:M63" si="4">ISBLANK(E44)+ISBLANK(F44)+ISBLANK(G44)+ISBLANK(H44)+ISBLANK(J44)</f>
        <v>5</v>
      </c>
      <c r="Q44" s="212" t="str">
        <f t="shared" si="2"/>
        <v/>
      </c>
      <c r="R44" s="174" t="s">
        <v>200</v>
      </c>
      <c r="S44" s="174" t="s">
        <v>411</v>
      </c>
      <c r="T44" s="235" t="s">
        <v>417</v>
      </c>
      <c r="U44" s="174">
        <f>FLAG_Tier2_Frontend[[#This Row],[Soil type]]</f>
        <v>0</v>
      </c>
      <c r="V44" s="174" t="s">
        <v>417</v>
      </c>
      <c r="W44" s="174" t="str">
        <f>IF(FLAG_Tier2_Frontend[[#This Row],[Emissions removed (tCO2e)]]&gt;=0,"Removals","Emissions")</f>
        <v>Removals</v>
      </c>
      <c r="X44" s="174" t="s">
        <v>339</v>
      </c>
      <c r="Y44" s="174" t="s">
        <v>339</v>
      </c>
      <c r="Z44" s="174">
        <f>FLAG_Tier2_Frontend[[#This Row],[Methodology used (IPCC equivalent Tier)]]</f>
        <v>0</v>
      </c>
      <c r="AA44" s="229" t="e" cm="1">
        <f t="array" aca="1" ref="AA44" ca="1">INDEX(_xlfn.SWITCH(FLAG_Tier2_Backend[[#This Row],[Methodology]],"Tier 1",rng_RSD1,"Tier 2",rng_RSD2,"Tier 3",rng_RSD3),MATCH(FLAG_Tier2_Backend[[#This Row],[Level 2]],rng_Level2Long,0))</f>
        <v>#N/A</v>
      </c>
      <c r="AB44" s="220">
        <f>FLAG_Tier2_Frontend[[#This Row],[Data]]</f>
        <v>0</v>
      </c>
      <c r="AC44" s="220" t="str">
        <f t="shared" si="3"/>
        <v>Ha</v>
      </c>
      <c r="AD44" s="220">
        <f>FLAG_Tier2_Backend[[#This Row],[Data]]</f>
        <v>0</v>
      </c>
      <c r="AE44" s="220" t="str">
        <f>FLAG_Tier2_Backend[[#This Row],[Units]]</f>
        <v>Ha</v>
      </c>
      <c r="AF44" s="210">
        <v>0</v>
      </c>
      <c r="AG44" s="210">
        <v>0</v>
      </c>
      <c r="AH44" s="210">
        <v>0</v>
      </c>
      <c r="AI44" s="210">
        <v>0</v>
      </c>
      <c r="AJ44" s="210">
        <v>0</v>
      </c>
      <c r="AK44" s="210">
        <v>0</v>
      </c>
      <c r="AL44" s="220">
        <f>SUM(FLAG_Tier2_Backend[[#This Row],[Scope 1 (tCO2e)]:[Scope 3 WTT T&amp;D (tCO2e)]])</f>
        <v>0</v>
      </c>
      <c r="AM44" s="220" t="e">
        <f ca="1">FLAG_Tier2_Backend[[#This Row],[Total (tCO2e)]]*(1-FLAG_Tier2_Backend[[#This Row],[RSD]])</f>
        <v>#N/A</v>
      </c>
      <c r="AN44" s="220" t="e">
        <f ca="1">FLAG_Tier2_Backend[[#This Row],[Total (tCO2e)]]*(1+FLAG_Tier2_Backend[[#This Row],[RSD]])</f>
        <v>#N/A</v>
      </c>
      <c r="AO44" s="210">
        <f>FLAG_Tier2_Frontend[[#This Row],[Emissions removed (tCO2e)]]</f>
        <v>0</v>
      </c>
      <c r="AP44" s="174">
        <f>FLAG_Tier2_Frontend[[#This Row],[Ease of collection]]</f>
        <v>0</v>
      </c>
      <c r="AQ44" s="213"/>
      <c r="AR44" s="213">
        <f>FLAG_Tier2_Frontend[[#This Row],[Notes]]</f>
        <v>0</v>
      </c>
    </row>
    <row r="45" spans="2:44" x14ac:dyDescent="0.3">
      <c r="B45" s="455"/>
      <c r="E45" s="342"/>
      <c r="F45" s="347"/>
      <c r="G45" s="347"/>
      <c r="H45" s="334"/>
      <c r="I45" s="240" t="s">
        <v>410</v>
      </c>
      <c r="J45" s="334"/>
      <c r="K45" s="336"/>
      <c r="L45" s="337"/>
      <c r="M45" s="242">
        <f t="shared" si="4"/>
        <v>5</v>
      </c>
      <c r="Q45" s="212" t="str">
        <f t="shared" si="2"/>
        <v/>
      </c>
      <c r="R45" s="174" t="s">
        <v>200</v>
      </c>
      <c r="S45" s="174" t="s">
        <v>411</v>
      </c>
      <c r="T45" s="235" t="s">
        <v>417</v>
      </c>
      <c r="U45" s="174">
        <f>FLAG_Tier2_Frontend[[#This Row],[Soil type]]</f>
        <v>0</v>
      </c>
      <c r="V45" s="174" t="s">
        <v>417</v>
      </c>
      <c r="W45" s="174" t="str">
        <f>IF(FLAG_Tier2_Frontend[[#This Row],[Emissions removed (tCO2e)]]&gt;=0,"Removals","Emissions")</f>
        <v>Removals</v>
      </c>
      <c r="X45" s="174" t="s">
        <v>339</v>
      </c>
      <c r="Y45" s="174" t="s">
        <v>339</v>
      </c>
      <c r="Z45" s="174">
        <f>FLAG_Tier2_Frontend[[#This Row],[Methodology used (IPCC equivalent Tier)]]</f>
        <v>0</v>
      </c>
      <c r="AA45" s="229" t="e" cm="1">
        <f t="array" aca="1" ref="AA45" ca="1">INDEX(_xlfn.SWITCH(FLAG_Tier2_Backend[[#This Row],[Methodology]],"Tier 1",rng_RSD1,"Tier 2",rng_RSD2,"Tier 3",rng_RSD3),MATCH(FLAG_Tier2_Backend[[#This Row],[Level 2]],rng_Level2Long,0))</f>
        <v>#N/A</v>
      </c>
      <c r="AB45" s="220">
        <f>FLAG_Tier2_Frontend[[#This Row],[Data]]</f>
        <v>0</v>
      </c>
      <c r="AC45" s="220" t="str">
        <f t="shared" si="3"/>
        <v>Ha</v>
      </c>
      <c r="AD45" s="220">
        <f>FLAG_Tier2_Backend[[#This Row],[Data]]</f>
        <v>0</v>
      </c>
      <c r="AE45" s="220" t="str">
        <f>FLAG_Tier2_Backend[[#This Row],[Units]]</f>
        <v>Ha</v>
      </c>
      <c r="AF45" s="210">
        <v>0</v>
      </c>
      <c r="AG45" s="210">
        <v>0</v>
      </c>
      <c r="AH45" s="210">
        <v>0</v>
      </c>
      <c r="AI45" s="210">
        <v>0</v>
      </c>
      <c r="AJ45" s="210">
        <v>0</v>
      </c>
      <c r="AK45" s="210">
        <v>0</v>
      </c>
      <c r="AL45" s="220">
        <f>SUM(FLAG_Tier2_Backend[[#This Row],[Scope 1 (tCO2e)]:[Scope 3 WTT T&amp;D (tCO2e)]])</f>
        <v>0</v>
      </c>
      <c r="AM45" s="220" t="e">
        <f ca="1">FLAG_Tier2_Backend[[#This Row],[Total (tCO2e)]]*(1-FLAG_Tier2_Backend[[#This Row],[RSD]])</f>
        <v>#N/A</v>
      </c>
      <c r="AN45" s="220" t="e">
        <f ca="1">FLAG_Tier2_Backend[[#This Row],[Total (tCO2e)]]*(1+FLAG_Tier2_Backend[[#This Row],[RSD]])</f>
        <v>#N/A</v>
      </c>
      <c r="AO45" s="210">
        <f>FLAG_Tier2_Frontend[[#This Row],[Emissions removed (tCO2e)]]</f>
        <v>0</v>
      </c>
      <c r="AP45" s="174">
        <f>FLAG_Tier2_Frontend[[#This Row],[Ease of collection]]</f>
        <v>0</v>
      </c>
      <c r="AQ45" s="213"/>
      <c r="AR45" s="213">
        <f>FLAG_Tier2_Frontend[[#This Row],[Notes]]</f>
        <v>0</v>
      </c>
    </row>
    <row r="46" spans="2:44" x14ac:dyDescent="0.3">
      <c r="B46" s="455"/>
      <c r="E46" s="342"/>
      <c r="F46" s="347"/>
      <c r="G46" s="347"/>
      <c r="H46" s="334"/>
      <c r="I46" s="240" t="s">
        <v>410</v>
      </c>
      <c r="J46" s="334"/>
      <c r="K46" s="336"/>
      <c r="L46" s="337"/>
      <c r="M46" s="242">
        <f t="shared" si="4"/>
        <v>5</v>
      </c>
      <c r="Q46" s="212" t="str">
        <f t="shared" si="2"/>
        <v/>
      </c>
      <c r="R46" s="174" t="s">
        <v>200</v>
      </c>
      <c r="S46" s="174" t="s">
        <v>411</v>
      </c>
      <c r="T46" s="235" t="s">
        <v>417</v>
      </c>
      <c r="U46" s="174">
        <f>FLAG_Tier2_Frontend[[#This Row],[Soil type]]</f>
        <v>0</v>
      </c>
      <c r="V46" s="174" t="s">
        <v>417</v>
      </c>
      <c r="W46" s="174" t="str">
        <f>IF(FLAG_Tier2_Frontend[[#This Row],[Emissions removed (tCO2e)]]&gt;=0,"Removals","Emissions")</f>
        <v>Removals</v>
      </c>
      <c r="X46" s="174" t="s">
        <v>339</v>
      </c>
      <c r="Y46" s="174" t="s">
        <v>339</v>
      </c>
      <c r="Z46" s="174">
        <f>FLAG_Tier2_Frontend[[#This Row],[Methodology used (IPCC equivalent Tier)]]</f>
        <v>0</v>
      </c>
      <c r="AA46" s="229" t="e" cm="1">
        <f t="array" aca="1" ref="AA46" ca="1">INDEX(_xlfn.SWITCH(FLAG_Tier2_Backend[[#This Row],[Methodology]],"Tier 1",rng_RSD1,"Tier 2",rng_RSD2,"Tier 3",rng_RSD3),MATCH(FLAG_Tier2_Backend[[#This Row],[Level 2]],rng_Level2Long,0))</f>
        <v>#N/A</v>
      </c>
      <c r="AB46" s="220">
        <f>FLAG_Tier2_Frontend[[#This Row],[Data]]</f>
        <v>0</v>
      </c>
      <c r="AC46" s="220" t="str">
        <f t="shared" si="3"/>
        <v>Ha</v>
      </c>
      <c r="AD46" s="220">
        <f>FLAG_Tier2_Backend[[#This Row],[Data]]</f>
        <v>0</v>
      </c>
      <c r="AE46" s="220" t="str">
        <f>FLAG_Tier2_Backend[[#This Row],[Units]]</f>
        <v>Ha</v>
      </c>
      <c r="AF46" s="210">
        <v>0</v>
      </c>
      <c r="AG46" s="210">
        <v>0</v>
      </c>
      <c r="AH46" s="210">
        <v>0</v>
      </c>
      <c r="AI46" s="210">
        <v>0</v>
      </c>
      <c r="AJ46" s="210">
        <v>0</v>
      </c>
      <c r="AK46" s="210">
        <v>0</v>
      </c>
      <c r="AL46" s="220">
        <f>SUM(FLAG_Tier2_Backend[[#This Row],[Scope 1 (tCO2e)]:[Scope 3 WTT T&amp;D (tCO2e)]])</f>
        <v>0</v>
      </c>
      <c r="AM46" s="220" t="e">
        <f ca="1">FLAG_Tier2_Backend[[#This Row],[Total (tCO2e)]]*(1-FLAG_Tier2_Backend[[#This Row],[RSD]])</f>
        <v>#N/A</v>
      </c>
      <c r="AN46" s="220" t="e">
        <f ca="1">FLAG_Tier2_Backend[[#This Row],[Total (tCO2e)]]*(1+FLAG_Tier2_Backend[[#This Row],[RSD]])</f>
        <v>#N/A</v>
      </c>
      <c r="AO46" s="210">
        <f>FLAG_Tier2_Frontend[[#This Row],[Emissions removed (tCO2e)]]</f>
        <v>0</v>
      </c>
      <c r="AP46" s="174">
        <f>FLAG_Tier2_Frontend[[#This Row],[Ease of collection]]</f>
        <v>0</v>
      </c>
      <c r="AQ46" s="213"/>
      <c r="AR46" s="213">
        <f>FLAG_Tier2_Frontend[[#This Row],[Notes]]</f>
        <v>0</v>
      </c>
    </row>
    <row r="47" spans="2:44" x14ac:dyDescent="0.3">
      <c r="B47" s="455"/>
      <c r="E47" s="342"/>
      <c r="F47" s="347"/>
      <c r="G47" s="347"/>
      <c r="H47" s="334"/>
      <c r="I47" s="240" t="s">
        <v>410</v>
      </c>
      <c r="J47" s="334"/>
      <c r="K47" s="336"/>
      <c r="L47" s="337"/>
      <c r="M47" s="242">
        <f t="shared" si="4"/>
        <v>5</v>
      </c>
      <c r="Q47" s="212" t="str">
        <f t="shared" si="2"/>
        <v/>
      </c>
      <c r="R47" s="174" t="s">
        <v>200</v>
      </c>
      <c r="S47" s="174" t="s">
        <v>411</v>
      </c>
      <c r="T47" s="235" t="s">
        <v>417</v>
      </c>
      <c r="U47" s="174">
        <f>FLAG_Tier2_Frontend[[#This Row],[Soil type]]</f>
        <v>0</v>
      </c>
      <c r="V47" s="174" t="s">
        <v>417</v>
      </c>
      <c r="W47" s="174" t="str">
        <f>IF(FLAG_Tier2_Frontend[[#This Row],[Emissions removed (tCO2e)]]&gt;=0,"Removals","Emissions")</f>
        <v>Removals</v>
      </c>
      <c r="X47" s="174" t="s">
        <v>339</v>
      </c>
      <c r="Y47" s="174" t="s">
        <v>339</v>
      </c>
      <c r="Z47" s="174">
        <f>FLAG_Tier2_Frontend[[#This Row],[Methodology used (IPCC equivalent Tier)]]</f>
        <v>0</v>
      </c>
      <c r="AA47" s="229" t="e" cm="1">
        <f t="array" aca="1" ref="AA47" ca="1">INDEX(_xlfn.SWITCH(FLAG_Tier2_Backend[[#This Row],[Methodology]],"Tier 1",rng_RSD1,"Tier 2",rng_RSD2,"Tier 3",rng_RSD3),MATCH(FLAG_Tier2_Backend[[#This Row],[Level 2]],rng_Level2Long,0))</f>
        <v>#N/A</v>
      </c>
      <c r="AB47" s="220">
        <f>FLAG_Tier2_Frontend[[#This Row],[Data]]</f>
        <v>0</v>
      </c>
      <c r="AC47" s="220" t="str">
        <f t="shared" si="3"/>
        <v>Ha</v>
      </c>
      <c r="AD47" s="220">
        <f>FLAG_Tier2_Backend[[#This Row],[Data]]</f>
        <v>0</v>
      </c>
      <c r="AE47" s="220" t="str">
        <f>FLAG_Tier2_Backend[[#This Row],[Units]]</f>
        <v>Ha</v>
      </c>
      <c r="AF47" s="210">
        <v>0</v>
      </c>
      <c r="AG47" s="210">
        <v>0</v>
      </c>
      <c r="AH47" s="210">
        <v>0</v>
      </c>
      <c r="AI47" s="210">
        <v>0</v>
      </c>
      <c r="AJ47" s="210">
        <v>0</v>
      </c>
      <c r="AK47" s="210">
        <v>0</v>
      </c>
      <c r="AL47" s="220">
        <f>SUM(FLAG_Tier2_Backend[[#This Row],[Scope 1 (tCO2e)]:[Scope 3 WTT T&amp;D (tCO2e)]])</f>
        <v>0</v>
      </c>
      <c r="AM47" s="220" t="e">
        <f ca="1">FLAG_Tier2_Backend[[#This Row],[Total (tCO2e)]]*(1-FLAG_Tier2_Backend[[#This Row],[RSD]])</f>
        <v>#N/A</v>
      </c>
      <c r="AN47" s="220" t="e">
        <f ca="1">FLAG_Tier2_Backend[[#This Row],[Total (tCO2e)]]*(1+FLAG_Tier2_Backend[[#This Row],[RSD]])</f>
        <v>#N/A</v>
      </c>
      <c r="AO47" s="210">
        <f>FLAG_Tier2_Frontend[[#This Row],[Emissions removed (tCO2e)]]</f>
        <v>0</v>
      </c>
      <c r="AP47" s="174">
        <f>FLAG_Tier2_Frontend[[#This Row],[Ease of collection]]</f>
        <v>0</v>
      </c>
      <c r="AQ47" s="213"/>
      <c r="AR47" s="213">
        <f>FLAG_Tier2_Frontend[[#This Row],[Notes]]</f>
        <v>0</v>
      </c>
    </row>
    <row r="48" spans="2:44" x14ac:dyDescent="0.3">
      <c r="B48" s="455"/>
      <c r="E48" s="342"/>
      <c r="F48" s="347"/>
      <c r="G48" s="347"/>
      <c r="H48" s="334"/>
      <c r="I48" s="240" t="s">
        <v>410</v>
      </c>
      <c r="J48" s="334"/>
      <c r="K48" s="336"/>
      <c r="L48" s="337"/>
      <c r="M48" s="242">
        <f t="shared" si="4"/>
        <v>5</v>
      </c>
      <c r="Q48" s="212" t="str">
        <f t="shared" si="2"/>
        <v/>
      </c>
      <c r="R48" s="174" t="s">
        <v>200</v>
      </c>
      <c r="S48" s="174" t="s">
        <v>411</v>
      </c>
      <c r="T48" s="235" t="s">
        <v>417</v>
      </c>
      <c r="U48" s="174">
        <f>FLAG_Tier2_Frontend[[#This Row],[Soil type]]</f>
        <v>0</v>
      </c>
      <c r="V48" s="174" t="s">
        <v>417</v>
      </c>
      <c r="W48" s="174" t="str">
        <f>IF(FLAG_Tier2_Frontend[[#This Row],[Emissions removed (tCO2e)]]&gt;=0,"Removals","Emissions")</f>
        <v>Removals</v>
      </c>
      <c r="X48" s="174" t="s">
        <v>339</v>
      </c>
      <c r="Y48" s="174" t="s">
        <v>339</v>
      </c>
      <c r="Z48" s="174">
        <f>FLAG_Tier2_Frontend[[#This Row],[Methodology used (IPCC equivalent Tier)]]</f>
        <v>0</v>
      </c>
      <c r="AA48" s="229" t="e" cm="1">
        <f t="array" aca="1" ref="AA48" ca="1">INDEX(_xlfn.SWITCH(FLAG_Tier2_Backend[[#This Row],[Methodology]],"Tier 1",rng_RSD1,"Tier 2",rng_RSD2,"Tier 3",rng_RSD3),MATCH(FLAG_Tier2_Backend[[#This Row],[Level 2]],rng_Level2Long,0))</f>
        <v>#N/A</v>
      </c>
      <c r="AB48" s="220">
        <f>FLAG_Tier2_Frontend[[#This Row],[Data]]</f>
        <v>0</v>
      </c>
      <c r="AC48" s="220" t="str">
        <f t="shared" si="3"/>
        <v>Ha</v>
      </c>
      <c r="AD48" s="220">
        <f>FLAG_Tier2_Backend[[#This Row],[Data]]</f>
        <v>0</v>
      </c>
      <c r="AE48" s="220" t="str">
        <f>FLAG_Tier2_Backend[[#This Row],[Units]]</f>
        <v>Ha</v>
      </c>
      <c r="AF48" s="210">
        <v>0</v>
      </c>
      <c r="AG48" s="210">
        <v>0</v>
      </c>
      <c r="AH48" s="210">
        <v>0</v>
      </c>
      <c r="AI48" s="210">
        <v>0</v>
      </c>
      <c r="AJ48" s="210">
        <v>0</v>
      </c>
      <c r="AK48" s="210">
        <v>0</v>
      </c>
      <c r="AL48" s="220">
        <f>SUM(FLAG_Tier2_Backend[[#This Row],[Scope 1 (tCO2e)]:[Scope 3 WTT T&amp;D (tCO2e)]])</f>
        <v>0</v>
      </c>
      <c r="AM48" s="220" t="e">
        <f ca="1">FLAG_Tier2_Backend[[#This Row],[Total (tCO2e)]]*(1-FLAG_Tier2_Backend[[#This Row],[RSD]])</f>
        <v>#N/A</v>
      </c>
      <c r="AN48" s="220" t="e">
        <f ca="1">FLAG_Tier2_Backend[[#This Row],[Total (tCO2e)]]*(1+FLAG_Tier2_Backend[[#This Row],[RSD]])</f>
        <v>#N/A</v>
      </c>
      <c r="AO48" s="210">
        <f>FLAG_Tier2_Frontend[[#This Row],[Emissions removed (tCO2e)]]</f>
        <v>0</v>
      </c>
      <c r="AP48" s="174">
        <f>FLAG_Tier2_Frontend[[#This Row],[Ease of collection]]</f>
        <v>0</v>
      </c>
      <c r="AQ48" s="213"/>
      <c r="AR48" s="213">
        <f>FLAG_Tier2_Frontend[[#This Row],[Notes]]</f>
        <v>0</v>
      </c>
    </row>
    <row r="49" spans="2:44" x14ac:dyDescent="0.3">
      <c r="B49" s="161"/>
      <c r="E49" s="342"/>
      <c r="F49" s="347"/>
      <c r="G49" s="347"/>
      <c r="H49" s="334"/>
      <c r="I49" s="240" t="s">
        <v>410</v>
      </c>
      <c r="J49" s="334"/>
      <c r="K49" s="336"/>
      <c r="L49" s="337"/>
      <c r="M49" s="242">
        <f t="shared" si="4"/>
        <v>5</v>
      </c>
      <c r="Q49" s="212" t="str">
        <f t="shared" si="2"/>
        <v/>
      </c>
      <c r="R49" s="174" t="s">
        <v>200</v>
      </c>
      <c r="S49" s="174" t="s">
        <v>411</v>
      </c>
      <c r="T49" s="235" t="s">
        <v>417</v>
      </c>
      <c r="U49" s="174">
        <f>FLAG_Tier2_Frontend[[#This Row],[Soil type]]</f>
        <v>0</v>
      </c>
      <c r="V49" s="174" t="s">
        <v>417</v>
      </c>
      <c r="W49" s="174" t="str">
        <f>IF(FLAG_Tier2_Frontend[[#This Row],[Emissions removed (tCO2e)]]&gt;=0,"Removals","Emissions")</f>
        <v>Removals</v>
      </c>
      <c r="X49" s="174" t="s">
        <v>339</v>
      </c>
      <c r="Y49" s="174" t="s">
        <v>339</v>
      </c>
      <c r="Z49" s="174">
        <f>FLAG_Tier2_Frontend[[#This Row],[Methodology used (IPCC equivalent Tier)]]</f>
        <v>0</v>
      </c>
      <c r="AA49" s="229" t="e" cm="1">
        <f t="array" aca="1" ref="AA49" ca="1">INDEX(_xlfn.SWITCH(FLAG_Tier2_Backend[[#This Row],[Methodology]],"Tier 1",rng_RSD1,"Tier 2",rng_RSD2,"Tier 3",rng_RSD3),MATCH(FLAG_Tier2_Backend[[#This Row],[Level 2]],rng_Level2Long,0))</f>
        <v>#N/A</v>
      </c>
      <c r="AB49" s="220">
        <f>FLAG_Tier2_Frontend[[#This Row],[Data]]</f>
        <v>0</v>
      </c>
      <c r="AC49" s="220" t="str">
        <f t="shared" si="3"/>
        <v>Ha</v>
      </c>
      <c r="AD49" s="220">
        <f>FLAG_Tier2_Backend[[#This Row],[Data]]</f>
        <v>0</v>
      </c>
      <c r="AE49" s="220" t="str">
        <f>FLAG_Tier2_Backend[[#This Row],[Units]]</f>
        <v>Ha</v>
      </c>
      <c r="AF49" s="210">
        <v>0</v>
      </c>
      <c r="AG49" s="210">
        <v>0</v>
      </c>
      <c r="AH49" s="210">
        <v>0</v>
      </c>
      <c r="AI49" s="210">
        <v>0</v>
      </c>
      <c r="AJ49" s="210">
        <v>0</v>
      </c>
      <c r="AK49" s="210">
        <v>0</v>
      </c>
      <c r="AL49" s="220">
        <f>SUM(FLAG_Tier2_Backend[[#This Row],[Scope 1 (tCO2e)]:[Scope 3 WTT T&amp;D (tCO2e)]])</f>
        <v>0</v>
      </c>
      <c r="AM49" s="220" t="e">
        <f ca="1">FLAG_Tier2_Backend[[#This Row],[Total (tCO2e)]]*(1-FLAG_Tier2_Backend[[#This Row],[RSD]])</f>
        <v>#N/A</v>
      </c>
      <c r="AN49" s="220" t="e">
        <f ca="1">FLAG_Tier2_Backend[[#This Row],[Total (tCO2e)]]*(1+FLAG_Tier2_Backend[[#This Row],[RSD]])</f>
        <v>#N/A</v>
      </c>
      <c r="AO49" s="210">
        <f>FLAG_Tier2_Frontend[[#This Row],[Emissions removed (tCO2e)]]</f>
        <v>0</v>
      </c>
      <c r="AP49" s="174">
        <f>FLAG_Tier2_Frontend[[#This Row],[Ease of collection]]</f>
        <v>0</v>
      </c>
      <c r="AQ49" s="213"/>
      <c r="AR49" s="213">
        <f>FLAG_Tier2_Frontend[[#This Row],[Notes]]</f>
        <v>0</v>
      </c>
    </row>
    <row r="50" spans="2:44" x14ac:dyDescent="0.3">
      <c r="B50" s="161"/>
      <c r="E50" s="342"/>
      <c r="F50" s="347"/>
      <c r="G50" s="347"/>
      <c r="H50" s="334"/>
      <c r="I50" s="240" t="s">
        <v>410</v>
      </c>
      <c r="J50" s="334"/>
      <c r="K50" s="336"/>
      <c r="L50" s="337"/>
      <c r="M50" s="242">
        <f t="shared" si="4"/>
        <v>5</v>
      </c>
      <c r="Q50" s="212" t="str">
        <f t="shared" si="2"/>
        <v/>
      </c>
      <c r="R50" s="174" t="s">
        <v>200</v>
      </c>
      <c r="S50" s="174" t="s">
        <v>411</v>
      </c>
      <c r="T50" s="235" t="s">
        <v>417</v>
      </c>
      <c r="U50" s="174">
        <f>FLAG_Tier2_Frontend[[#This Row],[Soil type]]</f>
        <v>0</v>
      </c>
      <c r="V50" s="174" t="s">
        <v>417</v>
      </c>
      <c r="W50" s="174" t="str">
        <f>IF(FLAG_Tier2_Frontend[[#This Row],[Emissions removed (tCO2e)]]&gt;=0,"Removals","Emissions")</f>
        <v>Removals</v>
      </c>
      <c r="X50" s="174" t="s">
        <v>339</v>
      </c>
      <c r="Y50" s="174" t="s">
        <v>339</v>
      </c>
      <c r="Z50" s="174">
        <f>FLAG_Tier2_Frontend[[#This Row],[Methodology used (IPCC equivalent Tier)]]</f>
        <v>0</v>
      </c>
      <c r="AA50" s="229" t="e" cm="1">
        <f t="array" aca="1" ref="AA50" ca="1">INDEX(_xlfn.SWITCH(FLAG_Tier2_Backend[[#This Row],[Methodology]],"Tier 1",rng_RSD1,"Tier 2",rng_RSD2,"Tier 3",rng_RSD3),MATCH(FLAG_Tier2_Backend[[#This Row],[Level 2]],rng_Level2Long,0))</f>
        <v>#N/A</v>
      </c>
      <c r="AB50" s="220">
        <f>FLAG_Tier2_Frontend[[#This Row],[Data]]</f>
        <v>0</v>
      </c>
      <c r="AC50" s="220" t="str">
        <f t="shared" si="3"/>
        <v>Ha</v>
      </c>
      <c r="AD50" s="220">
        <f>FLAG_Tier2_Backend[[#This Row],[Data]]</f>
        <v>0</v>
      </c>
      <c r="AE50" s="220" t="str">
        <f>FLAG_Tier2_Backend[[#This Row],[Units]]</f>
        <v>Ha</v>
      </c>
      <c r="AF50" s="210">
        <v>0</v>
      </c>
      <c r="AG50" s="210">
        <v>0</v>
      </c>
      <c r="AH50" s="210">
        <v>0</v>
      </c>
      <c r="AI50" s="210">
        <v>0</v>
      </c>
      <c r="AJ50" s="210">
        <v>0</v>
      </c>
      <c r="AK50" s="210">
        <v>0</v>
      </c>
      <c r="AL50" s="220">
        <f>SUM(FLAG_Tier2_Backend[[#This Row],[Scope 1 (tCO2e)]:[Scope 3 WTT T&amp;D (tCO2e)]])</f>
        <v>0</v>
      </c>
      <c r="AM50" s="220" t="e">
        <f ca="1">FLAG_Tier2_Backend[[#This Row],[Total (tCO2e)]]*(1-FLAG_Tier2_Backend[[#This Row],[RSD]])</f>
        <v>#N/A</v>
      </c>
      <c r="AN50" s="220" t="e">
        <f ca="1">FLAG_Tier2_Backend[[#This Row],[Total (tCO2e)]]*(1+FLAG_Tier2_Backend[[#This Row],[RSD]])</f>
        <v>#N/A</v>
      </c>
      <c r="AO50" s="210">
        <f>FLAG_Tier2_Frontend[[#This Row],[Emissions removed (tCO2e)]]</f>
        <v>0</v>
      </c>
      <c r="AP50" s="174">
        <f>FLAG_Tier2_Frontend[[#This Row],[Ease of collection]]</f>
        <v>0</v>
      </c>
      <c r="AQ50" s="213"/>
      <c r="AR50" s="213">
        <f>FLAG_Tier2_Frontend[[#This Row],[Notes]]</f>
        <v>0</v>
      </c>
    </row>
    <row r="51" spans="2:44" x14ac:dyDescent="0.3">
      <c r="B51" s="161"/>
      <c r="E51" s="342"/>
      <c r="F51" s="347"/>
      <c r="G51" s="347"/>
      <c r="H51" s="334"/>
      <c r="I51" s="240" t="s">
        <v>410</v>
      </c>
      <c r="J51" s="334"/>
      <c r="K51" s="336"/>
      <c r="L51" s="337"/>
      <c r="M51" s="242">
        <f t="shared" si="4"/>
        <v>5</v>
      </c>
      <c r="Q51" s="212" t="str">
        <f t="shared" si="2"/>
        <v/>
      </c>
      <c r="R51" s="174" t="s">
        <v>200</v>
      </c>
      <c r="S51" s="174" t="s">
        <v>411</v>
      </c>
      <c r="T51" s="235" t="s">
        <v>417</v>
      </c>
      <c r="U51" s="174">
        <f>FLAG_Tier2_Frontend[[#This Row],[Soil type]]</f>
        <v>0</v>
      </c>
      <c r="V51" s="174" t="s">
        <v>417</v>
      </c>
      <c r="W51" s="174" t="str">
        <f>IF(FLAG_Tier2_Frontend[[#This Row],[Emissions removed (tCO2e)]]&gt;=0,"Removals","Emissions")</f>
        <v>Removals</v>
      </c>
      <c r="X51" s="174" t="s">
        <v>339</v>
      </c>
      <c r="Y51" s="174" t="s">
        <v>339</v>
      </c>
      <c r="Z51" s="174">
        <f>FLAG_Tier2_Frontend[[#This Row],[Methodology used (IPCC equivalent Tier)]]</f>
        <v>0</v>
      </c>
      <c r="AA51" s="229" t="e" cm="1">
        <f t="array" aca="1" ref="AA51" ca="1">INDEX(_xlfn.SWITCH(FLAG_Tier2_Backend[[#This Row],[Methodology]],"Tier 1",rng_RSD1,"Tier 2",rng_RSD2,"Tier 3",rng_RSD3),MATCH(FLAG_Tier2_Backend[[#This Row],[Level 2]],rng_Level2Long,0))</f>
        <v>#N/A</v>
      </c>
      <c r="AB51" s="220">
        <f>FLAG_Tier2_Frontend[[#This Row],[Data]]</f>
        <v>0</v>
      </c>
      <c r="AC51" s="220" t="str">
        <f t="shared" si="3"/>
        <v>Ha</v>
      </c>
      <c r="AD51" s="220">
        <f>FLAG_Tier2_Backend[[#This Row],[Data]]</f>
        <v>0</v>
      </c>
      <c r="AE51" s="220" t="str">
        <f>FLAG_Tier2_Backend[[#This Row],[Units]]</f>
        <v>Ha</v>
      </c>
      <c r="AF51" s="210">
        <v>0</v>
      </c>
      <c r="AG51" s="210">
        <v>0</v>
      </c>
      <c r="AH51" s="210">
        <v>0</v>
      </c>
      <c r="AI51" s="210">
        <v>0</v>
      </c>
      <c r="AJ51" s="210">
        <v>0</v>
      </c>
      <c r="AK51" s="210">
        <v>0</v>
      </c>
      <c r="AL51" s="220">
        <f>SUM(FLAG_Tier2_Backend[[#This Row],[Scope 1 (tCO2e)]:[Scope 3 WTT T&amp;D (tCO2e)]])</f>
        <v>0</v>
      </c>
      <c r="AM51" s="220" t="e">
        <f ca="1">FLAG_Tier2_Backend[[#This Row],[Total (tCO2e)]]*(1-FLAG_Tier2_Backend[[#This Row],[RSD]])</f>
        <v>#N/A</v>
      </c>
      <c r="AN51" s="220" t="e">
        <f ca="1">FLAG_Tier2_Backend[[#This Row],[Total (tCO2e)]]*(1+FLAG_Tier2_Backend[[#This Row],[RSD]])</f>
        <v>#N/A</v>
      </c>
      <c r="AO51" s="210">
        <f>FLAG_Tier2_Frontend[[#This Row],[Emissions removed (tCO2e)]]</f>
        <v>0</v>
      </c>
      <c r="AP51" s="174">
        <f>FLAG_Tier2_Frontend[[#This Row],[Ease of collection]]</f>
        <v>0</v>
      </c>
      <c r="AQ51" s="213"/>
      <c r="AR51" s="213">
        <f>FLAG_Tier2_Frontend[[#This Row],[Notes]]</f>
        <v>0</v>
      </c>
    </row>
    <row r="52" spans="2:44" x14ac:dyDescent="0.3">
      <c r="B52" s="161"/>
      <c r="E52" s="342"/>
      <c r="F52" s="347"/>
      <c r="G52" s="347"/>
      <c r="H52" s="334"/>
      <c r="I52" s="240" t="s">
        <v>410</v>
      </c>
      <c r="J52" s="334"/>
      <c r="K52" s="336"/>
      <c r="L52" s="337"/>
      <c r="M52" s="242">
        <f t="shared" si="4"/>
        <v>5</v>
      </c>
      <c r="Q52" s="212" t="str">
        <f t="shared" si="2"/>
        <v/>
      </c>
      <c r="R52" s="174" t="s">
        <v>200</v>
      </c>
      <c r="S52" s="174" t="s">
        <v>411</v>
      </c>
      <c r="T52" s="235" t="s">
        <v>417</v>
      </c>
      <c r="U52" s="174">
        <f>FLAG_Tier2_Frontend[[#This Row],[Soil type]]</f>
        <v>0</v>
      </c>
      <c r="V52" s="174" t="s">
        <v>417</v>
      </c>
      <c r="W52" s="174" t="str">
        <f>IF(FLAG_Tier2_Frontend[[#This Row],[Emissions removed (tCO2e)]]&gt;=0,"Removals","Emissions")</f>
        <v>Removals</v>
      </c>
      <c r="X52" s="174" t="s">
        <v>339</v>
      </c>
      <c r="Y52" s="174" t="s">
        <v>339</v>
      </c>
      <c r="Z52" s="174">
        <f>FLAG_Tier2_Frontend[[#This Row],[Methodology used (IPCC equivalent Tier)]]</f>
        <v>0</v>
      </c>
      <c r="AA52" s="229" t="e" cm="1">
        <f t="array" aca="1" ref="AA52" ca="1">INDEX(_xlfn.SWITCH(FLAG_Tier2_Backend[[#This Row],[Methodology]],"Tier 1",rng_RSD1,"Tier 2",rng_RSD2,"Tier 3",rng_RSD3),MATCH(FLAG_Tier2_Backend[[#This Row],[Level 2]],rng_Level2Long,0))</f>
        <v>#N/A</v>
      </c>
      <c r="AB52" s="220">
        <f>FLAG_Tier2_Frontend[[#This Row],[Data]]</f>
        <v>0</v>
      </c>
      <c r="AC52" s="220" t="str">
        <f t="shared" si="3"/>
        <v>Ha</v>
      </c>
      <c r="AD52" s="220">
        <f>FLAG_Tier2_Backend[[#This Row],[Data]]</f>
        <v>0</v>
      </c>
      <c r="AE52" s="220" t="str">
        <f>FLAG_Tier2_Backend[[#This Row],[Units]]</f>
        <v>Ha</v>
      </c>
      <c r="AF52" s="210">
        <v>0</v>
      </c>
      <c r="AG52" s="210">
        <v>0</v>
      </c>
      <c r="AH52" s="210">
        <v>0</v>
      </c>
      <c r="AI52" s="210">
        <v>0</v>
      </c>
      <c r="AJ52" s="210">
        <v>0</v>
      </c>
      <c r="AK52" s="210">
        <v>0</v>
      </c>
      <c r="AL52" s="220">
        <f>SUM(FLAG_Tier2_Backend[[#This Row],[Scope 1 (tCO2e)]:[Scope 3 WTT T&amp;D (tCO2e)]])</f>
        <v>0</v>
      </c>
      <c r="AM52" s="220" t="e">
        <f ca="1">FLAG_Tier2_Backend[[#This Row],[Total (tCO2e)]]*(1-FLAG_Tier2_Backend[[#This Row],[RSD]])</f>
        <v>#N/A</v>
      </c>
      <c r="AN52" s="220" t="e">
        <f ca="1">FLAG_Tier2_Backend[[#This Row],[Total (tCO2e)]]*(1+FLAG_Tier2_Backend[[#This Row],[RSD]])</f>
        <v>#N/A</v>
      </c>
      <c r="AO52" s="210">
        <f>FLAG_Tier2_Frontend[[#This Row],[Emissions removed (tCO2e)]]</f>
        <v>0</v>
      </c>
      <c r="AP52" s="174">
        <f>FLAG_Tier2_Frontend[[#This Row],[Ease of collection]]</f>
        <v>0</v>
      </c>
      <c r="AQ52" s="213"/>
      <c r="AR52" s="213">
        <f>FLAG_Tier2_Frontend[[#This Row],[Notes]]</f>
        <v>0</v>
      </c>
    </row>
    <row r="53" spans="2:44" x14ac:dyDescent="0.3">
      <c r="B53" s="161"/>
      <c r="E53" s="342"/>
      <c r="F53" s="347"/>
      <c r="G53" s="347"/>
      <c r="H53" s="334"/>
      <c r="I53" s="240" t="s">
        <v>410</v>
      </c>
      <c r="J53" s="334"/>
      <c r="K53" s="336"/>
      <c r="L53" s="337"/>
      <c r="M53" s="242">
        <f t="shared" si="4"/>
        <v>5</v>
      </c>
      <c r="Q53" s="212" t="str">
        <f t="shared" si="2"/>
        <v/>
      </c>
      <c r="R53" s="174" t="s">
        <v>200</v>
      </c>
      <c r="S53" s="174" t="s">
        <v>411</v>
      </c>
      <c r="T53" s="235" t="s">
        <v>417</v>
      </c>
      <c r="U53" s="174">
        <f>FLAG_Tier2_Frontend[[#This Row],[Soil type]]</f>
        <v>0</v>
      </c>
      <c r="V53" s="174" t="s">
        <v>417</v>
      </c>
      <c r="W53" s="174" t="str">
        <f>IF(FLAG_Tier2_Frontend[[#This Row],[Emissions removed (tCO2e)]]&gt;=0,"Removals","Emissions")</f>
        <v>Removals</v>
      </c>
      <c r="X53" s="174" t="s">
        <v>339</v>
      </c>
      <c r="Y53" s="174" t="s">
        <v>339</v>
      </c>
      <c r="Z53" s="174">
        <f>FLAG_Tier2_Frontend[[#This Row],[Methodology used (IPCC equivalent Tier)]]</f>
        <v>0</v>
      </c>
      <c r="AA53" s="229" t="e" cm="1">
        <f t="array" aca="1" ref="AA53" ca="1">INDEX(_xlfn.SWITCH(FLAG_Tier2_Backend[[#This Row],[Methodology]],"Tier 1",rng_RSD1,"Tier 2",rng_RSD2,"Tier 3",rng_RSD3),MATCH(FLAG_Tier2_Backend[[#This Row],[Level 2]],rng_Level2Long,0))</f>
        <v>#N/A</v>
      </c>
      <c r="AB53" s="220">
        <f>FLAG_Tier2_Frontend[[#This Row],[Data]]</f>
        <v>0</v>
      </c>
      <c r="AC53" s="220" t="str">
        <f t="shared" si="3"/>
        <v>Ha</v>
      </c>
      <c r="AD53" s="220">
        <f>FLAG_Tier2_Backend[[#This Row],[Data]]</f>
        <v>0</v>
      </c>
      <c r="AE53" s="220" t="str">
        <f>FLAG_Tier2_Backend[[#This Row],[Units]]</f>
        <v>Ha</v>
      </c>
      <c r="AF53" s="210">
        <v>0</v>
      </c>
      <c r="AG53" s="210">
        <v>0</v>
      </c>
      <c r="AH53" s="210">
        <v>0</v>
      </c>
      <c r="AI53" s="210">
        <v>0</v>
      </c>
      <c r="AJ53" s="210">
        <v>0</v>
      </c>
      <c r="AK53" s="210">
        <v>0</v>
      </c>
      <c r="AL53" s="220">
        <f>SUM(FLAG_Tier2_Backend[[#This Row],[Scope 1 (tCO2e)]:[Scope 3 WTT T&amp;D (tCO2e)]])</f>
        <v>0</v>
      </c>
      <c r="AM53" s="220" t="e">
        <f ca="1">FLAG_Tier2_Backend[[#This Row],[Total (tCO2e)]]*(1-FLAG_Tier2_Backend[[#This Row],[RSD]])</f>
        <v>#N/A</v>
      </c>
      <c r="AN53" s="220" t="e">
        <f ca="1">FLAG_Tier2_Backend[[#This Row],[Total (tCO2e)]]*(1+FLAG_Tier2_Backend[[#This Row],[RSD]])</f>
        <v>#N/A</v>
      </c>
      <c r="AO53" s="210">
        <f>FLAG_Tier2_Frontend[[#This Row],[Emissions removed (tCO2e)]]</f>
        <v>0</v>
      </c>
      <c r="AP53" s="174">
        <f>FLAG_Tier2_Frontend[[#This Row],[Ease of collection]]</f>
        <v>0</v>
      </c>
      <c r="AQ53" s="213"/>
      <c r="AR53" s="213">
        <f>FLAG_Tier2_Frontend[[#This Row],[Notes]]</f>
        <v>0</v>
      </c>
    </row>
    <row r="54" spans="2:44" x14ac:dyDescent="0.3">
      <c r="B54" s="161"/>
      <c r="E54" s="342"/>
      <c r="F54" s="347"/>
      <c r="G54" s="347"/>
      <c r="H54" s="334"/>
      <c r="I54" s="240" t="s">
        <v>410</v>
      </c>
      <c r="J54" s="334"/>
      <c r="K54" s="336"/>
      <c r="L54" s="337"/>
      <c r="M54" s="242">
        <f t="shared" si="4"/>
        <v>5</v>
      </c>
      <c r="Q54" s="212" t="str">
        <f t="shared" si="2"/>
        <v/>
      </c>
      <c r="R54" s="174" t="s">
        <v>200</v>
      </c>
      <c r="S54" s="174" t="s">
        <v>411</v>
      </c>
      <c r="T54" s="235" t="s">
        <v>417</v>
      </c>
      <c r="U54" s="174">
        <f>FLAG_Tier2_Frontend[[#This Row],[Soil type]]</f>
        <v>0</v>
      </c>
      <c r="V54" s="174" t="s">
        <v>417</v>
      </c>
      <c r="W54" s="174" t="str">
        <f>IF(FLAG_Tier2_Frontend[[#This Row],[Emissions removed (tCO2e)]]&gt;=0,"Removals","Emissions")</f>
        <v>Removals</v>
      </c>
      <c r="X54" s="174" t="s">
        <v>339</v>
      </c>
      <c r="Y54" s="174" t="s">
        <v>339</v>
      </c>
      <c r="Z54" s="174">
        <f>FLAG_Tier2_Frontend[[#This Row],[Methodology used (IPCC equivalent Tier)]]</f>
        <v>0</v>
      </c>
      <c r="AA54" s="229" t="e" cm="1">
        <f t="array" aca="1" ref="AA54" ca="1">INDEX(_xlfn.SWITCH(FLAG_Tier2_Backend[[#This Row],[Methodology]],"Tier 1",rng_RSD1,"Tier 2",rng_RSD2,"Tier 3",rng_RSD3),MATCH(FLAG_Tier2_Backend[[#This Row],[Level 2]],rng_Level2Long,0))</f>
        <v>#N/A</v>
      </c>
      <c r="AB54" s="220">
        <f>FLAG_Tier2_Frontend[[#This Row],[Data]]</f>
        <v>0</v>
      </c>
      <c r="AC54" s="220" t="str">
        <f t="shared" si="3"/>
        <v>Ha</v>
      </c>
      <c r="AD54" s="220">
        <f>FLAG_Tier2_Backend[[#This Row],[Data]]</f>
        <v>0</v>
      </c>
      <c r="AE54" s="220" t="str">
        <f>FLAG_Tier2_Backend[[#This Row],[Units]]</f>
        <v>Ha</v>
      </c>
      <c r="AF54" s="210">
        <v>0</v>
      </c>
      <c r="AG54" s="210">
        <v>0</v>
      </c>
      <c r="AH54" s="210">
        <v>0</v>
      </c>
      <c r="AI54" s="210">
        <v>0</v>
      </c>
      <c r="AJ54" s="210">
        <v>0</v>
      </c>
      <c r="AK54" s="210">
        <v>0</v>
      </c>
      <c r="AL54" s="220">
        <f>SUM(FLAG_Tier2_Backend[[#This Row],[Scope 1 (tCO2e)]:[Scope 3 WTT T&amp;D (tCO2e)]])</f>
        <v>0</v>
      </c>
      <c r="AM54" s="220" t="e">
        <f ca="1">FLAG_Tier2_Backend[[#This Row],[Total (tCO2e)]]*(1-FLAG_Tier2_Backend[[#This Row],[RSD]])</f>
        <v>#N/A</v>
      </c>
      <c r="AN54" s="220" t="e">
        <f ca="1">FLAG_Tier2_Backend[[#This Row],[Total (tCO2e)]]*(1+FLAG_Tier2_Backend[[#This Row],[RSD]])</f>
        <v>#N/A</v>
      </c>
      <c r="AO54" s="210">
        <f>FLAG_Tier2_Frontend[[#This Row],[Emissions removed (tCO2e)]]</f>
        <v>0</v>
      </c>
      <c r="AP54" s="174">
        <f>FLAG_Tier2_Frontend[[#This Row],[Ease of collection]]</f>
        <v>0</v>
      </c>
      <c r="AQ54" s="213"/>
      <c r="AR54" s="213">
        <f>FLAG_Tier2_Frontend[[#This Row],[Notes]]</f>
        <v>0</v>
      </c>
    </row>
    <row r="55" spans="2:44" x14ac:dyDescent="0.3">
      <c r="E55" s="342"/>
      <c r="F55" s="347"/>
      <c r="G55" s="347"/>
      <c r="H55" s="334"/>
      <c r="I55" s="240" t="s">
        <v>410</v>
      </c>
      <c r="J55" s="334"/>
      <c r="K55" s="336"/>
      <c r="L55" s="337"/>
      <c r="M55" s="242">
        <f t="shared" si="4"/>
        <v>5</v>
      </c>
      <c r="Q55" s="212" t="str">
        <f t="shared" si="2"/>
        <v/>
      </c>
      <c r="R55" s="174" t="s">
        <v>200</v>
      </c>
      <c r="S55" s="174" t="s">
        <v>411</v>
      </c>
      <c r="T55" s="235" t="s">
        <v>417</v>
      </c>
      <c r="U55" s="174">
        <f>FLAG_Tier2_Frontend[[#This Row],[Soil type]]</f>
        <v>0</v>
      </c>
      <c r="V55" s="174" t="s">
        <v>417</v>
      </c>
      <c r="W55" s="174" t="str">
        <f>IF(FLAG_Tier2_Frontend[[#This Row],[Emissions removed (tCO2e)]]&gt;=0,"Removals","Emissions")</f>
        <v>Removals</v>
      </c>
      <c r="X55" s="174" t="s">
        <v>339</v>
      </c>
      <c r="Y55" s="174" t="s">
        <v>339</v>
      </c>
      <c r="Z55" s="174">
        <f>FLAG_Tier2_Frontend[[#This Row],[Methodology used (IPCC equivalent Tier)]]</f>
        <v>0</v>
      </c>
      <c r="AA55" s="229" t="e" cm="1">
        <f t="array" aca="1" ref="AA55" ca="1">INDEX(_xlfn.SWITCH(FLAG_Tier2_Backend[[#This Row],[Methodology]],"Tier 1",rng_RSD1,"Tier 2",rng_RSD2,"Tier 3",rng_RSD3),MATCH(FLAG_Tier2_Backend[[#This Row],[Level 2]],rng_Level2Long,0))</f>
        <v>#N/A</v>
      </c>
      <c r="AB55" s="220">
        <f>FLAG_Tier2_Frontend[[#This Row],[Data]]</f>
        <v>0</v>
      </c>
      <c r="AC55" s="220" t="str">
        <f t="shared" si="3"/>
        <v>Ha</v>
      </c>
      <c r="AD55" s="220">
        <f>FLAG_Tier2_Backend[[#This Row],[Data]]</f>
        <v>0</v>
      </c>
      <c r="AE55" s="220" t="str">
        <f>FLAG_Tier2_Backend[[#This Row],[Units]]</f>
        <v>Ha</v>
      </c>
      <c r="AF55" s="210">
        <v>0</v>
      </c>
      <c r="AG55" s="210">
        <v>0</v>
      </c>
      <c r="AH55" s="210">
        <v>0</v>
      </c>
      <c r="AI55" s="210">
        <v>0</v>
      </c>
      <c r="AJ55" s="210">
        <v>0</v>
      </c>
      <c r="AK55" s="210">
        <v>0</v>
      </c>
      <c r="AL55" s="220">
        <f>SUM(FLAG_Tier2_Backend[[#This Row],[Scope 1 (tCO2e)]:[Scope 3 WTT T&amp;D (tCO2e)]])</f>
        <v>0</v>
      </c>
      <c r="AM55" s="220" t="e">
        <f ca="1">FLAG_Tier2_Backend[[#This Row],[Total (tCO2e)]]*(1-FLAG_Tier2_Backend[[#This Row],[RSD]])</f>
        <v>#N/A</v>
      </c>
      <c r="AN55" s="220" t="e">
        <f ca="1">FLAG_Tier2_Backend[[#This Row],[Total (tCO2e)]]*(1+FLAG_Tier2_Backend[[#This Row],[RSD]])</f>
        <v>#N/A</v>
      </c>
      <c r="AO55" s="210">
        <f>FLAG_Tier2_Frontend[[#This Row],[Emissions removed (tCO2e)]]</f>
        <v>0</v>
      </c>
      <c r="AP55" s="174">
        <f>FLAG_Tier2_Frontend[[#This Row],[Ease of collection]]</f>
        <v>0</v>
      </c>
      <c r="AQ55" s="213"/>
      <c r="AR55" s="213">
        <f>FLAG_Tier2_Frontend[[#This Row],[Notes]]</f>
        <v>0</v>
      </c>
    </row>
    <row r="56" spans="2:44" x14ac:dyDescent="0.3">
      <c r="E56" s="342"/>
      <c r="F56" s="347"/>
      <c r="G56" s="347"/>
      <c r="H56" s="334"/>
      <c r="I56" s="240" t="s">
        <v>410</v>
      </c>
      <c r="J56" s="334"/>
      <c r="K56" s="336"/>
      <c r="L56" s="337"/>
      <c r="M56" s="242">
        <f t="shared" si="4"/>
        <v>5</v>
      </c>
      <c r="Q56" s="212" t="str">
        <f t="shared" si="2"/>
        <v/>
      </c>
      <c r="R56" s="174" t="s">
        <v>200</v>
      </c>
      <c r="S56" s="174" t="s">
        <v>411</v>
      </c>
      <c r="T56" s="235" t="s">
        <v>417</v>
      </c>
      <c r="U56" s="174">
        <f>FLAG_Tier2_Frontend[[#This Row],[Soil type]]</f>
        <v>0</v>
      </c>
      <c r="V56" s="174" t="s">
        <v>417</v>
      </c>
      <c r="W56" s="174" t="str">
        <f>IF(FLAG_Tier2_Frontend[[#This Row],[Emissions removed (tCO2e)]]&gt;=0,"Removals","Emissions")</f>
        <v>Removals</v>
      </c>
      <c r="X56" s="174" t="s">
        <v>339</v>
      </c>
      <c r="Y56" s="174" t="s">
        <v>339</v>
      </c>
      <c r="Z56" s="174">
        <f>FLAG_Tier2_Frontend[[#This Row],[Methodology used (IPCC equivalent Tier)]]</f>
        <v>0</v>
      </c>
      <c r="AA56" s="229" t="e" cm="1">
        <f t="array" aca="1" ref="AA56" ca="1">INDEX(_xlfn.SWITCH(FLAG_Tier2_Backend[[#This Row],[Methodology]],"Tier 1",rng_RSD1,"Tier 2",rng_RSD2,"Tier 3",rng_RSD3),MATCH(FLAG_Tier2_Backend[[#This Row],[Level 2]],rng_Level2Long,0))</f>
        <v>#N/A</v>
      </c>
      <c r="AB56" s="220">
        <f>FLAG_Tier2_Frontend[[#This Row],[Data]]</f>
        <v>0</v>
      </c>
      <c r="AC56" s="220" t="str">
        <f t="shared" si="3"/>
        <v>Ha</v>
      </c>
      <c r="AD56" s="220">
        <f>FLAG_Tier2_Backend[[#This Row],[Data]]</f>
        <v>0</v>
      </c>
      <c r="AE56" s="220" t="str">
        <f>FLAG_Tier2_Backend[[#This Row],[Units]]</f>
        <v>Ha</v>
      </c>
      <c r="AF56" s="210">
        <v>0</v>
      </c>
      <c r="AG56" s="210">
        <v>0</v>
      </c>
      <c r="AH56" s="210">
        <v>0</v>
      </c>
      <c r="AI56" s="210">
        <v>0</v>
      </c>
      <c r="AJ56" s="210">
        <v>0</v>
      </c>
      <c r="AK56" s="210">
        <v>0</v>
      </c>
      <c r="AL56" s="220">
        <f>SUM(FLAG_Tier2_Backend[[#This Row],[Scope 1 (tCO2e)]:[Scope 3 WTT T&amp;D (tCO2e)]])</f>
        <v>0</v>
      </c>
      <c r="AM56" s="220" t="e">
        <f ca="1">FLAG_Tier2_Backend[[#This Row],[Total (tCO2e)]]*(1-FLAG_Tier2_Backend[[#This Row],[RSD]])</f>
        <v>#N/A</v>
      </c>
      <c r="AN56" s="220" t="e">
        <f ca="1">FLAG_Tier2_Backend[[#This Row],[Total (tCO2e)]]*(1+FLAG_Tier2_Backend[[#This Row],[RSD]])</f>
        <v>#N/A</v>
      </c>
      <c r="AO56" s="210">
        <f>FLAG_Tier2_Frontend[[#This Row],[Emissions removed (tCO2e)]]</f>
        <v>0</v>
      </c>
      <c r="AP56" s="174">
        <f>FLAG_Tier2_Frontend[[#This Row],[Ease of collection]]</f>
        <v>0</v>
      </c>
      <c r="AQ56" s="213"/>
      <c r="AR56" s="213">
        <f>FLAG_Tier2_Frontend[[#This Row],[Notes]]</f>
        <v>0</v>
      </c>
    </row>
    <row r="57" spans="2:44" x14ac:dyDescent="0.3">
      <c r="E57" s="342"/>
      <c r="F57" s="347"/>
      <c r="G57" s="347"/>
      <c r="H57" s="334"/>
      <c r="I57" s="240" t="s">
        <v>410</v>
      </c>
      <c r="J57" s="334"/>
      <c r="K57" s="336"/>
      <c r="L57" s="337"/>
      <c r="M57" s="242">
        <f t="shared" si="4"/>
        <v>5</v>
      </c>
      <c r="Q57" s="212" t="str">
        <f t="shared" si="2"/>
        <v/>
      </c>
      <c r="R57" s="174" t="s">
        <v>200</v>
      </c>
      <c r="S57" s="174" t="s">
        <v>411</v>
      </c>
      <c r="T57" s="235" t="s">
        <v>417</v>
      </c>
      <c r="U57" s="174">
        <f>FLAG_Tier2_Frontend[[#This Row],[Soil type]]</f>
        <v>0</v>
      </c>
      <c r="V57" s="174" t="s">
        <v>417</v>
      </c>
      <c r="W57" s="174" t="str">
        <f>IF(FLAG_Tier2_Frontend[[#This Row],[Emissions removed (tCO2e)]]&gt;=0,"Removals","Emissions")</f>
        <v>Removals</v>
      </c>
      <c r="X57" s="174" t="s">
        <v>339</v>
      </c>
      <c r="Y57" s="174" t="s">
        <v>339</v>
      </c>
      <c r="Z57" s="174">
        <f>FLAG_Tier2_Frontend[[#This Row],[Methodology used (IPCC equivalent Tier)]]</f>
        <v>0</v>
      </c>
      <c r="AA57" s="229" t="e" cm="1">
        <f t="array" aca="1" ref="AA57" ca="1">INDEX(_xlfn.SWITCH(FLAG_Tier2_Backend[[#This Row],[Methodology]],"Tier 1",rng_RSD1,"Tier 2",rng_RSD2,"Tier 3",rng_RSD3),MATCH(FLAG_Tier2_Backend[[#This Row],[Level 2]],rng_Level2Long,0))</f>
        <v>#N/A</v>
      </c>
      <c r="AB57" s="220">
        <f>FLAG_Tier2_Frontend[[#This Row],[Data]]</f>
        <v>0</v>
      </c>
      <c r="AC57" s="220" t="str">
        <f t="shared" si="3"/>
        <v>Ha</v>
      </c>
      <c r="AD57" s="220">
        <f>FLAG_Tier2_Backend[[#This Row],[Data]]</f>
        <v>0</v>
      </c>
      <c r="AE57" s="220" t="str">
        <f>FLAG_Tier2_Backend[[#This Row],[Units]]</f>
        <v>Ha</v>
      </c>
      <c r="AF57" s="210">
        <v>0</v>
      </c>
      <c r="AG57" s="210">
        <v>0</v>
      </c>
      <c r="AH57" s="210">
        <v>0</v>
      </c>
      <c r="AI57" s="210">
        <v>0</v>
      </c>
      <c r="AJ57" s="210">
        <v>0</v>
      </c>
      <c r="AK57" s="210">
        <v>0</v>
      </c>
      <c r="AL57" s="220">
        <f>SUM(FLAG_Tier2_Backend[[#This Row],[Scope 1 (tCO2e)]:[Scope 3 WTT T&amp;D (tCO2e)]])</f>
        <v>0</v>
      </c>
      <c r="AM57" s="220" t="e">
        <f ca="1">FLAG_Tier2_Backend[[#This Row],[Total (tCO2e)]]*(1-FLAG_Tier2_Backend[[#This Row],[RSD]])</f>
        <v>#N/A</v>
      </c>
      <c r="AN57" s="220" t="e">
        <f ca="1">FLAG_Tier2_Backend[[#This Row],[Total (tCO2e)]]*(1+FLAG_Tier2_Backend[[#This Row],[RSD]])</f>
        <v>#N/A</v>
      </c>
      <c r="AO57" s="210">
        <f>FLAG_Tier2_Frontend[[#This Row],[Emissions removed (tCO2e)]]</f>
        <v>0</v>
      </c>
      <c r="AP57" s="174">
        <f>FLAG_Tier2_Frontend[[#This Row],[Ease of collection]]</f>
        <v>0</v>
      </c>
      <c r="AQ57" s="213"/>
      <c r="AR57" s="213">
        <f>FLAG_Tier2_Frontend[[#This Row],[Notes]]</f>
        <v>0</v>
      </c>
    </row>
    <row r="58" spans="2:44" x14ac:dyDescent="0.3">
      <c r="E58" s="342"/>
      <c r="F58" s="347"/>
      <c r="G58" s="347"/>
      <c r="H58" s="334"/>
      <c r="I58" s="240" t="s">
        <v>410</v>
      </c>
      <c r="J58" s="334"/>
      <c r="K58" s="336"/>
      <c r="L58" s="337"/>
      <c r="M58" s="242">
        <f t="shared" si="4"/>
        <v>5</v>
      </c>
      <c r="Q58" s="212" t="str">
        <f t="shared" si="2"/>
        <v/>
      </c>
      <c r="R58" s="174" t="s">
        <v>200</v>
      </c>
      <c r="S58" s="174" t="s">
        <v>411</v>
      </c>
      <c r="T58" s="235" t="s">
        <v>417</v>
      </c>
      <c r="U58" s="174">
        <f>FLAG_Tier2_Frontend[[#This Row],[Soil type]]</f>
        <v>0</v>
      </c>
      <c r="V58" s="174" t="s">
        <v>417</v>
      </c>
      <c r="W58" s="174" t="str">
        <f>IF(FLAG_Tier2_Frontend[[#This Row],[Emissions removed (tCO2e)]]&gt;=0,"Removals","Emissions")</f>
        <v>Removals</v>
      </c>
      <c r="X58" s="174" t="s">
        <v>339</v>
      </c>
      <c r="Y58" s="174" t="s">
        <v>339</v>
      </c>
      <c r="Z58" s="174">
        <f>FLAG_Tier2_Frontend[[#This Row],[Methodology used (IPCC equivalent Tier)]]</f>
        <v>0</v>
      </c>
      <c r="AA58" s="229" t="e" cm="1">
        <f t="array" aca="1" ref="AA58" ca="1">INDEX(_xlfn.SWITCH(FLAG_Tier2_Backend[[#This Row],[Methodology]],"Tier 1",rng_RSD1,"Tier 2",rng_RSD2,"Tier 3",rng_RSD3),MATCH(FLAG_Tier2_Backend[[#This Row],[Level 2]],rng_Level2Long,0))</f>
        <v>#N/A</v>
      </c>
      <c r="AB58" s="220">
        <f>FLAG_Tier2_Frontend[[#This Row],[Data]]</f>
        <v>0</v>
      </c>
      <c r="AC58" s="220" t="str">
        <f t="shared" si="3"/>
        <v>Ha</v>
      </c>
      <c r="AD58" s="220">
        <f>FLAG_Tier2_Backend[[#This Row],[Data]]</f>
        <v>0</v>
      </c>
      <c r="AE58" s="220" t="str">
        <f>FLAG_Tier2_Backend[[#This Row],[Units]]</f>
        <v>Ha</v>
      </c>
      <c r="AF58" s="210">
        <v>0</v>
      </c>
      <c r="AG58" s="210">
        <v>0</v>
      </c>
      <c r="AH58" s="210">
        <v>0</v>
      </c>
      <c r="AI58" s="210">
        <v>0</v>
      </c>
      <c r="AJ58" s="210">
        <v>0</v>
      </c>
      <c r="AK58" s="210">
        <v>0</v>
      </c>
      <c r="AL58" s="220">
        <f>SUM(FLAG_Tier2_Backend[[#This Row],[Scope 1 (tCO2e)]:[Scope 3 WTT T&amp;D (tCO2e)]])</f>
        <v>0</v>
      </c>
      <c r="AM58" s="220" t="e">
        <f ca="1">FLAG_Tier2_Backend[[#This Row],[Total (tCO2e)]]*(1-FLAG_Tier2_Backend[[#This Row],[RSD]])</f>
        <v>#N/A</v>
      </c>
      <c r="AN58" s="220" t="e">
        <f ca="1">FLAG_Tier2_Backend[[#This Row],[Total (tCO2e)]]*(1+FLAG_Tier2_Backend[[#This Row],[RSD]])</f>
        <v>#N/A</v>
      </c>
      <c r="AO58" s="210">
        <f>FLAG_Tier2_Frontend[[#This Row],[Emissions removed (tCO2e)]]</f>
        <v>0</v>
      </c>
      <c r="AP58" s="174">
        <f>FLAG_Tier2_Frontend[[#This Row],[Ease of collection]]</f>
        <v>0</v>
      </c>
      <c r="AQ58" s="213"/>
      <c r="AR58" s="213">
        <f>FLAG_Tier2_Frontend[[#This Row],[Notes]]</f>
        <v>0</v>
      </c>
    </row>
    <row r="59" spans="2:44" x14ac:dyDescent="0.3">
      <c r="E59" s="342"/>
      <c r="F59" s="347"/>
      <c r="G59" s="347"/>
      <c r="H59" s="334"/>
      <c r="I59" s="240" t="s">
        <v>410</v>
      </c>
      <c r="J59" s="334"/>
      <c r="K59" s="336"/>
      <c r="L59" s="337"/>
      <c r="M59" s="242">
        <f t="shared" si="4"/>
        <v>5</v>
      </c>
      <c r="Q59" s="212" t="str">
        <f t="shared" si="2"/>
        <v/>
      </c>
      <c r="R59" s="174" t="s">
        <v>200</v>
      </c>
      <c r="S59" s="174" t="s">
        <v>411</v>
      </c>
      <c r="T59" s="235" t="s">
        <v>417</v>
      </c>
      <c r="U59" s="174">
        <f>FLAG_Tier2_Frontend[[#This Row],[Soil type]]</f>
        <v>0</v>
      </c>
      <c r="V59" s="174" t="s">
        <v>417</v>
      </c>
      <c r="W59" s="174" t="str">
        <f>IF(FLAG_Tier2_Frontend[[#This Row],[Emissions removed (tCO2e)]]&gt;=0,"Removals","Emissions")</f>
        <v>Removals</v>
      </c>
      <c r="X59" s="174" t="s">
        <v>339</v>
      </c>
      <c r="Y59" s="174" t="s">
        <v>339</v>
      </c>
      <c r="Z59" s="174">
        <f>FLAG_Tier2_Frontend[[#This Row],[Methodology used (IPCC equivalent Tier)]]</f>
        <v>0</v>
      </c>
      <c r="AA59" s="229" t="e" cm="1">
        <f t="array" aca="1" ref="AA59" ca="1">INDEX(_xlfn.SWITCH(FLAG_Tier2_Backend[[#This Row],[Methodology]],"Tier 1",rng_RSD1,"Tier 2",rng_RSD2,"Tier 3",rng_RSD3),MATCH(FLAG_Tier2_Backend[[#This Row],[Level 2]],rng_Level2Long,0))</f>
        <v>#N/A</v>
      </c>
      <c r="AB59" s="220">
        <f>FLAG_Tier2_Frontend[[#This Row],[Data]]</f>
        <v>0</v>
      </c>
      <c r="AC59" s="220" t="str">
        <f t="shared" si="3"/>
        <v>Ha</v>
      </c>
      <c r="AD59" s="220">
        <f>FLAG_Tier2_Backend[[#This Row],[Data]]</f>
        <v>0</v>
      </c>
      <c r="AE59" s="220" t="str">
        <f>FLAG_Tier2_Backend[[#This Row],[Units]]</f>
        <v>Ha</v>
      </c>
      <c r="AF59" s="210">
        <v>0</v>
      </c>
      <c r="AG59" s="210">
        <v>0</v>
      </c>
      <c r="AH59" s="210">
        <v>0</v>
      </c>
      <c r="AI59" s="210">
        <v>0</v>
      </c>
      <c r="AJ59" s="210">
        <v>0</v>
      </c>
      <c r="AK59" s="210">
        <v>0</v>
      </c>
      <c r="AL59" s="220">
        <f>SUM(FLAG_Tier2_Backend[[#This Row],[Scope 1 (tCO2e)]:[Scope 3 WTT T&amp;D (tCO2e)]])</f>
        <v>0</v>
      </c>
      <c r="AM59" s="220" t="e">
        <f ca="1">FLAG_Tier2_Backend[[#This Row],[Total (tCO2e)]]*(1-FLAG_Tier2_Backend[[#This Row],[RSD]])</f>
        <v>#N/A</v>
      </c>
      <c r="AN59" s="220" t="e">
        <f ca="1">FLAG_Tier2_Backend[[#This Row],[Total (tCO2e)]]*(1+FLAG_Tier2_Backend[[#This Row],[RSD]])</f>
        <v>#N/A</v>
      </c>
      <c r="AO59" s="210">
        <f>FLAG_Tier2_Frontend[[#This Row],[Emissions removed (tCO2e)]]</f>
        <v>0</v>
      </c>
      <c r="AP59" s="174">
        <f>FLAG_Tier2_Frontend[[#This Row],[Ease of collection]]</f>
        <v>0</v>
      </c>
      <c r="AQ59" s="213"/>
      <c r="AR59" s="213">
        <f>FLAG_Tier2_Frontend[[#This Row],[Notes]]</f>
        <v>0</v>
      </c>
    </row>
    <row r="60" spans="2:44" x14ac:dyDescent="0.3">
      <c r="E60" s="342"/>
      <c r="F60" s="347"/>
      <c r="G60" s="347"/>
      <c r="H60" s="334"/>
      <c r="I60" s="240" t="s">
        <v>410</v>
      </c>
      <c r="J60" s="334"/>
      <c r="K60" s="336"/>
      <c r="L60" s="337"/>
      <c r="M60" s="242">
        <f t="shared" si="4"/>
        <v>5</v>
      </c>
      <c r="Q60" s="212" t="str">
        <f t="shared" si="2"/>
        <v/>
      </c>
      <c r="R60" s="174" t="s">
        <v>200</v>
      </c>
      <c r="S60" s="174" t="s">
        <v>411</v>
      </c>
      <c r="T60" s="235" t="s">
        <v>417</v>
      </c>
      <c r="U60" s="174">
        <f>FLAG_Tier2_Frontend[[#This Row],[Soil type]]</f>
        <v>0</v>
      </c>
      <c r="V60" s="174" t="s">
        <v>417</v>
      </c>
      <c r="W60" s="174" t="str">
        <f>IF(FLAG_Tier2_Frontend[[#This Row],[Emissions removed (tCO2e)]]&gt;=0,"Removals","Emissions")</f>
        <v>Removals</v>
      </c>
      <c r="X60" s="174" t="s">
        <v>339</v>
      </c>
      <c r="Y60" s="174" t="s">
        <v>339</v>
      </c>
      <c r="Z60" s="174">
        <f>FLAG_Tier2_Frontend[[#This Row],[Methodology used (IPCC equivalent Tier)]]</f>
        <v>0</v>
      </c>
      <c r="AA60" s="229" t="e" cm="1">
        <f t="array" aca="1" ref="AA60" ca="1">INDEX(_xlfn.SWITCH(FLAG_Tier2_Backend[[#This Row],[Methodology]],"Tier 1",rng_RSD1,"Tier 2",rng_RSD2,"Tier 3",rng_RSD3),MATCH(FLAG_Tier2_Backend[[#This Row],[Level 2]],rng_Level2Long,0))</f>
        <v>#N/A</v>
      </c>
      <c r="AB60" s="220">
        <f>FLAG_Tier2_Frontend[[#This Row],[Data]]</f>
        <v>0</v>
      </c>
      <c r="AC60" s="220" t="str">
        <f t="shared" si="3"/>
        <v>Ha</v>
      </c>
      <c r="AD60" s="220">
        <f>FLAG_Tier2_Backend[[#This Row],[Data]]</f>
        <v>0</v>
      </c>
      <c r="AE60" s="220" t="str">
        <f>FLAG_Tier2_Backend[[#This Row],[Units]]</f>
        <v>Ha</v>
      </c>
      <c r="AF60" s="210">
        <v>0</v>
      </c>
      <c r="AG60" s="210">
        <v>0</v>
      </c>
      <c r="AH60" s="210">
        <v>0</v>
      </c>
      <c r="AI60" s="210">
        <v>0</v>
      </c>
      <c r="AJ60" s="210">
        <v>0</v>
      </c>
      <c r="AK60" s="210">
        <v>0</v>
      </c>
      <c r="AL60" s="220">
        <f>SUM(FLAG_Tier2_Backend[[#This Row],[Scope 1 (tCO2e)]:[Scope 3 WTT T&amp;D (tCO2e)]])</f>
        <v>0</v>
      </c>
      <c r="AM60" s="220" t="e">
        <f ca="1">FLAG_Tier2_Backend[[#This Row],[Total (tCO2e)]]*(1-FLAG_Tier2_Backend[[#This Row],[RSD]])</f>
        <v>#N/A</v>
      </c>
      <c r="AN60" s="220" t="e">
        <f ca="1">FLAG_Tier2_Backend[[#This Row],[Total (tCO2e)]]*(1+FLAG_Tier2_Backend[[#This Row],[RSD]])</f>
        <v>#N/A</v>
      </c>
      <c r="AO60" s="210">
        <f>FLAG_Tier2_Frontend[[#This Row],[Emissions removed (tCO2e)]]</f>
        <v>0</v>
      </c>
      <c r="AP60" s="174">
        <f>FLAG_Tier2_Frontend[[#This Row],[Ease of collection]]</f>
        <v>0</v>
      </c>
      <c r="AQ60" s="213"/>
      <c r="AR60" s="213">
        <f>FLAG_Tier2_Frontend[[#This Row],[Notes]]</f>
        <v>0</v>
      </c>
    </row>
    <row r="61" spans="2:44" x14ac:dyDescent="0.3">
      <c r="E61" s="342"/>
      <c r="F61" s="347"/>
      <c r="G61" s="347"/>
      <c r="H61" s="334"/>
      <c r="I61" s="240" t="s">
        <v>410</v>
      </c>
      <c r="J61" s="334"/>
      <c r="K61" s="336"/>
      <c r="L61" s="337"/>
      <c r="M61" s="242">
        <f t="shared" si="4"/>
        <v>5</v>
      </c>
      <c r="Q61" s="212" t="str">
        <f t="shared" si="2"/>
        <v/>
      </c>
      <c r="R61" s="174" t="s">
        <v>200</v>
      </c>
      <c r="S61" s="174" t="s">
        <v>411</v>
      </c>
      <c r="T61" s="235" t="s">
        <v>417</v>
      </c>
      <c r="U61" s="174">
        <f>FLAG_Tier2_Frontend[[#This Row],[Soil type]]</f>
        <v>0</v>
      </c>
      <c r="V61" s="174" t="s">
        <v>417</v>
      </c>
      <c r="W61" s="174" t="str">
        <f>IF(FLAG_Tier2_Frontend[[#This Row],[Emissions removed (tCO2e)]]&gt;=0,"Removals","Emissions")</f>
        <v>Removals</v>
      </c>
      <c r="X61" s="174" t="s">
        <v>339</v>
      </c>
      <c r="Y61" s="174" t="s">
        <v>339</v>
      </c>
      <c r="Z61" s="174">
        <f>FLAG_Tier2_Frontend[[#This Row],[Methodology used (IPCC equivalent Tier)]]</f>
        <v>0</v>
      </c>
      <c r="AA61" s="229" t="e" cm="1">
        <f t="array" aca="1" ref="AA61" ca="1">INDEX(_xlfn.SWITCH(FLAG_Tier2_Backend[[#This Row],[Methodology]],"Tier 1",rng_RSD1,"Tier 2",rng_RSD2,"Tier 3",rng_RSD3),MATCH(FLAG_Tier2_Backend[[#This Row],[Level 2]],rng_Level2Long,0))</f>
        <v>#N/A</v>
      </c>
      <c r="AB61" s="220">
        <f>FLAG_Tier2_Frontend[[#This Row],[Data]]</f>
        <v>0</v>
      </c>
      <c r="AC61" s="220" t="str">
        <f t="shared" si="3"/>
        <v>Ha</v>
      </c>
      <c r="AD61" s="220">
        <f>FLAG_Tier2_Backend[[#This Row],[Data]]</f>
        <v>0</v>
      </c>
      <c r="AE61" s="220" t="str">
        <f>FLAG_Tier2_Backend[[#This Row],[Units]]</f>
        <v>Ha</v>
      </c>
      <c r="AF61" s="210">
        <v>0</v>
      </c>
      <c r="AG61" s="210">
        <v>0</v>
      </c>
      <c r="AH61" s="210">
        <v>0</v>
      </c>
      <c r="AI61" s="210">
        <v>0</v>
      </c>
      <c r="AJ61" s="210">
        <v>0</v>
      </c>
      <c r="AK61" s="210">
        <v>0</v>
      </c>
      <c r="AL61" s="220">
        <f>SUM(FLAG_Tier2_Backend[[#This Row],[Scope 1 (tCO2e)]:[Scope 3 WTT T&amp;D (tCO2e)]])</f>
        <v>0</v>
      </c>
      <c r="AM61" s="220" t="e">
        <f ca="1">FLAG_Tier2_Backend[[#This Row],[Total (tCO2e)]]*(1-FLAG_Tier2_Backend[[#This Row],[RSD]])</f>
        <v>#N/A</v>
      </c>
      <c r="AN61" s="220" t="e">
        <f ca="1">FLAG_Tier2_Backend[[#This Row],[Total (tCO2e)]]*(1+FLAG_Tier2_Backend[[#This Row],[RSD]])</f>
        <v>#N/A</v>
      </c>
      <c r="AO61" s="210">
        <f>FLAG_Tier2_Frontend[[#This Row],[Emissions removed (tCO2e)]]</f>
        <v>0</v>
      </c>
      <c r="AP61" s="174">
        <f>FLAG_Tier2_Frontend[[#This Row],[Ease of collection]]</f>
        <v>0</v>
      </c>
      <c r="AQ61" s="213"/>
      <c r="AR61" s="213">
        <f>FLAG_Tier2_Frontend[[#This Row],[Notes]]</f>
        <v>0</v>
      </c>
    </row>
    <row r="62" spans="2:44" x14ac:dyDescent="0.3">
      <c r="E62" s="342"/>
      <c r="F62" s="347"/>
      <c r="G62" s="347"/>
      <c r="H62" s="335"/>
      <c r="I62" s="240" t="s">
        <v>410</v>
      </c>
      <c r="J62" s="335"/>
      <c r="K62" s="338"/>
      <c r="L62" s="337"/>
      <c r="M62" s="242">
        <f t="shared" si="4"/>
        <v>5</v>
      </c>
      <c r="Q62" s="212" t="str">
        <f t="shared" si="2"/>
        <v/>
      </c>
      <c r="R62" s="174" t="s">
        <v>200</v>
      </c>
      <c r="S62" s="174" t="s">
        <v>411</v>
      </c>
      <c r="T62" s="235" t="s">
        <v>417</v>
      </c>
      <c r="U62" s="174">
        <f>FLAG_Tier2_Frontend[[#This Row],[Soil type]]</f>
        <v>0</v>
      </c>
      <c r="V62" s="174" t="s">
        <v>417</v>
      </c>
      <c r="W62" s="174" t="str">
        <f>IF(FLAG_Tier2_Frontend[[#This Row],[Emissions removed (tCO2e)]]&gt;=0,"Removals","Emissions")</f>
        <v>Removals</v>
      </c>
      <c r="X62" s="174" t="s">
        <v>339</v>
      </c>
      <c r="Y62" s="174" t="s">
        <v>339</v>
      </c>
      <c r="Z62" s="174">
        <f>FLAG_Tier2_Frontend[[#This Row],[Methodology used (IPCC equivalent Tier)]]</f>
        <v>0</v>
      </c>
      <c r="AA62" s="229" t="e" cm="1">
        <f t="array" aca="1" ref="AA62" ca="1">INDEX(_xlfn.SWITCH(FLAG_Tier2_Backend[[#This Row],[Methodology]],"Tier 1",rng_RSD1,"Tier 2",rng_RSD2,"Tier 3",rng_RSD3),MATCH(FLAG_Tier2_Backend[[#This Row],[Level 2]],rng_Level2Long,0))</f>
        <v>#N/A</v>
      </c>
      <c r="AB62" s="220">
        <f>FLAG_Tier2_Frontend[[#This Row],[Data]]</f>
        <v>0</v>
      </c>
      <c r="AC62" s="220" t="str">
        <f t="shared" si="3"/>
        <v>Ha</v>
      </c>
      <c r="AD62" s="220">
        <f>FLAG_Tier2_Backend[[#This Row],[Data]]</f>
        <v>0</v>
      </c>
      <c r="AE62" s="220" t="str">
        <f>FLAG_Tier2_Backend[[#This Row],[Units]]</f>
        <v>Ha</v>
      </c>
      <c r="AF62" s="210">
        <v>0</v>
      </c>
      <c r="AG62" s="210">
        <v>0</v>
      </c>
      <c r="AH62" s="210">
        <v>0</v>
      </c>
      <c r="AI62" s="210">
        <v>0</v>
      </c>
      <c r="AJ62" s="210">
        <v>0</v>
      </c>
      <c r="AK62" s="210">
        <v>0</v>
      </c>
      <c r="AL62" s="220">
        <f>SUM(FLAG_Tier2_Backend[[#This Row],[Scope 1 (tCO2e)]:[Scope 3 WTT T&amp;D (tCO2e)]])</f>
        <v>0</v>
      </c>
      <c r="AM62" s="220" t="e">
        <f ca="1">FLAG_Tier2_Backend[[#This Row],[Total (tCO2e)]]*(1-FLAG_Tier2_Backend[[#This Row],[RSD]])</f>
        <v>#N/A</v>
      </c>
      <c r="AN62" s="220" t="e">
        <f ca="1">FLAG_Tier2_Backend[[#This Row],[Total (tCO2e)]]*(1+FLAG_Tier2_Backend[[#This Row],[RSD]])</f>
        <v>#N/A</v>
      </c>
      <c r="AO62" s="210">
        <f>FLAG_Tier2_Frontend[[#This Row],[Emissions removed (tCO2e)]]</f>
        <v>0</v>
      </c>
      <c r="AP62" s="216">
        <f>FLAG_Tier2_Frontend[[#This Row],[Ease of collection]]</f>
        <v>0</v>
      </c>
      <c r="AQ62" s="228"/>
      <c r="AR62" s="228">
        <f>FLAG_Tier2_Frontend[[#This Row],[Notes]]</f>
        <v>0</v>
      </c>
    </row>
    <row r="63" spans="2:44" x14ac:dyDescent="0.3">
      <c r="E63" s="344"/>
      <c r="F63" s="349"/>
      <c r="G63" s="349"/>
      <c r="H63" s="335"/>
      <c r="I63" s="240" t="s">
        <v>410</v>
      </c>
      <c r="J63" s="335"/>
      <c r="K63" s="338"/>
      <c r="L63" s="339"/>
      <c r="M63" s="242">
        <f t="shared" si="4"/>
        <v>5</v>
      </c>
      <c r="Q63" s="214" t="str">
        <f t="shared" si="2"/>
        <v/>
      </c>
      <c r="R63" s="174" t="s">
        <v>200</v>
      </c>
      <c r="S63" s="174" t="s">
        <v>411</v>
      </c>
      <c r="T63" s="235" t="s">
        <v>417</v>
      </c>
      <c r="U63" s="174">
        <f>FLAG_Tier2_Frontend[[#This Row],[Soil type]]</f>
        <v>0</v>
      </c>
      <c r="V63" s="174" t="s">
        <v>417</v>
      </c>
      <c r="W63" s="216" t="str">
        <f>IF(FLAG_Tier2_Frontend[[#This Row],[Emissions removed (tCO2e)]]&gt;=0,"Removals","Emissions")</f>
        <v>Removals</v>
      </c>
      <c r="X63" s="174" t="s">
        <v>339</v>
      </c>
      <c r="Y63" s="174" t="s">
        <v>339</v>
      </c>
      <c r="Z63" s="216">
        <f>FLAG_Tier2_Frontend[[#This Row],[Methodology used (IPCC equivalent Tier)]]</f>
        <v>0</v>
      </c>
      <c r="AA63" s="229" t="e" cm="1">
        <f t="array" aca="1" ref="AA63" ca="1">INDEX(_xlfn.SWITCH(FLAG_Tier2_Backend[[#This Row],[Methodology]],"Tier 1",rng_RSD1,"Tier 2",rng_RSD2,"Tier 3",rng_RSD3),MATCH(FLAG_Tier2_Backend[[#This Row],[Level 2]],rng_Level2Long,0))</f>
        <v>#N/A</v>
      </c>
      <c r="AB63" s="221">
        <f>FLAG_Tier2_Frontend[[#This Row],[Data]]</f>
        <v>0</v>
      </c>
      <c r="AC63" s="221" t="str">
        <f t="shared" si="3"/>
        <v>Ha</v>
      </c>
      <c r="AD63" s="220">
        <f>FLAG_Tier2_Backend[[#This Row],[Data]]</f>
        <v>0</v>
      </c>
      <c r="AE63" s="221" t="str">
        <f>FLAG_Tier2_Backend[[#This Row],[Units]]</f>
        <v>Ha</v>
      </c>
      <c r="AF63" s="210">
        <v>0</v>
      </c>
      <c r="AG63" s="210">
        <v>0</v>
      </c>
      <c r="AH63" s="210">
        <v>0</v>
      </c>
      <c r="AI63" s="210">
        <v>0</v>
      </c>
      <c r="AJ63" s="210">
        <v>0</v>
      </c>
      <c r="AK63" s="210">
        <v>0</v>
      </c>
      <c r="AL63" s="220">
        <f>SUM(FLAG_Tier2_Backend[[#This Row],[Scope 1 (tCO2e)]:[Scope 3 WTT T&amp;D (tCO2e)]])</f>
        <v>0</v>
      </c>
      <c r="AM63" s="220" t="e">
        <f ca="1">FLAG_Tier2_Backend[[#This Row],[Total (tCO2e)]]*(1-FLAG_Tier2_Backend[[#This Row],[RSD]])</f>
        <v>#N/A</v>
      </c>
      <c r="AN63" s="220" t="e">
        <f ca="1">FLAG_Tier2_Backend[[#This Row],[Total (tCO2e)]]*(1+FLAG_Tier2_Backend[[#This Row],[RSD]])</f>
        <v>#N/A</v>
      </c>
      <c r="AO63" s="210">
        <f>FLAG_Tier2_Frontend[[#This Row],[Emissions removed (tCO2e)]]</f>
        <v>0</v>
      </c>
      <c r="AP63" s="216">
        <f>FLAG_Tier2_Frontend[[#This Row],[Ease of collection]]</f>
        <v>0</v>
      </c>
      <c r="AQ63" s="228"/>
      <c r="AR63" s="228">
        <f>FLAG_Tier2_Frontend[[#This Row],[Notes]]</f>
        <v>0</v>
      </c>
    </row>
    <row r="64" spans="2:44" ht="14.5" thickBot="1" x14ac:dyDescent="0.3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row>
    <row r="65" spans="2:56" x14ac:dyDescent="0.3"/>
    <row r="66" spans="2:56" x14ac:dyDescent="0.3">
      <c r="B66" s="159" t="s">
        <v>12</v>
      </c>
      <c r="E66" s="160" t="s">
        <v>148</v>
      </c>
    </row>
    <row r="67" spans="2:56" ht="14.5" x14ac:dyDescent="0.35">
      <c r="AU67"/>
      <c r="AV67"/>
      <c r="AW67"/>
      <c r="AX67"/>
      <c r="AY67"/>
      <c r="AZ67"/>
      <c r="BA67"/>
      <c r="BB67"/>
      <c r="BC67"/>
      <c r="BD67"/>
    </row>
    <row r="68" spans="2:56" ht="32.15" customHeight="1" x14ac:dyDescent="0.35">
      <c r="B68" s="455" t="s">
        <v>418</v>
      </c>
      <c r="E68" s="257" t="s">
        <v>419</v>
      </c>
      <c r="F68" s="258" t="s">
        <v>331</v>
      </c>
      <c r="G68" s="258" t="s">
        <v>287</v>
      </c>
      <c r="H68" s="258" t="s">
        <v>288</v>
      </c>
      <c r="I68" s="258" t="s">
        <v>289</v>
      </c>
      <c r="J68" s="258" t="s">
        <v>291</v>
      </c>
      <c r="K68" s="258" t="s">
        <v>292</v>
      </c>
      <c r="L68" s="259" t="s">
        <v>293</v>
      </c>
      <c r="M68" s="188">
        <f>AVERAGEIF($M$69:$M$89,"&lt;&gt;0",$M$69:$M$89)</f>
        <v>4</v>
      </c>
      <c r="N68"/>
      <c r="Q68" s="225" t="s">
        <v>294</v>
      </c>
      <c r="R68" s="226" t="s">
        <v>295</v>
      </c>
      <c r="S68" s="226" t="s">
        <v>296</v>
      </c>
      <c r="T68" s="226" t="s">
        <v>297</v>
      </c>
      <c r="U68" s="226" t="s">
        <v>298</v>
      </c>
      <c r="V68" s="226" t="s">
        <v>299</v>
      </c>
      <c r="W68" s="226" t="s">
        <v>300</v>
      </c>
      <c r="X68" s="226" t="s">
        <v>301</v>
      </c>
      <c r="Y68" s="226" t="s">
        <v>302</v>
      </c>
      <c r="Z68" s="226" t="s">
        <v>287</v>
      </c>
      <c r="AA68" s="226" t="s">
        <v>303</v>
      </c>
      <c r="AB68" s="226" t="s">
        <v>288</v>
      </c>
      <c r="AC68" s="226" t="s">
        <v>289</v>
      </c>
      <c r="AD68" s="286" t="s">
        <v>304</v>
      </c>
      <c r="AE68" s="286" t="s">
        <v>305</v>
      </c>
      <c r="AF68" s="286" t="s">
        <v>306</v>
      </c>
      <c r="AG68" s="286" t="s">
        <v>307</v>
      </c>
      <c r="AH68" s="286" t="s">
        <v>308</v>
      </c>
      <c r="AI68" s="286" t="s">
        <v>309</v>
      </c>
      <c r="AJ68" s="286" t="s">
        <v>310</v>
      </c>
      <c r="AK68" s="286" t="s">
        <v>311</v>
      </c>
      <c r="AL68" s="286" t="s">
        <v>312</v>
      </c>
      <c r="AM68" s="286" t="s">
        <v>313</v>
      </c>
      <c r="AN68" s="286" t="s">
        <v>314</v>
      </c>
      <c r="AO68" s="286" t="s">
        <v>315</v>
      </c>
      <c r="AP68" s="286" t="s">
        <v>291</v>
      </c>
      <c r="AQ68" s="288" t="s">
        <v>292</v>
      </c>
      <c r="AR68" s="227" t="s">
        <v>293</v>
      </c>
      <c r="AU68"/>
      <c r="AV68"/>
      <c r="AW68"/>
      <c r="AX68"/>
      <c r="AY68"/>
      <c r="AZ68"/>
      <c r="BA68"/>
      <c r="BB68"/>
      <c r="BC68"/>
      <c r="BD68"/>
    </row>
    <row r="69" spans="2:56" ht="14.5" x14ac:dyDescent="0.35">
      <c r="B69" s="455"/>
      <c r="E69" s="346"/>
      <c r="F69" s="336"/>
      <c r="G69" s="172" t="s">
        <v>198</v>
      </c>
      <c r="H69" s="347"/>
      <c r="I69" s="336"/>
      <c r="J69" s="336"/>
      <c r="K69" s="336"/>
      <c r="L69" s="361"/>
      <c r="M69" s="242">
        <f>ISBLANK(E69)+ISBLANK(F69)+ISBLANK(H69)+ISBLANK(I69)</f>
        <v>4</v>
      </c>
      <c r="Q69" s="212" t="str">
        <f t="shared" ref="Q69:Q89" si="5">IF(M69=0,SUBSTITUTE(2025&amp;TRIM(cl_org_name_select)&amp;TRIM($E$66)&amp;(ROW(M69)-ROW($M$69))," ",""),"")</f>
        <v/>
      </c>
      <c r="R69" s="174" t="s">
        <v>200</v>
      </c>
      <c r="S69" s="174" t="s">
        <v>148</v>
      </c>
      <c r="T69" s="235" t="s">
        <v>148</v>
      </c>
      <c r="U69" s="174">
        <f>Agriculture_Frontend[[#This Row],[Agriculture emission source]]</f>
        <v>0</v>
      </c>
      <c r="V69" s="174">
        <f>Agriculture_Frontend[[#This Row],[Type]]</f>
        <v>0</v>
      </c>
      <c r="W69" s="174" t="e" cm="1">
        <f t="array" aca="1" ref="W69" ca="1">_xlfn.XLOOKUP(Agriculture_Backend[[#This Row],[Level 5]],rng_Level5Long,rng_Level6Long)</f>
        <v>#N/A</v>
      </c>
      <c r="X69" s="174" t="s">
        <v>339</v>
      </c>
      <c r="Y69" s="174" t="s">
        <v>339</v>
      </c>
      <c r="Z69" s="174" t="s">
        <v>198</v>
      </c>
      <c r="AA69" s="229" t="e" cm="1">
        <f t="array" aca="1" ref="AA69" ca="1">_xlfn.LET(_xlpm.LookupConcat,_xlfn.CONCAT(Agriculture_Backend[[#This Row],[Level 1]:[Level 6]]),_xlfn.XLOOKUP(_xlpm.LookupConcat,rng_LevelsConcat,_xlfn.SWITCH(Agriculture_Backend[[#This Row],[Methodology]],"Tier 1",rng_RSD1,"Tier 2",rng_RSD2,"Tier 3",rng_RSD3)))</f>
        <v>#N/A</v>
      </c>
      <c r="AB69" s="220">
        <f>Agriculture_Frontend[[#This Row],[Data]]</f>
        <v>0</v>
      </c>
      <c r="AC69" s="220">
        <f>Agriculture_Frontend[[#This Row],[Units]]</f>
        <v>0</v>
      </c>
      <c r="AD69" s="220" t="e">
        <f ca="1">IF(Agriculture_Backend[[#This Row],[Units]]=Agriculture_Backend[[#This Row],[Standard units]],Agriculture_Backend[[#This Row],[Data]],Agriculture_Backend[[#This Row],[Data]]*_xlfn.XLOOKUP(_xlfn.CONCAT(Agriculture_Backend[[#This Row],[Level 1]:[Level 6]]),rng_EFConcat,rng_EFConversion))</f>
        <v>#N/A</v>
      </c>
      <c r="AE69" s="174" t="e" cm="1">
        <f t="array" aca="1" ref="AE69" ca="1">_xlfn.XLOOKUP(_xlfn.CONCAT(Agriculture_Backend[[#This Row],[Level 1]:[Level 6]]),rng_LevelsConcat,rng_UnitsLong)</f>
        <v>#N/A</v>
      </c>
      <c r="AF69" s="210" t="e">
        <f ca="1">_xlfn.XLOOKUP(_xlfn.CONCAT(Agriculture_Backend[[#This Row],[Level 1]:[Level 6]]),rng_EFConcat,rng_EF1)*Agriculture_Backend[[#This Row],[Converted data]]/1000</f>
        <v>#N/A</v>
      </c>
      <c r="AG69" s="210" t="e">
        <f ca="1">_xlfn.XLOOKUP(_xlfn.CONCAT(Agriculture_Backend[[#This Row],[Level 1]:[Level 6]]),rng_EFConcat,rng_EF2)*Agriculture_Backend[[#This Row],[Converted data]]/1000</f>
        <v>#N/A</v>
      </c>
      <c r="AH69" s="210" t="e">
        <f ca="1">_xlfn.XLOOKUP(_xlfn.CONCAT(Agriculture_Backend[[#This Row],[Level 1]:[Level 6]]),rng_EFConcat,rng_EF3)*Agriculture_Backend[[#This Row],[Converted data]]/1000</f>
        <v>#N/A</v>
      </c>
      <c r="AI69" s="210" t="e">
        <f ca="1">_xlfn.XLOOKUP(_xlfn.CONCAT(Agriculture_Backend[[#This Row],[Level 1]:[Level 6]]),rng_EFConcat,rng_EF3WTT)*Agriculture_Backend[[#This Row],[Converted data]]/1000</f>
        <v>#N/A</v>
      </c>
      <c r="AJ69" s="210" t="e">
        <f ca="1">_xlfn.XLOOKUP(_xlfn.CONCAT(Agriculture_Backend[[#This Row],[Level 1]:[Level 6]]),rng_EFConcat,rng_EF3TD)*Agriculture_Backend[[#This Row],[Converted data]]/1000</f>
        <v>#N/A</v>
      </c>
      <c r="AK69" s="210" t="e">
        <f ca="1">_xlfn.XLOOKUP(_xlfn.CONCAT(Agriculture_Backend[[#This Row],[Level 1]:[Level 6]]),rng_EFConcat,rng_EF3WTTTD)*Agriculture_Backend[[#This Row],[Converted data]]/1000</f>
        <v>#N/A</v>
      </c>
      <c r="AL69" s="220" t="e">
        <f ca="1">SUM(Agriculture_Backend[[#This Row],[Scope 1 (tCO2e)]:[Scope 3 WTT T&amp;D (tCO2e)]])</f>
        <v>#N/A</v>
      </c>
      <c r="AM69" s="220" t="e">
        <f ca="1">Agriculture_Backend[[#This Row],[Total (tCO2e)]]*(1-Agriculture_Backend[[#This Row],[RSD]])</f>
        <v>#N/A</v>
      </c>
      <c r="AN69" s="220" t="e">
        <f ca="1">Agriculture_Backend[[#This Row],[Total (tCO2e)]]*(1+Agriculture_Backend[[#This Row],[RSD]])</f>
        <v>#N/A</v>
      </c>
      <c r="AO69" s="210" t="e">
        <f ca="1">_xlfn.XLOOKUP(_xlfn.CONCAT(Agriculture_Backend[[#This Row],[Level 1]:[Level 6]]),rng_EFConcat,rng_EFOOS)*Agriculture_Backend[[#This Row],[Converted data]]/1000</f>
        <v>#N/A</v>
      </c>
      <c r="AP69" s="174">
        <f>Agriculture_Frontend[[#This Row],[Ease of collection]]</f>
        <v>0</v>
      </c>
      <c r="AQ69" s="213">
        <f>Agriculture_Frontend[[#This Row],[Completeness]]</f>
        <v>0</v>
      </c>
      <c r="AR69" s="213">
        <f>Agriculture_Frontend[[#This Row],[Notes]]</f>
        <v>0</v>
      </c>
      <c r="AU69"/>
      <c r="AV69"/>
      <c r="AW69"/>
      <c r="AX69"/>
      <c r="AY69"/>
      <c r="AZ69"/>
      <c r="BA69"/>
      <c r="BB69"/>
      <c r="BC69"/>
      <c r="BD69"/>
    </row>
    <row r="70" spans="2:56" ht="14.5" x14ac:dyDescent="0.35">
      <c r="B70" s="455"/>
      <c r="E70" s="346"/>
      <c r="F70" s="336"/>
      <c r="G70" s="172" t="s">
        <v>198</v>
      </c>
      <c r="H70" s="347"/>
      <c r="I70" s="336"/>
      <c r="J70" s="336"/>
      <c r="K70" s="336"/>
      <c r="L70" s="337"/>
      <c r="M70" s="242">
        <f t="shared" ref="M70:M89" si="6">ISBLANK(E70)+ISBLANK(F70)+ISBLANK(H70)+ISBLANK(I70)</f>
        <v>4</v>
      </c>
      <c r="Q70" s="212" t="str">
        <f t="shared" si="5"/>
        <v/>
      </c>
      <c r="R70" s="174" t="s">
        <v>200</v>
      </c>
      <c r="S70" s="174" t="s">
        <v>148</v>
      </c>
      <c r="T70" s="235" t="s">
        <v>148</v>
      </c>
      <c r="U70" s="174">
        <f>Agriculture_Frontend[[#This Row],[Agriculture emission source]]</f>
        <v>0</v>
      </c>
      <c r="V70" s="174">
        <f>Agriculture_Frontend[[#This Row],[Type]]</f>
        <v>0</v>
      </c>
      <c r="W70" s="174" t="e" cm="1">
        <f t="array" aca="1" ref="W70" ca="1">_xlfn.XLOOKUP(Agriculture_Backend[[#This Row],[Level 5]],rng_Level5Long,rng_Level6Long)</f>
        <v>#N/A</v>
      </c>
      <c r="X70" s="174" t="s">
        <v>339</v>
      </c>
      <c r="Y70" s="174" t="s">
        <v>339</v>
      </c>
      <c r="Z70" s="174" t="s">
        <v>198</v>
      </c>
      <c r="AA70" s="229" t="e" cm="1">
        <f t="array" aca="1" ref="AA70" ca="1">_xlfn.LET(_xlpm.LookupConcat,_xlfn.CONCAT(Agriculture_Backend[[#This Row],[Level 1]:[Level 6]]),_xlfn.XLOOKUP(_xlpm.LookupConcat,rng_LevelsConcat,_xlfn.SWITCH(Agriculture_Backend[[#This Row],[Methodology]],"Tier 1",rng_RSD1,"Tier 2",rng_RSD2,"Tier 3",rng_RSD3)))</f>
        <v>#N/A</v>
      </c>
      <c r="AB70" s="220">
        <f>Agriculture_Frontend[[#This Row],[Data]]</f>
        <v>0</v>
      </c>
      <c r="AC70" s="220">
        <f>Agriculture_Frontend[[#This Row],[Units]]</f>
        <v>0</v>
      </c>
      <c r="AD70" s="220" t="e">
        <f ca="1">IF(Agriculture_Backend[[#This Row],[Units]]=Agriculture_Backend[[#This Row],[Standard units]],Agriculture_Backend[[#This Row],[Data]],Agriculture_Backend[[#This Row],[Data]]*_xlfn.XLOOKUP(_xlfn.CONCAT(Agriculture_Backend[[#This Row],[Level 1]:[Level 6]]),rng_EFConcat,rng_EFConversion))</f>
        <v>#N/A</v>
      </c>
      <c r="AE70" s="174" t="e" cm="1">
        <f t="array" aca="1" ref="AE70" ca="1">_xlfn.XLOOKUP(_xlfn.CONCAT(Agriculture_Backend[[#This Row],[Level 1]:[Level 6]]),rng_LevelsConcat,rng_UnitsLong)</f>
        <v>#N/A</v>
      </c>
      <c r="AF70" s="210" t="e">
        <f ca="1">_xlfn.XLOOKUP(_xlfn.CONCAT(Agriculture_Backend[[#This Row],[Level 1]:[Level 6]]),rng_EFConcat,rng_EF1)*Agriculture_Backend[[#This Row],[Converted data]]/1000</f>
        <v>#N/A</v>
      </c>
      <c r="AG70" s="210" t="e">
        <f ca="1">_xlfn.XLOOKUP(_xlfn.CONCAT(Agriculture_Backend[[#This Row],[Level 1]:[Level 6]]),rng_EFConcat,rng_EF2)*Agriculture_Backend[[#This Row],[Converted data]]/1000</f>
        <v>#N/A</v>
      </c>
      <c r="AH70" s="210" t="e">
        <f ca="1">_xlfn.XLOOKUP(_xlfn.CONCAT(Agriculture_Backend[[#This Row],[Level 1]:[Level 6]]),rng_EFConcat,rng_EF3)*Agriculture_Backend[[#This Row],[Converted data]]/1000</f>
        <v>#N/A</v>
      </c>
      <c r="AI70" s="210" t="e">
        <f ca="1">_xlfn.XLOOKUP(_xlfn.CONCAT(Agriculture_Backend[[#This Row],[Level 1]:[Level 6]]),rng_EFConcat,rng_EF3WTT)*Agriculture_Backend[[#This Row],[Converted data]]/1000</f>
        <v>#N/A</v>
      </c>
      <c r="AJ70" s="210" t="e">
        <f ca="1">_xlfn.XLOOKUP(_xlfn.CONCAT(Agriculture_Backend[[#This Row],[Level 1]:[Level 6]]),rng_EFConcat,rng_EF3TD)*Agriculture_Backend[[#This Row],[Converted data]]/1000</f>
        <v>#N/A</v>
      </c>
      <c r="AK70" s="210" t="e">
        <f ca="1">_xlfn.XLOOKUP(_xlfn.CONCAT(Agriculture_Backend[[#This Row],[Level 1]:[Level 6]]),rng_EFConcat,rng_EF3WTTTD)*Agriculture_Backend[[#This Row],[Converted data]]/1000</f>
        <v>#N/A</v>
      </c>
      <c r="AL70" s="220" t="e">
        <f ca="1">SUM(Agriculture_Backend[[#This Row],[Scope 1 (tCO2e)]:[Scope 3 WTT T&amp;D (tCO2e)]])</f>
        <v>#N/A</v>
      </c>
      <c r="AM70" s="220" t="e">
        <f ca="1">Agriculture_Backend[[#This Row],[Total (tCO2e)]]*(1-Agriculture_Backend[[#This Row],[RSD]])</f>
        <v>#N/A</v>
      </c>
      <c r="AN70" s="220" t="e">
        <f ca="1">Agriculture_Backend[[#This Row],[Total (tCO2e)]]*(1+Agriculture_Backend[[#This Row],[RSD]])</f>
        <v>#N/A</v>
      </c>
      <c r="AO70" s="210" t="e">
        <f ca="1">_xlfn.XLOOKUP(_xlfn.CONCAT(Agriculture_Backend[[#This Row],[Level 1]:[Level 6]]),rng_EFConcat,rng_EFOOS)*Agriculture_Backend[[#This Row],[Converted data]]/1000</f>
        <v>#N/A</v>
      </c>
      <c r="AP70" s="174">
        <f>Agriculture_Frontend[[#This Row],[Ease of collection]]</f>
        <v>0</v>
      </c>
      <c r="AQ70" s="213">
        <f>Agriculture_Frontend[[#This Row],[Completeness]]</f>
        <v>0</v>
      </c>
      <c r="AR70" s="213">
        <f>Agriculture_Frontend[[#This Row],[Notes]]</f>
        <v>0</v>
      </c>
      <c r="AU70"/>
      <c r="AV70"/>
      <c r="AW70"/>
      <c r="AX70"/>
      <c r="AY70"/>
      <c r="AZ70"/>
      <c r="BA70"/>
      <c r="BB70"/>
      <c r="BC70"/>
      <c r="BD70"/>
    </row>
    <row r="71" spans="2:56" ht="14.5" x14ac:dyDescent="0.35">
      <c r="B71" s="455"/>
      <c r="E71" s="346"/>
      <c r="F71" s="336"/>
      <c r="G71" s="172" t="s">
        <v>198</v>
      </c>
      <c r="H71" s="347"/>
      <c r="I71" s="336"/>
      <c r="J71" s="336"/>
      <c r="K71" s="336"/>
      <c r="L71" s="337"/>
      <c r="M71" s="242">
        <f t="shared" si="6"/>
        <v>4</v>
      </c>
      <c r="Q71" s="212" t="str">
        <f t="shared" si="5"/>
        <v/>
      </c>
      <c r="R71" s="174" t="s">
        <v>200</v>
      </c>
      <c r="S71" s="174" t="s">
        <v>148</v>
      </c>
      <c r="T71" s="235" t="s">
        <v>148</v>
      </c>
      <c r="U71" s="174">
        <f>Agriculture_Frontend[[#This Row],[Agriculture emission source]]</f>
        <v>0</v>
      </c>
      <c r="V71" s="174">
        <f>Agriculture_Frontend[[#This Row],[Type]]</f>
        <v>0</v>
      </c>
      <c r="W71" s="174" t="e" cm="1">
        <f t="array" aca="1" ref="W71" ca="1">_xlfn.XLOOKUP(Agriculture_Backend[[#This Row],[Level 5]],rng_Level5Long,rng_Level6Long)</f>
        <v>#N/A</v>
      </c>
      <c r="X71" s="174" t="s">
        <v>339</v>
      </c>
      <c r="Y71" s="174" t="s">
        <v>339</v>
      </c>
      <c r="Z71" s="174" t="s">
        <v>198</v>
      </c>
      <c r="AA71" s="229" t="e" cm="1">
        <f t="array" aca="1" ref="AA71" ca="1">_xlfn.LET(_xlpm.LookupConcat,_xlfn.CONCAT(Agriculture_Backend[[#This Row],[Level 1]:[Level 6]]),_xlfn.XLOOKUP(_xlpm.LookupConcat,rng_LevelsConcat,_xlfn.SWITCH(Agriculture_Backend[[#This Row],[Methodology]],"Tier 1",rng_RSD1,"Tier 2",rng_RSD2,"Tier 3",rng_RSD3)))</f>
        <v>#N/A</v>
      </c>
      <c r="AB71" s="220">
        <f>Agriculture_Frontend[[#This Row],[Data]]</f>
        <v>0</v>
      </c>
      <c r="AC71" s="220">
        <f>Agriculture_Frontend[[#This Row],[Units]]</f>
        <v>0</v>
      </c>
      <c r="AD71" s="220" t="e">
        <f ca="1">IF(Agriculture_Backend[[#This Row],[Units]]=Agriculture_Backend[[#This Row],[Standard units]],Agriculture_Backend[[#This Row],[Data]],Agriculture_Backend[[#This Row],[Data]]*_xlfn.XLOOKUP(_xlfn.CONCAT(Agriculture_Backend[[#This Row],[Level 1]:[Level 6]]),rng_EFConcat,rng_EFConversion))</f>
        <v>#N/A</v>
      </c>
      <c r="AE71" s="174" t="e" cm="1">
        <f t="array" aca="1" ref="AE71" ca="1">_xlfn.XLOOKUP(_xlfn.CONCAT(Agriculture_Backend[[#This Row],[Level 1]:[Level 6]]),rng_LevelsConcat,rng_UnitsLong)</f>
        <v>#N/A</v>
      </c>
      <c r="AF71" s="210" t="e">
        <f ca="1">_xlfn.XLOOKUP(_xlfn.CONCAT(Agriculture_Backend[[#This Row],[Level 1]:[Level 6]]),rng_EFConcat,rng_EF1)*Agriculture_Backend[[#This Row],[Converted data]]/1000</f>
        <v>#N/A</v>
      </c>
      <c r="AG71" s="210" t="e">
        <f ca="1">_xlfn.XLOOKUP(_xlfn.CONCAT(Agriculture_Backend[[#This Row],[Level 1]:[Level 6]]),rng_EFConcat,rng_EF2)*Agriculture_Backend[[#This Row],[Converted data]]/1000</f>
        <v>#N/A</v>
      </c>
      <c r="AH71" s="210" t="e">
        <f ca="1">_xlfn.XLOOKUP(_xlfn.CONCAT(Agriculture_Backend[[#This Row],[Level 1]:[Level 6]]),rng_EFConcat,rng_EF3)*Agriculture_Backend[[#This Row],[Converted data]]/1000</f>
        <v>#N/A</v>
      </c>
      <c r="AI71" s="210" t="e">
        <f ca="1">_xlfn.XLOOKUP(_xlfn.CONCAT(Agriculture_Backend[[#This Row],[Level 1]:[Level 6]]),rng_EFConcat,rng_EF3WTT)*Agriculture_Backend[[#This Row],[Converted data]]/1000</f>
        <v>#N/A</v>
      </c>
      <c r="AJ71" s="210" t="e">
        <f ca="1">_xlfn.XLOOKUP(_xlfn.CONCAT(Agriculture_Backend[[#This Row],[Level 1]:[Level 6]]),rng_EFConcat,rng_EF3TD)*Agriculture_Backend[[#This Row],[Converted data]]/1000</f>
        <v>#N/A</v>
      </c>
      <c r="AK71" s="210" t="e">
        <f ca="1">_xlfn.XLOOKUP(_xlfn.CONCAT(Agriculture_Backend[[#This Row],[Level 1]:[Level 6]]),rng_EFConcat,rng_EF3WTTTD)*Agriculture_Backend[[#This Row],[Converted data]]/1000</f>
        <v>#N/A</v>
      </c>
      <c r="AL71" s="220" t="e">
        <f ca="1">SUM(Agriculture_Backend[[#This Row],[Scope 1 (tCO2e)]:[Scope 3 WTT T&amp;D (tCO2e)]])</f>
        <v>#N/A</v>
      </c>
      <c r="AM71" s="220" t="e">
        <f ca="1">Agriculture_Backend[[#This Row],[Total (tCO2e)]]*(1-Agriculture_Backend[[#This Row],[RSD]])</f>
        <v>#N/A</v>
      </c>
      <c r="AN71" s="220" t="e">
        <f ca="1">Agriculture_Backend[[#This Row],[Total (tCO2e)]]*(1+Agriculture_Backend[[#This Row],[RSD]])</f>
        <v>#N/A</v>
      </c>
      <c r="AO71" s="210" t="e">
        <f ca="1">_xlfn.XLOOKUP(_xlfn.CONCAT(Agriculture_Backend[[#This Row],[Level 1]:[Level 6]]),rng_EFConcat,rng_EFOOS)*Agriculture_Backend[[#This Row],[Converted data]]/1000</f>
        <v>#N/A</v>
      </c>
      <c r="AP71" s="174">
        <f>Agriculture_Frontend[[#This Row],[Ease of collection]]</f>
        <v>0</v>
      </c>
      <c r="AQ71" s="213">
        <f>Agriculture_Frontend[[#This Row],[Completeness]]</f>
        <v>0</v>
      </c>
      <c r="AR71" s="213">
        <f>Agriculture_Frontend[[#This Row],[Notes]]</f>
        <v>0</v>
      </c>
      <c r="AU71"/>
      <c r="AV71"/>
      <c r="AW71"/>
      <c r="AX71"/>
      <c r="AY71"/>
      <c r="AZ71"/>
      <c r="BA71"/>
      <c r="BB71"/>
      <c r="BC71"/>
      <c r="BD71"/>
    </row>
    <row r="72" spans="2:56" ht="14.5" x14ac:dyDescent="0.35">
      <c r="B72" s="455"/>
      <c r="E72" s="346"/>
      <c r="F72" s="336"/>
      <c r="G72" s="172" t="s">
        <v>198</v>
      </c>
      <c r="H72" s="347"/>
      <c r="I72" s="336"/>
      <c r="J72" s="336"/>
      <c r="K72" s="336"/>
      <c r="L72" s="337"/>
      <c r="M72" s="242">
        <f t="shared" si="6"/>
        <v>4</v>
      </c>
      <c r="Q72" s="212" t="str">
        <f t="shared" si="5"/>
        <v/>
      </c>
      <c r="R72" s="174" t="s">
        <v>200</v>
      </c>
      <c r="S72" s="174" t="s">
        <v>148</v>
      </c>
      <c r="T72" s="235" t="s">
        <v>148</v>
      </c>
      <c r="U72" s="174">
        <f>Agriculture_Frontend[[#This Row],[Agriculture emission source]]</f>
        <v>0</v>
      </c>
      <c r="V72" s="174">
        <f>Agriculture_Frontend[[#This Row],[Type]]</f>
        <v>0</v>
      </c>
      <c r="W72" s="174" t="e" cm="1">
        <f t="array" aca="1" ref="W72" ca="1">_xlfn.XLOOKUP(Agriculture_Backend[[#This Row],[Level 5]],rng_Level5Long,rng_Level6Long)</f>
        <v>#N/A</v>
      </c>
      <c r="X72" s="174" t="s">
        <v>339</v>
      </c>
      <c r="Y72" s="174" t="s">
        <v>339</v>
      </c>
      <c r="Z72" s="174" t="s">
        <v>198</v>
      </c>
      <c r="AA72" s="229" t="e" cm="1">
        <f t="array" aca="1" ref="AA72" ca="1">_xlfn.LET(_xlpm.LookupConcat,_xlfn.CONCAT(Agriculture_Backend[[#This Row],[Level 1]:[Level 6]]),_xlfn.XLOOKUP(_xlpm.LookupConcat,rng_LevelsConcat,_xlfn.SWITCH(Agriculture_Backend[[#This Row],[Methodology]],"Tier 1",rng_RSD1,"Tier 2",rng_RSD2,"Tier 3",rng_RSD3)))</f>
        <v>#N/A</v>
      </c>
      <c r="AB72" s="220">
        <f>Agriculture_Frontend[[#This Row],[Data]]</f>
        <v>0</v>
      </c>
      <c r="AC72" s="220">
        <f>Agriculture_Frontend[[#This Row],[Units]]</f>
        <v>0</v>
      </c>
      <c r="AD72" s="220" t="e">
        <f ca="1">IF(Agriculture_Backend[[#This Row],[Units]]=Agriculture_Backend[[#This Row],[Standard units]],Agriculture_Backend[[#This Row],[Data]],Agriculture_Backend[[#This Row],[Data]]*_xlfn.XLOOKUP(_xlfn.CONCAT(Agriculture_Backend[[#This Row],[Level 1]:[Level 6]]),rng_EFConcat,rng_EFConversion))</f>
        <v>#N/A</v>
      </c>
      <c r="AE72" s="174" t="e" cm="1">
        <f t="array" aca="1" ref="AE72" ca="1">_xlfn.XLOOKUP(_xlfn.CONCAT(Agriculture_Backend[[#This Row],[Level 1]:[Level 6]]),rng_LevelsConcat,rng_UnitsLong)</f>
        <v>#N/A</v>
      </c>
      <c r="AF72" s="210" t="e">
        <f ca="1">_xlfn.XLOOKUP(_xlfn.CONCAT(Agriculture_Backend[[#This Row],[Level 1]:[Level 6]]),rng_EFConcat,rng_EF1)*Agriculture_Backend[[#This Row],[Converted data]]/1000</f>
        <v>#N/A</v>
      </c>
      <c r="AG72" s="210" t="e">
        <f ca="1">_xlfn.XLOOKUP(_xlfn.CONCAT(Agriculture_Backend[[#This Row],[Level 1]:[Level 6]]),rng_EFConcat,rng_EF2)*Agriculture_Backend[[#This Row],[Converted data]]/1000</f>
        <v>#N/A</v>
      </c>
      <c r="AH72" s="210" t="e">
        <f ca="1">_xlfn.XLOOKUP(_xlfn.CONCAT(Agriculture_Backend[[#This Row],[Level 1]:[Level 6]]),rng_EFConcat,rng_EF3)*Agriculture_Backend[[#This Row],[Converted data]]/1000</f>
        <v>#N/A</v>
      </c>
      <c r="AI72" s="210" t="e">
        <f ca="1">_xlfn.XLOOKUP(_xlfn.CONCAT(Agriculture_Backend[[#This Row],[Level 1]:[Level 6]]),rng_EFConcat,rng_EF3WTT)*Agriculture_Backend[[#This Row],[Converted data]]/1000</f>
        <v>#N/A</v>
      </c>
      <c r="AJ72" s="210" t="e">
        <f ca="1">_xlfn.XLOOKUP(_xlfn.CONCAT(Agriculture_Backend[[#This Row],[Level 1]:[Level 6]]),rng_EFConcat,rng_EF3TD)*Agriculture_Backend[[#This Row],[Converted data]]/1000</f>
        <v>#N/A</v>
      </c>
      <c r="AK72" s="210" t="e">
        <f ca="1">_xlfn.XLOOKUP(_xlfn.CONCAT(Agriculture_Backend[[#This Row],[Level 1]:[Level 6]]),rng_EFConcat,rng_EF3WTTTD)*Agriculture_Backend[[#This Row],[Converted data]]/1000</f>
        <v>#N/A</v>
      </c>
      <c r="AL72" s="220" t="e">
        <f ca="1">SUM(Agriculture_Backend[[#This Row],[Scope 1 (tCO2e)]:[Scope 3 WTT T&amp;D (tCO2e)]])</f>
        <v>#N/A</v>
      </c>
      <c r="AM72" s="220" t="e">
        <f ca="1">Agriculture_Backend[[#This Row],[Total (tCO2e)]]*(1-Agriculture_Backend[[#This Row],[RSD]])</f>
        <v>#N/A</v>
      </c>
      <c r="AN72" s="220" t="e">
        <f ca="1">Agriculture_Backend[[#This Row],[Total (tCO2e)]]*(1+Agriculture_Backend[[#This Row],[RSD]])</f>
        <v>#N/A</v>
      </c>
      <c r="AO72" s="210" t="e">
        <f ca="1">_xlfn.XLOOKUP(_xlfn.CONCAT(Agriculture_Backend[[#This Row],[Level 1]:[Level 6]]),rng_EFConcat,rng_EFOOS)*Agriculture_Backend[[#This Row],[Converted data]]/1000</f>
        <v>#N/A</v>
      </c>
      <c r="AP72" s="174">
        <f>Agriculture_Frontend[[#This Row],[Ease of collection]]</f>
        <v>0</v>
      </c>
      <c r="AQ72" s="213">
        <f>Agriculture_Frontend[[#This Row],[Completeness]]</f>
        <v>0</v>
      </c>
      <c r="AR72" s="213">
        <f>Agriculture_Frontend[[#This Row],[Notes]]</f>
        <v>0</v>
      </c>
      <c r="AU72"/>
      <c r="AV72"/>
      <c r="AW72"/>
      <c r="AX72"/>
      <c r="AY72"/>
      <c r="AZ72"/>
      <c r="BA72"/>
      <c r="BB72"/>
      <c r="BC72"/>
      <c r="BD72"/>
    </row>
    <row r="73" spans="2:56" ht="14.5" x14ac:dyDescent="0.35">
      <c r="B73" s="455"/>
      <c r="E73" s="346"/>
      <c r="F73" s="336"/>
      <c r="G73" s="172" t="s">
        <v>198</v>
      </c>
      <c r="H73" s="347"/>
      <c r="I73" s="336"/>
      <c r="J73" s="336"/>
      <c r="K73" s="336"/>
      <c r="L73" s="337"/>
      <c r="M73" s="242">
        <f t="shared" si="6"/>
        <v>4</v>
      </c>
      <c r="Q73" s="212" t="str">
        <f t="shared" si="5"/>
        <v/>
      </c>
      <c r="R73" s="174" t="s">
        <v>200</v>
      </c>
      <c r="S73" s="174" t="s">
        <v>148</v>
      </c>
      <c r="T73" s="235" t="s">
        <v>148</v>
      </c>
      <c r="U73" s="174">
        <f>Agriculture_Frontend[[#This Row],[Agriculture emission source]]</f>
        <v>0</v>
      </c>
      <c r="V73" s="174">
        <f>Agriculture_Frontend[[#This Row],[Type]]</f>
        <v>0</v>
      </c>
      <c r="W73" s="174" t="e" cm="1">
        <f t="array" aca="1" ref="W73" ca="1">_xlfn.XLOOKUP(Agriculture_Backend[[#This Row],[Level 5]],rng_Level5Long,rng_Level6Long)</f>
        <v>#N/A</v>
      </c>
      <c r="X73" s="174" t="s">
        <v>339</v>
      </c>
      <c r="Y73" s="174" t="s">
        <v>339</v>
      </c>
      <c r="Z73" s="174" t="s">
        <v>198</v>
      </c>
      <c r="AA73" s="229" t="e" cm="1">
        <f t="array" aca="1" ref="AA73" ca="1">_xlfn.LET(_xlpm.LookupConcat,_xlfn.CONCAT(Agriculture_Backend[[#This Row],[Level 1]:[Level 6]]),_xlfn.XLOOKUP(_xlpm.LookupConcat,rng_LevelsConcat,_xlfn.SWITCH(Agriculture_Backend[[#This Row],[Methodology]],"Tier 1",rng_RSD1,"Tier 2",rng_RSD2,"Tier 3",rng_RSD3)))</f>
        <v>#N/A</v>
      </c>
      <c r="AB73" s="220">
        <f>Agriculture_Frontend[[#This Row],[Data]]</f>
        <v>0</v>
      </c>
      <c r="AC73" s="220">
        <f>Agriculture_Frontend[[#This Row],[Units]]</f>
        <v>0</v>
      </c>
      <c r="AD73" s="220" t="e">
        <f ca="1">IF(Agriculture_Backend[[#This Row],[Units]]=Agriculture_Backend[[#This Row],[Standard units]],Agriculture_Backend[[#This Row],[Data]],Agriculture_Backend[[#This Row],[Data]]*_xlfn.XLOOKUP(_xlfn.CONCAT(Agriculture_Backend[[#This Row],[Level 1]:[Level 6]]),rng_EFConcat,rng_EFConversion))</f>
        <v>#N/A</v>
      </c>
      <c r="AE73" s="174" t="e" cm="1">
        <f t="array" aca="1" ref="AE73" ca="1">_xlfn.XLOOKUP(_xlfn.CONCAT(Agriculture_Backend[[#This Row],[Level 1]:[Level 6]]),rng_LevelsConcat,rng_UnitsLong)</f>
        <v>#N/A</v>
      </c>
      <c r="AF73" s="210" t="e">
        <f ca="1">_xlfn.XLOOKUP(_xlfn.CONCAT(Agriculture_Backend[[#This Row],[Level 1]:[Level 6]]),rng_EFConcat,rng_EF1)*Agriculture_Backend[[#This Row],[Converted data]]/1000</f>
        <v>#N/A</v>
      </c>
      <c r="AG73" s="210" t="e">
        <f ca="1">_xlfn.XLOOKUP(_xlfn.CONCAT(Agriculture_Backend[[#This Row],[Level 1]:[Level 6]]),rng_EFConcat,rng_EF2)*Agriculture_Backend[[#This Row],[Converted data]]/1000</f>
        <v>#N/A</v>
      </c>
      <c r="AH73" s="210" t="e">
        <f ca="1">_xlfn.XLOOKUP(_xlfn.CONCAT(Agriculture_Backend[[#This Row],[Level 1]:[Level 6]]),rng_EFConcat,rng_EF3)*Agriculture_Backend[[#This Row],[Converted data]]/1000</f>
        <v>#N/A</v>
      </c>
      <c r="AI73" s="210" t="e">
        <f ca="1">_xlfn.XLOOKUP(_xlfn.CONCAT(Agriculture_Backend[[#This Row],[Level 1]:[Level 6]]),rng_EFConcat,rng_EF3WTT)*Agriculture_Backend[[#This Row],[Converted data]]/1000</f>
        <v>#N/A</v>
      </c>
      <c r="AJ73" s="210" t="e">
        <f ca="1">_xlfn.XLOOKUP(_xlfn.CONCAT(Agriculture_Backend[[#This Row],[Level 1]:[Level 6]]),rng_EFConcat,rng_EF3TD)*Agriculture_Backend[[#This Row],[Converted data]]/1000</f>
        <v>#N/A</v>
      </c>
      <c r="AK73" s="210" t="e">
        <f ca="1">_xlfn.XLOOKUP(_xlfn.CONCAT(Agriculture_Backend[[#This Row],[Level 1]:[Level 6]]),rng_EFConcat,rng_EF3WTTTD)*Agriculture_Backend[[#This Row],[Converted data]]/1000</f>
        <v>#N/A</v>
      </c>
      <c r="AL73" s="220" t="e">
        <f ca="1">SUM(Agriculture_Backend[[#This Row],[Scope 1 (tCO2e)]:[Scope 3 WTT T&amp;D (tCO2e)]])</f>
        <v>#N/A</v>
      </c>
      <c r="AM73" s="220" t="e">
        <f ca="1">Agriculture_Backend[[#This Row],[Total (tCO2e)]]*(1-Agriculture_Backend[[#This Row],[RSD]])</f>
        <v>#N/A</v>
      </c>
      <c r="AN73" s="220" t="e">
        <f ca="1">Agriculture_Backend[[#This Row],[Total (tCO2e)]]*(1+Agriculture_Backend[[#This Row],[RSD]])</f>
        <v>#N/A</v>
      </c>
      <c r="AO73" s="210" t="e">
        <f ca="1">_xlfn.XLOOKUP(_xlfn.CONCAT(Agriculture_Backend[[#This Row],[Level 1]:[Level 6]]),rng_EFConcat,rng_EFOOS)*Agriculture_Backend[[#This Row],[Converted data]]/1000</f>
        <v>#N/A</v>
      </c>
      <c r="AP73" s="174">
        <f>Agriculture_Frontend[[#This Row],[Ease of collection]]</f>
        <v>0</v>
      </c>
      <c r="AQ73" s="213">
        <f>Agriculture_Frontend[[#This Row],[Completeness]]</f>
        <v>0</v>
      </c>
      <c r="AR73" s="213">
        <f>Agriculture_Frontend[[#This Row],[Notes]]</f>
        <v>0</v>
      </c>
      <c r="AU73"/>
      <c r="AV73"/>
      <c r="AW73"/>
      <c r="AX73"/>
      <c r="AY73"/>
      <c r="AZ73"/>
      <c r="BA73"/>
      <c r="BB73"/>
      <c r="BC73"/>
      <c r="BD73"/>
    </row>
    <row r="74" spans="2:56" ht="14.5" x14ac:dyDescent="0.35">
      <c r="B74" s="455"/>
      <c r="E74" s="346"/>
      <c r="F74" s="336"/>
      <c r="G74" s="172" t="s">
        <v>198</v>
      </c>
      <c r="H74" s="347"/>
      <c r="I74" s="336"/>
      <c r="J74" s="336"/>
      <c r="K74" s="336"/>
      <c r="L74" s="337"/>
      <c r="M74" s="242">
        <f t="shared" si="6"/>
        <v>4</v>
      </c>
      <c r="Q74" s="212" t="str">
        <f t="shared" si="5"/>
        <v/>
      </c>
      <c r="R74" s="174" t="s">
        <v>200</v>
      </c>
      <c r="S74" s="174" t="s">
        <v>148</v>
      </c>
      <c r="T74" s="235" t="s">
        <v>148</v>
      </c>
      <c r="U74" s="174">
        <f>Agriculture_Frontend[[#This Row],[Agriculture emission source]]</f>
        <v>0</v>
      </c>
      <c r="V74" s="174">
        <f>Agriculture_Frontend[[#This Row],[Type]]</f>
        <v>0</v>
      </c>
      <c r="W74" s="174" t="e" cm="1">
        <f t="array" aca="1" ref="W74" ca="1">_xlfn.XLOOKUP(Agriculture_Backend[[#This Row],[Level 5]],rng_Level5Long,rng_Level6Long)</f>
        <v>#N/A</v>
      </c>
      <c r="X74" s="174" t="s">
        <v>339</v>
      </c>
      <c r="Y74" s="174" t="s">
        <v>339</v>
      </c>
      <c r="Z74" s="174" t="s">
        <v>198</v>
      </c>
      <c r="AA74" s="229" t="e" cm="1">
        <f t="array" aca="1" ref="AA74" ca="1">_xlfn.LET(_xlpm.LookupConcat,_xlfn.CONCAT(Agriculture_Backend[[#This Row],[Level 1]:[Level 6]]),_xlfn.XLOOKUP(_xlpm.LookupConcat,rng_LevelsConcat,_xlfn.SWITCH(Agriculture_Backend[[#This Row],[Methodology]],"Tier 1",rng_RSD1,"Tier 2",rng_RSD2,"Tier 3",rng_RSD3)))</f>
        <v>#N/A</v>
      </c>
      <c r="AB74" s="220">
        <f>Agriculture_Frontend[[#This Row],[Data]]</f>
        <v>0</v>
      </c>
      <c r="AC74" s="220">
        <f>Agriculture_Frontend[[#This Row],[Units]]</f>
        <v>0</v>
      </c>
      <c r="AD74" s="220" t="e">
        <f ca="1">IF(Agriculture_Backend[[#This Row],[Units]]=Agriculture_Backend[[#This Row],[Standard units]],Agriculture_Backend[[#This Row],[Data]],Agriculture_Backend[[#This Row],[Data]]*_xlfn.XLOOKUP(_xlfn.CONCAT(Agriculture_Backend[[#This Row],[Level 1]:[Level 6]]),rng_EFConcat,rng_EFConversion))</f>
        <v>#N/A</v>
      </c>
      <c r="AE74" s="174" t="e" cm="1">
        <f t="array" aca="1" ref="AE74" ca="1">_xlfn.XLOOKUP(_xlfn.CONCAT(Agriculture_Backend[[#This Row],[Level 1]:[Level 6]]),rng_LevelsConcat,rng_UnitsLong)</f>
        <v>#N/A</v>
      </c>
      <c r="AF74" s="210" t="e">
        <f ca="1">_xlfn.XLOOKUP(_xlfn.CONCAT(Agriculture_Backend[[#This Row],[Level 1]:[Level 6]]),rng_EFConcat,rng_EF1)*Agriculture_Backend[[#This Row],[Converted data]]/1000</f>
        <v>#N/A</v>
      </c>
      <c r="AG74" s="210" t="e">
        <f ca="1">_xlfn.XLOOKUP(_xlfn.CONCAT(Agriculture_Backend[[#This Row],[Level 1]:[Level 6]]),rng_EFConcat,rng_EF2)*Agriculture_Backend[[#This Row],[Converted data]]/1000</f>
        <v>#N/A</v>
      </c>
      <c r="AH74" s="210" t="e">
        <f ca="1">_xlfn.XLOOKUP(_xlfn.CONCAT(Agriculture_Backend[[#This Row],[Level 1]:[Level 6]]),rng_EFConcat,rng_EF3)*Agriculture_Backend[[#This Row],[Converted data]]/1000</f>
        <v>#N/A</v>
      </c>
      <c r="AI74" s="210" t="e">
        <f ca="1">_xlfn.XLOOKUP(_xlfn.CONCAT(Agriculture_Backend[[#This Row],[Level 1]:[Level 6]]),rng_EFConcat,rng_EF3WTT)*Agriculture_Backend[[#This Row],[Converted data]]/1000</f>
        <v>#N/A</v>
      </c>
      <c r="AJ74" s="210" t="e">
        <f ca="1">_xlfn.XLOOKUP(_xlfn.CONCAT(Agriculture_Backend[[#This Row],[Level 1]:[Level 6]]),rng_EFConcat,rng_EF3TD)*Agriculture_Backend[[#This Row],[Converted data]]/1000</f>
        <v>#N/A</v>
      </c>
      <c r="AK74" s="210" t="e">
        <f ca="1">_xlfn.XLOOKUP(_xlfn.CONCAT(Agriculture_Backend[[#This Row],[Level 1]:[Level 6]]),rng_EFConcat,rng_EF3WTTTD)*Agriculture_Backend[[#This Row],[Converted data]]/1000</f>
        <v>#N/A</v>
      </c>
      <c r="AL74" s="220" t="e">
        <f ca="1">SUM(Agriculture_Backend[[#This Row],[Scope 1 (tCO2e)]:[Scope 3 WTT T&amp;D (tCO2e)]])</f>
        <v>#N/A</v>
      </c>
      <c r="AM74" s="220" t="e">
        <f ca="1">Agriculture_Backend[[#This Row],[Total (tCO2e)]]*(1-Agriculture_Backend[[#This Row],[RSD]])</f>
        <v>#N/A</v>
      </c>
      <c r="AN74" s="220" t="e">
        <f ca="1">Agriculture_Backend[[#This Row],[Total (tCO2e)]]*(1+Agriculture_Backend[[#This Row],[RSD]])</f>
        <v>#N/A</v>
      </c>
      <c r="AO74" s="210" t="e">
        <f ca="1">_xlfn.XLOOKUP(_xlfn.CONCAT(Agriculture_Backend[[#This Row],[Level 1]:[Level 6]]),rng_EFConcat,rng_EFOOS)*Agriculture_Backend[[#This Row],[Converted data]]/1000</f>
        <v>#N/A</v>
      </c>
      <c r="AP74" s="174">
        <f>Agriculture_Frontend[[#This Row],[Ease of collection]]</f>
        <v>0</v>
      </c>
      <c r="AQ74" s="213">
        <f>Agriculture_Frontend[[#This Row],[Completeness]]</f>
        <v>0</v>
      </c>
      <c r="AR74" s="213">
        <f>Agriculture_Frontend[[#This Row],[Notes]]</f>
        <v>0</v>
      </c>
      <c r="AU74"/>
      <c r="AV74"/>
      <c r="AW74"/>
      <c r="AX74"/>
      <c r="AY74"/>
      <c r="AZ74"/>
      <c r="BA74"/>
      <c r="BB74"/>
      <c r="BC74"/>
      <c r="BD74"/>
    </row>
    <row r="75" spans="2:56" ht="14.5" x14ac:dyDescent="0.35">
      <c r="B75" s="455"/>
      <c r="E75" s="346"/>
      <c r="F75" s="336"/>
      <c r="G75" s="172" t="s">
        <v>198</v>
      </c>
      <c r="H75" s="347"/>
      <c r="I75" s="336"/>
      <c r="J75" s="336"/>
      <c r="K75" s="336"/>
      <c r="L75" s="337"/>
      <c r="M75" s="242">
        <f t="shared" si="6"/>
        <v>4</v>
      </c>
      <c r="Q75" s="212" t="str">
        <f t="shared" si="5"/>
        <v/>
      </c>
      <c r="R75" s="174" t="s">
        <v>200</v>
      </c>
      <c r="S75" s="174" t="s">
        <v>148</v>
      </c>
      <c r="T75" s="235" t="s">
        <v>148</v>
      </c>
      <c r="U75" s="174">
        <f>Agriculture_Frontend[[#This Row],[Agriculture emission source]]</f>
        <v>0</v>
      </c>
      <c r="V75" s="174">
        <f>Agriculture_Frontend[[#This Row],[Type]]</f>
        <v>0</v>
      </c>
      <c r="W75" s="174" t="e" cm="1">
        <f t="array" aca="1" ref="W75" ca="1">_xlfn.XLOOKUP(Agriculture_Backend[[#This Row],[Level 5]],rng_Level5Long,rng_Level6Long)</f>
        <v>#N/A</v>
      </c>
      <c r="X75" s="174" t="s">
        <v>339</v>
      </c>
      <c r="Y75" s="174" t="s">
        <v>339</v>
      </c>
      <c r="Z75" s="174" t="s">
        <v>198</v>
      </c>
      <c r="AA75" s="229" t="e" cm="1">
        <f t="array" aca="1" ref="AA75" ca="1">_xlfn.LET(_xlpm.LookupConcat,_xlfn.CONCAT(Agriculture_Backend[[#This Row],[Level 1]:[Level 6]]),_xlfn.XLOOKUP(_xlpm.LookupConcat,rng_LevelsConcat,_xlfn.SWITCH(Agriculture_Backend[[#This Row],[Methodology]],"Tier 1",rng_RSD1,"Tier 2",rng_RSD2,"Tier 3",rng_RSD3)))</f>
        <v>#N/A</v>
      </c>
      <c r="AB75" s="220">
        <f>Agriculture_Frontend[[#This Row],[Data]]</f>
        <v>0</v>
      </c>
      <c r="AC75" s="220">
        <f>Agriculture_Frontend[[#This Row],[Units]]</f>
        <v>0</v>
      </c>
      <c r="AD75" s="220" t="e">
        <f ca="1">IF(Agriculture_Backend[[#This Row],[Units]]=Agriculture_Backend[[#This Row],[Standard units]],Agriculture_Backend[[#This Row],[Data]],Agriculture_Backend[[#This Row],[Data]]*_xlfn.XLOOKUP(_xlfn.CONCAT(Agriculture_Backend[[#This Row],[Level 1]:[Level 6]]),rng_EFConcat,rng_EFConversion))</f>
        <v>#N/A</v>
      </c>
      <c r="AE75" s="174" t="e" cm="1">
        <f t="array" aca="1" ref="AE75" ca="1">_xlfn.XLOOKUP(_xlfn.CONCAT(Agriculture_Backend[[#This Row],[Level 1]:[Level 6]]),rng_LevelsConcat,rng_UnitsLong)</f>
        <v>#N/A</v>
      </c>
      <c r="AF75" s="210" t="e">
        <f ca="1">_xlfn.XLOOKUP(_xlfn.CONCAT(Agriculture_Backend[[#This Row],[Level 1]:[Level 6]]),rng_EFConcat,rng_EF1)*Agriculture_Backend[[#This Row],[Converted data]]/1000</f>
        <v>#N/A</v>
      </c>
      <c r="AG75" s="210" t="e">
        <f ca="1">_xlfn.XLOOKUP(_xlfn.CONCAT(Agriculture_Backend[[#This Row],[Level 1]:[Level 6]]),rng_EFConcat,rng_EF2)*Agriculture_Backend[[#This Row],[Converted data]]/1000</f>
        <v>#N/A</v>
      </c>
      <c r="AH75" s="210" t="e">
        <f ca="1">_xlfn.XLOOKUP(_xlfn.CONCAT(Agriculture_Backend[[#This Row],[Level 1]:[Level 6]]),rng_EFConcat,rng_EF3)*Agriculture_Backend[[#This Row],[Converted data]]/1000</f>
        <v>#N/A</v>
      </c>
      <c r="AI75" s="210" t="e">
        <f ca="1">_xlfn.XLOOKUP(_xlfn.CONCAT(Agriculture_Backend[[#This Row],[Level 1]:[Level 6]]),rng_EFConcat,rng_EF3WTT)*Agriculture_Backend[[#This Row],[Converted data]]/1000</f>
        <v>#N/A</v>
      </c>
      <c r="AJ75" s="210" t="e">
        <f ca="1">_xlfn.XLOOKUP(_xlfn.CONCAT(Agriculture_Backend[[#This Row],[Level 1]:[Level 6]]),rng_EFConcat,rng_EF3TD)*Agriculture_Backend[[#This Row],[Converted data]]/1000</f>
        <v>#N/A</v>
      </c>
      <c r="AK75" s="210" t="e">
        <f ca="1">_xlfn.XLOOKUP(_xlfn.CONCAT(Agriculture_Backend[[#This Row],[Level 1]:[Level 6]]),rng_EFConcat,rng_EF3WTTTD)*Agriculture_Backend[[#This Row],[Converted data]]/1000</f>
        <v>#N/A</v>
      </c>
      <c r="AL75" s="220" t="e">
        <f ca="1">SUM(Agriculture_Backend[[#This Row],[Scope 1 (tCO2e)]:[Scope 3 WTT T&amp;D (tCO2e)]])</f>
        <v>#N/A</v>
      </c>
      <c r="AM75" s="220" t="e">
        <f ca="1">Agriculture_Backend[[#This Row],[Total (tCO2e)]]*(1-Agriculture_Backend[[#This Row],[RSD]])</f>
        <v>#N/A</v>
      </c>
      <c r="AN75" s="220" t="e">
        <f ca="1">Agriculture_Backend[[#This Row],[Total (tCO2e)]]*(1+Agriculture_Backend[[#This Row],[RSD]])</f>
        <v>#N/A</v>
      </c>
      <c r="AO75" s="210" t="e">
        <f ca="1">_xlfn.XLOOKUP(_xlfn.CONCAT(Agriculture_Backend[[#This Row],[Level 1]:[Level 6]]),rng_EFConcat,rng_EFOOS)*Agriculture_Backend[[#This Row],[Converted data]]/1000</f>
        <v>#N/A</v>
      </c>
      <c r="AP75" s="174">
        <f>Agriculture_Frontend[[#This Row],[Ease of collection]]</f>
        <v>0</v>
      </c>
      <c r="AQ75" s="213">
        <f>Agriculture_Frontend[[#This Row],[Completeness]]</f>
        <v>0</v>
      </c>
      <c r="AR75" s="213">
        <f>Agriculture_Frontend[[#This Row],[Notes]]</f>
        <v>0</v>
      </c>
      <c r="AU75"/>
      <c r="AV75"/>
      <c r="AW75"/>
      <c r="AX75"/>
      <c r="AY75"/>
      <c r="AZ75"/>
      <c r="BA75"/>
      <c r="BB75"/>
      <c r="BC75"/>
      <c r="BD75"/>
    </row>
    <row r="76" spans="2:56" ht="14.5" x14ac:dyDescent="0.35">
      <c r="B76" s="455"/>
      <c r="E76" s="346"/>
      <c r="F76" s="336"/>
      <c r="G76" s="172" t="s">
        <v>198</v>
      </c>
      <c r="H76" s="347"/>
      <c r="I76" s="336"/>
      <c r="J76" s="336"/>
      <c r="K76" s="336"/>
      <c r="L76" s="337"/>
      <c r="M76" s="242">
        <f t="shared" si="6"/>
        <v>4</v>
      </c>
      <c r="Q76" s="212" t="str">
        <f t="shared" si="5"/>
        <v/>
      </c>
      <c r="R76" s="174" t="s">
        <v>200</v>
      </c>
      <c r="S76" s="174" t="s">
        <v>148</v>
      </c>
      <c r="T76" s="235" t="s">
        <v>148</v>
      </c>
      <c r="U76" s="174">
        <f>Agriculture_Frontend[[#This Row],[Agriculture emission source]]</f>
        <v>0</v>
      </c>
      <c r="V76" s="174">
        <f>Agriculture_Frontend[[#This Row],[Type]]</f>
        <v>0</v>
      </c>
      <c r="W76" s="174" t="e" cm="1">
        <f t="array" aca="1" ref="W76" ca="1">_xlfn.XLOOKUP(Agriculture_Backend[[#This Row],[Level 5]],rng_Level5Long,rng_Level6Long)</f>
        <v>#N/A</v>
      </c>
      <c r="X76" s="174" t="s">
        <v>339</v>
      </c>
      <c r="Y76" s="174" t="s">
        <v>339</v>
      </c>
      <c r="Z76" s="174" t="s">
        <v>198</v>
      </c>
      <c r="AA76" s="229" t="e" cm="1">
        <f t="array" aca="1" ref="AA76" ca="1">_xlfn.LET(_xlpm.LookupConcat,_xlfn.CONCAT(Agriculture_Backend[[#This Row],[Level 1]:[Level 6]]),_xlfn.XLOOKUP(_xlpm.LookupConcat,rng_LevelsConcat,_xlfn.SWITCH(Agriculture_Backend[[#This Row],[Methodology]],"Tier 1",rng_RSD1,"Tier 2",rng_RSD2,"Tier 3",rng_RSD3)))</f>
        <v>#N/A</v>
      </c>
      <c r="AB76" s="220">
        <f>Agriculture_Frontend[[#This Row],[Data]]</f>
        <v>0</v>
      </c>
      <c r="AC76" s="220">
        <f>Agriculture_Frontend[[#This Row],[Units]]</f>
        <v>0</v>
      </c>
      <c r="AD76" s="220" t="e">
        <f ca="1">IF(Agriculture_Backend[[#This Row],[Units]]=Agriculture_Backend[[#This Row],[Standard units]],Agriculture_Backend[[#This Row],[Data]],Agriculture_Backend[[#This Row],[Data]]*_xlfn.XLOOKUP(_xlfn.CONCAT(Agriculture_Backend[[#This Row],[Level 1]:[Level 6]]),rng_EFConcat,rng_EFConversion))</f>
        <v>#N/A</v>
      </c>
      <c r="AE76" s="174" t="e" cm="1">
        <f t="array" aca="1" ref="AE76" ca="1">_xlfn.XLOOKUP(_xlfn.CONCAT(Agriculture_Backend[[#This Row],[Level 1]:[Level 6]]),rng_LevelsConcat,rng_UnitsLong)</f>
        <v>#N/A</v>
      </c>
      <c r="AF76" s="210" t="e">
        <f ca="1">_xlfn.XLOOKUP(_xlfn.CONCAT(Agriculture_Backend[[#This Row],[Level 1]:[Level 6]]),rng_EFConcat,rng_EF1)*Agriculture_Backend[[#This Row],[Converted data]]/1000</f>
        <v>#N/A</v>
      </c>
      <c r="AG76" s="210" t="e">
        <f ca="1">_xlfn.XLOOKUP(_xlfn.CONCAT(Agriculture_Backend[[#This Row],[Level 1]:[Level 6]]),rng_EFConcat,rng_EF2)*Agriculture_Backend[[#This Row],[Converted data]]/1000</f>
        <v>#N/A</v>
      </c>
      <c r="AH76" s="210" t="e">
        <f ca="1">_xlfn.XLOOKUP(_xlfn.CONCAT(Agriculture_Backend[[#This Row],[Level 1]:[Level 6]]),rng_EFConcat,rng_EF3)*Agriculture_Backend[[#This Row],[Converted data]]/1000</f>
        <v>#N/A</v>
      </c>
      <c r="AI76" s="210" t="e">
        <f ca="1">_xlfn.XLOOKUP(_xlfn.CONCAT(Agriculture_Backend[[#This Row],[Level 1]:[Level 6]]),rng_EFConcat,rng_EF3WTT)*Agriculture_Backend[[#This Row],[Converted data]]/1000</f>
        <v>#N/A</v>
      </c>
      <c r="AJ76" s="210" t="e">
        <f ca="1">_xlfn.XLOOKUP(_xlfn.CONCAT(Agriculture_Backend[[#This Row],[Level 1]:[Level 6]]),rng_EFConcat,rng_EF3TD)*Agriculture_Backend[[#This Row],[Converted data]]/1000</f>
        <v>#N/A</v>
      </c>
      <c r="AK76" s="210" t="e">
        <f ca="1">_xlfn.XLOOKUP(_xlfn.CONCAT(Agriculture_Backend[[#This Row],[Level 1]:[Level 6]]),rng_EFConcat,rng_EF3WTTTD)*Agriculture_Backend[[#This Row],[Converted data]]/1000</f>
        <v>#N/A</v>
      </c>
      <c r="AL76" s="220" t="e">
        <f ca="1">SUM(Agriculture_Backend[[#This Row],[Scope 1 (tCO2e)]:[Scope 3 WTT T&amp;D (tCO2e)]])</f>
        <v>#N/A</v>
      </c>
      <c r="AM76" s="220" t="e">
        <f ca="1">Agriculture_Backend[[#This Row],[Total (tCO2e)]]*(1-Agriculture_Backend[[#This Row],[RSD]])</f>
        <v>#N/A</v>
      </c>
      <c r="AN76" s="220" t="e">
        <f ca="1">Agriculture_Backend[[#This Row],[Total (tCO2e)]]*(1+Agriculture_Backend[[#This Row],[RSD]])</f>
        <v>#N/A</v>
      </c>
      <c r="AO76" s="210" t="e">
        <f ca="1">_xlfn.XLOOKUP(_xlfn.CONCAT(Agriculture_Backend[[#This Row],[Level 1]:[Level 6]]),rng_EFConcat,rng_EFOOS)*Agriculture_Backend[[#This Row],[Converted data]]/1000</f>
        <v>#N/A</v>
      </c>
      <c r="AP76" s="174">
        <f>Agriculture_Frontend[[#This Row],[Ease of collection]]</f>
        <v>0</v>
      </c>
      <c r="AQ76" s="213">
        <f>Agriculture_Frontend[[#This Row],[Completeness]]</f>
        <v>0</v>
      </c>
      <c r="AR76" s="213">
        <f>Agriculture_Frontend[[#This Row],[Notes]]</f>
        <v>0</v>
      </c>
      <c r="AU76"/>
      <c r="AV76"/>
      <c r="AW76"/>
      <c r="AX76"/>
      <c r="AY76"/>
      <c r="AZ76"/>
      <c r="BA76"/>
      <c r="BB76"/>
      <c r="BC76"/>
      <c r="BD76"/>
    </row>
    <row r="77" spans="2:56" ht="14.5" x14ac:dyDescent="0.35">
      <c r="B77" s="455"/>
      <c r="E77" s="346"/>
      <c r="F77" s="336"/>
      <c r="G77" s="172" t="s">
        <v>198</v>
      </c>
      <c r="H77" s="347"/>
      <c r="I77" s="336"/>
      <c r="J77" s="336"/>
      <c r="K77" s="336"/>
      <c r="L77" s="337"/>
      <c r="M77" s="242">
        <f t="shared" si="6"/>
        <v>4</v>
      </c>
      <c r="Q77" s="212" t="str">
        <f t="shared" si="5"/>
        <v/>
      </c>
      <c r="R77" s="174" t="s">
        <v>200</v>
      </c>
      <c r="S77" s="174" t="s">
        <v>148</v>
      </c>
      <c r="T77" s="235" t="s">
        <v>148</v>
      </c>
      <c r="U77" s="174">
        <f>Agriculture_Frontend[[#This Row],[Agriculture emission source]]</f>
        <v>0</v>
      </c>
      <c r="V77" s="174">
        <f>Agriculture_Frontend[[#This Row],[Type]]</f>
        <v>0</v>
      </c>
      <c r="W77" s="174" t="e" cm="1">
        <f t="array" aca="1" ref="W77" ca="1">_xlfn.XLOOKUP(Agriculture_Backend[[#This Row],[Level 5]],rng_Level5Long,rng_Level6Long)</f>
        <v>#N/A</v>
      </c>
      <c r="X77" s="174" t="s">
        <v>339</v>
      </c>
      <c r="Y77" s="174" t="s">
        <v>339</v>
      </c>
      <c r="Z77" s="174" t="s">
        <v>198</v>
      </c>
      <c r="AA77" s="229" t="e" cm="1">
        <f t="array" aca="1" ref="AA77" ca="1">_xlfn.LET(_xlpm.LookupConcat,_xlfn.CONCAT(Agriculture_Backend[[#This Row],[Level 1]:[Level 6]]),_xlfn.XLOOKUP(_xlpm.LookupConcat,rng_LevelsConcat,_xlfn.SWITCH(Agriculture_Backend[[#This Row],[Methodology]],"Tier 1",rng_RSD1,"Tier 2",rng_RSD2,"Tier 3",rng_RSD3)))</f>
        <v>#N/A</v>
      </c>
      <c r="AB77" s="220">
        <f>Agriculture_Frontend[[#This Row],[Data]]</f>
        <v>0</v>
      </c>
      <c r="AC77" s="220">
        <f>Agriculture_Frontend[[#This Row],[Units]]</f>
        <v>0</v>
      </c>
      <c r="AD77" s="220" t="e">
        <f ca="1">IF(Agriculture_Backend[[#This Row],[Units]]=Agriculture_Backend[[#This Row],[Standard units]],Agriculture_Backend[[#This Row],[Data]],Agriculture_Backend[[#This Row],[Data]]*_xlfn.XLOOKUP(_xlfn.CONCAT(Agriculture_Backend[[#This Row],[Level 1]:[Level 6]]),rng_EFConcat,rng_EFConversion))</f>
        <v>#N/A</v>
      </c>
      <c r="AE77" s="174" t="e" cm="1">
        <f t="array" aca="1" ref="AE77" ca="1">_xlfn.XLOOKUP(_xlfn.CONCAT(Agriculture_Backend[[#This Row],[Level 1]:[Level 6]]),rng_LevelsConcat,rng_UnitsLong)</f>
        <v>#N/A</v>
      </c>
      <c r="AF77" s="210" t="e">
        <f ca="1">_xlfn.XLOOKUP(_xlfn.CONCAT(Agriculture_Backend[[#This Row],[Level 1]:[Level 6]]),rng_EFConcat,rng_EF1)*Agriculture_Backend[[#This Row],[Converted data]]/1000</f>
        <v>#N/A</v>
      </c>
      <c r="AG77" s="210" t="e">
        <f ca="1">_xlfn.XLOOKUP(_xlfn.CONCAT(Agriculture_Backend[[#This Row],[Level 1]:[Level 6]]),rng_EFConcat,rng_EF2)*Agriculture_Backend[[#This Row],[Converted data]]/1000</f>
        <v>#N/A</v>
      </c>
      <c r="AH77" s="210" t="e">
        <f ca="1">_xlfn.XLOOKUP(_xlfn.CONCAT(Agriculture_Backend[[#This Row],[Level 1]:[Level 6]]),rng_EFConcat,rng_EF3)*Agriculture_Backend[[#This Row],[Converted data]]/1000</f>
        <v>#N/A</v>
      </c>
      <c r="AI77" s="210" t="e">
        <f ca="1">_xlfn.XLOOKUP(_xlfn.CONCAT(Agriculture_Backend[[#This Row],[Level 1]:[Level 6]]),rng_EFConcat,rng_EF3WTT)*Agriculture_Backend[[#This Row],[Converted data]]/1000</f>
        <v>#N/A</v>
      </c>
      <c r="AJ77" s="210" t="e">
        <f ca="1">_xlfn.XLOOKUP(_xlfn.CONCAT(Agriculture_Backend[[#This Row],[Level 1]:[Level 6]]),rng_EFConcat,rng_EF3TD)*Agriculture_Backend[[#This Row],[Converted data]]/1000</f>
        <v>#N/A</v>
      </c>
      <c r="AK77" s="210" t="e">
        <f ca="1">_xlfn.XLOOKUP(_xlfn.CONCAT(Agriculture_Backend[[#This Row],[Level 1]:[Level 6]]),rng_EFConcat,rng_EF3WTTTD)*Agriculture_Backend[[#This Row],[Converted data]]/1000</f>
        <v>#N/A</v>
      </c>
      <c r="AL77" s="220" t="e">
        <f ca="1">SUM(Agriculture_Backend[[#This Row],[Scope 1 (tCO2e)]:[Scope 3 WTT T&amp;D (tCO2e)]])</f>
        <v>#N/A</v>
      </c>
      <c r="AM77" s="220" t="e">
        <f ca="1">Agriculture_Backend[[#This Row],[Total (tCO2e)]]*(1-Agriculture_Backend[[#This Row],[RSD]])</f>
        <v>#N/A</v>
      </c>
      <c r="AN77" s="220" t="e">
        <f ca="1">Agriculture_Backend[[#This Row],[Total (tCO2e)]]*(1+Agriculture_Backend[[#This Row],[RSD]])</f>
        <v>#N/A</v>
      </c>
      <c r="AO77" s="210" t="e">
        <f ca="1">_xlfn.XLOOKUP(_xlfn.CONCAT(Agriculture_Backend[[#This Row],[Level 1]:[Level 6]]),rng_EFConcat,rng_EFOOS)*Agriculture_Backend[[#This Row],[Converted data]]/1000</f>
        <v>#N/A</v>
      </c>
      <c r="AP77" s="174">
        <f>Agriculture_Frontend[[#This Row],[Ease of collection]]</f>
        <v>0</v>
      </c>
      <c r="AQ77" s="213">
        <f>Agriculture_Frontend[[#This Row],[Completeness]]</f>
        <v>0</v>
      </c>
      <c r="AR77" s="213">
        <f>Agriculture_Frontend[[#This Row],[Notes]]</f>
        <v>0</v>
      </c>
      <c r="AU77"/>
      <c r="AV77"/>
      <c r="AW77"/>
      <c r="AX77"/>
      <c r="AY77"/>
      <c r="AZ77"/>
      <c r="BA77"/>
      <c r="BB77"/>
      <c r="BC77"/>
      <c r="BD77"/>
    </row>
    <row r="78" spans="2:56" ht="14.5" x14ac:dyDescent="0.35">
      <c r="B78" s="455"/>
      <c r="E78" s="346"/>
      <c r="F78" s="336"/>
      <c r="G78" s="172" t="s">
        <v>198</v>
      </c>
      <c r="H78" s="347"/>
      <c r="I78" s="336"/>
      <c r="J78" s="336"/>
      <c r="K78" s="336"/>
      <c r="L78" s="337"/>
      <c r="M78" s="242">
        <f t="shared" si="6"/>
        <v>4</v>
      </c>
      <c r="Q78" s="212" t="str">
        <f t="shared" si="5"/>
        <v/>
      </c>
      <c r="R78" s="174" t="s">
        <v>200</v>
      </c>
      <c r="S78" s="174" t="s">
        <v>148</v>
      </c>
      <c r="T78" s="235" t="s">
        <v>148</v>
      </c>
      <c r="U78" s="174">
        <f>Agriculture_Frontend[[#This Row],[Agriculture emission source]]</f>
        <v>0</v>
      </c>
      <c r="V78" s="174">
        <f>Agriculture_Frontend[[#This Row],[Type]]</f>
        <v>0</v>
      </c>
      <c r="W78" s="174" t="e" cm="1">
        <f t="array" aca="1" ref="W78" ca="1">_xlfn.XLOOKUP(Agriculture_Backend[[#This Row],[Level 5]],rng_Level5Long,rng_Level6Long)</f>
        <v>#N/A</v>
      </c>
      <c r="X78" s="174" t="s">
        <v>339</v>
      </c>
      <c r="Y78" s="174" t="s">
        <v>339</v>
      </c>
      <c r="Z78" s="174" t="s">
        <v>198</v>
      </c>
      <c r="AA78" s="229" t="e" cm="1">
        <f t="array" aca="1" ref="AA78" ca="1">_xlfn.LET(_xlpm.LookupConcat,_xlfn.CONCAT(Agriculture_Backend[[#This Row],[Level 1]:[Level 6]]),_xlfn.XLOOKUP(_xlpm.LookupConcat,rng_LevelsConcat,_xlfn.SWITCH(Agriculture_Backend[[#This Row],[Methodology]],"Tier 1",rng_RSD1,"Tier 2",rng_RSD2,"Tier 3",rng_RSD3)))</f>
        <v>#N/A</v>
      </c>
      <c r="AB78" s="220">
        <f>Agriculture_Frontend[[#This Row],[Data]]</f>
        <v>0</v>
      </c>
      <c r="AC78" s="220">
        <f>Agriculture_Frontend[[#This Row],[Units]]</f>
        <v>0</v>
      </c>
      <c r="AD78" s="220" t="e">
        <f ca="1">IF(Agriculture_Backend[[#This Row],[Units]]=Agriculture_Backend[[#This Row],[Standard units]],Agriculture_Backend[[#This Row],[Data]],Agriculture_Backend[[#This Row],[Data]]*_xlfn.XLOOKUP(_xlfn.CONCAT(Agriculture_Backend[[#This Row],[Level 1]:[Level 6]]),rng_EFConcat,rng_EFConversion))</f>
        <v>#N/A</v>
      </c>
      <c r="AE78" s="174" t="e" cm="1">
        <f t="array" aca="1" ref="AE78" ca="1">_xlfn.XLOOKUP(_xlfn.CONCAT(Agriculture_Backend[[#This Row],[Level 1]:[Level 6]]),rng_LevelsConcat,rng_UnitsLong)</f>
        <v>#N/A</v>
      </c>
      <c r="AF78" s="210" t="e">
        <f ca="1">_xlfn.XLOOKUP(_xlfn.CONCAT(Agriculture_Backend[[#This Row],[Level 1]:[Level 6]]),rng_EFConcat,rng_EF1)*Agriculture_Backend[[#This Row],[Converted data]]/1000</f>
        <v>#N/A</v>
      </c>
      <c r="AG78" s="210" t="e">
        <f ca="1">_xlfn.XLOOKUP(_xlfn.CONCAT(Agriculture_Backend[[#This Row],[Level 1]:[Level 6]]),rng_EFConcat,rng_EF2)*Agriculture_Backend[[#This Row],[Converted data]]/1000</f>
        <v>#N/A</v>
      </c>
      <c r="AH78" s="210" t="e">
        <f ca="1">_xlfn.XLOOKUP(_xlfn.CONCAT(Agriculture_Backend[[#This Row],[Level 1]:[Level 6]]),rng_EFConcat,rng_EF3)*Agriculture_Backend[[#This Row],[Converted data]]/1000</f>
        <v>#N/A</v>
      </c>
      <c r="AI78" s="210" t="e">
        <f ca="1">_xlfn.XLOOKUP(_xlfn.CONCAT(Agriculture_Backend[[#This Row],[Level 1]:[Level 6]]),rng_EFConcat,rng_EF3WTT)*Agriculture_Backend[[#This Row],[Converted data]]/1000</f>
        <v>#N/A</v>
      </c>
      <c r="AJ78" s="210" t="e">
        <f ca="1">_xlfn.XLOOKUP(_xlfn.CONCAT(Agriculture_Backend[[#This Row],[Level 1]:[Level 6]]),rng_EFConcat,rng_EF3TD)*Agriculture_Backend[[#This Row],[Converted data]]/1000</f>
        <v>#N/A</v>
      </c>
      <c r="AK78" s="210" t="e">
        <f ca="1">_xlfn.XLOOKUP(_xlfn.CONCAT(Agriculture_Backend[[#This Row],[Level 1]:[Level 6]]),rng_EFConcat,rng_EF3WTTTD)*Agriculture_Backend[[#This Row],[Converted data]]/1000</f>
        <v>#N/A</v>
      </c>
      <c r="AL78" s="220" t="e">
        <f ca="1">SUM(Agriculture_Backend[[#This Row],[Scope 1 (tCO2e)]:[Scope 3 WTT T&amp;D (tCO2e)]])</f>
        <v>#N/A</v>
      </c>
      <c r="AM78" s="220" t="e">
        <f ca="1">Agriculture_Backend[[#This Row],[Total (tCO2e)]]*(1-Agriculture_Backend[[#This Row],[RSD]])</f>
        <v>#N/A</v>
      </c>
      <c r="AN78" s="220" t="e">
        <f ca="1">Agriculture_Backend[[#This Row],[Total (tCO2e)]]*(1+Agriculture_Backend[[#This Row],[RSD]])</f>
        <v>#N/A</v>
      </c>
      <c r="AO78" s="210" t="e">
        <f ca="1">_xlfn.XLOOKUP(_xlfn.CONCAT(Agriculture_Backend[[#This Row],[Level 1]:[Level 6]]),rng_EFConcat,rng_EFOOS)*Agriculture_Backend[[#This Row],[Converted data]]/1000</f>
        <v>#N/A</v>
      </c>
      <c r="AP78" s="174">
        <f>Agriculture_Frontend[[#This Row],[Ease of collection]]</f>
        <v>0</v>
      </c>
      <c r="AQ78" s="213">
        <f>Agriculture_Frontend[[#This Row],[Completeness]]</f>
        <v>0</v>
      </c>
      <c r="AR78" s="213">
        <f>Agriculture_Frontend[[#This Row],[Notes]]</f>
        <v>0</v>
      </c>
      <c r="AU78"/>
      <c r="AV78"/>
      <c r="AW78"/>
      <c r="AX78"/>
      <c r="AY78"/>
      <c r="AZ78"/>
      <c r="BA78"/>
      <c r="BB78"/>
      <c r="BC78"/>
      <c r="BD78"/>
    </row>
    <row r="79" spans="2:56" ht="14.5" x14ac:dyDescent="0.35">
      <c r="B79" s="455"/>
      <c r="E79" s="346"/>
      <c r="F79" s="336"/>
      <c r="G79" s="172" t="s">
        <v>198</v>
      </c>
      <c r="H79" s="347"/>
      <c r="I79" s="336"/>
      <c r="J79" s="336"/>
      <c r="K79" s="336"/>
      <c r="L79" s="337"/>
      <c r="M79" s="242">
        <f t="shared" si="6"/>
        <v>4</v>
      </c>
      <c r="Q79" s="212" t="str">
        <f t="shared" si="5"/>
        <v/>
      </c>
      <c r="R79" s="174" t="s">
        <v>200</v>
      </c>
      <c r="S79" s="174" t="s">
        <v>148</v>
      </c>
      <c r="T79" s="235" t="s">
        <v>148</v>
      </c>
      <c r="U79" s="174">
        <f>Agriculture_Frontend[[#This Row],[Agriculture emission source]]</f>
        <v>0</v>
      </c>
      <c r="V79" s="174">
        <f>Agriculture_Frontend[[#This Row],[Type]]</f>
        <v>0</v>
      </c>
      <c r="W79" s="174" t="e" cm="1">
        <f t="array" aca="1" ref="W79" ca="1">_xlfn.XLOOKUP(Agriculture_Backend[[#This Row],[Level 5]],rng_Level5Long,rng_Level6Long)</f>
        <v>#N/A</v>
      </c>
      <c r="X79" s="174" t="s">
        <v>339</v>
      </c>
      <c r="Y79" s="174" t="s">
        <v>339</v>
      </c>
      <c r="Z79" s="174" t="s">
        <v>198</v>
      </c>
      <c r="AA79" s="229" t="e" cm="1">
        <f t="array" aca="1" ref="AA79" ca="1">_xlfn.LET(_xlpm.LookupConcat,_xlfn.CONCAT(Agriculture_Backend[[#This Row],[Level 1]:[Level 6]]),_xlfn.XLOOKUP(_xlpm.LookupConcat,rng_LevelsConcat,_xlfn.SWITCH(Agriculture_Backend[[#This Row],[Methodology]],"Tier 1",rng_RSD1,"Tier 2",rng_RSD2,"Tier 3",rng_RSD3)))</f>
        <v>#N/A</v>
      </c>
      <c r="AB79" s="220">
        <f>Agriculture_Frontend[[#This Row],[Data]]</f>
        <v>0</v>
      </c>
      <c r="AC79" s="220">
        <f>Agriculture_Frontend[[#This Row],[Units]]</f>
        <v>0</v>
      </c>
      <c r="AD79" s="220" t="e">
        <f ca="1">IF(Agriculture_Backend[[#This Row],[Units]]=Agriculture_Backend[[#This Row],[Standard units]],Agriculture_Backend[[#This Row],[Data]],Agriculture_Backend[[#This Row],[Data]]*_xlfn.XLOOKUP(_xlfn.CONCAT(Agriculture_Backend[[#This Row],[Level 1]:[Level 6]]),rng_EFConcat,rng_EFConversion))</f>
        <v>#N/A</v>
      </c>
      <c r="AE79" s="174" t="e" cm="1">
        <f t="array" aca="1" ref="AE79" ca="1">_xlfn.XLOOKUP(_xlfn.CONCAT(Agriculture_Backend[[#This Row],[Level 1]:[Level 6]]),rng_LevelsConcat,rng_UnitsLong)</f>
        <v>#N/A</v>
      </c>
      <c r="AF79" s="210" t="e">
        <f ca="1">_xlfn.XLOOKUP(_xlfn.CONCAT(Agriculture_Backend[[#This Row],[Level 1]:[Level 6]]),rng_EFConcat,rng_EF1)*Agriculture_Backend[[#This Row],[Converted data]]/1000</f>
        <v>#N/A</v>
      </c>
      <c r="AG79" s="210" t="e">
        <f ca="1">_xlfn.XLOOKUP(_xlfn.CONCAT(Agriculture_Backend[[#This Row],[Level 1]:[Level 6]]),rng_EFConcat,rng_EF2)*Agriculture_Backend[[#This Row],[Converted data]]/1000</f>
        <v>#N/A</v>
      </c>
      <c r="AH79" s="210" t="e">
        <f ca="1">_xlfn.XLOOKUP(_xlfn.CONCAT(Agriculture_Backend[[#This Row],[Level 1]:[Level 6]]),rng_EFConcat,rng_EF3)*Agriculture_Backend[[#This Row],[Converted data]]/1000</f>
        <v>#N/A</v>
      </c>
      <c r="AI79" s="210" t="e">
        <f ca="1">_xlfn.XLOOKUP(_xlfn.CONCAT(Agriculture_Backend[[#This Row],[Level 1]:[Level 6]]),rng_EFConcat,rng_EF3WTT)*Agriculture_Backend[[#This Row],[Converted data]]/1000</f>
        <v>#N/A</v>
      </c>
      <c r="AJ79" s="210" t="e">
        <f ca="1">_xlfn.XLOOKUP(_xlfn.CONCAT(Agriculture_Backend[[#This Row],[Level 1]:[Level 6]]),rng_EFConcat,rng_EF3TD)*Agriculture_Backend[[#This Row],[Converted data]]/1000</f>
        <v>#N/A</v>
      </c>
      <c r="AK79" s="210" t="e">
        <f ca="1">_xlfn.XLOOKUP(_xlfn.CONCAT(Agriculture_Backend[[#This Row],[Level 1]:[Level 6]]),rng_EFConcat,rng_EF3WTTTD)*Agriculture_Backend[[#This Row],[Converted data]]/1000</f>
        <v>#N/A</v>
      </c>
      <c r="AL79" s="220" t="e">
        <f ca="1">SUM(Agriculture_Backend[[#This Row],[Scope 1 (tCO2e)]:[Scope 3 WTT T&amp;D (tCO2e)]])</f>
        <v>#N/A</v>
      </c>
      <c r="AM79" s="220" t="e">
        <f ca="1">Agriculture_Backend[[#This Row],[Total (tCO2e)]]*(1-Agriculture_Backend[[#This Row],[RSD]])</f>
        <v>#N/A</v>
      </c>
      <c r="AN79" s="220" t="e">
        <f ca="1">Agriculture_Backend[[#This Row],[Total (tCO2e)]]*(1+Agriculture_Backend[[#This Row],[RSD]])</f>
        <v>#N/A</v>
      </c>
      <c r="AO79" s="210" t="e">
        <f ca="1">_xlfn.XLOOKUP(_xlfn.CONCAT(Agriculture_Backend[[#This Row],[Level 1]:[Level 6]]),rng_EFConcat,rng_EFOOS)*Agriculture_Backend[[#This Row],[Converted data]]/1000</f>
        <v>#N/A</v>
      </c>
      <c r="AP79" s="174">
        <f>Agriculture_Frontend[[#This Row],[Ease of collection]]</f>
        <v>0</v>
      </c>
      <c r="AQ79" s="213">
        <f>Agriculture_Frontend[[#This Row],[Completeness]]</f>
        <v>0</v>
      </c>
      <c r="AR79" s="213">
        <f>Agriculture_Frontend[[#This Row],[Notes]]</f>
        <v>0</v>
      </c>
      <c r="AU79"/>
      <c r="AV79"/>
      <c r="AW79"/>
      <c r="AX79"/>
      <c r="AY79"/>
      <c r="AZ79"/>
      <c r="BA79"/>
      <c r="BB79"/>
      <c r="BC79"/>
      <c r="BD79"/>
    </row>
    <row r="80" spans="2:56" ht="14.5" x14ac:dyDescent="0.35">
      <c r="B80" s="455"/>
      <c r="E80" s="346"/>
      <c r="F80" s="336"/>
      <c r="G80" s="172" t="s">
        <v>198</v>
      </c>
      <c r="H80" s="347"/>
      <c r="I80" s="336"/>
      <c r="J80" s="336"/>
      <c r="K80" s="336"/>
      <c r="L80" s="337"/>
      <c r="M80" s="242">
        <f t="shared" si="6"/>
        <v>4</v>
      </c>
      <c r="Q80" s="212" t="str">
        <f t="shared" si="5"/>
        <v/>
      </c>
      <c r="R80" s="174" t="s">
        <v>200</v>
      </c>
      <c r="S80" s="174" t="s">
        <v>148</v>
      </c>
      <c r="T80" s="235" t="s">
        <v>148</v>
      </c>
      <c r="U80" s="174">
        <f>Agriculture_Frontend[[#This Row],[Agriculture emission source]]</f>
        <v>0</v>
      </c>
      <c r="V80" s="174">
        <f>Agriculture_Frontend[[#This Row],[Type]]</f>
        <v>0</v>
      </c>
      <c r="W80" s="174" t="e" cm="1">
        <f t="array" aca="1" ref="W80" ca="1">_xlfn.XLOOKUP(Agriculture_Backend[[#This Row],[Level 5]],rng_Level5Long,rng_Level6Long)</f>
        <v>#N/A</v>
      </c>
      <c r="X80" s="174" t="s">
        <v>339</v>
      </c>
      <c r="Y80" s="174" t="s">
        <v>339</v>
      </c>
      <c r="Z80" s="174" t="s">
        <v>198</v>
      </c>
      <c r="AA80" s="229" t="e" cm="1">
        <f t="array" aca="1" ref="AA80" ca="1">_xlfn.LET(_xlpm.LookupConcat,_xlfn.CONCAT(Agriculture_Backend[[#This Row],[Level 1]:[Level 6]]),_xlfn.XLOOKUP(_xlpm.LookupConcat,rng_LevelsConcat,_xlfn.SWITCH(Agriculture_Backend[[#This Row],[Methodology]],"Tier 1",rng_RSD1,"Tier 2",rng_RSD2,"Tier 3",rng_RSD3)))</f>
        <v>#N/A</v>
      </c>
      <c r="AB80" s="220">
        <f>Agriculture_Frontend[[#This Row],[Data]]</f>
        <v>0</v>
      </c>
      <c r="AC80" s="220">
        <f>Agriculture_Frontend[[#This Row],[Units]]</f>
        <v>0</v>
      </c>
      <c r="AD80" s="220" t="e">
        <f ca="1">IF(Agriculture_Backend[[#This Row],[Units]]=Agriculture_Backend[[#This Row],[Standard units]],Agriculture_Backend[[#This Row],[Data]],Agriculture_Backend[[#This Row],[Data]]*_xlfn.XLOOKUP(_xlfn.CONCAT(Agriculture_Backend[[#This Row],[Level 1]:[Level 6]]),rng_EFConcat,rng_EFConversion))</f>
        <v>#N/A</v>
      </c>
      <c r="AE80" s="174" t="e" cm="1">
        <f t="array" aca="1" ref="AE80" ca="1">_xlfn.XLOOKUP(_xlfn.CONCAT(Agriculture_Backend[[#This Row],[Level 1]:[Level 6]]),rng_LevelsConcat,rng_UnitsLong)</f>
        <v>#N/A</v>
      </c>
      <c r="AF80" s="210" t="e">
        <f ca="1">_xlfn.XLOOKUP(_xlfn.CONCAT(Agriculture_Backend[[#This Row],[Level 1]:[Level 6]]),rng_EFConcat,rng_EF1)*Agriculture_Backend[[#This Row],[Converted data]]/1000</f>
        <v>#N/A</v>
      </c>
      <c r="AG80" s="210" t="e">
        <f ca="1">_xlfn.XLOOKUP(_xlfn.CONCAT(Agriculture_Backend[[#This Row],[Level 1]:[Level 6]]),rng_EFConcat,rng_EF2)*Agriculture_Backend[[#This Row],[Converted data]]/1000</f>
        <v>#N/A</v>
      </c>
      <c r="AH80" s="210" t="e">
        <f ca="1">_xlfn.XLOOKUP(_xlfn.CONCAT(Agriculture_Backend[[#This Row],[Level 1]:[Level 6]]),rng_EFConcat,rng_EF3)*Agriculture_Backend[[#This Row],[Converted data]]/1000</f>
        <v>#N/A</v>
      </c>
      <c r="AI80" s="210" t="e">
        <f ca="1">_xlfn.XLOOKUP(_xlfn.CONCAT(Agriculture_Backend[[#This Row],[Level 1]:[Level 6]]),rng_EFConcat,rng_EF3WTT)*Agriculture_Backend[[#This Row],[Converted data]]/1000</f>
        <v>#N/A</v>
      </c>
      <c r="AJ80" s="210" t="e">
        <f ca="1">_xlfn.XLOOKUP(_xlfn.CONCAT(Agriculture_Backend[[#This Row],[Level 1]:[Level 6]]),rng_EFConcat,rng_EF3TD)*Agriculture_Backend[[#This Row],[Converted data]]/1000</f>
        <v>#N/A</v>
      </c>
      <c r="AK80" s="210" t="e">
        <f ca="1">_xlfn.XLOOKUP(_xlfn.CONCAT(Agriculture_Backend[[#This Row],[Level 1]:[Level 6]]),rng_EFConcat,rng_EF3WTTTD)*Agriculture_Backend[[#This Row],[Converted data]]/1000</f>
        <v>#N/A</v>
      </c>
      <c r="AL80" s="220" t="e">
        <f ca="1">SUM(Agriculture_Backend[[#This Row],[Scope 1 (tCO2e)]:[Scope 3 WTT T&amp;D (tCO2e)]])</f>
        <v>#N/A</v>
      </c>
      <c r="AM80" s="220" t="e">
        <f ca="1">Agriculture_Backend[[#This Row],[Total (tCO2e)]]*(1-Agriculture_Backend[[#This Row],[RSD]])</f>
        <v>#N/A</v>
      </c>
      <c r="AN80" s="220" t="e">
        <f ca="1">Agriculture_Backend[[#This Row],[Total (tCO2e)]]*(1+Agriculture_Backend[[#This Row],[RSD]])</f>
        <v>#N/A</v>
      </c>
      <c r="AO80" s="210" t="e">
        <f ca="1">_xlfn.XLOOKUP(_xlfn.CONCAT(Agriculture_Backend[[#This Row],[Level 1]:[Level 6]]),rng_EFConcat,rng_EFOOS)*Agriculture_Backend[[#This Row],[Converted data]]/1000</f>
        <v>#N/A</v>
      </c>
      <c r="AP80" s="174">
        <f>Agriculture_Frontend[[#This Row],[Ease of collection]]</f>
        <v>0</v>
      </c>
      <c r="AQ80" s="213">
        <f>Agriculture_Frontend[[#This Row],[Completeness]]</f>
        <v>0</v>
      </c>
      <c r="AR80" s="213">
        <f>Agriculture_Frontend[[#This Row],[Notes]]</f>
        <v>0</v>
      </c>
      <c r="AU80"/>
      <c r="AV80"/>
      <c r="AW80"/>
      <c r="AX80"/>
      <c r="AY80"/>
      <c r="AZ80"/>
      <c r="BA80"/>
      <c r="BB80"/>
      <c r="BC80"/>
      <c r="BD80"/>
    </row>
    <row r="81" spans="2:56" ht="14.5" x14ac:dyDescent="0.35">
      <c r="B81" s="455"/>
      <c r="E81" s="346"/>
      <c r="F81" s="336"/>
      <c r="G81" s="172" t="s">
        <v>198</v>
      </c>
      <c r="H81" s="347"/>
      <c r="I81" s="336"/>
      <c r="J81" s="336"/>
      <c r="K81" s="336"/>
      <c r="L81" s="337"/>
      <c r="M81" s="242">
        <f t="shared" si="6"/>
        <v>4</v>
      </c>
      <c r="Q81" s="212" t="str">
        <f t="shared" si="5"/>
        <v/>
      </c>
      <c r="R81" s="174" t="s">
        <v>200</v>
      </c>
      <c r="S81" s="174" t="s">
        <v>148</v>
      </c>
      <c r="T81" s="235" t="s">
        <v>148</v>
      </c>
      <c r="U81" s="174">
        <f>Agriculture_Frontend[[#This Row],[Agriculture emission source]]</f>
        <v>0</v>
      </c>
      <c r="V81" s="174">
        <f>Agriculture_Frontend[[#This Row],[Type]]</f>
        <v>0</v>
      </c>
      <c r="W81" s="174" t="e" cm="1">
        <f t="array" aca="1" ref="W81" ca="1">_xlfn.XLOOKUP(Agriculture_Backend[[#This Row],[Level 5]],rng_Level5Long,rng_Level6Long)</f>
        <v>#N/A</v>
      </c>
      <c r="X81" s="174" t="s">
        <v>339</v>
      </c>
      <c r="Y81" s="174" t="s">
        <v>339</v>
      </c>
      <c r="Z81" s="174" t="s">
        <v>198</v>
      </c>
      <c r="AA81" s="229" t="e" cm="1">
        <f t="array" aca="1" ref="AA81" ca="1">_xlfn.LET(_xlpm.LookupConcat,_xlfn.CONCAT(Agriculture_Backend[[#This Row],[Level 1]:[Level 6]]),_xlfn.XLOOKUP(_xlpm.LookupConcat,rng_LevelsConcat,_xlfn.SWITCH(Agriculture_Backend[[#This Row],[Methodology]],"Tier 1",rng_RSD1,"Tier 2",rng_RSD2,"Tier 3",rng_RSD3)))</f>
        <v>#N/A</v>
      </c>
      <c r="AB81" s="220">
        <f>Agriculture_Frontend[[#This Row],[Data]]</f>
        <v>0</v>
      </c>
      <c r="AC81" s="220">
        <f>Agriculture_Frontend[[#This Row],[Units]]</f>
        <v>0</v>
      </c>
      <c r="AD81" s="220" t="e">
        <f ca="1">IF(Agriculture_Backend[[#This Row],[Units]]=Agriculture_Backend[[#This Row],[Standard units]],Agriculture_Backend[[#This Row],[Data]],Agriculture_Backend[[#This Row],[Data]]*_xlfn.XLOOKUP(_xlfn.CONCAT(Agriculture_Backend[[#This Row],[Level 1]:[Level 6]]),rng_EFConcat,rng_EFConversion))</f>
        <v>#N/A</v>
      </c>
      <c r="AE81" s="174" t="e" cm="1">
        <f t="array" aca="1" ref="AE81" ca="1">_xlfn.XLOOKUP(_xlfn.CONCAT(Agriculture_Backend[[#This Row],[Level 1]:[Level 6]]),rng_LevelsConcat,rng_UnitsLong)</f>
        <v>#N/A</v>
      </c>
      <c r="AF81" s="210" t="e">
        <f ca="1">_xlfn.XLOOKUP(_xlfn.CONCAT(Agriculture_Backend[[#This Row],[Level 1]:[Level 6]]),rng_EFConcat,rng_EF1)*Agriculture_Backend[[#This Row],[Converted data]]/1000</f>
        <v>#N/A</v>
      </c>
      <c r="AG81" s="210" t="e">
        <f ca="1">_xlfn.XLOOKUP(_xlfn.CONCAT(Agriculture_Backend[[#This Row],[Level 1]:[Level 6]]),rng_EFConcat,rng_EF2)*Agriculture_Backend[[#This Row],[Converted data]]/1000</f>
        <v>#N/A</v>
      </c>
      <c r="AH81" s="210" t="e">
        <f ca="1">_xlfn.XLOOKUP(_xlfn.CONCAT(Agriculture_Backend[[#This Row],[Level 1]:[Level 6]]),rng_EFConcat,rng_EF3)*Agriculture_Backend[[#This Row],[Converted data]]/1000</f>
        <v>#N/A</v>
      </c>
      <c r="AI81" s="210" t="e">
        <f ca="1">_xlfn.XLOOKUP(_xlfn.CONCAT(Agriculture_Backend[[#This Row],[Level 1]:[Level 6]]),rng_EFConcat,rng_EF3WTT)*Agriculture_Backend[[#This Row],[Converted data]]/1000</f>
        <v>#N/A</v>
      </c>
      <c r="AJ81" s="210" t="e">
        <f ca="1">_xlfn.XLOOKUP(_xlfn.CONCAT(Agriculture_Backend[[#This Row],[Level 1]:[Level 6]]),rng_EFConcat,rng_EF3TD)*Agriculture_Backend[[#This Row],[Converted data]]/1000</f>
        <v>#N/A</v>
      </c>
      <c r="AK81" s="210" t="e">
        <f ca="1">_xlfn.XLOOKUP(_xlfn.CONCAT(Agriculture_Backend[[#This Row],[Level 1]:[Level 6]]),rng_EFConcat,rng_EF3WTTTD)*Agriculture_Backend[[#This Row],[Converted data]]/1000</f>
        <v>#N/A</v>
      </c>
      <c r="AL81" s="220" t="e">
        <f ca="1">SUM(Agriculture_Backend[[#This Row],[Scope 1 (tCO2e)]:[Scope 3 WTT T&amp;D (tCO2e)]])</f>
        <v>#N/A</v>
      </c>
      <c r="AM81" s="220" t="e">
        <f ca="1">Agriculture_Backend[[#This Row],[Total (tCO2e)]]*(1-Agriculture_Backend[[#This Row],[RSD]])</f>
        <v>#N/A</v>
      </c>
      <c r="AN81" s="220" t="e">
        <f ca="1">Agriculture_Backend[[#This Row],[Total (tCO2e)]]*(1+Agriculture_Backend[[#This Row],[RSD]])</f>
        <v>#N/A</v>
      </c>
      <c r="AO81" s="210" t="e">
        <f ca="1">_xlfn.XLOOKUP(_xlfn.CONCAT(Agriculture_Backend[[#This Row],[Level 1]:[Level 6]]),rng_EFConcat,rng_EFOOS)*Agriculture_Backend[[#This Row],[Converted data]]/1000</f>
        <v>#N/A</v>
      </c>
      <c r="AP81" s="174">
        <f>Agriculture_Frontend[[#This Row],[Ease of collection]]</f>
        <v>0</v>
      </c>
      <c r="AQ81" s="213">
        <f>Agriculture_Frontend[[#This Row],[Completeness]]</f>
        <v>0</v>
      </c>
      <c r="AR81" s="213">
        <f>Agriculture_Frontend[[#This Row],[Notes]]</f>
        <v>0</v>
      </c>
      <c r="AU81"/>
      <c r="AV81"/>
      <c r="AW81"/>
      <c r="AX81"/>
      <c r="AY81"/>
      <c r="AZ81"/>
      <c r="BA81"/>
      <c r="BB81"/>
      <c r="BC81"/>
      <c r="BD81"/>
    </row>
    <row r="82" spans="2:56" ht="14.5" x14ac:dyDescent="0.35">
      <c r="B82" s="455"/>
      <c r="E82" s="346"/>
      <c r="F82" s="336"/>
      <c r="G82" s="172" t="s">
        <v>198</v>
      </c>
      <c r="H82" s="347"/>
      <c r="I82" s="336"/>
      <c r="J82" s="336"/>
      <c r="K82" s="336"/>
      <c r="L82" s="337"/>
      <c r="M82" s="242">
        <f t="shared" si="6"/>
        <v>4</v>
      </c>
      <c r="Q82" s="212" t="str">
        <f t="shared" si="5"/>
        <v/>
      </c>
      <c r="R82" s="174" t="s">
        <v>200</v>
      </c>
      <c r="S82" s="174" t="s">
        <v>148</v>
      </c>
      <c r="T82" s="235" t="s">
        <v>148</v>
      </c>
      <c r="U82" s="174">
        <f>Agriculture_Frontend[[#This Row],[Agriculture emission source]]</f>
        <v>0</v>
      </c>
      <c r="V82" s="174">
        <f>Agriculture_Frontend[[#This Row],[Type]]</f>
        <v>0</v>
      </c>
      <c r="W82" s="174" t="e" cm="1">
        <f t="array" aca="1" ref="W82" ca="1">_xlfn.XLOOKUP(Agriculture_Backend[[#This Row],[Level 5]],rng_Level5Long,rng_Level6Long)</f>
        <v>#N/A</v>
      </c>
      <c r="X82" s="174" t="s">
        <v>339</v>
      </c>
      <c r="Y82" s="174" t="s">
        <v>339</v>
      </c>
      <c r="Z82" s="174" t="s">
        <v>198</v>
      </c>
      <c r="AA82" s="229" t="e" cm="1">
        <f t="array" aca="1" ref="AA82" ca="1">_xlfn.LET(_xlpm.LookupConcat,_xlfn.CONCAT(Agriculture_Backend[[#This Row],[Level 1]:[Level 6]]),_xlfn.XLOOKUP(_xlpm.LookupConcat,rng_LevelsConcat,_xlfn.SWITCH(Agriculture_Backend[[#This Row],[Methodology]],"Tier 1",rng_RSD1,"Tier 2",rng_RSD2,"Tier 3",rng_RSD3)))</f>
        <v>#N/A</v>
      </c>
      <c r="AB82" s="220">
        <f>Agriculture_Frontend[[#This Row],[Data]]</f>
        <v>0</v>
      </c>
      <c r="AC82" s="220">
        <f>Agriculture_Frontend[[#This Row],[Units]]</f>
        <v>0</v>
      </c>
      <c r="AD82" s="220" t="e">
        <f ca="1">IF(Agriculture_Backend[[#This Row],[Units]]=Agriculture_Backend[[#This Row],[Standard units]],Agriculture_Backend[[#This Row],[Data]],Agriculture_Backend[[#This Row],[Data]]*_xlfn.XLOOKUP(_xlfn.CONCAT(Agriculture_Backend[[#This Row],[Level 1]:[Level 6]]),rng_EFConcat,rng_EFConversion))</f>
        <v>#N/A</v>
      </c>
      <c r="AE82" s="174" t="e" cm="1">
        <f t="array" aca="1" ref="AE82" ca="1">_xlfn.XLOOKUP(_xlfn.CONCAT(Agriculture_Backend[[#This Row],[Level 1]:[Level 6]]),rng_LevelsConcat,rng_UnitsLong)</f>
        <v>#N/A</v>
      </c>
      <c r="AF82" s="210" t="e">
        <f ca="1">_xlfn.XLOOKUP(_xlfn.CONCAT(Agriculture_Backend[[#This Row],[Level 1]:[Level 6]]),rng_EFConcat,rng_EF1)*Agriculture_Backend[[#This Row],[Converted data]]/1000</f>
        <v>#N/A</v>
      </c>
      <c r="AG82" s="210" t="e">
        <f ca="1">_xlfn.XLOOKUP(_xlfn.CONCAT(Agriculture_Backend[[#This Row],[Level 1]:[Level 6]]),rng_EFConcat,rng_EF2)*Agriculture_Backend[[#This Row],[Converted data]]/1000</f>
        <v>#N/A</v>
      </c>
      <c r="AH82" s="210" t="e">
        <f ca="1">_xlfn.XLOOKUP(_xlfn.CONCAT(Agriculture_Backend[[#This Row],[Level 1]:[Level 6]]),rng_EFConcat,rng_EF3)*Agriculture_Backend[[#This Row],[Converted data]]/1000</f>
        <v>#N/A</v>
      </c>
      <c r="AI82" s="210" t="e">
        <f ca="1">_xlfn.XLOOKUP(_xlfn.CONCAT(Agriculture_Backend[[#This Row],[Level 1]:[Level 6]]),rng_EFConcat,rng_EF3WTT)*Agriculture_Backend[[#This Row],[Converted data]]/1000</f>
        <v>#N/A</v>
      </c>
      <c r="AJ82" s="210" t="e">
        <f ca="1">_xlfn.XLOOKUP(_xlfn.CONCAT(Agriculture_Backend[[#This Row],[Level 1]:[Level 6]]),rng_EFConcat,rng_EF3TD)*Agriculture_Backend[[#This Row],[Converted data]]/1000</f>
        <v>#N/A</v>
      </c>
      <c r="AK82" s="210" t="e">
        <f ca="1">_xlfn.XLOOKUP(_xlfn.CONCAT(Agriculture_Backend[[#This Row],[Level 1]:[Level 6]]),rng_EFConcat,rng_EF3WTTTD)*Agriculture_Backend[[#This Row],[Converted data]]/1000</f>
        <v>#N/A</v>
      </c>
      <c r="AL82" s="220" t="e">
        <f ca="1">SUM(Agriculture_Backend[[#This Row],[Scope 1 (tCO2e)]:[Scope 3 WTT T&amp;D (tCO2e)]])</f>
        <v>#N/A</v>
      </c>
      <c r="AM82" s="220" t="e">
        <f ca="1">Agriculture_Backend[[#This Row],[Total (tCO2e)]]*(1-Agriculture_Backend[[#This Row],[RSD]])</f>
        <v>#N/A</v>
      </c>
      <c r="AN82" s="220" t="e">
        <f ca="1">Agriculture_Backend[[#This Row],[Total (tCO2e)]]*(1+Agriculture_Backend[[#This Row],[RSD]])</f>
        <v>#N/A</v>
      </c>
      <c r="AO82" s="210" t="e">
        <f ca="1">_xlfn.XLOOKUP(_xlfn.CONCAT(Agriculture_Backend[[#This Row],[Level 1]:[Level 6]]),rng_EFConcat,rng_EFOOS)*Agriculture_Backend[[#This Row],[Converted data]]/1000</f>
        <v>#N/A</v>
      </c>
      <c r="AP82" s="174">
        <f>Agriculture_Frontend[[#This Row],[Ease of collection]]</f>
        <v>0</v>
      </c>
      <c r="AQ82" s="213">
        <f>Agriculture_Frontend[[#This Row],[Completeness]]</f>
        <v>0</v>
      </c>
      <c r="AR82" s="213">
        <f>Agriculture_Frontend[[#This Row],[Notes]]</f>
        <v>0</v>
      </c>
      <c r="AU82"/>
      <c r="AV82"/>
      <c r="AW82"/>
      <c r="AX82"/>
      <c r="AY82"/>
      <c r="AZ82"/>
      <c r="BA82"/>
      <c r="BB82"/>
      <c r="BC82"/>
      <c r="BD82"/>
    </row>
    <row r="83" spans="2:56" ht="14.5" x14ac:dyDescent="0.35">
      <c r="B83" s="455"/>
      <c r="E83" s="346"/>
      <c r="F83" s="336"/>
      <c r="G83" s="172" t="s">
        <v>198</v>
      </c>
      <c r="H83" s="347"/>
      <c r="I83" s="336"/>
      <c r="J83" s="336"/>
      <c r="K83" s="336"/>
      <c r="L83" s="337"/>
      <c r="M83" s="242">
        <f t="shared" si="6"/>
        <v>4</v>
      </c>
      <c r="Q83" s="212" t="str">
        <f t="shared" si="5"/>
        <v/>
      </c>
      <c r="R83" s="174" t="s">
        <v>200</v>
      </c>
      <c r="S83" s="174" t="s">
        <v>148</v>
      </c>
      <c r="T83" s="235" t="s">
        <v>148</v>
      </c>
      <c r="U83" s="174">
        <f>Agriculture_Frontend[[#This Row],[Agriculture emission source]]</f>
        <v>0</v>
      </c>
      <c r="V83" s="174">
        <f>Agriculture_Frontend[[#This Row],[Type]]</f>
        <v>0</v>
      </c>
      <c r="W83" s="174" t="e" cm="1">
        <f t="array" aca="1" ref="W83" ca="1">_xlfn.XLOOKUP(Agriculture_Backend[[#This Row],[Level 5]],rng_Level5Long,rng_Level6Long)</f>
        <v>#N/A</v>
      </c>
      <c r="X83" s="174" t="s">
        <v>339</v>
      </c>
      <c r="Y83" s="174" t="s">
        <v>339</v>
      </c>
      <c r="Z83" s="174" t="s">
        <v>198</v>
      </c>
      <c r="AA83" s="229" t="e" cm="1">
        <f t="array" aca="1" ref="AA83" ca="1">_xlfn.LET(_xlpm.LookupConcat,_xlfn.CONCAT(Agriculture_Backend[[#This Row],[Level 1]:[Level 6]]),_xlfn.XLOOKUP(_xlpm.LookupConcat,rng_LevelsConcat,_xlfn.SWITCH(Agriculture_Backend[[#This Row],[Methodology]],"Tier 1",rng_RSD1,"Tier 2",rng_RSD2,"Tier 3",rng_RSD3)))</f>
        <v>#N/A</v>
      </c>
      <c r="AB83" s="220">
        <f>Agriculture_Frontend[[#This Row],[Data]]</f>
        <v>0</v>
      </c>
      <c r="AC83" s="220">
        <f>Agriculture_Frontend[[#This Row],[Units]]</f>
        <v>0</v>
      </c>
      <c r="AD83" s="220" t="e">
        <f ca="1">IF(Agriculture_Backend[[#This Row],[Units]]=Agriculture_Backend[[#This Row],[Standard units]],Agriculture_Backend[[#This Row],[Data]],Agriculture_Backend[[#This Row],[Data]]*_xlfn.XLOOKUP(_xlfn.CONCAT(Agriculture_Backend[[#This Row],[Level 1]:[Level 6]]),rng_EFConcat,rng_EFConversion))</f>
        <v>#N/A</v>
      </c>
      <c r="AE83" s="174" t="e" cm="1">
        <f t="array" aca="1" ref="AE83" ca="1">_xlfn.XLOOKUP(_xlfn.CONCAT(Agriculture_Backend[[#This Row],[Level 1]:[Level 6]]),rng_LevelsConcat,rng_UnitsLong)</f>
        <v>#N/A</v>
      </c>
      <c r="AF83" s="210" t="e">
        <f ca="1">_xlfn.XLOOKUP(_xlfn.CONCAT(Agriculture_Backend[[#This Row],[Level 1]:[Level 6]]),rng_EFConcat,rng_EF1)*Agriculture_Backend[[#This Row],[Converted data]]/1000</f>
        <v>#N/A</v>
      </c>
      <c r="AG83" s="210" t="e">
        <f ca="1">_xlfn.XLOOKUP(_xlfn.CONCAT(Agriculture_Backend[[#This Row],[Level 1]:[Level 6]]),rng_EFConcat,rng_EF2)*Agriculture_Backend[[#This Row],[Converted data]]/1000</f>
        <v>#N/A</v>
      </c>
      <c r="AH83" s="210" t="e">
        <f ca="1">_xlfn.XLOOKUP(_xlfn.CONCAT(Agriculture_Backend[[#This Row],[Level 1]:[Level 6]]),rng_EFConcat,rng_EF3)*Agriculture_Backend[[#This Row],[Converted data]]/1000</f>
        <v>#N/A</v>
      </c>
      <c r="AI83" s="210" t="e">
        <f ca="1">_xlfn.XLOOKUP(_xlfn.CONCAT(Agriculture_Backend[[#This Row],[Level 1]:[Level 6]]),rng_EFConcat,rng_EF3WTT)*Agriculture_Backend[[#This Row],[Converted data]]/1000</f>
        <v>#N/A</v>
      </c>
      <c r="AJ83" s="210" t="e">
        <f ca="1">_xlfn.XLOOKUP(_xlfn.CONCAT(Agriculture_Backend[[#This Row],[Level 1]:[Level 6]]),rng_EFConcat,rng_EF3TD)*Agriculture_Backend[[#This Row],[Converted data]]/1000</f>
        <v>#N/A</v>
      </c>
      <c r="AK83" s="210" t="e">
        <f ca="1">_xlfn.XLOOKUP(_xlfn.CONCAT(Agriculture_Backend[[#This Row],[Level 1]:[Level 6]]),rng_EFConcat,rng_EF3WTTTD)*Agriculture_Backend[[#This Row],[Converted data]]/1000</f>
        <v>#N/A</v>
      </c>
      <c r="AL83" s="220" t="e">
        <f ca="1">SUM(Agriculture_Backend[[#This Row],[Scope 1 (tCO2e)]:[Scope 3 WTT T&amp;D (tCO2e)]])</f>
        <v>#N/A</v>
      </c>
      <c r="AM83" s="220" t="e">
        <f ca="1">Agriculture_Backend[[#This Row],[Total (tCO2e)]]*(1-Agriculture_Backend[[#This Row],[RSD]])</f>
        <v>#N/A</v>
      </c>
      <c r="AN83" s="220" t="e">
        <f ca="1">Agriculture_Backend[[#This Row],[Total (tCO2e)]]*(1+Agriculture_Backend[[#This Row],[RSD]])</f>
        <v>#N/A</v>
      </c>
      <c r="AO83" s="210" t="e">
        <f ca="1">_xlfn.XLOOKUP(_xlfn.CONCAT(Agriculture_Backend[[#This Row],[Level 1]:[Level 6]]),rng_EFConcat,rng_EFOOS)*Agriculture_Backend[[#This Row],[Converted data]]/1000</f>
        <v>#N/A</v>
      </c>
      <c r="AP83" s="174">
        <f>Agriculture_Frontend[[#This Row],[Ease of collection]]</f>
        <v>0</v>
      </c>
      <c r="AQ83" s="213">
        <f>Agriculture_Frontend[[#This Row],[Completeness]]</f>
        <v>0</v>
      </c>
      <c r="AR83" s="213">
        <f>Agriculture_Frontend[[#This Row],[Notes]]</f>
        <v>0</v>
      </c>
      <c r="AU83"/>
      <c r="AV83"/>
      <c r="AW83"/>
      <c r="AX83"/>
      <c r="AY83"/>
      <c r="AZ83"/>
      <c r="BA83"/>
      <c r="BB83"/>
      <c r="BC83"/>
      <c r="BD83"/>
    </row>
    <row r="84" spans="2:56" ht="14.5" x14ac:dyDescent="0.35">
      <c r="B84" s="455"/>
      <c r="E84" s="346"/>
      <c r="F84" s="336"/>
      <c r="G84" s="172" t="s">
        <v>198</v>
      </c>
      <c r="H84" s="347"/>
      <c r="I84" s="336"/>
      <c r="J84" s="336"/>
      <c r="K84" s="336"/>
      <c r="L84" s="337"/>
      <c r="M84" s="242">
        <f t="shared" si="6"/>
        <v>4</v>
      </c>
      <c r="Q84" s="212" t="str">
        <f t="shared" si="5"/>
        <v/>
      </c>
      <c r="R84" s="174" t="s">
        <v>200</v>
      </c>
      <c r="S84" s="174" t="s">
        <v>148</v>
      </c>
      <c r="T84" s="235" t="s">
        <v>148</v>
      </c>
      <c r="U84" s="174">
        <f>Agriculture_Frontend[[#This Row],[Agriculture emission source]]</f>
        <v>0</v>
      </c>
      <c r="V84" s="174">
        <f>Agriculture_Frontend[[#This Row],[Type]]</f>
        <v>0</v>
      </c>
      <c r="W84" s="174" t="e" cm="1">
        <f t="array" aca="1" ref="W84" ca="1">_xlfn.XLOOKUP(Agriculture_Backend[[#This Row],[Level 5]],rng_Level5Long,rng_Level6Long)</f>
        <v>#N/A</v>
      </c>
      <c r="X84" s="174" t="s">
        <v>339</v>
      </c>
      <c r="Y84" s="174" t="s">
        <v>339</v>
      </c>
      <c r="Z84" s="174" t="s">
        <v>198</v>
      </c>
      <c r="AA84" s="229" t="e" cm="1">
        <f t="array" aca="1" ref="AA84" ca="1">_xlfn.LET(_xlpm.LookupConcat,_xlfn.CONCAT(Agriculture_Backend[[#This Row],[Level 1]:[Level 6]]),_xlfn.XLOOKUP(_xlpm.LookupConcat,rng_LevelsConcat,_xlfn.SWITCH(Agriculture_Backend[[#This Row],[Methodology]],"Tier 1",rng_RSD1,"Tier 2",rng_RSD2,"Tier 3",rng_RSD3)))</f>
        <v>#N/A</v>
      </c>
      <c r="AB84" s="220">
        <f>Agriculture_Frontend[[#This Row],[Data]]</f>
        <v>0</v>
      </c>
      <c r="AC84" s="220">
        <f>Agriculture_Frontend[[#This Row],[Units]]</f>
        <v>0</v>
      </c>
      <c r="AD84" s="220" t="e">
        <f ca="1">IF(Agriculture_Backend[[#This Row],[Units]]=Agriculture_Backend[[#This Row],[Standard units]],Agriculture_Backend[[#This Row],[Data]],Agriculture_Backend[[#This Row],[Data]]*_xlfn.XLOOKUP(_xlfn.CONCAT(Agriculture_Backend[[#This Row],[Level 1]:[Level 6]]),rng_EFConcat,rng_EFConversion))</f>
        <v>#N/A</v>
      </c>
      <c r="AE84" s="174" t="e" cm="1">
        <f t="array" aca="1" ref="AE84" ca="1">_xlfn.XLOOKUP(_xlfn.CONCAT(Agriculture_Backend[[#This Row],[Level 1]:[Level 6]]),rng_LevelsConcat,rng_UnitsLong)</f>
        <v>#N/A</v>
      </c>
      <c r="AF84" s="210" t="e">
        <f ca="1">_xlfn.XLOOKUP(_xlfn.CONCAT(Agriculture_Backend[[#This Row],[Level 1]:[Level 6]]),rng_EFConcat,rng_EF1)*Agriculture_Backend[[#This Row],[Converted data]]/1000</f>
        <v>#N/A</v>
      </c>
      <c r="AG84" s="210" t="e">
        <f ca="1">_xlfn.XLOOKUP(_xlfn.CONCAT(Agriculture_Backend[[#This Row],[Level 1]:[Level 6]]),rng_EFConcat,rng_EF2)*Agriculture_Backend[[#This Row],[Converted data]]/1000</f>
        <v>#N/A</v>
      </c>
      <c r="AH84" s="210" t="e">
        <f ca="1">_xlfn.XLOOKUP(_xlfn.CONCAT(Agriculture_Backend[[#This Row],[Level 1]:[Level 6]]),rng_EFConcat,rng_EF3)*Agriculture_Backend[[#This Row],[Converted data]]/1000</f>
        <v>#N/A</v>
      </c>
      <c r="AI84" s="210" t="e">
        <f ca="1">_xlfn.XLOOKUP(_xlfn.CONCAT(Agriculture_Backend[[#This Row],[Level 1]:[Level 6]]),rng_EFConcat,rng_EF3WTT)*Agriculture_Backend[[#This Row],[Converted data]]/1000</f>
        <v>#N/A</v>
      </c>
      <c r="AJ84" s="210" t="e">
        <f ca="1">_xlfn.XLOOKUP(_xlfn.CONCAT(Agriculture_Backend[[#This Row],[Level 1]:[Level 6]]),rng_EFConcat,rng_EF3TD)*Agriculture_Backend[[#This Row],[Converted data]]/1000</f>
        <v>#N/A</v>
      </c>
      <c r="AK84" s="210" t="e">
        <f ca="1">_xlfn.XLOOKUP(_xlfn.CONCAT(Agriculture_Backend[[#This Row],[Level 1]:[Level 6]]),rng_EFConcat,rng_EF3WTTTD)*Agriculture_Backend[[#This Row],[Converted data]]/1000</f>
        <v>#N/A</v>
      </c>
      <c r="AL84" s="220" t="e">
        <f ca="1">SUM(Agriculture_Backend[[#This Row],[Scope 1 (tCO2e)]:[Scope 3 WTT T&amp;D (tCO2e)]])</f>
        <v>#N/A</v>
      </c>
      <c r="AM84" s="220" t="e">
        <f ca="1">Agriculture_Backend[[#This Row],[Total (tCO2e)]]*(1-Agriculture_Backend[[#This Row],[RSD]])</f>
        <v>#N/A</v>
      </c>
      <c r="AN84" s="220" t="e">
        <f ca="1">Agriculture_Backend[[#This Row],[Total (tCO2e)]]*(1+Agriculture_Backend[[#This Row],[RSD]])</f>
        <v>#N/A</v>
      </c>
      <c r="AO84" s="210" t="e">
        <f ca="1">_xlfn.XLOOKUP(_xlfn.CONCAT(Agriculture_Backend[[#This Row],[Level 1]:[Level 6]]),rng_EFConcat,rng_EFOOS)*Agriculture_Backend[[#This Row],[Converted data]]/1000</f>
        <v>#N/A</v>
      </c>
      <c r="AP84" s="174">
        <f>Agriculture_Frontend[[#This Row],[Ease of collection]]</f>
        <v>0</v>
      </c>
      <c r="AQ84" s="213">
        <f>Agriculture_Frontend[[#This Row],[Completeness]]</f>
        <v>0</v>
      </c>
      <c r="AR84" s="213">
        <f>Agriculture_Frontend[[#This Row],[Notes]]</f>
        <v>0</v>
      </c>
      <c r="AU84"/>
      <c r="AV84"/>
      <c r="AW84"/>
      <c r="AX84"/>
      <c r="AY84"/>
      <c r="AZ84"/>
      <c r="BA84"/>
      <c r="BB84"/>
      <c r="BC84"/>
      <c r="BD84"/>
    </row>
    <row r="85" spans="2:56" ht="14.5" x14ac:dyDescent="0.35">
      <c r="B85" s="455"/>
      <c r="E85" s="346"/>
      <c r="F85" s="336"/>
      <c r="G85" s="172" t="s">
        <v>198</v>
      </c>
      <c r="H85" s="347"/>
      <c r="I85" s="336"/>
      <c r="J85" s="336"/>
      <c r="K85" s="336"/>
      <c r="L85" s="337"/>
      <c r="M85" s="242">
        <f t="shared" si="6"/>
        <v>4</v>
      </c>
      <c r="Q85" s="212" t="str">
        <f t="shared" si="5"/>
        <v/>
      </c>
      <c r="R85" s="174" t="s">
        <v>200</v>
      </c>
      <c r="S85" s="174" t="s">
        <v>148</v>
      </c>
      <c r="T85" s="235" t="s">
        <v>148</v>
      </c>
      <c r="U85" s="174">
        <f>Agriculture_Frontend[[#This Row],[Agriculture emission source]]</f>
        <v>0</v>
      </c>
      <c r="V85" s="174">
        <f>Agriculture_Frontend[[#This Row],[Type]]</f>
        <v>0</v>
      </c>
      <c r="W85" s="174" t="e" cm="1">
        <f t="array" aca="1" ref="W85" ca="1">_xlfn.XLOOKUP(Agriculture_Backend[[#This Row],[Level 5]],rng_Level5Long,rng_Level6Long)</f>
        <v>#N/A</v>
      </c>
      <c r="X85" s="174" t="s">
        <v>339</v>
      </c>
      <c r="Y85" s="174" t="s">
        <v>339</v>
      </c>
      <c r="Z85" s="174" t="s">
        <v>198</v>
      </c>
      <c r="AA85" s="229" t="e" cm="1">
        <f t="array" aca="1" ref="AA85" ca="1">_xlfn.LET(_xlpm.LookupConcat,_xlfn.CONCAT(Agriculture_Backend[[#This Row],[Level 1]:[Level 6]]),_xlfn.XLOOKUP(_xlpm.LookupConcat,rng_LevelsConcat,_xlfn.SWITCH(Agriculture_Backend[[#This Row],[Methodology]],"Tier 1",rng_RSD1,"Tier 2",rng_RSD2,"Tier 3",rng_RSD3)))</f>
        <v>#N/A</v>
      </c>
      <c r="AB85" s="220">
        <f>Agriculture_Frontend[[#This Row],[Data]]</f>
        <v>0</v>
      </c>
      <c r="AC85" s="220">
        <f>Agriculture_Frontend[[#This Row],[Units]]</f>
        <v>0</v>
      </c>
      <c r="AD85" s="220" t="e">
        <f ca="1">IF(Agriculture_Backend[[#This Row],[Units]]=Agriculture_Backend[[#This Row],[Standard units]],Agriculture_Backend[[#This Row],[Data]],Agriculture_Backend[[#This Row],[Data]]*_xlfn.XLOOKUP(_xlfn.CONCAT(Agriculture_Backend[[#This Row],[Level 1]:[Level 6]]),rng_EFConcat,rng_EFConversion))</f>
        <v>#N/A</v>
      </c>
      <c r="AE85" s="174" t="e" cm="1">
        <f t="array" aca="1" ref="AE85" ca="1">_xlfn.XLOOKUP(_xlfn.CONCAT(Agriculture_Backend[[#This Row],[Level 1]:[Level 6]]),rng_LevelsConcat,rng_UnitsLong)</f>
        <v>#N/A</v>
      </c>
      <c r="AF85" s="210" t="e">
        <f ca="1">_xlfn.XLOOKUP(_xlfn.CONCAT(Agriculture_Backend[[#This Row],[Level 1]:[Level 6]]),rng_EFConcat,rng_EF1)*Agriculture_Backend[[#This Row],[Converted data]]/1000</f>
        <v>#N/A</v>
      </c>
      <c r="AG85" s="210" t="e">
        <f ca="1">_xlfn.XLOOKUP(_xlfn.CONCAT(Agriculture_Backend[[#This Row],[Level 1]:[Level 6]]),rng_EFConcat,rng_EF2)*Agriculture_Backend[[#This Row],[Converted data]]/1000</f>
        <v>#N/A</v>
      </c>
      <c r="AH85" s="210" t="e">
        <f ca="1">_xlfn.XLOOKUP(_xlfn.CONCAT(Agriculture_Backend[[#This Row],[Level 1]:[Level 6]]),rng_EFConcat,rng_EF3)*Agriculture_Backend[[#This Row],[Converted data]]/1000</f>
        <v>#N/A</v>
      </c>
      <c r="AI85" s="210" t="e">
        <f ca="1">_xlfn.XLOOKUP(_xlfn.CONCAT(Agriculture_Backend[[#This Row],[Level 1]:[Level 6]]),rng_EFConcat,rng_EF3WTT)*Agriculture_Backend[[#This Row],[Converted data]]/1000</f>
        <v>#N/A</v>
      </c>
      <c r="AJ85" s="210" t="e">
        <f ca="1">_xlfn.XLOOKUP(_xlfn.CONCAT(Agriculture_Backend[[#This Row],[Level 1]:[Level 6]]),rng_EFConcat,rng_EF3TD)*Agriculture_Backend[[#This Row],[Converted data]]/1000</f>
        <v>#N/A</v>
      </c>
      <c r="AK85" s="210" t="e">
        <f ca="1">_xlfn.XLOOKUP(_xlfn.CONCAT(Agriculture_Backend[[#This Row],[Level 1]:[Level 6]]),rng_EFConcat,rng_EF3WTTTD)*Agriculture_Backend[[#This Row],[Converted data]]/1000</f>
        <v>#N/A</v>
      </c>
      <c r="AL85" s="220" t="e">
        <f ca="1">SUM(Agriculture_Backend[[#This Row],[Scope 1 (tCO2e)]:[Scope 3 WTT T&amp;D (tCO2e)]])</f>
        <v>#N/A</v>
      </c>
      <c r="AM85" s="220" t="e">
        <f ca="1">Agriculture_Backend[[#This Row],[Total (tCO2e)]]*(1-Agriculture_Backend[[#This Row],[RSD]])</f>
        <v>#N/A</v>
      </c>
      <c r="AN85" s="220" t="e">
        <f ca="1">Agriculture_Backend[[#This Row],[Total (tCO2e)]]*(1+Agriculture_Backend[[#This Row],[RSD]])</f>
        <v>#N/A</v>
      </c>
      <c r="AO85" s="210" t="e">
        <f ca="1">_xlfn.XLOOKUP(_xlfn.CONCAT(Agriculture_Backend[[#This Row],[Level 1]:[Level 6]]),rng_EFConcat,rng_EFOOS)*Agriculture_Backend[[#This Row],[Converted data]]/1000</f>
        <v>#N/A</v>
      </c>
      <c r="AP85" s="174">
        <f>Agriculture_Frontend[[#This Row],[Ease of collection]]</f>
        <v>0</v>
      </c>
      <c r="AQ85" s="213">
        <f>Agriculture_Frontend[[#This Row],[Completeness]]</f>
        <v>0</v>
      </c>
      <c r="AR85" s="213">
        <f>Agriculture_Frontend[[#This Row],[Notes]]</f>
        <v>0</v>
      </c>
      <c r="AU85"/>
      <c r="AV85"/>
      <c r="AW85"/>
      <c r="AX85"/>
      <c r="AY85"/>
      <c r="AZ85"/>
      <c r="BA85"/>
      <c r="BB85"/>
      <c r="BC85"/>
      <c r="BD85"/>
    </row>
    <row r="86" spans="2:56" ht="14.5" x14ac:dyDescent="0.35">
      <c r="B86" s="455"/>
      <c r="E86" s="346"/>
      <c r="F86" s="336"/>
      <c r="G86" s="172" t="s">
        <v>198</v>
      </c>
      <c r="H86" s="347"/>
      <c r="I86" s="336"/>
      <c r="J86" s="336"/>
      <c r="K86" s="336"/>
      <c r="L86" s="337"/>
      <c r="M86" s="242">
        <f t="shared" si="6"/>
        <v>4</v>
      </c>
      <c r="Q86" s="212" t="str">
        <f t="shared" si="5"/>
        <v/>
      </c>
      <c r="R86" s="174" t="s">
        <v>200</v>
      </c>
      <c r="S86" s="174" t="s">
        <v>148</v>
      </c>
      <c r="T86" s="235" t="s">
        <v>148</v>
      </c>
      <c r="U86" s="174">
        <f>Agriculture_Frontend[[#This Row],[Agriculture emission source]]</f>
        <v>0</v>
      </c>
      <c r="V86" s="174">
        <f>Agriculture_Frontend[[#This Row],[Type]]</f>
        <v>0</v>
      </c>
      <c r="W86" s="174" t="e" cm="1">
        <f t="array" aca="1" ref="W86" ca="1">_xlfn.XLOOKUP(Agriculture_Backend[[#This Row],[Level 5]],rng_Level5Long,rng_Level6Long)</f>
        <v>#N/A</v>
      </c>
      <c r="X86" s="174" t="s">
        <v>339</v>
      </c>
      <c r="Y86" s="174" t="s">
        <v>339</v>
      </c>
      <c r="Z86" s="174" t="s">
        <v>198</v>
      </c>
      <c r="AA86" s="229" t="e" cm="1">
        <f t="array" aca="1" ref="AA86" ca="1">_xlfn.LET(_xlpm.LookupConcat,_xlfn.CONCAT(Agriculture_Backend[[#This Row],[Level 1]:[Level 6]]),_xlfn.XLOOKUP(_xlpm.LookupConcat,rng_LevelsConcat,_xlfn.SWITCH(Agriculture_Backend[[#This Row],[Methodology]],"Tier 1",rng_RSD1,"Tier 2",rng_RSD2,"Tier 3",rng_RSD3)))</f>
        <v>#N/A</v>
      </c>
      <c r="AB86" s="220">
        <f>Agriculture_Frontend[[#This Row],[Data]]</f>
        <v>0</v>
      </c>
      <c r="AC86" s="220">
        <f>Agriculture_Frontend[[#This Row],[Units]]</f>
        <v>0</v>
      </c>
      <c r="AD86" s="220" t="e">
        <f ca="1">IF(Agriculture_Backend[[#This Row],[Units]]=Agriculture_Backend[[#This Row],[Standard units]],Agriculture_Backend[[#This Row],[Data]],Agriculture_Backend[[#This Row],[Data]]*_xlfn.XLOOKUP(_xlfn.CONCAT(Agriculture_Backend[[#This Row],[Level 1]:[Level 6]]),rng_EFConcat,rng_EFConversion))</f>
        <v>#N/A</v>
      </c>
      <c r="AE86" s="174" t="e" cm="1">
        <f t="array" aca="1" ref="AE86" ca="1">_xlfn.XLOOKUP(_xlfn.CONCAT(Agriculture_Backend[[#This Row],[Level 1]:[Level 6]]),rng_LevelsConcat,rng_UnitsLong)</f>
        <v>#N/A</v>
      </c>
      <c r="AF86" s="210" t="e">
        <f ca="1">_xlfn.XLOOKUP(_xlfn.CONCAT(Agriculture_Backend[[#This Row],[Level 1]:[Level 6]]),rng_EFConcat,rng_EF1)*Agriculture_Backend[[#This Row],[Converted data]]/1000</f>
        <v>#N/A</v>
      </c>
      <c r="AG86" s="210" t="e">
        <f ca="1">_xlfn.XLOOKUP(_xlfn.CONCAT(Agriculture_Backend[[#This Row],[Level 1]:[Level 6]]),rng_EFConcat,rng_EF2)*Agriculture_Backend[[#This Row],[Converted data]]/1000</f>
        <v>#N/A</v>
      </c>
      <c r="AH86" s="210" t="e">
        <f ca="1">_xlfn.XLOOKUP(_xlfn.CONCAT(Agriculture_Backend[[#This Row],[Level 1]:[Level 6]]),rng_EFConcat,rng_EF3)*Agriculture_Backend[[#This Row],[Converted data]]/1000</f>
        <v>#N/A</v>
      </c>
      <c r="AI86" s="210" t="e">
        <f ca="1">_xlfn.XLOOKUP(_xlfn.CONCAT(Agriculture_Backend[[#This Row],[Level 1]:[Level 6]]),rng_EFConcat,rng_EF3WTT)*Agriculture_Backend[[#This Row],[Converted data]]/1000</f>
        <v>#N/A</v>
      </c>
      <c r="AJ86" s="210" t="e">
        <f ca="1">_xlfn.XLOOKUP(_xlfn.CONCAT(Agriculture_Backend[[#This Row],[Level 1]:[Level 6]]),rng_EFConcat,rng_EF3TD)*Agriculture_Backend[[#This Row],[Converted data]]/1000</f>
        <v>#N/A</v>
      </c>
      <c r="AK86" s="210" t="e">
        <f ca="1">_xlfn.XLOOKUP(_xlfn.CONCAT(Agriculture_Backend[[#This Row],[Level 1]:[Level 6]]),rng_EFConcat,rng_EF3WTTTD)*Agriculture_Backend[[#This Row],[Converted data]]/1000</f>
        <v>#N/A</v>
      </c>
      <c r="AL86" s="220" t="e">
        <f ca="1">SUM(Agriculture_Backend[[#This Row],[Scope 1 (tCO2e)]:[Scope 3 WTT T&amp;D (tCO2e)]])</f>
        <v>#N/A</v>
      </c>
      <c r="AM86" s="220" t="e">
        <f ca="1">Agriculture_Backend[[#This Row],[Total (tCO2e)]]*(1-Agriculture_Backend[[#This Row],[RSD]])</f>
        <v>#N/A</v>
      </c>
      <c r="AN86" s="220" t="e">
        <f ca="1">Agriculture_Backend[[#This Row],[Total (tCO2e)]]*(1+Agriculture_Backend[[#This Row],[RSD]])</f>
        <v>#N/A</v>
      </c>
      <c r="AO86" s="210" t="e">
        <f ca="1">_xlfn.XLOOKUP(_xlfn.CONCAT(Agriculture_Backend[[#This Row],[Level 1]:[Level 6]]),rng_EFConcat,rng_EFOOS)*Agriculture_Backend[[#This Row],[Converted data]]/1000</f>
        <v>#N/A</v>
      </c>
      <c r="AP86" s="174">
        <f>Agriculture_Frontend[[#This Row],[Ease of collection]]</f>
        <v>0</v>
      </c>
      <c r="AQ86" s="213">
        <f>Agriculture_Frontend[[#This Row],[Completeness]]</f>
        <v>0</v>
      </c>
      <c r="AR86" s="213">
        <f>Agriculture_Frontend[[#This Row],[Notes]]</f>
        <v>0</v>
      </c>
      <c r="AU86"/>
      <c r="AV86"/>
      <c r="AW86"/>
      <c r="AX86"/>
      <c r="AY86"/>
      <c r="AZ86"/>
      <c r="BA86"/>
      <c r="BB86"/>
      <c r="BC86"/>
      <c r="BD86"/>
    </row>
    <row r="87" spans="2:56" ht="14.5" x14ac:dyDescent="0.35">
      <c r="B87" s="455"/>
      <c r="E87" s="346"/>
      <c r="F87" s="336"/>
      <c r="G87" s="172" t="s">
        <v>198</v>
      </c>
      <c r="H87" s="347"/>
      <c r="I87" s="336"/>
      <c r="J87" s="336"/>
      <c r="K87" s="336"/>
      <c r="L87" s="337"/>
      <c r="M87" s="242">
        <f t="shared" si="6"/>
        <v>4</v>
      </c>
      <c r="Q87" s="212" t="str">
        <f t="shared" si="5"/>
        <v/>
      </c>
      <c r="R87" s="174" t="s">
        <v>200</v>
      </c>
      <c r="S87" s="174" t="s">
        <v>148</v>
      </c>
      <c r="T87" s="235" t="s">
        <v>148</v>
      </c>
      <c r="U87" s="174">
        <f>Agriculture_Frontend[[#This Row],[Agriculture emission source]]</f>
        <v>0</v>
      </c>
      <c r="V87" s="174">
        <f>Agriculture_Frontend[[#This Row],[Type]]</f>
        <v>0</v>
      </c>
      <c r="W87" s="174" t="e" cm="1">
        <f t="array" aca="1" ref="W87" ca="1">_xlfn.XLOOKUP(Agriculture_Backend[[#This Row],[Level 5]],rng_Level5Long,rng_Level6Long)</f>
        <v>#N/A</v>
      </c>
      <c r="X87" s="174" t="s">
        <v>339</v>
      </c>
      <c r="Y87" s="174" t="s">
        <v>339</v>
      </c>
      <c r="Z87" s="174" t="s">
        <v>198</v>
      </c>
      <c r="AA87" s="229" t="e" cm="1">
        <f t="array" aca="1" ref="AA87" ca="1">_xlfn.LET(_xlpm.LookupConcat,_xlfn.CONCAT(Agriculture_Backend[[#This Row],[Level 1]:[Level 6]]),_xlfn.XLOOKUP(_xlpm.LookupConcat,rng_LevelsConcat,_xlfn.SWITCH(Agriculture_Backend[[#This Row],[Methodology]],"Tier 1",rng_RSD1,"Tier 2",rng_RSD2,"Tier 3",rng_RSD3)))</f>
        <v>#N/A</v>
      </c>
      <c r="AB87" s="220">
        <f>Agriculture_Frontend[[#This Row],[Data]]</f>
        <v>0</v>
      </c>
      <c r="AC87" s="220">
        <f>Agriculture_Frontend[[#This Row],[Units]]</f>
        <v>0</v>
      </c>
      <c r="AD87" s="220" t="e">
        <f ca="1">IF(Agriculture_Backend[[#This Row],[Units]]=Agriculture_Backend[[#This Row],[Standard units]],Agriculture_Backend[[#This Row],[Data]],Agriculture_Backend[[#This Row],[Data]]*_xlfn.XLOOKUP(_xlfn.CONCAT(Agriculture_Backend[[#This Row],[Level 1]:[Level 6]]),rng_EFConcat,rng_EFConversion))</f>
        <v>#N/A</v>
      </c>
      <c r="AE87" s="174" t="e" cm="1">
        <f t="array" aca="1" ref="AE87" ca="1">_xlfn.XLOOKUP(_xlfn.CONCAT(Agriculture_Backend[[#This Row],[Level 1]:[Level 6]]),rng_LevelsConcat,rng_UnitsLong)</f>
        <v>#N/A</v>
      </c>
      <c r="AF87" s="210" t="e">
        <f ca="1">_xlfn.XLOOKUP(_xlfn.CONCAT(Agriculture_Backend[[#This Row],[Level 1]:[Level 6]]),rng_EFConcat,rng_EF1)*Agriculture_Backend[[#This Row],[Converted data]]/1000</f>
        <v>#N/A</v>
      </c>
      <c r="AG87" s="210" t="e">
        <f ca="1">_xlfn.XLOOKUP(_xlfn.CONCAT(Agriculture_Backend[[#This Row],[Level 1]:[Level 6]]),rng_EFConcat,rng_EF2)*Agriculture_Backend[[#This Row],[Converted data]]/1000</f>
        <v>#N/A</v>
      </c>
      <c r="AH87" s="210" t="e">
        <f ca="1">_xlfn.XLOOKUP(_xlfn.CONCAT(Agriculture_Backend[[#This Row],[Level 1]:[Level 6]]),rng_EFConcat,rng_EF3)*Agriculture_Backend[[#This Row],[Converted data]]/1000</f>
        <v>#N/A</v>
      </c>
      <c r="AI87" s="210" t="e">
        <f ca="1">_xlfn.XLOOKUP(_xlfn.CONCAT(Agriculture_Backend[[#This Row],[Level 1]:[Level 6]]),rng_EFConcat,rng_EF3WTT)*Agriculture_Backend[[#This Row],[Converted data]]/1000</f>
        <v>#N/A</v>
      </c>
      <c r="AJ87" s="210" t="e">
        <f ca="1">_xlfn.XLOOKUP(_xlfn.CONCAT(Agriculture_Backend[[#This Row],[Level 1]:[Level 6]]),rng_EFConcat,rng_EF3TD)*Agriculture_Backend[[#This Row],[Converted data]]/1000</f>
        <v>#N/A</v>
      </c>
      <c r="AK87" s="210" t="e">
        <f ca="1">_xlfn.XLOOKUP(_xlfn.CONCAT(Agriculture_Backend[[#This Row],[Level 1]:[Level 6]]),rng_EFConcat,rng_EF3WTTTD)*Agriculture_Backend[[#This Row],[Converted data]]/1000</f>
        <v>#N/A</v>
      </c>
      <c r="AL87" s="220" t="e">
        <f ca="1">SUM(Agriculture_Backend[[#This Row],[Scope 1 (tCO2e)]:[Scope 3 WTT T&amp;D (tCO2e)]])</f>
        <v>#N/A</v>
      </c>
      <c r="AM87" s="220" t="e">
        <f ca="1">Agriculture_Backend[[#This Row],[Total (tCO2e)]]*(1-Agriculture_Backend[[#This Row],[RSD]])</f>
        <v>#N/A</v>
      </c>
      <c r="AN87" s="220" t="e">
        <f ca="1">Agriculture_Backend[[#This Row],[Total (tCO2e)]]*(1+Agriculture_Backend[[#This Row],[RSD]])</f>
        <v>#N/A</v>
      </c>
      <c r="AO87" s="210" t="e">
        <f ca="1">_xlfn.XLOOKUP(_xlfn.CONCAT(Agriculture_Backend[[#This Row],[Level 1]:[Level 6]]),rng_EFConcat,rng_EFOOS)*Agriculture_Backend[[#This Row],[Converted data]]/1000</f>
        <v>#N/A</v>
      </c>
      <c r="AP87" s="174">
        <f>Agriculture_Frontend[[#This Row],[Ease of collection]]</f>
        <v>0</v>
      </c>
      <c r="AQ87" s="213">
        <f>Agriculture_Frontend[[#This Row],[Completeness]]</f>
        <v>0</v>
      </c>
      <c r="AR87" s="213">
        <f>Agriculture_Frontend[[#This Row],[Notes]]</f>
        <v>0</v>
      </c>
      <c r="AU87"/>
      <c r="AV87"/>
      <c r="AW87"/>
      <c r="AX87"/>
      <c r="AY87"/>
      <c r="AZ87"/>
      <c r="BA87"/>
      <c r="BB87"/>
      <c r="BC87"/>
      <c r="BD87"/>
    </row>
    <row r="88" spans="2:56" ht="14.5" x14ac:dyDescent="0.35">
      <c r="B88" s="455"/>
      <c r="E88" s="346"/>
      <c r="F88" s="336"/>
      <c r="G88" s="172" t="s">
        <v>198</v>
      </c>
      <c r="H88" s="347"/>
      <c r="I88" s="336"/>
      <c r="J88" s="338"/>
      <c r="K88" s="338"/>
      <c r="L88" s="339"/>
      <c r="M88" s="242">
        <f t="shared" si="6"/>
        <v>4</v>
      </c>
      <c r="Q88" s="212" t="str">
        <f t="shared" si="5"/>
        <v/>
      </c>
      <c r="R88" s="174" t="s">
        <v>200</v>
      </c>
      <c r="S88" s="174" t="s">
        <v>148</v>
      </c>
      <c r="T88" s="235" t="s">
        <v>148</v>
      </c>
      <c r="U88" s="174">
        <f>Agriculture_Frontend[[#This Row],[Agriculture emission source]]</f>
        <v>0</v>
      </c>
      <c r="V88" s="174">
        <f>Agriculture_Frontend[[#This Row],[Type]]</f>
        <v>0</v>
      </c>
      <c r="W88" s="174" t="e" cm="1">
        <f t="array" aca="1" ref="W88" ca="1">_xlfn.XLOOKUP(Agriculture_Backend[[#This Row],[Level 5]],rng_Level5Long,rng_Level6Long)</f>
        <v>#N/A</v>
      </c>
      <c r="X88" s="174" t="s">
        <v>339</v>
      </c>
      <c r="Y88" s="174" t="s">
        <v>339</v>
      </c>
      <c r="Z88" s="174" t="s">
        <v>198</v>
      </c>
      <c r="AA88" s="229" t="e" cm="1">
        <f t="array" aca="1" ref="AA88" ca="1">_xlfn.LET(_xlpm.LookupConcat,_xlfn.CONCAT(Agriculture_Backend[[#This Row],[Level 1]:[Level 6]]),_xlfn.XLOOKUP(_xlpm.LookupConcat,rng_LevelsConcat,_xlfn.SWITCH(Agriculture_Backend[[#This Row],[Methodology]],"Tier 1",rng_RSD1,"Tier 2",rng_RSD2,"Tier 3",rng_RSD3)))</f>
        <v>#N/A</v>
      </c>
      <c r="AB88" s="220">
        <f>Agriculture_Frontend[[#This Row],[Data]]</f>
        <v>0</v>
      </c>
      <c r="AC88" s="220">
        <f>Agriculture_Frontend[[#This Row],[Units]]</f>
        <v>0</v>
      </c>
      <c r="AD88" s="220" t="e">
        <f ca="1">IF(Agriculture_Backend[[#This Row],[Units]]=Agriculture_Backend[[#This Row],[Standard units]],Agriculture_Backend[[#This Row],[Data]],Agriculture_Backend[[#This Row],[Data]]*_xlfn.XLOOKUP(_xlfn.CONCAT(Agriculture_Backend[[#This Row],[Level 1]:[Level 6]]),rng_EFConcat,rng_EFConversion))</f>
        <v>#N/A</v>
      </c>
      <c r="AE88" s="174" t="e" cm="1">
        <f t="array" aca="1" ref="AE88" ca="1">_xlfn.XLOOKUP(_xlfn.CONCAT(Agriculture_Backend[[#This Row],[Level 1]:[Level 6]]),rng_LevelsConcat,rng_UnitsLong)</f>
        <v>#N/A</v>
      </c>
      <c r="AF88" s="210" t="e">
        <f ca="1">_xlfn.XLOOKUP(_xlfn.CONCAT(Agriculture_Backend[[#This Row],[Level 1]:[Level 6]]),rng_EFConcat,rng_EF1)*Agriculture_Backend[[#This Row],[Converted data]]/1000</f>
        <v>#N/A</v>
      </c>
      <c r="AG88" s="210" t="e">
        <f ca="1">_xlfn.XLOOKUP(_xlfn.CONCAT(Agriculture_Backend[[#This Row],[Level 1]:[Level 6]]),rng_EFConcat,rng_EF2)*Agriculture_Backend[[#This Row],[Converted data]]/1000</f>
        <v>#N/A</v>
      </c>
      <c r="AH88" s="210" t="e">
        <f ca="1">_xlfn.XLOOKUP(_xlfn.CONCAT(Agriculture_Backend[[#This Row],[Level 1]:[Level 6]]),rng_EFConcat,rng_EF3)*Agriculture_Backend[[#This Row],[Converted data]]/1000</f>
        <v>#N/A</v>
      </c>
      <c r="AI88" s="210" t="e">
        <f ca="1">_xlfn.XLOOKUP(_xlfn.CONCAT(Agriculture_Backend[[#This Row],[Level 1]:[Level 6]]),rng_EFConcat,rng_EF3WTT)*Agriculture_Backend[[#This Row],[Converted data]]/1000</f>
        <v>#N/A</v>
      </c>
      <c r="AJ88" s="210" t="e">
        <f ca="1">_xlfn.XLOOKUP(_xlfn.CONCAT(Agriculture_Backend[[#This Row],[Level 1]:[Level 6]]),rng_EFConcat,rng_EF3TD)*Agriculture_Backend[[#This Row],[Converted data]]/1000</f>
        <v>#N/A</v>
      </c>
      <c r="AK88" s="210" t="e">
        <f ca="1">_xlfn.XLOOKUP(_xlfn.CONCAT(Agriculture_Backend[[#This Row],[Level 1]:[Level 6]]),rng_EFConcat,rng_EF3WTTTD)*Agriculture_Backend[[#This Row],[Converted data]]/1000</f>
        <v>#N/A</v>
      </c>
      <c r="AL88" s="220" t="e">
        <f ca="1">SUM(Agriculture_Backend[[#This Row],[Scope 1 (tCO2e)]:[Scope 3 WTT T&amp;D (tCO2e)]])</f>
        <v>#N/A</v>
      </c>
      <c r="AM88" s="220" t="e">
        <f ca="1">Agriculture_Backend[[#This Row],[Total (tCO2e)]]*(1-Agriculture_Backend[[#This Row],[RSD]])</f>
        <v>#N/A</v>
      </c>
      <c r="AN88" s="220" t="e">
        <f ca="1">Agriculture_Backend[[#This Row],[Total (tCO2e)]]*(1+Agriculture_Backend[[#This Row],[RSD]])</f>
        <v>#N/A</v>
      </c>
      <c r="AO88" s="210" t="e">
        <f ca="1">_xlfn.XLOOKUP(_xlfn.CONCAT(Agriculture_Backend[[#This Row],[Level 1]:[Level 6]]),rng_EFConcat,rng_EFOOS)*Agriculture_Backend[[#This Row],[Converted data]]/1000</f>
        <v>#N/A</v>
      </c>
      <c r="AP88" s="174">
        <f>Agriculture_Frontend[[#This Row],[Ease of collection]]</f>
        <v>0</v>
      </c>
      <c r="AQ88" s="213">
        <f>Agriculture_Frontend[[#This Row],[Completeness]]</f>
        <v>0</v>
      </c>
      <c r="AR88" s="213">
        <f>Agriculture_Frontend[[#This Row],[Notes]]</f>
        <v>0</v>
      </c>
      <c r="AU88"/>
      <c r="AV88"/>
      <c r="AW88"/>
      <c r="AX88"/>
      <c r="AY88"/>
      <c r="AZ88"/>
      <c r="BA88"/>
      <c r="BB88"/>
      <c r="BC88"/>
      <c r="BD88"/>
    </row>
    <row r="89" spans="2:56" ht="14.5" x14ac:dyDescent="0.35">
      <c r="B89" s="455"/>
      <c r="E89" s="348"/>
      <c r="F89" s="336"/>
      <c r="G89" s="172" t="s">
        <v>198</v>
      </c>
      <c r="H89" s="349"/>
      <c r="I89" s="336"/>
      <c r="J89" s="338"/>
      <c r="K89" s="338"/>
      <c r="L89" s="339"/>
      <c r="M89" s="242">
        <f t="shared" si="6"/>
        <v>4</v>
      </c>
      <c r="Q89" s="214" t="str">
        <f t="shared" si="5"/>
        <v/>
      </c>
      <c r="R89" s="174" t="s">
        <v>200</v>
      </c>
      <c r="S89" s="174" t="s">
        <v>148</v>
      </c>
      <c r="T89" s="235" t="s">
        <v>148</v>
      </c>
      <c r="U89" s="174">
        <f>Agriculture_Frontend[[#This Row],[Agriculture emission source]]</f>
        <v>0</v>
      </c>
      <c r="V89" s="174">
        <f>Agriculture_Frontend[[#This Row],[Type]]</f>
        <v>0</v>
      </c>
      <c r="W89" s="216" t="e" cm="1">
        <f t="array" aca="1" ref="W89" ca="1">_xlfn.XLOOKUP(Agriculture_Backend[[#This Row],[Level 5]],rng_Level5Long,rng_Level6Long)</f>
        <v>#N/A</v>
      </c>
      <c r="X89" s="174" t="s">
        <v>339</v>
      </c>
      <c r="Y89" s="174" t="s">
        <v>339</v>
      </c>
      <c r="Z89" s="174" t="s">
        <v>198</v>
      </c>
      <c r="AA89" s="229" t="e" cm="1">
        <f t="array" aca="1" ref="AA89" ca="1">_xlfn.LET(_xlpm.LookupConcat,_xlfn.CONCAT(Agriculture_Backend[[#This Row],[Level 1]:[Level 6]]),_xlfn.XLOOKUP(_xlpm.LookupConcat,rng_LevelsConcat,_xlfn.SWITCH(Agriculture_Backend[[#This Row],[Methodology]],"Tier 1",rng_RSD1,"Tier 2",rng_RSD2,"Tier 3",rng_RSD3)))</f>
        <v>#N/A</v>
      </c>
      <c r="AB89" s="220">
        <f>Agriculture_Frontend[[#This Row],[Data]]</f>
        <v>0</v>
      </c>
      <c r="AC89" s="220">
        <f>Agriculture_Frontend[[#This Row],[Units]]</f>
        <v>0</v>
      </c>
      <c r="AD89" s="220" t="e">
        <f ca="1">IF(Agriculture_Backend[[#This Row],[Units]]=Agriculture_Backend[[#This Row],[Standard units]],Agriculture_Backend[[#This Row],[Data]],Agriculture_Backend[[#This Row],[Data]]*_xlfn.XLOOKUP(_xlfn.CONCAT(Agriculture_Backend[[#This Row],[Level 1]:[Level 6]]),rng_EFConcat,rng_EFConversion))</f>
        <v>#N/A</v>
      </c>
      <c r="AE89" s="174" t="e" cm="1">
        <f t="array" aca="1" ref="AE89" ca="1">_xlfn.XLOOKUP(_xlfn.CONCAT(Agriculture_Backend[[#This Row],[Level 1]:[Level 6]]),rng_LevelsConcat,rng_UnitsLong)</f>
        <v>#N/A</v>
      </c>
      <c r="AF89" s="210" t="e">
        <f ca="1">_xlfn.XLOOKUP(_xlfn.CONCAT(Agriculture_Backend[[#This Row],[Level 1]:[Level 6]]),rng_EFConcat,rng_EF1)*Agriculture_Backend[[#This Row],[Converted data]]/1000</f>
        <v>#N/A</v>
      </c>
      <c r="AG89" s="210" t="e">
        <f ca="1">_xlfn.XLOOKUP(_xlfn.CONCAT(Agriculture_Backend[[#This Row],[Level 1]:[Level 6]]),rng_EFConcat,rng_EF2)*Agriculture_Backend[[#This Row],[Converted data]]/1000</f>
        <v>#N/A</v>
      </c>
      <c r="AH89" s="210" t="e">
        <f ca="1">_xlfn.XLOOKUP(_xlfn.CONCAT(Agriculture_Backend[[#This Row],[Level 1]:[Level 6]]),rng_EFConcat,rng_EF3)*Agriculture_Backend[[#This Row],[Converted data]]/1000</f>
        <v>#N/A</v>
      </c>
      <c r="AI89" s="210" t="e">
        <f ca="1">_xlfn.XLOOKUP(_xlfn.CONCAT(Agriculture_Backend[[#This Row],[Level 1]:[Level 6]]),rng_EFConcat,rng_EF3WTT)*Agriculture_Backend[[#This Row],[Converted data]]/1000</f>
        <v>#N/A</v>
      </c>
      <c r="AJ89" s="210" t="e">
        <f ca="1">_xlfn.XLOOKUP(_xlfn.CONCAT(Agriculture_Backend[[#This Row],[Level 1]:[Level 6]]),rng_EFConcat,rng_EF3TD)*Agriculture_Backend[[#This Row],[Converted data]]/1000</f>
        <v>#N/A</v>
      </c>
      <c r="AK89" s="210" t="e">
        <f ca="1">_xlfn.XLOOKUP(_xlfn.CONCAT(Agriculture_Backend[[#This Row],[Level 1]:[Level 6]]),rng_EFConcat,rng_EF3WTTTD)*Agriculture_Backend[[#This Row],[Converted data]]/1000</f>
        <v>#N/A</v>
      </c>
      <c r="AL89" s="220" t="e">
        <f ca="1">SUM(Agriculture_Backend[[#This Row],[Scope 1 (tCO2e)]:[Scope 3 WTT T&amp;D (tCO2e)]])</f>
        <v>#N/A</v>
      </c>
      <c r="AM89" s="220" t="e">
        <f ca="1">Agriculture_Backend[[#This Row],[Total (tCO2e)]]*(1-Agriculture_Backend[[#This Row],[RSD]])</f>
        <v>#N/A</v>
      </c>
      <c r="AN89" s="220" t="e">
        <f ca="1">Agriculture_Backend[[#This Row],[Total (tCO2e)]]*(1+Agriculture_Backend[[#This Row],[RSD]])</f>
        <v>#N/A</v>
      </c>
      <c r="AO89" s="210" t="e">
        <f ca="1">_xlfn.XLOOKUP(_xlfn.CONCAT(Agriculture_Backend[[#This Row],[Level 1]:[Level 6]]),rng_EFConcat,rng_EFOOS)*Agriculture_Backend[[#This Row],[Converted data]]/1000</f>
        <v>#N/A</v>
      </c>
      <c r="AP89" s="174">
        <f>Agriculture_Frontend[[#This Row],[Ease of collection]]</f>
        <v>0</v>
      </c>
      <c r="AQ89" s="213">
        <f>Agriculture_Frontend[[#This Row],[Completeness]]</f>
        <v>0</v>
      </c>
      <c r="AR89" s="213">
        <f>Agriculture_Frontend[[#This Row],[Notes]]</f>
        <v>0</v>
      </c>
      <c r="AU89"/>
      <c r="AV89"/>
      <c r="AW89"/>
      <c r="AX89"/>
      <c r="AY89"/>
      <c r="AZ89"/>
      <c r="BA89"/>
      <c r="BB89"/>
      <c r="BC89"/>
      <c r="BD89"/>
    </row>
    <row r="90" spans="2:56" ht="14.5" x14ac:dyDescent="0.35">
      <c r="AU90"/>
      <c r="AV90"/>
      <c r="AW90"/>
      <c r="AX90"/>
      <c r="AY90"/>
      <c r="AZ90"/>
      <c r="BA90"/>
      <c r="BB90"/>
      <c r="BC90"/>
      <c r="BD90"/>
    </row>
    <row r="91" spans="2:56" x14ac:dyDescent="0.3"/>
    <row r="92" spans="2:56" x14ac:dyDescent="0.3"/>
    <row r="93" spans="2:56" x14ac:dyDescent="0.3">
      <c r="B93" s="146" t="s">
        <v>101</v>
      </c>
    </row>
    <row r="95" spans="2:56" x14ac:dyDescent="0.3"/>
  </sheetData>
  <sheetProtection algorithmName="SHA-512" hashValue="76m7qFhJUy0F+SZ21bS8JJ/EgJHnwVS/TpqOUvQ5hlFVugJvtKwQm6ftH/Py+wU3IyPQ1n1cNQupzs+0Css6yw==" saltValue="rDPEVXToiObdxlkGQkbzOQ==" spinCount="100000" sheet="1" formatColumns="0"/>
  <mergeCells count="4">
    <mergeCell ref="B5:B13"/>
    <mergeCell ref="B68:B89"/>
    <mergeCell ref="B17:B23"/>
    <mergeCell ref="B42:B48"/>
  </mergeCells>
  <phoneticPr fontId="16" type="noConversion"/>
  <conditionalFormatting sqref="J1">
    <cfRule type="containsText" dxfId="9" priority="1" operator="containsText" text="No data missing">
      <formula>NOT(ISERROR(SEARCH("No data missing",J1)))</formula>
    </cfRule>
  </conditionalFormatting>
  <conditionalFormatting sqref="M17">
    <cfRule type="iconSet" priority="4">
      <iconSet showValue="0">
        <cfvo type="percent" val="0"/>
        <cfvo type="num" val="1E-4"/>
        <cfvo type="num" val="4"/>
      </iconSet>
    </cfRule>
  </conditionalFormatting>
  <conditionalFormatting sqref="M42">
    <cfRule type="iconSet" priority="3">
      <iconSet showValue="0">
        <cfvo type="percent" val="0"/>
        <cfvo type="num" val="1.0000000000000001E-5"/>
        <cfvo type="num" val="5"/>
      </iconSet>
    </cfRule>
  </conditionalFormatting>
  <conditionalFormatting sqref="M68">
    <cfRule type="iconSet" priority="2">
      <iconSet showValue="0">
        <cfvo type="percent" val="0"/>
        <cfvo type="num" val="1.0000000000000001E-5"/>
        <cfvo type="num" val="4"/>
      </iconSet>
    </cfRule>
  </conditionalFormatting>
  <dataValidations count="12">
    <dataValidation type="list" showInputMessage="1" showErrorMessage="1" sqref="G18:G37" xr:uid="{C544C642-42CE-4E3C-AC68-2E8901ABC441}">
      <formula1>DROPDOWN(rng_Level4,$F18,cl_Level5Target)</formula1>
    </dataValidation>
    <dataValidation type="list" showInputMessage="1" showErrorMessage="1" sqref="F18:F37" xr:uid="{CBCF6B14-755C-4D26-B88A-D0EC01FBF404}">
      <formula1>DROPDOWN(rng_Level3,$E18,cl_Level4Target)</formula1>
    </dataValidation>
    <dataValidation type="list" allowBlank="1" showInputMessage="1" showErrorMessage="1" sqref="J18:J37 K43:K63 J69:J89" xr:uid="{312723DA-254D-4925-A059-8A3CE9A1059B}">
      <formula1>rng_data_ease</formula1>
    </dataValidation>
    <dataValidation type="list" allowBlank="1" showInputMessage="1" showErrorMessage="1" sqref="K18:K37 K69:K89" xr:uid="{E92FF36A-EC72-4971-8E99-CE126F22DAD7}">
      <formula1>rng_data_completeness</formula1>
    </dataValidation>
    <dataValidation type="list" allowBlank="1" showInputMessage="1" showErrorMessage="1" sqref="G43:G63" xr:uid="{9D454BCD-0F11-4679-B0A5-C5C8322A22F4}">
      <formula1>rng_methodology</formula1>
    </dataValidation>
    <dataValidation type="list" showInputMessage="1" showErrorMessage="1" sqref="F69:F89" xr:uid="{7C755083-66B0-44D3-A8A2-C96D77A8F422}">
      <formula1>DROPDOWN(rng_Level4,$E69,cl_Level5Target)</formula1>
    </dataValidation>
    <dataValidation type="list" showInputMessage="1" showErrorMessage="1" sqref="E69:E89" xr:uid="{495F3B02-EC05-4696-A573-40736048CCEE}">
      <formula1>DROPDOWN(rng_Level3,$T69,cl_Level4Target)</formula1>
    </dataValidation>
    <dataValidation type="list" showInputMessage="1" showErrorMessage="1" sqref="E18:E37" xr:uid="{2F2A75B0-07D3-4739-AAC0-3A24722C806B}">
      <formula1>DROPDOWN(rng_Level2,$S18,cl_Level3Target)</formula1>
    </dataValidation>
    <dataValidation allowBlank="1" showInputMessage="1" showErrorMessage="1" promptTitle="Info" prompt="If the change in land use type does not result in sequestration then please enter a negative value. Eg. Conversion to forest land removes 10tCO2e would mean entering +10." sqref="J42" xr:uid="{408E112B-BFEB-4CC7-A3E5-6E0C1AED3F92}"/>
    <dataValidation allowBlank="1" showInputMessage="1" showErrorMessage="1" promptTitle="Information" prompt="Please use the dropdown list to select the current land use type" sqref="E17" xr:uid="{F1A17523-DA51-4E14-85AB-F46233DA4014}"/>
    <dataValidation allowBlank="1" showInputMessage="1" showErrorMessage="1" promptTitle="Info" prompt="If soil type is unknown, information can be found here: https://www.landis.org.uk/_x000a__x000a_In general most soil types in Wales would be classified as 'mineral'." sqref="F17" xr:uid="{0E5043B5-E7CF-4FCA-BFCB-4A2FD1FFBA68}"/>
    <dataValidation allowBlank="1" showInputMessage="1" showErrorMessage="1" promptTitle="Information" prompt="Where land has changed use in the last 20 years, enter the previous land use type. Select the same land use type as current if the area has been under the same use for more than 20 years. " sqref="G17" xr:uid="{0FBC54E7-BAFB-4EE1-9EE6-8ECBD7159F83}"/>
  </dataValidations>
  <pageMargins left="0.7" right="0.7" top="0.75" bottom="0.75" header="0.3" footer="0.3"/>
  <ignoredErrors>
    <ignoredError sqref="I18:I37 I43:I63 R69:R89 S69:S89 G69:G89" calculatedColumn="1"/>
  </ignoredErrors>
  <tableParts count="6">
    <tablePart r:id="rId1"/>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iconSet" priority="7" id="{CB8E5EFB-FB5D-46FF-A4AD-BEECB142E72D}">
            <x14:iconSet showValue="0" custom="1">
              <x14:cfvo type="percent">
                <xm:f>0</xm:f>
              </x14:cfvo>
              <x14:cfvo type="num">
                <xm:f>1</xm:f>
              </x14:cfvo>
              <x14:cfvo type="num">
                <xm:f>4</xm:f>
              </x14:cfvo>
              <x14:cfIcon iconSet="3TrafficLights1" iconId="2"/>
              <x14:cfIcon iconSet="3TrafficLights1" iconId="0"/>
              <x14:cfIcon iconSet="4TrafficLights" iconId="0"/>
            </x14:iconSet>
          </x14:cfRule>
          <xm:sqref>M18:M37</xm:sqref>
        </x14:conditionalFormatting>
        <x14:conditionalFormatting xmlns:xm="http://schemas.microsoft.com/office/excel/2006/main">
          <x14:cfRule type="iconSet" priority="6" id="{00B4C90C-C776-4379-AB9E-2D51D94FE87F}">
            <x14:iconSet showValue="0" custom="1">
              <x14:cfvo type="percent">
                <xm:f>0</xm:f>
              </x14:cfvo>
              <x14:cfvo type="num">
                <xm:f>1</xm:f>
              </x14:cfvo>
              <x14:cfvo type="num">
                <xm:f>5</xm:f>
              </x14:cfvo>
              <x14:cfIcon iconSet="3TrafficLights1" iconId="2"/>
              <x14:cfIcon iconSet="3TrafficLights1" iconId="0"/>
              <x14:cfIcon iconSet="4TrafficLights" iconId="0"/>
            </x14:iconSet>
          </x14:cfRule>
          <xm:sqref>M43:M63</xm:sqref>
        </x14:conditionalFormatting>
        <x14:conditionalFormatting xmlns:xm="http://schemas.microsoft.com/office/excel/2006/main">
          <x14:cfRule type="iconSet" priority="5" id="{2C535019-72EE-411B-94DB-66D6EF0AFD82}">
            <x14:iconSet showValue="0" custom="1">
              <x14:cfvo type="percent">
                <xm:f>0</xm:f>
              </x14:cfvo>
              <x14:cfvo type="num">
                <xm:f>1</xm:f>
              </x14:cfvo>
              <x14:cfvo type="num">
                <xm:f>4</xm:f>
              </x14:cfvo>
              <x14:cfIcon iconSet="3TrafficLights1" iconId="2"/>
              <x14:cfIcon iconSet="3TrafficLights1" iconId="0"/>
              <x14:cfIcon iconSet="4TrafficLights" iconId="0"/>
            </x14:iconSet>
          </x14:cfRule>
          <xm:sqref>M69:M89</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D4890B19-5B48-4848-9D88-A9BA8474EFE1}">
          <x14:formula1>
            <xm:f>OFFSET(Ranges!$AT$11,MATCH(_xlfn.CONCAT($R69:$W69),rng_LevelsConcat,0)-1,,,2)</xm:f>
          </x14:formula1>
          <xm:sqref>I69:I89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50DE1-E618-4072-A074-0E0B75CCDE60}">
  <sheetPr codeName="Sheet22">
    <tabColor theme="3"/>
  </sheetPr>
  <dimension ref="B1:AU288"/>
  <sheetViews>
    <sheetView showGridLines="0" zoomScale="57" zoomScaleNormal="80" workbookViewId="0">
      <selection activeCell="J121" sqref="J121:J221"/>
    </sheetView>
  </sheetViews>
  <sheetFormatPr defaultRowHeight="14.5" zeroHeight="1" outlineLevelCol="1" x14ac:dyDescent="0.35"/>
  <cols>
    <col min="1" max="1" width="1.453125" customWidth="1"/>
    <col min="2" max="2" width="32.81640625" customWidth="1"/>
    <col min="3" max="3" width="2.26953125" customWidth="1"/>
    <col min="4" max="4" width="3.26953125" customWidth="1"/>
    <col min="5" max="5" width="26.81640625" customWidth="1"/>
    <col min="6" max="6" width="16" customWidth="1"/>
    <col min="7" max="7" width="23.81640625" customWidth="1"/>
    <col min="8" max="8" width="18.1796875" bestFit="1" customWidth="1"/>
    <col min="9" max="9" width="20.453125" customWidth="1"/>
    <col min="10" max="10" width="20.54296875" customWidth="1"/>
    <col min="11" max="11" width="14.1796875" customWidth="1"/>
    <col min="12" max="12" width="15.54296875" customWidth="1"/>
    <col min="13" max="13" width="27.54296875" bestFit="1" customWidth="1"/>
    <col min="14" max="14" width="30.1796875" bestFit="1" customWidth="1"/>
    <col min="15" max="15" width="42.81640625" customWidth="1"/>
    <col min="16" max="16" width="23.1796875" customWidth="1"/>
    <col min="17" max="17" width="29.1796875" customWidth="1"/>
    <col min="18" max="18" width="21.1796875" customWidth="1"/>
    <col min="19" max="19" width="19.81640625" customWidth="1"/>
    <col min="20" max="20" width="18.453125" customWidth="1"/>
    <col min="21" max="21" width="10.81640625" customWidth="1"/>
    <col min="26" max="26" width="8.81640625" customWidth="1" outlineLevel="1"/>
    <col min="27" max="27" width="11.54296875" customWidth="1" outlineLevel="1"/>
    <col min="28" max="28" width="15.81640625" customWidth="1" outlineLevel="1"/>
    <col min="29" max="31" width="14.81640625" customWidth="1" outlineLevel="1"/>
    <col min="32" max="32" width="10.81640625" customWidth="1" outlineLevel="1"/>
    <col min="33" max="33" width="15.1796875" customWidth="1" outlineLevel="1"/>
    <col min="34" max="34" width="8.7265625" customWidth="1" outlineLevel="1"/>
    <col min="35" max="35" width="8.81640625" customWidth="1" outlineLevel="1"/>
    <col min="36" max="36" width="9.36328125" customWidth="1" outlineLevel="1"/>
    <col min="37" max="37" width="17.54296875" customWidth="1" outlineLevel="1"/>
    <col min="38" max="38" width="17.1796875" customWidth="1" outlineLevel="1"/>
    <col min="39" max="39" width="24" customWidth="1" outlineLevel="1"/>
    <col min="40" max="40" width="27.81640625" customWidth="1" outlineLevel="1"/>
    <col min="41" max="41" width="11.26953125" customWidth="1" outlineLevel="1"/>
    <col min="42" max="42" width="21.1796875" customWidth="1" outlineLevel="1"/>
    <col min="43" max="43" width="17.81640625" customWidth="1" outlineLevel="1"/>
    <col min="44" max="44" width="14.81640625" customWidth="1" outlineLevel="1"/>
    <col min="45" max="45" width="15.1796875" customWidth="1" outlineLevel="1"/>
    <col min="46" max="46" width="11.26953125" customWidth="1" outlineLevel="1"/>
    <col min="47" max="47" width="8.7265625" customWidth="1" outlineLevel="1"/>
  </cols>
  <sheetData>
    <row r="1" spans="2:47" s="150" customFormat="1" ht="15.5" x14ac:dyDescent="0.35">
      <c r="B1" s="196" t="s">
        <v>149</v>
      </c>
      <c r="C1" s="201"/>
      <c r="D1" s="201"/>
      <c r="E1" s="200" t="s">
        <v>61</v>
      </c>
      <c r="F1" s="201">
        <f>cl_year_select</f>
        <v>0</v>
      </c>
    </row>
    <row r="2" spans="2:47" s="153" customFormat="1" ht="19" customHeight="1" x14ac:dyDescent="0.3">
      <c r="B2" s="198" t="s">
        <v>420</v>
      </c>
      <c r="C2" s="203"/>
      <c r="D2" s="203"/>
      <c r="E2" s="202" t="s">
        <v>64</v>
      </c>
      <c r="F2" s="203">
        <f>cl_org_name_select</f>
        <v>0</v>
      </c>
    </row>
    <row r="3" spans="2:47" s="147" customFormat="1" ht="14" x14ac:dyDescent="0.3">
      <c r="B3" s="146"/>
    </row>
    <row r="4" spans="2:47" s="147" customFormat="1" x14ac:dyDescent="0.35">
      <c r="B4" s="159" t="s">
        <v>10</v>
      </c>
      <c r="E4" s="191" t="s">
        <v>1</v>
      </c>
      <c r="F4"/>
    </row>
    <row r="5" spans="2:47" s="147" customFormat="1" x14ac:dyDescent="0.35">
      <c r="B5" s="455" t="s">
        <v>421</v>
      </c>
      <c r="E5" s="162" t="s">
        <v>37</v>
      </c>
      <c r="F5"/>
    </row>
    <row r="6" spans="2:47" s="147" customFormat="1" x14ac:dyDescent="0.35">
      <c r="B6" s="455"/>
      <c r="E6" s="170" t="s">
        <v>38</v>
      </c>
      <c r="F6"/>
      <c r="G6" s="151"/>
    </row>
    <row r="7" spans="2:47" s="147" customFormat="1" x14ac:dyDescent="0.35">
      <c r="B7" s="455"/>
      <c r="E7" s="192" t="s">
        <v>283</v>
      </c>
      <c r="F7"/>
      <c r="G7" s="151"/>
    </row>
    <row r="8" spans="2:47" s="147" customFormat="1" x14ac:dyDescent="0.35">
      <c r="B8" s="455"/>
      <c r="E8" s="370"/>
      <c r="F8"/>
      <c r="G8" s="151"/>
    </row>
    <row r="9" spans="2:47" s="147" customFormat="1" x14ac:dyDescent="0.35">
      <c r="B9" s="455"/>
      <c r="E9" s="370"/>
      <c r="F9"/>
      <c r="G9" s="151"/>
    </row>
    <row r="10" spans="2:47" s="147" customFormat="1" thickBot="1" x14ac:dyDescent="0.35">
      <c r="B10" s="455"/>
      <c r="E10" s="176"/>
      <c r="F10" s="176"/>
      <c r="G10" s="177"/>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row>
    <row r="11" spans="2:47" s="147" customFormat="1" ht="14" x14ac:dyDescent="0.3">
      <c r="B11" s="146"/>
      <c r="G11" s="151"/>
    </row>
    <row r="12" spans="2:47" s="147" customFormat="1" ht="14" x14ac:dyDescent="0.3">
      <c r="B12" s="159" t="s">
        <v>12</v>
      </c>
      <c r="E12" s="160" t="s">
        <v>438</v>
      </c>
    </row>
    <row r="13" spans="2:47" s="147" customFormat="1" ht="14" x14ac:dyDescent="0.3">
      <c r="B13" s="146"/>
    </row>
    <row r="14" spans="2:47" s="147" customFormat="1" ht="28" customHeight="1" x14ac:dyDescent="0.3">
      <c r="B14" s="455" t="s">
        <v>422</v>
      </c>
      <c r="E14" s="295" t="s">
        <v>423</v>
      </c>
      <c r="F14" s="296" t="s">
        <v>424</v>
      </c>
      <c r="G14" s="296" t="s">
        <v>425</v>
      </c>
      <c r="H14" s="296" t="s">
        <v>426</v>
      </c>
      <c r="I14" s="296" t="s">
        <v>427</v>
      </c>
      <c r="J14" s="296" t="s">
        <v>428</v>
      </c>
      <c r="K14" s="296" t="s">
        <v>429</v>
      </c>
      <c r="L14" s="296" t="s">
        <v>430</v>
      </c>
      <c r="M14" s="296" t="s">
        <v>431</v>
      </c>
      <c r="N14" s="296" t="s">
        <v>432</v>
      </c>
      <c r="O14" s="296" t="s">
        <v>433</v>
      </c>
      <c r="P14" s="296" t="s">
        <v>434</v>
      </c>
      <c r="Q14" s="296" t="s">
        <v>435</v>
      </c>
      <c r="R14" s="296" t="s">
        <v>436</v>
      </c>
      <c r="S14" s="296" t="s">
        <v>291</v>
      </c>
      <c r="T14" s="296" t="s">
        <v>292</v>
      </c>
      <c r="U14" s="297" t="s">
        <v>293</v>
      </c>
      <c r="V14" s="188">
        <f>AVERAGEIF($V$15:$V$114,"&lt;&gt;0",$V$15:$V$114)</f>
        <v>11</v>
      </c>
      <c r="Z14" s="225" t="s">
        <v>294</v>
      </c>
      <c r="AA14" s="226" t="s">
        <v>295</v>
      </c>
      <c r="AB14" s="226" t="s">
        <v>296</v>
      </c>
      <c r="AC14" s="226" t="s">
        <v>297</v>
      </c>
      <c r="AD14" s="226" t="s">
        <v>298</v>
      </c>
      <c r="AE14" s="226" t="s">
        <v>299</v>
      </c>
      <c r="AF14" s="226" t="s">
        <v>300</v>
      </c>
      <c r="AG14" s="226" t="s">
        <v>301</v>
      </c>
      <c r="AH14" s="226" t="s">
        <v>302</v>
      </c>
      <c r="AI14" s="226" t="s">
        <v>287</v>
      </c>
      <c r="AJ14" s="226" t="s">
        <v>303</v>
      </c>
      <c r="AK14" s="226" t="s">
        <v>429</v>
      </c>
      <c r="AL14" s="286" t="s">
        <v>430</v>
      </c>
      <c r="AM14" s="286" t="s">
        <v>431</v>
      </c>
      <c r="AN14" s="286" t="s">
        <v>432</v>
      </c>
      <c r="AO14" s="286" t="s">
        <v>433</v>
      </c>
      <c r="AP14" s="286" t="s">
        <v>434</v>
      </c>
      <c r="AQ14" s="286" t="s">
        <v>435</v>
      </c>
      <c r="AR14" s="286" t="s">
        <v>436</v>
      </c>
      <c r="AS14" s="286" t="s">
        <v>291</v>
      </c>
      <c r="AT14" s="226" t="s">
        <v>292</v>
      </c>
      <c r="AU14" s="286" t="s">
        <v>293</v>
      </c>
    </row>
    <row r="15" spans="2:47" s="147" customFormat="1" ht="14" x14ac:dyDescent="0.3">
      <c r="B15" s="455"/>
      <c r="E15" s="431"/>
      <c r="F15" s="432"/>
      <c r="G15" s="432"/>
      <c r="H15" s="432"/>
      <c r="I15" s="432"/>
      <c r="J15" s="432"/>
      <c r="K15" s="433"/>
      <c r="L15" s="434"/>
      <c r="M15" s="433"/>
      <c r="N15" s="276">
        <f>Renewables_Electricity_Frontend[[#This Row],[kWh consumed by reporting organisation]]+Renewables_Electricity_Frontend[[#This Row],[kWh exported to grid]]+Renewables_Electricity_Frontend[[#This Row],[kWh exported to other PSB]]</f>
        <v>0</v>
      </c>
      <c r="O15" s="439"/>
      <c r="P15" s="439"/>
      <c r="Q15" s="440"/>
      <c r="R15" s="441"/>
      <c r="S15" s="336"/>
      <c r="T15" s="336"/>
      <c r="U15" s="442"/>
      <c r="V15" s="242">
        <f>ISBLANK(E15)+ISBLANK(F15)+ISBLANK(G15)+ISBLANK(H15)+ISBLANK(I15)+ISBLANK(J15)+ISBLANK(K15)+ISBLANK(L15)+ISBLANK(M15)+ISBLANK(O15)+ISBLANK(P15)</f>
        <v>11</v>
      </c>
      <c r="Z15" s="212" t="str">
        <f t="shared" ref="Z15:Z46" si="0">IF(V15=0,SUBSTITUTE(2025&amp;TRIM(cl_org_name_select)&amp;TRIM($E$12)&amp;(ROW(V15)-ROW(V15))," ",""),"")</f>
        <v/>
      </c>
      <c r="AA15" s="174" t="s">
        <v>149</v>
      </c>
      <c r="AB15" s="174" t="s">
        <v>149</v>
      </c>
      <c r="AC15" s="209">
        <f>Renewables_Electricity_Frontend[[#This Row],[Renewable Type]]</f>
        <v>0</v>
      </c>
      <c r="AD15" s="174" t="e" cm="1">
        <f t="array" aca="1" ref="AD15" ca="1">_xlfn.XLOOKUP(Renewables_Electricity_Backend[[#This Row],[Level 3]],rng_Level3Long,rng_Level4Long)</f>
        <v>#N/A</v>
      </c>
      <c r="AE15" s="174" t="e" cm="1">
        <f t="array" aca="1" ref="AE15" ca="1">_xlfn.XLOOKUP(Renewables_Electricity_Backend[[#This Row],[Level 3]],rng_Level3Long,rng_Level5Long)</f>
        <v>#N/A</v>
      </c>
      <c r="AF15" s="174" t="e" cm="1">
        <f t="array" aca="1" ref="AF15" ca="1">_xlfn.XLOOKUP(Renewables_Electricity_Backend[[#This Row],[Level 3]],rng_Level3Long,rng_Level6Long)</f>
        <v>#N/A</v>
      </c>
      <c r="AG15" s="174">
        <f>Renewables_Electricity_Frontend[[#This Row],[Generating site name]]</f>
        <v>0</v>
      </c>
      <c r="AH15" s="174"/>
      <c r="AI15" s="174">
        <f>Renewables_Electricity_Frontend[[#This Row],[Methodology used]]</f>
        <v>0</v>
      </c>
      <c r="AJ15" s="229" t="e" cm="1">
        <f t="array" aca="1" ref="AJ15" ca="1">INDEX(_xlfn.SWITCH(Renewables_Electricity_Backend[[#This Row],[Methodology]],"Tier 1",rng_RSD1,"Tier 2",rng_RSD2,"Tier 3",rng_RSD3),MATCH(_xlfn.CONCAT(Renewables_Electricity_Backend[[#This Row],[Level 1]:[Level 6]]),rng_LevelsConcat,0))</f>
        <v>#N/A</v>
      </c>
      <c r="AK15" s="174">
        <f>Renewables_Electricity_Frontend[[#This Row],[Age (years)]]</f>
        <v>0</v>
      </c>
      <c r="AL15" s="218">
        <f>Renewables_Electricity_Frontend[[#This Row],[Availability]]</f>
        <v>0</v>
      </c>
      <c r="AM15" s="174">
        <f>Renewables_Electricity_Frontend[[#This Row],[Total kW capacity]]</f>
        <v>0</v>
      </c>
      <c r="AN15" s="412">
        <f>Renewables_Electricity_Frontend[[#This Row],[Total kWh generated]]</f>
        <v>0</v>
      </c>
      <c r="AO15" s="412">
        <f>Renewables_Electricity_Frontend[[#This Row],[kWh consumed by reporting organisation]]</f>
        <v>0</v>
      </c>
      <c r="AP15" s="412">
        <f>Renewables_Electricity_Frontend[[#This Row],[kWh exported to grid]]</f>
        <v>0</v>
      </c>
      <c r="AQ15" s="412">
        <f>Renewables_Electricity_Frontend[[#This Row],[kWh exported to other PSB]]</f>
        <v>0</v>
      </c>
      <c r="AR15" s="174">
        <f>Renewables_Electricity_Frontend[[#This Row],[Name of other PSB]]</f>
        <v>0</v>
      </c>
      <c r="AS15" s="411">
        <f>Renewables_Electricity_Frontend[[#This Row],[Ease of collection]]</f>
        <v>0</v>
      </c>
      <c r="AT15" s="411">
        <f>Renewables_Electricity_Frontend[[#This Row],[Ease of collection]]</f>
        <v>0</v>
      </c>
      <c r="AU15" s="411">
        <f>Renewables_Electricity_Frontend[[#This Row],[Completeness]]</f>
        <v>0</v>
      </c>
    </row>
    <row r="16" spans="2:47" s="147" customFormat="1" ht="14" x14ac:dyDescent="0.3">
      <c r="B16" s="455"/>
      <c r="E16" s="431"/>
      <c r="F16" s="432"/>
      <c r="G16" s="432"/>
      <c r="H16" s="432"/>
      <c r="I16" s="432"/>
      <c r="J16" s="432"/>
      <c r="K16" s="433"/>
      <c r="L16" s="434"/>
      <c r="M16" s="433"/>
      <c r="N16" s="276">
        <f>Renewables_Electricity_Frontend[[#This Row],[kWh consumed by reporting organisation]]+Renewables_Electricity_Frontend[[#This Row],[kWh exported to grid]]+Renewables_Electricity_Frontend[[#This Row],[kWh exported to other PSB]]</f>
        <v>0</v>
      </c>
      <c r="O16" s="439"/>
      <c r="P16" s="439"/>
      <c r="Q16" s="440"/>
      <c r="R16" s="441"/>
      <c r="S16" s="336"/>
      <c r="T16" s="336"/>
      <c r="U16" s="442"/>
      <c r="V16" s="242">
        <f t="shared" ref="V16:V79" si="1">ISBLANK(E16)+ISBLANK(F16)+ISBLANK(G16)+ISBLANK(H16)+ISBLANK(I16)+ISBLANK(J16)+ISBLANK(K16)+ISBLANK(L16)+ISBLANK(M16)+ISBLANK(O16)+ISBLANK(P16)</f>
        <v>11</v>
      </c>
      <c r="Z16" s="212" t="str">
        <f t="shared" si="0"/>
        <v/>
      </c>
      <c r="AA16" s="174" t="s">
        <v>149</v>
      </c>
      <c r="AB16" s="174" t="s">
        <v>149</v>
      </c>
      <c r="AC16" s="174">
        <f>Renewables_Electricity_Frontend[[#This Row],[Renewable Type]]</f>
        <v>0</v>
      </c>
      <c r="AD16" s="174" t="e" cm="1">
        <f t="array" aca="1" ref="AD16" ca="1">_xlfn.XLOOKUP(Renewables_Electricity_Backend[[#This Row],[Level 3]],rng_Level3Long,rng_Level4Long)</f>
        <v>#N/A</v>
      </c>
      <c r="AE16" s="174" t="e" cm="1">
        <f t="array" aca="1" ref="AE16" ca="1">_xlfn.XLOOKUP(Renewables_Electricity_Backend[[#This Row],[Level 3]],rng_Level3Long,rng_Level5Long)</f>
        <v>#N/A</v>
      </c>
      <c r="AF16" s="174" t="e" cm="1">
        <f t="array" aca="1" ref="AF16" ca="1">_xlfn.XLOOKUP(Renewables_Electricity_Backend[[#This Row],[Level 3]],rng_Level3Long,rng_Level6Long)</f>
        <v>#N/A</v>
      </c>
      <c r="AG16" s="174">
        <f>Renewables_Electricity_Frontend[[#This Row],[Generating site name]]</f>
        <v>0</v>
      </c>
      <c r="AH16" s="174"/>
      <c r="AI16" s="174">
        <f>Renewables_Electricity_Frontend[[#This Row],[Methodology used]]</f>
        <v>0</v>
      </c>
      <c r="AJ16" s="229" t="e" cm="1">
        <f t="array" aca="1" ref="AJ16" ca="1">INDEX(_xlfn.SWITCH(Renewables_Electricity_Backend[[#This Row],[Methodology]],"Tier 1",rng_RSD1,"Tier 2",rng_RSD2,"Tier 3",rng_RSD3),MATCH(_xlfn.CONCAT(Renewables_Electricity_Backend[[#This Row],[Level 1]:[Level 6]]),rng_LevelsConcat,0))</f>
        <v>#N/A</v>
      </c>
      <c r="AK16" s="174">
        <f>Renewables_Electricity_Frontend[[#This Row],[Age (years)]]</f>
        <v>0</v>
      </c>
      <c r="AL16" s="218">
        <f>Renewables_Electricity_Frontend[[#This Row],[Availability]]</f>
        <v>0</v>
      </c>
      <c r="AM16" s="174">
        <f>Renewables_Electricity_Frontend[[#This Row],[Total kW capacity]]</f>
        <v>0</v>
      </c>
      <c r="AN16" s="412">
        <f>Renewables_Electricity_Frontend[[#This Row],[Total kWh generated]]</f>
        <v>0</v>
      </c>
      <c r="AO16" s="412">
        <f>Renewables_Electricity_Frontend[[#This Row],[kWh consumed by reporting organisation]]</f>
        <v>0</v>
      </c>
      <c r="AP16" s="412">
        <f>Renewables_Electricity_Frontend[[#This Row],[kWh exported to grid]]</f>
        <v>0</v>
      </c>
      <c r="AQ16" s="412">
        <f>Renewables_Electricity_Frontend[[#This Row],[kWh exported to other PSB]]</f>
        <v>0</v>
      </c>
      <c r="AR16" s="174">
        <f>Renewables_Electricity_Frontend[[#This Row],[Name of other PSB]]</f>
        <v>0</v>
      </c>
      <c r="AS16" s="174">
        <f>Renewables_Electricity_Frontend[[#This Row],[Ease of collection]]</f>
        <v>0</v>
      </c>
      <c r="AT16" s="174">
        <f>Renewables_Electricity_Frontend[[#This Row],[Ease of collection]]</f>
        <v>0</v>
      </c>
      <c r="AU16" s="174">
        <f>Renewables_Electricity_Frontend[[#This Row],[Completeness]]</f>
        <v>0</v>
      </c>
    </row>
    <row r="17" spans="2:47" s="147" customFormat="1" ht="14" x14ac:dyDescent="0.3">
      <c r="B17" s="455"/>
      <c r="E17" s="431"/>
      <c r="F17" s="432"/>
      <c r="G17" s="432"/>
      <c r="H17" s="432"/>
      <c r="I17" s="432"/>
      <c r="J17" s="432"/>
      <c r="K17" s="433"/>
      <c r="L17" s="434"/>
      <c r="M17" s="433"/>
      <c r="N17" s="276">
        <f>Renewables_Electricity_Frontend[[#This Row],[kWh consumed by reporting organisation]]+Renewables_Electricity_Frontend[[#This Row],[kWh exported to grid]]+Renewables_Electricity_Frontend[[#This Row],[kWh exported to other PSB]]</f>
        <v>0</v>
      </c>
      <c r="O17" s="439"/>
      <c r="P17" s="439"/>
      <c r="Q17" s="440"/>
      <c r="R17" s="441"/>
      <c r="S17" s="336"/>
      <c r="T17" s="336"/>
      <c r="U17" s="442"/>
      <c r="V17" s="242">
        <f t="shared" si="1"/>
        <v>11</v>
      </c>
      <c r="Z17" s="212" t="str">
        <f t="shared" si="0"/>
        <v/>
      </c>
      <c r="AA17" s="174" t="s">
        <v>149</v>
      </c>
      <c r="AB17" s="174" t="s">
        <v>149</v>
      </c>
      <c r="AC17" s="174">
        <f>Renewables_Electricity_Frontend[[#This Row],[Renewable Type]]</f>
        <v>0</v>
      </c>
      <c r="AD17" s="174" t="e" cm="1">
        <f t="array" aca="1" ref="AD17" ca="1">_xlfn.XLOOKUP(Renewables_Electricity_Backend[[#This Row],[Level 3]],rng_Level3Long,rng_Level4Long)</f>
        <v>#N/A</v>
      </c>
      <c r="AE17" s="174" t="e" cm="1">
        <f t="array" aca="1" ref="AE17" ca="1">_xlfn.XLOOKUP(Renewables_Electricity_Backend[[#This Row],[Level 3]],rng_Level3Long,rng_Level5Long)</f>
        <v>#N/A</v>
      </c>
      <c r="AF17" s="174" t="e" cm="1">
        <f t="array" aca="1" ref="AF17" ca="1">_xlfn.XLOOKUP(Renewables_Electricity_Backend[[#This Row],[Level 3]],rng_Level3Long,rng_Level6Long)</f>
        <v>#N/A</v>
      </c>
      <c r="AG17" s="174">
        <f>Renewables_Electricity_Frontend[[#This Row],[Generating site name]]</f>
        <v>0</v>
      </c>
      <c r="AH17" s="174"/>
      <c r="AI17" s="174">
        <f>Renewables_Electricity_Frontend[[#This Row],[Methodology used]]</f>
        <v>0</v>
      </c>
      <c r="AJ17" s="229" t="e" cm="1">
        <f t="array" aca="1" ref="AJ17" ca="1">INDEX(_xlfn.SWITCH(Renewables_Electricity_Backend[[#This Row],[Methodology]],"Tier 1",rng_RSD1,"Tier 2",rng_RSD2,"Tier 3",rng_RSD3),MATCH(_xlfn.CONCAT(Renewables_Electricity_Backend[[#This Row],[Level 1]:[Level 6]]),rng_LevelsConcat,0))</f>
        <v>#N/A</v>
      </c>
      <c r="AK17" s="174">
        <f>Renewables_Electricity_Frontend[[#This Row],[Age (years)]]</f>
        <v>0</v>
      </c>
      <c r="AL17" s="218">
        <f>Renewables_Electricity_Frontend[[#This Row],[Availability]]</f>
        <v>0</v>
      </c>
      <c r="AM17" s="174">
        <f>Renewables_Electricity_Frontend[[#This Row],[Total kW capacity]]</f>
        <v>0</v>
      </c>
      <c r="AN17" s="412">
        <f>Renewables_Electricity_Frontend[[#This Row],[Total kWh generated]]</f>
        <v>0</v>
      </c>
      <c r="AO17" s="412">
        <f>Renewables_Electricity_Frontend[[#This Row],[kWh consumed by reporting organisation]]</f>
        <v>0</v>
      </c>
      <c r="AP17" s="412">
        <f>Renewables_Electricity_Frontend[[#This Row],[kWh exported to grid]]</f>
        <v>0</v>
      </c>
      <c r="AQ17" s="412">
        <f>Renewables_Electricity_Frontend[[#This Row],[kWh exported to other PSB]]</f>
        <v>0</v>
      </c>
      <c r="AR17" s="174">
        <f>Renewables_Electricity_Frontend[[#This Row],[Name of other PSB]]</f>
        <v>0</v>
      </c>
      <c r="AS17" s="174">
        <f>Renewables_Electricity_Frontend[[#This Row],[Ease of collection]]</f>
        <v>0</v>
      </c>
      <c r="AT17" s="174">
        <f>Renewables_Electricity_Frontend[[#This Row],[Ease of collection]]</f>
        <v>0</v>
      </c>
      <c r="AU17" s="174">
        <f>Renewables_Electricity_Frontend[[#This Row],[Completeness]]</f>
        <v>0</v>
      </c>
    </row>
    <row r="18" spans="2:47" s="147" customFormat="1" ht="14" x14ac:dyDescent="0.3">
      <c r="B18" s="455"/>
      <c r="E18" s="431"/>
      <c r="F18" s="432"/>
      <c r="G18" s="432"/>
      <c r="H18" s="432"/>
      <c r="I18" s="432"/>
      <c r="J18" s="432"/>
      <c r="K18" s="433"/>
      <c r="L18" s="434"/>
      <c r="M18" s="433"/>
      <c r="N18" s="276">
        <f>Renewables_Electricity_Frontend[[#This Row],[kWh consumed by reporting organisation]]+Renewables_Electricity_Frontend[[#This Row],[kWh exported to grid]]+Renewables_Electricity_Frontend[[#This Row],[kWh exported to other PSB]]</f>
        <v>0</v>
      </c>
      <c r="O18" s="439"/>
      <c r="P18" s="439"/>
      <c r="Q18" s="440"/>
      <c r="R18" s="441"/>
      <c r="S18" s="336"/>
      <c r="T18" s="336"/>
      <c r="U18" s="442"/>
      <c r="V18" s="242">
        <f t="shared" si="1"/>
        <v>11</v>
      </c>
      <c r="Z18" s="212" t="str">
        <f t="shared" si="0"/>
        <v/>
      </c>
      <c r="AA18" s="174" t="s">
        <v>149</v>
      </c>
      <c r="AB18" s="174" t="s">
        <v>149</v>
      </c>
      <c r="AC18" s="174">
        <f>Renewables_Electricity_Frontend[[#This Row],[Renewable Type]]</f>
        <v>0</v>
      </c>
      <c r="AD18" s="174" t="e" cm="1">
        <f t="array" aca="1" ref="AD18" ca="1">_xlfn.XLOOKUP(Renewables_Electricity_Backend[[#This Row],[Level 3]],rng_Level3Long,rng_Level4Long)</f>
        <v>#N/A</v>
      </c>
      <c r="AE18" s="174" t="e" cm="1">
        <f t="array" aca="1" ref="AE18" ca="1">_xlfn.XLOOKUP(Renewables_Electricity_Backend[[#This Row],[Level 3]],rng_Level3Long,rng_Level5Long)</f>
        <v>#N/A</v>
      </c>
      <c r="AF18" s="174" t="e" cm="1">
        <f t="array" aca="1" ref="AF18" ca="1">_xlfn.XLOOKUP(Renewables_Electricity_Backend[[#This Row],[Level 3]],rng_Level3Long,rng_Level6Long)</f>
        <v>#N/A</v>
      </c>
      <c r="AG18" s="174">
        <f>Renewables_Electricity_Frontend[[#This Row],[Generating site name]]</f>
        <v>0</v>
      </c>
      <c r="AH18" s="174"/>
      <c r="AI18" s="174">
        <f>Renewables_Electricity_Frontend[[#This Row],[Methodology used]]</f>
        <v>0</v>
      </c>
      <c r="AJ18" s="229" t="e" cm="1">
        <f t="array" aca="1" ref="AJ18" ca="1">INDEX(_xlfn.SWITCH(Renewables_Electricity_Backend[[#This Row],[Methodology]],"Tier 1",rng_RSD1,"Tier 2",rng_RSD2,"Tier 3",rng_RSD3),MATCH(_xlfn.CONCAT(Renewables_Electricity_Backend[[#This Row],[Level 1]:[Level 6]]),rng_LevelsConcat,0))</f>
        <v>#N/A</v>
      </c>
      <c r="AK18" s="174">
        <f>Renewables_Electricity_Frontend[[#This Row],[Age (years)]]</f>
        <v>0</v>
      </c>
      <c r="AL18" s="218">
        <f>Renewables_Electricity_Frontend[[#This Row],[Availability]]</f>
        <v>0</v>
      </c>
      <c r="AM18" s="174">
        <f>Renewables_Electricity_Frontend[[#This Row],[Total kW capacity]]</f>
        <v>0</v>
      </c>
      <c r="AN18" s="412">
        <f>Renewables_Electricity_Frontend[[#This Row],[Total kWh generated]]</f>
        <v>0</v>
      </c>
      <c r="AO18" s="412">
        <f>Renewables_Electricity_Frontend[[#This Row],[kWh consumed by reporting organisation]]</f>
        <v>0</v>
      </c>
      <c r="AP18" s="412">
        <f>Renewables_Electricity_Frontend[[#This Row],[kWh exported to grid]]</f>
        <v>0</v>
      </c>
      <c r="AQ18" s="412">
        <f>Renewables_Electricity_Frontend[[#This Row],[kWh exported to other PSB]]</f>
        <v>0</v>
      </c>
      <c r="AR18" s="174">
        <f>Renewables_Electricity_Frontend[[#This Row],[Name of other PSB]]</f>
        <v>0</v>
      </c>
      <c r="AS18" s="174">
        <f>Renewables_Electricity_Frontend[[#This Row],[Ease of collection]]</f>
        <v>0</v>
      </c>
      <c r="AT18" s="174">
        <f>Renewables_Electricity_Frontend[[#This Row],[Ease of collection]]</f>
        <v>0</v>
      </c>
      <c r="AU18" s="174">
        <f>Renewables_Electricity_Frontend[[#This Row],[Completeness]]</f>
        <v>0</v>
      </c>
    </row>
    <row r="19" spans="2:47" s="147" customFormat="1" ht="14" x14ac:dyDescent="0.3">
      <c r="B19" s="455"/>
      <c r="E19" s="431"/>
      <c r="F19" s="432"/>
      <c r="G19" s="432"/>
      <c r="H19" s="432"/>
      <c r="I19" s="432"/>
      <c r="J19" s="432"/>
      <c r="K19" s="433"/>
      <c r="L19" s="434"/>
      <c r="M19" s="433"/>
      <c r="N19" s="276">
        <f>Renewables_Electricity_Frontend[[#This Row],[kWh consumed by reporting organisation]]+Renewables_Electricity_Frontend[[#This Row],[kWh exported to grid]]+Renewables_Electricity_Frontend[[#This Row],[kWh exported to other PSB]]</f>
        <v>0</v>
      </c>
      <c r="O19" s="439"/>
      <c r="P19" s="439"/>
      <c r="Q19" s="440"/>
      <c r="R19" s="441"/>
      <c r="S19" s="336"/>
      <c r="T19" s="336"/>
      <c r="U19" s="442"/>
      <c r="V19" s="242">
        <f t="shared" si="1"/>
        <v>11</v>
      </c>
      <c r="Z19" s="212" t="str">
        <f t="shared" si="0"/>
        <v/>
      </c>
      <c r="AA19" s="174" t="s">
        <v>149</v>
      </c>
      <c r="AB19" s="174" t="s">
        <v>149</v>
      </c>
      <c r="AC19" s="174">
        <f>Renewables_Electricity_Frontend[[#This Row],[Renewable Type]]</f>
        <v>0</v>
      </c>
      <c r="AD19" s="174" t="e" cm="1">
        <f t="array" aca="1" ref="AD19" ca="1">_xlfn.XLOOKUP(Renewables_Electricity_Backend[[#This Row],[Level 3]],rng_Level3Long,rng_Level4Long)</f>
        <v>#N/A</v>
      </c>
      <c r="AE19" s="174" t="e" cm="1">
        <f t="array" aca="1" ref="AE19" ca="1">_xlfn.XLOOKUP(Renewables_Electricity_Backend[[#This Row],[Level 3]],rng_Level3Long,rng_Level5Long)</f>
        <v>#N/A</v>
      </c>
      <c r="AF19" s="174" t="e" cm="1">
        <f t="array" aca="1" ref="AF19" ca="1">_xlfn.XLOOKUP(Renewables_Electricity_Backend[[#This Row],[Level 3]],rng_Level3Long,rng_Level6Long)</f>
        <v>#N/A</v>
      </c>
      <c r="AG19" s="174">
        <f>Renewables_Electricity_Frontend[[#This Row],[Generating site name]]</f>
        <v>0</v>
      </c>
      <c r="AH19" s="174"/>
      <c r="AI19" s="174">
        <f>Renewables_Electricity_Frontend[[#This Row],[Methodology used]]</f>
        <v>0</v>
      </c>
      <c r="AJ19" s="229" t="e" cm="1">
        <f t="array" aca="1" ref="AJ19" ca="1">INDEX(_xlfn.SWITCH(Renewables_Electricity_Backend[[#This Row],[Methodology]],"Tier 1",rng_RSD1,"Tier 2",rng_RSD2,"Tier 3",rng_RSD3),MATCH(_xlfn.CONCAT(Renewables_Electricity_Backend[[#This Row],[Level 1]:[Level 6]]),rng_LevelsConcat,0))</f>
        <v>#N/A</v>
      </c>
      <c r="AK19" s="174">
        <f>Renewables_Electricity_Frontend[[#This Row],[Age (years)]]</f>
        <v>0</v>
      </c>
      <c r="AL19" s="218">
        <f>Renewables_Electricity_Frontend[[#This Row],[Availability]]</f>
        <v>0</v>
      </c>
      <c r="AM19" s="174">
        <f>Renewables_Electricity_Frontend[[#This Row],[Total kW capacity]]</f>
        <v>0</v>
      </c>
      <c r="AN19" s="412">
        <f>Renewables_Electricity_Frontend[[#This Row],[Total kWh generated]]</f>
        <v>0</v>
      </c>
      <c r="AO19" s="412">
        <f>Renewables_Electricity_Frontend[[#This Row],[kWh consumed by reporting organisation]]</f>
        <v>0</v>
      </c>
      <c r="AP19" s="412">
        <f>Renewables_Electricity_Frontend[[#This Row],[kWh exported to grid]]</f>
        <v>0</v>
      </c>
      <c r="AQ19" s="412">
        <f>Renewables_Electricity_Frontend[[#This Row],[kWh exported to other PSB]]</f>
        <v>0</v>
      </c>
      <c r="AR19" s="174">
        <f>Renewables_Electricity_Frontend[[#This Row],[Name of other PSB]]</f>
        <v>0</v>
      </c>
      <c r="AS19" s="174">
        <f>Renewables_Electricity_Frontend[[#This Row],[Ease of collection]]</f>
        <v>0</v>
      </c>
      <c r="AT19" s="174">
        <f>Renewables_Electricity_Frontend[[#This Row],[Ease of collection]]</f>
        <v>0</v>
      </c>
      <c r="AU19" s="174">
        <f>Renewables_Electricity_Frontend[[#This Row],[Completeness]]</f>
        <v>0</v>
      </c>
    </row>
    <row r="20" spans="2:47" s="147" customFormat="1" ht="14" x14ac:dyDescent="0.3">
      <c r="B20" s="455"/>
      <c r="E20" s="431"/>
      <c r="F20" s="432"/>
      <c r="G20" s="432"/>
      <c r="H20" s="432"/>
      <c r="I20" s="432"/>
      <c r="J20" s="432"/>
      <c r="K20" s="433"/>
      <c r="L20" s="434"/>
      <c r="M20" s="433"/>
      <c r="N20" s="276">
        <f>Renewables_Electricity_Frontend[[#This Row],[kWh consumed by reporting organisation]]+Renewables_Electricity_Frontend[[#This Row],[kWh exported to grid]]+Renewables_Electricity_Frontend[[#This Row],[kWh exported to other PSB]]</f>
        <v>0</v>
      </c>
      <c r="O20" s="439"/>
      <c r="P20" s="439"/>
      <c r="Q20" s="440"/>
      <c r="R20" s="441"/>
      <c r="S20" s="336"/>
      <c r="T20" s="336"/>
      <c r="U20" s="442"/>
      <c r="V20" s="242">
        <f t="shared" si="1"/>
        <v>11</v>
      </c>
      <c r="Z20" s="212" t="str">
        <f t="shared" si="0"/>
        <v/>
      </c>
      <c r="AA20" s="174" t="s">
        <v>149</v>
      </c>
      <c r="AB20" s="174" t="s">
        <v>149</v>
      </c>
      <c r="AC20" s="174">
        <f>Renewables_Electricity_Frontend[[#This Row],[Renewable Type]]</f>
        <v>0</v>
      </c>
      <c r="AD20" s="174" t="e" cm="1">
        <f t="array" aca="1" ref="AD20" ca="1">_xlfn.XLOOKUP(Renewables_Electricity_Backend[[#This Row],[Level 3]],rng_Level3Long,rng_Level4Long)</f>
        <v>#N/A</v>
      </c>
      <c r="AE20" s="174" t="e" cm="1">
        <f t="array" aca="1" ref="AE20" ca="1">_xlfn.XLOOKUP(Renewables_Electricity_Backend[[#This Row],[Level 3]],rng_Level3Long,rng_Level5Long)</f>
        <v>#N/A</v>
      </c>
      <c r="AF20" s="174" t="e" cm="1">
        <f t="array" aca="1" ref="AF20" ca="1">_xlfn.XLOOKUP(Renewables_Electricity_Backend[[#This Row],[Level 3]],rng_Level3Long,rng_Level6Long)</f>
        <v>#N/A</v>
      </c>
      <c r="AG20" s="174">
        <f>Renewables_Electricity_Frontend[[#This Row],[Generating site name]]</f>
        <v>0</v>
      </c>
      <c r="AH20" s="174"/>
      <c r="AI20" s="174">
        <f>Renewables_Electricity_Frontend[[#This Row],[Methodology used]]</f>
        <v>0</v>
      </c>
      <c r="AJ20" s="229" t="e" cm="1">
        <f t="array" aca="1" ref="AJ20" ca="1">INDEX(_xlfn.SWITCH(Renewables_Electricity_Backend[[#This Row],[Methodology]],"Tier 1",rng_RSD1,"Tier 2",rng_RSD2,"Tier 3",rng_RSD3),MATCH(_xlfn.CONCAT(Renewables_Electricity_Backend[[#This Row],[Level 1]:[Level 6]]),rng_LevelsConcat,0))</f>
        <v>#N/A</v>
      </c>
      <c r="AK20" s="174">
        <f>Renewables_Electricity_Frontend[[#This Row],[Age (years)]]</f>
        <v>0</v>
      </c>
      <c r="AL20" s="218">
        <f>Renewables_Electricity_Frontend[[#This Row],[Availability]]</f>
        <v>0</v>
      </c>
      <c r="AM20" s="174">
        <f>Renewables_Electricity_Frontend[[#This Row],[Total kW capacity]]</f>
        <v>0</v>
      </c>
      <c r="AN20" s="412">
        <f>Renewables_Electricity_Frontend[[#This Row],[Total kWh generated]]</f>
        <v>0</v>
      </c>
      <c r="AO20" s="412">
        <f>Renewables_Electricity_Frontend[[#This Row],[kWh consumed by reporting organisation]]</f>
        <v>0</v>
      </c>
      <c r="AP20" s="412">
        <f>Renewables_Electricity_Frontend[[#This Row],[kWh exported to grid]]</f>
        <v>0</v>
      </c>
      <c r="AQ20" s="412">
        <f>Renewables_Electricity_Frontend[[#This Row],[kWh exported to other PSB]]</f>
        <v>0</v>
      </c>
      <c r="AR20" s="174">
        <f>Renewables_Electricity_Frontend[[#This Row],[Name of other PSB]]</f>
        <v>0</v>
      </c>
      <c r="AS20" s="174">
        <f>Renewables_Electricity_Frontend[[#This Row],[Ease of collection]]</f>
        <v>0</v>
      </c>
      <c r="AT20" s="174">
        <f>Renewables_Electricity_Frontend[[#This Row],[Ease of collection]]</f>
        <v>0</v>
      </c>
      <c r="AU20" s="174">
        <f>Renewables_Electricity_Frontend[[#This Row],[Completeness]]</f>
        <v>0</v>
      </c>
    </row>
    <row r="21" spans="2:47" s="147" customFormat="1" ht="14" x14ac:dyDescent="0.3">
      <c r="B21" s="455"/>
      <c r="E21" s="431"/>
      <c r="F21" s="432"/>
      <c r="G21" s="432"/>
      <c r="H21" s="432"/>
      <c r="I21" s="432"/>
      <c r="J21" s="432"/>
      <c r="K21" s="433"/>
      <c r="L21" s="434"/>
      <c r="M21" s="433"/>
      <c r="N21" s="276">
        <f>Renewables_Electricity_Frontend[[#This Row],[kWh consumed by reporting organisation]]+Renewables_Electricity_Frontend[[#This Row],[kWh exported to grid]]+Renewables_Electricity_Frontend[[#This Row],[kWh exported to other PSB]]</f>
        <v>0</v>
      </c>
      <c r="O21" s="439"/>
      <c r="P21" s="439"/>
      <c r="Q21" s="440"/>
      <c r="R21" s="441"/>
      <c r="S21" s="336"/>
      <c r="T21" s="336"/>
      <c r="U21" s="442"/>
      <c r="V21" s="242">
        <f t="shared" si="1"/>
        <v>11</v>
      </c>
      <c r="Z21" s="212" t="str">
        <f t="shared" si="0"/>
        <v/>
      </c>
      <c r="AA21" s="174" t="s">
        <v>149</v>
      </c>
      <c r="AB21" s="174" t="s">
        <v>149</v>
      </c>
      <c r="AC21" s="174">
        <f>Renewables_Electricity_Frontend[[#This Row],[Renewable Type]]</f>
        <v>0</v>
      </c>
      <c r="AD21" s="174" t="e" cm="1">
        <f t="array" aca="1" ref="AD21" ca="1">_xlfn.XLOOKUP(Renewables_Electricity_Backend[[#This Row],[Level 3]],rng_Level3Long,rng_Level4Long)</f>
        <v>#N/A</v>
      </c>
      <c r="AE21" s="174" t="e" cm="1">
        <f t="array" aca="1" ref="AE21" ca="1">_xlfn.XLOOKUP(Renewables_Electricity_Backend[[#This Row],[Level 3]],rng_Level3Long,rng_Level5Long)</f>
        <v>#N/A</v>
      </c>
      <c r="AF21" s="174" t="e" cm="1">
        <f t="array" aca="1" ref="AF21" ca="1">_xlfn.XLOOKUP(Renewables_Electricity_Backend[[#This Row],[Level 3]],rng_Level3Long,rng_Level6Long)</f>
        <v>#N/A</v>
      </c>
      <c r="AG21" s="174">
        <f>Renewables_Electricity_Frontend[[#This Row],[Generating site name]]</f>
        <v>0</v>
      </c>
      <c r="AH21" s="174"/>
      <c r="AI21" s="174">
        <f>Renewables_Electricity_Frontend[[#This Row],[Methodology used]]</f>
        <v>0</v>
      </c>
      <c r="AJ21" s="229" t="e" cm="1">
        <f t="array" aca="1" ref="AJ21" ca="1">INDEX(_xlfn.SWITCH(Renewables_Electricity_Backend[[#This Row],[Methodology]],"Tier 1",rng_RSD1,"Tier 2",rng_RSD2,"Tier 3",rng_RSD3),MATCH(_xlfn.CONCAT(Renewables_Electricity_Backend[[#This Row],[Level 1]:[Level 6]]),rng_LevelsConcat,0))</f>
        <v>#N/A</v>
      </c>
      <c r="AK21" s="174">
        <f>Renewables_Electricity_Frontend[[#This Row],[Age (years)]]</f>
        <v>0</v>
      </c>
      <c r="AL21" s="218">
        <f>Renewables_Electricity_Frontend[[#This Row],[Availability]]</f>
        <v>0</v>
      </c>
      <c r="AM21" s="174">
        <f>Renewables_Electricity_Frontend[[#This Row],[Total kW capacity]]</f>
        <v>0</v>
      </c>
      <c r="AN21" s="412">
        <f>Renewables_Electricity_Frontend[[#This Row],[Total kWh generated]]</f>
        <v>0</v>
      </c>
      <c r="AO21" s="412">
        <f>Renewables_Electricity_Frontend[[#This Row],[kWh consumed by reporting organisation]]</f>
        <v>0</v>
      </c>
      <c r="AP21" s="412">
        <f>Renewables_Electricity_Frontend[[#This Row],[kWh exported to grid]]</f>
        <v>0</v>
      </c>
      <c r="AQ21" s="412">
        <f>Renewables_Electricity_Frontend[[#This Row],[kWh exported to other PSB]]</f>
        <v>0</v>
      </c>
      <c r="AR21" s="174">
        <f>Renewables_Electricity_Frontend[[#This Row],[Name of other PSB]]</f>
        <v>0</v>
      </c>
      <c r="AS21" s="174">
        <f>Renewables_Electricity_Frontend[[#This Row],[Ease of collection]]</f>
        <v>0</v>
      </c>
      <c r="AT21" s="174">
        <f>Renewables_Electricity_Frontend[[#This Row],[Ease of collection]]</f>
        <v>0</v>
      </c>
      <c r="AU21" s="174">
        <f>Renewables_Electricity_Frontend[[#This Row],[Completeness]]</f>
        <v>0</v>
      </c>
    </row>
    <row r="22" spans="2:47" s="147" customFormat="1" ht="14" x14ac:dyDescent="0.3">
      <c r="B22" s="455"/>
      <c r="E22" s="431"/>
      <c r="F22" s="432"/>
      <c r="G22" s="432"/>
      <c r="H22" s="432"/>
      <c r="I22" s="432"/>
      <c r="J22" s="432"/>
      <c r="K22" s="433"/>
      <c r="L22" s="434"/>
      <c r="M22" s="433"/>
      <c r="N22" s="276">
        <f>Renewables_Electricity_Frontend[[#This Row],[kWh consumed by reporting organisation]]+Renewables_Electricity_Frontend[[#This Row],[kWh exported to grid]]+Renewables_Electricity_Frontend[[#This Row],[kWh exported to other PSB]]</f>
        <v>0</v>
      </c>
      <c r="O22" s="439"/>
      <c r="P22" s="439"/>
      <c r="Q22" s="440"/>
      <c r="R22" s="441"/>
      <c r="S22" s="336"/>
      <c r="T22" s="336"/>
      <c r="U22" s="442"/>
      <c r="V22" s="242">
        <f t="shared" si="1"/>
        <v>11</v>
      </c>
      <c r="Z22" s="212" t="str">
        <f t="shared" si="0"/>
        <v/>
      </c>
      <c r="AA22" s="174" t="s">
        <v>149</v>
      </c>
      <c r="AB22" s="174" t="s">
        <v>149</v>
      </c>
      <c r="AC22" s="174">
        <f>Renewables_Electricity_Frontend[[#This Row],[Renewable Type]]</f>
        <v>0</v>
      </c>
      <c r="AD22" s="174" t="e" cm="1">
        <f t="array" aca="1" ref="AD22" ca="1">_xlfn.XLOOKUP(Renewables_Electricity_Backend[[#This Row],[Level 3]],rng_Level3Long,rng_Level4Long)</f>
        <v>#N/A</v>
      </c>
      <c r="AE22" s="174" t="e" cm="1">
        <f t="array" aca="1" ref="AE22" ca="1">_xlfn.XLOOKUP(Renewables_Electricity_Backend[[#This Row],[Level 3]],rng_Level3Long,rng_Level5Long)</f>
        <v>#N/A</v>
      </c>
      <c r="AF22" s="174" t="e" cm="1">
        <f t="array" aca="1" ref="AF22" ca="1">_xlfn.XLOOKUP(Renewables_Electricity_Backend[[#This Row],[Level 3]],rng_Level3Long,rng_Level6Long)</f>
        <v>#N/A</v>
      </c>
      <c r="AG22" s="174">
        <f>Renewables_Electricity_Frontend[[#This Row],[Generating site name]]</f>
        <v>0</v>
      </c>
      <c r="AH22" s="174"/>
      <c r="AI22" s="174">
        <f>Renewables_Electricity_Frontend[[#This Row],[Methodology used]]</f>
        <v>0</v>
      </c>
      <c r="AJ22" s="229" t="e" cm="1">
        <f t="array" aca="1" ref="AJ22" ca="1">INDEX(_xlfn.SWITCH(Renewables_Electricity_Backend[[#This Row],[Methodology]],"Tier 1",rng_RSD1,"Tier 2",rng_RSD2,"Tier 3",rng_RSD3),MATCH(_xlfn.CONCAT(Renewables_Electricity_Backend[[#This Row],[Level 1]:[Level 6]]),rng_LevelsConcat,0))</f>
        <v>#N/A</v>
      </c>
      <c r="AK22" s="174">
        <f>Renewables_Electricity_Frontend[[#This Row],[Age (years)]]</f>
        <v>0</v>
      </c>
      <c r="AL22" s="218">
        <f>Renewables_Electricity_Frontend[[#This Row],[Availability]]</f>
        <v>0</v>
      </c>
      <c r="AM22" s="174">
        <f>Renewables_Electricity_Frontend[[#This Row],[Total kW capacity]]</f>
        <v>0</v>
      </c>
      <c r="AN22" s="412">
        <f>Renewables_Electricity_Frontend[[#This Row],[Total kWh generated]]</f>
        <v>0</v>
      </c>
      <c r="AO22" s="412">
        <f>Renewables_Electricity_Frontend[[#This Row],[kWh consumed by reporting organisation]]</f>
        <v>0</v>
      </c>
      <c r="AP22" s="412">
        <f>Renewables_Electricity_Frontend[[#This Row],[kWh exported to grid]]</f>
        <v>0</v>
      </c>
      <c r="AQ22" s="412">
        <f>Renewables_Electricity_Frontend[[#This Row],[kWh exported to other PSB]]</f>
        <v>0</v>
      </c>
      <c r="AR22" s="174">
        <f>Renewables_Electricity_Frontend[[#This Row],[Name of other PSB]]</f>
        <v>0</v>
      </c>
      <c r="AS22" s="174">
        <f>Renewables_Electricity_Frontend[[#This Row],[Ease of collection]]</f>
        <v>0</v>
      </c>
      <c r="AT22" s="174">
        <f>Renewables_Electricity_Frontend[[#This Row],[Ease of collection]]</f>
        <v>0</v>
      </c>
      <c r="AU22" s="174">
        <f>Renewables_Electricity_Frontend[[#This Row],[Completeness]]</f>
        <v>0</v>
      </c>
    </row>
    <row r="23" spans="2:47" s="147" customFormat="1" ht="14" x14ac:dyDescent="0.3">
      <c r="B23" s="455"/>
      <c r="E23" s="431"/>
      <c r="F23" s="432"/>
      <c r="G23" s="432"/>
      <c r="H23" s="432"/>
      <c r="I23" s="432"/>
      <c r="J23" s="432"/>
      <c r="K23" s="433"/>
      <c r="L23" s="434"/>
      <c r="M23" s="433"/>
      <c r="N23" s="276">
        <f>Renewables_Electricity_Frontend[[#This Row],[kWh consumed by reporting organisation]]+Renewables_Electricity_Frontend[[#This Row],[kWh exported to grid]]+Renewables_Electricity_Frontend[[#This Row],[kWh exported to other PSB]]</f>
        <v>0</v>
      </c>
      <c r="O23" s="439"/>
      <c r="P23" s="439"/>
      <c r="Q23" s="440"/>
      <c r="R23" s="441"/>
      <c r="S23" s="336"/>
      <c r="T23" s="336"/>
      <c r="U23" s="442"/>
      <c r="V23" s="242">
        <f t="shared" si="1"/>
        <v>11</v>
      </c>
      <c r="Z23" s="212" t="str">
        <f t="shared" si="0"/>
        <v/>
      </c>
      <c r="AA23" s="174" t="s">
        <v>149</v>
      </c>
      <c r="AB23" s="174" t="s">
        <v>149</v>
      </c>
      <c r="AC23" s="174">
        <f>Renewables_Electricity_Frontend[[#This Row],[Renewable Type]]</f>
        <v>0</v>
      </c>
      <c r="AD23" s="174" t="e" cm="1">
        <f t="array" aca="1" ref="AD23" ca="1">_xlfn.XLOOKUP(Renewables_Electricity_Backend[[#This Row],[Level 3]],rng_Level3Long,rng_Level4Long)</f>
        <v>#N/A</v>
      </c>
      <c r="AE23" s="174" t="e" cm="1">
        <f t="array" aca="1" ref="AE23" ca="1">_xlfn.XLOOKUP(Renewables_Electricity_Backend[[#This Row],[Level 3]],rng_Level3Long,rng_Level5Long)</f>
        <v>#N/A</v>
      </c>
      <c r="AF23" s="174" t="e" cm="1">
        <f t="array" aca="1" ref="AF23" ca="1">_xlfn.XLOOKUP(Renewables_Electricity_Backend[[#This Row],[Level 3]],rng_Level3Long,rng_Level6Long)</f>
        <v>#N/A</v>
      </c>
      <c r="AG23" s="174">
        <f>Renewables_Electricity_Frontend[[#This Row],[Generating site name]]</f>
        <v>0</v>
      </c>
      <c r="AH23" s="174"/>
      <c r="AI23" s="174">
        <f>Renewables_Electricity_Frontend[[#This Row],[Methodology used]]</f>
        <v>0</v>
      </c>
      <c r="AJ23" s="229" t="e" cm="1">
        <f t="array" aca="1" ref="AJ23" ca="1">INDEX(_xlfn.SWITCH(Renewables_Electricity_Backend[[#This Row],[Methodology]],"Tier 1",rng_RSD1,"Tier 2",rng_RSD2,"Tier 3",rng_RSD3),MATCH(_xlfn.CONCAT(Renewables_Electricity_Backend[[#This Row],[Level 1]:[Level 6]]),rng_LevelsConcat,0))</f>
        <v>#N/A</v>
      </c>
      <c r="AK23" s="174">
        <f>Renewables_Electricity_Frontend[[#This Row],[Age (years)]]</f>
        <v>0</v>
      </c>
      <c r="AL23" s="218">
        <f>Renewables_Electricity_Frontend[[#This Row],[Availability]]</f>
        <v>0</v>
      </c>
      <c r="AM23" s="174">
        <f>Renewables_Electricity_Frontend[[#This Row],[Total kW capacity]]</f>
        <v>0</v>
      </c>
      <c r="AN23" s="412">
        <f>Renewables_Electricity_Frontend[[#This Row],[Total kWh generated]]</f>
        <v>0</v>
      </c>
      <c r="AO23" s="412">
        <f>Renewables_Electricity_Frontend[[#This Row],[kWh consumed by reporting organisation]]</f>
        <v>0</v>
      </c>
      <c r="AP23" s="412">
        <f>Renewables_Electricity_Frontend[[#This Row],[kWh exported to grid]]</f>
        <v>0</v>
      </c>
      <c r="AQ23" s="412">
        <f>Renewables_Electricity_Frontend[[#This Row],[kWh exported to other PSB]]</f>
        <v>0</v>
      </c>
      <c r="AR23" s="174">
        <f>Renewables_Electricity_Frontend[[#This Row],[Name of other PSB]]</f>
        <v>0</v>
      </c>
      <c r="AS23" s="174">
        <f>Renewables_Electricity_Frontend[[#This Row],[Ease of collection]]</f>
        <v>0</v>
      </c>
      <c r="AT23" s="174">
        <f>Renewables_Electricity_Frontend[[#This Row],[Ease of collection]]</f>
        <v>0</v>
      </c>
      <c r="AU23" s="174">
        <f>Renewables_Electricity_Frontend[[#This Row],[Completeness]]</f>
        <v>0</v>
      </c>
    </row>
    <row r="24" spans="2:47" s="147" customFormat="1" ht="14" x14ac:dyDescent="0.3">
      <c r="B24" s="455"/>
      <c r="E24" s="431"/>
      <c r="F24" s="432"/>
      <c r="G24" s="432"/>
      <c r="H24" s="432"/>
      <c r="I24" s="432"/>
      <c r="J24" s="432"/>
      <c r="K24" s="433"/>
      <c r="L24" s="434"/>
      <c r="M24" s="433"/>
      <c r="N24" s="276">
        <f>Renewables_Electricity_Frontend[[#This Row],[kWh consumed by reporting organisation]]+Renewables_Electricity_Frontend[[#This Row],[kWh exported to grid]]+Renewables_Electricity_Frontend[[#This Row],[kWh exported to other PSB]]</f>
        <v>0</v>
      </c>
      <c r="O24" s="439"/>
      <c r="P24" s="439"/>
      <c r="Q24" s="440"/>
      <c r="R24" s="441"/>
      <c r="S24" s="336"/>
      <c r="T24" s="336"/>
      <c r="U24" s="442"/>
      <c r="V24" s="242">
        <f t="shared" si="1"/>
        <v>11</v>
      </c>
      <c r="Z24" s="212" t="str">
        <f t="shared" si="0"/>
        <v/>
      </c>
      <c r="AA24" s="174" t="s">
        <v>149</v>
      </c>
      <c r="AB24" s="174" t="s">
        <v>149</v>
      </c>
      <c r="AC24" s="216">
        <f>Renewables_Electricity_Frontend[[#This Row],[Renewable Type]]</f>
        <v>0</v>
      </c>
      <c r="AD24" s="216" t="e" cm="1">
        <f t="array" aca="1" ref="AD24" ca="1">_xlfn.XLOOKUP(Renewables_Electricity_Backend[[#This Row],[Level 3]],rng_Level3Long,rng_Level4Long)</f>
        <v>#N/A</v>
      </c>
      <c r="AE24" s="216" t="e" cm="1">
        <f t="array" aca="1" ref="AE24" ca="1">_xlfn.XLOOKUP(Renewables_Electricity_Backend[[#This Row],[Level 3]],rng_Level3Long,rng_Level5Long)</f>
        <v>#N/A</v>
      </c>
      <c r="AF24" s="216" t="e" cm="1">
        <f t="array" aca="1" ref="AF24" ca="1">_xlfn.XLOOKUP(Renewables_Electricity_Backend[[#This Row],[Level 3]],rng_Level3Long,rng_Level6Long)</f>
        <v>#N/A</v>
      </c>
      <c r="AG24" s="174">
        <f>Renewables_Electricity_Frontend[[#This Row],[Generating site name]]</f>
        <v>0</v>
      </c>
      <c r="AH24" s="174"/>
      <c r="AI24" s="216">
        <f>Renewables_Electricity_Frontend[[#This Row],[Methodology used]]</f>
        <v>0</v>
      </c>
      <c r="AJ24" s="229" t="e" cm="1">
        <f t="array" aca="1" ref="AJ24" ca="1">INDEX(_xlfn.SWITCH(Renewables_Electricity_Backend[[#This Row],[Methodology]],"Tier 1",rng_RSD1,"Tier 2",rng_RSD2,"Tier 3",rng_RSD3),MATCH(_xlfn.CONCAT(Renewables_Electricity_Backend[[#This Row],[Level 1]:[Level 6]]),rng_LevelsConcat,0))</f>
        <v>#N/A</v>
      </c>
      <c r="AK24" s="216">
        <f>Renewables_Electricity_Frontend[[#This Row],[Age (years)]]</f>
        <v>0</v>
      </c>
      <c r="AL24" s="219">
        <f>Renewables_Electricity_Frontend[[#This Row],[Availability]]</f>
        <v>0</v>
      </c>
      <c r="AM24" s="216">
        <f>Renewables_Electricity_Frontend[[#This Row],[Total kW capacity]]</f>
        <v>0</v>
      </c>
      <c r="AN24" s="413">
        <f>Renewables_Electricity_Frontend[[#This Row],[Total kWh generated]]</f>
        <v>0</v>
      </c>
      <c r="AO24" s="413">
        <f>Renewables_Electricity_Frontend[[#This Row],[kWh consumed by reporting organisation]]</f>
        <v>0</v>
      </c>
      <c r="AP24" s="413">
        <f>Renewables_Electricity_Frontend[[#This Row],[kWh exported to grid]]</f>
        <v>0</v>
      </c>
      <c r="AQ24" s="413">
        <f>Renewables_Electricity_Frontend[[#This Row],[kWh exported to other PSB]]</f>
        <v>0</v>
      </c>
      <c r="AR24" s="216">
        <f>Renewables_Electricity_Frontend[[#This Row],[Name of other PSB]]</f>
        <v>0</v>
      </c>
      <c r="AS24" s="216">
        <f>Renewables_Electricity_Frontend[[#This Row],[Ease of collection]]</f>
        <v>0</v>
      </c>
      <c r="AT24" s="174">
        <f>Renewables_Electricity_Frontend[[#This Row],[Ease of collection]]</f>
        <v>0</v>
      </c>
      <c r="AU24" s="174">
        <f>Renewables_Electricity_Frontend[[#This Row],[Completeness]]</f>
        <v>0</v>
      </c>
    </row>
    <row r="25" spans="2:47" s="147" customFormat="1" ht="14" x14ac:dyDescent="0.3">
      <c r="B25" s="455"/>
      <c r="E25" s="431"/>
      <c r="F25" s="432"/>
      <c r="G25" s="432"/>
      <c r="H25" s="432"/>
      <c r="I25" s="432"/>
      <c r="J25" s="432"/>
      <c r="K25" s="433"/>
      <c r="L25" s="434"/>
      <c r="M25" s="433"/>
      <c r="N25" s="276">
        <f>Renewables_Electricity_Frontend[[#This Row],[kWh consumed by reporting organisation]]+Renewables_Electricity_Frontend[[#This Row],[kWh exported to grid]]+Renewables_Electricity_Frontend[[#This Row],[kWh exported to other PSB]]</f>
        <v>0</v>
      </c>
      <c r="O25" s="439"/>
      <c r="P25" s="439"/>
      <c r="Q25" s="440"/>
      <c r="R25" s="441"/>
      <c r="S25" s="336"/>
      <c r="T25" s="336"/>
      <c r="U25" s="442"/>
      <c r="V25" s="242">
        <f t="shared" si="1"/>
        <v>11</v>
      </c>
      <c r="Z25" s="212" t="str">
        <f t="shared" si="0"/>
        <v/>
      </c>
      <c r="AA25" s="174" t="s">
        <v>149</v>
      </c>
      <c r="AB25" s="174" t="s">
        <v>149</v>
      </c>
      <c r="AC25" s="174">
        <f>Renewables_Electricity_Frontend[[#This Row],[Renewable Type]]</f>
        <v>0</v>
      </c>
      <c r="AD25" s="174" t="e" cm="1">
        <f t="array" aca="1" ref="AD25" ca="1">_xlfn.XLOOKUP(Renewables_Electricity_Backend[[#This Row],[Level 3]],rng_Level3Long,rng_Level4Long)</f>
        <v>#N/A</v>
      </c>
      <c r="AE25" s="174" t="e" cm="1">
        <f t="array" aca="1" ref="AE25" ca="1">_xlfn.XLOOKUP(Renewables_Electricity_Backend[[#This Row],[Level 3]],rng_Level3Long,rng_Level5Long)</f>
        <v>#N/A</v>
      </c>
      <c r="AF25" s="174" t="e" cm="1">
        <f t="array" aca="1" ref="AF25" ca="1">_xlfn.XLOOKUP(Renewables_Electricity_Backend[[#This Row],[Level 3]],rng_Level3Long,rng_Level6Long)</f>
        <v>#N/A</v>
      </c>
      <c r="AG25" s="174">
        <f>Renewables_Electricity_Frontend[[#This Row],[Generating site name]]</f>
        <v>0</v>
      </c>
      <c r="AH25" s="174"/>
      <c r="AI25" s="174">
        <f>Renewables_Electricity_Frontend[[#This Row],[Methodology used]]</f>
        <v>0</v>
      </c>
      <c r="AJ25" s="220" t="e" cm="1">
        <f t="array" aca="1" ref="AJ25" ca="1">INDEX(_xlfn.SWITCH(Renewables_Electricity_Backend[[#This Row],[Methodology]],"Tier 1",rng_RSD1,"Tier 2",rng_RSD2,"Tier 3",rng_RSD3),MATCH(_xlfn.CONCAT(Renewables_Electricity_Backend[[#This Row],[Level 1]:[Level 6]]),rng_LevelsConcat,0))</f>
        <v>#N/A</v>
      </c>
      <c r="AK25" s="174">
        <f>Renewables_Electricity_Frontend[[#This Row],[Age (years)]]</f>
        <v>0</v>
      </c>
      <c r="AL25" s="174">
        <f>Renewables_Electricity_Frontend[[#This Row],[Availability]]</f>
        <v>0</v>
      </c>
      <c r="AM25" s="174">
        <f>Renewables_Electricity_Frontend[[#This Row],[Total kW capacity]]</f>
        <v>0</v>
      </c>
      <c r="AN25" s="220">
        <f>Renewables_Electricity_Frontend[[#This Row],[Total kWh generated]]</f>
        <v>0</v>
      </c>
      <c r="AO25" s="412">
        <f>Renewables_Electricity_Frontend[[#This Row],[kWh consumed by reporting organisation]]</f>
        <v>0</v>
      </c>
      <c r="AP25" s="412">
        <f>Renewables_Electricity_Frontend[[#This Row],[kWh exported to grid]]</f>
        <v>0</v>
      </c>
      <c r="AQ25" s="412">
        <f>Renewables_Electricity_Frontend[[#This Row],[kWh exported to other PSB]]</f>
        <v>0</v>
      </c>
      <c r="AR25" s="174">
        <f>Renewables_Electricity_Frontend[[#This Row],[Name of other PSB]]</f>
        <v>0</v>
      </c>
      <c r="AS25" s="174">
        <f>Renewables_Electricity_Frontend[[#This Row],[Ease of collection]]</f>
        <v>0</v>
      </c>
      <c r="AT25" s="174">
        <f>Renewables_Electricity_Frontend[[#This Row],[Ease of collection]]</f>
        <v>0</v>
      </c>
      <c r="AU25" s="174">
        <f>Renewables_Electricity_Frontend[[#This Row],[Completeness]]</f>
        <v>0</v>
      </c>
    </row>
    <row r="26" spans="2:47" s="147" customFormat="1" ht="14" x14ac:dyDescent="0.3">
      <c r="B26" s="455"/>
      <c r="E26" s="431"/>
      <c r="F26" s="432"/>
      <c r="G26" s="432"/>
      <c r="H26" s="432"/>
      <c r="I26" s="432"/>
      <c r="J26" s="432"/>
      <c r="K26" s="433"/>
      <c r="L26" s="434"/>
      <c r="M26" s="433"/>
      <c r="N26" s="276">
        <f>Renewables_Electricity_Frontend[[#This Row],[kWh consumed by reporting organisation]]+Renewables_Electricity_Frontend[[#This Row],[kWh exported to grid]]+Renewables_Electricity_Frontend[[#This Row],[kWh exported to other PSB]]</f>
        <v>0</v>
      </c>
      <c r="O26" s="439"/>
      <c r="P26" s="439"/>
      <c r="Q26" s="440"/>
      <c r="R26" s="441"/>
      <c r="S26" s="336"/>
      <c r="T26" s="336"/>
      <c r="U26" s="442"/>
      <c r="V26" s="242">
        <f t="shared" si="1"/>
        <v>11</v>
      </c>
      <c r="Z26" s="212" t="str">
        <f t="shared" si="0"/>
        <v/>
      </c>
      <c r="AA26" s="174" t="s">
        <v>149</v>
      </c>
      <c r="AB26" s="174" t="s">
        <v>149</v>
      </c>
      <c r="AC26" s="174">
        <f>Renewables_Electricity_Frontend[[#This Row],[Renewable Type]]</f>
        <v>0</v>
      </c>
      <c r="AD26" s="174" t="e" cm="1">
        <f t="array" aca="1" ref="AD26" ca="1">_xlfn.XLOOKUP(Renewables_Electricity_Backend[[#This Row],[Level 3]],rng_Level3Long,rng_Level4Long)</f>
        <v>#N/A</v>
      </c>
      <c r="AE26" s="174" t="e" cm="1">
        <f t="array" aca="1" ref="AE26" ca="1">_xlfn.XLOOKUP(Renewables_Electricity_Backend[[#This Row],[Level 3]],rng_Level3Long,rng_Level5Long)</f>
        <v>#N/A</v>
      </c>
      <c r="AF26" s="174" t="e" cm="1">
        <f t="array" aca="1" ref="AF26" ca="1">_xlfn.XLOOKUP(Renewables_Electricity_Backend[[#This Row],[Level 3]],rng_Level3Long,rng_Level6Long)</f>
        <v>#N/A</v>
      </c>
      <c r="AG26" s="174">
        <f>Renewables_Electricity_Frontend[[#This Row],[Generating site name]]</f>
        <v>0</v>
      </c>
      <c r="AH26" s="174"/>
      <c r="AI26" s="174">
        <f>Renewables_Electricity_Frontend[[#This Row],[Methodology used]]</f>
        <v>0</v>
      </c>
      <c r="AJ26" s="220" t="e" cm="1">
        <f t="array" aca="1" ref="AJ26" ca="1">INDEX(_xlfn.SWITCH(Renewables_Electricity_Backend[[#This Row],[Methodology]],"Tier 1",rng_RSD1,"Tier 2",rng_RSD2,"Tier 3",rng_RSD3),MATCH(_xlfn.CONCAT(Renewables_Electricity_Backend[[#This Row],[Level 1]:[Level 6]]),rng_LevelsConcat,0))</f>
        <v>#N/A</v>
      </c>
      <c r="AK26" s="174">
        <f>Renewables_Electricity_Frontend[[#This Row],[Age (years)]]</f>
        <v>0</v>
      </c>
      <c r="AL26" s="174">
        <f>Renewables_Electricity_Frontend[[#This Row],[Availability]]</f>
        <v>0</v>
      </c>
      <c r="AM26" s="174">
        <f>Renewables_Electricity_Frontend[[#This Row],[Total kW capacity]]</f>
        <v>0</v>
      </c>
      <c r="AN26" s="220">
        <f>Renewables_Electricity_Frontend[[#This Row],[Total kWh generated]]</f>
        <v>0</v>
      </c>
      <c r="AO26" s="412">
        <f>Renewables_Electricity_Frontend[[#This Row],[kWh consumed by reporting organisation]]</f>
        <v>0</v>
      </c>
      <c r="AP26" s="412">
        <f>Renewables_Electricity_Frontend[[#This Row],[kWh exported to grid]]</f>
        <v>0</v>
      </c>
      <c r="AQ26" s="412">
        <f>Renewables_Electricity_Frontend[[#This Row],[kWh exported to other PSB]]</f>
        <v>0</v>
      </c>
      <c r="AR26" s="174">
        <f>Renewables_Electricity_Frontend[[#This Row],[Name of other PSB]]</f>
        <v>0</v>
      </c>
      <c r="AS26" s="174">
        <f>Renewables_Electricity_Frontend[[#This Row],[Ease of collection]]</f>
        <v>0</v>
      </c>
      <c r="AT26" s="174">
        <f>Renewables_Electricity_Frontend[[#This Row],[Ease of collection]]</f>
        <v>0</v>
      </c>
      <c r="AU26" s="174">
        <f>Renewables_Electricity_Frontend[[#This Row],[Completeness]]</f>
        <v>0</v>
      </c>
    </row>
    <row r="27" spans="2:47" s="147" customFormat="1" ht="14" x14ac:dyDescent="0.3">
      <c r="B27" s="455"/>
      <c r="E27" s="431"/>
      <c r="F27" s="432"/>
      <c r="G27" s="432"/>
      <c r="H27" s="432"/>
      <c r="I27" s="432"/>
      <c r="J27" s="432"/>
      <c r="K27" s="433"/>
      <c r="L27" s="434"/>
      <c r="M27" s="433"/>
      <c r="N27" s="276">
        <f>Renewables_Electricity_Frontend[[#This Row],[kWh consumed by reporting organisation]]+Renewables_Electricity_Frontend[[#This Row],[kWh exported to grid]]+Renewables_Electricity_Frontend[[#This Row],[kWh exported to other PSB]]</f>
        <v>0</v>
      </c>
      <c r="O27" s="439"/>
      <c r="P27" s="439"/>
      <c r="Q27" s="440"/>
      <c r="R27" s="441"/>
      <c r="S27" s="336"/>
      <c r="T27" s="336"/>
      <c r="U27" s="442"/>
      <c r="V27" s="242">
        <f t="shared" si="1"/>
        <v>11</v>
      </c>
      <c r="Z27" s="212" t="str">
        <f t="shared" si="0"/>
        <v/>
      </c>
      <c r="AA27" s="174" t="s">
        <v>149</v>
      </c>
      <c r="AB27" s="174" t="s">
        <v>149</v>
      </c>
      <c r="AC27" s="174">
        <f>Renewables_Electricity_Frontend[[#This Row],[Renewable Type]]</f>
        <v>0</v>
      </c>
      <c r="AD27" s="174" t="e" cm="1">
        <f t="array" aca="1" ref="AD27" ca="1">_xlfn.XLOOKUP(Renewables_Electricity_Backend[[#This Row],[Level 3]],rng_Level3Long,rng_Level4Long)</f>
        <v>#N/A</v>
      </c>
      <c r="AE27" s="174" t="e" cm="1">
        <f t="array" aca="1" ref="AE27" ca="1">_xlfn.XLOOKUP(Renewables_Electricity_Backend[[#This Row],[Level 3]],rng_Level3Long,rng_Level5Long)</f>
        <v>#N/A</v>
      </c>
      <c r="AF27" s="174" t="e" cm="1">
        <f t="array" aca="1" ref="AF27" ca="1">_xlfn.XLOOKUP(Renewables_Electricity_Backend[[#This Row],[Level 3]],rng_Level3Long,rng_Level6Long)</f>
        <v>#N/A</v>
      </c>
      <c r="AG27" s="174">
        <f>Renewables_Electricity_Frontend[[#This Row],[Generating site name]]</f>
        <v>0</v>
      </c>
      <c r="AH27" s="174"/>
      <c r="AI27" s="174">
        <f>Renewables_Electricity_Frontend[[#This Row],[Methodology used]]</f>
        <v>0</v>
      </c>
      <c r="AJ27" s="220" t="e" cm="1">
        <f t="array" aca="1" ref="AJ27" ca="1">INDEX(_xlfn.SWITCH(Renewables_Electricity_Backend[[#This Row],[Methodology]],"Tier 1",rng_RSD1,"Tier 2",rng_RSD2,"Tier 3",rng_RSD3),MATCH(_xlfn.CONCAT(Renewables_Electricity_Backend[[#This Row],[Level 1]:[Level 6]]),rng_LevelsConcat,0))</f>
        <v>#N/A</v>
      </c>
      <c r="AK27" s="174">
        <f>Renewables_Electricity_Frontend[[#This Row],[Age (years)]]</f>
        <v>0</v>
      </c>
      <c r="AL27" s="174">
        <f>Renewables_Electricity_Frontend[[#This Row],[Availability]]</f>
        <v>0</v>
      </c>
      <c r="AM27" s="174">
        <f>Renewables_Electricity_Frontend[[#This Row],[Total kW capacity]]</f>
        <v>0</v>
      </c>
      <c r="AN27" s="220">
        <f>Renewables_Electricity_Frontend[[#This Row],[Total kWh generated]]</f>
        <v>0</v>
      </c>
      <c r="AO27" s="412">
        <f>Renewables_Electricity_Frontend[[#This Row],[kWh consumed by reporting organisation]]</f>
        <v>0</v>
      </c>
      <c r="AP27" s="412">
        <f>Renewables_Electricity_Frontend[[#This Row],[kWh exported to grid]]</f>
        <v>0</v>
      </c>
      <c r="AQ27" s="412">
        <f>Renewables_Electricity_Frontend[[#This Row],[kWh exported to other PSB]]</f>
        <v>0</v>
      </c>
      <c r="AR27" s="174">
        <f>Renewables_Electricity_Frontend[[#This Row],[Name of other PSB]]</f>
        <v>0</v>
      </c>
      <c r="AS27" s="174">
        <f>Renewables_Electricity_Frontend[[#This Row],[Ease of collection]]</f>
        <v>0</v>
      </c>
      <c r="AT27" s="174">
        <f>Renewables_Electricity_Frontend[[#This Row],[Ease of collection]]</f>
        <v>0</v>
      </c>
      <c r="AU27" s="174">
        <f>Renewables_Electricity_Frontend[[#This Row],[Completeness]]</f>
        <v>0</v>
      </c>
    </row>
    <row r="28" spans="2:47" s="147" customFormat="1" ht="14" x14ac:dyDescent="0.3">
      <c r="B28" s="455"/>
      <c r="E28" s="431"/>
      <c r="F28" s="432"/>
      <c r="G28" s="432"/>
      <c r="H28" s="432"/>
      <c r="I28" s="432"/>
      <c r="J28" s="432"/>
      <c r="K28" s="433"/>
      <c r="L28" s="434"/>
      <c r="M28" s="433"/>
      <c r="N28" s="276">
        <f>Renewables_Electricity_Frontend[[#This Row],[kWh consumed by reporting organisation]]+Renewables_Electricity_Frontend[[#This Row],[kWh exported to grid]]+Renewables_Electricity_Frontend[[#This Row],[kWh exported to other PSB]]</f>
        <v>0</v>
      </c>
      <c r="O28" s="439"/>
      <c r="P28" s="439"/>
      <c r="Q28" s="440"/>
      <c r="R28" s="441"/>
      <c r="S28" s="336"/>
      <c r="T28" s="336"/>
      <c r="U28" s="442"/>
      <c r="V28" s="242">
        <f t="shared" si="1"/>
        <v>11</v>
      </c>
      <c r="Z28" s="212" t="str">
        <f t="shared" si="0"/>
        <v/>
      </c>
      <c r="AA28" s="174" t="s">
        <v>149</v>
      </c>
      <c r="AB28" s="174" t="s">
        <v>149</v>
      </c>
      <c r="AC28" s="174">
        <f>Renewables_Electricity_Frontend[[#This Row],[Renewable Type]]</f>
        <v>0</v>
      </c>
      <c r="AD28" s="174" t="e" cm="1">
        <f t="array" aca="1" ref="AD28" ca="1">_xlfn.XLOOKUP(Renewables_Electricity_Backend[[#This Row],[Level 3]],rng_Level3Long,rng_Level4Long)</f>
        <v>#N/A</v>
      </c>
      <c r="AE28" s="174" t="e" cm="1">
        <f t="array" aca="1" ref="AE28" ca="1">_xlfn.XLOOKUP(Renewables_Electricity_Backend[[#This Row],[Level 3]],rng_Level3Long,rng_Level5Long)</f>
        <v>#N/A</v>
      </c>
      <c r="AF28" s="174" t="e" cm="1">
        <f t="array" aca="1" ref="AF28" ca="1">_xlfn.XLOOKUP(Renewables_Electricity_Backend[[#This Row],[Level 3]],rng_Level3Long,rng_Level6Long)</f>
        <v>#N/A</v>
      </c>
      <c r="AG28" s="174">
        <f>Renewables_Electricity_Frontend[[#This Row],[Generating site name]]</f>
        <v>0</v>
      </c>
      <c r="AH28" s="174"/>
      <c r="AI28" s="174">
        <f>Renewables_Electricity_Frontend[[#This Row],[Methodology used]]</f>
        <v>0</v>
      </c>
      <c r="AJ28" s="220" t="e" cm="1">
        <f t="array" aca="1" ref="AJ28" ca="1">INDEX(_xlfn.SWITCH(Renewables_Electricity_Backend[[#This Row],[Methodology]],"Tier 1",rng_RSD1,"Tier 2",rng_RSD2,"Tier 3",rng_RSD3),MATCH(_xlfn.CONCAT(Renewables_Electricity_Backend[[#This Row],[Level 1]:[Level 6]]),rng_LevelsConcat,0))</f>
        <v>#N/A</v>
      </c>
      <c r="AK28" s="174">
        <f>Renewables_Electricity_Frontend[[#This Row],[Age (years)]]</f>
        <v>0</v>
      </c>
      <c r="AL28" s="174">
        <f>Renewables_Electricity_Frontend[[#This Row],[Availability]]</f>
        <v>0</v>
      </c>
      <c r="AM28" s="174">
        <f>Renewables_Electricity_Frontend[[#This Row],[Total kW capacity]]</f>
        <v>0</v>
      </c>
      <c r="AN28" s="220">
        <f>Renewables_Electricity_Frontend[[#This Row],[Total kWh generated]]</f>
        <v>0</v>
      </c>
      <c r="AO28" s="412">
        <f>Renewables_Electricity_Frontend[[#This Row],[kWh consumed by reporting organisation]]</f>
        <v>0</v>
      </c>
      <c r="AP28" s="412">
        <f>Renewables_Electricity_Frontend[[#This Row],[kWh exported to grid]]</f>
        <v>0</v>
      </c>
      <c r="AQ28" s="412">
        <f>Renewables_Electricity_Frontend[[#This Row],[kWh exported to other PSB]]</f>
        <v>0</v>
      </c>
      <c r="AR28" s="174">
        <f>Renewables_Electricity_Frontend[[#This Row],[Name of other PSB]]</f>
        <v>0</v>
      </c>
      <c r="AS28" s="174">
        <f>Renewables_Electricity_Frontend[[#This Row],[Ease of collection]]</f>
        <v>0</v>
      </c>
      <c r="AT28" s="174">
        <f>Renewables_Electricity_Frontend[[#This Row],[Ease of collection]]</f>
        <v>0</v>
      </c>
      <c r="AU28" s="174">
        <f>Renewables_Electricity_Frontend[[#This Row],[Completeness]]</f>
        <v>0</v>
      </c>
    </row>
    <row r="29" spans="2:47" s="147" customFormat="1" ht="14" x14ac:dyDescent="0.3">
      <c r="B29" s="455"/>
      <c r="E29" s="431"/>
      <c r="F29" s="432"/>
      <c r="G29" s="432"/>
      <c r="H29" s="432"/>
      <c r="I29" s="432"/>
      <c r="J29" s="432"/>
      <c r="K29" s="433"/>
      <c r="L29" s="434"/>
      <c r="M29" s="433"/>
      <c r="N29" s="276">
        <f>Renewables_Electricity_Frontend[[#This Row],[kWh consumed by reporting organisation]]+Renewables_Electricity_Frontend[[#This Row],[kWh exported to grid]]+Renewables_Electricity_Frontend[[#This Row],[kWh exported to other PSB]]</f>
        <v>0</v>
      </c>
      <c r="O29" s="439"/>
      <c r="P29" s="439"/>
      <c r="Q29" s="440"/>
      <c r="R29" s="441"/>
      <c r="S29" s="336"/>
      <c r="T29" s="336"/>
      <c r="U29" s="442"/>
      <c r="V29" s="242">
        <f t="shared" si="1"/>
        <v>11</v>
      </c>
      <c r="Z29" s="212" t="str">
        <f t="shared" si="0"/>
        <v/>
      </c>
      <c r="AA29" s="174" t="s">
        <v>149</v>
      </c>
      <c r="AB29" s="174" t="s">
        <v>149</v>
      </c>
      <c r="AC29" s="174">
        <f>Renewables_Electricity_Frontend[[#This Row],[Renewable Type]]</f>
        <v>0</v>
      </c>
      <c r="AD29" s="174" t="e" cm="1">
        <f t="array" aca="1" ref="AD29" ca="1">_xlfn.XLOOKUP(Renewables_Electricity_Backend[[#This Row],[Level 3]],rng_Level3Long,rng_Level4Long)</f>
        <v>#N/A</v>
      </c>
      <c r="AE29" s="174" t="e" cm="1">
        <f t="array" aca="1" ref="AE29" ca="1">_xlfn.XLOOKUP(Renewables_Electricity_Backend[[#This Row],[Level 3]],rng_Level3Long,rng_Level5Long)</f>
        <v>#N/A</v>
      </c>
      <c r="AF29" s="174" t="e" cm="1">
        <f t="array" aca="1" ref="AF29" ca="1">_xlfn.XLOOKUP(Renewables_Electricity_Backend[[#This Row],[Level 3]],rng_Level3Long,rng_Level6Long)</f>
        <v>#N/A</v>
      </c>
      <c r="AG29" s="174">
        <f>Renewables_Electricity_Frontend[[#This Row],[Generating site name]]</f>
        <v>0</v>
      </c>
      <c r="AH29" s="174"/>
      <c r="AI29" s="174">
        <f>Renewables_Electricity_Frontend[[#This Row],[Methodology used]]</f>
        <v>0</v>
      </c>
      <c r="AJ29" s="220" t="e" cm="1">
        <f t="array" aca="1" ref="AJ29" ca="1">INDEX(_xlfn.SWITCH(Renewables_Electricity_Backend[[#This Row],[Methodology]],"Tier 1",rng_RSD1,"Tier 2",rng_RSD2,"Tier 3",rng_RSD3),MATCH(_xlfn.CONCAT(Renewables_Electricity_Backend[[#This Row],[Level 1]:[Level 6]]),rng_LevelsConcat,0))</f>
        <v>#N/A</v>
      </c>
      <c r="AK29" s="174">
        <f>Renewables_Electricity_Frontend[[#This Row],[Age (years)]]</f>
        <v>0</v>
      </c>
      <c r="AL29" s="174">
        <f>Renewables_Electricity_Frontend[[#This Row],[Availability]]</f>
        <v>0</v>
      </c>
      <c r="AM29" s="174">
        <f>Renewables_Electricity_Frontend[[#This Row],[Total kW capacity]]</f>
        <v>0</v>
      </c>
      <c r="AN29" s="220">
        <f>Renewables_Electricity_Frontend[[#This Row],[Total kWh generated]]</f>
        <v>0</v>
      </c>
      <c r="AO29" s="412">
        <f>Renewables_Electricity_Frontend[[#This Row],[kWh consumed by reporting organisation]]</f>
        <v>0</v>
      </c>
      <c r="AP29" s="412">
        <f>Renewables_Electricity_Frontend[[#This Row],[kWh exported to grid]]</f>
        <v>0</v>
      </c>
      <c r="AQ29" s="412">
        <f>Renewables_Electricity_Frontend[[#This Row],[kWh exported to other PSB]]</f>
        <v>0</v>
      </c>
      <c r="AR29" s="174">
        <f>Renewables_Electricity_Frontend[[#This Row],[Name of other PSB]]</f>
        <v>0</v>
      </c>
      <c r="AS29" s="174">
        <f>Renewables_Electricity_Frontend[[#This Row],[Ease of collection]]</f>
        <v>0</v>
      </c>
      <c r="AT29" s="174">
        <f>Renewables_Electricity_Frontend[[#This Row],[Ease of collection]]</f>
        <v>0</v>
      </c>
      <c r="AU29" s="174">
        <f>Renewables_Electricity_Frontend[[#This Row],[Completeness]]</f>
        <v>0</v>
      </c>
    </row>
    <row r="30" spans="2:47" s="147" customFormat="1" ht="14" x14ac:dyDescent="0.3">
      <c r="B30" s="455"/>
      <c r="E30" s="431"/>
      <c r="F30" s="432"/>
      <c r="G30" s="432"/>
      <c r="H30" s="432"/>
      <c r="I30" s="432"/>
      <c r="J30" s="432"/>
      <c r="K30" s="433"/>
      <c r="L30" s="434"/>
      <c r="M30" s="433"/>
      <c r="N30" s="276">
        <f>Renewables_Electricity_Frontend[[#This Row],[kWh consumed by reporting organisation]]+Renewables_Electricity_Frontend[[#This Row],[kWh exported to grid]]+Renewables_Electricity_Frontend[[#This Row],[kWh exported to other PSB]]</f>
        <v>0</v>
      </c>
      <c r="O30" s="439"/>
      <c r="P30" s="439"/>
      <c r="Q30" s="440"/>
      <c r="R30" s="441"/>
      <c r="S30" s="336"/>
      <c r="T30" s="336"/>
      <c r="U30" s="442"/>
      <c r="V30" s="242">
        <f t="shared" si="1"/>
        <v>11</v>
      </c>
      <c r="Z30" s="212" t="str">
        <f t="shared" si="0"/>
        <v/>
      </c>
      <c r="AA30" s="174" t="s">
        <v>149</v>
      </c>
      <c r="AB30" s="174" t="s">
        <v>149</v>
      </c>
      <c r="AC30" s="174">
        <f>Renewables_Electricity_Frontend[[#This Row],[Renewable Type]]</f>
        <v>0</v>
      </c>
      <c r="AD30" s="174" t="e" cm="1">
        <f t="array" aca="1" ref="AD30" ca="1">_xlfn.XLOOKUP(Renewables_Electricity_Backend[[#This Row],[Level 3]],rng_Level3Long,rng_Level4Long)</f>
        <v>#N/A</v>
      </c>
      <c r="AE30" s="174" t="e" cm="1">
        <f t="array" aca="1" ref="AE30" ca="1">_xlfn.XLOOKUP(Renewables_Electricity_Backend[[#This Row],[Level 3]],rng_Level3Long,rng_Level5Long)</f>
        <v>#N/A</v>
      </c>
      <c r="AF30" s="174" t="e" cm="1">
        <f t="array" aca="1" ref="AF30" ca="1">_xlfn.XLOOKUP(Renewables_Electricity_Backend[[#This Row],[Level 3]],rng_Level3Long,rng_Level6Long)</f>
        <v>#N/A</v>
      </c>
      <c r="AG30" s="174">
        <f>Renewables_Electricity_Frontend[[#This Row],[Generating site name]]</f>
        <v>0</v>
      </c>
      <c r="AH30" s="174"/>
      <c r="AI30" s="174">
        <f>Renewables_Electricity_Frontend[[#This Row],[Methodology used]]</f>
        <v>0</v>
      </c>
      <c r="AJ30" s="220" t="e" cm="1">
        <f t="array" aca="1" ref="AJ30" ca="1">INDEX(_xlfn.SWITCH(Renewables_Electricity_Backend[[#This Row],[Methodology]],"Tier 1",rng_RSD1,"Tier 2",rng_RSD2,"Tier 3",rng_RSD3),MATCH(_xlfn.CONCAT(Renewables_Electricity_Backend[[#This Row],[Level 1]:[Level 6]]),rng_LevelsConcat,0))</f>
        <v>#N/A</v>
      </c>
      <c r="AK30" s="174">
        <f>Renewables_Electricity_Frontend[[#This Row],[Age (years)]]</f>
        <v>0</v>
      </c>
      <c r="AL30" s="174">
        <f>Renewables_Electricity_Frontend[[#This Row],[Availability]]</f>
        <v>0</v>
      </c>
      <c r="AM30" s="174">
        <f>Renewables_Electricity_Frontend[[#This Row],[Total kW capacity]]</f>
        <v>0</v>
      </c>
      <c r="AN30" s="220">
        <f>Renewables_Electricity_Frontend[[#This Row],[Total kWh generated]]</f>
        <v>0</v>
      </c>
      <c r="AO30" s="412">
        <f>Renewables_Electricity_Frontend[[#This Row],[kWh consumed by reporting organisation]]</f>
        <v>0</v>
      </c>
      <c r="AP30" s="412">
        <f>Renewables_Electricity_Frontend[[#This Row],[kWh exported to grid]]</f>
        <v>0</v>
      </c>
      <c r="AQ30" s="412">
        <f>Renewables_Electricity_Frontend[[#This Row],[kWh exported to other PSB]]</f>
        <v>0</v>
      </c>
      <c r="AR30" s="174">
        <f>Renewables_Electricity_Frontend[[#This Row],[Name of other PSB]]</f>
        <v>0</v>
      </c>
      <c r="AS30" s="174">
        <f>Renewables_Electricity_Frontend[[#This Row],[Ease of collection]]</f>
        <v>0</v>
      </c>
      <c r="AT30" s="174">
        <f>Renewables_Electricity_Frontend[[#This Row],[Ease of collection]]</f>
        <v>0</v>
      </c>
      <c r="AU30" s="174">
        <f>Renewables_Electricity_Frontend[[#This Row],[Completeness]]</f>
        <v>0</v>
      </c>
    </row>
    <row r="31" spans="2:47" s="147" customFormat="1" ht="14" x14ac:dyDescent="0.3">
      <c r="B31" s="455"/>
      <c r="E31" s="431"/>
      <c r="F31" s="432"/>
      <c r="G31" s="432"/>
      <c r="H31" s="432"/>
      <c r="I31" s="432"/>
      <c r="J31" s="432"/>
      <c r="K31" s="433"/>
      <c r="L31" s="434"/>
      <c r="M31" s="433"/>
      <c r="N31" s="276">
        <f>Renewables_Electricity_Frontend[[#This Row],[kWh consumed by reporting organisation]]+Renewables_Electricity_Frontend[[#This Row],[kWh exported to grid]]+Renewables_Electricity_Frontend[[#This Row],[kWh exported to other PSB]]</f>
        <v>0</v>
      </c>
      <c r="O31" s="439"/>
      <c r="P31" s="439"/>
      <c r="Q31" s="440"/>
      <c r="R31" s="441"/>
      <c r="S31" s="336"/>
      <c r="T31" s="336"/>
      <c r="U31" s="442"/>
      <c r="V31" s="242">
        <f t="shared" si="1"/>
        <v>11</v>
      </c>
      <c r="Z31" s="212" t="str">
        <f t="shared" si="0"/>
        <v/>
      </c>
      <c r="AA31" s="174" t="s">
        <v>149</v>
      </c>
      <c r="AB31" s="174" t="s">
        <v>149</v>
      </c>
      <c r="AC31" s="174">
        <f>Renewables_Electricity_Frontend[[#This Row],[Renewable Type]]</f>
        <v>0</v>
      </c>
      <c r="AD31" s="174" t="e" cm="1">
        <f t="array" aca="1" ref="AD31" ca="1">_xlfn.XLOOKUP(Renewables_Electricity_Backend[[#This Row],[Level 3]],rng_Level3Long,rng_Level4Long)</f>
        <v>#N/A</v>
      </c>
      <c r="AE31" s="174" t="e" cm="1">
        <f t="array" aca="1" ref="AE31" ca="1">_xlfn.XLOOKUP(Renewables_Electricity_Backend[[#This Row],[Level 3]],rng_Level3Long,rng_Level5Long)</f>
        <v>#N/A</v>
      </c>
      <c r="AF31" s="174" t="e" cm="1">
        <f t="array" aca="1" ref="AF31" ca="1">_xlfn.XLOOKUP(Renewables_Electricity_Backend[[#This Row],[Level 3]],rng_Level3Long,rng_Level6Long)</f>
        <v>#N/A</v>
      </c>
      <c r="AG31" s="174">
        <f>Renewables_Electricity_Frontend[[#This Row],[Generating site name]]</f>
        <v>0</v>
      </c>
      <c r="AH31" s="174"/>
      <c r="AI31" s="174">
        <f>Renewables_Electricity_Frontend[[#This Row],[Methodology used]]</f>
        <v>0</v>
      </c>
      <c r="AJ31" s="220" t="e" cm="1">
        <f t="array" aca="1" ref="AJ31" ca="1">INDEX(_xlfn.SWITCH(Renewables_Electricity_Backend[[#This Row],[Methodology]],"Tier 1",rng_RSD1,"Tier 2",rng_RSD2,"Tier 3",rng_RSD3),MATCH(_xlfn.CONCAT(Renewables_Electricity_Backend[[#This Row],[Level 1]:[Level 6]]),rng_LevelsConcat,0))</f>
        <v>#N/A</v>
      </c>
      <c r="AK31" s="174">
        <f>Renewables_Electricity_Frontend[[#This Row],[Age (years)]]</f>
        <v>0</v>
      </c>
      <c r="AL31" s="174">
        <f>Renewables_Electricity_Frontend[[#This Row],[Availability]]</f>
        <v>0</v>
      </c>
      <c r="AM31" s="174">
        <f>Renewables_Electricity_Frontend[[#This Row],[Total kW capacity]]</f>
        <v>0</v>
      </c>
      <c r="AN31" s="220">
        <f>Renewables_Electricity_Frontend[[#This Row],[Total kWh generated]]</f>
        <v>0</v>
      </c>
      <c r="AO31" s="412">
        <f>Renewables_Electricity_Frontend[[#This Row],[kWh consumed by reporting organisation]]</f>
        <v>0</v>
      </c>
      <c r="AP31" s="412">
        <f>Renewables_Electricity_Frontend[[#This Row],[kWh exported to grid]]</f>
        <v>0</v>
      </c>
      <c r="AQ31" s="412">
        <f>Renewables_Electricity_Frontend[[#This Row],[kWh exported to other PSB]]</f>
        <v>0</v>
      </c>
      <c r="AR31" s="174">
        <f>Renewables_Electricity_Frontend[[#This Row],[Name of other PSB]]</f>
        <v>0</v>
      </c>
      <c r="AS31" s="174">
        <f>Renewables_Electricity_Frontend[[#This Row],[Ease of collection]]</f>
        <v>0</v>
      </c>
      <c r="AT31" s="174">
        <f>Renewables_Electricity_Frontend[[#This Row],[Ease of collection]]</f>
        <v>0</v>
      </c>
      <c r="AU31" s="174">
        <f>Renewables_Electricity_Frontend[[#This Row],[Completeness]]</f>
        <v>0</v>
      </c>
    </row>
    <row r="32" spans="2:47" s="147" customFormat="1" ht="14" x14ac:dyDescent="0.3">
      <c r="B32" s="455"/>
      <c r="E32" s="431"/>
      <c r="F32" s="432"/>
      <c r="G32" s="432"/>
      <c r="H32" s="432"/>
      <c r="I32" s="432"/>
      <c r="J32" s="432"/>
      <c r="K32" s="433"/>
      <c r="L32" s="434"/>
      <c r="M32" s="433"/>
      <c r="N32" s="276">
        <f>Renewables_Electricity_Frontend[[#This Row],[kWh consumed by reporting organisation]]+Renewables_Electricity_Frontend[[#This Row],[kWh exported to grid]]+Renewables_Electricity_Frontend[[#This Row],[kWh exported to other PSB]]</f>
        <v>0</v>
      </c>
      <c r="O32" s="439"/>
      <c r="P32" s="439"/>
      <c r="Q32" s="440"/>
      <c r="R32" s="441"/>
      <c r="S32" s="336"/>
      <c r="T32" s="336"/>
      <c r="U32" s="442"/>
      <c r="V32" s="242">
        <f t="shared" si="1"/>
        <v>11</v>
      </c>
      <c r="Z32" s="212" t="str">
        <f t="shared" si="0"/>
        <v/>
      </c>
      <c r="AA32" s="174" t="s">
        <v>149</v>
      </c>
      <c r="AB32" s="174" t="s">
        <v>149</v>
      </c>
      <c r="AC32" s="174">
        <f>Renewables_Electricity_Frontend[[#This Row],[Renewable Type]]</f>
        <v>0</v>
      </c>
      <c r="AD32" s="174" t="e" cm="1">
        <f t="array" aca="1" ref="AD32" ca="1">_xlfn.XLOOKUP(Renewables_Electricity_Backend[[#This Row],[Level 3]],rng_Level3Long,rng_Level4Long)</f>
        <v>#N/A</v>
      </c>
      <c r="AE32" s="174" t="e" cm="1">
        <f t="array" aca="1" ref="AE32" ca="1">_xlfn.XLOOKUP(Renewables_Electricity_Backend[[#This Row],[Level 3]],rng_Level3Long,rng_Level5Long)</f>
        <v>#N/A</v>
      </c>
      <c r="AF32" s="174" t="e" cm="1">
        <f t="array" aca="1" ref="AF32" ca="1">_xlfn.XLOOKUP(Renewables_Electricity_Backend[[#This Row],[Level 3]],rng_Level3Long,rng_Level6Long)</f>
        <v>#N/A</v>
      </c>
      <c r="AG32" s="174">
        <f>Renewables_Electricity_Frontend[[#This Row],[Generating site name]]</f>
        <v>0</v>
      </c>
      <c r="AH32" s="174"/>
      <c r="AI32" s="174">
        <f>Renewables_Electricity_Frontend[[#This Row],[Methodology used]]</f>
        <v>0</v>
      </c>
      <c r="AJ32" s="220" t="e" cm="1">
        <f t="array" aca="1" ref="AJ32" ca="1">INDEX(_xlfn.SWITCH(Renewables_Electricity_Backend[[#This Row],[Methodology]],"Tier 1",rng_RSD1,"Tier 2",rng_RSD2,"Tier 3",rng_RSD3),MATCH(_xlfn.CONCAT(Renewables_Electricity_Backend[[#This Row],[Level 1]:[Level 6]]),rng_LevelsConcat,0))</f>
        <v>#N/A</v>
      </c>
      <c r="AK32" s="174">
        <f>Renewables_Electricity_Frontend[[#This Row],[Age (years)]]</f>
        <v>0</v>
      </c>
      <c r="AL32" s="174">
        <f>Renewables_Electricity_Frontend[[#This Row],[Availability]]</f>
        <v>0</v>
      </c>
      <c r="AM32" s="174">
        <f>Renewables_Electricity_Frontend[[#This Row],[Total kW capacity]]</f>
        <v>0</v>
      </c>
      <c r="AN32" s="220">
        <f>Renewables_Electricity_Frontend[[#This Row],[Total kWh generated]]</f>
        <v>0</v>
      </c>
      <c r="AO32" s="412">
        <f>Renewables_Electricity_Frontend[[#This Row],[kWh consumed by reporting organisation]]</f>
        <v>0</v>
      </c>
      <c r="AP32" s="412">
        <f>Renewables_Electricity_Frontend[[#This Row],[kWh exported to grid]]</f>
        <v>0</v>
      </c>
      <c r="AQ32" s="412">
        <f>Renewables_Electricity_Frontend[[#This Row],[kWh exported to other PSB]]</f>
        <v>0</v>
      </c>
      <c r="AR32" s="174">
        <f>Renewables_Electricity_Frontend[[#This Row],[Name of other PSB]]</f>
        <v>0</v>
      </c>
      <c r="AS32" s="174">
        <f>Renewables_Electricity_Frontend[[#This Row],[Ease of collection]]</f>
        <v>0</v>
      </c>
      <c r="AT32" s="174">
        <f>Renewables_Electricity_Frontend[[#This Row],[Ease of collection]]</f>
        <v>0</v>
      </c>
      <c r="AU32" s="174">
        <f>Renewables_Electricity_Frontend[[#This Row],[Completeness]]</f>
        <v>0</v>
      </c>
    </row>
    <row r="33" spans="2:47" s="147" customFormat="1" ht="14" x14ac:dyDescent="0.3">
      <c r="B33" s="455"/>
      <c r="E33" s="431"/>
      <c r="F33" s="432"/>
      <c r="G33" s="432"/>
      <c r="H33" s="432"/>
      <c r="I33" s="432"/>
      <c r="J33" s="432"/>
      <c r="K33" s="433"/>
      <c r="L33" s="434"/>
      <c r="M33" s="433"/>
      <c r="N33" s="276">
        <f>Renewables_Electricity_Frontend[[#This Row],[kWh consumed by reporting organisation]]+Renewables_Electricity_Frontend[[#This Row],[kWh exported to grid]]+Renewables_Electricity_Frontend[[#This Row],[kWh exported to other PSB]]</f>
        <v>0</v>
      </c>
      <c r="O33" s="439"/>
      <c r="P33" s="439"/>
      <c r="Q33" s="440"/>
      <c r="R33" s="441"/>
      <c r="S33" s="338"/>
      <c r="T33" s="338"/>
      <c r="U33" s="442"/>
      <c r="V33" s="242">
        <f t="shared" si="1"/>
        <v>11</v>
      </c>
      <c r="Z33" s="212" t="str">
        <f t="shared" si="0"/>
        <v/>
      </c>
      <c r="AA33" s="174" t="s">
        <v>149</v>
      </c>
      <c r="AB33" s="174" t="s">
        <v>149</v>
      </c>
      <c r="AC33" s="174">
        <f>Renewables_Electricity_Frontend[[#This Row],[Renewable Type]]</f>
        <v>0</v>
      </c>
      <c r="AD33" s="174" t="e" cm="1">
        <f t="array" aca="1" ref="AD33" ca="1">_xlfn.XLOOKUP(Renewables_Electricity_Backend[[#This Row],[Level 3]],rng_Level3Long,rng_Level4Long)</f>
        <v>#N/A</v>
      </c>
      <c r="AE33" s="174" t="e" cm="1">
        <f t="array" aca="1" ref="AE33" ca="1">_xlfn.XLOOKUP(Renewables_Electricity_Backend[[#This Row],[Level 3]],rng_Level3Long,rng_Level5Long)</f>
        <v>#N/A</v>
      </c>
      <c r="AF33" s="174" t="e" cm="1">
        <f t="array" aca="1" ref="AF33" ca="1">_xlfn.XLOOKUP(Renewables_Electricity_Backend[[#This Row],[Level 3]],rng_Level3Long,rng_Level6Long)</f>
        <v>#N/A</v>
      </c>
      <c r="AG33" s="174">
        <f>Renewables_Electricity_Frontend[[#This Row],[Generating site name]]</f>
        <v>0</v>
      </c>
      <c r="AH33" s="174"/>
      <c r="AI33" s="174">
        <f>Renewables_Electricity_Frontend[[#This Row],[Methodology used]]</f>
        <v>0</v>
      </c>
      <c r="AJ33" s="220" t="e" cm="1">
        <f t="array" aca="1" ref="AJ33" ca="1">INDEX(_xlfn.SWITCH(Renewables_Electricity_Backend[[#This Row],[Methodology]],"Tier 1",rng_RSD1,"Tier 2",rng_RSD2,"Tier 3",rng_RSD3),MATCH(_xlfn.CONCAT(Renewables_Electricity_Backend[[#This Row],[Level 1]:[Level 6]]),rng_LevelsConcat,0))</f>
        <v>#N/A</v>
      </c>
      <c r="AK33" s="174">
        <f>Renewables_Electricity_Frontend[[#This Row],[Age (years)]]</f>
        <v>0</v>
      </c>
      <c r="AL33" s="174">
        <f>Renewables_Electricity_Frontend[[#This Row],[Availability]]</f>
        <v>0</v>
      </c>
      <c r="AM33" s="174">
        <f>Renewables_Electricity_Frontend[[#This Row],[Total kW capacity]]</f>
        <v>0</v>
      </c>
      <c r="AN33" s="220">
        <f>Renewables_Electricity_Frontend[[#This Row],[Total kWh generated]]</f>
        <v>0</v>
      </c>
      <c r="AO33" s="412">
        <f>Renewables_Electricity_Frontend[[#This Row],[kWh consumed by reporting organisation]]</f>
        <v>0</v>
      </c>
      <c r="AP33" s="412">
        <f>Renewables_Electricity_Frontend[[#This Row],[kWh exported to grid]]</f>
        <v>0</v>
      </c>
      <c r="AQ33" s="412">
        <f>Renewables_Electricity_Frontend[[#This Row],[kWh exported to other PSB]]</f>
        <v>0</v>
      </c>
      <c r="AR33" s="174">
        <f>Renewables_Electricity_Frontend[[#This Row],[Name of other PSB]]</f>
        <v>0</v>
      </c>
      <c r="AS33" s="174">
        <f>Renewables_Electricity_Frontend[[#This Row],[Ease of collection]]</f>
        <v>0</v>
      </c>
      <c r="AT33" s="174">
        <f>Renewables_Electricity_Frontend[[#This Row],[Ease of collection]]</f>
        <v>0</v>
      </c>
      <c r="AU33" s="174">
        <f>Renewables_Electricity_Frontend[[#This Row],[Completeness]]</f>
        <v>0</v>
      </c>
    </row>
    <row r="34" spans="2:47" s="147" customFormat="1" ht="14" x14ac:dyDescent="0.3">
      <c r="B34" s="455"/>
      <c r="E34" s="431"/>
      <c r="F34" s="432"/>
      <c r="G34" s="432"/>
      <c r="H34" s="432"/>
      <c r="I34" s="432"/>
      <c r="J34" s="432"/>
      <c r="K34" s="433"/>
      <c r="L34" s="434"/>
      <c r="M34" s="433"/>
      <c r="N34" s="276">
        <f>Renewables_Electricity_Frontend[[#This Row],[kWh consumed by reporting organisation]]+Renewables_Electricity_Frontend[[#This Row],[kWh exported to grid]]+Renewables_Electricity_Frontend[[#This Row],[kWh exported to other PSB]]</f>
        <v>0</v>
      </c>
      <c r="O34" s="439"/>
      <c r="P34" s="439"/>
      <c r="Q34" s="440"/>
      <c r="R34" s="441"/>
      <c r="S34" s="338"/>
      <c r="T34" s="338"/>
      <c r="U34" s="442"/>
      <c r="V34" s="242">
        <f t="shared" si="1"/>
        <v>11</v>
      </c>
      <c r="Z34" s="212" t="str">
        <f t="shared" si="0"/>
        <v/>
      </c>
      <c r="AA34" s="174" t="s">
        <v>149</v>
      </c>
      <c r="AB34" s="174" t="s">
        <v>149</v>
      </c>
      <c r="AC34" s="174">
        <f>Renewables_Electricity_Frontend[[#This Row],[Renewable Type]]</f>
        <v>0</v>
      </c>
      <c r="AD34" s="174" t="e" cm="1">
        <f t="array" aca="1" ref="AD34" ca="1">_xlfn.XLOOKUP(Renewables_Electricity_Backend[[#This Row],[Level 3]],rng_Level3Long,rng_Level4Long)</f>
        <v>#N/A</v>
      </c>
      <c r="AE34" s="174" t="e" cm="1">
        <f t="array" aca="1" ref="AE34" ca="1">_xlfn.XLOOKUP(Renewables_Electricity_Backend[[#This Row],[Level 3]],rng_Level3Long,rng_Level5Long)</f>
        <v>#N/A</v>
      </c>
      <c r="AF34" s="174" t="e" cm="1">
        <f t="array" aca="1" ref="AF34" ca="1">_xlfn.XLOOKUP(Renewables_Electricity_Backend[[#This Row],[Level 3]],rng_Level3Long,rng_Level6Long)</f>
        <v>#N/A</v>
      </c>
      <c r="AG34" s="174">
        <f>Renewables_Electricity_Frontend[[#This Row],[Generating site name]]</f>
        <v>0</v>
      </c>
      <c r="AH34" s="174"/>
      <c r="AI34" s="174">
        <f>Renewables_Electricity_Frontend[[#This Row],[Methodology used]]</f>
        <v>0</v>
      </c>
      <c r="AJ34" s="220" t="e" cm="1">
        <f t="array" aca="1" ref="AJ34" ca="1">INDEX(_xlfn.SWITCH(Renewables_Electricity_Backend[[#This Row],[Methodology]],"Tier 1",rng_RSD1,"Tier 2",rng_RSD2,"Tier 3",rng_RSD3),MATCH(_xlfn.CONCAT(Renewables_Electricity_Backend[[#This Row],[Level 1]:[Level 6]]),rng_LevelsConcat,0))</f>
        <v>#N/A</v>
      </c>
      <c r="AK34" s="174">
        <f>Renewables_Electricity_Frontend[[#This Row],[Age (years)]]</f>
        <v>0</v>
      </c>
      <c r="AL34" s="174">
        <f>Renewables_Electricity_Frontend[[#This Row],[Availability]]</f>
        <v>0</v>
      </c>
      <c r="AM34" s="174">
        <f>Renewables_Electricity_Frontend[[#This Row],[Total kW capacity]]</f>
        <v>0</v>
      </c>
      <c r="AN34" s="220">
        <f>Renewables_Electricity_Frontend[[#This Row],[Total kWh generated]]</f>
        <v>0</v>
      </c>
      <c r="AO34" s="412">
        <f>Renewables_Electricity_Frontend[[#This Row],[kWh consumed by reporting organisation]]</f>
        <v>0</v>
      </c>
      <c r="AP34" s="412">
        <f>Renewables_Electricity_Frontend[[#This Row],[kWh exported to grid]]</f>
        <v>0</v>
      </c>
      <c r="AQ34" s="412">
        <f>Renewables_Electricity_Frontend[[#This Row],[kWh exported to other PSB]]</f>
        <v>0</v>
      </c>
      <c r="AR34" s="174">
        <f>Renewables_Electricity_Frontend[[#This Row],[Name of other PSB]]</f>
        <v>0</v>
      </c>
      <c r="AS34" s="174">
        <f>Renewables_Electricity_Frontend[[#This Row],[Ease of collection]]</f>
        <v>0</v>
      </c>
      <c r="AT34" s="174">
        <f>Renewables_Electricity_Frontend[[#This Row],[Ease of collection]]</f>
        <v>0</v>
      </c>
      <c r="AU34" s="174">
        <f>Renewables_Electricity_Frontend[[#This Row],[Completeness]]</f>
        <v>0</v>
      </c>
    </row>
    <row r="35" spans="2:47" s="147" customFormat="1" x14ac:dyDescent="0.35">
      <c r="B35" s="455"/>
      <c r="E35" s="431"/>
      <c r="F35" s="432"/>
      <c r="G35" s="432"/>
      <c r="H35" s="432"/>
      <c r="I35" s="432"/>
      <c r="J35" s="432"/>
      <c r="K35" s="433"/>
      <c r="L35" s="434"/>
      <c r="M35" s="433"/>
      <c r="N35" s="276">
        <f>Renewables_Electricity_Frontend[[#This Row],[kWh consumed by reporting organisation]]+Renewables_Electricity_Frontend[[#This Row],[kWh exported to grid]]+Renewables_Electricity_Frontend[[#This Row],[kWh exported to other PSB]]</f>
        <v>0</v>
      </c>
      <c r="O35" s="439"/>
      <c r="P35" s="439"/>
      <c r="Q35" s="440"/>
      <c r="R35" s="441"/>
      <c r="S35" s="338"/>
      <c r="T35" s="338"/>
      <c r="U35" s="442"/>
      <c r="V35" s="242">
        <f t="shared" si="1"/>
        <v>11</v>
      </c>
      <c r="Z35" s="212" t="str">
        <f t="shared" si="0"/>
        <v/>
      </c>
      <c r="AA35" s="174" t="s">
        <v>149</v>
      </c>
      <c r="AB35" s="174" t="s">
        <v>149</v>
      </c>
      <c r="AC35" s="173">
        <f>Renewables_Electricity_Frontend[[#This Row],[Renewable Type]]</f>
        <v>0</v>
      </c>
      <c r="AD35" s="173" t="e" cm="1">
        <f t="array" aca="1" ref="AD35" ca="1">_xlfn.XLOOKUP(Renewables_Electricity_Backend[[#This Row],[Level 3]],rng_Level3Long,rng_Level4Long)</f>
        <v>#N/A</v>
      </c>
      <c r="AE35" s="173" t="e" cm="1">
        <f t="array" aca="1" ref="AE35" ca="1">_xlfn.XLOOKUP(Renewables_Electricity_Backend[[#This Row],[Level 3]],rng_Level3Long,rng_Level5Long)</f>
        <v>#N/A</v>
      </c>
      <c r="AF35" s="173" t="e" cm="1">
        <f t="array" aca="1" ref="AF35" ca="1">_xlfn.XLOOKUP(Renewables_Electricity_Backend[[#This Row],[Level 3]],rng_Level3Long,rng_Level6Long)</f>
        <v>#N/A</v>
      </c>
      <c r="AG35" s="174">
        <f>Renewables_Electricity_Frontend[[#This Row],[Generating site name]]</f>
        <v>0</v>
      </c>
      <c r="AH35" s="174"/>
      <c r="AI35" s="174">
        <f>Renewables_Electricity_Frontend[[#This Row],[Methodology used]]</f>
        <v>0</v>
      </c>
      <c r="AJ35" s="220" t="e" cm="1">
        <f t="array" aca="1" ref="AJ35" ca="1">INDEX(_xlfn.SWITCH(Renewables_Electricity_Backend[[#This Row],[Methodology]],"Tier 1",rng_RSD1,"Tier 2",rng_RSD2,"Tier 3",rng_RSD3),MATCH(_xlfn.CONCAT(Renewables_Electricity_Backend[[#This Row],[Level 1]:[Level 6]]),rng_LevelsConcat,0))</f>
        <v>#N/A</v>
      </c>
      <c r="AK35" s="174">
        <f>Renewables_Electricity_Frontend[[#This Row],[Age (years)]]</f>
        <v>0</v>
      </c>
      <c r="AL35" s="174">
        <f>Renewables_Electricity_Frontend[[#This Row],[Availability]]</f>
        <v>0</v>
      </c>
      <c r="AM35" s="174">
        <f>Renewables_Electricity_Frontend[[#This Row],[Total kW capacity]]</f>
        <v>0</v>
      </c>
      <c r="AN35" s="220">
        <f>Renewables_Electricity_Frontend[[#This Row],[Total kWh generated]]</f>
        <v>0</v>
      </c>
      <c r="AO35" s="412">
        <f>Renewables_Electricity_Frontend[[#This Row],[kWh consumed by reporting organisation]]</f>
        <v>0</v>
      </c>
      <c r="AP35" s="412">
        <f>Renewables_Electricity_Frontend[[#This Row],[kWh exported to grid]]</f>
        <v>0</v>
      </c>
      <c r="AQ35" s="412">
        <f>Renewables_Electricity_Frontend[[#This Row],[kWh exported to other PSB]]</f>
        <v>0</v>
      </c>
      <c r="AR35" s="174">
        <f>Renewables_Electricity_Frontend[[#This Row],[Name of other PSB]]</f>
        <v>0</v>
      </c>
      <c r="AS35" s="174">
        <f>Renewables_Electricity_Frontend[[#This Row],[Ease of collection]]</f>
        <v>0</v>
      </c>
      <c r="AT35" s="174">
        <f>Renewables_Electricity_Frontend[[#This Row],[Ease of collection]]</f>
        <v>0</v>
      </c>
      <c r="AU35" s="174">
        <f>Renewables_Electricity_Frontend[[#This Row],[Completeness]]</f>
        <v>0</v>
      </c>
    </row>
    <row r="36" spans="2:47" s="147" customFormat="1" ht="14" x14ac:dyDescent="0.3">
      <c r="B36" s="455"/>
      <c r="E36" s="431"/>
      <c r="F36" s="432"/>
      <c r="G36" s="432"/>
      <c r="H36" s="432"/>
      <c r="I36" s="432"/>
      <c r="J36" s="432"/>
      <c r="K36" s="433"/>
      <c r="L36" s="434"/>
      <c r="M36" s="433"/>
      <c r="N36" s="276">
        <f>Renewables_Electricity_Frontend[[#This Row],[kWh consumed by reporting organisation]]+Renewables_Electricity_Frontend[[#This Row],[kWh exported to grid]]+Renewables_Electricity_Frontend[[#This Row],[kWh exported to other PSB]]</f>
        <v>0</v>
      </c>
      <c r="O36" s="439"/>
      <c r="P36" s="439"/>
      <c r="Q36" s="440"/>
      <c r="R36" s="441"/>
      <c r="S36" s="338"/>
      <c r="T36" s="338"/>
      <c r="U36" s="442"/>
      <c r="V36" s="242">
        <f t="shared" si="1"/>
        <v>11</v>
      </c>
      <c r="Z36" s="212" t="str">
        <f t="shared" si="0"/>
        <v/>
      </c>
      <c r="AA36" s="174" t="s">
        <v>149</v>
      </c>
      <c r="AB36" s="174" t="s">
        <v>149</v>
      </c>
      <c r="AC36" s="174">
        <f>Renewables_Electricity_Frontend[[#This Row],[Renewable Type]]</f>
        <v>0</v>
      </c>
      <c r="AD36" s="174" t="e" cm="1">
        <f t="array" aca="1" ref="AD36" ca="1">_xlfn.XLOOKUP(Renewables_Electricity_Backend[[#This Row],[Level 3]],rng_Level3Long,rng_Level4Long)</f>
        <v>#N/A</v>
      </c>
      <c r="AE36" s="174" t="e" cm="1">
        <f t="array" aca="1" ref="AE36" ca="1">_xlfn.XLOOKUP(Renewables_Electricity_Backend[[#This Row],[Level 3]],rng_Level3Long,rng_Level5Long)</f>
        <v>#N/A</v>
      </c>
      <c r="AF36" s="174" t="e" cm="1">
        <f t="array" aca="1" ref="AF36" ca="1">_xlfn.XLOOKUP(Renewables_Electricity_Backend[[#This Row],[Level 3]],rng_Level3Long,rng_Level6Long)</f>
        <v>#N/A</v>
      </c>
      <c r="AG36" s="174">
        <f>Renewables_Electricity_Frontend[[#This Row],[Generating site name]]</f>
        <v>0</v>
      </c>
      <c r="AH36" s="174"/>
      <c r="AI36" s="174">
        <f>Renewables_Electricity_Frontend[[#This Row],[Methodology used]]</f>
        <v>0</v>
      </c>
      <c r="AJ36" s="220" t="e" cm="1">
        <f t="array" aca="1" ref="AJ36" ca="1">INDEX(_xlfn.SWITCH(Renewables_Electricity_Backend[[#This Row],[Methodology]],"Tier 1",rng_RSD1,"Tier 2",rng_RSD2,"Tier 3",rng_RSD3),MATCH(_xlfn.CONCAT(Renewables_Electricity_Backend[[#This Row],[Level 1]:[Level 6]]),rng_LevelsConcat,0))</f>
        <v>#N/A</v>
      </c>
      <c r="AK36" s="174">
        <f>Renewables_Electricity_Frontend[[#This Row],[Age (years)]]</f>
        <v>0</v>
      </c>
      <c r="AL36" s="174">
        <f>Renewables_Electricity_Frontend[[#This Row],[Availability]]</f>
        <v>0</v>
      </c>
      <c r="AM36" s="174">
        <f>Renewables_Electricity_Frontend[[#This Row],[Total kW capacity]]</f>
        <v>0</v>
      </c>
      <c r="AN36" s="220">
        <f>Renewables_Electricity_Frontend[[#This Row],[Total kWh generated]]</f>
        <v>0</v>
      </c>
      <c r="AO36" s="412">
        <f>Renewables_Electricity_Frontend[[#This Row],[kWh consumed by reporting organisation]]</f>
        <v>0</v>
      </c>
      <c r="AP36" s="412">
        <f>Renewables_Electricity_Frontend[[#This Row],[kWh exported to grid]]</f>
        <v>0</v>
      </c>
      <c r="AQ36" s="412">
        <f>Renewables_Electricity_Frontend[[#This Row],[kWh exported to other PSB]]</f>
        <v>0</v>
      </c>
      <c r="AR36" s="174">
        <f>Renewables_Electricity_Frontend[[#This Row],[Name of other PSB]]</f>
        <v>0</v>
      </c>
      <c r="AS36" s="174">
        <f>Renewables_Electricity_Frontend[[#This Row],[Ease of collection]]</f>
        <v>0</v>
      </c>
      <c r="AT36" s="174">
        <f>Renewables_Electricity_Frontend[[#This Row],[Ease of collection]]</f>
        <v>0</v>
      </c>
      <c r="AU36" s="174">
        <f>Renewables_Electricity_Frontend[[#This Row],[Completeness]]</f>
        <v>0</v>
      </c>
    </row>
    <row r="37" spans="2:47" s="147" customFormat="1" ht="14" x14ac:dyDescent="0.3">
      <c r="B37" s="455"/>
      <c r="E37" s="431"/>
      <c r="F37" s="432"/>
      <c r="G37" s="432"/>
      <c r="H37" s="432"/>
      <c r="I37" s="432"/>
      <c r="J37" s="432"/>
      <c r="K37" s="433"/>
      <c r="L37" s="434"/>
      <c r="M37" s="433"/>
      <c r="N37" s="276">
        <f>Renewables_Electricity_Frontend[[#This Row],[kWh consumed by reporting organisation]]+Renewables_Electricity_Frontend[[#This Row],[kWh exported to grid]]+Renewables_Electricity_Frontend[[#This Row],[kWh exported to other PSB]]</f>
        <v>0</v>
      </c>
      <c r="O37" s="439"/>
      <c r="P37" s="439"/>
      <c r="Q37" s="440"/>
      <c r="R37" s="441"/>
      <c r="S37" s="338"/>
      <c r="T37" s="338"/>
      <c r="U37" s="442"/>
      <c r="V37" s="242">
        <f t="shared" si="1"/>
        <v>11</v>
      </c>
      <c r="Z37" s="212" t="str">
        <f t="shared" si="0"/>
        <v/>
      </c>
      <c r="AA37" s="174" t="s">
        <v>149</v>
      </c>
      <c r="AB37" s="174" t="s">
        <v>149</v>
      </c>
      <c r="AC37" s="174">
        <f>Renewables_Electricity_Frontend[[#This Row],[Renewable Type]]</f>
        <v>0</v>
      </c>
      <c r="AD37" s="174" t="e" cm="1">
        <f t="array" aca="1" ref="AD37" ca="1">_xlfn.XLOOKUP(Renewables_Electricity_Backend[[#This Row],[Level 3]],rng_Level3Long,rng_Level4Long)</f>
        <v>#N/A</v>
      </c>
      <c r="AE37" s="174" t="e" cm="1">
        <f t="array" aca="1" ref="AE37" ca="1">_xlfn.XLOOKUP(Renewables_Electricity_Backend[[#This Row],[Level 3]],rng_Level3Long,rng_Level5Long)</f>
        <v>#N/A</v>
      </c>
      <c r="AF37" s="174" t="e" cm="1">
        <f t="array" aca="1" ref="AF37" ca="1">_xlfn.XLOOKUP(Renewables_Electricity_Backend[[#This Row],[Level 3]],rng_Level3Long,rng_Level6Long)</f>
        <v>#N/A</v>
      </c>
      <c r="AG37" s="174">
        <f>Renewables_Electricity_Frontend[[#This Row],[Generating site name]]</f>
        <v>0</v>
      </c>
      <c r="AH37" s="174"/>
      <c r="AI37" s="174">
        <f>Renewables_Electricity_Frontend[[#This Row],[Methodology used]]</f>
        <v>0</v>
      </c>
      <c r="AJ37" s="220" t="e" cm="1">
        <f t="array" aca="1" ref="AJ37" ca="1">INDEX(_xlfn.SWITCH(Renewables_Electricity_Backend[[#This Row],[Methodology]],"Tier 1",rng_RSD1,"Tier 2",rng_RSD2,"Tier 3",rng_RSD3),MATCH(_xlfn.CONCAT(Renewables_Electricity_Backend[[#This Row],[Level 1]:[Level 6]]),rng_LevelsConcat,0))</f>
        <v>#N/A</v>
      </c>
      <c r="AK37" s="174">
        <f>Renewables_Electricity_Frontend[[#This Row],[Age (years)]]</f>
        <v>0</v>
      </c>
      <c r="AL37" s="174">
        <f>Renewables_Electricity_Frontend[[#This Row],[Availability]]</f>
        <v>0</v>
      </c>
      <c r="AM37" s="174">
        <f>Renewables_Electricity_Frontend[[#This Row],[Total kW capacity]]</f>
        <v>0</v>
      </c>
      <c r="AN37" s="220">
        <f>Renewables_Electricity_Frontend[[#This Row],[Total kWh generated]]</f>
        <v>0</v>
      </c>
      <c r="AO37" s="412">
        <f>Renewables_Electricity_Frontend[[#This Row],[kWh consumed by reporting organisation]]</f>
        <v>0</v>
      </c>
      <c r="AP37" s="412">
        <f>Renewables_Electricity_Frontend[[#This Row],[kWh exported to grid]]</f>
        <v>0</v>
      </c>
      <c r="AQ37" s="412">
        <f>Renewables_Electricity_Frontend[[#This Row],[kWh exported to other PSB]]</f>
        <v>0</v>
      </c>
      <c r="AR37" s="174">
        <f>Renewables_Electricity_Frontend[[#This Row],[Name of other PSB]]</f>
        <v>0</v>
      </c>
      <c r="AS37" s="174">
        <f>Renewables_Electricity_Frontend[[#This Row],[Ease of collection]]</f>
        <v>0</v>
      </c>
      <c r="AT37" s="174">
        <f>Renewables_Electricity_Frontend[[#This Row],[Ease of collection]]</f>
        <v>0</v>
      </c>
      <c r="AU37" s="174">
        <f>Renewables_Electricity_Frontend[[#This Row],[Completeness]]</f>
        <v>0</v>
      </c>
    </row>
    <row r="38" spans="2:47" s="147" customFormat="1" ht="14" x14ac:dyDescent="0.3">
      <c r="B38" s="455"/>
      <c r="E38" s="431"/>
      <c r="F38" s="432"/>
      <c r="G38" s="432"/>
      <c r="H38" s="432"/>
      <c r="I38" s="432"/>
      <c r="J38" s="432"/>
      <c r="K38" s="433"/>
      <c r="L38" s="434"/>
      <c r="M38" s="433"/>
      <c r="N38" s="276">
        <f>Renewables_Electricity_Frontend[[#This Row],[kWh consumed by reporting organisation]]+Renewables_Electricity_Frontend[[#This Row],[kWh exported to grid]]+Renewables_Electricity_Frontend[[#This Row],[kWh exported to other PSB]]</f>
        <v>0</v>
      </c>
      <c r="O38" s="439"/>
      <c r="P38" s="439"/>
      <c r="Q38" s="440"/>
      <c r="R38" s="441"/>
      <c r="S38" s="338"/>
      <c r="T38" s="338"/>
      <c r="U38" s="442"/>
      <c r="V38" s="242">
        <f t="shared" si="1"/>
        <v>11</v>
      </c>
      <c r="Z38" s="212" t="str">
        <f t="shared" si="0"/>
        <v/>
      </c>
      <c r="AA38" s="174" t="s">
        <v>149</v>
      </c>
      <c r="AB38" s="174" t="s">
        <v>149</v>
      </c>
      <c r="AC38" s="174">
        <f>Renewables_Electricity_Frontend[[#This Row],[Renewable Type]]</f>
        <v>0</v>
      </c>
      <c r="AD38" s="174" t="e" cm="1">
        <f t="array" aca="1" ref="AD38" ca="1">_xlfn.XLOOKUP(Renewables_Electricity_Backend[[#This Row],[Level 3]],rng_Level3Long,rng_Level4Long)</f>
        <v>#N/A</v>
      </c>
      <c r="AE38" s="174" t="e" cm="1">
        <f t="array" aca="1" ref="AE38" ca="1">_xlfn.XLOOKUP(Renewables_Electricity_Backend[[#This Row],[Level 3]],rng_Level3Long,rng_Level5Long)</f>
        <v>#N/A</v>
      </c>
      <c r="AF38" s="174" t="e" cm="1">
        <f t="array" aca="1" ref="AF38" ca="1">_xlfn.XLOOKUP(Renewables_Electricity_Backend[[#This Row],[Level 3]],rng_Level3Long,rng_Level6Long)</f>
        <v>#N/A</v>
      </c>
      <c r="AG38" s="174">
        <f>Renewables_Electricity_Frontend[[#This Row],[Generating site name]]</f>
        <v>0</v>
      </c>
      <c r="AH38" s="174"/>
      <c r="AI38" s="174">
        <f>Renewables_Electricity_Frontend[[#This Row],[Methodology used]]</f>
        <v>0</v>
      </c>
      <c r="AJ38" s="220" t="e" cm="1">
        <f t="array" aca="1" ref="AJ38" ca="1">INDEX(_xlfn.SWITCH(Renewables_Electricity_Backend[[#This Row],[Methodology]],"Tier 1",rng_RSD1,"Tier 2",rng_RSD2,"Tier 3",rng_RSD3),MATCH(_xlfn.CONCAT(Renewables_Electricity_Backend[[#This Row],[Level 1]:[Level 6]]),rng_LevelsConcat,0))</f>
        <v>#N/A</v>
      </c>
      <c r="AK38" s="174">
        <f>Renewables_Electricity_Frontend[[#This Row],[Age (years)]]</f>
        <v>0</v>
      </c>
      <c r="AL38" s="174">
        <f>Renewables_Electricity_Frontend[[#This Row],[Availability]]</f>
        <v>0</v>
      </c>
      <c r="AM38" s="174">
        <f>Renewables_Electricity_Frontend[[#This Row],[Total kW capacity]]</f>
        <v>0</v>
      </c>
      <c r="AN38" s="220">
        <f>Renewables_Electricity_Frontend[[#This Row],[Total kWh generated]]</f>
        <v>0</v>
      </c>
      <c r="AO38" s="412">
        <f>Renewables_Electricity_Frontend[[#This Row],[kWh consumed by reporting organisation]]</f>
        <v>0</v>
      </c>
      <c r="AP38" s="412">
        <f>Renewables_Electricity_Frontend[[#This Row],[kWh exported to grid]]</f>
        <v>0</v>
      </c>
      <c r="AQ38" s="412">
        <f>Renewables_Electricity_Frontend[[#This Row],[kWh exported to other PSB]]</f>
        <v>0</v>
      </c>
      <c r="AR38" s="174">
        <f>Renewables_Electricity_Frontend[[#This Row],[Name of other PSB]]</f>
        <v>0</v>
      </c>
      <c r="AS38" s="174">
        <f>Renewables_Electricity_Frontend[[#This Row],[Ease of collection]]</f>
        <v>0</v>
      </c>
      <c r="AT38" s="174">
        <f>Renewables_Electricity_Frontend[[#This Row],[Ease of collection]]</f>
        <v>0</v>
      </c>
      <c r="AU38" s="174">
        <f>Renewables_Electricity_Frontend[[#This Row],[Completeness]]</f>
        <v>0</v>
      </c>
    </row>
    <row r="39" spans="2:47" s="147" customFormat="1" ht="14" x14ac:dyDescent="0.3">
      <c r="B39" s="455"/>
      <c r="E39" s="431"/>
      <c r="F39" s="432"/>
      <c r="G39" s="432"/>
      <c r="H39" s="432"/>
      <c r="I39" s="432"/>
      <c r="J39" s="432"/>
      <c r="K39" s="433"/>
      <c r="L39" s="434"/>
      <c r="M39" s="433"/>
      <c r="N39" s="276">
        <f>Renewables_Electricity_Frontend[[#This Row],[kWh consumed by reporting organisation]]+Renewables_Electricity_Frontend[[#This Row],[kWh exported to grid]]+Renewables_Electricity_Frontend[[#This Row],[kWh exported to other PSB]]</f>
        <v>0</v>
      </c>
      <c r="O39" s="439"/>
      <c r="P39" s="439"/>
      <c r="Q39" s="440"/>
      <c r="R39" s="441"/>
      <c r="S39" s="338"/>
      <c r="T39" s="338"/>
      <c r="U39" s="442"/>
      <c r="V39" s="242">
        <f t="shared" si="1"/>
        <v>11</v>
      </c>
      <c r="Z39" s="212" t="str">
        <f t="shared" si="0"/>
        <v/>
      </c>
      <c r="AA39" s="174" t="s">
        <v>149</v>
      </c>
      <c r="AB39" s="174" t="s">
        <v>149</v>
      </c>
      <c r="AC39" s="174">
        <f>Renewables_Electricity_Frontend[[#This Row],[Renewable Type]]</f>
        <v>0</v>
      </c>
      <c r="AD39" s="174" t="e" cm="1">
        <f t="array" aca="1" ref="AD39" ca="1">_xlfn.XLOOKUP(Renewables_Electricity_Backend[[#This Row],[Level 3]],rng_Level3Long,rng_Level4Long)</f>
        <v>#N/A</v>
      </c>
      <c r="AE39" s="174" t="e" cm="1">
        <f t="array" aca="1" ref="AE39" ca="1">_xlfn.XLOOKUP(Renewables_Electricity_Backend[[#This Row],[Level 3]],rng_Level3Long,rng_Level5Long)</f>
        <v>#N/A</v>
      </c>
      <c r="AF39" s="174" t="e" cm="1">
        <f t="array" aca="1" ref="AF39" ca="1">_xlfn.XLOOKUP(Renewables_Electricity_Backend[[#This Row],[Level 3]],rng_Level3Long,rng_Level6Long)</f>
        <v>#N/A</v>
      </c>
      <c r="AG39" s="174">
        <f>Renewables_Electricity_Frontend[[#This Row],[Generating site name]]</f>
        <v>0</v>
      </c>
      <c r="AH39" s="174"/>
      <c r="AI39" s="174">
        <f>Renewables_Electricity_Frontend[[#This Row],[Methodology used]]</f>
        <v>0</v>
      </c>
      <c r="AJ39" s="220" t="e" cm="1">
        <f t="array" aca="1" ref="AJ39" ca="1">INDEX(_xlfn.SWITCH(Renewables_Electricity_Backend[[#This Row],[Methodology]],"Tier 1",rng_RSD1,"Tier 2",rng_RSD2,"Tier 3",rng_RSD3),MATCH(_xlfn.CONCAT(Renewables_Electricity_Backend[[#This Row],[Level 1]:[Level 6]]),rng_LevelsConcat,0))</f>
        <v>#N/A</v>
      </c>
      <c r="AK39" s="174">
        <f>Renewables_Electricity_Frontend[[#This Row],[Age (years)]]</f>
        <v>0</v>
      </c>
      <c r="AL39" s="174">
        <f>Renewables_Electricity_Frontend[[#This Row],[Availability]]</f>
        <v>0</v>
      </c>
      <c r="AM39" s="174">
        <f>Renewables_Electricity_Frontend[[#This Row],[Total kW capacity]]</f>
        <v>0</v>
      </c>
      <c r="AN39" s="220">
        <f>Renewables_Electricity_Frontend[[#This Row],[Total kWh generated]]</f>
        <v>0</v>
      </c>
      <c r="AO39" s="412">
        <f>Renewables_Electricity_Frontend[[#This Row],[kWh consumed by reporting organisation]]</f>
        <v>0</v>
      </c>
      <c r="AP39" s="412">
        <f>Renewables_Electricity_Frontend[[#This Row],[kWh exported to grid]]</f>
        <v>0</v>
      </c>
      <c r="AQ39" s="412">
        <f>Renewables_Electricity_Frontend[[#This Row],[kWh exported to other PSB]]</f>
        <v>0</v>
      </c>
      <c r="AR39" s="174">
        <f>Renewables_Electricity_Frontend[[#This Row],[Name of other PSB]]</f>
        <v>0</v>
      </c>
      <c r="AS39" s="174">
        <f>Renewables_Electricity_Frontend[[#This Row],[Ease of collection]]</f>
        <v>0</v>
      </c>
      <c r="AT39" s="174">
        <f>Renewables_Electricity_Frontend[[#This Row],[Ease of collection]]</f>
        <v>0</v>
      </c>
      <c r="AU39" s="174">
        <f>Renewables_Electricity_Frontend[[#This Row],[Completeness]]</f>
        <v>0</v>
      </c>
    </row>
    <row r="40" spans="2:47" s="147" customFormat="1" ht="14" x14ac:dyDescent="0.3">
      <c r="B40" s="455"/>
      <c r="E40" s="431"/>
      <c r="F40" s="432"/>
      <c r="G40" s="432"/>
      <c r="H40" s="432"/>
      <c r="I40" s="432"/>
      <c r="J40" s="432"/>
      <c r="K40" s="433"/>
      <c r="L40" s="434"/>
      <c r="M40" s="433"/>
      <c r="N40" s="276">
        <f>Renewables_Electricity_Frontend[[#This Row],[kWh consumed by reporting organisation]]+Renewables_Electricity_Frontend[[#This Row],[kWh exported to grid]]+Renewables_Electricity_Frontend[[#This Row],[kWh exported to other PSB]]</f>
        <v>0</v>
      </c>
      <c r="O40" s="439"/>
      <c r="P40" s="439"/>
      <c r="Q40" s="440"/>
      <c r="R40" s="441"/>
      <c r="S40" s="338"/>
      <c r="T40" s="338"/>
      <c r="U40" s="442"/>
      <c r="V40" s="242">
        <f t="shared" si="1"/>
        <v>11</v>
      </c>
      <c r="Z40" s="212" t="str">
        <f t="shared" si="0"/>
        <v/>
      </c>
      <c r="AA40" s="174" t="s">
        <v>149</v>
      </c>
      <c r="AB40" s="174" t="s">
        <v>149</v>
      </c>
      <c r="AC40" s="174">
        <f>Renewables_Electricity_Frontend[[#This Row],[Renewable Type]]</f>
        <v>0</v>
      </c>
      <c r="AD40" s="174" t="e" cm="1">
        <f t="array" aca="1" ref="AD40" ca="1">_xlfn.XLOOKUP(Renewables_Electricity_Backend[[#This Row],[Level 3]],rng_Level3Long,rng_Level4Long)</f>
        <v>#N/A</v>
      </c>
      <c r="AE40" s="174" t="e" cm="1">
        <f t="array" aca="1" ref="AE40" ca="1">_xlfn.XLOOKUP(Renewables_Electricity_Backend[[#This Row],[Level 3]],rng_Level3Long,rng_Level5Long)</f>
        <v>#N/A</v>
      </c>
      <c r="AF40" s="174" t="e" cm="1">
        <f t="array" aca="1" ref="AF40" ca="1">_xlfn.XLOOKUP(Renewables_Electricity_Backend[[#This Row],[Level 3]],rng_Level3Long,rng_Level6Long)</f>
        <v>#N/A</v>
      </c>
      <c r="AG40" s="174">
        <f>Renewables_Electricity_Frontend[[#This Row],[Generating site name]]</f>
        <v>0</v>
      </c>
      <c r="AH40" s="174"/>
      <c r="AI40" s="174">
        <f>Renewables_Electricity_Frontend[[#This Row],[Methodology used]]</f>
        <v>0</v>
      </c>
      <c r="AJ40" s="220" t="e" cm="1">
        <f t="array" aca="1" ref="AJ40" ca="1">INDEX(_xlfn.SWITCH(Renewables_Electricity_Backend[[#This Row],[Methodology]],"Tier 1",rng_RSD1,"Tier 2",rng_RSD2,"Tier 3",rng_RSD3),MATCH(_xlfn.CONCAT(Renewables_Electricity_Backend[[#This Row],[Level 1]:[Level 6]]),rng_LevelsConcat,0))</f>
        <v>#N/A</v>
      </c>
      <c r="AK40" s="174">
        <f>Renewables_Electricity_Frontend[[#This Row],[Age (years)]]</f>
        <v>0</v>
      </c>
      <c r="AL40" s="174">
        <f>Renewables_Electricity_Frontend[[#This Row],[Availability]]</f>
        <v>0</v>
      </c>
      <c r="AM40" s="174">
        <f>Renewables_Electricity_Frontend[[#This Row],[Total kW capacity]]</f>
        <v>0</v>
      </c>
      <c r="AN40" s="220">
        <f>Renewables_Electricity_Frontend[[#This Row],[Total kWh generated]]</f>
        <v>0</v>
      </c>
      <c r="AO40" s="412">
        <f>Renewables_Electricity_Frontend[[#This Row],[kWh consumed by reporting organisation]]</f>
        <v>0</v>
      </c>
      <c r="AP40" s="412">
        <f>Renewables_Electricity_Frontend[[#This Row],[kWh exported to grid]]</f>
        <v>0</v>
      </c>
      <c r="AQ40" s="412">
        <f>Renewables_Electricity_Frontend[[#This Row],[kWh exported to other PSB]]</f>
        <v>0</v>
      </c>
      <c r="AR40" s="174">
        <f>Renewables_Electricity_Frontend[[#This Row],[Name of other PSB]]</f>
        <v>0</v>
      </c>
      <c r="AS40" s="174">
        <f>Renewables_Electricity_Frontend[[#This Row],[Ease of collection]]</f>
        <v>0</v>
      </c>
      <c r="AT40" s="174">
        <f>Renewables_Electricity_Frontend[[#This Row],[Ease of collection]]</f>
        <v>0</v>
      </c>
      <c r="AU40" s="174">
        <f>Renewables_Electricity_Frontend[[#This Row],[Completeness]]</f>
        <v>0</v>
      </c>
    </row>
    <row r="41" spans="2:47" s="147" customFormat="1" ht="14" x14ac:dyDescent="0.3">
      <c r="B41" s="455"/>
      <c r="E41" s="431"/>
      <c r="F41" s="432"/>
      <c r="G41" s="432"/>
      <c r="H41" s="432"/>
      <c r="I41" s="432"/>
      <c r="J41" s="432"/>
      <c r="K41" s="433"/>
      <c r="L41" s="434"/>
      <c r="M41" s="433"/>
      <c r="N41" s="276">
        <f>Renewables_Electricity_Frontend[[#This Row],[kWh consumed by reporting organisation]]+Renewables_Electricity_Frontend[[#This Row],[kWh exported to grid]]+Renewables_Electricity_Frontend[[#This Row],[kWh exported to other PSB]]</f>
        <v>0</v>
      </c>
      <c r="O41" s="439"/>
      <c r="P41" s="439"/>
      <c r="Q41" s="440"/>
      <c r="R41" s="441"/>
      <c r="S41" s="338"/>
      <c r="T41" s="338"/>
      <c r="U41" s="442"/>
      <c r="V41" s="242">
        <f t="shared" si="1"/>
        <v>11</v>
      </c>
      <c r="Z41" s="212" t="str">
        <f t="shared" si="0"/>
        <v/>
      </c>
      <c r="AA41" s="174" t="s">
        <v>149</v>
      </c>
      <c r="AB41" s="174" t="s">
        <v>149</v>
      </c>
      <c r="AC41" s="174">
        <f>Renewables_Electricity_Frontend[[#This Row],[Renewable Type]]</f>
        <v>0</v>
      </c>
      <c r="AD41" s="174" t="e" cm="1">
        <f t="array" aca="1" ref="AD41" ca="1">_xlfn.XLOOKUP(Renewables_Electricity_Backend[[#This Row],[Level 3]],rng_Level3Long,rng_Level4Long)</f>
        <v>#N/A</v>
      </c>
      <c r="AE41" s="174" t="e" cm="1">
        <f t="array" aca="1" ref="AE41" ca="1">_xlfn.XLOOKUP(Renewables_Electricity_Backend[[#This Row],[Level 3]],rng_Level3Long,rng_Level5Long)</f>
        <v>#N/A</v>
      </c>
      <c r="AF41" s="174" t="e" cm="1">
        <f t="array" aca="1" ref="AF41" ca="1">_xlfn.XLOOKUP(Renewables_Electricity_Backend[[#This Row],[Level 3]],rng_Level3Long,rng_Level6Long)</f>
        <v>#N/A</v>
      </c>
      <c r="AG41" s="174">
        <f>Renewables_Electricity_Frontend[[#This Row],[Generating site name]]</f>
        <v>0</v>
      </c>
      <c r="AH41" s="174"/>
      <c r="AI41" s="174">
        <f>Renewables_Electricity_Frontend[[#This Row],[Methodology used]]</f>
        <v>0</v>
      </c>
      <c r="AJ41" s="220" t="e" cm="1">
        <f t="array" aca="1" ref="AJ41" ca="1">INDEX(_xlfn.SWITCH(Renewables_Electricity_Backend[[#This Row],[Methodology]],"Tier 1",rng_RSD1,"Tier 2",rng_RSD2,"Tier 3",rng_RSD3),MATCH(_xlfn.CONCAT(Renewables_Electricity_Backend[[#This Row],[Level 1]:[Level 6]]),rng_LevelsConcat,0))</f>
        <v>#N/A</v>
      </c>
      <c r="AK41" s="174">
        <f>Renewables_Electricity_Frontend[[#This Row],[Age (years)]]</f>
        <v>0</v>
      </c>
      <c r="AL41" s="174">
        <f>Renewables_Electricity_Frontend[[#This Row],[Availability]]</f>
        <v>0</v>
      </c>
      <c r="AM41" s="174">
        <f>Renewables_Electricity_Frontend[[#This Row],[Total kW capacity]]</f>
        <v>0</v>
      </c>
      <c r="AN41" s="220">
        <f>Renewables_Electricity_Frontend[[#This Row],[Total kWh generated]]</f>
        <v>0</v>
      </c>
      <c r="AO41" s="412">
        <f>Renewables_Electricity_Frontend[[#This Row],[kWh consumed by reporting organisation]]</f>
        <v>0</v>
      </c>
      <c r="AP41" s="412">
        <f>Renewables_Electricity_Frontend[[#This Row],[kWh exported to grid]]</f>
        <v>0</v>
      </c>
      <c r="AQ41" s="412">
        <f>Renewables_Electricity_Frontend[[#This Row],[kWh exported to other PSB]]</f>
        <v>0</v>
      </c>
      <c r="AR41" s="174">
        <f>Renewables_Electricity_Frontend[[#This Row],[Name of other PSB]]</f>
        <v>0</v>
      </c>
      <c r="AS41" s="174">
        <f>Renewables_Electricity_Frontend[[#This Row],[Ease of collection]]</f>
        <v>0</v>
      </c>
      <c r="AT41" s="174">
        <f>Renewables_Electricity_Frontend[[#This Row],[Ease of collection]]</f>
        <v>0</v>
      </c>
      <c r="AU41" s="174">
        <f>Renewables_Electricity_Frontend[[#This Row],[Completeness]]</f>
        <v>0</v>
      </c>
    </row>
    <row r="42" spans="2:47" s="147" customFormat="1" ht="14" x14ac:dyDescent="0.3">
      <c r="B42" s="455"/>
      <c r="E42" s="431"/>
      <c r="F42" s="432"/>
      <c r="G42" s="432"/>
      <c r="H42" s="432"/>
      <c r="I42" s="432"/>
      <c r="J42" s="432"/>
      <c r="K42" s="433"/>
      <c r="L42" s="434"/>
      <c r="M42" s="433"/>
      <c r="N42" s="276">
        <f>Renewables_Electricity_Frontend[[#This Row],[kWh consumed by reporting organisation]]+Renewables_Electricity_Frontend[[#This Row],[kWh exported to grid]]+Renewables_Electricity_Frontend[[#This Row],[kWh exported to other PSB]]</f>
        <v>0</v>
      </c>
      <c r="O42" s="439"/>
      <c r="P42" s="439"/>
      <c r="Q42" s="440"/>
      <c r="R42" s="441"/>
      <c r="S42" s="338"/>
      <c r="T42" s="338"/>
      <c r="U42" s="442"/>
      <c r="V42" s="242">
        <f t="shared" si="1"/>
        <v>11</v>
      </c>
      <c r="Z42" s="212" t="str">
        <f t="shared" si="0"/>
        <v/>
      </c>
      <c r="AA42" s="174" t="s">
        <v>149</v>
      </c>
      <c r="AB42" s="174" t="s">
        <v>149</v>
      </c>
      <c r="AC42" s="174">
        <f>Renewables_Electricity_Frontend[[#This Row],[Renewable Type]]</f>
        <v>0</v>
      </c>
      <c r="AD42" s="174" t="e" cm="1">
        <f t="array" aca="1" ref="AD42" ca="1">_xlfn.XLOOKUP(Renewables_Electricity_Backend[[#This Row],[Level 3]],rng_Level3Long,rng_Level4Long)</f>
        <v>#N/A</v>
      </c>
      <c r="AE42" s="174" t="e" cm="1">
        <f t="array" aca="1" ref="AE42" ca="1">_xlfn.XLOOKUP(Renewables_Electricity_Backend[[#This Row],[Level 3]],rng_Level3Long,rng_Level5Long)</f>
        <v>#N/A</v>
      </c>
      <c r="AF42" s="174" t="e" cm="1">
        <f t="array" aca="1" ref="AF42" ca="1">_xlfn.XLOOKUP(Renewables_Electricity_Backend[[#This Row],[Level 3]],rng_Level3Long,rng_Level6Long)</f>
        <v>#N/A</v>
      </c>
      <c r="AG42" s="174">
        <f>Renewables_Electricity_Frontend[[#This Row],[Generating site name]]</f>
        <v>0</v>
      </c>
      <c r="AH42" s="174"/>
      <c r="AI42" s="174">
        <f>Renewables_Electricity_Frontend[[#This Row],[Methodology used]]</f>
        <v>0</v>
      </c>
      <c r="AJ42" s="220" t="e" cm="1">
        <f t="array" aca="1" ref="AJ42" ca="1">INDEX(_xlfn.SWITCH(Renewables_Electricity_Backend[[#This Row],[Methodology]],"Tier 1",rng_RSD1,"Tier 2",rng_RSD2,"Tier 3",rng_RSD3),MATCH(_xlfn.CONCAT(Renewables_Electricity_Backend[[#This Row],[Level 1]:[Level 6]]),rng_LevelsConcat,0))</f>
        <v>#N/A</v>
      </c>
      <c r="AK42" s="174">
        <f>Renewables_Electricity_Frontend[[#This Row],[Age (years)]]</f>
        <v>0</v>
      </c>
      <c r="AL42" s="174">
        <f>Renewables_Electricity_Frontend[[#This Row],[Availability]]</f>
        <v>0</v>
      </c>
      <c r="AM42" s="174">
        <f>Renewables_Electricity_Frontend[[#This Row],[Total kW capacity]]</f>
        <v>0</v>
      </c>
      <c r="AN42" s="220">
        <f>Renewables_Electricity_Frontend[[#This Row],[Total kWh generated]]</f>
        <v>0</v>
      </c>
      <c r="AO42" s="412">
        <f>Renewables_Electricity_Frontend[[#This Row],[kWh consumed by reporting organisation]]</f>
        <v>0</v>
      </c>
      <c r="AP42" s="412">
        <f>Renewables_Electricity_Frontend[[#This Row],[kWh exported to grid]]</f>
        <v>0</v>
      </c>
      <c r="AQ42" s="412">
        <f>Renewables_Electricity_Frontend[[#This Row],[kWh exported to other PSB]]</f>
        <v>0</v>
      </c>
      <c r="AR42" s="174">
        <f>Renewables_Electricity_Frontend[[#This Row],[Name of other PSB]]</f>
        <v>0</v>
      </c>
      <c r="AS42" s="174">
        <f>Renewables_Electricity_Frontend[[#This Row],[Ease of collection]]</f>
        <v>0</v>
      </c>
      <c r="AT42" s="174">
        <f>Renewables_Electricity_Frontend[[#This Row],[Ease of collection]]</f>
        <v>0</v>
      </c>
      <c r="AU42" s="174">
        <f>Renewables_Electricity_Frontend[[#This Row],[Completeness]]</f>
        <v>0</v>
      </c>
    </row>
    <row r="43" spans="2:47" s="147" customFormat="1" ht="14" x14ac:dyDescent="0.3">
      <c r="B43" s="455"/>
      <c r="E43" s="431"/>
      <c r="F43" s="432"/>
      <c r="G43" s="432"/>
      <c r="H43" s="432"/>
      <c r="I43" s="432"/>
      <c r="J43" s="432"/>
      <c r="K43" s="433"/>
      <c r="L43" s="434"/>
      <c r="M43" s="433"/>
      <c r="N43" s="276">
        <f>Renewables_Electricity_Frontend[[#This Row],[kWh consumed by reporting organisation]]+Renewables_Electricity_Frontend[[#This Row],[kWh exported to grid]]+Renewables_Electricity_Frontend[[#This Row],[kWh exported to other PSB]]</f>
        <v>0</v>
      </c>
      <c r="O43" s="439"/>
      <c r="P43" s="439"/>
      <c r="Q43" s="440"/>
      <c r="R43" s="441"/>
      <c r="S43" s="338"/>
      <c r="T43" s="338"/>
      <c r="U43" s="442"/>
      <c r="V43" s="242">
        <f t="shared" si="1"/>
        <v>11</v>
      </c>
      <c r="Z43" s="212" t="str">
        <f t="shared" si="0"/>
        <v/>
      </c>
      <c r="AA43" s="174" t="s">
        <v>149</v>
      </c>
      <c r="AB43" s="174" t="s">
        <v>149</v>
      </c>
      <c r="AC43" s="174">
        <f>Renewables_Electricity_Frontend[[#This Row],[Renewable Type]]</f>
        <v>0</v>
      </c>
      <c r="AD43" s="174" t="e" cm="1">
        <f t="array" aca="1" ref="AD43" ca="1">_xlfn.XLOOKUP(Renewables_Electricity_Backend[[#This Row],[Level 3]],rng_Level3Long,rng_Level4Long)</f>
        <v>#N/A</v>
      </c>
      <c r="AE43" s="174" t="e" cm="1">
        <f t="array" aca="1" ref="AE43" ca="1">_xlfn.XLOOKUP(Renewables_Electricity_Backend[[#This Row],[Level 3]],rng_Level3Long,rng_Level5Long)</f>
        <v>#N/A</v>
      </c>
      <c r="AF43" s="174" t="e" cm="1">
        <f t="array" aca="1" ref="AF43" ca="1">_xlfn.XLOOKUP(Renewables_Electricity_Backend[[#This Row],[Level 3]],rng_Level3Long,rng_Level6Long)</f>
        <v>#N/A</v>
      </c>
      <c r="AG43" s="174">
        <f>Renewables_Electricity_Frontend[[#This Row],[Generating site name]]</f>
        <v>0</v>
      </c>
      <c r="AH43" s="174"/>
      <c r="AI43" s="174">
        <f>Renewables_Electricity_Frontend[[#This Row],[Methodology used]]</f>
        <v>0</v>
      </c>
      <c r="AJ43" s="220" t="e" cm="1">
        <f t="array" aca="1" ref="AJ43" ca="1">INDEX(_xlfn.SWITCH(Renewables_Electricity_Backend[[#This Row],[Methodology]],"Tier 1",rng_RSD1,"Tier 2",rng_RSD2,"Tier 3",rng_RSD3),MATCH(_xlfn.CONCAT(Renewables_Electricity_Backend[[#This Row],[Level 1]:[Level 6]]),rng_LevelsConcat,0))</f>
        <v>#N/A</v>
      </c>
      <c r="AK43" s="174">
        <f>Renewables_Electricity_Frontend[[#This Row],[Age (years)]]</f>
        <v>0</v>
      </c>
      <c r="AL43" s="174">
        <f>Renewables_Electricity_Frontend[[#This Row],[Availability]]</f>
        <v>0</v>
      </c>
      <c r="AM43" s="174">
        <f>Renewables_Electricity_Frontend[[#This Row],[Total kW capacity]]</f>
        <v>0</v>
      </c>
      <c r="AN43" s="220">
        <f>Renewables_Electricity_Frontend[[#This Row],[Total kWh generated]]</f>
        <v>0</v>
      </c>
      <c r="AO43" s="412">
        <f>Renewables_Electricity_Frontend[[#This Row],[kWh consumed by reporting organisation]]</f>
        <v>0</v>
      </c>
      <c r="AP43" s="412">
        <f>Renewables_Electricity_Frontend[[#This Row],[kWh exported to grid]]</f>
        <v>0</v>
      </c>
      <c r="AQ43" s="412">
        <f>Renewables_Electricity_Frontend[[#This Row],[kWh exported to other PSB]]</f>
        <v>0</v>
      </c>
      <c r="AR43" s="174">
        <f>Renewables_Electricity_Frontend[[#This Row],[Name of other PSB]]</f>
        <v>0</v>
      </c>
      <c r="AS43" s="174">
        <f>Renewables_Electricity_Frontend[[#This Row],[Ease of collection]]</f>
        <v>0</v>
      </c>
      <c r="AT43" s="174">
        <f>Renewables_Electricity_Frontend[[#This Row],[Ease of collection]]</f>
        <v>0</v>
      </c>
      <c r="AU43" s="174">
        <f>Renewables_Electricity_Frontend[[#This Row],[Completeness]]</f>
        <v>0</v>
      </c>
    </row>
    <row r="44" spans="2:47" s="147" customFormat="1" ht="14" x14ac:dyDescent="0.3">
      <c r="B44" s="455"/>
      <c r="E44" s="431"/>
      <c r="F44" s="432"/>
      <c r="G44" s="432"/>
      <c r="H44" s="432"/>
      <c r="I44" s="432"/>
      <c r="J44" s="432"/>
      <c r="K44" s="433"/>
      <c r="L44" s="434"/>
      <c r="M44" s="433"/>
      <c r="N44" s="276">
        <f>Renewables_Electricity_Frontend[[#This Row],[kWh consumed by reporting organisation]]+Renewables_Electricity_Frontend[[#This Row],[kWh exported to grid]]+Renewables_Electricity_Frontend[[#This Row],[kWh exported to other PSB]]</f>
        <v>0</v>
      </c>
      <c r="O44" s="439"/>
      <c r="P44" s="439"/>
      <c r="Q44" s="440"/>
      <c r="R44" s="441"/>
      <c r="S44" s="338"/>
      <c r="T44" s="338"/>
      <c r="U44" s="442"/>
      <c r="V44" s="242">
        <f t="shared" si="1"/>
        <v>11</v>
      </c>
      <c r="Z44" s="212" t="str">
        <f t="shared" si="0"/>
        <v/>
      </c>
      <c r="AA44" s="174" t="s">
        <v>149</v>
      </c>
      <c r="AB44" s="174" t="s">
        <v>149</v>
      </c>
      <c r="AC44" s="174">
        <f>Renewables_Electricity_Frontend[[#This Row],[Renewable Type]]</f>
        <v>0</v>
      </c>
      <c r="AD44" s="174" t="e" cm="1">
        <f t="array" aca="1" ref="AD44" ca="1">_xlfn.XLOOKUP(Renewables_Electricity_Backend[[#This Row],[Level 3]],rng_Level3Long,rng_Level4Long)</f>
        <v>#N/A</v>
      </c>
      <c r="AE44" s="174" t="e" cm="1">
        <f t="array" aca="1" ref="AE44" ca="1">_xlfn.XLOOKUP(Renewables_Electricity_Backend[[#This Row],[Level 3]],rng_Level3Long,rng_Level5Long)</f>
        <v>#N/A</v>
      </c>
      <c r="AF44" s="174" t="e" cm="1">
        <f t="array" aca="1" ref="AF44" ca="1">_xlfn.XLOOKUP(Renewables_Electricity_Backend[[#This Row],[Level 3]],rng_Level3Long,rng_Level6Long)</f>
        <v>#N/A</v>
      </c>
      <c r="AG44" s="174">
        <f>Renewables_Electricity_Frontend[[#This Row],[Generating site name]]</f>
        <v>0</v>
      </c>
      <c r="AH44" s="174"/>
      <c r="AI44" s="174">
        <f>Renewables_Electricity_Frontend[[#This Row],[Methodology used]]</f>
        <v>0</v>
      </c>
      <c r="AJ44" s="220" t="e" cm="1">
        <f t="array" aca="1" ref="AJ44" ca="1">INDEX(_xlfn.SWITCH(Renewables_Electricity_Backend[[#This Row],[Methodology]],"Tier 1",rng_RSD1,"Tier 2",rng_RSD2,"Tier 3",rng_RSD3),MATCH(_xlfn.CONCAT(Renewables_Electricity_Backend[[#This Row],[Level 1]:[Level 6]]),rng_LevelsConcat,0))</f>
        <v>#N/A</v>
      </c>
      <c r="AK44" s="174">
        <f>Renewables_Electricity_Frontend[[#This Row],[Age (years)]]</f>
        <v>0</v>
      </c>
      <c r="AL44" s="174">
        <f>Renewables_Electricity_Frontend[[#This Row],[Availability]]</f>
        <v>0</v>
      </c>
      <c r="AM44" s="174">
        <f>Renewables_Electricity_Frontend[[#This Row],[Total kW capacity]]</f>
        <v>0</v>
      </c>
      <c r="AN44" s="220">
        <f>Renewables_Electricity_Frontend[[#This Row],[Total kWh generated]]</f>
        <v>0</v>
      </c>
      <c r="AO44" s="412">
        <f>Renewables_Electricity_Frontend[[#This Row],[kWh consumed by reporting organisation]]</f>
        <v>0</v>
      </c>
      <c r="AP44" s="412">
        <f>Renewables_Electricity_Frontend[[#This Row],[kWh exported to grid]]</f>
        <v>0</v>
      </c>
      <c r="AQ44" s="412">
        <f>Renewables_Electricity_Frontend[[#This Row],[kWh exported to other PSB]]</f>
        <v>0</v>
      </c>
      <c r="AR44" s="174">
        <f>Renewables_Electricity_Frontend[[#This Row],[Name of other PSB]]</f>
        <v>0</v>
      </c>
      <c r="AS44" s="174">
        <f>Renewables_Electricity_Frontend[[#This Row],[Ease of collection]]</f>
        <v>0</v>
      </c>
      <c r="AT44" s="174">
        <f>Renewables_Electricity_Frontend[[#This Row],[Ease of collection]]</f>
        <v>0</v>
      </c>
      <c r="AU44" s="174">
        <f>Renewables_Electricity_Frontend[[#This Row],[Completeness]]</f>
        <v>0</v>
      </c>
    </row>
    <row r="45" spans="2:47" s="147" customFormat="1" ht="14" x14ac:dyDescent="0.3">
      <c r="B45" s="455"/>
      <c r="E45" s="431"/>
      <c r="F45" s="432"/>
      <c r="G45" s="432"/>
      <c r="H45" s="432"/>
      <c r="I45" s="432"/>
      <c r="J45" s="432"/>
      <c r="K45" s="433"/>
      <c r="L45" s="434"/>
      <c r="M45" s="433"/>
      <c r="N45" s="276">
        <f>Renewables_Electricity_Frontend[[#This Row],[kWh consumed by reporting organisation]]+Renewables_Electricity_Frontend[[#This Row],[kWh exported to grid]]+Renewables_Electricity_Frontend[[#This Row],[kWh exported to other PSB]]</f>
        <v>0</v>
      </c>
      <c r="O45" s="439"/>
      <c r="P45" s="439"/>
      <c r="Q45" s="440"/>
      <c r="R45" s="441"/>
      <c r="S45" s="338"/>
      <c r="T45" s="338"/>
      <c r="U45" s="442"/>
      <c r="V45" s="242">
        <f t="shared" si="1"/>
        <v>11</v>
      </c>
      <c r="Z45" s="212" t="str">
        <f t="shared" si="0"/>
        <v/>
      </c>
      <c r="AA45" s="174" t="s">
        <v>149</v>
      </c>
      <c r="AB45" s="174" t="s">
        <v>149</v>
      </c>
      <c r="AC45" s="174">
        <f>Renewables_Electricity_Frontend[[#This Row],[Renewable Type]]</f>
        <v>0</v>
      </c>
      <c r="AD45" s="174" t="e" cm="1">
        <f t="array" aca="1" ref="AD45" ca="1">_xlfn.XLOOKUP(Renewables_Electricity_Backend[[#This Row],[Level 3]],rng_Level3Long,rng_Level4Long)</f>
        <v>#N/A</v>
      </c>
      <c r="AE45" s="174" t="e" cm="1">
        <f t="array" aca="1" ref="AE45" ca="1">_xlfn.XLOOKUP(Renewables_Electricity_Backend[[#This Row],[Level 3]],rng_Level3Long,rng_Level5Long)</f>
        <v>#N/A</v>
      </c>
      <c r="AF45" s="174" t="e" cm="1">
        <f t="array" aca="1" ref="AF45" ca="1">_xlfn.XLOOKUP(Renewables_Electricity_Backend[[#This Row],[Level 3]],rng_Level3Long,rng_Level6Long)</f>
        <v>#N/A</v>
      </c>
      <c r="AG45" s="174">
        <f>Renewables_Electricity_Frontend[[#This Row],[Generating site name]]</f>
        <v>0</v>
      </c>
      <c r="AH45" s="174"/>
      <c r="AI45" s="174">
        <f>Renewables_Electricity_Frontend[[#This Row],[Methodology used]]</f>
        <v>0</v>
      </c>
      <c r="AJ45" s="220" t="e" cm="1">
        <f t="array" aca="1" ref="AJ45" ca="1">INDEX(_xlfn.SWITCH(Renewables_Electricity_Backend[[#This Row],[Methodology]],"Tier 1",rng_RSD1,"Tier 2",rng_RSD2,"Tier 3",rng_RSD3),MATCH(_xlfn.CONCAT(Renewables_Electricity_Backend[[#This Row],[Level 1]:[Level 6]]),rng_LevelsConcat,0))</f>
        <v>#N/A</v>
      </c>
      <c r="AK45" s="174">
        <f>Renewables_Electricity_Frontend[[#This Row],[Age (years)]]</f>
        <v>0</v>
      </c>
      <c r="AL45" s="174">
        <f>Renewables_Electricity_Frontend[[#This Row],[Availability]]</f>
        <v>0</v>
      </c>
      <c r="AM45" s="174">
        <f>Renewables_Electricity_Frontend[[#This Row],[Total kW capacity]]</f>
        <v>0</v>
      </c>
      <c r="AN45" s="220">
        <f>Renewables_Electricity_Frontend[[#This Row],[Total kWh generated]]</f>
        <v>0</v>
      </c>
      <c r="AO45" s="412">
        <f>Renewables_Electricity_Frontend[[#This Row],[kWh consumed by reporting organisation]]</f>
        <v>0</v>
      </c>
      <c r="AP45" s="412">
        <f>Renewables_Electricity_Frontend[[#This Row],[kWh exported to grid]]</f>
        <v>0</v>
      </c>
      <c r="AQ45" s="412">
        <f>Renewables_Electricity_Frontend[[#This Row],[kWh exported to other PSB]]</f>
        <v>0</v>
      </c>
      <c r="AR45" s="174">
        <f>Renewables_Electricity_Frontend[[#This Row],[Name of other PSB]]</f>
        <v>0</v>
      </c>
      <c r="AS45" s="174">
        <f>Renewables_Electricity_Frontend[[#This Row],[Ease of collection]]</f>
        <v>0</v>
      </c>
      <c r="AT45" s="174">
        <f>Renewables_Electricity_Frontend[[#This Row],[Ease of collection]]</f>
        <v>0</v>
      </c>
      <c r="AU45" s="174">
        <f>Renewables_Electricity_Frontend[[#This Row],[Completeness]]</f>
        <v>0</v>
      </c>
    </row>
    <row r="46" spans="2:47" s="147" customFormat="1" ht="14" x14ac:dyDescent="0.3">
      <c r="B46" s="455"/>
      <c r="E46" s="431"/>
      <c r="F46" s="432"/>
      <c r="G46" s="432"/>
      <c r="H46" s="432"/>
      <c r="I46" s="432"/>
      <c r="J46" s="432"/>
      <c r="K46" s="433"/>
      <c r="L46" s="434"/>
      <c r="M46" s="433"/>
      <c r="N46" s="276">
        <f>Renewables_Electricity_Frontend[[#This Row],[kWh consumed by reporting organisation]]+Renewables_Electricity_Frontend[[#This Row],[kWh exported to grid]]+Renewables_Electricity_Frontend[[#This Row],[kWh exported to other PSB]]</f>
        <v>0</v>
      </c>
      <c r="O46" s="439"/>
      <c r="P46" s="439"/>
      <c r="Q46" s="440"/>
      <c r="R46" s="441"/>
      <c r="S46" s="338"/>
      <c r="T46" s="338"/>
      <c r="U46" s="442"/>
      <c r="V46" s="242">
        <f t="shared" si="1"/>
        <v>11</v>
      </c>
      <c r="Z46" s="212" t="str">
        <f t="shared" si="0"/>
        <v/>
      </c>
      <c r="AA46" s="174" t="s">
        <v>149</v>
      </c>
      <c r="AB46" s="174" t="s">
        <v>149</v>
      </c>
      <c r="AC46" s="174">
        <f>Renewables_Electricity_Frontend[[#This Row],[Renewable Type]]</f>
        <v>0</v>
      </c>
      <c r="AD46" s="174" t="e" cm="1">
        <f t="array" aca="1" ref="AD46" ca="1">_xlfn.XLOOKUP(Renewables_Electricity_Backend[[#This Row],[Level 3]],rng_Level3Long,rng_Level4Long)</f>
        <v>#N/A</v>
      </c>
      <c r="AE46" s="174" t="e" cm="1">
        <f t="array" aca="1" ref="AE46" ca="1">_xlfn.XLOOKUP(Renewables_Electricity_Backend[[#This Row],[Level 3]],rng_Level3Long,rng_Level5Long)</f>
        <v>#N/A</v>
      </c>
      <c r="AF46" s="174" t="e" cm="1">
        <f t="array" aca="1" ref="AF46" ca="1">_xlfn.XLOOKUP(Renewables_Electricity_Backend[[#This Row],[Level 3]],rng_Level3Long,rng_Level6Long)</f>
        <v>#N/A</v>
      </c>
      <c r="AG46" s="174">
        <f>Renewables_Electricity_Frontend[[#This Row],[Generating site name]]</f>
        <v>0</v>
      </c>
      <c r="AH46" s="174"/>
      <c r="AI46" s="174">
        <f>Renewables_Electricity_Frontend[[#This Row],[Methodology used]]</f>
        <v>0</v>
      </c>
      <c r="AJ46" s="220" t="e" cm="1">
        <f t="array" aca="1" ref="AJ46" ca="1">INDEX(_xlfn.SWITCH(Renewables_Electricity_Backend[[#This Row],[Methodology]],"Tier 1",rng_RSD1,"Tier 2",rng_RSD2,"Tier 3",rng_RSD3),MATCH(_xlfn.CONCAT(Renewables_Electricity_Backend[[#This Row],[Level 1]:[Level 6]]),rng_LevelsConcat,0))</f>
        <v>#N/A</v>
      </c>
      <c r="AK46" s="174">
        <f>Renewables_Electricity_Frontend[[#This Row],[Age (years)]]</f>
        <v>0</v>
      </c>
      <c r="AL46" s="174">
        <f>Renewables_Electricity_Frontend[[#This Row],[Availability]]</f>
        <v>0</v>
      </c>
      <c r="AM46" s="174">
        <f>Renewables_Electricity_Frontend[[#This Row],[Total kW capacity]]</f>
        <v>0</v>
      </c>
      <c r="AN46" s="220">
        <f>Renewables_Electricity_Frontend[[#This Row],[Total kWh generated]]</f>
        <v>0</v>
      </c>
      <c r="AO46" s="412">
        <f>Renewables_Electricity_Frontend[[#This Row],[kWh consumed by reporting organisation]]</f>
        <v>0</v>
      </c>
      <c r="AP46" s="412">
        <f>Renewables_Electricity_Frontend[[#This Row],[kWh exported to grid]]</f>
        <v>0</v>
      </c>
      <c r="AQ46" s="412">
        <f>Renewables_Electricity_Frontend[[#This Row],[kWh exported to other PSB]]</f>
        <v>0</v>
      </c>
      <c r="AR46" s="174">
        <f>Renewables_Electricity_Frontend[[#This Row],[Name of other PSB]]</f>
        <v>0</v>
      </c>
      <c r="AS46" s="174">
        <f>Renewables_Electricity_Frontend[[#This Row],[Ease of collection]]</f>
        <v>0</v>
      </c>
      <c r="AT46" s="174">
        <f>Renewables_Electricity_Frontend[[#This Row],[Ease of collection]]</f>
        <v>0</v>
      </c>
      <c r="AU46" s="174">
        <f>Renewables_Electricity_Frontend[[#This Row],[Completeness]]</f>
        <v>0</v>
      </c>
    </row>
    <row r="47" spans="2:47" s="147" customFormat="1" ht="14" x14ac:dyDescent="0.3">
      <c r="B47" s="455"/>
      <c r="E47" s="431"/>
      <c r="F47" s="432"/>
      <c r="G47" s="432"/>
      <c r="H47" s="432"/>
      <c r="I47" s="432"/>
      <c r="J47" s="432"/>
      <c r="K47" s="433"/>
      <c r="L47" s="434"/>
      <c r="M47" s="433"/>
      <c r="N47" s="276">
        <f>Renewables_Electricity_Frontend[[#This Row],[kWh consumed by reporting organisation]]+Renewables_Electricity_Frontend[[#This Row],[kWh exported to grid]]+Renewables_Electricity_Frontend[[#This Row],[kWh exported to other PSB]]</f>
        <v>0</v>
      </c>
      <c r="O47" s="439"/>
      <c r="P47" s="439"/>
      <c r="Q47" s="440"/>
      <c r="R47" s="441"/>
      <c r="S47" s="338"/>
      <c r="T47" s="338"/>
      <c r="U47" s="442"/>
      <c r="V47" s="242">
        <f t="shared" si="1"/>
        <v>11</v>
      </c>
      <c r="Z47" s="212" t="str">
        <f t="shared" ref="Z47:Z78" si="2">IF(V47=0,SUBSTITUTE(2025&amp;TRIM(cl_org_name_select)&amp;TRIM($E$12)&amp;(ROW(V47)-ROW(V47))," ",""),"")</f>
        <v/>
      </c>
      <c r="AA47" s="174" t="s">
        <v>149</v>
      </c>
      <c r="AB47" s="174" t="s">
        <v>149</v>
      </c>
      <c r="AC47" s="174">
        <f>Renewables_Electricity_Frontend[[#This Row],[Renewable Type]]</f>
        <v>0</v>
      </c>
      <c r="AD47" s="174" t="e" cm="1">
        <f t="array" aca="1" ref="AD47" ca="1">_xlfn.XLOOKUP(Renewables_Electricity_Backend[[#This Row],[Level 3]],rng_Level3Long,rng_Level4Long)</f>
        <v>#N/A</v>
      </c>
      <c r="AE47" s="174" t="e" cm="1">
        <f t="array" aca="1" ref="AE47" ca="1">_xlfn.XLOOKUP(Renewables_Electricity_Backend[[#This Row],[Level 3]],rng_Level3Long,rng_Level5Long)</f>
        <v>#N/A</v>
      </c>
      <c r="AF47" s="174" t="e" cm="1">
        <f t="array" aca="1" ref="AF47" ca="1">_xlfn.XLOOKUP(Renewables_Electricity_Backend[[#This Row],[Level 3]],rng_Level3Long,rng_Level6Long)</f>
        <v>#N/A</v>
      </c>
      <c r="AG47" s="174">
        <f>Renewables_Electricity_Frontend[[#This Row],[Generating site name]]</f>
        <v>0</v>
      </c>
      <c r="AH47" s="174"/>
      <c r="AI47" s="174">
        <f>Renewables_Electricity_Frontend[[#This Row],[Methodology used]]</f>
        <v>0</v>
      </c>
      <c r="AJ47" s="220" t="e" cm="1">
        <f t="array" aca="1" ref="AJ47" ca="1">INDEX(_xlfn.SWITCH(Renewables_Electricity_Backend[[#This Row],[Methodology]],"Tier 1",rng_RSD1,"Tier 2",rng_RSD2,"Tier 3",rng_RSD3),MATCH(_xlfn.CONCAT(Renewables_Electricity_Backend[[#This Row],[Level 1]:[Level 6]]),rng_LevelsConcat,0))</f>
        <v>#N/A</v>
      </c>
      <c r="AK47" s="174">
        <f>Renewables_Electricity_Frontend[[#This Row],[Age (years)]]</f>
        <v>0</v>
      </c>
      <c r="AL47" s="174">
        <f>Renewables_Electricity_Frontend[[#This Row],[Availability]]</f>
        <v>0</v>
      </c>
      <c r="AM47" s="174">
        <f>Renewables_Electricity_Frontend[[#This Row],[Total kW capacity]]</f>
        <v>0</v>
      </c>
      <c r="AN47" s="220">
        <f>Renewables_Electricity_Frontend[[#This Row],[Total kWh generated]]</f>
        <v>0</v>
      </c>
      <c r="AO47" s="412">
        <f>Renewables_Electricity_Frontend[[#This Row],[kWh consumed by reporting organisation]]</f>
        <v>0</v>
      </c>
      <c r="AP47" s="412">
        <f>Renewables_Electricity_Frontend[[#This Row],[kWh exported to grid]]</f>
        <v>0</v>
      </c>
      <c r="AQ47" s="412">
        <f>Renewables_Electricity_Frontend[[#This Row],[kWh exported to other PSB]]</f>
        <v>0</v>
      </c>
      <c r="AR47" s="174">
        <f>Renewables_Electricity_Frontend[[#This Row],[Name of other PSB]]</f>
        <v>0</v>
      </c>
      <c r="AS47" s="174">
        <f>Renewables_Electricity_Frontend[[#This Row],[Ease of collection]]</f>
        <v>0</v>
      </c>
      <c r="AT47" s="174">
        <f>Renewables_Electricity_Frontend[[#This Row],[Ease of collection]]</f>
        <v>0</v>
      </c>
      <c r="AU47" s="174">
        <f>Renewables_Electricity_Frontend[[#This Row],[Completeness]]</f>
        <v>0</v>
      </c>
    </row>
    <row r="48" spans="2:47" s="147" customFormat="1" ht="14" x14ac:dyDescent="0.3">
      <c r="B48" s="455"/>
      <c r="E48" s="431"/>
      <c r="F48" s="432"/>
      <c r="G48" s="432"/>
      <c r="H48" s="432"/>
      <c r="I48" s="432"/>
      <c r="J48" s="432"/>
      <c r="K48" s="433"/>
      <c r="L48" s="434"/>
      <c r="M48" s="433"/>
      <c r="N48" s="276">
        <f>Renewables_Electricity_Frontend[[#This Row],[kWh consumed by reporting organisation]]+Renewables_Electricity_Frontend[[#This Row],[kWh exported to grid]]+Renewables_Electricity_Frontend[[#This Row],[kWh exported to other PSB]]</f>
        <v>0</v>
      </c>
      <c r="O48" s="439"/>
      <c r="P48" s="439"/>
      <c r="Q48" s="440"/>
      <c r="R48" s="441"/>
      <c r="S48" s="338"/>
      <c r="T48" s="338"/>
      <c r="U48" s="442"/>
      <c r="V48" s="242">
        <f t="shared" si="1"/>
        <v>11</v>
      </c>
      <c r="Z48" s="212" t="str">
        <f t="shared" si="2"/>
        <v/>
      </c>
      <c r="AA48" s="174" t="s">
        <v>149</v>
      </c>
      <c r="AB48" s="174" t="s">
        <v>149</v>
      </c>
      <c r="AC48" s="174">
        <f>Renewables_Electricity_Frontend[[#This Row],[Renewable Type]]</f>
        <v>0</v>
      </c>
      <c r="AD48" s="174" t="e" cm="1">
        <f t="array" aca="1" ref="AD48" ca="1">_xlfn.XLOOKUP(Renewables_Electricity_Backend[[#This Row],[Level 3]],rng_Level3Long,rng_Level4Long)</f>
        <v>#N/A</v>
      </c>
      <c r="AE48" s="174" t="e" cm="1">
        <f t="array" aca="1" ref="AE48" ca="1">_xlfn.XLOOKUP(Renewables_Electricity_Backend[[#This Row],[Level 3]],rng_Level3Long,rng_Level5Long)</f>
        <v>#N/A</v>
      </c>
      <c r="AF48" s="174" t="e" cm="1">
        <f t="array" aca="1" ref="AF48" ca="1">_xlfn.XLOOKUP(Renewables_Electricity_Backend[[#This Row],[Level 3]],rng_Level3Long,rng_Level6Long)</f>
        <v>#N/A</v>
      </c>
      <c r="AG48" s="174">
        <f>Renewables_Electricity_Frontend[[#This Row],[Generating site name]]</f>
        <v>0</v>
      </c>
      <c r="AH48" s="174"/>
      <c r="AI48" s="174">
        <f>Renewables_Electricity_Frontend[[#This Row],[Methodology used]]</f>
        <v>0</v>
      </c>
      <c r="AJ48" s="220" t="e" cm="1">
        <f t="array" aca="1" ref="AJ48" ca="1">INDEX(_xlfn.SWITCH(Renewables_Electricity_Backend[[#This Row],[Methodology]],"Tier 1",rng_RSD1,"Tier 2",rng_RSD2,"Tier 3",rng_RSD3),MATCH(_xlfn.CONCAT(Renewables_Electricity_Backend[[#This Row],[Level 1]:[Level 6]]),rng_LevelsConcat,0))</f>
        <v>#N/A</v>
      </c>
      <c r="AK48" s="174">
        <f>Renewables_Electricity_Frontend[[#This Row],[Age (years)]]</f>
        <v>0</v>
      </c>
      <c r="AL48" s="174">
        <f>Renewables_Electricity_Frontend[[#This Row],[Availability]]</f>
        <v>0</v>
      </c>
      <c r="AM48" s="174">
        <f>Renewables_Electricity_Frontend[[#This Row],[Total kW capacity]]</f>
        <v>0</v>
      </c>
      <c r="AN48" s="220">
        <f>Renewables_Electricity_Frontend[[#This Row],[Total kWh generated]]</f>
        <v>0</v>
      </c>
      <c r="AO48" s="412">
        <f>Renewables_Electricity_Frontend[[#This Row],[kWh consumed by reporting organisation]]</f>
        <v>0</v>
      </c>
      <c r="AP48" s="412">
        <f>Renewables_Electricity_Frontend[[#This Row],[kWh exported to grid]]</f>
        <v>0</v>
      </c>
      <c r="AQ48" s="412">
        <f>Renewables_Electricity_Frontend[[#This Row],[kWh exported to other PSB]]</f>
        <v>0</v>
      </c>
      <c r="AR48" s="174">
        <f>Renewables_Electricity_Frontend[[#This Row],[Name of other PSB]]</f>
        <v>0</v>
      </c>
      <c r="AS48" s="174">
        <f>Renewables_Electricity_Frontend[[#This Row],[Ease of collection]]</f>
        <v>0</v>
      </c>
      <c r="AT48" s="174">
        <f>Renewables_Electricity_Frontend[[#This Row],[Ease of collection]]</f>
        <v>0</v>
      </c>
      <c r="AU48" s="174">
        <f>Renewables_Electricity_Frontend[[#This Row],[Completeness]]</f>
        <v>0</v>
      </c>
    </row>
    <row r="49" spans="2:47" s="147" customFormat="1" ht="14" x14ac:dyDescent="0.3">
      <c r="B49" s="455"/>
      <c r="E49" s="431"/>
      <c r="F49" s="432"/>
      <c r="G49" s="432"/>
      <c r="H49" s="432"/>
      <c r="I49" s="432"/>
      <c r="J49" s="432"/>
      <c r="K49" s="433"/>
      <c r="L49" s="434"/>
      <c r="M49" s="433"/>
      <c r="N49" s="276">
        <f>Renewables_Electricity_Frontend[[#This Row],[kWh consumed by reporting organisation]]+Renewables_Electricity_Frontend[[#This Row],[kWh exported to grid]]+Renewables_Electricity_Frontend[[#This Row],[kWh exported to other PSB]]</f>
        <v>0</v>
      </c>
      <c r="O49" s="439"/>
      <c r="P49" s="439"/>
      <c r="Q49" s="440"/>
      <c r="R49" s="441"/>
      <c r="S49" s="338"/>
      <c r="T49" s="338"/>
      <c r="U49" s="442"/>
      <c r="V49" s="242">
        <f t="shared" si="1"/>
        <v>11</v>
      </c>
      <c r="Z49" s="212" t="str">
        <f t="shared" si="2"/>
        <v/>
      </c>
      <c r="AA49" s="174" t="s">
        <v>149</v>
      </c>
      <c r="AB49" s="174" t="s">
        <v>149</v>
      </c>
      <c r="AC49" s="174">
        <f>Renewables_Electricity_Frontend[[#This Row],[Renewable Type]]</f>
        <v>0</v>
      </c>
      <c r="AD49" s="174" t="e" cm="1">
        <f t="array" aca="1" ref="AD49" ca="1">_xlfn.XLOOKUP(Renewables_Electricity_Backend[[#This Row],[Level 3]],rng_Level3Long,rng_Level4Long)</f>
        <v>#N/A</v>
      </c>
      <c r="AE49" s="174" t="e" cm="1">
        <f t="array" aca="1" ref="AE49" ca="1">_xlfn.XLOOKUP(Renewables_Electricity_Backend[[#This Row],[Level 3]],rng_Level3Long,rng_Level5Long)</f>
        <v>#N/A</v>
      </c>
      <c r="AF49" s="174" t="e" cm="1">
        <f t="array" aca="1" ref="AF49" ca="1">_xlfn.XLOOKUP(Renewables_Electricity_Backend[[#This Row],[Level 3]],rng_Level3Long,rng_Level6Long)</f>
        <v>#N/A</v>
      </c>
      <c r="AG49" s="174">
        <f>Renewables_Electricity_Frontend[[#This Row],[Generating site name]]</f>
        <v>0</v>
      </c>
      <c r="AH49" s="174"/>
      <c r="AI49" s="174">
        <f>Renewables_Electricity_Frontend[[#This Row],[Methodology used]]</f>
        <v>0</v>
      </c>
      <c r="AJ49" s="220" t="e" cm="1">
        <f t="array" aca="1" ref="AJ49" ca="1">INDEX(_xlfn.SWITCH(Renewables_Electricity_Backend[[#This Row],[Methodology]],"Tier 1",rng_RSD1,"Tier 2",rng_RSD2,"Tier 3",rng_RSD3),MATCH(_xlfn.CONCAT(Renewables_Electricity_Backend[[#This Row],[Level 1]:[Level 6]]),rng_LevelsConcat,0))</f>
        <v>#N/A</v>
      </c>
      <c r="AK49" s="174">
        <f>Renewables_Electricity_Frontend[[#This Row],[Age (years)]]</f>
        <v>0</v>
      </c>
      <c r="AL49" s="174">
        <f>Renewables_Electricity_Frontend[[#This Row],[Availability]]</f>
        <v>0</v>
      </c>
      <c r="AM49" s="174">
        <f>Renewables_Electricity_Frontend[[#This Row],[Total kW capacity]]</f>
        <v>0</v>
      </c>
      <c r="AN49" s="220">
        <f>Renewables_Electricity_Frontend[[#This Row],[Total kWh generated]]</f>
        <v>0</v>
      </c>
      <c r="AO49" s="412">
        <f>Renewables_Electricity_Frontend[[#This Row],[kWh consumed by reporting organisation]]</f>
        <v>0</v>
      </c>
      <c r="AP49" s="412">
        <f>Renewables_Electricity_Frontend[[#This Row],[kWh exported to grid]]</f>
        <v>0</v>
      </c>
      <c r="AQ49" s="412">
        <f>Renewables_Electricity_Frontend[[#This Row],[kWh exported to other PSB]]</f>
        <v>0</v>
      </c>
      <c r="AR49" s="174">
        <f>Renewables_Electricity_Frontend[[#This Row],[Name of other PSB]]</f>
        <v>0</v>
      </c>
      <c r="AS49" s="174">
        <f>Renewables_Electricity_Frontend[[#This Row],[Ease of collection]]</f>
        <v>0</v>
      </c>
      <c r="AT49" s="174">
        <f>Renewables_Electricity_Frontend[[#This Row],[Ease of collection]]</f>
        <v>0</v>
      </c>
      <c r="AU49" s="174">
        <f>Renewables_Electricity_Frontend[[#This Row],[Completeness]]</f>
        <v>0</v>
      </c>
    </row>
    <row r="50" spans="2:47" s="147" customFormat="1" ht="14" x14ac:dyDescent="0.3">
      <c r="B50" s="455"/>
      <c r="E50" s="431"/>
      <c r="F50" s="432"/>
      <c r="G50" s="432"/>
      <c r="H50" s="432"/>
      <c r="I50" s="432"/>
      <c r="J50" s="432"/>
      <c r="K50" s="433"/>
      <c r="L50" s="434"/>
      <c r="M50" s="433"/>
      <c r="N50" s="276">
        <f>Renewables_Electricity_Frontend[[#This Row],[kWh consumed by reporting organisation]]+Renewables_Electricity_Frontend[[#This Row],[kWh exported to grid]]+Renewables_Electricity_Frontend[[#This Row],[kWh exported to other PSB]]</f>
        <v>0</v>
      </c>
      <c r="O50" s="439"/>
      <c r="P50" s="439"/>
      <c r="Q50" s="440"/>
      <c r="R50" s="441"/>
      <c r="S50" s="338"/>
      <c r="T50" s="338"/>
      <c r="U50" s="442"/>
      <c r="V50" s="242">
        <f t="shared" si="1"/>
        <v>11</v>
      </c>
      <c r="Z50" s="212" t="str">
        <f t="shared" si="2"/>
        <v/>
      </c>
      <c r="AA50" s="174" t="s">
        <v>149</v>
      </c>
      <c r="AB50" s="174" t="s">
        <v>149</v>
      </c>
      <c r="AC50" s="174">
        <f>Renewables_Electricity_Frontend[[#This Row],[Renewable Type]]</f>
        <v>0</v>
      </c>
      <c r="AD50" s="174" t="e" cm="1">
        <f t="array" aca="1" ref="AD50" ca="1">_xlfn.XLOOKUP(Renewables_Electricity_Backend[[#This Row],[Level 3]],rng_Level3Long,rng_Level4Long)</f>
        <v>#N/A</v>
      </c>
      <c r="AE50" s="174" t="e" cm="1">
        <f t="array" aca="1" ref="AE50" ca="1">_xlfn.XLOOKUP(Renewables_Electricity_Backend[[#This Row],[Level 3]],rng_Level3Long,rng_Level5Long)</f>
        <v>#N/A</v>
      </c>
      <c r="AF50" s="174" t="e" cm="1">
        <f t="array" aca="1" ref="AF50" ca="1">_xlfn.XLOOKUP(Renewables_Electricity_Backend[[#This Row],[Level 3]],rng_Level3Long,rng_Level6Long)</f>
        <v>#N/A</v>
      </c>
      <c r="AG50" s="174">
        <f>Renewables_Electricity_Frontend[[#This Row],[Generating site name]]</f>
        <v>0</v>
      </c>
      <c r="AH50" s="174"/>
      <c r="AI50" s="174">
        <f>Renewables_Electricity_Frontend[[#This Row],[Methodology used]]</f>
        <v>0</v>
      </c>
      <c r="AJ50" s="220" t="e" cm="1">
        <f t="array" aca="1" ref="AJ50" ca="1">INDEX(_xlfn.SWITCH(Renewables_Electricity_Backend[[#This Row],[Methodology]],"Tier 1",rng_RSD1,"Tier 2",rng_RSD2,"Tier 3",rng_RSD3),MATCH(_xlfn.CONCAT(Renewables_Electricity_Backend[[#This Row],[Level 1]:[Level 6]]),rng_LevelsConcat,0))</f>
        <v>#N/A</v>
      </c>
      <c r="AK50" s="174">
        <f>Renewables_Electricity_Frontend[[#This Row],[Age (years)]]</f>
        <v>0</v>
      </c>
      <c r="AL50" s="174">
        <f>Renewables_Electricity_Frontend[[#This Row],[Availability]]</f>
        <v>0</v>
      </c>
      <c r="AM50" s="174">
        <f>Renewables_Electricity_Frontend[[#This Row],[Total kW capacity]]</f>
        <v>0</v>
      </c>
      <c r="AN50" s="220">
        <f>Renewables_Electricity_Frontend[[#This Row],[Total kWh generated]]</f>
        <v>0</v>
      </c>
      <c r="AO50" s="412">
        <f>Renewables_Electricity_Frontend[[#This Row],[kWh consumed by reporting organisation]]</f>
        <v>0</v>
      </c>
      <c r="AP50" s="412">
        <f>Renewables_Electricity_Frontend[[#This Row],[kWh exported to grid]]</f>
        <v>0</v>
      </c>
      <c r="AQ50" s="412">
        <f>Renewables_Electricity_Frontend[[#This Row],[kWh exported to other PSB]]</f>
        <v>0</v>
      </c>
      <c r="AR50" s="174">
        <f>Renewables_Electricity_Frontend[[#This Row],[Name of other PSB]]</f>
        <v>0</v>
      </c>
      <c r="AS50" s="174">
        <f>Renewables_Electricity_Frontend[[#This Row],[Ease of collection]]</f>
        <v>0</v>
      </c>
      <c r="AT50" s="174">
        <f>Renewables_Electricity_Frontend[[#This Row],[Ease of collection]]</f>
        <v>0</v>
      </c>
      <c r="AU50" s="174">
        <f>Renewables_Electricity_Frontend[[#This Row],[Completeness]]</f>
        <v>0</v>
      </c>
    </row>
    <row r="51" spans="2:47" s="147" customFormat="1" ht="14" x14ac:dyDescent="0.3">
      <c r="B51" s="455"/>
      <c r="E51" s="431"/>
      <c r="F51" s="432"/>
      <c r="G51" s="432"/>
      <c r="H51" s="432"/>
      <c r="I51" s="432"/>
      <c r="J51" s="432"/>
      <c r="K51" s="433"/>
      <c r="L51" s="434"/>
      <c r="M51" s="433"/>
      <c r="N51" s="276">
        <f>Renewables_Electricity_Frontend[[#This Row],[kWh consumed by reporting organisation]]+Renewables_Electricity_Frontend[[#This Row],[kWh exported to grid]]+Renewables_Electricity_Frontend[[#This Row],[kWh exported to other PSB]]</f>
        <v>0</v>
      </c>
      <c r="O51" s="439"/>
      <c r="P51" s="439"/>
      <c r="Q51" s="440"/>
      <c r="R51" s="441"/>
      <c r="S51" s="338"/>
      <c r="T51" s="338"/>
      <c r="U51" s="442"/>
      <c r="V51" s="242">
        <f t="shared" si="1"/>
        <v>11</v>
      </c>
      <c r="Z51" s="212" t="str">
        <f t="shared" si="2"/>
        <v/>
      </c>
      <c r="AA51" s="174" t="s">
        <v>149</v>
      </c>
      <c r="AB51" s="174" t="s">
        <v>149</v>
      </c>
      <c r="AC51" s="174">
        <f>Renewables_Electricity_Frontend[[#This Row],[Renewable Type]]</f>
        <v>0</v>
      </c>
      <c r="AD51" s="174" t="e" cm="1">
        <f t="array" aca="1" ref="AD51" ca="1">_xlfn.XLOOKUP(Renewables_Electricity_Backend[[#This Row],[Level 3]],rng_Level3Long,rng_Level4Long)</f>
        <v>#N/A</v>
      </c>
      <c r="AE51" s="174" t="e" cm="1">
        <f t="array" aca="1" ref="AE51" ca="1">_xlfn.XLOOKUP(Renewables_Electricity_Backend[[#This Row],[Level 3]],rng_Level3Long,rng_Level5Long)</f>
        <v>#N/A</v>
      </c>
      <c r="AF51" s="174" t="e" cm="1">
        <f t="array" aca="1" ref="AF51" ca="1">_xlfn.XLOOKUP(Renewables_Electricity_Backend[[#This Row],[Level 3]],rng_Level3Long,rng_Level6Long)</f>
        <v>#N/A</v>
      </c>
      <c r="AG51" s="174">
        <f>Renewables_Electricity_Frontend[[#This Row],[Generating site name]]</f>
        <v>0</v>
      </c>
      <c r="AH51" s="174"/>
      <c r="AI51" s="174">
        <f>Renewables_Electricity_Frontend[[#This Row],[Methodology used]]</f>
        <v>0</v>
      </c>
      <c r="AJ51" s="220" t="e" cm="1">
        <f t="array" aca="1" ref="AJ51" ca="1">INDEX(_xlfn.SWITCH(Renewables_Electricity_Backend[[#This Row],[Methodology]],"Tier 1",rng_RSD1,"Tier 2",rng_RSD2,"Tier 3",rng_RSD3),MATCH(_xlfn.CONCAT(Renewables_Electricity_Backend[[#This Row],[Level 1]:[Level 6]]),rng_LevelsConcat,0))</f>
        <v>#N/A</v>
      </c>
      <c r="AK51" s="174">
        <f>Renewables_Electricity_Frontend[[#This Row],[Age (years)]]</f>
        <v>0</v>
      </c>
      <c r="AL51" s="174">
        <f>Renewables_Electricity_Frontend[[#This Row],[Availability]]</f>
        <v>0</v>
      </c>
      <c r="AM51" s="174">
        <f>Renewables_Electricity_Frontend[[#This Row],[Total kW capacity]]</f>
        <v>0</v>
      </c>
      <c r="AN51" s="220">
        <f>Renewables_Electricity_Frontend[[#This Row],[Total kWh generated]]</f>
        <v>0</v>
      </c>
      <c r="AO51" s="412">
        <f>Renewables_Electricity_Frontend[[#This Row],[kWh consumed by reporting organisation]]</f>
        <v>0</v>
      </c>
      <c r="AP51" s="412">
        <f>Renewables_Electricity_Frontend[[#This Row],[kWh exported to grid]]</f>
        <v>0</v>
      </c>
      <c r="AQ51" s="412">
        <f>Renewables_Electricity_Frontend[[#This Row],[kWh exported to other PSB]]</f>
        <v>0</v>
      </c>
      <c r="AR51" s="174">
        <f>Renewables_Electricity_Frontend[[#This Row],[Name of other PSB]]</f>
        <v>0</v>
      </c>
      <c r="AS51" s="174">
        <f>Renewables_Electricity_Frontend[[#This Row],[Ease of collection]]</f>
        <v>0</v>
      </c>
      <c r="AT51" s="174">
        <f>Renewables_Electricity_Frontend[[#This Row],[Ease of collection]]</f>
        <v>0</v>
      </c>
      <c r="AU51" s="174">
        <f>Renewables_Electricity_Frontend[[#This Row],[Completeness]]</f>
        <v>0</v>
      </c>
    </row>
    <row r="52" spans="2:47" s="147" customFormat="1" ht="14" x14ac:dyDescent="0.3">
      <c r="B52" s="455"/>
      <c r="E52" s="431"/>
      <c r="F52" s="432"/>
      <c r="G52" s="432"/>
      <c r="H52" s="432"/>
      <c r="I52" s="432"/>
      <c r="J52" s="432"/>
      <c r="K52" s="433"/>
      <c r="L52" s="434"/>
      <c r="M52" s="433"/>
      <c r="N52" s="276">
        <f>Renewables_Electricity_Frontend[[#This Row],[kWh consumed by reporting organisation]]+Renewables_Electricity_Frontend[[#This Row],[kWh exported to grid]]+Renewables_Electricity_Frontend[[#This Row],[kWh exported to other PSB]]</f>
        <v>0</v>
      </c>
      <c r="O52" s="439"/>
      <c r="P52" s="439"/>
      <c r="Q52" s="440"/>
      <c r="R52" s="441"/>
      <c r="S52" s="338"/>
      <c r="T52" s="338"/>
      <c r="U52" s="442"/>
      <c r="V52" s="242">
        <f t="shared" si="1"/>
        <v>11</v>
      </c>
      <c r="Z52" s="212" t="str">
        <f t="shared" si="2"/>
        <v/>
      </c>
      <c r="AA52" s="174" t="s">
        <v>149</v>
      </c>
      <c r="AB52" s="174" t="s">
        <v>149</v>
      </c>
      <c r="AC52" s="174">
        <f>Renewables_Electricity_Frontend[[#This Row],[Renewable Type]]</f>
        <v>0</v>
      </c>
      <c r="AD52" s="174" t="e" cm="1">
        <f t="array" aca="1" ref="AD52" ca="1">_xlfn.XLOOKUP(Renewables_Electricity_Backend[[#This Row],[Level 3]],rng_Level3Long,rng_Level4Long)</f>
        <v>#N/A</v>
      </c>
      <c r="AE52" s="174" t="e" cm="1">
        <f t="array" aca="1" ref="AE52" ca="1">_xlfn.XLOOKUP(Renewables_Electricity_Backend[[#This Row],[Level 3]],rng_Level3Long,rng_Level5Long)</f>
        <v>#N/A</v>
      </c>
      <c r="AF52" s="174" t="e" cm="1">
        <f t="array" aca="1" ref="AF52" ca="1">_xlfn.XLOOKUP(Renewables_Electricity_Backend[[#This Row],[Level 3]],rng_Level3Long,rng_Level6Long)</f>
        <v>#N/A</v>
      </c>
      <c r="AG52" s="174">
        <f>Renewables_Electricity_Frontend[[#This Row],[Generating site name]]</f>
        <v>0</v>
      </c>
      <c r="AH52" s="174"/>
      <c r="AI52" s="174">
        <f>Renewables_Electricity_Frontend[[#This Row],[Methodology used]]</f>
        <v>0</v>
      </c>
      <c r="AJ52" s="220" t="e" cm="1">
        <f t="array" aca="1" ref="AJ52" ca="1">INDEX(_xlfn.SWITCH(Renewables_Electricity_Backend[[#This Row],[Methodology]],"Tier 1",rng_RSD1,"Tier 2",rng_RSD2,"Tier 3",rng_RSD3),MATCH(_xlfn.CONCAT(Renewables_Electricity_Backend[[#This Row],[Level 1]:[Level 6]]),rng_LevelsConcat,0))</f>
        <v>#N/A</v>
      </c>
      <c r="AK52" s="174">
        <f>Renewables_Electricity_Frontend[[#This Row],[Age (years)]]</f>
        <v>0</v>
      </c>
      <c r="AL52" s="174">
        <f>Renewables_Electricity_Frontend[[#This Row],[Availability]]</f>
        <v>0</v>
      </c>
      <c r="AM52" s="174">
        <f>Renewables_Electricity_Frontend[[#This Row],[Total kW capacity]]</f>
        <v>0</v>
      </c>
      <c r="AN52" s="220">
        <f>Renewables_Electricity_Frontend[[#This Row],[Total kWh generated]]</f>
        <v>0</v>
      </c>
      <c r="AO52" s="412">
        <f>Renewables_Electricity_Frontend[[#This Row],[kWh consumed by reporting organisation]]</f>
        <v>0</v>
      </c>
      <c r="AP52" s="412">
        <f>Renewables_Electricity_Frontend[[#This Row],[kWh exported to grid]]</f>
        <v>0</v>
      </c>
      <c r="AQ52" s="412">
        <f>Renewables_Electricity_Frontend[[#This Row],[kWh exported to other PSB]]</f>
        <v>0</v>
      </c>
      <c r="AR52" s="174">
        <f>Renewables_Electricity_Frontend[[#This Row],[Name of other PSB]]</f>
        <v>0</v>
      </c>
      <c r="AS52" s="174">
        <f>Renewables_Electricity_Frontend[[#This Row],[Ease of collection]]</f>
        <v>0</v>
      </c>
      <c r="AT52" s="174">
        <f>Renewables_Electricity_Frontend[[#This Row],[Ease of collection]]</f>
        <v>0</v>
      </c>
      <c r="AU52" s="174">
        <f>Renewables_Electricity_Frontend[[#This Row],[Completeness]]</f>
        <v>0</v>
      </c>
    </row>
    <row r="53" spans="2:47" s="147" customFormat="1" ht="14" x14ac:dyDescent="0.3">
      <c r="B53" s="455"/>
      <c r="E53" s="431"/>
      <c r="F53" s="432"/>
      <c r="G53" s="432"/>
      <c r="H53" s="432"/>
      <c r="I53" s="432"/>
      <c r="J53" s="432"/>
      <c r="K53" s="433"/>
      <c r="L53" s="434"/>
      <c r="M53" s="433"/>
      <c r="N53" s="276">
        <f>Renewables_Electricity_Frontend[[#This Row],[kWh consumed by reporting organisation]]+Renewables_Electricity_Frontend[[#This Row],[kWh exported to grid]]+Renewables_Electricity_Frontend[[#This Row],[kWh exported to other PSB]]</f>
        <v>0</v>
      </c>
      <c r="O53" s="439"/>
      <c r="P53" s="439"/>
      <c r="Q53" s="440"/>
      <c r="R53" s="441"/>
      <c r="S53" s="338"/>
      <c r="T53" s="338"/>
      <c r="U53" s="442"/>
      <c r="V53" s="242">
        <f t="shared" si="1"/>
        <v>11</v>
      </c>
      <c r="Z53" s="212" t="str">
        <f t="shared" si="2"/>
        <v/>
      </c>
      <c r="AA53" s="174" t="s">
        <v>149</v>
      </c>
      <c r="AB53" s="174" t="s">
        <v>149</v>
      </c>
      <c r="AC53" s="174">
        <f>Renewables_Electricity_Frontend[[#This Row],[Renewable Type]]</f>
        <v>0</v>
      </c>
      <c r="AD53" s="174" t="e" cm="1">
        <f t="array" aca="1" ref="AD53" ca="1">_xlfn.XLOOKUP(Renewables_Electricity_Backend[[#This Row],[Level 3]],rng_Level3Long,rng_Level4Long)</f>
        <v>#N/A</v>
      </c>
      <c r="AE53" s="174" t="e" cm="1">
        <f t="array" aca="1" ref="AE53" ca="1">_xlfn.XLOOKUP(Renewables_Electricity_Backend[[#This Row],[Level 3]],rng_Level3Long,rng_Level5Long)</f>
        <v>#N/A</v>
      </c>
      <c r="AF53" s="174" t="e" cm="1">
        <f t="array" aca="1" ref="AF53" ca="1">_xlfn.XLOOKUP(Renewables_Electricity_Backend[[#This Row],[Level 3]],rng_Level3Long,rng_Level6Long)</f>
        <v>#N/A</v>
      </c>
      <c r="AG53" s="174">
        <f>Renewables_Electricity_Frontend[[#This Row],[Generating site name]]</f>
        <v>0</v>
      </c>
      <c r="AH53" s="174"/>
      <c r="AI53" s="174">
        <f>Renewables_Electricity_Frontend[[#This Row],[Methodology used]]</f>
        <v>0</v>
      </c>
      <c r="AJ53" s="220" t="e" cm="1">
        <f t="array" aca="1" ref="AJ53" ca="1">INDEX(_xlfn.SWITCH(Renewables_Electricity_Backend[[#This Row],[Methodology]],"Tier 1",rng_RSD1,"Tier 2",rng_RSD2,"Tier 3",rng_RSD3),MATCH(_xlfn.CONCAT(Renewables_Electricity_Backend[[#This Row],[Level 1]:[Level 6]]),rng_LevelsConcat,0))</f>
        <v>#N/A</v>
      </c>
      <c r="AK53" s="174">
        <f>Renewables_Electricity_Frontend[[#This Row],[Age (years)]]</f>
        <v>0</v>
      </c>
      <c r="AL53" s="174">
        <f>Renewables_Electricity_Frontend[[#This Row],[Availability]]</f>
        <v>0</v>
      </c>
      <c r="AM53" s="174">
        <f>Renewables_Electricity_Frontend[[#This Row],[Total kW capacity]]</f>
        <v>0</v>
      </c>
      <c r="AN53" s="220">
        <f>Renewables_Electricity_Frontend[[#This Row],[Total kWh generated]]</f>
        <v>0</v>
      </c>
      <c r="AO53" s="412">
        <f>Renewables_Electricity_Frontend[[#This Row],[kWh consumed by reporting organisation]]</f>
        <v>0</v>
      </c>
      <c r="AP53" s="412">
        <f>Renewables_Electricity_Frontend[[#This Row],[kWh exported to grid]]</f>
        <v>0</v>
      </c>
      <c r="AQ53" s="412">
        <f>Renewables_Electricity_Frontend[[#This Row],[kWh exported to other PSB]]</f>
        <v>0</v>
      </c>
      <c r="AR53" s="174">
        <f>Renewables_Electricity_Frontend[[#This Row],[Name of other PSB]]</f>
        <v>0</v>
      </c>
      <c r="AS53" s="174">
        <f>Renewables_Electricity_Frontend[[#This Row],[Ease of collection]]</f>
        <v>0</v>
      </c>
      <c r="AT53" s="174">
        <f>Renewables_Electricity_Frontend[[#This Row],[Ease of collection]]</f>
        <v>0</v>
      </c>
      <c r="AU53" s="174">
        <f>Renewables_Electricity_Frontend[[#This Row],[Completeness]]</f>
        <v>0</v>
      </c>
    </row>
    <row r="54" spans="2:47" s="147" customFormat="1" ht="14" x14ac:dyDescent="0.3">
      <c r="B54" s="455"/>
      <c r="E54" s="431"/>
      <c r="F54" s="432"/>
      <c r="G54" s="432"/>
      <c r="H54" s="432"/>
      <c r="I54" s="432"/>
      <c r="J54" s="432"/>
      <c r="K54" s="433"/>
      <c r="L54" s="434"/>
      <c r="M54" s="433"/>
      <c r="N54" s="276">
        <f>Renewables_Electricity_Frontend[[#This Row],[kWh consumed by reporting organisation]]+Renewables_Electricity_Frontend[[#This Row],[kWh exported to grid]]+Renewables_Electricity_Frontend[[#This Row],[kWh exported to other PSB]]</f>
        <v>0</v>
      </c>
      <c r="O54" s="439"/>
      <c r="P54" s="439"/>
      <c r="Q54" s="440"/>
      <c r="R54" s="441"/>
      <c r="S54" s="338"/>
      <c r="T54" s="338"/>
      <c r="U54" s="442"/>
      <c r="V54" s="242">
        <f t="shared" si="1"/>
        <v>11</v>
      </c>
      <c r="Z54" s="212" t="str">
        <f t="shared" si="2"/>
        <v/>
      </c>
      <c r="AA54" s="174" t="s">
        <v>149</v>
      </c>
      <c r="AB54" s="174" t="s">
        <v>149</v>
      </c>
      <c r="AC54" s="174">
        <f>Renewables_Electricity_Frontend[[#This Row],[Renewable Type]]</f>
        <v>0</v>
      </c>
      <c r="AD54" s="174" t="e" cm="1">
        <f t="array" aca="1" ref="AD54" ca="1">_xlfn.XLOOKUP(Renewables_Electricity_Backend[[#This Row],[Level 3]],rng_Level3Long,rng_Level4Long)</f>
        <v>#N/A</v>
      </c>
      <c r="AE54" s="174" t="e" cm="1">
        <f t="array" aca="1" ref="AE54" ca="1">_xlfn.XLOOKUP(Renewables_Electricity_Backend[[#This Row],[Level 3]],rng_Level3Long,rng_Level5Long)</f>
        <v>#N/A</v>
      </c>
      <c r="AF54" s="174" t="e" cm="1">
        <f t="array" aca="1" ref="AF54" ca="1">_xlfn.XLOOKUP(Renewables_Electricity_Backend[[#This Row],[Level 3]],rng_Level3Long,rng_Level6Long)</f>
        <v>#N/A</v>
      </c>
      <c r="AG54" s="174">
        <f>Renewables_Electricity_Frontend[[#This Row],[Generating site name]]</f>
        <v>0</v>
      </c>
      <c r="AH54" s="174"/>
      <c r="AI54" s="174">
        <f>Renewables_Electricity_Frontend[[#This Row],[Methodology used]]</f>
        <v>0</v>
      </c>
      <c r="AJ54" s="220" t="e" cm="1">
        <f t="array" aca="1" ref="AJ54" ca="1">INDEX(_xlfn.SWITCH(Renewables_Electricity_Backend[[#This Row],[Methodology]],"Tier 1",rng_RSD1,"Tier 2",rng_RSD2,"Tier 3",rng_RSD3),MATCH(_xlfn.CONCAT(Renewables_Electricity_Backend[[#This Row],[Level 1]:[Level 6]]),rng_LevelsConcat,0))</f>
        <v>#N/A</v>
      </c>
      <c r="AK54" s="174">
        <f>Renewables_Electricity_Frontend[[#This Row],[Age (years)]]</f>
        <v>0</v>
      </c>
      <c r="AL54" s="174">
        <f>Renewables_Electricity_Frontend[[#This Row],[Availability]]</f>
        <v>0</v>
      </c>
      <c r="AM54" s="174">
        <f>Renewables_Electricity_Frontend[[#This Row],[Total kW capacity]]</f>
        <v>0</v>
      </c>
      <c r="AN54" s="220">
        <f>Renewables_Electricity_Frontend[[#This Row],[Total kWh generated]]</f>
        <v>0</v>
      </c>
      <c r="AO54" s="412">
        <f>Renewables_Electricity_Frontend[[#This Row],[kWh consumed by reporting organisation]]</f>
        <v>0</v>
      </c>
      <c r="AP54" s="412">
        <f>Renewables_Electricity_Frontend[[#This Row],[kWh exported to grid]]</f>
        <v>0</v>
      </c>
      <c r="AQ54" s="412">
        <f>Renewables_Electricity_Frontend[[#This Row],[kWh exported to other PSB]]</f>
        <v>0</v>
      </c>
      <c r="AR54" s="174">
        <f>Renewables_Electricity_Frontend[[#This Row],[Name of other PSB]]</f>
        <v>0</v>
      </c>
      <c r="AS54" s="174">
        <f>Renewables_Electricity_Frontend[[#This Row],[Ease of collection]]</f>
        <v>0</v>
      </c>
      <c r="AT54" s="174">
        <f>Renewables_Electricity_Frontend[[#This Row],[Ease of collection]]</f>
        <v>0</v>
      </c>
      <c r="AU54" s="174">
        <f>Renewables_Electricity_Frontend[[#This Row],[Completeness]]</f>
        <v>0</v>
      </c>
    </row>
    <row r="55" spans="2:47" s="147" customFormat="1" x14ac:dyDescent="0.35">
      <c r="B55" s="455"/>
      <c r="E55" s="431"/>
      <c r="F55" s="432"/>
      <c r="G55" s="432"/>
      <c r="H55" s="432"/>
      <c r="I55" s="432"/>
      <c r="J55" s="432"/>
      <c r="K55" s="433"/>
      <c r="L55" s="434"/>
      <c r="M55" s="433"/>
      <c r="N55" s="276">
        <f>Renewables_Electricity_Frontend[[#This Row],[kWh consumed by reporting organisation]]+Renewables_Electricity_Frontend[[#This Row],[kWh exported to grid]]+Renewables_Electricity_Frontend[[#This Row],[kWh exported to other PSB]]</f>
        <v>0</v>
      </c>
      <c r="O55" s="439"/>
      <c r="P55" s="439"/>
      <c r="Q55" s="440"/>
      <c r="R55" s="441"/>
      <c r="S55" s="338"/>
      <c r="T55" s="338"/>
      <c r="U55" s="442"/>
      <c r="V55" s="242">
        <f t="shared" si="1"/>
        <v>11</v>
      </c>
      <c r="Z55" s="212" t="str">
        <f t="shared" si="2"/>
        <v/>
      </c>
      <c r="AA55" s="174" t="s">
        <v>149</v>
      </c>
      <c r="AB55" s="174" t="s">
        <v>149</v>
      </c>
      <c r="AC55" s="173">
        <f>Renewables_Electricity_Frontend[[#This Row],[Renewable Type]]</f>
        <v>0</v>
      </c>
      <c r="AD55" s="173" t="e" cm="1">
        <f t="array" aca="1" ref="AD55" ca="1">_xlfn.XLOOKUP(Renewables_Electricity_Backend[[#This Row],[Level 3]],rng_Level3Long,rng_Level4Long)</f>
        <v>#N/A</v>
      </c>
      <c r="AE55" s="173" t="e" cm="1">
        <f t="array" aca="1" ref="AE55" ca="1">_xlfn.XLOOKUP(Renewables_Electricity_Backend[[#This Row],[Level 3]],rng_Level3Long,rng_Level5Long)</f>
        <v>#N/A</v>
      </c>
      <c r="AF55" s="173" t="e" cm="1">
        <f t="array" aca="1" ref="AF55" ca="1">_xlfn.XLOOKUP(Renewables_Electricity_Backend[[#This Row],[Level 3]],rng_Level3Long,rng_Level6Long)</f>
        <v>#N/A</v>
      </c>
      <c r="AG55" s="174">
        <f>Renewables_Electricity_Frontend[[#This Row],[Generating site name]]</f>
        <v>0</v>
      </c>
      <c r="AH55" s="174"/>
      <c r="AI55" s="174">
        <f>Renewables_Electricity_Frontend[[#This Row],[Methodology used]]</f>
        <v>0</v>
      </c>
      <c r="AJ55" s="220" t="e" cm="1">
        <f t="array" aca="1" ref="AJ55" ca="1">INDEX(_xlfn.SWITCH(Renewables_Electricity_Backend[[#This Row],[Methodology]],"Tier 1",rng_RSD1,"Tier 2",rng_RSD2,"Tier 3",rng_RSD3),MATCH(_xlfn.CONCAT(Renewables_Electricity_Backend[[#This Row],[Level 1]:[Level 6]]),rng_LevelsConcat,0))</f>
        <v>#N/A</v>
      </c>
      <c r="AK55" s="174">
        <f>Renewables_Electricity_Frontend[[#This Row],[Age (years)]]</f>
        <v>0</v>
      </c>
      <c r="AL55" s="174">
        <f>Renewables_Electricity_Frontend[[#This Row],[Availability]]</f>
        <v>0</v>
      </c>
      <c r="AM55" s="174">
        <f>Renewables_Electricity_Frontend[[#This Row],[Total kW capacity]]</f>
        <v>0</v>
      </c>
      <c r="AN55" s="220">
        <f>Renewables_Electricity_Frontend[[#This Row],[Total kWh generated]]</f>
        <v>0</v>
      </c>
      <c r="AO55" s="412">
        <f>Renewables_Electricity_Frontend[[#This Row],[kWh consumed by reporting organisation]]</f>
        <v>0</v>
      </c>
      <c r="AP55" s="412">
        <f>Renewables_Electricity_Frontend[[#This Row],[kWh exported to grid]]</f>
        <v>0</v>
      </c>
      <c r="AQ55" s="412">
        <f>Renewables_Electricity_Frontend[[#This Row],[kWh exported to other PSB]]</f>
        <v>0</v>
      </c>
      <c r="AR55" s="174">
        <f>Renewables_Electricity_Frontend[[#This Row],[Name of other PSB]]</f>
        <v>0</v>
      </c>
      <c r="AS55" s="174">
        <f>Renewables_Electricity_Frontend[[#This Row],[Ease of collection]]</f>
        <v>0</v>
      </c>
      <c r="AT55" s="174">
        <f>Renewables_Electricity_Frontend[[#This Row],[Ease of collection]]</f>
        <v>0</v>
      </c>
      <c r="AU55" s="174">
        <f>Renewables_Electricity_Frontend[[#This Row],[Completeness]]</f>
        <v>0</v>
      </c>
    </row>
    <row r="56" spans="2:47" s="147" customFormat="1" ht="14" x14ac:dyDescent="0.3">
      <c r="B56" s="455"/>
      <c r="E56" s="431"/>
      <c r="F56" s="432"/>
      <c r="G56" s="432"/>
      <c r="H56" s="432"/>
      <c r="I56" s="432"/>
      <c r="J56" s="432"/>
      <c r="K56" s="433"/>
      <c r="L56" s="434"/>
      <c r="M56" s="433"/>
      <c r="N56" s="276">
        <f>Renewables_Electricity_Frontend[[#This Row],[kWh consumed by reporting organisation]]+Renewables_Electricity_Frontend[[#This Row],[kWh exported to grid]]+Renewables_Electricity_Frontend[[#This Row],[kWh exported to other PSB]]</f>
        <v>0</v>
      </c>
      <c r="O56" s="439"/>
      <c r="P56" s="439"/>
      <c r="Q56" s="440"/>
      <c r="R56" s="441"/>
      <c r="S56" s="338"/>
      <c r="T56" s="338"/>
      <c r="U56" s="442"/>
      <c r="V56" s="242">
        <f t="shared" si="1"/>
        <v>11</v>
      </c>
      <c r="Z56" s="212" t="str">
        <f t="shared" si="2"/>
        <v/>
      </c>
      <c r="AA56" s="174" t="s">
        <v>149</v>
      </c>
      <c r="AB56" s="174" t="s">
        <v>149</v>
      </c>
      <c r="AC56" s="174">
        <f>Renewables_Electricity_Frontend[[#This Row],[Renewable Type]]</f>
        <v>0</v>
      </c>
      <c r="AD56" s="174" t="e" cm="1">
        <f t="array" aca="1" ref="AD56" ca="1">_xlfn.XLOOKUP(Renewables_Electricity_Backend[[#This Row],[Level 3]],rng_Level3Long,rng_Level4Long)</f>
        <v>#N/A</v>
      </c>
      <c r="AE56" s="174" t="e" cm="1">
        <f t="array" aca="1" ref="AE56" ca="1">_xlfn.XLOOKUP(Renewables_Electricity_Backend[[#This Row],[Level 3]],rng_Level3Long,rng_Level5Long)</f>
        <v>#N/A</v>
      </c>
      <c r="AF56" s="174" t="e" cm="1">
        <f t="array" aca="1" ref="AF56" ca="1">_xlfn.XLOOKUP(Renewables_Electricity_Backend[[#This Row],[Level 3]],rng_Level3Long,rng_Level6Long)</f>
        <v>#N/A</v>
      </c>
      <c r="AG56" s="174">
        <f>Renewables_Electricity_Frontend[[#This Row],[Generating site name]]</f>
        <v>0</v>
      </c>
      <c r="AH56" s="174"/>
      <c r="AI56" s="174">
        <f>Renewables_Electricity_Frontend[[#This Row],[Methodology used]]</f>
        <v>0</v>
      </c>
      <c r="AJ56" s="220" t="e" cm="1">
        <f t="array" aca="1" ref="AJ56" ca="1">INDEX(_xlfn.SWITCH(Renewables_Electricity_Backend[[#This Row],[Methodology]],"Tier 1",rng_RSD1,"Tier 2",rng_RSD2,"Tier 3",rng_RSD3),MATCH(_xlfn.CONCAT(Renewables_Electricity_Backend[[#This Row],[Level 1]:[Level 6]]),rng_LevelsConcat,0))</f>
        <v>#N/A</v>
      </c>
      <c r="AK56" s="174">
        <f>Renewables_Electricity_Frontend[[#This Row],[Age (years)]]</f>
        <v>0</v>
      </c>
      <c r="AL56" s="174">
        <f>Renewables_Electricity_Frontend[[#This Row],[Availability]]</f>
        <v>0</v>
      </c>
      <c r="AM56" s="174">
        <f>Renewables_Electricity_Frontend[[#This Row],[Total kW capacity]]</f>
        <v>0</v>
      </c>
      <c r="AN56" s="220">
        <f>Renewables_Electricity_Frontend[[#This Row],[Total kWh generated]]</f>
        <v>0</v>
      </c>
      <c r="AO56" s="412">
        <f>Renewables_Electricity_Frontend[[#This Row],[kWh consumed by reporting organisation]]</f>
        <v>0</v>
      </c>
      <c r="AP56" s="412">
        <f>Renewables_Electricity_Frontend[[#This Row],[kWh exported to grid]]</f>
        <v>0</v>
      </c>
      <c r="AQ56" s="412">
        <f>Renewables_Electricity_Frontend[[#This Row],[kWh exported to other PSB]]</f>
        <v>0</v>
      </c>
      <c r="AR56" s="174">
        <f>Renewables_Electricity_Frontend[[#This Row],[Name of other PSB]]</f>
        <v>0</v>
      </c>
      <c r="AS56" s="174">
        <f>Renewables_Electricity_Frontend[[#This Row],[Ease of collection]]</f>
        <v>0</v>
      </c>
      <c r="AT56" s="174">
        <f>Renewables_Electricity_Frontend[[#This Row],[Ease of collection]]</f>
        <v>0</v>
      </c>
      <c r="AU56" s="174">
        <f>Renewables_Electricity_Frontend[[#This Row],[Completeness]]</f>
        <v>0</v>
      </c>
    </row>
    <row r="57" spans="2:47" s="147" customFormat="1" ht="14" x14ac:dyDescent="0.3">
      <c r="B57" s="455"/>
      <c r="E57" s="431"/>
      <c r="F57" s="432"/>
      <c r="G57" s="432"/>
      <c r="H57" s="432"/>
      <c r="I57" s="432"/>
      <c r="J57" s="432"/>
      <c r="K57" s="433"/>
      <c r="L57" s="434"/>
      <c r="M57" s="433"/>
      <c r="N57" s="276">
        <f>Renewables_Electricity_Frontend[[#This Row],[kWh consumed by reporting organisation]]+Renewables_Electricity_Frontend[[#This Row],[kWh exported to grid]]+Renewables_Electricity_Frontend[[#This Row],[kWh exported to other PSB]]</f>
        <v>0</v>
      </c>
      <c r="O57" s="439"/>
      <c r="P57" s="439"/>
      <c r="Q57" s="440"/>
      <c r="R57" s="441"/>
      <c r="S57" s="338"/>
      <c r="T57" s="338"/>
      <c r="U57" s="442"/>
      <c r="V57" s="242">
        <f t="shared" si="1"/>
        <v>11</v>
      </c>
      <c r="Z57" s="212" t="str">
        <f t="shared" si="2"/>
        <v/>
      </c>
      <c r="AA57" s="174" t="s">
        <v>149</v>
      </c>
      <c r="AB57" s="174" t="s">
        <v>149</v>
      </c>
      <c r="AC57" s="174">
        <f>Renewables_Electricity_Frontend[[#This Row],[Renewable Type]]</f>
        <v>0</v>
      </c>
      <c r="AD57" s="174" t="e" cm="1">
        <f t="array" aca="1" ref="AD57" ca="1">_xlfn.XLOOKUP(Renewables_Electricity_Backend[[#This Row],[Level 3]],rng_Level3Long,rng_Level4Long)</f>
        <v>#N/A</v>
      </c>
      <c r="AE57" s="174" t="e" cm="1">
        <f t="array" aca="1" ref="AE57" ca="1">_xlfn.XLOOKUP(Renewables_Electricity_Backend[[#This Row],[Level 3]],rng_Level3Long,rng_Level5Long)</f>
        <v>#N/A</v>
      </c>
      <c r="AF57" s="174" t="e" cm="1">
        <f t="array" aca="1" ref="AF57" ca="1">_xlfn.XLOOKUP(Renewables_Electricity_Backend[[#This Row],[Level 3]],rng_Level3Long,rng_Level6Long)</f>
        <v>#N/A</v>
      </c>
      <c r="AG57" s="174">
        <f>Renewables_Electricity_Frontend[[#This Row],[Generating site name]]</f>
        <v>0</v>
      </c>
      <c r="AH57" s="174"/>
      <c r="AI57" s="174">
        <f>Renewables_Electricity_Frontend[[#This Row],[Methodology used]]</f>
        <v>0</v>
      </c>
      <c r="AJ57" s="220" t="e" cm="1">
        <f t="array" aca="1" ref="AJ57" ca="1">INDEX(_xlfn.SWITCH(Renewables_Electricity_Backend[[#This Row],[Methodology]],"Tier 1",rng_RSD1,"Tier 2",rng_RSD2,"Tier 3",rng_RSD3),MATCH(_xlfn.CONCAT(Renewables_Electricity_Backend[[#This Row],[Level 1]:[Level 6]]),rng_LevelsConcat,0))</f>
        <v>#N/A</v>
      </c>
      <c r="AK57" s="174">
        <f>Renewables_Electricity_Frontend[[#This Row],[Age (years)]]</f>
        <v>0</v>
      </c>
      <c r="AL57" s="174">
        <f>Renewables_Electricity_Frontend[[#This Row],[Availability]]</f>
        <v>0</v>
      </c>
      <c r="AM57" s="174">
        <f>Renewables_Electricity_Frontend[[#This Row],[Total kW capacity]]</f>
        <v>0</v>
      </c>
      <c r="AN57" s="220">
        <f>Renewables_Electricity_Frontend[[#This Row],[Total kWh generated]]</f>
        <v>0</v>
      </c>
      <c r="AO57" s="412">
        <f>Renewables_Electricity_Frontend[[#This Row],[kWh consumed by reporting organisation]]</f>
        <v>0</v>
      </c>
      <c r="AP57" s="412">
        <f>Renewables_Electricity_Frontend[[#This Row],[kWh exported to grid]]</f>
        <v>0</v>
      </c>
      <c r="AQ57" s="412">
        <f>Renewables_Electricity_Frontend[[#This Row],[kWh exported to other PSB]]</f>
        <v>0</v>
      </c>
      <c r="AR57" s="174">
        <f>Renewables_Electricity_Frontend[[#This Row],[Name of other PSB]]</f>
        <v>0</v>
      </c>
      <c r="AS57" s="174">
        <f>Renewables_Electricity_Frontend[[#This Row],[Ease of collection]]</f>
        <v>0</v>
      </c>
      <c r="AT57" s="174">
        <f>Renewables_Electricity_Frontend[[#This Row],[Ease of collection]]</f>
        <v>0</v>
      </c>
      <c r="AU57" s="174">
        <f>Renewables_Electricity_Frontend[[#This Row],[Completeness]]</f>
        <v>0</v>
      </c>
    </row>
    <row r="58" spans="2:47" s="147" customFormat="1" ht="14" x14ac:dyDescent="0.3">
      <c r="B58" s="455"/>
      <c r="E58" s="431"/>
      <c r="F58" s="432"/>
      <c r="G58" s="432"/>
      <c r="H58" s="432"/>
      <c r="I58" s="432"/>
      <c r="J58" s="432"/>
      <c r="K58" s="433"/>
      <c r="L58" s="434"/>
      <c r="M58" s="433"/>
      <c r="N58" s="276">
        <f>Renewables_Electricity_Frontend[[#This Row],[kWh consumed by reporting organisation]]+Renewables_Electricity_Frontend[[#This Row],[kWh exported to grid]]+Renewables_Electricity_Frontend[[#This Row],[kWh exported to other PSB]]</f>
        <v>0</v>
      </c>
      <c r="O58" s="439"/>
      <c r="P58" s="439"/>
      <c r="Q58" s="440"/>
      <c r="R58" s="441"/>
      <c r="S58" s="338"/>
      <c r="T58" s="338"/>
      <c r="U58" s="442"/>
      <c r="V58" s="242">
        <f t="shared" si="1"/>
        <v>11</v>
      </c>
      <c r="Z58" s="212" t="str">
        <f t="shared" si="2"/>
        <v/>
      </c>
      <c r="AA58" s="174" t="s">
        <v>149</v>
      </c>
      <c r="AB58" s="174" t="s">
        <v>149</v>
      </c>
      <c r="AC58" s="174">
        <f>Renewables_Electricity_Frontend[[#This Row],[Renewable Type]]</f>
        <v>0</v>
      </c>
      <c r="AD58" s="174" t="e" cm="1">
        <f t="array" aca="1" ref="AD58" ca="1">_xlfn.XLOOKUP(Renewables_Electricity_Backend[[#This Row],[Level 3]],rng_Level3Long,rng_Level4Long)</f>
        <v>#N/A</v>
      </c>
      <c r="AE58" s="174" t="e" cm="1">
        <f t="array" aca="1" ref="AE58" ca="1">_xlfn.XLOOKUP(Renewables_Electricity_Backend[[#This Row],[Level 3]],rng_Level3Long,rng_Level5Long)</f>
        <v>#N/A</v>
      </c>
      <c r="AF58" s="174" t="e" cm="1">
        <f t="array" aca="1" ref="AF58" ca="1">_xlfn.XLOOKUP(Renewables_Electricity_Backend[[#This Row],[Level 3]],rng_Level3Long,rng_Level6Long)</f>
        <v>#N/A</v>
      </c>
      <c r="AG58" s="174">
        <f>Renewables_Electricity_Frontend[[#This Row],[Generating site name]]</f>
        <v>0</v>
      </c>
      <c r="AH58" s="174"/>
      <c r="AI58" s="174">
        <f>Renewables_Electricity_Frontend[[#This Row],[Methodology used]]</f>
        <v>0</v>
      </c>
      <c r="AJ58" s="220" t="e" cm="1">
        <f t="array" aca="1" ref="AJ58" ca="1">INDEX(_xlfn.SWITCH(Renewables_Electricity_Backend[[#This Row],[Methodology]],"Tier 1",rng_RSD1,"Tier 2",rng_RSD2,"Tier 3",rng_RSD3),MATCH(_xlfn.CONCAT(Renewables_Electricity_Backend[[#This Row],[Level 1]:[Level 6]]),rng_LevelsConcat,0))</f>
        <v>#N/A</v>
      </c>
      <c r="AK58" s="174">
        <f>Renewables_Electricity_Frontend[[#This Row],[Age (years)]]</f>
        <v>0</v>
      </c>
      <c r="AL58" s="174">
        <f>Renewables_Electricity_Frontend[[#This Row],[Availability]]</f>
        <v>0</v>
      </c>
      <c r="AM58" s="174">
        <f>Renewables_Electricity_Frontend[[#This Row],[Total kW capacity]]</f>
        <v>0</v>
      </c>
      <c r="AN58" s="220">
        <f>Renewables_Electricity_Frontend[[#This Row],[Total kWh generated]]</f>
        <v>0</v>
      </c>
      <c r="AO58" s="412">
        <f>Renewables_Electricity_Frontend[[#This Row],[kWh consumed by reporting organisation]]</f>
        <v>0</v>
      </c>
      <c r="AP58" s="412">
        <f>Renewables_Electricity_Frontend[[#This Row],[kWh exported to grid]]</f>
        <v>0</v>
      </c>
      <c r="AQ58" s="412">
        <f>Renewables_Electricity_Frontend[[#This Row],[kWh exported to other PSB]]</f>
        <v>0</v>
      </c>
      <c r="AR58" s="174">
        <f>Renewables_Electricity_Frontend[[#This Row],[Name of other PSB]]</f>
        <v>0</v>
      </c>
      <c r="AS58" s="174">
        <f>Renewables_Electricity_Frontend[[#This Row],[Ease of collection]]</f>
        <v>0</v>
      </c>
      <c r="AT58" s="174">
        <f>Renewables_Electricity_Frontend[[#This Row],[Ease of collection]]</f>
        <v>0</v>
      </c>
      <c r="AU58" s="174">
        <f>Renewables_Electricity_Frontend[[#This Row],[Completeness]]</f>
        <v>0</v>
      </c>
    </row>
    <row r="59" spans="2:47" s="147" customFormat="1" ht="14" x14ac:dyDescent="0.3">
      <c r="B59" s="455"/>
      <c r="E59" s="431"/>
      <c r="F59" s="432"/>
      <c r="G59" s="432"/>
      <c r="H59" s="432"/>
      <c r="I59" s="432"/>
      <c r="J59" s="432"/>
      <c r="K59" s="433"/>
      <c r="L59" s="434"/>
      <c r="M59" s="433"/>
      <c r="N59" s="276">
        <f>Renewables_Electricity_Frontend[[#This Row],[kWh consumed by reporting organisation]]+Renewables_Electricity_Frontend[[#This Row],[kWh exported to grid]]+Renewables_Electricity_Frontend[[#This Row],[kWh exported to other PSB]]</f>
        <v>0</v>
      </c>
      <c r="O59" s="439"/>
      <c r="P59" s="439"/>
      <c r="Q59" s="440"/>
      <c r="R59" s="441"/>
      <c r="S59" s="338"/>
      <c r="T59" s="338"/>
      <c r="U59" s="442"/>
      <c r="V59" s="242">
        <f t="shared" si="1"/>
        <v>11</v>
      </c>
      <c r="Z59" s="212" t="str">
        <f t="shared" si="2"/>
        <v/>
      </c>
      <c r="AA59" s="174" t="s">
        <v>149</v>
      </c>
      <c r="AB59" s="174" t="s">
        <v>149</v>
      </c>
      <c r="AC59" s="174">
        <f>Renewables_Electricity_Frontend[[#This Row],[Renewable Type]]</f>
        <v>0</v>
      </c>
      <c r="AD59" s="174" t="e" cm="1">
        <f t="array" aca="1" ref="AD59" ca="1">_xlfn.XLOOKUP(Renewables_Electricity_Backend[[#This Row],[Level 3]],rng_Level3Long,rng_Level4Long)</f>
        <v>#N/A</v>
      </c>
      <c r="AE59" s="174" t="e" cm="1">
        <f t="array" aca="1" ref="AE59" ca="1">_xlfn.XLOOKUP(Renewables_Electricity_Backend[[#This Row],[Level 3]],rng_Level3Long,rng_Level5Long)</f>
        <v>#N/A</v>
      </c>
      <c r="AF59" s="174" t="e" cm="1">
        <f t="array" aca="1" ref="AF59" ca="1">_xlfn.XLOOKUP(Renewables_Electricity_Backend[[#This Row],[Level 3]],rng_Level3Long,rng_Level6Long)</f>
        <v>#N/A</v>
      </c>
      <c r="AG59" s="174">
        <f>Renewables_Electricity_Frontend[[#This Row],[Generating site name]]</f>
        <v>0</v>
      </c>
      <c r="AH59" s="174"/>
      <c r="AI59" s="174">
        <f>Renewables_Electricity_Frontend[[#This Row],[Methodology used]]</f>
        <v>0</v>
      </c>
      <c r="AJ59" s="220" t="e" cm="1">
        <f t="array" aca="1" ref="AJ59" ca="1">INDEX(_xlfn.SWITCH(Renewables_Electricity_Backend[[#This Row],[Methodology]],"Tier 1",rng_RSD1,"Tier 2",rng_RSD2,"Tier 3",rng_RSD3),MATCH(_xlfn.CONCAT(Renewables_Electricity_Backend[[#This Row],[Level 1]:[Level 6]]),rng_LevelsConcat,0))</f>
        <v>#N/A</v>
      </c>
      <c r="AK59" s="174">
        <f>Renewables_Electricity_Frontend[[#This Row],[Age (years)]]</f>
        <v>0</v>
      </c>
      <c r="AL59" s="174">
        <f>Renewables_Electricity_Frontend[[#This Row],[Availability]]</f>
        <v>0</v>
      </c>
      <c r="AM59" s="174">
        <f>Renewables_Electricity_Frontend[[#This Row],[Total kW capacity]]</f>
        <v>0</v>
      </c>
      <c r="AN59" s="220">
        <f>Renewables_Electricity_Frontend[[#This Row],[Total kWh generated]]</f>
        <v>0</v>
      </c>
      <c r="AO59" s="412">
        <f>Renewables_Electricity_Frontend[[#This Row],[kWh consumed by reporting organisation]]</f>
        <v>0</v>
      </c>
      <c r="AP59" s="412">
        <f>Renewables_Electricity_Frontend[[#This Row],[kWh exported to grid]]</f>
        <v>0</v>
      </c>
      <c r="AQ59" s="412">
        <f>Renewables_Electricity_Frontend[[#This Row],[kWh exported to other PSB]]</f>
        <v>0</v>
      </c>
      <c r="AR59" s="174">
        <f>Renewables_Electricity_Frontend[[#This Row],[Name of other PSB]]</f>
        <v>0</v>
      </c>
      <c r="AS59" s="174">
        <f>Renewables_Electricity_Frontend[[#This Row],[Ease of collection]]</f>
        <v>0</v>
      </c>
      <c r="AT59" s="174">
        <f>Renewables_Electricity_Frontend[[#This Row],[Ease of collection]]</f>
        <v>0</v>
      </c>
      <c r="AU59" s="174">
        <f>Renewables_Electricity_Frontend[[#This Row],[Completeness]]</f>
        <v>0</v>
      </c>
    </row>
    <row r="60" spans="2:47" s="147" customFormat="1" ht="14" x14ac:dyDescent="0.3">
      <c r="B60" s="455"/>
      <c r="E60" s="431"/>
      <c r="F60" s="432"/>
      <c r="G60" s="432"/>
      <c r="H60" s="432"/>
      <c r="I60" s="432"/>
      <c r="J60" s="432"/>
      <c r="K60" s="433"/>
      <c r="L60" s="434"/>
      <c r="M60" s="433"/>
      <c r="N60" s="276">
        <f>Renewables_Electricity_Frontend[[#This Row],[kWh consumed by reporting organisation]]+Renewables_Electricity_Frontend[[#This Row],[kWh exported to grid]]+Renewables_Electricity_Frontend[[#This Row],[kWh exported to other PSB]]</f>
        <v>0</v>
      </c>
      <c r="O60" s="439"/>
      <c r="P60" s="439"/>
      <c r="Q60" s="440"/>
      <c r="R60" s="441"/>
      <c r="S60" s="338"/>
      <c r="T60" s="338"/>
      <c r="U60" s="442"/>
      <c r="V60" s="242">
        <f t="shared" si="1"/>
        <v>11</v>
      </c>
      <c r="Z60" s="212" t="str">
        <f t="shared" si="2"/>
        <v/>
      </c>
      <c r="AA60" s="174" t="s">
        <v>149</v>
      </c>
      <c r="AB60" s="174" t="s">
        <v>149</v>
      </c>
      <c r="AC60" s="174">
        <f>Renewables_Electricity_Frontend[[#This Row],[Renewable Type]]</f>
        <v>0</v>
      </c>
      <c r="AD60" s="174" t="e" cm="1">
        <f t="array" aca="1" ref="AD60" ca="1">_xlfn.XLOOKUP(Renewables_Electricity_Backend[[#This Row],[Level 3]],rng_Level3Long,rng_Level4Long)</f>
        <v>#N/A</v>
      </c>
      <c r="AE60" s="174" t="e" cm="1">
        <f t="array" aca="1" ref="AE60" ca="1">_xlfn.XLOOKUP(Renewables_Electricity_Backend[[#This Row],[Level 3]],rng_Level3Long,rng_Level5Long)</f>
        <v>#N/A</v>
      </c>
      <c r="AF60" s="174" t="e" cm="1">
        <f t="array" aca="1" ref="AF60" ca="1">_xlfn.XLOOKUP(Renewables_Electricity_Backend[[#This Row],[Level 3]],rng_Level3Long,rng_Level6Long)</f>
        <v>#N/A</v>
      </c>
      <c r="AG60" s="174">
        <f>Renewables_Electricity_Frontend[[#This Row],[Generating site name]]</f>
        <v>0</v>
      </c>
      <c r="AH60" s="174"/>
      <c r="AI60" s="174">
        <f>Renewables_Electricity_Frontend[[#This Row],[Methodology used]]</f>
        <v>0</v>
      </c>
      <c r="AJ60" s="220" t="e" cm="1">
        <f t="array" aca="1" ref="AJ60" ca="1">INDEX(_xlfn.SWITCH(Renewables_Electricity_Backend[[#This Row],[Methodology]],"Tier 1",rng_RSD1,"Tier 2",rng_RSD2,"Tier 3",rng_RSD3),MATCH(_xlfn.CONCAT(Renewables_Electricity_Backend[[#This Row],[Level 1]:[Level 6]]),rng_LevelsConcat,0))</f>
        <v>#N/A</v>
      </c>
      <c r="AK60" s="174">
        <f>Renewables_Electricity_Frontend[[#This Row],[Age (years)]]</f>
        <v>0</v>
      </c>
      <c r="AL60" s="174">
        <f>Renewables_Electricity_Frontend[[#This Row],[Availability]]</f>
        <v>0</v>
      </c>
      <c r="AM60" s="174">
        <f>Renewables_Electricity_Frontend[[#This Row],[Total kW capacity]]</f>
        <v>0</v>
      </c>
      <c r="AN60" s="220">
        <f>Renewables_Electricity_Frontend[[#This Row],[Total kWh generated]]</f>
        <v>0</v>
      </c>
      <c r="AO60" s="412">
        <f>Renewables_Electricity_Frontend[[#This Row],[kWh consumed by reporting organisation]]</f>
        <v>0</v>
      </c>
      <c r="AP60" s="412">
        <f>Renewables_Electricity_Frontend[[#This Row],[kWh exported to grid]]</f>
        <v>0</v>
      </c>
      <c r="AQ60" s="412">
        <f>Renewables_Electricity_Frontend[[#This Row],[kWh exported to other PSB]]</f>
        <v>0</v>
      </c>
      <c r="AR60" s="174">
        <f>Renewables_Electricity_Frontend[[#This Row],[Name of other PSB]]</f>
        <v>0</v>
      </c>
      <c r="AS60" s="174">
        <f>Renewables_Electricity_Frontend[[#This Row],[Ease of collection]]</f>
        <v>0</v>
      </c>
      <c r="AT60" s="174">
        <f>Renewables_Electricity_Frontend[[#This Row],[Ease of collection]]</f>
        <v>0</v>
      </c>
      <c r="AU60" s="174">
        <f>Renewables_Electricity_Frontend[[#This Row],[Completeness]]</f>
        <v>0</v>
      </c>
    </row>
    <row r="61" spans="2:47" s="147" customFormat="1" ht="14" x14ac:dyDescent="0.3">
      <c r="B61" s="455"/>
      <c r="E61" s="431"/>
      <c r="F61" s="432"/>
      <c r="G61" s="432"/>
      <c r="H61" s="432"/>
      <c r="I61" s="432"/>
      <c r="J61" s="432"/>
      <c r="K61" s="433"/>
      <c r="L61" s="434"/>
      <c r="M61" s="433"/>
      <c r="N61" s="276">
        <f>Renewables_Electricity_Frontend[[#This Row],[kWh consumed by reporting organisation]]+Renewables_Electricity_Frontend[[#This Row],[kWh exported to grid]]+Renewables_Electricity_Frontend[[#This Row],[kWh exported to other PSB]]</f>
        <v>0</v>
      </c>
      <c r="O61" s="439"/>
      <c r="P61" s="439"/>
      <c r="Q61" s="440"/>
      <c r="R61" s="441"/>
      <c r="S61" s="338"/>
      <c r="T61" s="338"/>
      <c r="U61" s="442"/>
      <c r="V61" s="242">
        <f t="shared" si="1"/>
        <v>11</v>
      </c>
      <c r="Z61" s="212" t="str">
        <f t="shared" si="2"/>
        <v/>
      </c>
      <c r="AA61" s="174" t="s">
        <v>149</v>
      </c>
      <c r="AB61" s="174" t="s">
        <v>149</v>
      </c>
      <c r="AC61" s="174">
        <f>Renewables_Electricity_Frontend[[#This Row],[Renewable Type]]</f>
        <v>0</v>
      </c>
      <c r="AD61" s="174" t="e" cm="1">
        <f t="array" aca="1" ref="AD61" ca="1">_xlfn.XLOOKUP(Renewables_Electricity_Backend[[#This Row],[Level 3]],rng_Level3Long,rng_Level4Long)</f>
        <v>#N/A</v>
      </c>
      <c r="AE61" s="174" t="e" cm="1">
        <f t="array" aca="1" ref="AE61" ca="1">_xlfn.XLOOKUP(Renewables_Electricity_Backend[[#This Row],[Level 3]],rng_Level3Long,rng_Level5Long)</f>
        <v>#N/A</v>
      </c>
      <c r="AF61" s="174" t="e" cm="1">
        <f t="array" aca="1" ref="AF61" ca="1">_xlfn.XLOOKUP(Renewables_Electricity_Backend[[#This Row],[Level 3]],rng_Level3Long,rng_Level6Long)</f>
        <v>#N/A</v>
      </c>
      <c r="AG61" s="174">
        <f>Renewables_Electricity_Frontend[[#This Row],[Generating site name]]</f>
        <v>0</v>
      </c>
      <c r="AH61" s="174"/>
      <c r="AI61" s="174">
        <f>Renewables_Electricity_Frontend[[#This Row],[Methodology used]]</f>
        <v>0</v>
      </c>
      <c r="AJ61" s="220" t="e" cm="1">
        <f t="array" aca="1" ref="AJ61" ca="1">INDEX(_xlfn.SWITCH(Renewables_Electricity_Backend[[#This Row],[Methodology]],"Tier 1",rng_RSD1,"Tier 2",rng_RSD2,"Tier 3",rng_RSD3),MATCH(_xlfn.CONCAT(Renewables_Electricity_Backend[[#This Row],[Level 1]:[Level 6]]),rng_LevelsConcat,0))</f>
        <v>#N/A</v>
      </c>
      <c r="AK61" s="174">
        <f>Renewables_Electricity_Frontend[[#This Row],[Age (years)]]</f>
        <v>0</v>
      </c>
      <c r="AL61" s="174">
        <f>Renewables_Electricity_Frontend[[#This Row],[Availability]]</f>
        <v>0</v>
      </c>
      <c r="AM61" s="174">
        <f>Renewables_Electricity_Frontend[[#This Row],[Total kW capacity]]</f>
        <v>0</v>
      </c>
      <c r="AN61" s="220">
        <f>Renewables_Electricity_Frontend[[#This Row],[Total kWh generated]]</f>
        <v>0</v>
      </c>
      <c r="AO61" s="412">
        <f>Renewables_Electricity_Frontend[[#This Row],[kWh consumed by reporting organisation]]</f>
        <v>0</v>
      </c>
      <c r="AP61" s="412">
        <f>Renewables_Electricity_Frontend[[#This Row],[kWh exported to grid]]</f>
        <v>0</v>
      </c>
      <c r="AQ61" s="412">
        <f>Renewables_Electricity_Frontend[[#This Row],[kWh exported to other PSB]]</f>
        <v>0</v>
      </c>
      <c r="AR61" s="174">
        <f>Renewables_Electricity_Frontend[[#This Row],[Name of other PSB]]</f>
        <v>0</v>
      </c>
      <c r="AS61" s="174">
        <f>Renewables_Electricity_Frontend[[#This Row],[Ease of collection]]</f>
        <v>0</v>
      </c>
      <c r="AT61" s="174">
        <f>Renewables_Electricity_Frontend[[#This Row],[Ease of collection]]</f>
        <v>0</v>
      </c>
      <c r="AU61" s="174">
        <f>Renewables_Electricity_Frontend[[#This Row],[Completeness]]</f>
        <v>0</v>
      </c>
    </row>
    <row r="62" spans="2:47" s="147" customFormat="1" ht="14" x14ac:dyDescent="0.3">
      <c r="B62" s="455"/>
      <c r="E62" s="431"/>
      <c r="F62" s="432"/>
      <c r="G62" s="432"/>
      <c r="H62" s="432"/>
      <c r="I62" s="432"/>
      <c r="J62" s="432"/>
      <c r="K62" s="433"/>
      <c r="L62" s="434"/>
      <c r="M62" s="433"/>
      <c r="N62" s="276">
        <f>Renewables_Electricity_Frontend[[#This Row],[kWh consumed by reporting organisation]]+Renewables_Electricity_Frontend[[#This Row],[kWh exported to grid]]+Renewables_Electricity_Frontend[[#This Row],[kWh exported to other PSB]]</f>
        <v>0</v>
      </c>
      <c r="O62" s="439"/>
      <c r="P62" s="439"/>
      <c r="Q62" s="440"/>
      <c r="R62" s="441"/>
      <c r="S62" s="338"/>
      <c r="T62" s="338"/>
      <c r="U62" s="442"/>
      <c r="V62" s="242">
        <f t="shared" si="1"/>
        <v>11</v>
      </c>
      <c r="Z62" s="212" t="str">
        <f t="shared" si="2"/>
        <v/>
      </c>
      <c r="AA62" s="174" t="s">
        <v>149</v>
      </c>
      <c r="AB62" s="174" t="s">
        <v>149</v>
      </c>
      <c r="AC62" s="174">
        <f>Renewables_Electricity_Frontend[[#This Row],[Renewable Type]]</f>
        <v>0</v>
      </c>
      <c r="AD62" s="174" t="e" cm="1">
        <f t="array" aca="1" ref="AD62" ca="1">_xlfn.XLOOKUP(Renewables_Electricity_Backend[[#This Row],[Level 3]],rng_Level3Long,rng_Level4Long)</f>
        <v>#N/A</v>
      </c>
      <c r="AE62" s="174" t="e" cm="1">
        <f t="array" aca="1" ref="AE62" ca="1">_xlfn.XLOOKUP(Renewables_Electricity_Backend[[#This Row],[Level 3]],rng_Level3Long,rng_Level5Long)</f>
        <v>#N/A</v>
      </c>
      <c r="AF62" s="174" t="e" cm="1">
        <f t="array" aca="1" ref="AF62" ca="1">_xlfn.XLOOKUP(Renewables_Electricity_Backend[[#This Row],[Level 3]],rng_Level3Long,rng_Level6Long)</f>
        <v>#N/A</v>
      </c>
      <c r="AG62" s="174">
        <f>Renewables_Electricity_Frontend[[#This Row],[Generating site name]]</f>
        <v>0</v>
      </c>
      <c r="AH62" s="174"/>
      <c r="AI62" s="174">
        <f>Renewables_Electricity_Frontend[[#This Row],[Methodology used]]</f>
        <v>0</v>
      </c>
      <c r="AJ62" s="220" t="e" cm="1">
        <f t="array" aca="1" ref="AJ62" ca="1">INDEX(_xlfn.SWITCH(Renewables_Electricity_Backend[[#This Row],[Methodology]],"Tier 1",rng_RSD1,"Tier 2",rng_RSD2,"Tier 3",rng_RSD3),MATCH(_xlfn.CONCAT(Renewables_Electricity_Backend[[#This Row],[Level 1]:[Level 6]]),rng_LevelsConcat,0))</f>
        <v>#N/A</v>
      </c>
      <c r="AK62" s="174">
        <f>Renewables_Electricity_Frontend[[#This Row],[Age (years)]]</f>
        <v>0</v>
      </c>
      <c r="AL62" s="174">
        <f>Renewables_Electricity_Frontend[[#This Row],[Availability]]</f>
        <v>0</v>
      </c>
      <c r="AM62" s="174">
        <f>Renewables_Electricity_Frontend[[#This Row],[Total kW capacity]]</f>
        <v>0</v>
      </c>
      <c r="AN62" s="220">
        <f>Renewables_Electricity_Frontend[[#This Row],[Total kWh generated]]</f>
        <v>0</v>
      </c>
      <c r="AO62" s="412">
        <f>Renewables_Electricity_Frontend[[#This Row],[kWh consumed by reporting organisation]]</f>
        <v>0</v>
      </c>
      <c r="AP62" s="412">
        <f>Renewables_Electricity_Frontend[[#This Row],[kWh exported to grid]]</f>
        <v>0</v>
      </c>
      <c r="AQ62" s="412">
        <f>Renewables_Electricity_Frontend[[#This Row],[kWh exported to other PSB]]</f>
        <v>0</v>
      </c>
      <c r="AR62" s="174">
        <f>Renewables_Electricity_Frontend[[#This Row],[Name of other PSB]]</f>
        <v>0</v>
      </c>
      <c r="AS62" s="174">
        <f>Renewables_Electricity_Frontend[[#This Row],[Ease of collection]]</f>
        <v>0</v>
      </c>
      <c r="AT62" s="174">
        <f>Renewables_Electricity_Frontend[[#This Row],[Ease of collection]]</f>
        <v>0</v>
      </c>
      <c r="AU62" s="174">
        <f>Renewables_Electricity_Frontend[[#This Row],[Completeness]]</f>
        <v>0</v>
      </c>
    </row>
    <row r="63" spans="2:47" s="147" customFormat="1" ht="14" x14ac:dyDescent="0.3">
      <c r="B63" s="455"/>
      <c r="E63" s="431"/>
      <c r="F63" s="432"/>
      <c r="G63" s="432"/>
      <c r="H63" s="432"/>
      <c r="I63" s="432"/>
      <c r="J63" s="432"/>
      <c r="K63" s="433"/>
      <c r="L63" s="434"/>
      <c r="M63" s="433"/>
      <c r="N63" s="276">
        <f>Renewables_Electricity_Frontend[[#This Row],[kWh consumed by reporting organisation]]+Renewables_Electricity_Frontend[[#This Row],[kWh exported to grid]]+Renewables_Electricity_Frontend[[#This Row],[kWh exported to other PSB]]</f>
        <v>0</v>
      </c>
      <c r="O63" s="439"/>
      <c r="P63" s="439"/>
      <c r="Q63" s="440"/>
      <c r="R63" s="441"/>
      <c r="S63" s="338"/>
      <c r="T63" s="338"/>
      <c r="U63" s="442"/>
      <c r="V63" s="242">
        <f t="shared" si="1"/>
        <v>11</v>
      </c>
      <c r="Z63" s="212" t="str">
        <f t="shared" si="2"/>
        <v/>
      </c>
      <c r="AA63" s="174" t="s">
        <v>149</v>
      </c>
      <c r="AB63" s="174" t="s">
        <v>149</v>
      </c>
      <c r="AC63" s="174">
        <f>Renewables_Electricity_Frontend[[#This Row],[Renewable Type]]</f>
        <v>0</v>
      </c>
      <c r="AD63" s="174" t="e" cm="1">
        <f t="array" aca="1" ref="AD63" ca="1">_xlfn.XLOOKUP(Renewables_Electricity_Backend[[#This Row],[Level 3]],rng_Level3Long,rng_Level4Long)</f>
        <v>#N/A</v>
      </c>
      <c r="AE63" s="174" t="e" cm="1">
        <f t="array" aca="1" ref="AE63" ca="1">_xlfn.XLOOKUP(Renewables_Electricity_Backend[[#This Row],[Level 3]],rng_Level3Long,rng_Level5Long)</f>
        <v>#N/A</v>
      </c>
      <c r="AF63" s="174" t="e" cm="1">
        <f t="array" aca="1" ref="AF63" ca="1">_xlfn.XLOOKUP(Renewables_Electricity_Backend[[#This Row],[Level 3]],rng_Level3Long,rng_Level6Long)</f>
        <v>#N/A</v>
      </c>
      <c r="AG63" s="174">
        <f>Renewables_Electricity_Frontend[[#This Row],[Generating site name]]</f>
        <v>0</v>
      </c>
      <c r="AH63" s="174"/>
      <c r="AI63" s="174">
        <f>Renewables_Electricity_Frontend[[#This Row],[Methodology used]]</f>
        <v>0</v>
      </c>
      <c r="AJ63" s="220" t="e" cm="1">
        <f t="array" aca="1" ref="AJ63" ca="1">INDEX(_xlfn.SWITCH(Renewables_Electricity_Backend[[#This Row],[Methodology]],"Tier 1",rng_RSD1,"Tier 2",rng_RSD2,"Tier 3",rng_RSD3),MATCH(_xlfn.CONCAT(Renewables_Electricity_Backend[[#This Row],[Level 1]:[Level 6]]),rng_LevelsConcat,0))</f>
        <v>#N/A</v>
      </c>
      <c r="AK63" s="174">
        <f>Renewables_Electricity_Frontend[[#This Row],[Age (years)]]</f>
        <v>0</v>
      </c>
      <c r="AL63" s="174">
        <f>Renewables_Electricity_Frontend[[#This Row],[Availability]]</f>
        <v>0</v>
      </c>
      <c r="AM63" s="174">
        <f>Renewables_Electricity_Frontend[[#This Row],[Total kW capacity]]</f>
        <v>0</v>
      </c>
      <c r="AN63" s="220">
        <f>Renewables_Electricity_Frontend[[#This Row],[Total kWh generated]]</f>
        <v>0</v>
      </c>
      <c r="AO63" s="412">
        <f>Renewables_Electricity_Frontend[[#This Row],[kWh consumed by reporting organisation]]</f>
        <v>0</v>
      </c>
      <c r="AP63" s="412">
        <f>Renewables_Electricity_Frontend[[#This Row],[kWh exported to grid]]</f>
        <v>0</v>
      </c>
      <c r="AQ63" s="412">
        <f>Renewables_Electricity_Frontend[[#This Row],[kWh exported to other PSB]]</f>
        <v>0</v>
      </c>
      <c r="AR63" s="174">
        <f>Renewables_Electricity_Frontend[[#This Row],[Name of other PSB]]</f>
        <v>0</v>
      </c>
      <c r="AS63" s="174">
        <f>Renewables_Electricity_Frontend[[#This Row],[Ease of collection]]</f>
        <v>0</v>
      </c>
      <c r="AT63" s="174">
        <f>Renewables_Electricity_Frontend[[#This Row],[Ease of collection]]</f>
        <v>0</v>
      </c>
      <c r="AU63" s="174">
        <f>Renewables_Electricity_Frontend[[#This Row],[Completeness]]</f>
        <v>0</v>
      </c>
    </row>
    <row r="64" spans="2:47" s="147" customFormat="1" ht="14" x14ac:dyDescent="0.3">
      <c r="B64" s="455"/>
      <c r="E64" s="431"/>
      <c r="F64" s="432"/>
      <c r="G64" s="432"/>
      <c r="H64" s="432"/>
      <c r="I64" s="432"/>
      <c r="J64" s="432"/>
      <c r="K64" s="433"/>
      <c r="L64" s="434"/>
      <c r="M64" s="433"/>
      <c r="N64" s="276">
        <f>Renewables_Electricity_Frontend[[#This Row],[kWh consumed by reporting organisation]]+Renewables_Electricity_Frontend[[#This Row],[kWh exported to grid]]+Renewables_Electricity_Frontend[[#This Row],[kWh exported to other PSB]]</f>
        <v>0</v>
      </c>
      <c r="O64" s="439"/>
      <c r="P64" s="439"/>
      <c r="Q64" s="440"/>
      <c r="R64" s="441"/>
      <c r="S64" s="338"/>
      <c r="T64" s="338"/>
      <c r="U64" s="442"/>
      <c r="V64" s="242">
        <f t="shared" si="1"/>
        <v>11</v>
      </c>
      <c r="Z64" s="212" t="str">
        <f t="shared" si="2"/>
        <v/>
      </c>
      <c r="AA64" s="174" t="s">
        <v>149</v>
      </c>
      <c r="AB64" s="174" t="s">
        <v>149</v>
      </c>
      <c r="AC64" s="174">
        <f>Renewables_Electricity_Frontend[[#This Row],[Renewable Type]]</f>
        <v>0</v>
      </c>
      <c r="AD64" s="174" t="e" cm="1">
        <f t="array" aca="1" ref="AD64" ca="1">_xlfn.XLOOKUP(Renewables_Electricity_Backend[[#This Row],[Level 3]],rng_Level3Long,rng_Level4Long)</f>
        <v>#N/A</v>
      </c>
      <c r="AE64" s="174" t="e" cm="1">
        <f t="array" aca="1" ref="AE64" ca="1">_xlfn.XLOOKUP(Renewables_Electricity_Backend[[#This Row],[Level 3]],rng_Level3Long,rng_Level5Long)</f>
        <v>#N/A</v>
      </c>
      <c r="AF64" s="174" t="e" cm="1">
        <f t="array" aca="1" ref="AF64" ca="1">_xlfn.XLOOKUP(Renewables_Electricity_Backend[[#This Row],[Level 3]],rng_Level3Long,rng_Level6Long)</f>
        <v>#N/A</v>
      </c>
      <c r="AG64" s="174">
        <f>Renewables_Electricity_Frontend[[#This Row],[Generating site name]]</f>
        <v>0</v>
      </c>
      <c r="AH64" s="174"/>
      <c r="AI64" s="174">
        <f>Renewables_Electricity_Frontend[[#This Row],[Methodology used]]</f>
        <v>0</v>
      </c>
      <c r="AJ64" s="220" t="e" cm="1">
        <f t="array" aca="1" ref="AJ64" ca="1">INDEX(_xlfn.SWITCH(Renewables_Electricity_Backend[[#This Row],[Methodology]],"Tier 1",rng_RSD1,"Tier 2",rng_RSD2,"Tier 3",rng_RSD3),MATCH(_xlfn.CONCAT(Renewables_Electricity_Backend[[#This Row],[Level 1]:[Level 6]]),rng_LevelsConcat,0))</f>
        <v>#N/A</v>
      </c>
      <c r="AK64" s="174">
        <f>Renewables_Electricity_Frontend[[#This Row],[Age (years)]]</f>
        <v>0</v>
      </c>
      <c r="AL64" s="174">
        <f>Renewables_Electricity_Frontend[[#This Row],[Availability]]</f>
        <v>0</v>
      </c>
      <c r="AM64" s="174">
        <f>Renewables_Electricity_Frontend[[#This Row],[Total kW capacity]]</f>
        <v>0</v>
      </c>
      <c r="AN64" s="220">
        <f>Renewables_Electricity_Frontend[[#This Row],[Total kWh generated]]</f>
        <v>0</v>
      </c>
      <c r="AO64" s="412">
        <f>Renewables_Electricity_Frontend[[#This Row],[kWh consumed by reporting organisation]]</f>
        <v>0</v>
      </c>
      <c r="AP64" s="412">
        <f>Renewables_Electricity_Frontend[[#This Row],[kWh exported to grid]]</f>
        <v>0</v>
      </c>
      <c r="AQ64" s="412">
        <f>Renewables_Electricity_Frontend[[#This Row],[kWh exported to other PSB]]</f>
        <v>0</v>
      </c>
      <c r="AR64" s="174">
        <f>Renewables_Electricity_Frontend[[#This Row],[Name of other PSB]]</f>
        <v>0</v>
      </c>
      <c r="AS64" s="174">
        <f>Renewables_Electricity_Frontend[[#This Row],[Ease of collection]]</f>
        <v>0</v>
      </c>
      <c r="AT64" s="174">
        <f>Renewables_Electricity_Frontend[[#This Row],[Ease of collection]]</f>
        <v>0</v>
      </c>
      <c r="AU64" s="174">
        <f>Renewables_Electricity_Frontend[[#This Row],[Completeness]]</f>
        <v>0</v>
      </c>
    </row>
    <row r="65" spans="2:47" s="147" customFormat="1" ht="14" x14ac:dyDescent="0.3">
      <c r="B65" s="455"/>
      <c r="E65" s="431"/>
      <c r="F65" s="432"/>
      <c r="G65" s="432"/>
      <c r="H65" s="432"/>
      <c r="I65" s="432"/>
      <c r="J65" s="432"/>
      <c r="K65" s="433"/>
      <c r="L65" s="434"/>
      <c r="M65" s="433"/>
      <c r="N65" s="276">
        <f>Renewables_Electricity_Frontend[[#This Row],[kWh consumed by reporting organisation]]+Renewables_Electricity_Frontend[[#This Row],[kWh exported to grid]]+Renewables_Electricity_Frontend[[#This Row],[kWh exported to other PSB]]</f>
        <v>0</v>
      </c>
      <c r="O65" s="439"/>
      <c r="P65" s="439"/>
      <c r="Q65" s="440"/>
      <c r="R65" s="441"/>
      <c r="S65" s="338"/>
      <c r="T65" s="338"/>
      <c r="U65" s="442"/>
      <c r="V65" s="242">
        <f t="shared" si="1"/>
        <v>11</v>
      </c>
      <c r="Z65" s="212" t="str">
        <f t="shared" si="2"/>
        <v/>
      </c>
      <c r="AA65" s="174" t="s">
        <v>149</v>
      </c>
      <c r="AB65" s="174" t="s">
        <v>149</v>
      </c>
      <c r="AC65" s="174">
        <f>Renewables_Electricity_Frontend[[#This Row],[Renewable Type]]</f>
        <v>0</v>
      </c>
      <c r="AD65" s="174" t="e" cm="1">
        <f t="array" aca="1" ref="AD65" ca="1">_xlfn.XLOOKUP(Renewables_Electricity_Backend[[#This Row],[Level 3]],rng_Level3Long,rng_Level4Long)</f>
        <v>#N/A</v>
      </c>
      <c r="AE65" s="174" t="e" cm="1">
        <f t="array" aca="1" ref="AE65" ca="1">_xlfn.XLOOKUP(Renewables_Electricity_Backend[[#This Row],[Level 3]],rng_Level3Long,rng_Level5Long)</f>
        <v>#N/A</v>
      </c>
      <c r="AF65" s="174" t="e" cm="1">
        <f t="array" aca="1" ref="AF65" ca="1">_xlfn.XLOOKUP(Renewables_Electricity_Backend[[#This Row],[Level 3]],rng_Level3Long,rng_Level6Long)</f>
        <v>#N/A</v>
      </c>
      <c r="AG65" s="174">
        <f>Renewables_Electricity_Frontend[[#This Row],[Generating site name]]</f>
        <v>0</v>
      </c>
      <c r="AH65" s="174"/>
      <c r="AI65" s="174">
        <f>Renewables_Electricity_Frontend[[#This Row],[Methodology used]]</f>
        <v>0</v>
      </c>
      <c r="AJ65" s="220" t="e" cm="1">
        <f t="array" aca="1" ref="AJ65" ca="1">INDEX(_xlfn.SWITCH(Renewables_Electricity_Backend[[#This Row],[Methodology]],"Tier 1",rng_RSD1,"Tier 2",rng_RSD2,"Tier 3",rng_RSD3),MATCH(_xlfn.CONCAT(Renewables_Electricity_Backend[[#This Row],[Level 1]:[Level 6]]),rng_LevelsConcat,0))</f>
        <v>#N/A</v>
      </c>
      <c r="AK65" s="174">
        <f>Renewables_Electricity_Frontend[[#This Row],[Age (years)]]</f>
        <v>0</v>
      </c>
      <c r="AL65" s="174">
        <f>Renewables_Electricity_Frontend[[#This Row],[Availability]]</f>
        <v>0</v>
      </c>
      <c r="AM65" s="174">
        <f>Renewables_Electricity_Frontend[[#This Row],[Total kW capacity]]</f>
        <v>0</v>
      </c>
      <c r="AN65" s="220">
        <f>Renewables_Electricity_Frontend[[#This Row],[Total kWh generated]]</f>
        <v>0</v>
      </c>
      <c r="AO65" s="412">
        <f>Renewables_Electricity_Frontend[[#This Row],[kWh consumed by reporting organisation]]</f>
        <v>0</v>
      </c>
      <c r="AP65" s="412">
        <f>Renewables_Electricity_Frontend[[#This Row],[kWh exported to grid]]</f>
        <v>0</v>
      </c>
      <c r="AQ65" s="412">
        <f>Renewables_Electricity_Frontend[[#This Row],[kWh exported to other PSB]]</f>
        <v>0</v>
      </c>
      <c r="AR65" s="174">
        <f>Renewables_Electricity_Frontend[[#This Row],[Name of other PSB]]</f>
        <v>0</v>
      </c>
      <c r="AS65" s="174">
        <f>Renewables_Electricity_Frontend[[#This Row],[Ease of collection]]</f>
        <v>0</v>
      </c>
      <c r="AT65" s="174">
        <f>Renewables_Electricity_Frontend[[#This Row],[Ease of collection]]</f>
        <v>0</v>
      </c>
      <c r="AU65" s="174">
        <f>Renewables_Electricity_Frontend[[#This Row],[Completeness]]</f>
        <v>0</v>
      </c>
    </row>
    <row r="66" spans="2:47" s="147" customFormat="1" ht="14" x14ac:dyDescent="0.3">
      <c r="B66" s="455"/>
      <c r="E66" s="431"/>
      <c r="F66" s="432"/>
      <c r="G66" s="432"/>
      <c r="H66" s="432"/>
      <c r="I66" s="432"/>
      <c r="J66" s="432"/>
      <c r="K66" s="433"/>
      <c r="L66" s="434"/>
      <c r="M66" s="433"/>
      <c r="N66" s="276">
        <f>Renewables_Electricity_Frontend[[#This Row],[kWh consumed by reporting organisation]]+Renewables_Electricity_Frontend[[#This Row],[kWh exported to grid]]+Renewables_Electricity_Frontend[[#This Row],[kWh exported to other PSB]]</f>
        <v>0</v>
      </c>
      <c r="O66" s="439"/>
      <c r="P66" s="439"/>
      <c r="Q66" s="440"/>
      <c r="R66" s="441"/>
      <c r="S66" s="338"/>
      <c r="T66" s="338"/>
      <c r="U66" s="442"/>
      <c r="V66" s="242">
        <f t="shared" si="1"/>
        <v>11</v>
      </c>
      <c r="Z66" s="212" t="str">
        <f t="shared" si="2"/>
        <v/>
      </c>
      <c r="AA66" s="174" t="s">
        <v>149</v>
      </c>
      <c r="AB66" s="174" t="s">
        <v>149</v>
      </c>
      <c r="AC66" s="174">
        <f>Renewables_Electricity_Frontend[[#This Row],[Renewable Type]]</f>
        <v>0</v>
      </c>
      <c r="AD66" s="174" t="e" cm="1">
        <f t="array" aca="1" ref="AD66" ca="1">_xlfn.XLOOKUP(Renewables_Electricity_Backend[[#This Row],[Level 3]],rng_Level3Long,rng_Level4Long)</f>
        <v>#N/A</v>
      </c>
      <c r="AE66" s="174" t="e" cm="1">
        <f t="array" aca="1" ref="AE66" ca="1">_xlfn.XLOOKUP(Renewables_Electricity_Backend[[#This Row],[Level 3]],rng_Level3Long,rng_Level5Long)</f>
        <v>#N/A</v>
      </c>
      <c r="AF66" s="174" t="e" cm="1">
        <f t="array" aca="1" ref="AF66" ca="1">_xlfn.XLOOKUP(Renewables_Electricity_Backend[[#This Row],[Level 3]],rng_Level3Long,rng_Level6Long)</f>
        <v>#N/A</v>
      </c>
      <c r="AG66" s="174">
        <f>Renewables_Electricity_Frontend[[#This Row],[Generating site name]]</f>
        <v>0</v>
      </c>
      <c r="AH66" s="174"/>
      <c r="AI66" s="174">
        <f>Renewables_Electricity_Frontend[[#This Row],[Methodology used]]</f>
        <v>0</v>
      </c>
      <c r="AJ66" s="220" t="e" cm="1">
        <f t="array" aca="1" ref="AJ66" ca="1">INDEX(_xlfn.SWITCH(Renewables_Electricity_Backend[[#This Row],[Methodology]],"Tier 1",rng_RSD1,"Tier 2",rng_RSD2,"Tier 3",rng_RSD3),MATCH(_xlfn.CONCAT(Renewables_Electricity_Backend[[#This Row],[Level 1]:[Level 6]]),rng_LevelsConcat,0))</f>
        <v>#N/A</v>
      </c>
      <c r="AK66" s="174">
        <f>Renewables_Electricity_Frontend[[#This Row],[Age (years)]]</f>
        <v>0</v>
      </c>
      <c r="AL66" s="174">
        <f>Renewables_Electricity_Frontend[[#This Row],[Availability]]</f>
        <v>0</v>
      </c>
      <c r="AM66" s="174">
        <f>Renewables_Electricity_Frontend[[#This Row],[Total kW capacity]]</f>
        <v>0</v>
      </c>
      <c r="AN66" s="220">
        <f>Renewables_Electricity_Frontend[[#This Row],[Total kWh generated]]</f>
        <v>0</v>
      </c>
      <c r="AO66" s="412">
        <f>Renewables_Electricity_Frontend[[#This Row],[kWh consumed by reporting organisation]]</f>
        <v>0</v>
      </c>
      <c r="AP66" s="412">
        <f>Renewables_Electricity_Frontend[[#This Row],[kWh exported to grid]]</f>
        <v>0</v>
      </c>
      <c r="AQ66" s="412">
        <f>Renewables_Electricity_Frontend[[#This Row],[kWh exported to other PSB]]</f>
        <v>0</v>
      </c>
      <c r="AR66" s="174">
        <f>Renewables_Electricity_Frontend[[#This Row],[Name of other PSB]]</f>
        <v>0</v>
      </c>
      <c r="AS66" s="174">
        <f>Renewables_Electricity_Frontend[[#This Row],[Ease of collection]]</f>
        <v>0</v>
      </c>
      <c r="AT66" s="174">
        <f>Renewables_Electricity_Frontend[[#This Row],[Ease of collection]]</f>
        <v>0</v>
      </c>
      <c r="AU66" s="174">
        <f>Renewables_Electricity_Frontend[[#This Row],[Completeness]]</f>
        <v>0</v>
      </c>
    </row>
    <row r="67" spans="2:47" s="147" customFormat="1" ht="14" x14ac:dyDescent="0.3">
      <c r="B67" s="455"/>
      <c r="E67" s="431"/>
      <c r="F67" s="432"/>
      <c r="G67" s="432"/>
      <c r="H67" s="432"/>
      <c r="I67" s="432"/>
      <c r="J67" s="432"/>
      <c r="K67" s="433"/>
      <c r="L67" s="434"/>
      <c r="M67" s="433"/>
      <c r="N67" s="276">
        <f>Renewables_Electricity_Frontend[[#This Row],[kWh consumed by reporting organisation]]+Renewables_Electricity_Frontend[[#This Row],[kWh exported to grid]]+Renewables_Electricity_Frontend[[#This Row],[kWh exported to other PSB]]</f>
        <v>0</v>
      </c>
      <c r="O67" s="439"/>
      <c r="P67" s="439"/>
      <c r="Q67" s="440"/>
      <c r="R67" s="441"/>
      <c r="S67" s="338"/>
      <c r="T67" s="338"/>
      <c r="U67" s="442"/>
      <c r="V67" s="242">
        <f t="shared" si="1"/>
        <v>11</v>
      </c>
      <c r="Z67" s="212" t="str">
        <f t="shared" si="2"/>
        <v/>
      </c>
      <c r="AA67" s="174" t="s">
        <v>149</v>
      </c>
      <c r="AB67" s="174" t="s">
        <v>149</v>
      </c>
      <c r="AC67" s="174">
        <f>Renewables_Electricity_Frontend[[#This Row],[Renewable Type]]</f>
        <v>0</v>
      </c>
      <c r="AD67" s="174" t="e" cm="1">
        <f t="array" aca="1" ref="AD67" ca="1">_xlfn.XLOOKUP(Renewables_Electricity_Backend[[#This Row],[Level 3]],rng_Level3Long,rng_Level4Long)</f>
        <v>#N/A</v>
      </c>
      <c r="AE67" s="174" t="e" cm="1">
        <f t="array" aca="1" ref="AE67" ca="1">_xlfn.XLOOKUP(Renewables_Electricity_Backend[[#This Row],[Level 3]],rng_Level3Long,rng_Level5Long)</f>
        <v>#N/A</v>
      </c>
      <c r="AF67" s="174" t="e" cm="1">
        <f t="array" aca="1" ref="AF67" ca="1">_xlfn.XLOOKUP(Renewables_Electricity_Backend[[#This Row],[Level 3]],rng_Level3Long,rng_Level6Long)</f>
        <v>#N/A</v>
      </c>
      <c r="AG67" s="174">
        <f>Renewables_Electricity_Frontend[[#This Row],[Generating site name]]</f>
        <v>0</v>
      </c>
      <c r="AH67" s="174"/>
      <c r="AI67" s="174">
        <f>Renewables_Electricity_Frontend[[#This Row],[Methodology used]]</f>
        <v>0</v>
      </c>
      <c r="AJ67" s="220" t="e" cm="1">
        <f t="array" aca="1" ref="AJ67" ca="1">INDEX(_xlfn.SWITCH(Renewables_Electricity_Backend[[#This Row],[Methodology]],"Tier 1",rng_RSD1,"Tier 2",rng_RSD2,"Tier 3",rng_RSD3),MATCH(_xlfn.CONCAT(Renewables_Electricity_Backend[[#This Row],[Level 1]:[Level 6]]),rng_LevelsConcat,0))</f>
        <v>#N/A</v>
      </c>
      <c r="AK67" s="174">
        <f>Renewables_Electricity_Frontend[[#This Row],[Age (years)]]</f>
        <v>0</v>
      </c>
      <c r="AL67" s="174">
        <f>Renewables_Electricity_Frontend[[#This Row],[Availability]]</f>
        <v>0</v>
      </c>
      <c r="AM67" s="174">
        <f>Renewables_Electricity_Frontend[[#This Row],[Total kW capacity]]</f>
        <v>0</v>
      </c>
      <c r="AN67" s="220">
        <f>Renewables_Electricity_Frontend[[#This Row],[Total kWh generated]]</f>
        <v>0</v>
      </c>
      <c r="AO67" s="412">
        <f>Renewables_Electricity_Frontend[[#This Row],[kWh consumed by reporting organisation]]</f>
        <v>0</v>
      </c>
      <c r="AP67" s="412">
        <f>Renewables_Electricity_Frontend[[#This Row],[kWh exported to grid]]</f>
        <v>0</v>
      </c>
      <c r="AQ67" s="412">
        <f>Renewables_Electricity_Frontend[[#This Row],[kWh exported to other PSB]]</f>
        <v>0</v>
      </c>
      <c r="AR67" s="174">
        <f>Renewables_Electricity_Frontend[[#This Row],[Name of other PSB]]</f>
        <v>0</v>
      </c>
      <c r="AS67" s="174">
        <f>Renewables_Electricity_Frontend[[#This Row],[Ease of collection]]</f>
        <v>0</v>
      </c>
      <c r="AT67" s="174">
        <f>Renewables_Electricity_Frontend[[#This Row],[Ease of collection]]</f>
        <v>0</v>
      </c>
      <c r="AU67" s="174">
        <f>Renewables_Electricity_Frontend[[#This Row],[Completeness]]</f>
        <v>0</v>
      </c>
    </row>
    <row r="68" spans="2:47" s="147" customFormat="1" ht="14" x14ac:dyDescent="0.3">
      <c r="B68" s="455"/>
      <c r="E68" s="431"/>
      <c r="F68" s="432"/>
      <c r="G68" s="432"/>
      <c r="H68" s="432"/>
      <c r="I68" s="432"/>
      <c r="J68" s="432"/>
      <c r="K68" s="433"/>
      <c r="L68" s="434"/>
      <c r="M68" s="433"/>
      <c r="N68" s="276">
        <f>Renewables_Electricity_Frontend[[#This Row],[kWh consumed by reporting organisation]]+Renewables_Electricity_Frontend[[#This Row],[kWh exported to grid]]+Renewables_Electricity_Frontend[[#This Row],[kWh exported to other PSB]]</f>
        <v>0</v>
      </c>
      <c r="O68" s="439"/>
      <c r="P68" s="439"/>
      <c r="Q68" s="440"/>
      <c r="R68" s="441"/>
      <c r="S68" s="338"/>
      <c r="T68" s="338"/>
      <c r="U68" s="442"/>
      <c r="V68" s="242">
        <f t="shared" si="1"/>
        <v>11</v>
      </c>
      <c r="Z68" s="212" t="str">
        <f t="shared" si="2"/>
        <v/>
      </c>
      <c r="AA68" s="174" t="s">
        <v>149</v>
      </c>
      <c r="AB68" s="174" t="s">
        <v>149</v>
      </c>
      <c r="AC68" s="174">
        <f>Renewables_Electricity_Frontend[[#This Row],[Renewable Type]]</f>
        <v>0</v>
      </c>
      <c r="AD68" s="174" t="e" cm="1">
        <f t="array" aca="1" ref="AD68" ca="1">_xlfn.XLOOKUP(Renewables_Electricity_Backend[[#This Row],[Level 3]],rng_Level3Long,rng_Level4Long)</f>
        <v>#N/A</v>
      </c>
      <c r="AE68" s="174" t="e" cm="1">
        <f t="array" aca="1" ref="AE68" ca="1">_xlfn.XLOOKUP(Renewables_Electricity_Backend[[#This Row],[Level 3]],rng_Level3Long,rng_Level5Long)</f>
        <v>#N/A</v>
      </c>
      <c r="AF68" s="174" t="e" cm="1">
        <f t="array" aca="1" ref="AF68" ca="1">_xlfn.XLOOKUP(Renewables_Electricity_Backend[[#This Row],[Level 3]],rng_Level3Long,rng_Level6Long)</f>
        <v>#N/A</v>
      </c>
      <c r="AG68" s="174">
        <f>Renewables_Electricity_Frontend[[#This Row],[Generating site name]]</f>
        <v>0</v>
      </c>
      <c r="AH68" s="174"/>
      <c r="AI68" s="174">
        <f>Renewables_Electricity_Frontend[[#This Row],[Methodology used]]</f>
        <v>0</v>
      </c>
      <c r="AJ68" s="220" t="e" cm="1">
        <f t="array" aca="1" ref="AJ68" ca="1">INDEX(_xlfn.SWITCH(Renewables_Electricity_Backend[[#This Row],[Methodology]],"Tier 1",rng_RSD1,"Tier 2",rng_RSD2,"Tier 3",rng_RSD3),MATCH(_xlfn.CONCAT(Renewables_Electricity_Backend[[#This Row],[Level 1]:[Level 6]]),rng_LevelsConcat,0))</f>
        <v>#N/A</v>
      </c>
      <c r="AK68" s="174">
        <f>Renewables_Electricity_Frontend[[#This Row],[Age (years)]]</f>
        <v>0</v>
      </c>
      <c r="AL68" s="174">
        <f>Renewables_Electricity_Frontend[[#This Row],[Availability]]</f>
        <v>0</v>
      </c>
      <c r="AM68" s="174">
        <f>Renewables_Electricity_Frontend[[#This Row],[Total kW capacity]]</f>
        <v>0</v>
      </c>
      <c r="AN68" s="220">
        <f>Renewables_Electricity_Frontend[[#This Row],[Total kWh generated]]</f>
        <v>0</v>
      </c>
      <c r="AO68" s="412">
        <f>Renewables_Electricity_Frontend[[#This Row],[kWh consumed by reporting organisation]]</f>
        <v>0</v>
      </c>
      <c r="AP68" s="412">
        <f>Renewables_Electricity_Frontend[[#This Row],[kWh exported to grid]]</f>
        <v>0</v>
      </c>
      <c r="AQ68" s="412">
        <f>Renewables_Electricity_Frontend[[#This Row],[kWh exported to other PSB]]</f>
        <v>0</v>
      </c>
      <c r="AR68" s="174">
        <f>Renewables_Electricity_Frontend[[#This Row],[Name of other PSB]]</f>
        <v>0</v>
      </c>
      <c r="AS68" s="174">
        <f>Renewables_Electricity_Frontend[[#This Row],[Ease of collection]]</f>
        <v>0</v>
      </c>
      <c r="AT68" s="174">
        <f>Renewables_Electricity_Frontend[[#This Row],[Ease of collection]]</f>
        <v>0</v>
      </c>
      <c r="AU68" s="174">
        <f>Renewables_Electricity_Frontend[[#This Row],[Completeness]]</f>
        <v>0</v>
      </c>
    </row>
    <row r="69" spans="2:47" s="147" customFormat="1" ht="14" x14ac:dyDescent="0.3">
      <c r="B69" s="455"/>
      <c r="E69" s="431"/>
      <c r="F69" s="432"/>
      <c r="G69" s="432"/>
      <c r="H69" s="432"/>
      <c r="I69" s="432"/>
      <c r="J69" s="432"/>
      <c r="K69" s="433"/>
      <c r="L69" s="434"/>
      <c r="M69" s="433"/>
      <c r="N69" s="276">
        <f>Renewables_Electricity_Frontend[[#This Row],[kWh consumed by reporting organisation]]+Renewables_Electricity_Frontend[[#This Row],[kWh exported to grid]]+Renewables_Electricity_Frontend[[#This Row],[kWh exported to other PSB]]</f>
        <v>0</v>
      </c>
      <c r="O69" s="439"/>
      <c r="P69" s="439"/>
      <c r="Q69" s="440"/>
      <c r="R69" s="441"/>
      <c r="S69" s="338"/>
      <c r="T69" s="338"/>
      <c r="U69" s="442"/>
      <c r="V69" s="242">
        <f t="shared" si="1"/>
        <v>11</v>
      </c>
      <c r="Z69" s="212" t="str">
        <f t="shared" si="2"/>
        <v/>
      </c>
      <c r="AA69" s="174" t="s">
        <v>149</v>
      </c>
      <c r="AB69" s="174" t="s">
        <v>149</v>
      </c>
      <c r="AC69" s="174">
        <f>Renewables_Electricity_Frontend[[#This Row],[Renewable Type]]</f>
        <v>0</v>
      </c>
      <c r="AD69" s="174" t="e" cm="1">
        <f t="array" aca="1" ref="AD69" ca="1">_xlfn.XLOOKUP(Renewables_Electricity_Backend[[#This Row],[Level 3]],rng_Level3Long,rng_Level4Long)</f>
        <v>#N/A</v>
      </c>
      <c r="AE69" s="174" t="e" cm="1">
        <f t="array" aca="1" ref="AE69" ca="1">_xlfn.XLOOKUP(Renewables_Electricity_Backend[[#This Row],[Level 3]],rng_Level3Long,rng_Level5Long)</f>
        <v>#N/A</v>
      </c>
      <c r="AF69" s="174" t="e" cm="1">
        <f t="array" aca="1" ref="AF69" ca="1">_xlfn.XLOOKUP(Renewables_Electricity_Backend[[#This Row],[Level 3]],rng_Level3Long,rng_Level6Long)</f>
        <v>#N/A</v>
      </c>
      <c r="AG69" s="174">
        <f>Renewables_Electricity_Frontend[[#This Row],[Generating site name]]</f>
        <v>0</v>
      </c>
      <c r="AH69" s="174"/>
      <c r="AI69" s="174">
        <f>Renewables_Electricity_Frontend[[#This Row],[Methodology used]]</f>
        <v>0</v>
      </c>
      <c r="AJ69" s="220" t="e" cm="1">
        <f t="array" aca="1" ref="AJ69" ca="1">INDEX(_xlfn.SWITCH(Renewables_Electricity_Backend[[#This Row],[Methodology]],"Tier 1",rng_RSD1,"Tier 2",rng_RSD2,"Tier 3",rng_RSD3),MATCH(_xlfn.CONCAT(Renewables_Electricity_Backend[[#This Row],[Level 1]:[Level 6]]),rng_LevelsConcat,0))</f>
        <v>#N/A</v>
      </c>
      <c r="AK69" s="174">
        <f>Renewables_Electricity_Frontend[[#This Row],[Age (years)]]</f>
        <v>0</v>
      </c>
      <c r="AL69" s="174">
        <f>Renewables_Electricity_Frontend[[#This Row],[Availability]]</f>
        <v>0</v>
      </c>
      <c r="AM69" s="174">
        <f>Renewables_Electricity_Frontend[[#This Row],[Total kW capacity]]</f>
        <v>0</v>
      </c>
      <c r="AN69" s="220">
        <f>Renewables_Electricity_Frontend[[#This Row],[Total kWh generated]]</f>
        <v>0</v>
      </c>
      <c r="AO69" s="412">
        <f>Renewables_Electricity_Frontend[[#This Row],[kWh consumed by reporting organisation]]</f>
        <v>0</v>
      </c>
      <c r="AP69" s="412">
        <f>Renewables_Electricity_Frontend[[#This Row],[kWh exported to grid]]</f>
        <v>0</v>
      </c>
      <c r="AQ69" s="412">
        <f>Renewables_Electricity_Frontend[[#This Row],[kWh exported to other PSB]]</f>
        <v>0</v>
      </c>
      <c r="AR69" s="174">
        <f>Renewables_Electricity_Frontend[[#This Row],[Name of other PSB]]</f>
        <v>0</v>
      </c>
      <c r="AS69" s="174">
        <f>Renewables_Electricity_Frontend[[#This Row],[Ease of collection]]</f>
        <v>0</v>
      </c>
      <c r="AT69" s="174">
        <f>Renewables_Electricity_Frontend[[#This Row],[Ease of collection]]</f>
        <v>0</v>
      </c>
      <c r="AU69" s="174">
        <f>Renewables_Electricity_Frontend[[#This Row],[Completeness]]</f>
        <v>0</v>
      </c>
    </row>
    <row r="70" spans="2:47" s="147" customFormat="1" ht="14" x14ac:dyDescent="0.3">
      <c r="B70" s="455"/>
      <c r="E70" s="431"/>
      <c r="F70" s="432"/>
      <c r="G70" s="432"/>
      <c r="H70" s="432"/>
      <c r="I70" s="432"/>
      <c r="J70" s="432"/>
      <c r="K70" s="433"/>
      <c r="L70" s="434"/>
      <c r="M70" s="433"/>
      <c r="N70" s="276">
        <f>Renewables_Electricity_Frontend[[#This Row],[kWh consumed by reporting organisation]]+Renewables_Electricity_Frontend[[#This Row],[kWh exported to grid]]+Renewables_Electricity_Frontend[[#This Row],[kWh exported to other PSB]]</f>
        <v>0</v>
      </c>
      <c r="O70" s="439"/>
      <c r="P70" s="439"/>
      <c r="Q70" s="440"/>
      <c r="R70" s="441"/>
      <c r="S70" s="338"/>
      <c r="T70" s="338"/>
      <c r="U70" s="442"/>
      <c r="V70" s="242">
        <f t="shared" si="1"/>
        <v>11</v>
      </c>
      <c r="Z70" s="212" t="str">
        <f t="shared" si="2"/>
        <v/>
      </c>
      <c r="AA70" s="174" t="s">
        <v>149</v>
      </c>
      <c r="AB70" s="174" t="s">
        <v>149</v>
      </c>
      <c r="AC70" s="174">
        <f>Renewables_Electricity_Frontend[[#This Row],[Renewable Type]]</f>
        <v>0</v>
      </c>
      <c r="AD70" s="174" t="e" cm="1">
        <f t="array" aca="1" ref="AD70" ca="1">_xlfn.XLOOKUP(Renewables_Electricity_Backend[[#This Row],[Level 3]],rng_Level3Long,rng_Level4Long)</f>
        <v>#N/A</v>
      </c>
      <c r="AE70" s="174" t="e" cm="1">
        <f t="array" aca="1" ref="AE70" ca="1">_xlfn.XLOOKUP(Renewables_Electricity_Backend[[#This Row],[Level 3]],rng_Level3Long,rng_Level5Long)</f>
        <v>#N/A</v>
      </c>
      <c r="AF70" s="174" t="e" cm="1">
        <f t="array" aca="1" ref="AF70" ca="1">_xlfn.XLOOKUP(Renewables_Electricity_Backend[[#This Row],[Level 3]],rng_Level3Long,rng_Level6Long)</f>
        <v>#N/A</v>
      </c>
      <c r="AG70" s="174">
        <f>Renewables_Electricity_Frontend[[#This Row],[Generating site name]]</f>
        <v>0</v>
      </c>
      <c r="AH70" s="174"/>
      <c r="AI70" s="174">
        <f>Renewables_Electricity_Frontend[[#This Row],[Methodology used]]</f>
        <v>0</v>
      </c>
      <c r="AJ70" s="220" t="e" cm="1">
        <f t="array" aca="1" ref="AJ70" ca="1">INDEX(_xlfn.SWITCH(Renewables_Electricity_Backend[[#This Row],[Methodology]],"Tier 1",rng_RSD1,"Tier 2",rng_RSD2,"Tier 3",rng_RSD3),MATCH(_xlfn.CONCAT(Renewables_Electricity_Backend[[#This Row],[Level 1]:[Level 6]]),rng_LevelsConcat,0))</f>
        <v>#N/A</v>
      </c>
      <c r="AK70" s="174">
        <f>Renewables_Electricity_Frontend[[#This Row],[Age (years)]]</f>
        <v>0</v>
      </c>
      <c r="AL70" s="174">
        <f>Renewables_Electricity_Frontend[[#This Row],[Availability]]</f>
        <v>0</v>
      </c>
      <c r="AM70" s="174">
        <f>Renewables_Electricity_Frontend[[#This Row],[Total kW capacity]]</f>
        <v>0</v>
      </c>
      <c r="AN70" s="220">
        <f>Renewables_Electricity_Frontend[[#This Row],[Total kWh generated]]</f>
        <v>0</v>
      </c>
      <c r="AO70" s="412">
        <f>Renewables_Electricity_Frontend[[#This Row],[kWh consumed by reporting organisation]]</f>
        <v>0</v>
      </c>
      <c r="AP70" s="412">
        <f>Renewables_Electricity_Frontend[[#This Row],[kWh exported to grid]]</f>
        <v>0</v>
      </c>
      <c r="AQ70" s="412">
        <f>Renewables_Electricity_Frontend[[#This Row],[kWh exported to other PSB]]</f>
        <v>0</v>
      </c>
      <c r="AR70" s="174">
        <f>Renewables_Electricity_Frontend[[#This Row],[Name of other PSB]]</f>
        <v>0</v>
      </c>
      <c r="AS70" s="174">
        <f>Renewables_Electricity_Frontend[[#This Row],[Ease of collection]]</f>
        <v>0</v>
      </c>
      <c r="AT70" s="174">
        <f>Renewables_Electricity_Frontend[[#This Row],[Ease of collection]]</f>
        <v>0</v>
      </c>
      <c r="AU70" s="174">
        <f>Renewables_Electricity_Frontend[[#This Row],[Completeness]]</f>
        <v>0</v>
      </c>
    </row>
    <row r="71" spans="2:47" s="147" customFormat="1" ht="14" x14ac:dyDescent="0.3">
      <c r="B71" s="455"/>
      <c r="E71" s="431"/>
      <c r="F71" s="432"/>
      <c r="G71" s="432"/>
      <c r="H71" s="432"/>
      <c r="I71" s="432"/>
      <c r="J71" s="432"/>
      <c r="K71" s="433"/>
      <c r="L71" s="434"/>
      <c r="M71" s="433"/>
      <c r="N71" s="276">
        <f>Renewables_Electricity_Frontend[[#This Row],[kWh consumed by reporting organisation]]+Renewables_Electricity_Frontend[[#This Row],[kWh exported to grid]]+Renewables_Electricity_Frontend[[#This Row],[kWh exported to other PSB]]</f>
        <v>0</v>
      </c>
      <c r="O71" s="439"/>
      <c r="P71" s="439"/>
      <c r="Q71" s="440"/>
      <c r="R71" s="441"/>
      <c r="S71" s="338"/>
      <c r="T71" s="338"/>
      <c r="U71" s="442"/>
      <c r="V71" s="242">
        <f t="shared" si="1"/>
        <v>11</v>
      </c>
      <c r="Z71" s="212" t="str">
        <f t="shared" si="2"/>
        <v/>
      </c>
      <c r="AA71" s="174" t="s">
        <v>149</v>
      </c>
      <c r="AB71" s="174" t="s">
        <v>149</v>
      </c>
      <c r="AC71" s="174">
        <f>Renewables_Electricity_Frontend[[#This Row],[Renewable Type]]</f>
        <v>0</v>
      </c>
      <c r="AD71" s="174" t="e" cm="1">
        <f t="array" aca="1" ref="AD71" ca="1">_xlfn.XLOOKUP(Renewables_Electricity_Backend[[#This Row],[Level 3]],rng_Level3Long,rng_Level4Long)</f>
        <v>#N/A</v>
      </c>
      <c r="AE71" s="174" t="e" cm="1">
        <f t="array" aca="1" ref="AE71" ca="1">_xlfn.XLOOKUP(Renewables_Electricity_Backend[[#This Row],[Level 3]],rng_Level3Long,rng_Level5Long)</f>
        <v>#N/A</v>
      </c>
      <c r="AF71" s="174" t="e" cm="1">
        <f t="array" aca="1" ref="AF71" ca="1">_xlfn.XLOOKUP(Renewables_Electricity_Backend[[#This Row],[Level 3]],rng_Level3Long,rng_Level6Long)</f>
        <v>#N/A</v>
      </c>
      <c r="AG71" s="174">
        <f>Renewables_Electricity_Frontend[[#This Row],[Generating site name]]</f>
        <v>0</v>
      </c>
      <c r="AH71" s="174"/>
      <c r="AI71" s="174">
        <f>Renewables_Electricity_Frontend[[#This Row],[Methodology used]]</f>
        <v>0</v>
      </c>
      <c r="AJ71" s="220" t="e" cm="1">
        <f t="array" aca="1" ref="AJ71" ca="1">INDEX(_xlfn.SWITCH(Renewables_Electricity_Backend[[#This Row],[Methodology]],"Tier 1",rng_RSD1,"Tier 2",rng_RSD2,"Tier 3",rng_RSD3),MATCH(_xlfn.CONCAT(Renewables_Electricity_Backend[[#This Row],[Level 1]:[Level 6]]),rng_LevelsConcat,0))</f>
        <v>#N/A</v>
      </c>
      <c r="AK71" s="174">
        <f>Renewables_Electricity_Frontend[[#This Row],[Age (years)]]</f>
        <v>0</v>
      </c>
      <c r="AL71" s="174">
        <f>Renewables_Electricity_Frontend[[#This Row],[Availability]]</f>
        <v>0</v>
      </c>
      <c r="AM71" s="174">
        <f>Renewables_Electricity_Frontend[[#This Row],[Total kW capacity]]</f>
        <v>0</v>
      </c>
      <c r="AN71" s="220">
        <f>Renewables_Electricity_Frontend[[#This Row],[Total kWh generated]]</f>
        <v>0</v>
      </c>
      <c r="AO71" s="412">
        <f>Renewables_Electricity_Frontend[[#This Row],[kWh consumed by reporting organisation]]</f>
        <v>0</v>
      </c>
      <c r="AP71" s="412">
        <f>Renewables_Electricity_Frontend[[#This Row],[kWh exported to grid]]</f>
        <v>0</v>
      </c>
      <c r="AQ71" s="412">
        <f>Renewables_Electricity_Frontend[[#This Row],[kWh exported to other PSB]]</f>
        <v>0</v>
      </c>
      <c r="AR71" s="174">
        <f>Renewables_Electricity_Frontend[[#This Row],[Name of other PSB]]</f>
        <v>0</v>
      </c>
      <c r="AS71" s="174">
        <f>Renewables_Electricity_Frontend[[#This Row],[Ease of collection]]</f>
        <v>0</v>
      </c>
      <c r="AT71" s="174">
        <f>Renewables_Electricity_Frontend[[#This Row],[Ease of collection]]</f>
        <v>0</v>
      </c>
      <c r="AU71" s="174">
        <f>Renewables_Electricity_Frontend[[#This Row],[Completeness]]</f>
        <v>0</v>
      </c>
    </row>
    <row r="72" spans="2:47" s="147" customFormat="1" ht="14" x14ac:dyDescent="0.3">
      <c r="B72" s="455"/>
      <c r="E72" s="431"/>
      <c r="F72" s="432"/>
      <c r="G72" s="432"/>
      <c r="H72" s="432"/>
      <c r="I72" s="432"/>
      <c r="J72" s="432"/>
      <c r="K72" s="433"/>
      <c r="L72" s="434"/>
      <c r="M72" s="433"/>
      <c r="N72" s="276">
        <f>Renewables_Electricity_Frontend[[#This Row],[kWh consumed by reporting organisation]]+Renewables_Electricity_Frontend[[#This Row],[kWh exported to grid]]+Renewables_Electricity_Frontend[[#This Row],[kWh exported to other PSB]]</f>
        <v>0</v>
      </c>
      <c r="O72" s="439"/>
      <c r="P72" s="439"/>
      <c r="Q72" s="440"/>
      <c r="R72" s="441"/>
      <c r="S72" s="338"/>
      <c r="T72" s="338"/>
      <c r="U72" s="442"/>
      <c r="V72" s="242">
        <f t="shared" si="1"/>
        <v>11</v>
      </c>
      <c r="Z72" s="212" t="str">
        <f t="shared" si="2"/>
        <v/>
      </c>
      <c r="AA72" s="174" t="s">
        <v>149</v>
      </c>
      <c r="AB72" s="174" t="s">
        <v>149</v>
      </c>
      <c r="AC72" s="174">
        <f>Renewables_Electricity_Frontend[[#This Row],[Renewable Type]]</f>
        <v>0</v>
      </c>
      <c r="AD72" s="174" t="e" cm="1">
        <f t="array" aca="1" ref="AD72" ca="1">_xlfn.XLOOKUP(Renewables_Electricity_Backend[[#This Row],[Level 3]],rng_Level3Long,rng_Level4Long)</f>
        <v>#N/A</v>
      </c>
      <c r="AE72" s="174" t="e" cm="1">
        <f t="array" aca="1" ref="AE72" ca="1">_xlfn.XLOOKUP(Renewables_Electricity_Backend[[#This Row],[Level 3]],rng_Level3Long,rng_Level5Long)</f>
        <v>#N/A</v>
      </c>
      <c r="AF72" s="174" t="e" cm="1">
        <f t="array" aca="1" ref="AF72" ca="1">_xlfn.XLOOKUP(Renewables_Electricity_Backend[[#This Row],[Level 3]],rng_Level3Long,rng_Level6Long)</f>
        <v>#N/A</v>
      </c>
      <c r="AG72" s="174">
        <f>Renewables_Electricity_Frontend[[#This Row],[Generating site name]]</f>
        <v>0</v>
      </c>
      <c r="AH72" s="174"/>
      <c r="AI72" s="174">
        <f>Renewables_Electricity_Frontend[[#This Row],[Methodology used]]</f>
        <v>0</v>
      </c>
      <c r="AJ72" s="220" t="e" cm="1">
        <f t="array" aca="1" ref="AJ72" ca="1">INDEX(_xlfn.SWITCH(Renewables_Electricity_Backend[[#This Row],[Methodology]],"Tier 1",rng_RSD1,"Tier 2",rng_RSD2,"Tier 3",rng_RSD3),MATCH(_xlfn.CONCAT(Renewables_Electricity_Backend[[#This Row],[Level 1]:[Level 6]]),rng_LevelsConcat,0))</f>
        <v>#N/A</v>
      </c>
      <c r="AK72" s="174">
        <f>Renewables_Electricity_Frontend[[#This Row],[Age (years)]]</f>
        <v>0</v>
      </c>
      <c r="AL72" s="174">
        <f>Renewables_Electricity_Frontend[[#This Row],[Availability]]</f>
        <v>0</v>
      </c>
      <c r="AM72" s="174">
        <f>Renewables_Electricity_Frontend[[#This Row],[Total kW capacity]]</f>
        <v>0</v>
      </c>
      <c r="AN72" s="220">
        <f>Renewables_Electricity_Frontend[[#This Row],[Total kWh generated]]</f>
        <v>0</v>
      </c>
      <c r="AO72" s="412">
        <f>Renewables_Electricity_Frontend[[#This Row],[kWh consumed by reporting organisation]]</f>
        <v>0</v>
      </c>
      <c r="AP72" s="412">
        <f>Renewables_Electricity_Frontend[[#This Row],[kWh exported to grid]]</f>
        <v>0</v>
      </c>
      <c r="AQ72" s="412">
        <f>Renewables_Electricity_Frontend[[#This Row],[kWh exported to other PSB]]</f>
        <v>0</v>
      </c>
      <c r="AR72" s="174">
        <f>Renewables_Electricity_Frontend[[#This Row],[Name of other PSB]]</f>
        <v>0</v>
      </c>
      <c r="AS72" s="174">
        <f>Renewables_Electricity_Frontend[[#This Row],[Ease of collection]]</f>
        <v>0</v>
      </c>
      <c r="AT72" s="174">
        <f>Renewables_Electricity_Frontend[[#This Row],[Ease of collection]]</f>
        <v>0</v>
      </c>
      <c r="AU72" s="174">
        <f>Renewables_Electricity_Frontend[[#This Row],[Completeness]]</f>
        <v>0</v>
      </c>
    </row>
    <row r="73" spans="2:47" s="147" customFormat="1" ht="14" x14ac:dyDescent="0.3">
      <c r="B73" s="455"/>
      <c r="E73" s="431"/>
      <c r="F73" s="432"/>
      <c r="G73" s="432"/>
      <c r="H73" s="432"/>
      <c r="I73" s="432"/>
      <c r="J73" s="432"/>
      <c r="K73" s="433"/>
      <c r="L73" s="434"/>
      <c r="M73" s="433"/>
      <c r="N73" s="276">
        <f>Renewables_Electricity_Frontend[[#This Row],[kWh consumed by reporting organisation]]+Renewables_Electricity_Frontend[[#This Row],[kWh exported to grid]]+Renewables_Electricity_Frontend[[#This Row],[kWh exported to other PSB]]</f>
        <v>0</v>
      </c>
      <c r="O73" s="439"/>
      <c r="P73" s="439"/>
      <c r="Q73" s="440"/>
      <c r="R73" s="441"/>
      <c r="S73" s="338"/>
      <c r="T73" s="338"/>
      <c r="U73" s="442"/>
      <c r="V73" s="242">
        <f t="shared" si="1"/>
        <v>11</v>
      </c>
      <c r="Z73" s="212" t="str">
        <f t="shared" si="2"/>
        <v/>
      </c>
      <c r="AA73" s="174" t="s">
        <v>149</v>
      </c>
      <c r="AB73" s="174" t="s">
        <v>149</v>
      </c>
      <c r="AC73" s="174">
        <f>Renewables_Electricity_Frontend[[#This Row],[Renewable Type]]</f>
        <v>0</v>
      </c>
      <c r="AD73" s="174" t="e" cm="1">
        <f t="array" aca="1" ref="AD73" ca="1">_xlfn.XLOOKUP(Renewables_Electricity_Backend[[#This Row],[Level 3]],rng_Level3Long,rng_Level4Long)</f>
        <v>#N/A</v>
      </c>
      <c r="AE73" s="174" t="e" cm="1">
        <f t="array" aca="1" ref="AE73" ca="1">_xlfn.XLOOKUP(Renewables_Electricity_Backend[[#This Row],[Level 3]],rng_Level3Long,rng_Level5Long)</f>
        <v>#N/A</v>
      </c>
      <c r="AF73" s="174" t="e" cm="1">
        <f t="array" aca="1" ref="AF73" ca="1">_xlfn.XLOOKUP(Renewables_Electricity_Backend[[#This Row],[Level 3]],rng_Level3Long,rng_Level6Long)</f>
        <v>#N/A</v>
      </c>
      <c r="AG73" s="174">
        <f>Renewables_Electricity_Frontend[[#This Row],[Generating site name]]</f>
        <v>0</v>
      </c>
      <c r="AH73" s="174"/>
      <c r="AI73" s="174">
        <f>Renewables_Electricity_Frontend[[#This Row],[Methodology used]]</f>
        <v>0</v>
      </c>
      <c r="AJ73" s="220" t="e" cm="1">
        <f t="array" aca="1" ref="AJ73" ca="1">INDEX(_xlfn.SWITCH(Renewables_Electricity_Backend[[#This Row],[Methodology]],"Tier 1",rng_RSD1,"Tier 2",rng_RSD2,"Tier 3",rng_RSD3),MATCH(_xlfn.CONCAT(Renewables_Electricity_Backend[[#This Row],[Level 1]:[Level 6]]),rng_LevelsConcat,0))</f>
        <v>#N/A</v>
      </c>
      <c r="AK73" s="174">
        <f>Renewables_Electricity_Frontend[[#This Row],[Age (years)]]</f>
        <v>0</v>
      </c>
      <c r="AL73" s="174">
        <f>Renewables_Electricity_Frontend[[#This Row],[Availability]]</f>
        <v>0</v>
      </c>
      <c r="AM73" s="174">
        <f>Renewables_Electricity_Frontend[[#This Row],[Total kW capacity]]</f>
        <v>0</v>
      </c>
      <c r="AN73" s="220">
        <f>Renewables_Electricity_Frontend[[#This Row],[Total kWh generated]]</f>
        <v>0</v>
      </c>
      <c r="AO73" s="412">
        <f>Renewables_Electricity_Frontend[[#This Row],[kWh consumed by reporting organisation]]</f>
        <v>0</v>
      </c>
      <c r="AP73" s="412">
        <f>Renewables_Electricity_Frontend[[#This Row],[kWh exported to grid]]</f>
        <v>0</v>
      </c>
      <c r="AQ73" s="412">
        <f>Renewables_Electricity_Frontend[[#This Row],[kWh exported to other PSB]]</f>
        <v>0</v>
      </c>
      <c r="AR73" s="174">
        <f>Renewables_Electricity_Frontend[[#This Row],[Name of other PSB]]</f>
        <v>0</v>
      </c>
      <c r="AS73" s="174">
        <f>Renewables_Electricity_Frontend[[#This Row],[Ease of collection]]</f>
        <v>0</v>
      </c>
      <c r="AT73" s="174">
        <f>Renewables_Electricity_Frontend[[#This Row],[Ease of collection]]</f>
        <v>0</v>
      </c>
      <c r="AU73" s="174">
        <f>Renewables_Electricity_Frontend[[#This Row],[Completeness]]</f>
        <v>0</v>
      </c>
    </row>
    <row r="74" spans="2:47" s="147" customFormat="1" ht="14" x14ac:dyDescent="0.3">
      <c r="B74" s="455"/>
      <c r="E74" s="431"/>
      <c r="F74" s="432"/>
      <c r="G74" s="432"/>
      <c r="H74" s="432"/>
      <c r="I74" s="432"/>
      <c r="J74" s="432"/>
      <c r="K74" s="433"/>
      <c r="L74" s="434"/>
      <c r="M74" s="433"/>
      <c r="N74" s="276">
        <f>Renewables_Electricity_Frontend[[#This Row],[kWh consumed by reporting organisation]]+Renewables_Electricity_Frontend[[#This Row],[kWh exported to grid]]+Renewables_Electricity_Frontend[[#This Row],[kWh exported to other PSB]]</f>
        <v>0</v>
      </c>
      <c r="O74" s="439"/>
      <c r="P74" s="439"/>
      <c r="Q74" s="440"/>
      <c r="R74" s="441"/>
      <c r="S74" s="338"/>
      <c r="T74" s="338"/>
      <c r="U74" s="442"/>
      <c r="V74" s="242">
        <f t="shared" si="1"/>
        <v>11</v>
      </c>
      <c r="Z74" s="212" t="str">
        <f t="shared" si="2"/>
        <v/>
      </c>
      <c r="AA74" s="174" t="s">
        <v>149</v>
      </c>
      <c r="AB74" s="174" t="s">
        <v>149</v>
      </c>
      <c r="AC74" s="174">
        <f>Renewables_Electricity_Frontend[[#This Row],[Renewable Type]]</f>
        <v>0</v>
      </c>
      <c r="AD74" s="174" t="e" cm="1">
        <f t="array" aca="1" ref="AD74" ca="1">_xlfn.XLOOKUP(Renewables_Electricity_Backend[[#This Row],[Level 3]],rng_Level3Long,rng_Level4Long)</f>
        <v>#N/A</v>
      </c>
      <c r="AE74" s="174" t="e" cm="1">
        <f t="array" aca="1" ref="AE74" ca="1">_xlfn.XLOOKUP(Renewables_Electricity_Backend[[#This Row],[Level 3]],rng_Level3Long,rng_Level5Long)</f>
        <v>#N/A</v>
      </c>
      <c r="AF74" s="174" t="e" cm="1">
        <f t="array" aca="1" ref="AF74" ca="1">_xlfn.XLOOKUP(Renewables_Electricity_Backend[[#This Row],[Level 3]],rng_Level3Long,rng_Level6Long)</f>
        <v>#N/A</v>
      </c>
      <c r="AG74" s="174">
        <f>Renewables_Electricity_Frontend[[#This Row],[Generating site name]]</f>
        <v>0</v>
      </c>
      <c r="AH74" s="174"/>
      <c r="AI74" s="174">
        <f>Renewables_Electricity_Frontend[[#This Row],[Methodology used]]</f>
        <v>0</v>
      </c>
      <c r="AJ74" s="220" t="e" cm="1">
        <f t="array" aca="1" ref="AJ74" ca="1">INDEX(_xlfn.SWITCH(Renewables_Electricity_Backend[[#This Row],[Methodology]],"Tier 1",rng_RSD1,"Tier 2",rng_RSD2,"Tier 3",rng_RSD3),MATCH(_xlfn.CONCAT(Renewables_Electricity_Backend[[#This Row],[Level 1]:[Level 6]]),rng_LevelsConcat,0))</f>
        <v>#N/A</v>
      </c>
      <c r="AK74" s="174">
        <f>Renewables_Electricity_Frontend[[#This Row],[Age (years)]]</f>
        <v>0</v>
      </c>
      <c r="AL74" s="174">
        <f>Renewables_Electricity_Frontend[[#This Row],[Availability]]</f>
        <v>0</v>
      </c>
      <c r="AM74" s="174">
        <f>Renewables_Electricity_Frontend[[#This Row],[Total kW capacity]]</f>
        <v>0</v>
      </c>
      <c r="AN74" s="220">
        <f>Renewables_Electricity_Frontend[[#This Row],[Total kWh generated]]</f>
        <v>0</v>
      </c>
      <c r="AO74" s="412">
        <f>Renewables_Electricity_Frontend[[#This Row],[kWh consumed by reporting organisation]]</f>
        <v>0</v>
      </c>
      <c r="AP74" s="412">
        <f>Renewables_Electricity_Frontend[[#This Row],[kWh exported to grid]]</f>
        <v>0</v>
      </c>
      <c r="AQ74" s="412">
        <f>Renewables_Electricity_Frontend[[#This Row],[kWh exported to other PSB]]</f>
        <v>0</v>
      </c>
      <c r="AR74" s="174">
        <f>Renewables_Electricity_Frontend[[#This Row],[Name of other PSB]]</f>
        <v>0</v>
      </c>
      <c r="AS74" s="174">
        <f>Renewables_Electricity_Frontend[[#This Row],[Ease of collection]]</f>
        <v>0</v>
      </c>
      <c r="AT74" s="174">
        <f>Renewables_Electricity_Frontend[[#This Row],[Ease of collection]]</f>
        <v>0</v>
      </c>
      <c r="AU74" s="174">
        <f>Renewables_Electricity_Frontend[[#This Row],[Completeness]]</f>
        <v>0</v>
      </c>
    </row>
    <row r="75" spans="2:47" s="147" customFormat="1" x14ac:dyDescent="0.35">
      <c r="B75" s="455"/>
      <c r="E75" s="431"/>
      <c r="F75" s="432"/>
      <c r="G75" s="432"/>
      <c r="H75" s="432"/>
      <c r="I75" s="432"/>
      <c r="J75" s="432"/>
      <c r="K75" s="433"/>
      <c r="L75" s="434"/>
      <c r="M75" s="433"/>
      <c r="N75" s="276">
        <f>Renewables_Electricity_Frontend[[#This Row],[kWh consumed by reporting organisation]]+Renewables_Electricity_Frontend[[#This Row],[kWh exported to grid]]+Renewables_Electricity_Frontend[[#This Row],[kWh exported to other PSB]]</f>
        <v>0</v>
      </c>
      <c r="O75" s="439"/>
      <c r="P75" s="439"/>
      <c r="Q75" s="440"/>
      <c r="R75" s="441"/>
      <c r="S75" s="338"/>
      <c r="T75" s="338"/>
      <c r="U75" s="442"/>
      <c r="V75" s="242">
        <f t="shared" si="1"/>
        <v>11</v>
      </c>
      <c r="Z75" s="212" t="str">
        <f t="shared" si="2"/>
        <v/>
      </c>
      <c r="AA75" s="174" t="s">
        <v>149</v>
      </c>
      <c r="AB75" s="174" t="s">
        <v>149</v>
      </c>
      <c r="AC75" s="173">
        <f>Renewables_Electricity_Frontend[[#This Row],[Renewable Type]]</f>
        <v>0</v>
      </c>
      <c r="AD75" s="173" t="e" cm="1">
        <f t="array" aca="1" ref="AD75" ca="1">_xlfn.XLOOKUP(Renewables_Electricity_Backend[[#This Row],[Level 3]],rng_Level3Long,rng_Level4Long)</f>
        <v>#N/A</v>
      </c>
      <c r="AE75" s="173" t="e" cm="1">
        <f t="array" aca="1" ref="AE75" ca="1">_xlfn.XLOOKUP(Renewables_Electricity_Backend[[#This Row],[Level 3]],rng_Level3Long,rng_Level5Long)</f>
        <v>#N/A</v>
      </c>
      <c r="AF75" s="173" t="e" cm="1">
        <f t="array" aca="1" ref="AF75" ca="1">_xlfn.XLOOKUP(Renewables_Electricity_Backend[[#This Row],[Level 3]],rng_Level3Long,rng_Level6Long)</f>
        <v>#N/A</v>
      </c>
      <c r="AG75" s="174">
        <f>Renewables_Electricity_Frontend[[#This Row],[Generating site name]]</f>
        <v>0</v>
      </c>
      <c r="AH75" s="174"/>
      <c r="AI75" s="174">
        <f>Renewables_Electricity_Frontend[[#This Row],[Methodology used]]</f>
        <v>0</v>
      </c>
      <c r="AJ75" s="220" t="e" cm="1">
        <f t="array" aca="1" ref="AJ75" ca="1">INDEX(_xlfn.SWITCH(Renewables_Electricity_Backend[[#This Row],[Methodology]],"Tier 1",rng_RSD1,"Tier 2",rng_RSD2,"Tier 3",rng_RSD3),MATCH(_xlfn.CONCAT(Renewables_Electricity_Backend[[#This Row],[Level 1]:[Level 6]]),rng_LevelsConcat,0))</f>
        <v>#N/A</v>
      </c>
      <c r="AK75" s="174">
        <f>Renewables_Electricity_Frontend[[#This Row],[Age (years)]]</f>
        <v>0</v>
      </c>
      <c r="AL75" s="174">
        <f>Renewables_Electricity_Frontend[[#This Row],[Availability]]</f>
        <v>0</v>
      </c>
      <c r="AM75" s="174">
        <f>Renewables_Electricity_Frontend[[#This Row],[Total kW capacity]]</f>
        <v>0</v>
      </c>
      <c r="AN75" s="220">
        <f>Renewables_Electricity_Frontend[[#This Row],[Total kWh generated]]</f>
        <v>0</v>
      </c>
      <c r="AO75" s="412">
        <f>Renewables_Electricity_Frontend[[#This Row],[kWh consumed by reporting organisation]]</f>
        <v>0</v>
      </c>
      <c r="AP75" s="412">
        <f>Renewables_Electricity_Frontend[[#This Row],[kWh exported to grid]]</f>
        <v>0</v>
      </c>
      <c r="AQ75" s="412">
        <f>Renewables_Electricity_Frontend[[#This Row],[kWh exported to other PSB]]</f>
        <v>0</v>
      </c>
      <c r="AR75" s="174">
        <f>Renewables_Electricity_Frontend[[#This Row],[Name of other PSB]]</f>
        <v>0</v>
      </c>
      <c r="AS75" s="174">
        <f>Renewables_Electricity_Frontend[[#This Row],[Ease of collection]]</f>
        <v>0</v>
      </c>
      <c r="AT75" s="174">
        <f>Renewables_Electricity_Frontend[[#This Row],[Ease of collection]]</f>
        <v>0</v>
      </c>
      <c r="AU75" s="174">
        <f>Renewables_Electricity_Frontend[[#This Row],[Completeness]]</f>
        <v>0</v>
      </c>
    </row>
    <row r="76" spans="2:47" s="147" customFormat="1" ht="14" x14ac:dyDescent="0.3">
      <c r="B76" s="455"/>
      <c r="E76" s="431"/>
      <c r="F76" s="432"/>
      <c r="G76" s="432"/>
      <c r="H76" s="432"/>
      <c r="I76" s="432"/>
      <c r="J76" s="432"/>
      <c r="K76" s="433"/>
      <c r="L76" s="434"/>
      <c r="M76" s="433"/>
      <c r="N76" s="276">
        <f>Renewables_Electricity_Frontend[[#This Row],[kWh consumed by reporting organisation]]+Renewables_Electricity_Frontend[[#This Row],[kWh exported to grid]]+Renewables_Electricity_Frontend[[#This Row],[kWh exported to other PSB]]</f>
        <v>0</v>
      </c>
      <c r="O76" s="439"/>
      <c r="P76" s="439"/>
      <c r="Q76" s="440"/>
      <c r="R76" s="441"/>
      <c r="S76" s="338"/>
      <c r="T76" s="338"/>
      <c r="U76" s="442"/>
      <c r="V76" s="242">
        <f t="shared" si="1"/>
        <v>11</v>
      </c>
      <c r="Z76" s="212" t="str">
        <f t="shared" si="2"/>
        <v/>
      </c>
      <c r="AA76" s="174" t="s">
        <v>149</v>
      </c>
      <c r="AB76" s="174" t="s">
        <v>149</v>
      </c>
      <c r="AC76" s="174">
        <f>Renewables_Electricity_Frontend[[#This Row],[Renewable Type]]</f>
        <v>0</v>
      </c>
      <c r="AD76" s="174" t="e" cm="1">
        <f t="array" aca="1" ref="AD76" ca="1">_xlfn.XLOOKUP(Renewables_Electricity_Backend[[#This Row],[Level 3]],rng_Level3Long,rng_Level4Long)</f>
        <v>#N/A</v>
      </c>
      <c r="AE76" s="174" t="e" cm="1">
        <f t="array" aca="1" ref="AE76" ca="1">_xlfn.XLOOKUP(Renewables_Electricity_Backend[[#This Row],[Level 3]],rng_Level3Long,rng_Level5Long)</f>
        <v>#N/A</v>
      </c>
      <c r="AF76" s="174" t="e" cm="1">
        <f t="array" aca="1" ref="AF76" ca="1">_xlfn.XLOOKUP(Renewables_Electricity_Backend[[#This Row],[Level 3]],rng_Level3Long,rng_Level6Long)</f>
        <v>#N/A</v>
      </c>
      <c r="AG76" s="174">
        <f>Renewables_Electricity_Frontend[[#This Row],[Generating site name]]</f>
        <v>0</v>
      </c>
      <c r="AH76" s="174"/>
      <c r="AI76" s="174">
        <f>Renewables_Electricity_Frontend[[#This Row],[Methodology used]]</f>
        <v>0</v>
      </c>
      <c r="AJ76" s="220" t="e" cm="1">
        <f t="array" aca="1" ref="AJ76" ca="1">INDEX(_xlfn.SWITCH(Renewables_Electricity_Backend[[#This Row],[Methodology]],"Tier 1",rng_RSD1,"Tier 2",rng_RSD2,"Tier 3",rng_RSD3),MATCH(_xlfn.CONCAT(Renewables_Electricity_Backend[[#This Row],[Level 1]:[Level 6]]),rng_LevelsConcat,0))</f>
        <v>#N/A</v>
      </c>
      <c r="AK76" s="174">
        <f>Renewables_Electricity_Frontend[[#This Row],[Age (years)]]</f>
        <v>0</v>
      </c>
      <c r="AL76" s="174">
        <f>Renewables_Electricity_Frontend[[#This Row],[Availability]]</f>
        <v>0</v>
      </c>
      <c r="AM76" s="174">
        <f>Renewables_Electricity_Frontend[[#This Row],[Total kW capacity]]</f>
        <v>0</v>
      </c>
      <c r="AN76" s="220">
        <f>Renewables_Electricity_Frontend[[#This Row],[Total kWh generated]]</f>
        <v>0</v>
      </c>
      <c r="AO76" s="412">
        <f>Renewables_Electricity_Frontend[[#This Row],[kWh consumed by reporting organisation]]</f>
        <v>0</v>
      </c>
      <c r="AP76" s="412">
        <f>Renewables_Electricity_Frontend[[#This Row],[kWh exported to grid]]</f>
        <v>0</v>
      </c>
      <c r="AQ76" s="412">
        <f>Renewables_Electricity_Frontend[[#This Row],[kWh exported to other PSB]]</f>
        <v>0</v>
      </c>
      <c r="AR76" s="174">
        <f>Renewables_Electricity_Frontend[[#This Row],[Name of other PSB]]</f>
        <v>0</v>
      </c>
      <c r="AS76" s="174">
        <f>Renewables_Electricity_Frontend[[#This Row],[Ease of collection]]</f>
        <v>0</v>
      </c>
      <c r="AT76" s="174">
        <f>Renewables_Electricity_Frontend[[#This Row],[Ease of collection]]</f>
        <v>0</v>
      </c>
      <c r="AU76" s="174">
        <f>Renewables_Electricity_Frontend[[#This Row],[Completeness]]</f>
        <v>0</v>
      </c>
    </row>
    <row r="77" spans="2:47" s="147" customFormat="1" ht="14" x14ac:dyDescent="0.3">
      <c r="B77" s="455"/>
      <c r="E77" s="431"/>
      <c r="F77" s="432"/>
      <c r="G77" s="432"/>
      <c r="H77" s="432"/>
      <c r="I77" s="432"/>
      <c r="J77" s="432"/>
      <c r="K77" s="433"/>
      <c r="L77" s="434"/>
      <c r="M77" s="433"/>
      <c r="N77" s="276">
        <f>Renewables_Electricity_Frontend[[#This Row],[kWh consumed by reporting organisation]]+Renewables_Electricity_Frontend[[#This Row],[kWh exported to grid]]+Renewables_Electricity_Frontend[[#This Row],[kWh exported to other PSB]]</f>
        <v>0</v>
      </c>
      <c r="O77" s="439"/>
      <c r="P77" s="439"/>
      <c r="Q77" s="440"/>
      <c r="R77" s="441"/>
      <c r="S77" s="338"/>
      <c r="T77" s="338"/>
      <c r="U77" s="442"/>
      <c r="V77" s="242">
        <f t="shared" si="1"/>
        <v>11</v>
      </c>
      <c r="Z77" s="212" t="str">
        <f t="shared" si="2"/>
        <v/>
      </c>
      <c r="AA77" s="174" t="s">
        <v>149</v>
      </c>
      <c r="AB77" s="174" t="s">
        <v>149</v>
      </c>
      <c r="AC77" s="174">
        <f>Renewables_Electricity_Frontend[[#This Row],[Renewable Type]]</f>
        <v>0</v>
      </c>
      <c r="AD77" s="174" t="e" cm="1">
        <f t="array" aca="1" ref="AD77" ca="1">_xlfn.XLOOKUP(Renewables_Electricity_Backend[[#This Row],[Level 3]],rng_Level3Long,rng_Level4Long)</f>
        <v>#N/A</v>
      </c>
      <c r="AE77" s="174" t="e" cm="1">
        <f t="array" aca="1" ref="AE77" ca="1">_xlfn.XLOOKUP(Renewables_Electricity_Backend[[#This Row],[Level 3]],rng_Level3Long,rng_Level5Long)</f>
        <v>#N/A</v>
      </c>
      <c r="AF77" s="174" t="e" cm="1">
        <f t="array" aca="1" ref="AF77" ca="1">_xlfn.XLOOKUP(Renewables_Electricity_Backend[[#This Row],[Level 3]],rng_Level3Long,rng_Level6Long)</f>
        <v>#N/A</v>
      </c>
      <c r="AG77" s="174">
        <f>Renewables_Electricity_Frontend[[#This Row],[Generating site name]]</f>
        <v>0</v>
      </c>
      <c r="AH77" s="174"/>
      <c r="AI77" s="174">
        <f>Renewables_Electricity_Frontend[[#This Row],[Methodology used]]</f>
        <v>0</v>
      </c>
      <c r="AJ77" s="220" t="e" cm="1">
        <f t="array" aca="1" ref="AJ77" ca="1">INDEX(_xlfn.SWITCH(Renewables_Electricity_Backend[[#This Row],[Methodology]],"Tier 1",rng_RSD1,"Tier 2",rng_RSD2,"Tier 3",rng_RSD3),MATCH(_xlfn.CONCAT(Renewables_Electricity_Backend[[#This Row],[Level 1]:[Level 6]]),rng_LevelsConcat,0))</f>
        <v>#N/A</v>
      </c>
      <c r="AK77" s="174">
        <f>Renewables_Electricity_Frontend[[#This Row],[Age (years)]]</f>
        <v>0</v>
      </c>
      <c r="AL77" s="174">
        <f>Renewables_Electricity_Frontend[[#This Row],[Availability]]</f>
        <v>0</v>
      </c>
      <c r="AM77" s="174">
        <f>Renewables_Electricity_Frontend[[#This Row],[Total kW capacity]]</f>
        <v>0</v>
      </c>
      <c r="AN77" s="220">
        <f>Renewables_Electricity_Frontend[[#This Row],[Total kWh generated]]</f>
        <v>0</v>
      </c>
      <c r="AO77" s="412">
        <f>Renewables_Electricity_Frontend[[#This Row],[kWh consumed by reporting organisation]]</f>
        <v>0</v>
      </c>
      <c r="AP77" s="412">
        <f>Renewables_Electricity_Frontend[[#This Row],[kWh exported to grid]]</f>
        <v>0</v>
      </c>
      <c r="AQ77" s="412">
        <f>Renewables_Electricity_Frontend[[#This Row],[kWh exported to other PSB]]</f>
        <v>0</v>
      </c>
      <c r="AR77" s="174">
        <f>Renewables_Electricity_Frontend[[#This Row],[Name of other PSB]]</f>
        <v>0</v>
      </c>
      <c r="AS77" s="174">
        <f>Renewables_Electricity_Frontend[[#This Row],[Ease of collection]]</f>
        <v>0</v>
      </c>
      <c r="AT77" s="174">
        <f>Renewables_Electricity_Frontend[[#This Row],[Ease of collection]]</f>
        <v>0</v>
      </c>
      <c r="AU77" s="174">
        <f>Renewables_Electricity_Frontend[[#This Row],[Completeness]]</f>
        <v>0</v>
      </c>
    </row>
    <row r="78" spans="2:47" s="147" customFormat="1" ht="14" x14ac:dyDescent="0.3">
      <c r="B78" s="455"/>
      <c r="E78" s="431"/>
      <c r="F78" s="432"/>
      <c r="G78" s="432"/>
      <c r="H78" s="432"/>
      <c r="I78" s="432"/>
      <c r="J78" s="432"/>
      <c r="K78" s="433"/>
      <c r="L78" s="434"/>
      <c r="M78" s="433"/>
      <c r="N78" s="276">
        <f>Renewables_Electricity_Frontend[[#This Row],[kWh consumed by reporting organisation]]+Renewables_Electricity_Frontend[[#This Row],[kWh exported to grid]]+Renewables_Electricity_Frontend[[#This Row],[kWh exported to other PSB]]</f>
        <v>0</v>
      </c>
      <c r="O78" s="439"/>
      <c r="P78" s="439"/>
      <c r="Q78" s="440"/>
      <c r="R78" s="441"/>
      <c r="S78" s="338"/>
      <c r="T78" s="338"/>
      <c r="U78" s="442"/>
      <c r="V78" s="242">
        <f t="shared" si="1"/>
        <v>11</v>
      </c>
      <c r="Z78" s="212" t="str">
        <f t="shared" si="2"/>
        <v/>
      </c>
      <c r="AA78" s="174" t="s">
        <v>149</v>
      </c>
      <c r="AB78" s="174" t="s">
        <v>149</v>
      </c>
      <c r="AC78" s="174">
        <f>Renewables_Electricity_Frontend[[#This Row],[Renewable Type]]</f>
        <v>0</v>
      </c>
      <c r="AD78" s="174" t="e" cm="1">
        <f t="array" aca="1" ref="AD78" ca="1">_xlfn.XLOOKUP(Renewables_Electricity_Backend[[#This Row],[Level 3]],rng_Level3Long,rng_Level4Long)</f>
        <v>#N/A</v>
      </c>
      <c r="AE78" s="174" t="e" cm="1">
        <f t="array" aca="1" ref="AE78" ca="1">_xlfn.XLOOKUP(Renewables_Electricity_Backend[[#This Row],[Level 3]],rng_Level3Long,rng_Level5Long)</f>
        <v>#N/A</v>
      </c>
      <c r="AF78" s="174" t="e" cm="1">
        <f t="array" aca="1" ref="AF78" ca="1">_xlfn.XLOOKUP(Renewables_Electricity_Backend[[#This Row],[Level 3]],rng_Level3Long,rng_Level6Long)</f>
        <v>#N/A</v>
      </c>
      <c r="AG78" s="174">
        <f>Renewables_Electricity_Frontend[[#This Row],[Generating site name]]</f>
        <v>0</v>
      </c>
      <c r="AH78" s="174"/>
      <c r="AI78" s="174">
        <f>Renewables_Electricity_Frontend[[#This Row],[Methodology used]]</f>
        <v>0</v>
      </c>
      <c r="AJ78" s="220" t="e" cm="1">
        <f t="array" aca="1" ref="AJ78" ca="1">INDEX(_xlfn.SWITCH(Renewables_Electricity_Backend[[#This Row],[Methodology]],"Tier 1",rng_RSD1,"Tier 2",rng_RSD2,"Tier 3",rng_RSD3),MATCH(_xlfn.CONCAT(Renewables_Electricity_Backend[[#This Row],[Level 1]:[Level 6]]),rng_LevelsConcat,0))</f>
        <v>#N/A</v>
      </c>
      <c r="AK78" s="174">
        <f>Renewables_Electricity_Frontend[[#This Row],[Age (years)]]</f>
        <v>0</v>
      </c>
      <c r="AL78" s="174">
        <f>Renewables_Electricity_Frontend[[#This Row],[Availability]]</f>
        <v>0</v>
      </c>
      <c r="AM78" s="174">
        <f>Renewables_Electricity_Frontend[[#This Row],[Total kW capacity]]</f>
        <v>0</v>
      </c>
      <c r="AN78" s="220">
        <f>Renewables_Electricity_Frontend[[#This Row],[Total kWh generated]]</f>
        <v>0</v>
      </c>
      <c r="AO78" s="412">
        <f>Renewables_Electricity_Frontend[[#This Row],[kWh consumed by reporting organisation]]</f>
        <v>0</v>
      </c>
      <c r="AP78" s="412">
        <f>Renewables_Electricity_Frontend[[#This Row],[kWh exported to grid]]</f>
        <v>0</v>
      </c>
      <c r="AQ78" s="412">
        <f>Renewables_Electricity_Frontend[[#This Row],[kWh exported to other PSB]]</f>
        <v>0</v>
      </c>
      <c r="AR78" s="174">
        <f>Renewables_Electricity_Frontend[[#This Row],[Name of other PSB]]</f>
        <v>0</v>
      </c>
      <c r="AS78" s="174">
        <f>Renewables_Electricity_Frontend[[#This Row],[Ease of collection]]</f>
        <v>0</v>
      </c>
      <c r="AT78" s="174">
        <f>Renewables_Electricity_Frontend[[#This Row],[Ease of collection]]</f>
        <v>0</v>
      </c>
      <c r="AU78" s="174">
        <f>Renewables_Electricity_Frontend[[#This Row],[Completeness]]</f>
        <v>0</v>
      </c>
    </row>
    <row r="79" spans="2:47" s="147" customFormat="1" ht="14" x14ac:dyDescent="0.3">
      <c r="B79" s="455"/>
      <c r="E79" s="431"/>
      <c r="F79" s="432"/>
      <c r="G79" s="432"/>
      <c r="H79" s="432"/>
      <c r="I79" s="432"/>
      <c r="J79" s="432"/>
      <c r="K79" s="433"/>
      <c r="L79" s="434"/>
      <c r="M79" s="433"/>
      <c r="N79" s="276">
        <f>Renewables_Electricity_Frontend[[#This Row],[kWh consumed by reporting organisation]]+Renewables_Electricity_Frontend[[#This Row],[kWh exported to grid]]+Renewables_Electricity_Frontend[[#This Row],[kWh exported to other PSB]]</f>
        <v>0</v>
      </c>
      <c r="O79" s="439"/>
      <c r="P79" s="439"/>
      <c r="Q79" s="440"/>
      <c r="R79" s="441"/>
      <c r="S79" s="338"/>
      <c r="T79" s="338"/>
      <c r="U79" s="442"/>
      <c r="V79" s="242">
        <f t="shared" si="1"/>
        <v>11</v>
      </c>
      <c r="Z79" s="212" t="str">
        <f t="shared" ref="Z79:Z115" si="3">IF(V79=0,SUBSTITUTE(2025&amp;TRIM(cl_org_name_select)&amp;TRIM($E$12)&amp;(ROW(V79)-ROW(V79))," ",""),"")</f>
        <v/>
      </c>
      <c r="AA79" s="174" t="s">
        <v>149</v>
      </c>
      <c r="AB79" s="174" t="s">
        <v>149</v>
      </c>
      <c r="AC79" s="174">
        <f>Renewables_Electricity_Frontend[[#This Row],[Renewable Type]]</f>
        <v>0</v>
      </c>
      <c r="AD79" s="174" t="e" cm="1">
        <f t="array" aca="1" ref="AD79" ca="1">_xlfn.XLOOKUP(Renewables_Electricity_Backend[[#This Row],[Level 3]],rng_Level3Long,rng_Level4Long)</f>
        <v>#N/A</v>
      </c>
      <c r="AE79" s="174" t="e" cm="1">
        <f t="array" aca="1" ref="AE79" ca="1">_xlfn.XLOOKUP(Renewables_Electricity_Backend[[#This Row],[Level 3]],rng_Level3Long,rng_Level5Long)</f>
        <v>#N/A</v>
      </c>
      <c r="AF79" s="174" t="e" cm="1">
        <f t="array" aca="1" ref="AF79" ca="1">_xlfn.XLOOKUP(Renewables_Electricity_Backend[[#This Row],[Level 3]],rng_Level3Long,rng_Level6Long)</f>
        <v>#N/A</v>
      </c>
      <c r="AG79" s="174">
        <f>Renewables_Electricity_Frontend[[#This Row],[Generating site name]]</f>
        <v>0</v>
      </c>
      <c r="AH79" s="174"/>
      <c r="AI79" s="174">
        <f>Renewables_Electricity_Frontend[[#This Row],[Methodology used]]</f>
        <v>0</v>
      </c>
      <c r="AJ79" s="220" t="e" cm="1">
        <f t="array" aca="1" ref="AJ79" ca="1">INDEX(_xlfn.SWITCH(Renewables_Electricity_Backend[[#This Row],[Methodology]],"Tier 1",rng_RSD1,"Tier 2",rng_RSD2,"Tier 3",rng_RSD3),MATCH(_xlfn.CONCAT(Renewables_Electricity_Backend[[#This Row],[Level 1]:[Level 6]]),rng_LevelsConcat,0))</f>
        <v>#N/A</v>
      </c>
      <c r="AK79" s="174">
        <f>Renewables_Electricity_Frontend[[#This Row],[Age (years)]]</f>
        <v>0</v>
      </c>
      <c r="AL79" s="174">
        <f>Renewables_Electricity_Frontend[[#This Row],[Availability]]</f>
        <v>0</v>
      </c>
      <c r="AM79" s="174">
        <f>Renewables_Electricity_Frontend[[#This Row],[Total kW capacity]]</f>
        <v>0</v>
      </c>
      <c r="AN79" s="220">
        <f>Renewables_Electricity_Frontend[[#This Row],[Total kWh generated]]</f>
        <v>0</v>
      </c>
      <c r="AO79" s="412">
        <f>Renewables_Electricity_Frontend[[#This Row],[kWh consumed by reporting organisation]]</f>
        <v>0</v>
      </c>
      <c r="AP79" s="412">
        <f>Renewables_Electricity_Frontend[[#This Row],[kWh exported to grid]]</f>
        <v>0</v>
      </c>
      <c r="AQ79" s="412">
        <f>Renewables_Electricity_Frontend[[#This Row],[kWh exported to other PSB]]</f>
        <v>0</v>
      </c>
      <c r="AR79" s="174">
        <f>Renewables_Electricity_Frontend[[#This Row],[Name of other PSB]]</f>
        <v>0</v>
      </c>
      <c r="AS79" s="174">
        <f>Renewables_Electricity_Frontend[[#This Row],[Ease of collection]]</f>
        <v>0</v>
      </c>
      <c r="AT79" s="174">
        <f>Renewables_Electricity_Frontend[[#This Row],[Ease of collection]]</f>
        <v>0</v>
      </c>
      <c r="AU79" s="174">
        <f>Renewables_Electricity_Frontend[[#This Row],[Completeness]]</f>
        <v>0</v>
      </c>
    </row>
    <row r="80" spans="2:47" s="147" customFormat="1" ht="14" x14ac:dyDescent="0.3">
      <c r="B80" s="455"/>
      <c r="E80" s="431"/>
      <c r="F80" s="432"/>
      <c r="G80" s="432"/>
      <c r="H80" s="432"/>
      <c r="I80" s="432"/>
      <c r="J80" s="432"/>
      <c r="K80" s="433"/>
      <c r="L80" s="434"/>
      <c r="M80" s="433"/>
      <c r="N80" s="276">
        <f>Renewables_Electricity_Frontend[[#This Row],[kWh consumed by reporting organisation]]+Renewables_Electricity_Frontend[[#This Row],[kWh exported to grid]]+Renewables_Electricity_Frontend[[#This Row],[kWh exported to other PSB]]</f>
        <v>0</v>
      </c>
      <c r="O80" s="439"/>
      <c r="P80" s="439"/>
      <c r="Q80" s="440"/>
      <c r="R80" s="441"/>
      <c r="S80" s="338"/>
      <c r="T80" s="338"/>
      <c r="U80" s="442"/>
      <c r="V80" s="242">
        <f t="shared" ref="V80:V115" si="4">ISBLANK(E80)+ISBLANK(F80)+ISBLANK(G80)+ISBLANK(H80)+ISBLANK(I80)+ISBLANK(J80)+ISBLANK(K80)+ISBLANK(L80)+ISBLANK(M80)+ISBLANK(O80)+ISBLANK(P80)</f>
        <v>11</v>
      </c>
      <c r="Z80" s="212" t="str">
        <f t="shared" si="3"/>
        <v/>
      </c>
      <c r="AA80" s="174" t="s">
        <v>149</v>
      </c>
      <c r="AB80" s="174" t="s">
        <v>149</v>
      </c>
      <c r="AC80" s="174">
        <f>Renewables_Electricity_Frontend[[#This Row],[Renewable Type]]</f>
        <v>0</v>
      </c>
      <c r="AD80" s="174" t="e" cm="1">
        <f t="array" aca="1" ref="AD80" ca="1">_xlfn.XLOOKUP(Renewables_Electricity_Backend[[#This Row],[Level 3]],rng_Level3Long,rng_Level4Long)</f>
        <v>#N/A</v>
      </c>
      <c r="AE80" s="174" t="e" cm="1">
        <f t="array" aca="1" ref="AE80" ca="1">_xlfn.XLOOKUP(Renewables_Electricity_Backend[[#This Row],[Level 3]],rng_Level3Long,rng_Level5Long)</f>
        <v>#N/A</v>
      </c>
      <c r="AF80" s="174" t="e" cm="1">
        <f t="array" aca="1" ref="AF80" ca="1">_xlfn.XLOOKUP(Renewables_Electricity_Backend[[#This Row],[Level 3]],rng_Level3Long,rng_Level6Long)</f>
        <v>#N/A</v>
      </c>
      <c r="AG80" s="174">
        <f>Renewables_Electricity_Frontend[[#This Row],[Generating site name]]</f>
        <v>0</v>
      </c>
      <c r="AH80" s="174"/>
      <c r="AI80" s="174">
        <f>Renewables_Electricity_Frontend[[#This Row],[Methodology used]]</f>
        <v>0</v>
      </c>
      <c r="AJ80" s="220" t="e" cm="1">
        <f t="array" aca="1" ref="AJ80" ca="1">INDEX(_xlfn.SWITCH(Renewables_Electricity_Backend[[#This Row],[Methodology]],"Tier 1",rng_RSD1,"Tier 2",rng_RSD2,"Tier 3",rng_RSD3),MATCH(_xlfn.CONCAT(Renewables_Electricity_Backend[[#This Row],[Level 1]:[Level 6]]),rng_LevelsConcat,0))</f>
        <v>#N/A</v>
      </c>
      <c r="AK80" s="174">
        <f>Renewables_Electricity_Frontend[[#This Row],[Age (years)]]</f>
        <v>0</v>
      </c>
      <c r="AL80" s="174">
        <f>Renewables_Electricity_Frontend[[#This Row],[Availability]]</f>
        <v>0</v>
      </c>
      <c r="AM80" s="174">
        <f>Renewables_Electricity_Frontend[[#This Row],[Total kW capacity]]</f>
        <v>0</v>
      </c>
      <c r="AN80" s="220">
        <f>Renewables_Electricity_Frontend[[#This Row],[Total kWh generated]]</f>
        <v>0</v>
      </c>
      <c r="AO80" s="412">
        <f>Renewables_Electricity_Frontend[[#This Row],[kWh consumed by reporting organisation]]</f>
        <v>0</v>
      </c>
      <c r="AP80" s="412">
        <f>Renewables_Electricity_Frontend[[#This Row],[kWh exported to grid]]</f>
        <v>0</v>
      </c>
      <c r="AQ80" s="412">
        <f>Renewables_Electricity_Frontend[[#This Row],[kWh exported to other PSB]]</f>
        <v>0</v>
      </c>
      <c r="AR80" s="174">
        <f>Renewables_Electricity_Frontend[[#This Row],[Name of other PSB]]</f>
        <v>0</v>
      </c>
      <c r="AS80" s="174">
        <f>Renewables_Electricity_Frontend[[#This Row],[Ease of collection]]</f>
        <v>0</v>
      </c>
      <c r="AT80" s="174">
        <f>Renewables_Electricity_Frontend[[#This Row],[Ease of collection]]</f>
        <v>0</v>
      </c>
      <c r="AU80" s="174">
        <f>Renewables_Electricity_Frontend[[#This Row],[Completeness]]</f>
        <v>0</v>
      </c>
    </row>
    <row r="81" spans="2:47" s="147" customFormat="1" ht="14" x14ac:dyDescent="0.3">
      <c r="B81" s="455"/>
      <c r="E81" s="431"/>
      <c r="F81" s="432"/>
      <c r="G81" s="432"/>
      <c r="H81" s="432"/>
      <c r="I81" s="432"/>
      <c r="J81" s="432"/>
      <c r="K81" s="433"/>
      <c r="L81" s="434"/>
      <c r="M81" s="433"/>
      <c r="N81" s="276">
        <f>Renewables_Electricity_Frontend[[#This Row],[kWh consumed by reporting organisation]]+Renewables_Electricity_Frontend[[#This Row],[kWh exported to grid]]+Renewables_Electricity_Frontend[[#This Row],[kWh exported to other PSB]]</f>
        <v>0</v>
      </c>
      <c r="O81" s="439"/>
      <c r="P81" s="439"/>
      <c r="Q81" s="440"/>
      <c r="R81" s="441"/>
      <c r="S81" s="338"/>
      <c r="T81" s="338"/>
      <c r="U81" s="442"/>
      <c r="V81" s="242">
        <f t="shared" si="4"/>
        <v>11</v>
      </c>
      <c r="Z81" s="212" t="str">
        <f t="shared" si="3"/>
        <v/>
      </c>
      <c r="AA81" s="174" t="s">
        <v>149</v>
      </c>
      <c r="AB81" s="174" t="s">
        <v>149</v>
      </c>
      <c r="AC81" s="174">
        <f>Renewables_Electricity_Frontend[[#This Row],[Renewable Type]]</f>
        <v>0</v>
      </c>
      <c r="AD81" s="174" t="e" cm="1">
        <f t="array" aca="1" ref="AD81" ca="1">_xlfn.XLOOKUP(Renewables_Electricity_Backend[[#This Row],[Level 3]],rng_Level3Long,rng_Level4Long)</f>
        <v>#N/A</v>
      </c>
      <c r="AE81" s="174" t="e" cm="1">
        <f t="array" aca="1" ref="AE81" ca="1">_xlfn.XLOOKUP(Renewables_Electricity_Backend[[#This Row],[Level 3]],rng_Level3Long,rng_Level5Long)</f>
        <v>#N/A</v>
      </c>
      <c r="AF81" s="174" t="e" cm="1">
        <f t="array" aca="1" ref="AF81" ca="1">_xlfn.XLOOKUP(Renewables_Electricity_Backend[[#This Row],[Level 3]],rng_Level3Long,rng_Level6Long)</f>
        <v>#N/A</v>
      </c>
      <c r="AG81" s="174">
        <f>Renewables_Electricity_Frontend[[#This Row],[Generating site name]]</f>
        <v>0</v>
      </c>
      <c r="AH81" s="174"/>
      <c r="AI81" s="174">
        <f>Renewables_Electricity_Frontend[[#This Row],[Methodology used]]</f>
        <v>0</v>
      </c>
      <c r="AJ81" s="220" t="e" cm="1">
        <f t="array" aca="1" ref="AJ81" ca="1">INDEX(_xlfn.SWITCH(Renewables_Electricity_Backend[[#This Row],[Methodology]],"Tier 1",rng_RSD1,"Tier 2",rng_RSD2,"Tier 3",rng_RSD3),MATCH(_xlfn.CONCAT(Renewables_Electricity_Backend[[#This Row],[Level 1]:[Level 6]]),rng_LevelsConcat,0))</f>
        <v>#N/A</v>
      </c>
      <c r="AK81" s="174">
        <f>Renewables_Electricity_Frontend[[#This Row],[Age (years)]]</f>
        <v>0</v>
      </c>
      <c r="AL81" s="174">
        <f>Renewables_Electricity_Frontend[[#This Row],[Availability]]</f>
        <v>0</v>
      </c>
      <c r="AM81" s="174">
        <f>Renewables_Electricity_Frontend[[#This Row],[Total kW capacity]]</f>
        <v>0</v>
      </c>
      <c r="AN81" s="220">
        <f>Renewables_Electricity_Frontend[[#This Row],[Total kWh generated]]</f>
        <v>0</v>
      </c>
      <c r="AO81" s="412">
        <f>Renewables_Electricity_Frontend[[#This Row],[kWh consumed by reporting organisation]]</f>
        <v>0</v>
      </c>
      <c r="AP81" s="412">
        <f>Renewables_Electricity_Frontend[[#This Row],[kWh exported to grid]]</f>
        <v>0</v>
      </c>
      <c r="AQ81" s="412">
        <f>Renewables_Electricity_Frontend[[#This Row],[kWh exported to other PSB]]</f>
        <v>0</v>
      </c>
      <c r="AR81" s="174">
        <f>Renewables_Electricity_Frontend[[#This Row],[Name of other PSB]]</f>
        <v>0</v>
      </c>
      <c r="AS81" s="174">
        <f>Renewables_Electricity_Frontend[[#This Row],[Ease of collection]]</f>
        <v>0</v>
      </c>
      <c r="AT81" s="174">
        <f>Renewables_Electricity_Frontend[[#This Row],[Ease of collection]]</f>
        <v>0</v>
      </c>
      <c r="AU81" s="174">
        <f>Renewables_Electricity_Frontend[[#This Row],[Completeness]]</f>
        <v>0</v>
      </c>
    </row>
    <row r="82" spans="2:47" s="147" customFormat="1" ht="14" x14ac:dyDescent="0.3">
      <c r="B82" s="455"/>
      <c r="E82" s="431"/>
      <c r="F82" s="432"/>
      <c r="G82" s="432"/>
      <c r="H82" s="432"/>
      <c r="I82" s="432"/>
      <c r="J82" s="432"/>
      <c r="K82" s="433"/>
      <c r="L82" s="434"/>
      <c r="M82" s="433"/>
      <c r="N82" s="276">
        <f>Renewables_Electricity_Frontend[[#This Row],[kWh consumed by reporting organisation]]+Renewables_Electricity_Frontend[[#This Row],[kWh exported to grid]]+Renewables_Electricity_Frontend[[#This Row],[kWh exported to other PSB]]</f>
        <v>0</v>
      </c>
      <c r="O82" s="439"/>
      <c r="P82" s="439"/>
      <c r="Q82" s="440"/>
      <c r="R82" s="441"/>
      <c r="S82" s="338"/>
      <c r="T82" s="338"/>
      <c r="U82" s="442"/>
      <c r="V82" s="242">
        <f t="shared" si="4"/>
        <v>11</v>
      </c>
      <c r="Z82" s="212" t="str">
        <f t="shared" si="3"/>
        <v/>
      </c>
      <c r="AA82" s="174" t="s">
        <v>149</v>
      </c>
      <c r="AB82" s="174" t="s">
        <v>149</v>
      </c>
      <c r="AC82" s="174">
        <f>Renewables_Electricity_Frontend[[#This Row],[Renewable Type]]</f>
        <v>0</v>
      </c>
      <c r="AD82" s="174" t="e" cm="1">
        <f t="array" aca="1" ref="AD82" ca="1">_xlfn.XLOOKUP(Renewables_Electricity_Backend[[#This Row],[Level 3]],rng_Level3Long,rng_Level4Long)</f>
        <v>#N/A</v>
      </c>
      <c r="AE82" s="174" t="e" cm="1">
        <f t="array" aca="1" ref="AE82" ca="1">_xlfn.XLOOKUP(Renewables_Electricity_Backend[[#This Row],[Level 3]],rng_Level3Long,rng_Level5Long)</f>
        <v>#N/A</v>
      </c>
      <c r="AF82" s="174" t="e" cm="1">
        <f t="array" aca="1" ref="AF82" ca="1">_xlfn.XLOOKUP(Renewables_Electricity_Backend[[#This Row],[Level 3]],rng_Level3Long,rng_Level6Long)</f>
        <v>#N/A</v>
      </c>
      <c r="AG82" s="174">
        <f>Renewables_Electricity_Frontend[[#This Row],[Generating site name]]</f>
        <v>0</v>
      </c>
      <c r="AH82" s="174"/>
      <c r="AI82" s="174">
        <f>Renewables_Electricity_Frontend[[#This Row],[Methodology used]]</f>
        <v>0</v>
      </c>
      <c r="AJ82" s="220" t="e" cm="1">
        <f t="array" aca="1" ref="AJ82" ca="1">INDEX(_xlfn.SWITCH(Renewables_Electricity_Backend[[#This Row],[Methodology]],"Tier 1",rng_RSD1,"Tier 2",rng_RSD2,"Tier 3",rng_RSD3),MATCH(_xlfn.CONCAT(Renewables_Electricity_Backend[[#This Row],[Level 1]:[Level 6]]),rng_LevelsConcat,0))</f>
        <v>#N/A</v>
      </c>
      <c r="AK82" s="174">
        <f>Renewables_Electricity_Frontend[[#This Row],[Age (years)]]</f>
        <v>0</v>
      </c>
      <c r="AL82" s="174">
        <f>Renewables_Electricity_Frontend[[#This Row],[Availability]]</f>
        <v>0</v>
      </c>
      <c r="AM82" s="174">
        <f>Renewables_Electricity_Frontend[[#This Row],[Total kW capacity]]</f>
        <v>0</v>
      </c>
      <c r="AN82" s="220">
        <f>Renewables_Electricity_Frontend[[#This Row],[Total kWh generated]]</f>
        <v>0</v>
      </c>
      <c r="AO82" s="412">
        <f>Renewables_Electricity_Frontend[[#This Row],[kWh consumed by reporting organisation]]</f>
        <v>0</v>
      </c>
      <c r="AP82" s="412">
        <f>Renewables_Electricity_Frontend[[#This Row],[kWh exported to grid]]</f>
        <v>0</v>
      </c>
      <c r="AQ82" s="412">
        <f>Renewables_Electricity_Frontend[[#This Row],[kWh exported to other PSB]]</f>
        <v>0</v>
      </c>
      <c r="AR82" s="174">
        <f>Renewables_Electricity_Frontend[[#This Row],[Name of other PSB]]</f>
        <v>0</v>
      </c>
      <c r="AS82" s="174">
        <f>Renewables_Electricity_Frontend[[#This Row],[Ease of collection]]</f>
        <v>0</v>
      </c>
      <c r="AT82" s="174">
        <f>Renewables_Electricity_Frontend[[#This Row],[Ease of collection]]</f>
        <v>0</v>
      </c>
      <c r="AU82" s="174">
        <f>Renewables_Electricity_Frontend[[#This Row],[Completeness]]</f>
        <v>0</v>
      </c>
    </row>
    <row r="83" spans="2:47" s="147" customFormat="1" ht="14" x14ac:dyDescent="0.3">
      <c r="B83" s="455"/>
      <c r="E83" s="431"/>
      <c r="F83" s="432"/>
      <c r="G83" s="432"/>
      <c r="H83" s="432"/>
      <c r="I83" s="432"/>
      <c r="J83" s="432"/>
      <c r="K83" s="433"/>
      <c r="L83" s="434"/>
      <c r="M83" s="433"/>
      <c r="N83" s="276">
        <f>Renewables_Electricity_Frontend[[#This Row],[kWh consumed by reporting organisation]]+Renewables_Electricity_Frontend[[#This Row],[kWh exported to grid]]+Renewables_Electricity_Frontend[[#This Row],[kWh exported to other PSB]]</f>
        <v>0</v>
      </c>
      <c r="O83" s="439"/>
      <c r="P83" s="439"/>
      <c r="Q83" s="440"/>
      <c r="R83" s="441"/>
      <c r="S83" s="338"/>
      <c r="T83" s="338"/>
      <c r="U83" s="442"/>
      <c r="V83" s="242">
        <f t="shared" si="4"/>
        <v>11</v>
      </c>
      <c r="Z83" s="212" t="str">
        <f t="shared" si="3"/>
        <v/>
      </c>
      <c r="AA83" s="174" t="s">
        <v>149</v>
      </c>
      <c r="AB83" s="174" t="s">
        <v>149</v>
      </c>
      <c r="AC83" s="174">
        <f>Renewables_Electricity_Frontend[[#This Row],[Renewable Type]]</f>
        <v>0</v>
      </c>
      <c r="AD83" s="174" t="e" cm="1">
        <f t="array" aca="1" ref="AD83" ca="1">_xlfn.XLOOKUP(Renewables_Electricity_Backend[[#This Row],[Level 3]],rng_Level3Long,rng_Level4Long)</f>
        <v>#N/A</v>
      </c>
      <c r="AE83" s="174" t="e" cm="1">
        <f t="array" aca="1" ref="AE83" ca="1">_xlfn.XLOOKUP(Renewables_Electricity_Backend[[#This Row],[Level 3]],rng_Level3Long,rng_Level5Long)</f>
        <v>#N/A</v>
      </c>
      <c r="AF83" s="174" t="e" cm="1">
        <f t="array" aca="1" ref="AF83" ca="1">_xlfn.XLOOKUP(Renewables_Electricity_Backend[[#This Row],[Level 3]],rng_Level3Long,rng_Level6Long)</f>
        <v>#N/A</v>
      </c>
      <c r="AG83" s="174">
        <f>Renewables_Electricity_Frontend[[#This Row],[Generating site name]]</f>
        <v>0</v>
      </c>
      <c r="AH83" s="174"/>
      <c r="AI83" s="174">
        <f>Renewables_Electricity_Frontend[[#This Row],[Methodology used]]</f>
        <v>0</v>
      </c>
      <c r="AJ83" s="220" t="e" cm="1">
        <f t="array" aca="1" ref="AJ83" ca="1">INDEX(_xlfn.SWITCH(Renewables_Electricity_Backend[[#This Row],[Methodology]],"Tier 1",rng_RSD1,"Tier 2",rng_RSD2,"Tier 3",rng_RSD3),MATCH(_xlfn.CONCAT(Renewables_Electricity_Backend[[#This Row],[Level 1]:[Level 6]]),rng_LevelsConcat,0))</f>
        <v>#N/A</v>
      </c>
      <c r="AK83" s="174">
        <f>Renewables_Electricity_Frontend[[#This Row],[Age (years)]]</f>
        <v>0</v>
      </c>
      <c r="AL83" s="174">
        <f>Renewables_Electricity_Frontend[[#This Row],[Availability]]</f>
        <v>0</v>
      </c>
      <c r="AM83" s="174">
        <f>Renewables_Electricity_Frontend[[#This Row],[Total kW capacity]]</f>
        <v>0</v>
      </c>
      <c r="AN83" s="220">
        <f>Renewables_Electricity_Frontend[[#This Row],[Total kWh generated]]</f>
        <v>0</v>
      </c>
      <c r="AO83" s="412">
        <f>Renewables_Electricity_Frontend[[#This Row],[kWh consumed by reporting organisation]]</f>
        <v>0</v>
      </c>
      <c r="AP83" s="412">
        <f>Renewables_Electricity_Frontend[[#This Row],[kWh exported to grid]]</f>
        <v>0</v>
      </c>
      <c r="AQ83" s="412">
        <f>Renewables_Electricity_Frontend[[#This Row],[kWh exported to other PSB]]</f>
        <v>0</v>
      </c>
      <c r="AR83" s="174">
        <f>Renewables_Electricity_Frontend[[#This Row],[Name of other PSB]]</f>
        <v>0</v>
      </c>
      <c r="AS83" s="174">
        <f>Renewables_Electricity_Frontend[[#This Row],[Ease of collection]]</f>
        <v>0</v>
      </c>
      <c r="AT83" s="174">
        <f>Renewables_Electricity_Frontend[[#This Row],[Ease of collection]]</f>
        <v>0</v>
      </c>
      <c r="AU83" s="174">
        <f>Renewables_Electricity_Frontend[[#This Row],[Completeness]]</f>
        <v>0</v>
      </c>
    </row>
    <row r="84" spans="2:47" s="147" customFormat="1" ht="14" x14ac:dyDescent="0.3">
      <c r="B84" s="455"/>
      <c r="E84" s="431"/>
      <c r="F84" s="432"/>
      <c r="G84" s="432"/>
      <c r="H84" s="432"/>
      <c r="I84" s="432"/>
      <c r="J84" s="432"/>
      <c r="K84" s="433"/>
      <c r="L84" s="434"/>
      <c r="M84" s="433"/>
      <c r="N84" s="276">
        <f>Renewables_Electricity_Frontend[[#This Row],[kWh consumed by reporting organisation]]+Renewables_Electricity_Frontend[[#This Row],[kWh exported to grid]]+Renewables_Electricity_Frontend[[#This Row],[kWh exported to other PSB]]</f>
        <v>0</v>
      </c>
      <c r="O84" s="439"/>
      <c r="P84" s="439"/>
      <c r="Q84" s="440"/>
      <c r="R84" s="441"/>
      <c r="S84" s="338"/>
      <c r="T84" s="338"/>
      <c r="U84" s="442"/>
      <c r="V84" s="242">
        <f t="shared" si="4"/>
        <v>11</v>
      </c>
      <c r="Z84" s="212" t="str">
        <f t="shared" si="3"/>
        <v/>
      </c>
      <c r="AA84" s="174" t="s">
        <v>149</v>
      </c>
      <c r="AB84" s="174" t="s">
        <v>149</v>
      </c>
      <c r="AC84" s="174">
        <f>Renewables_Electricity_Frontend[[#This Row],[Renewable Type]]</f>
        <v>0</v>
      </c>
      <c r="AD84" s="174" t="e" cm="1">
        <f t="array" aca="1" ref="AD84" ca="1">_xlfn.XLOOKUP(Renewables_Electricity_Backend[[#This Row],[Level 3]],rng_Level3Long,rng_Level4Long)</f>
        <v>#N/A</v>
      </c>
      <c r="AE84" s="174" t="e" cm="1">
        <f t="array" aca="1" ref="AE84" ca="1">_xlfn.XLOOKUP(Renewables_Electricity_Backend[[#This Row],[Level 3]],rng_Level3Long,rng_Level5Long)</f>
        <v>#N/A</v>
      </c>
      <c r="AF84" s="174" t="e" cm="1">
        <f t="array" aca="1" ref="AF84" ca="1">_xlfn.XLOOKUP(Renewables_Electricity_Backend[[#This Row],[Level 3]],rng_Level3Long,rng_Level6Long)</f>
        <v>#N/A</v>
      </c>
      <c r="AG84" s="174">
        <f>Renewables_Electricity_Frontend[[#This Row],[Generating site name]]</f>
        <v>0</v>
      </c>
      <c r="AH84" s="174"/>
      <c r="AI84" s="174">
        <f>Renewables_Electricity_Frontend[[#This Row],[Methodology used]]</f>
        <v>0</v>
      </c>
      <c r="AJ84" s="220" t="e" cm="1">
        <f t="array" aca="1" ref="AJ84" ca="1">INDEX(_xlfn.SWITCH(Renewables_Electricity_Backend[[#This Row],[Methodology]],"Tier 1",rng_RSD1,"Tier 2",rng_RSD2,"Tier 3",rng_RSD3),MATCH(_xlfn.CONCAT(Renewables_Electricity_Backend[[#This Row],[Level 1]:[Level 6]]),rng_LevelsConcat,0))</f>
        <v>#N/A</v>
      </c>
      <c r="AK84" s="174">
        <f>Renewables_Electricity_Frontend[[#This Row],[Age (years)]]</f>
        <v>0</v>
      </c>
      <c r="AL84" s="174">
        <f>Renewables_Electricity_Frontend[[#This Row],[Availability]]</f>
        <v>0</v>
      </c>
      <c r="AM84" s="174">
        <f>Renewables_Electricity_Frontend[[#This Row],[Total kW capacity]]</f>
        <v>0</v>
      </c>
      <c r="AN84" s="220">
        <f>Renewables_Electricity_Frontend[[#This Row],[Total kWh generated]]</f>
        <v>0</v>
      </c>
      <c r="AO84" s="412">
        <f>Renewables_Electricity_Frontend[[#This Row],[kWh consumed by reporting organisation]]</f>
        <v>0</v>
      </c>
      <c r="AP84" s="412">
        <f>Renewables_Electricity_Frontend[[#This Row],[kWh exported to grid]]</f>
        <v>0</v>
      </c>
      <c r="AQ84" s="412">
        <f>Renewables_Electricity_Frontend[[#This Row],[kWh exported to other PSB]]</f>
        <v>0</v>
      </c>
      <c r="AR84" s="174">
        <f>Renewables_Electricity_Frontend[[#This Row],[Name of other PSB]]</f>
        <v>0</v>
      </c>
      <c r="AS84" s="174">
        <f>Renewables_Electricity_Frontend[[#This Row],[Ease of collection]]</f>
        <v>0</v>
      </c>
      <c r="AT84" s="174">
        <f>Renewables_Electricity_Frontend[[#This Row],[Ease of collection]]</f>
        <v>0</v>
      </c>
      <c r="AU84" s="174">
        <f>Renewables_Electricity_Frontend[[#This Row],[Completeness]]</f>
        <v>0</v>
      </c>
    </row>
    <row r="85" spans="2:47" s="147" customFormat="1" ht="14" x14ac:dyDescent="0.3">
      <c r="B85" s="455"/>
      <c r="E85" s="431"/>
      <c r="F85" s="432"/>
      <c r="G85" s="432"/>
      <c r="H85" s="432"/>
      <c r="I85" s="432"/>
      <c r="J85" s="432"/>
      <c r="K85" s="433"/>
      <c r="L85" s="434"/>
      <c r="M85" s="433"/>
      <c r="N85" s="276">
        <f>Renewables_Electricity_Frontend[[#This Row],[kWh consumed by reporting organisation]]+Renewables_Electricity_Frontend[[#This Row],[kWh exported to grid]]+Renewables_Electricity_Frontend[[#This Row],[kWh exported to other PSB]]</f>
        <v>0</v>
      </c>
      <c r="O85" s="439"/>
      <c r="P85" s="439"/>
      <c r="Q85" s="440"/>
      <c r="R85" s="441"/>
      <c r="S85" s="338"/>
      <c r="T85" s="338"/>
      <c r="U85" s="442"/>
      <c r="V85" s="242">
        <f t="shared" si="4"/>
        <v>11</v>
      </c>
      <c r="Z85" s="212" t="str">
        <f t="shared" si="3"/>
        <v/>
      </c>
      <c r="AA85" s="174" t="s">
        <v>149</v>
      </c>
      <c r="AB85" s="174" t="s">
        <v>149</v>
      </c>
      <c r="AC85" s="174">
        <f>Renewables_Electricity_Frontend[[#This Row],[Renewable Type]]</f>
        <v>0</v>
      </c>
      <c r="AD85" s="174" t="e" cm="1">
        <f t="array" aca="1" ref="AD85" ca="1">_xlfn.XLOOKUP(Renewables_Electricity_Backend[[#This Row],[Level 3]],rng_Level3Long,rng_Level4Long)</f>
        <v>#N/A</v>
      </c>
      <c r="AE85" s="174" t="e" cm="1">
        <f t="array" aca="1" ref="AE85" ca="1">_xlfn.XLOOKUP(Renewables_Electricity_Backend[[#This Row],[Level 3]],rng_Level3Long,rng_Level5Long)</f>
        <v>#N/A</v>
      </c>
      <c r="AF85" s="174" t="e" cm="1">
        <f t="array" aca="1" ref="AF85" ca="1">_xlfn.XLOOKUP(Renewables_Electricity_Backend[[#This Row],[Level 3]],rng_Level3Long,rng_Level6Long)</f>
        <v>#N/A</v>
      </c>
      <c r="AG85" s="174">
        <f>Renewables_Electricity_Frontend[[#This Row],[Generating site name]]</f>
        <v>0</v>
      </c>
      <c r="AH85" s="174"/>
      <c r="AI85" s="174">
        <f>Renewables_Electricity_Frontend[[#This Row],[Methodology used]]</f>
        <v>0</v>
      </c>
      <c r="AJ85" s="220" t="e" cm="1">
        <f t="array" aca="1" ref="AJ85" ca="1">INDEX(_xlfn.SWITCH(Renewables_Electricity_Backend[[#This Row],[Methodology]],"Tier 1",rng_RSD1,"Tier 2",rng_RSD2,"Tier 3",rng_RSD3),MATCH(_xlfn.CONCAT(Renewables_Electricity_Backend[[#This Row],[Level 1]:[Level 6]]),rng_LevelsConcat,0))</f>
        <v>#N/A</v>
      </c>
      <c r="AK85" s="174">
        <f>Renewables_Electricity_Frontend[[#This Row],[Age (years)]]</f>
        <v>0</v>
      </c>
      <c r="AL85" s="174">
        <f>Renewables_Electricity_Frontend[[#This Row],[Availability]]</f>
        <v>0</v>
      </c>
      <c r="AM85" s="174">
        <f>Renewables_Electricity_Frontend[[#This Row],[Total kW capacity]]</f>
        <v>0</v>
      </c>
      <c r="AN85" s="220">
        <f>Renewables_Electricity_Frontend[[#This Row],[Total kWh generated]]</f>
        <v>0</v>
      </c>
      <c r="AO85" s="412">
        <f>Renewables_Electricity_Frontend[[#This Row],[kWh consumed by reporting organisation]]</f>
        <v>0</v>
      </c>
      <c r="AP85" s="412">
        <f>Renewables_Electricity_Frontend[[#This Row],[kWh exported to grid]]</f>
        <v>0</v>
      </c>
      <c r="AQ85" s="412">
        <f>Renewables_Electricity_Frontend[[#This Row],[kWh exported to other PSB]]</f>
        <v>0</v>
      </c>
      <c r="AR85" s="174">
        <f>Renewables_Electricity_Frontend[[#This Row],[Name of other PSB]]</f>
        <v>0</v>
      </c>
      <c r="AS85" s="174">
        <f>Renewables_Electricity_Frontend[[#This Row],[Ease of collection]]</f>
        <v>0</v>
      </c>
      <c r="AT85" s="174">
        <f>Renewables_Electricity_Frontend[[#This Row],[Ease of collection]]</f>
        <v>0</v>
      </c>
      <c r="AU85" s="174">
        <f>Renewables_Electricity_Frontend[[#This Row],[Completeness]]</f>
        <v>0</v>
      </c>
    </row>
    <row r="86" spans="2:47" s="147" customFormat="1" ht="14" x14ac:dyDescent="0.3">
      <c r="B86" s="455"/>
      <c r="E86" s="431"/>
      <c r="F86" s="432"/>
      <c r="G86" s="432"/>
      <c r="H86" s="432"/>
      <c r="I86" s="432"/>
      <c r="J86" s="432"/>
      <c r="K86" s="433"/>
      <c r="L86" s="434"/>
      <c r="M86" s="433"/>
      <c r="N86" s="276">
        <f>Renewables_Electricity_Frontend[[#This Row],[kWh consumed by reporting organisation]]+Renewables_Electricity_Frontend[[#This Row],[kWh exported to grid]]+Renewables_Electricity_Frontend[[#This Row],[kWh exported to other PSB]]</f>
        <v>0</v>
      </c>
      <c r="O86" s="439"/>
      <c r="P86" s="439"/>
      <c r="Q86" s="440"/>
      <c r="R86" s="441"/>
      <c r="S86" s="338"/>
      <c r="T86" s="338"/>
      <c r="U86" s="442"/>
      <c r="V86" s="242">
        <f t="shared" si="4"/>
        <v>11</v>
      </c>
      <c r="Z86" s="212" t="str">
        <f t="shared" si="3"/>
        <v/>
      </c>
      <c r="AA86" s="174" t="s">
        <v>149</v>
      </c>
      <c r="AB86" s="174" t="s">
        <v>149</v>
      </c>
      <c r="AC86" s="174">
        <f>Renewables_Electricity_Frontend[[#This Row],[Renewable Type]]</f>
        <v>0</v>
      </c>
      <c r="AD86" s="174" t="e" cm="1">
        <f t="array" aca="1" ref="AD86" ca="1">_xlfn.XLOOKUP(Renewables_Electricity_Backend[[#This Row],[Level 3]],rng_Level3Long,rng_Level4Long)</f>
        <v>#N/A</v>
      </c>
      <c r="AE86" s="174" t="e" cm="1">
        <f t="array" aca="1" ref="AE86" ca="1">_xlfn.XLOOKUP(Renewables_Electricity_Backend[[#This Row],[Level 3]],rng_Level3Long,rng_Level5Long)</f>
        <v>#N/A</v>
      </c>
      <c r="AF86" s="174" t="e" cm="1">
        <f t="array" aca="1" ref="AF86" ca="1">_xlfn.XLOOKUP(Renewables_Electricity_Backend[[#This Row],[Level 3]],rng_Level3Long,rng_Level6Long)</f>
        <v>#N/A</v>
      </c>
      <c r="AG86" s="174">
        <f>Renewables_Electricity_Frontend[[#This Row],[Generating site name]]</f>
        <v>0</v>
      </c>
      <c r="AH86" s="174"/>
      <c r="AI86" s="174">
        <f>Renewables_Electricity_Frontend[[#This Row],[Methodology used]]</f>
        <v>0</v>
      </c>
      <c r="AJ86" s="220" t="e" cm="1">
        <f t="array" aca="1" ref="AJ86" ca="1">INDEX(_xlfn.SWITCH(Renewables_Electricity_Backend[[#This Row],[Methodology]],"Tier 1",rng_RSD1,"Tier 2",rng_RSD2,"Tier 3",rng_RSD3),MATCH(_xlfn.CONCAT(Renewables_Electricity_Backend[[#This Row],[Level 1]:[Level 6]]),rng_LevelsConcat,0))</f>
        <v>#N/A</v>
      </c>
      <c r="AK86" s="174">
        <f>Renewables_Electricity_Frontend[[#This Row],[Age (years)]]</f>
        <v>0</v>
      </c>
      <c r="AL86" s="174">
        <f>Renewables_Electricity_Frontend[[#This Row],[Availability]]</f>
        <v>0</v>
      </c>
      <c r="AM86" s="174">
        <f>Renewables_Electricity_Frontend[[#This Row],[Total kW capacity]]</f>
        <v>0</v>
      </c>
      <c r="AN86" s="220">
        <f>Renewables_Electricity_Frontend[[#This Row],[Total kWh generated]]</f>
        <v>0</v>
      </c>
      <c r="AO86" s="412">
        <f>Renewables_Electricity_Frontend[[#This Row],[kWh consumed by reporting organisation]]</f>
        <v>0</v>
      </c>
      <c r="AP86" s="412">
        <f>Renewables_Electricity_Frontend[[#This Row],[kWh exported to grid]]</f>
        <v>0</v>
      </c>
      <c r="AQ86" s="412">
        <f>Renewables_Electricity_Frontend[[#This Row],[kWh exported to other PSB]]</f>
        <v>0</v>
      </c>
      <c r="AR86" s="174">
        <f>Renewables_Electricity_Frontend[[#This Row],[Name of other PSB]]</f>
        <v>0</v>
      </c>
      <c r="AS86" s="174">
        <f>Renewables_Electricity_Frontend[[#This Row],[Ease of collection]]</f>
        <v>0</v>
      </c>
      <c r="AT86" s="174">
        <f>Renewables_Electricity_Frontend[[#This Row],[Ease of collection]]</f>
        <v>0</v>
      </c>
      <c r="AU86" s="174">
        <f>Renewables_Electricity_Frontend[[#This Row],[Completeness]]</f>
        <v>0</v>
      </c>
    </row>
    <row r="87" spans="2:47" s="147" customFormat="1" ht="14" x14ac:dyDescent="0.3">
      <c r="B87" s="455"/>
      <c r="E87" s="431"/>
      <c r="F87" s="432"/>
      <c r="G87" s="432"/>
      <c r="H87" s="432"/>
      <c r="I87" s="432"/>
      <c r="J87" s="432"/>
      <c r="K87" s="433"/>
      <c r="L87" s="434"/>
      <c r="M87" s="433"/>
      <c r="N87" s="276">
        <f>Renewables_Electricity_Frontend[[#This Row],[kWh consumed by reporting organisation]]+Renewables_Electricity_Frontend[[#This Row],[kWh exported to grid]]+Renewables_Electricity_Frontend[[#This Row],[kWh exported to other PSB]]</f>
        <v>0</v>
      </c>
      <c r="O87" s="439"/>
      <c r="P87" s="439"/>
      <c r="Q87" s="440"/>
      <c r="R87" s="441"/>
      <c r="S87" s="338"/>
      <c r="T87" s="338"/>
      <c r="U87" s="442"/>
      <c r="V87" s="242">
        <f t="shared" si="4"/>
        <v>11</v>
      </c>
      <c r="Z87" s="212" t="str">
        <f t="shared" si="3"/>
        <v/>
      </c>
      <c r="AA87" s="174" t="s">
        <v>149</v>
      </c>
      <c r="AB87" s="174" t="s">
        <v>149</v>
      </c>
      <c r="AC87" s="174">
        <f>Renewables_Electricity_Frontend[[#This Row],[Renewable Type]]</f>
        <v>0</v>
      </c>
      <c r="AD87" s="174" t="e" cm="1">
        <f t="array" aca="1" ref="AD87" ca="1">_xlfn.XLOOKUP(Renewables_Electricity_Backend[[#This Row],[Level 3]],rng_Level3Long,rng_Level4Long)</f>
        <v>#N/A</v>
      </c>
      <c r="AE87" s="174" t="e" cm="1">
        <f t="array" aca="1" ref="AE87" ca="1">_xlfn.XLOOKUP(Renewables_Electricity_Backend[[#This Row],[Level 3]],rng_Level3Long,rng_Level5Long)</f>
        <v>#N/A</v>
      </c>
      <c r="AF87" s="174" t="e" cm="1">
        <f t="array" aca="1" ref="AF87" ca="1">_xlfn.XLOOKUP(Renewables_Electricity_Backend[[#This Row],[Level 3]],rng_Level3Long,rng_Level6Long)</f>
        <v>#N/A</v>
      </c>
      <c r="AG87" s="174">
        <f>Renewables_Electricity_Frontend[[#This Row],[Generating site name]]</f>
        <v>0</v>
      </c>
      <c r="AH87" s="174"/>
      <c r="AI87" s="174">
        <f>Renewables_Electricity_Frontend[[#This Row],[Methodology used]]</f>
        <v>0</v>
      </c>
      <c r="AJ87" s="220" t="e" cm="1">
        <f t="array" aca="1" ref="AJ87" ca="1">INDEX(_xlfn.SWITCH(Renewables_Electricity_Backend[[#This Row],[Methodology]],"Tier 1",rng_RSD1,"Tier 2",rng_RSD2,"Tier 3",rng_RSD3),MATCH(_xlfn.CONCAT(Renewables_Electricity_Backend[[#This Row],[Level 1]:[Level 6]]),rng_LevelsConcat,0))</f>
        <v>#N/A</v>
      </c>
      <c r="AK87" s="174">
        <f>Renewables_Electricity_Frontend[[#This Row],[Age (years)]]</f>
        <v>0</v>
      </c>
      <c r="AL87" s="174">
        <f>Renewables_Electricity_Frontend[[#This Row],[Availability]]</f>
        <v>0</v>
      </c>
      <c r="AM87" s="174">
        <f>Renewables_Electricity_Frontend[[#This Row],[Total kW capacity]]</f>
        <v>0</v>
      </c>
      <c r="AN87" s="220">
        <f>Renewables_Electricity_Frontend[[#This Row],[Total kWh generated]]</f>
        <v>0</v>
      </c>
      <c r="AO87" s="412">
        <f>Renewables_Electricity_Frontend[[#This Row],[kWh consumed by reporting organisation]]</f>
        <v>0</v>
      </c>
      <c r="AP87" s="412">
        <f>Renewables_Electricity_Frontend[[#This Row],[kWh exported to grid]]</f>
        <v>0</v>
      </c>
      <c r="AQ87" s="412">
        <f>Renewables_Electricity_Frontend[[#This Row],[kWh exported to other PSB]]</f>
        <v>0</v>
      </c>
      <c r="AR87" s="174">
        <f>Renewables_Electricity_Frontend[[#This Row],[Name of other PSB]]</f>
        <v>0</v>
      </c>
      <c r="AS87" s="174">
        <f>Renewables_Electricity_Frontend[[#This Row],[Ease of collection]]</f>
        <v>0</v>
      </c>
      <c r="AT87" s="174">
        <f>Renewables_Electricity_Frontend[[#This Row],[Ease of collection]]</f>
        <v>0</v>
      </c>
      <c r="AU87" s="174">
        <f>Renewables_Electricity_Frontend[[#This Row],[Completeness]]</f>
        <v>0</v>
      </c>
    </row>
    <row r="88" spans="2:47" s="147" customFormat="1" ht="14" x14ac:dyDescent="0.3">
      <c r="B88" s="455"/>
      <c r="E88" s="431"/>
      <c r="F88" s="432"/>
      <c r="G88" s="432"/>
      <c r="H88" s="432"/>
      <c r="I88" s="432"/>
      <c r="J88" s="432"/>
      <c r="K88" s="433"/>
      <c r="L88" s="434"/>
      <c r="M88" s="433"/>
      <c r="N88" s="276">
        <f>Renewables_Electricity_Frontend[[#This Row],[kWh consumed by reporting organisation]]+Renewables_Electricity_Frontend[[#This Row],[kWh exported to grid]]+Renewables_Electricity_Frontend[[#This Row],[kWh exported to other PSB]]</f>
        <v>0</v>
      </c>
      <c r="O88" s="439"/>
      <c r="P88" s="439"/>
      <c r="Q88" s="440"/>
      <c r="R88" s="441"/>
      <c r="S88" s="338"/>
      <c r="T88" s="338"/>
      <c r="U88" s="442"/>
      <c r="V88" s="242">
        <f t="shared" si="4"/>
        <v>11</v>
      </c>
      <c r="Z88" s="212" t="str">
        <f t="shared" si="3"/>
        <v/>
      </c>
      <c r="AA88" s="174" t="s">
        <v>149</v>
      </c>
      <c r="AB88" s="174" t="s">
        <v>149</v>
      </c>
      <c r="AC88" s="174">
        <f>Renewables_Electricity_Frontend[[#This Row],[Renewable Type]]</f>
        <v>0</v>
      </c>
      <c r="AD88" s="174" t="e" cm="1">
        <f t="array" aca="1" ref="AD88" ca="1">_xlfn.XLOOKUP(Renewables_Electricity_Backend[[#This Row],[Level 3]],rng_Level3Long,rng_Level4Long)</f>
        <v>#N/A</v>
      </c>
      <c r="AE88" s="174" t="e" cm="1">
        <f t="array" aca="1" ref="AE88" ca="1">_xlfn.XLOOKUP(Renewables_Electricity_Backend[[#This Row],[Level 3]],rng_Level3Long,rng_Level5Long)</f>
        <v>#N/A</v>
      </c>
      <c r="AF88" s="174" t="e" cm="1">
        <f t="array" aca="1" ref="AF88" ca="1">_xlfn.XLOOKUP(Renewables_Electricity_Backend[[#This Row],[Level 3]],rng_Level3Long,rng_Level6Long)</f>
        <v>#N/A</v>
      </c>
      <c r="AG88" s="174">
        <f>Renewables_Electricity_Frontend[[#This Row],[Generating site name]]</f>
        <v>0</v>
      </c>
      <c r="AH88" s="174"/>
      <c r="AI88" s="174">
        <f>Renewables_Electricity_Frontend[[#This Row],[Methodology used]]</f>
        <v>0</v>
      </c>
      <c r="AJ88" s="220" t="e" cm="1">
        <f t="array" aca="1" ref="AJ88" ca="1">INDEX(_xlfn.SWITCH(Renewables_Electricity_Backend[[#This Row],[Methodology]],"Tier 1",rng_RSD1,"Tier 2",rng_RSD2,"Tier 3",rng_RSD3),MATCH(_xlfn.CONCAT(Renewables_Electricity_Backend[[#This Row],[Level 1]:[Level 6]]),rng_LevelsConcat,0))</f>
        <v>#N/A</v>
      </c>
      <c r="AK88" s="174">
        <f>Renewables_Electricity_Frontend[[#This Row],[Age (years)]]</f>
        <v>0</v>
      </c>
      <c r="AL88" s="174">
        <f>Renewables_Electricity_Frontend[[#This Row],[Availability]]</f>
        <v>0</v>
      </c>
      <c r="AM88" s="174">
        <f>Renewables_Electricity_Frontend[[#This Row],[Total kW capacity]]</f>
        <v>0</v>
      </c>
      <c r="AN88" s="220">
        <f>Renewables_Electricity_Frontend[[#This Row],[Total kWh generated]]</f>
        <v>0</v>
      </c>
      <c r="AO88" s="412">
        <f>Renewables_Electricity_Frontend[[#This Row],[kWh consumed by reporting organisation]]</f>
        <v>0</v>
      </c>
      <c r="AP88" s="412">
        <f>Renewables_Electricity_Frontend[[#This Row],[kWh exported to grid]]</f>
        <v>0</v>
      </c>
      <c r="AQ88" s="412">
        <f>Renewables_Electricity_Frontend[[#This Row],[kWh exported to other PSB]]</f>
        <v>0</v>
      </c>
      <c r="AR88" s="174">
        <f>Renewables_Electricity_Frontend[[#This Row],[Name of other PSB]]</f>
        <v>0</v>
      </c>
      <c r="AS88" s="174">
        <f>Renewables_Electricity_Frontend[[#This Row],[Ease of collection]]</f>
        <v>0</v>
      </c>
      <c r="AT88" s="174">
        <f>Renewables_Electricity_Frontend[[#This Row],[Ease of collection]]</f>
        <v>0</v>
      </c>
      <c r="AU88" s="174">
        <f>Renewables_Electricity_Frontend[[#This Row],[Completeness]]</f>
        <v>0</v>
      </c>
    </row>
    <row r="89" spans="2:47" s="147" customFormat="1" ht="14" x14ac:dyDescent="0.3">
      <c r="B89" s="455"/>
      <c r="E89" s="431"/>
      <c r="F89" s="432"/>
      <c r="G89" s="432"/>
      <c r="H89" s="432"/>
      <c r="I89" s="432"/>
      <c r="J89" s="432"/>
      <c r="K89" s="433"/>
      <c r="L89" s="434"/>
      <c r="M89" s="433"/>
      <c r="N89" s="276">
        <f>Renewables_Electricity_Frontend[[#This Row],[kWh consumed by reporting organisation]]+Renewables_Electricity_Frontend[[#This Row],[kWh exported to grid]]+Renewables_Electricity_Frontend[[#This Row],[kWh exported to other PSB]]</f>
        <v>0</v>
      </c>
      <c r="O89" s="439"/>
      <c r="P89" s="439"/>
      <c r="Q89" s="440"/>
      <c r="R89" s="441"/>
      <c r="S89" s="338"/>
      <c r="T89" s="338"/>
      <c r="U89" s="442"/>
      <c r="V89" s="242">
        <f t="shared" si="4"/>
        <v>11</v>
      </c>
      <c r="Z89" s="212" t="str">
        <f t="shared" si="3"/>
        <v/>
      </c>
      <c r="AA89" s="174" t="s">
        <v>149</v>
      </c>
      <c r="AB89" s="174" t="s">
        <v>149</v>
      </c>
      <c r="AC89" s="174">
        <f>Renewables_Electricity_Frontend[[#This Row],[Renewable Type]]</f>
        <v>0</v>
      </c>
      <c r="AD89" s="174" t="e" cm="1">
        <f t="array" aca="1" ref="AD89" ca="1">_xlfn.XLOOKUP(Renewables_Electricity_Backend[[#This Row],[Level 3]],rng_Level3Long,rng_Level4Long)</f>
        <v>#N/A</v>
      </c>
      <c r="AE89" s="174" t="e" cm="1">
        <f t="array" aca="1" ref="AE89" ca="1">_xlfn.XLOOKUP(Renewables_Electricity_Backend[[#This Row],[Level 3]],rng_Level3Long,rng_Level5Long)</f>
        <v>#N/A</v>
      </c>
      <c r="AF89" s="174" t="e" cm="1">
        <f t="array" aca="1" ref="AF89" ca="1">_xlfn.XLOOKUP(Renewables_Electricity_Backend[[#This Row],[Level 3]],rng_Level3Long,rng_Level6Long)</f>
        <v>#N/A</v>
      </c>
      <c r="AG89" s="174">
        <f>Renewables_Electricity_Frontend[[#This Row],[Generating site name]]</f>
        <v>0</v>
      </c>
      <c r="AH89" s="174"/>
      <c r="AI89" s="174">
        <f>Renewables_Electricity_Frontend[[#This Row],[Methodology used]]</f>
        <v>0</v>
      </c>
      <c r="AJ89" s="220" t="e" cm="1">
        <f t="array" aca="1" ref="AJ89" ca="1">INDEX(_xlfn.SWITCH(Renewables_Electricity_Backend[[#This Row],[Methodology]],"Tier 1",rng_RSD1,"Tier 2",rng_RSD2,"Tier 3",rng_RSD3),MATCH(_xlfn.CONCAT(Renewables_Electricity_Backend[[#This Row],[Level 1]:[Level 6]]),rng_LevelsConcat,0))</f>
        <v>#N/A</v>
      </c>
      <c r="AK89" s="174">
        <f>Renewables_Electricity_Frontend[[#This Row],[Age (years)]]</f>
        <v>0</v>
      </c>
      <c r="AL89" s="174">
        <f>Renewables_Electricity_Frontend[[#This Row],[Availability]]</f>
        <v>0</v>
      </c>
      <c r="AM89" s="174">
        <f>Renewables_Electricity_Frontend[[#This Row],[Total kW capacity]]</f>
        <v>0</v>
      </c>
      <c r="AN89" s="220">
        <f>Renewables_Electricity_Frontend[[#This Row],[Total kWh generated]]</f>
        <v>0</v>
      </c>
      <c r="AO89" s="412">
        <f>Renewables_Electricity_Frontend[[#This Row],[kWh consumed by reporting organisation]]</f>
        <v>0</v>
      </c>
      <c r="AP89" s="412">
        <f>Renewables_Electricity_Frontend[[#This Row],[kWh exported to grid]]</f>
        <v>0</v>
      </c>
      <c r="AQ89" s="412">
        <f>Renewables_Electricity_Frontend[[#This Row],[kWh exported to other PSB]]</f>
        <v>0</v>
      </c>
      <c r="AR89" s="174">
        <f>Renewables_Electricity_Frontend[[#This Row],[Name of other PSB]]</f>
        <v>0</v>
      </c>
      <c r="AS89" s="174">
        <f>Renewables_Electricity_Frontend[[#This Row],[Ease of collection]]</f>
        <v>0</v>
      </c>
      <c r="AT89" s="174">
        <f>Renewables_Electricity_Frontend[[#This Row],[Ease of collection]]</f>
        <v>0</v>
      </c>
      <c r="AU89" s="174">
        <f>Renewables_Electricity_Frontend[[#This Row],[Completeness]]</f>
        <v>0</v>
      </c>
    </row>
    <row r="90" spans="2:47" s="147" customFormat="1" ht="14.15" hidden="1" customHeight="1" x14ac:dyDescent="0.3">
      <c r="B90" s="455"/>
      <c r="E90" s="431"/>
      <c r="F90" s="432"/>
      <c r="G90" s="432"/>
      <c r="H90" s="432"/>
      <c r="I90" s="432"/>
      <c r="J90" s="432"/>
      <c r="K90" s="433"/>
      <c r="L90" s="434"/>
      <c r="M90" s="433"/>
      <c r="N90" s="276">
        <f>Renewables_Electricity_Frontend[[#This Row],[kWh consumed by reporting organisation]]+Renewables_Electricity_Frontend[[#This Row],[kWh exported to grid]]+Renewables_Electricity_Frontend[[#This Row],[kWh exported to other PSB]]</f>
        <v>0</v>
      </c>
      <c r="O90" s="439"/>
      <c r="P90" s="439"/>
      <c r="Q90" s="440"/>
      <c r="R90" s="441"/>
      <c r="S90" s="338"/>
      <c r="T90" s="338"/>
      <c r="U90" s="442"/>
      <c r="V90" s="242">
        <f t="shared" si="4"/>
        <v>11</v>
      </c>
      <c r="Z90" s="212" t="str">
        <f t="shared" si="3"/>
        <v/>
      </c>
      <c r="AA90" s="174" t="s">
        <v>149</v>
      </c>
      <c r="AB90" s="174" t="s">
        <v>149</v>
      </c>
      <c r="AC90" s="174">
        <f>Renewables_Electricity_Frontend[[#This Row],[Renewable Type]]</f>
        <v>0</v>
      </c>
      <c r="AD90" s="174" t="e" cm="1">
        <f t="array" aca="1" ref="AD90" ca="1">_xlfn.XLOOKUP(Renewables_Electricity_Backend[[#This Row],[Level 3]],rng_Level3Long,rng_Level4Long)</f>
        <v>#N/A</v>
      </c>
      <c r="AE90" s="174" t="e" cm="1">
        <f t="array" aca="1" ref="AE90" ca="1">_xlfn.XLOOKUP(Renewables_Electricity_Backend[[#This Row],[Level 3]],rng_Level3Long,rng_Level5Long)</f>
        <v>#N/A</v>
      </c>
      <c r="AF90" s="174" t="e" cm="1">
        <f t="array" aca="1" ref="AF90" ca="1">_xlfn.XLOOKUP(Renewables_Electricity_Backend[[#This Row],[Level 3]],rng_Level3Long,rng_Level6Long)</f>
        <v>#N/A</v>
      </c>
      <c r="AG90" s="174">
        <f>Renewables_Electricity_Frontend[[#This Row],[Generating site name]]</f>
        <v>0</v>
      </c>
      <c r="AH90" s="174"/>
      <c r="AI90" s="174">
        <f>Renewables_Electricity_Frontend[[#This Row],[Methodology used]]</f>
        <v>0</v>
      </c>
      <c r="AJ90" s="220" t="e" cm="1">
        <f t="array" aca="1" ref="AJ90" ca="1">INDEX(_xlfn.SWITCH(Renewables_Electricity_Backend[[#This Row],[Methodology]],"Tier 1",rng_RSD1,"Tier 2",rng_RSD2,"Tier 3",rng_RSD3),MATCH(_xlfn.CONCAT(Renewables_Electricity_Backend[[#This Row],[Level 1]:[Level 6]]),rng_LevelsConcat,0))</f>
        <v>#N/A</v>
      </c>
      <c r="AK90" s="174">
        <f>Renewables_Electricity_Frontend[[#This Row],[Age (years)]]</f>
        <v>0</v>
      </c>
      <c r="AL90" s="174">
        <f>Renewables_Electricity_Frontend[[#This Row],[Availability]]</f>
        <v>0</v>
      </c>
      <c r="AM90" s="174">
        <f>Renewables_Electricity_Frontend[[#This Row],[Total kW capacity]]</f>
        <v>0</v>
      </c>
      <c r="AN90" s="220">
        <f>Renewables_Electricity_Frontend[[#This Row],[Total kWh generated]]</f>
        <v>0</v>
      </c>
      <c r="AO90" s="412">
        <f>Renewables_Electricity_Frontend[[#This Row],[kWh consumed by reporting organisation]]</f>
        <v>0</v>
      </c>
      <c r="AP90" s="412">
        <f>Renewables_Electricity_Frontend[[#This Row],[kWh exported to grid]]</f>
        <v>0</v>
      </c>
      <c r="AQ90" s="412">
        <f>Renewables_Electricity_Frontend[[#This Row],[kWh exported to other PSB]]</f>
        <v>0</v>
      </c>
      <c r="AR90" s="174">
        <f>Renewables_Electricity_Frontend[[#This Row],[Name of other PSB]]</f>
        <v>0</v>
      </c>
      <c r="AS90" s="174">
        <f>Renewables_Electricity_Frontend[[#This Row],[Ease of collection]]</f>
        <v>0</v>
      </c>
      <c r="AT90" s="174">
        <f>Renewables_Electricity_Frontend[[#This Row],[Ease of collection]]</f>
        <v>0</v>
      </c>
      <c r="AU90" s="174">
        <f>Renewables_Electricity_Frontend[[#This Row],[Completeness]]</f>
        <v>0</v>
      </c>
    </row>
    <row r="91" spans="2:47" s="147" customFormat="1" ht="14" x14ac:dyDescent="0.3">
      <c r="B91" s="455"/>
      <c r="E91" s="435"/>
      <c r="F91" s="436"/>
      <c r="G91" s="432"/>
      <c r="H91" s="432"/>
      <c r="I91" s="436"/>
      <c r="J91" s="436"/>
      <c r="K91" s="437"/>
      <c r="L91" s="438"/>
      <c r="M91" s="437"/>
      <c r="N91" s="277">
        <f>Renewables_Electricity_Frontend[[#This Row],[kWh consumed by reporting organisation]]+Renewables_Electricity_Frontend[[#This Row],[kWh exported to grid]]+Renewables_Electricity_Frontend[[#This Row],[kWh exported to other PSB]]</f>
        <v>0</v>
      </c>
      <c r="O91" s="443"/>
      <c r="P91" s="443"/>
      <c r="Q91" s="444"/>
      <c r="R91" s="445"/>
      <c r="S91" s="338"/>
      <c r="T91" s="338"/>
      <c r="U91" s="446"/>
      <c r="V91" s="242">
        <f t="shared" si="4"/>
        <v>11</v>
      </c>
      <c r="Z91" s="212" t="str">
        <f t="shared" si="3"/>
        <v/>
      </c>
      <c r="AA91" s="174" t="s">
        <v>149</v>
      </c>
      <c r="AB91" s="174" t="s">
        <v>149</v>
      </c>
      <c r="AC91" s="174">
        <f>Renewables_Electricity_Frontend[[#This Row],[Renewable Type]]</f>
        <v>0</v>
      </c>
      <c r="AD91" s="174" t="e" cm="1">
        <f t="array" aca="1" ref="AD91" ca="1">_xlfn.XLOOKUP(Renewables_Electricity_Backend[[#This Row],[Level 3]],rng_Level3Long,rng_Level4Long)</f>
        <v>#N/A</v>
      </c>
      <c r="AE91" s="174" t="e" cm="1">
        <f t="array" aca="1" ref="AE91" ca="1">_xlfn.XLOOKUP(Renewables_Electricity_Backend[[#This Row],[Level 3]],rng_Level3Long,rng_Level5Long)</f>
        <v>#N/A</v>
      </c>
      <c r="AF91" s="174" t="e" cm="1">
        <f t="array" aca="1" ref="AF91" ca="1">_xlfn.XLOOKUP(Renewables_Electricity_Backend[[#This Row],[Level 3]],rng_Level3Long,rng_Level6Long)</f>
        <v>#N/A</v>
      </c>
      <c r="AG91" s="174">
        <f>Renewables_Electricity_Frontend[[#This Row],[Generating site name]]</f>
        <v>0</v>
      </c>
      <c r="AH91" s="174"/>
      <c r="AI91" s="174">
        <f>Renewables_Electricity_Frontend[[#This Row],[Methodology used]]</f>
        <v>0</v>
      </c>
      <c r="AJ91" s="220" t="e" cm="1">
        <f t="array" aca="1" ref="AJ91" ca="1">INDEX(_xlfn.SWITCH(Renewables_Electricity_Backend[[#This Row],[Methodology]],"Tier 1",rng_RSD1,"Tier 2",rng_RSD2,"Tier 3",rng_RSD3),MATCH(_xlfn.CONCAT(Renewables_Electricity_Backend[[#This Row],[Level 1]:[Level 6]]),rng_LevelsConcat,0))</f>
        <v>#N/A</v>
      </c>
      <c r="AK91" s="174">
        <f>Renewables_Electricity_Frontend[[#This Row],[Age (years)]]</f>
        <v>0</v>
      </c>
      <c r="AL91" s="174">
        <f>Renewables_Electricity_Frontend[[#This Row],[Availability]]</f>
        <v>0</v>
      </c>
      <c r="AM91" s="174">
        <f>Renewables_Electricity_Frontend[[#This Row],[Total kW capacity]]</f>
        <v>0</v>
      </c>
      <c r="AN91" s="220">
        <f>Renewables_Electricity_Frontend[[#This Row],[Total kWh generated]]</f>
        <v>0</v>
      </c>
      <c r="AO91" s="412">
        <f>Renewables_Electricity_Frontend[[#This Row],[kWh consumed by reporting organisation]]</f>
        <v>0</v>
      </c>
      <c r="AP91" s="412">
        <f>Renewables_Electricity_Frontend[[#This Row],[kWh exported to grid]]</f>
        <v>0</v>
      </c>
      <c r="AQ91" s="412">
        <f>Renewables_Electricity_Frontend[[#This Row],[kWh exported to other PSB]]</f>
        <v>0</v>
      </c>
      <c r="AR91" s="174">
        <f>Renewables_Electricity_Frontend[[#This Row],[Name of other PSB]]</f>
        <v>0</v>
      </c>
      <c r="AS91" s="174">
        <f>Renewables_Electricity_Frontend[[#This Row],[Ease of collection]]</f>
        <v>0</v>
      </c>
      <c r="AT91" s="174">
        <f>Renewables_Electricity_Frontend[[#This Row],[Ease of collection]]</f>
        <v>0</v>
      </c>
      <c r="AU91" s="174">
        <f>Renewables_Electricity_Frontend[[#This Row],[Completeness]]</f>
        <v>0</v>
      </c>
    </row>
    <row r="92" spans="2:47" s="147" customFormat="1" ht="14" x14ac:dyDescent="0.3">
      <c r="B92" s="455"/>
      <c r="E92" s="431"/>
      <c r="F92" s="432"/>
      <c r="G92" s="432"/>
      <c r="H92" s="432"/>
      <c r="I92" s="432"/>
      <c r="J92" s="432"/>
      <c r="K92" s="433"/>
      <c r="L92" s="434"/>
      <c r="M92" s="433"/>
      <c r="N92" s="276">
        <f>Renewables_Electricity_Frontend[[#This Row],[kWh consumed by reporting organisation]]+Renewables_Electricity_Frontend[[#This Row],[kWh exported to grid]]+Renewables_Electricity_Frontend[[#This Row],[kWh exported to other PSB]]</f>
        <v>0</v>
      </c>
      <c r="O92" s="439"/>
      <c r="P92" s="439"/>
      <c r="Q92" s="440"/>
      <c r="R92" s="441"/>
      <c r="S92" s="338"/>
      <c r="T92" s="338"/>
      <c r="U92" s="442"/>
      <c r="V92" s="242">
        <f t="shared" si="4"/>
        <v>11</v>
      </c>
      <c r="Z92" s="212" t="str">
        <f t="shared" si="3"/>
        <v/>
      </c>
      <c r="AA92" s="174" t="s">
        <v>149</v>
      </c>
      <c r="AB92" s="174" t="s">
        <v>149</v>
      </c>
      <c r="AC92" s="216">
        <f>Renewables_Electricity_Frontend[[#This Row],[Renewable Type]]</f>
        <v>0</v>
      </c>
      <c r="AD92" s="216" t="e" cm="1">
        <f t="array" aca="1" ref="AD92" ca="1">_xlfn.XLOOKUP(Renewables_Electricity_Backend[[#This Row],[Level 3]],rng_Level3Long,rng_Level4Long)</f>
        <v>#N/A</v>
      </c>
      <c r="AE92" s="216" t="e" cm="1">
        <f t="array" aca="1" ref="AE92" ca="1">_xlfn.XLOOKUP(Renewables_Electricity_Backend[[#This Row],[Level 3]],rng_Level3Long,rng_Level5Long)</f>
        <v>#N/A</v>
      </c>
      <c r="AF92" s="216" t="e" cm="1">
        <f t="array" aca="1" ref="AF92" ca="1">_xlfn.XLOOKUP(Renewables_Electricity_Backend[[#This Row],[Level 3]],rng_Level3Long,rng_Level6Long)</f>
        <v>#N/A</v>
      </c>
      <c r="AG92" s="174">
        <f>Renewables_Electricity_Frontend[[#This Row],[Generating site name]]</f>
        <v>0</v>
      </c>
      <c r="AH92" s="174"/>
      <c r="AI92" s="174">
        <f>Renewables_Electricity_Frontend[[#This Row],[Methodology used]]</f>
        <v>0</v>
      </c>
      <c r="AJ92" s="221" t="e" cm="1">
        <f t="array" aca="1" ref="AJ92" ca="1">INDEX(_xlfn.SWITCH(Renewables_Electricity_Backend[[#This Row],[Methodology]],"Tier 1",rng_RSD1,"Tier 2",rng_RSD2,"Tier 3",rng_RSD3),MATCH(_xlfn.CONCAT(Renewables_Electricity_Backend[[#This Row],[Level 1]:[Level 6]]),rng_LevelsConcat,0))</f>
        <v>#N/A</v>
      </c>
      <c r="AK92" s="216">
        <f>Renewables_Electricity_Frontend[[#This Row],[Age (years)]]</f>
        <v>0</v>
      </c>
      <c r="AL92" s="216">
        <f>Renewables_Electricity_Frontend[[#This Row],[Availability]]</f>
        <v>0</v>
      </c>
      <c r="AM92" s="216">
        <f>Renewables_Electricity_Frontend[[#This Row],[Total kW capacity]]</f>
        <v>0</v>
      </c>
      <c r="AN92" s="221">
        <f>Renewables_Electricity_Frontend[[#This Row],[Total kWh generated]]</f>
        <v>0</v>
      </c>
      <c r="AO92" s="413">
        <f>Renewables_Electricity_Frontend[[#This Row],[kWh consumed by reporting organisation]]</f>
        <v>0</v>
      </c>
      <c r="AP92" s="413">
        <f>Renewables_Electricity_Frontend[[#This Row],[kWh exported to grid]]</f>
        <v>0</v>
      </c>
      <c r="AQ92" s="413">
        <f>Renewables_Electricity_Frontend[[#This Row],[kWh exported to other PSB]]</f>
        <v>0</v>
      </c>
      <c r="AR92" s="216">
        <f>Renewables_Electricity_Frontend[[#This Row],[Name of other PSB]]</f>
        <v>0</v>
      </c>
      <c r="AS92" s="216">
        <f>Renewables_Electricity_Frontend[[#This Row],[Ease of collection]]</f>
        <v>0</v>
      </c>
      <c r="AT92" s="174">
        <f>Renewables_Electricity_Frontend[[#This Row],[Ease of collection]]</f>
        <v>0</v>
      </c>
      <c r="AU92" s="174">
        <f>Renewables_Electricity_Frontend[[#This Row],[Completeness]]</f>
        <v>0</v>
      </c>
    </row>
    <row r="93" spans="2:47" x14ac:dyDescent="0.35">
      <c r="B93" s="455"/>
      <c r="E93" s="431"/>
      <c r="F93" s="432"/>
      <c r="G93" s="432"/>
      <c r="H93" s="432"/>
      <c r="I93" s="432"/>
      <c r="J93" s="432"/>
      <c r="K93" s="433"/>
      <c r="L93" s="434"/>
      <c r="M93" s="433"/>
      <c r="N93" s="276">
        <f>Renewables_Electricity_Frontend[[#This Row],[kWh consumed by reporting organisation]]+Renewables_Electricity_Frontend[[#This Row],[kWh exported to grid]]+Renewables_Electricity_Frontend[[#This Row],[kWh exported to other PSB]]</f>
        <v>0</v>
      </c>
      <c r="O93" s="439"/>
      <c r="P93" s="439"/>
      <c r="Q93" s="440"/>
      <c r="R93" s="441"/>
      <c r="S93" s="338"/>
      <c r="T93" s="338"/>
      <c r="U93" s="442"/>
      <c r="V93" s="242">
        <f t="shared" si="4"/>
        <v>11</v>
      </c>
      <c r="Z93" s="212" t="str">
        <f t="shared" si="3"/>
        <v/>
      </c>
      <c r="AA93" s="174" t="s">
        <v>149</v>
      </c>
      <c r="AB93" s="174" t="s">
        <v>149</v>
      </c>
      <c r="AC93" s="174">
        <f>Renewables_Electricity_Frontend[[#This Row],[Renewable Type]]</f>
        <v>0</v>
      </c>
      <c r="AD93" s="174" t="e" cm="1">
        <f t="array" aca="1" ref="AD93" ca="1">_xlfn.XLOOKUP(Renewables_Electricity_Backend[[#This Row],[Level 3]],rng_Level3Long,rng_Level4Long)</f>
        <v>#N/A</v>
      </c>
      <c r="AE93" s="174" t="e" cm="1">
        <f t="array" aca="1" ref="AE93" ca="1">_xlfn.XLOOKUP(Renewables_Electricity_Backend[[#This Row],[Level 3]],rng_Level3Long,rng_Level5Long)</f>
        <v>#N/A</v>
      </c>
      <c r="AF93" s="174" t="e" cm="1">
        <f t="array" aca="1" ref="AF93" ca="1">_xlfn.XLOOKUP(Renewables_Electricity_Backend[[#This Row],[Level 3]],rng_Level3Long,rng_Level6Long)</f>
        <v>#N/A</v>
      </c>
      <c r="AG93" s="174">
        <f>Renewables_Electricity_Frontend[[#This Row],[Generating site name]]</f>
        <v>0</v>
      </c>
      <c r="AH93" s="174"/>
      <c r="AI93" s="174">
        <f>Renewables_Electricity_Frontend[[#This Row],[Methodology used]]</f>
        <v>0</v>
      </c>
      <c r="AJ93" s="220" t="e" cm="1">
        <f t="array" aca="1" ref="AJ93" ca="1">INDEX(_xlfn.SWITCH(Renewables_Electricity_Backend[[#This Row],[Methodology]],"Tier 1",rng_RSD1,"Tier 2",rng_RSD2,"Tier 3",rng_RSD3),MATCH(_xlfn.CONCAT(Renewables_Electricity_Backend[[#This Row],[Level 1]:[Level 6]]),rng_LevelsConcat,0))</f>
        <v>#N/A</v>
      </c>
      <c r="AK93" s="174">
        <f>Renewables_Electricity_Frontend[[#This Row],[Age (years)]]</f>
        <v>0</v>
      </c>
      <c r="AL93" s="174">
        <f>Renewables_Electricity_Frontend[[#This Row],[Availability]]</f>
        <v>0</v>
      </c>
      <c r="AM93" s="174">
        <f>Renewables_Electricity_Frontend[[#This Row],[Total kW capacity]]</f>
        <v>0</v>
      </c>
      <c r="AN93" s="220">
        <f>Renewables_Electricity_Frontend[[#This Row],[Total kWh generated]]</f>
        <v>0</v>
      </c>
      <c r="AO93" s="412">
        <f>Renewables_Electricity_Frontend[[#This Row],[kWh consumed by reporting organisation]]</f>
        <v>0</v>
      </c>
      <c r="AP93" s="412">
        <f>Renewables_Electricity_Frontend[[#This Row],[kWh exported to grid]]</f>
        <v>0</v>
      </c>
      <c r="AQ93" s="412">
        <f>Renewables_Electricity_Frontend[[#This Row],[kWh exported to other PSB]]</f>
        <v>0</v>
      </c>
      <c r="AR93" s="174">
        <f>Renewables_Electricity_Frontend[[#This Row],[Name of other PSB]]</f>
        <v>0</v>
      </c>
      <c r="AS93" s="174">
        <f>Renewables_Electricity_Frontend[[#This Row],[Ease of collection]]</f>
        <v>0</v>
      </c>
      <c r="AT93" s="174">
        <f>Renewables_Electricity_Frontend[[#This Row],[Ease of collection]]</f>
        <v>0</v>
      </c>
      <c r="AU93" s="174">
        <f>Renewables_Electricity_Frontend[[#This Row],[Completeness]]</f>
        <v>0</v>
      </c>
    </row>
    <row r="94" spans="2:47" x14ac:dyDescent="0.35">
      <c r="B94" s="455"/>
      <c r="E94" s="431"/>
      <c r="F94" s="432"/>
      <c r="G94" s="432"/>
      <c r="H94" s="432"/>
      <c r="I94" s="432"/>
      <c r="J94" s="432"/>
      <c r="K94" s="433"/>
      <c r="L94" s="434"/>
      <c r="M94" s="433"/>
      <c r="N94" s="276">
        <f>Renewables_Electricity_Frontend[[#This Row],[kWh consumed by reporting organisation]]+Renewables_Electricity_Frontend[[#This Row],[kWh exported to grid]]+Renewables_Electricity_Frontend[[#This Row],[kWh exported to other PSB]]</f>
        <v>0</v>
      </c>
      <c r="O94" s="439"/>
      <c r="P94" s="439"/>
      <c r="Q94" s="440"/>
      <c r="R94" s="441"/>
      <c r="S94" s="338"/>
      <c r="T94" s="338"/>
      <c r="U94" s="442"/>
      <c r="V94" s="242">
        <f t="shared" si="4"/>
        <v>11</v>
      </c>
      <c r="Z94" s="212" t="str">
        <f t="shared" si="3"/>
        <v/>
      </c>
      <c r="AA94" s="174" t="s">
        <v>149</v>
      </c>
      <c r="AB94" s="174" t="s">
        <v>149</v>
      </c>
      <c r="AC94" s="174">
        <f>Renewables_Electricity_Frontend[[#This Row],[Renewable Type]]</f>
        <v>0</v>
      </c>
      <c r="AD94" s="174" t="e" cm="1">
        <f t="array" aca="1" ref="AD94" ca="1">_xlfn.XLOOKUP(Renewables_Electricity_Backend[[#This Row],[Level 3]],rng_Level3Long,rng_Level4Long)</f>
        <v>#N/A</v>
      </c>
      <c r="AE94" s="174" t="e" cm="1">
        <f t="array" aca="1" ref="AE94" ca="1">_xlfn.XLOOKUP(Renewables_Electricity_Backend[[#This Row],[Level 3]],rng_Level3Long,rng_Level5Long)</f>
        <v>#N/A</v>
      </c>
      <c r="AF94" s="174" t="e" cm="1">
        <f t="array" aca="1" ref="AF94" ca="1">_xlfn.XLOOKUP(Renewables_Electricity_Backend[[#This Row],[Level 3]],rng_Level3Long,rng_Level6Long)</f>
        <v>#N/A</v>
      </c>
      <c r="AG94" s="174">
        <f>Renewables_Electricity_Frontend[[#This Row],[Generating site name]]</f>
        <v>0</v>
      </c>
      <c r="AH94" s="174"/>
      <c r="AI94" s="174">
        <f>Renewables_Electricity_Frontend[[#This Row],[Methodology used]]</f>
        <v>0</v>
      </c>
      <c r="AJ94" s="220" t="e" cm="1">
        <f t="array" aca="1" ref="AJ94" ca="1">INDEX(_xlfn.SWITCH(Renewables_Electricity_Backend[[#This Row],[Methodology]],"Tier 1",rng_RSD1,"Tier 2",rng_RSD2,"Tier 3",rng_RSD3),MATCH(_xlfn.CONCAT(Renewables_Electricity_Backend[[#This Row],[Level 1]:[Level 6]]),rng_LevelsConcat,0))</f>
        <v>#N/A</v>
      </c>
      <c r="AK94" s="174">
        <f>Renewables_Electricity_Frontend[[#This Row],[Age (years)]]</f>
        <v>0</v>
      </c>
      <c r="AL94" s="174">
        <f>Renewables_Electricity_Frontend[[#This Row],[Availability]]</f>
        <v>0</v>
      </c>
      <c r="AM94" s="174">
        <f>Renewables_Electricity_Frontend[[#This Row],[Total kW capacity]]</f>
        <v>0</v>
      </c>
      <c r="AN94" s="220">
        <f>Renewables_Electricity_Frontend[[#This Row],[Total kWh generated]]</f>
        <v>0</v>
      </c>
      <c r="AO94" s="412">
        <f>Renewables_Electricity_Frontend[[#This Row],[kWh consumed by reporting organisation]]</f>
        <v>0</v>
      </c>
      <c r="AP94" s="412">
        <f>Renewables_Electricity_Frontend[[#This Row],[kWh exported to grid]]</f>
        <v>0</v>
      </c>
      <c r="AQ94" s="412">
        <f>Renewables_Electricity_Frontend[[#This Row],[kWh exported to other PSB]]</f>
        <v>0</v>
      </c>
      <c r="AR94" s="174">
        <f>Renewables_Electricity_Frontend[[#This Row],[Name of other PSB]]</f>
        <v>0</v>
      </c>
      <c r="AS94" s="174">
        <f>Renewables_Electricity_Frontend[[#This Row],[Ease of collection]]</f>
        <v>0</v>
      </c>
      <c r="AT94" s="174">
        <f>Renewables_Electricity_Frontend[[#This Row],[Ease of collection]]</f>
        <v>0</v>
      </c>
      <c r="AU94" s="174">
        <f>Renewables_Electricity_Frontend[[#This Row],[Completeness]]</f>
        <v>0</v>
      </c>
    </row>
    <row r="95" spans="2:47" x14ac:dyDescent="0.35">
      <c r="B95" s="455"/>
      <c r="E95" s="431"/>
      <c r="F95" s="432"/>
      <c r="G95" s="432"/>
      <c r="H95" s="432"/>
      <c r="I95" s="432"/>
      <c r="J95" s="432"/>
      <c r="K95" s="433"/>
      <c r="L95" s="434"/>
      <c r="M95" s="433"/>
      <c r="N95" s="276">
        <f>Renewables_Electricity_Frontend[[#This Row],[kWh consumed by reporting organisation]]+Renewables_Electricity_Frontend[[#This Row],[kWh exported to grid]]+Renewables_Electricity_Frontend[[#This Row],[kWh exported to other PSB]]</f>
        <v>0</v>
      </c>
      <c r="O95" s="439"/>
      <c r="P95" s="439"/>
      <c r="Q95" s="440"/>
      <c r="R95" s="441"/>
      <c r="S95" s="338"/>
      <c r="T95" s="338"/>
      <c r="U95" s="442"/>
      <c r="V95" s="242">
        <f t="shared" si="4"/>
        <v>11</v>
      </c>
      <c r="Z95" s="212" t="str">
        <f t="shared" si="3"/>
        <v/>
      </c>
      <c r="AA95" s="174" t="s">
        <v>149</v>
      </c>
      <c r="AB95" s="174" t="s">
        <v>149</v>
      </c>
      <c r="AC95" s="174">
        <f>Renewables_Electricity_Frontend[[#This Row],[Renewable Type]]</f>
        <v>0</v>
      </c>
      <c r="AD95" s="174" t="e" cm="1">
        <f t="array" aca="1" ref="AD95" ca="1">_xlfn.XLOOKUP(Renewables_Electricity_Backend[[#This Row],[Level 3]],rng_Level3Long,rng_Level4Long)</f>
        <v>#N/A</v>
      </c>
      <c r="AE95" s="174" t="e" cm="1">
        <f t="array" aca="1" ref="AE95" ca="1">_xlfn.XLOOKUP(Renewables_Electricity_Backend[[#This Row],[Level 3]],rng_Level3Long,rng_Level5Long)</f>
        <v>#N/A</v>
      </c>
      <c r="AF95" s="174" t="e" cm="1">
        <f t="array" aca="1" ref="AF95" ca="1">_xlfn.XLOOKUP(Renewables_Electricity_Backend[[#This Row],[Level 3]],rng_Level3Long,rng_Level6Long)</f>
        <v>#N/A</v>
      </c>
      <c r="AG95" s="174">
        <f>Renewables_Electricity_Frontend[[#This Row],[Generating site name]]</f>
        <v>0</v>
      </c>
      <c r="AH95" s="174"/>
      <c r="AI95" s="174">
        <f>Renewables_Electricity_Frontend[[#This Row],[Methodology used]]</f>
        <v>0</v>
      </c>
      <c r="AJ95" s="220" t="e" cm="1">
        <f t="array" aca="1" ref="AJ95" ca="1">INDEX(_xlfn.SWITCH(Renewables_Electricity_Backend[[#This Row],[Methodology]],"Tier 1",rng_RSD1,"Tier 2",rng_RSD2,"Tier 3",rng_RSD3),MATCH(_xlfn.CONCAT(Renewables_Electricity_Backend[[#This Row],[Level 1]:[Level 6]]),rng_LevelsConcat,0))</f>
        <v>#N/A</v>
      </c>
      <c r="AK95" s="174">
        <f>Renewables_Electricity_Frontend[[#This Row],[Age (years)]]</f>
        <v>0</v>
      </c>
      <c r="AL95" s="174">
        <f>Renewables_Electricity_Frontend[[#This Row],[Availability]]</f>
        <v>0</v>
      </c>
      <c r="AM95" s="174">
        <f>Renewables_Electricity_Frontend[[#This Row],[Total kW capacity]]</f>
        <v>0</v>
      </c>
      <c r="AN95" s="220">
        <f>Renewables_Electricity_Frontend[[#This Row],[Total kWh generated]]</f>
        <v>0</v>
      </c>
      <c r="AO95" s="412">
        <f>Renewables_Electricity_Frontend[[#This Row],[kWh consumed by reporting organisation]]</f>
        <v>0</v>
      </c>
      <c r="AP95" s="412">
        <f>Renewables_Electricity_Frontend[[#This Row],[kWh exported to grid]]</f>
        <v>0</v>
      </c>
      <c r="AQ95" s="412">
        <f>Renewables_Electricity_Frontend[[#This Row],[kWh exported to other PSB]]</f>
        <v>0</v>
      </c>
      <c r="AR95" s="174">
        <f>Renewables_Electricity_Frontend[[#This Row],[Name of other PSB]]</f>
        <v>0</v>
      </c>
      <c r="AS95" s="174">
        <f>Renewables_Electricity_Frontend[[#This Row],[Ease of collection]]</f>
        <v>0</v>
      </c>
      <c r="AT95" s="174">
        <f>Renewables_Electricity_Frontend[[#This Row],[Ease of collection]]</f>
        <v>0</v>
      </c>
      <c r="AU95" s="174">
        <f>Renewables_Electricity_Frontend[[#This Row],[Completeness]]</f>
        <v>0</v>
      </c>
    </row>
    <row r="96" spans="2:47" x14ac:dyDescent="0.35">
      <c r="B96" s="455"/>
      <c r="E96" s="431"/>
      <c r="F96" s="432"/>
      <c r="G96" s="432"/>
      <c r="H96" s="432"/>
      <c r="I96" s="432"/>
      <c r="J96" s="432"/>
      <c r="K96" s="433"/>
      <c r="L96" s="434"/>
      <c r="M96" s="433"/>
      <c r="N96" s="276">
        <f>Renewables_Electricity_Frontend[[#This Row],[kWh consumed by reporting organisation]]+Renewables_Electricity_Frontend[[#This Row],[kWh exported to grid]]+Renewables_Electricity_Frontend[[#This Row],[kWh exported to other PSB]]</f>
        <v>0</v>
      </c>
      <c r="O96" s="439"/>
      <c r="P96" s="439"/>
      <c r="Q96" s="440"/>
      <c r="R96" s="441"/>
      <c r="S96" s="338"/>
      <c r="T96" s="338"/>
      <c r="U96" s="442"/>
      <c r="V96" s="242">
        <f t="shared" si="4"/>
        <v>11</v>
      </c>
      <c r="Z96" s="212" t="str">
        <f t="shared" si="3"/>
        <v/>
      </c>
      <c r="AA96" s="174" t="s">
        <v>149</v>
      </c>
      <c r="AB96" s="174" t="s">
        <v>149</v>
      </c>
      <c r="AC96" s="174">
        <f>Renewables_Electricity_Frontend[[#This Row],[Renewable Type]]</f>
        <v>0</v>
      </c>
      <c r="AD96" s="174" t="e" cm="1">
        <f t="array" aca="1" ref="AD96" ca="1">_xlfn.XLOOKUP(Renewables_Electricity_Backend[[#This Row],[Level 3]],rng_Level3Long,rng_Level4Long)</f>
        <v>#N/A</v>
      </c>
      <c r="AE96" s="174" t="e" cm="1">
        <f t="array" aca="1" ref="AE96" ca="1">_xlfn.XLOOKUP(Renewables_Electricity_Backend[[#This Row],[Level 3]],rng_Level3Long,rng_Level5Long)</f>
        <v>#N/A</v>
      </c>
      <c r="AF96" s="174" t="e" cm="1">
        <f t="array" aca="1" ref="AF96" ca="1">_xlfn.XLOOKUP(Renewables_Electricity_Backend[[#This Row],[Level 3]],rng_Level3Long,rng_Level6Long)</f>
        <v>#N/A</v>
      </c>
      <c r="AG96" s="174">
        <f>Renewables_Electricity_Frontend[[#This Row],[Generating site name]]</f>
        <v>0</v>
      </c>
      <c r="AH96" s="174"/>
      <c r="AI96" s="174">
        <f>Renewables_Electricity_Frontend[[#This Row],[Methodology used]]</f>
        <v>0</v>
      </c>
      <c r="AJ96" s="220" t="e" cm="1">
        <f t="array" aca="1" ref="AJ96" ca="1">INDEX(_xlfn.SWITCH(Renewables_Electricity_Backend[[#This Row],[Methodology]],"Tier 1",rng_RSD1,"Tier 2",rng_RSD2,"Tier 3",rng_RSD3),MATCH(_xlfn.CONCAT(Renewables_Electricity_Backend[[#This Row],[Level 1]:[Level 6]]),rng_LevelsConcat,0))</f>
        <v>#N/A</v>
      </c>
      <c r="AK96" s="174">
        <f>Renewables_Electricity_Frontend[[#This Row],[Age (years)]]</f>
        <v>0</v>
      </c>
      <c r="AL96" s="174">
        <f>Renewables_Electricity_Frontend[[#This Row],[Availability]]</f>
        <v>0</v>
      </c>
      <c r="AM96" s="174">
        <f>Renewables_Electricity_Frontend[[#This Row],[Total kW capacity]]</f>
        <v>0</v>
      </c>
      <c r="AN96" s="220">
        <f>Renewables_Electricity_Frontend[[#This Row],[Total kWh generated]]</f>
        <v>0</v>
      </c>
      <c r="AO96" s="412">
        <f>Renewables_Electricity_Frontend[[#This Row],[kWh consumed by reporting organisation]]</f>
        <v>0</v>
      </c>
      <c r="AP96" s="412">
        <f>Renewables_Electricity_Frontend[[#This Row],[kWh exported to grid]]</f>
        <v>0</v>
      </c>
      <c r="AQ96" s="412">
        <f>Renewables_Electricity_Frontend[[#This Row],[kWh exported to other PSB]]</f>
        <v>0</v>
      </c>
      <c r="AR96" s="174">
        <f>Renewables_Electricity_Frontend[[#This Row],[Name of other PSB]]</f>
        <v>0</v>
      </c>
      <c r="AS96" s="174">
        <f>Renewables_Electricity_Frontend[[#This Row],[Ease of collection]]</f>
        <v>0</v>
      </c>
      <c r="AT96" s="174">
        <f>Renewables_Electricity_Frontend[[#This Row],[Ease of collection]]</f>
        <v>0</v>
      </c>
      <c r="AU96" s="174">
        <f>Renewables_Electricity_Frontend[[#This Row],[Completeness]]</f>
        <v>0</v>
      </c>
    </row>
    <row r="97" spans="2:47" x14ac:dyDescent="0.35">
      <c r="B97" s="455"/>
      <c r="E97" s="431"/>
      <c r="F97" s="432"/>
      <c r="G97" s="432"/>
      <c r="H97" s="432"/>
      <c r="I97" s="432"/>
      <c r="J97" s="432"/>
      <c r="K97" s="433"/>
      <c r="L97" s="434"/>
      <c r="M97" s="433"/>
      <c r="N97" s="276">
        <f>Renewables_Electricity_Frontend[[#This Row],[kWh consumed by reporting organisation]]+Renewables_Electricity_Frontend[[#This Row],[kWh exported to grid]]+Renewables_Electricity_Frontend[[#This Row],[kWh exported to other PSB]]</f>
        <v>0</v>
      </c>
      <c r="O97" s="439"/>
      <c r="P97" s="439"/>
      <c r="Q97" s="440"/>
      <c r="R97" s="441"/>
      <c r="S97" s="338"/>
      <c r="T97" s="338"/>
      <c r="U97" s="442"/>
      <c r="V97" s="242">
        <f t="shared" si="4"/>
        <v>11</v>
      </c>
      <c r="Z97" s="212" t="str">
        <f t="shared" si="3"/>
        <v/>
      </c>
      <c r="AA97" s="174" t="s">
        <v>149</v>
      </c>
      <c r="AB97" s="174" t="s">
        <v>149</v>
      </c>
      <c r="AC97" s="174">
        <f>Renewables_Electricity_Frontend[[#This Row],[Renewable Type]]</f>
        <v>0</v>
      </c>
      <c r="AD97" s="174" t="e" cm="1">
        <f t="array" aca="1" ref="AD97" ca="1">_xlfn.XLOOKUP(Renewables_Electricity_Backend[[#This Row],[Level 3]],rng_Level3Long,rng_Level4Long)</f>
        <v>#N/A</v>
      </c>
      <c r="AE97" s="174" t="e" cm="1">
        <f t="array" aca="1" ref="AE97" ca="1">_xlfn.XLOOKUP(Renewables_Electricity_Backend[[#This Row],[Level 3]],rng_Level3Long,rng_Level5Long)</f>
        <v>#N/A</v>
      </c>
      <c r="AF97" s="174" t="e" cm="1">
        <f t="array" aca="1" ref="AF97" ca="1">_xlfn.XLOOKUP(Renewables_Electricity_Backend[[#This Row],[Level 3]],rng_Level3Long,rng_Level6Long)</f>
        <v>#N/A</v>
      </c>
      <c r="AG97" s="174">
        <f>Renewables_Electricity_Frontend[[#This Row],[Generating site name]]</f>
        <v>0</v>
      </c>
      <c r="AH97" s="174"/>
      <c r="AI97" s="174">
        <f>Renewables_Electricity_Frontend[[#This Row],[Methodology used]]</f>
        <v>0</v>
      </c>
      <c r="AJ97" s="220" t="e" cm="1">
        <f t="array" aca="1" ref="AJ97" ca="1">INDEX(_xlfn.SWITCH(Renewables_Electricity_Backend[[#This Row],[Methodology]],"Tier 1",rng_RSD1,"Tier 2",rng_RSD2,"Tier 3",rng_RSD3),MATCH(_xlfn.CONCAT(Renewables_Electricity_Backend[[#This Row],[Level 1]:[Level 6]]),rng_LevelsConcat,0))</f>
        <v>#N/A</v>
      </c>
      <c r="AK97" s="174">
        <f>Renewables_Electricity_Frontend[[#This Row],[Age (years)]]</f>
        <v>0</v>
      </c>
      <c r="AL97" s="174">
        <f>Renewables_Electricity_Frontend[[#This Row],[Availability]]</f>
        <v>0</v>
      </c>
      <c r="AM97" s="174">
        <f>Renewables_Electricity_Frontend[[#This Row],[Total kW capacity]]</f>
        <v>0</v>
      </c>
      <c r="AN97" s="220">
        <f>Renewables_Electricity_Frontend[[#This Row],[Total kWh generated]]</f>
        <v>0</v>
      </c>
      <c r="AO97" s="412">
        <f>Renewables_Electricity_Frontend[[#This Row],[kWh consumed by reporting organisation]]</f>
        <v>0</v>
      </c>
      <c r="AP97" s="412">
        <f>Renewables_Electricity_Frontend[[#This Row],[kWh exported to grid]]</f>
        <v>0</v>
      </c>
      <c r="AQ97" s="412">
        <f>Renewables_Electricity_Frontend[[#This Row],[kWh exported to other PSB]]</f>
        <v>0</v>
      </c>
      <c r="AR97" s="174">
        <f>Renewables_Electricity_Frontend[[#This Row],[Name of other PSB]]</f>
        <v>0</v>
      </c>
      <c r="AS97" s="174">
        <f>Renewables_Electricity_Frontend[[#This Row],[Ease of collection]]</f>
        <v>0</v>
      </c>
      <c r="AT97" s="174">
        <f>Renewables_Electricity_Frontend[[#This Row],[Ease of collection]]</f>
        <v>0</v>
      </c>
      <c r="AU97" s="174">
        <f>Renewables_Electricity_Frontend[[#This Row],[Completeness]]</f>
        <v>0</v>
      </c>
    </row>
    <row r="98" spans="2:47" x14ac:dyDescent="0.35">
      <c r="B98" s="455"/>
      <c r="E98" s="431"/>
      <c r="F98" s="432"/>
      <c r="G98" s="432"/>
      <c r="H98" s="432"/>
      <c r="I98" s="432"/>
      <c r="J98" s="432"/>
      <c r="K98" s="433"/>
      <c r="L98" s="434"/>
      <c r="M98" s="433"/>
      <c r="N98" s="276">
        <f>Renewables_Electricity_Frontend[[#This Row],[kWh consumed by reporting organisation]]+Renewables_Electricity_Frontend[[#This Row],[kWh exported to grid]]+Renewables_Electricity_Frontend[[#This Row],[kWh exported to other PSB]]</f>
        <v>0</v>
      </c>
      <c r="O98" s="439"/>
      <c r="P98" s="439"/>
      <c r="Q98" s="440"/>
      <c r="R98" s="441"/>
      <c r="S98" s="338"/>
      <c r="T98" s="338"/>
      <c r="U98" s="442"/>
      <c r="V98" s="242">
        <f t="shared" si="4"/>
        <v>11</v>
      </c>
      <c r="Z98" s="212" t="str">
        <f t="shared" si="3"/>
        <v/>
      </c>
      <c r="AA98" s="174" t="s">
        <v>149</v>
      </c>
      <c r="AB98" s="174" t="s">
        <v>149</v>
      </c>
      <c r="AC98" s="174">
        <f>Renewables_Electricity_Frontend[[#This Row],[Renewable Type]]</f>
        <v>0</v>
      </c>
      <c r="AD98" s="174" t="e" cm="1">
        <f t="array" aca="1" ref="AD98" ca="1">_xlfn.XLOOKUP(Renewables_Electricity_Backend[[#This Row],[Level 3]],rng_Level3Long,rng_Level4Long)</f>
        <v>#N/A</v>
      </c>
      <c r="AE98" s="174" t="e" cm="1">
        <f t="array" aca="1" ref="AE98" ca="1">_xlfn.XLOOKUP(Renewables_Electricity_Backend[[#This Row],[Level 3]],rng_Level3Long,rng_Level5Long)</f>
        <v>#N/A</v>
      </c>
      <c r="AF98" s="174" t="e" cm="1">
        <f t="array" aca="1" ref="AF98" ca="1">_xlfn.XLOOKUP(Renewables_Electricity_Backend[[#This Row],[Level 3]],rng_Level3Long,rng_Level6Long)</f>
        <v>#N/A</v>
      </c>
      <c r="AG98" s="174">
        <f>Renewables_Electricity_Frontend[[#This Row],[Generating site name]]</f>
        <v>0</v>
      </c>
      <c r="AH98" s="174"/>
      <c r="AI98" s="174">
        <f>Renewables_Electricity_Frontend[[#This Row],[Methodology used]]</f>
        <v>0</v>
      </c>
      <c r="AJ98" s="220" t="e" cm="1">
        <f t="array" aca="1" ref="AJ98" ca="1">INDEX(_xlfn.SWITCH(Renewables_Electricity_Backend[[#This Row],[Methodology]],"Tier 1",rng_RSD1,"Tier 2",rng_RSD2,"Tier 3",rng_RSD3),MATCH(_xlfn.CONCAT(Renewables_Electricity_Backend[[#This Row],[Level 1]:[Level 6]]),rng_LevelsConcat,0))</f>
        <v>#N/A</v>
      </c>
      <c r="AK98" s="174">
        <f>Renewables_Electricity_Frontend[[#This Row],[Age (years)]]</f>
        <v>0</v>
      </c>
      <c r="AL98" s="174">
        <f>Renewables_Electricity_Frontend[[#This Row],[Availability]]</f>
        <v>0</v>
      </c>
      <c r="AM98" s="174">
        <f>Renewables_Electricity_Frontend[[#This Row],[Total kW capacity]]</f>
        <v>0</v>
      </c>
      <c r="AN98" s="220">
        <f>Renewables_Electricity_Frontend[[#This Row],[Total kWh generated]]</f>
        <v>0</v>
      </c>
      <c r="AO98" s="412">
        <f>Renewables_Electricity_Frontend[[#This Row],[kWh consumed by reporting organisation]]</f>
        <v>0</v>
      </c>
      <c r="AP98" s="412">
        <f>Renewables_Electricity_Frontend[[#This Row],[kWh exported to grid]]</f>
        <v>0</v>
      </c>
      <c r="AQ98" s="412">
        <f>Renewables_Electricity_Frontend[[#This Row],[kWh exported to other PSB]]</f>
        <v>0</v>
      </c>
      <c r="AR98" s="174">
        <f>Renewables_Electricity_Frontend[[#This Row],[Name of other PSB]]</f>
        <v>0</v>
      </c>
      <c r="AS98" s="174">
        <f>Renewables_Electricity_Frontend[[#This Row],[Ease of collection]]</f>
        <v>0</v>
      </c>
      <c r="AT98" s="174">
        <f>Renewables_Electricity_Frontend[[#This Row],[Ease of collection]]</f>
        <v>0</v>
      </c>
      <c r="AU98" s="174">
        <f>Renewables_Electricity_Frontend[[#This Row],[Completeness]]</f>
        <v>0</v>
      </c>
    </row>
    <row r="99" spans="2:47" x14ac:dyDescent="0.35">
      <c r="B99" s="455"/>
      <c r="E99" s="431"/>
      <c r="F99" s="432"/>
      <c r="G99" s="432"/>
      <c r="H99" s="432"/>
      <c r="I99" s="432"/>
      <c r="J99" s="432"/>
      <c r="K99" s="433"/>
      <c r="L99" s="434"/>
      <c r="M99" s="433"/>
      <c r="N99" s="276">
        <f>Renewables_Electricity_Frontend[[#This Row],[kWh consumed by reporting organisation]]+Renewables_Electricity_Frontend[[#This Row],[kWh exported to grid]]+Renewables_Electricity_Frontend[[#This Row],[kWh exported to other PSB]]</f>
        <v>0</v>
      </c>
      <c r="O99" s="439"/>
      <c r="P99" s="439"/>
      <c r="Q99" s="440"/>
      <c r="R99" s="441"/>
      <c r="S99" s="338"/>
      <c r="T99" s="338"/>
      <c r="U99" s="442"/>
      <c r="V99" s="242">
        <f t="shared" si="4"/>
        <v>11</v>
      </c>
      <c r="Z99" s="212" t="str">
        <f t="shared" si="3"/>
        <v/>
      </c>
      <c r="AA99" s="174" t="s">
        <v>149</v>
      </c>
      <c r="AB99" s="174" t="s">
        <v>149</v>
      </c>
      <c r="AC99" s="174">
        <f>Renewables_Electricity_Frontend[[#This Row],[Renewable Type]]</f>
        <v>0</v>
      </c>
      <c r="AD99" s="174" t="e" cm="1">
        <f t="array" aca="1" ref="AD99" ca="1">_xlfn.XLOOKUP(Renewables_Electricity_Backend[[#This Row],[Level 3]],rng_Level3Long,rng_Level4Long)</f>
        <v>#N/A</v>
      </c>
      <c r="AE99" s="174" t="e" cm="1">
        <f t="array" aca="1" ref="AE99" ca="1">_xlfn.XLOOKUP(Renewables_Electricity_Backend[[#This Row],[Level 3]],rng_Level3Long,rng_Level5Long)</f>
        <v>#N/A</v>
      </c>
      <c r="AF99" s="174" t="e" cm="1">
        <f t="array" aca="1" ref="AF99" ca="1">_xlfn.XLOOKUP(Renewables_Electricity_Backend[[#This Row],[Level 3]],rng_Level3Long,rng_Level6Long)</f>
        <v>#N/A</v>
      </c>
      <c r="AG99" s="174">
        <f>Renewables_Electricity_Frontend[[#This Row],[Generating site name]]</f>
        <v>0</v>
      </c>
      <c r="AH99" s="174"/>
      <c r="AI99" s="174">
        <f>Renewables_Electricity_Frontend[[#This Row],[Methodology used]]</f>
        <v>0</v>
      </c>
      <c r="AJ99" s="220" t="e" cm="1">
        <f t="array" aca="1" ref="AJ99" ca="1">INDEX(_xlfn.SWITCH(Renewables_Electricity_Backend[[#This Row],[Methodology]],"Tier 1",rng_RSD1,"Tier 2",rng_RSD2,"Tier 3",rng_RSD3),MATCH(_xlfn.CONCAT(Renewables_Electricity_Backend[[#This Row],[Level 1]:[Level 6]]),rng_LevelsConcat,0))</f>
        <v>#N/A</v>
      </c>
      <c r="AK99" s="174">
        <f>Renewables_Electricity_Frontend[[#This Row],[Age (years)]]</f>
        <v>0</v>
      </c>
      <c r="AL99" s="174">
        <f>Renewables_Electricity_Frontend[[#This Row],[Availability]]</f>
        <v>0</v>
      </c>
      <c r="AM99" s="174">
        <f>Renewables_Electricity_Frontend[[#This Row],[Total kW capacity]]</f>
        <v>0</v>
      </c>
      <c r="AN99" s="220">
        <f>Renewables_Electricity_Frontend[[#This Row],[Total kWh generated]]</f>
        <v>0</v>
      </c>
      <c r="AO99" s="412">
        <f>Renewables_Electricity_Frontend[[#This Row],[kWh consumed by reporting organisation]]</f>
        <v>0</v>
      </c>
      <c r="AP99" s="412">
        <f>Renewables_Electricity_Frontend[[#This Row],[kWh exported to grid]]</f>
        <v>0</v>
      </c>
      <c r="AQ99" s="412">
        <f>Renewables_Electricity_Frontend[[#This Row],[kWh exported to other PSB]]</f>
        <v>0</v>
      </c>
      <c r="AR99" s="174">
        <f>Renewables_Electricity_Frontend[[#This Row],[Name of other PSB]]</f>
        <v>0</v>
      </c>
      <c r="AS99" s="174">
        <f>Renewables_Electricity_Frontend[[#This Row],[Ease of collection]]</f>
        <v>0</v>
      </c>
      <c r="AT99" s="174">
        <f>Renewables_Electricity_Frontend[[#This Row],[Ease of collection]]</f>
        <v>0</v>
      </c>
      <c r="AU99" s="174">
        <f>Renewables_Electricity_Frontend[[#This Row],[Completeness]]</f>
        <v>0</v>
      </c>
    </row>
    <row r="100" spans="2:47" x14ac:dyDescent="0.35">
      <c r="B100" s="455"/>
      <c r="E100" s="431"/>
      <c r="F100" s="432"/>
      <c r="G100" s="432"/>
      <c r="H100" s="432"/>
      <c r="I100" s="432"/>
      <c r="J100" s="432"/>
      <c r="K100" s="433"/>
      <c r="L100" s="434"/>
      <c r="M100" s="433"/>
      <c r="N100" s="276">
        <f>Renewables_Electricity_Frontend[[#This Row],[kWh consumed by reporting organisation]]+Renewables_Electricity_Frontend[[#This Row],[kWh exported to grid]]+Renewables_Electricity_Frontend[[#This Row],[kWh exported to other PSB]]</f>
        <v>0</v>
      </c>
      <c r="O100" s="439"/>
      <c r="P100" s="439"/>
      <c r="Q100" s="440"/>
      <c r="R100" s="441"/>
      <c r="S100" s="338"/>
      <c r="T100" s="338"/>
      <c r="U100" s="442"/>
      <c r="V100" s="242">
        <f t="shared" si="4"/>
        <v>11</v>
      </c>
      <c r="Z100" s="212" t="str">
        <f t="shared" si="3"/>
        <v/>
      </c>
      <c r="AA100" s="174" t="s">
        <v>149</v>
      </c>
      <c r="AB100" s="174" t="s">
        <v>149</v>
      </c>
      <c r="AC100" s="174">
        <f>Renewables_Electricity_Frontend[[#This Row],[Renewable Type]]</f>
        <v>0</v>
      </c>
      <c r="AD100" s="174" t="e" cm="1">
        <f t="array" aca="1" ref="AD100" ca="1">_xlfn.XLOOKUP(Renewables_Electricity_Backend[[#This Row],[Level 3]],rng_Level3Long,rng_Level4Long)</f>
        <v>#N/A</v>
      </c>
      <c r="AE100" s="174" t="e" cm="1">
        <f t="array" aca="1" ref="AE100" ca="1">_xlfn.XLOOKUP(Renewables_Electricity_Backend[[#This Row],[Level 3]],rng_Level3Long,rng_Level5Long)</f>
        <v>#N/A</v>
      </c>
      <c r="AF100" s="174" t="e" cm="1">
        <f t="array" aca="1" ref="AF100" ca="1">_xlfn.XLOOKUP(Renewables_Electricity_Backend[[#This Row],[Level 3]],rng_Level3Long,rng_Level6Long)</f>
        <v>#N/A</v>
      </c>
      <c r="AG100" s="174">
        <f>Renewables_Electricity_Frontend[[#This Row],[Generating site name]]</f>
        <v>0</v>
      </c>
      <c r="AH100" s="174"/>
      <c r="AI100" s="174">
        <f>Renewables_Electricity_Frontend[[#This Row],[Methodology used]]</f>
        <v>0</v>
      </c>
      <c r="AJ100" s="220" t="e" cm="1">
        <f t="array" aca="1" ref="AJ100" ca="1">INDEX(_xlfn.SWITCH(Renewables_Electricity_Backend[[#This Row],[Methodology]],"Tier 1",rng_RSD1,"Tier 2",rng_RSD2,"Tier 3",rng_RSD3),MATCH(_xlfn.CONCAT(Renewables_Electricity_Backend[[#This Row],[Level 1]:[Level 6]]),rng_LevelsConcat,0))</f>
        <v>#N/A</v>
      </c>
      <c r="AK100" s="174">
        <f>Renewables_Electricity_Frontend[[#This Row],[Age (years)]]</f>
        <v>0</v>
      </c>
      <c r="AL100" s="174">
        <f>Renewables_Electricity_Frontend[[#This Row],[Availability]]</f>
        <v>0</v>
      </c>
      <c r="AM100" s="174">
        <f>Renewables_Electricity_Frontend[[#This Row],[Total kW capacity]]</f>
        <v>0</v>
      </c>
      <c r="AN100" s="220">
        <f>Renewables_Electricity_Frontend[[#This Row],[Total kWh generated]]</f>
        <v>0</v>
      </c>
      <c r="AO100" s="412">
        <f>Renewables_Electricity_Frontend[[#This Row],[kWh consumed by reporting organisation]]</f>
        <v>0</v>
      </c>
      <c r="AP100" s="412">
        <f>Renewables_Electricity_Frontend[[#This Row],[kWh exported to grid]]</f>
        <v>0</v>
      </c>
      <c r="AQ100" s="412">
        <f>Renewables_Electricity_Frontend[[#This Row],[kWh exported to other PSB]]</f>
        <v>0</v>
      </c>
      <c r="AR100" s="174">
        <f>Renewables_Electricity_Frontend[[#This Row],[Name of other PSB]]</f>
        <v>0</v>
      </c>
      <c r="AS100" s="174">
        <f>Renewables_Electricity_Frontend[[#This Row],[Ease of collection]]</f>
        <v>0</v>
      </c>
      <c r="AT100" s="174">
        <f>Renewables_Electricity_Frontend[[#This Row],[Ease of collection]]</f>
        <v>0</v>
      </c>
      <c r="AU100" s="174">
        <f>Renewables_Electricity_Frontend[[#This Row],[Completeness]]</f>
        <v>0</v>
      </c>
    </row>
    <row r="101" spans="2:47" x14ac:dyDescent="0.35">
      <c r="B101" s="455"/>
      <c r="E101" s="431"/>
      <c r="F101" s="432"/>
      <c r="G101" s="432"/>
      <c r="H101" s="432"/>
      <c r="I101" s="432"/>
      <c r="J101" s="432"/>
      <c r="K101" s="433"/>
      <c r="L101" s="434"/>
      <c r="M101" s="433"/>
      <c r="N101" s="276">
        <f>Renewables_Electricity_Frontend[[#This Row],[kWh consumed by reporting organisation]]+Renewables_Electricity_Frontend[[#This Row],[kWh exported to grid]]+Renewables_Electricity_Frontend[[#This Row],[kWh exported to other PSB]]</f>
        <v>0</v>
      </c>
      <c r="O101" s="439"/>
      <c r="P101" s="439"/>
      <c r="Q101" s="440"/>
      <c r="R101" s="441"/>
      <c r="S101" s="338"/>
      <c r="T101" s="338"/>
      <c r="U101" s="442"/>
      <c r="V101" s="242">
        <f t="shared" si="4"/>
        <v>11</v>
      </c>
      <c r="Z101" s="212" t="str">
        <f t="shared" si="3"/>
        <v/>
      </c>
      <c r="AA101" s="174" t="s">
        <v>149</v>
      </c>
      <c r="AB101" s="174" t="s">
        <v>149</v>
      </c>
      <c r="AC101" s="174">
        <f>Renewables_Electricity_Frontend[[#This Row],[Renewable Type]]</f>
        <v>0</v>
      </c>
      <c r="AD101" s="174" t="e" cm="1">
        <f t="array" aca="1" ref="AD101" ca="1">_xlfn.XLOOKUP(Renewables_Electricity_Backend[[#This Row],[Level 3]],rng_Level3Long,rng_Level4Long)</f>
        <v>#N/A</v>
      </c>
      <c r="AE101" s="174" t="e" cm="1">
        <f t="array" aca="1" ref="AE101" ca="1">_xlfn.XLOOKUP(Renewables_Electricity_Backend[[#This Row],[Level 3]],rng_Level3Long,rng_Level5Long)</f>
        <v>#N/A</v>
      </c>
      <c r="AF101" s="174" t="e" cm="1">
        <f t="array" aca="1" ref="AF101" ca="1">_xlfn.XLOOKUP(Renewables_Electricity_Backend[[#This Row],[Level 3]],rng_Level3Long,rng_Level6Long)</f>
        <v>#N/A</v>
      </c>
      <c r="AG101" s="174">
        <f>Renewables_Electricity_Frontend[[#This Row],[Generating site name]]</f>
        <v>0</v>
      </c>
      <c r="AH101" s="174"/>
      <c r="AI101" s="174">
        <f>Renewables_Electricity_Frontend[[#This Row],[Methodology used]]</f>
        <v>0</v>
      </c>
      <c r="AJ101" s="220" t="e" cm="1">
        <f t="array" aca="1" ref="AJ101" ca="1">INDEX(_xlfn.SWITCH(Renewables_Electricity_Backend[[#This Row],[Methodology]],"Tier 1",rng_RSD1,"Tier 2",rng_RSD2,"Tier 3",rng_RSD3),MATCH(_xlfn.CONCAT(Renewables_Electricity_Backend[[#This Row],[Level 1]:[Level 6]]),rng_LevelsConcat,0))</f>
        <v>#N/A</v>
      </c>
      <c r="AK101" s="174">
        <f>Renewables_Electricity_Frontend[[#This Row],[Age (years)]]</f>
        <v>0</v>
      </c>
      <c r="AL101" s="174">
        <f>Renewables_Electricity_Frontend[[#This Row],[Availability]]</f>
        <v>0</v>
      </c>
      <c r="AM101" s="174">
        <f>Renewables_Electricity_Frontend[[#This Row],[Total kW capacity]]</f>
        <v>0</v>
      </c>
      <c r="AN101" s="220">
        <f>Renewables_Electricity_Frontend[[#This Row],[Total kWh generated]]</f>
        <v>0</v>
      </c>
      <c r="AO101" s="412">
        <f>Renewables_Electricity_Frontend[[#This Row],[kWh consumed by reporting organisation]]</f>
        <v>0</v>
      </c>
      <c r="AP101" s="412">
        <f>Renewables_Electricity_Frontend[[#This Row],[kWh exported to grid]]</f>
        <v>0</v>
      </c>
      <c r="AQ101" s="412">
        <f>Renewables_Electricity_Frontend[[#This Row],[kWh exported to other PSB]]</f>
        <v>0</v>
      </c>
      <c r="AR101" s="174">
        <f>Renewables_Electricity_Frontend[[#This Row],[Name of other PSB]]</f>
        <v>0</v>
      </c>
      <c r="AS101" s="174">
        <f>Renewables_Electricity_Frontend[[#This Row],[Ease of collection]]</f>
        <v>0</v>
      </c>
      <c r="AT101" s="174">
        <f>Renewables_Electricity_Frontend[[#This Row],[Ease of collection]]</f>
        <v>0</v>
      </c>
      <c r="AU101" s="174">
        <f>Renewables_Electricity_Frontend[[#This Row],[Completeness]]</f>
        <v>0</v>
      </c>
    </row>
    <row r="102" spans="2:47" x14ac:dyDescent="0.35">
      <c r="B102" s="455"/>
      <c r="E102" s="431"/>
      <c r="F102" s="432"/>
      <c r="G102" s="432"/>
      <c r="H102" s="432"/>
      <c r="I102" s="432"/>
      <c r="J102" s="432"/>
      <c r="K102" s="433"/>
      <c r="L102" s="434"/>
      <c r="M102" s="433"/>
      <c r="N102" s="276">
        <f>Renewables_Electricity_Frontend[[#This Row],[kWh consumed by reporting organisation]]+Renewables_Electricity_Frontend[[#This Row],[kWh exported to grid]]+Renewables_Electricity_Frontend[[#This Row],[kWh exported to other PSB]]</f>
        <v>0</v>
      </c>
      <c r="O102" s="439"/>
      <c r="P102" s="439"/>
      <c r="Q102" s="440"/>
      <c r="R102" s="441"/>
      <c r="S102" s="338"/>
      <c r="T102" s="338"/>
      <c r="U102" s="442"/>
      <c r="V102" s="242">
        <f t="shared" si="4"/>
        <v>11</v>
      </c>
      <c r="Z102" s="212" t="str">
        <f t="shared" si="3"/>
        <v/>
      </c>
      <c r="AA102" s="174" t="s">
        <v>149</v>
      </c>
      <c r="AB102" s="174" t="s">
        <v>149</v>
      </c>
      <c r="AC102" s="174">
        <f>Renewables_Electricity_Frontend[[#This Row],[Renewable Type]]</f>
        <v>0</v>
      </c>
      <c r="AD102" s="174" t="e" cm="1">
        <f t="array" aca="1" ref="AD102" ca="1">_xlfn.XLOOKUP(Renewables_Electricity_Backend[[#This Row],[Level 3]],rng_Level3Long,rng_Level4Long)</f>
        <v>#N/A</v>
      </c>
      <c r="AE102" s="174" t="e" cm="1">
        <f t="array" aca="1" ref="AE102" ca="1">_xlfn.XLOOKUP(Renewables_Electricity_Backend[[#This Row],[Level 3]],rng_Level3Long,rng_Level5Long)</f>
        <v>#N/A</v>
      </c>
      <c r="AF102" s="174" t="e" cm="1">
        <f t="array" aca="1" ref="AF102" ca="1">_xlfn.XLOOKUP(Renewables_Electricity_Backend[[#This Row],[Level 3]],rng_Level3Long,rng_Level6Long)</f>
        <v>#N/A</v>
      </c>
      <c r="AG102" s="174">
        <f>Renewables_Electricity_Frontend[[#This Row],[Generating site name]]</f>
        <v>0</v>
      </c>
      <c r="AH102" s="174"/>
      <c r="AI102" s="174">
        <f>Renewables_Electricity_Frontend[[#This Row],[Methodology used]]</f>
        <v>0</v>
      </c>
      <c r="AJ102" s="220" t="e" cm="1">
        <f t="array" aca="1" ref="AJ102" ca="1">INDEX(_xlfn.SWITCH(Renewables_Electricity_Backend[[#This Row],[Methodology]],"Tier 1",rng_RSD1,"Tier 2",rng_RSD2,"Tier 3",rng_RSD3),MATCH(_xlfn.CONCAT(Renewables_Electricity_Backend[[#This Row],[Level 1]:[Level 6]]),rng_LevelsConcat,0))</f>
        <v>#N/A</v>
      </c>
      <c r="AK102" s="174">
        <f>Renewables_Electricity_Frontend[[#This Row],[Age (years)]]</f>
        <v>0</v>
      </c>
      <c r="AL102" s="174">
        <f>Renewables_Electricity_Frontend[[#This Row],[Availability]]</f>
        <v>0</v>
      </c>
      <c r="AM102" s="174">
        <f>Renewables_Electricity_Frontend[[#This Row],[Total kW capacity]]</f>
        <v>0</v>
      </c>
      <c r="AN102" s="220">
        <f>Renewables_Electricity_Frontend[[#This Row],[Total kWh generated]]</f>
        <v>0</v>
      </c>
      <c r="AO102" s="412">
        <f>Renewables_Electricity_Frontend[[#This Row],[kWh consumed by reporting organisation]]</f>
        <v>0</v>
      </c>
      <c r="AP102" s="412">
        <f>Renewables_Electricity_Frontend[[#This Row],[kWh exported to grid]]</f>
        <v>0</v>
      </c>
      <c r="AQ102" s="412">
        <f>Renewables_Electricity_Frontend[[#This Row],[kWh exported to other PSB]]</f>
        <v>0</v>
      </c>
      <c r="AR102" s="174">
        <f>Renewables_Electricity_Frontend[[#This Row],[Name of other PSB]]</f>
        <v>0</v>
      </c>
      <c r="AS102" s="174">
        <f>Renewables_Electricity_Frontend[[#This Row],[Ease of collection]]</f>
        <v>0</v>
      </c>
      <c r="AT102" s="174">
        <f>Renewables_Electricity_Frontend[[#This Row],[Ease of collection]]</f>
        <v>0</v>
      </c>
      <c r="AU102" s="174">
        <f>Renewables_Electricity_Frontend[[#This Row],[Completeness]]</f>
        <v>0</v>
      </c>
    </row>
    <row r="103" spans="2:47" x14ac:dyDescent="0.35">
      <c r="B103" s="455"/>
      <c r="E103" s="431"/>
      <c r="F103" s="432"/>
      <c r="G103" s="432"/>
      <c r="H103" s="432"/>
      <c r="I103" s="432"/>
      <c r="J103" s="432"/>
      <c r="K103" s="433"/>
      <c r="L103" s="434"/>
      <c r="M103" s="433"/>
      <c r="N103" s="276">
        <f>Renewables_Electricity_Frontend[[#This Row],[kWh consumed by reporting organisation]]+Renewables_Electricity_Frontend[[#This Row],[kWh exported to grid]]+Renewables_Electricity_Frontend[[#This Row],[kWh exported to other PSB]]</f>
        <v>0</v>
      </c>
      <c r="O103" s="439"/>
      <c r="P103" s="439"/>
      <c r="Q103" s="440"/>
      <c r="R103" s="441"/>
      <c r="S103" s="338"/>
      <c r="T103" s="338"/>
      <c r="U103" s="442"/>
      <c r="V103" s="242">
        <f t="shared" si="4"/>
        <v>11</v>
      </c>
      <c r="Z103" s="212" t="str">
        <f t="shared" si="3"/>
        <v/>
      </c>
      <c r="AA103" s="174" t="s">
        <v>149</v>
      </c>
      <c r="AB103" s="174" t="s">
        <v>149</v>
      </c>
      <c r="AC103" s="174">
        <f>Renewables_Electricity_Frontend[[#This Row],[Renewable Type]]</f>
        <v>0</v>
      </c>
      <c r="AD103" s="174" t="e" cm="1">
        <f t="array" aca="1" ref="AD103" ca="1">_xlfn.XLOOKUP(Renewables_Electricity_Backend[[#This Row],[Level 3]],rng_Level3Long,rng_Level4Long)</f>
        <v>#N/A</v>
      </c>
      <c r="AE103" s="174" t="e" cm="1">
        <f t="array" aca="1" ref="AE103" ca="1">_xlfn.XLOOKUP(Renewables_Electricity_Backend[[#This Row],[Level 3]],rng_Level3Long,rng_Level5Long)</f>
        <v>#N/A</v>
      </c>
      <c r="AF103" s="174" t="e" cm="1">
        <f t="array" aca="1" ref="AF103" ca="1">_xlfn.XLOOKUP(Renewables_Electricity_Backend[[#This Row],[Level 3]],rng_Level3Long,rng_Level6Long)</f>
        <v>#N/A</v>
      </c>
      <c r="AG103" s="174">
        <f>Renewables_Electricity_Frontend[[#This Row],[Generating site name]]</f>
        <v>0</v>
      </c>
      <c r="AH103" s="174"/>
      <c r="AI103" s="174">
        <f>Renewables_Electricity_Frontend[[#This Row],[Methodology used]]</f>
        <v>0</v>
      </c>
      <c r="AJ103" s="220" t="e" cm="1">
        <f t="array" aca="1" ref="AJ103" ca="1">INDEX(_xlfn.SWITCH(Renewables_Electricity_Backend[[#This Row],[Methodology]],"Tier 1",rng_RSD1,"Tier 2",rng_RSD2,"Tier 3",rng_RSD3),MATCH(_xlfn.CONCAT(Renewables_Electricity_Backend[[#This Row],[Level 1]:[Level 6]]),rng_LevelsConcat,0))</f>
        <v>#N/A</v>
      </c>
      <c r="AK103" s="174">
        <f>Renewables_Electricity_Frontend[[#This Row],[Age (years)]]</f>
        <v>0</v>
      </c>
      <c r="AL103" s="174">
        <f>Renewables_Electricity_Frontend[[#This Row],[Availability]]</f>
        <v>0</v>
      </c>
      <c r="AM103" s="174">
        <f>Renewables_Electricity_Frontend[[#This Row],[Total kW capacity]]</f>
        <v>0</v>
      </c>
      <c r="AN103" s="220">
        <f>Renewables_Electricity_Frontend[[#This Row],[Total kWh generated]]</f>
        <v>0</v>
      </c>
      <c r="AO103" s="412">
        <f>Renewables_Electricity_Frontend[[#This Row],[kWh consumed by reporting organisation]]</f>
        <v>0</v>
      </c>
      <c r="AP103" s="412">
        <f>Renewables_Electricity_Frontend[[#This Row],[kWh exported to grid]]</f>
        <v>0</v>
      </c>
      <c r="AQ103" s="412">
        <f>Renewables_Electricity_Frontend[[#This Row],[kWh exported to other PSB]]</f>
        <v>0</v>
      </c>
      <c r="AR103" s="174">
        <f>Renewables_Electricity_Frontend[[#This Row],[Name of other PSB]]</f>
        <v>0</v>
      </c>
      <c r="AS103" s="174">
        <f>Renewables_Electricity_Frontend[[#This Row],[Ease of collection]]</f>
        <v>0</v>
      </c>
      <c r="AT103" s="174">
        <f>Renewables_Electricity_Frontend[[#This Row],[Ease of collection]]</f>
        <v>0</v>
      </c>
      <c r="AU103" s="174">
        <f>Renewables_Electricity_Frontend[[#This Row],[Completeness]]</f>
        <v>0</v>
      </c>
    </row>
    <row r="104" spans="2:47" x14ac:dyDescent="0.35">
      <c r="B104" s="455"/>
      <c r="E104" s="431"/>
      <c r="F104" s="432"/>
      <c r="G104" s="432"/>
      <c r="H104" s="432"/>
      <c r="I104" s="432"/>
      <c r="J104" s="432"/>
      <c r="K104" s="433"/>
      <c r="L104" s="434"/>
      <c r="M104" s="433"/>
      <c r="N104" s="276">
        <f>Renewables_Electricity_Frontend[[#This Row],[kWh consumed by reporting organisation]]+Renewables_Electricity_Frontend[[#This Row],[kWh exported to grid]]+Renewables_Electricity_Frontend[[#This Row],[kWh exported to other PSB]]</f>
        <v>0</v>
      </c>
      <c r="O104" s="439"/>
      <c r="P104" s="439"/>
      <c r="Q104" s="440"/>
      <c r="R104" s="441"/>
      <c r="S104" s="338"/>
      <c r="T104" s="338"/>
      <c r="U104" s="442"/>
      <c r="V104" s="242">
        <f t="shared" si="4"/>
        <v>11</v>
      </c>
      <c r="Z104" s="212" t="str">
        <f t="shared" si="3"/>
        <v/>
      </c>
      <c r="AA104" s="174" t="s">
        <v>149</v>
      </c>
      <c r="AB104" s="174" t="s">
        <v>149</v>
      </c>
      <c r="AC104" s="174">
        <f>Renewables_Electricity_Frontend[[#This Row],[Renewable Type]]</f>
        <v>0</v>
      </c>
      <c r="AD104" s="174" t="e" cm="1">
        <f t="array" aca="1" ref="AD104" ca="1">_xlfn.XLOOKUP(Renewables_Electricity_Backend[[#This Row],[Level 3]],rng_Level3Long,rng_Level4Long)</f>
        <v>#N/A</v>
      </c>
      <c r="AE104" s="174" t="e" cm="1">
        <f t="array" aca="1" ref="AE104" ca="1">_xlfn.XLOOKUP(Renewables_Electricity_Backend[[#This Row],[Level 3]],rng_Level3Long,rng_Level5Long)</f>
        <v>#N/A</v>
      </c>
      <c r="AF104" s="174" t="e" cm="1">
        <f t="array" aca="1" ref="AF104" ca="1">_xlfn.XLOOKUP(Renewables_Electricity_Backend[[#This Row],[Level 3]],rng_Level3Long,rng_Level6Long)</f>
        <v>#N/A</v>
      </c>
      <c r="AG104" s="174">
        <f>Renewables_Electricity_Frontend[[#This Row],[Generating site name]]</f>
        <v>0</v>
      </c>
      <c r="AH104" s="174"/>
      <c r="AI104" s="174">
        <f>Renewables_Electricity_Frontend[[#This Row],[Methodology used]]</f>
        <v>0</v>
      </c>
      <c r="AJ104" s="220" t="e" cm="1">
        <f t="array" aca="1" ref="AJ104" ca="1">INDEX(_xlfn.SWITCH(Renewables_Electricity_Backend[[#This Row],[Methodology]],"Tier 1",rng_RSD1,"Tier 2",rng_RSD2,"Tier 3",rng_RSD3),MATCH(_xlfn.CONCAT(Renewables_Electricity_Backend[[#This Row],[Level 1]:[Level 6]]),rng_LevelsConcat,0))</f>
        <v>#N/A</v>
      </c>
      <c r="AK104" s="174">
        <f>Renewables_Electricity_Frontend[[#This Row],[Age (years)]]</f>
        <v>0</v>
      </c>
      <c r="AL104" s="174">
        <f>Renewables_Electricity_Frontend[[#This Row],[Availability]]</f>
        <v>0</v>
      </c>
      <c r="AM104" s="174">
        <f>Renewables_Electricity_Frontend[[#This Row],[Total kW capacity]]</f>
        <v>0</v>
      </c>
      <c r="AN104" s="220">
        <f>Renewables_Electricity_Frontend[[#This Row],[Total kWh generated]]</f>
        <v>0</v>
      </c>
      <c r="AO104" s="412">
        <f>Renewables_Electricity_Frontend[[#This Row],[kWh consumed by reporting organisation]]</f>
        <v>0</v>
      </c>
      <c r="AP104" s="412">
        <f>Renewables_Electricity_Frontend[[#This Row],[kWh exported to grid]]</f>
        <v>0</v>
      </c>
      <c r="AQ104" s="412">
        <f>Renewables_Electricity_Frontend[[#This Row],[kWh exported to other PSB]]</f>
        <v>0</v>
      </c>
      <c r="AR104" s="174">
        <f>Renewables_Electricity_Frontend[[#This Row],[Name of other PSB]]</f>
        <v>0</v>
      </c>
      <c r="AS104" s="174">
        <f>Renewables_Electricity_Frontend[[#This Row],[Ease of collection]]</f>
        <v>0</v>
      </c>
      <c r="AT104" s="174">
        <f>Renewables_Electricity_Frontend[[#This Row],[Ease of collection]]</f>
        <v>0</v>
      </c>
      <c r="AU104" s="174">
        <f>Renewables_Electricity_Frontend[[#This Row],[Completeness]]</f>
        <v>0</v>
      </c>
    </row>
    <row r="105" spans="2:47" x14ac:dyDescent="0.35">
      <c r="B105" s="455"/>
      <c r="E105" s="431"/>
      <c r="F105" s="432"/>
      <c r="G105" s="432"/>
      <c r="H105" s="432"/>
      <c r="I105" s="432"/>
      <c r="J105" s="432"/>
      <c r="K105" s="433"/>
      <c r="L105" s="434"/>
      <c r="M105" s="433"/>
      <c r="N105" s="276">
        <f>Renewables_Electricity_Frontend[[#This Row],[kWh consumed by reporting organisation]]+Renewables_Electricity_Frontend[[#This Row],[kWh exported to grid]]+Renewables_Electricity_Frontend[[#This Row],[kWh exported to other PSB]]</f>
        <v>0</v>
      </c>
      <c r="O105" s="439"/>
      <c r="P105" s="439"/>
      <c r="Q105" s="440"/>
      <c r="R105" s="441"/>
      <c r="S105" s="338"/>
      <c r="T105" s="338"/>
      <c r="U105" s="442"/>
      <c r="V105" s="242">
        <f t="shared" si="4"/>
        <v>11</v>
      </c>
      <c r="Z105" s="212" t="str">
        <f t="shared" si="3"/>
        <v/>
      </c>
      <c r="AA105" s="174" t="s">
        <v>149</v>
      </c>
      <c r="AB105" s="174" t="s">
        <v>149</v>
      </c>
      <c r="AC105" s="174">
        <f>Renewables_Electricity_Frontend[[#This Row],[Renewable Type]]</f>
        <v>0</v>
      </c>
      <c r="AD105" s="174" t="e" cm="1">
        <f t="array" aca="1" ref="AD105" ca="1">_xlfn.XLOOKUP(Renewables_Electricity_Backend[[#This Row],[Level 3]],rng_Level3Long,rng_Level4Long)</f>
        <v>#N/A</v>
      </c>
      <c r="AE105" s="174" t="e" cm="1">
        <f t="array" aca="1" ref="AE105" ca="1">_xlfn.XLOOKUP(Renewables_Electricity_Backend[[#This Row],[Level 3]],rng_Level3Long,rng_Level5Long)</f>
        <v>#N/A</v>
      </c>
      <c r="AF105" s="174" t="e" cm="1">
        <f t="array" aca="1" ref="AF105" ca="1">_xlfn.XLOOKUP(Renewables_Electricity_Backend[[#This Row],[Level 3]],rng_Level3Long,rng_Level6Long)</f>
        <v>#N/A</v>
      </c>
      <c r="AG105" s="174">
        <f>Renewables_Electricity_Frontend[[#This Row],[Generating site name]]</f>
        <v>0</v>
      </c>
      <c r="AH105" s="174"/>
      <c r="AI105" s="174">
        <f>Renewables_Electricity_Frontend[[#This Row],[Methodology used]]</f>
        <v>0</v>
      </c>
      <c r="AJ105" s="220" t="e" cm="1">
        <f t="array" aca="1" ref="AJ105" ca="1">INDEX(_xlfn.SWITCH(Renewables_Electricity_Backend[[#This Row],[Methodology]],"Tier 1",rng_RSD1,"Tier 2",rng_RSD2,"Tier 3",rng_RSD3),MATCH(_xlfn.CONCAT(Renewables_Electricity_Backend[[#This Row],[Level 1]:[Level 6]]),rng_LevelsConcat,0))</f>
        <v>#N/A</v>
      </c>
      <c r="AK105" s="174">
        <f>Renewables_Electricity_Frontend[[#This Row],[Age (years)]]</f>
        <v>0</v>
      </c>
      <c r="AL105" s="174">
        <f>Renewables_Electricity_Frontend[[#This Row],[Availability]]</f>
        <v>0</v>
      </c>
      <c r="AM105" s="174">
        <f>Renewables_Electricity_Frontend[[#This Row],[Total kW capacity]]</f>
        <v>0</v>
      </c>
      <c r="AN105" s="220">
        <f>Renewables_Electricity_Frontend[[#This Row],[Total kWh generated]]</f>
        <v>0</v>
      </c>
      <c r="AO105" s="412">
        <f>Renewables_Electricity_Frontend[[#This Row],[kWh consumed by reporting organisation]]</f>
        <v>0</v>
      </c>
      <c r="AP105" s="412">
        <f>Renewables_Electricity_Frontend[[#This Row],[kWh exported to grid]]</f>
        <v>0</v>
      </c>
      <c r="AQ105" s="412">
        <f>Renewables_Electricity_Frontend[[#This Row],[kWh exported to other PSB]]</f>
        <v>0</v>
      </c>
      <c r="AR105" s="174">
        <f>Renewables_Electricity_Frontend[[#This Row],[Name of other PSB]]</f>
        <v>0</v>
      </c>
      <c r="AS105" s="174">
        <f>Renewables_Electricity_Frontend[[#This Row],[Ease of collection]]</f>
        <v>0</v>
      </c>
      <c r="AT105" s="174">
        <f>Renewables_Electricity_Frontend[[#This Row],[Ease of collection]]</f>
        <v>0</v>
      </c>
      <c r="AU105" s="174">
        <f>Renewables_Electricity_Frontend[[#This Row],[Completeness]]</f>
        <v>0</v>
      </c>
    </row>
    <row r="106" spans="2:47" x14ac:dyDescent="0.35">
      <c r="B106" s="455"/>
      <c r="E106" s="431"/>
      <c r="F106" s="432"/>
      <c r="G106" s="432"/>
      <c r="H106" s="432"/>
      <c r="I106" s="432"/>
      <c r="J106" s="432"/>
      <c r="K106" s="433"/>
      <c r="L106" s="434"/>
      <c r="M106" s="433"/>
      <c r="N106" s="276">
        <f>Renewables_Electricity_Frontend[[#This Row],[kWh consumed by reporting organisation]]+Renewables_Electricity_Frontend[[#This Row],[kWh exported to grid]]+Renewables_Electricity_Frontend[[#This Row],[kWh exported to other PSB]]</f>
        <v>0</v>
      </c>
      <c r="O106" s="439"/>
      <c r="P106" s="439"/>
      <c r="Q106" s="440"/>
      <c r="R106" s="441"/>
      <c r="S106" s="338"/>
      <c r="T106" s="338"/>
      <c r="U106" s="442"/>
      <c r="V106" s="242">
        <f t="shared" si="4"/>
        <v>11</v>
      </c>
      <c r="Z106" s="212" t="str">
        <f t="shared" si="3"/>
        <v/>
      </c>
      <c r="AA106" s="174" t="s">
        <v>149</v>
      </c>
      <c r="AB106" s="174" t="s">
        <v>149</v>
      </c>
      <c r="AC106" s="174">
        <f>Renewables_Electricity_Frontend[[#This Row],[Renewable Type]]</f>
        <v>0</v>
      </c>
      <c r="AD106" s="174" t="e" cm="1">
        <f t="array" aca="1" ref="AD106" ca="1">_xlfn.XLOOKUP(Renewables_Electricity_Backend[[#This Row],[Level 3]],rng_Level3Long,rng_Level4Long)</f>
        <v>#N/A</v>
      </c>
      <c r="AE106" s="174" t="e" cm="1">
        <f t="array" aca="1" ref="AE106" ca="1">_xlfn.XLOOKUP(Renewables_Electricity_Backend[[#This Row],[Level 3]],rng_Level3Long,rng_Level5Long)</f>
        <v>#N/A</v>
      </c>
      <c r="AF106" s="174" t="e" cm="1">
        <f t="array" aca="1" ref="AF106" ca="1">_xlfn.XLOOKUP(Renewables_Electricity_Backend[[#This Row],[Level 3]],rng_Level3Long,rng_Level6Long)</f>
        <v>#N/A</v>
      </c>
      <c r="AG106" s="174">
        <f>Renewables_Electricity_Frontend[[#This Row],[Generating site name]]</f>
        <v>0</v>
      </c>
      <c r="AH106" s="174"/>
      <c r="AI106" s="174">
        <f>Renewables_Electricity_Frontend[[#This Row],[Methodology used]]</f>
        <v>0</v>
      </c>
      <c r="AJ106" s="220" t="e" cm="1">
        <f t="array" aca="1" ref="AJ106" ca="1">INDEX(_xlfn.SWITCH(Renewables_Electricity_Backend[[#This Row],[Methodology]],"Tier 1",rng_RSD1,"Tier 2",rng_RSD2,"Tier 3",rng_RSD3),MATCH(_xlfn.CONCAT(Renewables_Electricity_Backend[[#This Row],[Level 1]:[Level 6]]),rng_LevelsConcat,0))</f>
        <v>#N/A</v>
      </c>
      <c r="AK106" s="174">
        <f>Renewables_Electricity_Frontend[[#This Row],[Age (years)]]</f>
        <v>0</v>
      </c>
      <c r="AL106" s="174">
        <f>Renewables_Electricity_Frontend[[#This Row],[Availability]]</f>
        <v>0</v>
      </c>
      <c r="AM106" s="174">
        <f>Renewables_Electricity_Frontend[[#This Row],[Total kW capacity]]</f>
        <v>0</v>
      </c>
      <c r="AN106" s="220">
        <f>Renewables_Electricity_Frontend[[#This Row],[Total kWh generated]]</f>
        <v>0</v>
      </c>
      <c r="AO106" s="412">
        <f>Renewables_Electricity_Frontend[[#This Row],[kWh consumed by reporting organisation]]</f>
        <v>0</v>
      </c>
      <c r="AP106" s="412">
        <f>Renewables_Electricity_Frontend[[#This Row],[kWh exported to grid]]</f>
        <v>0</v>
      </c>
      <c r="AQ106" s="412">
        <f>Renewables_Electricity_Frontend[[#This Row],[kWh exported to other PSB]]</f>
        <v>0</v>
      </c>
      <c r="AR106" s="174">
        <f>Renewables_Electricity_Frontend[[#This Row],[Name of other PSB]]</f>
        <v>0</v>
      </c>
      <c r="AS106" s="174">
        <f>Renewables_Electricity_Frontend[[#This Row],[Ease of collection]]</f>
        <v>0</v>
      </c>
      <c r="AT106" s="174">
        <f>Renewables_Electricity_Frontend[[#This Row],[Ease of collection]]</f>
        <v>0</v>
      </c>
      <c r="AU106" s="174">
        <f>Renewables_Electricity_Frontend[[#This Row],[Completeness]]</f>
        <v>0</v>
      </c>
    </row>
    <row r="107" spans="2:47" x14ac:dyDescent="0.35">
      <c r="B107" s="455"/>
      <c r="E107" s="431"/>
      <c r="F107" s="432"/>
      <c r="G107" s="432"/>
      <c r="H107" s="432"/>
      <c r="I107" s="432"/>
      <c r="J107" s="432"/>
      <c r="K107" s="433"/>
      <c r="L107" s="434"/>
      <c r="M107" s="433"/>
      <c r="N107" s="276">
        <f>Renewables_Electricity_Frontend[[#This Row],[kWh consumed by reporting organisation]]+Renewables_Electricity_Frontend[[#This Row],[kWh exported to grid]]+Renewables_Electricity_Frontend[[#This Row],[kWh exported to other PSB]]</f>
        <v>0</v>
      </c>
      <c r="O107" s="439"/>
      <c r="P107" s="439"/>
      <c r="Q107" s="440"/>
      <c r="R107" s="441"/>
      <c r="S107" s="338"/>
      <c r="T107" s="338"/>
      <c r="U107" s="442"/>
      <c r="V107" s="242">
        <f t="shared" si="4"/>
        <v>11</v>
      </c>
      <c r="Z107" s="212" t="str">
        <f t="shared" si="3"/>
        <v/>
      </c>
      <c r="AA107" s="174" t="s">
        <v>149</v>
      </c>
      <c r="AB107" s="174" t="s">
        <v>149</v>
      </c>
      <c r="AC107" s="174">
        <f>Renewables_Electricity_Frontend[[#This Row],[Renewable Type]]</f>
        <v>0</v>
      </c>
      <c r="AD107" s="174" t="e" cm="1">
        <f t="array" aca="1" ref="AD107" ca="1">_xlfn.XLOOKUP(Renewables_Electricity_Backend[[#This Row],[Level 3]],rng_Level3Long,rng_Level4Long)</f>
        <v>#N/A</v>
      </c>
      <c r="AE107" s="174" t="e" cm="1">
        <f t="array" aca="1" ref="AE107" ca="1">_xlfn.XLOOKUP(Renewables_Electricity_Backend[[#This Row],[Level 3]],rng_Level3Long,rng_Level5Long)</f>
        <v>#N/A</v>
      </c>
      <c r="AF107" s="174" t="e" cm="1">
        <f t="array" aca="1" ref="AF107" ca="1">_xlfn.XLOOKUP(Renewables_Electricity_Backend[[#This Row],[Level 3]],rng_Level3Long,rng_Level6Long)</f>
        <v>#N/A</v>
      </c>
      <c r="AG107" s="174">
        <f>Renewables_Electricity_Frontend[[#This Row],[Generating site name]]</f>
        <v>0</v>
      </c>
      <c r="AH107" s="174"/>
      <c r="AI107" s="174">
        <f>Renewables_Electricity_Frontend[[#This Row],[Methodology used]]</f>
        <v>0</v>
      </c>
      <c r="AJ107" s="220" t="e" cm="1">
        <f t="array" aca="1" ref="AJ107" ca="1">INDEX(_xlfn.SWITCH(Renewables_Electricity_Backend[[#This Row],[Methodology]],"Tier 1",rng_RSD1,"Tier 2",rng_RSD2,"Tier 3",rng_RSD3),MATCH(_xlfn.CONCAT(Renewables_Electricity_Backend[[#This Row],[Level 1]:[Level 6]]),rng_LevelsConcat,0))</f>
        <v>#N/A</v>
      </c>
      <c r="AK107" s="174">
        <f>Renewables_Electricity_Frontend[[#This Row],[Age (years)]]</f>
        <v>0</v>
      </c>
      <c r="AL107" s="174">
        <f>Renewables_Electricity_Frontend[[#This Row],[Availability]]</f>
        <v>0</v>
      </c>
      <c r="AM107" s="174">
        <f>Renewables_Electricity_Frontend[[#This Row],[Total kW capacity]]</f>
        <v>0</v>
      </c>
      <c r="AN107" s="220">
        <f>Renewables_Electricity_Frontend[[#This Row],[Total kWh generated]]</f>
        <v>0</v>
      </c>
      <c r="AO107" s="412">
        <f>Renewables_Electricity_Frontend[[#This Row],[kWh consumed by reporting organisation]]</f>
        <v>0</v>
      </c>
      <c r="AP107" s="412">
        <f>Renewables_Electricity_Frontend[[#This Row],[kWh exported to grid]]</f>
        <v>0</v>
      </c>
      <c r="AQ107" s="412">
        <f>Renewables_Electricity_Frontend[[#This Row],[kWh exported to other PSB]]</f>
        <v>0</v>
      </c>
      <c r="AR107" s="174">
        <f>Renewables_Electricity_Frontend[[#This Row],[Name of other PSB]]</f>
        <v>0</v>
      </c>
      <c r="AS107" s="174">
        <f>Renewables_Electricity_Frontend[[#This Row],[Ease of collection]]</f>
        <v>0</v>
      </c>
      <c r="AT107" s="174">
        <f>Renewables_Electricity_Frontend[[#This Row],[Ease of collection]]</f>
        <v>0</v>
      </c>
      <c r="AU107" s="174">
        <f>Renewables_Electricity_Frontend[[#This Row],[Completeness]]</f>
        <v>0</v>
      </c>
    </row>
    <row r="108" spans="2:47" x14ac:dyDescent="0.35">
      <c r="B108" s="455"/>
      <c r="E108" s="431"/>
      <c r="F108" s="432"/>
      <c r="G108" s="432"/>
      <c r="H108" s="432"/>
      <c r="I108" s="432"/>
      <c r="J108" s="432"/>
      <c r="K108" s="433"/>
      <c r="L108" s="434"/>
      <c r="M108" s="433"/>
      <c r="N108" s="276">
        <f>Renewables_Electricity_Frontend[[#This Row],[kWh consumed by reporting organisation]]+Renewables_Electricity_Frontend[[#This Row],[kWh exported to grid]]+Renewables_Electricity_Frontend[[#This Row],[kWh exported to other PSB]]</f>
        <v>0</v>
      </c>
      <c r="O108" s="439"/>
      <c r="P108" s="439"/>
      <c r="Q108" s="440"/>
      <c r="R108" s="441"/>
      <c r="S108" s="338"/>
      <c r="T108" s="338"/>
      <c r="U108" s="442"/>
      <c r="V108" s="242">
        <f t="shared" si="4"/>
        <v>11</v>
      </c>
      <c r="Z108" s="212" t="str">
        <f t="shared" si="3"/>
        <v/>
      </c>
      <c r="AA108" s="174" t="s">
        <v>149</v>
      </c>
      <c r="AB108" s="174" t="s">
        <v>149</v>
      </c>
      <c r="AC108" s="174">
        <f>Renewables_Electricity_Frontend[[#This Row],[Renewable Type]]</f>
        <v>0</v>
      </c>
      <c r="AD108" s="174" t="e" cm="1">
        <f t="array" aca="1" ref="AD108" ca="1">_xlfn.XLOOKUP(Renewables_Electricity_Backend[[#This Row],[Level 3]],rng_Level3Long,rng_Level4Long)</f>
        <v>#N/A</v>
      </c>
      <c r="AE108" s="174" t="e" cm="1">
        <f t="array" aca="1" ref="AE108" ca="1">_xlfn.XLOOKUP(Renewables_Electricity_Backend[[#This Row],[Level 3]],rng_Level3Long,rng_Level5Long)</f>
        <v>#N/A</v>
      </c>
      <c r="AF108" s="174" t="e" cm="1">
        <f t="array" aca="1" ref="AF108" ca="1">_xlfn.XLOOKUP(Renewables_Electricity_Backend[[#This Row],[Level 3]],rng_Level3Long,rng_Level6Long)</f>
        <v>#N/A</v>
      </c>
      <c r="AG108" s="174">
        <f>Renewables_Electricity_Frontend[[#This Row],[Generating site name]]</f>
        <v>0</v>
      </c>
      <c r="AH108" s="174"/>
      <c r="AI108" s="174">
        <f>Renewables_Electricity_Frontend[[#This Row],[Methodology used]]</f>
        <v>0</v>
      </c>
      <c r="AJ108" s="220" t="e" cm="1">
        <f t="array" aca="1" ref="AJ108" ca="1">INDEX(_xlfn.SWITCH(Renewables_Electricity_Backend[[#This Row],[Methodology]],"Tier 1",rng_RSD1,"Tier 2",rng_RSD2,"Tier 3",rng_RSD3),MATCH(_xlfn.CONCAT(Renewables_Electricity_Backend[[#This Row],[Level 1]:[Level 6]]),rng_LevelsConcat,0))</f>
        <v>#N/A</v>
      </c>
      <c r="AK108" s="174">
        <f>Renewables_Electricity_Frontend[[#This Row],[Age (years)]]</f>
        <v>0</v>
      </c>
      <c r="AL108" s="174">
        <f>Renewables_Electricity_Frontend[[#This Row],[Availability]]</f>
        <v>0</v>
      </c>
      <c r="AM108" s="174">
        <f>Renewables_Electricity_Frontend[[#This Row],[Total kW capacity]]</f>
        <v>0</v>
      </c>
      <c r="AN108" s="220">
        <f>Renewables_Electricity_Frontend[[#This Row],[Total kWh generated]]</f>
        <v>0</v>
      </c>
      <c r="AO108" s="412">
        <f>Renewables_Electricity_Frontend[[#This Row],[kWh consumed by reporting organisation]]</f>
        <v>0</v>
      </c>
      <c r="AP108" s="412">
        <f>Renewables_Electricity_Frontend[[#This Row],[kWh exported to grid]]</f>
        <v>0</v>
      </c>
      <c r="AQ108" s="412">
        <f>Renewables_Electricity_Frontend[[#This Row],[kWh exported to other PSB]]</f>
        <v>0</v>
      </c>
      <c r="AR108" s="174">
        <f>Renewables_Electricity_Frontend[[#This Row],[Name of other PSB]]</f>
        <v>0</v>
      </c>
      <c r="AS108" s="174">
        <f>Renewables_Electricity_Frontend[[#This Row],[Ease of collection]]</f>
        <v>0</v>
      </c>
      <c r="AT108" s="174">
        <f>Renewables_Electricity_Frontend[[#This Row],[Ease of collection]]</f>
        <v>0</v>
      </c>
      <c r="AU108" s="174">
        <f>Renewables_Electricity_Frontend[[#This Row],[Completeness]]</f>
        <v>0</v>
      </c>
    </row>
    <row r="109" spans="2:47" x14ac:dyDescent="0.35">
      <c r="B109" s="455"/>
      <c r="E109" s="431"/>
      <c r="F109" s="432"/>
      <c r="G109" s="432"/>
      <c r="H109" s="432"/>
      <c r="I109" s="432"/>
      <c r="J109" s="432"/>
      <c r="K109" s="433"/>
      <c r="L109" s="434"/>
      <c r="M109" s="433"/>
      <c r="N109" s="276">
        <f>Renewables_Electricity_Frontend[[#This Row],[kWh consumed by reporting organisation]]+Renewables_Electricity_Frontend[[#This Row],[kWh exported to grid]]+Renewables_Electricity_Frontend[[#This Row],[kWh exported to other PSB]]</f>
        <v>0</v>
      </c>
      <c r="O109" s="439"/>
      <c r="P109" s="439"/>
      <c r="Q109" s="440"/>
      <c r="R109" s="441"/>
      <c r="S109" s="338"/>
      <c r="T109" s="338"/>
      <c r="U109" s="442"/>
      <c r="V109" s="242">
        <f t="shared" si="4"/>
        <v>11</v>
      </c>
      <c r="Z109" s="212" t="str">
        <f t="shared" si="3"/>
        <v/>
      </c>
      <c r="AA109" s="174" t="s">
        <v>149</v>
      </c>
      <c r="AB109" s="174" t="s">
        <v>149</v>
      </c>
      <c r="AC109" s="174">
        <f>Renewables_Electricity_Frontend[[#This Row],[Renewable Type]]</f>
        <v>0</v>
      </c>
      <c r="AD109" s="174" t="e" cm="1">
        <f t="array" aca="1" ref="AD109" ca="1">_xlfn.XLOOKUP(Renewables_Electricity_Backend[[#This Row],[Level 3]],rng_Level3Long,rng_Level4Long)</f>
        <v>#N/A</v>
      </c>
      <c r="AE109" s="174" t="e" cm="1">
        <f t="array" aca="1" ref="AE109" ca="1">_xlfn.XLOOKUP(Renewables_Electricity_Backend[[#This Row],[Level 3]],rng_Level3Long,rng_Level5Long)</f>
        <v>#N/A</v>
      </c>
      <c r="AF109" s="174" t="e" cm="1">
        <f t="array" aca="1" ref="AF109" ca="1">_xlfn.XLOOKUP(Renewables_Electricity_Backend[[#This Row],[Level 3]],rng_Level3Long,rng_Level6Long)</f>
        <v>#N/A</v>
      </c>
      <c r="AG109" s="174">
        <f>Renewables_Electricity_Frontend[[#This Row],[Generating site name]]</f>
        <v>0</v>
      </c>
      <c r="AH109" s="174"/>
      <c r="AI109" s="174">
        <f>Renewables_Electricity_Frontend[[#This Row],[Methodology used]]</f>
        <v>0</v>
      </c>
      <c r="AJ109" s="220" t="e" cm="1">
        <f t="array" aca="1" ref="AJ109" ca="1">INDEX(_xlfn.SWITCH(Renewables_Electricity_Backend[[#This Row],[Methodology]],"Tier 1",rng_RSD1,"Tier 2",rng_RSD2,"Tier 3",rng_RSD3),MATCH(_xlfn.CONCAT(Renewables_Electricity_Backend[[#This Row],[Level 1]:[Level 6]]),rng_LevelsConcat,0))</f>
        <v>#N/A</v>
      </c>
      <c r="AK109" s="174">
        <f>Renewables_Electricity_Frontend[[#This Row],[Age (years)]]</f>
        <v>0</v>
      </c>
      <c r="AL109" s="174">
        <f>Renewables_Electricity_Frontend[[#This Row],[Availability]]</f>
        <v>0</v>
      </c>
      <c r="AM109" s="174">
        <f>Renewables_Electricity_Frontend[[#This Row],[Total kW capacity]]</f>
        <v>0</v>
      </c>
      <c r="AN109" s="220">
        <f>Renewables_Electricity_Frontend[[#This Row],[Total kWh generated]]</f>
        <v>0</v>
      </c>
      <c r="AO109" s="412">
        <f>Renewables_Electricity_Frontend[[#This Row],[kWh consumed by reporting organisation]]</f>
        <v>0</v>
      </c>
      <c r="AP109" s="412">
        <f>Renewables_Electricity_Frontend[[#This Row],[kWh exported to grid]]</f>
        <v>0</v>
      </c>
      <c r="AQ109" s="412">
        <f>Renewables_Electricity_Frontend[[#This Row],[kWh exported to other PSB]]</f>
        <v>0</v>
      </c>
      <c r="AR109" s="174">
        <f>Renewables_Electricity_Frontend[[#This Row],[Name of other PSB]]</f>
        <v>0</v>
      </c>
      <c r="AS109" s="174">
        <f>Renewables_Electricity_Frontend[[#This Row],[Ease of collection]]</f>
        <v>0</v>
      </c>
      <c r="AT109" s="174">
        <f>Renewables_Electricity_Frontend[[#This Row],[Ease of collection]]</f>
        <v>0</v>
      </c>
      <c r="AU109" s="174">
        <f>Renewables_Electricity_Frontend[[#This Row],[Completeness]]</f>
        <v>0</v>
      </c>
    </row>
    <row r="110" spans="2:47" x14ac:dyDescent="0.35">
      <c r="B110" s="455"/>
      <c r="E110" s="431"/>
      <c r="F110" s="432"/>
      <c r="G110" s="432"/>
      <c r="H110" s="432"/>
      <c r="I110" s="432"/>
      <c r="J110" s="432"/>
      <c r="K110" s="433"/>
      <c r="L110" s="434"/>
      <c r="M110" s="433"/>
      <c r="N110" s="276">
        <f>Renewables_Electricity_Frontend[[#This Row],[kWh consumed by reporting organisation]]+Renewables_Electricity_Frontend[[#This Row],[kWh exported to grid]]+Renewables_Electricity_Frontend[[#This Row],[kWh exported to other PSB]]</f>
        <v>0</v>
      </c>
      <c r="O110" s="439"/>
      <c r="P110" s="439"/>
      <c r="Q110" s="440"/>
      <c r="R110" s="441"/>
      <c r="S110" s="338"/>
      <c r="T110" s="338"/>
      <c r="U110" s="442"/>
      <c r="V110" s="242">
        <f t="shared" si="4"/>
        <v>11</v>
      </c>
      <c r="Z110" s="212" t="str">
        <f t="shared" si="3"/>
        <v/>
      </c>
      <c r="AA110" s="174" t="s">
        <v>149</v>
      </c>
      <c r="AB110" s="174" t="s">
        <v>149</v>
      </c>
      <c r="AC110" s="174">
        <f>Renewables_Electricity_Frontend[[#This Row],[Renewable Type]]</f>
        <v>0</v>
      </c>
      <c r="AD110" s="174" t="e" cm="1">
        <f t="array" aca="1" ref="AD110" ca="1">_xlfn.XLOOKUP(Renewables_Electricity_Backend[[#This Row],[Level 3]],rng_Level3Long,rng_Level4Long)</f>
        <v>#N/A</v>
      </c>
      <c r="AE110" s="174" t="e" cm="1">
        <f t="array" aca="1" ref="AE110" ca="1">_xlfn.XLOOKUP(Renewables_Electricity_Backend[[#This Row],[Level 3]],rng_Level3Long,rng_Level5Long)</f>
        <v>#N/A</v>
      </c>
      <c r="AF110" s="174" t="e" cm="1">
        <f t="array" aca="1" ref="AF110" ca="1">_xlfn.XLOOKUP(Renewables_Electricity_Backend[[#This Row],[Level 3]],rng_Level3Long,rng_Level6Long)</f>
        <v>#N/A</v>
      </c>
      <c r="AG110" s="174">
        <f>Renewables_Electricity_Frontend[[#This Row],[Generating site name]]</f>
        <v>0</v>
      </c>
      <c r="AH110" s="174"/>
      <c r="AI110" s="174">
        <f>Renewables_Electricity_Frontend[[#This Row],[Methodology used]]</f>
        <v>0</v>
      </c>
      <c r="AJ110" s="220" t="e" cm="1">
        <f t="array" aca="1" ref="AJ110" ca="1">INDEX(_xlfn.SWITCH(Renewables_Electricity_Backend[[#This Row],[Methodology]],"Tier 1",rng_RSD1,"Tier 2",rng_RSD2,"Tier 3",rng_RSD3),MATCH(_xlfn.CONCAT(Renewables_Electricity_Backend[[#This Row],[Level 1]:[Level 6]]),rng_LevelsConcat,0))</f>
        <v>#N/A</v>
      </c>
      <c r="AK110" s="174">
        <f>Renewables_Electricity_Frontend[[#This Row],[Age (years)]]</f>
        <v>0</v>
      </c>
      <c r="AL110" s="174">
        <f>Renewables_Electricity_Frontend[[#This Row],[Availability]]</f>
        <v>0</v>
      </c>
      <c r="AM110" s="174">
        <f>Renewables_Electricity_Frontend[[#This Row],[Total kW capacity]]</f>
        <v>0</v>
      </c>
      <c r="AN110" s="220">
        <f>Renewables_Electricity_Frontend[[#This Row],[Total kWh generated]]</f>
        <v>0</v>
      </c>
      <c r="AO110" s="412">
        <f>Renewables_Electricity_Frontend[[#This Row],[kWh consumed by reporting organisation]]</f>
        <v>0</v>
      </c>
      <c r="AP110" s="412">
        <f>Renewables_Electricity_Frontend[[#This Row],[kWh exported to grid]]</f>
        <v>0</v>
      </c>
      <c r="AQ110" s="412">
        <f>Renewables_Electricity_Frontend[[#This Row],[kWh exported to other PSB]]</f>
        <v>0</v>
      </c>
      <c r="AR110" s="174">
        <f>Renewables_Electricity_Frontend[[#This Row],[Name of other PSB]]</f>
        <v>0</v>
      </c>
      <c r="AS110" s="174">
        <f>Renewables_Electricity_Frontend[[#This Row],[Ease of collection]]</f>
        <v>0</v>
      </c>
      <c r="AT110" s="174">
        <f>Renewables_Electricity_Frontend[[#This Row],[Ease of collection]]</f>
        <v>0</v>
      </c>
      <c r="AU110" s="174">
        <f>Renewables_Electricity_Frontend[[#This Row],[Completeness]]</f>
        <v>0</v>
      </c>
    </row>
    <row r="111" spans="2:47" x14ac:dyDescent="0.35">
      <c r="B111" s="455"/>
      <c r="E111" s="431"/>
      <c r="F111" s="432"/>
      <c r="G111" s="432"/>
      <c r="H111" s="432"/>
      <c r="I111" s="432"/>
      <c r="J111" s="432"/>
      <c r="K111" s="433"/>
      <c r="L111" s="434"/>
      <c r="M111" s="433"/>
      <c r="N111" s="276">
        <f>Renewables_Electricity_Frontend[[#This Row],[kWh consumed by reporting organisation]]+Renewables_Electricity_Frontend[[#This Row],[kWh exported to grid]]+Renewables_Electricity_Frontend[[#This Row],[kWh exported to other PSB]]</f>
        <v>0</v>
      </c>
      <c r="O111" s="439"/>
      <c r="P111" s="439"/>
      <c r="Q111" s="440"/>
      <c r="R111" s="441"/>
      <c r="S111" s="338"/>
      <c r="T111" s="338"/>
      <c r="U111" s="442"/>
      <c r="V111" s="242">
        <f t="shared" si="4"/>
        <v>11</v>
      </c>
      <c r="Z111" s="212" t="str">
        <f t="shared" si="3"/>
        <v/>
      </c>
      <c r="AA111" s="174" t="s">
        <v>149</v>
      </c>
      <c r="AB111" s="174" t="s">
        <v>149</v>
      </c>
      <c r="AC111" s="174">
        <f>Renewables_Electricity_Frontend[[#This Row],[Renewable Type]]</f>
        <v>0</v>
      </c>
      <c r="AD111" s="174" t="e" cm="1">
        <f t="array" aca="1" ref="AD111" ca="1">_xlfn.XLOOKUP(Renewables_Electricity_Backend[[#This Row],[Level 3]],rng_Level3Long,rng_Level4Long)</f>
        <v>#N/A</v>
      </c>
      <c r="AE111" s="174" t="e" cm="1">
        <f t="array" aca="1" ref="AE111" ca="1">_xlfn.XLOOKUP(Renewables_Electricity_Backend[[#This Row],[Level 3]],rng_Level3Long,rng_Level5Long)</f>
        <v>#N/A</v>
      </c>
      <c r="AF111" s="174" t="e" cm="1">
        <f t="array" aca="1" ref="AF111" ca="1">_xlfn.XLOOKUP(Renewables_Electricity_Backend[[#This Row],[Level 3]],rng_Level3Long,rng_Level6Long)</f>
        <v>#N/A</v>
      </c>
      <c r="AG111" s="174">
        <f>Renewables_Electricity_Frontend[[#This Row],[Generating site name]]</f>
        <v>0</v>
      </c>
      <c r="AH111" s="174"/>
      <c r="AI111" s="174">
        <f>Renewables_Electricity_Frontend[[#This Row],[Methodology used]]</f>
        <v>0</v>
      </c>
      <c r="AJ111" s="220" t="e" cm="1">
        <f t="array" aca="1" ref="AJ111" ca="1">INDEX(_xlfn.SWITCH(Renewables_Electricity_Backend[[#This Row],[Methodology]],"Tier 1",rng_RSD1,"Tier 2",rng_RSD2,"Tier 3",rng_RSD3),MATCH(_xlfn.CONCAT(Renewables_Electricity_Backend[[#This Row],[Level 1]:[Level 6]]),rng_LevelsConcat,0))</f>
        <v>#N/A</v>
      </c>
      <c r="AK111" s="174">
        <f>Renewables_Electricity_Frontend[[#This Row],[Age (years)]]</f>
        <v>0</v>
      </c>
      <c r="AL111" s="174">
        <f>Renewables_Electricity_Frontend[[#This Row],[Availability]]</f>
        <v>0</v>
      </c>
      <c r="AM111" s="174">
        <f>Renewables_Electricity_Frontend[[#This Row],[Total kW capacity]]</f>
        <v>0</v>
      </c>
      <c r="AN111" s="220">
        <f>Renewables_Electricity_Frontend[[#This Row],[Total kWh generated]]</f>
        <v>0</v>
      </c>
      <c r="AO111" s="412">
        <f>Renewables_Electricity_Frontend[[#This Row],[kWh consumed by reporting organisation]]</f>
        <v>0</v>
      </c>
      <c r="AP111" s="412">
        <f>Renewables_Electricity_Frontend[[#This Row],[kWh exported to grid]]</f>
        <v>0</v>
      </c>
      <c r="AQ111" s="412">
        <f>Renewables_Electricity_Frontend[[#This Row],[kWh exported to other PSB]]</f>
        <v>0</v>
      </c>
      <c r="AR111" s="174">
        <f>Renewables_Electricity_Frontend[[#This Row],[Name of other PSB]]</f>
        <v>0</v>
      </c>
      <c r="AS111" s="174">
        <f>Renewables_Electricity_Frontend[[#This Row],[Ease of collection]]</f>
        <v>0</v>
      </c>
      <c r="AT111" s="174">
        <f>Renewables_Electricity_Frontend[[#This Row],[Ease of collection]]</f>
        <v>0</v>
      </c>
      <c r="AU111" s="174">
        <f>Renewables_Electricity_Frontend[[#This Row],[Completeness]]</f>
        <v>0</v>
      </c>
    </row>
    <row r="112" spans="2:47" x14ac:dyDescent="0.35">
      <c r="B112" s="455"/>
      <c r="E112" s="431"/>
      <c r="F112" s="432"/>
      <c r="G112" s="432"/>
      <c r="H112" s="432"/>
      <c r="I112" s="432"/>
      <c r="J112" s="432"/>
      <c r="K112" s="433"/>
      <c r="L112" s="434"/>
      <c r="M112" s="433"/>
      <c r="N112" s="276">
        <f>Renewables_Electricity_Frontend[[#This Row],[kWh consumed by reporting organisation]]+Renewables_Electricity_Frontend[[#This Row],[kWh exported to grid]]+Renewables_Electricity_Frontend[[#This Row],[kWh exported to other PSB]]</f>
        <v>0</v>
      </c>
      <c r="O112" s="439"/>
      <c r="P112" s="439"/>
      <c r="Q112" s="440"/>
      <c r="R112" s="441"/>
      <c r="S112" s="338"/>
      <c r="T112" s="338"/>
      <c r="U112" s="442"/>
      <c r="V112" s="242">
        <f t="shared" si="4"/>
        <v>11</v>
      </c>
      <c r="Z112" s="212" t="str">
        <f t="shared" si="3"/>
        <v/>
      </c>
      <c r="AA112" s="174" t="s">
        <v>149</v>
      </c>
      <c r="AB112" s="174" t="s">
        <v>149</v>
      </c>
      <c r="AC112" s="174">
        <f>Renewables_Electricity_Frontend[[#This Row],[Renewable Type]]</f>
        <v>0</v>
      </c>
      <c r="AD112" s="174" t="e" cm="1">
        <f t="array" aca="1" ref="AD112" ca="1">_xlfn.XLOOKUP(Renewables_Electricity_Backend[[#This Row],[Level 3]],rng_Level3Long,rng_Level4Long)</f>
        <v>#N/A</v>
      </c>
      <c r="AE112" s="174" t="e" cm="1">
        <f t="array" aca="1" ref="AE112" ca="1">_xlfn.XLOOKUP(Renewables_Electricity_Backend[[#This Row],[Level 3]],rng_Level3Long,rng_Level5Long)</f>
        <v>#N/A</v>
      </c>
      <c r="AF112" s="174" t="e" cm="1">
        <f t="array" aca="1" ref="AF112" ca="1">_xlfn.XLOOKUP(Renewables_Electricity_Backend[[#This Row],[Level 3]],rng_Level3Long,rng_Level6Long)</f>
        <v>#N/A</v>
      </c>
      <c r="AG112" s="174">
        <f>Renewables_Electricity_Frontend[[#This Row],[Generating site name]]</f>
        <v>0</v>
      </c>
      <c r="AH112" s="174"/>
      <c r="AI112" s="174">
        <f>Renewables_Electricity_Frontend[[#This Row],[Methodology used]]</f>
        <v>0</v>
      </c>
      <c r="AJ112" s="220" t="e" cm="1">
        <f t="array" aca="1" ref="AJ112" ca="1">INDEX(_xlfn.SWITCH(Renewables_Electricity_Backend[[#This Row],[Methodology]],"Tier 1",rng_RSD1,"Tier 2",rng_RSD2,"Tier 3",rng_RSD3),MATCH(_xlfn.CONCAT(Renewables_Electricity_Backend[[#This Row],[Level 1]:[Level 6]]),rng_LevelsConcat,0))</f>
        <v>#N/A</v>
      </c>
      <c r="AK112" s="174">
        <f>Renewables_Electricity_Frontend[[#This Row],[Age (years)]]</f>
        <v>0</v>
      </c>
      <c r="AL112" s="174">
        <f>Renewables_Electricity_Frontend[[#This Row],[Availability]]</f>
        <v>0</v>
      </c>
      <c r="AM112" s="174">
        <f>Renewables_Electricity_Frontend[[#This Row],[Total kW capacity]]</f>
        <v>0</v>
      </c>
      <c r="AN112" s="220">
        <f>Renewables_Electricity_Frontend[[#This Row],[Total kWh generated]]</f>
        <v>0</v>
      </c>
      <c r="AO112" s="412">
        <f>Renewables_Electricity_Frontend[[#This Row],[kWh consumed by reporting organisation]]</f>
        <v>0</v>
      </c>
      <c r="AP112" s="412">
        <f>Renewables_Electricity_Frontend[[#This Row],[kWh exported to grid]]</f>
        <v>0</v>
      </c>
      <c r="AQ112" s="412">
        <f>Renewables_Electricity_Frontend[[#This Row],[kWh exported to other PSB]]</f>
        <v>0</v>
      </c>
      <c r="AR112" s="174">
        <f>Renewables_Electricity_Frontend[[#This Row],[Name of other PSB]]</f>
        <v>0</v>
      </c>
      <c r="AS112" s="174">
        <f>Renewables_Electricity_Frontend[[#This Row],[Ease of collection]]</f>
        <v>0</v>
      </c>
      <c r="AT112" s="174">
        <f>Renewables_Electricity_Frontend[[#This Row],[Ease of collection]]</f>
        <v>0</v>
      </c>
      <c r="AU112" s="174">
        <f>Renewables_Electricity_Frontend[[#This Row],[Completeness]]</f>
        <v>0</v>
      </c>
    </row>
    <row r="113" spans="2:47" x14ac:dyDescent="0.35">
      <c r="B113" s="455"/>
      <c r="E113" s="431"/>
      <c r="F113" s="432"/>
      <c r="G113" s="432"/>
      <c r="H113" s="432"/>
      <c r="I113" s="432"/>
      <c r="J113" s="432"/>
      <c r="K113" s="433"/>
      <c r="L113" s="434"/>
      <c r="M113" s="433"/>
      <c r="N113" s="276">
        <f>Renewables_Electricity_Frontend[[#This Row],[kWh consumed by reporting organisation]]+Renewables_Electricity_Frontend[[#This Row],[kWh exported to grid]]+Renewables_Electricity_Frontend[[#This Row],[kWh exported to other PSB]]</f>
        <v>0</v>
      </c>
      <c r="O113" s="439"/>
      <c r="P113" s="439"/>
      <c r="Q113" s="440"/>
      <c r="R113" s="441"/>
      <c r="S113" s="338"/>
      <c r="T113" s="338"/>
      <c r="U113" s="442"/>
      <c r="V113" s="242">
        <f t="shared" si="4"/>
        <v>11</v>
      </c>
      <c r="Z113" s="212" t="str">
        <f t="shared" si="3"/>
        <v/>
      </c>
      <c r="AA113" s="174" t="s">
        <v>149</v>
      </c>
      <c r="AB113" s="174" t="s">
        <v>149</v>
      </c>
      <c r="AC113" s="174">
        <f>Renewables_Electricity_Frontend[[#This Row],[Renewable Type]]</f>
        <v>0</v>
      </c>
      <c r="AD113" s="174" t="e" cm="1">
        <f t="array" aca="1" ref="AD113" ca="1">_xlfn.XLOOKUP(Renewables_Electricity_Backend[[#This Row],[Level 3]],rng_Level3Long,rng_Level4Long)</f>
        <v>#N/A</v>
      </c>
      <c r="AE113" s="174" t="e" cm="1">
        <f t="array" aca="1" ref="AE113" ca="1">_xlfn.XLOOKUP(Renewables_Electricity_Backend[[#This Row],[Level 3]],rng_Level3Long,rng_Level5Long)</f>
        <v>#N/A</v>
      </c>
      <c r="AF113" s="174" t="e" cm="1">
        <f t="array" aca="1" ref="AF113" ca="1">_xlfn.XLOOKUP(Renewables_Electricity_Backend[[#This Row],[Level 3]],rng_Level3Long,rng_Level6Long)</f>
        <v>#N/A</v>
      </c>
      <c r="AG113" s="174">
        <f>Renewables_Electricity_Frontend[[#This Row],[Generating site name]]</f>
        <v>0</v>
      </c>
      <c r="AH113" s="174"/>
      <c r="AI113" s="174">
        <f>Renewables_Electricity_Frontend[[#This Row],[Methodology used]]</f>
        <v>0</v>
      </c>
      <c r="AJ113" s="220" t="e" cm="1">
        <f t="array" aca="1" ref="AJ113" ca="1">INDEX(_xlfn.SWITCH(Renewables_Electricity_Backend[[#This Row],[Methodology]],"Tier 1",rng_RSD1,"Tier 2",rng_RSD2,"Tier 3",rng_RSD3),MATCH(_xlfn.CONCAT(Renewables_Electricity_Backend[[#This Row],[Level 1]:[Level 6]]),rng_LevelsConcat,0))</f>
        <v>#N/A</v>
      </c>
      <c r="AK113" s="174">
        <f>Renewables_Electricity_Frontend[[#This Row],[Age (years)]]</f>
        <v>0</v>
      </c>
      <c r="AL113" s="174">
        <f>Renewables_Electricity_Frontend[[#This Row],[Availability]]</f>
        <v>0</v>
      </c>
      <c r="AM113" s="174">
        <f>Renewables_Electricity_Frontend[[#This Row],[Total kW capacity]]</f>
        <v>0</v>
      </c>
      <c r="AN113" s="220">
        <f>Renewables_Electricity_Frontend[[#This Row],[Total kWh generated]]</f>
        <v>0</v>
      </c>
      <c r="AO113" s="412">
        <f>Renewables_Electricity_Frontend[[#This Row],[kWh consumed by reporting organisation]]</f>
        <v>0</v>
      </c>
      <c r="AP113" s="412">
        <f>Renewables_Electricity_Frontend[[#This Row],[kWh exported to grid]]</f>
        <v>0</v>
      </c>
      <c r="AQ113" s="412">
        <f>Renewables_Electricity_Frontend[[#This Row],[kWh exported to other PSB]]</f>
        <v>0</v>
      </c>
      <c r="AR113" s="174">
        <f>Renewables_Electricity_Frontend[[#This Row],[Name of other PSB]]</f>
        <v>0</v>
      </c>
      <c r="AS113" s="174">
        <f>Renewables_Electricity_Frontend[[#This Row],[Ease of collection]]</f>
        <v>0</v>
      </c>
      <c r="AT113" s="174">
        <f>Renewables_Electricity_Frontend[[#This Row],[Ease of collection]]</f>
        <v>0</v>
      </c>
      <c r="AU113" s="174">
        <f>Renewables_Electricity_Frontend[[#This Row],[Completeness]]</f>
        <v>0</v>
      </c>
    </row>
    <row r="114" spans="2:47" x14ac:dyDescent="0.35">
      <c r="B114" s="455"/>
      <c r="E114" s="431"/>
      <c r="F114" s="432"/>
      <c r="G114" s="432"/>
      <c r="H114" s="432"/>
      <c r="I114" s="432"/>
      <c r="J114" s="432"/>
      <c r="K114" s="433"/>
      <c r="L114" s="434"/>
      <c r="M114" s="433"/>
      <c r="N114" s="276">
        <f>Renewables_Electricity_Frontend[[#This Row],[kWh consumed by reporting organisation]]+Renewables_Electricity_Frontend[[#This Row],[kWh exported to grid]]+Renewables_Electricity_Frontend[[#This Row],[kWh exported to other PSB]]</f>
        <v>0</v>
      </c>
      <c r="O114" s="439"/>
      <c r="P114" s="439"/>
      <c r="Q114" s="440"/>
      <c r="R114" s="441"/>
      <c r="S114" s="338"/>
      <c r="T114" s="338"/>
      <c r="U114" s="442"/>
      <c r="V114" s="242">
        <f t="shared" si="4"/>
        <v>11</v>
      </c>
      <c r="Z114" s="212" t="str">
        <f t="shared" si="3"/>
        <v/>
      </c>
      <c r="AA114" s="174" t="s">
        <v>149</v>
      </c>
      <c r="AB114" s="174" t="s">
        <v>149</v>
      </c>
      <c r="AC114" s="174">
        <f>Renewables_Electricity_Frontend[[#This Row],[Renewable Type]]</f>
        <v>0</v>
      </c>
      <c r="AD114" s="174" t="e" cm="1">
        <f t="array" aca="1" ref="AD114" ca="1">_xlfn.XLOOKUP(Renewables_Electricity_Backend[[#This Row],[Level 3]],rng_Level3Long,rng_Level4Long)</f>
        <v>#N/A</v>
      </c>
      <c r="AE114" s="174" t="e" cm="1">
        <f t="array" aca="1" ref="AE114" ca="1">_xlfn.XLOOKUP(Renewables_Electricity_Backend[[#This Row],[Level 3]],rng_Level3Long,rng_Level5Long)</f>
        <v>#N/A</v>
      </c>
      <c r="AF114" s="174" t="e" cm="1">
        <f t="array" aca="1" ref="AF114" ca="1">_xlfn.XLOOKUP(Renewables_Electricity_Backend[[#This Row],[Level 3]],rng_Level3Long,rng_Level6Long)</f>
        <v>#N/A</v>
      </c>
      <c r="AG114" s="174">
        <f>Renewables_Electricity_Frontend[[#This Row],[Generating site name]]</f>
        <v>0</v>
      </c>
      <c r="AH114" s="174"/>
      <c r="AI114" s="174">
        <f>Renewables_Electricity_Frontend[[#This Row],[Methodology used]]</f>
        <v>0</v>
      </c>
      <c r="AJ114" s="220" t="e" cm="1">
        <f t="array" aca="1" ref="AJ114" ca="1">INDEX(_xlfn.SWITCH(Renewables_Electricity_Backend[[#This Row],[Methodology]],"Tier 1",rng_RSD1,"Tier 2",rng_RSD2,"Tier 3",rng_RSD3),MATCH(_xlfn.CONCAT(Renewables_Electricity_Backend[[#This Row],[Level 1]:[Level 6]]),rng_LevelsConcat,0))</f>
        <v>#N/A</v>
      </c>
      <c r="AK114" s="174">
        <f>Renewables_Electricity_Frontend[[#This Row],[Age (years)]]</f>
        <v>0</v>
      </c>
      <c r="AL114" s="174">
        <f>Renewables_Electricity_Frontend[[#This Row],[Availability]]</f>
        <v>0</v>
      </c>
      <c r="AM114" s="174">
        <f>Renewables_Electricity_Frontend[[#This Row],[Total kW capacity]]</f>
        <v>0</v>
      </c>
      <c r="AN114" s="220">
        <f>Renewables_Electricity_Frontend[[#This Row],[Total kWh generated]]</f>
        <v>0</v>
      </c>
      <c r="AO114" s="412">
        <f>Renewables_Electricity_Frontend[[#This Row],[kWh consumed by reporting organisation]]</f>
        <v>0</v>
      </c>
      <c r="AP114" s="412">
        <f>Renewables_Electricity_Frontend[[#This Row],[kWh exported to grid]]</f>
        <v>0</v>
      </c>
      <c r="AQ114" s="412">
        <f>Renewables_Electricity_Frontend[[#This Row],[kWh exported to other PSB]]</f>
        <v>0</v>
      </c>
      <c r="AR114" s="174">
        <f>Renewables_Electricity_Frontend[[#This Row],[Name of other PSB]]</f>
        <v>0</v>
      </c>
      <c r="AS114" s="174">
        <f>Renewables_Electricity_Frontend[[#This Row],[Ease of collection]]</f>
        <v>0</v>
      </c>
      <c r="AT114" s="174">
        <f>Renewables_Electricity_Frontend[[#This Row],[Ease of collection]]</f>
        <v>0</v>
      </c>
      <c r="AU114" s="174">
        <f>Renewables_Electricity_Frontend[[#This Row],[Completeness]]</f>
        <v>0</v>
      </c>
    </row>
    <row r="115" spans="2:47" x14ac:dyDescent="0.35">
      <c r="B115" s="455"/>
      <c r="E115" s="431"/>
      <c r="F115" s="432"/>
      <c r="G115" s="432"/>
      <c r="H115" s="432"/>
      <c r="I115" s="432"/>
      <c r="J115" s="432"/>
      <c r="K115" s="433"/>
      <c r="L115" s="434"/>
      <c r="M115" s="433"/>
      <c r="N115" s="276">
        <f>Renewables_Electricity_Frontend[[#This Row],[kWh consumed by reporting organisation]]+Renewables_Electricity_Frontend[[#This Row],[kWh exported to grid]]+Renewables_Electricity_Frontend[[#This Row],[kWh exported to other PSB]]</f>
        <v>0</v>
      </c>
      <c r="O115" s="439"/>
      <c r="P115" s="439"/>
      <c r="Q115" s="440"/>
      <c r="R115" s="441"/>
      <c r="S115" s="338"/>
      <c r="T115" s="338"/>
      <c r="U115" s="442"/>
      <c r="V115" s="242">
        <f t="shared" si="4"/>
        <v>11</v>
      </c>
      <c r="Z115" s="212" t="str">
        <f t="shared" si="3"/>
        <v/>
      </c>
      <c r="AA115" s="174" t="s">
        <v>149</v>
      </c>
      <c r="AB115" s="174" t="s">
        <v>149</v>
      </c>
      <c r="AC115" s="174">
        <f>Renewables_Electricity_Frontend[[#This Row],[Renewable Type]]</f>
        <v>0</v>
      </c>
      <c r="AD115" s="174" t="e" cm="1">
        <f t="array" aca="1" ref="AD115" ca="1">_xlfn.XLOOKUP(Renewables_Electricity_Backend[[#This Row],[Level 3]],rng_Level3Long,rng_Level4Long)</f>
        <v>#N/A</v>
      </c>
      <c r="AE115" s="174" t="e" cm="1">
        <f t="array" aca="1" ref="AE115" ca="1">_xlfn.XLOOKUP(Renewables_Electricity_Backend[[#This Row],[Level 3]],rng_Level3Long,rng_Level5Long)</f>
        <v>#N/A</v>
      </c>
      <c r="AF115" s="174" t="e" cm="1">
        <f t="array" aca="1" ref="AF115" ca="1">_xlfn.XLOOKUP(Renewables_Electricity_Backend[[#This Row],[Level 3]],rng_Level3Long,rng_Level6Long)</f>
        <v>#N/A</v>
      </c>
      <c r="AG115" s="174">
        <f>Renewables_Electricity_Frontend[[#This Row],[Generating site name]]</f>
        <v>0</v>
      </c>
      <c r="AH115" s="174"/>
      <c r="AI115" s="174">
        <f>Renewables_Electricity_Frontend[[#This Row],[Methodology used]]</f>
        <v>0</v>
      </c>
      <c r="AJ115" s="220" t="e" cm="1">
        <f t="array" aca="1" ref="AJ115" ca="1">INDEX(_xlfn.SWITCH(Renewables_Electricity_Backend[[#This Row],[Methodology]],"Tier 1",rng_RSD1,"Tier 2",rng_RSD2,"Tier 3",rng_RSD3),MATCH(_xlfn.CONCAT(Renewables_Electricity_Backend[[#This Row],[Level 1]:[Level 6]]),rng_LevelsConcat,0))</f>
        <v>#N/A</v>
      </c>
      <c r="AK115" s="174">
        <f>Renewables_Electricity_Frontend[[#This Row],[Age (years)]]</f>
        <v>0</v>
      </c>
      <c r="AL115" s="174">
        <f>Renewables_Electricity_Frontend[[#This Row],[Availability]]</f>
        <v>0</v>
      </c>
      <c r="AM115" s="174">
        <f>Renewables_Electricity_Frontend[[#This Row],[Total kW capacity]]</f>
        <v>0</v>
      </c>
      <c r="AN115" s="220">
        <f>Renewables_Electricity_Frontend[[#This Row],[Total kWh generated]]</f>
        <v>0</v>
      </c>
      <c r="AO115" s="412">
        <f>Renewables_Electricity_Frontend[[#This Row],[kWh consumed by reporting organisation]]</f>
        <v>0</v>
      </c>
      <c r="AP115" s="412">
        <f>Renewables_Electricity_Frontend[[#This Row],[kWh exported to grid]]</f>
        <v>0</v>
      </c>
      <c r="AQ115" s="412">
        <f>Renewables_Electricity_Frontend[[#This Row],[kWh exported to other PSB]]</f>
        <v>0</v>
      </c>
      <c r="AR115" s="174">
        <f>Renewables_Electricity_Frontend[[#This Row],[Name of other PSB]]</f>
        <v>0</v>
      </c>
      <c r="AS115" s="216">
        <f>Renewables_Electricity_Frontend[[#This Row],[Ease of collection]]</f>
        <v>0</v>
      </c>
      <c r="AT115" s="216">
        <f>Renewables_Electricity_Frontend[[#This Row],[Ease of collection]]</f>
        <v>0</v>
      </c>
      <c r="AU115" s="216">
        <f>Renewables_Electricity_Frontend[[#This Row],[Completeness]]</f>
        <v>0</v>
      </c>
    </row>
    <row r="116" spans="2:47" ht="15" thickBot="1" x14ac:dyDescent="0.4">
      <c r="B116" s="146"/>
    </row>
    <row r="117" spans="2:47" x14ac:dyDescent="0.35">
      <c r="B117" s="146"/>
      <c r="E117" s="278"/>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79"/>
      <c r="AN117" s="279"/>
      <c r="AO117" s="279"/>
      <c r="AP117" s="279"/>
      <c r="AQ117" s="279"/>
      <c r="AR117" s="279"/>
      <c r="AS117" s="279"/>
      <c r="AT117" s="279"/>
      <c r="AU117" s="279"/>
    </row>
    <row r="118" spans="2:47" x14ac:dyDescent="0.35">
      <c r="B118" s="159" t="s">
        <v>12</v>
      </c>
      <c r="E118" s="160" t="s">
        <v>444</v>
      </c>
    </row>
    <row r="119" spans="2:47" x14ac:dyDescent="0.35">
      <c r="B119" s="146"/>
    </row>
    <row r="120" spans="2:47" ht="84.5" x14ac:dyDescent="0.35">
      <c r="B120" s="146"/>
      <c r="E120" s="272" t="s">
        <v>423</v>
      </c>
      <c r="F120" s="273" t="s">
        <v>424</v>
      </c>
      <c r="G120" s="273" t="s">
        <v>425</v>
      </c>
      <c r="H120" s="273" t="s">
        <v>426</v>
      </c>
      <c r="I120" s="273" t="s">
        <v>427</v>
      </c>
      <c r="J120" s="273" t="s">
        <v>428</v>
      </c>
      <c r="K120" s="273" t="s">
        <v>429</v>
      </c>
      <c r="L120" s="273" t="s">
        <v>443</v>
      </c>
      <c r="M120" s="273" t="s">
        <v>432</v>
      </c>
      <c r="N120" s="273" t="s">
        <v>433</v>
      </c>
      <c r="O120" s="273" t="s">
        <v>434</v>
      </c>
      <c r="P120" s="273" t="s">
        <v>435</v>
      </c>
      <c r="Q120" s="273" t="s">
        <v>436</v>
      </c>
      <c r="R120" s="273" t="s">
        <v>291</v>
      </c>
      <c r="S120" s="273" t="s">
        <v>292</v>
      </c>
      <c r="T120" s="273" t="s">
        <v>293</v>
      </c>
      <c r="U120" s="273" t="s">
        <v>365</v>
      </c>
      <c r="V120" s="188">
        <f>AVERAGEIF($V$121:$V$221,"&lt;&gt;0",($V$121:$V$221))</f>
        <v>10</v>
      </c>
      <c r="Z120" s="225" t="s">
        <v>294</v>
      </c>
      <c r="AA120" s="226" t="s">
        <v>295</v>
      </c>
      <c r="AB120" s="226" t="s">
        <v>296</v>
      </c>
      <c r="AC120" s="226" t="s">
        <v>297</v>
      </c>
      <c r="AD120" s="226" t="s">
        <v>298</v>
      </c>
      <c r="AE120" s="226" t="s">
        <v>299</v>
      </c>
      <c r="AF120" s="226" t="s">
        <v>300</v>
      </c>
      <c r="AG120" s="226" t="s">
        <v>301</v>
      </c>
      <c r="AH120" s="226" t="s">
        <v>302</v>
      </c>
      <c r="AI120" s="226" t="s">
        <v>287</v>
      </c>
      <c r="AJ120" s="226" t="s">
        <v>303</v>
      </c>
      <c r="AK120" s="226" t="s">
        <v>429</v>
      </c>
      <c r="AL120" s="286" t="s">
        <v>430</v>
      </c>
      <c r="AM120" s="286" t="s">
        <v>431</v>
      </c>
      <c r="AN120" s="286" t="s">
        <v>432</v>
      </c>
      <c r="AO120" s="286" t="s">
        <v>433</v>
      </c>
      <c r="AP120" s="286" t="s">
        <v>434</v>
      </c>
      <c r="AQ120" s="286" t="s">
        <v>435</v>
      </c>
      <c r="AR120" s="286" t="s">
        <v>436</v>
      </c>
      <c r="AS120" s="286" t="s">
        <v>291</v>
      </c>
      <c r="AT120" s="226" t="s">
        <v>292</v>
      </c>
      <c r="AU120" s="286" t="s">
        <v>293</v>
      </c>
    </row>
    <row r="121" spans="2:47" x14ac:dyDescent="0.35">
      <c r="B121" s="146"/>
      <c r="E121" s="270"/>
      <c r="F121" s="268"/>
      <c r="G121" s="268"/>
      <c r="H121" s="268"/>
      <c r="I121" s="268"/>
      <c r="J121" s="268"/>
      <c r="K121" s="269"/>
      <c r="L121" s="269"/>
      <c r="M121" s="280">
        <f>Renewables_Heat_Frontend[[#This Row],[kWh consumed by reporting organisation]]+Renewables_Heat_Frontend[[#This Row],[kWh exported to grid]]+Renewables_Heat_Frontend[[#This Row],[kWh exported to other PSB]]</f>
        <v>0</v>
      </c>
      <c r="N121" s="281"/>
      <c r="O121" s="281"/>
      <c r="P121" s="282"/>
      <c r="Q121" s="282"/>
      <c r="R121" s="284"/>
      <c r="S121" s="284"/>
      <c r="T121" s="285"/>
      <c r="U121" s="329"/>
      <c r="V121" s="242">
        <f>ISBLANK(E121)+ISBLANK(F121)+ISBLANK(G121)+ISBLANK(H121)+ISBLANK(I121)+ISBLANK(J121)+ISBLANK(K121)+ISBLANK(L121)+ISBLANK(N121)+ISBLANK(O121)</f>
        <v>10</v>
      </c>
      <c r="Z121" s="212" t="str">
        <f t="shared" ref="Z121:Z152" si="5">IF($V121=0,SUBSTITUTE(2025&amp;TRIM(cl_org_name_select)&amp;TRIM($E$118)&amp;(ROW(V121)-ROW($V$1121))," ",""),"")</f>
        <v/>
      </c>
      <c r="AA121" s="174" t="s">
        <v>149</v>
      </c>
      <c r="AB121" s="174" t="s">
        <v>149</v>
      </c>
      <c r="AC121" s="209">
        <f>Renewables_Heat_Frontend[[#This Row],[Renewable Type]]</f>
        <v>0</v>
      </c>
      <c r="AD121" s="174" t="e" cm="1">
        <f t="array" aca="1" ref="AD121" ca="1">_xlfn.XLOOKUP(Renewables_Heat_Backend[[#This Row],[Level 3]],rng_Level3Long,rng_Level4Long)</f>
        <v>#N/A</v>
      </c>
      <c r="AE121" s="174" t="e" cm="1">
        <f t="array" aca="1" ref="AE121" ca="1">_xlfn.XLOOKUP(Renewables_Heat_Backend[[#This Row],[Level 3]],rng_Level3Long,rng_Level5Long)</f>
        <v>#N/A</v>
      </c>
      <c r="AF121" s="174" t="e" cm="1">
        <f t="array" aca="1" ref="AF121" ca="1">_xlfn.XLOOKUP(Renewables_Heat_Backend[[#This Row],[Level 3]],rng_Level3Long,rng_Level6Long)</f>
        <v>#N/A</v>
      </c>
      <c r="AG121" s="174">
        <f>Renewables_Heat_Frontend[[#This Row],[Generating site name]]</f>
        <v>0</v>
      </c>
      <c r="AH121" s="174"/>
      <c r="AI121" s="174">
        <f>Renewables_Heat_Frontend[[#This Row],[Methodology used]]</f>
        <v>0</v>
      </c>
      <c r="AJ121" s="229" t="e" cm="1">
        <f t="array" aca="1" ref="AJ121" ca="1">_xlfn.LET(_xlpm.LookupConcat,_xlfn.CONCAT(Renewables_Heat_Backend[[#This Row],[Level 1]:[Level 6]]), _xlfn.XLOOKUP(_xlpm.LookupConcat,rng_LevelsConcat,_xlfn.SWITCH(Renewables_Heat_Backend[[#This Row],[Methodology]],"Tier 1",rng_RSD1,"Tier 2",rng_RSD2,"Tier 3",rng_RSD3)))</f>
        <v>#N/A</v>
      </c>
      <c r="AK121" s="174">
        <f>Renewables_Heat_Frontend[[#This Row],[Age (years)]]</f>
        <v>0</v>
      </c>
      <c r="AL121" s="218" t="s">
        <v>1848</v>
      </c>
      <c r="AM121" s="174">
        <f>Renewables_Heat_Frontend[[#This Row],[Total MW capacity]]</f>
        <v>0</v>
      </c>
      <c r="AN121" s="412">
        <f>Renewables_Heat_Frontend[[#This Row],[Total kWh generated]]</f>
        <v>0</v>
      </c>
      <c r="AO121" s="412">
        <f>Renewables_Heat_Frontend[[#This Row],[kWh consumed by reporting organisation]]</f>
        <v>0</v>
      </c>
      <c r="AP121" s="412">
        <f>Renewables_Heat_Frontend[[#This Row],[kWh exported to grid]]</f>
        <v>0</v>
      </c>
      <c r="AQ121" s="412">
        <f>Renewables_Heat_Frontend[[#This Row],[kWh exported to other PSB]]</f>
        <v>0</v>
      </c>
      <c r="AR121" s="220">
        <f>Renewables_Heat_Frontend[[#This Row],[Name of other PSB]]</f>
        <v>0</v>
      </c>
      <c r="AS121" s="224">
        <f>Renewables_Heat_Frontend[[#This Row],[Ease of collection]]</f>
        <v>0</v>
      </c>
      <c r="AT121" s="411">
        <f>Renewables_Heat_Frontend[[#This Row],[Completeness]]</f>
        <v>0</v>
      </c>
      <c r="AU121" s="411">
        <f>Renewables_Heat_Frontend[[#This Row],[Notes]]</f>
        <v>0</v>
      </c>
    </row>
    <row r="122" spans="2:47" x14ac:dyDescent="0.35">
      <c r="B122" s="146"/>
      <c r="E122" s="270"/>
      <c r="F122" s="268"/>
      <c r="G122" s="268"/>
      <c r="H122" s="268"/>
      <c r="I122" s="268"/>
      <c r="J122" s="268"/>
      <c r="K122" s="269"/>
      <c r="L122" s="269"/>
      <c r="M122" s="280">
        <f>Renewables_Heat_Frontend[[#This Row],[kWh consumed by reporting organisation]]+Renewables_Heat_Frontend[[#This Row],[kWh exported to grid]]+Renewables_Heat_Frontend[[#This Row],[kWh exported to other PSB]]</f>
        <v>0</v>
      </c>
      <c r="N122" s="281"/>
      <c r="O122" s="281"/>
      <c r="P122" s="282"/>
      <c r="Q122" s="282"/>
      <c r="R122" s="284"/>
      <c r="S122" s="284"/>
      <c r="T122" s="285"/>
      <c r="U122" s="329"/>
      <c r="V122" s="242">
        <f t="shared" ref="V122:V185" si="6">ISBLANK(E122)+ISBLANK(F122)+ISBLANK(G122)+ISBLANK(H122)+ISBLANK(I122)+ISBLANK(J122)+ISBLANK(K122)+ISBLANK(L122)+ISBLANK(N122)+ISBLANK(O122)</f>
        <v>10</v>
      </c>
      <c r="Z122" s="212" t="str">
        <f t="shared" si="5"/>
        <v/>
      </c>
      <c r="AA122" s="174"/>
      <c r="AB122" s="174"/>
      <c r="AC122" s="174">
        <f>Renewables_Heat_Frontend[[#This Row],[Renewable Type]]</f>
        <v>0</v>
      </c>
      <c r="AD122" s="174" t="e" cm="1">
        <f t="array" aca="1" ref="AD122" ca="1">_xlfn.XLOOKUP(Renewables_Heat_Backend[[#This Row],[Level 3]],rng_Level3Long,rng_Level4Long)</f>
        <v>#N/A</v>
      </c>
      <c r="AE122" s="174" t="e" cm="1">
        <f t="array" aca="1" ref="AE122" ca="1">_xlfn.XLOOKUP(Renewables_Heat_Backend[[#This Row],[Level 3]],rng_Level3Long,rng_Level5Long)</f>
        <v>#N/A</v>
      </c>
      <c r="AF122" s="174" t="e" cm="1">
        <f t="array" aca="1" ref="AF122" ca="1">_xlfn.XLOOKUP(Renewables_Heat_Backend[[#This Row],[Level 3]],rng_Level3Long,rng_Level6Long)</f>
        <v>#N/A</v>
      </c>
      <c r="AG122" s="174">
        <f>Renewables_Heat_Frontend[[#This Row],[Generating site name]]</f>
        <v>0</v>
      </c>
      <c r="AH122" s="174"/>
      <c r="AI122" s="174">
        <f>Renewables_Heat_Frontend[[#This Row],[Methodology used]]</f>
        <v>0</v>
      </c>
      <c r="AJ122" s="229" t="e" cm="1">
        <f t="array" aca="1" ref="AJ122" ca="1">_xlfn.LET(_xlpm.LookupConcat,_xlfn.CONCAT(Renewables_Heat_Backend[[#This Row],[Level 1]:[Level 6]]), _xlfn.XLOOKUP(_xlpm.LookupConcat,rng_LevelsConcat,_xlfn.SWITCH(Renewables_Heat_Backend[[#This Row],[Methodology]],"Tier 1",rng_RSD1,"Tier 2",rng_RSD2,"Tier 3",rng_RSD3)))</f>
        <v>#N/A</v>
      </c>
      <c r="AK122" s="174">
        <f>Renewables_Heat_Frontend[[#This Row],[Age (years)]]</f>
        <v>0</v>
      </c>
      <c r="AL122" s="218" t="s">
        <v>1848</v>
      </c>
      <c r="AM122" s="174">
        <f>Renewables_Heat_Frontend[[#This Row],[Total MW capacity]]</f>
        <v>0</v>
      </c>
      <c r="AN122" s="412">
        <f>Renewables_Heat_Frontend[[#This Row],[Total kWh generated]]</f>
        <v>0</v>
      </c>
      <c r="AO122" s="412">
        <f>Renewables_Heat_Frontend[[#This Row],[kWh consumed by reporting organisation]]</f>
        <v>0</v>
      </c>
      <c r="AP122" s="412">
        <f>Renewables_Heat_Frontend[[#This Row],[kWh exported to grid]]</f>
        <v>0</v>
      </c>
      <c r="AQ122" s="412">
        <f>Renewables_Heat_Frontend[[#This Row],[kWh exported to other PSB]]</f>
        <v>0</v>
      </c>
      <c r="AR122" s="220">
        <f>Renewables_Heat_Frontend[[#This Row],[Name of other PSB]]</f>
        <v>0</v>
      </c>
      <c r="AS122" s="220">
        <f>Renewables_Heat_Frontend[[#This Row],[Ease of collection]]</f>
        <v>0</v>
      </c>
      <c r="AT122" s="174">
        <f>Renewables_Heat_Frontend[[#This Row],[Completeness]]</f>
        <v>0</v>
      </c>
      <c r="AU122" s="174">
        <f>Renewables_Heat_Frontend[[#This Row],[Notes]]</f>
        <v>0</v>
      </c>
    </row>
    <row r="123" spans="2:47" x14ac:dyDescent="0.35">
      <c r="B123" s="146"/>
      <c r="E123" s="270"/>
      <c r="F123" s="268"/>
      <c r="G123" s="268"/>
      <c r="H123" s="268"/>
      <c r="I123" s="268"/>
      <c r="J123" s="268"/>
      <c r="K123" s="269"/>
      <c r="L123" s="269"/>
      <c r="M123" s="280">
        <f>Renewables_Heat_Frontend[[#This Row],[kWh consumed by reporting organisation]]+Renewables_Heat_Frontend[[#This Row],[kWh exported to grid]]+Renewables_Heat_Frontend[[#This Row],[kWh exported to other PSB]]</f>
        <v>0</v>
      </c>
      <c r="N123" s="281"/>
      <c r="O123" s="281"/>
      <c r="P123" s="282"/>
      <c r="Q123" s="282"/>
      <c r="R123" s="284"/>
      <c r="S123" s="284"/>
      <c r="T123" s="285"/>
      <c r="U123" s="329"/>
      <c r="V123" s="242">
        <f t="shared" si="6"/>
        <v>10</v>
      </c>
      <c r="Z123" s="212" t="str">
        <f t="shared" si="5"/>
        <v/>
      </c>
      <c r="AA123" s="174"/>
      <c r="AB123" s="174"/>
      <c r="AC123" s="174">
        <f>Renewables_Heat_Frontend[[#This Row],[Renewable Type]]</f>
        <v>0</v>
      </c>
      <c r="AD123" s="174" t="e" cm="1">
        <f t="array" aca="1" ref="AD123" ca="1">_xlfn.XLOOKUP(Renewables_Heat_Backend[[#This Row],[Level 3]],rng_Level3Long,rng_Level4Long)</f>
        <v>#N/A</v>
      </c>
      <c r="AE123" s="174" t="e" cm="1">
        <f t="array" aca="1" ref="AE123" ca="1">_xlfn.XLOOKUP(Renewables_Heat_Backend[[#This Row],[Level 3]],rng_Level3Long,rng_Level5Long)</f>
        <v>#N/A</v>
      </c>
      <c r="AF123" s="174" t="e" cm="1">
        <f t="array" aca="1" ref="AF123" ca="1">_xlfn.XLOOKUP(Renewables_Heat_Backend[[#This Row],[Level 3]],rng_Level3Long,rng_Level6Long)</f>
        <v>#N/A</v>
      </c>
      <c r="AG123" s="174">
        <f>Renewables_Heat_Frontend[[#This Row],[Generating site name]]</f>
        <v>0</v>
      </c>
      <c r="AH123" s="174"/>
      <c r="AI123" s="174">
        <f>Renewables_Heat_Frontend[[#This Row],[Methodology used]]</f>
        <v>0</v>
      </c>
      <c r="AJ123" s="229" t="e" cm="1">
        <f t="array" aca="1" ref="AJ123" ca="1">_xlfn.LET(_xlpm.LookupConcat,_xlfn.CONCAT(Renewables_Heat_Backend[[#This Row],[Level 1]:[Level 6]]), _xlfn.XLOOKUP(_xlpm.LookupConcat,rng_LevelsConcat,_xlfn.SWITCH(Renewables_Heat_Backend[[#This Row],[Methodology]],"Tier 1",rng_RSD1,"Tier 2",rng_RSD2,"Tier 3",rng_RSD3)))</f>
        <v>#N/A</v>
      </c>
      <c r="AK123" s="174">
        <f>Renewables_Heat_Frontend[[#This Row],[Age (years)]]</f>
        <v>0</v>
      </c>
      <c r="AL123" s="218" t="s">
        <v>1848</v>
      </c>
      <c r="AM123" s="174">
        <f>Renewables_Heat_Frontend[[#This Row],[Total MW capacity]]</f>
        <v>0</v>
      </c>
      <c r="AN123" s="412">
        <f>Renewables_Heat_Frontend[[#This Row],[Total kWh generated]]</f>
        <v>0</v>
      </c>
      <c r="AO123" s="412">
        <f>Renewables_Heat_Frontend[[#This Row],[kWh consumed by reporting organisation]]</f>
        <v>0</v>
      </c>
      <c r="AP123" s="412">
        <f>Renewables_Heat_Frontend[[#This Row],[kWh exported to grid]]</f>
        <v>0</v>
      </c>
      <c r="AQ123" s="412">
        <f>Renewables_Heat_Frontend[[#This Row],[kWh exported to other PSB]]</f>
        <v>0</v>
      </c>
      <c r="AR123" s="220">
        <f>Renewables_Heat_Frontend[[#This Row],[Name of other PSB]]</f>
        <v>0</v>
      </c>
      <c r="AS123" s="220">
        <f>Renewables_Heat_Frontend[[#This Row],[Ease of collection]]</f>
        <v>0</v>
      </c>
      <c r="AT123" s="174">
        <f>Renewables_Heat_Frontend[[#This Row],[Completeness]]</f>
        <v>0</v>
      </c>
      <c r="AU123" s="174">
        <f>Renewables_Heat_Frontend[[#This Row],[Notes]]</f>
        <v>0</v>
      </c>
    </row>
    <row r="124" spans="2:47" x14ac:dyDescent="0.35">
      <c r="B124" s="146"/>
      <c r="E124" s="270"/>
      <c r="F124" s="268"/>
      <c r="G124" s="268"/>
      <c r="H124" s="268"/>
      <c r="I124" s="268"/>
      <c r="J124" s="268"/>
      <c r="K124" s="269"/>
      <c r="L124" s="269"/>
      <c r="M124" s="280">
        <f>Renewables_Heat_Frontend[[#This Row],[kWh consumed by reporting organisation]]+Renewables_Heat_Frontend[[#This Row],[kWh exported to grid]]+Renewables_Heat_Frontend[[#This Row],[kWh exported to other PSB]]</f>
        <v>0</v>
      </c>
      <c r="N124" s="281"/>
      <c r="O124" s="281"/>
      <c r="P124" s="282"/>
      <c r="Q124" s="282"/>
      <c r="R124" s="284"/>
      <c r="S124" s="284"/>
      <c r="T124" s="285"/>
      <c r="U124" s="329"/>
      <c r="V124" s="242">
        <f t="shared" si="6"/>
        <v>10</v>
      </c>
      <c r="Z124" s="212" t="str">
        <f t="shared" si="5"/>
        <v/>
      </c>
      <c r="AA124" s="174"/>
      <c r="AB124" s="174"/>
      <c r="AC124" s="174">
        <f>Renewables_Heat_Frontend[[#This Row],[Renewable Type]]</f>
        <v>0</v>
      </c>
      <c r="AD124" s="174" t="e" cm="1">
        <f t="array" aca="1" ref="AD124" ca="1">_xlfn.XLOOKUP(Renewables_Heat_Backend[[#This Row],[Level 3]],rng_Level3Long,rng_Level4Long)</f>
        <v>#N/A</v>
      </c>
      <c r="AE124" s="174" t="e" cm="1">
        <f t="array" aca="1" ref="AE124" ca="1">_xlfn.XLOOKUP(Renewables_Heat_Backend[[#This Row],[Level 3]],rng_Level3Long,rng_Level5Long)</f>
        <v>#N/A</v>
      </c>
      <c r="AF124" s="174" t="e" cm="1">
        <f t="array" aca="1" ref="AF124" ca="1">_xlfn.XLOOKUP(Renewables_Heat_Backend[[#This Row],[Level 3]],rng_Level3Long,rng_Level6Long)</f>
        <v>#N/A</v>
      </c>
      <c r="AG124" s="174">
        <f>Renewables_Heat_Frontend[[#This Row],[Generating site name]]</f>
        <v>0</v>
      </c>
      <c r="AH124" s="174"/>
      <c r="AI124" s="174">
        <f>Renewables_Heat_Frontend[[#This Row],[Methodology used]]</f>
        <v>0</v>
      </c>
      <c r="AJ124" s="229" t="e" cm="1">
        <f t="array" aca="1" ref="AJ124" ca="1">_xlfn.LET(_xlpm.LookupConcat,_xlfn.CONCAT(Renewables_Heat_Backend[[#This Row],[Level 1]:[Level 6]]), _xlfn.XLOOKUP(_xlpm.LookupConcat,rng_LevelsConcat,_xlfn.SWITCH(Renewables_Heat_Backend[[#This Row],[Methodology]],"Tier 1",rng_RSD1,"Tier 2",rng_RSD2,"Tier 3",rng_RSD3)))</f>
        <v>#N/A</v>
      </c>
      <c r="AK124" s="174">
        <f>Renewables_Heat_Frontend[[#This Row],[Age (years)]]</f>
        <v>0</v>
      </c>
      <c r="AL124" s="218" t="s">
        <v>1848</v>
      </c>
      <c r="AM124" s="174">
        <f>Renewables_Heat_Frontend[[#This Row],[Total MW capacity]]</f>
        <v>0</v>
      </c>
      <c r="AN124" s="412">
        <f>Renewables_Heat_Frontend[[#This Row],[Total kWh generated]]</f>
        <v>0</v>
      </c>
      <c r="AO124" s="412">
        <f>Renewables_Heat_Frontend[[#This Row],[kWh consumed by reporting organisation]]</f>
        <v>0</v>
      </c>
      <c r="AP124" s="412">
        <f>Renewables_Heat_Frontend[[#This Row],[kWh exported to grid]]</f>
        <v>0</v>
      </c>
      <c r="AQ124" s="412">
        <f>Renewables_Heat_Frontend[[#This Row],[kWh exported to other PSB]]</f>
        <v>0</v>
      </c>
      <c r="AR124" s="220">
        <f>Renewables_Heat_Frontend[[#This Row],[Name of other PSB]]</f>
        <v>0</v>
      </c>
      <c r="AS124" s="220">
        <f>Renewables_Heat_Frontend[[#This Row],[Ease of collection]]</f>
        <v>0</v>
      </c>
      <c r="AT124" s="174">
        <f>Renewables_Heat_Frontend[[#This Row],[Completeness]]</f>
        <v>0</v>
      </c>
      <c r="AU124" s="174">
        <f>Renewables_Heat_Frontend[[#This Row],[Notes]]</f>
        <v>0</v>
      </c>
    </row>
    <row r="125" spans="2:47" x14ac:dyDescent="0.35">
      <c r="B125" s="146"/>
      <c r="E125" s="270"/>
      <c r="F125" s="268"/>
      <c r="G125" s="268"/>
      <c r="H125" s="268"/>
      <c r="I125" s="268"/>
      <c r="J125" s="268"/>
      <c r="K125" s="269"/>
      <c r="L125" s="269"/>
      <c r="M125" s="280">
        <f>Renewables_Heat_Frontend[[#This Row],[kWh consumed by reporting organisation]]+Renewables_Heat_Frontend[[#This Row],[kWh exported to grid]]+Renewables_Heat_Frontend[[#This Row],[kWh exported to other PSB]]</f>
        <v>0</v>
      </c>
      <c r="N125" s="281"/>
      <c r="O125" s="281"/>
      <c r="P125" s="282"/>
      <c r="Q125" s="282"/>
      <c r="R125" s="284"/>
      <c r="S125" s="284"/>
      <c r="T125" s="285"/>
      <c r="U125" s="329"/>
      <c r="V125" s="242">
        <f t="shared" si="6"/>
        <v>10</v>
      </c>
      <c r="Z125" s="212" t="str">
        <f t="shared" si="5"/>
        <v/>
      </c>
      <c r="AA125" s="174"/>
      <c r="AB125" s="174"/>
      <c r="AC125" s="174">
        <f>Renewables_Heat_Frontend[[#This Row],[Renewable Type]]</f>
        <v>0</v>
      </c>
      <c r="AD125" s="174" t="e" cm="1">
        <f t="array" aca="1" ref="AD125" ca="1">_xlfn.XLOOKUP(Renewables_Heat_Backend[[#This Row],[Level 3]],rng_Level3Long,rng_Level4Long)</f>
        <v>#N/A</v>
      </c>
      <c r="AE125" s="174" t="e" cm="1">
        <f t="array" aca="1" ref="AE125" ca="1">_xlfn.XLOOKUP(Renewables_Heat_Backend[[#This Row],[Level 3]],rng_Level3Long,rng_Level5Long)</f>
        <v>#N/A</v>
      </c>
      <c r="AF125" s="174" t="e" cm="1">
        <f t="array" aca="1" ref="AF125" ca="1">_xlfn.XLOOKUP(Renewables_Heat_Backend[[#This Row],[Level 3]],rng_Level3Long,rng_Level6Long)</f>
        <v>#N/A</v>
      </c>
      <c r="AG125" s="174">
        <f>Renewables_Heat_Frontend[[#This Row],[Generating site name]]</f>
        <v>0</v>
      </c>
      <c r="AH125" s="174"/>
      <c r="AI125" s="174">
        <f>Renewables_Heat_Frontend[[#This Row],[Methodology used]]</f>
        <v>0</v>
      </c>
      <c r="AJ125" s="229" t="e" cm="1">
        <f t="array" aca="1" ref="AJ125" ca="1">_xlfn.LET(_xlpm.LookupConcat,_xlfn.CONCAT(Renewables_Heat_Backend[[#This Row],[Level 1]:[Level 6]]), _xlfn.XLOOKUP(_xlpm.LookupConcat,rng_LevelsConcat,_xlfn.SWITCH(Renewables_Heat_Backend[[#This Row],[Methodology]],"Tier 1",rng_RSD1,"Tier 2",rng_RSD2,"Tier 3",rng_RSD3)))</f>
        <v>#N/A</v>
      </c>
      <c r="AK125" s="174">
        <f>Renewables_Heat_Frontend[[#This Row],[Age (years)]]</f>
        <v>0</v>
      </c>
      <c r="AL125" s="218" t="s">
        <v>1848</v>
      </c>
      <c r="AM125" s="174">
        <f>Renewables_Heat_Frontend[[#This Row],[Total MW capacity]]</f>
        <v>0</v>
      </c>
      <c r="AN125" s="412">
        <f>Renewables_Heat_Frontend[[#This Row],[Total kWh generated]]</f>
        <v>0</v>
      </c>
      <c r="AO125" s="412">
        <f>Renewables_Heat_Frontend[[#This Row],[kWh consumed by reporting organisation]]</f>
        <v>0</v>
      </c>
      <c r="AP125" s="412">
        <f>Renewables_Heat_Frontend[[#This Row],[kWh exported to grid]]</f>
        <v>0</v>
      </c>
      <c r="AQ125" s="412">
        <f>Renewables_Heat_Frontend[[#This Row],[kWh exported to other PSB]]</f>
        <v>0</v>
      </c>
      <c r="AR125" s="220">
        <f>Renewables_Heat_Frontend[[#This Row],[Name of other PSB]]</f>
        <v>0</v>
      </c>
      <c r="AS125" s="220">
        <f>Renewables_Heat_Frontend[[#This Row],[Ease of collection]]</f>
        <v>0</v>
      </c>
      <c r="AT125" s="174">
        <f>Renewables_Heat_Frontend[[#This Row],[Completeness]]</f>
        <v>0</v>
      </c>
      <c r="AU125" s="174">
        <f>Renewables_Heat_Frontend[[#This Row],[Notes]]</f>
        <v>0</v>
      </c>
    </row>
    <row r="126" spans="2:47" x14ac:dyDescent="0.35">
      <c r="B126" s="146"/>
      <c r="E126" s="270"/>
      <c r="F126" s="268"/>
      <c r="G126" s="268"/>
      <c r="H126" s="268"/>
      <c r="I126" s="268"/>
      <c r="J126" s="268"/>
      <c r="K126" s="269"/>
      <c r="L126" s="269"/>
      <c r="M126" s="280">
        <f>Renewables_Heat_Frontend[[#This Row],[kWh consumed by reporting organisation]]+Renewables_Heat_Frontend[[#This Row],[kWh exported to grid]]+Renewables_Heat_Frontend[[#This Row],[kWh exported to other PSB]]</f>
        <v>0</v>
      </c>
      <c r="N126" s="281"/>
      <c r="O126" s="281"/>
      <c r="P126" s="282"/>
      <c r="Q126" s="282"/>
      <c r="R126" s="284"/>
      <c r="S126" s="284"/>
      <c r="T126" s="285"/>
      <c r="U126" s="329"/>
      <c r="V126" s="242">
        <f t="shared" si="6"/>
        <v>10</v>
      </c>
      <c r="Z126" s="212" t="str">
        <f t="shared" si="5"/>
        <v/>
      </c>
      <c r="AA126" s="174"/>
      <c r="AB126" s="174"/>
      <c r="AC126" s="174">
        <f>Renewables_Heat_Frontend[[#This Row],[Renewable Type]]</f>
        <v>0</v>
      </c>
      <c r="AD126" s="174" t="e" cm="1">
        <f t="array" aca="1" ref="AD126" ca="1">_xlfn.XLOOKUP(Renewables_Heat_Backend[[#This Row],[Level 3]],rng_Level3Long,rng_Level4Long)</f>
        <v>#N/A</v>
      </c>
      <c r="AE126" s="174" t="e" cm="1">
        <f t="array" aca="1" ref="AE126" ca="1">_xlfn.XLOOKUP(Renewables_Heat_Backend[[#This Row],[Level 3]],rng_Level3Long,rng_Level5Long)</f>
        <v>#N/A</v>
      </c>
      <c r="AF126" s="174" t="e" cm="1">
        <f t="array" aca="1" ref="AF126" ca="1">_xlfn.XLOOKUP(Renewables_Heat_Backend[[#This Row],[Level 3]],rng_Level3Long,rng_Level6Long)</f>
        <v>#N/A</v>
      </c>
      <c r="AG126" s="174">
        <f>Renewables_Heat_Frontend[[#This Row],[Generating site name]]</f>
        <v>0</v>
      </c>
      <c r="AH126" s="174"/>
      <c r="AI126" s="174">
        <f>Renewables_Heat_Frontend[[#This Row],[Methodology used]]</f>
        <v>0</v>
      </c>
      <c r="AJ126" s="229" t="e" cm="1">
        <f t="array" aca="1" ref="AJ126" ca="1">_xlfn.LET(_xlpm.LookupConcat,_xlfn.CONCAT(Renewables_Heat_Backend[[#This Row],[Level 1]:[Level 6]]), _xlfn.XLOOKUP(_xlpm.LookupConcat,rng_LevelsConcat,_xlfn.SWITCH(Renewables_Heat_Backend[[#This Row],[Methodology]],"Tier 1",rng_RSD1,"Tier 2",rng_RSD2,"Tier 3",rng_RSD3)))</f>
        <v>#N/A</v>
      </c>
      <c r="AK126" s="174">
        <f>Renewables_Heat_Frontend[[#This Row],[Age (years)]]</f>
        <v>0</v>
      </c>
      <c r="AL126" s="218" t="s">
        <v>1848</v>
      </c>
      <c r="AM126" s="174">
        <f>Renewables_Heat_Frontend[[#This Row],[Total MW capacity]]</f>
        <v>0</v>
      </c>
      <c r="AN126" s="412">
        <f>Renewables_Heat_Frontend[[#This Row],[Total kWh generated]]</f>
        <v>0</v>
      </c>
      <c r="AO126" s="412">
        <f>Renewables_Heat_Frontend[[#This Row],[kWh consumed by reporting organisation]]</f>
        <v>0</v>
      </c>
      <c r="AP126" s="412">
        <f>Renewables_Heat_Frontend[[#This Row],[kWh exported to grid]]</f>
        <v>0</v>
      </c>
      <c r="AQ126" s="412">
        <f>Renewables_Heat_Frontend[[#This Row],[kWh exported to other PSB]]</f>
        <v>0</v>
      </c>
      <c r="AR126" s="220">
        <f>Renewables_Heat_Frontend[[#This Row],[Name of other PSB]]</f>
        <v>0</v>
      </c>
      <c r="AS126" s="220">
        <f>Renewables_Heat_Frontend[[#This Row],[Ease of collection]]</f>
        <v>0</v>
      </c>
      <c r="AT126" s="174">
        <f>Renewables_Heat_Frontend[[#This Row],[Completeness]]</f>
        <v>0</v>
      </c>
      <c r="AU126" s="174">
        <f>Renewables_Heat_Frontend[[#This Row],[Notes]]</f>
        <v>0</v>
      </c>
    </row>
    <row r="127" spans="2:47" x14ac:dyDescent="0.35">
      <c r="B127" s="146"/>
      <c r="E127" s="270"/>
      <c r="F127" s="268"/>
      <c r="G127" s="268"/>
      <c r="H127" s="268"/>
      <c r="I127" s="268"/>
      <c r="J127" s="268"/>
      <c r="K127" s="269"/>
      <c r="L127" s="269"/>
      <c r="M127" s="280">
        <f>Renewables_Heat_Frontend[[#This Row],[kWh consumed by reporting organisation]]+Renewables_Heat_Frontend[[#This Row],[kWh exported to grid]]+Renewables_Heat_Frontend[[#This Row],[kWh exported to other PSB]]</f>
        <v>0</v>
      </c>
      <c r="N127" s="281"/>
      <c r="O127" s="281"/>
      <c r="P127" s="282"/>
      <c r="Q127" s="282"/>
      <c r="R127" s="284"/>
      <c r="S127" s="284"/>
      <c r="T127" s="285"/>
      <c r="U127" s="329"/>
      <c r="V127" s="242">
        <f t="shared" si="6"/>
        <v>10</v>
      </c>
      <c r="Z127" s="212" t="str">
        <f t="shared" si="5"/>
        <v/>
      </c>
      <c r="AA127" s="174"/>
      <c r="AB127" s="174"/>
      <c r="AC127" s="174">
        <f>Renewables_Heat_Frontend[[#This Row],[Renewable Type]]</f>
        <v>0</v>
      </c>
      <c r="AD127" s="174" t="e" cm="1">
        <f t="array" aca="1" ref="AD127" ca="1">_xlfn.XLOOKUP(Renewables_Heat_Backend[[#This Row],[Level 3]],rng_Level3Long,rng_Level4Long)</f>
        <v>#N/A</v>
      </c>
      <c r="AE127" s="174" t="e" cm="1">
        <f t="array" aca="1" ref="AE127" ca="1">_xlfn.XLOOKUP(Renewables_Heat_Backend[[#This Row],[Level 3]],rng_Level3Long,rng_Level5Long)</f>
        <v>#N/A</v>
      </c>
      <c r="AF127" s="174" t="e" cm="1">
        <f t="array" aca="1" ref="AF127" ca="1">_xlfn.XLOOKUP(Renewables_Heat_Backend[[#This Row],[Level 3]],rng_Level3Long,rng_Level6Long)</f>
        <v>#N/A</v>
      </c>
      <c r="AG127" s="174">
        <f>Renewables_Heat_Frontend[[#This Row],[Generating site name]]</f>
        <v>0</v>
      </c>
      <c r="AH127" s="174"/>
      <c r="AI127" s="174">
        <f>Renewables_Heat_Frontend[[#This Row],[Methodology used]]</f>
        <v>0</v>
      </c>
      <c r="AJ127" s="229" t="e" cm="1">
        <f t="array" aca="1" ref="AJ127" ca="1">_xlfn.LET(_xlpm.LookupConcat,_xlfn.CONCAT(Renewables_Heat_Backend[[#This Row],[Level 1]:[Level 6]]), _xlfn.XLOOKUP(_xlpm.LookupConcat,rng_LevelsConcat,_xlfn.SWITCH(Renewables_Heat_Backend[[#This Row],[Methodology]],"Tier 1",rng_RSD1,"Tier 2",rng_RSD2,"Tier 3",rng_RSD3)))</f>
        <v>#N/A</v>
      </c>
      <c r="AK127" s="174">
        <f>Renewables_Heat_Frontend[[#This Row],[Age (years)]]</f>
        <v>0</v>
      </c>
      <c r="AL127" s="218" t="s">
        <v>1848</v>
      </c>
      <c r="AM127" s="174">
        <f>Renewables_Heat_Frontend[[#This Row],[Total MW capacity]]</f>
        <v>0</v>
      </c>
      <c r="AN127" s="412">
        <f>Renewables_Heat_Frontend[[#This Row],[Total kWh generated]]</f>
        <v>0</v>
      </c>
      <c r="AO127" s="412">
        <f>Renewables_Heat_Frontend[[#This Row],[kWh consumed by reporting organisation]]</f>
        <v>0</v>
      </c>
      <c r="AP127" s="412">
        <f>Renewables_Heat_Frontend[[#This Row],[kWh exported to grid]]</f>
        <v>0</v>
      </c>
      <c r="AQ127" s="412">
        <f>Renewables_Heat_Frontend[[#This Row],[kWh exported to other PSB]]</f>
        <v>0</v>
      </c>
      <c r="AR127" s="220">
        <f>Renewables_Heat_Frontend[[#This Row],[Name of other PSB]]</f>
        <v>0</v>
      </c>
      <c r="AS127" s="220">
        <f>Renewables_Heat_Frontend[[#This Row],[Ease of collection]]</f>
        <v>0</v>
      </c>
      <c r="AT127" s="174">
        <f>Renewables_Heat_Frontend[[#This Row],[Completeness]]</f>
        <v>0</v>
      </c>
      <c r="AU127" s="174">
        <f>Renewables_Heat_Frontend[[#This Row],[Notes]]</f>
        <v>0</v>
      </c>
    </row>
    <row r="128" spans="2:47" x14ac:dyDescent="0.35">
      <c r="B128" s="146"/>
      <c r="E128" s="270"/>
      <c r="F128" s="268"/>
      <c r="G128" s="268"/>
      <c r="H128" s="268"/>
      <c r="I128" s="268"/>
      <c r="J128" s="268"/>
      <c r="K128" s="269"/>
      <c r="L128" s="269"/>
      <c r="M128" s="280">
        <f>Renewables_Heat_Frontend[[#This Row],[kWh consumed by reporting organisation]]+Renewables_Heat_Frontend[[#This Row],[kWh exported to grid]]+Renewables_Heat_Frontend[[#This Row],[kWh exported to other PSB]]</f>
        <v>0</v>
      </c>
      <c r="N128" s="281"/>
      <c r="O128" s="281"/>
      <c r="P128" s="282"/>
      <c r="Q128" s="282"/>
      <c r="R128" s="284"/>
      <c r="S128" s="284"/>
      <c r="T128" s="285"/>
      <c r="U128" s="329"/>
      <c r="V128" s="242">
        <f t="shared" si="6"/>
        <v>10</v>
      </c>
      <c r="Z128" s="212" t="str">
        <f t="shared" si="5"/>
        <v/>
      </c>
      <c r="AA128" s="174"/>
      <c r="AB128" s="174"/>
      <c r="AC128" s="174">
        <f>Renewables_Heat_Frontend[[#This Row],[Renewable Type]]</f>
        <v>0</v>
      </c>
      <c r="AD128" s="174" t="e" cm="1">
        <f t="array" aca="1" ref="AD128" ca="1">_xlfn.XLOOKUP(Renewables_Heat_Backend[[#This Row],[Level 3]],rng_Level3Long,rng_Level4Long)</f>
        <v>#N/A</v>
      </c>
      <c r="AE128" s="174" t="e" cm="1">
        <f t="array" aca="1" ref="AE128" ca="1">_xlfn.XLOOKUP(Renewables_Heat_Backend[[#This Row],[Level 3]],rng_Level3Long,rng_Level5Long)</f>
        <v>#N/A</v>
      </c>
      <c r="AF128" s="174" t="e" cm="1">
        <f t="array" aca="1" ref="AF128" ca="1">_xlfn.XLOOKUP(Renewables_Heat_Backend[[#This Row],[Level 3]],rng_Level3Long,rng_Level6Long)</f>
        <v>#N/A</v>
      </c>
      <c r="AG128" s="174">
        <f>Renewables_Heat_Frontend[[#This Row],[Generating site name]]</f>
        <v>0</v>
      </c>
      <c r="AH128" s="174"/>
      <c r="AI128" s="174">
        <f>Renewables_Heat_Frontend[[#This Row],[Methodology used]]</f>
        <v>0</v>
      </c>
      <c r="AJ128" s="229" t="e" cm="1">
        <f t="array" aca="1" ref="AJ128" ca="1">_xlfn.LET(_xlpm.LookupConcat,_xlfn.CONCAT(Renewables_Heat_Backend[[#This Row],[Level 1]:[Level 6]]), _xlfn.XLOOKUP(_xlpm.LookupConcat,rng_LevelsConcat,_xlfn.SWITCH(Renewables_Heat_Backend[[#This Row],[Methodology]],"Tier 1",rng_RSD1,"Tier 2",rng_RSD2,"Tier 3",rng_RSD3)))</f>
        <v>#N/A</v>
      </c>
      <c r="AK128" s="174">
        <f>Renewables_Heat_Frontend[[#This Row],[Age (years)]]</f>
        <v>0</v>
      </c>
      <c r="AL128" s="218" t="s">
        <v>1848</v>
      </c>
      <c r="AM128" s="174">
        <f>Renewables_Heat_Frontend[[#This Row],[Total MW capacity]]</f>
        <v>0</v>
      </c>
      <c r="AN128" s="412">
        <f>Renewables_Heat_Frontend[[#This Row],[Total kWh generated]]</f>
        <v>0</v>
      </c>
      <c r="AO128" s="412">
        <f>Renewables_Heat_Frontend[[#This Row],[kWh consumed by reporting organisation]]</f>
        <v>0</v>
      </c>
      <c r="AP128" s="412">
        <f>Renewables_Heat_Frontend[[#This Row],[kWh exported to grid]]</f>
        <v>0</v>
      </c>
      <c r="AQ128" s="412">
        <f>Renewables_Heat_Frontend[[#This Row],[kWh exported to other PSB]]</f>
        <v>0</v>
      </c>
      <c r="AR128" s="220">
        <f>Renewables_Heat_Frontend[[#This Row],[Name of other PSB]]</f>
        <v>0</v>
      </c>
      <c r="AS128" s="220">
        <f>Renewables_Heat_Frontend[[#This Row],[Ease of collection]]</f>
        <v>0</v>
      </c>
      <c r="AT128" s="174">
        <f>Renewables_Heat_Frontend[[#This Row],[Completeness]]</f>
        <v>0</v>
      </c>
      <c r="AU128" s="174">
        <f>Renewables_Heat_Frontend[[#This Row],[Notes]]</f>
        <v>0</v>
      </c>
    </row>
    <row r="129" spans="2:47" x14ac:dyDescent="0.35">
      <c r="B129" s="146"/>
      <c r="E129" s="270"/>
      <c r="F129" s="268"/>
      <c r="G129" s="268"/>
      <c r="H129" s="268"/>
      <c r="I129" s="268"/>
      <c r="J129" s="268"/>
      <c r="K129" s="269"/>
      <c r="L129" s="269"/>
      <c r="M129" s="280">
        <f>Renewables_Heat_Frontend[[#This Row],[kWh consumed by reporting organisation]]+Renewables_Heat_Frontend[[#This Row],[kWh exported to grid]]+Renewables_Heat_Frontend[[#This Row],[kWh exported to other PSB]]</f>
        <v>0</v>
      </c>
      <c r="N129" s="281"/>
      <c r="O129" s="281"/>
      <c r="P129" s="282"/>
      <c r="Q129" s="282"/>
      <c r="R129" s="284"/>
      <c r="S129" s="284"/>
      <c r="T129" s="285"/>
      <c r="U129" s="329"/>
      <c r="V129" s="242">
        <f t="shared" si="6"/>
        <v>10</v>
      </c>
      <c r="Z129" s="212" t="str">
        <f t="shared" si="5"/>
        <v/>
      </c>
      <c r="AA129" s="174"/>
      <c r="AB129" s="174"/>
      <c r="AC129" s="174">
        <f>Renewables_Heat_Frontend[[#This Row],[Renewable Type]]</f>
        <v>0</v>
      </c>
      <c r="AD129" s="174" t="e" cm="1">
        <f t="array" aca="1" ref="AD129" ca="1">_xlfn.XLOOKUP(Renewables_Heat_Backend[[#This Row],[Level 3]],rng_Level3Long,rng_Level4Long)</f>
        <v>#N/A</v>
      </c>
      <c r="AE129" s="174" t="e" cm="1">
        <f t="array" aca="1" ref="AE129" ca="1">_xlfn.XLOOKUP(Renewables_Heat_Backend[[#This Row],[Level 3]],rng_Level3Long,rng_Level5Long)</f>
        <v>#N/A</v>
      </c>
      <c r="AF129" s="174" t="e" cm="1">
        <f t="array" aca="1" ref="AF129" ca="1">_xlfn.XLOOKUP(Renewables_Heat_Backend[[#This Row],[Level 3]],rng_Level3Long,rng_Level6Long)</f>
        <v>#N/A</v>
      </c>
      <c r="AG129" s="174">
        <f>Renewables_Heat_Frontend[[#This Row],[Generating site name]]</f>
        <v>0</v>
      </c>
      <c r="AH129" s="174"/>
      <c r="AI129" s="174">
        <f>Renewables_Heat_Frontend[[#This Row],[Methodology used]]</f>
        <v>0</v>
      </c>
      <c r="AJ129" s="229" t="e" cm="1">
        <f t="array" aca="1" ref="AJ129" ca="1">_xlfn.LET(_xlpm.LookupConcat,_xlfn.CONCAT(Renewables_Heat_Backend[[#This Row],[Level 1]:[Level 6]]), _xlfn.XLOOKUP(_xlpm.LookupConcat,rng_LevelsConcat,_xlfn.SWITCH(Renewables_Heat_Backend[[#This Row],[Methodology]],"Tier 1",rng_RSD1,"Tier 2",rng_RSD2,"Tier 3",rng_RSD3)))</f>
        <v>#N/A</v>
      </c>
      <c r="AK129" s="174">
        <f>Renewables_Heat_Frontend[[#This Row],[Age (years)]]</f>
        <v>0</v>
      </c>
      <c r="AL129" s="218" t="s">
        <v>1848</v>
      </c>
      <c r="AM129" s="174">
        <f>Renewables_Heat_Frontend[[#This Row],[Total MW capacity]]</f>
        <v>0</v>
      </c>
      <c r="AN129" s="412">
        <f>Renewables_Heat_Frontend[[#This Row],[Total kWh generated]]</f>
        <v>0</v>
      </c>
      <c r="AO129" s="412">
        <f>Renewables_Heat_Frontend[[#This Row],[kWh consumed by reporting organisation]]</f>
        <v>0</v>
      </c>
      <c r="AP129" s="412">
        <f>Renewables_Heat_Frontend[[#This Row],[kWh exported to grid]]</f>
        <v>0</v>
      </c>
      <c r="AQ129" s="412">
        <f>Renewables_Heat_Frontend[[#This Row],[kWh exported to other PSB]]</f>
        <v>0</v>
      </c>
      <c r="AR129" s="220">
        <f>Renewables_Heat_Frontend[[#This Row],[Name of other PSB]]</f>
        <v>0</v>
      </c>
      <c r="AS129" s="220">
        <f>Renewables_Heat_Frontend[[#This Row],[Ease of collection]]</f>
        <v>0</v>
      </c>
      <c r="AT129" s="174">
        <f>Renewables_Heat_Frontend[[#This Row],[Completeness]]</f>
        <v>0</v>
      </c>
      <c r="AU129" s="174">
        <f>Renewables_Heat_Frontend[[#This Row],[Notes]]</f>
        <v>0</v>
      </c>
    </row>
    <row r="130" spans="2:47" x14ac:dyDescent="0.35">
      <c r="B130" s="146"/>
      <c r="E130" s="270"/>
      <c r="F130" s="268"/>
      <c r="G130" s="268"/>
      <c r="H130" s="268"/>
      <c r="I130" s="268"/>
      <c r="J130" s="268"/>
      <c r="K130" s="269"/>
      <c r="L130" s="269"/>
      <c r="M130" s="280">
        <f>Renewables_Heat_Frontend[[#This Row],[kWh consumed by reporting organisation]]+Renewables_Heat_Frontend[[#This Row],[kWh exported to grid]]+Renewables_Heat_Frontend[[#This Row],[kWh exported to other PSB]]</f>
        <v>0</v>
      </c>
      <c r="N130" s="281"/>
      <c r="O130" s="281"/>
      <c r="P130" s="282"/>
      <c r="Q130" s="282"/>
      <c r="R130" s="284"/>
      <c r="S130" s="284"/>
      <c r="T130" s="285"/>
      <c r="U130" s="329"/>
      <c r="V130" s="242">
        <f t="shared" si="6"/>
        <v>10</v>
      </c>
      <c r="Z130" s="212" t="str">
        <f t="shared" si="5"/>
        <v/>
      </c>
      <c r="AA130" s="174"/>
      <c r="AB130" s="174"/>
      <c r="AC130" s="216">
        <f>Renewables_Heat_Frontend[[#This Row],[Renewable Type]]</f>
        <v>0</v>
      </c>
      <c r="AD130" s="216" t="e" cm="1">
        <f t="array" aca="1" ref="AD130" ca="1">_xlfn.XLOOKUP(Renewables_Heat_Backend[[#This Row],[Level 3]],rng_Level3Long,rng_Level4Long)</f>
        <v>#N/A</v>
      </c>
      <c r="AE130" s="216" t="e" cm="1">
        <f t="array" aca="1" ref="AE130" ca="1">_xlfn.XLOOKUP(Renewables_Heat_Backend[[#This Row],[Level 3]],rng_Level3Long,rng_Level5Long)</f>
        <v>#N/A</v>
      </c>
      <c r="AF130" s="216" t="e" cm="1">
        <f t="array" aca="1" ref="AF130" ca="1">_xlfn.XLOOKUP(Renewables_Heat_Backend[[#This Row],[Level 3]],rng_Level3Long,rng_Level6Long)</f>
        <v>#N/A</v>
      </c>
      <c r="AG130" s="174">
        <f>Renewables_Heat_Frontend[[#This Row],[Generating site name]]</f>
        <v>0</v>
      </c>
      <c r="AH130" s="174"/>
      <c r="AI130" s="216">
        <f>Renewables_Heat_Frontend[[#This Row],[Methodology used]]</f>
        <v>0</v>
      </c>
      <c r="AJ130" s="229" t="e" cm="1">
        <f t="array" aca="1" ref="AJ130" ca="1">_xlfn.LET(_xlpm.LookupConcat,_xlfn.CONCAT(Renewables_Heat_Backend[[#This Row],[Level 1]:[Level 6]]), _xlfn.XLOOKUP(_xlpm.LookupConcat,rng_LevelsConcat,_xlfn.SWITCH(Renewables_Heat_Backend[[#This Row],[Methodology]],"Tier 1",rng_RSD1,"Tier 2",rng_RSD2,"Tier 3",rng_RSD3)))</f>
        <v>#N/A</v>
      </c>
      <c r="AK130" s="216">
        <f>Renewables_Heat_Frontend[[#This Row],[Age (years)]]</f>
        <v>0</v>
      </c>
      <c r="AL130" s="218" t="s">
        <v>1848</v>
      </c>
      <c r="AM130" s="216">
        <f>Renewables_Heat_Frontend[[#This Row],[Total MW capacity]]</f>
        <v>0</v>
      </c>
      <c r="AN130" s="413">
        <f>Renewables_Heat_Frontend[[#This Row],[Total kWh generated]]</f>
        <v>0</v>
      </c>
      <c r="AO130" s="413">
        <f>Renewables_Heat_Frontend[[#This Row],[kWh consumed by reporting organisation]]</f>
        <v>0</v>
      </c>
      <c r="AP130" s="413">
        <f>Renewables_Heat_Frontend[[#This Row],[kWh exported to grid]]</f>
        <v>0</v>
      </c>
      <c r="AQ130" s="413">
        <f>Renewables_Heat_Frontend[[#This Row],[kWh exported to other PSB]]</f>
        <v>0</v>
      </c>
      <c r="AR130" s="221">
        <f>Renewables_Heat_Frontend[[#This Row],[Name of other PSB]]</f>
        <v>0</v>
      </c>
      <c r="AS130" s="221">
        <f>Renewables_Heat_Frontend[[#This Row],[Ease of collection]]</f>
        <v>0</v>
      </c>
      <c r="AT130" s="174">
        <f>Renewables_Heat_Frontend[[#This Row],[Completeness]]</f>
        <v>0</v>
      </c>
      <c r="AU130" s="174">
        <f>Renewables_Heat_Frontend[[#This Row],[Notes]]</f>
        <v>0</v>
      </c>
    </row>
    <row r="131" spans="2:47" x14ac:dyDescent="0.35">
      <c r="B131" s="146"/>
      <c r="E131" s="270"/>
      <c r="F131" s="268"/>
      <c r="G131" s="268"/>
      <c r="H131" s="268"/>
      <c r="I131" s="268"/>
      <c r="J131" s="268"/>
      <c r="K131" s="269"/>
      <c r="L131" s="269"/>
      <c r="M131" s="280">
        <f>Renewables_Heat_Frontend[[#This Row],[kWh consumed by reporting organisation]]+Renewables_Heat_Frontend[[#This Row],[kWh exported to grid]]+Renewables_Heat_Frontend[[#This Row],[kWh exported to other PSB]]</f>
        <v>0</v>
      </c>
      <c r="N131" s="281"/>
      <c r="O131" s="281"/>
      <c r="P131" s="282"/>
      <c r="Q131" s="282"/>
      <c r="R131" s="284"/>
      <c r="S131" s="284"/>
      <c r="T131" s="285"/>
      <c r="U131" s="329"/>
      <c r="V131" s="242">
        <f t="shared" si="6"/>
        <v>10</v>
      </c>
      <c r="Z131" s="212" t="str">
        <f t="shared" si="5"/>
        <v/>
      </c>
      <c r="AA131" s="174"/>
      <c r="AB131" s="174"/>
      <c r="AC131" s="174">
        <f>Renewables_Heat_Frontend[[#This Row],[Renewable Type]]</f>
        <v>0</v>
      </c>
      <c r="AD131" s="174" t="e" cm="1">
        <f t="array" aca="1" ref="AD131" ca="1">_xlfn.XLOOKUP(Renewables_Heat_Backend[[#This Row],[Level 3]],rng_Level3Long,rng_Level4Long)</f>
        <v>#N/A</v>
      </c>
      <c r="AE131" s="174" t="e" cm="1">
        <f t="array" aca="1" ref="AE131" ca="1">_xlfn.XLOOKUP(Renewables_Heat_Backend[[#This Row],[Level 3]],rng_Level3Long,rng_Level5Long)</f>
        <v>#N/A</v>
      </c>
      <c r="AF131" s="174" t="e" cm="1">
        <f t="array" aca="1" ref="AF131" ca="1">_xlfn.XLOOKUP(Renewables_Heat_Backend[[#This Row],[Level 3]],rng_Level3Long,rng_Level6Long)</f>
        <v>#N/A</v>
      </c>
      <c r="AG131" s="174">
        <f>Renewables_Heat_Frontend[[#This Row],[Generating site name]]</f>
        <v>0</v>
      </c>
      <c r="AH131" s="174"/>
      <c r="AI131" s="174">
        <f>Renewables_Heat_Frontend[[#This Row],[Methodology used]]</f>
        <v>0</v>
      </c>
      <c r="AJ131" s="220" t="e" cm="1">
        <f t="array" aca="1" ref="AJ131" ca="1">_xlfn.LET(_xlpm.LookupConcat,_xlfn.CONCAT(Renewables_Heat_Backend[[#This Row],[Level 1]:[Level 6]]), _xlfn.XLOOKUP(_xlpm.LookupConcat,rng_LevelsConcat,_xlfn.SWITCH(Renewables_Heat_Backend[[#This Row],[Methodology]],"Tier 1",rng_RSD1,"Tier 2",rng_RSD2,"Tier 3",rng_RSD3)))</f>
        <v>#N/A</v>
      </c>
      <c r="AK131" s="174">
        <f>Renewables_Heat_Frontend[[#This Row],[Age (years)]]</f>
        <v>0</v>
      </c>
      <c r="AL131" s="218" t="s">
        <v>1848</v>
      </c>
      <c r="AM131" s="174">
        <f>Renewables_Heat_Frontend[[#This Row],[Total MW capacity]]</f>
        <v>0</v>
      </c>
      <c r="AN131" s="220">
        <f>Renewables_Heat_Frontend[[#This Row],[Total kWh generated]]</f>
        <v>0</v>
      </c>
      <c r="AO131" s="412">
        <f>Renewables_Heat_Frontend[[#This Row],[kWh consumed by reporting organisation]]</f>
        <v>0</v>
      </c>
      <c r="AP131" s="412">
        <f>Renewables_Heat_Frontend[[#This Row],[kWh exported to grid]]</f>
        <v>0</v>
      </c>
      <c r="AQ131" s="412">
        <f>Renewables_Heat_Frontend[[#This Row],[kWh exported to other PSB]]</f>
        <v>0</v>
      </c>
      <c r="AR131" s="220">
        <f>Renewables_Heat_Frontend[[#This Row],[Name of other PSB]]</f>
        <v>0</v>
      </c>
      <c r="AS131" s="220">
        <f>Renewables_Heat_Frontend[[#This Row],[Ease of collection]]</f>
        <v>0</v>
      </c>
      <c r="AT131" s="174">
        <f>Renewables_Heat_Frontend[[#This Row],[Completeness]]</f>
        <v>0</v>
      </c>
      <c r="AU131" s="174">
        <f>Renewables_Heat_Frontend[[#This Row],[Notes]]</f>
        <v>0</v>
      </c>
    </row>
    <row r="132" spans="2:47" x14ac:dyDescent="0.35">
      <c r="B132" s="146"/>
      <c r="E132" s="270"/>
      <c r="F132" s="268"/>
      <c r="G132" s="268"/>
      <c r="H132" s="268"/>
      <c r="I132" s="268"/>
      <c r="J132" s="268"/>
      <c r="K132" s="269"/>
      <c r="L132" s="269"/>
      <c r="M132" s="280">
        <f>Renewables_Heat_Frontend[[#This Row],[kWh consumed by reporting organisation]]+Renewables_Heat_Frontend[[#This Row],[kWh exported to grid]]+Renewables_Heat_Frontend[[#This Row],[kWh exported to other PSB]]</f>
        <v>0</v>
      </c>
      <c r="N132" s="281"/>
      <c r="O132" s="281"/>
      <c r="P132" s="282"/>
      <c r="Q132" s="282"/>
      <c r="R132" s="284"/>
      <c r="S132" s="284"/>
      <c r="T132" s="285"/>
      <c r="U132" s="329"/>
      <c r="V132" s="242">
        <f t="shared" si="6"/>
        <v>10</v>
      </c>
      <c r="Z132" s="212" t="str">
        <f t="shared" si="5"/>
        <v/>
      </c>
      <c r="AA132" s="174"/>
      <c r="AB132" s="174"/>
      <c r="AC132" s="174">
        <f>Renewables_Heat_Frontend[[#This Row],[Renewable Type]]</f>
        <v>0</v>
      </c>
      <c r="AD132" s="174" t="e" cm="1">
        <f t="array" aca="1" ref="AD132" ca="1">_xlfn.XLOOKUP(Renewables_Heat_Backend[[#This Row],[Level 3]],rng_Level3Long,rng_Level4Long)</f>
        <v>#N/A</v>
      </c>
      <c r="AE132" s="174" t="e" cm="1">
        <f t="array" aca="1" ref="AE132" ca="1">_xlfn.XLOOKUP(Renewables_Heat_Backend[[#This Row],[Level 3]],rng_Level3Long,rng_Level5Long)</f>
        <v>#N/A</v>
      </c>
      <c r="AF132" s="174" t="e" cm="1">
        <f t="array" aca="1" ref="AF132" ca="1">_xlfn.XLOOKUP(Renewables_Heat_Backend[[#This Row],[Level 3]],rng_Level3Long,rng_Level6Long)</f>
        <v>#N/A</v>
      </c>
      <c r="AG132" s="174">
        <f>Renewables_Heat_Frontend[[#This Row],[Generating site name]]</f>
        <v>0</v>
      </c>
      <c r="AH132" s="174"/>
      <c r="AI132" s="174">
        <f>Renewables_Heat_Frontend[[#This Row],[Methodology used]]</f>
        <v>0</v>
      </c>
      <c r="AJ132" s="220" t="e" cm="1">
        <f t="array" aca="1" ref="AJ132" ca="1">_xlfn.LET(_xlpm.LookupConcat,_xlfn.CONCAT(Renewables_Heat_Backend[[#This Row],[Level 1]:[Level 6]]), _xlfn.XLOOKUP(_xlpm.LookupConcat,rng_LevelsConcat,_xlfn.SWITCH(Renewables_Heat_Backend[[#This Row],[Methodology]],"Tier 1",rng_RSD1,"Tier 2",rng_RSD2,"Tier 3",rng_RSD3)))</f>
        <v>#N/A</v>
      </c>
      <c r="AK132" s="174">
        <f>Renewables_Heat_Frontend[[#This Row],[Age (years)]]</f>
        <v>0</v>
      </c>
      <c r="AL132" s="218" t="s">
        <v>1848</v>
      </c>
      <c r="AM132" s="174">
        <f>Renewables_Heat_Frontend[[#This Row],[Total MW capacity]]</f>
        <v>0</v>
      </c>
      <c r="AN132" s="220">
        <f>Renewables_Heat_Frontend[[#This Row],[Total kWh generated]]</f>
        <v>0</v>
      </c>
      <c r="AO132" s="412">
        <f>Renewables_Heat_Frontend[[#This Row],[kWh consumed by reporting organisation]]</f>
        <v>0</v>
      </c>
      <c r="AP132" s="412">
        <f>Renewables_Heat_Frontend[[#This Row],[kWh exported to grid]]</f>
        <v>0</v>
      </c>
      <c r="AQ132" s="412">
        <f>Renewables_Heat_Frontend[[#This Row],[kWh exported to other PSB]]</f>
        <v>0</v>
      </c>
      <c r="AR132" s="220">
        <f>Renewables_Heat_Frontend[[#This Row],[Name of other PSB]]</f>
        <v>0</v>
      </c>
      <c r="AS132" s="220">
        <f>Renewables_Heat_Frontend[[#This Row],[Ease of collection]]</f>
        <v>0</v>
      </c>
      <c r="AT132" s="174">
        <f>Renewables_Heat_Frontend[[#This Row],[Completeness]]</f>
        <v>0</v>
      </c>
      <c r="AU132" s="174">
        <f>Renewables_Heat_Frontend[[#This Row],[Notes]]</f>
        <v>0</v>
      </c>
    </row>
    <row r="133" spans="2:47" x14ac:dyDescent="0.35">
      <c r="B133" s="146"/>
      <c r="E133" s="270"/>
      <c r="F133" s="268"/>
      <c r="G133" s="268"/>
      <c r="H133" s="268"/>
      <c r="I133" s="268"/>
      <c r="J133" s="268"/>
      <c r="K133" s="269"/>
      <c r="L133" s="269"/>
      <c r="M133" s="280">
        <f>Renewables_Heat_Frontend[[#This Row],[kWh consumed by reporting organisation]]+Renewables_Heat_Frontend[[#This Row],[kWh exported to grid]]+Renewables_Heat_Frontend[[#This Row],[kWh exported to other PSB]]</f>
        <v>0</v>
      </c>
      <c r="N133" s="281"/>
      <c r="O133" s="281"/>
      <c r="P133" s="282"/>
      <c r="Q133" s="282"/>
      <c r="R133" s="284"/>
      <c r="S133" s="284"/>
      <c r="T133" s="285"/>
      <c r="U133" s="329"/>
      <c r="V133" s="242">
        <f t="shared" si="6"/>
        <v>10</v>
      </c>
      <c r="Z133" s="212" t="str">
        <f t="shared" si="5"/>
        <v/>
      </c>
      <c r="AA133" s="174"/>
      <c r="AB133" s="174"/>
      <c r="AC133" s="174">
        <f>Renewables_Heat_Frontend[[#This Row],[Renewable Type]]</f>
        <v>0</v>
      </c>
      <c r="AD133" s="174" t="e" cm="1">
        <f t="array" aca="1" ref="AD133" ca="1">_xlfn.XLOOKUP(Renewables_Heat_Backend[[#This Row],[Level 3]],rng_Level3Long,rng_Level4Long)</f>
        <v>#N/A</v>
      </c>
      <c r="AE133" s="174" t="e" cm="1">
        <f t="array" aca="1" ref="AE133" ca="1">_xlfn.XLOOKUP(Renewables_Heat_Backend[[#This Row],[Level 3]],rng_Level3Long,rng_Level5Long)</f>
        <v>#N/A</v>
      </c>
      <c r="AF133" s="174" t="e" cm="1">
        <f t="array" aca="1" ref="AF133" ca="1">_xlfn.XLOOKUP(Renewables_Heat_Backend[[#This Row],[Level 3]],rng_Level3Long,rng_Level6Long)</f>
        <v>#N/A</v>
      </c>
      <c r="AG133" s="174">
        <f>Renewables_Heat_Frontend[[#This Row],[Generating site name]]</f>
        <v>0</v>
      </c>
      <c r="AH133" s="174"/>
      <c r="AI133" s="174">
        <f>Renewables_Heat_Frontend[[#This Row],[Methodology used]]</f>
        <v>0</v>
      </c>
      <c r="AJ133" s="220" t="e" cm="1">
        <f t="array" aca="1" ref="AJ133" ca="1">_xlfn.LET(_xlpm.LookupConcat,_xlfn.CONCAT(Renewables_Heat_Backend[[#This Row],[Level 1]:[Level 6]]), _xlfn.XLOOKUP(_xlpm.LookupConcat,rng_LevelsConcat,_xlfn.SWITCH(Renewables_Heat_Backend[[#This Row],[Methodology]],"Tier 1",rng_RSD1,"Tier 2",rng_RSD2,"Tier 3",rng_RSD3)))</f>
        <v>#N/A</v>
      </c>
      <c r="AK133" s="174">
        <f>Renewables_Heat_Frontend[[#This Row],[Age (years)]]</f>
        <v>0</v>
      </c>
      <c r="AL133" s="218" t="s">
        <v>1848</v>
      </c>
      <c r="AM133" s="174">
        <f>Renewables_Heat_Frontend[[#This Row],[Total MW capacity]]</f>
        <v>0</v>
      </c>
      <c r="AN133" s="220">
        <f>Renewables_Heat_Frontend[[#This Row],[Total kWh generated]]</f>
        <v>0</v>
      </c>
      <c r="AO133" s="412">
        <f>Renewables_Heat_Frontend[[#This Row],[kWh consumed by reporting organisation]]</f>
        <v>0</v>
      </c>
      <c r="AP133" s="412">
        <f>Renewables_Heat_Frontend[[#This Row],[kWh exported to grid]]</f>
        <v>0</v>
      </c>
      <c r="AQ133" s="412">
        <f>Renewables_Heat_Frontend[[#This Row],[kWh exported to other PSB]]</f>
        <v>0</v>
      </c>
      <c r="AR133" s="220">
        <f>Renewables_Heat_Frontend[[#This Row],[Name of other PSB]]</f>
        <v>0</v>
      </c>
      <c r="AS133" s="220">
        <f>Renewables_Heat_Frontend[[#This Row],[Ease of collection]]</f>
        <v>0</v>
      </c>
      <c r="AT133" s="174">
        <f>Renewables_Heat_Frontend[[#This Row],[Completeness]]</f>
        <v>0</v>
      </c>
      <c r="AU133" s="174">
        <f>Renewables_Heat_Frontend[[#This Row],[Notes]]</f>
        <v>0</v>
      </c>
    </row>
    <row r="134" spans="2:47" x14ac:dyDescent="0.35">
      <c r="B134" s="146"/>
      <c r="E134" s="270"/>
      <c r="F134" s="268"/>
      <c r="G134" s="268"/>
      <c r="H134" s="268"/>
      <c r="I134" s="268"/>
      <c r="J134" s="268"/>
      <c r="K134" s="269"/>
      <c r="L134" s="269"/>
      <c r="M134" s="280">
        <f>Renewables_Heat_Frontend[[#This Row],[kWh consumed by reporting organisation]]+Renewables_Heat_Frontend[[#This Row],[kWh exported to grid]]+Renewables_Heat_Frontend[[#This Row],[kWh exported to other PSB]]</f>
        <v>0</v>
      </c>
      <c r="N134" s="281"/>
      <c r="O134" s="281"/>
      <c r="P134" s="282"/>
      <c r="Q134" s="282"/>
      <c r="R134" s="284"/>
      <c r="S134" s="284"/>
      <c r="T134" s="285"/>
      <c r="U134" s="329"/>
      <c r="V134" s="242">
        <f t="shared" si="6"/>
        <v>10</v>
      </c>
      <c r="Z134" s="212" t="str">
        <f t="shared" si="5"/>
        <v/>
      </c>
      <c r="AA134" s="174"/>
      <c r="AB134" s="174"/>
      <c r="AC134" s="174">
        <f>Renewables_Heat_Frontend[[#This Row],[Renewable Type]]</f>
        <v>0</v>
      </c>
      <c r="AD134" s="174" t="e" cm="1">
        <f t="array" aca="1" ref="AD134" ca="1">_xlfn.XLOOKUP(Renewables_Heat_Backend[[#This Row],[Level 3]],rng_Level3Long,rng_Level4Long)</f>
        <v>#N/A</v>
      </c>
      <c r="AE134" s="174" t="e" cm="1">
        <f t="array" aca="1" ref="AE134" ca="1">_xlfn.XLOOKUP(Renewables_Heat_Backend[[#This Row],[Level 3]],rng_Level3Long,rng_Level5Long)</f>
        <v>#N/A</v>
      </c>
      <c r="AF134" s="174" t="e" cm="1">
        <f t="array" aca="1" ref="AF134" ca="1">_xlfn.XLOOKUP(Renewables_Heat_Backend[[#This Row],[Level 3]],rng_Level3Long,rng_Level6Long)</f>
        <v>#N/A</v>
      </c>
      <c r="AG134" s="174">
        <f>Renewables_Heat_Frontend[[#This Row],[Generating site name]]</f>
        <v>0</v>
      </c>
      <c r="AH134" s="174"/>
      <c r="AI134" s="174">
        <f>Renewables_Heat_Frontend[[#This Row],[Methodology used]]</f>
        <v>0</v>
      </c>
      <c r="AJ134" s="220" t="e" cm="1">
        <f t="array" aca="1" ref="AJ134" ca="1">_xlfn.LET(_xlpm.LookupConcat,_xlfn.CONCAT(Renewables_Heat_Backend[[#This Row],[Level 1]:[Level 6]]), _xlfn.XLOOKUP(_xlpm.LookupConcat,rng_LevelsConcat,_xlfn.SWITCH(Renewables_Heat_Backend[[#This Row],[Methodology]],"Tier 1",rng_RSD1,"Tier 2",rng_RSD2,"Tier 3",rng_RSD3)))</f>
        <v>#N/A</v>
      </c>
      <c r="AK134" s="174">
        <f>Renewables_Heat_Frontend[[#This Row],[Age (years)]]</f>
        <v>0</v>
      </c>
      <c r="AL134" s="218" t="s">
        <v>1848</v>
      </c>
      <c r="AM134" s="174">
        <f>Renewables_Heat_Frontend[[#This Row],[Total MW capacity]]</f>
        <v>0</v>
      </c>
      <c r="AN134" s="220">
        <f>Renewables_Heat_Frontend[[#This Row],[Total kWh generated]]</f>
        <v>0</v>
      </c>
      <c r="AO134" s="412">
        <f>Renewables_Heat_Frontend[[#This Row],[kWh consumed by reporting organisation]]</f>
        <v>0</v>
      </c>
      <c r="AP134" s="412">
        <f>Renewables_Heat_Frontend[[#This Row],[kWh exported to grid]]</f>
        <v>0</v>
      </c>
      <c r="AQ134" s="412">
        <f>Renewables_Heat_Frontend[[#This Row],[kWh exported to other PSB]]</f>
        <v>0</v>
      </c>
      <c r="AR134" s="220">
        <f>Renewables_Heat_Frontend[[#This Row],[Name of other PSB]]</f>
        <v>0</v>
      </c>
      <c r="AS134" s="220">
        <f>Renewables_Heat_Frontend[[#This Row],[Ease of collection]]</f>
        <v>0</v>
      </c>
      <c r="AT134" s="174">
        <f>Renewables_Heat_Frontend[[#This Row],[Completeness]]</f>
        <v>0</v>
      </c>
      <c r="AU134" s="174">
        <f>Renewables_Heat_Frontend[[#This Row],[Notes]]</f>
        <v>0</v>
      </c>
    </row>
    <row r="135" spans="2:47" x14ac:dyDescent="0.35">
      <c r="B135" s="146"/>
      <c r="E135" s="270"/>
      <c r="F135" s="268"/>
      <c r="G135" s="268"/>
      <c r="H135" s="268"/>
      <c r="I135" s="268"/>
      <c r="J135" s="268"/>
      <c r="K135" s="269"/>
      <c r="L135" s="269"/>
      <c r="M135" s="280">
        <f>Renewables_Heat_Frontend[[#This Row],[kWh consumed by reporting organisation]]+Renewables_Heat_Frontend[[#This Row],[kWh exported to grid]]+Renewables_Heat_Frontend[[#This Row],[kWh exported to other PSB]]</f>
        <v>0</v>
      </c>
      <c r="N135" s="281"/>
      <c r="O135" s="281"/>
      <c r="P135" s="282"/>
      <c r="Q135" s="282"/>
      <c r="R135" s="284"/>
      <c r="S135" s="284"/>
      <c r="T135" s="285"/>
      <c r="U135" s="329"/>
      <c r="V135" s="242">
        <f t="shared" si="6"/>
        <v>10</v>
      </c>
      <c r="Z135" s="212" t="str">
        <f t="shared" si="5"/>
        <v/>
      </c>
      <c r="AA135" s="174"/>
      <c r="AB135" s="174"/>
      <c r="AC135" s="174">
        <f>Renewables_Heat_Frontend[[#This Row],[Renewable Type]]</f>
        <v>0</v>
      </c>
      <c r="AD135" s="174" t="e" cm="1">
        <f t="array" aca="1" ref="AD135" ca="1">_xlfn.XLOOKUP(Renewables_Heat_Backend[[#This Row],[Level 3]],rng_Level3Long,rng_Level4Long)</f>
        <v>#N/A</v>
      </c>
      <c r="AE135" s="174" t="e" cm="1">
        <f t="array" aca="1" ref="AE135" ca="1">_xlfn.XLOOKUP(Renewables_Heat_Backend[[#This Row],[Level 3]],rng_Level3Long,rng_Level5Long)</f>
        <v>#N/A</v>
      </c>
      <c r="AF135" s="174" t="e" cm="1">
        <f t="array" aca="1" ref="AF135" ca="1">_xlfn.XLOOKUP(Renewables_Heat_Backend[[#This Row],[Level 3]],rng_Level3Long,rng_Level6Long)</f>
        <v>#N/A</v>
      </c>
      <c r="AG135" s="174">
        <f>Renewables_Heat_Frontend[[#This Row],[Generating site name]]</f>
        <v>0</v>
      </c>
      <c r="AH135" s="174"/>
      <c r="AI135" s="174">
        <f>Renewables_Heat_Frontend[[#This Row],[Methodology used]]</f>
        <v>0</v>
      </c>
      <c r="AJ135" s="220" t="e" cm="1">
        <f t="array" aca="1" ref="AJ135" ca="1">_xlfn.LET(_xlpm.LookupConcat,_xlfn.CONCAT(Renewables_Heat_Backend[[#This Row],[Level 1]:[Level 6]]), _xlfn.XLOOKUP(_xlpm.LookupConcat,rng_LevelsConcat,_xlfn.SWITCH(Renewables_Heat_Backend[[#This Row],[Methodology]],"Tier 1",rng_RSD1,"Tier 2",rng_RSD2,"Tier 3",rng_RSD3)))</f>
        <v>#N/A</v>
      </c>
      <c r="AK135" s="174">
        <f>Renewables_Heat_Frontend[[#This Row],[Age (years)]]</f>
        <v>0</v>
      </c>
      <c r="AL135" s="218" t="s">
        <v>1848</v>
      </c>
      <c r="AM135" s="174">
        <f>Renewables_Heat_Frontend[[#This Row],[Total MW capacity]]</f>
        <v>0</v>
      </c>
      <c r="AN135" s="220">
        <f>Renewables_Heat_Frontend[[#This Row],[Total kWh generated]]</f>
        <v>0</v>
      </c>
      <c r="AO135" s="412">
        <f>Renewables_Heat_Frontend[[#This Row],[kWh consumed by reporting organisation]]</f>
        <v>0</v>
      </c>
      <c r="AP135" s="412">
        <f>Renewables_Heat_Frontend[[#This Row],[kWh exported to grid]]</f>
        <v>0</v>
      </c>
      <c r="AQ135" s="412">
        <f>Renewables_Heat_Frontend[[#This Row],[kWh exported to other PSB]]</f>
        <v>0</v>
      </c>
      <c r="AR135" s="220">
        <f>Renewables_Heat_Frontend[[#This Row],[Name of other PSB]]</f>
        <v>0</v>
      </c>
      <c r="AS135" s="220">
        <f>Renewables_Heat_Frontend[[#This Row],[Ease of collection]]</f>
        <v>0</v>
      </c>
      <c r="AT135" s="174">
        <f>Renewables_Heat_Frontend[[#This Row],[Completeness]]</f>
        <v>0</v>
      </c>
      <c r="AU135" s="174">
        <f>Renewables_Heat_Frontend[[#This Row],[Notes]]</f>
        <v>0</v>
      </c>
    </row>
    <row r="136" spans="2:47" x14ac:dyDescent="0.35">
      <c r="B136" s="146"/>
      <c r="E136" s="270"/>
      <c r="F136" s="268"/>
      <c r="G136" s="268"/>
      <c r="H136" s="268"/>
      <c r="I136" s="268"/>
      <c r="J136" s="268"/>
      <c r="K136" s="269"/>
      <c r="L136" s="269"/>
      <c r="M136" s="280">
        <f>Renewables_Heat_Frontend[[#This Row],[kWh consumed by reporting organisation]]+Renewables_Heat_Frontend[[#This Row],[kWh exported to grid]]+Renewables_Heat_Frontend[[#This Row],[kWh exported to other PSB]]</f>
        <v>0</v>
      </c>
      <c r="N136" s="281"/>
      <c r="O136" s="281"/>
      <c r="P136" s="282"/>
      <c r="Q136" s="282"/>
      <c r="R136" s="284"/>
      <c r="S136" s="284"/>
      <c r="T136" s="285"/>
      <c r="U136" s="329"/>
      <c r="V136" s="242">
        <f t="shared" si="6"/>
        <v>10</v>
      </c>
      <c r="Z136" s="212" t="str">
        <f t="shared" si="5"/>
        <v/>
      </c>
      <c r="AA136" s="174"/>
      <c r="AB136" s="174"/>
      <c r="AC136" s="174">
        <f>Renewables_Heat_Frontend[[#This Row],[Renewable Type]]</f>
        <v>0</v>
      </c>
      <c r="AD136" s="174" t="e" cm="1">
        <f t="array" aca="1" ref="AD136" ca="1">_xlfn.XLOOKUP(Renewables_Heat_Backend[[#This Row],[Level 3]],rng_Level3Long,rng_Level4Long)</f>
        <v>#N/A</v>
      </c>
      <c r="AE136" s="174" t="e" cm="1">
        <f t="array" aca="1" ref="AE136" ca="1">_xlfn.XLOOKUP(Renewables_Heat_Backend[[#This Row],[Level 3]],rng_Level3Long,rng_Level5Long)</f>
        <v>#N/A</v>
      </c>
      <c r="AF136" s="174" t="e" cm="1">
        <f t="array" aca="1" ref="AF136" ca="1">_xlfn.XLOOKUP(Renewables_Heat_Backend[[#This Row],[Level 3]],rng_Level3Long,rng_Level6Long)</f>
        <v>#N/A</v>
      </c>
      <c r="AG136" s="174">
        <f>Renewables_Heat_Frontend[[#This Row],[Generating site name]]</f>
        <v>0</v>
      </c>
      <c r="AH136" s="174"/>
      <c r="AI136" s="174">
        <f>Renewables_Heat_Frontend[[#This Row],[Methodology used]]</f>
        <v>0</v>
      </c>
      <c r="AJ136" s="220" t="e" cm="1">
        <f t="array" aca="1" ref="AJ136" ca="1">_xlfn.LET(_xlpm.LookupConcat,_xlfn.CONCAT(Renewables_Heat_Backend[[#This Row],[Level 1]:[Level 6]]), _xlfn.XLOOKUP(_xlpm.LookupConcat,rng_LevelsConcat,_xlfn.SWITCH(Renewables_Heat_Backend[[#This Row],[Methodology]],"Tier 1",rng_RSD1,"Tier 2",rng_RSD2,"Tier 3",rng_RSD3)))</f>
        <v>#N/A</v>
      </c>
      <c r="AK136" s="174">
        <f>Renewables_Heat_Frontend[[#This Row],[Age (years)]]</f>
        <v>0</v>
      </c>
      <c r="AL136" s="218" t="s">
        <v>1848</v>
      </c>
      <c r="AM136" s="174">
        <f>Renewables_Heat_Frontend[[#This Row],[Total MW capacity]]</f>
        <v>0</v>
      </c>
      <c r="AN136" s="220">
        <f>Renewables_Heat_Frontend[[#This Row],[Total kWh generated]]</f>
        <v>0</v>
      </c>
      <c r="AO136" s="412">
        <f>Renewables_Heat_Frontend[[#This Row],[kWh consumed by reporting organisation]]</f>
        <v>0</v>
      </c>
      <c r="AP136" s="412">
        <f>Renewables_Heat_Frontend[[#This Row],[kWh exported to grid]]</f>
        <v>0</v>
      </c>
      <c r="AQ136" s="412">
        <f>Renewables_Heat_Frontend[[#This Row],[kWh exported to other PSB]]</f>
        <v>0</v>
      </c>
      <c r="AR136" s="220">
        <f>Renewables_Heat_Frontend[[#This Row],[Name of other PSB]]</f>
        <v>0</v>
      </c>
      <c r="AS136" s="220">
        <f>Renewables_Heat_Frontend[[#This Row],[Ease of collection]]</f>
        <v>0</v>
      </c>
      <c r="AT136" s="174">
        <f>Renewables_Heat_Frontend[[#This Row],[Completeness]]</f>
        <v>0</v>
      </c>
      <c r="AU136" s="174">
        <f>Renewables_Heat_Frontend[[#This Row],[Notes]]</f>
        <v>0</v>
      </c>
    </row>
    <row r="137" spans="2:47" x14ac:dyDescent="0.35">
      <c r="B137" s="146"/>
      <c r="E137" s="270"/>
      <c r="F137" s="268"/>
      <c r="G137" s="268"/>
      <c r="H137" s="268"/>
      <c r="I137" s="268"/>
      <c r="J137" s="268"/>
      <c r="K137" s="269"/>
      <c r="L137" s="269"/>
      <c r="M137" s="280">
        <f>Renewables_Heat_Frontend[[#This Row],[kWh consumed by reporting organisation]]+Renewables_Heat_Frontend[[#This Row],[kWh exported to grid]]+Renewables_Heat_Frontend[[#This Row],[kWh exported to other PSB]]</f>
        <v>0</v>
      </c>
      <c r="N137" s="281"/>
      <c r="O137" s="281"/>
      <c r="P137" s="282"/>
      <c r="Q137" s="282"/>
      <c r="R137" s="284"/>
      <c r="S137" s="284"/>
      <c r="T137" s="285"/>
      <c r="U137" s="329"/>
      <c r="V137" s="242">
        <f t="shared" si="6"/>
        <v>10</v>
      </c>
      <c r="Z137" s="212" t="str">
        <f t="shared" si="5"/>
        <v/>
      </c>
      <c r="AA137" s="174"/>
      <c r="AB137" s="174"/>
      <c r="AC137" s="174">
        <f>Renewables_Heat_Frontend[[#This Row],[Renewable Type]]</f>
        <v>0</v>
      </c>
      <c r="AD137" s="174" t="e" cm="1">
        <f t="array" aca="1" ref="AD137" ca="1">_xlfn.XLOOKUP(Renewables_Heat_Backend[[#This Row],[Level 3]],rng_Level3Long,rng_Level4Long)</f>
        <v>#N/A</v>
      </c>
      <c r="AE137" s="174" t="e" cm="1">
        <f t="array" aca="1" ref="AE137" ca="1">_xlfn.XLOOKUP(Renewables_Heat_Backend[[#This Row],[Level 3]],rng_Level3Long,rng_Level5Long)</f>
        <v>#N/A</v>
      </c>
      <c r="AF137" s="174" t="e" cm="1">
        <f t="array" aca="1" ref="AF137" ca="1">_xlfn.XLOOKUP(Renewables_Heat_Backend[[#This Row],[Level 3]],rng_Level3Long,rng_Level6Long)</f>
        <v>#N/A</v>
      </c>
      <c r="AG137" s="174">
        <f>Renewables_Heat_Frontend[[#This Row],[Generating site name]]</f>
        <v>0</v>
      </c>
      <c r="AH137" s="174"/>
      <c r="AI137" s="174">
        <f>Renewables_Heat_Frontend[[#This Row],[Methodology used]]</f>
        <v>0</v>
      </c>
      <c r="AJ137" s="220" t="e" cm="1">
        <f t="array" aca="1" ref="AJ137" ca="1">_xlfn.LET(_xlpm.LookupConcat,_xlfn.CONCAT(Renewables_Heat_Backend[[#This Row],[Level 1]:[Level 6]]), _xlfn.XLOOKUP(_xlpm.LookupConcat,rng_LevelsConcat,_xlfn.SWITCH(Renewables_Heat_Backend[[#This Row],[Methodology]],"Tier 1",rng_RSD1,"Tier 2",rng_RSD2,"Tier 3",rng_RSD3)))</f>
        <v>#N/A</v>
      </c>
      <c r="AK137" s="174">
        <f>Renewables_Heat_Frontend[[#This Row],[Age (years)]]</f>
        <v>0</v>
      </c>
      <c r="AL137" s="218" t="s">
        <v>1848</v>
      </c>
      <c r="AM137" s="174">
        <f>Renewables_Heat_Frontend[[#This Row],[Total MW capacity]]</f>
        <v>0</v>
      </c>
      <c r="AN137" s="220">
        <f>Renewables_Heat_Frontend[[#This Row],[Total kWh generated]]</f>
        <v>0</v>
      </c>
      <c r="AO137" s="412">
        <f>Renewables_Heat_Frontend[[#This Row],[kWh consumed by reporting organisation]]</f>
        <v>0</v>
      </c>
      <c r="AP137" s="412">
        <f>Renewables_Heat_Frontend[[#This Row],[kWh exported to grid]]</f>
        <v>0</v>
      </c>
      <c r="AQ137" s="412">
        <f>Renewables_Heat_Frontend[[#This Row],[kWh exported to other PSB]]</f>
        <v>0</v>
      </c>
      <c r="AR137" s="220">
        <f>Renewables_Heat_Frontend[[#This Row],[Name of other PSB]]</f>
        <v>0</v>
      </c>
      <c r="AS137" s="220">
        <f>Renewables_Heat_Frontend[[#This Row],[Ease of collection]]</f>
        <v>0</v>
      </c>
      <c r="AT137" s="174">
        <f>Renewables_Heat_Frontend[[#This Row],[Completeness]]</f>
        <v>0</v>
      </c>
      <c r="AU137" s="174">
        <f>Renewables_Heat_Frontend[[#This Row],[Notes]]</f>
        <v>0</v>
      </c>
    </row>
    <row r="138" spans="2:47" x14ac:dyDescent="0.35">
      <c r="B138" s="146"/>
      <c r="E138" s="270"/>
      <c r="F138" s="268"/>
      <c r="G138" s="268"/>
      <c r="H138" s="268"/>
      <c r="I138" s="268"/>
      <c r="J138" s="268"/>
      <c r="K138" s="269"/>
      <c r="L138" s="269"/>
      <c r="M138" s="280">
        <f>Renewables_Heat_Frontend[[#This Row],[kWh consumed by reporting organisation]]+Renewables_Heat_Frontend[[#This Row],[kWh exported to grid]]+Renewables_Heat_Frontend[[#This Row],[kWh exported to other PSB]]</f>
        <v>0</v>
      </c>
      <c r="N138" s="281"/>
      <c r="O138" s="281"/>
      <c r="P138" s="282"/>
      <c r="Q138" s="282"/>
      <c r="R138" s="284"/>
      <c r="S138" s="284"/>
      <c r="T138" s="285"/>
      <c r="U138" s="329"/>
      <c r="V138" s="242">
        <f t="shared" si="6"/>
        <v>10</v>
      </c>
      <c r="Z138" s="212" t="str">
        <f t="shared" si="5"/>
        <v/>
      </c>
      <c r="AA138" s="174"/>
      <c r="AB138" s="174"/>
      <c r="AC138" s="174">
        <f>Renewables_Heat_Frontend[[#This Row],[Renewable Type]]</f>
        <v>0</v>
      </c>
      <c r="AD138" s="174" t="e" cm="1">
        <f t="array" aca="1" ref="AD138" ca="1">_xlfn.XLOOKUP(Renewables_Heat_Backend[[#This Row],[Level 3]],rng_Level3Long,rng_Level4Long)</f>
        <v>#N/A</v>
      </c>
      <c r="AE138" s="174" t="e" cm="1">
        <f t="array" aca="1" ref="AE138" ca="1">_xlfn.XLOOKUP(Renewables_Heat_Backend[[#This Row],[Level 3]],rng_Level3Long,rng_Level5Long)</f>
        <v>#N/A</v>
      </c>
      <c r="AF138" s="174" t="e" cm="1">
        <f t="array" aca="1" ref="AF138" ca="1">_xlfn.XLOOKUP(Renewables_Heat_Backend[[#This Row],[Level 3]],rng_Level3Long,rng_Level6Long)</f>
        <v>#N/A</v>
      </c>
      <c r="AG138" s="174">
        <f>Renewables_Heat_Frontend[[#This Row],[Generating site name]]</f>
        <v>0</v>
      </c>
      <c r="AH138" s="174"/>
      <c r="AI138" s="174">
        <f>Renewables_Heat_Frontend[[#This Row],[Methodology used]]</f>
        <v>0</v>
      </c>
      <c r="AJ138" s="220" t="e" cm="1">
        <f t="array" aca="1" ref="AJ138" ca="1">_xlfn.LET(_xlpm.LookupConcat,_xlfn.CONCAT(Renewables_Heat_Backend[[#This Row],[Level 1]:[Level 6]]), _xlfn.XLOOKUP(_xlpm.LookupConcat,rng_LevelsConcat,_xlfn.SWITCH(Renewables_Heat_Backend[[#This Row],[Methodology]],"Tier 1",rng_RSD1,"Tier 2",rng_RSD2,"Tier 3",rng_RSD3)))</f>
        <v>#N/A</v>
      </c>
      <c r="AK138" s="174">
        <f>Renewables_Heat_Frontend[[#This Row],[Age (years)]]</f>
        <v>0</v>
      </c>
      <c r="AL138" s="218" t="s">
        <v>1848</v>
      </c>
      <c r="AM138" s="174">
        <f>Renewables_Heat_Frontend[[#This Row],[Total MW capacity]]</f>
        <v>0</v>
      </c>
      <c r="AN138" s="220">
        <f>Renewables_Heat_Frontend[[#This Row],[Total kWh generated]]</f>
        <v>0</v>
      </c>
      <c r="AO138" s="412">
        <f>Renewables_Heat_Frontend[[#This Row],[kWh consumed by reporting organisation]]</f>
        <v>0</v>
      </c>
      <c r="AP138" s="412">
        <f>Renewables_Heat_Frontend[[#This Row],[kWh exported to grid]]</f>
        <v>0</v>
      </c>
      <c r="AQ138" s="412">
        <f>Renewables_Heat_Frontend[[#This Row],[kWh exported to other PSB]]</f>
        <v>0</v>
      </c>
      <c r="AR138" s="220">
        <f>Renewables_Heat_Frontend[[#This Row],[Name of other PSB]]</f>
        <v>0</v>
      </c>
      <c r="AS138" s="220">
        <f>Renewables_Heat_Frontend[[#This Row],[Ease of collection]]</f>
        <v>0</v>
      </c>
      <c r="AT138" s="174">
        <f>Renewables_Heat_Frontend[[#This Row],[Completeness]]</f>
        <v>0</v>
      </c>
      <c r="AU138" s="174">
        <f>Renewables_Heat_Frontend[[#This Row],[Notes]]</f>
        <v>0</v>
      </c>
    </row>
    <row r="139" spans="2:47" x14ac:dyDescent="0.35">
      <c r="B139" s="146"/>
      <c r="E139" s="270"/>
      <c r="F139" s="268"/>
      <c r="G139" s="268"/>
      <c r="H139" s="268"/>
      <c r="I139" s="268"/>
      <c r="J139" s="268"/>
      <c r="K139" s="269"/>
      <c r="L139" s="269"/>
      <c r="M139" s="280">
        <f>Renewables_Heat_Frontend[[#This Row],[kWh consumed by reporting organisation]]+Renewables_Heat_Frontend[[#This Row],[kWh exported to grid]]+Renewables_Heat_Frontend[[#This Row],[kWh exported to other PSB]]</f>
        <v>0</v>
      </c>
      <c r="N139" s="281"/>
      <c r="O139" s="281"/>
      <c r="P139" s="282"/>
      <c r="Q139" s="282"/>
      <c r="R139" s="284"/>
      <c r="S139" s="284"/>
      <c r="T139" s="285"/>
      <c r="U139" s="329"/>
      <c r="V139" s="242">
        <f t="shared" si="6"/>
        <v>10</v>
      </c>
      <c r="Z139" s="212" t="str">
        <f t="shared" si="5"/>
        <v/>
      </c>
      <c r="AA139" s="174"/>
      <c r="AB139" s="174"/>
      <c r="AC139" s="174">
        <f>Renewables_Heat_Frontend[[#This Row],[Renewable Type]]</f>
        <v>0</v>
      </c>
      <c r="AD139" s="174" t="e" cm="1">
        <f t="array" aca="1" ref="AD139" ca="1">_xlfn.XLOOKUP(Renewables_Heat_Backend[[#This Row],[Level 3]],rng_Level3Long,rng_Level4Long)</f>
        <v>#N/A</v>
      </c>
      <c r="AE139" s="174" t="e" cm="1">
        <f t="array" aca="1" ref="AE139" ca="1">_xlfn.XLOOKUP(Renewables_Heat_Backend[[#This Row],[Level 3]],rng_Level3Long,rng_Level5Long)</f>
        <v>#N/A</v>
      </c>
      <c r="AF139" s="174" t="e" cm="1">
        <f t="array" aca="1" ref="AF139" ca="1">_xlfn.XLOOKUP(Renewables_Heat_Backend[[#This Row],[Level 3]],rng_Level3Long,rng_Level6Long)</f>
        <v>#N/A</v>
      </c>
      <c r="AG139" s="174">
        <f>Renewables_Heat_Frontend[[#This Row],[Generating site name]]</f>
        <v>0</v>
      </c>
      <c r="AH139" s="174"/>
      <c r="AI139" s="174">
        <f>Renewables_Heat_Frontend[[#This Row],[Methodology used]]</f>
        <v>0</v>
      </c>
      <c r="AJ139" s="220" t="e" cm="1">
        <f t="array" aca="1" ref="AJ139" ca="1">_xlfn.LET(_xlpm.LookupConcat,_xlfn.CONCAT(Renewables_Heat_Backend[[#This Row],[Level 1]:[Level 6]]), _xlfn.XLOOKUP(_xlpm.LookupConcat,rng_LevelsConcat,_xlfn.SWITCH(Renewables_Heat_Backend[[#This Row],[Methodology]],"Tier 1",rng_RSD1,"Tier 2",rng_RSD2,"Tier 3",rng_RSD3)))</f>
        <v>#N/A</v>
      </c>
      <c r="AK139" s="174">
        <f>Renewables_Heat_Frontend[[#This Row],[Age (years)]]</f>
        <v>0</v>
      </c>
      <c r="AL139" s="218" t="s">
        <v>1848</v>
      </c>
      <c r="AM139" s="174">
        <f>Renewables_Heat_Frontend[[#This Row],[Total MW capacity]]</f>
        <v>0</v>
      </c>
      <c r="AN139" s="220">
        <f>Renewables_Heat_Frontend[[#This Row],[Total kWh generated]]</f>
        <v>0</v>
      </c>
      <c r="AO139" s="412">
        <f>Renewables_Heat_Frontend[[#This Row],[kWh consumed by reporting organisation]]</f>
        <v>0</v>
      </c>
      <c r="AP139" s="412">
        <f>Renewables_Heat_Frontend[[#This Row],[kWh exported to grid]]</f>
        <v>0</v>
      </c>
      <c r="AQ139" s="412">
        <f>Renewables_Heat_Frontend[[#This Row],[kWh exported to other PSB]]</f>
        <v>0</v>
      </c>
      <c r="AR139" s="220">
        <f>Renewables_Heat_Frontend[[#This Row],[Name of other PSB]]</f>
        <v>0</v>
      </c>
      <c r="AS139" s="220">
        <f>Renewables_Heat_Frontend[[#This Row],[Ease of collection]]</f>
        <v>0</v>
      </c>
      <c r="AT139" s="174">
        <f>Renewables_Heat_Frontend[[#This Row],[Completeness]]</f>
        <v>0</v>
      </c>
      <c r="AU139" s="174">
        <f>Renewables_Heat_Frontend[[#This Row],[Notes]]</f>
        <v>0</v>
      </c>
    </row>
    <row r="140" spans="2:47" x14ac:dyDescent="0.35">
      <c r="B140" s="146"/>
      <c r="E140" s="270"/>
      <c r="F140" s="268"/>
      <c r="G140" s="268"/>
      <c r="H140" s="268"/>
      <c r="I140" s="268"/>
      <c r="J140" s="268"/>
      <c r="K140" s="269"/>
      <c r="L140" s="269"/>
      <c r="M140" s="280">
        <f>Renewables_Heat_Frontend[[#This Row],[kWh consumed by reporting organisation]]+Renewables_Heat_Frontend[[#This Row],[kWh exported to grid]]+Renewables_Heat_Frontend[[#This Row],[kWh exported to other PSB]]</f>
        <v>0</v>
      </c>
      <c r="N140" s="281"/>
      <c r="O140" s="281"/>
      <c r="P140" s="282"/>
      <c r="Q140" s="282"/>
      <c r="R140" s="284"/>
      <c r="S140" s="284"/>
      <c r="T140" s="285"/>
      <c r="U140" s="329"/>
      <c r="V140" s="242">
        <f t="shared" si="6"/>
        <v>10</v>
      </c>
      <c r="Z140" s="212" t="str">
        <f t="shared" si="5"/>
        <v/>
      </c>
      <c r="AA140" s="174"/>
      <c r="AB140" s="174"/>
      <c r="AC140" s="174">
        <f>Renewables_Heat_Frontend[[#This Row],[Renewable Type]]</f>
        <v>0</v>
      </c>
      <c r="AD140" s="174" t="e" cm="1">
        <f t="array" aca="1" ref="AD140" ca="1">_xlfn.XLOOKUP(Renewables_Heat_Backend[[#This Row],[Level 3]],rng_Level3Long,rng_Level4Long)</f>
        <v>#N/A</v>
      </c>
      <c r="AE140" s="174" t="e" cm="1">
        <f t="array" aca="1" ref="AE140" ca="1">_xlfn.XLOOKUP(Renewables_Heat_Backend[[#This Row],[Level 3]],rng_Level3Long,rng_Level5Long)</f>
        <v>#N/A</v>
      </c>
      <c r="AF140" s="174" t="e" cm="1">
        <f t="array" aca="1" ref="AF140" ca="1">_xlfn.XLOOKUP(Renewables_Heat_Backend[[#This Row],[Level 3]],rng_Level3Long,rng_Level6Long)</f>
        <v>#N/A</v>
      </c>
      <c r="AG140" s="174">
        <f>Renewables_Heat_Frontend[[#This Row],[Generating site name]]</f>
        <v>0</v>
      </c>
      <c r="AH140" s="174"/>
      <c r="AI140" s="174">
        <f>Renewables_Heat_Frontend[[#This Row],[Methodology used]]</f>
        <v>0</v>
      </c>
      <c r="AJ140" s="220" t="e" cm="1">
        <f t="array" aca="1" ref="AJ140" ca="1">_xlfn.LET(_xlpm.LookupConcat,_xlfn.CONCAT(Renewables_Heat_Backend[[#This Row],[Level 1]:[Level 6]]), _xlfn.XLOOKUP(_xlpm.LookupConcat,rng_LevelsConcat,_xlfn.SWITCH(Renewables_Heat_Backend[[#This Row],[Methodology]],"Tier 1",rng_RSD1,"Tier 2",rng_RSD2,"Tier 3",rng_RSD3)))</f>
        <v>#N/A</v>
      </c>
      <c r="AK140" s="174">
        <f>Renewables_Heat_Frontend[[#This Row],[Age (years)]]</f>
        <v>0</v>
      </c>
      <c r="AL140" s="218" t="s">
        <v>1848</v>
      </c>
      <c r="AM140" s="174">
        <f>Renewables_Heat_Frontend[[#This Row],[Total MW capacity]]</f>
        <v>0</v>
      </c>
      <c r="AN140" s="220">
        <f>Renewables_Heat_Frontend[[#This Row],[Total kWh generated]]</f>
        <v>0</v>
      </c>
      <c r="AO140" s="412">
        <f>Renewables_Heat_Frontend[[#This Row],[kWh consumed by reporting organisation]]</f>
        <v>0</v>
      </c>
      <c r="AP140" s="412">
        <f>Renewables_Heat_Frontend[[#This Row],[kWh exported to grid]]</f>
        <v>0</v>
      </c>
      <c r="AQ140" s="412">
        <f>Renewables_Heat_Frontend[[#This Row],[kWh exported to other PSB]]</f>
        <v>0</v>
      </c>
      <c r="AR140" s="220">
        <f>Renewables_Heat_Frontend[[#This Row],[Name of other PSB]]</f>
        <v>0</v>
      </c>
      <c r="AS140" s="220">
        <f>Renewables_Heat_Frontend[[#This Row],[Ease of collection]]</f>
        <v>0</v>
      </c>
      <c r="AT140" s="174">
        <f>Renewables_Heat_Frontend[[#This Row],[Completeness]]</f>
        <v>0</v>
      </c>
      <c r="AU140" s="174">
        <f>Renewables_Heat_Frontend[[#This Row],[Notes]]</f>
        <v>0</v>
      </c>
    </row>
    <row r="141" spans="2:47" x14ac:dyDescent="0.35">
      <c r="B141" s="146"/>
      <c r="E141" s="270"/>
      <c r="F141" s="268"/>
      <c r="G141" s="268"/>
      <c r="H141" s="268"/>
      <c r="I141" s="268"/>
      <c r="J141" s="268"/>
      <c r="K141" s="269"/>
      <c r="L141" s="269"/>
      <c r="M141" s="280">
        <f>Renewables_Heat_Frontend[[#This Row],[kWh consumed by reporting organisation]]+Renewables_Heat_Frontend[[#This Row],[kWh exported to grid]]+Renewables_Heat_Frontend[[#This Row],[kWh exported to other PSB]]</f>
        <v>0</v>
      </c>
      <c r="N141" s="281"/>
      <c r="O141" s="281"/>
      <c r="P141" s="282"/>
      <c r="Q141" s="282"/>
      <c r="R141" s="284"/>
      <c r="S141" s="284"/>
      <c r="T141" s="285"/>
      <c r="U141" s="329"/>
      <c r="V141" s="242">
        <f t="shared" si="6"/>
        <v>10</v>
      </c>
      <c r="Z141" s="212" t="str">
        <f t="shared" si="5"/>
        <v/>
      </c>
      <c r="AA141" s="173"/>
      <c r="AB141" s="173"/>
      <c r="AC141" s="173">
        <f>Renewables_Heat_Frontend[[#This Row],[Renewable Type]]</f>
        <v>0</v>
      </c>
      <c r="AD141" s="173" t="e" cm="1">
        <f t="array" aca="1" ref="AD141" ca="1">_xlfn.XLOOKUP(Renewables_Heat_Backend[[#This Row],[Level 3]],rng_Level3Long,rng_Level4Long)</f>
        <v>#N/A</v>
      </c>
      <c r="AE141" s="173" t="e" cm="1">
        <f t="array" aca="1" ref="AE141" ca="1">_xlfn.XLOOKUP(Renewables_Heat_Backend[[#This Row],[Level 3]],rng_Level3Long,rng_Level5Long)</f>
        <v>#N/A</v>
      </c>
      <c r="AF141" s="173" t="e" cm="1">
        <f t="array" aca="1" ref="AF141" ca="1">_xlfn.XLOOKUP(Renewables_Heat_Backend[[#This Row],[Level 3]],rng_Level3Long,rng_Level6Long)</f>
        <v>#N/A</v>
      </c>
      <c r="AG141" s="174">
        <f>Renewables_Heat_Frontend[[#This Row],[Generating site name]]</f>
        <v>0</v>
      </c>
      <c r="AH141" s="174"/>
      <c r="AI141" s="174">
        <f>Renewables_Heat_Frontend[[#This Row],[Methodology used]]</f>
        <v>0</v>
      </c>
      <c r="AJ141" s="220" t="e" cm="1">
        <f t="array" aca="1" ref="AJ141" ca="1">_xlfn.LET(_xlpm.LookupConcat,_xlfn.CONCAT(Renewables_Heat_Backend[[#This Row],[Level 1]:[Level 6]]), _xlfn.XLOOKUP(_xlpm.LookupConcat,rng_LevelsConcat,_xlfn.SWITCH(Renewables_Heat_Backend[[#This Row],[Methodology]],"Tier 1",rng_RSD1,"Tier 2",rng_RSD2,"Tier 3",rng_RSD3)))</f>
        <v>#N/A</v>
      </c>
      <c r="AK141" s="174">
        <f>Renewables_Heat_Frontend[[#This Row],[Age (years)]]</f>
        <v>0</v>
      </c>
      <c r="AL141" s="218" t="s">
        <v>1848</v>
      </c>
      <c r="AM141" s="174">
        <f>Renewables_Heat_Frontend[[#This Row],[Total MW capacity]]</f>
        <v>0</v>
      </c>
      <c r="AN141" s="220">
        <f>Renewables_Heat_Frontend[[#This Row],[Total kWh generated]]</f>
        <v>0</v>
      </c>
      <c r="AO141" s="412">
        <f>Renewables_Heat_Frontend[[#This Row],[kWh consumed by reporting organisation]]</f>
        <v>0</v>
      </c>
      <c r="AP141" s="412">
        <f>Renewables_Heat_Frontend[[#This Row],[kWh exported to grid]]</f>
        <v>0</v>
      </c>
      <c r="AQ141" s="412">
        <f>Renewables_Heat_Frontend[[#This Row],[kWh exported to other PSB]]</f>
        <v>0</v>
      </c>
      <c r="AR141" s="220">
        <f>Renewables_Heat_Frontend[[#This Row],[Name of other PSB]]</f>
        <v>0</v>
      </c>
      <c r="AS141" s="220">
        <f>Renewables_Heat_Frontend[[#This Row],[Ease of collection]]</f>
        <v>0</v>
      </c>
      <c r="AT141" s="174">
        <f>Renewables_Heat_Frontend[[#This Row],[Completeness]]</f>
        <v>0</v>
      </c>
      <c r="AU141" s="174">
        <f>Renewables_Heat_Frontend[[#This Row],[Notes]]</f>
        <v>0</v>
      </c>
    </row>
    <row r="142" spans="2:47" x14ac:dyDescent="0.35">
      <c r="B142" s="146"/>
      <c r="E142" s="270"/>
      <c r="F142" s="268"/>
      <c r="G142" s="268"/>
      <c r="H142" s="268"/>
      <c r="I142" s="268"/>
      <c r="J142" s="268"/>
      <c r="K142" s="269"/>
      <c r="L142" s="269"/>
      <c r="M142" s="280">
        <f>Renewables_Heat_Frontend[[#This Row],[kWh consumed by reporting organisation]]+Renewables_Heat_Frontend[[#This Row],[kWh exported to grid]]+Renewables_Heat_Frontend[[#This Row],[kWh exported to other PSB]]</f>
        <v>0</v>
      </c>
      <c r="N142" s="281"/>
      <c r="O142" s="281"/>
      <c r="P142" s="282"/>
      <c r="Q142" s="282"/>
      <c r="R142" s="284"/>
      <c r="S142" s="284"/>
      <c r="T142" s="285"/>
      <c r="U142" s="329"/>
      <c r="V142" s="242">
        <f t="shared" si="6"/>
        <v>10</v>
      </c>
      <c r="Z142" s="212" t="str">
        <f t="shared" si="5"/>
        <v/>
      </c>
      <c r="AA142" s="174"/>
      <c r="AB142" s="174"/>
      <c r="AC142" s="174">
        <f>Renewables_Heat_Frontend[[#This Row],[Renewable Type]]</f>
        <v>0</v>
      </c>
      <c r="AD142" s="174" t="e" cm="1">
        <f t="array" aca="1" ref="AD142" ca="1">_xlfn.XLOOKUP(Renewables_Heat_Backend[[#This Row],[Level 3]],rng_Level3Long,rng_Level4Long)</f>
        <v>#N/A</v>
      </c>
      <c r="AE142" s="174" t="e" cm="1">
        <f t="array" aca="1" ref="AE142" ca="1">_xlfn.XLOOKUP(Renewables_Heat_Backend[[#This Row],[Level 3]],rng_Level3Long,rng_Level5Long)</f>
        <v>#N/A</v>
      </c>
      <c r="AF142" s="174" t="e" cm="1">
        <f t="array" aca="1" ref="AF142" ca="1">_xlfn.XLOOKUP(Renewables_Heat_Backend[[#This Row],[Level 3]],rng_Level3Long,rng_Level6Long)</f>
        <v>#N/A</v>
      </c>
      <c r="AG142" s="174">
        <f>Renewables_Heat_Frontend[[#This Row],[Generating site name]]</f>
        <v>0</v>
      </c>
      <c r="AH142" s="174"/>
      <c r="AI142" s="174">
        <f>Renewables_Heat_Frontend[[#This Row],[Methodology used]]</f>
        <v>0</v>
      </c>
      <c r="AJ142" s="220" t="e" cm="1">
        <f t="array" aca="1" ref="AJ142" ca="1">_xlfn.LET(_xlpm.LookupConcat,_xlfn.CONCAT(Renewables_Heat_Backend[[#This Row],[Level 1]:[Level 6]]), _xlfn.XLOOKUP(_xlpm.LookupConcat,rng_LevelsConcat,_xlfn.SWITCH(Renewables_Heat_Backend[[#This Row],[Methodology]],"Tier 1",rng_RSD1,"Tier 2",rng_RSD2,"Tier 3",rng_RSD3)))</f>
        <v>#N/A</v>
      </c>
      <c r="AK142" s="174">
        <f>Renewables_Heat_Frontend[[#This Row],[Age (years)]]</f>
        <v>0</v>
      </c>
      <c r="AL142" s="218" t="s">
        <v>1848</v>
      </c>
      <c r="AM142" s="174">
        <f>Renewables_Heat_Frontend[[#This Row],[Total MW capacity]]</f>
        <v>0</v>
      </c>
      <c r="AN142" s="220">
        <f>Renewables_Heat_Frontend[[#This Row],[Total kWh generated]]</f>
        <v>0</v>
      </c>
      <c r="AO142" s="412">
        <f>Renewables_Heat_Frontend[[#This Row],[kWh consumed by reporting organisation]]</f>
        <v>0</v>
      </c>
      <c r="AP142" s="412">
        <f>Renewables_Heat_Frontend[[#This Row],[kWh exported to grid]]</f>
        <v>0</v>
      </c>
      <c r="AQ142" s="412">
        <f>Renewables_Heat_Frontend[[#This Row],[kWh exported to other PSB]]</f>
        <v>0</v>
      </c>
      <c r="AR142" s="220">
        <f>Renewables_Heat_Frontend[[#This Row],[Name of other PSB]]</f>
        <v>0</v>
      </c>
      <c r="AS142" s="220">
        <f>Renewables_Heat_Frontend[[#This Row],[Ease of collection]]</f>
        <v>0</v>
      </c>
      <c r="AT142" s="174">
        <f>Renewables_Heat_Frontend[[#This Row],[Completeness]]</f>
        <v>0</v>
      </c>
      <c r="AU142" s="174">
        <f>Renewables_Heat_Frontend[[#This Row],[Notes]]</f>
        <v>0</v>
      </c>
    </row>
    <row r="143" spans="2:47" x14ac:dyDescent="0.35">
      <c r="B143" s="146"/>
      <c r="E143" s="270"/>
      <c r="F143" s="268"/>
      <c r="G143" s="268"/>
      <c r="H143" s="268"/>
      <c r="I143" s="268"/>
      <c r="J143" s="268"/>
      <c r="K143" s="269"/>
      <c r="L143" s="269"/>
      <c r="M143" s="280">
        <f>Renewables_Heat_Frontend[[#This Row],[kWh consumed by reporting organisation]]+Renewables_Heat_Frontend[[#This Row],[kWh exported to grid]]+Renewables_Heat_Frontend[[#This Row],[kWh exported to other PSB]]</f>
        <v>0</v>
      </c>
      <c r="N143" s="281"/>
      <c r="O143" s="281"/>
      <c r="P143" s="282"/>
      <c r="Q143" s="282"/>
      <c r="R143" s="284"/>
      <c r="S143" s="284"/>
      <c r="T143" s="285"/>
      <c r="U143" s="329"/>
      <c r="V143" s="242">
        <f t="shared" si="6"/>
        <v>10</v>
      </c>
      <c r="Z143" s="212" t="str">
        <f t="shared" si="5"/>
        <v/>
      </c>
      <c r="AA143" s="174"/>
      <c r="AB143" s="174"/>
      <c r="AC143" s="174">
        <f>Renewables_Heat_Frontend[[#This Row],[Renewable Type]]</f>
        <v>0</v>
      </c>
      <c r="AD143" s="174" t="e" cm="1">
        <f t="array" aca="1" ref="AD143" ca="1">_xlfn.XLOOKUP(Renewables_Heat_Backend[[#This Row],[Level 3]],rng_Level3Long,rng_Level4Long)</f>
        <v>#N/A</v>
      </c>
      <c r="AE143" s="174" t="e" cm="1">
        <f t="array" aca="1" ref="AE143" ca="1">_xlfn.XLOOKUP(Renewables_Heat_Backend[[#This Row],[Level 3]],rng_Level3Long,rng_Level5Long)</f>
        <v>#N/A</v>
      </c>
      <c r="AF143" s="174" t="e" cm="1">
        <f t="array" aca="1" ref="AF143" ca="1">_xlfn.XLOOKUP(Renewables_Heat_Backend[[#This Row],[Level 3]],rng_Level3Long,rng_Level6Long)</f>
        <v>#N/A</v>
      </c>
      <c r="AG143" s="174">
        <f>Renewables_Heat_Frontend[[#This Row],[Generating site name]]</f>
        <v>0</v>
      </c>
      <c r="AH143" s="174"/>
      <c r="AI143" s="174">
        <f>Renewables_Heat_Frontend[[#This Row],[Methodology used]]</f>
        <v>0</v>
      </c>
      <c r="AJ143" s="220" t="e" cm="1">
        <f t="array" aca="1" ref="AJ143" ca="1">_xlfn.LET(_xlpm.LookupConcat,_xlfn.CONCAT(Renewables_Heat_Backend[[#This Row],[Level 1]:[Level 6]]), _xlfn.XLOOKUP(_xlpm.LookupConcat,rng_LevelsConcat,_xlfn.SWITCH(Renewables_Heat_Backend[[#This Row],[Methodology]],"Tier 1",rng_RSD1,"Tier 2",rng_RSD2,"Tier 3",rng_RSD3)))</f>
        <v>#N/A</v>
      </c>
      <c r="AK143" s="174">
        <f>Renewables_Heat_Frontend[[#This Row],[Age (years)]]</f>
        <v>0</v>
      </c>
      <c r="AL143" s="218" t="s">
        <v>1848</v>
      </c>
      <c r="AM143" s="174">
        <f>Renewables_Heat_Frontend[[#This Row],[Total MW capacity]]</f>
        <v>0</v>
      </c>
      <c r="AN143" s="220">
        <f>Renewables_Heat_Frontend[[#This Row],[Total kWh generated]]</f>
        <v>0</v>
      </c>
      <c r="AO143" s="412">
        <f>Renewables_Heat_Frontend[[#This Row],[kWh consumed by reporting organisation]]</f>
        <v>0</v>
      </c>
      <c r="AP143" s="412">
        <f>Renewables_Heat_Frontend[[#This Row],[kWh exported to grid]]</f>
        <v>0</v>
      </c>
      <c r="AQ143" s="412">
        <f>Renewables_Heat_Frontend[[#This Row],[kWh exported to other PSB]]</f>
        <v>0</v>
      </c>
      <c r="AR143" s="220">
        <f>Renewables_Heat_Frontend[[#This Row],[Name of other PSB]]</f>
        <v>0</v>
      </c>
      <c r="AS143" s="220">
        <f>Renewables_Heat_Frontend[[#This Row],[Ease of collection]]</f>
        <v>0</v>
      </c>
      <c r="AT143" s="174">
        <f>Renewables_Heat_Frontend[[#This Row],[Completeness]]</f>
        <v>0</v>
      </c>
      <c r="AU143" s="174">
        <f>Renewables_Heat_Frontend[[#This Row],[Notes]]</f>
        <v>0</v>
      </c>
    </row>
    <row r="144" spans="2:47" x14ac:dyDescent="0.35">
      <c r="B144" s="146"/>
      <c r="E144" s="270"/>
      <c r="F144" s="268"/>
      <c r="G144" s="268"/>
      <c r="H144" s="268"/>
      <c r="I144" s="268"/>
      <c r="J144" s="268"/>
      <c r="K144" s="269"/>
      <c r="L144" s="269"/>
      <c r="M144" s="280">
        <f>Renewables_Heat_Frontend[[#This Row],[kWh consumed by reporting organisation]]+Renewables_Heat_Frontend[[#This Row],[kWh exported to grid]]+Renewables_Heat_Frontend[[#This Row],[kWh exported to other PSB]]</f>
        <v>0</v>
      </c>
      <c r="N144" s="281"/>
      <c r="O144" s="281"/>
      <c r="P144" s="282"/>
      <c r="Q144" s="282"/>
      <c r="R144" s="284"/>
      <c r="S144" s="284"/>
      <c r="T144" s="285"/>
      <c r="U144" s="329"/>
      <c r="V144" s="242">
        <f t="shared" si="6"/>
        <v>10</v>
      </c>
      <c r="Z144" s="212" t="str">
        <f t="shared" si="5"/>
        <v/>
      </c>
      <c r="AA144" s="174"/>
      <c r="AB144" s="174"/>
      <c r="AC144" s="174">
        <f>Renewables_Heat_Frontend[[#This Row],[Renewable Type]]</f>
        <v>0</v>
      </c>
      <c r="AD144" s="174" t="e" cm="1">
        <f t="array" aca="1" ref="AD144" ca="1">_xlfn.XLOOKUP(Renewables_Heat_Backend[[#This Row],[Level 3]],rng_Level3Long,rng_Level4Long)</f>
        <v>#N/A</v>
      </c>
      <c r="AE144" s="174" t="e" cm="1">
        <f t="array" aca="1" ref="AE144" ca="1">_xlfn.XLOOKUP(Renewables_Heat_Backend[[#This Row],[Level 3]],rng_Level3Long,rng_Level5Long)</f>
        <v>#N/A</v>
      </c>
      <c r="AF144" s="174" t="e" cm="1">
        <f t="array" aca="1" ref="AF144" ca="1">_xlfn.XLOOKUP(Renewables_Heat_Backend[[#This Row],[Level 3]],rng_Level3Long,rng_Level6Long)</f>
        <v>#N/A</v>
      </c>
      <c r="AG144" s="174">
        <f>Renewables_Heat_Frontend[[#This Row],[Generating site name]]</f>
        <v>0</v>
      </c>
      <c r="AH144" s="174"/>
      <c r="AI144" s="174">
        <f>Renewables_Heat_Frontend[[#This Row],[Methodology used]]</f>
        <v>0</v>
      </c>
      <c r="AJ144" s="220" t="e" cm="1">
        <f t="array" aca="1" ref="AJ144" ca="1">_xlfn.LET(_xlpm.LookupConcat,_xlfn.CONCAT(Renewables_Heat_Backend[[#This Row],[Level 1]:[Level 6]]), _xlfn.XLOOKUP(_xlpm.LookupConcat,rng_LevelsConcat,_xlfn.SWITCH(Renewables_Heat_Backend[[#This Row],[Methodology]],"Tier 1",rng_RSD1,"Tier 2",rng_RSD2,"Tier 3",rng_RSD3)))</f>
        <v>#N/A</v>
      </c>
      <c r="AK144" s="174">
        <f>Renewables_Heat_Frontend[[#This Row],[Age (years)]]</f>
        <v>0</v>
      </c>
      <c r="AL144" s="218" t="s">
        <v>1848</v>
      </c>
      <c r="AM144" s="174">
        <f>Renewables_Heat_Frontend[[#This Row],[Total MW capacity]]</f>
        <v>0</v>
      </c>
      <c r="AN144" s="220">
        <f>Renewables_Heat_Frontend[[#This Row],[Total kWh generated]]</f>
        <v>0</v>
      </c>
      <c r="AO144" s="412">
        <f>Renewables_Heat_Frontend[[#This Row],[kWh consumed by reporting organisation]]</f>
        <v>0</v>
      </c>
      <c r="AP144" s="412">
        <f>Renewables_Heat_Frontend[[#This Row],[kWh exported to grid]]</f>
        <v>0</v>
      </c>
      <c r="AQ144" s="412">
        <f>Renewables_Heat_Frontend[[#This Row],[kWh exported to other PSB]]</f>
        <v>0</v>
      </c>
      <c r="AR144" s="220">
        <f>Renewables_Heat_Frontend[[#This Row],[Name of other PSB]]</f>
        <v>0</v>
      </c>
      <c r="AS144" s="220">
        <f>Renewables_Heat_Frontend[[#This Row],[Ease of collection]]</f>
        <v>0</v>
      </c>
      <c r="AT144" s="174">
        <f>Renewables_Heat_Frontend[[#This Row],[Completeness]]</f>
        <v>0</v>
      </c>
      <c r="AU144" s="174">
        <f>Renewables_Heat_Frontend[[#This Row],[Notes]]</f>
        <v>0</v>
      </c>
    </row>
    <row r="145" spans="2:47" x14ac:dyDescent="0.35">
      <c r="B145" s="146"/>
      <c r="E145" s="270"/>
      <c r="F145" s="268"/>
      <c r="G145" s="268"/>
      <c r="H145" s="268"/>
      <c r="I145" s="268"/>
      <c r="J145" s="268"/>
      <c r="K145" s="269"/>
      <c r="L145" s="269"/>
      <c r="M145" s="280">
        <f>Renewables_Heat_Frontend[[#This Row],[kWh consumed by reporting organisation]]+Renewables_Heat_Frontend[[#This Row],[kWh exported to grid]]+Renewables_Heat_Frontend[[#This Row],[kWh exported to other PSB]]</f>
        <v>0</v>
      </c>
      <c r="N145" s="281"/>
      <c r="O145" s="281"/>
      <c r="P145" s="282"/>
      <c r="Q145" s="282"/>
      <c r="R145" s="284"/>
      <c r="S145" s="284"/>
      <c r="T145" s="285"/>
      <c r="U145" s="329"/>
      <c r="V145" s="242">
        <f t="shared" si="6"/>
        <v>10</v>
      </c>
      <c r="Z145" s="212" t="str">
        <f t="shared" si="5"/>
        <v/>
      </c>
      <c r="AA145" s="174"/>
      <c r="AB145" s="174"/>
      <c r="AC145" s="174">
        <f>Renewables_Heat_Frontend[[#This Row],[Renewable Type]]</f>
        <v>0</v>
      </c>
      <c r="AD145" s="174" t="e" cm="1">
        <f t="array" aca="1" ref="AD145" ca="1">_xlfn.XLOOKUP(Renewables_Heat_Backend[[#This Row],[Level 3]],rng_Level3Long,rng_Level4Long)</f>
        <v>#N/A</v>
      </c>
      <c r="AE145" s="174" t="e" cm="1">
        <f t="array" aca="1" ref="AE145" ca="1">_xlfn.XLOOKUP(Renewables_Heat_Backend[[#This Row],[Level 3]],rng_Level3Long,rng_Level5Long)</f>
        <v>#N/A</v>
      </c>
      <c r="AF145" s="174" t="e" cm="1">
        <f t="array" aca="1" ref="AF145" ca="1">_xlfn.XLOOKUP(Renewables_Heat_Backend[[#This Row],[Level 3]],rng_Level3Long,rng_Level6Long)</f>
        <v>#N/A</v>
      </c>
      <c r="AG145" s="174">
        <f>Renewables_Heat_Frontend[[#This Row],[Generating site name]]</f>
        <v>0</v>
      </c>
      <c r="AH145" s="174"/>
      <c r="AI145" s="174">
        <f>Renewables_Heat_Frontend[[#This Row],[Methodology used]]</f>
        <v>0</v>
      </c>
      <c r="AJ145" s="220" t="e" cm="1">
        <f t="array" aca="1" ref="AJ145" ca="1">_xlfn.LET(_xlpm.LookupConcat,_xlfn.CONCAT(Renewables_Heat_Backend[[#This Row],[Level 1]:[Level 6]]), _xlfn.XLOOKUP(_xlpm.LookupConcat,rng_LevelsConcat,_xlfn.SWITCH(Renewables_Heat_Backend[[#This Row],[Methodology]],"Tier 1",rng_RSD1,"Tier 2",rng_RSD2,"Tier 3",rng_RSD3)))</f>
        <v>#N/A</v>
      </c>
      <c r="AK145" s="174">
        <f>Renewables_Heat_Frontend[[#This Row],[Age (years)]]</f>
        <v>0</v>
      </c>
      <c r="AL145" s="218" t="s">
        <v>1848</v>
      </c>
      <c r="AM145" s="174">
        <f>Renewables_Heat_Frontend[[#This Row],[Total MW capacity]]</f>
        <v>0</v>
      </c>
      <c r="AN145" s="220">
        <f>Renewables_Heat_Frontend[[#This Row],[Total kWh generated]]</f>
        <v>0</v>
      </c>
      <c r="AO145" s="412">
        <f>Renewables_Heat_Frontend[[#This Row],[kWh consumed by reporting organisation]]</f>
        <v>0</v>
      </c>
      <c r="AP145" s="412">
        <f>Renewables_Heat_Frontend[[#This Row],[kWh exported to grid]]</f>
        <v>0</v>
      </c>
      <c r="AQ145" s="412">
        <f>Renewables_Heat_Frontend[[#This Row],[kWh exported to other PSB]]</f>
        <v>0</v>
      </c>
      <c r="AR145" s="220">
        <f>Renewables_Heat_Frontend[[#This Row],[Name of other PSB]]</f>
        <v>0</v>
      </c>
      <c r="AS145" s="220">
        <f>Renewables_Heat_Frontend[[#This Row],[Ease of collection]]</f>
        <v>0</v>
      </c>
      <c r="AT145" s="174">
        <f>Renewables_Heat_Frontend[[#This Row],[Completeness]]</f>
        <v>0</v>
      </c>
      <c r="AU145" s="174">
        <f>Renewables_Heat_Frontend[[#This Row],[Notes]]</f>
        <v>0</v>
      </c>
    </row>
    <row r="146" spans="2:47" x14ac:dyDescent="0.35">
      <c r="B146" s="146"/>
      <c r="E146" s="270"/>
      <c r="F146" s="268"/>
      <c r="G146" s="268"/>
      <c r="H146" s="268"/>
      <c r="I146" s="268"/>
      <c r="J146" s="268"/>
      <c r="K146" s="269"/>
      <c r="L146" s="269"/>
      <c r="M146" s="280">
        <f>Renewables_Heat_Frontend[[#This Row],[kWh consumed by reporting organisation]]+Renewables_Heat_Frontend[[#This Row],[kWh exported to grid]]+Renewables_Heat_Frontend[[#This Row],[kWh exported to other PSB]]</f>
        <v>0</v>
      </c>
      <c r="N146" s="281"/>
      <c r="O146" s="281"/>
      <c r="P146" s="282"/>
      <c r="Q146" s="282"/>
      <c r="R146" s="284"/>
      <c r="S146" s="284"/>
      <c r="T146" s="285"/>
      <c r="U146" s="329"/>
      <c r="V146" s="242">
        <f t="shared" si="6"/>
        <v>10</v>
      </c>
      <c r="Z146" s="212" t="str">
        <f t="shared" si="5"/>
        <v/>
      </c>
      <c r="AA146" s="174"/>
      <c r="AB146" s="174"/>
      <c r="AC146" s="174">
        <f>Renewables_Heat_Frontend[[#This Row],[Renewable Type]]</f>
        <v>0</v>
      </c>
      <c r="AD146" s="174" t="e" cm="1">
        <f t="array" aca="1" ref="AD146" ca="1">_xlfn.XLOOKUP(Renewables_Heat_Backend[[#This Row],[Level 3]],rng_Level3Long,rng_Level4Long)</f>
        <v>#N/A</v>
      </c>
      <c r="AE146" s="174" t="e" cm="1">
        <f t="array" aca="1" ref="AE146" ca="1">_xlfn.XLOOKUP(Renewables_Heat_Backend[[#This Row],[Level 3]],rng_Level3Long,rng_Level5Long)</f>
        <v>#N/A</v>
      </c>
      <c r="AF146" s="174" t="e" cm="1">
        <f t="array" aca="1" ref="AF146" ca="1">_xlfn.XLOOKUP(Renewables_Heat_Backend[[#This Row],[Level 3]],rng_Level3Long,rng_Level6Long)</f>
        <v>#N/A</v>
      </c>
      <c r="AG146" s="174">
        <f>Renewables_Heat_Frontend[[#This Row],[Generating site name]]</f>
        <v>0</v>
      </c>
      <c r="AH146" s="174"/>
      <c r="AI146" s="174">
        <f>Renewables_Heat_Frontend[[#This Row],[Methodology used]]</f>
        <v>0</v>
      </c>
      <c r="AJ146" s="220" t="e" cm="1">
        <f t="array" aca="1" ref="AJ146" ca="1">_xlfn.LET(_xlpm.LookupConcat,_xlfn.CONCAT(Renewables_Heat_Backend[[#This Row],[Level 1]:[Level 6]]), _xlfn.XLOOKUP(_xlpm.LookupConcat,rng_LevelsConcat,_xlfn.SWITCH(Renewables_Heat_Backend[[#This Row],[Methodology]],"Tier 1",rng_RSD1,"Tier 2",rng_RSD2,"Tier 3",rng_RSD3)))</f>
        <v>#N/A</v>
      </c>
      <c r="AK146" s="174">
        <f>Renewables_Heat_Frontend[[#This Row],[Age (years)]]</f>
        <v>0</v>
      </c>
      <c r="AL146" s="218" t="s">
        <v>1848</v>
      </c>
      <c r="AM146" s="174">
        <f>Renewables_Heat_Frontend[[#This Row],[Total MW capacity]]</f>
        <v>0</v>
      </c>
      <c r="AN146" s="220">
        <f>Renewables_Heat_Frontend[[#This Row],[Total kWh generated]]</f>
        <v>0</v>
      </c>
      <c r="AO146" s="412">
        <f>Renewables_Heat_Frontend[[#This Row],[kWh consumed by reporting organisation]]</f>
        <v>0</v>
      </c>
      <c r="AP146" s="412">
        <f>Renewables_Heat_Frontend[[#This Row],[kWh exported to grid]]</f>
        <v>0</v>
      </c>
      <c r="AQ146" s="412">
        <f>Renewables_Heat_Frontend[[#This Row],[kWh exported to other PSB]]</f>
        <v>0</v>
      </c>
      <c r="AR146" s="220">
        <f>Renewables_Heat_Frontend[[#This Row],[Name of other PSB]]</f>
        <v>0</v>
      </c>
      <c r="AS146" s="220">
        <f>Renewables_Heat_Frontend[[#This Row],[Ease of collection]]</f>
        <v>0</v>
      </c>
      <c r="AT146" s="174">
        <f>Renewables_Heat_Frontend[[#This Row],[Completeness]]</f>
        <v>0</v>
      </c>
      <c r="AU146" s="174">
        <f>Renewables_Heat_Frontend[[#This Row],[Notes]]</f>
        <v>0</v>
      </c>
    </row>
    <row r="147" spans="2:47" x14ac:dyDescent="0.35">
      <c r="B147" s="146"/>
      <c r="E147" s="270"/>
      <c r="F147" s="268"/>
      <c r="G147" s="268"/>
      <c r="H147" s="268"/>
      <c r="I147" s="268"/>
      <c r="J147" s="268"/>
      <c r="K147" s="269"/>
      <c r="L147" s="269"/>
      <c r="M147" s="280">
        <f>Renewables_Heat_Frontend[[#This Row],[kWh consumed by reporting organisation]]+Renewables_Heat_Frontend[[#This Row],[kWh exported to grid]]+Renewables_Heat_Frontend[[#This Row],[kWh exported to other PSB]]</f>
        <v>0</v>
      </c>
      <c r="N147" s="281"/>
      <c r="O147" s="281"/>
      <c r="P147" s="282"/>
      <c r="Q147" s="282"/>
      <c r="R147" s="284"/>
      <c r="S147" s="284"/>
      <c r="T147" s="285"/>
      <c r="U147" s="329"/>
      <c r="V147" s="242">
        <f t="shared" si="6"/>
        <v>10</v>
      </c>
      <c r="Z147" s="212" t="str">
        <f t="shared" si="5"/>
        <v/>
      </c>
      <c r="AA147" s="174"/>
      <c r="AB147" s="174"/>
      <c r="AC147" s="174">
        <f>Renewables_Heat_Frontend[[#This Row],[Renewable Type]]</f>
        <v>0</v>
      </c>
      <c r="AD147" s="174" t="e" cm="1">
        <f t="array" aca="1" ref="AD147" ca="1">_xlfn.XLOOKUP(Renewables_Heat_Backend[[#This Row],[Level 3]],rng_Level3Long,rng_Level4Long)</f>
        <v>#N/A</v>
      </c>
      <c r="AE147" s="174" t="e" cm="1">
        <f t="array" aca="1" ref="AE147" ca="1">_xlfn.XLOOKUP(Renewables_Heat_Backend[[#This Row],[Level 3]],rng_Level3Long,rng_Level5Long)</f>
        <v>#N/A</v>
      </c>
      <c r="AF147" s="174" t="e" cm="1">
        <f t="array" aca="1" ref="AF147" ca="1">_xlfn.XLOOKUP(Renewables_Heat_Backend[[#This Row],[Level 3]],rng_Level3Long,rng_Level6Long)</f>
        <v>#N/A</v>
      </c>
      <c r="AG147" s="174">
        <f>Renewables_Heat_Frontend[[#This Row],[Generating site name]]</f>
        <v>0</v>
      </c>
      <c r="AH147" s="174"/>
      <c r="AI147" s="174">
        <f>Renewables_Heat_Frontend[[#This Row],[Methodology used]]</f>
        <v>0</v>
      </c>
      <c r="AJ147" s="220" t="e" cm="1">
        <f t="array" aca="1" ref="AJ147" ca="1">_xlfn.LET(_xlpm.LookupConcat,_xlfn.CONCAT(Renewables_Heat_Backend[[#This Row],[Level 1]:[Level 6]]), _xlfn.XLOOKUP(_xlpm.LookupConcat,rng_LevelsConcat,_xlfn.SWITCH(Renewables_Heat_Backend[[#This Row],[Methodology]],"Tier 1",rng_RSD1,"Tier 2",rng_RSD2,"Tier 3",rng_RSD3)))</f>
        <v>#N/A</v>
      </c>
      <c r="AK147" s="174">
        <f>Renewables_Heat_Frontend[[#This Row],[Age (years)]]</f>
        <v>0</v>
      </c>
      <c r="AL147" s="218" t="s">
        <v>1848</v>
      </c>
      <c r="AM147" s="174">
        <f>Renewables_Heat_Frontend[[#This Row],[Total MW capacity]]</f>
        <v>0</v>
      </c>
      <c r="AN147" s="220">
        <f>Renewables_Heat_Frontend[[#This Row],[Total kWh generated]]</f>
        <v>0</v>
      </c>
      <c r="AO147" s="412">
        <f>Renewables_Heat_Frontend[[#This Row],[kWh consumed by reporting organisation]]</f>
        <v>0</v>
      </c>
      <c r="AP147" s="412">
        <f>Renewables_Heat_Frontend[[#This Row],[kWh exported to grid]]</f>
        <v>0</v>
      </c>
      <c r="AQ147" s="412">
        <f>Renewables_Heat_Frontend[[#This Row],[kWh exported to other PSB]]</f>
        <v>0</v>
      </c>
      <c r="AR147" s="220">
        <f>Renewables_Heat_Frontend[[#This Row],[Name of other PSB]]</f>
        <v>0</v>
      </c>
      <c r="AS147" s="220">
        <f>Renewables_Heat_Frontend[[#This Row],[Ease of collection]]</f>
        <v>0</v>
      </c>
      <c r="AT147" s="174">
        <f>Renewables_Heat_Frontend[[#This Row],[Completeness]]</f>
        <v>0</v>
      </c>
      <c r="AU147" s="174">
        <f>Renewables_Heat_Frontend[[#This Row],[Notes]]</f>
        <v>0</v>
      </c>
    </row>
    <row r="148" spans="2:47" x14ac:dyDescent="0.35">
      <c r="B148" s="146"/>
      <c r="E148" s="270"/>
      <c r="F148" s="268"/>
      <c r="G148" s="268"/>
      <c r="H148" s="268"/>
      <c r="I148" s="268"/>
      <c r="J148" s="268"/>
      <c r="K148" s="269"/>
      <c r="L148" s="269"/>
      <c r="M148" s="280">
        <f>Renewables_Heat_Frontend[[#This Row],[kWh consumed by reporting organisation]]+Renewables_Heat_Frontend[[#This Row],[kWh exported to grid]]+Renewables_Heat_Frontend[[#This Row],[kWh exported to other PSB]]</f>
        <v>0</v>
      </c>
      <c r="N148" s="281"/>
      <c r="O148" s="281"/>
      <c r="P148" s="282"/>
      <c r="Q148" s="282"/>
      <c r="R148" s="284"/>
      <c r="S148" s="284"/>
      <c r="T148" s="285"/>
      <c r="U148" s="329"/>
      <c r="V148" s="242">
        <f t="shared" si="6"/>
        <v>10</v>
      </c>
      <c r="Z148" s="212" t="str">
        <f t="shared" si="5"/>
        <v/>
      </c>
      <c r="AA148" s="174"/>
      <c r="AB148" s="174"/>
      <c r="AC148" s="174">
        <f>Renewables_Heat_Frontend[[#This Row],[Renewable Type]]</f>
        <v>0</v>
      </c>
      <c r="AD148" s="174" t="e" cm="1">
        <f t="array" aca="1" ref="AD148" ca="1">_xlfn.XLOOKUP(Renewables_Heat_Backend[[#This Row],[Level 3]],rng_Level3Long,rng_Level4Long)</f>
        <v>#N/A</v>
      </c>
      <c r="AE148" s="174" t="e" cm="1">
        <f t="array" aca="1" ref="AE148" ca="1">_xlfn.XLOOKUP(Renewables_Heat_Backend[[#This Row],[Level 3]],rng_Level3Long,rng_Level5Long)</f>
        <v>#N/A</v>
      </c>
      <c r="AF148" s="174" t="e" cm="1">
        <f t="array" aca="1" ref="AF148" ca="1">_xlfn.XLOOKUP(Renewables_Heat_Backend[[#This Row],[Level 3]],rng_Level3Long,rng_Level6Long)</f>
        <v>#N/A</v>
      </c>
      <c r="AG148" s="174">
        <f>Renewables_Heat_Frontend[[#This Row],[Generating site name]]</f>
        <v>0</v>
      </c>
      <c r="AH148" s="174"/>
      <c r="AI148" s="174">
        <f>Renewables_Heat_Frontend[[#This Row],[Methodology used]]</f>
        <v>0</v>
      </c>
      <c r="AJ148" s="220" t="e" cm="1">
        <f t="array" aca="1" ref="AJ148" ca="1">_xlfn.LET(_xlpm.LookupConcat,_xlfn.CONCAT(Renewables_Heat_Backend[[#This Row],[Level 1]:[Level 6]]), _xlfn.XLOOKUP(_xlpm.LookupConcat,rng_LevelsConcat,_xlfn.SWITCH(Renewables_Heat_Backend[[#This Row],[Methodology]],"Tier 1",rng_RSD1,"Tier 2",rng_RSD2,"Tier 3",rng_RSD3)))</f>
        <v>#N/A</v>
      </c>
      <c r="AK148" s="174">
        <f>Renewables_Heat_Frontend[[#This Row],[Age (years)]]</f>
        <v>0</v>
      </c>
      <c r="AL148" s="218" t="s">
        <v>1848</v>
      </c>
      <c r="AM148" s="174">
        <f>Renewables_Heat_Frontend[[#This Row],[Total MW capacity]]</f>
        <v>0</v>
      </c>
      <c r="AN148" s="220">
        <f>Renewables_Heat_Frontend[[#This Row],[Total kWh generated]]</f>
        <v>0</v>
      </c>
      <c r="AO148" s="412">
        <f>Renewables_Heat_Frontend[[#This Row],[kWh consumed by reporting organisation]]</f>
        <v>0</v>
      </c>
      <c r="AP148" s="412">
        <f>Renewables_Heat_Frontend[[#This Row],[kWh exported to grid]]</f>
        <v>0</v>
      </c>
      <c r="AQ148" s="412">
        <f>Renewables_Heat_Frontend[[#This Row],[kWh exported to other PSB]]</f>
        <v>0</v>
      </c>
      <c r="AR148" s="220">
        <f>Renewables_Heat_Frontend[[#This Row],[Name of other PSB]]</f>
        <v>0</v>
      </c>
      <c r="AS148" s="220">
        <f>Renewables_Heat_Frontend[[#This Row],[Ease of collection]]</f>
        <v>0</v>
      </c>
      <c r="AT148" s="174">
        <f>Renewables_Heat_Frontend[[#This Row],[Completeness]]</f>
        <v>0</v>
      </c>
      <c r="AU148" s="174">
        <f>Renewables_Heat_Frontend[[#This Row],[Notes]]</f>
        <v>0</v>
      </c>
    </row>
    <row r="149" spans="2:47" x14ac:dyDescent="0.35">
      <c r="B149" s="146"/>
      <c r="E149" s="270"/>
      <c r="F149" s="268"/>
      <c r="G149" s="268"/>
      <c r="H149" s="268"/>
      <c r="I149" s="268"/>
      <c r="J149" s="268"/>
      <c r="K149" s="269"/>
      <c r="L149" s="269"/>
      <c r="M149" s="280">
        <f>Renewables_Heat_Frontend[[#This Row],[kWh consumed by reporting organisation]]+Renewables_Heat_Frontend[[#This Row],[kWh exported to grid]]+Renewables_Heat_Frontend[[#This Row],[kWh exported to other PSB]]</f>
        <v>0</v>
      </c>
      <c r="N149" s="281"/>
      <c r="O149" s="281"/>
      <c r="P149" s="282"/>
      <c r="Q149" s="282"/>
      <c r="R149" s="284"/>
      <c r="S149" s="284"/>
      <c r="T149" s="285"/>
      <c r="U149" s="329"/>
      <c r="V149" s="242">
        <f t="shared" si="6"/>
        <v>10</v>
      </c>
      <c r="Z149" s="212" t="str">
        <f t="shared" si="5"/>
        <v/>
      </c>
      <c r="AA149" s="174"/>
      <c r="AB149" s="174"/>
      <c r="AC149" s="174">
        <f>Renewables_Heat_Frontend[[#This Row],[Renewable Type]]</f>
        <v>0</v>
      </c>
      <c r="AD149" s="174" t="e" cm="1">
        <f t="array" aca="1" ref="AD149" ca="1">_xlfn.XLOOKUP(Renewables_Heat_Backend[[#This Row],[Level 3]],rng_Level3Long,rng_Level4Long)</f>
        <v>#N/A</v>
      </c>
      <c r="AE149" s="174" t="e" cm="1">
        <f t="array" aca="1" ref="AE149" ca="1">_xlfn.XLOOKUP(Renewables_Heat_Backend[[#This Row],[Level 3]],rng_Level3Long,rng_Level5Long)</f>
        <v>#N/A</v>
      </c>
      <c r="AF149" s="174" t="e" cm="1">
        <f t="array" aca="1" ref="AF149" ca="1">_xlfn.XLOOKUP(Renewables_Heat_Backend[[#This Row],[Level 3]],rng_Level3Long,rng_Level6Long)</f>
        <v>#N/A</v>
      </c>
      <c r="AG149" s="174">
        <f>Renewables_Heat_Frontend[[#This Row],[Generating site name]]</f>
        <v>0</v>
      </c>
      <c r="AH149" s="174"/>
      <c r="AI149" s="174">
        <f>Renewables_Heat_Frontend[[#This Row],[Methodology used]]</f>
        <v>0</v>
      </c>
      <c r="AJ149" s="220" t="e" cm="1">
        <f t="array" aca="1" ref="AJ149" ca="1">_xlfn.LET(_xlpm.LookupConcat,_xlfn.CONCAT(Renewables_Heat_Backend[[#This Row],[Level 1]:[Level 6]]), _xlfn.XLOOKUP(_xlpm.LookupConcat,rng_LevelsConcat,_xlfn.SWITCH(Renewables_Heat_Backend[[#This Row],[Methodology]],"Tier 1",rng_RSD1,"Tier 2",rng_RSD2,"Tier 3",rng_RSD3)))</f>
        <v>#N/A</v>
      </c>
      <c r="AK149" s="174">
        <f>Renewables_Heat_Frontend[[#This Row],[Age (years)]]</f>
        <v>0</v>
      </c>
      <c r="AL149" s="218" t="s">
        <v>1848</v>
      </c>
      <c r="AM149" s="174">
        <f>Renewables_Heat_Frontend[[#This Row],[Total MW capacity]]</f>
        <v>0</v>
      </c>
      <c r="AN149" s="220">
        <f>Renewables_Heat_Frontend[[#This Row],[Total kWh generated]]</f>
        <v>0</v>
      </c>
      <c r="AO149" s="412">
        <f>Renewables_Heat_Frontend[[#This Row],[kWh consumed by reporting organisation]]</f>
        <v>0</v>
      </c>
      <c r="AP149" s="412">
        <f>Renewables_Heat_Frontend[[#This Row],[kWh exported to grid]]</f>
        <v>0</v>
      </c>
      <c r="AQ149" s="412">
        <f>Renewables_Heat_Frontend[[#This Row],[kWh exported to other PSB]]</f>
        <v>0</v>
      </c>
      <c r="AR149" s="220">
        <f>Renewables_Heat_Frontend[[#This Row],[Name of other PSB]]</f>
        <v>0</v>
      </c>
      <c r="AS149" s="220">
        <f>Renewables_Heat_Frontend[[#This Row],[Ease of collection]]</f>
        <v>0</v>
      </c>
      <c r="AT149" s="174">
        <f>Renewables_Heat_Frontend[[#This Row],[Completeness]]</f>
        <v>0</v>
      </c>
      <c r="AU149" s="174">
        <f>Renewables_Heat_Frontend[[#This Row],[Notes]]</f>
        <v>0</v>
      </c>
    </row>
    <row r="150" spans="2:47" x14ac:dyDescent="0.35">
      <c r="B150" s="146"/>
      <c r="E150" s="270"/>
      <c r="F150" s="268"/>
      <c r="G150" s="268"/>
      <c r="H150" s="268"/>
      <c r="I150" s="268"/>
      <c r="J150" s="268"/>
      <c r="K150" s="269"/>
      <c r="L150" s="269"/>
      <c r="M150" s="280">
        <f>Renewables_Heat_Frontend[[#This Row],[kWh consumed by reporting organisation]]+Renewables_Heat_Frontend[[#This Row],[kWh exported to grid]]+Renewables_Heat_Frontend[[#This Row],[kWh exported to other PSB]]</f>
        <v>0</v>
      </c>
      <c r="N150" s="281"/>
      <c r="O150" s="281"/>
      <c r="P150" s="282"/>
      <c r="Q150" s="282"/>
      <c r="R150" s="284"/>
      <c r="S150" s="284"/>
      <c r="T150" s="285"/>
      <c r="U150" s="329"/>
      <c r="V150" s="242">
        <f t="shared" si="6"/>
        <v>10</v>
      </c>
      <c r="Z150" s="212" t="str">
        <f t="shared" si="5"/>
        <v/>
      </c>
      <c r="AA150" s="174"/>
      <c r="AB150" s="174"/>
      <c r="AC150" s="174">
        <f>Renewables_Heat_Frontend[[#This Row],[Renewable Type]]</f>
        <v>0</v>
      </c>
      <c r="AD150" s="174" t="e" cm="1">
        <f t="array" aca="1" ref="AD150" ca="1">_xlfn.XLOOKUP(Renewables_Heat_Backend[[#This Row],[Level 3]],rng_Level3Long,rng_Level4Long)</f>
        <v>#N/A</v>
      </c>
      <c r="AE150" s="174" t="e" cm="1">
        <f t="array" aca="1" ref="AE150" ca="1">_xlfn.XLOOKUP(Renewables_Heat_Backend[[#This Row],[Level 3]],rng_Level3Long,rng_Level5Long)</f>
        <v>#N/A</v>
      </c>
      <c r="AF150" s="174" t="e" cm="1">
        <f t="array" aca="1" ref="AF150" ca="1">_xlfn.XLOOKUP(Renewables_Heat_Backend[[#This Row],[Level 3]],rng_Level3Long,rng_Level6Long)</f>
        <v>#N/A</v>
      </c>
      <c r="AG150" s="174">
        <f>Renewables_Heat_Frontend[[#This Row],[Generating site name]]</f>
        <v>0</v>
      </c>
      <c r="AH150" s="174"/>
      <c r="AI150" s="174">
        <f>Renewables_Heat_Frontend[[#This Row],[Methodology used]]</f>
        <v>0</v>
      </c>
      <c r="AJ150" s="220" t="e" cm="1">
        <f t="array" aca="1" ref="AJ150" ca="1">_xlfn.LET(_xlpm.LookupConcat,_xlfn.CONCAT(Renewables_Heat_Backend[[#This Row],[Level 1]:[Level 6]]), _xlfn.XLOOKUP(_xlpm.LookupConcat,rng_LevelsConcat,_xlfn.SWITCH(Renewables_Heat_Backend[[#This Row],[Methodology]],"Tier 1",rng_RSD1,"Tier 2",rng_RSD2,"Tier 3",rng_RSD3)))</f>
        <v>#N/A</v>
      </c>
      <c r="AK150" s="174">
        <f>Renewables_Heat_Frontend[[#This Row],[Age (years)]]</f>
        <v>0</v>
      </c>
      <c r="AL150" s="218" t="s">
        <v>1848</v>
      </c>
      <c r="AM150" s="174">
        <f>Renewables_Heat_Frontend[[#This Row],[Total MW capacity]]</f>
        <v>0</v>
      </c>
      <c r="AN150" s="220">
        <f>Renewables_Heat_Frontend[[#This Row],[Total kWh generated]]</f>
        <v>0</v>
      </c>
      <c r="AO150" s="412">
        <f>Renewables_Heat_Frontend[[#This Row],[kWh consumed by reporting organisation]]</f>
        <v>0</v>
      </c>
      <c r="AP150" s="412">
        <f>Renewables_Heat_Frontend[[#This Row],[kWh exported to grid]]</f>
        <v>0</v>
      </c>
      <c r="AQ150" s="412">
        <f>Renewables_Heat_Frontend[[#This Row],[kWh exported to other PSB]]</f>
        <v>0</v>
      </c>
      <c r="AR150" s="220">
        <f>Renewables_Heat_Frontend[[#This Row],[Name of other PSB]]</f>
        <v>0</v>
      </c>
      <c r="AS150" s="220">
        <f>Renewables_Heat_Frontend[[#This Row],[Ease of collection]]</f>
        <v>0</v>
      </c>
      <c r="AT150" s="174">
        <f>Renewables_Heat_Frontend[[#This Row],[Completeness]]</f>
        <v>0</v>
      </c>
      <c r="AU150" s="174">
        <f>Renewables_Heat_Frontend[[#This Row],[Notes]]</f>
        <v>0</v>
      </c>
    </row>
    <row r="151" spans="2:47" x14ac:dyDescent="0.35">
      <c r="B151" s="146"/>
      <c r="E151" s="270"/>
      <c r="F151" s="268"/>
      <c r="G151" s="268"/>
      <c r="H151" s="268"/>
      <c r="I151" s="268"/>
      <c r="J151" s="268"/>
      <c r="K151" s="269"/>
      <c r="L151" s="269"/>
      <c r="M151" s="280">
        <f>Renewables_Heat_Frontend[[#This Row],[kWh consumed by reporting organisation]]+Renewables_Heat_Frontend[[#This Row],[kWh exported to grid]]+Renewables_Heat_Frontend[[#This Row],[kWh exported to other PSB]]</f>
        <v>0</v>
      </c>
      <c r="N151" s="281"/>
      <c r="O151" s="281"/>
      <c r="P151" s="282"/>
      <c r="Q151" s="282"/>
      <c r="R151" s="284"/>
      <c r="S151" s="284"/>
      <c r="T151" s="285"/>
      <c r="U151" s="329"/>
      <c r="V151" s="242">
        <f t="shared" si="6"/>
        <v>10</v>
      </c>
      <c r="Z151" s="212" t="str">
        <f t="shared" si="5"/>
        <v/>
      </c>
      <c r="AA151" s="174"/>
      <c r="AB151" s="174"/>
      <c r="AC151" s="174">
        <f>Renewables_Heat_Frontend[[#This Row],[Renewable Type]]</f>
        <v>0</v>
      </c>
      <c r="AD151" s="174" t="e" cm="1">
        <f t="array" aca="1" ref="AD151" ca="1">_xlfn.XLOOKUP(Renewables_Heat_Backend[[#This Row],[Level 3]],rng_Level3Long,rng_Level4Long)</f>
        <v>#N/A</v>
      </c>
      <c r="AE151" s="174" t="e" cm="1">
        <f t="array" aca="1" ref="AE151" ca="1">_xlfn.XLOOKUP(Renewables_Heat_Backend[[#This Row],[Level 3]],rng_Level3Long,rng_Level5Long)</f>
        <v>#N/A</v>
      </c>
      <c r="AF151" s="174" t="e" cm="1">
        <f t="array" aca="1" ref="AF151" ca="1">_xlfn.XLOOKUP(Renewables_Heat_Backend[[#This Row],[Level 3]],rng_Level3Long,rng_Level6Long)</f>
        <v>#N/A</v>
      </c>
      <c r="AG151" s="174">
        <f>Renewables_Heat_Frontend[[#This Row],[Generating site name]]</f>
        <v>0</v>
      </c>
      <c r="AH151" s="174"/>
      <c r="AI151" s="174">
        <f>Renewables_Heat_Frontend[[#This Row],[Methodology used]]</f>
        <v>0</v>
      </c>
      <c r="AJ151" s="220" t="e" cm="1">
        <f t="array" aca="1" ref="AJ151" ca="1">_xlfn.LET(_xlpm.LookupConcat,_xlfn.CONCAT(Renewables_Heat_Backend[[#This Row],[Level 1]:[Level 6]]), _xlfn.XLOOKUP(_xlpm.LookupConcat,rng_LevelsConcat,_xlfn.SWITCH(Renewables_Heat_Backend[[#This Row],[Methodology]],"Tier 1",rng_RSD1,"Tier 2",rng_RSD2,"Tier 3",rng_RSD3)))</f>
        <v>#N/A</v>
      </c>
      <c r="AK151" s="174">
        <f>Renewables_Heat_Frontend[[#This Row],[Age (years)]]</f>
        <v>0</v>
      </c>
      <c r="AL151" s="218" t="s">
        <v>1848</v>
      </c>
      <c r="AM151" s="174">
        <f>Renewables_Heat_Frontend[[#This Row],[Total MW capacity]]</f>
        <v>0</v>
      </c>
      <c r="AN151" s="220">
        <f>Renewables_Heat_Frontend[[#This Row],[Total kWh generated]]</f>
        <v>0</v>
      </c>
      <c r="AO151" s="412">
        <f>Renewables_Heat_Frontend[[#This Row],[kWh consumed by reporting organisation]]</f>
        <v>0</v>
      </c>
      <c r="AP151" s="412">
        <f>Renewables_Heat_Frontend[[#This Row],[kWh exported to grid]]</f>
        <v>0</v>
      </c>
      <c r="AQ151" s="412">
        <f>Renewables_Heat_Frontend[[#This Row],[kWh exported to other PSB]]</f>
        <v>0</v>
      </c>
      <c r="AR151" s="220">
        <f>Renewables_Heat_Frontend[[#This Row],[Name of other PSB]]</f>
        <v>0</v>
      </c>
      <c r="AS151" s="220">
        <f>Renewables_Heat_Frontend[[#This Row],[Ease of collection]]</f>
        <v>0</v>
      </c>
      <c r="AT151" s="174">
        <f>Renewables_Heat_Frontend[[#This Row],[Completeness]]</f>
        <v>0</v>
      </c>
      <c r="AU151" s="174">
        <f>Renewables_Heat_Frontend[[#This Row],[Notes]]</f>
        <v>0</v>
      </c>
    </row>
    <row r="152" spans="2:47" x14ac:dyDescent="0.35">
      <c r="B152" s="146"/>
      <c r="E152" s="270"/>
      <c r="F152" s="268"/>
      <c r="G152" s="268"/>
      <c r="H152" s="268"/>
      <c r="I152" s="268"/>
      <c r="J152" s="268"/>
      <c r="K152" s="269"/>
      <c r="L152" s="269"/>
      <c r="M152" s="280">
        <f>Renewables_Heat_Frontend[[#This Row],[kWh consumed by reporting organisation]]+Renewables_Heat_Frontend[[#This Row],[kWh exported to grid]]+Renewables_Heat_Frontend[[#This Row],[kWh exported to other PSB]]</f>
        <v>0</v>
      </c>
      <c r="N152" s="281"/>
      <c r="O152" s="281"/>
      <c r="P152" s="282"/>
      <c r="Q152" s="282"/>
      <c r="R152" s="284"/>
      <c r="S152" s="284"/>
      <c r="T152" s="285"/>
      <c r="U152" s="329"/>
      <c r="V152" s="242">
        <f t="shared" si="6"/>
        <v>10</v>
      </c>
      <c r="Z152" s="212" t="str">
        <f t="shared" si="5"/>
        <v/>
      </c>
      <c r="AA152" s="174"/>
      <c r="AB152" s="174"/>
      <c r="AC152" s="174">
        <f>Renewables_Heat_Frontend[[#This Row],[Renewable Type]]</f>
        <v>0</v>
      </c>
      <c r="AD152" s="174" t="e" cm="1">
        <f t="array" aca="1" ref="AD152" ca="1">_xlfn.XLOOKUP(Renewables_Heat_Backend[[#This Row],[Level 3]],rng_Level3Long,rng_Level4Long)</f>
        <v>#N/A</v>
      </c>
      <c r="AE152" s="174" t="e" cm="1">
        <f t="array" aca="1" ref="AE152" ca="1">_xlfn.XLOOKUP(Renewables_Heat_Backend[[#This Row],[Level 3]],rng_Level3Long,rng_Level5Long)</f>
        <v>#N/A</v>
      </c>
      <c r="AF152" s="174" t="e" cm="1">
        <f t="array" aca="1" ref="AF152" ca="1">_xlfn.XLOOKUP(Renewables_Heat_Backend[[#This Row],[Level 3]],rng_Level3Long,rng_Level6Long)</f>
        <v>#N/A</v>
      </c>
      <c r="AG152" s="174">
        <f>Renewables_Heat_Frontend[[#This Row],[Generating site name]]</f>
        <v>0</v>
      </c>
      <c r="AH152" s="174"/>
      <c r="AI152" s="174">
        <f>Renewables_Heat_Frontend[[#This Row],[Methodology used]]</f>
        <v>0</v>
      </c>
      <c r="AJ152" s="220" t="e" cm="1">
        <f t="array" aca="1" ref="AJ152" ca="1">_xlfn.LET(_xlpm.LookupConcat,_xlfn.CONCAT(Renewables_Heat_Backend[[#This Row],[Level 1]:[Level 6]]), _xlfn.XLOOKUP(_xlpm.LookupConcat,rng_LevelsConcat,_xlfn.SWITCH(Renewables_Heat_Backend[[#This Row],[Methodology]],"Tier 1",rng_RSD1,"Tier 2",rng_RSD2,"Tier 3",rng_RSD3)))</f>
        <v>#N/A</v>
      </c>
      <c r="AK152" s="174">
        <f>Renewables_Heat_Frontend[[#This Row],[Age (years)]]</f>
        <v>0</v>
      </c>
      <c r="AL152" s="218" t="s">
        <v>1848</v>
      </c>
      <c r="AM152" s="174">
        <f>Renewables_Heat_Frontend[[#This Row],[Total MW capacity]]</f>
        <v>0</v>
      </c>
      <c r="AN152" s="220">
        <f>Renewables_Heat_Frontend[[#This Row],[Total kWh generated]]</f>
        <v>0</v>
      </c>
      <c r="AO152" s="412">
        <f>Renewables_Heat_Frontend[[#This Row],[kWh consumed by reporting organisation]]</f>
        <v>0</v>
      </c>
      <c r="AP152" s="412">
        <f>Renewables_Heat_Frontend[[#This Row],[kWh exported to grid]]</f>
        <v>0</v>
      </c>
      <c r="AQ152" s="412">
        <f>Renewables_Heat_Frontend[[#This Row],[kWh exported to other PSB]]</f>
        <v>0</v>
      </c>
      <c r="AR152" s="220">
        <f>Renewables_Heat_Frontend[[#This Row],[Name of other PSB]]</f>
        <v>0</v>
      </c>
      <c r="AS152" s="220">
        <f>Renewables_Heat_Frontend[[#This Row],[Ease of collection]]</f>
        <v>0</v>
      </c>
      <c r="AT152" s="174">
        <f>Renewables_Heat_Frontend[[#This Row],[Completeness]]</f>
        <v>0</v>
      </c>
      <c r="AU152" s="174">
        <f>Renewables_Heat_Frontend[[#This Row],[Notes]]</f>
        <v>0</v>
      </c>
    </row>
    <row r="153" spans="2:47" x14ac:dyDescent="0.35">
      <c r="B153" s="146"/>
      <c r="E153" s="270"/>
      <c r="F153" s="268"/>
      <c r="G153" s="268"/>
      <c r="H153" s="268"/>
      <c r="I153" s="268"/>
      <c r="J153" s="268"/>
      <c r="K153" s="269"/>
      <c r="L153" s="269"/>
      <c r="M153" s="280">
        <f>Renewables_Heat_Frontend[[#This Row],[kWh consumed by reporting organisation]]+Renewables_Heat_Frontend[[#This Row],[kWh exported to grid]]+Renewables_Heat_Frontend[[#This Row],[kWh exported to other PSB]]</f>
        <v>0</v>
      </c>
      <c r="N153" s="281"/>
      <c r="O153" s="281"/>
      <c r="P153" s="282"/>
      <c r="Q153" s="282"/>
      <c r="R153" s="284"/>
      <c r="S153" s="284"/>
      <c r="T153" s="285"/>
      <c r="U153" s="329"/>
      <c r="V153" s="242">
        <f t="shared" si="6"/>
        <v>10</v>
      </c>
      <c r="Z153" s="212" t="str">
        <f t="shared" ref="Z153:Z184" si="7">IF($V153=0,SUBSTITUTE(2025&amp;TRIM(cl_org_name_select)&amp;TRIM($E$118)&amp;(ROW(V153)-ROW($V$1121))," ",""),"")</f>
        <v/>
      </c>
      <c r="AA153" s="174"/>
      <c r="AB153" s="174"/>
      <c r="AC153" s="174">
        <f>Renewables_Heat_Frontend[[#This Row],[Renewable Type]]</f>
        <v>0</v>
      </c>
      <c r="AD153" s="174" t="e" cm="1">
        <f t="array" aca="1" ref="AD153" ca="1">_xlfn.XLOOKUP(Renewables_Heat_Backend[[#This Row],[Level 3]],rng_Level3Long,rng_Level4Long)</f>
        <v>#N/A</v>
      </c>
      <c r="AE153" s="174" t="e" cm="1">
        <f t="array" aca="1" ref="AE153" ca="1">_xlfn.XLOOKUP(Renewables_Heat_Backend[[#This Row],[Level 3]],rng_Level3Long,rng_Level5Long)</f>
        <v>#N/A</v>
      </c>
      <c r="AF153" s="174" t="e" cm="1">
        <f t="array" aca="1" ref="AF153" ca="1">_xlfn.XLOOKUP(Renewables_Heat_Backend[[#This Row],[Level 3]],rng_Level3Long,rng_Level6Long)</f>
        <v>#N/A</v>
      </c>
      <c r="AG153" s="174">
        <f>Renewables_Heat_Frontend[[#This Row],[Generating site name]]</f>
        <v>0</v>
      </c>
      <c r="AH153" s="174"/>
      <c r="AI153" s="174">
        <f>Renewables_Heat_Frontend[[#This Row],[Methodology used]]</f>
        <v>0</v>
      </c>
      <c r="AJ153" s="220" t="e" cm="1">
        <f t="array" aca="1" ref="AJ153" ca="1">_xlfn.LET(_xlpm.LookupConcat,_xlfn.CONCAT(Renewables_Heat_Backend[[#This Row],[Level 1]:[Level 6]]), _xlfn.XLOOKUP(_xlpm.LookupConcat,rng_LevelsConcat,_xlfn.SWITCH(Renewables_Heat_Backend[[#This Row],[Methodology]],"Tier 1",rng_RSD1,"Tier 2",rng_RSD2,"Tier 3",rng_RSD3)))</f>
        <v>#N/A</v>
      </c>
      <c r="AK153" s="174">
        <f>Renewables_Heat_Frontend[[#This Row],[Age (years)]]</f>
        <v>0</v>
      </c>
      <c r="AL153" s="218" t="s">
        <v>1848</v>
      </c>
      <c r="AM153" s="174">
        <f>Renewables_Heat_Frontend[[#This Row],[Total MW capacity]]</f>
        <v>0</v>
      </c>
      <c r="AN153" s="220">
        <f>Renewables_Heat_Frontend[[#This Row],[Total kWh generated]]</f>
        <v>0</v>
      </c>
      <c r="AO153" s="412">
        <f>Renewables_Heat_Frontend[[#This Row],[kWh consumed by reporting organisation]]</f>
        <v>0</v>
      </c>
      <c r="AP153" s="412">
        <f>Renewables_Heat_Frontend[[#This Row],[kWh exported to grid]]</f>
        <v>0</v>
      </c>
      <c r="AQ153" s="412">
        <f>Renewables_Heat_Frontend[[#This Row],[kWh exported to other PSB]]</f>
        <v>0</v>
      </c>
      <c r="AR153" s="220">
        <f>Renewables_Heat_Frontend[[#This Row],[Name of other PSB]]</f>
        <v>0</v>
      </c>
      <c r="AS153" s="220">
        <f>Renewables_Heat_Frontend[[#This Row],[Ease of collection]]</f>
        <v>0</v>
      </c>
      <c r="AT153" s="174">
        <f>Renewables_Heat_Frontend[[#This Row],[Completeness]]</f>
        <v>0</v>
      </c>
      <c r="AU153" s="174">
        <f>Renewables_Heat_Frontend[[#This Row],[Notes]]</f>
        <v>0</v>
      </c>
    </row>
    <row r="154" spans="2:47" x14ac:dyDescent="0.35">
      <c r="B154" s="146"/>
      <c r="E154" s="270"/>
      <c r="F154" s="268"/>
      <c r="G154" s="268"/>
      <c r="H154" s="268"/>
      <c r="I154" s="268"/>
      <c r="J154" s="268"/>
      <c r="K154" s="269"/>
      <c r="L154" s="269"/>
      <c r="M154" s="280">
        <f>Renewables_Heat_Frontend[[#This Row],[kWh consumed by reporting organisation]]+Renewables_Heat_Frontend[[#This Row],[kWh exported to grid]]+Renewables_Heat_Frontend[[#This Row],[kWh exported to other PSB]]</f>
        <v>0</v>
      </c>
      <c r="N154" s="281"/>
      <c r="O154" s="281"/>
      <c r="P154" s="282"/>
      <c r="Q154" s="282"/>
      <c r="R154" s="284"/>
      <c r="S154" s="284"/>
      <c r="T154" s="285"/>
      <c r="U154" s="329"/>
      <c r="V154" s="242">
        <f t="shared" si="6"/>
        <v>10</v>
      </c>
      <c r="Z154" s="212" t="str">
        <f t="shared" si="7"/>
        <v/>
      </c>
      <c r="AA154" s="174"/>
      <c r="AB154" s="174"/>
      <c r="AC154" s="174">
        <f>Renewables_Heat_Frontend[[#This Row],[Renewable Type]]</f>
        <v>0</v>
      </c>
      <c r="AD154" s="174" t="e" cm="1">
        <f t="array" aca="1" ref="AD154" ca="1">_xlfn.XLOOKUP(Renewables_Heat_Backend[[#This Row],[Level 3]],rng_Level3Long,rng_Level4Long)</f>
        <v>#N/A</v>
      </c>
      <c r="AE154" s="174" t="e" cm="1">
        <f t="array" aca="1" ref="AE154" ca="1">_xlfn.XLOOKUP(Renewables_Heat_Backend[[#This Row],[Level 3]],rng_Level3Long,rng_Level5Long)</f>
        <v>#N/A</v>
      </c>
      <c r="AF154" s="174" t="e" cm="1">
        <f t="array" aca="1" ref="AF154" ca="1">_xlfn.XLOOKUP(Renewables_Heat_Backend[[#This Row],[Level 3]],rng_Level3Long,rng_Level6Long)</f>
        <v>#N/A</v>
      </c>
      <c r="AG154" s="174">
        <f>Renewables_Heat_Frontend[[#This Row],[Generating site name]]</f>
        <v>0</v>
      </c>
      <c r="AH154" s="174"/>
      <c r="AI154" s="174">
        <f>Renewables_Heat_Frontend[[#This Row],[Methodology used]]</f>
        <v>0</v>
      </c>
      <c r="AJ154" s="220" t="e" cm="1">
        <f t="array" aca="1" ref="AJ154" ca="1">_xlfn.LET(_xlpm.LookupConcat,_xlfn.CONCAT(Renewables_Heat_Backend[[#This Row],[Level 1]:[Level 6]]), _xlfn.XLOOKUP(_xlpm.LookupConcat,rng_LevelsConcat,_xlfn.SWITCH(Renewables_Heat_Backend[[#This Row],[Methodology]],"Tier 1",rng_RSD1,"Tier 2",rng_RSD2,"Tier 3",rng_RSD3)))</f>
        <v>#N/A</v>
      </c>
      <c r="AK154" s="174">
        <f>Renewables_Heat_Frontend[[#This Row],[Age (years)]]</f>
        <v>0</v>
      </c>
      <c r="AL154" s="218" t="s">
        <v>1848</v>
      </c>
      <c r="AM154" s="174">
        <f>Renewables_Heat_Frontend[[#This Row],[Total MW capacity]]</f>
        <v>0</v>
      </c>
      <c r="AN154" s="220">
        <f>Renewables_Heat_Frontend[[#This Row],[Total kWh generated]]</f>
        <v>0</v>
      </c>
      <c r="AO154" s="412">
        <f>Renewables_Heat_Frontend[[#This Row],[kWh consumed by reporting organisation]]</f>
        <v>0</v>
      </c>
      <c r="AP154" s="412">
        <f>Renewables_Heat_Frontend[[#This Row],[kWh exported to grid]]</f>
        <v>0</v>
      </c>
      <c r="AQ154" s="412">
        <f>Renewables_Heat_Frontend[[#This Row],[kWh exported to other PSB]]</f>
        <v>0</v>
      </c>
      <c r="AR154" s="220">
        <f>Renewables_Heat_Frontend[[#This Row],[Name of other PSB]]</f>
        <v>0</v>
      </c>
      <c r="AS154" s="220">
        <f>Renewables_Heat_Frontend[[#This Row],[Ease of collection]]</f>
        <v>0</v>
      </c>
      <c r="AT154" s="174">
        <f>Renewables_Heat_Frontend[[#This Row],[Completeness]]</f>
        <v>0</v>
      </c>
      <c r="AU154" s="174">
        <f>Renewables_Heat_Frontend[[#This Row],[Notes]]</f>
        <v>0</v>
      </c>
    </row>
    <row r="155" spans="2:47" x14ac:dyDescent="0.35">
      <c r="B155" s="146"/>
      <c r="E155" s="270"/>
      <c r="F155" s="268"/>
      <c r="G155" s="268"/>
      <c r="H155" s="268"/>
      <c r="I155" s="268"/>
      <c r="J155" s="268"/>
      <c r="K155" s="269"/>
      <c r="L155" s="269"/>
      <c r="M155" s="280">
        <f>Renewables_Heat_Frontend[[#This Row],[kWh consumed by reporting organisation]]+Renewables_Heat_Frontend[[#This Row],[kWh exported to grid]]+Renewables_Heat_Frontend[[#This Row],[kWh exported to other PSB]]</f>
        <v>0</v>
      </c>
      <c r="N155" s="281"/>
      <c r="O155" s="281"/>
      <c r="P155" s="282"/>
      <c r="Q155" s="282"/>
      <c r="R155" s="284"/>
      <c r="S155" s="284"/>
      <c r="T155" s="285"/>
      <c r="U155" s="329"/>
      <c r="V155" s="242">
        <f t="shared" si="6"/>
        <v>10</v>
      </c>
      <c r="Z155" s="212" t="str">
        <f t="shared" si="7"/>
        <v/>
      </c>
      <c r="AA155" s="174"/>
      <c r="AB155" s="174"/>
      <c r="AC155" s="174">
        <f>Renewables_Heat_Frontend[[#This Row],[Renewable Type]]</f>
        <v>0</v>
      </c>
      <c r="AD155" s="174" t="e" cm="1">
        <f t="array" aca="1" ref="AD155" ca="1">_xlfn.XLOOKUP(Renewables_Heat_Backend[[#This Row],[Level 3]],rng_Level3Long,rng_Level4Long)</f>
        <v>#N/A</v>
      </c>
      <c r="AE155" s="174" t="e" cm="1">
        <f t="array" aca="1" ref="AE155" ca="1">_xlfn.XLOOKUP(Renewables_Heat_Backend[[#This Row],[Level 3]],rng_Level3Long,rng_Level5Long)</f>
        <v>#N/A</v>
      </c>
      <c r="AF155" s="174" t="e" cm="1">
        <f t="array" aca="1" ref="AF155" ca="1">_xlfn.XLOOKUP(Renewables_Heat_Backend[[#This Row],[Level 3]],rng_Level3Long,rng_Level6Long)</f>
        <v>#N/A</v>
      </c>
      <c r="AG155" s="174">
        <f>Renewables_Heat_Frontend[[#This Row],[Generating site name]]</f>
        <v>0</v>
      </c>
      <c r="AH155" s="174"/>
      <c r="AI155" s="174">
        <f>Renewables_Heat_Frontend[[#This Row],[Methodology used]]</f>
        <v>0</v>
      </c>
      <c r="AJ155" s="220" t="e" cm="1">
        <f t="array" aca="1" ref="AJ155" ca="1">_xlfn.LET(_xlpm.LookupConcat,_xlfn.CONCAT(Renewables_Heat_Backend[[#This Row],[Level 1]:[Level 6]]), _xlfn.XLOOKUP(_xlpm.LookupConcat,rng_LevelsConcat,_xlfn.SWITCH(Renewables_Heat_Backend[[#This Row],[Methodology]],"Tier 1",rng_RSD1,"Tier 2",rng_RSD2,"Tier 3",rng_RSD3)))</f>
        <v>#N/A</v>
      </c>
      <c r="AK155" s="174">
        <f>Renewables_Heat_Frontend[[#This Row],[Age (years)]]</f>
        <v>0</v>
      </c>
      <c r="AL155" s="218" t="s">
        <v>1848</v>
      </c>
      <c r="AM155" s="174">
        <f>Renewables_Heat_Frontend[[#This Row],[Total MW capacity]]</f>
        <v>0</v>
      </c>
      <c r="AN155" s="220">
        <f>Renewables_Heat_Frontend[[#This Row],[Total kWh generated]]</f>
        <v>0</v>
      </c>
      <c r="AO155" s="412">
        <f>Renewables_Heat_Frontend[[#This Row],[kWh consumed by reporting organisation]]</f>
        <v>0</v>
      </c>
      <c r="AP155" s="412">
        <f>Renewables_Heat_Frontend[[#This Row],[kWh exported to grid]]</f>
        <v>0</v>
      </c>
      <c r="AQ155" s="412">
        <f>Renewables_Heat_Frontend[[#This Row],[kWh exported to other PSB]]</f>
        <v>0</v>
      </c>
      <c r="AR155" s="220">
        <f>Renewables_Heat_Frontend[[#This Row],[Name of other PSB]]</f>
        <v>0</v>
      </c>
      <c r="AS155" s="220">
        <f>Renewables_Heat_Frontend[[#This Row],[Ease of collection]]</f>
        <v>0</v>
      </c>
      <c r="AT155" s="174">
        <f>Renewables_Heat_Frontend[[#This Row],[Completeness]]</f>
        <v>0</v>
      </c>
      <c r="AU155" s="174">
        <f>Renewables_Heat_Frontend[[#This Row],[Notes]]</f>
        <v>0</v>
      </c>
    </row>
    <row r="156" spans="2:47" x14ac:dyDescent="0.35">
      <c r="B156" s="146"/>
      <c r="E156" s="270"/>
      <c r="F156" s="268"/>
      <c r="G156" s="268"/>
      <c r="H156" s="268"/>
      <c r="I156" s="268"/>
      <c r="J156" s="268"/>
      <c r="K156" s="269"/>
      <c r="L156" s="269"/>
      <c r="M156" s="280">
        <f>Renewables_Heat_Frontend[[#This Row],[kWh consumed by reporting organisation]]+Renewables_Heat_Frontend[[#This Row],[kWh exported to grid]]+Renewables_Heat_Frontend[[#This Row],[kWh exported to other PSB]]</f>
        <v>0</v>
      </c>
      <c r="N156" s="281"/>
      <c r="O156" s="281"/>
      <c r="P156" s="282"/>
      <c r="Q156" s="282"/>
      <c r="R156" s="284"/>
      <c r="S156" s="284"/>
      <c r="T156" s="285"/>
      <c r="U156" s="329"/>
      <c r="V156" s="242">
        <f t="shared" si="6"/>
        <v>10</v>
      </c>
      <c r="Z156" s="212" t="str">
        <f t="shared" si="7"/>
        <v/>
      </c>
      <c r="AA156" s="174"/>
      <c r="AB156" s="174"/>
      <c r="AC156" s="174">
        <f>Renewables_Heat_Frontend[[#This Row],[Renewable Type]]</f>
        <v>0</v>
      </c>
      <c r="AD156" s="174" t="e" cm="1">
        <f t="array" aca="1" ref="AD156" ca="1">_xlfn.XLOOKUP(Renewables_Heat_Backend[[#This Row],[Level 3]],rng_Level3Long,rng_Level4Long)</f>
        <v>#N/A</v>
      </c>
      <c r="AE156" s="174" t="e" cm="1">
        <f t="array" aca="1" ref="AE156" ca="1">_xlfn.XLOOKUP(Renewables_Heat_Backend[[#This Row],[Level 3]],rng_Level3Long,rng_Level5Long)</f>
        <v>#N/A</v>
      </c>
      <c r="AF156" s="174" t="e" cm="1">
        <f t="array" aca="1" ref="AF156" ca="1">_xlfn.XLOOKUP(Renewables_Heat_Backend[[#This Row],[Level 3]],rng_Level3Long,rng_Level6Long)</f>
        <v>#N/A</v>
      </c>
      <c r="AG156" s="174">
        <f>Renewables_Heat_Frontend[[#This Row],[Generating site name]]</f>
        <v>0</v>
      </c>
      <c r="AH156" s="174"/>
      <c r="AI156" s="174">
        <f>Renewables_Heat_Frontend[[#This Row],[Methodology used]]</f>
        <v>0</v>
      </c>
      <c r="AJ156" s="220" t="e" cm="1">
        <f t="array" aca="1" ref="AJ156" ca="1">_xlfn.LET(_xlpm.LookupConcat,_xlfn.CONCAT(Renewables_Heat_Backend[[#This Row],[Level 1]:[Level 6]]), _xlfn.XLOOKUP(_xlpm.LookupConcat,rng_LevelsConcat,_xlfn.SWITCH(Renewables_Heat_Backend[[#This Row],[Methodology]],"Tier 1",rng_RSD1,"Tier 2",rng_RSD2,"Tier 3",rng_RSD3)))</f>
        <v>#N/A</v>
      </c>
      <c r="AK156" s="174">
        <f>Renewables_Heat_Frontend[[#This Row],[Age (years)]]</f>
        <v>0</v>
      </c>
      <c r="AL156" s="218" t="s">
        <v>1848</v>
      </c>
      <c r="AM156" s="174">
        <f>Renewables_Heat_Frontend[[#This Row],[Total MW capacity]]</f>
        <v>0</v>
      </c>
      <c r="AN156" s="220">
        <f>Renewables_Heat_Frontend[[#This Row],[Total kWh generated]]</f>
        <v>0</v>
      </c>
      <c r="AO156" s="412">
        <f>Renewables_Heat_Frontend[[#This Row],[kWh consumed by reporting organisation]]</f>
        <v>0</v>
      </c>
      <c r="AP156" s="412">
        <f>Renewables_Heat_Frontend[[#This Row],[kWh exported to grid]]</f>
        <v>0</v>
      </c>
      <c r="AQ156" s="412">
        <f>Renewables_Heat_Frontend[[#This Row],[kWh exported to other PSB]]</f>
        <v>0</v>
      </c>
      <c r="AR156" s="220">
        <f>Renewables_Heat_Frontend[[#This Row],[Name of other PSB]]</f>
        <v>0</v>
      </c>
      <c r="AS156" s="220">
        <f>Renewables_Heat_Frontend[[#This Row],[Ease of collection]]</f>
        <v>0</v>
      </c>
      <c r="AT156" s="174">
        <f>Renewables_Heat_Frontend[[#This Row],[Completeness]]</f>
        <v>0</v>
      </c>
      <c r="AU156" s="174">
        <f>Renewables_Heat_Frontend[[#This Row],[Notes]]</f>
        <v>0</v>
      </c>
    </row>
    <row r="157" spans="2:47" x14ac:dyDescent="0.35">
      <c r="B157" s="146"/>
      <c r="E157" s="270"/>
      <c r="F157" s="268"/>
      <c r="G157" s="268"/>
      <c r="H157" s="268"/>
      <c r="I157" s="268"/>
      <c r="J157" s="268"/>
      <c r="K157" s="269"/>
      <c r="L157" s="269"/>
      <c r="M157" s="280">
        <f>Renewables_Heat_Frontend[[#This Row],[kWh consumed by reporting organisation]]+Renewables_Heat_Frontend[[#This Row],[kWh exported to grid]]+Renewables_Heat_Frontend[[#This Row],[kWh exported to other PSB]]</f>
        <v>0</v>
      </c>
      <c r="N157" s="281"/>
      <c r="O157" s="281"/>
      <c r="P157" s="282"/>
      <c r="Q157" s="282"/>
      <c r="R157" s="284"/>
      <c r="S157" s="284"/>
      <c r="T157" s="285"/>
      <c r="U157" s="329"/>
      <c r="V157" s="242">
        <f t="shared" si="6"/>
        <v>10</v>
      </c>
      <c r="Z157" s="212" t="str">
        <f t="shared" si="7"/>
        <v/>
      </c>
      <c r="AA157" s="174"/>
      <c r="AB157" s="174"/>
      <c r="AC157" s="174">
        <f>Renewables_Heat_Frontend[[#This Row],[Renewable Type]]</f>
        <v>0</v>
      </c>
      <c r="AD157" s="174" t="e" cm="1">
        <f t="array" aca="1" ref="AD157" ca="1">_xlfn.XLOOKUP(Renewables_Heat_Backend[[#This Row],[Level 3]],rng_Level3Long,rng_Level4Long)</f>
        <v>#N/A</v>
      </c>
      <c r="AE157" s="174" t="e" cm="1">
        <f t="array" aca="1" ref="AE157" ca="1">_xlfn.XLOOKUP(Renewables_Heat_Backend[[#This Row],[Level 3]],rng_Level3Long,rng_Level5Long)</f>
        <v>#N/A</v>
      </c>
      <c r="AF157" s="174" t="e" cm="1">
        <f t="array" aca="1" ref="AF157" ca="1">_xlfn.XLOOKUP(Renewables_Heat_Backend[[#This Row],[Level 3]],rng_Level3Long,rng_Level6Long)</f>
        <v>#N/A</v>
      </c>
      <c r="AG157" s="174">
        <f>Renewables_Heat_Frontend[[#This Row],[Generating site name]]</f>
        <v>0</v>
      </c>
      <c r="AH157" s="174"/>
      <c r="AI157" s="174">
        <f>Renewables_Heat_Frontend[[#This Row],[Methodology used]]</f>
        <v>0</v>
      </c>
      <c r="AJ157" s="220" t="e" cm="1">
        <f t="array" aca="1" ref="AJ157" ca="1">_xlfn.LET(_xlpm.LookupConcat,_xlfn.CONCAT(Renewables_Heat_Backend[[#This Row],[Level 1]:[Level 6]]), _xlfn.XLOOKUP(_xlpm.LookupConcat,rng_LevelsConcat,_xlfn.SWITCH(Renewables_Heat_Backend[[#This Row],[Methodology]],"Tier 1",rng_RSD1,"Tier 2",rng_RSD2,"Tier 3",rng_RSD3)))</f>
        <v>#N/A</v>
      </c>
      <c r="AK157" s="174">
        <f>Renewables_Heat_Frontend[[#This Row],[Age (years)]]</f>
        <v>0</v>
      </c>
      <c r="AL157" s="218" t="s">
        <v>1848</v>
      </c>
      <c r="AM157" s="174">
        <f>Renewables_Heat_Frontend[[#This Row],[Total MW capacity]]</f>
        <v>0</v>
      </c>
      <c r="AN157" s="220">
        <f>Renewables_Heat_Frontend[[#This Row],[Total kWh generated]]</f>
        <v>0</v>
      </c>
      <c r="AO157" s="412">
        <f>Renewables_Heat_Frontend[[#This Row],[kWh consumed by reporting organisation]]</f>
        <v>0</v>
      </c>
      <c r="AP157" s="412">
        <f>Renewables_Heat_Frontend[[#This Row],[kWh exported to grid]]</f>
        <v>0</v>
      </c>
      <c r="AQ157" s="412">
        <f>Renewables_Heat_Frontend[[#This Row],[kWh exported to other PSB]]</f>
        <v>0</v>
      </c>
      <c r="AR157" s="220">
        <f>Renewables_Heat_Frontend[[#This Row],[Name of other PSB]]</f>
        <v>0</v>
      </c>
      <c r="AS157" s="220">
        <f>Renewables_Heat_Frontend[[#This Row],[Ease of collection]]</f>
        <v>0</v>
      </c>
      <c r="AT157" s="174">
        <f>Renewables_Heat_Frontend[[#This Row],[Completeness]]</f>
        <v>0</v>
      </c>
      <c r="AU157" s="174">
        <f>Renewables_Heat_Frontend[[#This Row],[Notes]]</f>
        <v>0</v>
      </c>
    </row>
    <row r="158" spans="2:47" x14ac:dyDescent="0.35">
      <c r="B158" s="146"/>
      <c r="E158" s="270"/>
      <c r="F158" s="268"/>
      <c r="G158" s="268"/>
      <c r="H158" s="268"/>
      <c r="I158" s="268"/>
      <c r="J158" s="268"/>
      <c r="K158" s="269"/>
      <c r="L158" s="269"/>
      <c r="M158" s="280">
        <f>Renewables_Heat_Frontend[[#This Row],[kWh consumed by reporting organisation]]+Renewables_Heat_Frontend[[#This Row],[kWh exported to grid]]+Renewables_Heat_Frontend[[#This Row],[kWh exported to other PSB]]</f>
        <v>0</v>
      </c>
      <c r="N158" s="281"/>
      <c r="O158" s="281"/>
      <c r="P158" s="282"/>
      <c r="Q158" s="282"/>
      <c r="R158" s="284"/>
      <c r="S158" s="284"/>
      <c r="T158" s="285"/>
      <c r="U158" s="329"/>
      <c r="V158" s="242">
        <f t="shared" si="6"/>
        <v>10</v>
      </c>
      <c r="Z158" s="212" t="str">
        <f t="shared" si="7"/>
        <v/>
      </c>
      <c r="AA158" s="174"/>
      <c r="AB158" s="174"/>
      <c r="AC158" s="174">
        <f>Renewables_Heat_Frontend[[#This Row],[Renewable Type]]</f>
        <v>0</v>
      </c>
      <c r="AD158" s="174" t="e" cm="1">
        <f t="array" aca="1" ref="AD158" ca="1">_xlfn.XLOOKUP(Renewables_Heat_Backend[[#This Row],[Level 3]],rng_Level3Long,rng_Level4Long)</f>
        <v>#N/A</v>
      </c>
      <c r="AE158" s="174" t="e" cm="1">
        <f t="array" aca="1" ref="AE158" ca="1">_xlfn.XLOOKUP(Renewables_Heat_Backend[[#This Row],[Level 3]],rng_Level3Long,rng_Level5Long)</f>
        <v>#N/A</v>
      </c>
      <c r="AF158" s="174" t="e" cm="1">
        <f t="array" aca="1" ref="AF158" ca="1">_xlfn.XLOOKUP(Renewables_Heat_Backend[[#This Row],[Level 3]],rng_Level3Long,rng_Level6Long)</f>
        <v>#N/A</v>
      </c>
      <c r="AG158" s="174">
        <f>Renewables_Heat_Frontend[[#This Row],[Generating site name]]</f>
        <v>0</v>
      </c>
      <c r="AH158" s="174"/>
      <c r="AI158" s="174">
        <f>Renewables_Heat_Frontend[[#This Row],[Methodology used]]</f>
        <v>0</v>
      </c>
      <c r="AJ158" s="220" t="e" cm="1">
        <f t="array" aca="1" ref="AJ158" ca="1">_xlfn.LET(_xlpm.LookupConcat,_xlfn.CONCAT(Renewables_Heat_Backend[[#This Row],[Level 1]:[Level 6]]), _xlfn.XLOOKUP(_xlpm.LookupConcat,rng_LevelsConcat,_xlfn.SWITCH(Renewables_Heat_Backend[[#This Row],[Methodology]],"Tier 1",rng_RSD1,"Tier 2",rng_RSD2,"Tier 3",rng_RSD3)))</f>
        <v>#N/A</v>
      </c>
      <c r="AK158" s="174">
        <f>Renewables_Heat_Frontend[[#This Row],[Age (years)]]</f>
        <v>0</v>
      </c>
      <c r="AL158" s="218" t="s">
        <v>1848</v>
      </c>
      <c r="AM158" s="174">
        <f>Renewables_Heat_Frontend[[#This Row],[Total MW capacity]]</f>
        <v>0</v>
      </c>
      <c r="AN158" s="220">
        <f>Renewables_Heat_Frontend[[#This Row],[Total kWh generated]]</f>
        <v>0</v>
      </c>
      <c r="AO158" s="412">
        <f>Renewables_Heat_Frontend[[#This Row],[kWh consumed by reporting organisation]]</f>
        <v>0</v>
      </c>
      <c r="AP158" s="412">
        <f>Renewables_Heat_Frontend[[#This Row],[kWh exported to grid]]</f>
        <v>0</v>
      </c>
      <c r="AQ158" s="412">
        <f>Renewables_Heat_Frontend[[#This Row],[kWh exported to other PSB]]</f>
        <v>0</v>
      </c>
      <c r="AR158" s="220">
        <f>Renewables_Heat_Frontend[[#This Row],[Name of other PSB]]</f>
        <v>0</v>
      </c>
      <c r="AS158" s="220">
        <f>Renewables_Heat_Frontend[[#This Row],[Ease of collection]]</f>
        <v>0</v>
      </c>
      <c r="AT158" s="174">
        <f>Renewables_Heat_Frontend[[#This Row],[Completeness]]</f>
        <v>0</v>
      </c>
      <c r="AU158" s="174">
        <f>Renewables_Heat_Frontend[[#This Row],[Notes]]</f>
        <v>0</v>
      </c>
    </row>
    <row r="159" spans="2:47" x14ac:dyDescent="0.35">
      <c r="B159" s="146"/>
      <c r="E159" s="270"/>
      <c r="F159" s="268"/>
      <c r="G159" s="268"/>
      <c r="H159" s="268"/>
      <c r="I159" s="268"/>
      <c r="J159" s="268"/>
      <c r="K159" s="269"/>
      <c r="L159" s="269"/>
      <c r="M159" s="280">
        <f>Renewables_Heat_Frontend[[#This Row],[kWh consumed by reporting organisation]]+Renewables_Heat_Frontend[[#This Row],[kWh exported to grid]]+Renewables_Heat_Frontend[[#This Row],[kWh exported to other PSB]]</f>
        <v>0</v>
      </c>
      <c r="N159" s="281"/>
      <c r="O159" s="281"/>
      <c r="P159" s="282"/>
      <c r="Q159" s="282"/>
      <c r="R159" s="284"/>
      <c r="S159" s="284"/>
      <c r="T159" s="285"/>
      <c r="U159" s="329"/>
      <c r="V159" s="242">
        <f t="shared" si="6"/>
        <v>10</v>
      </c>
      <c r="Z159" s="212" t="str">
        <f t="shared" si="7"/>
        <v/>
      </c>
      <c r="AA159" s="174"/>
      <c r="AB159" s="174"/>
      <c r="AC159" s="174">
        <f>Renewables_Heat_Frontend[[#This Row],[Renewable Type]]</f>
        <v>0</v>
      </c>
      <c r="AD159" s="174" t="e" cm="1">
        <f t="array" aca="1" ref="AD159" ca="1">_xlfn.XLOOKUP(Renewables_Heat_Backend[[#This Row],[Level 3]],rng_Level3Long,rng_Level4Long)</f>
        <v>#N/A</v>
      </c>
      <c r="AE159" s="174" t="e" cm="1">
        <f t="array" aca="1" ref="AE159" ca="1">_xlfn.XLOOKUP(Renewables_Heat_Backend[[#This Row],[Level 3]],rng_Level3Long,rng_Level5Long)</f>
        <v>#N/A</v>
      </c>
      <c r="AF159" s="174" t="e" cm="1">
        <f t="array" aca="1" ref="AF159" ca="1">_xlfn.XLOOKUP(Renewables_Heat_Backend[[#This Row],[Level 3]],rng_Level3Long,rng_Level6Long)</f>
        <v>#N/A</v>
      </c>
      <c r="AG159" s="174">
        <f>Renewables_Heat_Frontend[[#This Row],[Generating site name]]</f>
        <v>0</v>
      </c>
      <c r="AH159" s="174"/>
      <c r="AI159" s="174">
        <f>Renewables_Heat_Frontend[[#This Row],[Methodology used]]</f>
        <v>0</v>
      </c>
      <c r="AJ159" s="220" t="e" cm="1">
        <f t="array" aca="1" ref="AJ159" ca="1">_xlfn.LET(_xlpm.LookupConcat,_xlfn.CONCAT(Renewables_Heat_Backend[[#This Row],[Level 1]:[Level 6]]), _xlfn.XLOOKUP(_xlpm.LookupConcat,rng_LevelsConcat,_xlfn.SWITCH(Renewables_Heat_Backend[[#This Row],[Methodology]],"Tier 1",rng_RSD1,"Tier 2",rng_RSD2,"Tier 3",rng_RSD3)))</f>
        <v>#N/A</v>
      </c>
      <c r="AK159" s="174">
        <f>Renewables_Heat_Frontend[[#This Row],[Age (years)]]</f>
        <v>0</v>
      </c>
      <c r="AL159" s="218" t="s">
        <v>1848</v>
      </c>
      <c r="AM159" s="174">
        <f>Renewables_Heat_Frontend[[#This Row],[Total MW capacity]]</f>
        <v>0</v>
      </c>
      <c r="AN159" s="220">
        <f>Renewables_Heat_Frontend[[#This Row],[Total kWh generated]]</f>
        <v>0</v>
      </c>
      <c r="AO159" s="412">
        <f>Renewables_Heat_Frontend[[#This Row],[kWh consumed by reporting organisation]]</f>
        <v>0</v>
      </c>
      <c r="AP159" s="412">
        <f>Renewables_Heat_Frontend[[#This Row],[kWh exported to grid]]</f>
        <v>0</v>
      </c>
      <c r="AQ159" s="412">
        <f>Renewables_Heat_Frontend[[#This Row],[kWh exported to other PSB]]</f>
        <v>0</v>
      </c>
      <c r="AR159" s="220">
        <f>Renewables_Heat_Frontend[[#This Row],[Name of other PSB]]</f>
        <v>0</v>
      </c>
      <c r="AS159" s="220">
        <f>Renewables_Heat_Frontend[[#This Row],[Ease of collection]]</f>
        <v>0</v>
      </c>
      <c r="AT159" s="174">
        <f>Renewables_Heat_Frontend[[#This Row],[Completeness]]</f>
        <v>0</v>
      </c>
      <c r="AU159" s="174">
        <f>Renewables_Heat_Frontend[[#This Row],[Notes]]</f>
        <v>0</v>
      </c>
    </row>
    <row r="160" spans="2:47" x14ac:dyDescent="0.35">
      <c r="B160" s="146"/>
      <c r="E160" s="270"/>
      <c r="F160" s="268"/>
      <c r="G160" s="268"/>
      <c r="H160" s="268"/>
      <c r="I160" s="268"/>
      <c r="J160" s="268"/>
      <c r="K160" s="269"/>
      <c r="L160" s="269"/>
      <c r="M160" s="280">
        <f>Renewables_Heat_Frontend[[#This Row],[kWh consumed by reporting organisation]]+Renewables_Heat_Frontend[[#This Row],[kWh exported to grid]]+Renewables_Heat_Frontend[[#This Row],[kWh exported to other PSB]]</f>
        <v>0</v>
      </c>
      <c r="N160" s="281"/>
      <c r="O160" s="281"/>
      <c r="P160" s="282"/>
      <c r="Q160" s="282"/>
      <c r="R160" s="284"/>
      <c r="S160" s="284"/>
      <c r="T160" s="285"/>
      <c r="U160" s="329"/>
      <c r="V160" s="242">
        <f t="shared" si="6"/>
        <v>10</v>
      </c>
      <c r="Z160" s="212" t="str">
        <f t="shared" si="7"/>
        <v/>
      </c>
      <c r="AA160" s="174"/>
      <c r="AB160" s="174"/>
      <c r="AC160" s="174">
        <f>Renewables_Heat_Frontend[[#This Row],[Renewable Type]]</f>
        <v>0</v>
      </c>
      <c r="AD160" s="174" t="e" cm="1">
        <f t="array" aca="1" ref="AD160" ca="1">_xlfn.XLOOKUP(Renewables_Heat_Backend[[#This Row],[Level 3]],rng_Level3Long,rng_Level4Long)</f>
        <v>#N/A</v>
      </c>
      <c r="AE160" s="174" t="e" cm="1">
        <f t="array" aca="1" ref="AE160" ca="1">_xlfn.XLOOKUP(Renewables_Heat_Backend[[#This Row],[Level 3]],rng_Level3Long,rng_Level5Long)</f>
        <v>#N/A</v>
      </c>
      <c r="AF160" s="174" t="e" cm="1">
        <f t="array" aca="1" ref="AF160" ca="1">_xlfn.XLOOKUP(Renewables_Heat_Backend[[#This Row],[Level 3]],rng_Level3Long,rng_Level6Long)</f>
        <v>#N/A</v>
      </c>
      <c r="AG160" s="174">
        <f>Renewables_Heat_Frontend[[#This Row],[Generating site name]]</f>
        <v>0</v>
      </c>
      <c r="AH160" s="174"/>
      <c r="AI160" s="174">
        <f>Renewables_Heat_Frontend[[#This Row],[Methodology used]]</f>
        <v>0</v>
      </c>
      <c r="AJ160" s="220" t="e" cm="1">
        <f t="array" aca="1" ref="AJ160" ca="1">_xlfn.LET(_xlpm.LookupConcat,_xlfn.CONCAT(Renewables_Heat_Backend[[#This Row],[Level 1]:[Level 6]]), _xlfn.XLOOKUP(_xlpm.LookupConcat,rng_LevelsConcat,_xlfn.SWITCH(Renewables_Heat_Backend[[#This Row],[Methodology]],"Tier 1",rng_RSD1,"Tier 2",rng_RSD2,"Tier 3",rng_RSD3)))</f>
        <v>#N/A</v>
      </c>
      <c r="AK160" s="174">
        <f>Renewables_Heat_Frontend[[#This Row],[Age (years)]]</f>
        <v>0</v>
      </c>
      <c r="AL160" s="218" t="s">
        <v>1848</v>
      </c>
      <c r="AM160" s="174">
        <f>Renewables_Heat_Frontend[[#This Row],[Total MW capacity]]</f>
        <v>0</v>
      </c>
      <c r="AN160" s="220">
        <f>Renewables_Heat_Frontend[[#This Row],[Total kWh generated]]</f>
        <v>0</v>
      </c>
      <c r="AO160" s="412">
        <f>Renewables_Heat_Frontend[[#This Row],[kWh consumed by reporting organisation]]</f>
        <v>0</v>
      </c>
      <c r="AP160" s="412">
        <f>Renewables_Heat_Frontend[[#This Row],[kWh exported to grid]]</f>
        <v>0</v>
      </c>
      <c r="AQ160" s="412">
        <f>Renewables_Heat_Frontend[[#This Row],[kWh exported to other PSB]]</f>
        <v>0</v>
      </c>
      <c r="AR160" s="220">
        <f>Renewables_Heat_Frontend[[#This Row],[Name of other PSB]]</f>
        <v>0</v>
      </c>
      <c r="AS160" s="220">
        <f>Renewables_Heat_Frontend[[#This Row],[Ease of collection]]</f>
        <v>0</v>
      </c>
      <c r="AT160" s="174">
        <f>Renewables_Heat_Frontend[[#This Row],[Completeness]]</f>
        <v>0</v>
      </c>
      <c r="AU160" s="174">
        <f>Renewables_Heat_Frontend[[#This Row],[Notes]]</f>
        <v>0</v>
      </c>
    </row>
    <row r="161" spans="2:47" x14ac:dyDescent="0.35">
      <c r="B161" s="146"/>
      <c r="E161" s="270"/>
      <c r="F161" s="268"/>
      <c r="G161" s="268"/>
      <c r="H161" s="268"/>
      <c r="I161" s="268"/>
      <c r="J161" s="268"/>
      <c r="K161" s="269"/>
      <c r="L161" s="269"/>
      <c r="M161" s="280">
        <f>Renewables_Heat_Frontend[[#This Row],[kWh consumed by reporting organisation]]+Renewables_Heat_Frontend[[#This Row],[kWh exported to grid]]+Renewables_Heat_Frontend[[#This Row],[kWh exported to other PSB]]</f>
        <v>0</v>
      </c>
      <c r="N161" s="281"/>
      <c r="O161" s="281"/>
      <c r="P161" s="282"/>
      <c r="Q161" s="282"/>
      <c r="R161" s="284"/>
      <c r="S161" s="284"/>
      <c r="T161" s="285"/>
      <c r="U161" s="329"/>
      <c r="V161" s="242">
        <f t="shared" si="6"/>
        <v>10</v>
      </c>
      <c r="Z161" s="212" t="str">
        <f t="shared" si="7"/>
        <v/>
      </c>
      <c r="AA161" s="173"/>
      <c r="AB161" s="173"/>
      <c r="AC161" s="173">
        <f>Renewables_Heat_Frontend[[#This Row],[Renewable Type]]</f>
        <v>0</v>
      </c>
      <c r="AD161" s="173" t="e" cm="1">
        <f t="array" aca="1" ref="AD161" ca="1">_xlfn.XLOOKUP(Renewables_Heat_Backend[[#This Row],[Level 3]],rng_Level3Long,rng_Level4Long)</f>
        <v>#N/A</v>
      </c>
      <c r="AE161" s="173" t="e" cm="1">
        <f t="array" aca="1" ref="AE161" ca="1">_xlfn.XLOOKUP(Renewables_Heat_Backend[[#This Row],[Level 3]],rng_Level3Long,rng_Level5Long)</f>
        <v>#N/A</v>
      </c>
      <c r="AF161" s="173" t="e" cm="1">
        <f t="array" aca="1" ref="AF161" ca="1">_xlfn.XLOOKUP(Renewables_Heat_Backend[[#This Row],[Level 3]],rng_Level3Long,rng_Level6Long)</f>
        <v>#N/A</v>
      </c>
      <c r="AG161" s="174">
        <f>Renewables_Heat_Frontend[[#This Row],[Generating site name]]</f>
        <v>0</v>
      </c>
      <c r="AH161" s="174"/>
      <c r="AI161" s="174">
        <f>Renewables_Heat_Frontend[[#This Row],[Methodology used]]</f>
        <v>0</v>
      </c>
      <c r="AJ161" s="220" t="e" cm="1">
        <f t="array" aca="1" ref="AJ161" ca="1">_xlfn.LET(_xlpm.LookupConcat,_xlfn.CONCAT(Renewables_Heat_Backend[[#This Row],[Level 1]:[Level 6]]), _xlfn.XLOOKUP(_xlpm.LookupConcat,rng_LevelsConcat,_xlfn.SWITCH(Renewables_Heat_Backend[[#This Row],[Methodology]],"Tier 1",rng_RSD1,"Tier 2",rng_RSD2,"Tier 3",rng_RSD3)))</f>
        <v>#N/A</v>
      </c>
      <c r="AK161" s="174">
        <f>Renewables_Heat_Frontend[[#This Row],[Age (years)]]</f>
        <v>0</v>
      </c>
      <c r="AL161" s="218" t="s">
        <v>1848</v>
      </c>
      <c r="AM161" s="174">
        <f>Renewables_Heat_Frontend[[#This Row],[Total MW capacity]]</f>
        <v>0</v>
      </c>
      <c r="AN161" s="220">
        <f>Renewables_Heat_Frontend[[#This Row],[Total kWh generated]]</f>
        <v>0</v>
      </c>
      <c r="AO161" s="412">
        <f>Renewables_Heat_Frontend[[#This Row],[kWh consumed by reporting organisation]]</f>
        <v>0</v>
      </c>
      <c r="AP161" s="412">
        <f>Renewables_Heat_Frontend[[#This Row],[kWh exported to grid]]</f>
        <v>0</v>
      </c>
      <c r="AQ161" s="412">
        <f>Renewables_Heat_Frontend[[#This Row],[kWh exported to other PSB]]</f>
        <v>0</v>
      </c>
      <c r="AR161" s="220">
        <f>Renewables_Heat_Frontend[[#This Row],[Name of other PSB]]</f>
        <v>0</v>
      </c>
      <c r="AS161" s="220">
        <f>Renewables_Heat_Frontend[[#This Row],[Ease of collection]]</f>
        <v>0</v>
      </c>
      <c r="AT161" s="174">
        <f>Renewables_Heat_Frontend[[#This Row],[Completeness]]</f>
        <v>0</v>
      </c>
      <c r="AU161" s="174">
        <f>Renewables_Heat_Frontend[[#This Row],[Notes]]</f>
        <v>0</v>
      </c>
    </row>
    <row r="162" spans="2:47" x14ac:dyDescent="0.35">
      <c r="B162" s="146"/>
      <c r="E162" s="270"/>
      <c r="F162" s="268"/>
      <c r="G162" s="268"/>
      <c r="H162" s="268"/>
      <c r="I162" s="268"/>
      <c r="J162" s="268"/>
      <c r="K162" s="269"/>
      <c r="L162" s="269"/>
      <c r="M162" s="280">
        <f>Renewables_Heat_Frontend[[#This Row],[kWh consumed by reporting organisation]]+Renewables_Heat_Frontend[[#This Row],[kWh exported to grid]]+Renewables_Heat_Frontend[[#This Row],[kWh exported to other PSB]]</f>
        <v>0</v>
      </c>
      <c r="N162" s="281"/>
      <c r="O162" s="281"/>
      <c r="P162" s="282"/>
      <c r="Q162" s="282"/>
      <c r="R162" s="284"/>
      <c r="S162" s="284"/>
      <c r="T162" s="285"/>
      <c r="U162" s="329"/>
      <c r="V162" s="242">
        <f t="shared" si="6"/>
        <v>10</v>
      </c>
      <c r="Z162" s="212" t="str">
        <f t="shared" si="7"/>
        <v/>
      </c>
      <c r="AA162" s="174"/>
      <c r="AB162" s="174"/>
      <c r="AC162" s="174">
        <f>Renewables_Heat_Frontend[[#This Row],[Renewable Type]]</f>
        <v>0</v>
      </c>
      <c r="AD162" s="174" t="e" cm="1">
        <f t="array" aca="1" ref="AD162" ca="1">_xlfn.XLOOKUP(Renewables_Heat_Backend[[#This Row],[Level 3]],rng_Level3Long,rng_Level4Long)</f>
        <v>#N/A</v>
      </c>
      <c r="AE162" s="174" t="e" cm="1">
        <f t="array" aca="1" ref="AE162" ca="1">_xlfn.XLOOKUP(Renewables_Heat_Backend[[#This Row],[Level 3]],rng_Level3Long,rng_Level5Long)</f>
        <v>#N/A</v>
      </c>
      <c r="AF162" s="174" t="e" cm="1">
        <f t="array" aca="1" ref="AF162" ca="1">_xlfn.XLOOKUP(Renewables_Heat_Backend[[#This Row],[Level 3]],rng_Level3Long,rng_Level6Long)</f>
        <v>#N/A</v>
      </c>
      <c r="AG162" s="174">
        <f>Renewables_Heat_Frontend[[#This Row],[Generating site name]]</f>
        <v>0</v>
      </c>
      <c r="AH162" s="174"/>
      <c r="AI162" s="174">
        <f>Renewables_Heat_Frontend[[#This Row],[Methodology used]]</f>
        <v>0</v>
      </c>
      <c r="AJ162" s="220" t="e" cm="1">
        <f t="array" aca="1" ref="AJ162" ca="1">_xlfn.LET(_xlpm.LookupConcat,_xlfn.CONCAT(Renewables_Heat_Backend[[#This Row],[Level 1]:[Level 6]]), _xlfn.XLOOKUP(_xlpm.LookupConcat,rng_LevelsConcat,_xlfn.SWITCH(Renewables_Heat_Backend[[#This Row],[Methodology]],"Tier 1",rng_RSD1,"Tier 2",rng_RSD2,"Tier 3",rng_RSD3)))</f>
        <v>#N/A</v>
      </c>
      <c r="AK162" s="174">
        <f>Renewables_Heat_Frontend[[#This Row],[Age (years)]]</f>
        <v>0</v>
      </c>
      <c r="AL162" s="218" t="s">
        <v>1848</v>
      </c>
      <c r="AM162" s="174">
        <f>Renewables_Heat_Frontend[[#This Row],[Total MW capacity]]</f>
        <v>0</v>
      </c>
      <c r="AN162" s="220">
        <f>Renewables_Heat_Frontend[[#This Row],[Total kWh generated]]</f>
        <v>0</v>
      </c>
      <c r="AO162" s="412">
        <f>Renewables_Heat_Frontend[[#This Row],[kWh consumed by reporting organisation]]</f>
        <v>0</v>
      </c>
      <c r="AP162" s="412">
        <f>Renewables_Heat_Frontend[[#This Row],[kWh exported to grid]]</f>
        <v>0</v>
      </c>
      <c r="AQ162" s="412">
        <f>Renewables_Heat_Frontend[[#This Row],[kWh exported to other PSB]]</f>
        <v>0</v>
      </c>
      <c r="AR162" s="220">
        <f>Renewables_Heat_Frontend[[#This Row],[Name of other PSB]]</f>
        <v>0</v>
      </c>
      <c r="AS162" s="220">
        <f>Renewables_Heat_Frontend[[#This Row],[Ease of collection]]</f>
        <v>0</v>
      </c>
      <c r="AT162" s="174">
        <f>Renewables_Heat_Frontend[[#This Row],[Completeness]]</f>
        <v>0</v>
      </c>
      <c r="AU162" s="174">
        <f>Renewables_Heat_Frontend[[#This Row],[Notes]]</f>
        <v>0</v>
      </c>
    </row>
    <row r="163" spans="2:47" x14ac:dyDescent="0.35">
      <c r="B163" s="146"/>
      <c r="E163" s="270"/>
      <c r="F163" s="268"/>
      <c r="G163" s="268"/>
      <c r="H163" s="268"/>
      <c r="I163" s="268"/>
      <c r="J163" s="268"/>
      <c r="K163" s="269"/>
      <c r="L163" s="269"/>
      <c r="M163" s="280">
        <f>Renewables_Heat_Frontend[[#This Row],[kWh consumed by reporting organisation]]+Renewables_Heat_Frontend[[#This Row],[kWh exported to grid]]+Renewables_Heat_Frontend[[#This Row],[kWh exported to other PSB]]</f>
        <v>0</v>
      </c>
      <c r="N163" s="281"/>
      <c r="O163" s="281"/>
      <c r="P163" s="282"/>
      <c r="Q163" s="282"/>
      <c r="R163" s="284"/>
      <c r="S163" s="284"/>
      <c r="T163" s="285"/>
      <c r="U163" s="329"/>
      <c r="V163" s="242">
        <f t="shared" si="6"/>
        <v>10</v>
      </c>
      <c r="Z163" s="212" t="str">
        <f t="shared" si="7"/>
        <v/>
      </c>
      <c r="AA163" s="174"/>
      <c r="AB163" s="174"/>
      <c r="AC163" s="174">
        <f>Renewables_Heat_Frontend[[#This Row],[Renewable Type]]</f>
        <v>0</v>
      </c>
      <c r="AD163" s="174" t="e" cm="1">
        <f t="array" aca="1" ref="AD163" ca="1">_xlfn.XLOOKUP(Renewables_Heat_Backend[[#This Row],[Level 3]],rng_Level3Long,rng_Level4Long)</f>
        <v>#N/A</v>
      </c>
      <c r="AE163" s="174" t="e" cm="1">
        <f t="array" aca="1" ref="AE163" ca="1">_xlfn.XLOOKUP(Renewables_Heat_Backend[[#This Row],[Level 3]],rng_Level3Long,rng_Level5Long)</f>
        <v>#N/A</v>
      </c>
      <c r="AF163" s="174" t="e" cm="1">
        <f t="array" aca="1" ref="AF163" ca="1">_xlfn.XLOOKUP(Renewables_Heat_Backend[[#This Row],[Level 3]],rng_Level3Long,rng_Level6Long)</f>
        <v>#N/A</v>
      </c>
      <c r="AG163" s="174">
        <f>Renewables_Heat_Frontend[[#This Row],[Generating site name]]</f>
        <v>0</v>
      </c>
      <c r="AH163" s="174"/>
      <c r="AI163" s="174">
        <f>Renewables_Heat_Frontend[[#This Row],[Methodology used]]</f>
        <v>0</v>
      </c>
      <c r="AJ163" s="220" t="e" cm="1">
        <f t="array" aca="1" ref="AJ163" ca="1">_xlfn.LET(_xlpm.LookupConcat,_xlfn.CONCAT(Renewables_Heat_Backend[[#This Row],[Level 1]:[Level 6]]), _xlfn.XLOOKUP(_xlpm.LookupConcat,rng_LevelsConcat,_xlfn.SWITCH(Renewables_Heat_Backend[[#This Row],[Methodology]],"Tier 1",rng_RSD1,"Tier 2",rng_RSD2,"Tier 3",rng_RSD3)))</f>
        <v>#N/A</v>
      </c>
      <c r="AK163" s="174">
        <f>Renewables_Heat_Frontend[[#This Row],[Age (years)]]</f>
        <v>0</v>
      </c>
      <c r="AL163" s="218" t="s">
        <v>1848</v>
      </c>
      <c r="AM163" s="174">
        <f>Renewables_Heat_Frontend[[#This Row],[Total MW capacity]]</f>
        <v>0</v>
      </c>
      <c r="AN163" s="220">
        <f>Renewables_Heat_Frontend[[#This Row],[Total kWh generated]]</f>
        <v>0</v>
      </c>
      <c r="AO163" s="412">
        <f>Renewables_Heat_Frontend[[#This Row],[kWh consumed by reporting organisation]]</f>
        <v>0</v>
      </c>
      <c r="AP163" s="412">
        <f>Renewables_Heat_Frontend[[#This Row],[kWh exported to grid]]</f>
        <v>0</v>
      </c>
      <c r="AQ163" s="412">
        <f>Renewables_Heat_Frontend[[#This Row],[kWh exported to other PSB]]</f>
        <v>0</v>
      </c>
      <c r="AR163" s="220">
        <f>Renewables_Heat_Frontend[[#This Row],[Name of other PSB]]</f>
        <v>0</v>
      </c>
      <c r="AS163" s="220">
        <f>Renewables_Heat_Frontend[[#This Row],[Ease of collection]]</f>
        <v>0</v>
      </c>
      <c r="AT163" s="174">
        <f>Renewables_Heat_Frontend[[#This Row],[Completeness]]</f>
        <v>0</v>
      </c>
      <c r="AU163" s="174">
        <f>Renewables_Heat_Frontend[[#This Row],[Notes]]</f>
        <v>0</v>
      </c>
    </row>
    <row r="164" spans="2:47" x14ac:dyDescent="0.35">
      <c r="B164" s="146"/>
      <c r="E164" s="270"/>
      <c r="F164" s="268"/>
      <c r="G164" s="268"/>
      <c r="H164" s="268"/>
      <c r="I164" s="268"/>
      <c r="J164" s="268"/>
      <c r="K164" s="269"/>
      <c r="L164" s="269"/>
      <c r="M164" s="280">
        <f>Renewables_Heat_Frontend[[#This Row],[kWh consumed by reporting organisation]]+Renewables_Heat_Frontend[[#This Row],[kWh exported to grid]]+Renewables_Heat_Frontend[[#This Row],[kWh exported to other PSB]]</f>
        <v>0</v>
      </c>
      <c r="N164" s="281"/>
      <c r="O164" s="281"/>
      <c r="P164" s="282"/>
      <c r="Q164" s="282"/>
      <c r="R164" s="284"/>
      <c r="S164" s="284"/>
      <c r="T164" s="285"/>
      <c r="U164" s="329"/>
      <c r="V164" s="242">
        <f t="shared" si="6"/>
        <v>10</v>
      </c>
      <c r="Z164" s="212" t="str">
        <f t="shared" si="7"/>
        <v/>
      </c>
      <c r="AA164" s="174"/>
      <c r="AB164" s="174"/>
      <c r="AC164" s="174">
        <f>Renewables_Heat_Frontend[[#This Row],[Renewable Type]]</f>
        <v>0</v>
      </c>
      <c r="AD164" s="174" t="e" cm="1">
        <f t="array" aca="1" ref="AD164" ca="1">_xlfn.XLOOKUP(Renewables_Heat_Backend[[#This Row],[Level 3]],rng_Level3Long,rng_Level4Long)</f>
        <v>#N/A</v>
      </c>
      <c r="AE164" s="174" t="e" cm="1">
        <f t="array" aca="1" ref="AE164" ca="1">_xlfn.XLOOKUP(Renewables_Heat_Backend[[#This Row],[Level 3]],rng_Level3Long,rng_Level5Long)</f>
        <v>#N/A</v>
      </c>
      <c r="AF164" s="174" t="e" cm="1">
        <f t="array" aca="1" ref="AF164" ca="1">_xlfn.XLOOKUP(Renewables_Heat_Backend[[#This Row],[Level 3]],rng_Level3Long,rng_Level6Long)</f>
        <v>#N/A</v>
      </c>
      <c r="AG164" s="174">
        <f>Renewables_Heat_Frontend[[#This Row],[Generating site name]]</f>
        <v>0</v>
      </c>
      <c r="AH164" s="174"/>
      <c r="AI164" s="174">
        <f>Renewables_Heat_Frontend[[#This Row],[Methodology used]]</f>
        <v>0</v>
      </c>
      <c r="AJ164" s="220" t="e" cm="1">
        <f t="array" aca="1" ref="AJ164" ca="1">_xlfn.LET(_xlpm.LookupConcat,_xlfn.CONCAT(Renewables_Heat_Backend[[#This Row],[Level 1]:[Level 6]]), _xlfn.XLOOKUP(_xlpm.LookupConcat,rng_LevelsConcat,_xlfn.SWITCH(Renewables_Heat_Backend[[#This Row],[Methodology]],"Tier 1",rng_RSD1,"Tier 2",rng_RSD2,"Tier 3",rng_RSD3)))</f>
        <v>#N/A</v>
      </c>
      <c r="AK164" s="174">
        <f>Renewables_Heat_Frontend[[#This Row],[Age (years)]]</f>
        <v>0</v>
      </c>
      <c r="AL164" s="218" t="s">
        <v>1848</v>
      </c>
      <c r="AM164" s="174">
        <f>Renewables_Heat_Frontend[[#This Row],[Total MW capacity]]</f>
        <v>0</v>
      </c>
      <c r="AN164" s="220">
        <f>Renewables_Heat_Frontend[[#This Row],[Total kWh generated]]</f>
        <v>0</v>
      </c>
      <c r="AO164" s="412">
        <f>Renewables_Heat_Frontend[[#This Row],[kWh consumed by reporting organisation]]</f>
        <v>0</v>
      </c>
      <c r="AP164" s="412">
        <f>Renewables_Heat_Frontend[[#This Row],[kWh exported to grid]]</f>
        <v>0</v>
      </c>
      <c r="AQ164" s="412">
        <f>Renewables_Heat_Frontend[[#This Row],[kWh exported to other PSB]]</f>
        <v>0</v>
      </c>
      <c r="AR164" s="220">
        <f>Renewables_Heat_Frontend[[#This Row],[Name of other PSB]]</f>
        <v>0</v>
      </c>
      <c r="AS164" s="220">
        <f>Renewables_Heat_Frontend[[#This Row],[Ease of collection]]</f>
        <v>0</v>
      </c>
      <c r="AT164" s="174">
        <f>Renewables_Heat_Frontend[[#This Row],[Completeness]]</f>
        <v>0</v>
      </c>
      <c r="AU164" s="174">
        <f>Renewables_Heat_Frontend[[#This Row],[Notes]]</f>
        <v>0</v>
      </c>
    </row>
    <row r="165" spans="2:47" x14ac:dyDescent="0.35">
      <c r="B165" s="146"/>
      <c r="E165" s="270"/>
      <c r="F165" s="268"/>
      <c r="G165" s="268"/>
      <c r="H165" s="268"/>
      <c r="I165" s="268"/>
      <c r="J165" s="268"/>
      <c r="K165" s="269"/>
      <c r="L165" s="269"/>
      <c r="M165" s="280">
        <f>Renewables_Heat_Frontend[[#This Row],[kWh consumed by reporting organisation]]+Renewables_Heat_Frontend[[#This Row],[kWh exported to grid]]+Renewables_Heat_Frontend[[#This Row],[kWh exported to other PSB]]</f>
        <v>0</v>
      </c>
      <c r="N165" s="281"/>
      <c r="O165" s="281"/>
      <c r="P165" s="282"/>
      <c r="Q165" s="282"/>
      <c r="R165" s="284"/>
      <c r="S165" s="284"/>
      <c r="T165" s="285"/>
      <c r="U165" s="329"/>
      <c r="V165" s="242">
        <f t="shared" si="6"/>
        <v>10</v>
      </c>
      <c r="Z165" s="212" t="str">
        <f t="shared" si="7"/>
        <v/>
      </c>
      <c r="AA165" s="174"/>
      <c r="AB165" s="174"/>
      <c r="AC165" s="174">
        <f>Renewables_Heat_Frontend[[#This Row],[Renewable Type]]</f>
        <v>0</v>
      </c>
      <c r="AD165" s="174" t="e" cm="1">
        <f t="array" aca="1" ref="AD165" ca="1">_xlfn.XLOOKUP(Renewables_Heat_Backend[[#This Row],[Level 3]],rng_Level3Long,rng_Level4Long)</f>
        <v>#N/A</v>
      </c>
      <c r="AE165" s="174" t="e" cm="1">
        <f t="array" aca="1" ref="AE165" ca="1">_xlfn.XLOOKUP(Renewables_Heat_Backend[[#This Row],[Level 3]],rng_Level3Long,rng_Level5Long)</f>
        <v>#N/A</v>
      </c>
      <c r="AF165" s="174" t="e" cm="1">
        <f t="array" aca="1" ref="AF165" ca="1">_xlfn.XLOOKUP(Renewables_Heat_Backend[[#This Row],[Level 3]],rng_Level3Long,rng_Level6Long)</f>
        <v>#N/A</v>
      </c>
      <c r="AG165" s="174">
        <f>Renewables_Heat_Frontend[[#This Row],[Generating site name]]</f>
        <v>0</v>
      </c>
      <c r="AH165" s="174"/>
      <c r="AI165" s="174">
        <f>Renewables_Heat_Frontend[[#This Row],[Methodology used]]</f>
        <v>0</v>
      </c>
      <c r="AJ165" s="220" t="e" cm="1">
        <f t="array" aca="1" ref="AJ165" ca="1">_xlfn.LET(_xlpm.LookupConcat,_xlfn.CONCAT(Renewables_Heat_Backend[[#This Row],[Level 1]:[Level 6]]), _xlfn.XLOOKUP(_xlpm.LookupConcat,rng_LevelsConcat,_xlfn.SWITCH(Renewables_Heat_Backend[[#This Row],[Methodology]],"Tier 1",rng_RSD1,"Tier 2",rng_RSD2,"Tier 3",rng_RSD3)))</f>
        <v>#N/A</v>
      </c>
      <c r="AK165" s="174">
        <f>Renewables_Heat_Frontend[[#This Row],[Age (years)]]</f>
        <v>0</v>
      </c>
      <c r="AL165" s="218" t="s">
        <v>1848</v>
      </c>
      <c r="AM165" s="174">
        <f>Renewables_Heat_Frontend[[#This Row],[Total MW capacity]]</f>
        <v>0</v>
      </c>
      <c r="AN165" s="220">
        <f>Renewables_Heat_Frontend[[#This Row],[Total kWh generated]]</f>
        <v>0</v>
      </c>
      <c r="AO165" s="412">
        <f>Renewables_Heat_Frontend[[#This Row],[kWh consumed by reporting organisation]]</f>
        <v>0</v>
      </c>
      <c r="AP165" s="412">
        <f>Renewables_Heat_Frontend[[#This Row],[kWh exported to grid]]</f>
        <v>0</v>
      </c>
      <c r="AQ165" s="412">
        <f>Renewables_Heat_Frontend[[#This Row],[kWh exported to other PSB]]</f>
        <v>0</v>
      </c>
      <c r="AR165" s="220">
        <f>Renewables_Heat_Frontend[[#This Row],[Name of other PSB]]</f>
        <v>0</v>
      </c>
      <c r="AS165" s="220">
        <f>Renewables_Heat_Frontend[[#This Row],[Ease of collection]]</f>
        <v>0</v>
      </c>
      <c r="AT165" s="174">
        <f>Renewables_Heat_Frontend[[#This Row],[Completeness]]</f>
        <v>0</v>
      </c>
      <c r="AU165" s="174">
        <f>Renewables_Heat_Frontend[[#This Row],[Notes]]</f>
        <v>0</v>
      </c>
    </row>
    <row r="166" spans="2:47" x14ac:dyDescent="0.35">
      <c r="B166" s="146"/>
      <c r="E166" s="270"/>
      <c r="F166" s="268"/>
      <c r="G166" s="268"/>
      <c r="H166" s="268"/>
      <c r="I166" s="268"/>
      <c r="J166" s="268"/>
      <c r="K166" s="269"/>
      <c r="L166" s="269"/>
      <c r="M166" s="280">
        <f>Renewables_Heat_Frontend[[#This Row],[kWh consumed by reporting organisation]]+Renewables_Heat_Frontend[[#This Row],[kWh exported to grid]]+Renewables_Heat_Frontend[[#This Row],[kWh exported to other PSB]]</f>
        <v>0</v>
      </c>
      <c r="N166" s="281"/>
      <c r="O166" s="281"/>
      <c r="P166" s="282"/>
      <c r="Q166" s="282"/>
      <c r="R166" s="284"/>
      <c r="S166" s="284"/>
      <c r="T166" s="285"/>
      <c r="U166" s="329"/>
      <c r="V166" s="242">
        <f t="shared" si="6"/>
        <v>10</v>
      </c>
      <c r="Z166" s="212" t="str">
        <f t="shared" si="7"/>
        <v/>
      </c>
      <c r="AA166" s="174"/>
      <c r="AB166" s="174"/>
      <c r="AC166" s="174">
        <f>Renewables_Heat_Frontend[[#This Row],[Renewable Type]]</f>
        <v>0</v>
      </c>
      <c r="AD166" s="174" t="e" cm="1">
        <f t="array" aca="1" ref="AD166" ca="1">_xlfn.XLOOKUP(Renewables_Heat_Backend[[#This Row],[Level 3]],rng_Level3Long,rng_Level4Long)</f>
        <v>#N/A</v>
      </c>
      <c r="AE166" s="174" t="e" cm="1">
        <f t="array" aca="1" ref="AE166" ca="1">_xlfn.XLOOKUP(Renewables_Heat_Backend[[#This Row],[Level 3]],rng_Level3Long,rng_Level5Long)</f>
        <v>#N/A</v>
      </c>
      <c r="AF166" s="174" t="e" cm="1">
        <f t="array" aca="1" ref="AF166" ca="1">_xlfn.XLOOKUP(Renewables_Heat_Backend[[#This Row],[Level 3]],rng_Level3Long,rng_Level6Long)</f>
        <v>#N/A</v>
      </c>
      <c r="AG166" s="174">
        <f>Renewables_Heat_Frontend[[#This Row],[Generating site name]]</f>
        <v>0</v>
      </c>
      <c r="AH166" s="174"/>
      <c r="AI166" s="174">
        <f>Renewables_Heat_Frontend[[#This Row],[Methodology used]]</f>
        <v>0</v>
      </c>
      <c r="AJ166" s="220" t="e" cm="1">
        <f t="array" aca="1" ref="AJ166" ca="1">_xlfn.LET(_xlpm.LookupConcat,_xlfn.CONCAT(Renewables_Heat_Backend[[#This Row],[Level 1]:[Level 6]]), _xlfn.XLOOKUP(_xlpm.LookupConcat,rng_LevelsConcat,_xlfn.SWITCH(Renewables_Heat_Backend[[#This Row],[Methodology]],"Tier 1",rng_RSD1,"Tier 2",rng_RSD2,"Tier 3",rng_RSD3)))</f>
        <v>#N/A</v>
      </c>
      <c r="AK166" s="174">
        <f>Renewables_Heat_Frontend[[#This Row],[Age (years)]]</f>
        <v>0</v>
      </c>
      <c r="AL166" s="218" t="s">
        <v>1848</v>
      </c>
      <c r="AM166" s="174">
        <f>Renewables_Heat_Frontend[[#This Row],[Total MW capacity]]</f>
        <v>0</v>
      </c>
      <c r="AN166" s="220">
        <f>Renewables_Heat_Frontend[[#This Row],[Total kWh generated]]</f>
        <v>0</v>
      </c>
      <c r="AO166" s="412">
        <f>Renewables_Heat_Frontend[[#This Row],[kWh consumed by reporting organisation]]</f>
        <v>0</v>
      </c>
      <c r="AP166" s="412">
        <f>Renewables_Heat_Frontend[[#This Row],[kWh exported to grid]]</f>
        <v>0</v>
      </c>
      <c r="AQ166" s="412">
        <f>Renewables_Heat_Frontend[[#This Row],[kWh exported to other PSB]]</f>
        <v>0</v>
      </c>
      <c r="AR166" s="220">
        <f>Renewables_Heat_Frontend[[#This Row],[Name of other PSB]]</f>
        <v>0</v>
      </c>
      <c r="AS166" s="220">
        <f>Renewables_Heat_Frontend[[#This Row],[Ease of collection]]</f>
        <v>0</v>
      </c>
      <c r="AT166" s="174">
        <f>Renewables_Heat_Frontend[[#This Row],[Completeness]]</f>
        <v>0</v>
      </c>
      <c r="AU166" s="174">
        <f>Renewables_Heat_Frontend[[#This Row],[Notes]]</f>
        <v>0</v>
      </c>
    </row>
    <row r="167" spans="2:47" x14ac:dyDescent="0.35">
      <c r="B167" s="146"/>
      <c r="E167" s="270"/>
      <c r="F167" s="268"/>
      <c r="G167" s="268"/>
      <c r="H167" s="268"/>
      <c r="I167" s="268"/>
      <c r="J167" s="268"/>
      <c r="K167" s="269"/>
      <c r="L167" s="269"/>
      <c r="M167" s="280">
        <f>Renewables_Heat_Frontend[[#This Row],[kWh consumed by reporting organisation]]+Renewables_Heat_Frontend[[#This Row],[kWh exported to grid]]+Renewables_Heat_Frontend[[#This Row],[kWh exported to other PSB]]</f>
        <v>0</v>
      </c>
      <c r="N167" s="281"/>
      <c r="O167" s="281"/>
      <c r="P167" s="282"/>
      <c r="Q167" s="282"/>
      <c r="R167" s="284"/>
      <c r="S167" s="284"/>
      <c r="T167" s="285"/>
      <c r="U167" s="329"/>
      <c r="V167" s="242">
        <f t="shared" si="6"/>
        <v>10</v>
      </c>
      <c r="Z167" s="212" t="str">
        <f t="shared" si="7"/>
        <v/>
      </c>
      <c r="AA167" s="174"/>
      <c r="AB167" s="174"/>
      <c r="AC167" s="174">
        <f>Renewables_Heat_Frontend[[#This Row],[Renewable Type]]</f>
        <v>0</v>
      </c>
      <c r="AD167" s="174" t="e" cm="1">
        <f t="array" aca="1" ref="AD167" ca="1">_xlfn.XLOOKUP(Renewables_Heat_Backend[[#This Row],[Level 3]],rng_Level3Long,rng_Level4Long)</f>
        <v>#N/A</v>
      </c>
      <c r="AE167" s="174" t="e" cm="1">
        <f t="array" aca="1" ref="AE167" ca="1">_xlfn.XLOOKUP(Renewables_Heat_Backend[[#This Row],[Level 3]],rng_Level3Long,rng_Level5Long)</f>
        <v>#N/A</v>
      </c>
      <c r="AF167" s="174" t="e" cm="1">
        <f t="array" aca="1" ref="AF167" ca="1">_xlfn.XLOOKUP(Renewables_Heat_Backend[[#This Row],[Level 3]],rng_Level3Long,rng_Level6Long)</f>
        <v>#N/A</v>
      </c>
      <c r="AG167" s="174">
        <f>Renewables_Heat_Frontend[[#This Row],[Generating site name]]</f>
        <v>0</v>
      </c>
      <c r="AH167" s="174"/>
      <c r="AI167" s="174">
        <f>Renewables_Heat_Frontend[[#This Row],[Methodology used]]</f>
        <v>0</v>
      </c>
      <c r="AJ167" s="220" t="e" cm="1">
        <f t="array" aca="1" ref="AJ167" ca="1">_xlfn.LET(_xlpm.LookupConcat,_xlfn.CONCAT(Renewables_Heat_Backend[[#This Row],[Level 1]:[Level 6]]), _xlfn.XLOOKUP(_xlpm.LookupConcat,rng_LevelsConcat,_xlfn.SWITCH(Renewables_Heat_Backend[[#This Row],[Methodology]],"Tier 1",rng_RSD1,"Tier 2",rng_RSD2,"Tier 3",rng_RSD3)))</f>
        <v>#N/A</v>
      </c>
      <c r="AK167" s="174">
        <f>Renewables_Heat_Frontend[[#This Row],[Age (years)]]</f>
        <v>0</v>
      </c>
      <c r="AL167" s="218" t="s">
        <v>1848</v>
      </c>
      <c r="AM167" s="174">
        <f>Renewables_Heat_Frontend[[#This Row],[Total MW capacity]]</f>
        <v>0</v>
      </c>
      <c r="AN167" s="220">
        <f>Renewables_Heat_Frontend[[#This Row],[Total kWh generated]]</f>
        <v>0</v>
      </c>
      <c r="AO167" s="412">
        <f>Renewables_Heat_Frontend[[#This Row],[kWh consumed by reporting organisation]]</f>
        <v>0</v>
      </c>
      <c r="AP167" s="412">
        <f>Renewables_Heat_Frontend[[#This Row],[kWh exported to grid]]</f>
        <v>0</v>
      </c>
      <c r="AQ167" s="412">
        <f>Renewables_Heat_Frontend[[#This Row],[kWh exported to other PSB]]</f>
        <v>0</v>
      </c>
      <c r="AR167" s="220">
        <f>Renewables_Heat_Frontend[[#This Row],[Name of other PSB]]</f>
        <v>0</v>
      </c>
      <c r="AS167" s="220">
        <f>Renewables_Heat_Frontend[[#This Row],[Ease of collection]]</f>
        <v>0</v>
      </c>
      <c r="AT167" s="174">
        <f>Renewables_Heat_Frontend[[#This Row],[Completeness]]</f>
        <v>0</v>
      </c>
      <c r="AU167" s="174">
        <f>Renewables_Heat_Frontend[[#This Row],[Notes]]</f>
        <v>0</v>
      </c>
    </row>
    <row r="168" spans="2:47" x14ac:dyDescent="0.35">
      <c r="B168" s="146"/>
      <c r="E168" s="270"/>
      <c r="F168" s="268"/>
      <c r="G168" s="268"/>
      <c r="H168" s="268"/>
      <c r="I168" s="268"/>
      <c r="J168" s="268"/>
      <c r="K168" s="269"/>
      <c r="L168" s="269"/>
      <c r="M168" s="280">
        <f>Renewables_Heat_Frontend[[#This Row],[kWh consumed by reporting organisation]]+Renewables_Heat_Frontend[[#This Row],[kWh exported to grid]]+Renewables_Heat_Frontend[[#This Row],[kWh exported to other PSB]]</f>
        <v>0</v>
      </c>
      <c r="N168" s="281"/>
      <c r="O168" s="281"/>
      <c r="P168" s="282"/>
      <c r="Q168" s="282"/>
      <c r="R168" s="284"/>
      <c r="S168" s="284"/>
      <c r="T168" s="285"/>
      <c r="U168" s="329"/>
      <c r="V168" s="242">
        <f t="shared" si="6"/>
        <v>10</v>
      </c>
      <c r="Z168" s="212" t="str">
        <f t="shared" si="7"/>
        <v/>
      </c>
      <c r="AA168" s="174"/>
      <c r="AB168" s="174"/>
      <c r="AC168" s="174">
        <f>Renewables_Heat_Frontend[[#This Row],[Renewable Type]]</f>
        <v>0</v>
      </c>
      <c r="AD168" s="174" t="e" cm="1">
        <f t="array" aca="1" ref="AD168" ca="1">_xlfn.XLOOKUP(Renewables_Heat_Backend[[#This Row],[Level 3]],rng_Level3Long,rng_Level4Long)</f>
        <v>#N/A</v>
      </c>
      <c r="AE168" s="174" t="e" cm="1">
        <f t="array" aca="1" ref="AE168" ca="1">_xlfn.XLOOKUP(Renewables_Heat_Backend[[#This Row],[Level 3]],rng_Level3Long,rng_Level5Long)</f>
        <v>#N/A</v>
      </c>
      <c r="AF168" s="174" t="e" cm="1">
        <f t="array" aca="1" ref="AF168" ca="1">_xlfn.XLOOKUP(Renewables_Heat_Backend[[#This Row],[Level 3]],rng_Level3Long,rng_Level6Long)</f>
        <v>#N/A</v>
      </c>
      <c r="AG168" s="174">
        <f>Renewables_Heat_Frontend[[#This Row],[Generating site name]]</f>
        <v>0</v>
      </c>
      <c r="AH168" s="174"/>
      <c r="AI168" s="174">
        <f>Renewables_Heat_Frontend[[#This Row],[Methodology used]]</f>
        <v>0</v>
      </c>
      <c r="AJ168" s="220" t="e" cm="1">
        <f t="array" aca="1" ref="AJ168" ca="1">_xlfn.LET(_xlpm.LookupConcat,_xlfn.CONCAT(Renewables_Heat_Backend[[#This Row],[Level 1]:[Level 6]]), _xlfn.XLOOKUP(_xlpm.LookupConcat,rng_LevelsConcat,_xlfn.SWITCH(Renewables_Heat_Backend[[#This Row],[Methodology]],"Tier 1",rng_RSD1,"Tier 2",rng_RSD2,"Tier 3",rng_RSD3)))</f>
        <v>#N/A</v>
      </c>
      <c r="AK168" s="174">
        <f>Renewables_Heat_Frontend[[#This Row],[Age (years)]]</f>
        <v>0</v>
      </c>
      <c r="AL168" s="218" t="s">
        <v>1848</v>
      </c>
      <c r="AM168" s="174">
        <f>Renewables_Heat_Frontend[[#This Row],[Total MW capacity]]</f>
        <v>0</v>
      </c>
      <c r="AN168" s="220">
        <f>Renewables_Heat_Frontend[[#This Row],[Total kWh generated]]</f>
        <v>0</v>
      </c>
      <c r="AO168" s="412">
        <f>Renewables_Heat_Frontend[[#This Row],[kWh consumed by reporting organisation]]</f>
        <v>0</v>
      </c>
      <c r="AP168" s="412">
        <f>Renewables_Heat_Frontend[[#This Row],[kWh exported to grid]]</f>
        <v>0</v>
      </c>
      <c r="AQ168" s="412">
        <f>Renewables_Heat_Frontend[[#This Row],[kWh exported to other PSB]]</f>
        <v>0</v>
      </c>
      <c r="AR168" s="220">
        <f>Renewables_Heat_Frontend[[#This Row],[Name of other PSB]]</f>
        <v>0</v>
      </c>
      <c r="AS168" s="220">
        <f>Renewables_Heat_Frontend[[#This Row],[Ease of collection]]</f>
        <v>0</v>
      </c>
      <c r="AT168" s="174">
        <f>Renewables_Heat_Frontend[[#This Row],[Completeness]]</f>
        <v>0</v>
      </c>
      <c r="AU168" s="174">
        <f>Renewables_Heat_Frontend[[#This Row],[Notes]]</f>
        <v>0</v>
      </c>
    </row>
    <row r="169" spans="2:47" x14ac:dyDescent="0.35">
      <c r="B169" s="146"/>
      <c r="E169" s="270"/>
      <c r="F169" s="268"/>
      <c r="G169" s="268"/>
      <c r="H169" s="268"/>
      <c r="I169" s="268"/>
      <c r="J169" s="268"/>
      <c r="K169" s="269"/>
      <c r="L169" s="269"/>
      <c r="M169" s="280">
        <f>Renewables_Heat_Frontend[[#This Row],[kWh consumed by reporting organisation]]+Renewables_Heat_Frontend[[#This Row],[kWh exported to grid]]+Renewables_Heat_Frontend[[#This Row],[kWh exported to other PSB]]</f>
        <v>0</v>
      </c>
      <c r="N169" s="281"/>
      <c r="O169" s="281"/>
      <c r="P169" s="282"/>
      <c r="Q169" s="282"/>
      <c r="R169" s="284"/>
      <c r="S169" s="284"/>
      <c r="T169" s="285"/>
      <c r="U169" s="329"/>
      <c r="V169" s="242">
        <f t="shared" si="6"/>
        <v>10</v>
      </c>
      <c r="Z169" s="212" t="str">
        <f t="shared" si="7"/>
        <v/>
      </c>
      <c r="AA169" s="174"/>
      <c r="AB169" s="174"/>
      <c r="AC169" s="174">
        <f>Renewables_Heat_Frontend[[#This Row],[Renewable Type]]</f>
        <v>0</v>
      </c>
      <c r="AD169" s="174" t="e" cm="1">
        <f t="array" aca="1" ref="AD169" ca="1">_xlfn.XLOOKUP(Renewables_Heat_Backend[[#This Row],[Level 3]],rng_Level3Long,rng_Level4Long)</f>
        <v>#N/A</v>
      </c>
      <c r="AE169" s="174" t="e" cm="1">
        <f t="array" aca="1" ref="AE169" ca="1">_xlfn.XLOOKUP(Renewables_Heat_Backend[[#This Row],[Level 3]],rng_Level3Long,rng_Level5Long)</f>
        <v>#N/A</v>
      </c>
      <c r="AF169" s="174" t="e" cm="1">
        <f t="array" aca="1" ref="AF169" ca="1">_xlfn.XLOOKUP(Renewables_Heat_Backend[[#This Row],[Level 3]],rng_Level3Long,rng_Level6Long)</f>
        <v>#N/A</v>
      </c>
      <c r="AG169" s="174">
        <f>Renewables_Heat_Frontend[[#This Row],[Generating site name]]</f>
        <v>0</v>
      </c>
      <c r="AH169" s="174"/>
      <c r="AI169" s="174">
        <f>Renewables_Heat_Frontend[[#This Row],[Methodology used]]</f>
        <v>0</v>
      </c>
      <c r="AJ169" s="220" t="e" cm="1">
        <f t="array" aca="1" ref="AJ169" ca="1">_xlfn.LET(_xlpm.LookupConcat,_xlfn.CONCAT(Renewables_Heat_Backend[[#This Row],[Level 1]:[Level 6]]), _xlfn.XLOOKUP(_xlpm.LookupConcat,rng_LevelsConcat,_xlfn.SWITCH(Renewables_Heat_Backend[[#This Row],[Methodology]],"Tier 1",rng_RSD1,"Tier 2",rng_RSD2,"Tier 3",rng_RSD3)))</f>
        <v>#N/A</v>
      </c>
      <c r="AK169" s="174">
        <f>Renewables_Heat_Frontend[[#This Row],[Age (years)]]</f>
        <v>0</v>
      </c>
      <c r="AL169" s="218" t="s">
        <v>1848</v>
      </c>
      <c r="AM169" s="174">
        <f>Renewables_Heat_Frontend[[#This Row],[Total MW capacity]]</f>
        <v>0</v>
      </c>
      <c r="AN169" s="220">
        <f>Renewables_Heat_Frontend[[#This Row],[Total kWh generated]]</f>
        <v>0</v>
      </c>
      <c r="AO169" s="412">
        <f>Renewables_Heat_Frontend[[#This Row],[kWh consumed by reporting organisation]]</f>
        <v>0</v>
      </c>
      <c r="AP169" s="412">
        <f>Renewables_Heat_Frontend[[#This Row],[kWh exported to grid]]</f>
        <v>0</v>
      </c>
      <c r="AQ169" s="412">
        <f>Renewables_Heat_Frontend[[#This Row],[kWh exported to other PSB]]</f>
        <v>0</v>
      </c>
      <c r="AR169" s="220">
        <f>Renewables_Heat_Frontend[[#This Row],[Name of other PSB]]</f>
        <v>0</v>
      </c>
      <c r="AS169" s="220">
        <f>Renewables_Heat_Frontend[[#This Row],[Ease of collection]]</f>
        <v>0</v>
      </c>
      <c r="AT169" s="174">
        <f>Renewables_Heat_Frontend[[#This Row],[Completeness]]</f>
        <v>0</v>
      </c>
      <c r="AU169" s="174">
        <f>Renewables_Heat_Frontend[[#This Row],[Notes]]</f>
        <v>0</v>
      </c>
    </row>
    <row r="170" spans="2:47" x14ac:dyDescent="0.35">
      <c r="B170" s="146"/>
      <c r="E170" s="270"/>
      <c r="F170" s="268"/>
      <c r="G170" s="268"/>
      <c r="H170" s="268"/>
      <c r="I170" s="268"/>
      <c r="J170" s="268"/>
      <c r="K170" s="269"/>
      <c r="L170" s="269"/>
      <c r="M170" s="280">
        <f>Renewables_Heat_Frontend[[#This Row],[kWh consumed by reporting organisation]]+Renewables_Heat_Frontend[[#This Row],[kWh exported to grid]]+Renewables_Heat_Frontend[[#This Row],[kWh exported to other PSB]]</f>
        <v>0</v>
      </c>
      <c r="N170" s="281"/>
      <c r="O170" s="281"/>
      <c r="P170" s="282"/>
      <c r="Q170" s="282"/>
      <c r="R170" s="284"/>
      <c r="S170" s="284"/>
      <c r="T170" s="285"/>
      <c r="U170" s="329"/>
      <c r="V170" s="242">
        <f t="shared" si="6"/>
        <v>10</v>
      </c>
      <c r="Z170" s="212" t="str">
        <f t="shared" si="7"/>
        <v/>
      </c>
      <c r="AA170" s="174"/>
      <c r="AB170" s="174"/>
      <c r="AC170" s="174">
        <f>Renewables_Heat_Frontend[[#This Row],[Renewable Type]]</f>
        <v>0</v>
      </c>
      <c r="AD170" s="174" t="e" cm="1">
        <f t="array" aca="1" ref="AD170" ca="1">_xlfn.XLOOKUP(Renewables_Heat_Backend[[#This Row],[Level 3]],rng_Level3Long,rng_Level4Long)</f>
        <v>#N/A</v>
      </c>
      <c r="AE170" s="174" t="e" cm="1">
        <f t="array" aca="1" ref="AE170" ca="1">_xlfn.XLOOKUP(Renewables_Heat_Backend[[#This Row],[Level 3]],rng_Level3Long,rng_Level5Long)</f>
        <v>#N/A</v>
      </c>
      <c r="AF170" s="174" t="e" cm="1">
        <f t="array" aca="1" ref="AF170" ca="1">_xlfn.XLOOKUP(Renewables_Heat_Backend[[#This Row],[Level 3]],rng_Level3Long,rng_Level6Long)</f>
        <v>#N/A</v>
      </c>
      <c r="AG170" s="174">
        <f>Renewables_Heat_Frontend[[#This Row],[Generating site name]]</f>
        <v>0</v>
      </c>
      <c r="AH170" s="174"/>
      <c r="AI170" s="174">
        <f>Renewables_Heat_Frontend[[#This Row],[Methodology used]]</f>
        <v>0</v>
      </c>
      <c r="AJ170" s="220" t="e" cm="1">
        <f t="array" aca="1" ref="AJ170" ca="1">_xlfn.LET(_xlpm.LookupConcat,_xlfn.CONCAT(Renewables_Heat_Backend[[#This Row],[Level 1]:[Level 6]]), _xlfn.XLOOKUP(_xlpm.LookupConcat,rng_LevelsConcat,_xlfn.SWITCH(Renewables_Heat_Backend[[#This Row],[Methodology]],"Tier 1",rng_RSD1,"Tier 2",rng_RSD2,"Tier 3",rng_RSD3)))</f>
        <v>#N/A</v>
      </c>
      <c r="AK170" s="174">
        <f>Renewables_Heat_Frontend[[#This Row],[Age (years)]]</f>
        <v>0</v>
      </c>
      <c r="AL170" s="218" t="s">
        <v>1848</v>
      </c>
      <c r="AM170" s="174">
        <f>Renewables_Heat_Frontend[[#This Row],[Total MW capacity]]</f>
        <v>0</v>
      </c>
      <c r="AN170" s="220">
        <f>Renewables_Heat_Frontend[[#This Row],[Total kWh generated]]</f>
        <v>0</v>
      </c>
      <c r="AO170" s="412">
        <f>Renewables_Heat_Frontend[[#This Row],[kWh consumed by reporting organisation]]</f>
        <v>0</v>
      </c>
      <c r="AP170" s="412">
        <f>Renewables_Heat_Frontend[[#This Row],[kWh exported to grid]]</f>
        <v>0</v>
      </c>
      <c r="AQ170" s="412">
        <f>Renewables_Heat_Frontend[[#This Row],[kWh exported to other PSB]]</f>
        <v>0</v>
      </c>
      <c r="AR170" s="220">
        <f>Renewables_Heat_Frontend[[#This Row],[Name of other PSB]]</f>
        <v>0</v>
      </c>
      <c r="AS170" s="220">
        <f>Renewables_Heat_Frontend[[#This Row],[Ease of collection]]</f>
        <v>0</v>
      </c>
      <c r="AT170" s="174">
        <f>Renewables_Heat_Frontend[[#This Row],[Completeness]]</f>
        <v>0</v>
      </c>
      <c r="AU170" s="174">
        <f>Renewables_Heat_Frontend[[#This Row],[Notes]]</f>
        <v>0</v>
      </c>
    </row>
    <row r="171" spans="2:47" x14ac:dyDescent="0.35">
      <c r="B171" s="146"/>
      <c r="E171" s="270"/>
      <c r="F171" s="268"/>
      <c r="G171" s="268"/>
      <c r="H171" s="268"/>
      <c r="I171" s="268"/>
      <c r="J171" s="268"/>
      <c r="K171" s="269"/>
      <c r="L171" s="269"/>
      <c r="M171" s="280">
        <f>Renewables_Heat_Frontend[[#This Row],[kWh consumed by reporting organisation]]+Renewables_Heat_Frontend[[#This Row],[kWh exported to grid]]+Renewables_Heat_Frontend[[#This Row],[kWh exported to other PSB]]</f>
        <v>0</v>
      </c>
      <c r="N171" s="281"/>
      <c r="O171" s="281"/>
      <c r="P171" s="282"/>
      <c r="Q171" s="282"/>
      <c r="R171" s="284"/>
      <c r="S171" s="284"/>
      <c r="T171" s="285"/>
      <c r="U171" s="329"/>
      <c r="V171" s="242">
        <f t="shared" si="6"/>
        <v>10</v>
      </c>
      <c r="Z171" s="212" t="str">
        <f t="shared" si="7"/>
        <v/>
      </c>
      <c r="AA171" s="174"/>
      <c r="AB171" s="174"/>
      <c r="AC171" s="174">
        <f>Renewables_Heat_Frontend[[#This Row],[Renewable Type]]</f>
        <v>0</v>
      </c>
      <c r="AD171" s="174" t="e" cm="1">
        <f t="array" aca="1" ref="AD171" ca="1">_xlfn.XLOOKUP(Renewables_Heat_Backend[[#This Row],[Level 3]],rng_Level3Long,rng_Level4Long)</f>
        <v>#N/A</v>
      </c>
      <c r="AE171" s="174" t="e" cm="1">
        <f t="array" aca="1" ref="AE171" ca="1">_xlfn.XLOOKUP(Renewables_Heat_Backend[[#This Row],[Level 3]],rng_Level3Long,rng_Level5Long)</f>
        <v>#N/A</v>
      </c>
      <c r="AF171" s="174" t="e" cm="1">
        <f t="array" aca="1" ref="AF171" ca="1">_xlfn.XLOOKUP(Renewables_Heat_Backend[[#This Row],[Level 3]],rng_Level3Long,rng_Level6Long)</f>
        <v>#N/A</v>
      </c>
      <c r="AG171" s="174">
        <f>Renewables_Heat_Frontend[[#This Row],[Generating site name]]</f>
        <v>0</v>
      </c>
      <c r="AH171" s="174"/>
      <c r="AI171" s="174">
        <f>Renewables_Heat_Frontend[[#This Row],[Methodology used]]</f>
        <v>0</v>
      </c>
      <c r="AJ171" s="220" t="e" cm="1">
        <f t="array" aca="1" ref="AJ171" ca="1">_xlfn.LET(_xlpm.LookupConcat,_xlfn.CONCAT(Renewables_Heat_Backend[[#This Row],[Level 1]:[Level 6]]), _xlfn.XLOOKUP(_xlpm.LookupConcat,rng_LevelsConcat,_xlfn.SWITCH(Renewables_Heat_Backend[[#This Row],[Methodology]],"Tier 1",rng_RSD1,"Tier 2",rng_RSD2,"Tier 3",rng_RSD3)))</f>
        <v>#N/A</v>
      </c>
      <c r="AK171" s="174">
        <f>Renewables_Heat_Frontend[[#This Row],[Age (years)]]</f>
        <v>0</v>
      </c>
      <c r="AL171" s="218" t="s">
        <v>1848</v>
      </c>
      <c r="AM171" s="174">
        <f>Renewables_Heat_Frontend[[#This Row],[Total MW capacity]]</f>
        <v>0</v>
      </c>
      <c r="AN171" s="220">
        <f>Renewables_Heat_Frontend[[#This Row],[Total kWh generated]]</f>
        <v>0</v>
      </c>
      <c r="AO171" s="412">
        <f>Renewables_Heat_Frontend[[#This Row],[kWh consumed by reporting organisation]]</f>
        <v>0</v>
      </c>
      <c r="AP171" s="412">
        <f>Renewables_Heat_Frontend[[#This Row],[kWh exported to grid]]</f>
        <v>0</v>
      </c>
      <c r="AQ171" s="412">
        <f>Renewables_Heat_Frontend[[#This Row],[kWh exported to other PSB]]</f>
        <v>0</v>
      </c>
      <c r="AR171" s="220">
        <f>Renewables_Heat_Frontend[[#This Row],[Name of other PSB]]</f>
        <v>0</v>
      </c>
      <c r="AS171" s="220">
        <f>Renewables_Heat_Frontend[[#This Row],[Ease of collection]]</f>
        <v>0</v>
      </c>
      <c r="AT171" s="174">
        <f>Renewables_Heat_Frontend[[#This Row],[Completeness]]</f>
        <v>0</v>
      </c>
      <c r="AU171" s="174">
        <f>Renewables_Heat_Frontend[[#This Row],[Notes]]</f>
        <v>0</v>
      </c>
    </row>
    <row r="172" spans="2:47" x14ac:dyDescent="0.35">
      <c r="B172" s="146"/>
      <c r="E172" s="270"/>
      <c r="F172" s="268"/>
      <c r="G172" s="268"/>
      <c r="H172" s="268"/>
      <c r="I172" s="268"/>
      <c r="J172" s="268"/>
      <c r="K172" s="269"/>
      <c r="L172" s="269"/>
      <c r="M172" s="280">
        <f>Renewables_Heat_Frontend[[#This Row],[kWh consumed by reporting organisation]]+Renewables_Heat_Frontend[[#This Row],[kWh exported to grid]]+Renewables_Heat_Frontend[[#This Row],[kWh exported to other PSB]]</f>
        <v>0</v>
      </c>
      <c r="N172" s="281"/>
      <c r="O172" s="281"/>
      <c r="P172" s="282"/>
      <c r="Q172" s="282"/>
      <c r="R172" s="284"/>
      <c r="S172" s="284"/>
      <c r="T172" s="285"/>
      <c r="U172" s="329"/>
      <c r="V172" s="242">
        <f t="shared" si="6"/>
        <v>10</v>
      </c>
      <c r="Z172" s="212" t="str">
        <f t="shared" si="7"/>
        <v/>
      </c>
      <c r="AA172" s="174"/>
      <c r="AB172" s="174"/>
      <c r="AC172" s="174">
        <f>Renewables_Heat_Frontend[[#This Row],[Renewable Type]]</f>
        <v>0</v>
      </c>
      <c r="AD172" s="174" t="e" cm="1">
        <f t="array" aca="1" ref="AD172" ca="1">_xlfn.XLOOKUP(Renewables_Heat_Backend[[#This Row],[Level 3]],rng_Level3Long,rng_Level4Long)</f>
        <v>#N/A</v>
      </c>
      <c r="AE172" s="174" t="e" cm="1">
        <f t="array" aca="1" ref="AE172" ca="1">_xlfn.XLOOKUP(Renewables_Heat_Backend[[#This Row],[Level 3]],rng_Level3Long,rng_Level5Long)</f>
        <v>#N/A</v>
      </c>
      <c r="AF172" s="174" t="e" cm="1">
        <f t="array" aca="1" ref="AF172" ca="1">_xlfn.XLOOKUP(Renewables_Heat_Backend[[#This Row],[Level 3]],rng_Level3Long,rng_Level6Long)</f>
        <v>#N/A</v>
      </c>
      <c r="AG172" s="174">
        <f>Renewables_Heat_Frontend[[#This Row],[Generating site name]]</f>
        <v>0</v>
      </c>
      <c r="AH172" s="174"/>
      <c r="AI172" s="174">
        <f>Renewables_Heat_Frontend[[#This Row],[Methodology used]]</f>
        <v>0</v>
      </c>
      <c r="AJ172" s="220" t="e" cm="1">
        <f t="array" aca="1" ref="AJ172" ca="1">_xlfn.LET(_xlpm.LookupConcat,_xlfn.CONCAT(Renewables_Heat_Backend[[#This Row],[Level 1]:[Level 6]]), _xlfn.XLOOKUP(_xlpm.LookupConcat,rng_LevelsConcat,_xlfn.SWITCH(Renewables_Heat_Backend[[#This Row],[Methodology]],"Tier 1",rng_RSD1,"Tier 2",rng_RSD2,"Tier 3",rng_RSD3)))</f>
        <v>#N/A</v>
      </c>
      <c r="AK172" s="174">
        <f>Renewables_Heat_Frontend[[#This Row],[Age (years)]]</f>
        <v>0</v>
      </c>
      <c r="AL172" s="218" t="s">
        <v>1848</v>
      </c>
      <c r="AM172" s="174">
        <f>Renewables_Heat_Frontend[[#This Row],[Total MW capacity]]</f>
        <v>0</v>
      </c>
      <c r="AN172" s="220">
        <f>Renewables_Heat_Frontend[[#This Row],[Total kWh generated]]</f>
        <v>0</v>
      </c>
      <c r="AO172" s="412">
        <f>Renewables_Heat_Frontend[[#This Row],[kWh consumed by reporting organisation]]</f>
        <v>0</v>
      </c>
      <c r="AP172" s="412">
        <f>Renewables_Heat_Frontend[[#This Row],[kWh exported to grid]]</f>
        <v>0</v>
      </c>
      <c r="AQ172" s="412">
        <f>Renewables_Heat_Frontend[[#This Row],[kWh exported to other PSB]]</f>
        <v>0</v>
      </c>
      <c r="AR172" s="220">
        <f>Renewables_Heat_Frontend[[#This Row],[Name of other PSB]]</f>
        <v>0</v>
      </c>
      <c r="AS172" s="220">
        <f>Renewables_Heat_Frontend[[#This Row],[Ease of collection]]</f>
        <v>0</v>
      </c>
      <c r="AT172" s="174">
        <f>Renewables_Heat_Frontend[[#This Row],[Completeness]]</f>
        <v>0</v>
      </c>
      <c r="AU172" s="174">
        <f>Renewables_Heat_Frontend[[#This Row],[Notes]]</f>
        <v>0</v>
      </c>
    </row>
    <row r="173" spans="2:47" x14ac:dyDescent="0.35">
      <c r="B173" s="146"/>
      <c r="E173" s="270"/>
      <c r="F173" s="268"/>
      <c r="G173" s="268"/>
      <c r="H173" s="268"/>
      <c r="I173" s="268"/>
      <c r="J173" s="268"/>
      <c r="K173" s="269"/>
      <c r="L173" s="269"/>
      <c r="M173" s="280">
        <f>Renewables_Heat_Frontend[[#This Row],[kWh consumed by reporting organisation]]+Renewables_Heat_Frontend[[#This Row],[kWh exported to grid]]+Renewables_Heat_Frontend[[#This Row],[kWh exported to other PSB]]</f>
        <v>0</v>
      </c>
      <c r="N173" s="281"/>
      <c r="O173" s="281"/>
      <c r="P173" s="282"/>
      <c r="Q173" s="282"/>
      <c r="R173" s="284"/>
      <c r="S173" s="284"/>
      <c r="T173" s="285"/>
      <c r="U173" s="329"/>
      <c r="V173" s="242">
        <f t="shared" si="6"/>
        <v>10</v>
      </c>
      <c r="Z173" s="212" t="str">
        <f t="shared" si="7"/>
        <v/>
      </c>
      <c r="AA173" s="174"/>
      <c r="AB173" s="174"/>
      <c r="AC173" s="174">
        <f>Renewables_Heat_Frontend[[#This Row],[Renewable Type]]</f>
        <v>0</v>
      </c>
      <c r="AD173" s="174" t="e" cm="1">
        <f t="array" aca="1" ref="AD173" ca="1">_xlfn.XLOOKUP(Renewables_Heat_Backend[[#This Row],[Level 3]],rng_Level3Long,rng_Level4Long)</f>
        <v>#N/A</v>
      </c>
      <c r="AE173" s="174" t="e" cm="1">
        <f t="array" aca="1" ref="AE173" ca="1">_xlfn.XLOOKUP(Renewables_Heat_Backend[[#This Row],[Level 3]],rng_Level3Long,rng_Level5Long)</f>
        <v>#N/A</v>
      </c>
      <c r="AF173" s="174" t="e" cm="1">
        <f t="array" aca="1" ref="AF173" ca="1">_xlfn.XLOOKUP(Renewables_Heat_Backend[[#This Row],[Level 3]],rng_Level3Long,rng_Level6Long)</f>
        <v>#N/A</v>
      </c>
      <c r="AG173" s="174">
        <f>Renewables_Heat_Frontend[[#This Row],[Generating site name]]</f>
        <v>0</v>
      </c>
      <c r="AH173" s="174"/>
      <c r="AI173" s="174">
        <f>Renewables_Heat_Frontend[[#This Row],[Methodology used]]</f>
        <v>0</v>
      </c>
      <c r="AJ173" s="220" t="e" cm="1">
        <f t="array" aca="1" ref="AJ173" ca="1">_xlfn.LET(_xlpm.LookupConcat,_xlfn.CONCAT(Renewables_Heat_Backend[[#This Row],[Level 1]:[Level 6]]), _xlfn.XLOOKUP(_xlpm.LookupConcat,rng_LevelsConcat,_xlfn.SWITCH(Renewables_Heat_Backend[[#This Row],[Methodology]],"Tier 1",rng_RSD1,"Tier 2",rng_RSD2,"Tier 3",rng_RSD3)))</f>
        <v>#N/A</v>
      </c>
      <c r="AK173" s="174">
        <f>Renewables_Heat_Frontend[[#This Row],[Age (years)]]</f>
        <v>0</v>
      </c>
      <c r="AL173" s="218" t="s">
        <v>1848</v>
      </c>
      <c r="AM173" s="174">
        <f>Renewables_Heat_Frontend[[#This Row],[Total MW capacity]]</f>
        <v>0</v>
      </c>
      <c r="AN173" s="220">
        <f>Renewables_Heat_Frontend[[#This Row],[Total kWh generated]]</f>
        <v>0</v>
      </c>
      <c r="AO173" s="412">
        <f>Renewables_Heat_Frontend[[#This Row],[kWh consumed by reporting organisation]]</f>
        <v>0</v>
      </c>
      <c r="AP173" s="412">
        <f>Renewables_Heat_Frontend[[#This Row],[kWh exported to grid]]</f>
        <v>0</v>
      </c>
      <c r="AQ173" s="412">
        <f>Renewables_Heat_Frontend[[#This Row],[kWh exported to other PSB]]</f>
        <v>0</v>
      </c>
      <c r="AR173" s="220">
        <f>Renewables_Heat_Frontend[[#This Row],[Name of other PSB]]</f>
        <v>0</v>
      </c>
      <c r="AS173" s="220">
        <f>Renewables_Heat_Frontend[[#This Row],[Ease of collection]]</f>
        <v>0</v>
      </c>
      <c r="AT173" s="174">
        <f>Renewables_Heat_Frontend[[#This Row],[Completeness]]</f>
        <v>0</v>
      </c>
      <c r="AU173" s="174">
        <f>Renewables_Heat_Frontend[[#This Row],[Notes]]</f>
        <v>0</v>
      </c>
    </row>
    <row r="174" spans="2:47" x14ac:dyDescent="0.35">
      <c r="B174" s="146"/>
      <c r="E174" s="270"/>
      <c r="F174" s="268"/>
      <c r="G174" s="268"/>
      <c r="H174" s="268"/>
      <c r="I174" s="268"/>
      <c r="J174" s="268"/>
      <c r="K174" s="269"/>
      <c r="L174" s="269"/>
      <c r="M174" s="280">
        <f>Renewables_Heat_Frontend[[#This Row],[kWh consumed by reporting organisation]]+Renewables_Heat_Frontend[[#This Row],[kWh exported to grid]]+Renewables_Heat_Frontend[[#This Row],[kWh exported to other PSB]]</f>
        <v>0</v>
      </c>
      <c r="N174" s="281"/>
      <c r="O174" s="281"/>
      <c r="P174" s="282"/>
      <c r="Q174" s="282"/>
      <c r="R174" s="284"/>
      <c r="S174" s="284"/>
      <c r="T174" s="285"/>
      <c r="U174" s="329"/>
      <c r="V174" s="242">
        <f t="shared" si="6"/>
        <v>10</v>
      </c>
      <c r="Z174" s="212" t="str">
        <f t="shared" si="7"/>
        <v/>
      </c>
      <c r="AA174" s="174"/>
      <c r="AB174" s="174"/>
      <c r="AC174" s="174">
        <f>Renewables_Heat_Frontend[[#This Row],[Renewable Type]]</f>
        <v>0</v>
      </c>
      <c r="AD174" s="174" t="e" cm="1">
        <f t="array" aca="1" ref="AD174" ca="1">_xlfn.XLOOKUP(Renewables_Heat_Backend[[#This Row],[Level 3]],rng_Level3Long,rng_Level4Long)</f>
        <v>#N/A</v>
      </c>
      <c r="AE174" s="174" t="e" cm="1">
        <f t="array" aca="1" ref="AE174" ca="1">_xlfn.XLOOKUP(Renewables_Heat_Backend[[#This Row],[Level 3]],rng_Level3Long,rng_Level5Long)</f>
        <v>#N/A</v>
      </c>
      <c r="AF174" s="174" t="e" cm="1">
        <f t="array" aca="1" ref="AF174" ca="1">_xlfn.XLOOKUP(Renewables_Heat_Backend[[#This Row],[Level 3]],rng_Level3Long,rng_Level6Long)</f>
        <v>#N/A</v>
      </c>
      <c r="AG174" s="174">
        <f>Renewables_Heat_Frontend[[#This Row],[Generating site name]]</f>
        <v>0</v>
      </c>
      <c r="AH174" s="174"/>
      <c r="AI174" s="174">
        <f>Renewables_Heat_Frontend[[#This Row],[Methodology used]]</f>
        <v>0</v>
      </c>
      <c r="AJ174" s="220" t="e" cm="1">
        <f t="array" aca="1" ref="AJ174" ca="1">_xlfn.LET(_xlpm.LookupConcat,_xlfn.CONCAT(Renewables_Heat_Backend[[#This Row],[Level 1]:[Level 6]]), _xlfn.XLOOKUP(_xlpm.LookupConcat,rng_LevelsConcat,_xlfn.SWITCH(Renewables_Heat_Backend[[#This Row],[Methodology]],"Tier 1",rng_RSD1,"Tier 2",rng_RSD2,"Tier 3",rng_RSD3)))</f>
        <v>#N/A</v>
      </c>
      <c r="AK174" s="174">
        <f>Renewables_Heat_Frontend[[#This Row],[Age (years)]]</f>
        <v>0</v>
      </c>
      <c r="AL174" s="218" t="s">
        <v>1848</v>
      </c>
      <c r="AM174" s="174">
        <f>Renewables_Heat_Frontend[[#This Row],[Total MW capacity]]</f>
        <v>0</v>
      </c>
      <c r="AN174" s="220">
        <f>Renewables_Heat_Frontend[[#This Row],[Total kWh generated]]</f>
        <v>0</v>
      </c>
      <c r="AO174" s="412">
        <f>Renewables_Heat_Frontend[[#This Row],[kWh consumed by reporting organisation]]</f>
        <v>0</v>
      </c>
      <c r="AP174" s="412">
        <f>Renewables_Heat_Frontend[[#This Row],[kWh exported to grid]]</f>
        <v>0</v>
      </c>
      <c r="AQ174" s="412">
        <f>Renewables_Heat_Frontend[[#This Row],[kWh exported to other PSB]]</f>
        <v>0</v>
      </c>
      <c r="AR174" s="220">
        <f>Renewables_Heat_Frontend[[#This Row],[Name of other PSB]]</f>
        <v>0</v>
      </c>
      <c r="AS174" s="220">
        <f>Renewables_Heat_Frontend[[#This Row],[Ease of collection]]</f>
        <v>0</v>
      </c>
      <c r="AT174" s="174">
        <f>Renewables_Heat_Frontend[[#This Row],[Completeness]]</f>
        <v>0</v>
      </c>
      <c r="AU174" s="174">
        <f>Renewables_Heat_Frontend[[#This Row],[Notes]]</f>
        <v>0</v>
      </c>
    </row>
    <row r="175" spans="2:47" x14ac:dyDescent="0.35">
      <c r="B175" s="146"/>
      <c r="E175" s="270"/>
      <c r="F175" s="268"/>
      <c r="G175" s="268"/>
      <c r="H175" s="268"/>
      <c r="I175" s="268"/>
      <c r="J175" s="268"/>
      <c r="K175" s="269"/>
      <c r="L175" s="269"/>
      <c r="M175" s="280">
        <f>Renewables_Heat_Frontend[[#This Row],[kWh consumed by reporting organisation]]+Renewables_Heat_Frontend[[#This Row],[kWh exported to grid]]+Renewables_Heat_Frontend[[#This Row],[kWh exported to other PSB]]</f>
        <v>0</v>
      </c>
      <c r="N175" s="281"/>
      <c r="O175" s="281"/>
      <c r="P175" s="282"/>
      <c r="Q175" s="282"/>
      <c r="R175" s="284"/>
      <c r="S175" s="284"/>
      <c r="T175" s="285"/>
      <c r="U175" s="329"/>
      <c r="V175" s="242">
        <f t="shared" si="6"/>
        <v>10</v>
      </c>
      <c r="Z175" s="212" t="str">
        <f t="shared" si="7"/>
        <v/>
      </c>
      <c r="AA175" s="174"/>
      <c r="AB175" s="174"/>
      <c r="AC175" s="174">
        <f>Renewables_Heat_Frontend[[#This Row],[Renewable Type]]</f>
        <v>0</v>
      </c>
      <c r="AD175" s="174" t="e" cm="1">
        <f t="array" aca="1" ref="AD175" ca="1">_xlfn.XLOOKUP(Renewables_Heat_Backend[[#This Row],[Level 3]],rng_Level3Long,rng_Level4Long)</f>
        <v>#N/A</v>
      </c>
      <c r="AE175" s="174" t="e" cm="1">
        <f t="array" aca="1" ref="AE175" ca="1">_xlfn.XLOOKUP(Renewables_Heat_Backend[[#This Row],[Level 3]],rng_Level3Long,rng_Level5Long)</f>
        <v>#N/A</v>
      </c>
      <c r="AF175" s="174" t="e" cm="1">
        <f t="array" aca="1" ref="AF175" ca="1">_xlfn.XLOOKUP(Renewables_Heat_Backend[[#This Row],[Level 3]],rng_Level3Long,rng_Level6Long)</f>
        <v>#N/A</v>
      </c>
      <c r="AG175" s="174">
        <f>Renewables_Heat_Frontend[[#This Row],[Generating site name]]</f>
        <v>0</v>
      </c>
      <c r="AH175" s="174"/>
      <c r="AI175" s="174">
        <f>Renewables_Heat_Frontend[[#This Row],[Methodology used]]</f>
        <v>0</v>
      </c>
      <c r="AJ175" s="220" t="e" cm="1">
        <f t="array" aca="1" ref="AJ175" ca="1">_xlfn.LET(_xlpm.LookupConcat,_xlfn.CONCAT(Renewables_Heat_Backend[[#This Row],[Level 1]:[Level 6]]), _xlfn.XLOOKUP(_xlpm.LookupConcat,rng_LevelsConcat,_xlfn.SWITCH(Renewables_Heat_Backend[[#This Row],[Methodology]],"Tier 1",rng_RSD1,"Tier 2",rng_RSD2,"Tier 3",rng_RSD3)))</f>
        <v>#N/A</v>
      </c>
      <c r="AK175" s="174">
        <f>Renewables_Heat_Frontend[[#This Row],[Age (years)]]</f>
        <v>0</v>
      </c>
      <c r="AL175" s="218" t="s">
        <v>1848</v>
      </c>
      <c r="AM175" s="174">
        <f>Renewables_Heat_Frontend[[#This Row],[Total MW capacity]]</f>
        <v>0</v>
      </c>
      <c r="AN175" s="220">
        <f>Renewables_Heat_Frontend[[#This Row],[Total kWh generated]]</f>
        <v>0</v>
      </c>
      <c r="AO175" s="412">
        <f>Renewables_Heat_Frontend[[#This Row],[kWh consumed by reporting organisation]]</f>
        <v>0</v>
      </c>
      <c r="AP175" s="412">
        <f>Renewables_Heat_Frontend[[#This Row],[kWh exported to grid]]</f>
        <v>0</v>
      </c>
      <c r="AQ175" s="412">
        <f>Renewables_Heat_Frontend[[#This Row],[kWh exported to other PSB]]</f>
        <v>0</v>
      </c>
      <c r="AR175" s="220">
        <f>Renewables_Heat_Frontend[[#This Row],[Name of other PSB]]</f>
        <v>0</v>
      </c>
      <c r="AS175" s="220">
        <f>Renewables_Heat_Frontend[[#This Row],[Ease of collection]]</f>
        <v>0</v>
      </c>
      <c r="AT175" s="174">
        <f>Renewables_Heat_Frontend[[#This Row],[Completeness]]</f>
        <v>0</v>
      </c>
      <c r="AU175" s="174">
        <f>Renewables_Heat_Frontend[[#This Row],[Notes]]</f>
        <v>0</v>
      </c>
    </row>
    <row r="176" spans="2:47" x14ac:dyDescent="0.35">
      <c r="B176" s="146"/>
      <c r="E176" s="270"/>
      <c r="F176" s="268"/>
      <c r="G176" s="268"/>
      <c r="H176" s="268"/>
      <c r="I176" s="268"/>
      <c r="J176" s="268"/>
      <c r="K176" s="269"/>
      <c r="L176" s="269"/>
      <c r="M176" s="280">
        <f>Renewables_Heat_Frontend[[#This Row],[kWh consumed by reporting organisation]]+Renewables_Heat_Frontend[[#This Row],[kWh exported to grid]]+Renewables_Heat_Frontend[[#This Row],[kWh exported to other PSB]]</f>
        <v>0</v>
      </c>
      <c r="N176" s="281"/>
      <c r="O176" s="281"/>
      <c r="P176" s="282"/>
      <c r="Q176" s="282"/>
      <c r="R176" s="284"/>
      <c r="S176" s="284"/>
      <c r="T176" s="285"/>
      <c r="U176" s="329"/>
      <c r="V176" s="242">
        <f t="shared" si="6"/>
        <v>10</v>
      </c>
      <c r="Z176" s="212" t="str">
        <f t="shared" si="7"/>
        <v/>
      </c>
      <c r="AA176" s="174"/>
      <c r="AB176" s="174"/>
      <c r="AC176" s="174">
        <f>Renewables_Heat_Frontend[[#This Row],[Renewable Type]]</f>
        <v>0</v>
      </c>
      <c r="AD176" s="174" t="e" cm="1">
        <f t="array" aca="1" ref="AD176" ca="1">_xlfn.XLOOKUP(Renewables_Heat_Backend[[#This Row],[Level 3]],rng_Level3Long,rng_Level4Long)</f>
        <v>#N/A</v>
      </c>
      <c r="AE176" s="174" t="e" cm="1">
        <f t="array" aca="1" ref="AE176" ca="1">_xlfn.XLOOKUP(Renewables_Heat_Backend[[#This Row],[Level 3]],rng_Level3Long,rng_Level5Long)</f>
        <v>#N/A</v>
      </c>
      <c r="AF176" s="174" t="e" cm="1">
        <f t="array" aca="1" ref="AF176" ca="1">_xlfn.XLOOKUP(Renewables_Heat_Backend[[#This Row],[Level 3]],rng_Level3Long,rng_Level6Long)</f>
        <v>#N/A</v>
      </c>
      <c r="AG176" s="174">
        <f>Renewables_Heat_Frontend[[#This Row],[Generating site name]]</f>
        <v>0</v>
      </c>
      <c r="AH176" s="174"/>
      <c r="AI176" s="174">
        <f>Renewables_Heat_Frontend[[#This Row],[Methodology used]]</f>
        <v>0</v>
      </c>
      <c r="AJ176" s="220" t="e" cm="1">
        <f t="array" aca="1" ref="AJ176" ca="1">_xlfn.LET(_xlpm.LookupConcat,_xlfn.CONCAT(Renewables_Heat_Backend[[#This Row],[Level 1]:[Level 6]]), _xlfn.XLOOKUP(_xlpm.LookupConcat,rng_LevelsConcat,_xlfn.SWITCH(Renewables_Heat_Backend[[#This Row],[Methodology]],"Tier 1",rng_RSD1,"Tier 2",rng_RSD2,"Tier 3",rng_RSD3)))</f>
        <v>#N/A</v>
      </c>
      <c r="AK176" s="174">
        <f>Renewables_Heat_Frontend[[#This Row],[Age (years)]]</f>
        <v>0</v>
      </c>
      <c r="AL176" s="218" t="s">
        <v>1848</v>
      </c>
      <c r="AM176" s="174">
        <f>Renewables_Heat_Frontend[[#This Row],[Total MW capacity]]</f>
        <v>0</v>
      </c>
      <c r="AN176" s="220">
        <f>Renewables_Heat_Frontend[[#This Row],[Total kWh generated]]</f>
        <v>0</v>
      </c>
      <c r="AO176" s="412">
        <f>Renewables_Heat_Frontend[[#This Row],[kWh consumed by reporting organisation]]</f>
        <v>0</v>
      </c>
      <c r="AP176" s="412">
        <f>Renewables_Heat_Frontend[[#This Row],[kWh exported to grid]]</f>
        <v>0</v>
      </c>
      <c r="AQ176" s="412">
        <f>Renewables_Heat_Frontend[[#This Row],[kWh exported to other PSB]]</f>
        <v>0</v>
      </c>
      <c r="AR176" s="220">
        <f>Renewables_Heat_Frontend[[#This Row],[Name of other PSB]]</f>
        <v>0</v>
      </c>
      <c r="AS176" s="220">
        <f>Renewables_Heat_Frontend[[#This Row],[Ease of collection]]</f>
        <v>0</v>
      </c>
      <c r="AT176" s="174">
        <f>Renewables_Heat_Frontend[[#This Row],[Completeness]]</f>
        <v>0</v>
      </c>
      <c r="AU176" s="174">
        <f>Renewables_Heat_Frontend[[#This Row],[Notes]]</f>
        <v>0</v>
      </c>
    </row>
    <row r="177" spans="2:47" x14ac:dyDescent="0.35">
      <c r="B177" s="146"/>
      <c r="E177" s="270"/>
      <c r="F177" s="268"/>
      <c r="G177" s="268"/>
      <c r="H177" s="268"/>
      <c r="I177" s="268"/>
      <c r="J177" s="268"/>
      <c r="K177" s="269"/>
      <c r="L177" s="269"/>
      <c r="M177" s="280">
        <f>Renewables_Heat_Frontend[[#This Row],[kWh consumed by reporting organisation]]+Renewables_Heat_Frontend[[#This Row],[kWh exported to grid]]+Renewables_Heat_Frontend[[#This Row],[kWh exported to other PSB]]</f>
        <v>0</v>
      </c>
      <c r="N177" s="281"/>
      <c r="O177" s="281"/>
      <c r="P177" s="282"/>
      <c r="Q177" s="282"/>
      <c r="R177" s="284"/>
      <c r="S177" s="284"/>
      <c r="T177" s="285"/>
      <c r="U177" s="329"/>
      <c r="V177" s="242">
        <f t="shared" si="6"/>
        <v>10</v>
      </c>
      <c r="Z177" s="212" t="str">
        <f t="shared" si="7"/>
        <v/>
      </c>
      <c r="AA177" s="174"/>
      <c r="AB177" s="174"/>
      <c r="AC177" s="174">
        <f>Renewables_Heat_Frontend[[#This Row],[Renewable Type]]</f>
        <v>0</v>
      </c>
      <c r="AD177" s="174" t="e" cm="1">
        <f t="array" aca="1" ref="AD177" ca="1">_xlfn.XLOOKUP(Renewables_Heat_Backend[[#This Row],[Level 3]],rng_Level3Long,rng_Level4Long)</f>
        <v>#N/A</v>
      </c>
      <c r="AE177" s="174" t="e" cm="1">
        <f t="array" aca="1" ref="AE177" ca="1">_xlfn.XLOOKUP(Renewables_Heat_Backend[[#This Row],[Level 3]],rng_Level3Long,rng_Level5Long)</f>
        <v>#N/A</v>
      </c>
      <c r="AF177" s="174" t="e" cm="1">
        <f t="array" aca="1" ref="AF177" ca="1">_xlfn.XLOOKUP(Renewables_Heat_Backend[[#This Row],[Level 3]],rng_Level3Long,rng_Level6Long)</f>
        <v>#N/A</v>
      </c>
      <c r="AG177" s="174">
        <f>Renewables_Heat_Frontend[[#This Row],[Generating site name]]</f>
        <v>0</v>
      </c>
      <c r="AH177" s="174"/>
      <c r="AI177" s="174">
        <f>Renewables_Heat_Frontend[[#This Row],[Methodology used]]</f>
        <v>0</v>
      </c>
      <c r="AJ177" s="220" t="e" cm="1">
        <f t="array" aca="1" ref="AJ177" ca="1">_xlfn.LET(_xlpm.LookupConcat,_xlfn.CONCAT(Renewables_Heat_Backend[[#This Row],[Level 1]:[Level 6]]), _xlfn.XLOOKUP(_xlpm.LookupConcat,rng_LevelsConcat,_xlfn.SWITCH(Renewables_Heat_Backend[[#This Row],[Methodology]],"Tier 1",rng_RSD1,"Tier 2",rng_RSD2,"Tier 3",rng_RSD3)))</f>
        <v>#N/A</v>
      </c>
      <c r="AK177" s="174">
        <f>Renewables_Heat_Frontend[[#This Row],[Age (years)]]</f>
        <v>0</v>
      </c>
      <c r="AL177" s="218" t="s">
        <v>1848</v>
      </c>
      <c r="AM177" s="174">
        <f>Renewables_Heat_Frontend[[#This Row],[Total MW capacity]]</f>
        <v>0</v>
      </c>
      <c r="AN177" s="220">
        <f>Renewables_Heat_Frontend[[#This Row],[Total kWh generated]]</f>
        <v>0</v>
      </c>
      <c r="AO177" s="412">
        <f>Renewables_Heat_Frontend[[#This Row],[kWh consumed by reporting organisation]]</f>
        <v>0</v>
      </c>
      <c r="AP177" s="412">
        <f>Renewables_Heat_Frontend[[#This Row],[kWh exported to grid]]</f>
        <v>0</v>
      </c>
      <c r="AQ177" s="412">
        <f>Renewables_Heat_Frontend[[#This Row],[kWh exported to other PSB]]</f>
        <v>0</v>
      </c>
      <c r="AR177" s="220">
        <f>Renewables_Heat_Frontend[[#This Row],[Name of other PSB]]</f>
        <v>0</v>
      </c>
      <c r="AS177" s="220">
        <f>Renewables_Heat_Frontend[[#This Row],[Ease of collection]]</f>
        <v>0</v>
      </c>
      <c r="AT177" s="174">
        <f>Renewables_Heat_Frontend[[#This Row],[Completeness]]</f>
        <v>0</v>
      </c>
      <c r="AU177" s="174">
        <f>Renewables_Heat_Frontend[[#This Row],[Notes]]</f>
        <v>0</v>
      </c>
    </row>
    <row r="178" spans="2:47" x14ac:dyDescent="0.35">
      <c r="B178" s="146"/>
      <c r="E178" s="270"/>
      <c r="F178" s="268"/>
      <c r="G178" s="268"/>
      <c r="H178" s="268"/>
      <c r="I178" s="268"/>
      <c r="J178" s="268"/>
      <c r="K178" s="269"/>
      <c r="L178" s="269"/>
      <c r="M178" s="280">
        <f>Renewables_Heat_Frontend[[#This Row],[kWh consumed by reporting organisation]]+Renewables_Heat_Frontend[[#This Row],[kWh exported to grid]]+Renewables_Heat_Frontend[[#This Row],[kWh exported to other PSB]]</f>
        <v>0</v>
      </c>
      <c r="N178" s="281"/>
      <c r="O178" s="281"/>
      <c r="P178" s="282"/>
      <c r="Q178" s="282"/>
      <c r="R178" s="284"/>
      <c r="S178" s="284"/>
      <c r="T178" s="285"/>
      <c r="U178" s="329"/>
      <c r="V178" s="242">
        <f t="shared" si="6"/>
        <v>10</v>
      </c>
      <c r="Z178" s="212" t="str">
        <f t="shared" si="7"/>
        <v/>
      </c>
      <c r="AA178" s="174"/>
      <c r="AB178" s="174"/>
      <c r="AC178" s="174">
        <f>Renewables_Heat_Frontend[[#This Row],[Renewable Type]]</f>
        <v>0</v>
      </c>
      <c r="AD178" s="174" t="e" cm="1">
        <f t="array" aca="1" ref="AD178" ca="1">_xlfn.XLOOKUP(Renewables_Heat_Backend[[#This Row],[Level 3]],rng_Level3Long,rng_Level4Long)</f>
        <v>#N/A</v>
      </c>
      <c r="AE178" s="174" t="e" cm="1">
        <f t="array" aca="1" ref="AE178" ca="1">_xlfn.XLOOKUP(Renewables_Heat_Backend[[#This Row],[Level 3]],rng_Level3Long,rng_Level5Long)</f>
        <v>#N/A</v>
      </c>
      <c r="AF178" s="174" t="e" cm="1">
        <f t="array" aca="1" ref="AF178" ca="1">_xlfn.XLOOKUP(Renewables_Heat_Backend[[#This Row],[Level 3]],rng_Level3Long,rng_Level6Long)</f>
        <v>#N/A</v>
      </c>
      <c r="AG178" s="174">
        <f>Renewables_Heat_Frontend[[#This Row],[Generating site name]]</f>
        <v>0</v>
      </c>
      <c r="AH178" s="174"/>
      <c r="AI178" s="174">
        <f>Renewables_Heat_Frontend[[#This Row],[Methodology used]]</f>
        <v>0</v>
      </c>
      <c r="AJ178" s="220" t="e" cm="1">
        <f t="array" aca="1" ref="AJ178" ca="1">_xlfn.LET(_xlpm.LookupConcat,_xlfn.CONCAT(Renewables_Heat_Backend[[#This Row],[Level 1]:[Level 6]]), _xlfn.XLOOKUP(_xlpm.LookupConcat,rng_LevelsConcat,_xlfn.SWITCH(Renewables_Heat_Backend[[#This Row],[Methodology]],"Tier 1",rng_RSD1,"Tier 2",rng_RSD2,"Tier 3",rng_RSD3)))</f>
        <v>#N/A</v>
      </c>
      <c r="AK178" s="174">
        <f>Renewables_Heat_Frontend[[#This Row],[Age (years)]]</f>
        <v>0</v>
      </c>
      <c r="AL178" s="218" t="s">
        <v>1848</v>
      </c>
      <c r="AM178" s="174">
        <f>Renewables_Heat_Frontend[[#This Row],[Total MW capacity]]</f>
        <v>0</v>
      </c>
      <c r="AN178" s="220">
        <f>Renewables_Heat_Frontend[[#This Row],[Total kWh generated]]</f>
        <v>0</v>
      </c>
      <c r="AO178" s="412">
        <f>Renewables_Heat_Frontend[[#This Row],[kWh consumed by reporting organisation]]</f>
        <v>0</v>
      </c>
      <c r="AP178" s="412">
        <f>Renewables_Heat_Frontend[[#This Row],[kWh exported to grid]]</f>
        <v>0</v>
      </c>
      <c r="AQ178" s="412">
        <f>Renewables_Heat_Frontend[[#This Row],[kWh exported to other PSB]]</f>
        <v>0</v>
      </c>
      <c r="AR178" s="220">
        <f>Renewables_Heat_Frontend[[#This Row],[Name of other PSB]]</f>
        <v>0</v>
      </c>
      <c r="AS178" s="220">
        <f>Renewables_Heat_Frontend[[#This Row],[Ease of collection]]</f>
        <v>0</v>
      </c>
      <c r="AT178" s="174">
        <f>Renewables_Heat_Frontend[[#This Row],[Completeness]]</f>
        <v>0</v>
      </c>
      <c r="AU178" s="174">
        <f>Renewables_Heat_Frontend[[#This Row],[Notes]]</f>
        <v>0</v>
      </c>
    </row>
    <row r="179" spans="2:47" x14ac:dyDescent="0.35">
      <c r="B179" s="146"/>
      <c r="E179" s="270"/>
      <c r="F179" s="268"/>
      <c r="G179" s="268"/>
      <c r="H179" s="268"/>
      <c r="I179" s="268"/>
      <c r="J179" s="268"/>
      <c r="K179" s="269"/>
      <c r="L179" s="269"/>
      <c r="M179" s="280">
        <f>Renewables_Heat_Frontend[[#This Row],[kWh consumed by reporting organisation]]+Renewables_Heat_Frontend[[#This Row],[kWh exported to grid]]+Renewables_Heat_Frontend[[#This Row],[kWh exported to other PSB]]</f>
        <v>0</v>
      </c>
      <c r="N179" s="281"/>
      <c r="O179" s="281"/>
      <c r="P179" s="282"/>
      <c r="Q179" s="282"/>
      <c r="R179" s="284"/>
      <c r="S179" s="284"/>
      <c r="T179" s="285"/>
      <c r="U179" s="329"/>
      <c r="V179" s="242">
        <f t="shared" si="6"/>
        <v>10</v>
      </c>
      <c r="Z179" s="212" t="str">
        <f t="shared" si="7"/>
        <v/>
      </c>
      <c r="AA179" s="174"/>
      <c r="AB179" s="174"/>
      <c r="AC179" s="174">
        <f>Renewables_Heat_Frontend[[#This Row],[Renewable Type]]</f>
        <v>0</v>
      </c>
      <c r="AD179" s="174" t="e" cm="1">
        <f t="array" aca="1" ref="AD179" ca="1">_xlfn.XLOOKUP(Renewables_Heat_Backend[[#This Row],[Level 3]],rng_Level3Long,rng_Level4Long)</f>
        <v>#N/A</v>
      </c>
      <c r="AE179" s="174" t="e" cm="1">
        <f t="array" aca="1" ref="AE179" ca="1">_xlfn.XLOOKUP(Renewables_Heat_Backend[[#This Row],[Level 3]],rng_Level3Long,rng_Level5Long)</f>
        <v>#N/A</v>
      </c>
      <c r="AF179" s="174" t="e" cm="1">
        <f t="array" aca="1" ref="AF179" ca="1">_xlfn.XLOOKUP(Renewables_Heat_Backend[[#This Row],[Level 3]],rng_Level3Long,rng_Level6Long)</f>
        <v>#N/A</v>
      </c>
      <c r="AG179" s="174">
        <f>Renewables_Heat_Frontend[[#This Row],[Generating site name]]</f>
        <v>0</v>
      </c>
      <c r="AH179" s="174"/>
      <c r="AI179" s="174">
        <f>Renewables_Heat_Frontend[[#This Row],[Methodology used]]</f>
        <v>0</v>
      </c>
      <c r="AJ179" s="220" t="e" cm="1">
        <f t="array" aca="1" ref="AJ179" ca="1">_xlfn.LET(_xlpm.LookupConcat,_xlfn.CONCAT(Renewables_Heat_Backend[[#This Row],[Level 1]:[Level 6]]), _xlfn.XLOOKUP(_xlpm.LookupConcat,rng_LevelsConcat,_xlfn.SWITCH(Renewables_Heat_Backend[[#This Row],[Methodology]],"Tier 1",rng_RSD1,"Tier 2",rng_RSD2,"Tier 3",rng_RSD3)))</f>
        <v>#N/A</v>
      </c>
      <c r="AK179" s="174">
        <f>Renewables_Heat_Frontend[[#This Row],[Age (years)]]</f>
        <v>0</v>
      </c>
      <c r="AL179" s="218" t="s">
        <v>1848</v>
      </c>
      <c r="AM179" s="174">
        <f>Renewables_Heat_Frontend[[#This Row],[Total MW capacity]]</f>
        <v>0</v>
      </c>
      <c r="AN179" s="220">
        <f>Renewables_Heat_Frontend[[#This Row],[Total kWh generated]]</f>
        <v>0</v>
      </c>
      <c r="AO179" s="412">
        <f>Renewables_Heat_Frontend[[#This Row],[kWh consumed by reporting organisation]]</f>
        <v>0</v>
      </c>
      <c r="AP179" s="412">
        <f>Renewables_Heat_Frontend[[#This Row],[kWh exported to grid]]</f>
        <v>0</v>
      </c>
      <c r="AQ179" s="412">
        <f>Renewables_Heat_Frontend[[#This Row],[kWh exported to other PSB]]</f>
        <v>0</v>
      </c>
      <c r="AR179" s="220">
        <f>Renewables_Heat_Frontend[[#This Row],[Name of other PSB]]</f>
        <v>0</v>
      </c>
      <c r="AS179" s="220">
        <f>Renewables_Heat_Frontend[[#This Row],[Ease of collection]]</f>
        <v>0</v>
      </c>
      <c r="AT179" s="174">
        <f>Renewables_Heat_Frontend[[#This Row],[Completeness]]</f>
        <v>0</v>
      </c>
      <c r="AU179" s="174">
        <f>Renewables_Heat_Frontend[[#This Row],[Notes]]</f>
        <v>0</v>
      </c>
    </row>
    <row r="180" spans="2:47" x14ac:dyDescent="0.35">
      <c r="B180" s="146"/>
      <c r="E180" s="270"/>
      <c r="F180" s="268"/>
      <c r="G180" s="268"/>
      <c r="H180" s="268"/>
      <c r="I180" s="268"/>
      <c r="J180" s="268"/>
      <c r="K180" s="269"/>
      <c r="L180" s="269"/>
      <c r="M180" s="280">
        <f>Renewables_Heat_Frontend[[#This Row],[kWh consumed by reporting organisation]]+Renewables_Heat_Frontend[[#This Row],[kWh exported to grid]]+Renewables_Heat_Frontend[[#This Row],[kWh exported to other PSB]]</f>
        <v>0</v>
      </c>
      <c r="N180" s="281"/>
      <c r="O180" s="281"/>
      <c r="P180" s="282"/>
      <c r="Q180" s="282"/>
      <c r="R180" s="284"/>
      <c r="S180" s="284"/>
      <c r="T180" s="285"/>
      <c r="U180" s="329"/>
      <c r="V180" s="242">
        <f t="shared" si="6"/>
        <v>10</v>
      </c>
      <c r="Z180" s="212" t="str">
        <f t="shared" si="7"/>
        <v/>
      </c>
      <c r="AA180" s="174"/>
      <c r="AB180" s="174"/>
      <c r="AC180" s="174">
        <f>Renewables_Heat_Frontend[[#This Row],[Renewable Type]]</f>
        <v>0</v>
      </c>
      <c r="AD180" s="174" t="e" cm="1">
        <f t="array" aca="1" ref="AD180" ca="1">_xlfn.XLOOKUP(Renewables_Heat_Backend[[#This Row],[Level 3]],rng_Level3Long,rng_Level4Long)</f>
        <v>#N/A</v>
      </c>
      <c r="AE180" s="174" t="e" cm="1">
        <f t="array" aca="1" ref="AE180" ca="1">_xlfn.XLOOKUP(Renewables_Heat_Backend[[#This Row],[Level 3]],rng_Level3Long,rng_Level5Long)</f>
        <v>#N/A</v>
      </c>
      <c r="AF180" s="174" t="e" cm="1">
        <f t="array" aca="1" ref="AF180" ca="1">_xlfn.XLOOKUP(Renewables_Heat_Backend[[#This Row],[Level 3]],rng_Level3Long,rng_Level6Long)</f>
        <v>#N/A</v>
      </c>
      <c r="AG180" s="174">
        <f>Renewables_Heat_Frontend[[#This Row],[Generating site name]]</f>
        <v>0</v>
      </c>
      <c r="AH180" s="174"/>
      <c r="AI180" s="174">
        <f>Renewables_Heat_Frontend[[#This Row],[Methodology used]]</f>
        <v>0</v>
      </c>
      <c r="AJ180" s="220" t="e" cm="1">
        <f t="array" aca="1" ref="AJ180" ca="1">_xlfn.LET(_xlpm.LookupConcat,_xlfn.CONCAT(Renewables_Heat_Backend[[#This Row],[Level 1]:[Level 6]]), _xlfn.XLOOKUP(_xlpm.LookupConcat,rng_LevelsConcat,_xlfn.SWITCH(Renewables_Heat_Backend[[#This Row],[Methodology]],"Tier 1",rng_RSD1,"Tier 2",rng_RSD2,"Tier 3",rng_RSD3)))</f>
        <v>#N/A</v>
      </c>
      <c r="AK180" s="174">
        <f>Renewables_Heat_Frontend[[#This Row],[Age (years)]]</f>
        <v>0</v>
      </c>
      <c r="AL180" s="218" t="s">
        <v>1848</v>
      </c>
      <c r="AM180" s="174">
        <f>Renewables_Heat_Frontend[[#This Row],[Total MW capacity]]</f>
        <v>0</v>
      </c>
      <c r="AN180" s="220">
        <f>Renewables_Heat_Frontend[[#This Row],[Total kWh generated]]</f>
        <v>0</v>
      </c>
      <c r="AO180" s="412">
        <f>Renewables_Heat_Frontend[[#This Row],[kWh consumed by reporting organisation]]</f>
        <v>0</v>
      </c>
      <c r="AP180" s="412">
        <f>Renewables_Heat_Frontend[[#This Row],[kWh exported to grid]]</f>
        <v>0</v>
      </c>
      <c r="AQ180" s="412">
        <f>Renewables_Heat_Frontend[[#This Row],[kWh exported to other PSB]]</f>
        <v>0</v>
      </c>
      <c r="AR180" s="220">
        <f>Renewables_Heat_Frontend[[#This Row],[Name of other PSB]]</f>
        <v>0</v>
      </c>
      <c r="AS180" s="220">
        <f>Renewables_Heat_Frontend[[#This Row],[Ease of collection]]</f>
        <v>0</v>
      </c>
      <c r="AT180" s="174">
        <f>Renewables_Heat_Frontend[[#This Row],[Completeness]]</f>
        <v>0</v>
      </c>
      <c r="AU180" s="174">
        <f>Renewables_Heat_Frontend[[#This Row],[Notes]]</f>
        <v>0</v>
      </c>
    </row>
    <row r="181" spans="2:47" x14ac:dyDescent="0.35">
      <c r="B181" s="146"/>
      <c r="E181" s="270"/>
      <c r="F181" s="268"/>
      <c r="G181" s="268"/>
      <c r="H181" s="268"/>
      <c r="I181" s="268"/>
      <c r="J181" s="268"/>
      <c r="K181" s="269"/>
      <c r="L181" s="269"/>
      <c r="M181" s="280">
        <f>Renewables_Heat_Frontend[[#This Row],[kWh consumed by reporting organisation]]+Renewables_Heat_Frontend[[#This Row],[kWh exported to grid]]+Renewables_Heat_Frontend[[#This Row],[kWh exported to other PSB]]</f>
        <v>0</v>
      </c>
      <c r="N181" s="281"/>
      <c r="O181" s="281"/>
      <c r="P181" s="282"/>
      <c r="Q181" s="282"/>
      <c r="R181" s="284"/>
      <c r="S181" s="284"/>
      <c r="T181" s="285"/>
      <c r="U181" s="329"/>
      <c r="V181" s="242">
        <f t="shared" si="6"/>
        <v>10</v>
      </c>
      <c r="Z181" s="212" t="str">
        <f t="shared" si="7"/>
        <v/>
      </c>
      <c r="AA181" s="173"/>
      <c r="AB181" s="173"/>
      <c r="AC181" s="173">
        <f>Renewables_Heat_Frontend[[#This Row],[Renewable Type]]</f>
        <v>0</v>
      </c>
      <c r="AD181" s="173" t="e" cm="1">
        <f t="array" aca="1" ref="AD181" ca="1">_xlfn.XLOOKUP(Renewables_Heat_Backend[[#This Row],[Level 3]],rng_Level3Long,rng_Level4Long)</f>
        <v>#N/A</v>
      </c>
      <c r="AE181" s="173" t="e" cm="1">
        <f t="array" aca="1" ref="AE181" ca="1">_xlfn.XLOOKUP(Renewables_Heat_Backend[[#This Row],[Level 3]],rng_Level3Long,rng_Level5Long)</f>
        <v>#N/A</v>
      </c>
      <c r="AF181" s="173" t="e" cm="1">
        <f t="array" aca="1" ref="AF181" ca="1">_xlfn.XLOOKUP(Renewables_Heat_Backend[[#This Row],[Level 3]],rng_Level3Long,rng_Level6Long)</f>
        <v>#N/A</v>
      </c>
      <c r="AG181" s="174">
        <f>Renewables_Heat_Frontend[[#This Row],[Generating site name]]</f>
        <v>0</v>
      </c>
      <c r="AH181" s="174"/>
      <c r="AI181" s="174">
        <f>Renewables_Heat_Frontend[[#This Row],[Methodology used]]</f>
        <v>0</v>
      </c>
      <c r="AJ181" s="220" t="e" cm="1">
        <f t="array" aca="1" ref="AJ181" ca="1">_xlfn.LET(_xlpm.LookupConcat,_xlfn.CONCAT(Renewables_Heat_Backend[[#This Row],[Level 1]:[Level 6]]), _xlfn.XLOOKUP(_xlpm.LookupConcat,rng_LevelsConcat,_xlfn.SWITCH(Renewables_Heat_Backend[[#This Row],[Methodology]],"Tier 1",rng_RSD1,"Tier 2",rng_RSD2,"Tier 3",rng_RSD3)))</f>
        <v>#N/A</v>
      </c>
      <c r="AK181" s="174">
        <f>Renewables_Heat_Frontend[[#This Row],[Age (years)]]</f>
        <v>0</v>
      </c>
      <c r="AL181" s="218" t="s">
        <v>1848</v>
      </c>
      <c r="AM181" s="174">
        <f>Renewables_Heat_Frontend[[#This Row],[Total MW capacity]]</f>
        <v>0</v>
      </c>
      <c r="AN181" s="220">
        <f>Renewables_Heat_Frontend[[#This Row],[Total kWh generated]]</f>
        <v>0</v>
      </c>
      <c r="AO181" s="412">
        <f>Renewables_Heat_Frontend[[#This Row],[kWh consumed by reporting organisation]]</f>
        <v>0</v>
      </c>
      <c r="AP181" s="412">
        <f>Renewables_Heat_Frontend[[#This Row],[kWh exported to grid]]</f>
        <v>0</v>
      </c>
      <c r="AQ181" s="412">
        <f>Renewables_Heat_Frontend[[#This Row],[kWh exported to other PSB]]</f>
        <v>0</v>
      </c>
      <c r="AR181" s="220">
        <f>Renewables_Heat_Frontend[[#This Row],[Name of other PSB]]</f>
        <v>0</v>
      </c>
      <c r="AS181" s="220">
        <f>Renewables_Heat_Frontend[[#This Row],[Ease of collection]]</f>
        <v>0</v>
      </c>
      <c r="AT181" s="174">
        <f>Renewables_Heat_Frontend[[#This Row],[Completeness]]</f>
        <v>0</v>
      </c>
      <c r="AU181" s="174">
        <f>Renewables_Heat_Frontend[[#This Row],[Notes]]</f>
        <v>0</v>
      </c>
    </row>
    <row r="182" spans="2:47" x14ac:dyDescent="0.35">
      <c r="B182" s="146"/>
      <c r="E182" s="270"/>
      <c r="F182" s="268"/>
      <c r="G182" s="268"/>
      <c r="H182" s="268"/>
      <c r="I182" s="268"/>
      <c r="J182" s="268"/>
      <c r="K182" s="269"/>
      <c r="L182" s="269"/>
      <c r="M182" s="280">
        <f>Renewables_Heat_Frontend[[#This Row],[kWh consumed by reporting organisation]]+Renewables_Heat_Frontend[[#This Row],[kWh exported to grid]]+Renewables_Heat_Frontend[[#This Row],[kWh exported to other PSB]]</f>
        <v>0</v>
      </c>
      <c r="N182" s="281"/>
      <c r="O182" s="281"/>
      <c r="P182" s="282"/>
      <c r="Q182" s="282"/>
      <c r="R182" s="284"/>
      <c r="S182" s="284"/>
      <c r="T182" s="285"/>
      <c r="U182" s="329"/>
      <c r="V182" s="242">
        <f t="shared" si="6"/>
        <v>10</v>
      </c>
      <c r="Z182" s="212" t="str">
        <f t="shared" si="7"/>
        <v/>
      </c>
      <c r="AA182" s="174"/>
      <c r="AB182" s="174"/>
      <c r="AC182" s="174">
        <f>Renewables_Heat_Frontend[[#This Row],[Renewable Type]]</f>
        <v>0</v>
      </c>
      <c r="AD182" s="174" t="e" cm="1">
        <f t="array" aca="1" ref="AD182" ca="1">_xlfn.XLOOKUP(Renewables_Heat_Backend[[#This Row],[Level 3]],rng_Level3Long,rng_Level4Long)</f>
        <v>#N/A</v>
      </c>
      <c r="AE182" s="174" t="e" cm="1">
        <f t="array" aca="1" ref="AE182" ca="1">_xlfn.XLOOKUP(Renewables_Heat_Backend[[#This Row],[Level 3]],rng_Level3Long,rng_Level5Long)</f>
        <v>#N/A</v>
      </c>
      <c r="AF182" s="174" t="e" cm="1">
        <f t="array" aca="1" ref="AF182" ca="1">_xlfn.XLOOKUP(Renewables_Heat_Backend[[#This Row],[Level 3]],rng_Level3Long,rng_Level6Long)</f>
        <v>#N/A</v>
      </c>
      <c r="AG182" s="174">
        <f>Renewables_Heat_Frontend[[#This Row],[Generating site name]]</f>
        <v>0</v>
      </c>
      <c r="AH182" s="174"/>
      <c r="AI182" s="174">
        <f>Renewables_Heat_Frontend[[#This Row],[Methodology used]]</f>
        <v>0</v>
      </c>
      <c r="AJ182" s="220" t="e" cm="1">
        <f t="array" aca="1" ref="AJ182" ca="1">_xlfn.LET(_xlpm.LookupConcat,_xlfn.CONCAT(Renewables_Heat_Backend[[#This Row],[Level 1]:[Level 6]]), _xlfn.XLOOKUP(_xlpm.LookupConcat,rng_LevelsConcat,_xlfn.SWITCH(Renewables_Heat_Backend[[#This Row],[Methodology]],"Tier 1",rng_RSD1,"Tier 2",rng_RSD2,"Tier 3",rng_RSD3)))</f>
        <v>#N/A</v>
      </c>
      <c r="AK182" s="174">
        <f>Renewables_Heat_Frontend[[#This Row],[Age (years)]]</f>
        <v>0</v>
      </c>
      <c r="AL182" s="218" t="s">
        <v>1848</v>
      </c>
      <c r="AM182" s="174">
        <f>Renewables_Heat_Frontend[[#This Row],[Total MW capacity]]</f>
        <v>0</v>
      </c>
      <c r="AN182" s="220">
        <f>Renewables_Heat_Frontend[[#This Row],[Total kWh generated]]</f>
        <v>0</v>
      </c>
      <c r="AO182" s="412">
        <f>Renewables_Heat_Frontend[[#This Row],[kWh consumed by reporting organisation]]</f>
        <v>0</v>
      </c>
      <c r="AP182" s="412">
        <f>Renewables_Heat_Frontend[[#This Row],[kWh exported to grid]]</f>
        <v>0</v>
      </c>
      <c r="AQ182" s="412">
        <f>Renewables_Heat_Frontend[[#This Row],[kWh exported to other PSB]]</f>
        <v>0</v>
      </c>
      <c r="AR182" s="220">
        <f>Renewables_Heat_Frontend[[#This Row],[Name of other PSB]]</f>
        <v>0</v>
      </c>
      <c r="AS182" s="220">
        <f>Renewables_Heat_Frontend[[#This Row],[Ease of collection]]</f>
        <v>0</v>
      </c>
      <c r="AT182" s="174">
        <f>Renewables_Heat_Frontend[[#This Row],[Completeness]]</f>
        <v>0</v>
      </c>
      <c r="AU182" s="174">
        <f>Renewables_Heat_Frontend[[#This Row],[Notes]]</f>
        <v>0</v>
      </c>
    </row>
    <row r="183" spans="2:47" x14ac:dyDescent="0.35">
      <c r="B183" s="146"/>
      <c r="E183" s="270"/>
      <c r="F183" s="268"/>
      <c r="G183" s="268"/>
      <c r="H183" s="268"/>
      <c r="I183" s="268"/>
      <c r="J183" s="268"/>
      <c r="K183" s="269"/>
      <c r="L183" s="269"/>
      <c r="M183" s="280">
        <f>Renewables_Heat_Frontend[[#This Row],[kWh consumed by reporting organisation]]+Renewables_Heat_Frontend[[#This Row],[kWh exported to grid]]+Renewables_Heat_Frontend[[#This Row],[kWh exported to other PSB]]</f>
        <v>0</v>
      </c>
      <c r="N183" s="281"/>
      <c r="O183" s="281"/>
      <c r="P183" s="282"/>
      <c r="Q183" s="282"/>
      <c r="R183" s="284"/>
      <c r="S183" s="284"/>
      <c r="T183" s="285"/>
      <c r="U183" s="329"/>
      <c r="V183" s="242">
        <f t="shared" si="6"/>
        <v>10</v>
      </c>
      <c r="Z183" s="212" t="str">
        <f t="shared" si="7"/>
        <v/>
      </c>
      <c r="AA183" s="174"/>
      <c r="AB183" s="174"/>
      <c r="AC183" s="174">
        <f>Renewables_Heat_Frontend[[#This Row],[Renewable Type]]</f>
        <v>0</v>
      </c>
      <c r="AD183" s="174" t="e" cm="1">
        <f t="array" aca="1" ref="AD183" ca="1">_xlfn.XLOOKUP(Renewables_Heat_Backend[[#This Row],[Level 3]],rng_Level3Long,rng_Level4Long)</f>
        <v>#N/A</v>
      </c>
      <c r="AE183" s="174" t="e" cm="1">
        <f t="array" aca="1" ref="AE183" ca="1">_xlfn.XLOOKUP(Renewables_Heat_Backend[[#This Row],[Level 3]],rng_Level3Long,rng_Level5Long)</f>
        <v>#N/A</v>
      </c>
      <c r="AF183" s="174" t="e" cm="1">
        <f t="array" aca="1" ref="AF183" ca="1">_xlfn.XLOOKUP(Renewables_Heat_Backend[[#This Row],[Level 3]],rng_Level3Long,rng_Level6Long)</f>
        <v>#N/A</v>
      </c>
      <c r="AG183" s="174">
        <f>Renewables_Heat_Frontend[[#This Row],[Generating site name]]</f>
        <v>0</v>
      </c>
      <c r="AH183" s="174"/>
      <c r="AI183" s="174">
        <f>Renewables_Heat_Frontend[[#This Row],[Methodology used]]</f>
        <v>0</v>
      </c>
      <c r="AJ183" s="220" t="e" cm="1">
        <f t="array" aca="1" ref="AJ183" ca="1">_xlfn.LET(_xlpm.LookupConcat,_xlfn.CONCAT(Renewables_Heat_Backend[[#This Row],[Level 1]:[Level 6]]), _xlfn.XLOOKUP(_xlpm.LookupConcat,rng_LevelsConcat,_xlfn.SWITCH(Renewables_Heat_Backend[[#This Row],[Methodology]],"Tier 1",rng_RSD1,"Tier 2",rng_RSD2,"Tier 3",rng_RSD3)))</f>
        <v>#N/A</v>
      </c>
      <c r="AK183" s="174">
        <f>Renewables_Heat_Frontend[[#This Row],[Age (years)]]</f>
        <v>0</v>
      </c>
      <c r="AL183" s="218" t="s">
        <v>1848</v>
      </c>
      <c r="AM183" s="174">
        <f>Renewables_Heat_Frontend[[#This Row],[Total MW capacity]]</f>
        <v>0</v>
      </c>
      <c r="AN183" s="220">
        <f>Renewables_Heat_Frontend[[#This Row],[Total kWh generated]]</f>
        <v>0</v>
      </c>
      <c r="AO183" s="412">
        <f>Renewables_Heat_Frontend[[#This Row],[kWh consumed by reporting organisation]]</f>
        <v>0</v>
      </c>
      <c r="AP183" s="412">
        <f>Renewables_Heat_Frontend[[#This Row],[kWh exported to grid]]</f>
        <v>0</v>
      </c>
      <c r="AQ183" s="412">
        <f>Renewables_Heat_Frontend[[#This Row],[kWh exported to other PSB]]</f>
        <v>0</v>
      </c>
      <c r="AR183" s="220">
        <f>Renewables_Heat_Frontend[[#This Row],[Name of other PSB]]</f>
        <v>0</v>
      </c>
      <c r="AS183" s="220">
        <f>Renewables_Heat_Frontend[[#This Row],[Ease of collection]]</f>
        <v>0</v>
      </c>
      <c r="AT183" s="174">
        <f>Renewables_Heat_Frontend[[#This Row],[Completeness]]</f>
        <v>0</v>
      </c>
      <c r="AU183" s="174">
        <f>Renewables_Heat_Frontend[[#This Row],[Notes]]</f>
        <v>0</v>
      </c>
    </row>
    <row r="184" spans="2:47" x14ac:dyDescent="0.35">
      <c r="B184" s="146"/>
      <c r="E184" s="270"/>
      <c r="F184" s="268"/>
      <c r="G184" s="268"/>
      <c r="H184" s="268"/>
      <c r="I184" s="268"/>
      <c r="J184" s="268"/>
      <c r="K184" s="269"/>
      <c r="L184" s="269"/>
      <c r="M184" s="280">
        <f>Renewables_Heat_Frontend[[#This Row],[kWh consumed by reporting organisation]]+Renewables_Heat_Frontend[[#This Row],[kWh exported to grid]]+Renewables_Heat_Frontend[[#This Row],[kWh exported to other PSB]]</f>
        <v>0</v>
      </c>
      <c r="N184" s="281"/>
      <c r="O184" s="281"/>
      <c r="P184" s="282"/>
      <c r="Q184" s="282"/>
      <c r="R184" s="284"/>
      <c r="S184" s="284"/>
      <c r="T184" s="285"/>
      <c r="U184" s="329"/>
      <c r="V184" s="242">
        <f t="shared" si="6"/>
        <v>10</v>
      </c>
      <c r="Z184" s="212" t="str">
        <f t="shared" si="7"/>
        <v/>
      </c>
      <c r="AA184" s="174"/>
      <c r="AB184" s="174"/>
      <c r="AC184" s="174">
        <f>Renewables_Heat_Frontend[[#This Row],[Renewable Type]]</f>
        <v>0</v>
      </c>
      <c r="AD184" s="174" t="e" cm="1">
        <f t="array" aca="1" ref="AD184" ca="1">_xlfn.XLOOKUP(Renewables_Heat_Backend[[#This Row],[Level 3]],rng_Level3Long,rng_Level4Long)</f>
        <v>#N/A</v>
      </c>
      <c r="AE184" s="174" t="e" cm="1">
        <f t="array" aca="1" ref="AE184" ca="1">_xlfn.XLOOKUP(Renewables_Heat_Backend[[#This Row],[Level 3]],rng_Level3Long,rng_Level5Long)</f>
        <v>#N/A</v>
      </c>
      <c r="AF184" s="174" t="e" cm="1">
        <f t="array" aca="1" ref="AF184" ca="1">_xlfn.XLOOKUP(Renewables_Heat_Backend[[#This Row],[Level 3]],rng_Level3Long,rng_Level6Long)</f>
        <v>#N/A</v>
      </c>
      <c r="AG184" s="174">
        <f>Renewables_Heat_Frontend[[#This Row],[Generating site name]]</f>
        <v>0</v>
      </c>
      <c r="AH184" s="174"/>
      <c r="AI184" s="174">
        <f>Renewables_Heat_Frontend[[#This Row],[Methodology used]]</f>
        <v>0</v>
      </c>
      <c r="AJ184" s="220" t="e" cm="1">
        <f t="array" aca="1" ref="AJ184" ca="1">_xlfn.LET(_xlpm.LookupConcat,_xlfn.CONCAT(Renewables_Heat_Backend[[#This Row],[Level 1]:[Level 6]]), _xlfn.XLOOKUP(_xlpm.LookupConcat,rng_LevelsConcat,_xlfn.SWITCH(Renewables_Heat_Backend[[#This Row],[Methodology]],"Tier 1",rng_RSD1,"Tier 2",rng_RSD2,"Tier 3",rng_RSD3)))</f>
        <v>#N/A</v>
      </c>
      <c r="AK184" s="174">
        <f>Renewables_Heat_Frontend[[#This Row],[Age (years)]]</f>
        <v>0</v>
      </c>
      <c r="AL184" s="218" t="s">
        <v>1848</v>
      </c>
      <c r="AM184" s="174">
        <f>Renewables_Heat_Frontend[[#This Row],[Total MW capacity]]</f>
        <v>0</v>
      </c>
      <c r="AN184" s="220">
        <f>Renewables_Heat_Frontend[[#This Row],[Total kWh generated]]</f>
        <v>0</v>
      </c>
      <c r="AO184" s="412">
        <f>Renewables_Heat_Frontend[[#This Row],[kWh consumed by reporting organisation]]</f>
        <v>0</v>
      </c>
      <c r="AP184" s="412">
        <f>Renewables_Heat_Frontend[[#This Row],[kWh exported to grid]]</f>
        <v>0</v>
      </c>
      <c r="AQ184" s="412">
        <f>Renewables_Heat_Frontend[[#This Row],[kWh exported to other PSB]]</f>
        <v>0</v>
      </c>
      <c r="AR184" s="220">
        <f>Renewables_Heat_Frontend[[#This Row],[Name of other PSB]]</f>
        <v>0</v>
      </c>
      <c r="AS184" s="220">
        <f>Renewables_Heat_Frontend[[#This Row],[Ease of collection]]</f>
        <v>0</v>
      </c>
      <c r="AT184" s="174">
        <f>Renewables_Heat_Frontend[[#This Row],[Completeness]]</f>
        <v>0</v>
      </c>
      <c r="AU184" s="174">
        <f>Renewables_Heat_Frontend[[#This Row],[Notes]]</f>
        <v>0</v>
      </c>
    </row>
    <row r="185" spans="2:47" x14ac:dyDescent="0.35">
      <c r="B185" s="146"/>
      <c r="E185" s="270"/>
      <c r="F185" s="268"/>
      <c r="G185" s="268"/>
      <c r="H185" s="268"/>
      <c r="I185" s="268"/>
      <c r="J185" s="268"/>
      <c r="K185" s="269"/>
      <c r="L185" s="269"/>
      <c r="M185" s="280">
        <f>Renewables_Heat_Frontend[[#This Row],[kWh consumed by reporting organisation]]+Renewables_Heat_Frontend[[#This Row],[kWh exported to grid]]+Renewables_Heat_Frontend[[#This Row],[kWh exported to other PSB]]</f>
        <v>0</v>
      </c>
      <c r="N185" s="281"/>
      <c r="O185" s="281"/>
      <c r="P185" s="282"/>
      <c r="Q185" s="282"/>
      <c r="R185" s="284"/>
      <c r="S185" s="284"/>
      <c r="T185" s="285"/>
      <c r="U185" s="329"/>
      <c r="V185" s="242">
        <f t="shared" si="6"/>
        <v>10</v>
      </c>
      <c r="Z185" s="212" t="str">
        <f t="shared" ref="Z185:Z221" si="8">IF($V185=0,SUBSTITUTE(2025&amp;TRIM(cl_org_name_select)&amp;TRIM($E$118)&amp;(ROW(V185)-ROW($V$1121))," ",""),"")</f>
        <v/>
      </c>
      <c r="AA185" s="174"/>
      <c r="AB185" s="174"/>
      <c r="AC185" s="174">
        <f>Renewables_Heat_Frontend[[#This Row],[Renewable Type]]</f>
        <v>0</v>
      </c>
      <c r="AD185" s="174" t="e" cm="1">
        <f t="array" aca="1" ref="AD185" ca="1">_xlfn.XLOOKUP(Renewables_Heat_Backend[[#This Row],[Level 3]],rng_Level3Long,rng_Level4Long)</f>
        <v>#N/A</v>
      </c>
      <c r="AE185" s="174" t="e" cm="1">
        <f t="array" aca="1" ref="AE185" ca="1">_xlfn.XLOOKUP(Renewables_Heat_Backend[[#This Row],[Level 3]],rng_Level3Long,rng_Level5Long)</f>
        <v>#N/A</v>
      </c>
      <c r="AF185" s="174" t="e" cm="1">
        <f t="array" aca="1" ref="AF185" ca="1">_xlfn.XLOOKUP(Renewables_Heat_Backend[[#This Row],[Level 3]],rng_Level3Long,rng_Level6Long)</f>
        <v>#N/A</v>
      </c>
      <c r="AG185" s="174">
        <f>Renewables_Heat_Frontend[[#This Row],[Generating site name]]</f>
        <v>0</v>
      </c>
      <c r="AH185" s="174"/>
      <c r="AI185" s="174">
        <f>Renewables_Heat_Frontend[[#This Row],[Methodology used]]</f>
        <v>0</v>
      </c>
      <c r="AJ185" s="220" t="e" cm="1">
        <f t="array" aca="1" ref="AJ185" ca="1">_xlfn.LET(_xlpm.LookupConcat,_xlfn.CONCAT(Renewables_Heat_Backend[[#This Row],[Level 1]:[Level 6]]), _xlfn.XLOOKUP(_xlpm.LookupConcat,rng_LevelsConcat,_xlfn.SWITCH(Renewables_Heat_Backend[[#This Row],[Methodology]],"Tier 1",rng_RSD1,"Tier 2",rng_RSD2,"Tier 3",rng_RSD3)))</f>
        <v>#N/A</v>
      </c>
      <c r="AK185" s="174">
        <f>Renewables_Heat_Frontend[[#This Row],[Age (years)]]</f>
        <v>0</v>
      </c>
      <c r="AL185" s="218" t="s">
        <v>1848</v>
      </c>
      <c r="AM185" s="174">
        <f>Renewables_Heat_Frontend[[#This Row],[Total MW capacity]]</f>
        <v>0</v>
      </c>
      <c r="AN185" s="220">
        <f>Renewables_Heat_Frontend[[#This Row],[Total kWh generated]]</f>
        <v>0</v>
      </c>
      <c r="AO185" s="412">
        <f>Renewables_Heat_Frontend[[#This Row],[kWh consumed by reporting organisation]]</f>
        <v>0</v>
      </c>
      <c r="AP185" s="412">
        <f>Renewables_Heat_Frontend[[#This Row],[kWh exported to grid]]</f>
        <v>0</v>
      </c>
      <c r="AQ185" s="412">
        <f>Renewables_Heat_Frontend[[#This Row],[kWh exported to other PSB]]</f>
        <v>0</v>
      </c>
      <c r="AR185" s="220">
        <f>Renewables_Heat_Frontend[[#This Row],[Name of other PSB]]</f>
        <v>0</v>
      </c>
      <c r="AS185" s="220">
        <f>Renewables_Heat_Frontend[[#This Row],[Ease of collection]]</f>
        <v>0</v>
      </c>
      <c r="AT185" s="174">
        <f>Renewables_Heat_Frontend[[#This Row],[Completeness]]</f>
        <v>0</v>
      </c>
      <c r="AU185" s="174">
        <f>Renewables_Heat_Frontend[[#This Row],[Notes]]</f>
        <v>0</v>
      </c>
    </row>
    <row r="186" spans="2:47" x14ac:dyDescent="0.35">
      <c r="B186" s="146"/>
      <c r="E186" s="270"/>
      <c r="F186" s="268"/>
      <c r="G186" s="268"/>
      <c r="H186" s="268"/>
      <c r="I186" s="268"/>
      <c r="J186" s="268"/>
      <c r="K186" s="269"/>
      <c r="L186" s="269"/>
      <c r="M186" s="280">
        <f>Renewables_Heat_Frontend[[#This Row],[kWh consumed by reporting organisation]]+Renewables_Heat_Frontend[[#This Row],[kWh exported to grid]]+Renewables_Heat_Frontend[[#This Row],[kWh exported to other PSB]]</f>
        <v>0</v>
      </c>
      <c r="N186" s="281"/>
      <c r="O186" s="281"/>
      <c r="P186" s="282"/>
      <c r="Q186" s="282"/>
      <c r="R186" s="284"/>
      <c r="S186" s="284"/>
      <c r="T186" s="285"/>
      <c r="U186" s="329"/>
      <c r="V186" s="242">
        <f t="shared" ref="V186:V221" si="9">ISBLANK(E186)+ISBLANK(F186)+ISBLANK(G186)+ISBLANK(H186)+ISBLANK(I186)+ISBLANK(J186)+ISBLANK(K186)+ISBLANK(L186)+ISBLANK(N186)+ISBLANK(O186)</f>
        <v>10</v>
      </c>
      <c r="Z186" s="212" t="str">
        <f t="shared" si="8"/>
        <v/>
      </c>
      <c r="AA186" s="174"/>
      <c r="AB186" s="174"/>
      <c r="AC186" s="174">
        <f>Renewables_Heat_Frontend[[#This Row],[Renewable Type]]</f>
        <v>0</v>
      </c>
      <c r="AD186" s="174" t="e" cm="1">
        <f t="array" aca="1" ref="AD186" ca="1">_xlfn.XLOOKUP(Renewables_Heat_Backend[[#This Row],[Level 3]],rng_Level3Long,rng_Level4Long)</f>
        <v>#N/A</v>
      </c>
      <c r="AE186" s="174" t="e" cm="1">
        <f t="array" aca="1" ref="AE186" ca="1">_xlfn.XLOOKUP(Renewables_Heat_Backend[[#This Row],[Level 3]],rng_Level3Long,rng_Level5Long)</f>
        <v>#N/A</v>
      </c>
      <c r="AF186" s="174" t="e" cm="1">
        <f t="array" aca="1" ref="AF186" ca="1">_xlfn.XLOOKUP(Renewables_Heat_Backend[[#This Row],[Level 3]],rng_Level3Long,rng_Level6Long)</f>
        <v>#N/A</v>
      </c>
      <c r="AG186" s="174">
        <f>Renewables_Heat_Frontend[[#This Row],[Generating site name]]</f>
        <v>0</v>
      </c>
      <c r="AH186" s="174"/>
      <c r="AI186" s="174">
        <f>Renewables_Heat_Frontend[[#This Row],[Methodology used]]</f>
        <v>0</v>
      </c>
      <c r="AJ186" s="220" t="e" cm="1">
        <f t="array" aca="1" ref="AJ186" ca="1">_xlfn.LET(_xlpm.LookupConcat,_xlfn.CONCAT(Renewables_Heat_Backend[[#This Row],[Level 1]:[Level 6]]), _xlfn.XLOOKUP(_xlpm.LookupConcat,rng_LevelsConcat,_xlfn.SWITCH(Renewables_Heat_Backend[[#This Row],[Methodology]],"Tier 1",rng_RSD1,"Tier 2",rng_RSD2,"Tier 3",rng_RSD3)))</f>
        <v>#N/A</v>
      </c>
      <c r="AK186" s="174">
        <f>Renewables_Heat_Frontend[[#This Row],[Age (years)]]</f>
        <v>0</v>
      </c>
      <c r="AL186" s="218" t="s">
        <v>1848</v>
      </c>
      <c r="AM186" s="174">
        <f>Renewables_Heat_Frontend[[#This Row],[Total MW capacity]]</f>
        <v>0</v>
      </c>
      <c r="AN186" s="220">
        <f>Renewables_Heat_Frontend[[#This Row],[Total kWh generated]]</f>
        <v>0</v>
      </c>
      <c r="AO186" s="412">
        <f>Renewables_Heat_Frontend[[#This Row],[kWh consumed by reporting organisation]]</f>
        <v>0</v>
      </c>
      <c r="AP186" s="412">
        <f>Renewables_Heat_Frontend[[#This Row],[kWh exported to grid]]</f>
        <v>0</v>
      </c>
      <c r="AQ186" s="412">
        <f>Renewables_Heat_Frontend[[#This Row],[kWh exported to other PSB]]</f>
        <v>0</v>
      </c>
      <c r="AR186" s="220">
        <f>Renewables_Heat_Frontend[[#This Row],[Name of other PSB]]</f>
        <v>0</v>
      </c>
      <c r="AS186" s="220">
        <f>Renewables_Heat_Frontend[[#This Row],[Ease of collection]]</f>
        <v>0</v>
      </c>
      <c r="AT186" s="174">
        <f>Renewables_Heat_Frontend[[#This Row],[Completeness]]</f>
        <v>0</v>
      </c>
      <c r="AU186" s="174">
        <f>Renewables_Heat_Frontend[[#This Row],[Notes]]</f>
        <v>0</v>
      </c>
    </row>
    <row r="187" spans="2:47" x14ac:dyDescent="0.35">
      <c r="B187" s="146"/>
      <c r="E187" s="270"/>
      <c r="F187" s="268"/>
      <c r="G187" s="268"/>
      <c r="H187" s="268"/>
      <c r="I187" s="268"/>
      <c r="J187" s="268"/>
      <c r="K187" s="269"/>
      <c r="L187" s="269"/>
      <c r="M187" s="280">
        <f>Renewables_Heat_Frontend[[#This Row],[kWh consumed by reporting organisation]]+Renewables_Heat_Frontend[[#This Row],[kWh exported to grid]]+Renewables_Heat_Frontend[[#This Row],[kWh exported to other PSB]]</f>
        <v>0</v>
      </c>
      <c r="N187" s="281"/>
      <c r="O187" s="281"/>
      <c r="P187" s="282"/>
      <c r="Q187" s="282"/>
      <c r="R187" s="284"/>
      <c r="S187" s="284"/>
      <c r="T187" s="285"/>
      <c r="U187" s="329"/>
      <c r="V187" s="242">
        <f t="shared" si="9"/>
        <v>10</v>
      </c>
      <c r="Z187" s="212" t="str">
        <f t="shared" si="8"/>
        <v/>
      </c>
      <c r="AA187" s="174"/>
      <c r="AB187" s="174"/>
      <c r="AC187" s="174">
        <f>Renewables_Heat_Frontend[[#This Row],[Renewable Type]]</f>
        <v>0</v>
      </c>
      <c r="AD187" s="174" t="e" cm="1">
        <f t="array" aca="1" ref="AD187" ca="1">_xlfn.XLOOKUP(Renewables_Heat_Backend[[#This Row],[Level 3]],rng_Level3Long,rng_Level4Long)</f>
        <v>#N/A</v>
      </c>
      <c r="AE187" s="174" t="e" cm="1">
        <f t="array" aca="1" ref="AE187" ca="1">_xlfn.XLOOKUP(Renewables_Heat_Backend[[#This Row],[Level 3]],rng_Level3Long,rng_Level5Long)</f>
        <v>#N/A</v>
      </c>
      <c r="AF187" s="174" t="e" cm="1">
        <f t="array" aca="1" ref="AF187" ca="1">_xlfn.XLOOKUP(Renewables_Heat_Backend[[#This Row],[Level 3]],rng_Level3Long,rng_Level6Long)</f>
        <v>#N/A</v>
      </c>
      <c r="AG187" s="174">
        <f>Renewables_Heat_Frontend[[#This Row],[Generating site name]]</f>
        <v>0</v>
      </c>
      <c r="AH187" s="174"/>
      <c r="AI187" s="174">
        <f>Renewables_Heat_Frontend[[#This Row],[Methodology used]]</f>
        <v>0</v>
      </c>
      <c r="AJ187" s="220" t="e" cm="1">
        <f t="array" aca="1" ref="AJ187" ca="1">_xlfn.LET(_xlpm.LookupConcat,_xlfn.CONCAT(Renewables_Heat_Backend[[#This Row],[Level 1]:[Level 6]]), _xlfn.XLOOKUP(_xlpm.LookupConcat,rng_LevelsConcat,_xlfn.SWITCH(Renewables_Heat_Backend[[#This Row],[Methodology]],"Tier 1",rng_RSD1,"Tier 2",rng_RSD2,"Tier 3",rng_RSD3)))</f>
        <v>#N/A</v>
      </c>
      <c r="AK187" s="174">
        <f>Renewables_Heat_Frontend[[#This Row],[Age (years)]]</f>
        <v>0</v>
      </c>
      <c r="AL187" s="218" t="s">
        <v>1848</v>
      </c>
      <c r="AM187" s="174">
        <f>Renewables_Heat_Frontend[[#This Row],[Total MW capacity]]</f>
        <v>0</v>
      </c>
      <c r="AN187" s="220">
        <f>Renewables_Heat_Frontend[[#This Row],[Total kWh generated]]</f>
        <v>0</v>
      </c>
      <c r="AO187" s="412">
        <f>Renewables_Heat_Frontend[[#This Row],[kWh consumed by reporting organisation]]</f>
        <v>0</v>
      </c>
      <c r="AP187" s="412">
        <f>Renewables_Heat_Frontend[[#This Row],[kWh exported to grid]]</f>
        <v>0</v>
      </c>
      <c r="AQ187" s="412">
        <f>Renewables_Heat_Frontend[[#This Row],[kWh exported to other PSB]]</f>
        <v>0</v>
      </c>
      <c r="AR187" s="220">
        <f>Renewables_Heat_Frontend[[#This Row],[Name of other PSB]]</f>
        <v>0</v>
      </c>
      <c r="AS187" s="220">
        <f>Renewables_Heat_Frontend[[#This Row],[Ease of collection]]</f>
        <v>0</v>
      </c>
      <c r="AT187" s="174">
        <f>Renewables_Heat_Frontend[[#This Row],[Completeness]]</f>
        <v>0</v>
      </c>
      <c r="AU187" s="174">
        <f>Renewables_Heat_Frontend[[#This Row],[Notes]]</f>
        <v>0</v>
      </c>
    </row>
    <row r="188" spans="2:47" x14ac:dyDescent="0.35">
      <c r="B188" s="146"/>
      <c r="E188" s="270"/>
      <c r="F188" s="268"/>
      <c r="G188" s="268"/>
      <c r="H188" s="268"/>
      <c r="I188" s="268"/>
      <c r="J188" s="268"/>
      <c r="K188" s="269"/>
      <c r="L188" s="269"/>
      <c r="M188" s="280">
        <f>Renewables_Heat_Frontend[[#This Row],[kWh consumed by reporting organisation]]+Renewables_Heat_Frontend[[#This Row],[kWh exported to grid]]+Renewables_Heat_Frontend[[#This Row],[kWh exported to other PSB]]</f>
        <v>0</v>
      </c>
      <c r="N188" s="281"/>
      <c r="O188" s="281"/>
      <c r="P188" s="282"/>
      <c r="Q188" s="282"/>
      <c r="R188" s="284"/>
      <c r="S188" s="284"/>
      <c r="T188" s="285"/>
      <c r="U188" s="329"/>
      <c r="V188" s="242">
        <f t="shared" si="9"/>
        <v>10</v>
      </c>
      <c r="Z188" s="212" t="str">
        <f t="shared" si="8"/>
        <v/>
      </c>
      <c r="AA188" s="174"/>
      <c r="AB188" s="174"/>
      <c r="AC188" s="174">
        <f>Renewables_Heat_Frontend[[#This Row],[Renewable Type]]</f>
        <v>0</v>
      </c>
      <c r="AD188" s="174" t="e" cm="1">
        <f t="array" aca="1" ref="AD188" ca="1">_xlfn.XLOOKUP(Renewables_Heat_Backend[[#This Row],[Level 3]],rng_Level3Long,rng_Level4Long)</f>
        <v>#N/A</v>
      </c>
      <c r="AE188" s="174" t="e" cm="1">
        <f t="array" aca="1" ref="AE188" ca="1">_xlfn.XLOOKUP(Renewables_Heat_Backend[[#This Row],[Level 3]],rng_Level3Long,rng_Level5Long)</f>
        <v>#N/A</v>
      </c>
      <c r="AF188" s="174" t="e" cm="1">
        <f t="array" aca="1" ref="AF188" ca="1">_xlfn.XLOOKUP(Renewables_Heat_Backend[[#This Row],[Level 3]],rng_Level3Long,rng_Level6Long)</f>
        <v>#N/A</v>
      </c>
      <c r="AG188" s="174">
        <f>Renewables_Heat_Frontend[[#This Row],[Generating site name]]</f>
        <v>0</v>
      </c>
      <c r="AH188" s="174"/>
      <c r="AI188" s="174">
        <f>Renewables_Heat_Frontend[[#This Row],[Methodology used]]</f>
        <v>0</v>
      </c>
      <c r="AJ188" s="220" t="e" cm="1">
        <f t="array" aca="1" ref="AJ188" ca="1">_xlfn.LET(_xlpm.LookupConcat,_xlfn.CONCAT(Renewables_Heat_Backend[[#This Row],[Level 1]:[Level 6]]), _xlfn.XLOOKUP(_xlpm.LookupConcat,rng_LevelsConcat,_xlfn.SWITCH(Renewables_Heat_Backend[[#This Row],[Methodology]],"Tier 1",rng_RSD1,"Tier 2",rng_RSD2,"Tier 3",rng_RSD3)))</f>
        <v>#N/A</v>
      </c>
      <c r="AK188" s="174">
        <f>Renewables_Heat_Frontend[[#This Row],[Age (years)]]</f>
        <v>0</v>
      </c>
      <c r="AL188" s="218" t="s">
        <v>1848</v>
      </c>
      <c r="AM188" s="174">
        <f>Renewables_Heat_Frontend[[#This Row],[Total MW capacity]]</f>
        <v>0</v>
      </c>
      <c r="AN188" s="220">
        <f>Renewables_Heat_Frontend[[#This Row],[Total kWh generated]]</f>
        <v>0</v>
      </c>
      <c r="AO188" s="412">
        <f>Renewables_Heat_Frontend[[#This Row],[kWh consumed by reporting organisation]]</f>
        <v>0</v>
      </c>
      <c r="AP188" s="412">
        <f>Renewables_Heat_Frontend[[#This Row],[kWh exported to grid]]</f>
        <v>0</v>
      </c>
      <c r="AQ188" s="412">
        <f>Renewables_Heat_Frontend[[#This Row],[kWh exported to other PSB]]</f>
        <v>0</v>
      </c>
      <c r="AR188" s="220">
        <f>Renewables_Heat_Frontend[[#This Row],[Name of other PSB]]</f>
        <v>0</v>
      </c>
      <c r="AS188" s="220">
        <f>Renewables_Heat_Frontend[[#This Row],[Ease of collection]]</f>
        <v>0</v>
      </c>
      <c r="AT188" s="174">
        <f>Renewables_Heat_Frontend[[#This Row],[Completeness]]</f>
        <v>0</v>
      </c>
      <c r="AU188" s="174">
        <f>Renewables_Heat_Frontend[[#This Row],[Notes]]</f>
        <v>0</v>
      </c>
    </row>
    <row r="189" spans="2:47" x14ac:dyDescent="0.35">
      <c r="B189" s="146"/>
      <c r="E189" s="270"/>
      <c r="F189" s="268"/>
      <c r="G189" s="268"/>
      <c r="H189" s="268"/>
      <c r="I189" s="268"/>
      <c r="J189" s="268"/>
      <c r="K189" s="269"/>
      <c r="L189" s="269"/>
      <c r="M189" s="280">
        <f>Renewables_Heat_Frontend[[#This Row],[kWh consumed by reporting organisation]]+Renewables_Heat_Frontend[[#This Row],[kWh exported to grid]]+Renewables_Heat_Frontend[[#This Row],[kWh exported to other PSB]]</f>
        <v>0</v>
      </c>
      <c r="N189" s="281"/>
      <c r="O189" s="281"/>
      <c r="P189" s="282"/>
      <c r="Q189" s="282"/>
      <c r="R189" s="284"/>
      <c r="S189" s="284"/>
      <c r="T189" s="285"/>
      <c r="U189" s="329"/>
      <c r="V189" s="242">
        <f t="shared" si="9"/>
        <v>10</v>
      </c>
      <c r="Z189" s="212" t="str">
        <f t="shared" si="8"/>
        <v/>
      </c>
      <c r="AA189" s="174"/>
      <c r="AB189" s="174"/>
      <c r="AC189" s="174">
        <f>Renewables_Heat_Frontend[[#This Row],[Renewable Type]]</f>
        <v>0</v>
      </c>
      <c r="AD189" s="174" t="e" cm="1">
        <f t="array" aca="1" ref="AD189" ca="1">_xlfn.XLOOKUP(Renewables_Heat_Backend[[#This Row],[Level 3]],rng_Level3Long,rng_Level4Long)</f>
        <v>#N/A</v>
      </c>
      <c r="AE189" s="174" t="e" cm="1">
        <f t="array" aca="1" ref="AE189" ca="1">_xlfn.XLOOKUP(Renewables_Heat_Backend[[#This Row],[Level 3]],rng_Level3Long,rng_Level5Long)</f>
        <v>#N/A</v>
      </c>
      <c r="AF189" s="174" t="e" cm="1">
        <f t="array" aca="1" ref="AF189" ca="1">_xlfn.XLOOKUP(Renewables_Heat_Backend[[#This Row],[Level 3]],rng_Level3Long,rng_Level6Long)</f>
        <v>#N/A</v>
      </c>
      <c r="AG189" s="174">
        <f>Renewables_Heat_Frontend[[#This Row],[Generating site name]]</f>
        <v>0</v>
      </c>
      <c r="AH189" s="174"/>
      <c r="AI189" s="174">
        <f>Renewables_Heat_Frontend[[#This Row],[Methodology used]]</f>
        <v>0</v>
      </c>
      <c r="AJ189" s="220" t="e" cm="1">
        <f t="array" aca="1" ref="AJ189" ca="1">_xlfn.LET(_xlpm.LookupConcat,_xlfn.CONCAT(Renewables_Heat_Backend[[#This Row],[Level 1]:[Level 6]]), _xlfn.XLOOKUP(_xlpm.LookupConcat,rng_LevelsConcat,_xlfn.SWITCH(Renewables_Heat_Backend[[#This Row],[Methodology]],"Tier 1",rng_RSD1,"Tier 2",rng_RSD2,"Tier 3",rng_RSD3)))</f>
        <v>#N/A</v>
      </c>
      <c r="AK189" s="174">
        <f>Renewables_Heat_Frontend[[#This Row],[Age (years)]]</f>
        <v>0</v>
      </c>
      <c r="AL189" s="218" t="s">
        <v>1848</v>
      </c>
      <c r="AM189" s="174">
        <f>Renewables_Heat_Frontend[[#This Row],[Total MW capacity]]</f>
        <v>0</v>
      </c>
      <c r="AN189" s="220">
        <f>Renewables_Heat_Frontend[[#This Row],[Total kWh generated]]</f>
        <v>0</v>
      </c>
      <c r="AO189" s="412">
        <f>Renewables_Heat_Frontend[[#This Row],[kWh consumed by reporting organisation]]</f>
        <v>0</v>
      </c>
      <c r="AP189" s="412">
        <f>Renewables_Heat_Frontend[[#This Row],[kWh exported to grid]]</f>
        <v>0</v>
      </c>
      <c r="AQ189" s="412">
        <f>Renewables_Heat_Frontend[[#This Row],[kWh exported to other PSB]]</f>
        <v>0</v>
      </c>
      <c r="AR189" s="220">
        <f>Renewables_Heat_Frontend[[#This Row],[Name of other PSB]]</f>
        <v>0</v>
      </c>
      <c r="AS189" s="220">
        <f>Renewables_Heat_Frontend[[#This Row],[Ease of collection]]</f>
        <v>0</v>
      </c>
      <c r="AT189" s="174">
        <f>Renewables_Heat_Frontend[[#This Row],[Completeness]]</f>
        <v>0</v>
      </c>
      <c r="AU189" s="174">
        <f>Renewables_Heat_Frontend[[#This Row],[Notes]]</f>
        <v>0</v>
      </c>
    </row>
    <row r="190" spans="2:47" x14ac:dyDescent="0.35">
      <c r="B190" s="146"/>
      <c r="E190" s="270"/>
      <c r="F190" s="268"/>
      <c r="G190" s="268"/>
      <c r="H190" s="268"/>
      <c r="I190" s="268"/>
      <c r="J190" s="268"/>
      <c r="K190" s="269"/>
      <c r="L190" s="269"/>
      <c r="M190" s="280">
        <f>Renewables_Heat_Frontend[[#This Row],[kWh consumed by reporting organisation]]+Renewables_Heat_Frontend[[#This Row],[kWh exported to grid]]+Renewables_Heat_Frontend[[#This Row],[kWh exported to other PSB]]</f>
        <v>0</v>
      </c>
      <c r="N190" s="281"/>
      <c r="O190" s="281"/>
      <c r="P190" s="282"/>
      <c r="Q190" s="282"/>
      <c r="R190" s="284"/>
      <c r="S190" s="284"/>
      <c r="T190" s="285"/>
      <c r="U190" s="329"/>
      <c r="V190" s="242">
        <f t="shared" si="9"/>
        <v>10</v>
      </c>
      <c r="Z190" s="212" t="str">
        <f t="shared" si="8"/>
        <v/>
      </c>
      <c r="AA190" s="174"/>
      <c r="AB190" s="174"/>
      <c r="AC190" s="174">
        <f>Renewables_Heat_Frontend[[#This Row],[Renewable Type]]</f>
        <v>0</v>
      </c>
      <c r="AD190" s="174" t="e" cm="1">
        <f t="array" aca="1" ref="AD190" ca="1">_xlfn.XLOOKUP(Renewables_Heat_Backend[[#This Row],[Level 3]],rng_Level3Long,rng_Level4Long)</f>
        <v>#N/A</v>
      </c>
      <c r="AE190" s="174" t="e" cm="1">
        <f t="array" aca="1" ref="AE190" ca="1">_xlfn.XLOOKUP(Renewables_Heat_Backend[[#This Row],[Level 3]],rng_Level3Long,rng_Level5Long)</f>
        <v>#N/A</v>
      </c>
      <c r="AF190" s="174" t="e" cm="1">
        <f t="array" aca="1" ref="AF190" ca="1">_xlfn.XLOOKUP(Renewables_Heat_Backend[[#This Row],[Level 3]],rng_Level3Long,rng_Level6Long)</f>
        <v>#N/A</v>
      </c>
      <c r="AG190" s="174">
        <f>Renewables_Heat_Frontend[[#This Row],[Generating site name]]</f>
        <v>0</v>
      </c>
      <c r="AH190" s="174"/>
      <c r="AI190" s="174">
        <f>Renewables_Heat_Frontend[[#This Row],[Methodology used]]</f>
        <v>0</v>
      </c>
      <c r="AJ190" s="220" t="e" cm="1">
        <f t="array" aca="1" ref="AJ190" ca="1">_xlfn.LET(_xlpm.LookupConcat,_xlfn.CONCAT(Renewables_Heat_Backend[[#This Row],[Level 1]:[Level 6]]), _xlfn.XLOOKUP(_xlpm.LookupConcat,rng_LevelsConcat,_xlfn.SWITCH(Renewables_Heat_Backend[[#This Row],[Methodology]],"Tier 1",rng_RSD1,"Tier 2",rng_RSD2,"Tier 3",rng_RSD3)))</f>
        <v>#N/A</v>
      </c>
      <c r="AK190" s="174">
        <f>Renewables_Heat_Frontend[[#This Row],[Age (years)]]</f>
        <v>0</v>
      </c>
      <c r="AL190" s="218" t="s">
        <v>1848</v>
      </c>
      <c r="AM190" s="174">
        <f>Renewables_Heat_Frontend[[#This Row],[Total MW capacity]]</f>
        <v>0</v>
      </c>
      <c r="AN190" s="220">
        <f>Renewables_Heat_Frontend[[#This Row],[Total kWh generated]]</f>
        <v>0</v>
      </c>
      <c r="AO190" s="412">
        <f>Renewables_Heat_Frontend[[#This Row],[kWh consumed by reporting organisation]]</f>
        <v>0</v>
      </c>
      <c r="AP190" s="412">
        <f>Renewables_Heat_Frontend[[#This Row],[kWh exported to grid]]</f>
        <v>0</v>
      </c>
      <c r="AQ190" s="412">
        <f>Renewables_Heat_Frontend[[#This Row],[kWh exported to other PSB]]</f>
        <v>0</v>
      </c>
      <c r="AR190" s="220">
        <f>Renewables_Heat_Frontend[[#This Row],[Name of other PSB]]</f>
        <v>0</v>
      </c>
      <c r="AS190" s="220">
        <f>Renewables_Heat_Frontend[[#This Row],[Ease of collection]]</f>
        <v>0</v>
      </c>
      <c r="AT190" s="174">
        <f>Renewables_Heat_Frontend[[#This Row],[Completeness]]</f>
        <v>0</v>
      </c>
      <c r="AU190" s="174">
        <f>Renewables_Heat_Frontend[[#This Row],[Notes]]</f>
        <v>0</v>
      </c>
    </row>
    <row r="191" spans="2:47" x14ac:dyDescent="0.35">
      <c r="B191" s="146"/>
      <c r="E191" s="270"/>
      <c r="F191" s="268"/>
      <c r="G191" s="268"/>
      <c r="H191" s="268"/>
      <c r="I191" s="268"/>
      <c r="J191" s="268"/>
      <c r="K191" s="269"/>
      <c r="L191" s="269"/>
      <c r="M191" s="280">
        <f>Renewables_Heat_Frontend[[#This Row],[kWh consumed by reporting organisation]]+Renewables_Heat_Frontend[[#This Row],[kWh exported to grid]]+Renewables_Heat_Frontend[[#This Row],[kWh exported to other PSB]]</f>
        <v>0</v>
      </c>
      <c r="N191" s="281"/>
      <c r="O191" s="281"/>
      <c r="P191" s="282"/>
      <c r="Q191" s="282"/>
      <c r="R191" s="284"/>
      <c r="S191" s="284"/>
      <c r="T191" s="285"/>
      <c r="U191" s="329"/>
      <c r="V191" s="242">
        <f t="shared" si="9"/>
        <v>10</v>
      </c>
      <c r="Z191" s="212" t="str">
        <f t="shared" si="8"/>
        <v/>
      </c>
      <c r="AA191" s="174"/>
      <c r="AB191" s="174"/>
      <c r="AC191" s="174">
        <f>Renewables_Heat_Frontend[[#This Row],[Renewable Type]]</f>
        <v>0</v>
      </c>
      <c r="AD191" s="174" t="e" cm="1">
        <f t="array" aca="1" ref="AD191" ca="1">_xlfn.XLOOKUP(Renewables_Heat_Backend[[#This Row],[Level 3]],rng_Level3Long,rng_Level4Long)</f>
        <v>#N/A</v>
      </c>
      <c r="AE191" s="174" t="e" cm="1">
        <f t="array" aca="1" ref="AE191" ca="1">_xlfn.XLOOKUP(Renewables_Heat_Backend[[#This Row],[Level 3]],rng_Level3Long,rng_Level5Long)</f>
        <v>#N/A</v>
      </c>
      <c r="AF191" s="174" t="e" cm="1">
        <f t="array" aca="1" ref="AF191" ca="1">_xlfn.XLOOKUP(Renewables_Heat_Backend[[#This Row],[Level 3]],rng_Level3Long,rng_Level6Long)</f>
        <v>#N/A</v>
      </c>
      <c r="AG191" s="174">
        <f>Renewables_Heat_Frontend[[#This Row],[Generating site name]]</f>
        <v>0</v>
      </c>
      <c r="AH191" s="174"/>
      <c r="AI191" s="174">
        <f>Renewables_Heat_Frontend[[#This Row],[Methodology used]]</f>
        <v>0</v>
      </c>
      <c r="AJ191" s="220" t="e" cm="1">
        <f t="array" aca="1" ref="AJ191" ca="1">_xlfn.LET(_xlpm.LookupConcat,_xlfn.CONCAT(Renewables_Heat_Backend[[#This Row],[Level 1]:[Level 6]]), _xlfn.XLOOKUP(_xlpm.LookupConcat,rng_LevelsConcat,_xlfn.SWITCH(Renewables_Heat_Backend[[#This Row],[Methodology]],"Tier 1",rng_RSD1,"Tier 2",rng_RSD2,"Tier 3",rng_RSD3)))</f>
        <v>#N/A</v>
      </c>
      <c r="AK191" s="174">
        <f>Renewables_Heat_Frontend[[#This Row],[Age (years)]]</f>
        <v>0</v>
      </c>
      <c r="AL191" s="218" t="s">
        <v>1848</v>
      </c>
      <c r="AM191" s="174">
        <f>Renewables_Heat_Frontend[[#This Row],[Total MW capacity]]</f>
        <v>0</v>
      </c>
      <c r="AN191" s="220">
        <f>Renewables_Heat_Frontend[[#This Row],[Total kWh generated]]</f>
        <v>0</v>
      </c>
      <c r="AO191" s="412">
        <f>Renewables_Heat_Frontend[[#This Row],[kWh consumed by reporting organisation]]</f>
        <v>0</v>
      </c>
      <c r="AP191" s="412">
        <f>Renewables_Heat_Frontend[[#This Row],[kWh exported to grid]]</f>
        <v>0</v>
      </c>
      <c r="AQ191" s="412">
        <f>Renewables_Heat_Frontend[[#This Row],[kWh exported to other PSB]]</f>
        <v>0</v>
      </c>
      <c r="AR191" s="220">
        <f>Renewables_Heat_Frontend[[#This Row],[Name of other PSB]]</f>
        <v>0</v>
      </c>
      <c r="AS191" s="220">
        <f>Renewables_Heat_Frontend[[#This Row],[Ease of collection]]</f>
        <v>0</v>
      </c>
      <c r="AT191" s="174">
        <f>Renewables_Heat_Frontend[[#This Row],[Completeness]]</f>
        <v>0</v>
      </c>
      <c r="AU191" s="174">
        <f>Renewables_Heat_Frontend[[#This Row],[Notes]]</f>
        <v>0</v>
      </c>
    </row>
    <row r="192" spans="2:47" x14ac:dyDescent="0.35">
      <c r="B192" s="146"/>
      <c r="E192" s="270"/>
      <c r="F192" s="268"/>
      <c r="G192" s="268"/>
      <c r="H192" s="268"/>
      <c r="I192" s="268"/>
      <c r="J192" s="268"/>
      <c r="K192" s="269"/>
      <c r="L192" s="269"/>
      <c r="M192" s="280">
        <f>Renewables_Heat_Frontend[[#This Row],[kWh consumed by reporting organisation]]+Renewables_Heat_Frontend[[#This Row],[kWh exported to grid]]+Renewables_Heat_Frontend[[#This Row],[kWh exported to other PSB]]</f>
        <v>0</v>
      </c>
      <c r="N192" s="281"/>
      <c r="O192" s="281"/>
      <c r="P192" s="282"/>
      <c r="Q192" s="282"/>
      <c r="R192" s="284"/>
      <c r="S192" s="284"/>
      <c r="T192" s="285"/>
      <c r="U192" s="329"/>
      <c r="V192" s="242">
        <f t="shared" si="9"/>
        <v>10</v>
      </c>
      <c r="Z192" s="212" t="str">
        <f t="shared" si="8"/>
        <v/>
      </c>
      <c r="AA192" s="174"/>
      <c r="AB192" s="174"/>
      <c r="AC192" s="174">
        <f>Renewables_Heat_Frontend[[#This Row],[Renewable Type]]</f>
        <v>0</v>
      </c>
      <c r="AD192" s="174" t="e" cm="1">
        <f t="array" aca="1" ref="AD192" ca="1">_xlfn.XLOOKUP(Renewables_Heat_Backend[[#This Row],[Level 3]],rng_Level3Long,rng_Level4Long)</f>
        <v>#N/A</v>
      </c>
      <c r="AE192" s="174" t="e" cm="1">
        <f t="array" aca="1" ref="AE192" ca="1">_xlfn.XLOOKUP(Renewables_Heat_Backend[[#This Row],[Level 3]],rng_Level3Long,rng_Level5Long)</f>
        <v>#N/A</v>
      </c>
      <c r="AF192" s="174" t="e" cm="1">
        <f t="array" aca="1" ref="AF192" ca="1">_xlfn.XLOOKUP(Renewables_Heat_Backend[[#This Row],[Level 3]],rng_Level3Long,rng_Level6Long)</f>
        <v>#N/A</v>
      </c>
      <c r="AG192" s="174">
        <f>Renewables_Heat_Frontend[[#This Row],[Generating site name]]</f>
        <v>0</v>
      </c>
      <c r="AH192" s="174"/>
      <c r="AI192" s="174">
        <f>Renewables_Heat_Frontend[[#This Row],[Methodology used]]</f>
        <v>0</v>
      </c>
      <c r="AJ192" s="220" t="e" cm="1">
        <f t="array" aca="1" ref="AJ192" ca="1">_xlfn.LET(_xlpm.LookupConcat,_xlfn.CONCAT(Renewables_Heat_Backend[[#This Row],[Level 1]:[Level 6]]), _xlfn.XLOOKUP(_xlpm.LookupConcat,rng_LevelsConcat,_xlfn.SWITCH(Renewables_Heat_Backend[[#This Row],[Methodology]],"Tier 1",rng_RSD1,"Tier 2",rng_RSD2,"Tier 3",rng_RSD3)))</f>
        <v>#N/A</v>
      </c>
      <c r="AK192" s="174">
        <f>Renewables_Heat_Frontend[[#This Row],[Age (years)]]</f>
        <v>0</v>
      </c>
      <c r="AL192" s="218" t="s">
        <v>1848</v>
      </c>
      <c r="AM192" s="174">
        <f>Renewables_Heat_Frontend[[#This Row],[Total MW capacity]]</f>
        <v>0</v>
      </c>
      <c r="AN192" s="220">
        <f>Renewables_Heat_Frontend[[#This Row],[Total kWh generated]]</f>
        <v>0</v>
      </c>
      <c r="AO192" s="412">
        <f>Renewables_Heat_Frontend[[#This Row],[kWh consumed by reporting organisation]]</f>
        <v>0</v>
      </c>
      <c r="AP192" s="412">
        <f>Renewables_Heat_Frontend[[#This Row],[kWh exported to grid]]</f>
        <v>0</v>
      </c>
      <c r="AQ192" s="412">
        <f>Renewables_Heat_Frontend[[#This Row],[kWh exported to other PSB]]</f>
        <v>0</v>
      </c>
      <c r="AR192" s="220">
        <f>Renewables_Heat_Frontend[[#This Row],[Name of other PSB]]</f>
        <v>0</v>
      </c>
      <c r="AS192" s="220">
        <f>Renewables_Heat_Frontend[[#This Row],[Ease of collection]]</f>
        <v>0</v>
      </c>
      <c r="AT192" s="174">
        <f>Renewables_Heat_Frontend[[#This Row],[Completeness]]</f>
        <v>0</v>
      </c>
      <c r="AU192" s="174">
        <f>Renewables_Heat_Frontend[[#This Row],[Notes]]</f>
        <v>0</v>
      </c>
    </row>
    <row r="193" spans="2:47" x14ac:dyDescent="0.35">
      <c r="B193" s="146"/>
      <c r="E193" s="270"/>
      <c r="F193" s="268"/>
      <c r="G193" s="268"/>
      <c r="H193" s="268"/>
      <c r="I193" s="268"/>
      <c r="J193" s="268"/>
      <c r="K193" s="269"/>
      <c r="L193" s="269"/>
      <c r="M193" s="280">
        <f>Renewables_Heat_Frontend[[#This Row],[kWh consumed by reporting organisation]]+Renewables_Heat_Frontend[[#This Row],[kWh exported to grid]]+Renewables_Heat_Frontend[[#This Row],[kWh exported to other PSB]]</f>
        <v>0</v>
      </c>
      <c r="N193" s="281"/>
      <c r="O193" s="281"/>
      <c r="P193" s="282"/>
      <c r="Q193" s="282"/>
      <c r="R193" s="284"/>
      <c r="S193" s="284"/>
      <c r="T193" s="285"/>
      <c r="U193" s="329"/>
      <c r="V193" s="242">
        <f t="shared" si="9"/>
        <v>10</v>
      </c>
      <c r="Z193" s="212" t="str">
        <f t="shared" si="8"/>
        <v/>
      </c>
      <c r="AA193" s="174"/>
      <c r="AB193" s="174"/>
      <c r="AC193" s="174">
        <f>Renewables_Heat_Frontend[[#This Row],[Renewable Type]]</f>
        <v>0</v>
      </c>
      <c r="AD193" s="174" t="e" cm="1">
        <f t="array" aca="1" ref="AD193" ca="1">_xlfn.XLOOKUP(Renewables_Heat_Backend[[#This Row],[Level 3]],rng_Level3Long,rng_Level4Long)</f>
        <v>#N/A</v>
      </c>
      <c r="AE193" s="174" t="e" cm="1">
        <f t="array" aca="1" ref="AE193" ca="1">_xlfn.XLOOKUP(Renewables_Heat_Backend[[#This Row],[Level 3]],rng_Level3Long,rng_Level5Long)</f>
        <v>#N/A</v>
      </c>
      <c r="AF193" s="174" t="e" cm="1">
        <f t="array" aca="1" ref="AF193" ca="1">_xlfn.XLOOKUP(Renewables_Heat_Backend[[#This Row],[Level 3]],rng_Level3Long,rng_Level6Long)</f>
        <v>#N/A</v>
      </c>
      <c r="AG193" s="174">
        <f>Renewables_Heat_Frontend[[#This Row],[Generating site name]]</f>
        <v>0</v>
      </c>
      <c r="AH193" s="174"/>
      <c r="AI193" s="174">
        <f>Renewables_Heat_Frontend[[#This Row],[Methodology used]]</f>
        <v>0</v>
      </c>
      <c r="AJ193" s="220" t="e" cm="1">
        <f t="array" aca="1" ref="AJ193" ca="1">_xlfn.LET(_xlpm.LookupConcat,_xlfn.CONCAT(Renewables_Heat_Backend[[#This Row],[Level 1]:[Level 6]]), _xlfn.XLOOKUP(_xlpm.LookupConcat,rng_LevelsConcat,_xlfn.SWITCH(Renewables_Heat_Backend[[#This Row],[Methodology]],"Tier 1",rng_RSD1,"Tier 2",rng_RSD2,"Tier 3",rng_RSD3)))</f>
        <v>#N/A</v>
      </c>
      <c r="AK193" s="174">
        <f>Renewables_Heat_Frontend[[#This Row],[Age (years)]]</f>
        <v>0</v>
      </c>
      <c r="AL193" s="218" t="s">
        <v>1848</v>
      </c>
      <c r="AM193" s="174">
        <f>Renewables_Heat_Frontend[[#This Row],[Total MW capacity]]</f>
        <v>0</v>
      </c>
      <c r="AN193" s="220">
        <f>Renewables_Heat_Frontend[[#This Row],[Total kWh generated]]</f>
        <v>0</v>
      </c>
      <c r="AO193" s="412">
        <f>Renewables_Heat_Frontend[[#This Row],[kWh consumed by reporting organisation]]</f>
        <v>0</v>
      </c>
      <c r="AP193" s="412">
        <f>Renewables_Heat_Frontend[[#This Row],[kWh exported to grid]]</f>
        <v>0</v>
      </c>
      <c r="AQ193" s="412">
        <f>Renewables_Heat_Frontend[[#This Row],[kWh exported to other PSB]]</f>
        <v>0</v>
      </c>
      <c r="AR193" s="220">
        <f>Renewables_Heat_Frontend[[#This Row],[Name of other PSB]]</f>
        <v>0</v>
      </c>
      <c r="AS193" s="220">
        <f>Renewables_Heat_Frontend[[#This Row],[Ease of collection]]</f>
        <v>0</v>
      </c>
      <c r="AT193" s="174">
        <f>Renewables_Heat_Frontend[[#This Row],[Completeness]]</f>
        <v>0</v>
      </c>
      <c r="AU193" s="174">
        <f>Renewables_Heat_Frontend[[#This Row],[Notes]]</f>
        <v>0</v>
      </c>
    </row>
    <row r="194" spans="2:47" x14ac:dyDescent="0.35">
      <c r="B194" s="146"/>
      <c r="E194" s="270"/>
      <c r="F194" s="268"/>
      <c r="G194" s="268"/>
      <c r="H194" s="268"/>
      <c r="I194" s="268"/>
      <c r="J194" s="268"/>
      <c r="K194" s="269"/>
      <c r="L194" s="269"/>
      <c r="M194" s="280">
        <f>Renewables_Heat_Frontend[[#This Row],[kWh consumed by reporting organisation]]+Renewables_Heat_Frontend[[#This Row],[kWh exported to grid]]+Renewables_Heat_Frontend[[#This Row],[kWh exported to other PSB]]</f>
        <v>0</v>
      </c>
      <c r="N194" s="281"/>
      <c r="O194" s="281"/>
      <c r="P194" s="282"/>
      <c r="Q194" s="282"/>
      <c r="R194" s="284"/>
      <c r="S194" s="284"/>
      <c r="T194" s="285"/>
      <c r="U194" s="329"/>
      <c r="V194" s="242">
        <f t="shared" si="9"/>
        <v>10</v>
      </c>
      <c r="Z194" s="212" t="str">
        <f t="shared" si="8"/>
        <v/>
      </c>
      <c r="AA194" s="174"/>
      <c r="AB194" s="174"/>
      <c r="AC194" s="174">
        <f>Renewables_Heat_Frontend[[#This Row],[Renewable Type]]</f>
        <v>0</v>
      </c>
      <c r="AD194" s="174" t="e" cm="1">
        <f t="array" aca="1" ref="AD194" ca="1">_xlfn.XLOOKUP(Renewables_Heat_Backend[[#This Row],[Level 3]],rng_Level3Long,rng_Level4Long)</f>
        <v>#N/A</v>
      </c>
      <c r="AE194" s="174" t="e" cm="1">
        <f t="array" aca="1" ref="AE194" ca="1">_xlfn.XLOOKUP(Renewables_Heat_Backend[[#This Row],[Level 3]],rng_Level3Long,rng_Level5Long)</f>
        <v>#N/A</v>
      </c>
      <c r="AF194" s="174" t="e" cm="1">
        <f t="array" aca="1" ref="AF194" ca="1">_xlfn.XLOOKUP(Renewables_Heat_Backend[[#This Row],[Level 3]],rng_Level3Long,rng_Level6Long)</f>
        <v>#N/A</v>
      </c>
      <c r="AG194" s="174">
        <f>Renewables_Heat_Frontend[[#This Row],[Generating site name]]</f>
        <v>0</v>
      </c>
      <c r="AH194" s="174"/>
      <c r="AI194" s="174">
        <f>Renewables_Heat_Frontend[[#This Row],[Methodology used]]</f>
        <v>0</v>
      </c>
      <c r="AJ194" s="220" t="e" cm="1">
        <f t="array" aca="1" ref="AJ194" ca="1">_xlfn.LET(_xlpm.LookupConcat,_xlfn.CONCAT(Renewables_Heat_Backend[[#This Row],[Level 1]:[Level 6]]), _xlfn.XLOOKUP(_xlpm.LookupConcat,rng_LevelsConcat,_xlfn.SWITCH(Renewables_Heat_Backend[[#This Row],[Methodology]],"Tier 1",rng_RSD1,"Tier 2",rng_RSD2,"Tier 3",rng_RSD3)))</f>
        <v>#N/A</v>
      </c>
      <c r="AK194" s="174">
        <f>Renewables_Heat_Frontend[[#This Row],[Age (years)]]</f>
        <v>0</v>
      </c>
      <c r="AL194" s="218" t="s">
        <v>1848</v>
      </c>
      <c r="AM194" s="174">
        <f>Renewables_Heat_Frontend[[#This Row],[Total MW capacity]]</f>
        <v>0</v>
      </c>
      <c r="AN194" s="220">
        <f>Renewables_Heat_Frontend[[#This Row],[Total kWh generated]]</f>
        <v>0</v>
      </c>
      <c r="AO194" s="412">
        <f>Renewables_Heat_Frontend[[#This Row],[kWh consumed by reporting organisation]]</f>
        <v>0</v>
      </c>
      <c r="AP194" s="412">
        <f>Renewables_Heat_Frontend[[#This Row],[kWh exported to grid]]</f>
        <v>0</v>
      </c>
      <c r="AQ194" s="412">
        <f>Renewables_Heat_Frontend[[#This Row],[kWh exported to other PSB]]</f>
        <v>0</v>
      </c>
      <c r="AR194" s="220">
        <f>Renewables_Heat_Frontend[[#This Row],[Name of other PSB]]</f>
        <v>0</v>
      </c>
      <c r="AS194" s="220">
        <f>Renewables_Heat_Frontend[[#This Row],[Ease of collection]]</f>
        <v>0</v>
      </c>
      <c r="AT194" s="174">
        <f>Renewables_Heat_Frontend[[#This Row],[Completeness]]</f>
        <v>0</v>
      </c>
      <c r="AU194" s="174">
        <f>Renewables_Heat_Frontend[[#This Row],[Notes]]</f>
        <v>0</v>
      </c>
    </row>
    <row r="195" spans="2:47" x14ac:dyDescent="0.35">
      <c r="B195" s="146"/>
      <c r="E195" s="270"/>
      <c r="F195" s="268"/>
      <c r="G195" s="268"/>
      <c r="H195" s="268"/>
      <c r="I195" s="268"/>
      <c r="J195" s="268"/>
      <c r="K195" s="269"/>
      <c r="L195" s="269"/>
      <c r="M195" s="280">
        <f>Renewables_Heat_Frontend[[#This Row],[kWh consumed by reporting organisation]]+Renewables_Heat_Frontend[[#This Row],[kWh exported to grid]]+Renewables_Heat_Frontend[[#This Row],[kWh exported to other PSB]]</f>
        <v>0</v>
      </c>
      <c r="N195" s="281"/>
      <c r="O195" s="281"/>
      <c r="P195" s="282"/>
      <c r="Q195" s="282"/>
      <c r="R195" s="284"/>
      <c r="S195" s="284"/>
      <c r="T195" s="285"/>
      <c r="U195" s="329"/>
      <c r="V195" s="242">
        <f t="shared" si="9"/>
        <v>10</v>
      </c>
      <c r="Z195" s="212" t="str">
        <f t="shared" si="8"/>
        <v/>
      </c>
      <c r="AA195" s="174"/>
      <c r="AB195" s="174"/>
      <c r="AC195" s="174">
        <f>Renewables_Heat_Frontend[[#This Row],[Renewable Type]]</f>
        <v>0</v>
      </c>
      <c r="AD195" s="174" t="e" cm="1">
        <f t="array" aca="1" ref="AD195" ca="1">_xlfn.XLOOKUP(Renewables_Heat_Backend[[#This Row],[Level 3]],rng_Level3Long,rng_Level4Long)</f>
        <v>#N/A</v>
      </c>
      <c r="AE195" s="174" t="e" cm="1">
        <f t="array" aca="1" ref="AE195" ca="1">_xlfn.XLOOKUP(Renewables_Heat_Backend[[#This Row],[Level 3]],rng_Level3Long,rng_Level5Long)</f>
        <v>#N/A</v>
      </c>
      <c r="AF195" s="174" t="e" cm="1">
        <f t="array" aca="1" ref="AF195" ca="1">_xlfn.XLOOKUP(Renewables_Heat_Backend[[#This Row],[Level 3]],rng_Level3Long,rng_Level6Long)</f>
        <v>#N/A</v>
      </c>
      <c r="AG195" s="174">
        <f>Renewables_Heat_Frontend[[#This Row],[Generating site name]]</f>
        <v>0</v>
      </c>
      <c r="AH195" s="174"/>
      <c r="AI195" s="174">
        <f>Renewables_Heat_Frontend[[#This Row],[Methodology used]]</f>
        <v>0</v>
      </c>
      <c r="AJ195" s="220" t="e" cm="1">
        <f t="array" aca="1" ref="AJ195" ca="1">_xlfn.LET(_xlpm.LookupConcat,_xlfn.CONCAT(Renewables_Heat_Backend[[#This Row],[Level 1]:[Level 6]]), _xlfn.XLOOKUP(_xlpm.LookupConcat,rng_LevelsConcat,_xlfn.SWITCH(Renewables_Heat_Backend[[#This Row],[Methodology]],"Tier 1",rng_RSD1,"Tier 2",rng_RSD2,"Tier 3",rng_RSD3)))</f>
        <v>#N/A</v>
      </c>
      <c r="AK195" s="174">
        <f>Renewables_Heat_Frontend[[#This Row],[Age (years)]]</f>
        <v>0</v>
      </c>
      <c r="AL195" s="218" t="s">
        <v>1848</v>
      </c>
      <c r="AM195" s="174">
        <f>Renewables_Heat_Frontend[[#This Row],[Total MW capacity]]</f>
        <v>0</v>
      </c>
      <c r="AN195" s="220">
        <f>Renewables_Heat_Frontend[[#This Row],[Total kWh generated]]</f>
        <v>0</v>
      </c>
      <c r="AO195" s="412">
        <f>Renewables_Heat_Frontend[[#This Row],[kWh consumed by reporting organisation]]</f>
        <v>0</v>
      </c>
      <c r="AP195" s="412">
        <f>Renewables_Heat_Frontend[[#This Row],[kWh exported to grid]]</f>
        <v>0</v>
      </c>
      <c r="AQ195" s="412">
        <f>Renewables_Heat_Frontend[[#This Row],[kWh exported to other PSB]]</f>
        <v>0</v>
      </c>
      <c r="AR195" s="220">
        <f>Renewables_Heat_Frontend[[#This Row],[Name of other PSB]]</f>
        <v>0</v>
      </c>
      <c r="AS195" s="220">
        <f>Renewables_Heat_Frontend[[#This Row],[Ease of collection]]</f>
        <v>0</v>
      </c>
      <c r="AT195" s="174">
        <f>Renewables_Heat_Frontend[[#This Row],[Completeness]]</f>
        <v>0</v>
      </c>
      <c r="AU195" s="174">
        <f>Renewables_Heat_Frontend[[#This Row],[Notes]]</f>
        <v>0</v>
      </c>
    </row>
    <row r="196" spans="2:47" x14ac:dyDescent="0.35">
      <c r="B196" s="146"/>
      <c r="E196" s="270"/>
      <c r="F196" s="268"/>
      <c r="G196" s="268"/>
      <c r="H196" s="268"/>
      <c r="I196" s="268"/>
      <c r="J196" s="268"/>
      <c r="K196" s="269"/>
      <c r="L196" s="269"/>
      <c r="M196" s="280">
        <f>Renewables_Heat_Frontend[[#This Row],[kWh consumed by reporting organisation]]+Renewables_Heat_Frontend[[#This Row],[kWh exported to grid]]+Renewables_Heat_Frontend[[#This Row],[kWh exported to other PSB]]</f>
        <v>0</v>
      </c>
      <c r="N196" s="281"/>
      <c r="O196" s="281"/>
      <c r="P196" s="282"/>
      <c r="Q196" s="282"/>
      <c r="R196" s="284"/>
      <c r="S196" s="284"/>
      <c r="T196" s="285"/>
      <c r="U196" s="329"/>
      <c r="V196" s="242">
        <f t="shared" si="9"/>
        <v>10</v>
      </c>
      <c r="Z196" s="212" t="str">
        <f t="shared" si="8"/>
        <v/>
      </c>
      <c r="AA196" s="174"/>
      <c r="AB196" s="174"/>
      <c r="AC196" s="174">
        <f>Renewables_Heat_Frontend[[#This Row],[Renewable Type]]</f>
        <v>0</v>
      </c>
      <c r="AD196" s="174" t="e" cm="1">
        <f t="array" aca="1" ref="AD196" ca="1">_xlfn.XLOOKUP(Renewables_Heat_Backend[[#This Row],[Level 3]],rng_Level3Long,rng_Level4Long)</f>
        <v>#N/A</v>
      </c>
      <c r="AE196" s="174" t="e" cm="1">
        <f t="array" aca="1" ref="AE196" ca="1">_xlfn.XLOOKUP(Renewables_Heat_Backend[[#This Row],[Level 3]],rng_Level3Long,rng_Level5Long)</f>
        <v>#N/A</v>
      </c>
      <c r="AF196" s="174" t="e" cm="1">
        <f t="array" aca="1" ref="AF196" ca="1">_xlfn.XLOOKUP(Renewables_Heat_Backend[[#This Row],[Level 3]],rng_Level3Long,rng_Level6Long)</f>
        <v>#N/A</v>
      </c>
      <c r="AG196" s="174">
        <f>Renewables_Heat_Frontend[[#This Row],[Generating site name]]</f>
        <v>0</v>
      </c>
      <c r="AH196" s="174"/>
      <c r="AI196" s="174">
        <f>Renewables_Heat_Frontend[[#This Row],[Methodology used]]</f>
        <v>0</v>
      </c>
      <c r="AJ196" s="220" t="e" cm="1">
        <f t="array" aca="1" ref="AJ196" ca="1">_xlfn.LET(_xlpm.LookupConcat,_xlfn.CONCAT(Renewables_Heat_Backend[[#This Row],[Level 1]:[Level 6]]), _xlfn.XLOOKUP(_xlpm.LookupConcat,rng_LevelsConcat,_xlfn.SWITCH(Renewables_Heat_Backend[[#This Row],[Methodology]],"Tier 1",rng_RSD1,"Tier 2",rng_RSD2,"Tier 3",rng_RSD3)))</f>
        <v>#N/A</v>
      </c>
      <c r="AK196" s="174">
        <f>Renewables_Heat_Frontend[[#This Row],[Age (years)]]</f>
        <v>0</v>
      </c>
      <c r="AL196" s="218" t="s">
        <v>1848</v>
      </c>
      <c r="AM196" s="174">
        <f>Renewables_Heat_Frontend[[#This Row],[Total MW capacity]]</f>
        <v>0</v>
      </c>
      <c r="AN196" s="220">
        <f>Renewables_Heat_Frontend[[#This Row],[Total kWh generated]]</f>
        <v>0</v>
      </c>
      <c r="AO196" s="412">
        <f>Renewables_Heat_Frontend[[#This Row],[kWh consumed by reporting organisation]]</f>
        <v>0</v>
      </c>
      <c r="AP196" s="412">
        <f>Renewables_Heat_Frontend[[#This Row],[kWh exported to grid]]</f>
        <v>0</v>
      </c>
      <c r="AQ196" s="412">
        <f>Renewables_Heat_Frontend[[#This Row],[kWh exported to other PSB]]</f>
        <v>0</v>
      </c>
      <c r="AR196" s="220">
        <f>Renewables_Heat_Frontend[[#This Row],[Name of other PSB]]</f>
        <v>0</v>
      </c>
      <c r="AS196" s="220">
        <f>Renewables_Heat_Frontend[[#This Row],[Ease of collection]]</f>
        <v>0</v>
      </c>
      <c r="AT196" s="174">
        <f>Renewables_Heat_Frontend[[#This Row],[Completeness]]</f>
        <v>0</v>
      </c>
      <c r="AU196" s="174">
        <f>Renewables_Heat_Frontend[[#This Row],[Notes]]</f>
        <v>0</v>
      </c>
    </row>
    <row r="197" spans="2:47" x14ac:dyDescent="0.35">
      <c r="B197" s="146"/>
      <c r="E197" s="270"/>
      <c r="F197" s="268"/>
      <c r="G197" s="268"/>
      <c r="H197" s="268"/>
      <c r="I197" s="268"/>
      <c r="J197" s="268"/>
      <c r="K197" s="269"/>
      <c r="L197" s="269"/>
      <c r="M197" s="280">
        <f>Renewables_Heat_Frontend[[#This Row],[kWh consumed by reporting organisation]]+Renewables_Heat_Frontend[[#This Row],[kWh exported to grid]]+Renewables_Heat_Frontend[[#This Row],[kWh exported to other PSB]]</f>
        <v>0</v>
      </c>
      <c r="N197" s="281"/>
      <c r="O197" s="281"/>
      <c r="P197" s="282"/>
      <c r="Q197" s="282"/>
      <c r="R197" s="284"/>
      <c r="S197" s="284"/>
      <c r="T197" s="285"/>
      <c r="U197" s="329"/>
      <c r="V197" s="242">
        <f t="shared" si="9"/>
        <v>10</v>
      </c>
      <c r="Z197" s="212" t="str">
        <f t="shared" si="8"/>
        <v/>
      </c>
      <c r="AA197" s="174"/>
      <c r="AB197" s="174"/>
      <c r="AC197" s="174">
        <f>Renewables_Heat_Frontend[[#This Row],[Renewable Type]]</f>
        <v>0</v>
      </c>
      <c r="AD197" s="174" t="e" cm="1">
        <f t="array" aca="1" ref="AD197" ca="1">_xlfn.XLOOKUP(Renewables_Heat_Backend[[#This Row],[Level 3]],rng_Level3Long,rng_Level4Long)</f>
        <v>#N/A</v>
      </c>
      <c r="AE197" s="174" t="e" cm="1">
        <f t="array" aca="1" ref="AE197" ca="1">_xlfn.XLOOKUP(Renewables_Heat_Backend[[#This Row],[Level 3]],rng_Level3Long,rng_Level5Long)</f>
        <v>#N/A</v>
      </c>
      <c r="AF197" s="174" t="e" cm="1">
        <f t="array" aca="1" ref="AF197" ca="1">_xlfn.XLOOKUP(Renewables_Heat_Backend[[#This Row],[Level 3]],rng_Level3Long,rng_Level6Long)</f>
        <v>#N/A</v>
      </c>
      <c r="AG197" s="174">
        <f>Renewables_Heat_Frontend[[#This Row],[Generating site name]]</f>
        <v>0</v>
      </c>
      <c r="AH197" s="174"/>
      <c r="AI197" s="174">
        <f>Renewables_Heat_Frontend[[#This Row],[Methodology used]]</f>
        <v>0</v>
      </c>
      <c r="AJ197" s="220" t="e" cm="1">
        <f t="array" aca="1" ref="AJ197" ca="1">_xlfn.LET(_xlpm.LookupConcat,_xlfn.CONCAT(Renewables_Heat_Backend[[#This Row],[Level 1]:[Level 6]]), _xlfn.XLOOKUP(_xlpm.LookupConcat,rng_LevelsConcat,_xlfn.SWITCH(Renewables_Heat_Backend[[#This Row],[Methodology]],"Tier 1",rng_RSD1,"Tier 2",rng_RSD2,"Tier 3",rng_RSD3)))</f>
        <v>#N/A</v>
      </c>
      <c r="AK197" s="174">
        <f>Renewables_Heat_Frontend[[#This Row],[Age (years)]]</f>
        <v>0</v>
      </c>
      <c r="AL197" s="218" t="s">
        <v>1848</v>
      </c>
      <c r="AM197" s="174">
        <f>Renewables_Heat_Frontend[[#This Row],[Total MW capacity]]</f>
        <v>0</v>
      </c>
      <c r="AN197" s="220">
        <f>Renewables_Heat_Frontend[[#This Row],[Total kWh generated]]</f>
        <v>0</v>
      </c>
      <c r="AO197" s="412">
        <f>Renewables_Heat_Frontend[[#This Row],[kWh consumed by reporting organisation]]</f>
        <v>0</v>
      </c>
      <c r="AP197" s="412">
        <f>Renewables_Heat_Frontend[[#This Row],[kWh exported to grid]]</f>
        <v>0</v>
      </c>
      <c r="AQ197" s="412">
        <f>Renewables_Heat_Frontend[[#This Row],[kWh exported to other PSB]]</f>
        <v>0</v>
      </c>
      <c r="AR197" s="220">
        <f>Renewables_Heat_Frontend[[#This Row],[Name of other PSB]]</f>
        <v>0</v>
      </c>
      <c r="AS197" s="220">
        <f>Renewables_Heat_Frontend[[#This Row],[Ease of collection]]</f>
        <v>0</v>
      </c>
      <c r="AT197" s="174">
        <f>Renewables_Heat_Frontend[[#This Row],[Completeness]]</f>
        <v>0</v>
      </c>
      <c r="AU197" s="174">
        <f>Renewables_Heat_Frontend[[#This Row],[Notes]]</f>
        <v>0</v>
      </c>
    </row>
    <row r="198" spans="2:47" x14ac:dyDescent="0.35">
      <c r="B198" s="146"/>
      <c r="E198" s="270"/>
      <c r="F198" s="268"/>
      <c r="G198" s="268"/>
      <c r="H198" s="268"/>
      <c r="I198" s="268"/>
      <c r="J198" s="268"/>
      <c r="K198" s="269"/>
      <c r="L198" s="269"/>
      <c r="M198" s="280">
        <f>Renewables_Heat_Frontend[[#This Row],[kWh consumed by reporting organisation]]+Renewables_Heat_Frontend[[#This Row],[kWh exported to grid]]+Renewables_Heat_Frontend[[#This Row],[kWh exported to other PSB]]</f>
        <v>0</v>
      </c>
      <c r="N198" s="281"/>
      <c r="O198" s="281"/>
      <c r="P198" s="282"/>
      <c r="Q198" s="282"/>
      <c r="R198" s="284"/>
      <c r="S198" s="284"/>
      <c r="T198" s="285"/>
      <c r="U198" s="329"/>
      <c r="V198" s="242">
        <f t="shared" si="9"/>
        <v>10</v>
      </c>
      <c r="Z198" s="212" t="str">
        <f t="shared" si="8"/>
        <v/>
      </c>
      <c r="AA198" s="216"/>
      <c r="AB198" s="216"/>
      <c r="AC198" s="216">
        <f>Renewables_Heat_Frontend[[#This Row],[Renewable Type]]</f>
        <v>0</v>
      </c>
      <c r="AD198" s="216" t="e" cm="1">
        <f t="array" aca="1" ref="AD198" ca="1">_xlfn.XLOOKUP(Renewables_Heat_Backend[[#This Row],[Level 3]],rng_Level3Long,rng_Level4Long)</f>
        <v>#N/A</v>
      </c>
      <c r="AE198" s="216" t="e" cm="1">
        <f t="array" aca="1" ref="AE198" ca="1">_xlfn.XLOOKUP(Renewables_Heat_Backend[[#This Row],[Level 3]],rng_Level3Long,rng_Level5Long)</f>
        <v>#N/A</v>
      </c>
      <c r="AF198" s="216" t="e" cm="1">
        <f t="array" aca="1" ref="AF198" ca="1">_xlfn.XLOOKUP(Renewables_Heat_Backend[[#This Row],[Level 3]],rng_Level3Long,rng_Level6Long)</f>
        <v>#N/A</v>
      </c>
      <c r="AG198" s="174">
        <f>Renewables_Heat_Frontend[[#This Row],[Generating site name]]</f>
        <v>0</v>
      </c>
      <c r="AH198" s="174"/>
      <c r="AI198" s="174">
        <f>Renewables_Heat_Frontend[[#This Row],[Methodology used]]</f>
        <v>0</v>
      </c>
      <c r="AJ198" s="221" t="e" cm="1">
        <f t="array" aca="1" ref="AJ198" ca="1">_xlfn.LET(_xlpm.LookupConcat,_xlfn.CONCAT(Renewables_Heat_Backend[[#This Row],[Level 1]:[Level 6]]), _xlfn.XLOOKUP(_xlpm.LookupConcat,rng_LevelsConcat,_xlfn.SWITCH(Renewables_Heat_Backend[[#This Row],[Methodology]],"Tier 1",rng_RSD1,"Tier 2",rng_RSD2,"Tier 3",rng_RSD3)))</f>
        <v>#N/A</v>
      </c>
      <c r="AK198" s="216">
        <f>Renewables_Heat_Frontend[[#This Row],[Age (years)]]</f>
        <v>0</v>
      </c>
      <c r="AL198" s="218" t="s">
        <v>1848</v>
      </c>
      <c r="AM198" s="216">
        <f>Renewables_Heat_Frontend[[#This Row],[Total MW capacity]]</f>
        <v>0</v>
      </c>
      <c r="AN198" s="221">
        <f>Renewables_Heat_Frontend[[#This Row],[Total kWh generated]]</f>
        <v>0</v>
      </c>
      <c r="AO198" s="413">
        <f>Renewables_Heat_Frontend[[#This Row],[kWh consumed by reporting organisation]]</f>
        <v>0</v>
      </c>
      <c r="AP198" s="413">
        <f>Renewables_Heat_Frontend[[#This Row],[kWh exported to grid]]</f>
        <v>0</v>
      </c>
      <c r="AQ198" s="413">
        <f>Renewables_Heat_Frontend[[#This Row],[kWh exported to other PSB]]</f>
        <v>0</v>
      </c>
      <c r="AR198" s="221">
        <f>Renewables_Heat_Frontend[[#This Row],[Name of other PSB]]</f>
        <v>0</v>
      </c>
      <c r="AS198" s="221">
        <f>Renewables_Heat_Frontend[[#This Row],[Ease of collection]]</f>
        <v>0</v>
      </c>
      <c r="AT198" s="174">
        <f>Renewables_Heat_Frontend[[#This Row],[Completeness]]</f>
        <v>0</v>
      </c>
      <c r="AU198" s="174">
        <f>Renewables_Heat_Frontend[[#This Row],[Notes]]</f>
        <v>0</v>
      </c>
    </row>
    <row r="199" spans="2:47" x14ac:dyDescent="0.35">
      <c r="B199" s="146"/>
      <c r="E199" s="270"/>
      <c r="F199" s="268"/>
      <c r="G199" s="268"/>
      <c r="H199" s="268"/>
      <c r="I199" s="268"/>
      <c r="J199" s="268"/>
      <c r="K199" s="269"/>
      <c r="L199" s="269"/>
      <c r="M199" s="280">
        <f>Renewables_Heat_Frontend[[#This Row],[kWh consumed by reporting organisation]]+Renewables_Heat_Frontend[[#This Row],[kWh exported to grid]]+Renewables_Heat_Frontend[[#This Row],[kWh exported to other PSB]]</f>
        <v>0</v>
      </c>
      <c r="N199" s="281"/>
      <c r="O199" s="281"/>
      <c r="P199" s="282"/>
      <c r="Q199" s="282"/>
      <c r="R199" s="284"/>
      <c r="S199" s="284"/>
      <c r="T199" s="285"/>
      <c r="U199" s="329"/>
      <c r="V199" s="242">
        <f t="shared" si="9"/>
        <v>10</v>
      </c>
      <c r="Z199" s="212" t="str">
        <f t="shared" si="8"/>
        <v/>
      </c>
      <c r="AA199" s="174"/>
      <c r="AB199" s="174"/>
      <c r="AC199" s="174">
        <f>Renewables_Heat_Frontend[[#This Row],[Renewable Type]]</f>
        <v>0</v>
      </c>
      <c r="AD199" s="174" t="e" cm="1">
        <f t="array" aca="1" ref="AD199" ca="1">_xlfn.XLOOKUP(Renewables_Heat_Backend[[#This Row],[Level 3]],rng_Level3Long,rng_Level4Long)</f>
        <v>#N/A</v>
      </c>
      <c r="AE199" s="174" t="e" cm="1">
        <f t="array" aca="1" ref="AE199" ca="1">_xlfn.XLOOKUP(Renewables_Heat_Backend[[#This Row],[Level 3]],rng_Level3Long,rng_Level5Long)</f>
        <v>#N/A</v>
      </c>
      <c r="AF199" s="174" t="e" cm="1">
        <f t="array" aca="1" ref="AF199" ca="1">_xlfn.XLOOKUP(Renewables_Heat_Backend[[#This Row],[Level 3]],rng_Level3Long,rng_Level6Long)</f>
        <v>#N/A</v>
      </c>
      <c r="AG199" s="174">
        <f>Renewables_Heat_Frontend[[#This Row],[Generating site name]]</f>
        <v>0</v>
      </c>
      <c r="AH199" s="174"/>
      <c r="AI199" s="174">
        <f>Renewables_Heat_Frontend[[#This Row],[Methodology used]]</f>
        <v>0</v>
      </c>
      <c r="AJ199" s="220" t="e" cm="1">
        <f t="array" aca="1" ref="AJ199" ca="1">_xlfn.LET(_xlpm.LookupConcat,_xlfn.CONCAT(Renewables_Heat_Backend[[#This Row],[Level 1]:[Level 6]]), _xlfn.XLOOKUP(_xlpm.LookupConcat,rng_LevelsConcat,_xlfn.SWITCH(Renewables_Heat_Backend[[#This Row],[Methodology]],"Tier 1",rng_RSD1,"Tier 2",rng_RSD2,"Tier 3",rng_RSD3)))</f>
        <v>#N/A</v>
      </c>
      <c r="AK199" s="174">
        <f>Renewables_Heat_Frontend[[#This Row],[Age (years)]]</f>
        <v>0</v>
      </c>
      <c r="AL199" s="218" t="s">
        <v>1848</v>
      </c>
      <c r="AM199" s="174">
        <f>Renewables_Heat_Frontend[[#This Row],[Total MW capacity]]</f>
        <v>0</v>
      </c>
      <c r="AN199" s="220">
        <f>Renewables_Heat_Frontend[[#This Row],[Total kWh generated]]</f>
        <v>0</v>
      </c>
      <c r="AO199" s="412">
        <f>Renewables_Heat_Frontend[[#This Row],[kWh consumed by reporting organisation]]</f>
        <v>0</v>
      </c>
      <c r="AP199" s="412">
        <f>Renewables_Heat_Frontend[[#This Row],[kWh exported to grid]]</f>
        <v>0</v>
      </c>
      <c r="AQ199" s="412">
        <f>Renewables_Heat_Frontend[[#This Row],[kWh exported to other PSB]]</f>
        <v>0</v>
      </c>
      <c r="AR199" s="220">
        <f>Renewables_Heat_Frontend[[#This Row],[Name of other PSB]]</f>
        <v>0</v>
      </c>
      <c r="AS199" s="220">
        <f>Renewables_Heat_Frontend[[#This Row],[Ease of collection]]</f>
        <v>0</v>
      </c>
      <c r="AT199" s="174">
        <f>Renewables_Heat_Frontend[[#This Row],[Completeness]]</f>
        <v>0</v>
      </c>
      <c r="AU199" s="174">
        <f>Renewables_Heat_Frontend[[#This Row],[Notes]]</f>
        <v>0</v>
      </c>
    </row>
    <row r="200" spans="2:47" x14ac:dyDescent="0.35">
      <c r="B200" s="146"/>
      <c r="E200" s="270"/>
      <c r="F200" s="268"/>
      <c r="G200" s="268"/>
      <c r="H200" s="268"/>
      <c r="I200" s="268"/>
      <c r="J200" s="268"/>
      <c r="K200" s="269"/>
      <c r="L200" s="269"/>
      <c r="M200" s="280">
        <f>Renewables_Heat_Frontend[[#This Row],[kWh consumed by reporting organisation]]+Renewables_Heat_Frontend[[#This Row],[kWh exported to grid]]+Renewables_Heat_Frontend[[#This Row],[kWh exported to other PSB]]</f>
        <v>0</v>
      </c>
      <c r="N200" s="281"/>
      <c r="O200" s="281"/>
      <c r="P200" s="282"/>
      <c r="Q200" s="282"/>
      <c r="R200" s="284"/>
      <c r="S200" s="284"/>
      <c r="T200" s="285"/>
      <c r="U200" s="329"/>
      <c r="V200" s="242">
        <f t="shared" si="9"/>
        <v>10</v>
      </c>
      <c r="Z200" s="212" t="str">
        <f t="shared" si="8"/>
        <v/>
      </c>
      <c r="AA200" s="174"/>
      <c r="AB200" s="174"/>
      <c r="AC200" s="174">
        <f>Renewables_Heat_Frontend[[#This Row],[Renewable Type]]</f>
        <v>0</v>
      </c>
      <c r="AD200" s="174" t="e" cm="1">
        <f t="array" aca="1" ref="AD200" ca="1">_xlfn.XLOOKUP(Renewables_Heat_Backend[[#This Row],[Level 3]],rng_Level3Long,rng_Level4Long)</f>
        <v>#N/A</v>
      </c>
      <c r="AE200" s="174" t="e" cm="1">
        <f t="array" aca="1" ref="AE200" ca="1">_xlfn.XLOOKUP(Renewables_Heat_Backend[[#This Row],[Level 3]],rng_Level3Long,rng_Level5Long)</f>
        <v>#N/A</v>
      </c>
      <c r="AF200" s="174" t="e" cm="1">
        <f t="array" aca="1" ref="AF200" ca="1">_xlfn.XLOOKUP(Renewables_Heat_Backend[[#This Row],[Level 3]],rng_Level3Long,rng_Level6Long)</f>
        <v>#N/A</v>
      </c>
      <c r="AG200" s="174">
        <f>Renewables_Heat_Frontend[[#This Row],[Generating site name]]</f>
        <v>0</v>
      </c>
      <c r="AH200" s="174"/>
      <c r="AI200" s="174">
        <f>Renewables_Heat_Frontend[[#This Row],[Methodology used]]</f>
        <v>0</v>
      </c>
      <c r="AJ200" s="220" t="e" cm="1">
        <f t="array" aca="1" ref="AJ200" ca="1">_xlfn.LET(_xlpm.LookupConcat,_xlfn.CONCAT(Renewables_Heat_Backend[[#This Row],[Level 1]:[Level 6]]), _xlfn.XLOOKUP(_xlpm.LookupConcat,rng_LevelsConcat,_xlfn.SWITCH(Renewables_Heat_Backend[[#This Row],[Methodology]],"Tier 1",rng_RSD1,"Tier 2",rng_RSD2,"Tier 3",rng_RSD3)))</f>
        <v>#N/A</v>
      </c>
      <c r="AK200" s="174">
        <f>Renewables_Heat_Frontend[[#This Row],[Age (years)]]</f>
        <v>0</v>
      </c>
      <c r="AL200" s="218" t="s">
        <v>1848</v>
      </c>
      <c r="AM200" s="174">
        <f>Renewables_Heat_Frontend[[#This Row],[Total MW capacity]]</f>
        <v>0</v>
      </c>
      <c r="AN200" s="220">
        <f>Renewables_Heat_Frontend[[#This Row],[Total kWh generated]]</f>
        <v>0</v>
      </c>
      <c r="AO200" s="412">
        <f>Renewables_Heat_Frontend[[#This Row],[kWh consumed by reporting organisation]]</f>
        <v>0</v>
      </c>
      <c r="AP200" s="412">
        <f>Renewables_Heat_Frontend[[#This Row],[kWh exported to grid]]</f>
        <v>0</v>
      </c>
      <c r="AQ200" s="412">
        <f>Renewables_Heat_Frontend[[#This Row],[kWh exported to other PSB]]</f>
        <v>0</v>
      </c>
      <c r="AR200" s="220">
        <f>Renewables_Heat_Frontend[[#This Row],[Name of other PSB]]</f>
        <v>0</v>
      </c>
      <c r="AS200" s="220">
        <f>Renewables_Heat_Frontend[[#This Row],[Ease of collection]]</f>
        <v>0</v>
      </c>
      <c r="AT200" s="174">
        <f>Renewables_Heat_Frontend[[#This Row],[Completeness]]</f>
        <v>0</v>
      </c>
      <c r="AU200" s="174">
        <f>Renewables_Heat_Frontend[[#This Row],[Notes]]</f>
        <v>0</v>
      </c>
    </row>
    <row r="201" spans="2:47" x14ac:dyDescent="0.35">
      <c r="B201" s="146"/>
      <c r="E201" s="270"/>
      <c r="F201" s="268"/>
      <c r="G201" s="268"/>
      <c r="H201" s="268"/>
      <c r="I201" s="268"/>
      <c r="J201" s="268"/>
      <c r="K201" s="269"/>
      <c r="L201" s="269"/>
      <c r="M201" s="280">
        <f>Renewables_Heat_Frontend[[#This Row],[kWh consumed by reporting organisation]]+Renewables_Heat_Frontend[[#This Row],[kWh exported to grid]]+Renewables_Heat_Frontend[[#This Row],[kWh exported to other PSB]]</f>
        <v>0</v>
      </c>
      <c r="N201" s="281"/>
      <c r="O201" s="281"/>
      <c r="P201" s="282"/>
      <c r="Q201" s="282"/>
      <c r="R201" s="284"/>
      <c r="S201" s="284"/>
      <c r="T201" s="285"/>
      <c r="U201" s="329"/>
      <c r="V201" s="242">
        <f t="shared" si="9"/>
        <v>10</v>
      </c>
      <c r="Z201" s="212" t="str">
        <f t="shared" si="8"/>
        <v/>
      </c>
      <c r="AA201" s="174"/>
      <c r="AB201" s="174"/>
      <c r="AC201" s="174">
        <f>Renewables_Heat_Frontend[[#This Row],[Renewable Type]]</f>
        <v>0</v>
      </c>
      <c r="AD201" s="174" t="e" cm="1">
        <f t="array" aca="1" ref="AD201" ca="1">_xlfn.XLOOKUP(Renewables_Heat_Backend[[#This Row],[Level 3]],rng_Level3Long,rng_Level4Long)</f>
        <v>#N/A</v>
      </c>
      <c r="AE201" s="174" t="e" cm="1">
        <f t="array" aca="1" ref="AE201" ca="1">_xlfn.XLOOKUP(Renewables_Heat_Backend[[#This Row],[Level 3]],rng_Level3Long,rng_Level5Long)</f>
        <v>#N/A</v>
      </c>
      <c r="AF201" s="174" t="e" cm="1">
        <f t="array" aca="1" ref="AF201" ca="1">_xlfn.XLOOKUP(Renewables_Heat_Backend[[#This Row],[Level 3]],rng_Level3Long,rng_Level6Long)</f>
        <v>#N/A</v>
      </c>
      <c r="AG201" s="174">
        <f>Renewables_Heat_Frontend[[#This Row],[Generating site name]]</f>
        <v>0</v>
      </c>
      <c r="AH201" s="174"/>
      <c r="AI201" s="174">
        <f>Renewables_Heat_Frontend[[#This Row],[Methodology used]]</f>
        <v>0</v>
      </c>
      <c r="AJ201" s="220" t="e" cm="1">
        <f t="array" aca="1" ref="AJ201" ca="1">_xlfn.LET(_xlpm.LookupConcat,_xlfn.CONCAT(Renewables_Heat_Backend[[#This Row],[Level 1]:[Level 6]]), _xlfn.XLOOKUP(_xlpm.LookupConcat,rng_LevelsConcat,_xlfn.SWITCH(Renewables_Heat_Backend[[#This Row],[Methodology]],"Tier 1",rng_RSD1,"Tier 2",rng_RSD2,"Tier 3",rng_RSD3)))</f>
        <v>#N/A</v>
      </c>
      <c r="AK201" s="174">
        <f>Renewables_Heat_Frontend[[#This Row],[Age (years)]]</f>
        <v>0</v>
      </c>
      <c r="AL201" s="218" t="s">
        <v>1848</v>
      </c>
      <c r="AM201" s="174">
        <f>Renewables_Heat_Frontend[[#This Row],[Total MW capacity]]</f>
        <v>0</v>
      </c>
      <c r="AN201" s="220">
        <f>Renewables_Heat_Frontend[[#This Row],[Total kWh generated]]</f>
        <v>0</v>
      </c>
      <c r="AO201" s="412">
        <f>Renewables_Heat_Frontend[[#This Row],[kWh consumed by reporting organisation]]</f>
        <v>0</v>
      </c>
      <c r="AP201" s="412">
        <f>Renewables_Heat_Frontend[[#This Row],[kWh exported to grid]]</f>
        <v>0</v>
      </c>
      <c r="AQ201" s="412">
        <f>Renewables_Heat_Frontend[[#This Row],[kWh exported to other PSB]]</f>
        <v>0</v>
      </c>
      <c r="AR201" s="220">
        <f>Renewables_Heat_Frontend[[#This Row],[Name of other PSB]]</f>
        <v>0</v>
      </c>
      <c r="AS201" s="220">
        <f>Renewables_Heat_Frontend[[#This Row],[Ease of collection]]</f>
        <v>0</v>
      </c>
      <c r="AT201" s="174">
        <f>Renewables_Heat_Frontend[[#This Row],[Completeness]]</f>
        <v>0</v>
      </c>
      <c r="AU201" s="174">
        <f>Renewables_Heat_Frontend[[#This Row],[Notes]]</f>
        <v>0</v>
      </c>
    </row>
    <row r="202" spans="2:47" x14ac:dyDescent="0.35">
      <c r="B202" s="146"/>
      <c r="E202" s="270"/>
      <c r="F202" s="268"/>
      <c r="G202" s="268"/>
      <c r="H202" s="268"/>
      <c r="I202" s="268"/>
      <c r="J202" s="268"/>
      <c r="K202" s="269"/>
      <c r="L202" s="269"/>
      <c r="M202" s="280">
        <f>Renewables_Heat_Frontend[[#This Row],[kWh consumed by reporting organisation]]+Renewables_Heat_Frontend[[#This Row],[kWh exported to grid]]+Renewables_Heat_Frontend[[#This Row],[kWh exported to other PSB]]</f>
        <v>0</v>
      </c>
      <c r="N202" s="281"/>
      <c r="O202" s="281"/>
      <c r="P202" s="282"/>
      <c r="Q202" s="282"/>
      <c r="R202" s="284"/>
      <c r="S202" s="284"/>
      <c r="T202" s="285"/>
      <c r="U202" s="329"/>
      <c r="V202" s="242">
        <f t="shared" si="9"/>
        <v>10</v>
      </c>
      <c r="Z202" s="212" t="str">
        <f t="shared" si="8"/>
        <v/>
      </c>
      <c r="AA202" s="174"/>
      <c r="AB202" s="174"/>
      <c r="AC202" s="174">
        <f>Renewables_Heat_Frontend[[#This Row],[Renewable Type]]</f>
        <v>0</v>
      </c>
      <c r="AD202" s="174" t="e" cm="1">
        <f t="array" aca="1" ref="AD202" ca="1">_xlfn.XLOOKUP(Renewables_Heat_Backend[[#This Row],[Level 3]],rng_Level3Long,rng_Level4Long)</f>
        <v>#N/A</v>
      </c>
      <c r="AE202" s="174" t="e" cm="1">
        <f t="array" aca="1" ref="AE202" ca="1">_xlfn.XLOOKUP(Renewables_Heat_Backend[[#This Row],[Level 3]],rng_Level3Long,rng_Level5Long)</f>
        <v>#N/A</v>
      </c>
      <c r="AF202" s="174" t="e" cm="1">
        <f t="array" aca="1" ref="AF202" ca="1">_xlfn.XLOOKUP(Renewables_Heat_Backend[[#This Row],[Level 3]],rng_Level3Long,rng_Level6Long)</f>
        <v>#N/A</v>
      </c>
      <c r="AG202" s="174">
        <f>Renewables_Heat_Frontend[[#This Row],[Generating site name]]</f>
        <v>0</v>
      </c>
      <c r="AH202" s="174"/>
      <c r="AI202" s="174">
        <f>Renewables_Heat_Frontend[[#This Row],[Methodology used]]</f>
        <v>0</v>
      </c>
      <c r="AJ202" s="220" t="e" cm="1">
        <f t="array" aca="1" ref="AJ202" ca="1">_xlfn.LET(_xlpm.LookupConcat,_xlfn.CONCAT(Renewables_Heat_Backend[[#This Row],[Level 1]:[Level 6]]), _xlfn.XLOOKUP(_xlpm.LookupConcat,rng_LevelsConcat,_xlfn.SWITCH(Renewables_Heat_Backend[[#This Row],[Methodology]],"Tier 1",rng_RSD1,"Tier 2",rng_RSD2,"Tier 3",rng_RSD3)))</f>
        <v>#N/A</v>
      </c>
      <c r="AK202" s="174">
        <f>Renewables_Heat_Frontend[[#This Row],[Age (years)]]</f>
        <v>0</v>
      </c>
      <c r="AL202" s="218" t="s">
        <v>1848</v>
      </c>
      <c r="AM202" s="174">
        <f>Renewables_Heat_Frontend[[#This Row],[Total MW capacity]]</f>
        <v>0</v>
      </c>
      <c r="AN202" s="220">
        <f>Renewables_Heat_Frontend[[#This Row],[Total kWh generated]]</f>
        <v>0</v>
      </c>
      <c r="AO202" s="412">
        <f>Renewables_Heat_Frontend[[#This Row],[kWh consumed by reporting organisation]]</f>
        <v>0</v>
      </c>
      <c r="AP202" s="412">
        <f>Renewables_Heat_Frontend[[#This Row],[kWh exported to grid]]</f>
        <v>0</v>
      </c>
      <c r="AQ202" s="412">
        <f>Renewables_Heat_Frontend[[#This Row],[kWh exported to other PSB]]</f>
        <v>0</v>
      </c>
      <c r="AR202" s="220">
        <f>Renewables_Heat_Frontend[[#This Row],[Name of other PSB]]</f>
        <v>0</v>
      </c>
      <c r="AS202" s="220">
        <f>Renewables_Heat_Frontend[[#This Row],[Ease of collection]]</f>
        <v>0</v>
      </c>
      <c r="AT202" s="174">
        <f>Renewables_Heat_Frontend[[#This Row],[Completeness]]</f>
        <v>0</v>
      </c>
      <c r="AU202" s="174">
        <f>Renewables_Heat_Frontend[[#This Row],[Notes]]</f>
        <v>0</v>
      </c>
    </row>
    <row r="203" spans="2:47" x14ac:dyDescent="0.35">
      <c r="B203" s="146"/>
      <c r="E203" s="270"/>
      <c r="F203" s="268"/>
      <c r="G203" s="268"/>
      <c r="H203" s="268"/>
      <c r="I203" s="268"/>
      <c r="J203" s="268"/>
      <c r="K203" s="269"/>
      <c r="L203" s="269"/>
      <c r="M203" s="280">
        <f>Renewables_Heat_Frontend[[#This Row],[kWh consumed by reporting organisation]]+Renewables_Heat_Frontend[[#This Row],[kWh exported to grid]]+Renewables_Heat_Frontend[[#This Row],[kWh exported to other PSB]]</f>
        <v>0</v>
      </c>
      <c r="N203" s="281"/>
      <c r="O203" s="281"/>
      <c r="P203" s="282"/>
      <c r="Q203" s="282"/>
      <c r="R203" s="284"/>
      <c r="S203" s="284"/>
      <c r="T203" s="285"/>
      <c r="U203" s="329"/>
      <c r="V203" s="242">
        <f t="shared" si="9"/>
        <v>10</v>
      </c>
      <c r="Z203" s="212" t="str">
        <f t="shared" si="8"/>
        <v/>
      </c>
      <c r="AA203" s="174"/>
      <c r="AB203" s="174"/>
      <c r="AC203" s="174">
        <f>Renewables_Heat_Frontend[[#This Row],[Renewable Type]]</f>
        <v>0</v>
      </c>
      <c r="AD203" s="174" t="e" cm="1">
        <f t="array" aca="1" ref="AD203" ca="1">_xlfn.XLOOKUP(Renewables_Heat_Backend[[#This Row],[Level 3]],rng_Level3Long,rng_Level4Long)</f>
        <v>#N/A</v>
      </c>
      <c r="AE203" s="174" t="e" cm="1">
        <f t="array" aca="1" ref="AE203" ca="1">_xlfn.XLOOKUP(Renewables_Heat_Backend[[#This Row],[Level 3]],rng_Level3Long,rng_Level5Long)</f>
        <v>#N/A</v>
      </c>
      <c r="AF203" s="174" t="e" cm="1">
        <f t="array" aca="1" ref="AF203" ca="1">_xlfn.XLOOKUP(Renewables_Heat_Backend[[#This Row],[Level 3]],rng_Level3Long,rng_Level6Long)</f>
        <v>#N/A</v>
      </c>
      <c r="AG203" s="174">
        <f>Renewables_Heat_Frontend[[#This Row],[Generating site name]]</f>
        <v>0</v>
      </c>
      <c r="AH203" s="174"/>
      <c r="AI203" s="174">
        <f>Renewables_Heat_Frontend[[#This Row],[Methodology used]]</f>
        <v>0</v>
      </c>
      <c r="AJ203" s="220" t="e" cm="1">
        <f t="array" aca="1" ref="AJ203" ca="1">_xlfn.LET(_xlpm.LookupConcat,_xlfn.CONCAT(Renewables_Heat_Backend[[#This Row],[Level 1]:[Level 6]]), _xlfn.XLOOKUP(_xlpm.LookupConcat,rng_LevelsConcat,_xlfn.SWITCH(Renewables_Heat_Backend[[#This Row],[Methodology]],"Tier 1",rng_RSD1,"Tier 2",rng_RSD2,"Tier 3",rng_RSD3)))</f>
        <v>#N/A</v>
      </c>
      <c r="AK203" s="174">
        <f>Renewables_Heat_Frontend[[#This Row],[Age (years)]]</f>
        <v>0</v>
      </c>
      <c r="AL203" s="218" t="s">
        <v>1848</v>
      </c>
      <c r="AM203" s="174">
        <f>Renewables_Heat_Frontend[[#This Row],[Total MW capacity]]</f>
        <v>0</v>
      </c>
      <c r="AN203" s="220">
        <f>Renewables_Heat_Frontend[[#This Row],[Total kWh generated]]</f>
        <v>0</v>
      </c>
      <c r="AO203" s="412">
        <f>Renewables_Heat_Frontend[[#This Row],[kWh consumed by reporting organisation]]</f>
        <v>0</v>
      </c>
      <c r="AP203" s="412">
        <f>Renewables_Heat_Frontend[[#This Row],[kWh exported to grid]]</f>
        <v>0</v>
      </c>
      <c r="AQ203" s="412">
        <f>Renewables_Heat_Frontend[[#This Row],[kWh exported to other PSB]]</f>
        <v>0</v>
      </c>
      <c r="AR203" s="220">
        <f>Renewables_Heat_Frontend[[#This Row],[Name of other PSB]]</f>
        <v>0</v>
      </c>
      <c r="AS203" s="220">
        <f>Renewables_Heat_Frontend[[#This Row],[Ease of collection]]</f>
        <v>0</v>
      </c>
      <c r="AT203" s="174">
        <f>Renewables_Heat_Frontend[[#This Row],[Completeness]]</f>
        <v>0</v>
      </c>
      <c r="AU203" s="174">
        <f>Renewables_Heat_Frontend[[#This Row],[Notes]]</f>
        <v>0</v>
      </c>
    </row>
    <row r="204" spans="2:47" x14ac:dyDescent="0.35">
      <c r="B204" s="146"/>
      <c r="E204" s="270"/>
      <c r="F204" s="268"/>
      <c r="G204" s="268"/>
      <c r="H204" s="268"/>
      <c r="I204" s="268"/>
      <c r="J204" s="268"/>
      <c r="K204" s="269"/>
      <c r="L204" s="269"/>
      <c r="M204" s="280">
        <f>Renewables_Heat_Frontend[[#This Row],[kWh consumed by reporting organisation]]+Renewables_Heat_Frontend[[#This Row],[kWh exported to grid]]+Renewables_Heat_Frontend[[#This Row],[kWh exported to other PSB]]</f>
        <v>0</v>
      </c>
      <c r="N204" s="281"/>
      <c r="O204" s="281"/>
      <c r="P204" s="282"/>
      <c r="Q204" s="282"/>
      <c r="R204" s="284"/>
      <c r="S204" s="284"/>
      <c r="T204" s="285"/>
      <c r="U204" s="329"/>
      <c r="V204" s="242">
        <f t="shared" si="9"/>
        <v>10</v>
      </c>
      <c r="Z204" s="212" t="str">
        <f t="shared" si="8"/>
        <v/>
      </c>
      <c r="AA204" s="174"/>
      <c r="AB204" s="174"/>
      <c r="AC204" s="174">
        <f>Renewables_Heat_Frontend[[#This Row],[Renewable Type]]</f>
        <v>0</v>
      </c>
      <c r="AD204" s="174" t="e" cm="1">
        <f t="array" aca="1" ref="AD204" ca="1">_xlfn.XLOOKUP(Renewables_Heat_Backend[[#This Row],[Level 3]],rng_Level3Long,rng_Level4Long)</f>
        <v>#N/A</v>
      </c>
      <c r="AE204" s="174" t="e" cm="1">
        <f t="array" aca="1" ref="AE204" ca="1">_xlfn.XLOOKUP(Renewables_Heat_Backend[[#This Row],[Level 3]],rng_Level3Long,rng_Level5Long)</f>
        <v>#N/A</v>
      </c>
      <c r="AF204" s="174" t="e" cm="1">
        <f t="array" aca="1" ref="AF204" ca="1">_xlfn.XLOOKUP(Renewables_Heat_Backend[[#This Row],[Level 3]],rng_Level3Long,rng_Level6Long)</f>
        <v>#N/A</v>
      </c>
      <c r="AG204" s="174">
        <f>Renewables_Heat_Frontend[[#This Row],[Generating site name]]</f>
        <v>0</v>
      </c>
      <c r="AH204" s="174"/>
      <c r="AI204" s="174">
        <f>Renewables_Heat_Frontend[[#This Row],[Methodology used]]</f>
        <v>0</v>
      </c>
      <c r="AJ204" s="220" t="e" cm="1">
        <f t="array" aca="1" ref="AJ204" ca="1">_xlfn.LET(_xlpm.LookupConcat,_xlfn.CONCAT(Renewables_Heat_Backend[[#This Row],[Level 1]:[Level 6]]), _xlfn.XLOOKUP(_xlpm.LookupConcat,rng_LevelsConcat,_xlfn.SWITCH(Renewables_Heat_Backend[[#This Row],[Methodology]],"Tier 1",rng_RSD1,"Tier 2",rng_RSD2,"Tier 3",rng_RSD3)))</f>
        <v>#N/A</v>
      </c>
      <c r="AK204" s="174">
        <f>Renewables_Heat_Frontend[[#This Row],[Age (years)]]</f>
        <v>0</v>
      </c>
      <c r="AL204" s="218" t="s">
        <v>1848</v>
      </c>
      <c r="AM204" s="174">
        <f>Renewables_Heat_Frontend[[#This Row],[Total MW capacity]]</f>
        <v>0</v>
      </c>
      <c r="AN204" s="220">
        <f>Renewables_Heat_Frontend[[#This Row],[Total kWh generated]]</f>
        <v>0</v>
      </c>
      <c r="AO204" s="412">
        <f>Renewables_Heat_Frontend[[#This Row],[kWh consumed by reporting organisation]]</f>
        <v>0</v>
      </c>
      <c r="AP204" s="412">
        <f>Renewables_Heat_Frontend[[#This Row],[kWh exported to grid]]</f>
        <v>0</v>
      </c>
      <c r="AQ204" s="412">
        <f>Renewables_Heat_Frontend[[#This Row],[kWh exported to other PSB]]</f>
        <v>0</v>
      </c>
      <c r="AR204" s="220">
        <f>Renewables_Heat_Frontend[[#This Row],[Name of other PSB]]</f>
        <v>0</v>
      </c>
      <c r="AS204" s="220">
        <f>Renewables_Heat_Frontend[[#This Row],[Ease of collection]]</f>
        <v>0</v>
      </c>
      <c r="AT204" s="174">
        <f>Renewables_Heat_Frontend[[#This Row],[Completeness]]</f>
        <v>0</v>
      </c>
      <c r="AU204" s="174">
        <f>Renewables_Heat_Frontend[[#This Row],[Notes]]</f>
        <v>0</v>
      </c>
    </row>
    <row r="205" spans="2:47" x14ac:dyDescent="0.35">
      <c r="B205" s="146"/>
      <c r="E205" s="270"/>
      <c r="F205" s="268"/>
      <c r="G205" s="268"/>
      <c r="H205" s="268"/>
      <c r="I205" s="268"/>
      <c r="J205" s="268"/>
      <c r="K205" s="269"/>
      <c r="L205" s="269"/>
      <c r="M205" s="280">
        <f>Renewables_Heat_Frontend[[#This Row],[kWh consumed by reporting organisation]]+Renewables_Heat_Frontend[[#This Row],[kWh exported to grid]]+Renewables_Heat_Frontend[[#This Row],[kWh exported to other PSB]]</f>
        <v>0</v>
      </c>
      <c r="N205" s="281"/>
      <c r="O205" s="281"/>
      <c r="P205" s="282"/>
      <c r="Q205" s="282"/>
      <c r="R205" s="284"/>
      <c r="S205" s="284"/>
      <c r="T205" s="285"/>
      <c r="U205" s="329"/>
      <c r="V205" s="242">
        <f t="shared" si="9"/>
        <v>10</v>
      </c>
      <c r="Z205" s="212" t="str">
        <f t="shared" si="8"/>
        <v/>
      </c>
      <c r="AA205" s="174"/>
      <c r="AB205" s="174"/>
      <c r="AC205" s="174">
        <f>Renewables_Heat_Frontend[[#This Row],[Renewable Type]]</f>
        <v>0</v>
      </c>
      <c r="AD205" s="174" t="e" cm="1">
        <f t="array" aca="1" ref="AD205" ca="1">_xlfn.XLOOKUP(Renewables_Heat_Backend[[#This Row],[Level 3]],rng_Level3Long,rng_Level4Long)</f>
        <v>#N/A</v>
      </c>
      <c r="AE205" s="174" t="e" cm="1">
        <f t="array" aca="1" ref="AE205" ca="1">_xlfn.XLOOKUP(Renewables_Heat_Backend[[#This Row],[Level 3]],rng_Level3Long,rng_Level5Long)</f>
        <v>#N/A</v>
      </c>
      <c r="AF205" s="174" t="e" cm="1">
        <f t="array" aca="1" ref="AF205" ca="1">_xlfn.XLOOKUP(Renewables_Heat_Backend[[#This Row],[Level 3]],rng_Level3Long,rng_Level6Long)</f>
        <v>#N/A</v>
      </c>
      <c r="AG205" s="174">
        <f>Renewables_Heat_Frontend[[#This Row],[Generating site name]]</f>
        <v>0</v>
      </c>
      <c r="AH205" s="174"/>
      <c r="AI205" s="174">
        <f>Renewables_Heat_Frontend[[#This Row],[Methodology used]]</f>
        <v>0</v>
      </c>
      <c r="AJ205" s="220" t="e" cm="1">
        <f t="array" aca="1" ref="AJ205" ca="1">_xlfn.LET(_xlpm.LookupConcat,_xlfn.CONCAT(Renewables_Heat_Backend[[#This Row],[Level 1]:[Level 6]]), _xlfn.XLOOKUP(_xlpm.LookupConcat,rng_LevelsConcat,_xlfn.SWITCH(Renewables_Heat_Backend[[#This Row],[Methodology]],"Tier 1",rng_RSD1,"Tier 2",rng_RSD2,"Tier 3",rng_RSD3)))</f>
        <v>#N/A</v>
      </c>
      <c r="AK205" s="174">
        <f>Renewables_Heat_Frontend[[#This Row],[Age (years)]]</f>
        <v>0</v>
      </c>
      <c r="AL205" s="218" t="s">
        <v>1848</v>
      </c>
      <c r="AM205" s="174">
        <f>Renewables_Heat_Frontend[[#This Row],[Total MW capacity]]</f>
        <v>0</v>
      </c>
      <c r="AN205" s="220">
        <f>Renewables_Heat_Frontend[[#This Row],[Total kWh generated]]</f>
        <v>0</v>
      </c>
      <c r="AO205" s="412">
        <f>Renewables_Heat_Frontend[[#This Row],[kWh consumed by reporting organisation]]</f>
        <v>0</v>
      </c>
      <c r="AP205" s="412">
        <f>Renewables_Heat_Frontend[[#This Row],[kWh exported to grid]]</f>
        <v>0</v>
      </c>
      <c r="AQ205" s="412">
        <f>Renewables_Heat_Frontend[[#This Row],[kWh exported to other PSB]]</f>
        <v>0</v>
      </c>
      <c r="AR205" s="220">
        <f>Renewables_Heat_Frontend[[#This Row],[Name of other PSB]]</f>
        <v>0</v>
      </c>
      <c r="AS205" s="220">
        <f>Renewables_Heat_Frontend[[#This Row],[Ease of collection]]</f>
        <v>0</v>
      </c>
      <c r="AT205" s="174">
        <f>Renewables_Heat_Frontend[[#This Row],[Completeness]]</f>
        <v>0</v>
      </c>
      <c r="AU205" s="174">
        <f>Renewables_Heat_Frontend[[#This Row],[Notes]]</f>
        <v>0</v>
      </c>
    </row>
    <row r="206" spans="2:47" x14ac:dyDescent="0.35">
      <c r="B206" s="146"/>
      <c r="E206" s="270"/>
      <c r="F206" s="268"/>
      <c r="G206" s="268"/>
      <c r="H206" s="268"/>
      <c r="I206" s="268"/>
      <c r="J206" s="268"/>
      <c r="K206" s="269"/>
      <c r="L206" s="269"/>
      <c r="M206" s="280">
        <f>Renewables_Heat_Frontend[[#This Row],[kWh consumed by reporting organisation]]+Renewables_Heat_Frontend[[#This Row],[kWh exported to grid]]+Renewables_Heat_Frontend[[#This Row],[kWh exported to other PSB]]</f>
        <v>0</v>
      </c>
      <c r="N206" s="281"/>
      <c r="O206" s="281"/>
      <c r="P206" s="282"/>
      <c r="Q206" s="282"/>
      <c r="R206" s="284"/>
      <c r="S206" s="284"/>
      <c r="T206" s="285"/>
      <c r="U206" s="329"/>
      <c r="V206" s="242">
        <f t="shared" si="9"/>
        <v>10</v>
      </c>
      <c r="Z206" s="212" t="str">
        <f t="shared" si="8"/>
        <v/>
      </c>
      <c r="AA206" s="174"/>
      <c r="AB206" s="174"/>
      <c r="AC206" s="174">
        <f>Renewables_Heat_Frontend[[#This Row],[Renewable Type]]</f>
        <v>0</v>
      </c>
      <c r="AD206" s="174" t="e" cm="1">
        <f t="array" aca="1" ref="AD206" ca="1">_xlfn.XLOOKUP(Renewables_Heat_Backend[[#This Row],[Level 3]],rng_Level3Long,rng_Level4Long)</f>
        <v>#N/A</v>
      </c>
      <c r="AE206" s="174" t="e" cm="1">
        <f t="array" aca="1" ref="AE206" ca="1">_xlfn.XLOOKUP(Renewables_Heat_Backend[[#This Row],[Level 3]],rng_Level3Long,rng_Level5Long)</f>
        <v>#N/A</v>
      </c>
      <c r="AF206" s="174" t="e" cm="1">
        <f t="array" aca="1" ref="AF206" ca="1">_xlfn.XLOOKUP(Renewables_Heat_Backend[[#This Row],[Level 3]],rng_Level3Long,rng_Level6Long)</f>
        <v>#N/A</v>
      </c>
      <c r="AG206" s="174">
        <f>Renewables_Heat_Frontend[[#This Row],[Generating site name]]</f>
        <v>0</v>
      </c>
      <c r="AH206" s="174"/>
      <c r="AI206" s="174">
        <f>Renewables_Heat_Frontend[[#This Row],[Methodology used]]</f>
        <v>0</v>
      </c>
      <c r="AJ206" s="220" t="e" cm="1">
        <f t="array" aca="1" ref="AJ206" ca="1">_xlfn.LET(_xlpm.LookupConcat,_xlfn.CONCAT(Renewables_Heat_Backend[[#This Row],[Level 1]:[Level 6]]), _xlfn.XLOOKUP(_xlpm.LookupConcat,rng_LevelsConcat,_xlfn.SWITCH(Renewables_Heat_Backend[[#This Row],[Methodology]],"Tier 1",rng_RSD1,"Tier 2",rng_RSD2,"Tier 3",rng_RSD3)))</f>
        <v>#N/A</v>
      </c>
      <c r="AK206" s="174">
        <f>Renewables_Heat_Frontend[[#This Row],[Age (years)]]</f>
        <v>0</v>
      </c>
      <c r="AL206" s="218" t="s">
        <v>1848</v>
      </c>
      <c r="AM206" s="174">
        <f>Renewables_Heat_Frontend[[#This Row],[Total MW capacity]]</f>
        <v>0</v>
      </c>
      <c r="AN206" s="220">
        <f>Renewables_Heat_Frontend[[#This Row],[Total kWh generated]]</f>
        <v>0</v>
      </c>
      <c r="AO206" s="412">
        <f>Renewables_Heat_Frontend[[#This Row],[kWh consumed by reporting organisation]]</f>
        <v>0</v>
      </c>
      <c r="AP206" s="412">
        <f>Renewables_Heat_Frontend[[#This Row],[kWh exported to grid]]</f>
        <v>0</v>
      </c>
      <c r="AQ206" s="412">
        <f>Renewables_Heat_Frontend[[#This Row],[kWh exported to other PSB]]</f>
        <v>0</v>
      </c>
      <c r="AR206" s="220">
        <f>Renewables_Heat_Frontend[[#This Row],[Name of other PSB]]</f>
        <v>0</v>
      </c>
      <c r="AS206" s="220">
        <f>Renewables_Heat_Frontend[[#This Row],[Ease of collection]]</f>
        <v>0</v>
      </c>
      <c r="AT206" s="174">
        <f>Renewables_Heat_Frontend[[#This Row],[Completeness]]</f>
        <v>0</v>
      </c>
      <c r="AU206" s="174">
        <f>Renewables_Heat_Frontend[[#This Row],[Notes]]</f>
        <v>0</v>
      </c>
    </row>
    <row r="207" spans="2:47" x14ac:dyDescent="0.35">
      <c r="B207" s="146"/>
      <c r="E207" s="270"/>
      <c r="F207" s="268"/>
      <c r="G207" s="268"/>
      <c r="H207" s="268"/>
      <c r="I207" s="268"/>
      <c r="J207" s="268"/>
      <c r="K207" s="269"/>
      <c r="L207" s="269"/>
      <c r="M207" s="280">
        <f>Renewables_Heat_Frontend[[#This Row],[kWh consumed by reporting organisation]]+Renewables_Heat_Frontend[[#This Row],[kWh exported to grid]]+Renewables_Heat_Frontend[[#This Row],[kWh exported to other PSB]]</f>
        <v>0</v>
      </c>
      <c r="N207" s="281"/>
      <c r="O207" s="281"/>
      <c r="P207" s="282"/>
      <c r="Q207" s="282"/>
      <c r="R207" s="284"/>
      <c r="S207" s="284"/>
      <c r="T207" s="285"/>
      <c r="U207" s="329"/>
      <c r="V207" s="242">
        <f t="shared" si="9"/>
        <v>10</v>
      </c>
      <c r="Z207" s="212" t="str">
        <f t="shared" si="8"/>
        <v/>
      </c>
      <c r="AA207" s="174"/>
      <c r="AB207" s="174"/>
      <c r="AC207" s="174">
        <f>Renewables_Heat_Frontend[[#This Row],[Renewable Type]]</f>
        <v>0</v>
      </c>
      <c r="AD207" s="174" t="e" cm="1">
        <f t="array" aca="1" ref="AD207" ca="1">_xlfn.XLOOKUP(Renewables_Heat_Backend[[#This Row],[Level 3]],rng_Level3Long,rng_Level4Long)</f>
        <v>#N/A</v>
      </c>
      <c r="AE207" s="174" t="e" cm="1">
        <f t="array" aca="1" ref="AE207" ca="1">_xlfn.XLOOKUP(Renewables_Heat_Backend[[#This Row],[Level 3]],rng_Level3Long,rng_Level5Long)</f>
        <v>#N/A</v>
      </c>
      <c r="AF207" s="174" t="e" cm="1">
        <f t="array" aca="1" ref="AF207" ca="1">_xlfn.XLOOKUP(Renewables_Heat_Backend[[#This Row],[Level 3]],rng_Level3Long,rng_Level6Long)</f>
        <v>#N/A</v>
      </c>
      <c r="AG207" s="174">
        <f>Renewables_Heat_Frontend[[#This Row],[Generating site name]]</f>
        <v>0</v>
      </c>
      <c r="AH207" s="174"/>
      <c r="AI207" s="174">
        <f>Renewables_Heat_Frontend[[#This Row],[Methodology used]]</f>
        <v>0</v>
      </c>
      <c r="AJ207" s="220" t="e" cm="1">
        <f t="array" aca="1" ref="AJ207" ca="1">_xlfn.LET(_xlpm.LookupConcat,_xlfn.CONCAT(Renewables_Heat_Backend[[#This Row],[Level 1]:[Level 6]]), _xlfn.XLOOKUP(_xlpm.LookupConcat,rng_LevelsConcat,_xlfn.SWITCH(Renewables_Heat_Backend[[#This Row],[Methodology]],"Tier 1",rng_RSD1,"Tier 2",rng_RSD2,"Tier 3",rng_RSD3)))</f>
        <v>#N/A</v>
      </c>
      <c r="AK207" s="174">
        <f>Renewables_Heat_Frontend[[#This Row],[Age (years)]]</f>
        <v>0</v>
      </c>
      <c r="AL207" s="218" t="s">
        <v>1848</v>
      </c>
      <c r="AM207" s="174">
        <f>Renewables_Heat_Frontend[[#This Row],[Total MW capacity]]</f>
        <v>0</v>
      </c>
      <c r="AN207" s="220">
        <f>Renewables_Heat_Frontend[[#This Row],[Total kWh generated]]</f>
        <v>0</v>
      </c>
      <c r="AO207" s="412">
        <f>Renewables_Heat_Frontend[[#This Row],[kWh consumed by reporting organisation]]</f>
        <v>0</v>
      </c>
      <c r="AP207" s="412">
        <f>Renewables_Heat_Frontend[[#This Row],[kWh exported to grid]]</f>
        <v>0</v>
      </c>
      <c r="AQ207" s="412">
        <f>Renewables_Heat_Frontend[[#This Row],[kWh exported to other PSB]]</f>
        <v>0</v>
      </c>
      <c r="AR207" s="220">
        <f>Renewables_Heat_Frontend[[#This Row],[Name of other PSB]]</f>
        <v>0</v>
      </c>
      <c r="AS207" s="220">
        <f>Renewables_Heat_Frontend[[#This Row],[Ease of collection]]</f>
        <v>0</v>
      </c>
      <c r="AT207" s="174">
        <f>Renewables_Heat_Frontend[[#This Row],[Completeness]]</f>
        <v>0</v>
      </c>
      <c r="AU207" s="174">
        <f>Renewables_Heat_Frontend[[#This Row],[Notes]]</f>
        <v>0</v>
      </c>
    </row>
    <row r="208" spans="2:47" x14ac:dyDescent="0.35">
      <c r="B208" s="146"/>
      <c r="E208" s="270"/>
      <c r="F208" s="268"/>
      <c r="G208" s="268"/>
      <c r="H208" s="268"/>
      <c r="I208" s="268"/>
      <c r="J208" s="268"/>
      <c r="K208" s="269"/>
      <c r="L208" s="269"/>
      <c r="M208" s="280">
        <f>Renewables_Heat_Frontend[[#This Row],[kWh consumed by reporting organisation]]+Renewables_Heat_Frontend[[#This Row],[kWh exported to grid]]+Renewables_Heat_Frontend[[#This Row],[kWh exported to other PSB]]</f>
        <v>0</v>
      </c>
      <c r="N208" s="281"/>
      <c r="O208" s="281"/>
      <c r="P208" s="282"/>
      <c r="Q208" s="282"/>
      <c r="R208" s="284"/>
      <c r="S208" s="284"/>
      <c r="T208" s="285"/>
      <c r="U208" s="329"/>
      <c r="V208" s="242">
        <f t="shared" si="9"/>
        <v>10</v>
      </c>
      <c r="Z208" s="212" t="str">
        <f t="shared" si="8"/>
        <v/>
      </c>
      <c r="AA208" s="174"/>
      <c r="AB208" s="174"/>
      <c r="AC208" s="174">
        <f>Renewables_Heat_Frontend[[#This Row],[Renewable Type]]</f>
        <v>0</v>
      </c>
      <c r="AD208" s="174" t="e" cm="1">
        <f t="array" aca="1" ref="AD208" ca="1">_xlfn.XLOOKUP(Renewables_Heat_Backend[[#This Row],[Level 3]],rng_Level3Long,rng_Level4Long)</f>
        <v>#N/A</v>
      </c>
      <c r="AE208" s="174" t="e" cm="1">
        <f t="array" aca="1" ref="AE208" ca="1">_xlfn.XLOOKUP(Renewables_Heat_Backend[[#This Row],[Level 3]],rng_Level3Long,rng_Level5Long)</f>
        <v>#N/A</v>
      </c>
      <c r="AF208" s="174" t="e" cm="1">
        <f t="array" aca="1" ref="AF208" ca="1">_xlfn.XLOOKUP(Renewables_Heat_Backend[[#This Row],[Level 3]],rng_Level3Long,rng_Level6Long)</f>
        <v>#N/A</v>
      </c>
      <c r="AG208" s="174">
        <f>Renewables_Heat_Frontend[[#This Row],[Generating site name]]</f>
        <v>0</v>
      </c>
      <c r="AH208" s="174"/>
      <c r="AI208" s="174">
        <f>Renewables_Heat_Frontend[[#This Row],[Methodology used]]</f>
        <v>0</v>
      </c>
      <c r="AJ208" s="220" t="e" cm="1">
        <f t="array" aca="1" ref="AJ208" ca="1">_xlfn.LET(_xlpm.LookupConcat,_xlfn.CONCAT(Renewables_Heat_Backend[[#This Row],[Level 1]:[Level 6]]), _xlfn.XLOOKUP(_xlpm.LookupConcat,rng_LevelsConcat,_xlfn.SWITCH(Renewables_Heat_Backend[[#This Row],[Methodology]],"Tier 1",rng_RSD1,"Tier 2",rng_RSD2,"Tier 3",rng_RSD3)))</f>
        <v>#N/A</v>
      </c>
      <c r="AK208" s="174">
        <f>Renewables_Heat_Frontend[[#This Row],[Age (years)]]</f>
        <v>0</v>
      </c>
      <c r="AL208" s="218" t="s">
        <v>1848</v>
      </c>
      <c r="AM208" s="174">
        <f>Renewables_Heat_Frontend[[#This Row],[Total MW capacity]]</f>
        <v>0</v>
      </c>
      <c r="AN208" s="220">
        <f>Renewables_Heat_Frontend[[#This Row],[Total kWh generated]]</f>
        <v>0</v>
      </c>
      <c r="AO208" s="412">
        <f>Renewables_Heat_Frontend[[#This Row],[kWh consumed by reporting organisation]]</f>
        <v>0</v>
      </c>
      <c r="AP208" s="412">
        <f>Renewables_Heat_Frontend[[#This Row],[kWh exported to grid]]</f>
        <v>0</v>
      </c>
      <c r="AQ208" s="412">
        <f>Renewables_Heat_Frontend[[#This Row],[kWh exported to other PSB]]</f>
        <v>0</v>
      </c>
      <c r="AR208" s="220">
        <f>Renewables_Heat_Frontend[[#This Row],[Name of other PSB]]</f>
        <v>0</v>
      </c>
      <c r="AS208" s="220">
        <f>Renewables_Heat_Frontend[[#This Row],[Ease of collection]]</f>
        <v>0</v>
      </c>
      <c r="AT208" s="174">
        <f>Renewables_Heat_Frontend[[#This Row],[Completeness]]</f>
        <v>0</v>
      </c>
      <c r="AU208" s="174">
        <f>Renewables_Heat_Frontend[[#This Row],[Notes]]</f>
        <v>0</v>
      </c>
    </row>
    <row r="209" spans="2:47" x14ac:dyDescent="0.35">
      <c r="B209" s="146"/>
      <c r="E209" s="270"/>
      <c r="F209" s="268"/>
      <c r="G209" s="268"/>
      <c r="H209" s="268"/>
      <c r="I209" s="268"/>
      <c r="J209" s="268"/>
      <c r="K209" s="269"/>
      <c r="L209" s="269"/>
      <c r="M209" s="280">
        <f>Renewables_Heat_Frontend[[#This Row],[kWh consumed by reporting organisation]]+Renewables_Heat_Frontend[[#This Row],[kWh exported to grid]]+Renewables_Heat_Frontend[[#This Row],[kWh exported to other PSB]]</f>
        <v>0</v>
      </c>
      <c r="N209" s="281"/>
      <c r="O209" s="281"/>
      <c r="P209" s="282"/>
      <c r="Q209" s="282"/>
      <c r="R209" s="284"/>
      <c r="S209" s="284"/>
      <c r="T209" s="285"/>
      <c r="U209" s="329"/>
      <c r="V209" s="242">
        <f t="shared" si="9"/>
        <v>10</v>
      </c>
      <c r="Z209" s="212" t="str">
        <f t="shared" si="8"/>
        <v/>
      </c>
      <c r="AA209" s="174"/>
      <c r="AB209" s="174"/>
      <c r="AC209" s="174">
        <f>Renewables_Heat_Frontend[[#This Row],[Renewable Type]]</f>
        <v>0</v>
      </c>
      <c r="AD209" s="174" t="e" cm="1">
        <f t="array" aca="1" ref="AD209" ca="1">_xlfn.XLOOKUP(Renewables_Heat_Backend[[#This Row],[Level 3]],rng_Level3Long,rng_Level4Long)</f>
        <v>#N/A</v>
      </c>
      <c r="AE209" s="174" t="e" cm="1">
        <f t="array" aca="1" ref="AE209" ca="1">_xlfn.XLOOKUP(Renewables_Heat_Backend[[#This Row],[Level 3]],rng_Level3Long,rng_Level5Long)</f>
        <v>#N/A</v>
      </c>
      <c r="AF209" s="174" t="e" cm="1">
        <f t="array" aca="1" ref="AF209" ca="1">_xlfn.XLOOKUP(Renewables_Heat_Backend[[#This Row],[Level 3]],rng_Level3Long,rng_Level6Long)</f>
        <v>#N/A</v>
      </c>
      <c r="AG209" s="174">
        <f>Renewables_Heat_Frontend[[#This Row],[Generating site name]]</f>
        <v>0</v>
      </c>
      <c r="AH209" s="174"/>
      <c r="AI209" s="174">
        <f>Renewables_Heat_Frontend[[#This Row],[Methodology used]]</f>
        <v>0</v>
      </c>
      <c r="AJ209" s="220" t="e" cm="1">
        <f t="array" aca="1" ref="AJ209" ca="1">_xlfn.LET(_xlpm.LookupConcat,_xlfn.CONCAT(Renewables_Heat_Backend[[#This Row],[Level 1]:[Level 6]]), _xlfn.XLOOKUP(_xlpm.LookupConcat,rng_LevelsConcat,_xlfn.SWITCH(Renewables_Heat_Backend[[#This Row],[Methodology]],"Tier 1",rng_RSD1,"Tier 2",rng_RSD2,"Tier 3",rng_RSD3)))</f>
        <v>#N/A</v>
      </c>
      <c r="AK209" s="174">
        <f>Renewables_Heat_Frontend[[#This Row],[Age (years)]]</f>
        <v>0</v>
      </c>
      <c r="AL209" s="218" t="s">
        <v>1848</v>
      </c>
      <c r="AM209" s="174">
        <f>Renewables_Heat_Frontend[[#This Row],[Total MW capacity]]</f>
        <v>0</v>
      </c>
      <c r="AN209" s="220">
        <f>Renewables_Heat_Frontend[[#This Row],[Total kWh generated]]</f>
        <v>0</v>
      </c>
      <c r="AO209" s="412">
        <f>Renewables_Heat_Frontend[[#This Row],[kWh consumed by reporting organisation]]</f>
        <v>0</v>
      </c>
      <c r="AP209" s="412">
        <f>Renewables_Heat_Frontend[[#This Row],[kWh exported to grid]]</f>
        <v>0</v>
      </c>
      <c r="AQ209" s="412">
        <f>Renewables_Heat_Frontend[[#This Row],[kWh exported to other PSB]]</f>
        <v>0</v>
      </c>
      <c r="AR209" s="220">
        <f>Renewables_Heat_Frontend[[#This Row],[Name of other PSB]]</f>
        <v>0</v>
      </c>
      <c r="AS209" s="220">
        <f>Renewables_Heat_Frontend[[#This Row],[Ease of collection]]</f>
        <v>0</v>
      </c>
      <c r="AT209" s="174">
        <f>Renewables_Heat_Frontend[[#This Row],[Completeness]]</f>
        <v>0</v>
      </c>
      <c r="AU209" s="174">
        <f>Renewables_Heat_Frontend[[#This Row],[Notes]]</f>
        <v>0</v>
      </c>
    </row>
    <row r="210" spans="2:47" x14ac:dyDescent="0.35">
      <c r="B210" s="146"/>
      <c r="E210" s="270"/>
      <c r="F210" s="268"/>
      <c r="G210" s="268"/>
      <c r="H210" s="268"/>
      <c r="I210" s="268"/>
      <c r="J210" s="268"/>
      <c r="K210" s="269"/>
      <c r="L210" s="269"/>
      <c r="M210" s="280">
        <f>Renewables_Heat_Frontend[[#This Row],[kWh consumed by reporting organisation]]+Renewables_Heat_Frontend[[#This Row],[kWh exported to grid]]+Renewables_Heat_Frontend[[#This Row],[kWh exported to other PSB]]</f>
        <v>0</v>
      </c>
      <c r="N210" s="281"/>
      <c r="O210" s="281"/>
      <c r="P210" s="282"/>
      <c r="Q210" s="282"/>
      <c r="R210" s="284"/>
      <c r="S210" s="284"/>
      <c r="T210" s="285"/>
      <c r="U210" s="329"/>
      <c r="V210" s="242">
        <f t="shared" si="9"/>
        <v>10</v>
      </c>
      <c r="Z210" s="212" t="str">
        <f t="shared" si="8"/>
        <v/>
      </c>
      <c r="AA210" s="174"/>
      <c r="AB210" s="174"/>
      <c r="AC210" s="174">
        <f>Renewables_Heat_Frontend[[#This Row],[Renewable Type]]</f>
        <v>0</v>
      </c>
      <c r="AD210" s="174" t="e" cm="1">
        <f t="array" aca="1" ref="AD210" ca="1">_xlfn.XLOOKUP(Renewables_Heat_Backend[[#This Row],[Level 3]],rng_Level3Long,rng_Level4Long)</f>
        <v>#N/A</v>
      </c>
      <c r="AE210" s="174" t="e" cm="1">
        <f t="array" aca="1" ref="AE210" ca="1">_xlfn.XLOOKUP(Renewables_Heat_Backend[[#This Row],[Level 3]],rng_Level3Long,rng_Level5Long)</f>
        <v>#N/A</v>
      </c>
      <c r="AF210" s="174" t="e" cm="1">
        <f t="array" aca="1" ref="AF210" ca="1">_xlfn.XLOOKUP(Renewables_Heat_Backend[[#This Row],[Level 3]],rng_Level3Long,rng_Level6Long)</f>
        <v>#N/A</v>
      </c>
      <c r="AG210" s="174">
        <f>Renewables_Heat_Frontend[[#This Row],[Generating site name]]</f>
        <v>0</v>
      </c>
      <c r="AH210" s="174"/>
      <c r="AI210" s="174">
        <f>Renewables_Heat_Frontend[[#This Row],[Methodology used]]</f>
        <v>0</v>
      </c>
      <c r="AJ210" s="220" t="e" cm="1">
        <f t="array" aca="1" ref="AJ210" ca="1">_xlfn.LET(_xlpm.LookupConcat,_xlfn.CONCAT(Renewables_Heat_Backend[[#This Row],[Level 1]:[Level 6]]), _xlfn.XLOOKUP(_xlpm.LookupConcat,rng_LevelsConcat,_xlfn.SWITCH(Renewables_Heat_Backend[[#This Row],[Methodology]],"Tier 1",rng_RSD1,"Tier 2",rng_RSD2,"Tier 3",rng_RSD3)))</f>
        <v>#N/A</v>
      </c>
      <c r="AK210" s="174">
        <f>Renewables_Heat_Frontend[[#This Row],[Age (years)]]</f>
        <v>0</v>
      </c>
      <c r="AL210" s="218" t="s">
        <v>1848</v>
      </c>
      <c r="AM210" s="174">
        <f>Renewables_Heat_Frontend[[#This Row],[Total MW capacity]]</f>
        <v>0</v>
      </c>
      <c r="AN210" s="220">
        <f>Renewables_Heat_Frontend[[#This Row],[Total kWh generated]]</f>
        <v>0</v>
      </c>
      <c r="AO210" s="412">
        <f>Renewables_Heat_Frontend[[#This Row],[kWh consumed by reporting organisation]]</f>
        <v>0</v>
      </c>
      <c r="AP210" s="412">
        <f>Renewables_Heat_Frontend[[#This Row],[kWh exported to grid]]</f>
        <v>0</v>
      </c>
      <c r="AQ210" s="412">
        <f>Renewables_Heat_Frontend[[#This Row],[kWh exported to other PSB]]</f>
        <v>0</v>
      </c>
      <c r="AR210" s="220">
        <f>Renewables_Heat_Frontend[[#This Row],[Name of other PSB]]</f>
        <v>0</v>
      </c>
      <c r="AS210" s="220">
        <f>Renewables_Heat_Frontend[[#This Row],[Ease of collection]]</f>
        <v>0</v>
      </c>
      <c r="AT210" s="174">
        <f>Renewables_Heat_Frontend[[#This Row],[Completeness]]</f>
        <v>0</v>
      </c>
      <c r="AU210" s="174">
        <f>Renewables_Heat_Frontend[[#This Row],[Notes]]</f>
        <v>0</v>
      </c>
    </row>
    <row r="211" spans="2:47" x14ac:dyDescent="0.35">
      <c r="B211" s="146"/>
      <c r="E211" s="270"/>
      <c r="F211" s="268"/>
      <c r="G211" s="268"/>
      <c r="H211" s="268"/>
      <c r="I211" s="268"/>
      <c r="J211" s="268"/>
      <c r="K211" s="269"/>
      <c r="L211" s="269"/>
      <c r="M211" s="280">
        <f>Renewables_Heat_Frontend[[#This Row],[kWh consumed by reporting organisation]]+Renewables_Heat_Frontend[[#This Row],[kWh exported to grid]]+Renewables_Heat_Frontend[[#This Row],[kWh exported to other PSB]]</f>
        <v>0</v>
      </c>
      <c r="N211" s="281"/>
      <c r="O211" s="281"/>
      <c r="P211" s="282"/>
      <c r="Q211" s="282"/>
      <c r="R211" s="284"/>
      <c r="S211" s="284"/>
      <c r="T211" s="285"/>
      <c r="U211" s="329"/>
      <c r="V211" s="242">
        <f t="shared" si="9"/>
        <v>10</v>
      </c>
      <c r="Z211" s="212" t="str">
        <f t="shared" si="8"/>
        <v/>
      </c>
      <c r="AA211" s="174"/>
      <c r="AB211" s="174"/>
      <c r="AC211" s="174">
        <f>Renewables_Heat_Frontend[[#This Row],[Renewable Type]]</f>
        <v>0</v>
      </c>
      <c r="AD211" s="174" t="e" cm="1">
        <f t="array" aca="1" ref="AD211" ca="1">_xlfn.XLOOKUP(Renewables_Heat_Backend[[#This Row],[Level 3]],rng_Level3Long,rng_Level4Long)</f>
        <v>#N/A</v>
      </c>
      <c r="AE211" s="174" t="e" cm="1">
        <f t="array" aca="1" ref="AE211" ca="1">_xlfn.XLOOKUP(Renewables_Heat_Backend[[#This Row],[Level 3]],rng_Level3Long,rng_Level5Long)</f>
        <v>#N/A</v>
      </c>
      <c r="AF211" s="174" t="e" cm="1">
        <f t="array" aca="1" ref="AF211" ca="1">_xlfn.XLOOKUP(Renewables_Heat_Backend[[#This Row],[Level 3]],rng_Level3Long,rng_Level6Long)</f>
        <v>#N/A</v>
      </c>
      <c r="AG211" s="174">
        <f>Renewables_Heat_Frontend[[#This Row],[Generating site name]]</f>
        <v>0</v>
      </c>
      <c r="AH211" s="174"/>
      <c r="AI211" s="174">
        <f>Renewables_Heat_Frontend[[#This Row],[Methodology used]]</f>
        <v>0</v>
      </c>
      <c r="AJ211" s="220" t="e" cm="1">
        <f t="array" aca="1" ref="AJ211" ca="1">_xlfn.LET(_xlpm.LookupConcat,_xlfn.CONCAT(Renewables_Heat_Backend[[#This Row],[Level 1]:[Level 6]]), _xlfn.XLOOKUP(_xlpm.LookupConcat,rng_LevelsConcat,_xlfn.SWITCH(Renewables_Heat_Backend[[#This Row],[Methodology]],"Tier 1",rng_RSD1,"Tier 2",rng_RSD2,"Tier 3",rng_RSD3)))</f>
        <v>#N/A</v>
      </c>
      <c r="AK211" s="174">
        <f>Renewables_Heat_Frontend[[#This Row],[Age (years)]]</f>
        <v>0</v>
      </c>
      <c r="AL211" s="218" t="s">
        <v>1848</v>
      </c>
      <c r="AM211" s="174">
        <f>Renewables_Heat_Frontend[[#This Row],[Total MW capacity]]</f>
        <v>0</v>
      </c>
      <c r="AN211" s="220">
        <f>Renewables_Heat_Frontend[[#This Row],[Total kWh generated]]</f>
        <v>0</v>
      </c>
      <c r="AO211" s="412">
        <f>Renewables_Heat_Frontend[[#This Row],[kWh consumed by reporting organisation]]</f>
        <v>0</v>
      </c>
      <c r="AP211" s="412">
        <f>Renewables_Heat_Frontend[[#This Row],[kWh exported to grid]]</f>
        <v>0</v>
      </c>
      <c r="AQ211" s="412">
        <f>Renewables_Heat_Frontend[[#This Row],[kWh exported to other PSB]]</f>
        <v>0</v>
      </c>
      <c r="AR211" s="220">
        <f>Renewables_Heat_Frontend[[#This Row],[Name of other PSB]]</f>
        <v>0</v>
      </c>
      <c r="AS211" s="220">
        <f>Renewables_Heat_Frontend[[#This Row],[Ease of collection]]</f>
        <v>0</v>
      </c>
      <c r="AT211" s="174">
        <f>Renewables_Heat_Frontend[[#This Row],[Completeness]]</f>
        <v>0</v>
      </c>
      <c r="AU211" s="174">
        <f>Renewables_Heat_Frontend[[#This Row],[Notes]]</f>
        <v>0</v>
      </c>
    </row>
    <row r="212" spans="2:47" x14ac:dyDescent="0.35">
      <c r="B212" s="146"/>
      <c r="E212" s="270"/>
      <c r="F212" s="268"/>
      <c r="G212" s="268"/>
      <c r="H212" s="268"/>
      <c r="I212" s="268"/>
      <c r="J212" s="268"/>
      <c r="K212" s="269"/>
      <c r="L212" s="269"/>
      <c r="M212" s="280">
        <f>Renewables_Heat_Frontend[[#This Row],[kWh consumed by reporting organisation]]+Renewables_Heat_Frontend[[#This Row],[kWh exported to grid]]+Renewables_Heat_Frontend[[#This Row],[kWh exported to other PSB]]</f>
        <v>0</v>
      </c>
      <c r="N212" s="281"/>
      <c r="O212" s="281"/>
      <c r="P212" s="282"/>
      <c r="Q212" s="282"/>
      <c r="R212" s="284"/>
      <c r="S212" s="284"/>
      <c r="T212" s="285"/>
      <c r="U212" s="329"/>
      <c r="V212" s="242">
        <f t="shared" si="9"/>
        <v>10</v>
      </c>
      <c r="Z212" s="212" t="str">
        <f t="shared" si="8"/>
        <v/>
      </c>
      <c r="AA212" s="174"/>
      <c r="AB212" s="174"/>
      <c r="AC212" s="174">
        <f>Renewables_Heat_Frontend[[#This Row],[Renewable Type]]</f>
        <v>0</v>
      </c>
      <c r="AD212" s="174" t="e" cm="1">
        <f t="array" aca="1" ref="AD212" ca="1">_xlfn.XLOOKUP(Renewables_Heat_Backend[[#This Row],[Level 3]],rng_Level3Long,rng_Level4Long)</f>
        <v>#N/A</v>
      </c>
      <c r="AE212" s="174" t="e" cm="1">
        <f t="array" aca="1" ref="AE212" ca="1">_xlfn.XLOOKUP(Renewables_Heat_Backend[[#This Row],[Level 3]],rng_Level3Long,rng_Level5Long)</f>
        <v>#N/A</v>
      </c>
      <c r="AF212" s="174" t="e" cm="1">
        <f t="array" aca="1" ref="AF212" ca="1">_xlfn.XLOOKUP(Renewables_Heat_Backend[[#This Row],[Level 3]],rng_Level3Long,rng_Level6Long)</f>
        <v>#N/A</v>
      </c>
      <c r="AG212" s="174">
        <f>Renewables_Heat_Frontend[[#This Row],[Generating site name]]</f>
        <v>0</v>
      </c>
      <c r="AH212" s="174"/>
      <c r="AI212" s="174">
        <f>Renewables_Heat_Frontend[[#This Row],[Methodology used]]</f>
        <v>0</v>
      </c>
      <c r="AJ212" s="220" t="e" cm="1">
        <f t="array" aca="1" ref="AJ212" ca="1">_xlfn.LET(_xlpm.LookupConcat,_xlfn.CONCAT(Renewables_Heat_Backend[[#This Row],[Level 1]:[Level 6]]), _xlfn.XLOOKUP(_xlpm.LookupConcat,rng_LevelsConcat,_xlfn.SWITCH(Renewables_Heat_Backend[[#This Row],[Methodology]],"Tier 1",rng_RSD1,"Tier 2",rng_RSD2,"Tier 3",rng_RSD3)))</f>
        <v>#N/A</v>
      </c>
      <c r="AK212" s="174">
        <f>Renewables_Heat_Frontend[[#This Row],[Age (years)]]</f>
        <v>0</v>
      </c>
      <c r="AL212" s="218" t="s">
        <v>1848</v>
      </c>
      <c r="AM212" s="174">
        <f>Renewables_Heat_Frontend[[#This Row],[Total MW capacity]]</f>
        <v>0</v>
      </c>
      <c r="AN212" s="220">
        <f>Renewables_Heat_Frontend[[#This Row],[Total kWh generated]]</f>
        <v>0</v>
      </c>
      <c r="AO212" s="412">
        <f>Renewables_Heat_Frontend[[#This Row],[kWh consumed by reporting organisation]]</f>
        <v>0</v>
      </c>
      <c r="AP212" s="412">
        <f>Renewables_Heat_Frontend[[#This Row],[kWh exported to grid]]</f>
        <v>0</v>
      </c>
      <c r="AQ212" s="412">
        <f>Renewables_Heat_Frontend[[#This Row],[kWh exported to other PSB]]</f>
        <v>0</v>
      </c>
      <c r="AR212" s="220">
        <f>Renewables_Heat_Frontend[[#This Row],[Name of other PSB]]</f>
        <v>0</v>
      </c>
      <c r="AS212" s="220">
        <f>Renewables_Heat_Frontend[[#This Row],[Ease of collection]]</f>
        <v>0</v>
      </c>
      <c r="AT212" s="174">
        <f>Renewables_Heat_Frontend[[#This Row],[Completeness]]</f>
        <v>0</v>
      </c>
      <c r="AU212" s="174">
        <f>Renewables_Heat_Frontend[[#This Row],[Notes]]</f>
        <v>0</v>
      </c>
    </row>
    <row r="213" spans="2:47" x14ac:dyDescent="0.35">
      <c r="B213" s="146"/>
      <c r="E213" s="270"/>
      <c r="F213" s="268"/>
      <c r="G213" s="268"/>
      <c r="H213" s="268"/>
      <c r="I213" s="268"/>
      <c r="J213" s="268"/>
      <c r="K213" s="269"/>
      <c r="L213" s="269"/>
      <c r="M213" s="280">
        <f>Renewables_Heat_Frontend[[#This Row],[kWh consumed by reporting organisation]]+Renewables_Heat_Frontend[[#This Row],[kWh exported to grid]]+Renewables_Heat_Frontend[[#This Row],[kWh exported to other PSB]]</f>
        <v>0</v>
      </c>
      <c r="N213" s="281"/>
      <c r="O213" s="281"/>
      <c r="P213" s="282"/>
      <c r="Q213" s="282"/>
      <c r="R213" s="284"/>
      <c r="S213" s="284"/>
      <c r="T213" s="285"/>
      <c r="U213" s="329"/>
      <c r="V213" s="242">
        <f t="shared" si="9"/>
        <v>10</v>
      </c>
      <c r="Z213" s="212" t="str">
        <f t="shared" si="8"/>
        <v/>
      </c>
      <c r="AA213" s="174"/>
      <c r="AB213" s="174"/>
      <c r="AC213" s="174">
        <f>Renewables_Heat_Frontend[[#This Row],[Renewable Type]]</f>
        <v>0</v>
      </c>
      <c r="AD213" s="174" t="e" cm="1">
        <f t="array" aca="1" ref="AD213" ca="1">_xlfn.XLOOKUP(Renewables_Heat_Backend[[#This Row],[Level 3]],rng_Level3Long,rng_Level4Long)</f>
        <v>#N/A</v>
      </c>
      <c r="AE213" s="174" t="e" cm="1">
        <f t="array" aca="1" ref="AE213" ca="1">_xlfn.XLOOKUP(Renewables_Heat_Backend[[#This Row],[Level 3]],rng_Level3Long,rng_Level5Long)</f>
        <v>#N/A</v>
      </c>
      <c r="AF213" s="174" t="e" cm="1">
        <f t="array" aca="1" ref="AF213" ca="1">_xlfn.XLOOKUP(Renewables_Heat_Backend[[#This Row],[Level 3]],rng_Level3Long,rng_Level6Long)</f>
        <v>#N/A</v>
      </c>
      <c r="AG213" s="174">
        <f>Renewables_Heat_Frontend[[#This Row],[Generating site name]]</f>
        <v>0</v>
      </c>
      <c r="AH213" s="174"/>
      <c r="AI213" s="174">
        <f>Renewables_Heat_Frontend[[#This Row],[Methodology used]]</f>
        <v>0</v>
      </c>
      <c r="AJ213" s="220" t="e" cm="1">
        <f t="array" aca="1" ref="AJ213" ca="1">_xlfn.LET(_xlpm.LookupConcat,_xlfn.CONCAT(Renewables_Heat_Backend[[#This Row],[Level 1]:[Level 6]]), _xlfn.XLOOKUP(_xlpm.LookupConcat,rng_LevelsConcat,_xlfn.SWITCH(Renewables_Heat_Backend[[#This Row],[Methodology]],"Tier 1",rng_RSD1,"Tier 2",rng_RSD2,"Tier 3",rng_RSD3)))</f>
        <v>#N/A</v>
      </c>
      <c r="AK213" s="174">
        <f>Renewables_Heat_Frontend[[#This Row],[Age (years)]]</f>
        <v>0</v>
      </c>
      <c r="AL213" s="218" t="s">
        <v>1848</v>
      </c>
      <c r="AM213" s="174">
        <f>Renewables_Heat_Frontend[[#This Row],[Total MW capacity]]</f>
        <v>0</v>
      </c>
      <c r="AN213" s="220">
        <f>Renewables_Heat_Frontend[[#This Row],[Total kWh generated]]</f>
        <v>0</v>
      </c>
      <c r="AO213" s="412">
        <f>Renewables_Heat_Frontend[[#This Row],[kWh consumed by reporting organisation]]</f>
        <v>0</v>
      </c>
      <c r="AP213" s="412">
        <f>Renewables_Heat_Frontend[[#This Row],[kWh exported to grid]]</f>
        <v>0</v>
      </c>
      <c r="AQ213" s="412">
        <f>Renewables_Heat_Frontend[[#This Row],[kWh exported to other PSB]]</f>
        <v>0</v>
      </c>
      <c r="AR213" s="220">
        <f>Renewables_Heat_Frontend[[#This Row],[Name of other PSB]]</f>
        <v>0</v>
      </c>
      <c r="AS213" s="220">
        <f>Renewables_Heat_Frontend[[#This Row],[Ease of collection]]</f>
        <v>0</v>
      </c>
      <c r="AT213" s="174">
        <f>Renewables_Heat_Frontend[[#This Row],[Completeness]]</f>
        <v>0</v>
      </c>
      <c r="AU213" s="174">
        <f>Renewables_Heat_Frontend[[#This Row],[Notes]]</f>
        <v>0</v>
      </c>
    </row>
    <row r="214" spans="2:47" x14ac:dyDescent="0.35">
      <c r="B214" s="146"/>
      <c r="E214" s="270"/>
      <c r="F214" s="268"/>
      <c r="G214" s="268"/>
      <c r="H214" s="268"/>
      <c r="I214" s="268"/>
      <c r="J214" s="268"/>
      <c r="K214" s="269"/>
      <c r="L214" s="269"/>
      <c r="M214" s="280">
        <f>Renewables_Heat_Frontend[[#This Row],[kWh consumed by reporting organisation]]+Renewables_Heat_Frontend[[#This Row],[kWh exported to grid]]+Renewables_Heat_Frontend[[#This Row],[kWh exported to other PSB]]</f>
        <v>0</v>
      </c>
      <c r="N214" s="281"/>
      <c r="O214" s="281"/>
      <c r="P214" s="282"/>
      <c r="Q214" s="282"/>
      <c r="R214" s="284"/>
      <c r="S214" s="284"/>
      <c r="T214" s="285"/>
      <c r="U214" s="329"/>
      <c r="V214" s="242">
        <f t="shared" si="9"/>
        <v>10</v>
      </c>
      <c r="Z214" s="212" t="str">
        <f t="shared" si="8"/>
        <v/>
      </c>
      <c r="AA214" s="174"/>
      <c r="AB214" s="174"/>
      <c r="AC214" s="174">
        <f>Renewables_Heat_Frontend[[#This Row],[Renewable Type]]</f>
        <v>0</v>
      </c>
      <c r="AD214" s="174" t="e" cm="1">
        <f t="array" aca="1" ref="AD214" ca="1">_xlfn.XLOOKUP(Renewables_Heat_Backend[[#This Row],[Level 3]],rng_Level3Long,rng_Level4Long)</f>
        <v>#N/A</v>
      </c>
      <c r="AE214" s="174" t="e" cm="1">
        <f t="array" aca="1" ref="AE214" ca="1">_xlfn.XLOOKUP(Renewables_Heat_Backend[[#This Row],[Level 3]],rng_Level3Long,rng_Level5Long)</f>
        <v>#N/A</v>
      </c>
      <c r="AF214" s="174" t="e" cm="1">
        <f t="array" aca="1" ref="AF214" ca="1">_xlfn.XLOOKUP(Renewables_Heat_Backend[[#This Row],[Level 3]],rng_Level3Long,rng_Level6Long)</f>
        <v>#N/A</v>
      </c>
      <c r="AG214" s="174">
        <f>Renewables_Heat_Frontend[[#This Row],[Generating site name]]</f>
        <v>0</v>
      </c>
      <c r="AH214" s="174"/>
      <c r="AI214" s="174">
        <f>Renewables_Heat_Frontend[[#This Row],[Methodology used]]</f>
        <v>0</v>
      </c>
      <c r="AJ214" s="220" t="e" cm="1">
        <f t="array" aca="1" ref="AJ214" ca="1">_xlfn.LET(_xlpm.LookupConcat,_xlfn.CONCAT(Renewables_Heat_Backend[[#This Row],[Level 1]:[Level 6]]), _xlfn.XLOOKUP(_xlpm.LookupConcat,rng_LevelsConcat,_xlfn.SWITCH(Renewables_Heat_Backend[[#This Row],[Methodology]],"Tier 1",rng_RSD1,"Tier 2",rng_RSD2,"Tier 3",rng_RSD3)))</f>
        <v>#N/A</v>
      </c>
      <c r="AK214" s="174">
        <f>Renewables_Heat_Frontend[[#This Row],[Age (years)]]</f>
        <v>0</v>
      </c>
      <c r="AL214" s="218" t="s">
        <v>1848</v>
      </c>
      <c r="AM214" s="174">
        <f>Renewables_Heat_Frontend[[#This Row],[Total MW capacity]]</f>
        <v>0</v>
      </c>
      <c r="AN214" s="220">
        <f>Renewables_Heat_Frontend[[#This Row],[Total kWh generated]]</f>
        <v>0</v>
      </c>
      <c r="AO214" s="412">
        <f>Renewables_Heat_Frontend[[#This Row],[kWh consumed by reporting organisation]]</f>
        <v>0</v>
      </c>
      <c r="AP214" s="412">
        <f>Renewables_Heat_Frontend[[#This Row],[kWh exported to grid]]</f>
        <v>0</v>
      </c>
      <c r="AQ214" s="412">
        <f>Renewables_Heat_Frontend[[#This Row],[kWh exported to other PSB]]</f>
        <v>0</v>
      </c>
      <c r="AR214" s="220">
        <f>Renewables_Heat_Frontend[[#This Row],[Name of other PSB]]</f>
        <v>0</v>
      </c>
      <c r="AS214" s="220">
        <f>Renewables_Heat_Frontend[[#This Row],[Ease of collection]]</f>
        <v>0</v>
      </c>
      <c r="AT214" s="174">
        <f>Renewables_Heat_Frontend[[#This Row],[Completeness]]</f>
        <v>0</v>
      </c>
      <c r="AU214" s="174">
        <f>Renewables_Heat_Frontend[[#This Row],[Notes]]</f>
        <v>0</v>
      </c>
    </row>
    <row r="215" spans="2:47" x14ac:dyDescent="0.35">
      <c r="B215" s="146"/>
      <c r="E215" s="270"/>
      <c r="F215" s="268"/>
      <c r="G215" s="268"/>
      <c r="H215" s="268"/>
      <c r="I215" s="268"/>
      <c r="J215" s="268"/>
      <c r="K215" s="269"/>
      <c r="L215" s="269"/>
      <c r="M215" s="280">
        <f>Renewables_Heat_Frontend[[#This Row],[kWh consumed by reporting organisation]]+Renewables_Heat_Frontend[[#This Row],[kWh exported to grid]]+Renewables_Heat_Frontend[[#This Row],[kWh exported to other PSB]]</f>
        <v>0</v>
      </c>
      <c r="N215" s="281"/>
      <c r="O215" s="281"/>
      <c r="P215" s="282"/>
      <c r="Q215" s="282"/>
      <c r="R215" s="284"/>
      <c r="S215" s="284"/>
      <c r="T215" s="285"/>
      <c r="U215" s="329"/>
      <c r="V215" s="242">
        <f t="shared" si="9"/>
        <v>10</v>
      </c>
      <c r="Z215" s="212" t="str">
        <f t="shared" si="8"/>
        <v/>
      </c>
      <c r="AA215" s="174"/>
      <c r="AB215" s="174"/>
      <c r="AC215" s="174">
        <f>Renewables_Heat_Frontend[[#This Row],[Renewable Type]]</f>
        <v>0</v>
      </c>
      <c r="AD215" s="174" t="e" cm="1">
        <f t="array" aca="1" ref="AD215" ca="1">_xlfn.XLOOKUP(Renewables_Heat_Backend[[#This Row],[Level 3]],rng_Level3Long,rng_Level4Long)</f>
        <v>#N/A</v>
      </c>
      <c r="AE215" s="174" t="e" cm="1">
        <f t="array" aca="1" ref="AE215" ca="1">_xlfn.XLOOKUP(Renewables_Heat_Backend[[#This Row],[Level 3]],rng_Level3Long,rng_Level5Long)</f>
        <v>#N/A</v>
      </c>
      <c r="AF215" s="174" t="e" cm="1">
        <f t="array" aca="1" ref="AF215" ca="1">_xlfn.XLOOKUP(Renewables_Heat_Backend[[#This Row],[Level 3]],rng_Level3Long,rng_Level6Long)</f>
        <v>#N/A</v>
      </c>
      <c r="AG215" s="174">
        <f>Renewables_Heat_Frontend[[#This Row],[Generating site name]]</f>
        <v>0</v>
      </c>
      <c r="AH215" s="174"/>
      <c r="AI215" s="174">
        <f>Renewables_Heat_Frontend[[#This Row],[Methodology used]]</f>
        <v>0</v>
      </c>
      <c r="AJ215" s="220" t="e" cm="1">
        <f t="array" aca="1" ref="AJ215" ca="1">_xlfn.LET(_xlpm.LookupConcat,_xlfn.CONCAT(Renewables_Heat_Backend[[#This Row],[Level 1]:[Level 6]]), _xlfn.XLOOKUP(_xlpm.LookupConcat,rng_LevelsConcat,_xlfn.SWITCH(Renewables_Heat_Backend[[#This Row],[Methodology]],"Tier 1",rng_RSD1,"Tier 2",rng_RSD2,"Tier 3",rng_RSD3)))</f>
        <v>#N/A</v>
      </c>
      <c r="AK215" s="174">
        <f>Renewables_Heat_Frontend[[#This Row],[Age (years)]]</f>
        <v>0</v>
      </c>
      <c r="AL215" s="218" t="s">
        <v>1848</v>
      </c>
      <c r="AM215" s="174">
        <f>Renewables_Heat_Frontend[[#This Row],[Total MW capacity]]</f>
        <v>0</v>
      </c>
      <c r="AN215" s="220">
        <f>Renewables_Heat_Frontend[[#This Row],[Total kWh generated]]</f>
        <v>0</v>
      </c>
      <c r="AO215" s="412">
        <f>Renewables_Heat_Frontend[[#This Row],[kWh consumed by reporting organisation]]</f>
        <v>0</v>
      </c>
      <c r="AP215" s="412">
        <f>Renewables_Heat_Frontend[[#This Row],[kWh exported to grid]]</f>
        <v>0</v>
      </c>
      <c r="AQ215" s="412">
        <f>Renewables_Heat_Frontend[[#This Row],[kWh exported to other PSB]]</f>
        <v>0</v>
      </c>
      <c r="AR215" s="220">
        <f>Renewables_Heat_Frontend[[#This Row],[Name of other PSB]]</f>
        <v>0</v>
      </c>
      <c r="AS215" s="220">
        <f>Renewables_Heat_Frontend[[#This Row],[Ease of collection]]</f>
        <v>0</v>
      </c>
      <c r="AT215" s="174">
        <f>Renewables_Heat_Frontend[[#This Row],[Completeness]]</f>
        <v>0</v>
      </c>
      <c r="AU215" s="174">
        <f>Renewables_Heat_Frontend[[#This Row],[Notes]]</f>
        <v>0</v>
      </c>
    </row>
    <row r="216" spans="2:47" x14ac:dyDescent="0.35">
      <c r="B216" s="146"/>
      <c r="E216" s="270"/>
      <c r="F216" s="268"/>
      <c r="G216" s="268"/>
      <c r="H216" s="268"/>
      <c r="I216" s="268"/>
      <c r="J216" s="268"/>
      <c r="K216" s="269"/>
      <c r="L216" s="269"/>
      <c r="M216" s="280">
        <f>Renewables_Heat_Frontend[[#This Row],[kWh consumed by reporting organisation]]+Renewables_Heat_Frontend[[#This Row],[kWh exported to grid]]+Renewables_Heat_Frontend[[#This Row],[kWh exported to other PSB]]</f>
        <v>0</v>
      </c>
      <c r="N216" s="281"/>
      <c r="O216" s="281"/>
      <c r="P216" s="282"/>
      <c r="Q216" s="282"/>
      <c r="R216" s="284"/>
      <c r="S216" s="284"/>
      <c r="T216" s="285"/>
      <c r="U216" s="329"/>
      <c r="V216" s="242">
        <f t="shared" si="9"/>
        <v>10</v>
      </c>
      <c r="Z216" s="212" t="str">
        <f t="shared" si="8"/>
        <v/>
      </c>
      <c r="AA216" s="174"/>
      <c r="AB216" s="174"/>
      <c r="AC216" s="174">
        <f>Renewables_Heat_Frontend[[#This Row],[Renewable Type]]</f>
        <v>0</v>
      </c>
      <c r="AD216" s="174" t="e" cm="1">
        <f t="array" aca="1" ref="AD216" ca="1">_xlfn.XLOOKUP(Renewables_Heat_Backend[[#This Row],[Level 3]],rng_Level3Long,rng_Level4Long)</f>
        <v>#N/A</v>
      </c>
      <c r="AE216" s="174" t="e" cm="1">
        <f t="array" aca="1" ref="AE216" ca="1">_xlfn.XLOOKUP(Renewables_Heat_Backend[[#This Row],[Level 3]],rng_Level3Long,rng_Level5Long)</f>
        <v>#N/A</v>
      </c>
      <c r="AF216" s="174" t="e" cm="1">
        <f t="array" aca="1" ref="AF216" ca="1">_xlfn.XLOOKUP(Renewables_Heat_Backend[[#This Row],[Level 3]],rng_Level3Long,rng_Level6Long)</f>
        <v>#N/A</v>
      </c>
      <c r="AG216" s="174">
        <f>Renewables_Heat_Frontend[[#This Row],[Generating site name]]</f>
        <v>0</v>
      </c>
      <c r="AH216" s="174"/>
      <c r="AI216" s="174">
        <f>Renewables_Heat_Frontend[[#This Row],[Methodology used]]</f>
        <v>0</v>
      </c>
      <c r="AJ216" s="220" t="e" cm="1">
        <f t="array" aca="1" ref="AJ216" ca="1">_xlfn.LET(_xlpm.LookupConcat,_xlfn.CONCAT(Renewables_Heat_Backend[[#This Row],[Level 1]:[Level 6]]), _xlfn.XLOOKUP(_xlpm.LookupConcat,rng_LevelsConcat,_xlfn.SWITCH(Renewables_Heat_Backend[[#This Row],[Methodology]],"Tier 1",rng_RSD1,"Tier 2",rng_RSD2,"Tier 3",rng_RSD3)))</f>
        <v>#N/A</v>
      </c>
      <c r="AK216" s="174">
        <f>Renewables_Heat_Frontend[[#This Row],[Age (years)]]</f>
        <v>0</v>
      </c>
      <c r="AL216" s="218" t="s">
        <v>1848</v>
      </c>
      <c r="AM216" s="174">
        <f>Renewables_Heat_Frontend[[#This Row],[Total MW capacity]]</f>
        <v>0</v>
      </c>
      <c r="AN216" s="220">
        <f>Renewables_Heat_Frontend[[#This Row],[Total kWh generated]]</f>
        <v>0</v>
      </c>
      <c r="AO216" s="412">
        <f>Renewables_Heat_Frontend[[#This Row],[kWh consumed by reporting organisation]]</f>
        <v>0</v>
      </c>
      <c r="AP216" s="412">
        <f>Renewables_Heat_Frontend[[#This Row],[kWh exported to grid]]</f>
        <v>0</v>
      </c>
      <c r="AQ216" s="412">
        <f>Renewables_Heat_Frontend[[#This Row],[kWh exported to other PSB]]</f>
        <v>0</v>
      </c>
      <c r="AR216" s="220">
        <f>Renewables_Heat_Frontend[[#This Row],[Name of other PSB]]</f>
        <v>0</v>
      </c>
      <c r="AS216" s="220">
        <f>Renewables_Heat_Frontend[[#This Row],[Ease of collection]]</f>
        <v>0</v>
      </c>
      <c r="AT216" s="174">
        <f>Renewables_Heat_Frontend[[#This Row],[Completeness]]</f>
        <v>0</v>
      </c>
      <c r="AU216" s="174">
        <f>Renewables_Heat_Frontend[[#This Row],[Notes]]</f>
        <v>0</v>
      </c>
    </row>
    <row r="217" spans="2:47" x14ac:dyDescent="0.35">
      <c r="B217" s="146"/>
      <c r="E217" s="270"/>
      <c r="F217" s="268"/>
      <c r="G217" s="268"/>
      <c r="H217" s="268"/>
      <c r="I217" s="268"/>
      <c r="J217" s="268"/>
      <c r="K217" s="269"/>
      <c r="L217" s="269"/>
      <c r="M217" s="276">
        <f>Renewables_Heat_Frontend[[#This Row],[kWh consumed by reporting organisation]]+Renewables_Heat_Frontend[[#This Row],[kWh exported to grid]]+Renewables_Heat_Frontend[[#This Row],[kWh exported to other PSB]]</f>
        <v>0</v>
      </c>
      <c r="N217" s="274"/>
      <c r="O217" s="274"/>
      <c r="P217" s="275"/>
      <c r="Q217" s="275"/>
      <c r="R217" s="283"/>
      <c r="S217" s="283"/>
      <c r="T217" s="271"/>
      <c r="U217" s="329"/>
      <c r="V217" s="242">
        <f t="shared" si="9"/>
        <v>10</v>
      </c>
      <c r="Z217" s="212" t="str">
        <f t="shared" si="8"/>
        <v/>
      </c>
      <c r="AA217" s="174"/>
      <c r="AB217" s="174"/>
      <c r="AC217" s="174">
        <f>Renewables_Heat_Frontend[[#This Row],[Renewable Type]]</f>
        <v>0</v>
      </c>
      <c r="AD217" s="174" t="e" cm="1">
        <f t="array" aca="1" ref="AD217" ca="1">_xlfn.XLOOKUP(Renewables_Heat_Backend[[#This Row],[Level 3]],rng_Level3Long,rng_Level4Long)</f>
        <v>#N/A</v>
      </c>
      <c r="AE217" s="174" t="e" cm="1">
        <f t="array" aca="1" ref="AE217" ca="1">_xlfn.XLOOKUP(Renewables_Heat_Backend[[#This Row],[Level 3]],rng_Level3Long,rng_Level5Long)</f>
        <v>#N/A</v>
      </c>
      <c r="AF217" s="174" t="e" cm="1">
        <f t="array" aca="1" ref="AF217" ca="1">_xlfn.XLOOKUP(Renewables_Heat_Backend[[#This Row],[Level 3]],rng_Level3Long,rng_Level6Long)</f>
        <v>#N/A</v>
      </c>
      <c r="AG217" s="174">
        <f>Renewables_Heat_Frontend[[#This Row],[Generating site name]]</f>
        <v>0</v>
      </c>
      <c r="AH217" s="174"/>
      <c r="AI217" s="174">
        <f>Renewables_Heat_Frontend[[#This Row],[Methodology used]]</f>
        <v>0</v>
      </c>
      <c r="AJ217" s="220" t="e" cm="1">
        <f t="array" aca="1" ref="AJ217" ca="1">_xlfn.LET(_xlpm.LookupConcat,_xlfn.CONCAT(Renewables_Heat_Backend[[#This Row],[Level 1]:[Level 6]]), _xlfn.XLOOKUP(_xlpm.LookupConcat,rng_LevelsConcat,_xlfn.SWITCH(Renewables_Heat_Backend[[#This Row],[Methodology]],"Tier 1",rng_RSD1,"Tier 2",rng_RSD2,"Tier 3",rng_RSD3)))</f>
        <v>#N/A</v>
      </c>
      <c r="AK217" s="174">
        <f>Renewables_Heat_Frontend[[#This Row],[Age (years)]]</f>
        <v>0</v>
      </c>
      <c r="AL217" s="218" t="s">
        <v>1848</v>
      </c>
      <c r="AM217" s="174">
        <f>Renewables_Heat_Frontend[[#This Row],[Total MW capacity]]</f>
        <v>0</v>
      </c>
      <c r="AN217" s="220">
        <f>Renewables_Heat_Frontend[[#This Row],[Total kWh generated]]</f>
        <v>0</v>
      </c>
      <c r="AO217" s="412">
        <f>Renewables_Heat_Frontend[[#This Row],[kWh consumed by reporting organisation]]</f>
        <v>0</v>
      </c>
      <c r="AP217" s="412">
        <f>Renewables_Heat_Frontend[[#This Row],[kWh exported to grid]]</f>
        <v>0</v>
      </c>
      <c r="AQ217" s="412">
        <f>Renewables_Heat_Frontend[[#This Row],[kWh exported to other PSB]]</f>
        <v>0</v>
      </c>
      <c r="AR217" s="220">
        <f>Renewables_Heat_Frontend[[#This Row],[Name of other PSB]]</f>
        <v>0</v>
      </c>
      <c r="AS217" s="220">
        <f>Renewables_Heat_Frontend[[#This Row],[Ease of collection]]</f>
        <v>0</v>
      </c>
      <c r="AT217" s="174">
        <f>Renewables_Heat_Frontend[[#This Row],[Completeness]]</f>
        <v>0</v>
      </c>
      <c r="AU217" s="174">
        <f>Renewables_Heat_Frontend[[#This Row],[Notes]]</f>
        <v>0</v>
      </c>
    </row>
    <row r="218" spans="2:47" x14ac:dyDescent="0.35">
      <c r="B218" s="146"/>
      <c r="E218" s="270"/>
      <c r="F218" s="268"/>
      <c r="G218" s="268"/>
      <c r="H218" s="268"/>
      <c r="I218" s="268"/>
      <c r="J218" s="268"/>
      <c r="K218" s="269"/>
      <c r="L218" s="269"/>
      <c r="M218" s="280">
        <f>Renewables_Heat_Frontend[[#This Row],[kWh consumed by reporting organisation]]+Renewables_Heat_Frontend[[#This Row],[kWh exported to grid]]+Renewables_Heat_Frontend[[#This Row],[kWh exported to other PSB]]</f>
        <v>0</v>
      </c>
      <c r="N218" s="281"/>
      <c r="O218" s="281"/>
      <c r="P218" s="282"/>
      <c r="Q218" s="282"/>
      <c r="R218" s="284"/>
      <c r="S218" s="284"/>
      <c r="T218" s="285"/>
      <c r="U218" s="329"/>
      <c r="V218" s="242">
        <f t="shared" si="9"/>
        <v>10</v>
      </c>
      <c r="Z218" s="212" t="str">
        <f t="shared" si="8"/>
        <v/>
      </c>
      <c r="AA218" s="174"/>
      <c r="AB218" s="174"/>
      <c r="AC218" s="174">
        <f>Renewables_Heat_Frontend[[#This Row],[Renewable Type]]</f>
        <v>0</v>
      </c>
      <c r="AD218" s="174" t="e" cm="1">
        <f t="array" aca="1" ref="AD218" ca="1">_xlfn.XLOOKUP(Renewables_Heat_Backend[[#This Row],[Level 3]],rng_Level3Long,rng_Level4Long)</f>
        <v>#N/A</v>
      </c>
      <c r="AE218" s="174" t="e" cm="1">
        <f t="array" aca="1" ref="AE218" ca="1">_xlfn.XLOOKUP(Renewables_Heat_Backend[[#This Row],[Level 3]],rng_Level3Long,rng_Level5Long)</f>
        <v>#N/A</v>
      </c>
      <c r="AF218" s="174" t="e" cm="1">
        <f t="array" aca="1" ref="AF218" ca="1">_xlfn.XLOOKUP(Renewables_Heat_Backend[[#This Row],[Level 3]],rng_Level3Long,rng_Level6Long)</f>
        <v>#N/A</v>
      </c>
      <c r="AG218" s="174">
        <f>Renewables_Heat_Frontend[[#This Row],[Generating site name]]</f>
        <v>0</v>
      </c>
      <c r="AH218" s="174"/>
      <c r="AI218" s="174">
        <f>Renewables_Heat_Frontend[[#This Row],[Methodology used]]</f>
        <v>0</v>
      </c>
      <c r="AJ218" s="220" t="e" cm="1">
        <f t="array" aca="1" ref="AJ218" ca="1">_xlfn.LET(_xlpm.LookupConcat,_xlfn.CONCAT(Renewables_Heat_Backend[[#This Row],[Level 1]:[Level 6]]), _xlfn.XLOOKUP(_xlpm.LookupConcat,rng_LevelsConcat,_xlfn.SWITCH(Renewables_Heat_Backend[[#This Row],[Methodology]],"Tier 1",rng_RSD1,"Tier 2",rng_RSD2,"Tier 3",rng_RSD3)))</f>
        <v>#N/A</v>
      </c>
      <c r="AK218" s="174">
        <f>Renewables_Heat_Frontend[[#This Row],[Age (years)]]</f>
        <v>0</v>
      </c>
      <c r="AL218" s="218" t="s">
        <v>1848</v>
      </c>
      <c r="AM218" s="174">
        <f>Renewables_Heat_Frontend[[#This Row],[Total MW capacity]]</f>
        <v>0</v>
      </c>
      <c r="AN218" s="220">
        <f>Renewables_Heat_Frontend[[#This Row],[Total kWh generated]]</f>
        <v>0</v>
      </c>
      <c r="AO218" s="412">
        <f>Renewables_Heat_Frontend[[#This Row],[kWh consumed by reporting organisation]]</f>
        <v>0</v>
      </c>
      <c r="AP218" s="412">
        <f>Renewables_Heat_Frontend[[#This Row],[kWh exported to grid]]</f>
        <v>0</v>
      </c>
      <c r="AQ218" s="412">
        <f>Renewables_Heat_Frontend[[#This Row],[kWh exported to other PSB]]</f>
        <v>0</v>
      </c>
      <c r="AR218" s="220">
        <f>Renewables_Heat_Frontend[[#This Row],[Name of other PSB]]</f>
        <v>0</v>
      </c>
      <c r="AS218" s="220">
        <f>Renewables_Heat_Frontend[[#This Row],[Ease of collection]]</f>
        <v>0</v>
      </c>
      <c r="AT218" s="174">
        <f>Renewables_Heat_Frontend[[#This Row],[Completeness]]</f>
        <v>0</v>
      </c>
      <c r="AU218" s="174">
        <f>Renewables_Heat_Frontend[[#This Row],[Notes]]</f>
        <v>0</v>
      </c>
    </row>
    <row r="219" spans="2:47" x14ac:dyDescent="0.35">
      <c r="B219" s="146"/>
      <c r="E219" s="270"/>
      <c r="F219" s="268"/>
      <c r="G219" s="268"/>
      <c r="H219" s="268"/>
      <c r="I219" s="268"/>
      <c r="J219" s="268"/>
      <c r="K219" s="269"/>
      <c r="L219" s="269"/>
      <c r="M219" s="280">
        <f>Renewables_Heat_Frontend[[#This Row],[kWh consumed by reporting organisation]]+Renewables_Heat_Frontend[[#This Row],[kWh exported to grid]]+Renewables_Heat_Frontend[[#This Row],[kWh exported to other PSB]]</f>
        <v>0</v>
      </c>
      <c r="N219" s="281"/>
      <c r="O219" s="281"/>
      <c r="P219" s="282"/>
      <c r="Q219" s="282"/>
      <c r="R219" s="284"/>
      <c r="S219" s="284"/>
      <c r="T219" s="285"/>
      <c r="U219" s="329"/>
      <c r="V219" s="242">
        <f t="shared" si="9"/>
        <v>10</v>
      </c>
      <c r="Z219" s="212" t="str">
        <f t="shared" si="8"/>
        <v/>
      </c>
      <c r="AA219" s="174"/>
      <c r="AB219" s="174"/>
      <c r="AC219" s="174">
        <f>Renewables_Heat_Frontend[[#This Row],[Renewable Type]]</f>
        <v>0</v>
      </c>
      <c r="AD219" s="174" t="e" cm="1">
        <f t="array" aca="1" ref="AD219" ca="1">_xlfn.XLOOKUP(Renewables_Heat_Backend[[#This Row],[Level 3]],rng_Level3Long,rng_Level4Long)</f>
        <v>#N/A</v>
      </c>
      <c r="AE219" s="174" t="e" cm="1">
        <f t="array" aca="1" ref="AE219" ca="1">_xlfn.XLOOKUP(Renewables_Heat_Backend[[#This Row],[Level 3]],rng_Level3Long,rng_Level5Long)</f>
        <v>#N/A</v>
      </c>
      <c r="AF219" s="174" t="e" cm="1">
        <f t="array" aca="1" ref="AF219" ca="1">_xlfn.XLOOKUP(Renewables_Heat_Backend[[#This Row],[Level 3]],rng_Level3Long,rng_Level6Long)</f>
        <v>#N/A</v>
      </c>
      <c r="AG219" s="174">
        <f>Renewables_Heat_Frontend[[#This Row],[Generating site name]]</f>
        <v>0</v>
      </c>
      <c r="AH219" s="174"/>
      <c r="AI219" s="174">
        <f>Renewables_Heat_Frontend[[#This Row],[Methodology used]]</f>
        <v>0</v>
      </c>
      <c r="AJ219" s="220" t="e" cm="1">
        <f t="array" aca="1" ref="AJ219" ca="1">_xlfn.LET(_xlpm.LookupConcat,_xlfn.CONCAT(Renewables_Heat_Backend[[#This Row],[Level 1]:[Level 6]]), _xlfn.XLOOKUP(_xlpm.LookupConcat,rng_LevelsConcat,_xlfn.SWITCH(Renewables_Heat_Backend[[#This Row],[Methodology]],"Tier 1",rng_RSD1,"Tier 2",rng_RSD2,"Tier 3",rng_RSD3)))</f>
        <v>#N/A</v>
      </c>
      <c r="AK219" s="174">
        <f>Renewables_Heat_Frontend[[#This Row],[Age (years)]]</f>
        <v>0</v>
      </c>
      <c r="AL219" s="218" t="s">
        <v>1848</v>
      </c>
      <c r="AM219" s="174">
        <f>Renewables_Heat_Frontend[[#This Row],[Total MW capacity]]</f>
        <v>0</v>
      </c>
      <c r="AN219" s="220">
        <f>Renewables_Heat_Frontend[[#This Row],[Total kWh generated]]</f>
        <v>0</v>
      </c>
      <c r="AO219" s="412">
        <f>Renewables_Heat_Frontend[[#This Row],[kWh consumed by reporting organisation]]</f>
        <v>0</v>
      </c>
      <c r="AP219" s="412">
        <f>Renewables_Heat_Frontend[[#This Row],[kWh exported to grid]]</f>
        <v>0</v>
      </c>
      <c r="AQ219" s="412">
        <f>Renewables_Heat_Frontend[[#This Row],[kWh exported to other PSB]]</f>
        <v>0</v>
      </c>
      <c r="AR219" s="220">
        <f>Renewables_Heat_Frontend[[#This Row],[Name of other PSB]]</f>
        <v>0</v>
      </c>
      <c r="AS219" s="220">
        <f>Renewables_Heat_Frontend[[#This Row],[Ease of collection]]</f>
        <v>0</v>
      </c>
      <c r="AT219" s="174">
        <f>Renewables_Heat_Frontend[[#This Row],[Completeness]]</f>
        <v>0</v>
      </c>
      <c r="AU219" s="174">
        <f>Renewables_Heat_Frontend[[#This Row],[Notes]]</f>
        <v>0</v>
      </c>
    </row>
    <row r="220" spans="2:47" x14ac:dyDescent="0.35">
      <c r="B220" s="146"/>
      <c r="E220" s="270"/>
      <c r="F220" s="268"/>
      <c r="G220" s="268"/>
      <c r="H220" s="268"/>
      <c r="I220" s="268"/>
      <c r="J220" s="268"/>
      <c r="K220" s="269"/>
      <c r="L220" s="269"/>
      <c r="M220" s="280">
        <f>Renewables_Heat_Frontend[[#This Row],[kWh consumed by reporting organisation]]+Renewables_Heat_Frontend[[#This Row],[kWh exported to grid]]+Renewables_Heat_Frontend[[#This Row],[kWh exported to other PSB]]</f>
        <v>0</v>
      </c>
      <c r="N220" s="281"/>
      <c r="O220" s="281"/>
      <c r="P220" s="282"/>
      <c r="Q220" s="282"/>
      <c r="R220" s="284"/>
      <c r="S220" s="284"/>
      <c r="T220" s="285"/>
      <c r="U220" s="329"/>
      <c r="V220" s="242">
        <f t="shared" si="9"/>
        <v>10</v>
      </c>
      <c r="Z220" s="212" t="str">
        <f t="shared" si="8"/>
        <v/>
      </c>
      <c r="AA220" s="174"/>
      <c r="AB220" s="174"/>
      <c r="AC220" s="174">
        <f>Renewables_Heat_Frontend[[#This Row],[Renewable Type]]</f>
        <v>0</v>
      </c>
      <c r="AD220" s="174" t="e" cm="1">
        <f t="array" aca="1" ref="AD220" ca="1">_xlfn.XLOOKUP(Renewables_Heat_Backend[[#This Row],[Level 3]],rng_Level3Long,rng_Level4Long)</f>
        <v>#N/A</v>
      </c>
      <c r="AE220" s="174" t="e" cm="1">
        <f t="array" aca="1" ref="AE220" ca="1">_xlfn.XLOOKUP(Renewables_Heat_Backend[[#This Row],[Level 3]],rng_Level3Long,rng_Level5Long)</f>
        <v>#N/A</v>
      </c>
      <c r="AF220" s="174" t="e" cm="1">
        <f t="array" aca="1" ref="AF220" ca="1">_xlfn.XLOOKUP(Renewables_Heat_Backend[[#This Row],[Level 3]],rng_Level3Long,rng_Level6Long)</f>
        <v>#N/A</v>
      </c>
      <c r="AG220" s="174">
        <f>Renewables_Heat_Frontend[[#This Row],[Generating site name]]</f>
        <v>0</v>
      </c>
      <c r="AH220" s="174"/>
      <c r="AI220" s="174">
        <f>Renewables_Heat_Frontend[[#This Row],[Methodology used]]</f>
        <v>0</v>
      </c>
      <c r="AJ220" s="220" t="e" cm="1">
        <f t="array" aca="1" ref="AJ220" ca="1">_xlfn.LET(_xlpm.LookupConcat,_xlfn.CONCAT(Renewables_Heat_Backend[[#This Row],[Level 1]:[Level 6]]), _xlfn.XLOOKUP(_xlpm.LookupConcat,rng_LevelsConcat,_xlfn.SWITCH(Renewables_Heat_Backend[[#This Row],[Methodology]],"Tier 1",rng_RSD1,"Tier 2",rng_RSD2,"Tier 3",rng_RSD3)))</f>
        <v>#N/A</v>
      </c>
      <c r="AK220" s="174">
        <f>Renewables_Heat_Frontend[[#This Row],[Age (years)]]</f>
        <v>0</v>
      </c>
      <c r="AL220" s="218" t="s">
        <v>1848</v>
      </c>
      <c r="AM220" s="174">
        <f>Renewables_Heat_Frontend[[#This Row],[Total MW capacity]]</f>
        <v>0</v>
      </c>
      <c r="AN220" s="220">
        <f>Renewables_Heat_Frontend[[#This Row],[Total kWh generated]]</f>
        <v>0</v>
      </c>
      <c r="AO220" s="412">
        <f>Renewables_Heat_Frontend[[#This Row],[kWh consumed by reporting organisation]]</f>
        <v>0</v>
      </c>
      <c r="AP220" s="412">
        <f>Renewables_Heat_Frontend[[#This Row],[kWh exported to grid]]</f>
        <v>0</v>
      </c>
      <c r="AQ220" s="412">
        <f>Renewables_Heat_Frontend[[#This Row],[kWh exported to other PSB]]</f>
        <v>0</v>
      </c>
      <c r="AR220" s="220">
        <f>Renewables_Heat_Frontend[[#This Row],[Name of other PSB]]</f>
        <v>0</v>
      </c>
      <c r="AS220" s="220">
        <f>Renewables_Heat_Frontend[[#This Row],[Ease of collection]]</f>
        <v>0</v>
      </c>
      <c r="AT220" s="174">
        <f>Renewables_Heat_Frontend[[#This Row],[Completeness]]</f>
        <v>0</v>
      </c>
      <c r="AU220" s="174">
        <f>Renewables_Heat_Frontend[[#This Row],[Notes]]</f>
        <v>0</v>
      </c>
    </row>
    <row r="221" spans="2:47" x14ac:dyDescent="0.35">
      <c r="B221" s="146"/>
      <c r="E221" s="270"/>
      <c r="F221" s="268"/>
      <c r="G221" s="268"/>
      <c r="H221" s="268"/>
      <c r="I221" s="268"/>
      <c r="J221" s="268"/>
      <c r="K221" s="269"/>
      <c r="L221" s="269"/>
      <c r="M221" s="280">
        <f>Renewables_Heat_Frontend[[#This Row],[kWh consumed by reporting organisation]]+Renewables_Heat_Frontend[[#This Row],[kWh exported to grid]]+Renewables_Heat_Frontend[[#This Row],[kWh exported to other PSB]]</f>
        <v>0</v>
      </c>
      <c r="N221" s="281"/>
      <c r="O221" s="281"/>
      <c r="P221" s="282"/>
      <c r="Q221" s="282"/>
      <c r="R221" s="284"/>
      <c r="S221" s="284"/>
      <c r="T221" s="285"/>
      <c r="U221" s="329"/>
      <c r="V221" s="242">
        <f t="shared" si="9"/>
        <v>10</v>
      </c>
      <c r="Z221" s="212" t="str">
        <f t="shared" si="8"/>
        <v/>
      </c>
      <c r="AA221" s="174"/>
      <c r="AB221" s="174"/>
      <c r="AC221" s="174">
        <f>Renewables_Heat_Frontend[[#This Row],[Renewable Type]]</f>
        <v>0</v>
      </c>
      <c r="AD221" s="174" t="e" cm="1">
        <f t="array" aca="1" ref="AD221" ca="1">_xlfn.XLOOKUP(Renewables_Heat_Backend[[#This Row],[Level 3]],rng_Level3Long,rng_Level4Long)</f>
        <v>#N/A</v>
      </c>
      <c r="AE221" s="174" t="e" cm="1">
        <f t="array" aca="1" ref="AE221" ca="1">_xlfn.XLOOKUP(Renewables_Heat_Backend[[#This Row],[Level 3]],rng_Level3Long,rng_Level5Long)</f>
        <v>#N/A</v>
      </c>
      <c r="AF221" s="174" t="e" cm="1">
        <f t="array" aca="1" ref="AF221" ca="1">_xlfn.XLOOKUP(Renewables_Heat_Backend[[#This Row],[Level 3]],rng_Level3Long,rng_Level6Long)</f>
        <v>#N/A</v>
      </c>
      <c r="AG221" s="174">
        <f>Renewables_Heat_Frontend[[#This Row],[Generating site name]]</f>
        <v>0</v>
      </c>
      <c r="AH221" s="174"/>
      <c r="AI221" s="174">
        <f>Renewables_Heat_Frontend[[#This Row],[Methodology used]]</f>
        <v>0</v>
      </c>
      <c r="AJ221" s="220" t="e" cm="1">
        <f t="array" aca="1" ref="AJ221" ca="1">_xlfn.LET(_xlpm.LookupConcat,_xlfn.CONCAT(Renewables_Heat_Backend[[#This Row],[Level 1]:[Level 6]]), _xlfn.XLOOKUP(_xlpm.LookupConcat,rng_LevelsConcat,_xlfn.SWITCH(Renewables_Heat_Backend[[#This Row],[Methodology]],"Tier 1",rng_RSD1,"Tier 2",rng_RSD2,"Tier 3",rng_RSD3)))</f>
        <v>#N/A</v>
      </c>
      <c r="AK221" s="174">
        <f>Renewables_Heat_Frontend[[#This Row],[Age (years)]]</f>
        <v>0</v>
      </c>
      <c r="AL221" s="218" t="s">
        <v>1848</v>
      </c>
      <c r="AM221" s="174">
        <f>Renewables_Heat_Frontend[[#This Row],[Total MW capacity]]</f>
        <v>0</v>
      </c>
      <c r="AN221" s="220">
        <f>Renewables_Heat_Frontend[[#This Row],[Total kWh generated]]</f>
        <v>0</v>
      </c>
      <c r="AO221" s="412">
        <f>Renewables_Heat_Frontend[[#This Row],[kWh consumed by reporting organisation]]</f>
        <v>0</v>
      </c>
      <c r="AP221" s="412">
        <f>Renewables_Heat_Frontend[[#This Row],[kWh exported to grid]]</f>
        <v>0</v>
      </c>
      <c r="AQ221" s="412">
        <f>Renewables_Heat_Frontend[[#This Row],[kWh exported to other PSB]]</f>
        <v>0</v>
      </c>
      <c r="AR221" s="220">
        <f>Renewables_Heat_Frontend[[#This Row],[Name of other PSB]]</f>
        <v>0</v>
      </c>
      <c r="AS221" s="221">
        <f>Renewables_Heat_Frontend[[#This Row],[Ease of collection]]</f>
        <v>0</v>
      </c>
      <c r="AT221" s="216">
        <f>Renewables_Heat_Frontend[[#This Row],[Completeness]]</f>
        <v>0</v>
      </c>
      <c r="AU221" s="216">
        <f>Renewables_Heat_Frontend[[#This Row],[Notes]]</f>
        <v>0</v>
      </c>
    </row>
    <row r="222" spans="2:47" x14ac:dyDescent="0.35">
      <c r="B222" s="146"/>
    </row>
    <row r="223" spans="2:47" x14ac:dyDescent="0.35">
      <c r="B223" s="146"/>
    </row>
    <row r="224" spans="2:47" x14ac:dyDescent="0.35">
      <c r="B224" s="146"/>
    </row>
    <row r="225" spans="2:2" x14ac:dyDescent="0.35">
      <c r="B225" s="146"/>
    </row>
    <row r="226" spans="2:2" x14ac:dyDescent="0.35">
      <c r="B226" s="146"/>
    </row>
    <row r="227" spans="2:2" x14ac:dyDescent="0.35">
      <c r="B227" s="146"/>
    </row>
    <row r="228" spans="2:2" hidden="1" x14ac:dyDescent="0.35">
      <c r="B228" s="146"/>
    </row>
    <row r="229" spans="2:2" hidden="1" x14ac:dyDescent="0.35">
      <c r="B229" s="146"/>
    </row>
    <row r="230" spans="2:2" hidden="1" x14ac:dyDescent="0.35">
      <c r="B230" s="146"/>
    </row>
    <row r="231" spans="2:2" hidden="1" x14ac:dyDescent="0.35">
      <c r="B231" s="146"/>
    </row>
    <row r="232" spans="2:2" hidden="1" x14ac:dyDescent="0.35">
      <c r="B232" s="146"/>
    </row>
    <row r="233" spans="2:2" hidden="1" x14ac:dyDescent="0.35">
      <c r="B233" s="146"/>
    </row>
    <row r="234" spans="2:2" hidden="1" x14ac:dyDescent="0.35">
      <c r="B234" s="146"/>
    </row>
    <row r="235" spans="2:2" hidden="1" x14ac:dyDescent="0.35">
      <c r="B235" s="146"/>
    </row>
    <row r="236" spans="2:2" hidden="1" x14ac:dyDescent="0.35">
      <c r="B236" s="146"/>
    </row>
    <row r="237" spans="2:2" hidden="1" x14ac:dyDescent="0.35">
      <c r="B237" s="146"/>
    </row>
    <row r="238" spans="2:2" hidden="1" x14ac:dyDescent="0.35">
      <c r="B238" s="146"/>
    </row>
    <row r="239" spans="2:2" hidden="1" x14ac:dyDescent="0.35">
      <c r="B239" s="146"/>
    </row>
    <row r="240" spans="2:2" hidden="1" x14ac:dyDescent="0.35">
      <c r="B240" s="146"/>
    </row>
    <row r="241" spans="2:2" hidden="1" x14ac:dyDescent="0.35">
      <c r="B241" s="146"/>
    </row>
    <row r="242" spans="2:2" hidden="1" x14ac:dyDescent="0.35">
      <c r="B242" s="146"/>
    </row>
    <row r="243" spans="2:2" hidden="1" x14ac:dyDescent="0.35">
      <c r="B243" s="146"/>
    </row>
    <row r="244" spans="2:2" hidden="1" x14ac:dyDescent="0.35">
      <c r="B244" s="146"/>
    </row>
    <row r="245" spans="2:2" hidden="1" x14ac:dyDescent="0.35">
      <c r="B245" s="146"/>
    </row>
    <row r="246" spans="2:2" hidden="1" x14ac:dyDescent="0.35">
      <c r="B246" s="146"/>
    </row>
    <row r="247" spans="2:2" hidden="1" x14ac:dyDescent="0.35">
      <c r="B247" s="146"/>
    </row>
    <row r="248" spans="2:2" hidden="1" x14ac:dyDescent="0.35">
      <c r="B248" s="146"/>
    </row>
    <row r="249" spans="2:2" hidden="1" x14ac:dyDescent="0.35">
      <c r="B249" s="146"/>
    </row>
    <row r="250" spans="2:2" hidden="1" x14ac:dyDescent="0.35">
      <c r="B250" s="146"/>
    </row>
    <row r="251" spans="2:2" hidden="1" x14ac:dyDescent="0.35">
      <c r="B251" s="146"/>
    </row>
    <row r="252" spans="2:2" hidden="1" x14ac:dyDescent="0.35">
      <c r="B252" s="146"/>
    </row>
    <row r="253" spans="2:2" hidden="1" x14ac:dyDescent="0.35">
      <c r="B253" s="146"/>
    </row>
    <row r="254" spans="2:2" hidden="1" x14ac:dyDescent="0.35">
      <c r="B254" s="146"/>
    </row>
    <row r="255" spans="2:2" hidden="1" x14ac:dyDescent="0.35">
      <c r="B255" s="146"/>
    </row>
    <row r="256" spans="2:2" hidden="1" x14ac:dyDescent="0.35">
      <c r="B256" s="146"/>
    </row>
    <row r="257" spans="2:2" hidden="1" x14ac:dyDescent="0.35">
      <c r="B257" s="146"/>
    </row>
    <row r="258" spans="2:2" hidden="1" x14ac:dyDescent="0.35">
      <c r="B258" s="146"/>
    </row>
    <row r="259" spans="2:2" hidden="1" x14ac:dyDescent="0.35">
      <c r="B259" s="146"/>
    </row>
    <row r="260" spans="2:2" hidden="1" x14ac:dyDescent="0.35">
      <c r="B260" s="146"/>
    </row>
    <row r="261" spans="2:2" hidden="1" x14ac:dyDescent="0.35">
      <c r="B261" s="146"/>
    </row>
    <row r="262" spans="2:2" hidden="1" x14ac:dyDescent="0.35">
      <c r="B262" s="146"/>
    </row>
    <row r="263" spans="2:2" hidden="1" x14ac:dyDescent="0.35">
      <c r="B263" s="146"/>
    </row>
    <row r="264" spans="2:2" hidden="1" x14ac:dyDescent="0.35">
      <c r="B264" s="146"/>
    </row>
    <row r="265" spans="2:2" hidden="1" x14ac:dyDescent="0.35">
      <c r="B265" s="146"/>
    </row>
    <row r="266" spans="2:2" hidden="1" x14ac:dyDescent="0.35">
      <c r="B266" s="146"/>
    </row>
    <row r="267" spans="2:2" hidden="1" x14ac:dyDescent="0.35">
      <c r="B267" s="146"/>
    </row>
    <row r="268" spans="2:2" hidden="1" x14ac:dyDescent="0.35">
      <c r="B268" s="146"/>
    </row>
    <row r="269" spans="2:2" hidden="1" x14ac:dyDescent="0.35">
      <c r="B269" s="146"/>
    </row>
    <row r="270" spans="2:2" hidden="1" x14ac:dyDescent="0.35">
      <c r="B270" s="146"/>
    </row>
    <row r="271" spans="2:2" hidden="1" x14ac:dyDescent="0.35">
      <c r="B271" s="146"/>
    </row>
    <row r="272" spans="2:2" hidden="1" x14ac:dyDescent="0.35">
      <c r="B272" s="146"/>
    </row>
    <row r="273" spans="2:2" hidden="1" x14ac:dyDescent="0.35">
      <c r="B273" s="146"/>
    </row>
    <row r="274" spans="2:2" hidden="1" x14ac:dyDescent="0.35">
      <c r="B274" s="146"/>
    </row>
    <row r="275" spans="2:2" hidden="1" x14ac:dyDescent="0.35">
      <c r="B275" s="146"/>
    </row>
    <row r="276" spans="2:2" hidden="1" x14ac:dyDescent="0.35">
      <c r="B276" s="146"/>
    </row>
    <row r="277" spans="2:2" hidden="1" x14ac:dyDescent="0.35">
      <c r="B277" s="146"/>
    </row>
    <row r="278" spans="2:2" hidden="1" x14ac:dyDescent="0.35">
      <c r="B278" s="146"/>
    </row>
    <row r="279" spans="2:2" hidden="1" x14ac:dyDescent="0.35">
      <c r="B279" s="146"/>
    </row>
    <row r="280" spans="2:2" hidden="1" x14ac:dyDescent="0.35">
      <c r="B280" s="146"/>
    </row>
    <row r="281" spans="2:2" hidden="1" x14ac:dyDescent="0.35">
      <c r="B281" s="146"/>
    </row>
    <row r="282" spans="2:2" hidden="1" x14ac:dyDescent="0.35">
      <c r="B282" s="146"/>
    </row>
    <row r="283" spans="2:2" hidden="1" x14ac:dyDescent="0.35">
      <c r="B283" s="146"/>
    </row>
    <row r="284" spans="2:2" hidden="1" x14ac:dyDescent="0.35">
      <c r="B284" s="146"/>
    </row>
    <row r="285" spans="2:2" hidden="1" x14ac:dyDescent="0.35">
      <c r="B285" s="146"/>
    </row>
    <row r="286" spans="2:2" hidden="1" x14ac:dyDescent="0.35">
      <c r="B286" s="146"/>
    </row>
    <row r="287" spans="2:2" hidden="1" x14ac:dyDescent="0.35">
      <c r="B287" s="146"/>
    </row>
    <row r="288" spans="2:2" hidden="1" x14ac:dyDescent="0.35">
      <c r="B288" s="146"/>
    </row>
  </sheetData>
  <sheetProtection algorithmName="SHA-512" hashValue="wxIKSRuqBbdXikEQ35U9PGTjEXq59enyv4XVsKXdfZgbiq31oHntJHyvAKZUFuAZ8W+1skPmLpDF6qIVnVC+/w==" saltValue="kkIfRVF54dcxbi7bGLN8LQ==" spinCount="100000" sheet="1" objects="1" scenarios="1"/>
  <mergeCells count="2">
    <mergeCell ref="B5:B10"/>
    <mergeCell ref="B14:B115"/>
  </mergeCells>
  <conditionalFormatting sqref="V14">
    <cfRule type="iconSet" priority="3">
      <iconSet showValue="0">
        <cfvo type="percent" val="0"/>
        <cfvo type="num" val="1E-4"/>
        <cfvo type="num" val="11"/>
      </iconSet>
    </cfRule>
  </conditionalFormatting>
  <conditionalFormatting sqref="V120">
    <cfRule type="iconSet" priority="1">
      <iconSet showValue="0">
        <cfvo type="percent" val="0"/>
        <cfvo type="num" val="1E-4"/>
        <cfvo type="num" val="10"/>
      </iconSet>
    </cfRule>
  </conditionalFormatting>
  <dataValidations count="24">
    <dataValidation type="list" showInputMessage="1" showErrorMessage="1" sqref="E121:E221 E15:E115" xr:uid="{0B262DFC-7BA8-44F0-A7E4-E5892D2272E7}">
      <formula1>rng_sitename</formula1>
    </dataValidation>
    <dataValidation type="list" showInputMessage="1" showErrorMessage="1" sqref="F121:F221 F15:F115" xr:uid="{8872DF67-B13D-4B38-B263-965096DC0FCC}">
      <formula1>rng_location</formula1>
    </dataValidation>
    <dataValidation type="list" showInputMessage="1" showErrorMessage="1" sqref="G15:G115" xr:uid="{E4DEE6BB-506A-4450-B609-229B242C052E}">
      <formula1>rng_electricity_type</formula1>
    </dataValidation>
    <dataValidation type="list" showInputMessage="1" showErrorMessage="1" sqref="I121:I221 I15:I115" xr:uid="{B362C880-DCFF-40C0-AAE9-37443F5EEBAB}">
      <formula1>rng_methodology</formula1>
    </dataValidation>
    <dataValidation type="list" showInputMessage="1" showErrorMessage="1" sqref="J121:J221 J15:J115" xr:uid="{A65125FE-AAAA-4A0F-B5F9-8D5348CD29B4}">
      <formula1>rng_renewables_ownership</formula1>
    </dataValidation>
    <dataValidation type="whole" allowBlank="1" showInputMessage="1" showErrorMessage="1" sqref="K15:K115 K121:K221" xr:uid="{B3800EC2-EBA7-4E77-8E4E-BE053D11F262}">
      <formula1>0</formula1>
      <formula2>75</formula2>
    </dataValidation>
    <dataValidation type="list" allowBlank="1" showInputMessage="1" showErrorMessage="1" sqref="T15:T115 S121:S221" xr:uid="{C88A9EF7-6465-4C3D-988D-5DC74D533D0B}">
      <formula1>rng_data_completeness</formula1>
    </dataValidation>
    <dataValidation type="list" allowBlank="1" showInputMessage="1" showErrorMessage="1" sqref="S15:S115 R121:R221" xr:uid="{BD1CF5F3-8D58-4015-AABA-9C61B12058BF}">
      <formula1>rng_data_ease</formula1>
    </dataValidation>
    <dataValidation type="list" showInputMessage="1" showErrorMessage="1" sqref="G121:G221" xr:uid="{56CD92D9-AEF4-40F6-8472-21D85C0063E9}">
      <formula1>rng_heat_type</formula1>
    </dataValidation>
    <dataValidation allowBlank="1" showInputMessage="1" showErrorMessage="1" promptTitle="Information:" prompt="This column contains a drop down of all site names included in the 'Building - Site Info' tab. Add additional sites on that tab to have them included in the dropdown here. This data is required." sqref="E14 E120" xr:uid="{896E3428-A1F2-4037-BBA9-3C781AAF4F90}"/>
    <dataValidation allowBlank="1" showInputMessage="1" showErrorMessage="1" promptTitle="Information:" prompt="State the % of the reporting year the electricity generating station was available to generate electricity. If the availability is unknown, enter the availability as &quot;Unknown&quot;. If you enter &quot;Unknown&quot; wrongly (e.g., &quot;unknown&quot;) it will show an error. " sqref="L14" xr:uid="{0335A104-731E-4E48-BE52-C02D8B13FE5C}"/>
    <dataValidation allowBlank="1" showInputMessage="1" showErrorMessage="1" promptTitle="Information:" prompt="Select whether the renewable electricity generation asset is onsite or offsite_x000a_" sqref="F14" xr:uid="{7968FDF8-AB4F-4FC8-8DDA-2B3D6D31F234}"/>
    <dataValidation allowBlank="1" showInputMessage="1" showErrorMessage="1" promptTitle="Information" prompt="Select whether the asset is renewable electricity or renewable electricity CHP_x000a_" sqref="G14" xr:uid="{BCC1B2A2-6E3B-49FF-981B-12705238F868}"/>
    <dataValidation allowBlank="1" showInputMessage="1" showErrorMessage="1" promptTitle="Information" prompt="Select the renewable electricity technology_x000a_" sqref="H14" xr:uid="{4326CCB5-2565-4512-B13F-7CB2B1491777}"/>
    <dataValidation allowBlank="1" showInputMessage="1" showErrorMessage="1" promptTitle="Information:" prompt="Input the capacity (kW), i.e., the maximum instantaneous power output of a generation asset" sqref="M14" xr:uid="{ECA5DDAE-74D4-424F-9632-FFA2839E397B}"/>
    <dataValidation allowBlank="1" showInputMessage="1" showErrorMessage="1" promptTitle="Information:" prompt="This column will automatically sum up the amount of electricity you input as being consumed by your organisation, the grid, or other PSBs" sqref="N14" xr:uid="{345BA2CE-03D4-4149-8463-9593EA33322F}"/>
    <dataValidation allowBlank="1" showInputMessage="1" showErrorMessage="1" promptTitle="Information:" prompt="Input data for how much of the energy generated in the reporting year was consumed by the reporting organisation" sqref="O14" xr:uid="{4ECFACE5-9AD4-4316-959E-BE4A03FA7E21}"/>
    <dataValidation allowBlank="1" showInputMessage="1" showErrorMessage="1" promptTitle="Information:" prompt="Input data for how much of the energy generated in the reporting year was exported to the national grid_x000a_" sqref="P14" xr:uid="{4B1CFD13-5151-4BC1-8DBC-F553E0B70D19}"/>
    <dataValidation allowBlank="1" showInputMessage="1" showErrorMessage="1" promptTitle="Information" prompt="Select whether the renewable electricity generation asset is onsite or offsite_x000a_" sqref="F120" xr:uid="{BBE75D9A-B7BC-4DA5-9023-3B3223E54DE5}"/>
    <dataValidation allowBlank="1" showInputMessage="1" showErrorMessage="1" prompt="Select whether the asset is renewable heat or renewable heat CHP" sqref="G120" xr:uid="{0D000330-B22D-4A75-B1A5-12D1FFAAD244}"/>
    <dataValidation allowBlank="1" showInputMessage="1" showErrorMessage="1" promptTitle="Information:" prompt="Select the renewable heat technology" sqref="H120" xr:uid="{CCCDE3EA-8C37-4E92-8FF4-9F4308244FA7}"/>
    <dataValidation type="custom" allowBlank="1" showInputMessage="1" showErrorMessage="1" promptTitle="Information:" sqref="L15:L115" xr:uid="{8FA1622C-DA3F-4E34-8565-6C753332C3B5}">
      <formula1>OR(ISNUMBER(L15), LOWER(L15)="Unknown")</formula1>
    </dataValidation>
    <dataValidation type="list" showInputMessage="1" showErrorMessage="1" sqref="H15:H115" xr:uid="{B00C5A0C-220F-41A2-BEB1-1FE8825734B1}">
      <formula1>DROPDOWN(rng_electricity_type,G15,rng_electricity_technology)</formula1>
    </dataValidation>
    <dataValidation type="list" showInputMessage="1" showErrorMessage="1" sqref="H121:H221" xr:uid="{E9D92530-5281-4CD0-9363-75303DDDE82F}">
      <formula1>DROPDOWN(rng_heat_type,G121,rng_heat_technology)</formula1>
    </dataValidation>
  </dataValidations>
  <pageMargins left="0.7" right="0.7" top="0.75" bottom="0.75" header="0.3" footer="0.3"/>
  <tableParts count="4">
    <tablePart r:id="rId1"/>
    <tablePart r:id="rId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64" id="{BBF8BB8B-4CAF-457B-A357-8B9E6FAD4B23}">
            <x14:iconSet showValue="0" custom="1">
              <x14:cfvo type="percent">
                <xm:f>0</xm:f>
              </x14:cfvo>
              <x14:cfvo type="num">
                <xm:f>1</xm:f>
              </x14:cfvo>
              <x14:cfvo type="num">
                <xm:f>11</xm:f>
              </x14:cfvo>
              <x14:cfIcon iconSet="3TrafficLights1" iconId="2"/>
              <x14:cfIcon iconSet="3TrafficLights1" iconId="0"/>
              <x14:cfIcon iconSet="4TrafficLights" iconId="0"/>
            </x14:iconSet>
          </x14:cfRule>
          <xm:sqref>V15:V115</xm:sqref>
        </x14:conditionalFormatting>
        <x14:conditionalFormatting xmlns:xm="http://schemas.microsoft.com/office/excel/2006/main">
          <x14:cfRule type="iconSet" priority="2" id="{CBFB866F-AF3D-4E95-BDF6-D7D8BD1ED65A}">
            <x14:iconSet showValue="0" custom="1">
              <x14:cfvo type="percent">
                <xm:f>0</xm:f>
              </x14:cfvo>
              <x14:cfvo type="num">
                <xm:f>1</xm:f>
              </x14:cfvo>
              <x14:cfvo type="num">
                <xm:f>10</xm:f>
              </x14:cfvo>
              <x14:cfIcon iconSet="3TrafficLights1" iconId="2"/>
              <x14:cfIcon iconSet="3TrafficLights1" iconId="0"/>
              <x14:cfIcon iconSet="4TrafficLights" iconId="0"/>
            </x14:iconSet>
          </x14:cfRule>
          <xm:sqref>V121:V221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CFD7F8F-0635-455F-8D80-73133587B473}">
          <x14:formula1>
            <xm:f>Ranges!$O$11:$O$96</xm:f>
          </x14:formula1>
          <xm:sqref>R15:R115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1F2AE-0752-4CC8-914C-0BF961D70A21}">
  <sheetPr codeName="Sheet23">
    <tabColor theme="7" tint="0.79998168889431442"/>
  </sheetPr>
  <dimension ref="A1:AF2500"/>
  <sheetViews>
    <sheetView showGridLines="0" zoomScale="46" zoomScaleNormal="60" workbookViewId="0">
      <selection activeCell="O11" sqref="O11"/>
    </sheetView>
  </sheetViews>
  <sheetFormatPr defaultRowHeight="14.5" x14ac:dyDescent="0.35"/>
  <cols>
    <col min="1" max="1" width="1.54296875" style="147" customWidth="1"/>
    <col min="2" max="2" width="32.54296875" style="146" customWidth="1"/>
    <col min="3" max="3" width="2.453125" style="147" customWidth="1"/>
    <col min="4" max="4" width="3.54296875" style="147" customWidth="1"/>
    <col min="5" max="5" width="71.7265625" customWidth="1"/>
    <col min="6" max="6" width="20.26953125" customWidth="1"/>
    <col min="7" max="7" width="15.1796875" customWidth="1"/>
    <col min="8" max="8" width="15.54296875" customWidth="1"/>
    <col min="9" max="9" width="24.1796875" customWidth="1"/>
    <col min="10" max="10" width="42.7265625" customWidth="1"/>
    <col min="11" max="11" width="12.453125" customWidth="1"/>
    <col min="12" max="12" width="21.90625" customWidth="1"/>
    <col min="13" max="13" width="12" customWidth="1"/>
    <col min="14" max="14" width="14.453125" customWidth="1"/>
    <col min="15" max="15" width="11.453125" customWidth="1"/>
    <col min="16" max="16" width="12.81640625" bestFit="1" customWidth="1"/>
    <col min="17" max="17" width="12.453125" bestFit="1" customWidth="1"/>
    <col min="18" max="18" width="14.1796875" customWidth="1"/>
    <col min="19" max="19" width="12" customWidth="1"/>
    <col min="20" max="20" width="11.453125" customWidth="1"/>
    <col min="21" max="21" width="10.54296875" customWidth="1"/>
    <col min="22" max="22" width="9.1796875" customWidth="1"/>
    <col min="23" max="23" width="13.81640625" customWidth="1"/>
    <col min="24" max="24" width="17.26953125" bestFit="1" customWidth="1"/>
    <col min="25" max="25" width="18.36328125" bestFit="1" customWidth="1"/>
    <col min="26" max="26" width="20.453125" customWidth="1"/>
    <col min="27" max="29" width="19.54296875" bestFit="1" customWidth="1"/>
    <col min="30" max="30" width="13.453125" customWidth="1"/>
    <col min="31" max="31" width="15.81640625" customWidth="1"/>
    <col min="32" max="32" width="8.7265625" customWidth="1"/>
    <col min="34" max="34" width="18.54296875" customWidth="1"/>
    <col min="35" max="35" width="12.453125" customWidth="1"/>
    <col min="38" max="38" width="21.1796875" customWidth="1"/>
  </cols>
  <sheetData>
    <row r="1" spans="2:32" s="150" customFormat="1" ht="15.5" x14ac:dyDescent="0.35">
      <c r="B1" s="196" t="s">
        <v>263</v>
      </c>
      <c r="E1" s="200"/>
      <c r="F1" s="201"/>
      <c r="H1" s="200"/>
      <c r="I1" s="199"/>
      <c r="J1" s="199"/>
      <c r="Q1" s="299"/>
      <c r="R1" s="299"/>
      <c r="S1" s="299"/>
      <c r="T1" s="299"/>
      <c r="U1" s="299"/>
      <c r="V1" s="299"/>
      <c r="W1" s="299"/>
    </row>
    <row r="2" spans="2:32" s="153" customFormat="1" ht="14" x14ac:dyDescent="0.3">
      <c r="B2" s="197" t="s">
        <v>1099</v>
      </c>
      <c r="E2" s="202"/>
      <c r="F2" s="203"/>
      <c r="Q2" s="300"/>
      <c r="R2" s="300"/>
      <c r="S2" s="300"/>
      <c r="T2" s="300"/>
      <c r="U2" s="300"/>
      <c r="V2" s="300"/>
      <c r="W2" s="300"/>
    </row>
    <row r="3" spans="2:32" s="147" customFormat="1" ht="14" x14ac:dyDescent="0.3">
      <c r="B3" s="146"/>
      <c r="Q3" s="301"/>
      <c r="R3" s="301"/>
      <c r="S3" s="301"/>
      <c r="T3" s="301"/>
      <c r="U3" s="301"/>
      <c r="V3" s="301"/>
      <c r="W3" s="301"/>
    </row>
    <row r="4" spans="2:32" ht="15" thickBot="1" x14ac:dyDescent="0.4">
      <c r="B4" s="455" t="s">
        <v>1100</v>
      </c>
      <c r="E4" s="176"/>
      <c r="Q4" s="302"/>
      <c r="R4" s="302"/>
      <c r="S4" s="302"/>
      <c r="T4" s="302"/>
      <c r="U4" s="302"/>
      <c r="V4" s="302"/>
      <c r="W4" s="302"/>
    </row>
    <row r="5" spans="2:32" x14ac:dyDescent="0.35">
      <c r="B5" s="455"/>
      <c r="E5" s="147"/>
      <c r="Q5" s="302"/>
      <c r="R5" s="302"/>
      <c r="S5" s="302"/>
      <c r="T5" s="302"/>
      <c r="U5" s="302"/>
      <c r="V5" s="302"/>
      <c r="W5" s="302"/>
    </row>
    <row r="6" spans="2:32" x14ac:dyDescent="0.35">
      <c r="B6" s="455"/>
      <c r="E6" s="160" t="s">
        <v>1101</v>
      </c>
      <c r="Q6" s="302"/>
      <c r="R6" s="302"/>
      <c r="S6" s="302"/>
      <c r="T6" s="302"/>
      <c r="U6" s="302"/>
      <c r="V6" s="302"/>
      <c r="W6" s="302"/>
    </row>
    <row r="7" spans="2:32" x14ac:dyDescent="0.35">
      <c r="B7" s="455"/>
      <c r="Q7" s="302"/>
      <c r="R7" s="302"/>
      <c r="S7" s="302"/>
      <c r="T7" s="302"/>
      <c r="U7" s="302"/>
      <c r="V7" s="302"/>
      <c r="W7" s="302"/>
    </row>
    <row r="8" spans="2:32" ht="28.5" x14ac:dyDescent="0.35">
      <c r="B8" s="159" t="s">
        <v>1102</v>
      </c>
      <c r="E8" s="293" t="s">
        <v>294</v>
      </c>
      <c r="F8" s="293" t="s">
        <v>295</v>
      </c>
      <c r="G8" s="293" t="s">
        <v>296</v>
      </c>
      <c r="H8" s="293" t="s">
        <v>297</v>
      </c>
      <c r="I8" s="293" t="s">
        <v>298</v>
      </c>
      <c r="J8" s="293" t="s">
        <v>299</v>
      </c>
      <c r="K8" s="293" t="s">
        <v>300</v>
      </c>
      <c r="L8" s="293" t="s">
        <v>301</v>
      </c>
      <c r="M8" s="293" t="s">
        <v>302</v>
      </c>
      <c r="N8" s="293" t="s">
        <v>287</v>
      </c>
      <c r="O8" s="293" t="s">
        <v>303</v>
      </c>
      <c r="P8" s="293" t="s">
        <v>288</v>
      </c>
      <c r="Q8" s="306" t="s">
        <v>289</v>
      </c>
      <c r="R8" s="306" t="s">
        <v>304</v>
      </c>
      <c r="S8" s="306" t="s">
        <v>305</v>
      </c>
      <c r="T8" s="306" t="s">
        <v>306</v>
      </c>
      <c r="U8" s="306" t="s">
        <v>307</v>
      </c>
      <c r="V8" s="306" t="s">
        <v>308</v>
      </c>
      <c r="W8" s="306" t="s">
        <v>309</v>
      </c>
      <c r="X8" s="293" t="s">
        <v>310</v>
      </c>
      <c r="Y8" s="293" t="s">
        <v>311</v>
      </c>
      <c r="Z8" s="293" t="s">
        <v>312</v>
      </c>
      <c r="AA8" s="293" t="s">
        <v>313</v>
      </c>
      <c r="AB8" s="293" t="s">
        <v>314</v>
      </c>
      <c r="AC8" s="293" t="s">
        <v>315</v>
      </c>
      <c r="AD8" s="293" t="s">
        <v>291</v>
      </c>
      <c r="AE8" s="307" t="s">
        <v>292</v>
      </c>
      <c r="AF8" s="307" t="s">
        <v>293</v>
      </c>
    </row>
    <row r="9" spans="2:32" x14ac:dyDescent="0.35">
      <c r="B9" s="159"/>
      <c r="E9" s="314" t="e" cm="1" vm="1">
        <f t="array" aca="1" ref="E9" ca="1">_xlfn.LET(
_xlpm.TotalsV,
_xlfn.VSTACK(Buildings_Electricity_Streetlighting_Backend[],
Buildings_GridElectricity_Backend[],
Buildings_Heat_Backend[],
Buildings_Water_Backend[],
FGases_Backend[],
MedicalGases_Backend[],
Fleet_Fuel_Backend[],
Fleet_Distance_Backend[],
BusinessTravel_Backend[],
Commuting_Backend[],
Homeworking_Backend[],
Waste_Org_Backend[],
Waste_Mun_Backend[],
Waste_Proj_Backend[],
SupplyChain_Tier1_Backend[],
SupplyChain_Tier2_Backend[],
SupplyChain_SupplierData_Backend[],
FLAG_Tier1_Backend[],
FLAG_Tier2_Backend[],
Agriculture_Backend[]),
_xlfn._xlws.FILTER(_xlpm.TotalsV,INDEX(_xlpm.TotalsV,,1)&lt;&gt;"")
)</f>
        <v>#VALUE!</v>
      </c>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row>
    <row r="10" spans="2:32" x14ac:dyDescent="0.35">
      <c r="B10" s="146" t="s">
        <v>1103</v>
      </c>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row>
    <row r="11" spans="2:32" x14ac:dyDescent="0.35">
      <c r="B11" s="169" t="s">
        <v>1104</v>
      </c>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row>
    <row r="12" spans="2:32" x14ac:dyDescent="0.35">
      <c r="B12" s="169" t="s">
        <v>1105</v>
      </c>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row>
    <row r="13" spans="2:32" x14ac:dyDescent="0.35">
      <c r="B13" s="169" t="s">
        <v>1106</v>
      </c>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row>
    <row r="14" spans="2:32" x14ac:dyDescent="0.35">
      <c r="B14" s="169" t="s">
        <v>1107</v>
      </c>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row>
    <row r="15" spans="2:32" x14ac:dyDescent="0.35">
      <c r="B15" s="169" t="s">
        <v>1108</v>
      </c>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row>
    <row r="16" spans="2:32" x14ac:dyDescent="0.35">
      <c r="B16" s="169" t="s">
        <v>1109</v>
      </c>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row>
    <row r="17" spans="2:32" x14ac:dyDescent="0.35">
      <c r="B17" s="169" t="s">
        <v>1110</v>
      </c>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row>
    <row r="18" spans="2:32" x14ac:dyDescent="0.35">
      <c r="B18" s="169" t="s">
        <v>1111</v>
      </c>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row>
    <row r="19" spans="2:32" x14ac:dyDescent="0.35">
      <c r="B19" s="169" t="s">
        <v>1112</v>
      </c>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row>
    <row r="20" spans="2:32" x14ac:dyDescent="0.35">
      <c r="B20" s="169" t="s">
        <v>1113</v>
      </c>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row>
    <row r="21" spans="2:32" x14ac:dyDescent="0.35">
      <c r="B21" s="169" t="s">
        <v>1114</v>
      </c>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row>
    <row r="22" spans="2:32" x14ac:dyDescent="0.35">
      <c r="B22" s="161" t="s">
        <v>1115</v>
      </c>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row>
    <row r="23" spans="2:32" x14ac:dyDescent="0.35">
      <c r="B23" s="161" t="s">
        <v>1116</v>
      </c>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row>
    <row r="24" spans="2:32" x14ac:dyDescent="0.35">
      <c r="B24" s="146" t="s">
        <v>1117</v>
      </c>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row>
    <row r="25" spans="2:32" x14ac:dyDescent="0.35">
      <c r="B25" s="146" t="s">
        <v>1864</v>
      </c>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row>
    <row r="26" spans="2:32" x14ac:dyDescent="0.35">
      <c r="B26" s="146" t="s">
        <v>1865</v>
      </c>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row>
    <row r="27" spans="2:32" x14ac:dyDescent="0.35">
      <c r="B27" s="169" t="s">
        <v>1118</v>
      </c>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row>
    <row r="28" spans="2:32" x14ac:dyDescent="0.35">
      <c r="B28" s="169" t="s">
        <v>1119</v>
      </c>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row>
    <row r="29" spans="2:32" x14ac:dyDescent="0.35">
      <c r="B29" s="169" t="s">
        <v>1120</v>
      </c>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row>
    <row r="30" spans="2:32" x14ac:dyDescent="0.35">
      <c r="B30" s="169"/>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row>
    <row r="31" spans="2:32" x14ac:dyDescent="0.35">
      <c r="B31" s="169"/>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row>
    <row r="32" spans="2:32" x14ac:dyDescent="0.35">
      <c r="B32" s="169"/>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row>
    <row r="33" spans="2:32" x14ac:dyDescent="0.35">
      <c r="B33" s="169"/>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row>
    <row r="34" spans="2:32" x14ac:dyDescent="0.35">
      <c r="B34" s="169"/>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row>
    <row r="35" spans="2:32" x14ac:dyDescent="0.35">
      <c r="B35" s="169"/>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row>
    <row r="36" spans="2:32" x14ac:dyDescent="0.35">
      <c r="B36" s="169"/>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row>
    <row r="37" spans="2:32" x14ac:dyDescent="0.35">
      <c r="B37" s="169"/>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row>
    <row r="38" spans="2:32" x14ac:dyDescent="0.35">
      <c r="B38" s="161"/>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row>
    <row r="39" spans="2:32" x14ac:dyDescent="0.35">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row>
    <row r="40" spans="2:32" x14ac:dyDescent="0.35">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row>
    <row r="41" spans="2:32" x14ac:dyDescent="0.35">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row>
    <row r="42" spans="2:32" x14ac:dyDescent="0.35">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row>
    <row r="43" spans="2:32" x14ac:dyDescent="0.35">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row>
    <row r="44" spans="2:32" x14ac:dyDescent="0.35">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row>
    <row r="45" spans="2:32" x14ac:dyDescent="0.35">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c r="AF45" s="314"/>
    </row>
    <row r="46" spans="2:32" x14ac:dyDescent="0.35">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row>
    <row r="47" spans="2:32" x14ac:dyDescent="0.35">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row>
    <row r="48" spans="2:32" x14ac:dyDescent="0.35">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row>
    <row r="49" spans="5:32" x14ac:dyDescent="0.35">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row>
    <row r="50" spans="5:32" x14ac:dyDescent="0.35">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row>
    <row r="51" spans="5:32" x14ac:dyDescent="0.35">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row>
    <row r="52" spans="5:32" x14ac:dyDescent="0.35">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row>
    <row r="53" spans="5:32" x14ac:dyDescent="0.35">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row>
    <row r="54" spans="5:32" x14ac:dyDescent="0.35">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row>
    <row r="55" spans="5:32" x14ac:dyDescent="0.35">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row>
    <row r="56" spans="5:32" x14ac:dyDescent="0.35">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row>
    <row r="57" spans="5:32" x14ac:dyDescent="0.35">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row>
    <row r="58" spans="5:32" x14ac:dyDescent="0.35">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row>
    <row r="59" spans="5:32" x14ac:dyDescent="0.35">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row>
    <row r="60" spans="5:32" x14ac:dyDescent="0.35">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row>
    <row r="61" spans="5:32" x14ac:dyDescent="0.35">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row>
    <row r="62" spans="5:32" x14ac:dyDescent="0.35">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row>
    <row r="63" spans="5:32" x14ac:dyDescent="0.35">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row>
    <row r="64" spans="5:32" x14ac:dyDescent="0.35">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row>
    <row r="65" spans="5:32" x14ac:dyDescent="0.35">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row>
    <row r="66" spans="5:32" x14ac:dyDescent="0.35">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row>
    <row r="67" spans="5:32" x14ac:dyDescent="0.35">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row>
    <row r="68" spans="5:32" x14ac:dyDescent="0.35">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row>
    <row r="69" spans="5:32" x14ac:dyDescent="0.35">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row>
    <row r="70" spans="5:32" x14ac:dyDescent="0.35">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row>
    <row r="71" spans="5:32" x14ac:dyDescent="0.35">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row>
    <row r="72" spans="5:32" x14ac:dyDescent="0.35">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314"/>
      <c r="AF72" s="314"/>
    </row>
    <row r="73" spans="5:32" x14ac:dyDescent="0.35">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314"/>
      <c r="AE73" s="314"/>
      <c r="AF73" s="314"/>
    </row>
    <row r="74" spans="5:32" x14ac:dyDescent="0.35">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row>
    <row r="75" spans="5:32" x14ac:dyDescent="0.35">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row>
    <row r="76" spans="5:32" x14ac:dyDescent="0.35">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row>
    <row r="77" spans="5:32" x14ac:dyDescent="0.35">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row>
    <row r="78" spans="5:32" x14ac:dyDescent="0.35">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314"/>
      <c r="AF78" s="314"/>
    </row>
    <row r="79" spans="5:32" x14ac:dyDescent="0.35">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row>
    <row r="80" spans="5:32" x14ac:dyDescent="0.35">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row>
    <row r="81" spans="5:32" x14ac:dyDescent="0.35">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row>
    <row r="82" spans="5:32" x14ac:dyDescent="0.35">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row>
    <row r="83" spans="5:32" x14ac:dyDescent="0.35">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row>
    <row r="84" spans="5:32" x14ac:dyDescent="0.35">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row>
    <row r="85" spans="5:32" x14ac:dyDescent="0.35">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row>
    <row r="86" spans="5:32" x14ac:dyDescent="0.35">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row>
    <row r="87" spans="5:32" x14ac:dyDescent="0.35">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row>
    <row r="88" spans="5:32" x14ac:dyDescent="0.35">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row>
    <row r="89" spans="5:32" x14ac:dyDescent="0.35">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row>
    <row r="90" spans="5:32" x14ac:dyDescent="0.35">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row>
    <row r="91" spans="5:32" x14ac:dyDescent="0.35">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row>
    <row r="92" spans="5:32" x14ac:dyDescent="0.35">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row>
    <row r="93" spans="5:32" x14ac:dyDescent="0.35">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row>
    <row r="94" spans="5:32" x14ac:dyDescent="0.35">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row>
    <row r="95" spans="5:32" x14ac:dyDescent="0.35">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row>
    <row r="96" spans="5:32" x14ac:dyDescent="0.35">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row>
    <row r="97" spans="5:32" x14ac:dyDescent="0.35">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row>
    <row r="98" spans="5:32" x14ac:dyDescent="0.35">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row>
    <row r="99" spans="5:32" x14ac:dyDescent="0.35">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row>
    <row r="100" spans="5:32" x14ac:dyDescent="0.35">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row>
    <row r="101" spans="5:32" x14ac:dyDescent="0.35">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row>
    <row r="102" spans="5:32" x14ac:dyDescent="0.35">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row>
    <row r="103" spans="5:32" x14ac:dyDescent="0.35">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row>
    <row r="104" spans="5:32" x14ac:dyDescent="0.35">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row>
    <row r="105" spans="5:32" x14ac:dyDescent="0.35">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row>
    <row r="106" spans="5:32" x14ac:dyDescent="0.35">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row>
    <row r="107" spans="5:32" x14ac:dyDescent="0.35">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row>
    <row r="108" spans="5:32" x14ac:dyDescent="0.35">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row>
    <row r="109" spans="5:32" x14ac:dyDescent="0.35">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row>
    <row r="110" spans="5:32" x14ac:dyDescent="0.35">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row>
    <row r="111" spans="5:32" x14ac:dyDescent="0.35">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row>
    <row r="112" spans="5:32" x14ac:dyDescent="0.35">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row>
    <row r="113" spans="5:32" x14ac:dyDescent="0.35">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314"/>
      <c r="AE113" s="314"/>
      <c r="AF113" s="314"/>
    </row>
    <row r="114" spans="5:32" x14ac:dyDescent="0.35">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314"/>
      <c r="AF114" s="314"/>
    </row>
    <row r="115" spans="5:32" x14ac:dyDescent="0.35">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row>
    <row r="116" spans="5:32" x14ac:dyDescent="0.35">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4"/>
    </row>
    <row r="117" spans="5:32" x14ac:dyDescent="0.35">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row>
    <row r="118" spans="5:32" x14ac:dyDescent="0.35">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row>
    <row r="119" spans="5:32" x14ac:dyDescent="0.35">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314"/>
      <c r="AF119" s="314"/>
    </row>
    <row r="120" spans="5:32" x14ac:dyDescent="0.35">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314"/>
      <c r="AE120" s="314"/>
      <c r="AF120" s="314"/>
    </row>
    <row r="121" spans="5:32" x14ac:dyDescent="0.35">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314"/>
      <c r="AF121" s="314"/>
    </row>
    <row r="122" spans="5:32" x14ac:dyDescent="0.35">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row>
    <row r="123" spans="5:32" x14ac:dyDescent="0.35">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314"/>
      <c r="AF123" s="314"/>
    </row>
    <row r="124" spans="5:32" x14ac:dyDescent="0.35">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F124" s="314"/>
    </row>
    <row r="125" spans="5:32" x14ac:dyDescent="0.35">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314"/>
      <c r="AF125" s="314"/>
    </row>
    <row r="126" spans="5:32" x14ac:dyDescent="0.35">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F126" s="314"/>
    </row>
    <row r="127" spans="5:32" x14ac:dyDescent="0.35">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c r="AF127" s="314"/>
    </row>
    <row r="128" spans="5:32" x14ac:dyDescent="0.35">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314"/>
      <c r="AF128" s="314"/>
    </row>
    <row r="129" spans="5:32" x14ac:dyDescent="0.35">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314"/>
      <c r="AF129" s="314"/>
    </row>
    <row r="130" spans="5:32" x14ac:dyDescent="0.35">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314"/>
      <c r="AE130" s="314"/>
      <c r="AF130" s="314"/>
    </row>
    <row r="131" spans="5:32" x14ac:dyDescent="0.35">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314"/>
      <c r="AE131" s="314"/>
      <c r="AF131" s="314"/>
    </row>
    <row r="132" spans="5:32" x14ac:dyDescent="0.35">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row>
    <row r="133" spans="5:32" x14ac:dyDescent="0.35">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314"/>
      <c r="AE133" s="314"/>
      <c r="AF133" s="314"/>
    </row>
    <row r="134" spans="5:32" x14ac:dyDescent="0.35">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314"/>
      <c r="AE134" s="314"/>
      <c r="AF134" s="314"/>
    </row>
    <row r="135" spans="5:32" x14ac:dyDescent="0.35">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314"/>
      <c r="AE135" s="314"/>
      <c r="AF135" s="314"/>
    </row>
    <row r="136" spans="5:32" x14ac:dyDescent="0.35">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4"/>
    </row>
    <row r="137" spans="5:32" x14ac:dyDescent="0.35">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14"/>
      <c r="AE137" s="314"/>
      <c r="AF137" s="314"/>
    </row>
    <row r="138" spans="5:32" x14ac:dyDescent="0.35">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314"/>
      <c r="AE138" s="314"/>
      <c r="AF138" s="314"/>
    </row>
    <row r="139" spans="5:32" x14ac:dyDescent="0.35">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row>
    <row r="140" spans="5:32" x14ac:dyDescent="0.35">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row>
    <row r="141" spans="5:32" x14ac:dyDescent="0.35">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row>
    <row r="142" spans="5:32" x14ac:dyDescent="0.35">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314"/>
      <c r="AF142" s="314"/>
    </row>
    <row r="143" spans="5:32" x14ac:dyDescent="0.35">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314"/>
      <c r="AE143" s="314"/>
      <c r="AF143" s="314"/>
    </row>
    <row r="144" spans="5:32" x14ac:dyDescent="0.35">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row>
    <row r="145" spans="5:32" x14ac:dyDescent="0.35">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row>
    <row r="146" spans="5:32" x14ac:dyDescent="0.35">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row>
    <row r="147" spans="5:32" x14ac:dyDescent="0.35">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row>
    <row r="148" spans="5:32" x14ac:dyDescent="0.35">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row>
    <row r="149" spans="5:32" x14ac:dyDescent="0.35">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row>
    <row r="150" spans="5:32" x14ac:dyDescent="0.35">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314"/>
      <c r="AF150" s="314"/>
    </row>
    <row r="151" spans="5:32" x14ac:dyDescent="0.35">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314"/>
      <c r="AF151" s="314"/>
    </row>
    <row r="152" spans="5:32" x14ac:dyDescent="0.35">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c r="AA152" s="314"/>
      <c r="AB152" s="314"/>
      <c r="AC152" s="314"/>
      <c r="AD152" s="314"/>
      <c r="AE152" s="314"/>
      <c r="AF152" s="314"/>
    </row>
    <row r="153" spans="5:32" x14ac:dyDescent="0.35">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row>
    <row r="154" spans="5:32" x14ac:dyDescent="0.35">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row>
    <row r="155" spans="5:32" x14ac:dyDescent="0.35">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row>
    <row r="156" spans="5:32" x14ac:dyDescent="0.35">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row>
    <row r="157" spans="5:32" x14ac:dyDescent="0.35">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row>
    <row r="158" spans="5:32" x14ac:dyDescent="0.35">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row>
    <row r="159" spans="5:32" x14ac:dyDescent="0.35">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314"/>
      <c r="AF159" s="314"/>
    </row>
    <row r="160" spans="5:32" x14ac:dyDescent="0.35">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314"/>
      <c r="AF160" s="314"/>
    </row>
    <row r="161" spans="5:32" x14ac:dyDescent="0.35">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314"/>
      <c r="AE161" s="314"/>
      <c r="AF161" s="314"/>
    </row>
    <row r="162" spans="5:32" x14ac:dyDescent="0.35">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row>
    <row r="163" spans="5:32" x14ac:dyDescent="0.35">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row>
    <row r="164" spans="5:32" x14ac:dyDescent="0.35">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row>
    <row r="165" spans="5:32" x14ac:dyDescent="0.35">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row>
    <row r="166" spans="5:32" x14ac:dyDescent="0.35">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row>
    <row r="167" spans="5:32" x14ac:dyDescent="0.35">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row>
    <row r="168" spans="5:32" x14ac:dyDescent="0.35">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314"/>
      <c r="AE168" s="314"/>
      <c r="AF168" s="314"/>
    </row>
    <row r="169" spans="5:32" x14ac:dyDescent="0.35">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314"/>
      <c r="AE169" s="314"/>
      <c r="AF169" s="314"/>
    </row>
    <row r="170" spans="5:32" x14ac:dyDescent="0.35">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314"/>
      <c r="AE170" s="314"/>
      <c r="AF170" s="314"/>
    </row>
    <row r="171" spans="5:32" x14ac:dyDescent="0.35">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314"/>
      <c r="AE171" s="314"/>
      <c r="AF171" s="314"/>
    </row>
    <row r="172" spans="5:32" x14ac:dyDescent="0.35">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314"/>
      <c r="AE172" s="314"/>
      <c r="AF172" s="314"/>
    </row>
    <row r="173" spans="5:32" x14ac:dyDescent="0.35">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314"/>
      <c r="AF173" s="314"/>
    </row>
    <row r="174" spans="5:32" x14ac:dyDescent="0.35">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314"/>
      <c r="AF174" s="314"/>
    </row>
    <row r="175" spans="5:32" x14ac:dyDescent="0.35">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314"/>
      <c r="AE175" s="314"/>
      <c r="AF175" s="314"/>
    </row>
    <row r="176" spans="5:32" x14ac:dyDescent="0.35">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314"/>
      <c r="AE176" s="314"/>
      <c r="AF176" s="314"/>
    </row>
    <row r="177" spans="5:32" x14ac:dyDescent="0.35">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4"/>
      <c r="AB177" s="314"/>
      <c r="AC177" s="314"/>
      <c r="AD177" s="314"/>
      <c r="AE177" s="314"/>
      <c r="AF177" s="314"/>
    </row>
    <row r="178" spans="5:32" x14ac:dyDescent="0.35">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4"/>
      <c r="AB178" s="314"/>
      <c r="AC178" s="314"/>
      <c r="AD178" s="314"/>
      <c r="AE178" s="314"/>
      <c r="AF178" s="314"/>
    </row>
    <row r="179" spans="5:32" x14ac:dyDescent="0.35">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314"/>
      <c r="AC179" s="314"/>
      <c r="AD179" s="314"/>
      <c r="AE179" s="314"/>
      <c r="AF179" s="314"/>
    </row>
    <row r="180" spans="5:32" x14ac:dyDescent="0.35">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row>
    <row r="181" spans="5:32" x14ac:dyDescent="0.35">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row>
    <row r="182" spans="5:32" x14ac:dyDescent="0.35">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314"/>
      <c r="AF182" s="314"/>
    </row>
    <row r="183" spans="5:32" x14ac:dyDescent="0.35">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314"/>
      <c r="AF183" s="314"/>
    </row>
    <row r="184" spans="5:32" x14ac:dyDescent="0.35">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314"/>
      <c r="AF184" s="314"/>
    </row>
    <row r="185" spans="5:32" x14ac:dyDescent="0.35">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c r="AF185" s="314"/>
    </row>
    <row r="186" spans="5:32" x14ac:dyDescent="0.35">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4"/>
    </row>
    <row r="187" spans="5:32" x14ac:dyDescent="0.35">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row>
    <row r="188" spans="5:32" x14ac:dyDescent="0.35">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314"/>
      <c r="AE188" s="314"/>
      <c r="AF188" s="314"/>
    </row>
    <row r="189" spans="5:32" x14ac:dyDescent="0.35">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row>
    <row r="190" spans="5:32" x14ac:dyDescent="0.35">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314"/>
      <c r="AF190" s="314"/>
    </row>
    <row r="191" spans="5:32" x14ac:dyDescent="0.35">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c r="AF191" s="314"/>
    </row>
    <row r="192" spans="5:32" x14ac:dyDescent="0.35">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4"/>
      <c r="AB192" s="314"/>
      <c r="AC192" s="314"/>
      <c r="AD192" s="314"/>
      <c r="AE192" s="314"/>
      <c r="AF192" s="314"/>
    </row>
    <row r="193" spans="5:32" x14ac:dyDescent="0.35">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314"/>
      <c r="AE193" s="314"/>
      <c r="AF193" s="314"/>
    </row>
    <row r="194" spans="5:32" x14ac:dyDescent="0.35">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row>
    <row r="195" spans="5:32" x14ac:dyDescent="0.35">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314"/>
      <c r="AE195" s="314"/>
      <c r="AF195" s="314"/>
    </row>
    <row r="196" spans="5:32" x14ac:dyDescent="0.35">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c r="AF196" s="314"/>
    </row>
    <row r="197" spans="5:32" x14ac:dyDescent="0.35">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314"/>
      <c r="AF197" s="314"/>
    </row>
    <row r="198" spans="5:32" x14ac:dyDescent="0.35">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14"/>
      <c r="AE198" s="314"/>
      <c r="AF198" s="314"/>
    </row>
    <row r="199" spans="5:32" x14ac:dyDescent="0.35">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314"/>
      <c r="AE199" s="314"/>
      <c r="AF199" s="314"/>
    </row>
    <row r="200" spans="5:32" x14ac:dyDescent="0.35">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314"/>
      <c r="AF200" s="314"/>
    </row>
    <row r="201" spans="5:32" x14ac:dyDescent="0.35">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row>
    <row r="202" spans="5:32" x14ac:dyDescent="0.35">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c r="AB202" s="314"/>
      <c r="AC202" s="314"/>
      <c r="AD202" s="314"/>
      <c r="AE202" s="314"/>
      <c r="AF202" s="314"/>
    </row>
    <row r="203" spans="5:32" x14ac:dyDescent="0.35">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314"/>
      <c r="AE203" s="314"/>
      <c r="AF203" s="314"/>
    </row>
    <row r="204" spans="5:32" x14ac:dyDescent="0.35">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row>
    <row r="205" spans="5:32" x14ac:dyDescent="0.35">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c r="AD205" s="314"/>
      <c r="AE205" s="314"/>
      <c r="AF205" s="314"/>
    </row>
    <row r="206" spans="5:32" x14ac:dyDescent="0.35">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314"/>
      <c r="AF206" s="314"/>
    </row>
    <row r="207" spans="5:32" x14ac:dyDescent="0.35">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314"/>
      <c r="AE207" s="314"/>
      <c r="AF207" s="314"/>
    </row>
    <row r="208" spans="5:32" x14ac:dyDescent="0.35">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c r="AD208" s="314"/>
      <c r="AE208" s="314"/>
      <c r="AF208" s="314"/>
    </row>
    <row r="209" spans="5:32" x14ac:dyDescent="0.35">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314"/>
      <c r="AF209" s="314"/>
    </row>
    <row r="210" spans="5:32" x14ac:dyDescent="0.35">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F210" s="314"/>
    </row>
    <row r="211" spans="5:32" x14ac:dyDescent="0.35">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4"/>
      <c r="AD211" s="314"/>
      <c r="AE211" s="314"/>
      <c r="AF211" s="314"/>
    </row>
    <row r="212" spans="5:32" x14ac:dyDescent="0.35">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314"/>
      <c r="AE212" s="314"/>
      <c r="AF212" s="314"/>
    </row>
    <row r="213" spans="5:32" x14ac:dyDescent="0.35">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c r="AC213" s="314"/>
      <c r="AD213" s="314"/>
      <c r="AE213" s="314"/>
      <c r="AF213" s="314"/>
    </row>
    <row r="214" spans="5:32" x14ac:dyDescent="0.35">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314"/>
      <c r="AE214" s="314"/>
      <c r="AF214" s="314"/>
    </row>
    <row r="215" spans="5:32" x14ac:dyDescent="0.35">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c r="AC215" s="314"/>
      <c r="AD215" s="314"/>
      <c r="AE215" s="314"/>
      <c r="AF215" s="314"/>
    </row>
    <row r="216" spans="5:32" x14ac:dyDescent="0.35">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c r="AC216" s="314"/>
      <c r="AD216" s="314"/>
      <c r="AE216" s="314"/>
      <c r="AF216" s="314"/>
    </row>
    <row r="217" spans="5:32" x14ac:dyDescent="0.35">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c r="AC217" s="314"/>
      <c r="AD217" s="314"/>
      <c r="AE217" s="314"/>
      <c r="AF217" s="314"/>
    </row>
    <row r="218" spans="5:32" x14ac:dyDescent="0.35">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c r="AC218" s="314"/>
      <c r="AD218" s="314"/>
      <c r="AE218" s="314"/>
      <c r="AF218" s="314"/>
    </row>
    <row r="219" spans="5:32" x14ac:dyDescent="0.35">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314"/>
      <c r="AF219" s="314"/>
    </row>
    <row r="220" spans="5:32" x14ac:dyDescent="0.35">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314"/>
      <c r="AF220" s="314"/>
    </row>
    <row r="221" spans="5:32" x14ac:dyDescent="0.35">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c r="AC221" s="314"/>
      <c r="AD221" s="314"/>
      <c r="AE221" s="314"/>
      <c r="AF221" s="314"/>
    </row>
    <row r="222" spans="5:32" x14ac:dyDescent="0.35">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314"/>
      <c r="AE222" s="314"/>
      <c r="AF222" s="314"/>
    </row>
    <row r="223" spans="5:32" x14ac:dyDescent="0.35">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row>
    <row r="224" spans="5:32" x14ac:dyDescent="0.35">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c r="AC224" s="314"/>
      <c r="AD224" s="314"/>
      <c r="AE224" s="314"/>
      <c r="AF224" s="314"/>
    </row>
    <row r="225" spans="5:32" x14ac:dyDescent="0.35">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4"/>
      <c r="AB225" s="314"/>
      <c r="AC225" s="314"/>
      <c r="AD225" s="314"/>
      <c r="AE225" s="314"/>
      <c r="AF225" s="314"/>
    </row>
    <row r="226" spans="5:32" x14ac:dyDescent="0.35">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4"/>
    </row>
    <row r="227" spans="5:32" x14ac:dyDescent="0.35">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4"/>
      <c r="AB227" s="314"/>
      <c r="AC227" s="314"/>
      <c r="AD227" s="314"/>
      <c r="AE227" s="314"/>
      <c r="AF227" s="314"/>
    </row>
    <row r="228" spans="5:32" x14ac:dyDescent="0.35">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row>
    <row r="229" spans="5:32" x14ac:dyDescent="0.35">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row>
    <row r="230" spans="5:32" x14ac:dyDescent="0.35">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4"/>
      <c r="AB230" s="314"/>
      <c r="AC230" s="314"/>
      <c r="AD230" s="314"/>
      <c r="AE230" s="314"/>
      <c r="AF230" s="314"/>
    </row>
    <row r="231" spans="5:32" x14ac:dyDescent="0.35">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4"/>
      <c r="AB231" s="314"/>
      <c r="AC231" s="314"/>
      <c r="AD231" s="314"/>
      <c r="AE231" s="314"/>
      <c r="AF231" s="314"/>
    </row>
    <row r="232" spans="5:32" x14ac:dyDescent="0.35">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314"/>
      <c r="AE232" s="314"/>
      <c r="AF232" s="314"/>
    </row>
    <row r="233" spans="5:32" x14ac:dyDescent="0.35">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14"/>
      <c r="AE233" s="314"/>
      <c r="AF233" s="314"/>
    </row>
    <row r="234" spans="5:32" x14ac:dyDescent="0.35">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4"/>
      <c r="AB234" s="314"/>
      <c r="AC234" s="314"/>
      <c r="AD234" s="314"/>
      <c r="AE234" s="314"/>
      <c r="AF234" s="314"/>
    </row>
    <row r="235" spans="5:32" x14ac:dyDescent="0.35">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row>
    <row r="236" spans="5:32" x14ac:dyDescent="0.35">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314"/>
      <c r="AF236" s="314"/>
    </row>
    <row r="237" spans="5:32" x14ac:dyDescent="0.35">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4"/>
      <c r="AB237" s="314"/>
      <c r="AC237" s="314"/>
      <c r="AD237" s="314"/>
      <c r="AE237" s="314"/>
      <c r="AF237" s="314"/>
    </row>
    <row r="238" spans="5:32" x14ac:dyDescent="0.35">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314"/>
      <c r="AE238" s="314"/>
      <c r="AF238" s="314"/>
    </row>
    <row r="239" spans="5:32" x14ac:dyDescent="0.35">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4"/>
      <c r="AD239" s="314"/>
      <c r="AE239" s="314"/>
      <c r="AF239" s="314"/>
    </row>
    <row r="240" spans="5:32" x14ac:dyDescent="0.35">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4"/>
      <c r="AB240" s="314"/>
      <c r="AC240" s="314"/>
      <c r="AD240" s="314"/>
      <c r="AE240" s="314"/>
      <c r="AF240" s="314"/>
    </row>
    <row r="241" spans="5:32" x14ac:dyDescent="0.35">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314"/>
      <c r="AC241" s="314"/>
      <c r="AD241" s="314"/>
      <c r="AE241" s="314"/>
      <c r="AF241" s="314"/>
    </row>
    <row r="242" spans="5:32" x14ac:dyDescent="0.35">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314"/>
      <c r="AF242" s="314"/>
    </row>
    <row r="243" spans="5:32" x14ac:dyDescent="0.35">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314"/>
      <c r="AC243" s="314"/>
      <c r="AD243" s="314"/>
      <c r="AE243" s="314"/>
      <c r="AF243" s="314"/>
    </row>
    <row r="244" spans="5:32" x14ac:dyDescent="0.35">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314"/>
      <c r="AF244" s="314"/>
    </row>
    <row r="245" spans="5:32" x14ac:dyDescent="0.35">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314"/>
      <c r="AF245" s="314"/>
    </row>
    <row r="246" spans="5:32" x14ac:dyDescent="0.35">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4"/>
    </row>
    <row r="247" spans="5:32" x14ac:dyDescent="0.35">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314"/>
      <c r="AE247" s="314"/>
      <c r="AF247" s="314"/>
    </row>
    <row r="248" spans="5:32" x14ac:dyDescent="0.35">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314"/>
      <c r="AE248" s="314"/>
      <c r="AF248" s="314"/>
    </row>
    <row r="249" spans="5:32" x14ac:dyDescent="0.35">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314"/>
      <c r="AF249" s="314"/>
    </row>
    <row r="250" spans="5:32" x14ac:dyDescent="0.35">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314"/>
      <c r="AC250" s="314"/>
      <c r="AD250" s="314"/>
      <c r="AE250" s="314"/>
      <c r="AF250" s="314"/>
    </row>
    <row r="251" spans="5:32" x14ac:dyDescent="0.35">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row>
    <row r="252" spans="5:32" x14ac:dyDescent="0.35">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314"/>
      <c r="AF252" s="314"/>
    </row>
    <row r="253" spans="5:32" x14ac:dyDescent="0.35">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314"/>
      <c r="AC253" s="314"/>
      <c r="AD253" s="314"/>
      <c r="AE253" s="314"/>
      <c r="AF253" s="314"/>
    </row>
    <row r="254" spans="5:32" x14ac:dyDescent="0.35">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314"/>
      <c r="AC254" s="314"/>
      <c r="AD254" s="314"/>
      <c r="AE254" s="314"/>
      <c r="AF254" s="314"/>
    </row>
    <row r="255" spans="5:32" x14ac:dyDescent="0.35">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314"/>
      <c r="AC255" s="314"/>
      <c r="AD255" s="314"/>
      <c r="AE255" s="314"/>
      <c r="AF255" s="314"/>
    </row>
    <row r="256" spans="5:32" x14ac:dyDescent="0.35">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c r="AF256" s="314"/>
    </row>
    <row r="257" spans="5:32" x14ac:dyDescent="0.35">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314"/>
      <c r="AC257" s="314"/>
      <c r="AD257" s="314"/>
      <c r="AE257" s="314"/>
      <c r="AF257" s="314"/>
    </row>
    <row r="258" spans="5:32" x14ac:dyDescent="0.35">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314"/>
      <c r="AF258" s="314"/>
    </row>
    <row r="259" spans="5:32" x14ac:dyDescent="0.35">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4"/>
      <c r="AB259" s="314"/>
      <c r="AC259" s="314"/>
      <c r="AD259" s="314"/>
      <c r="AE259" s="314"/>
      <c r="AF259" s="314"/>
    </row>
    <row r="260" spans="5:32" x14ac:dyDescent="0.35">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14"/>
      <c r="AE260" s="314"/>
      <c r="AF260" s="314"/>
    </row>
    <row r="261" spans="5:32" x14ac:dyDescent="0.35">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314"/>
      <c r="AE261" s="314"/>
      <c r="AF261" s="314"/>
    </row>
    <row r="262" spans="5:32" x14ac:dyDescent="0.35">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314"/>
      <c r="AE262" s="314"/>
      <c r="AF262" s="314"/>
    </row>
    <row r="263" spans="5:32" x14ac:dyDescent="0.35">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4"/>
      <c r="AB263" s="314"/>
      <c r="AC263" s="314"/>
      <c r="AD263" s="314"/>
      <c r="AE263" s="314"/>
      <c r="AF263" s="314"/>
    </row>
    <row r="264" spans="5:32" x14ac:dyDescent="0.35">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314"/>
      <c r="AE264" s="314"/>
      <c r="AF264" s="314"/>
    </row>
    <row r="265" spans="5:32" x14ac:dyDescent="0.35">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4"/>
      <c r="AB265" s="314"/>
      <c r="AC265" s="314"/>
      <c r="AD265" s="314"/>
      <c r="AE265" s="314"/>
      <c r="AF265" s="314"/>
    </row>
    <row r="266" spans="5:32" x14ac:dyDescent="0.35">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314"/>
      <c r="AE266" s="314"/>
      <c r="AF266" s="314"/>
    </row>
    <row r="267" spans="5:32" x14ac:dyDescent="0.35">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4"/>
      <c r="AB267" s="314"/>
      <c r="AC267" s="314"/>
      <c r="AD267" s="314"/>
      <c r="AE267" s="314"/>
      <c r="AF267" s="314"/>
    </row>
    <row r="268" spans="5:32" x14ac:dyDescent="0.35">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4"/>
      <c r="AB268" s="314"/>
      <c r="AC268" s="314"/>
      <c r="AD268" s="314"/>
      <c r="AE268" s="314"/>
      <c r="AF268" s="314"/>
    </row>
    <row r="269" spans="5:32" x14ac:dyDescent="0.35">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314"/>
      <c r="AE269" s="314"/>
      <c r="AF269" s="314"/>
    </row>
    <row r="270" spans="5:32" x14ac:dyDescent="0.35">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314"/>
      <c r="AE270" s="314"/>
      <c r="AF270" s="314"/>
    </row>
    <row r="271" spans="5:32" x14ac:dyDescent="0.35">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314"/>
      <c r="AC271" s="314"/>
      <c r="AD271" s="314"/>
      <c r="AE271" s="314"/>
      <c r="AF271" s="314"/>
    </row>
    <row r="272" spans="5:32" x14ac:dyDescent="0.35">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314"/>
      <c r="AC272" s="314"/>
      <c r="AD272" s="314"/>
      <c r="AE272" s="314"/>
      <c r="AF272" s="314"/>
    </row>
    <row r="273" spans="5:32" x14ac:dyDescent="0.35">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314"/>
      <c r="AC273" s="314"/>
      <c r="AD273" s="314"/>
      <c r="AE273" s="314"/>
      <c r="AF273" s="314"/>
    </row>
    <row r="274" spans="5:32" x14ac:dyDescent="0.35">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314"/>
      <c r="AC274" s="314"/>
      <c r="AD274" s="314"/>
      <c r="AE274" s="314"/>
      <c r="AF274" s="314"/>
    </row>
    <row r="275" spans="5:32" x14ac:dyDescent="0.35">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c r="AA275" s="314"/>
      <c r="AB275" s="314"/>
      <c r="AC275" s="314"/>
      <c r="AD275" s="314"/>
      <c r="AE275" s="314"/>
      <c r="AF275" s="314"/>
    </row>
    <row r="276" spans="5:32" x14ac:dyDescent="0.35">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314"/>
      <c r="AE276" s="314"/>
      <c r="AF276" s="314"/>
    </row>
    <row r="277" spans="5:32" x14ac:dyDescent="0.35">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c r="AA277" s="314"/>
      <c r="AB277" s="314"/>
      <c r="AC277" s="314"/>
      <c r="AD277" s="314"/>
      <c r="AE277" s="314"/>
      <c r="AF277" s="314"/>
    </row>
    <row r="278" spans="5:32" x14ac:dyDescent="0.35">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c r="AF278" s="314"/>
    </row>
    <row r="279" spans="5:32" x14ac:dyDescent="0.35">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314"/>
      <c r="AE279" s="314"/>
      <c r="AF279" s="314"/>
    </row>
    <row r="280" spans="5:32" x14ac:dyDescent="0.35">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row>
    <row r="281" spans="5:32" x14ac:dyDescent="0.35">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314"/>
      <c r="AC281" s="314"/>
      <c r="AD281" s="314"/>
      <c r="AE281" s="314"/>
      <c r="AF281" s="314"/>
    </row>
    <row r="282" spans="5:32" x14ac:dyDescent="0.35">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314"/>
      <c r="AE282" s="314"/>
      <c r="AF282" s="314"/>
    </row>
    <row r="283" spans="5:32" x14ac:dyDescent="0.35">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314"/>
      <c r="AE283" s="314"/>
      <c r="AF283" s="314"/>
    </row>
    <row r="284" spans="5:32" x14ac:dyDescent="0.35">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row>
    <row r="285" spans="5:32" x14ac:dyDescent="0.35">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314"/>
      <c r="AE285" s="314"/>
      <c r="AF285" s="314"/>
    </row>
    <row r="286" spans="5:32" x14ac:dyDescent="0.35">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314"/>
      <c r="AE286" s="314"/>
      <c r="AF286" s="314"/>
    </row>
    <row r="287" spans="5:32" x14ac:dyDescent="0.35">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314"/>
      <c r="AE287" s="314"/>
      <c r="AF287" s="314"/>
    </row>
    <row r="288" spans="5:32" x14ac:dyDescent="0.35">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314"/>
      <c r="AE288" s="314"/>
      <c r="AF288" s="314"/>
    </row>
    <row r="289" spans="5:32" x14ac:dyDescent="0.35">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314"/>
      <c r="AE289" s="314"/>
      <c r="AF289" s="314"/>
    </row>
    <row r="290" spans="5:32" x14ac:dyDescent="0.35">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314"/>
      <c r="AC290" s="314"/>
      <c r="AD290" s="314"/>
      <c r="AE290" s="314"/>
      <c r="AF290" s="314"/>
    </row>
    <row r="291" spans="5:32" x14ac:dyDescent="0.35">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314"/>
      <c r="AC291" s="314"/>
      <c r="AD291" s="314"/>
      <c r="AE291" s="314"/>
      <c r="AF291" s="314"/>
    </row>
    <row r="292" spans="5:32" x14ac:dyDescent="0.35">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314"/>
      <c r="AE292" s="314"/>
      <c r="AF292" s="314"/>
    </row>
    <row r="293" spans="5:32" x14ac:dyDescent="0.35">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314"/>
      <c r="AE293" s="314"/>
      <c r="AF293" s="314"/>
    </row>
    <row r="294" spans="5:32" x14ac:dyDescent="0.35">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314"/>
      <c r="AE294" s="314"/>
      <c r="AF294" s="314"/>
    </row>
    <row r="295" spans="5:32" x14ac:dyDescent="0.35">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314"/>
      <c r="AF295" s="314"/>
    </row>
    <row r="296" spans="5:32" x14ac:dyDescent="0.35">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row>
    <row r="297" spans="5:32" x14ac:dyDescent="0.35">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314"/>
      <c r="AE297" s="314"/>
      <c r="AF297" s="314"/>
    </row>
    <row r="298" spans="5:32" x14ac:dyDescent="0.35">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314"/>
      <c r="AE298" s="314"/>
      <c r="AF298" s="314"/>
    </row>
    <row r="299" spans="5:32" x14ac:dyDescent="0.35">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314"/>
      <c r="AE299" s="314"/>
      <c r="AF299" s="314"/>
    </row>
    <row r="300" spans="5:32" x14ac:dyDescent="0.35">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314"/>
      <c r="AE300" s="314"/>
      <c r="AF300" s="314"/>
    </row>
    <row r="301" spans="5:32" x14ac:dyDescent="0.35">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314"/>
      <c r="AE301" s="314"/>
      <c r="AF301" s="314"/>
    </row>
    <row r="302" spans="5:32" x14ac:dyDescent="0.35">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314"/>
      <c r="AE302" s="314"/>
      <c r="AF302" s="314"/>
    </row>
    <row r="303" spans="5:32" x14ac:dyDescent="0.35">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314"/>
      <c r="AE303" s="314"/>
      <c r="AF303" s="314"/>
    </row>
    <row r="304" spans="5:32" x14ac:dyDescent="0.35">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314"/>
      <c r="AF304" s="314"/>
    </row>
    <row r="305" spans="5:32" x14ac:dyDescent="0.35">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314"/>
      <c r="AF305" s="314"/>
    </row>
    <row r="306" spans="5:32" x14ac:dyDescent="0.35">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314"/>
      <c r="AE306" s="314"/>
      <c r="AF306" s="314"/>
    </row>
    <row r="307" spans="5:32" x14ac:dyDescent="0.35">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314"/>
      <c r="AE307" s="314"/>
      <c r="AF307" s="314"/>
    </row>
    <row r="308" spans="5:32" x14ac:dyDescent="0.35">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314"/>
      <c r="AE308" s="314"/>
      <c r="AF308" s="314"/>
    </row>
    <row r="309" spans="5:32" x14ac:dyDescent="0.35">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314"/>
      <c r="AE309" s="314"/>
      <c r="AF309" s="314"/>
    </row>
    <row r="310" spans="5:32" x14ac:dyDescent="0.35">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c r="AC310" s="314"/>
      <c r="AD310" s="314"/>
      <c r="AE310" s="314"/>
      <c r="AF310" s="314"/>
    </row>
    <row r="311" spans="5:32" x14ac:dyDescent="0.35">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c r="AC311" s="314"/>
      <c r="AD311" s="314"/>
      <c r="AE311" s="314"/>
      <c r="AF311" s="314"/>
    </row>
    <row r="312" spans="5:32" x14ac:dyDescent="0.35">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314"/>
      <c r="AE312" s="314"/>
      <c r="AF312" s="314"/>
    </row>
    <row r="313" spans="5:32" x14ac:dyDescent="0.35">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314"/>
      <c r="AE313" s="314"/>
      <c r="AF313" s="314"/>
    </row>
    <row r="314" spans="5:32" x14ac:dyDescent="0.35">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314"/>
      <c r="AE314" s="314"/>
      <c r="AF314" s="314"/>
    </row>
    <row r="315" spans="5:32" x14ac:dyDescent="0.35">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314"/>
      <c r="AE315" s="314"/>
      <c r="AF315" s="314"/>
    </row>
    <row r="316" spans="5:32" x14ac:dyDescent="0.35">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314"/>
      <c r="AE316" s="314"/>
      <c r="AF316" s="314"/>
    </row>
    <row r="317" spans="5:32" x14ac:dyDescent="0.35">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314"/>
      <c r="AF317" s="314"/>
    </row>
    <row r="318" spans="5:32" x14ac:dyDescent="0.35">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314"/>
      <c r="AE318" s="314"/>
      <c r="AF318" s="314"/>
    </row>
    <row r="319" spans="5:32" x14ac:dyDescent="0.35">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314"/>
      <c r="AE319" s="314"/>
      <c r="AF319" s="314"/>
    </row>
    <row r="320" spans="5:32" x14ac:dyDescent="0.35">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314"/>
      <c r="AE320" s="314"/>
      <c r="AF320" s="314"/>
    </row>
    <row r="321" spans="5:32" x14ac:dyDescent="0.35">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c r="AA321" s="314"/>
      <c r="AB321" s="314"/>
      <c r="AC321" s="314"/>
      <c r="AD321" s="314"/>
      <c r="AE321" s="314"/>
      <c r="AF321" s="314"/>
    </row>
    <row r="322" spans="5:32" x14ac:dyDescent="0.35">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314"/>
      <c r="AE322" s="314"/>
      <c r="AF322" s="314"/>
    </row>
    <row r="323" spans="5:32" x14ac:dyDescent="0.35">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c r="AA323" s="314"/>
      <c r="AB323" s="314"/>
      <c r="AC323" s="314"/>
      <c r="AD323" s="314"/>
      <c r="AE323" s="314"/>
      <c r="AF323" s="314"/>
    </row>
    <row r="324" spans="5:32" x14ac:dyDescent="0.35">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314"/>
      <c r="AC324" s="314"/>
      <c r="AD324" s="314"/>
      <c r="AE324" s="314"/>
      <c r="AF324" s="314"/>
    </row>
    <row r="325" spans="5:32" x14ac:dyDescent="0.35">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314"/>
      <c r="AE325" s="314"/>
      <c r="AF325" s="314"/>
    </row>
    <row r="326" spans="5:32" x14ac:dyDescent="0.35">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314"/>
      <c r="AE326" s="314"/>
      <c r="AF326" s="314"/>
    </row>
    <row r="327" spans="5:32" x14ac:dyDescent="0.35">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314"/>
      <c r="AE327" s="314"/>
      <c r="AF327" s="314"/>
    </row>
    <row r="328" spans="5:32" x14ac:dyDescent="0.35">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314"/>
      <c r="AE328" s="314"/>
      <c r="AF328" s="314"/>
    </row>
    <row r="329" spans="5:32" x14ac:dyDescent="0.35">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314"/>
      <c r="AE329" s="314"/>
      <c r="AF329" s="314"/>
    </row>
    <row r="330" spans="5:32" x14ac:dyDescent="0.35">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314"/>
      <c r="AE330" s="314"/>
      <c r="AF330" s="314"/>
    </row>
    <row r="331" spans="5:32" x14ac:dyDescent="0.35">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c r="AA331" s="314"/>
      <c r="AB331" s="314"/>
      <c r="AC331" s="314"/>
      <c r="AD331" s="314"/>
      <c r="AE331" s="314"/>
      <c r="AF331" s="314"/>
    </row>
    <row r="332" spans="5:32" x14ac:dyDescent="0.35">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14"/>
      <c r="AE332" s="314"/>
      <c r="AF332" s="314"/>
    </row>
    <row r="333" spans="5:32" x14ac:dyDescent="0.35">
      <c r="E333" s="314"/>
      <c r="F333" s="314"/>
      <c r="G333" s="314"/>
      <c r="H333" s="314"/>
      <c r="I333" s="314"/>
      <c r="J333" s="314"/>
      <c r="K333" s="314"/>
      <c r="L333" s="314"/>
      <c r="M333" s="314"/>
      <c r="N333" s="314"/>
      <c r="O333" s="314"/>
      <c r="P333" s="314"/>
      <c r="Q333" s="314"/>
      <c r="R333" s="314"/>
      <c r="S333" s="314"/>
      <c r="T333" s="314"/>
      <c r="U333" s="314"/>
      <c r="V333" s="314"/>
      <c r="W333" s="314"/>
      <c r="X333" s="314"/>
      <c r="Y333" s="314"/>
      <c r="Z333" s="314"/>
      <c r="AA333" s="314"/>
      <c r="AB333" s="314"/>
      <c r="AC333" s="314"/>
      <c r="AD333" s="314"/>
      <c r="AE333" s="314"/>
      <c r="AF333" s="314"/>
    </row>
    <row r="334" spans="5:32" x14ac:dyDescent="0.35">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314"/>
      <c r="AF334" s="314"/>
    </row>
    <row r="335" spans="5:32" x14ac:dyDescent="0.35">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314"/>
      <c r="AF335" s="314"/>
    </row>
    <row r="336" spans="5:32" x14ac:dyDescent="0.35">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314"/>
      <c r="AE336" s="314"/>
      <c r="AF336" s="314"/>
    </row>
    <row r="337" spans="5:32" x14ac:dyDescent="0.35">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314"/>
      <c r="AE337" s="314"/>
      <c r="AF337" s="314"/>
    </row>
    <row r="338" spans="5:32" x14ac:dyDescent="0.35">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314"/>
      <c r="AE338" s="314"/>
      <c r="AF338" s="314"/>
    </row>
    <row r="339" spans="5:32" x14ac:dyDescent="0.35">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314"/>
      <c r="AF339" s="314"/>
    </row>
    <row r="340" spans="5:32" x14ac:dyDescent="0.35">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c r="AA340" s="314"/>
      <c r="AB340" s="314"/>
      <c r="AC340" s="314"/>
      <c r="AD340" s="314"/>
      <c r="AE340" s="314"/>
      <c r="AF340" s="314"/>
    </row>
    <row r="341" spans="5:32" x14ac:dyDescent="0.35">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314"/>
      <c r="AF341" s="314"/>
    </row>
    <row r="342" spans="5:32" x14ac:dyDescent="0.35">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314"/>
      <c r="AE342" s="314"/>
      <c r="AF342" s="314"/>
    </row>
    <row r="343" spans="5:32" x14ac:dyDescent="0.35">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314"/>
      <c r="AF343" s="314"/>
    </row>
    <row r="344" spans="5:32" x14ac:dyDescent="0.35">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314"/>
      <c r="AF344" s="314"/>
    </row>
    <row r="345" spans="5:32" x14ac:dyDescent="0.35">
      <c r="E345" s="314"/>
      <c r="F345" s="314"/>
      <c r="G345" s="314"/>
      <c r="H345" s="314"/>
      <c r="I345" s="314"/>
      <c r="J345" s="314"/>
      <c r="K345" s="314"/>
      <c r="L345" s="314"/>
      <c r="M345" s="314"/>
      <c r="N345" s="314"/>
      <c r="O345" s="314"/>
      <c r="P345" s="314"/>
      <c r="Q345" s="314"/>
      <c r="R345" s="314"/>
      <c r="S345" s="314"/>
      <c r="T345" s="314"/>
      <c r="U345" s="314"/>
      <c r="V345" s="314"/>
      <c r="W345" s="314"/>
      <c r="X345" s="314"/>
      <c r="Y345" s="314"/>
      <c r="Z345" s="314"/>
      <c r="AA345" s="314"/>
      <c r="AB345" s="314"/>
      <c r="AC345" s="314"/>
      <c r="AD345" s="314"/>
      <c r="AE345" s="314"/>
      <c r="AF345" s="314"/>
    </row>
    <row r="346" spans="5:32" x14ac:dyDescent="0.35">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c r="AF346" s="314"/>
    </row>
    <row r="347" spans="5:32" x14ac:dyDescent="0.35">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c r="AA347" s="314"/>
      <c r="AB347" s="314"/>
      <c r="AC347" s="314"/>
      <c r="AD347" s="314"/>
      <c r="AE347" s="314"/>
      <c r="AF347" s="314"/>
    </row>
    <row r="348" spans="5:32" x14ac:dyDescent="0.35">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314"/>
      <c r="AF348" s="314"/>
    </row>
    <row r="349" spans="5:32" x14ac:dyDescent="0.35">
      <c r="E349" s="314"/>
      <c r="F349" s="314"/>
      <c r="G349" s="314"/>
      <c r="H349" s="314"/>
      <c r="I349" s="314"/>
      <c r="J349" s="314"/>
      <c r="K349" s="314"/>
      <c r="L349" s="314"/>
      <c r="M349" s="314"/>
      <c r="N349" s="314"/>
      <c r="O349" s="314"/>
      <c r="P349" s="314"/>
      <c r="Q349" s="314"/>
      <c r="R349" s="314"/>
      <c r="S349" s="314"/>
      <c r="T349" s="314"/>
      <c r="U349" s="314"/>
      <c r="V349" s="314"/>
      <c r="W349" s="314"/>
      <c r="X349" s="314"/>
      <c r="Y349" s="314"/>
      <c r="Z349" s="314"/>
      <c r="AA349" s="314"/>
      <c r="AB349" s="314"/>
      <c r="AC349" s="314"/>
      <c r="AD349" s="314"/>
      <c r="AE349" s="314"/>
      <c r="AF349" s="314"/>
    </row>
    <row r="350" spans="5:32" x14ac:dyDescent="0.35">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c r="AA350" s="314"/>
      <c r="AB350" s="314"/>
      <c r="AC350" s="314"/>
      <c r="AD350" s="314"/>
      <c r="AE350" s="314"/>
      <c r="AF350" s="314"/>
    </row>
    <row r="351" spans="5:32" x14ac:dyDescent="0.35">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314"/>
      <c r="AE351" s="314"/>
      <c r="AF351" s="314"/>
    </row>
    <row r="352" spans="5:32" x14ac:dyDescent="0.35">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314"/>
      <c r="AE352" s="314"/>
      <c r="AF352" s="314"/>
    </row>
    <row r="353" spans="5:32" x14ac:dyDescent="0.35">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c r="AA353" s="314"/>
      <c r="AB353" s="314"/>
      <c r="AC353" s="314"/>
      <c r="AD353" s="314"/>
      <c r="AE353" s="314"/>
      <c r="AF353" s="314"/>
    </row>
    <row r="354" spans="5:32" x14ac:dyDescent="0.35">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314"/>
      <c r="AE354" s="314"/>
      <c r="AF354" s="314"/>
    </row>
    <row r="355" spans="5:32" x14ac:dyDescent="0.35">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c r="AA355" s="314"/>
      <c r="AB355" s="314"/>
      <c r="AC355" s="314"/>
      <c r="AD355" s="314"/>
      <c r="AE355" s="314"/>
      <c r="AF355" s="314"/>
    </row>
    <row r="356" spans="5:32" x14ac:dyDescent="0.35">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c r="AA356" s="314"/>
      <c r="AB356" s="314"/>
      <c r="AC356" s="314"/>
      <c r="AD356" s="314"/>
      <c r="AE356" s="314"/>
      <c r="AF356" s="314"/>
    </row>
    <row r="357" spans="5:32" x14ac:dyDescent="0.35">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314"/>
      <c r="AF357" s="314"/>
    </row>
    <row r="358" spans="5:32" x14ac:dyDescent="0.35">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314"/>
      <c r="AF358" s="314"/>
    </row>
    <row r="359" spans="5:32" x14ac:dyDescent="0.35">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314"/>
      <c r="AE359" s="314"/>
      <c r="AF359" s="314"/>
    </row>
    <row r="360" spans="5:32" x14ac:dyDescent="0.35">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314"/>
      <c r="AE360" s="314"/>
      <c r="AF360" s="314"/>
    </row>
    <row r="361" spans="5:32" x14ac:dyDescent="0.35">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c r="AA361" s="314"/>
      <c r="AB361" s="314"/>
      <c r="AC361" s="314"/>
      <c r="AD361" s="314"/>
      <c r="AE361" s="314"/>
      <c r="AF361" s="314"/>
    </row>
    <row r="362" spans="5:32" x14ac:dyDescent="0.35">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c r="AA362" s="314"/>
      <c r="AB362" s="314"/>
      <c r="AC362" s="314"/>
      <c r="AD362" s="314"/>
      <c r="AE362" s="314"/>
      <c r="AF362" s="314"/>
    </row>
    <row r="363" spans="5:32" x14ac:dyDescent="0.35">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314"/>
      <c r="AE363" s="314"/>
      <c r="AF363" s="314"/>
    </row>
    <row r="364" spans="5:32" x14ac:dyDescent="0.35">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c r="AA364" s="314"/>
      <c r="AB364" s="314"/>
      <c r="AC364" s="314"/>
      <c r="AD364" s="314"/>
      <c r="AE364" s="314"/>
      <c r="AF364" s="314"/>
    </row>
    <row r="365" spans="5:32" x14ac:dyDescent="0.35">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c r="AA365" s="314"/>
      <c r="AB365" s="314"/>
      <c r="AC365" s="314"/>
      <c r="AD365" s="314"/>
      <c r="AE365" s="314"/>
      <c r="AF365" s="314"/>
    </row>
    <row r="366" spans="5:32" x14ac:dyDescent="0.35">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314"/>
      <c r="AF366" s="314"/>
    </row>
    <row r="367" spans="5:32" x14ac:dyDescent="0.35">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314"/>
      <c r="AF367" s="314"/>
    </row>
    <row r="368" spans="5:32" x14ac:dyDescent="0.35">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c r="AA368" s="314"/>
      <c r="AB368" s="314"/>
      <c r="AC368" s="314"/>
      <c r="AD368" s="314"/>
      <c r="AE368" s="314"/>
      <c r="AF368" s="314"/>
    </row>
    <row r="369" spans="5:32" x14ac:dyDescent="0.35">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c r="AF369" s="314"/>
    </row>
    <row r="370" spans="5:32" x14ac:dyDescent="0.35">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c r="AA370" s="314"/>
      <c r="AB370" s="314"/>
      <c r="AC370" s="314"/>
      <c r="AD370" s="314"/>
      <c r="AE370" s="314"/>
      <c r="AF370" s="314"/>
    </row>
    <row r="371" spans="5:32" x14ac:dyDescent="0.35">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c r="AA371" s="314"/>
      <c r="AB371" s="314"/>
      <c r="AC371" s="314"/>
      <c r="AD371" s="314"/>
      <c r="AE371" s="314"/>
      <c r="AF371" s="314"/>
    </row>
    <row r="372" spans="5:32" x14ac:dyDescent="0.35">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c r="AA372" s="314"/>
      <c r="AB372" s="314"/>
      <c r="AC372" s="314"/>
      <c r="AD372" s="314"/>
      <c r="AE372" s="314"/>
      <c r="AF372" s="314"/>
    </row>
    <row r="373" spans="5:32" x14ac:dyDescent="0.35">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c r="AA373" s="314"/>
      <c r="AB373" s="314"/>
      <c r="AC373" s="314"/>
      <c r="AD373" s="314"/>
      <c r="AE373" s="314"/>
      <c r="AF373" s="314"/>
    </row>
    <row r="374" spans="5:32" x14ac:dyDescent="0.35">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c r="AA374" s="314"/>
      <c r="AB374" s="314"/>
      <c r="AC374" s="314"/>
      <c r="AD374" s="314"/>
      <c r="AE374" s="314"/>
      <c r="AF374" s="314"/>
    </row>
    <row r="375" spans="5:32" x14ac:dyDescent="0.35">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c r="AA375" s="314"/>
      <c r="AB375" s="314"/>
      <c r="AC375" s="314"/>
      <c r="AD375" s="314"/>
      <c r="AE375" s="314"/>
      <c r="AF375" s="314"/>
    </row>
    <row r="376" spans="5:32" x14ac:dyDescent="0.35">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314"/>
      <c r="AE376" s="314"/>
      <c r="AF376" s="314"/>
    </row>
    <row r="377" spans="5:32" x14ac:dyDescent="0.35">
      <c r="E377" s="314"/>
      <c r="F377" s="314"/>
      <c r="G377" s="314"/>
      <c r="H377" s="314"/>
      <c r="I377" s="314"/>
      <c r="J377" s="314"/>
      <c r="K377" s="314"/>
      <c r="L377" s="314"/>
      <c r="M377" s="314"/>
      <c r="N377" s="314"/>
      <c r="O377" s="314"/>
      <c r="P377" s="314"/>
      <c r="Q377" s="314"/>
      <c r="R377" s="314"/>
      <c r="S377" s="314"/>
      <c r="T377" s="314"/>
      <c r="U377" s="314"/>
      <c r="V377" s="314"/>
      <c r="W377" s="314"/>
      <c r="X377" s="314"/>
      <c r="Y377" s="314"/>
      <c r="Z377" s="314"/>
      <c r="AA377" s="314"/>
      <c r="AB377" s="314"/>
      <c r="AC377" s="314"/>
      <c r="AD377" s="314"/>
      <c r="AE377" s="314"/>
      <c r="AF377" s="314"/>
    </row>
    <row r="378" spans="5:32" x14ac:dyDescent="0.35">
      <c r="E378" s="314"/>
      <c r="F378" s="314"/>
      <c r="G378" s="314"/>
      <c r="H378" s="314"/>
      <c r="I378" s="314"/>
      <c r="J378" s="314"/>
      <c r="K378" s="314"/>
      <c r="L378" s="314"/>
      <c r="M378" s="314"/>
      <c r="N378" s="314"/>
      <c r="O378" s="314"/>
      <c r="P378" s="314"/>
      <c r="Q378" s="314"/>
      <c r="R378" s="314"/>
      <c r="S378" s="314"/>
      <c r="T378" s="314"/>
      <c r="U378" s="314"/>
      <c r="V378" s="314"/>
      <c r="W378" s="314"/>
      <c r="X378" s="314"/>
      <c r="Y378" s="314"/>
      <c r="Z378" s="314"/>
      <c r="AA378" s="314"/>
      <c r="AB378" s="314"/>
      <c r="AC378" s="314"/>
      <c r="AD378" s="314"/>
      <c r="AE378" s="314"/>
      <c r="AF378" s="314"/>
    </row>
    <row r="379" spans="5:32" x14ac:dyDescent="0.35">
      <c r="E379" s="314"/>
      <c r="F379" s="314"/>
      <c r="G379" s="314"/>
      <c r="H379" s="314"/>
      <c r="I379" s="314"/>
      <c r="J379" s="314"/>
      <c r="K379" s="314"/>
      <c r="L379" s="314"/>
      <c r="M379" s="314"/>
      <c r="N379" s="314"/>
      <c r="O379" s="314"/>
      <c r="P379" s="314"/>
      <c r="Q379" s="314"/>
      <c r="R379" s="314"/>
      <c r="S379" s="314"/>
      <c r="T379" s="314"/>
      <c r="U379" s="314"/>
      <c r="V379" s="314"/>
      <c r="W379" s="314"/>
      <c r="X379" s="314"/>
      <c r="Y379" s="314"/>
      <c r="Z379" s="314"/>
      <c r="AA379" s="314"/>
      <c r="AB379" s="314"/>
      <c r="AC379" s="314"/>
      <c r="AD379" s="314"/>
      <c r="AE379" s="314"/>
      <c r="AF379" s="314"/>
    </row>
    <row r="380" spans="5:32" x14ac:dyDescent="0.35">
      <c r="E380" s="314"/>
      <c r="F380" s="314"/>
      <c r="G380" s="314"/>
      <c r="H380" s="314"/>
      <c r="I380" s="314"/>
      <c r="J380" s="314"/>
      <c r="K380" s="314"/>
      <c r="L380" s="314"/>
      <c r="M380" s="314"/>
      <c r="N380" s="314"/>
      <c r="O380" s="314"/>
      <c r="P380" s="314"/>
      <c r="Q380" s="314"/>
      <c r="R380" s="314"/>
      <c r="S380" s="314"/>
      <c r="T380" s="314"/>
      <c r="U380" s="314"/>
      <c r="V380" s="314"/>
      <c r="W380" s="314"/>
      <c r="X380" s="314"/>
      <c r="Y380" s="314"/>
      <c r="Z380" s="314"/>
      <c r="AA380" s="314"/>
      <c r="AB380" s="314"/>
      <c r="AC380" s="314"/>
      <c r="AD380" s="314"/>
      <c r="AE380" s="314"/>
      <c r="AF380" s="314"/>
    </row>
    <row r="381" spans="5:32" x14ac:dyDescent="0.35">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314"/>
      <c r="AE381" s="314"/>
      <c r="AF381" s="314"/>
    </row>
    <row r="382" spans="5:32" x14ac:dyDescent="0.35">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14"/>
      <c r="AE382" s="314"/>
      <c r="AF382" s="314"/>
    </row>
    <row r="383" spans="5:32" x14ac:dyDescent="0.35">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314"/>
      <c r="AF383" s="314"/>
    </row>
    <row r="384" spans="5:32" x14ac:dyDescent="0.35">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314"/>
      <c r="AF384" s="314"/>
    </row>
    <row r="385" spans="5:32" x14ac:dyDescent="0.35">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314"/>
      <c r="AE385" s="314"/>
      <c r="AF385" s="314"/>
    </row>
    <row r="386" spans="5:32" x14ac:dyDescent="0.35">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314"/>
      <c r="AE386" s="314"/>
      <c r="AF386" s="314"/>
    </row>
    <row r="387" spans="5:32" x14ac:dyDescent="0.35">
      <c r="E387" s="314"/>
      <c r="F387" s="314"/>
      <c r="G387" s="314"/>
      <c r="H387" s="314"/>
      <c r="I387" s="314"/>
      <c r="J387" s="314"/>
      <c r="K387" s="314"/>
      <c r="L387" s="314"/>
      <c r="M387" s="314"/>
      <c r="N387" s="314"/>
      <c r="O387" s="314"/>
      <c r="P387" s="314"/>
      <c r="Q387" s="314"/>
      <c r="R387" s="314"/>
      <c r="S387" s="314"/>
      <c r="T387" s="314"/>
      <c r="U387" s="314"/>
      <c r="V387" s="314"/>
      <c r="W387" s="314"/>
      <c r="X387" s="314"/>
      <c r="Y387" s="314"/>
      <c r="Z387" s="314"/>
      <c r="AA387" s="314"/>
      <c r="AB387" s="314"/>
      <c r="AC387" s="314"/>
      <c r="AD387" s="314"/>
      <c r="AE387" s="314"/>
      <c r="AF387" s="314"/>
    </row>
    <row r="388" spans="5:32" x14ac:dyDescent="0.35">
      <c r="E388" s="314"/>
      <c r="F388" s="314"/>
      <c r="G388" s="314"/>
      <c r="H388" s="314"/>
      <c r="I388" s="314"/>
      <c r="J388" s="314"/>
      <c r="K388" s="314"/>
      <c r="L388" s="314"/>
      <c r="M388" s="314"/>
      <c r="N388" s="314"/>
      <c r="O388" s="314"/>
      <c r="P388" s="314"/>
      <c r="Q388" s="314"/>
      <c r="R388" s="314"/>
      <c r="S388" s="314"/>
      <c r="T388" s="314"/>
      <c r="U388" s="314"/>
      <c r="V388" s="314"/>
      <c r="W388" s="314"/>
      <c r="X388" s="314"/>
      <c r="Y388" s="314"/>
      <c r="Z388" s="314"/>
      <c r="AA388" s="314"/>
      <c r="AB388" s="314"/>
      <c r="AC388" s="314"/>
      <c r="AD388" s="314"/>
      <c r="AE388" s="314"/>
      <c r="AF388" s="314"/>
    </row>
    <row r="389" spans="5:32" x14ac:dyDescent="0.35">
      <c r="E389" s="314"/>
      <c r="F389" s="314"/>
      <c r="G389" s="314"/>
      <c r="H389" s="314"/>
      <c r="I389" s="314"/>
      <c r="J389" s="314"/>
      <c r="K389" s="314"/>
      <c r="L389" s="314"/>
      <c r="M389" s="314"/>
      <c r="N389" s="314"/>
      <c r="O389" s="314"/>
      <c r="P389" s="314"/>
      <c r="Q389" s="314"/>
      <c r="R389" s="314"/>
      <c r="S389" s="314"/>
      <c r="T389" s="314"/>
      <c r="U389" s="314"/>
      <c r="V389" s="314"/>
      <c r="W389" s="314"/>
      <c r="X389" s="314"/>
      <c r="Y389" s="314"/>
      <c r="Z389" s="314"/>
      <c r="AA389" s="314"/>
      <c r="AB389" s="314"/>
      <c r="AC389" s="314"/>
      <c r="AD389" s="314"/>
      <c r="AE389" s="314"/>
      <c r="AF389" s="314"/>
    </row>
    <row r="390" spans="5:32" x14ac:dyDescent="0.35">
      <c r="E390" s="314"/>
      <c r="F390" s="314"/>
      <c r="G390" s="314"/>
      <c r="H390" s="314"/>
      <c r="I390" s="314"/>
      <c r="J390" s="314"/>
      <c r="K390" s="314"/>
      <c r="L390" s="314"/>
      <c r="M390" s="314"/>
      <c r="N390" s="314"/>
      <c r="O390" s="314"/>
      <c r="P390" s="314"/>
      <c r="Q390" s="314"/>
      <c r="R390" s="314"/>
      <c r="S390" s="314"/>
      <c r="T390" s="314"/>
      <c r="U390" s="314"/>
      <c r="V390" s="314"/>
      <c r="W390" s="314"/>
      <c r="X390" s="314"/>
      <c r="Y390" s="314"/>
      <c r="Z390" s="314"/>
      <c r="AA390" s="314"/>
      <c r="AB390" s="314"/>
      <c r="AC390" s="314"/>
      <c r="AD390" s="314"/>
      <c r="AE390" s="314"/>
      <c r="AF390" s="314"/>
    </row>
    <row r="391" spans="5:32" x14ac:dyDescent="0.35">
      <c r="E391" s="314"/>
      <c r="F391" s="314"/>
      <c r="G391" s="314"/>
      <c r="H391" s="314"/>
      <c r="I391" s="314"/>
      <c r="J391" s="314"/>
      <c r="K391" s="314"/>
      <c r="L391" s="314"/>
      <c r="M391" s="314"/>
      <c r="N391" s="314"/>
      <c r="O391" s="314"/>
      <c r="P391" s="314"/>
      <c r="Q391" s="314"/>
      <c r="R391" s="314"/>
      <c r="S391" s="314"/>
      <c r="T391" s="314"/>
      <c r="U391" s="314"/>
      <c r="V391" s="314"/>
      <c r="W391" s="314"/>
      <c r="X391" s="314"/>
      <c r="Y391" s="314"/>
      <c r="Z391" s="314"/>
      <c r="AA391" s="314"/>
      <c r="AB391" s="314"/>
      <c r="AC391" s="314"/>
      <c r="AD391" s="314"/>
      <c r="AE391" s="314"/>
      <c r="AF391" s="314"/>
    </row>
    <row r="392" spans="5:32" x14ac:dyDescent="0.35">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314"/>
      <c r="AF392" s="314"/>
    </row>
    <row r="393" spans="5:32" x14ac:dyDescent="0.35">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314"/>
      <c r="AF393" s="314"/>
    </row>
    <row r="394" spans="5:32" x14ac:dyDescent="0.35">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314"/>
      <c r="AC394" s="314"/>
      <c r="AD394" s="314"/>
      <c r="AE394" s="314"/>
      <c r="AF394" s="314"/>
    </row>
    <row r="395" spans="5:32" x14ac:dyDescent="0.35">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314"/>
      <c r="AE395" s="314"/>
      <c r="AF395" s="314"/>
    </row>
    <row r="396" spans="5:32" x14ac:dyDescent="0.35">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314"/>
      <c r="AE396" s="314"/>
      <c r="AF396" s="314"/>
    </row>
    <row r="397" spans="5:32" x14ac:dyDescent="0.35">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314"/>
      <c r="AE397" s="314"/>
      <c r="AF397" s="314"/>
    </row>
    <row r="398" spans="5:32" x14ac:dyDescent="0.35">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c r="AA398" s="314"/>
      <c r="AB398" s="314"/>
      <c r="AC398" s="314"/>
      <c r="AD398" s="314"/>
      <c r="AE398" s="314"/>
      <c r="AF398" s="314"/>
    </row>
    <row r="399" spans="5:32" x14ac:dyDescent="0.35">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314"/>
      <c r="AE399" s="314"/>
      <c r="AF399" s="314"/>
    </row>
    <row r="400" spans="5:32" x14ac:dyDescent="0.35">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c r="AA400" s="314"/>
      <c r="AB400" s="314"/>
      <c r="AC400" s="314"/>
      <c r="AD400" s="314"/>
      <c r="AE400" s="314"/>
      <c r="AF400" s="314"/>
    </row>
    <row r="401" spans="5:32" x14ac:dyDescent="0.35">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c r="AA401" s="314"/>
      <c r="AB401" s="314"/>
      <c r="AC401" s="314"/>
      <c r="AD401" s="314"/>
      <c r="AE401" s="314"/>
      <c r="AF401" s="314"/>
    </row>
    <row r="402" spans="5:32" x14ac:dyDescent="0.35">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c r="AA402" s="314"/>
      <c r="AB402" s="314"/>
      <c r="AC402" s="314"/>
      <c r="AD402" s="314"/>
      <c r="AE402" s="314"/>
      <c r="AF402" s="314"/>
    </row>
    <row r="403" spans="5:32" x14ac:dyDescent="0.35">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314"/>
      <c r="AE403" s="314"/>
      <c r="AF403" s="314"/>
    </row>
    <row r="404" spans="5:32" x14ac:dyDescent="0.35">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c r="AA404" s="314"/>
      <c r="AB404" s="314"/>
      <c r="AC404" s="314"/>
      <c r="AD404" s="314"/>
      <c r="AE404" s="314"/>
      <c r="AF404" s="314"/>
    </row>
    <row r="405" spans="5:32" x14ac:dyDescent="0.35">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314"/>
      <c r="AE405" s="314"/>
      <c r="AF405" s="314"/>
    </row>
    <row r="406" spans="5:32" x14ac:dyDescent="0.35">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314"/>
      <c r="AE406" s="314"/>
      <c r="AF406" s="314"/>
    </row>
    <row r="407" spans="5:32" x14ac:dyDescent="0.35">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314"/>
      <c r="AF407" s="314"/>
    </row>
    <row r="408" spans="5:32" x14ac:dyDescent="0.35">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314"/>
      <c r="AF408" s="314"/>
    </row>
    <row r="409" spans="5:32" x14ac:dyDescent="0.35">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314"/>
      <c r="AE409" s="314"/>
      <c r="AF409" s="314"/>
    </row>
    <row r="410" spans="5:32" x14ac:dyDescent="0.35">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14"/>
      <c r="AE410" s="314"/>
      <c r="AF410" s="314"/>
    </row>
    <row r="411" spans="5:32" x14ac:dyDescent="0.35">
      <c r="E411" s="314"/>
      <c r="F411" s="314"/>
      <c r="G411" s="314"/>
      <c r="H411" s="314"/>
      <c r="I411" s="314"/>
      <c r="J411" s="314"/>
      <c r="K411" s="314"/>
      <c r="L411" s="314"/>
      <c r="M411" s="314"/>
      <c r="N411" s="314"/>
      <c r="O411" s="314"/>
      <c r="P411" s="314"/>
      <c r="Q411" s="314"/>
      <c r="R411" s="314"/>
      <c r="S411" s="314"/>
      <c r="T411" s="314"/>
      <c r="U411" s="314"/>
      <c r="V411" s="314"/>
      <c r="W411" s="314"/>
      <c r="X411" s="314"/>
      <c r="Y411" s="314"/>
      <c r="Z411" s="314"/>
      <c r="AA411" s="314"/>
      <c r="AB411" s="314"/>
      <c r="AC411" s="314"/>
      <c r="AD411" s="314"/>
      <c r="AE411" s="314"/>
      <c r="AF411" s="314"/>
    </row>
    <row r="412" spans="5:32" x14ac:dyDescent="0.35">
      <c r="E412" s="314"/>
      <c r="F412" s="314"/>
      <c r="G412" s="314"/>
      <c r="H412" s="314"/>
      <c r="I412" s="314"/>
      <c r="J412" s="314"/>
      <c r="K412" s="314"/>
      <c r="L412" s="314"/>
      <c r="M412" s="314"/>
      <c r="N412" s="314"/>
      <c r="O412" s="314"/>
      <c r="P412" s="314"/>
      <c r="Q412" s="314"/>
      <c r="R412" s="314"/>
      <c r="S412" s="314"/>
      <c r="T412" s="314"/>
      <c r="U412" s="314"/>
      <c r="V412" s="314"/>
      <c r="W412" s="314"/>
      <c r="X412" s="314"/>
      <c r="Y412" s="314"/>
      <c r="Z412" s="314"/>
      <c r="AA412" s="314"/>
      <c r="AB412" s="314"/>
      <c r="AC412" s="314"/>
      <c r="AD412" s="314"/>
      <c r="AE412" s="314"/>
      <c r="AF412" s="314"/>
    </row>
    <row r="413" spans="5:32" x14ac:dyDescent="0.35">
      <c r="E413" s="314"/>
      <c r="F413" s="314"/>
      <c r="G413" s="314"/>
      <c r="H413" s="314"/>
      <c r="I413" s="314"/>
      <c r="J413" s="314"/>
      <c r="K413" s="314"/>
      <c r="L413" s="314"/>
      <c r="M413" s="314"/>
      <c r="N413" s="314"/>
      <c r="O413" s="314"/>
      <c r="P413" s="314"/>
      <c r="Q413" s="314"/>
      <c r="R413" s="314"/>
      <c r="S413" s="314"/>
      <c r="T413" s="314"/>
      <c r="U413" s="314"/>
      <c r="V413" s="314"/>
      <c r="W413" s="314"/>
      <c r="X413" s="314"/>
      <c r="Y413" s="314"/>
      <c r="Z413" s="314"/>
      <c r="AA413" s="314"/>
      <c r="AB413" s="314"/>
      <c r="AC413" s="314"/>
      <c r="AD413" s="314"/>
      <c r="AE413" s="314"/>
      <c r="AF413" s="314"/>
    </row>
    <row r="414" spans="5:32" x14ac:dyDescent="0.35">
      <c r="E414" s="314"/>
      <c r="F414" s="314"/>
      <c r="G414" s="314"/>
      <c r="H414" s="314"/>
      <c r="I414" s="314"/>
      <c r="J414" s="314"/>
      <c r="K414" s="314"/>
      <c r="L414" s="314"/>
      <c r="M414" s="314"/>
      <c r="N414" s="314"/>
      <c r="O414" s="314"/>
      <c r="P414" s="314"/>
      <c r="Q414" s="314"/>
      <c r="R414" s="314"/>
      <c r="S414" s="314"/>
      <c r="T414" s="314"/>
      <c r="U414" s="314"/>
      <c r="V414" s="314"/>
      <c r="W414" s="314"/>
      <c r="X414" s="314"/>
      <c r="Y414" s="314"/>
      <c r="Z414" s="314"/>
      <c r="AA414" s="314"/>
      <c r="AB414" s="314"/>
      <c r="AC414" s="314"/>
      <c r="AD414" s="314"/>
      <c r="AE414" s="314"/>
      <c r="AF414" s="314"/>
    </row>
    <row r="415" spans="5:32" x14ac:dyDescent="0.35">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c r="AA415" s="314"/>
      <c r="AB415" s="314"/>
      <c r="AC415" s="314"/>
      <c r="AD415" s="314"/>
      <c r="AE415" s="314"/>
      <c r="AF415" s="314"/>
    </row>
    <row r="416" spans="5:32" x14ac:dyDescent="0.35">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314"/>
      <c r="AF416" s="314"/>
    </row>
    <row r="417" spans="5:32" x14ac:dyDescent="0.35">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314"/>
      <c r="AF417" s="314"/>
    </row>
    <row r="418" spans="5:32" x14ac:dyDescent="0.35">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c r="AA418" s="314"/>
      <c r="AB418" s="314"/>
      <c r="AC418" s="314"/>
      <c r="AD418" s="314"/>
      <c r="AE418" s="314"/>
      <c r="AF418" s="314"/>
    </row>
    <row r="419" spans="5:32" x14ac:dyDescent="0.35">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314"/>
      <c r="AF419" s="314"/>
    </row>
    <row r="420" spans="5:32" x14ac:dyDescent="0.35">
      <c r="E420" s="314"/>
      <c r="F420" s="314"/>
      <c r="G420" s="314"/>
      <c r="H420" s="314"/>
      <c r="I420" s="314"/>
      <c r="J420" s="314"/>
      <c r="K420" s="314"/>
      <c r="L420" s="314"/>
      <c r="M420" s="314"/>
      <c r="N420" s="314"/>
      <c r="O420" s="314"/>
      <c r="P420" s="314"/>
      <c r="Q420" s="314"/>
      <c r="R420" s="314"/>
      <c r="S420" s="314"/>
      <c r="T420" s="314"/>
      <c r="U420" s="314"/>
      <c r="V420" s="314"/>
      <c r="W420" s="314"/>
      <c r="X420" s="314"/>
      <c r="Y420" s="314"/>
      <c r="Z420" s="314"/>
      <c r="AA420" s="314"/>
      <c r="AB420" s="314"/>
      <c r="AC420" s="314"/>
      <c r="AD420" s="314"/>
      <c r="AE420" s="314"/>
      <c r="AF420" s="314"/>
    </row>
    <row r="421" spans="5:32" x14ac:dyDescent="0.35">
      <c r="E421" s="314"/>
      <c r="F421" s="314"/>
      <c r="G421" s="314"/>
      <c r="H421" s="314"/>
      <c r="I421" s="314"/>
      <c r="J421" s="314"/>
      <c r="K421" s="314"/>
      <c r="L421" s="314"/>
      <c r="M421" s="314"/>
      <c r="N421" s="314"/>
      <c r="O421" s="314"/>
      <c r="P421" s="314"/>
      <c r="Q421" s="314"/>
      <c r="R421" s="314"/>
      <c r="S421" s="314"/>
      <c r="T421" s="314"/>
      <c r="U421" s="314"/>
      <c r="V421" s="314"/>
      <c r="W421" s="314"/>
      <c r="X421" s="314"/>
      <c r="Y421" s="314"/>
      <c r="Z421" s="314"/>
      <c r="AA421" s="314"/>
      <c r="AB421" s="314"/>
      <c r="AC421" s="314"/>
      <c r="AD421" s="314"/>
      <c r="AE421" s="314"/>
      <c r="AF421" s="314"/>
    </row>
    <row r="422" spans="5:32" x14ac:dyDescent="0.35">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314"/>
      <c r="AF422" s="314"/>
    </row>
    <row r="423" spans="5:32" x14ac:dyDescent="0.35">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314"/>
      <c r="AF423" s="314"/>
    </row>
    <row r="424" spans="5:32" x14ac:dyDescent="0.35">
      <c r="E424" s="314"/>
      <c r="F424" s="314"/>
      <c r="G424" s="314"/>
      <c r="H424" s="314"/>
      <c r="I424" s="314"/>
      <c r="J424" s="314"/>
      <c r="K424" s="314"/>
      <c r="L424" s="314"/>
      <c r="M424" s="314"/>
      <c r="N424" s="314"/>
      <c r="O424" s="314"/>
      <c r="P424" s="314"/>
      <c r="Q424" s="314"/>
      <c r="R424" s="314"/>
      <c r="S424" s="314"/>
      <c r="T424" s="314"/>
      <c r="U424" s="314"/>
      <c r="V424" s="314"/>
      <c r="W424" s="314"/>
      <c r="X424" s="314"/>
      <c r="Y424" s="314"/>
      <c r="Z424" s="314"/>
      <c r="AA424" s="314"/>
      <c r="AB424" s="314"/>
      <c r="AC424" s="314"/>
      <c r="AD424" s="314"/>
      <c r="AE424" s="314"/>
      <c r="AF424" s="314"/>
    </row>
    <row r="425" spans="5:32" x14ac:dyDescent="0.35">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314"/>
      <c r="AE425" s="314"/>
      <c r="AF425" s="314"/>
    </row>
    <row r="426" spans="5:32" x14ac:dyDescent="0.35">
      <c r="E426" s="314"/>
      <c r="F426" s="314"/>
      <c r="G426" s="314"/>
      <c r="H426" s="314"/>
      <c r="I426" s="314"/>
      <c r="J426" s="314"/>
      <c r="K426" s="314"/>
      <c r="L426" s="314"/>
      <c r="M426" s="314"/>
      <c r="N426" s="314"/>
      <c r="O426" s="314"/>
      <c r="P426" s="314"/>
      <c r="Q426" s="314"/>
      <c r="R426" s="314"/>
      <c r="S426" s="314"/>
      <c r="T426" s="314"/>
      <c r="U426" s="314"/>
      <c r="V426" s="314"/>
      <c r="W426" s="314"/>
      <c r="X426" s="314"/>
      <c r="Y426" s="314"/>
      <c r="Z426" s="314"/>
      <c r="AA426" s="314"/>
      <c r="AB426" s="314"/>
      <c r="AC426" s="314"/>
      <c r="AD426" s="314"/>
      <c r="AE426" s="314"/>
      <c r="AF426" s="314"/>
    </row>
    <row r="427" spans="5:32" x14ac:dyDescent="0.35">
      <c r="E427" s="314"/>
      <c r="F427" s="314"/>
      <c r="G427" s="314"/>
      <c r="H427" s="314"/>
      <c r="I427" s="314"/>
      <c r="J427" s="314"/>
      <c r="K427" s="314"/>
      <c r="L427" s="314"/>
      <c r="M427" s="314"/>
      <c r="N427" s="314"/>
      <c r="O427" s="314"/>
      <c r="P427" s="314"/>
      <c r="Q427" s="314"/>
      <c r="R427" s="314"/>
      <c r="S427" s="314"/>
      <c r="T427" s="314"/>
      <c r="U427" s="314"/>
      <c r="V427" s="314"/>
      <c r="W427" s="314"/>
      <c r="X427" s="314"/>
      <c r="Y427" s="314"/>
      <c r="Z427" s="314"/>
      <c r="AA427" s="314"/>
      <c r="AB427" s="314"/>
      <c r="AC427" s="314"/>
      <c r="AD427" s="314"/>
      <c r="AE427" s="314"/>
      <c r="AF427" s="314"/>
    </row>
    <row r="428" spans="5:32" x14ac:dyDescent="0.35">
      <c r="E428" s="314"/>
      <c r="F428" s="314"/>
      <c r="G428" s="314"/>
      <c r="H428" s="314"/>
      <c r="I428" s="314"/>
      <c r="J428" s="314"/>
      <c r="K428" s="314"/>
      <c r="L428" s="314"/>
      <c r="M428" s="314"/>
      <c r="N428" s="314"/>
      <c r="O428" s="314"/>
      <c r="P428" s="314"/>
      <c r="Q428" s="314"/>
      <c r="R428" s="314"/>
      <c r="S428" s="314"/>
      <c r="T428" s="314"/>
      <c r="U428" s="314"/>
      <c r="V428" s="314"/>
      <c r="W428" s="314"/>
      <c r="X428" s="314"/>
      <c r="Y428" s="314"/>
      <c r="Z428" s="314"/>
      <c r="AA428" s="314"/>
      <c r="AB428" s="314"/>
      <c r="AC428" s="314"/>
      <c r="AD428" s="314"/>
      <c r="AE428" s="314"/>
      <c r="AF428" s="314"/>
    </row>
    <row r="429" spans="5:32" x14ac:dyDescent="0.35">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c r="AA429" s="314"/>
      <c r="AB429" s="314"/>
      <c r="AC429" s="314"/>
      <c r="AD429" s="314"/>
      <c r="AE429" s="314"/>
      <c r="AF429" s="314"/>
    </row>
    <row r="430" spans="5:32" ht="14.15" customHeight="1" x14ac:dyDescent="0.35">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c r="AA430" s="314"/>
      <c r="AB430" s="314"/>
      <c r="AC430" s="314"/>
      <c r="AD430" s="314"/>
      <c r="AE430" s="314"/>
      <c r="AF430" s="314"/>
    </row>
    <row r="431" spans="5:32" x14ac:dyDescent="0.35">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314"/>
      <c r="AE431" s="314"/>
      <c r="AF431" s="314"/>
    </row>
    <row r="432" spans="5:32" ht="14.15" customHeight="1" x14ac:dyDescent="0.35">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314"/>
      <c r="AF432" s="314"/>
    </row>
    <row r="433" spans="5:32" ht="14.15" customHeight="1" x14ac:dyDescent="0.35">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314"/>
      <c r="AF433" s="314"/>
    </row>
    <row r="434" spans="5:32" ht="14.15" customHeight="1" x14ac:dyDescent="0.35">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c r="AA434" s="314"/>
      <c r="AB434" s="314"/>
      <c r="AC434" s="314"/>
      <c r="AD434" s="314"/>
      <c r="AE434" s="314"/>
      <c r="AF434" s="314"/>
    </row>
    <row r="435" spans="5:32" ht="14.15" customHeight="1" x14ac:dyDescent="0.35">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314"/>
      <c r="AE435" s="314"/>
      <c r="AF435" s="314"/>
    </row>
    <row r="436" spans="5:32" ht="14.15" customHeight="1" x14ac:dyDescent="0.35">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c r="AA436" s="314"/>
      <c r="AB436" s="314"/>
      <c r="AC436" s="314"/>
      <c r="AD436" s="314"/>
      <c r="AE436" s="314"/>
      <c r="AF436" s="314"/>
    </row>
    <row r="437" spans="5:32" ht="14.15" customHeight="1" x14ac:dyDescent="0.35">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314"/>
      <c r="AE437" s="314"/>
      <c r="AF437" s="314"/>
    </row>
    <row r="438" spans="5:32" ht="14.15" customHeight="1" x14ac:dyDescent="0.35">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314"/>
      <c r="AE438" s="314"/>
      <c r="AF438" s="314"/>
    </row>
    <row r="439" spans="5:32" ht="14.15" customHeight="1" x14ac:dyDescent="0.35">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c r="AA439" s="314"/>
      <c r="AB439" s="314"/>
      <c r="AC439" s="314"/>
      <c r="AD439" s="314"/>
      <c r="AE439" s="314"/>
      <c r="AF439" s="314"/>
    </row>
    <row r="440" spans="5:32" ht="14.15" customHeight="1" x14ac:dyDescent="0.35">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c r="AA440" s="314"/>
      <c r="AB440" s="314"/>
      <c r="AC440" s="314"/>
      <c r="AD440" s="314"/>
      <c r="AE440" s="314"/>
      <c r="AF440" s="314"/>
    </row>
    <row r="441" spans="5:32" ht="14.15" customHeight="1" x14ac:dyDescent="0.35">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314"/>
      <c r="AF441" s="314"/>
    </row>
    <row r="442" spans="5:32" ht="14.15" customHeight="1" x14ac:dyDescent="0.35">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314"/>
      <c r="AF442" s="314"/>
    </row>
    <row r="443" spans="5:32" ht="14.15" customHeight="1" x14ac:dyDescent="0.35">
      <c r="E443" s="314"/>
      <c r="F443" s="314"/>
      <c r="G443" s="314"/>
      <c r="H443" s="314"/>
      <c r="I443" s="314"/>
      <c r="J443" s="314"/>
      <c r="K443" s="314"/>
      <c r="L443" s="314"/>
      <c r="M443" s="314"/>
      <c r="N443" s="314"/>
      <c r="O443" s="314"/>
      <c r="P443" s="314"/>
      <c r="Q443" s="314"/>
      <c r="R443" s="314"/>
      <c r="S443" s="314"/>
      <c r="T443" s="314"/>
      <c r="U443" s="314"/>
      <c r="V443" s="314"/>
      <c r="W443" s="314"/>
      <c r="X443" s="314"/>
      <c r="Y443" s="314"/>
      <c r="Z443" s="314"/>
      <c r="AA443" s="314"/>
      <c r="AB443" s="314"/>
      <c r="AC443" s="314"/>
      <c r="AD443" s="314"/>
      <c r="AE443" s="314"/>
      <c r="AF443" s="314"/>
    </row>
    <row r="444" spans="5:32" ht="14.15" customHeight="1" x14ac:dyDescent="0.35">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c r="AA444" s="314"/>
      <c r="AB444" s="314"/>
      <c r="AC444" s="314"/>
      <c r="AD444" s="314"/>
      <c r="AE444" s="314"/>
      <c r="AF444" s="314"/>
    </row>
    <row r="445" spans="5:32" ht="14.15" customHeight="1" x14ac:dyDescent="0.35">
      <c r="E445" s="314"/>
      <c r="F445" s="314"/>
      <c r="G445" s="314"/>
      <c r="H445" s="314"/>
      <c r="I445" s="314"/>
      <c r="J445" s="314"/>
      <c r="K445" s="314"/>
      <c r="L445" s="314"/>
      <c r="M445" s="314"/>
      <c r="N445" s="314"/>
      <c r="O445" s="314"/>
      <c r="P445" s="314"/>
      <c r="Q445" s="314"/>
      <c r="R445" s="314"/>
      <c r="S445" s="314"/>
      <c r="T445" s="314"/>
      <c r="U445" s="314"/>
      <c r="V445" s="314"/>
      <c r="W445" s="314"/>
      <c r="X445" s="314"/>
      <c r="Y445" s="314"/>
      <c r="Z445" s="314"/>
      <c r="AA445" s="314"/>
      <c r="AB445" s="314"/>
      <c r="AC445" s="314"/>
      <c r="AD445" s="314"/>
      <c r="AE445" s="314"/>
      <c r="AF445" s="314"/>
    </row>
    <row r="446" spans="5:32" ht="14.15" customHeight="1" x14ac:dyDescent="0.35">
      <c r="E446" s="314"/>
      <c r="F446" s="314"/>
      <c r="G446" s="314"/>
      <c r="H446" s="314"/>
      <c r="I446" s="314"/>
      <c r="J446" s="314"/>
      <c r="K446" s="314"/>
      <c r="L446" s="314"/>
      <c r="M446" s="314"/>
      <c r="N446" s="314"/>
      <c r="O446" s="314"/>
      <c r="P446" s="314"/>
      <c r="Q446" s="314"/>
      <c r="R446" s="314"/>
      <c r="S446" s="314"/>
      <c r="T446" s="314"/>
      <c r="U446" s="314"/>
      <c r="V446" s="314"/>
      <c r="W446" s="314"/>
      <c r="X446" s="314"/>
      <c r="Y446" s="314"/>
      <c r="Z446" s="314"/>
      <c r="AA446" s="314"/>
      <c r="AB446" s="314"/>
      <c r="AC446" s="314"/>
      <c r="AD446" s="314"/>
      <c r="AE446" s="314"/>
      <c r="AF446" s="314"/>
    </row>
    <row r="447" spans="5:32" ht="14.15" customHeight="1" x14ac:dyDescent="0.35">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c r="AA447" s="314"/>
      <c r="AB447" s="314"/>
      <c r="AC447" s="314"/>
      <c r="AD447" s="314"/>
      <c r="AE447" s="314"/>
      <c r="AF447" s="314"/>
    </row>
    <row r="448" spans="5:32" ht="14.15" customHeight="1" x14ac:dyDescent="0.35">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c r="AA448" s="314"/>
      <c r="AB448" s="314"/>
      <c r="AC448" s="314"/>
      <c r="AD448" s="314"/>
      <c r="AE448" s="314"/>
      <c r="AF448" s="314"/>
    </row>
    <row r="449" spans="5:32" ht="14.15" customHeight="1" x14ac:dyDescent="0.35">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314"/>
      <c r="AE449" s="314"/>
      <c r="AF449" s="314"/>
    </row>
    <row r="450" spans="5:32" ht="14.15" customHeight="1" x14ac:dyDescent="0.35">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314"/>
      <c r="AE450" s="314"/>
      <c r="AF450" s="314"/>
    </row>
    <row r="451" spans="5:32" ht="14.15" customHeight="1" x14ac:dyDescent="0.35">
      <c r="E451" s="314"/>
      <c r="F451" s="314"/>
      <c r="G451" s="314"/>
      <c r="H451" s="314"/>
      <c r="I451" s="314"/>
      <c r="J451" s="314"/>
      <c r="K451" s="314"/>
      <c r="L451" s="314"/>
      <c r="M451" s="314"/>
      <c r="N451" s="314"/>
      <c r="O451" s="314"/>
      <c r="P451" s="314"/>
      <c r="Q451" s="314"/>
      <c r="R451" s="314"/>
      <c r="S451" s="314"/>
      <c r="T451" s="314"/>
      <c r="U451" s="314"/>
      <c r="V451" s="314"/>
      <c r="W451" s="314"/>
      <c r="X451" s="314"/>
      <c r="Y451" s="314"/>
      <c r="Z451" s="314"/>
      <c r="AA451" s="314"/>
      <c r="AB451" s="314"/>
      <c r="AC451" s="314"/>
      <c r="AD451" s="314"/>
      <c r="AE451" s="314"/>
      <c r="AF451" s="314"/>
    </row>
    <row r="452" spans="5:32" ht="14.15" customHeight="1" x14ac:dyDescent="0.35">
      <c r="E452" s="314"/>
      <c r="F452" s="314"/>
      <c r="G452" s="314"/>
      <c r="H452" s="314"/>
      <c r="I452" s="314"/>
      <c r="J452" s="314"/>
      <c r="K452" s="314"/>
      <c r="L452" s="314"/>
      <c r="M452" s="314"/>
      <c r="N452" s="314"/>
      <c r="O452" s="314"/>
      <c r="P452" s="314"/>
      <c r="Q452" s="314"/>
      <c r="R452" s="314"/>
      <c r="S452" s="314"/>
      <c r="T452" s="314"/>
      <c r="U452" s="314"/>
      <c r="V452" s="314"/>
      <c r="W452" s="314"/>
      <c r="X452" s="314"/>
      <c r="Y452" s="314"/>
      <c r="Z452" s="314"/>
      <c r="AA452" s="314"/>
      <c r="AB452" s="314"/>
      <c r="AC452" s="314"/>
      <c r="AD452" s="314"/>
      <c r="AE452" s="314"/>
      <c r="AF452" s="314"/>
    </row>
    <row r="453" spans="5:32" ht="14.15" customHeight="1" x14ac:dyDescent="0.35">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314"/>
      <c r="AF453" s="314"/>
    </row>
    <row r="454" spans="5:32" ht="14.15" customHeight="1" x14ac:dyDescent="0.35">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314"/>
      <c r="AF454" s="314"/>
    </row>
    <row r="455" spans="5:32" ht="14.15" customHeight="1" x14ac:dyDescent="0.35">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314"/>
      <c r="AF455" s="314"/>
    </row>
    <row r="456" spans="5:32" ht="14.15" customHeight="1" x14ac:dyDescent="0.35">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314"/>
      <c r="AE456" s="314"/>
      <c r="AF456" s="314"/>
    </row>
    <row r="457" spans="5:32" ht="14.15" customHeight="1" x14ac:dyDescent="0.35">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314"/>
      <c r="AE457" s="314"/>
      <c r="AF457" s="314"/>
    </row>
    <row r="458" spans="5:32" ht="14.15" customHeight="1" x14ac:dyDescent="0.35">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c r="AA458" s="314"/>
      <c r="AB458" s="314"/>
      <c r="AC458" s="314"/>
      <c r="AD458" s="314"/>
      <c r="AE458" s="314"/>
      <c r="AF458" s="314"/>
    </row>
    <row r="459" spans="5:32" ht="14.15" customHeight="1" x14ac:dyDescent="0.35">
      <c r="E459" s="314"/>
      <c r="F459" s="314"/>
      <c r="G459" s="314"/>
      <c r="H459" s="314"/>
      <c r="I459" s="314"/>
      <c r="J459" s="314"/>
      <c r="K459" s="314"/>
      <c r="L459" s="314"/>
      <c r="M459" s="314"/>
      <c r="N459" s="314"/>
      <c r="O459" s="314"/>
      <c r="P459" s="314"/>
      <c r="Q459" s="314"/>
      <c r="R459" s="314"/>
      <c r="S459" s="314"/>
      <c r="T459" s="314"/>
      <c r="U459" s="314"/>
      <c r="V459" s="314"/>
      <c r="W459" s="314"/>
      <c r="X459" s="314"/>
      <c r="Y459" s="314"/>
      <c r="Z459" s="314"/>
      <c r="AA459" s="314"/>
      <c r="AB459" s="314"/>
      <c r="AC459" s="314"/>
      <c r="AD459" s="314"/>
      <c r="AE459" s="314"/>
      <c r="AF459" s="314"/>
    </row>
    <row r="460" spans="5:32" ht="14.15" customHeight="1" x14ac:dyDescent="0.35">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c r="AA460" s="314"/>
      <c r="AB460" s="314"/>
      <c r="AC460" s="314"/>
      <c r="AD460" s="314"/>
      <c r="AE460" s="314"/>
      <c r="AF460" s="314"/>
    </row>
    <row r="461" spans="5:32" ht="14.15" customHeight="1" x14ac:dyDescent="0.35">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c r="AA461" s="314"/>
      <c r="AB461" s="314"/>
      <c r="AC461" s="314"/>
      <c r="AD461" s="314"/>
      <c r="AE461" s="314"/>
      <c r="AF461" s="314"/>
    </row>
    <row r="462" spans="5:32" ht="14.15" customHeight="1" x14ac:dyDescent="0.35">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314"/>
      <c r="AF462" s="314"/>
    </row>
    <row r="463" spans="5:32" ht="14.15" customHeight="1" x14ac:dyDescent="0.35">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314"/>
      <c r="AF463" s="314"/>
    </row>
    <row r="464" spans="5:32" ht="14.15" customHeight="1" x14ac:dyDescent="0.35">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314"/>
      <c r="AF464" s="314"/>
    </row>
    <row r="465" spans="5:32" ht="14.15" customHeight="1" x14ac:dyDescent="0.35">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314"/>
      <c r="AE465" s="314"/>
      <c r="AF465" s="314"/>
    </row>
    <row r="466" spans="5:32" ht="14.15" customHeight="1" x14ac:dyDescent="0.35">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314"/>
      <c r="AE466" s="314"/>
      <c r="AF466" s="314"/>
    </row>
    <row r="467" spans="5:32" ht="14.15" customHeight="1" x14ac:dyDescent="0.35">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314"/>
      <c r="AE467" s="314"/>
      <c r="AF467" s="314"/>
    </row>
    <row r="468" spans="5:32" ht="14.15" customHeight="1" x14ac:dyDescent="0.35">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314"/>
      <c r="AE468" s="314"/>
      <c r="AF468" s="314"/>
    </row>
    <row r="469" spans="5:32" ht="14.15" customHeight="1" x14ac:dyDescent="0.35">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c r="AA469" s="314"/>
      <c r="AB469" s="314"/>
      <c r="AC469" s="314"/>
      <c r="AD469" s="314"/>
      <c r="AE469" s="314"/>
      <c r="AF469" s="314"/>
    </row>
    <row r="470" spans="5:32" ht="14.15" customHeight="1" x14ac:dyDescent="0.35">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14"/>
      <c r="AE470" s="314"/>
      <c r="AF470" s="314"/>
    </row>
    <row r="471" spans="5:32" ht="14.15" customHeight="1" x14ac:dyDescent="0.35">
      <c r="E471" s="314"/>
      <c r="F471" s="314"/>
      <c r="G471" s="314"/>
      <c r="H471" s="314"/>
      <c r="I471" s="314"/>
      <c r="J471" s="314"/>
      <c r="K471" s="314"/>
      <c r="L471" s="314"/>
      <c r="M471" s="314"/>
      <c r="N471" s="314"/>
      <c r="O471" s="314"/>
      <c r="P471" s="314"/>
      <c r="Q471" s="314"/>
      <c r="R471" s="314"/>
      <c r="S471" s="314"/>
      <c r="T471" s="314"/>
      <c r="U471" s="314"/>
      <c r="V471" s="314"/>
      <c r="W471" s="314"/>
      <c r="X471" s="314"/>
      <c r="Y471" s="314"/>
      <c r="Z471" s="314"/>
      <c r="AA471" s="314"/>
      <c r="AB471" s="314"/>
      <c r="AC471" s="314"/>
      <c r="AD471" s="314"/>
      <c r="AE471" s="314"/>
      <c r="AF471" s="314"/>
    </row>
    <row r="472" spans="5:32" ht="14.15" customHeight="1" x14ac:dyDescent="0.35">
      <c r="E472" s="314"/>
      <c r="F472" s="314"/>
      <c r="G472" s="314"/>
      <c r="H472" s="314"/>
      <c r="I472" s="314"/>
      <c r="J472" s="314"/>
      <c r="K472" s="314"/>
      <c r="L472" s="314"/>
      <c r="M472" s="314"/>
      <c r="N472" s="314"/>
      <c r="O472" s="314"/>
      <c r="P472" s="314"/>
      <c r="Q472" s="314"/>
      <c r="R472" s="314"/>
      <c r="S472" s="314"/>
      <c r="T472" s="314"/>
      <c r="U472" s="314"/>
      <c r="V472" s="314"/>
      <c r="W472" s="314"/>
      <c r="X472" s="314"/>
      <c r="Y472" s="314"/>
      <c r="Z472" s="314"/>
      <c r="AA472" s="314"/>
      <c r="AB472" s="314"/>
      <c r="AC472" s="314"/>
      <c r="AD472" s="314"/>
      <c r="AE472" s="314"/>
      <c r="AF472" s="314"/>
    </row>
    <row r="473" spans="5:32" ht="14.15" customHeight="1" x14ac:dyDescent="0.35">
      <c r="E473" s="314"/>
      <c r="F473" s="314"/>
      <c r="G473" s="314"/>
      <c r="H473" s="314"/>
      <c r="I473" s="314"/>
      <c r="J473" s="314"/>
      <c r="K473" s="314"/>
      <c r="L473" s="314"/>
      <c r="M473" s="314"/>
      <c r="N473" s="314"/>
      <c r="O473" s="314"/>
      <c r="P473" s="314"/>
      <c r="Q473" s="314"/>
      <c r="R473" s="314"/>
      <c r="S473" s="314"/>
      <c r="T473" s="314"/>
      <c r="U473" s="314"/>
      <c r="V473" s="314"/>
      <c r="W473" s="314"/>
      <c r="X473" s="314"/>
      <c r="Y473" s="314"/>
      <c r="Z473" s="314"/>
      <c r="AA473" s="314"/>
      <c r="AB473" s="314"/>
      <c r="AC473" s="314"/>
      <c r="AD473" s="314"/>
      <c r="AE473" s="314"/>
      <c r="AF473" s="314"/>
    </row>
    <row r="474" spans="5:32" ht="14.15" customHeight="1" x14ac:dyDescent="0.35">
      <c r="E474" s="314"/>
      <c r="F474" s="314"/>
      <c r="G474" s="314"/>
      <c r="H474" s="314"/>
      <c r="I474" s="314"/>
      <c r="J474" s="314"/>
      <c r="K474" s="314"/>
      <c r="L474" s="314"/>
      <c r="M474" s="314"/>
      <c r="N474" s="314"/>
      <c r="O474" s="314"/>
      <c r="P474" s="314"/>
      <c r="Q474" s="314"/>
      <c r="R474" s="314"/>
      <c r="S474" s="314"/>
      <c r="T474" s="314"/>
      <c r="U474" s="314"/>
      <c r="V474" s="314"/>
      <c r="W474" s="314"/>
      <c r="X474" s="314"/>
      <c r="Y474" s="314"/>
      <c r="Z474" s="314"/>
      <c r="AA474" s="314"/>
      <c r="AB474" s="314"/>
      <c r="AC474" s="314"/>
      <c r="AD474" s="314"/>
      <c r="AE474" s="314"/>
      <c r="AF474" s="314"/>
    </row>
    <row r="475" spans="5:32" ht="14.15" customHeight="1" x14ac:dyDescent="0.35">
      <c r="E475" s="314"/>
      <c r="F475" s="314"/>
      <c r="G475" s="314"/>
      <c r="H475" s="314"/>
      <c r="I475" s="314"/>
      <c r="J475" s="314"/>
      <c r="K475" s="314"/>
      <c r="L475" s="314"/>
      <c r="M475" s="314"/>
      <c r="N475" s="314"/>
      <c r="O475" s="314"/>
      <c r="P475" s="314"/>
      <c r="Q475" s="314"/>
      <c r="R475" s="314"/>
      <c r="S475" s="314"/>
      <c r="T475" s="314"/>
      <c r="U475" s="314"/>
      <c r="V475" s="314"/>
      <c r="W475" s="314"/>
      <c r="X475" s="314"/>
      <c r="Y475" s="314"/>
      <c r="Z475" s="314"/>
      <c r="AA475" s="314"/>
      <c r="AB475" s="314"/>
      <c r="AC475" s="314"/>
      <c r="AD475" s="314"/>
      <c r="AE475" s="314"/>
      <c r="AF475" s="314"/>
    </row>
    <row r="476" spans="5:32" ht="14.15" customHeight="1" x14ac:dyDescent="0.35">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c r="AA476" s="314"/>
      <c r="AB476" s="314"/>
      <c r="AC476" s="314"/>
      <c r="AD476" s="314"/>
      <c r="AE476" s="314"/>
      <c r="AF476" s="314"/>
    </row>
    <row r="477" spans="5:32" ht="14.15" customHeight="1" x14ac:dyDescent="0.35">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c r="AA477" s="314"/>
      <c r="AB477" s="314"/>
      <c r="AC477" s="314"/>
      <c r="AD477" s="314"/>
      <c r="AE477" s="314"/>
      <c r="AF477" s="314"/>
    </row>
    <row r="478" spans="5:32" ht="14.15" customHeight="1" x14ac:dyDescent="0.35">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c r="AA478" s="314"/>
      <c r="AB478" s="314"/>
      <c r="AC478" s="314"/>
      <c r="AD478" s="314"/>
      <c r="AE478" s="314"/>
      <c r="AF478" s="314"/>
    </row>
    <row r="479" spans="5:32" ht="14.15" customHeight="1" x14ac:dyDescent="0.35">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314"/>
      <c r="AE479" s="314"/>
      <c r="AF479" s="314"/>
    </row>
    <row r="480" spans="5:32" ht="14.15" customHeight="1" x14ac:dyDescent="0.35">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314"/>
      <c r="AE480" s="314"/>
      <c r="AF480" s="314"/>
    </row>
    <row r="481" spans="5:32" ht="14.15" customHeight="1" x14ac:dyDescent="0.35">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c r="AA481" s="314"/>
      <c r="AB481" s="314"/>
      <c r="AC481" s="314"/>
      <c r="AD481" s="314"/>
      <c r="AE481" s="314"/>
      <c r="AF481" s="314"/>
    </row>
    <row r="482" spans="5:32" ht="14.15" customHeight="1" x14ac:dyDescent="0.35">
      <c r="E482" s="314"/>
      <c r="F482" s="314"/>
      <c r="G482" s="314"/>
      <c r="H482" s="314"/>
      <c r="I482" s="314"/>
      <c r="J482" s="314"/>
      <c r="K482" s="314"/>
      <c r="L482" s="314"/>
      <c r="M482" s="314"/>
      <c r="N482" s="314"/>
      <c r="O482" s="314"/>
      <c r="P482" s="314"/>
      <c r="Q482" s="314"/>
      <c r="R482" s="314"/>
      <c r="S482" s="314"/>
      <c r="T482" s="314"/>
      <c r="U482" s="314"/>
      <c r="V482" s="314"/>
      <c r="W482" s="314"/>
      <c r="X482" s="314"/>
      <c r="Y482" s="314"/>
      <c r="Z482" s="314"/>
      <c r="AA482" s="314"/>
      <c r="AB482" s="314"/>
      <c r="AC482" s="314"/>
      <c r="AD482" s="314"/>
      <c r="AE482" s="314"/>
      <c r="AF482" s="314"/>
    </row>
    <row r="483" spans="5:32" ht="14.15" customHeight="1" x14ac:dyDescent="0.35">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c r="AA483" s="314"/>
      <c r="AB483" s="314"/>
      <c r="AC483" s="314"/>
      <c r="AD483" s="314"/>
      <c r="AE483" s="314"/>
      <c r="AF483" s="314"/>
    </row>
    <row r="484" spans="5:32" ht="14.15" customHeight="1" x14ac:dyDescent="0.35">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c r="AA484" s="314"/>
      <c r="AB484" s="314"/>
      <c r="AC484" s="314"/>
      <c r="AD484" s="314"/>
      <c r="AE484" s="314"/>
      <c r="AF484" s="314"/>
    </row>
    <row r="485" spans="5:32" ht="14.15" customHeight="1" x14ac:dyDescent="0.35">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314"/>
      <c r="AF485" s="314"/>
    </row>
    <row r="486" spans="5:32" ht="14.15" customHeight="1" x14ac:dyDescent="0.35">
      <c r="E486" s="314"/>
      <c r="F486" s="314"/>
      <c r="G486" s="314"/>
      <c r="H486" s="314"/>
      <c r="I486" s="314"/>
      <c r="J486" s="314"/>
      <c r="K486" s="314"/>
      <c r="L486" s="314"/>
      <c r="M486" s="314"/>
      <c r="N486" s="314"/>
      <c r="O486" s="314"/>
      <c r="P486" s="314"/>
      <c r="Q486" s="314"/>
      <c r="R486" s="314"/>
      <c r="S486" s="314"/>
      <c r="T486" s="314"/>
      <c r="U486" s="314"/>
      <c r="V486" s="314"/>
      <c r="W486" s="314"/>
      <c r="X486" s="314"/>
      <c r="Y486" s="314"/>
      <c r="Z486" s="314"/>
      <c r="AA486" s="314"/>
      <c r="AB486" s="314"/>
      <c r="AC486" s="314"/>
      <c r="AD486" s="314"/>
      <c r="AE486" s="314"/>
      <c r="AF486" s="314"/>
    </row>
    <row r="487" spans="5:32" ht="14.15" customHeight="1" x14ac:dyDescent="0.35">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314"/>
      <c r="AE487" s="314"/>
      <c r="AF487" s="314"/>
    </row>
    <row r="488" spans="5:32" ht="14.15" customHeight="1" x14ac:dyDescent="0.35">
      <c r="E488" s="314"/>
      <c r="F488" s="314"/>
      <c r="G488" s="314"/>
      <c r="H488" s="314"/>
      <c r="I488" s="314"/>
      <c r="J488" s="314"/>
      <c r="K488" s="314"/>
      <c r="L488" s="314"/>
      <c r="M488" s="314"/>
      <c r="N488" s="314"/>
      <c r="O488" s="314"/>
      <c r="P488" s="314"/>
      <c r="Q488" s="314"/>
      <c r="R488" s="314"/>
      <c r="S488" s="314"/>
      <c r="T488" s="314"/>
      <c r="U488" s="314"/>
      <c r="V488" s="314"/>
      <c r="W488" s="314"/>
      <c r="X488" s="314"/>
      <c r="Y488" s="314"/>
      <c r="Z488" s="314"/>
      <c r="AA488" s="314"/>
      <c r="AB488" s="314"/>
      <c r="AC488" s="314"/>
      <c r="AD488" s="314"/>
      <c r="AE488" s="314"/>
      <c r="AF488" s="314"/>
    </row>
    <row r="489" spans="5:32" ht="14.15" customHeight="1" x14ac:dyDescent="0.35">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314"/>
      <c r="AE489" s="314"/>
      <c r="AF489" s="314"/>
    </row>
    <row r="490" spans="5:32" ht="14.15" customHeight="1" x14ac:dyDescent="0.35">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314"/>
      <c r="AE490" s="314"/>
      <c r="AF490" s="314"/>
    </row>
    <row r="491" spans="5:32" ht="14.15" customHeight="1" x14ac:dyDescent="0.35">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314"/>
      <c r="AE491" s="314"/>
      <c r="AF491" s="314"/>
    </row>
    <row r="492" spans="5:32" ht="14.15" customHeight="1" x14ac:dyDescent="0.35">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c r="AA492" s="314"/>
      <c r="AB492" s="314"/>
      <c r="AC492" s="314"/>
      <c r="AD492" s="314"/>
      <c r="AE492" s="314"/>
      <c r="AF492" s="314"/>
    </row>
    <row r="493" spans="5:32" ht="14.15" customHeight="1" x14ac:dyDescent="0.35">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14"/>
      <c r="AE493" s="314"/>
      <c r="AF493" s="314"/>
    </row>
    <row r="494" spans="5:32" ht="14.15" customHeight="1" x14ac:dyDescent="0.35">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314"/>
      <c r="AF494" s="314"/>
    </row>
    <row r="495" spans="5:32" ht="14.15" customHeight="1" x14ac:dyDescent="0.35">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c r="AA495" s="314"/>
      <c r="AB495" s="314"/>
      <c r="AC495" s="314"/>
      <c r="AD495" s="314"/>
      <c r="AE495" s="314"/>
      <c r="AF495" s="314"/>
    </row>
    <row r="496" spans="5:32" ht="14.15" customHeight="1" x14ac:dyDescent="0.35">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c r="AA496" s="314"/>
      <c r="AB496" s="314"/>
      <c r="AC496" s="314"/>
      <c r="AD496" s="314"/>
      <c r="AE496" s="314"/>
      <c r="AF496" s="314"/>
    </row>
    <row r="497" spans="5:32" ht="14.15" customHeight="1" x14ac:dyDescent="0.35">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314"/>
      <c r="AE497" s="314"/>
      <c r="AF497" s="314"/>
    </row>
    <row r="498" spans="5:32" ht="14.15" customHeight="1" x14ac:dyDescent="0.35">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314"/>
      <c r="AE498" s="314"/>
      <c r="AF498" s="314"/>
    </row>
    <row r="499" spans="5:32" ht="14.15" customHeight="1" x14ac:dyDescent="0.35">
      <c r="E499" s="314"/>
      <c r="F499" s="314"/>
      <c r="G499" s="314"/>
      <c r="H499" s="314"/>
      <c r="I499" s="314"/>
      <c r="J499" s="314"/>
      <c r="K499" s="314"/>
      <c r="L499" s="314"/>
      <c r="M499" s="314"/>
      <c r="N499" s="314"/>
      <c r="O499" s="314"/>
      <c r="P499" s="314"/>
      <c r="Q499" s="314"/>
      <c r="R499" s="314"/>
      <c r="S499" s="314"/>
      <c r="T499" s="314"/>
      <c r="U499" s="314"/>
      <c r="V499" s="314"/>
      <c r="W499" s="314"/>
      <c r="X499" s="314"/>
      <c r="Y499" s="314"/>
      <c r="Z499" s="314"/>
      <c r="AA499" s="314"/>
      <c r="AB499" s="314"/>
      <c r="AC499" s="314"/>
      <c r="AD499" s="314"/>
      <c r="AE499" s="314"/>
      <c r="AF499" s="314"/>
    </row>
    <row r="500" spans="5:32" ht="14.15" customHeight="1" x14ac:dyDescent="0.35">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c r="AA500" s="314"/>
      <c r="AB500" s="314"/>
      <c r="AC500" s="314"/>
      <c r="AD500" s="314"/>
      <c r="AE500" s="314"/>
      <c r="AF500" s="314"/>
    </row>
    <row r="501" spans="5:32" ht="14.15" customHeight="1" x14ac:dyDescent="0.35">
      <c r="E501" s="314"/>
      <c r="F501" s="314"/>
      <c r="G501" s="314"/>
      <c r="H501" s="314"/>
      <c r="I501" s="314"/>
      <c r="J501" s="314"/>
      <c r="K501" s="314"/>
      <c r="L501" s="314"/>
      <c r="M501" s="314"/>
      <c r="N501" s="314"/>
      <c r="O501" s="314"/>
      <c r="P501" s="314"/>
      <c r="Q501" s="314"/>
      <c r="R501" s="314"/>
      <c r="S501" s="314"/>
      <c r="T501" s="314"/>
      <c r="U501" s="314"/>
      <c r="V501" s="314"/>
      <c r="W501" s="314"/>
      <c r="X501" s="314"/>
      <c r="Y501" s="314"/>
      <c r="Z501" s="314"/>
      <c r="AA501" s="314"/>
      <c r="AB501" s="314"/>
      <c r="AC501" s="314"/>
      <c r="AD501" s="314"/>
      <c r="AE501" s="314"/>
      <c r="AF501" s="314"/>
    </row>
    <row r="502" spans="5:32" ht="14.15" customHeight="1" x14ac:dyDescent="0.35">
      <c r="E502" s="314"/>
      <c r="F502" s="314"/>
      <c r="G502" s="314"/>
      <c r="H502" s="314"/>
      <c r="I502" s="314"/>
      <c r="J502" s="314"/>
      <c r="K502" s="314"/>
      <c r="L502" s="314"/>
      <c r="M502" s="314"/>
      <c r="N502" s="314"/>
      <c r="O502" s="314"/>
      <c r="P502" s="314"/>
      <c r="Q502" s="314"/>
      <c r="R502" s="314"/>
      <c r="S502" s="314"/>
      <c r="T502" s="314"/>
      <c r="U502" s="314"/>
      <c r="V502" s="314"/>
      <c r="W502" s="314"/>
      <c r="X502" s="314"/>
      <c r="Y502" s="314"/>
      <c r="Z502" s="314"/>
      <c r="AA502" s="314"/>
      <c r="AB502" s="314"/>
      <c r="AC502" s="314"/>
      <c r="AD502" s="314"/>
      <c r="AE502" s="314"/>
      <c r="AF502" s="314"/>
    </row>
    <row r="503" spans="5:32" ht="14.15" customHeight="1" x14ac:dyDescent="0.35">
      <c r="E503" s="314"/>
      <c r="F503" s="314"/>
      <c r="G503" s="314"/>
      <c r="H503" s="314"/>
      <c r="I503" s="314"/>
      <c r="J503" s="314"/>
      <c r="K503" s="314"/>
      <c r="L503" s="314"/>
      <c r="M503" s="314"/>
      <c r="N503" s="314"/>
      <c r="O503" s="314"/>
      <c r="P503" s="314"/>
      <c r="Q503" s="314"/>
      <c r="R503" s="314"/>
      <c r="S503" s="314"/>
      <c r="T503" s="314"/>
      <c r="U503" s="314"/>
      <c r="V503" s="314"/>
      <c r="W503" s="314"/>
      <c r="X503" s="314"/>
      <c r="Y503" s="314"/>
      <c r="Z503" s="314"/>
      <c r="AA503" s="314"/>
      <c r="AB503" s="314"/>
      <c r="AC503" s="314"/>
      <c r="AD503" s="314"/>
      <c r="AE503" s="314"/>
      <c r="AF503" s="314"/>
    </row>
    <row r="504" spans="5:32" ht="14.15" customHeight="1" x14ac:dyDescent="0.35">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c r="AA504" s="314"/>
      <c r="AB504" s="314"/>
      <c r="AC504" s="314"/>
      <c r="AD504" s="314"/>
      <c r="AE504" s="314"/>
      <c r="AF504" s="314"/>
    </row>
    <row r="505" spans="5:32" ht="14.15" customHeight="1" x14ac:dyDescent="0.35">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c r="AA505" s="314"/>
      <c r="AB505" s="314"/>
      <c r="AC505" s="314"/>
      <c r="AD505" s="314"/>
      <c r="AE505" s="314"/>
      <c r="AF505" s="314"/>
    </row>
    <row r="506" spans="5:32" ht="14.15" customHeight="1" x14ac:dyDescent="0.35">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c r="AA506" s="314"/>
      <c r="AB506" s="314"/>
      <c r="AC506" s="314"/>
      <c r="AD506" s="314"/>
      <c r="AE506" s="314"/>
      <c r="AF506" s="314"/>
    </row>
    <row r="507" spans="5:32" ht="14.15" customHeight="1" x14ac:dyDescent="0.35">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314"/>
      <c r="AF507" s="314"/>
    </row>
    <row r="508" spans="5:32" ht="14.15" customHeight="1" x14ac:dyDescent="0.35">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314"/>
      <c r="AE508" s="314"/>
      <c r="AF508" s="314"/>
    </row>
    <row r="509" spans="5:32" ht="14.15" customHeight="1" x14ac:dyDescent="0.35">
      <c r="E509" s="314"/>
      <c r="F509" s="314"/>
      <c r="G509" s="314"/>
      <c r="H509" s="314"/>
      <c r="I509" s="314"/>
      <c r="J509" s="314"/>
      <c r="K509" s="314"/>
      <c r="L509" s="314"/>
      <c r="M509" s="314"/>
      <c r="N509" s="314"/>
      <c r="O509" s="314"/>
      <c r="P509" s="314"/>
      <c r="Q509" s="314"/>
      <c r="R509" s="314"/>
      <c r="S509" s="314"/>
      <c r="T509" s="314"/>
      <c r="U509" s="314"/>
      <c r="V509" s="314"/>
      <c r="W509" s="314"/>
      <c r="X509" s="314"/>
      <c r="Y509" s="314"/>
      <c r="Z509" s="314"/>
      <c r="AA509" s="314"/>
      <c r="AB509" s="314"/>
      <c r="AC509" s="314"/>
      <c r="AD509" s="314"/>
      <c r="AE509" s="314"/>
      <c r="AF509" s="314"/>
    </row>
    <row r="510" spans="5:32" ht="14.15" customHeight="1" x14ac:dyDescent="0.35">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c r="AA510" s="314"/>
      <c r="AB510" s="314"/>
      <c r="AC510" s="314"/>
      <c r="AD510" s="314"/>
      <c r="AE510" s="314"/>
      <c r="AF510" s="314"/>
    </row>
    <row r="511" spans="5:32" ht="14.15" customHeight="1" x14ac:dyDescent="0.35">
      <c r="E511" s="314"/>
      <c r="F511" s="314"/>
      <c r="G511" s="314"/>
      <c r="H511" s="314"/>
      <c r="I511" s="314"/>
      <c r="J511" s="314"/>
      <c r="K511" s="314"/>
      <c r="L511" s="314"/>
      <c r="M511" s="314"/>
      <c r="N511" s="314"/>
      <c r="O511" s="314"/>
      <c r="P511" s="314"/>
      <c r="Q511" s="314"/>
      <c r="R511" s="314"/>
      <c r="S511" s="314"/>
      <c r="T511" s="314"/>
      <c r="U511" s="314"/>
      <c r="V511" s="314"/>
      <c r="W511" s="314"/>
      <c r="X511" s="314"/>
      <c r="Y511" s="314"/>
      <c r="Z511" s="314"/>
      <c r="AA511" s="314"/>
      <c r="AB511" s="314"/>
      <c r="AC511" s="314"/>
      <c r="AD511" s="314"/>
      <c r="AE511" s="314"/>
      <c r="AF511" s="314"/>
    </row>
    <row r="512" spans="5:32" ht="14.15" customHeight="1" x14ac:dyDescent="0.35">
      <c r="E512" s="314"/>
      <c r="F512" s="314"/>
      <c r="G512" s="314"/>
      <c r="H512" s="314"/>
      <c r="I512" s="314"/>
      <c r="J512" s="314"/>
      <c r="K512" s="314"/>
      <c r="L512" s="314"/>
      <c r="M512" s="314"/>
      <c r="N512" s="314"/>
      <c r="O512" s="314"/>
      <c r="P512" s="314"/>
      <c r="Q512" s="314"/>
      <c r="R512" s="314"/>
      <c r="S512" s="314"/>
      <c r="T512" s="314"/>
      <c r="U512" s="314"/>
      <c r="V512" s="314"/>
      <c r="W512" s="314"/>
      <c r="X512" s="314"/>
      <c r="Y512" s="314"/>
      <c r="Z512" s="314"/>
      <c r="AA512" s="314"/>
      <c r="AB512" s="314"/>
      <c r="AC512" s="314"/>
      <c r="AD512" s="314"/>
      <c r="AE512" s="314"/>
      <c r="AF512" s="314"/>
    </row>
    <row r="513" spans="5:32" ht="14.15" customHeight="1" x14ac:dyDescent="0.35">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c r="AA513" s="314"/>
      <c r="AB513" s="314"/>
      <c r="AC513" s="314"/>
      <c r="AD513" s="314"/>
      <c r="AE513" s="314"/>
      <c r="AF513" s="314"/>
    </row>
    <row r="514" spans="5:32" ht="14.15" customHeight="1" x14ac:dyDescent="0.35">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314"/>
      <c r="AF514" s="314"/>
    </row>
    <row r="515" spans="5:32" ht="14.15" customHeight="1" x14ac:dyDescent="0.35">
      <c r="E515" s="314"/>
      <c r="F515" s="314"/>
      <c r="G515" s="314"/>
      <c r="H515" s="314"/>
      <c r="I515" s="314"/>
      <c r="J515" s="314"/>
      <c r="K515" s="314"/>
      <c r="L515" s="314"/>
      <c r="M515" s="314"/>
      <c r="N515" s="314"/>
      <c r="O515" s="314"/>
      <c r="P515" s="314"/>
      <c r="Q515" s="314"/>
      <c r="R515" s="314"/>
      <c r="S515" s="314"/>
      <c r="T515" s="314"/>
      <c r="U515" s="314"/>
      <c r="V515" s="314"/>
      <c r="W515" s="314"/>
      <c r="X515" s="314"/>
      <c r="Y515" s="314"/>
      <c r="Z515" s="314"/>
      <c r="AA515" s="314"/>
      <c r="AB515" s="314"/>
      <c r="AC515" s="314"/>
      <c r="AD515" s="314"/>
      <c r="AE515" s="314"/>
      <c r="AF515" s="314"/>
    </row>
    <row r="516" spans="5:32" ht="14.15" customHeight="1" x14ac:dyDescent="0.35">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314"/>
      <c r="AE516" s="314"/>
      <c r="AF516" s="314"/>
    </row>
    <row r="517" spans="5:32" ht="14.15" customHeight="1" x14ac:dyDescent="0.35">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314"/>
      <c r="AE517" s="314"/>
      <c r="AF517" s="314"/>
    </row>
    <row r="518" spans="5:32" ht="14.15" customHeight="1" x14ac:dyDescent="0.35">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314"/>
      <c r="AE518" s="314"/>
      <c r="AF518" s="314"/>
    </row>
    <row r="519" spans="5:32" ht="14.15" customHeight="1" x14ac:dyDescent="0.35">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c r="AA519" s="314"/>
      <c r="AB519" s="314"/>
      <c r="AC519" s="314"/>
      <c r="AD519" s="314"/>
      <c r="AE519" s="314"/>
      <c r="AF519" s="314"/>
    </row>
    <row r="520" spans="5:32" ht="14.15" customHeight="1" x14ac:dyDescent="0.35">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314"/>
      <c r="AE520" s="314"/>
      <c r="AF520" s="314"/>
    </row>
    <row r="521" spans="5:32" ht="14.15" customHeight="1" x14ac:dyDescent="0.35">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c r="AA521" s="314"/>
      <c r="AB521" s="314"/>
      <c r="AC521" s="314"/>
      <c r="AD521" s="314"/>
      <c r="AE521" s="314"/>
      <c r="AF521" s="314"/>
    </row>
    <row r="522" spans="5:32" ht="14.15" customHeight="1" x14ac:dyDescent="0.35">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314"/>
      <c r="AE522" s="314"/>
      <c r="AF522" s="314"/>
    </row>
    <row r="523" spans="5:32" ht="14.15" customHeight="1" x14ac:dyDescent="0.35">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314"/>
      <c r="AF523" s="314"/>
    </row>
    <row r="524" spans="5:32" ht="14.15" customHeight="1" x14ac:dyDescent="0.35">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c r="AA524" s="314"/>
      <c r="AB524" s="314"/>
      <c r="AC524" s="314"/>
      <c r="AD524" s="314"/>
      <c r="AE524" s="314"/>
      <c r="AF524" s="314"/>
    </row>
    <row r="525" spans="5:32" ht="14.15" customHeight="1" x14ac:dyDescent="0.35">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314"/>
      <c r="AE525" s="314"/>
      <c r="AF525" s="314"/>
    </row>
    <row r="526" spans="5:32" ht="14.15" customHeight="1" x14ac:dyDescent="0.35">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314"/>
      <c r="AE526" s="314"/>
      <c r="AF526" s="314"/>
    </row>
    <row r="527" spans="5:32" ht="14.15" customHeight="1" x14ac:dyDescent="0.35">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c r="AA527" s="314"/>
      <c r="AB527" s="314"/>
      <c r="AC527" s="314"/>
      <c r="AD527" s="314"/>
      <c r="AE527" s="314"/>
      <c r="AF527" s="314"/>
    </row>
    <row r="528" spans="5:32" ht="14.15" customHeight="1" x14ac:dyDescent="0.35">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c r="AA528" s="314"/>
      <c r="AB528" s="314"/>
      <c r="AC528" s="314"/>
      <c r="AD528" s="314"/>
      <c r="AE528" s="314"/>
      <c r="AF528" s="314"/>
    </row>
    <row r="529" spans="5:32" ht="14.15" customHeight="1" x14ac:dyDescent="0.35">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314"/>
      <c r="AE529" s="314"/>
      <c r="AF529" s="314"/>
    </row>
    <row r="530" spans="5:32" ht="14.15" customHeight="1" x14ac:dyDescent="0.35">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314"/>
      <c r="AE530" s="314"/>
      <c r="AF530" s="314"/>
    </row>
    <row r="531" spans="5:32" ht="14.15" customHeight="1" x14ac:dyDescent="0.35">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314"/>
      <c r="AE531" s="314"/>
      <c r="AF531" s="314"/>
    </row>
    <row r="532" spans="5:32" ht="14.15" customHeight="1" x14ac:dyDescent="0.35">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c r="AA532" s="314"/>
      <c r="AB532" s="314"/>
      <c r="AC532" s="314"/>
      <c r="AD532" s="314"/>
      <c r="AE532" s="314"/>
      <c r="AF532" s="314"/>
    </row>
    <row r="533" spans="5:32" ht="14.15" customHeight="1" x14ac:dyDescent="0.35">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314"/>
      <c r="AE533" s="314"/>
      <c r="AF533" s="314"/>
    </row>
    <row r="534" spans="5:32" ht="14.15" customHeight="1" x14ac:dyDescent="0.35">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314"/>
      <c r="AE534" s="314"/>
      <c r="AF534" s="314"/>
    </row>
    <row r="535" spans="5:32" ht="14.15" customHeight="1" x14ac:dyDescent="0.35">
      <c r="E535" s="314"/>
      <c r="F535" s="314"/>
      <c r="G535" s="314"/>
      <c r="H535" s="314"/>
      <c r="I535" s="314"/>
      <c r="J535" s="314"/>
      <c r="K535" s="314"/>
      <c r="L535" s="314"/>
      <c r="M535" s="314"/>
      <c r="N535" s="314"/>
      <c r="O535" s="314"/>
      <c r="P535" s="314"/>
      <c r="Q535" s="314"/>
      <c r="R535" s="314"/>
      <c r="S535" s="314"/>
      <c r="T535" s="314"/>
      <c r="U535" s="314"/>
      <c r="V535" s="314"/>
      <c r="W535" s="314"/>
      <c r="X535" s="314"/>
      <c r="Y535" s="314"/>
      <c r="Z535" s="314"/>
      <c r="AA535" s="314"/>
      <c r="AB535" s="314"/>
      <c r="AC535" s="314"/>
      <c r="AD535" s="314"/>
      <c r="AE535" s="314"/>
      <c r="AF535" s="314"/>
    </row>
    <row r="536" spans="5:32" ht="14.15" customHeight="1" x14ac:dyDescent="0.35">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c r="AA536" s="314"/>
      <c r="AB536" s="314"/>
      <c r="AC536" s="314"/>
      <c r="AD536" s="314"/>
      <c r="AE536" s="314"/>
      <c r="AF536" s="314"/>
    </row>
    <row r="537" spans="5:32" ht="14.15" customHeight="1" x14ac:dyDescent="0.35">
      <c r="E537" s="314"/>
      <c r="F537" s="314"/>
      <c r="G537" s="314"/>
      <c r="H537" s="314"/>
      <c r="I537" s="314"/>
      <c r="J537" s="314"/>
      <c r="K537" s="314"/>
      <c r="L537" s="314"/>
      <c r="M537" s="314"/>
      <c r="N537" s="314"/>
      <c r="O537" s="314"/>
      <c r="P537" s="314"/>
      <c r="Q537" s="314"/>
      <c r="R537" s="314"/>
      <c r="S537" s="314"/>
      <c r="T537" s="314"/>
      <c r="U537" s="314"/>
      <c r="V537" s="314"/>
      <c r="W537" s="314"/>
      <c r="X537" s="314"/>
      <c r="Y537" s="314"/>
      <c r="Z537" s="314"/>
      <c r="AA537" s="314"/>
      <c r="AB537" s="314"/>
      <c r="AC537" s="314"/>
      <c r="AD537" s="314"/>
      <c r="AE537" s="314"/>
      <c r="AF537" s="314"/>
    </row>
    <row r="538" spans="5:32" ht="14.15" customHeight="1" x14ac:dyDescent="0.35">
      <c r="E538" s="314"/>
      <c r="F538" s="314"/>
      <c r="G538" s="314"/>
      <c r="H538" s="314"/>
      <c r="I538" s="314"/>
      <c r="J538" s="314"/>
      <c r="K538" s="314"/>
      <c r="L538" s="314"/>
      <c r="M538" s="314"/>
      <c r="N538" s="314"/>
      <c r="O538" s="314"/>
      <c r="P538" s="314"/>
      <c r="Q538" s="314"/>
      <c r="R538" s="314"/>
      <c r="S538" s="314"/>
      <c r="T538" s="314"/>
      <c r="U538" s="314"/>
      <c r="V538" s="314"/>
      <c r="W538" s="314"/>
      <c r="X538" s="314"/>
      <c r="Y538" s="314"/>
      <c r="Z538" s="314"/>
      <c r="AA538" s="314"/>
      <c r="AB538" s="314"/>
      <c r="AC538" s="314"/>
      <c r="AD538" s="314"/>
      <c r="AE538" s="314"/>
      <c r="AF538" s="314"/>
    </row>
    <row r="539" spans="5:32" ht="14.15" customHeight="1" x14ac:dyDescent="0.35">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c r="AA539" s="314"/>
      <c r="AB539" s="314"/>
      <c r="AC539" s="314"/>
      <c r="AD539" s="314"/>
      <c r="AE539" s="314"/>
      <c r="AF539" s="314"/>
    </row>
    <row r="540" spans="5:32" ht="14.15" customHeight="1" x14ac:dyDescent="0.35">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314"/>
      <c r="AE540" s="314"/>
      <c r="AF540" s="314"/>
    </row>
    <row r="541" spans="5:32" ht="14.15" customHeight="1" x14ac:dyDescent="0.35">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314"/>
      <c r="AE541" s="314"/>
      <c r="AF541" s="314"/>
    </row>
    <row r="542" spans="5:32" ht="14.15" customHeight="1" x14ac:dyDescent="0.35">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c r="AA542" s="314"/>
      <c r="AB542" s="314"/>
      <c r="AC542" s="314"/>
      <c r="AD542" s="314"/>
      <c r="AE542" s="314"/>
      <c r="AF542" s="314"/>
    </row>
    <row r="543" spans="5:32" ht="14.15" customHeight="1" x14ac:dyDescent="0.35">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314"/>
      <c r="AE543" s="314"/>
      <c r="AF543" s="314"/>
    </row>
    <row r="544" spans="5:32" ht="14.15" customHeight="1" x14ac:dyDescent="0.35">
      <c r="E544" s="314"/>
      <c r="F544" s="314"/>
      <c r="G544" s="314"/>
      <c r="H544" s="314"/>
      <c r="I544" s="314"/>
      <c r="J544" s="314"/>
      <c r="K544" s="314"/>
      <c r="L544" s="314"/>
      <c r="M544" s="314"/>
      <c r="N544" s="314"/>
      <c r="O544" s="314"/>
      <c r="P544" s="314"/>
      <c r="Q544" s="314"/>
      <c r="R544" s="314"/>
      <c r="S544" s="314"/>
      <c r="T544" s="314"/>
      <c r="U544" s="314"/>
      <c r="V544" s="314"/>
      <c r="W544" s="314"/>
      <c r="X544" s="314"/>
      <c r="Y544" s="314"/>
      <c r="Z544" s="314"/>
      <c r="AA544" s="314"/>
      <c r="AB544" s="314"/>
      <c r="AC544" s="314"/>
      <c r="AD544" s="314"/>
      <c r="AE544" s="314"/>
      <c r="AF544" s="314"/>
    </row>
    <row r="545" spans="5:32" ht="14.15" customHeight="1" x14ac:dyDescent="0.35">
      <c r="E545" s="314"/>
      <c r="F545" s="314"/>
      <c r="G545" s="314"/>
      <c r="H545" s="314"/>
      <c r="I545" s="314"/>
      <c r="J545" s="314"/>
      <c r="K545" s="314"/>
      <c r="L545" s="314"/>
      <c r="M545" s="314"/>
      <c r="N545" s="314"/>
      <c r="O545" s="314"/>
      <c r="P545" s="314"/>
      <c r="Q545" s="314"/>
      <c r="R545" s="314"/>
      <c r="S545" s="314"/>
      <c r="T545" s="314"/>
      <c r="U545" s="314"/>
      <c r="V545" s="314"/>
      <c r="W545" s="314"/>
      <c r="X545" s="314"/>
      <c r="Y545" s="314"/>
      <c r="Z545" s="314"/>
      <c r="AA545" s="314"/>
      <c r="AB545" s="314"/>
      <c r="AC545" s="314"/>
      <c r="AD545" s="314"/>
      <c r="AE545" s="314"/>
      <c r="AF545" s="314"/>
    </row>
    <row r="546" spans="5:32" ht="14.15" customHeight="1" x14ac:dyDescent="0.35">
      <c r="E546" s="314"/>
      <c r="F546" s="314"/>
      <c r="G546" s="314"/>
      <c r="H546" s="314"/>
      <c r="I546" s="314"/>
      <c r="J546" s="314"/>
      <c r="K546" s="314"/>
      <c r="L546" s="314"/>
      <c r="M546" s="314"/>
      <c r="N546" s="314"/>
      <c r="O546" s="314"/>
      <c r="P546" s="314"/>
      <c r="Q546" s="314"/>
      <c r="R546" s="314"/>
      <c r="S546" s="314"/>
      <c r="T546" s="314"/>
      <c r="U546" s="314"/>
      <c r="V546" s="314"/>
      <c r="W546" s="314"/>
      <c r="X546" s="314"/>
      <c r="Y546" s="314"/>
      <c r="Z546" s="314"/>
      <c r="AA546" s="314"/>
      <c r="AB546" s="314"/>
      <c r="AC546" s="314"/>
      <c r="AD546" s="314"/>
      <c r="AE546" s="314"/>
      <c r="AF546" s="314"/>
    </row>
    <row r="547" spans="5:32" ht="14.15" customHeight="1" x14ac:dyDescent="0.35">
      <c r="E547" s="314"/>
      <c r="F547" s="314"/>
      <c r="G547" s="314"/>
      <c r="H547" s="314"/>
      <c r="I547" s="314"/>
      <c r="J547" s="314"/>
      <c r="K547" s="314"/>
      <c r="L547" s="314"/>
      <c r="M547" s="314"/>
      <c r="N547" s="314"/>
      <c r="O547" s="314"/>
      <c r="P547" s="314"/>
      <c r="Q547" s="314"/>
      <c r="R547" s="314"/>
      <c r="S547" s="314"/>
      <c r="T547" s="314"/>
      <c r="U547" s="314"/>
      <c r="V547" s="314"/>
      <c r="W547" s="314"/>
      <c r="X547" s="314"/>
      <c r="Y547" s="314"/>
      <c r="Z547" s="314"/>
      <c r="AA547" s="314"/>
      <c r="AB547" s="314"/>
      <c r="AC547" s="314"/>
      <c r="AD547" s="314"/>
      <c r="AE547" s="314"/>
      <c r="AF547" s="314"/>
    </row>
    <row r="548" spans="5:32" ht="14.15" customHeight="1" x14ac:dyDescent="0.35">
      <c r="E548" s="314"/>
      <c r="F548" s="314"/>
      <c r="G548" s="314"/>
      <c r="H548" s="314"/>
      <c r="I548" s="314"/>
      <c r="J548" s="314"/>
      <c r="K548" s="314"/>
      <c r="L548" s="314"/>
      <c r="M548" s="314"/>
      <c r="N548" s="314"/>
      <c r="O548" s="314"/>
      <c r="P548" s="314"/>
      <c r="Q548" s="314"/>
      <c r="R548" s="314"/>
      <c r="S548" s="314"/>
      <c r="T548" s="314"/>
      <c r="U548" s="314"/>
      <c r="V548" s="314"/>
      <c r="W548" s="314"/>
      <c r="X548" s="314"/>
      <c r="Y548" s="314"/>
      <c r="Z548" s="314"/>
      <c r="AA548" s="314"/>
      <c r="AB548" s="314"/>
      <c r="AC548" s="314"/>
      <c r="AD548" s="314"/>
      <c r="AE548" s="314"/>
      <c r="AF548" s="314"/>
    </row>
    <row r="549" spans="5:32" ht="14.15" customHeight="1" x14ac:dyDescent="0.35">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c r="AA549" s="314"/>
      <c r="AB549" s="314"/>
      <c r="AC549" s="314"/>
      <c r="AD549" s="314"/>
      <c r="AE549" s="314"/>
      <c r="AF549" s="314"/>
    </row>
    <row r="550" spans="5:32" ht="14.15" customHeight="1" x14ac:dyDescent="0.35">
      <c r="E550" s="314"/>
      <c r="F550" s="314"/>
      <c r="G550" s="314"/>
      <c r="H550" s="314"/>
      <c r="I550" s="314"/>
      <c r="J550" s="314"/>
      <c r="K550" s="314"/>
      <c r="L550" s="314"/>
      <c r="M550" s="314"/>
      <c r="N550" s="314"/>
      <c r="O550" s="314"/>
      <c r="P550" s="314"/>
      <c r="Q550" s="314"/>
      <c r="R550" s="314"/>
      <c r="S550" s="314"/>
      <c r="T550" s="314"/>
      <c r="U550" s="314"/>
      <c r="V550" s="314"/>
      <c r="W550" s="314"/>
      <c r="X550" s="314"/>
      <c r="Y550" s="314"/>
      <c r="Z550" s="314"/>
      <c r="AA550" s="314"/>
      <c r="AB550" s="314"/>
      <c r="AC550" s="314"/>
      <c r="AD550" s="314"/>
      <c r="AE550" s="314"/>
      <c r="AF550" s="314"/>
    </row>
    <row r="551" spans="5:32" ht="14.15" customHeight="1" x14ac:dyDescent="0.35">
      <c r="E551" s="314"/>
      <c r="F551" s="314"/>
      <c r="G551" s="314"/>
      <c r="H551" s="314"/>
      <c r="I551" s="314"/>
      <c r="J551" s="314"/>
      <c r="K551" s="314"/>
      <c r="L551" s="314"/>
      <c r="M551" s="314"/>
      <c r="N551" s="314"/>
      <c r="O551" s="314"/>
      <c r="P551" s="314"/>
      <c r="Q551" s="314"/>
      <c r="R551" s="314"/>
      <c r="S551" s="314"/>
      <c r="T551" s="314"/>
      <c r="U551" s="314"/>
      <c r="V551" s="314"/>
      <c r="W551" s="314"/>
      <c r="X551" s="314"/>
      <c r="Y551" s="314"/>
      <c r="Z551" s="314"/>
      <c r="AA551" s="314"/>
      <c r="AB551" s="314"/>
      <c r="AC551" s="314"/>
      <c r="AD551" s="314"/>
      <c r="AE551" s="314"/>
      <c r="AF551" s="314"/>
    </row>
    <row r="552" spans="5:32" ht="14.15" customHeight="1" x14ac:dyDescent="0.35">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314"/>
      <c r="AE552" s="314"/>
      <c r="AF552" s="314"/>
    </row>
    <row r="553" spans="5:32" ht="14.15" customHeight="1" x14ac:dyDescent="0.35">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314"/>
      <c r="AF553" s="314"/>
    </row>
    <row r="554" spans="5:32" ht="14.15" customHeight="1" x14ac:dyDescent="0.35">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c r="AA554" s="314"/>
      <c r="AB554" s="314"/>
      <c r="AC554" s="314"/>
      <c r="AD554" s="314"/>
      <c r="AE554" s="314"/>
      <c r="AF554" s="314"/>
    </row>
    <row r="555" spans="5:32" ht="14.15" customHeight="1" x14ac:dyDescent="0.35">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314"/>
      <c r="AE555" s="314"/>
      <c r="AF555" s="314"/>
    </row>
    <row r="556" spans="5:32" ht="14.15" customHeight="1" x14ac:dyDescent="0.35">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c r="AA556" s="314"/>
      <c r="AB556" s="314"/>
      <c r="AC556" s="314"/>
      <c r="AD556" s="314"/>
      <c r="AE556" s="314"/>
      <c r="AF556" s="314"/>
    </row>
    <row r="557" spans="5:32" ht="14.15" customHeight="1" x14ac:dyDescent="0.35">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c r="AA557" s="314"/>
      <c r="AB557" s="314"/>
      <c r="AC557" s="314"/>
      <c r="AD557" s="314"/>
      <c r="AE557" s="314"/>
      <c r="AF557" s="314"/>
    </row>
    <row r="558" spans="5:32" ht="14.15" customHeight="1" x14ac:dyDescent="0.35">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314"/>
      <c r="AE558" s="314"/>
      <c r="AF558" s="314"/>
    </row>
    <row r="559" spans="5:32" ht="14.15" customHeight="1" x14ac:dyDescent="0.35">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314"/>
      <c r="AE559" s="314"/>
      <c r="AF559" s="314"/>
    </row>
    <row r="560" spans="5:32" ht="14.15" customHeight="1" x14ac:dyDescent="0.35">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c r="AA560" s="314"/>
      <c r="AB560" s="314"/>
      <c r="AC560" s="314"/>
      <c r="AD560" s="314"/>
      <c r="AE560" s="314"/>
      <c r="AF560" s="314"/>
    </row>
    <row r="561" spans="5:32" ht="14.15" customHeight="1" x14ac:dyDescent="0.35">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314"/>
      <c r="AE561" s="314"/>
      <c r="AF561" s="314"/>
    </row>
    <row r="562" spans="5:32" ht="14.15" customHeight="1" x14ac:dyDescent="0.35">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314"/>
      <c r="AF562" s="314"/>
    </row>
    <row r="563" spans="5:32" ht="14.15" customHeight="1" x14ac:dyDescent="0.35">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314"/>
      <c r="AE563" s="314"/>
      <c r="AF563" s="314"/>
    </row>
    <row r="564" spans="5:32" ht="14.15" customHeight="1" x14ac:dyDescent="0.35">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c r="AA564" s="314"/>
      <c r="AB564" s="314"/>
      <c r="AC564" s="314"/>
      <c r="AD564" s="314"/>
      <c r="AE564" s="314"/>
      <c r="AF564" s="314"/>
    </row>
    <row r="565" spans="5:32" ht="14.15" customHeight="1" x14ac:dyDescent="0.35">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314"/>
      <c r="AE565" s="314"/>
      <c r="AF565" s="314"/>
    </row>
    <row r="566" spans="5:32" ht="14.15" customHeight="1" x14ac:dyDescent="0.35">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c r="AA566" s="314"/>
      <c r="AB566" s="314"/>
      <c r="AC566" s="314"/>
      <c r="AD566" s="314"/>
      <c r="AE566" s="314"/>
      <c r="AF566" s="314"/>
    </row>
    <row r="567" spans="5:32" ht="14.15" customHeight="1" x14ac:dyDescent="0.35">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314"/>
      <c r="AE567" s="314"/>
      <c r="AF567" s="314"/>
    </row>
    <row r="568" spans="5:32" ht="14.15" customHeight="1" x14ac:dyDescent="0.35">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314"/>
      <c r="AE568" s="314"/>
      <c r="AF568" s="314"/>
    </row>
    <row r="569" spans="5:32" ht="14.15" customHeight="1" x14ac:dyDescent="0.35">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314"/>
      <c r="AE569" s="314"/>
      <c r="AF569" s="314"/>
    </row>
    <row r="570" spans="5:32" ht="14.15" customHeight="1" x14ac:dyDescent="0.35">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314"/>
      <c r="AE570" s="314"/>
      <c r="AF570" s="314"/>
    </row>
    <row r="571" spans="5:32" ht="14.15" customHeight="1" x14ac:dyDescent="0.35">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c r="AA571" s="314"/>
      <c r="AB571" s="314"/>
      <c r="AC571" s="314"/>
      <c r="AD571" s="314"/>
      <c r="AE571" s="314"/>
      <c r="AF571" s="314"/>
    </row>
    <row r="572" spans="5:32" ht="14.15" customHeight="1" x14ac:dyDescent="0.35">
      <c r="E572" s="314"/>
      <c r="F572" s="314"/>
      <c r="G572" s="314"/>
      <c r="H572" s="314"/>
      <c r="I572" s="314"/>
      <c r="J572" s="314"/>
      <c r="K572" s="314"/>
      <c r="L572" s="314"/>
      <c r="M572" s="314"/>
      <c r="N572" s="314"/>
      <c r="O572" s="314"/>
      <c r="P572" s="314"/>
      <c r="Q572" s="314"/>
      <c r="R572" s="314"/>
      <c r="S572" s="314"/>
      <c r="T572" s="314"/>
      <c r="U572" s="314"/>
      <c r="V572" s="314"/>
      <c r="W572" s="314"/>
      <c r="X572" s="314"/>
      <c r="Y572" s="314"/>
      <c r="Z572" s="314"/>
      <c r="AA572" s="314"/>
      <c r="AB572" s="314"/>
      <c r="AC572" s="314"/>
      <c r="AD572" s="314"/>
      <c r="AE572" s="314"/>
      <c r="AF572" s="314"/>
    </row>
    <row r="573" spans="5:32" ht="14.15" customHeight="1" x14ac:dyDescent="0.35">
      <c r="E573" s="314"/>
      <c r="F573" s="314"/>
      <c r="G573" s="314"/>
      <c r="H573" s="314"/>
      <c r="I573" s="314"/>
      <c r="J573" s="314"/>
      <c r="K573" s="314"/>
      <c r="L573" s="314"/>
      <c r="M573" s="314"/>
      <c r="N573" s="314"/>
      <c r="O573" s="314"/>
      <c r="P573" s="314"/>
      <c r="Q573" s="314"/>
      <c r="R573" s="314"/>
      <c r="S573" s="314"/>
      <c r="T573" s="314"/>
      <c r="U573" s="314"/>
      <c r="V573" s="314"/>
      <c r="W573" s="314"/>
      <c r="X573" s="314"/>
      <c r="Y573" s="314"/>
      <c r="Z573" s="314"/>
      <c r="AA573" s="314"/>
      <c r="AB573" s="314"/>
      <c r="AC573" s="314"/>
      <c r="AD573" s="314"/>
      <c r="AE573" s="314"/>
      <c r="AF573" s="314"/>
    </row>
    <row r="574" spans="5:32" ht="14.15" customHeight="1" x14ac:dyDescent="0.35">
      <c r="E574" s="314"/>
      <c r="F574" s="314"/>
      <c r="G574" s="314"/>
      <c r="H574" s="314"/>
      <c r="I574" s="314"/>
      <c r="J574" s="314"/>
      <c r="K574" s="314"/>
      <c r="L574" s="314"/>
      <c r="M574" s="314"/>
      <c r="N574" s="314"/>
      <c r="O574" s="314"/>
      <c r="P574" s="314"/>
      <c r="Q574" s="314"/>
      <c r="R574" s="314"/>
      <c r="S574" s="314"/>
      <c r="T574" s="314"/>
      <c r="U574" s="314"/>
      <c r="V574" s="314"/>
      <c r="W574" s="314"/>
      <c r="X574" s="314"/>
      <c r="Y574" s="314"/>
      <c r="Z574" s="314"/>
      <c r="AA574" s="314"/>
      <c r="AB574" s="314"/>
      <c r="AC574" s="314"/>
      <c r="AD574" s="314"/>
      <c r="AE574" s="314"/>
      <c r="AF574" s="314"/>
    </row>
    <row r="575" spans="5:32" ht="14.15" customHeight="1" x14ac:dyDescent="0.35">
      <c r="E575" s="314"/>
      <c r="F575" s="314"/>
      <c r="G575" s="314"/>
      <c r="H575" s="314"/>
      <c r="I575" s="314"/>
      <c r="J575" s="314"/>
      <c r="K575" s="314"/>
      <c r="L575" s="314"/>
      <c r="M575" s="314"/>
      <c r="N575" s="314"/>
      <c r="O575" s="314"/>
      <c r="P575" s="314"/>
      <c r="Q575" s="314"/>
      <c r="R575" s="314"/>
      <c r="S575" s="314"/>
      <c r="T575" s="314"/>
      <c r="U575" s="314"/>
      <c r="V575" s="314"/>
      <c r="W575" s="314"/>
      <c r="X575" s="314"/>
      <c r="Y575" s="314"/>
      <c r="Z575" s="314"/>
      <c r="AA575" s="314"/>
      <c r="AB575" s="314"/>
      <c r="AC575" s="314"/>
      <c r="AD575" s="314"/>
      <c r="AE575" s="314"/>
      <c r="AF575" s="314"/>
    </row>
    <row r="576" spans="5:32" ht="14.15" customHeight="1" x14ac:dyDescent="0.35">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314"/>
      <c r="AE576" s="314"/>
      <c r="AF576" s="314"/>
    </row>
    <row r="577" spans="5:32" ht="14.15" customHeight="1" x14ac:dyDescent="0.35">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c r="AA577" s="314"/>
      <c r="AB577" s="314"/>
      <c r="AC577" s="314"/>
      <c r="AD577" s="314"/>
      <c r="AE577" s="314"/>
      <c r="AF577" s="314"/>
    </row>
    <row r="578" spans="5:32" ht="14.15" customHeight="1" x14ac:dyDescent="0.35">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c r="AA578" s="314"/>
      <c r="AB578" s="314"/>
      <c r="AC578" s="314"/>
      <c r="AD578" s="314"/>
      <c r="AE578" s="314"/>
      <c r="AF578" s="314"/>
    </row>
    <row r="579" spans="5:32" ht="14.15" customHeight="1" x14ac:dyDescent="0.35">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314"/>
      <c r="AE579" s="314"/>
      <c r="AF579" s="314"/>
    </row>
    <row r="580" spans="5:32" ht="14.15" customHeight="1" x14ac:dyDescent="0.35">
      <c r="E580" s="314"/>
      <c r="F580" s="314"/>
      <c r="G580" s="314"/>
      <c r="H580" s="314"/>
      <c r="I580" s="314"/>
      <c r="J580" s="314"/>
      <c r="K580" s="314"/>
      <c r="L580" s="314"/>
      <c r="M580" s="314"/>
      <c r="N580" s="314"/>
      <c r="O580" s="314"/>
      <c r="P580" s="314"/>
      <c r="Q580" s="314"/>
      <c r="R580" s="314"/>
      <c r="S580" s="314"/>
      <c r="T580" s="314"/>
      <c r="U580" s="314"/>
      <c r="V580" s="314"/>
      <c r="W580" s="314"/>
      <c r="X580" s="314"/>
      <c r="Y580" s="314"/>
      <c r="Z580" s="314"/>
      <c r="AA580" s="314"/>
      <c r="AB580" s="314"/>
      <c r="AC580" s="314"/>
      <c r="AD580" s="314"/>
      <c r="AE580" s="314"/>
      <c r="AF580" s="314"/>
    </row>
    <row r="581" spans="5:32" ht="14.15" customHeight="1" x14ac:dyDescent="0.35">
      <c r="E581" s="314"/>
      <c r="F581" s="314"/>
      <c r="G581" s="314"/>
      <c r="H581" s="314"/>
      <c r="I581" s="314"/>
      <c r="J581" s="314"/>
      <c r="K581" s="314"/>
      <c r="L581" s="314"/>
      <c r="M581" s="314"/>
      <c r="N581" s="314"/>
      <c r="O581" s="314"/>
      <c r="P581" s="314"/>
      <c r="Q581" s="314"/>
      <c r="R581" s="314"/>
      <c r="S581" s="314"/>
      <c r="T581" s="314"/>
      <c r="U581" s="314"/>
      <c r="V581" s="314"/>
      <c r="W581" s="314"/>
      <c r="X581" s="314"/>
      <c r="Y581" s="314"/>
      <c r="Z581" s="314"/>
      <c r="AA581" s="314"/>
      <c r="AB581" s="314"/>
      <c r="AC581" s="314"/>
      <c r="AD581" s="314"/>
      <c r="AE581" s="314"/>
      <c r="AF581" s="314"/>
    </row>
    <row r="582" spans="5:32" ht="14.15" customHeight="1" x14ac:dyDescent="0.35">
      <c r="E582" s="314"/>
      <c r="F582" s="314"/>
      <c r="G582" s="314"/>
      <c r="H582" s="314"/>
      <c r="I582" s="314"/>
      <c r="J582" s="314"/>
      <c r="K582" s="314"/>
      <c r="L582" s="314"/>
      <c r="M582" s="314"/>
      <c r="N582" s="314"/>
      <c r="O582" s="314"/>
      <c r="P582" s="314"/>
      <c r="Q582" s="314"/>
      <c r="R582" s="314"/>
      <c r="S582" s="314"/>
      <c r="T582" s="314"/>
      <c r="U582" s="314"/>
      <c r="V582" s="314"/>
      <c r="W582" s="314"/>
      <c r="X582" s="314"/>
      <c r="Y582" s="314"/>
      <c r="Z582" s="314"/>
      <c r="AA582" s="314"/>
      <c r="AB582" s="314"/>
      <c r="AC582" s="314"/>
      <c r="AD582" s="314"/>
      <c r="AE582" s="314"/>
      <c r="AF582" s="314"/>
    </row>
    <row r="583" spans="5:32" ht="14.15" customHeight="1" x14ac:dyDescent="0.35">
      <c r="E583" s="314"/>
      <c r="F583" s="314"/>
      <c r="G583" s="314"/>
      <c r="H583" s="314"/>
      <c r="I583" s="314"/>
      <c r="J583" s="314"/>
      <c r="K583" s="314"/>
      <c r="L583" s="314"/>
      <c r="M583" s="314"/>
      <c r="N583" s="314"/>
      <c r="O583" s="314"/>
      <c r="P583" s="314"/>
      <c r="Q583" s="314"/>
      <c r="R583" s="314"/>
      <c r="S583" s="314"/>
      <c r="T583" s="314"/>
      <c r="U583" s="314"/>
      <c r="V583" s="314"/>
      <c r="W583" s="314"/>
      <c r="X583" s="314"/>
      <c r="Y583" s="314"/>
      <c r="Z583" s="314"/>
      <c r="AA583" s="314"/>
      <c r="AB583" s="314"/>
      <c r="AC583" s="314"/>
      <c r="AD583" s="314"/>
      <c r="AE583" s="314"/>
      <c r="AF583" s="314"/>
    </row>
    <row r="584" spans="5:32" ht="14.15" customHeight="1" x14ac:dyDescent="0.35">
      <c r="E584" s="314"/>
      <c r="F584" s="314"/>
      <c r="G584" s="314"/>
      <c r="H584" s="314"/>
      <c r="I584" s="314"/>
      <c r="J584" s="314"/>
      <c r="K584" s="314"/>
      <c r="L584" s="314"/>
      <c r="M584" s="314"/>
      <c r="N584" s="314"/>
      <c r="O584" s="314"/>
      <c r="P584" s="314"/>
      <c r="Q584" s="314"/>
      <c r="R584" s="314"/>
      <c r="S584" s="314"/>
      <c r="T584" s="314"/>
      <c r="U584" s="314"/>
      <c r="V584" s="314"/>
      <c r="W584" s="314"/>
      <c r="X584" s="314"/>
      <c r="Y584" s="314"/>
      <c r="Z584" s="314"/>
      <c r="AA584" s="314"/>
      <c r="AB584" s="314"/>
      <c r="AC584" s="314"/>
      <c r="AD584" s="314"/>
      <c r="AE584" s="314"/>
      <c r="AF584" s="314"/>
    </row>
    <row r="585" spans="5:32" ht="14.15" customHeight="1" x14ac:dyDescent="0.35">
      <c r="E585" s="314"/>
      <c r="F585" s="314"/>
      <c r="G585" s="314"/>
      <c r="H585" s="314"/>
      <c r="I585" s="314"/>
      <c r="J585" s="314"/>
      <c r="K585" s="314"/>
      <c r="L585" s="314"/>
      <c r="M585" s="314"/>
      <c r="N585" s="314"/>
      <c r="O585" s="314"/>
      <c r="P585" s="314"/>
      <c r="Q585" s="314"/>
      <c r="R585" s="314"/>
      <c r="S585" s="314"/>
      <c r="T585" s="314"/>
      <c r="U585" s="314"/>
      <c r="V585" s="314"/>
      <c r="W585" s="314"/>
      <c r="X585" s="314"/>
      <c r="Y585" s="314"/>
      <c r="Z585" s="314"/>
      <c r="AA585" s="314"/>
      <c r="AB585" s="314"/>
      <c r="AC585" s="314"/>
      <c r="AD585" s="314"/>
      <c r="AE585" s="314"/>
      <c r="AF585" s="314"/>
    </row>
    <row r="586" spans="5:32" ht="14.15" customHeight="1" x14ac:dyDescent="0.35">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314"/>
      <c r="AE586" s="314"/>
      <c r="AF586" s="314"/>
    </row>
    <row r="587" spans="5:32" ht="14.15" customHeight="1" x14ac:dyDescent="0.35">
      <c r="E587" s="314"/>
      <c r="F587" s="314"/>
      <c r="G587" s="314"/>
      <c r="H587" s="314"/>
      <c r="I587" s="314"/>
      <c r="J587" s="314"/>
      <c r="K587" s="314"/>
      <c r="L587" s="314"/>
      <c r="M587" s="314"/>
      <c r="N587" s="314"/>
      <c r="O587" s="314"/>
      <c r="P587" s="314"/>
      <c r="Q587" s="314"/>
      <c r="R587" s="314"/>
      <c r="S587" s="314"/>
      <c r="T587" s="314"/>
      <c r="U587" s="314"/>
      <c r="V587" s="314"/>
      <c r="W587" s="314"/>
      <c r="X587" s="314"/>
      <c r="Y587" s="314"/>
      <c r="Z587" s="314"/>
      <c r="AA587" s="314"/>
      <c r="AB587" s="314"/>
      <c r="AC587" s="314"/>
      <c r="AD587" s="314"/>
      <c r="AE587" s="314"/>
      <c r="AF587" s="314"/>
    </row>
    <row r="588" spans="5:32" ht="14.15" customHeight="1" x14ac:dyDescent="0.35">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314"/>
      <c r="AE588" s="314"/>
      <c r="AF588" s="314"/>
    </row>
    <row r="589" spans="5:32" ht="14.15" customHeight="1" x14ac:dyDescent="0.35">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314"/>
      <c r="AF589" s="314"/>
    </row>
    <row r="590" spans="5:32" ht="14.15" customHeight="1" x14ac:dyDescent="0.35">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4"/>
      <c r="AD590" s="314"/>
      <c r="AE590" s="314"/>
      <c r="AF590" s="314"/>
    </row>
    <row r="591" spans="5:32" ht="14.15" customHeight="1" x14ac:dyDescent="0.35">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314"/>
      <c r="AE591" s="314"/>
      <c r="AF591" s="314"/>
    </row>
    <row r="592" spans="5:32" ht="14.15" customHeight="1" x14ac:dyDescent="0.35">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c r="AA592" s="314"/>
      <c r="AB592" s="314"/>
      <c r="AC592" s="314"/>
      <c r="AD592" s="314"/>
      <c r="AE592" s="314"/>
      <c r="AF592" s="314"/>
    </row>
    <row r="593" spans="5:32" ht="14.15" customHeight="1" x14ac:dyDescent="0.35">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c r="AA593" s="314"/>
      <c r="AB593" s="314"/>
      <c r="AC593" s="314"/>
      <c r="AD593" s="314"/>
      <c r="AE593" s="314"/>
      <c r="AF593" s="314"/>
    </row>
    <row r="594" spans="5:32" ht="14.15" customHeight="1" x14ac:dyDescent="0.35">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314"/>
      <c r="AE594" s="314"/>
      <c r="AF594" s="314"/>
    </row>
    <row r="595" spans="5:32" ht="14.15" customHeight="1" x14ac:dyDescent="0.35">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314"/>
      <c r="AE595" s="314"/>
      <c r="AF595" s="314"/>
    </row>
    <row r="596" spans="5:32" ht="14.15" customHeight="1" x14ac:dyDescent="0.35">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314"/>
      <c r="AE596" s="314"/>
      <c r="AF596" s="314"/>
    </row>
    <row r="597" spans="5:32" ht="14.15" customHeight="1" x14ac:dyDescent="0.35">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314"/>
      <c r="AE597" s="314"/>
      <c r="AF597" s="314"/>
    </row>
    <row r="598" spans="5:32" ht="14.15" customHeight="1" x14ac:dyDescent="0.35">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314"/>
      <c r="AF598" s="314"/>
    </row>
    <row r="599" spans="5:32" ht="14.15" customHeight="1" x14ac:dyDescent="0.35">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314"/>
      <c r="AE599" s="314"/>
      <c r="AF599" s="314"/>
    </row>
    <row r="600" spans="5:32" ht="14.15" customHeight="1" x14ac:dyDescent="0.35">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c r="AA600" s="314"/>
      <c r="AB600" s="314"/>
      <c r="AC600" s="314"/>
      <c r="AD600" s="314"/>
      <c r="AE600" s="314"/>
      <c r="AF600" s="314"/>
    </row>
    <row r="601" spans="5:32" ht="14.15" customHeight="1" x14ac:dyDescent="0.35">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314"/>
      <c r="AE601" s="314"/>
      <c r="AF601" s="314"/>
    </row>
    <row r="602" spans="5:32" ht="14.15" customHeight="1" x14ac:dyDescent="0.35">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c r="AA602" s="314"/>
      <c r="AB602" s="314"/>
      <c r="AC602" s="314"/>
      <c r="AD602" s="314"/>
      <c r="AE602" s="314"/>
      <c r="AF602" s="314"/>
    </row>
    <row r="603" spans="5:32" ht="14.15" customHeight="1" x14ac:dyDescent="0.35">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c r="AA603" s="314"/>
      <c r="AB603" s="314"/>
      <c r="AC603" s="314"/>
      <c r="AD603" s="314"/>
      <c r="AE603" s="314"/>
      <c r="AF603" s="314"/>
    </row>
    <row r="604" spans="5:32" ht="14.15" customHeight="1" x14ac:dyDescent="0.35">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314"/>
      <c r="AE604" s="314"/>
      <c r="AF604" s="314"/>
    </row>
    <row r="605" spans="5:32" ht="14.15" customHeight="1" x14ac:dyDescent="0.35">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c r="AA605" s="314"/>
      <c r="AB605" s="314"/>
      <c r="AC605" s="314"/>
      <c r="AD605" s="314"/>
      <c r="AE605" s="314"/>
      <c r="AF605" s="314"/>
    </row>
    <row r="606" spans="5:32" ht="14.15" customHeight="1" x14ac:dyDescent="0.35">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314"/>
      <c r="AE606" s="314"/>
      <c r="AF606" s="314"/>
    </row>
    <row r="607" spans="5:32" ht="14.15" customHeight="1" x14ac:dyDescent="0.35">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314"/>
      <c r="AE607" s="314"/>
      <c r="AF607" s="314"/>
    </row>
    <row r="608" spans="5:32" ht="14.15" customHeight="1" x14ac:dyDescent="0.35">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c r="AA608" s="314"/>
      <c r="AB608" s="314"/>
      <c r="AC608" s="314"/>
      <c r="AD608" s="314"/>
      <c r="AE608" s="314"/>
      <c r="AF608" s="314"/>
    </row>
    <row r="609" spans="5:32" ht="14.15" customHeight="1" x14ac:dyDescent="0.35">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314"/>
      <c r="AE609" s="314"/>
      <c r="AF609" s="314"/>
    </row>
    <row r="610" spans="5:32" ht="14.15" customHeight="1" x14ac:dyDescent="0.35">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c r="AA610" s="314"/>
      <c r="AB610" s="314"/>
      <c r="AC610" s="314"/>
      <c r="AD610" s="314"/>
      <c r="AE610" s="314"/>
      <c r="AF610" s="314"/>
    </row>
    <row r="611" spans="5:32" ht="14.15" customHeight="1" x14ac:dyDescent="0.35">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4"/>
      <c r="AD611" s="314"/>
      <c r="AE611" s="314"/>
      <c r="AF611" s="314"/>
    </row>
    <row r="612" spans="5:32" ht="14.15" customHeight="1" x14ac:dyDescent="0.35">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c r="AA612" s="314"/>
      <c r="AB612" s="314"/>
      <c r="AC612" s="314"/>
      <c r="AD612" s="314"/>
      <c r="AE612" s="314"/>
      <c r="AF612" s="314"/>
    </row>
    <row r="613" spans="5:32" ht="14.15" customHeight="1" x14ac:dyDescent="0.35">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314"/>
      <c r="AE613" s="314"/>
      <c r="AF613" s="314"/>
    </row>
    <row r="614" spans="5:32" ht="14.15" customHeight="1" x14ac:dyDescent="0.35">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c r="AA614" s="314"/>
      <c r="AB614" s="314"/>
      <c r="AC614" s="314"/>
      <c r="AD614" s="314"/>
      <c r="AE614" s="314"/>
      <c r="AF614" s="314"/>
    </row>
    <row r="615" spans="5:32" ht="14.15" customHeight="1" x14ac:dyDescent="0.35">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c r="AA615" s="314"/>
      <c r="AB615" s="314"/>
      <c r="AC615" s="314"/>
      <c r="AD615" s="314"/>
      <c r="AE615" s="314"/>
      <c r="AF615" s="314"/>
    </row>
    <row r="616" spans="5:32" ht="14.15" customHeight="1" x14ac:dyDescent="0.35">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c r="AA616" s="314"/>
      <c r="AB616" s="314"/>
      <c r="AC616" s="314"/>
      <c r="AD616" s="314"/>
      <c r="AE616" s="314"/>
      <c r="AF616" s="314"/>
    </row>
    <row r="617" spans="5:32" ht="14.15" customHeight="1" x14ac:dyDescent="0.35">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c r="AA617" s="314"/>
      <c r="AB617" s="314"/>
      <c r="AC617" s="314"/>
      <c r="AD617" s="314"/>
      <c r="AE617" s="314"/>
      <c r="AF617" s="314"/>
    </row>
    <row r="618" spans="5:32" ht="14.15" customHeight="1" x14ac:dyDescent="0.35">
      <c r="E618" s="314"/>
      <c r="F618" s="314"/>
      <c r="G618" s="314"/>
      <c r="H618" s="314"/>
      <c r="I618" s="314"/>
      <c r="J618" s="314"/>
      <c r="K618" s="314"/>
      <c r="L618" s="314"/>
      <c r="M618" s="314"/>
      <c r="N618" s="314"/>
      <c r="O618" s="314"/>
      <c r="P618" s="314"/>
      <c r="Q618" s="314"/>
      <c r="R618" s="314"/>
      <c r="S618" s="314"/>
      <c r="T618" s="314"/>
      <c r="U618" s="314"/>
      <c r="V618" s="314"/>
      <c r="W618" s="314"/>
      <c r="X618" s="314"/>
      <c r="Y618" s="314"/>
      <c r="Z618" s="314"/>
      <c r="AA618" s="314"/>
      <c r="AB618" s="314"/>
      <c r="AC618" s="314"/>
      <c r="AD618" s="314"/>
      <c r="AE618" s="314"/>
      <c r="AF618" s="314"/>
    </row>
    <row r="619" spans="5:32" ht="14.15" customHeight="1" x14ac:dyDescent="0.35">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314"/>
      <c r="AE619" s="314"/>
      <c r="AF619" s="314"/>
    </row>
    <row r="620" spans="5:32" ht="14.15" customHeight="1" x14ac:dyDescent="0.35">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c r="AA620" s="314"/>
      <c r="AB620" s="314"/>
      <c r="AC620" s="314"/>
      <c r="AD620" s="314"/>
      <c r="AE620" s="314"/>
      <c r="AF620" s="314"/>
    </row>
    <row r="621" spans="5:32" ht="14.15" customHeight="1" x14ac:dyDescent="0.35">
      <c r="E621" s="314"/>
      <c r="F621" s="314"/>
      <c r="G621" s="314"/>
      <c r="H621" s="314"/>
      <c r="I621" s="314"/>
      <c r="J621" s="314"/>
      <c r="K621" s="314"/>
      <c r="L621" s="314"/>
      <c r="M621" s="314"/>
      <c r="N621" s="314"/>
      <c r="O621" s="314"/>
      <c r="P621" s="314"/>
      <c r="Q621" s="314"/>
      <c r="R621" s="314"/>
      <c r="S621" s="314"/>
      <c r="T621" s="314"/>
      <c r="U621" s="314"/>
      <c r="V621" s="314"/>
      <c r="W621" s="314"/>
      <c r="X621" s="314"/>
      <c r="Y621" s="314"/>
      <c r="Z621" s="314"/>
      <c r="AA621" s="314"/>
      <c r="AB621" s="314"/>
      <c r="AC621" s="314"/>
      <c r="AD621" s="314"/>
      <c r="AE621" s="314"/>
      <c r="AF621" s="314"/>
    </row>
    <row r="622" spans="5:32" ht="14.15" customHeight="1" x14ac:dyDescent="0.35">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314"/>
      <c r="AE622" s="314"/>
      <c r="AF622" s="314"/>
    </row>
    <row r="623" spans="5:32" ht="14.15" customHeight="1" x14ac:dyDescent="0.35">
      <c r="E623" s="314"/>
      <c r="F623" s="314"/>
      <c r="G623" s="314"/>
      <c r="H623" s="314"/>
      <c r="I623" s="314"/>
      <c r="J623" s="314"/>
      <c r="K623" s="314"/>
      <c r="L623" s="314"/>
      <c r="M623" s="314"/>
      <c r="N623" s="314"/>
      <c r="O623" s="314"/>
      <c r="P623" s="314"/>
      <c r="Q623" s="314"/>
      <c r="R623" s="314"/>
      <c r="S623" s="314"/>
      <c r="T623" s="314"/>
      <c r="U623" s="314"/>
      <c r="V623" s="314"/>
      <c r="W623" s="314"/>
      <c r="X623" s="314"/>
      <c r="Y623" s="314"/>
      <c r="Z623" s="314"/>
      <c r="AA623" s="314"/>
      <c r="AB623" s="314"/>
      <c r="AC623" s="314"/>
      <c r="AD623" s="314"/>
      <c r="AE623" s="314"/>
      <c r="AF623" s="314"/>
    </row>
    <row r="624" spans="5:32" ht="14.15" customHeight="1" x14ac:dyDescent="0.35">
      <c r="E624" s="314"/>
      <c r="F624" s="314"/>
      <c r="G624" s="314"/>
      <c r="H624" s="314"/>
      <c r="I624" s="314"/>
      <c r="J624" s="314"/>
      <c r="K624" s="314"/>
      <c r="L624" s="314"/>
      <c r="M624" s="314"/>
      <c r="N624" s="314"/>
      <c r="O624" s="314"/>
      <c r="P624" s="314"/>
      <c r="Q624" s="314"/>
      <c r="R624" s="314"/>
      <c r="S624" s="314"/>
      <c r="T624" s="314"/>
      <c r="U624" s="314"/>
      <c r="V624" s="314"/>
      <c r="W624" s="314"/>
      <c r="X624" s="314"/>
      <c r="Y624" s="314"/>
      <c r="Z624" s="314"/>
      <c r="AA624" s="314"/>
      <c r="AB624" s="314"/>
      <c r="AC624" s="314"/>
      <c r="AD624" s="314"/>
      <c r="AE624" s="314"/>
      <c r="AF624" s="314"/>
    </row>
    <row r="625" spans="5:32" ht="14.15" customHeight="1" x14ac:dyDescent="0.35">
      <c r="E625" s="314"/>
      <c r="F625" s="314"/>
      <c r="G625" s="314"/>
      <c r="H625" s="314"/>
      <c r="I625" s="314"/>
      <c r="J625" s="314"/>
      <c r="K625" s="314"/>
      <c r="L625" s="314"/>
      <c r="M625" s="314"/>
      <c r="N625" s="314"/>
      <c r="O625" s="314"/>
      <c r="P625" s="314"/>
      <c r="Q625" s="314"/>
      <c r="R625" s="314"/>
      <c r="S625" s="314"/>
      <c r="T625" s="314"/>
      <c r="U625" s="314"/>
      <c r="V625" s="314"/>
      <c r="W625" s="314"/>
      <c r="X625" s="314"/>
      <c r="Y625" s="314"/>
      <c r="Z625" s="314"/>
      <c r="AA625" s="314"/>
      <c r="AB625" s="314"/>
      <c r="AC625" s="314"/>
      <c r="AD625" s="314"/>
      <c r="AE625" s="314"/>
      <c r="AF625" s="314"/>
    </row>
    <row r="626" spans="5:32" ht="14.15" customHeight="1" x14ac:dyDescent="0.35">
      <c r="E626" s="314"/>
      <c r="F626" s="314"/>
      <c r="G626" s="314"/>
      <c r="H626" s="314"/>
      <c r="I626" s="314"/>
      <c r="J626" s="314"/>
      <c r="K626" s="314"/>
      <c r="L626" s="314"/>
      <c r="M626" s="314"/>
      <c r="N626" s="314"/>
      <c r="O626" s="314"/>
      <c r="P626" s="314"/>
      <c r="Q626" s="314"/>
      <c r="R626" s="314"/>
      <c r="S626" s="314"/>
      <c r="T626" s="314"/>
      <c r="U626" s="314"/>
      <c r="V626" s="314"/>
      <c r="W626" s="314"/>
      <c r="X626" s="314"/>
      <c r="Y626" s="314"/>
      <c r="Z626" s="314"/>
      <c r="AA626" s="314"/>
      <c r="AB626" s="314"/>
      <c r="AC626" s="314"/>
      <c r="AD626" s="314"/>
      <c r="AE626" s="314"/>
      <c r="AF626" s="314"/>
    </row>
    <row r="627" spans="5:32" ht="14.15" customHeight="1" x14ac:dyDescent="0.35">
      <c r="E627" s="314"/>
      <c r="F627" s="314"/>
      <c r="G627" s="314"/>
      <c r="H627" s="314"/>
      <c r="I627" s="314"/>
      <c r="J627" s="314"/>
      <c r="K627" s="314"/>
      <c r="L627" s="314"/>
      <c r="M627" s="314"/>
      <c r="N627" s="314"/>
      <c r="O627" s="314"/>
      <c r="P627" s="314"/>
      <c r="Q627" s="314"/>
      <c r="R627" s="314"/>
      <c r="S627" s="314"/>
      <c r="T627" s="314"/>
      <c r="U627" s="314"/>
      <c r="V627" s="314"/>
      <c r="W627" s="314"/>
      <c r="X627" s="314"/>
      <c r="Y627" s="314"/>
      <c r="Z627" s="314"/>
      <c r="AA627" s="314"/>
      <c r="AB627" s="314"/>
      <c r="AC627" s="314"/>
      <c r="AD627" s="314"/>
      <c r="AE627" s="314"/>
      <c r="AF627" s="314"/>
    </row>
    <row r="628" spans="5:32" ht="14.15" customHeight="1" x14ac:dyDescent="0.35">
      <c r="E628" s="314"/>
      <c r="F628" s="314"/>
      <c r="G628" s="314"/>
      <c r="H628" s="314"/>
      <c r="I628" s="314"/>
      <c r="J628" s="314"/>
      <c r="K628" s="314"/>
      <c r="L628" s="314"/>
      <c r="M628" s="314"/>
      <c r="N628" s="314"/>
      <c r="O628" s="314"/>
      <c r="P628" s="314"/>
      <c r="Q628" s="314"/>
      <c r="R628" s="314"/>
      <c r="S628" s="314"/>
      <c r="T628" s="314"/>
      <c r="U628" s="314"/>
      <c r="V628" s="314"/>
      <c r="W628" s="314"/>
      <c r="X628" s="314"/>
      <c r="Y628" s="314"/>
      <c r="Z628" s="314"/>
      <c r="AA628" s="314"/>
      <c r="AB628" s="314"/>
      <c r="AC628" s="314"/>
      <c r="AD628" s="314"/>
      <c r="AE628" s="314"/>
      <c r="AF628" s="314"/>
    </row>
    <row r="629" spans="5:32" ht="14.15" customHeight="1" x14ac:dyDescent="0.35">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c r="AA629" s="314"/>
      <c r="AB629" s="314"/>
      <c r="AC629" s="314"/>
      <c r="AD629" s="314"/>
      <c r="AE629" s="314"/>
      <c r="AF629" s="314"/>
    </row>
    <row r="630" spans="5:32" ht="14.15" customHeight="1" x14ac:dyDescent="0.35">
      <c r="E630" s="314"/>
      <c r="F630" s="314"/>
      <c r="G630" s="314"/>
      <c r="H630" s="314"/>
      <c r="I630" s="314"/>
      <c r="J630" s="314"/>
      <c r="K630" s="314"/>
      <c r="L630" s="314"/>
      <c r="M630" s="314"/>
      <c r="N630" s="314"/>
      <c r="O630" s="314"/>
      <c r="P630" s="314"/>
      <c r="Q630" s="314"/>
      <c r="R630" s="314"/>
      <c r="S630" s="314"/>
      <c r="T630" s="314"/>
      <c r="U630" s="314"/>
      <c r="V630" s="314"/>
      <c r="W630" s="314"/>
      <c r="X630" s="314"/>
      <c r="Y630" s="314"/>
      <c r="Z630" s="314"/>
      <c r="AA630" s="314"/>
      <c r="AB630" s="314"/>
      <c r="AC630" s="314"/>
      <c r="AD630" s="314"/>
      <c r="AE630" s="314"/>
      <c r="AF630" s="314"/>
    </row>
    <row r="631" spans="5:32" ht="14.15" customHeight="1" x14ac:dyDescent="0.35">
      <c r="E631" s="314"/>
      <c r="F631" s="314"/>
      <c r="G631" s="314"/>
      <c r="H631" s="314"/>
      <c r="I631" s="314"/>
      <c r="J631" s="314"/>
      <c r="K631" s="314"/>
      <c r="L631" s="314"/>
      <c r="M631" s="314"/>
      <c r="N631" s="314"/>
      <c r="O631" s="314"/>
      <c r="P631" s="314"/>
      <c r="Q631" s="314"/>
      <c r="R631" s="314"/>
      <c r="S631" s="314"/>
      <c r="T631" s="314"/>
      <c r="U631" s="314"/>
      <c r="V631" s="314"/>
      <c r="W631" s="314"/>
      <c r="X631" s="314"/>
      <c r="Y631" s="314"/>
      <c r="Z631" s="314"/>
      <c r="AA631" s="314"/>
      <c r="AB631" s="314"/>
      <c r="AC631" s="314"/>
      <c r="AD631" s="314"/>
      <c r="AE631" s="314"/>
      <c r="AF631" s="314"/>
    </row>
    <row r="632" spans="5:32" ht="14.15" customHeight="1" x14ac:dyDescent="0.35">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314"/>
      <c r="AE632" s="314"/>
      <c r="AF632" s="314"/>
    </row>
    <row r="633" spans="5:32" ht="14.15" customHeight="1" x14ac:dyDescent="0.35">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314"/>
      <c r="AF633" s="314"/>
    </row>
    <row r="634" spans="5:32" ht="14.15" customHeight="1" x14ac:dyDescent="0.35">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314"/>
      <c r="AE634" s="314"/>
      <c r="AF634" s="314"/>
    </row>
    <row r="635" spans="5:32" ht="14.15" customHeight="1" x14ac:dyDescent="0.35">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314"/>
      <c r="AE635" s="314"/>
      <c r="AF635" s="314"/>
    </row>
    <row r="636" spans="5:32" ht="14.15" customHeight="1" x14ac:dyDescent="0.35">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c r="AA636" s="314"/>
      <c r="AB636" s="314"/>
      <c r="AC636" s="314"/>
      <c r="AD636" s="314"/>
      <c r="AE636" s="314"/>
      <c r="AF636" s="314"/>
    </row>
    <row r="637" spans="5:32" ht="14.15" customHeight="1" x14ac:dyDescent="0.35">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314"/>
      <c r="AE637" s="314"/>
      <c r="AF637" s="314"/>
    </row>
    <row r="638" spans="5:32" ht="14.15" customHeight="1" x14ac:dyDescent="0.35">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c r="AA638" s="314"/>
      <c r="AB638" s="314"/>
      <c r="AC638" s="314"/>
      <c r="AD638" s="314"/>
      <c r="AE638" s="314"/>
      <c r="AF638" s="314"/>
    </row>
    <row r="639" spans="5:32" ht="14.15" customHeight="1" x14ac:dyDescent="0.35">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c r="AA639" s="314"/>
      <c r="AB639" s="314"/>
      <c r="AC639" s="314"/>
      <c r="AD639" s="314"/>
      <c r="AE639" s="314"/>
      <c r="AF639" s="314"/>
    </row>
    <row r="640" spans="5:32" ht="14.15" customHeight="1" x14ac:dyDescent="0.35">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314"/>
      <c r="AE640" s="314"/>
      <c r="AF640" s="314"/>
    </row>
    <row r="641" spans="5:32" ht="14.15" customHeight="1" x14ac:dyDescent="0.35">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314"/>
      <c r="AE641" s="314"/>
      <c r="AF641" s="314"/>
    </row>
    <row r="642" spans="5:32" ht="14.15" customHeight="1" x14ac:dyDescent="0.35">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314"/>
      <c r="AF642" s="314"/>
    </row>
    <row r="643" spans="5:32" ht="14.15" customHeight="1" x14ac:dyDescent="0.35">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314"/>
      <c r="AE643" s="314"/>
      <c r="AF643" s="314"/>
    </row>
    <row r="644" spans="5:32" ht="14.15" customHeight="1" x14ac:dyDescent="0.35">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314"/>
      <c r="AE644" s="314"/>
      <c r="AF644" s="314"/>
    </row>
    <row r="645" spans="5:32" ht="14.15" customHeight="1" x14ac:dyDescent="0.35">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314"/>
      <c r="AE645" s="314"/>
      <c r="AF645" s="314"/>
    </row>
    <row r="646" spans="5:32" ht="14.15" customHeight="1" x14ac:dyDescent="0.35">
      <c r="E646" s="314"/>
      <c r="F646" s="314"/>
      <c r="G646" s="314"/>
      <c r="H646" s="314"/>
      <c r="I646" s="314"/>
      <c r="J646" s="314"/>
      <c r="K646" s="314"/>
      <c r="L646" s="314"/>
      <c r="M646" s="314"/>
      <c r="N646" s="314"/>
      <c r="O646" s="314"/>
      <c r="P646" s="314"/>
      <c r="Q646" s="314"/>
      <c r="R646" s="314"/>
      <c r="S646" s="314"/>
      <c r="T646" s="314"/>
      <c r="U646" s="314"/>
      <c r="V646" s="314"/>
      <c r="W646" s="314"/>
      <c r="X646" s="314"/>
      <c r="Y646" s="314"/>
      <c r="Z646" s="314"/>
      <c r="AA646" s="314"/>
      <c r="AB646" s="314"/>
      <c r="AC646" s="314"/>
      <c r="AD646" s="314"/>
      <c r="AE646" s="314"/>
      <c r="AF646" s="314"/>
    </row>
    <row r="647" spans="5:32" ht="14.15" customHeight="1" x14ac:dyDescent="0.35">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c r="AA647" s="314"/>
      <c r="AB647" s="314"/>
      <c r="AC647" s="314"/>
      <c r="AD647" s="314"/>
      <c r="AE647" s="314"/>
      <c r="AF647" s="314"/>
    </row>
    <row r="648" spans="5:32" ht="14.15" customHeight="1" x14ac:dyDescent="0.35">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4"/>
      <c r="AD648" s="314"/>
      <c r="AE648" s="314"/>
      <c r="AF648" s="314"/>
    </row>
    <row r="649" spans="5:32" ht="14.15" customHeight="1" x14ac:dyDescent="0.35">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4"/>
      <c r="AD649" s="314"/>
      <c r="AE649" s="314"/>
      <c r="AF649" s="314"/>
    </row>
    <row r="650" spans="5:32" ht="14.15" customHeight="1" x14ac:dyDescent="0.35">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4"/>
      <c r="AD650" s="314"/>
      <c r="AE650" s="314"/>
      <c r="AF650" s="314"/>
    </row>
    <row r="651" spans="5:32" ht="14.15" customHeight="1" x14ac:dyDescent="0.35">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c r="AA651" s="314"/>
      <c r="AB651" s="314"/>
      <c r="AC651" s="314"/>
      <c r="AD651" s="314"/>
      <c r="AE651" s="314"/>
      <c r="AF651" s="314"/>
    </row>
    <row r="652" spans="5:32" ht="14.15" customHeight="1" x14ac:dyDescent="0.35">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314"/>
      <c r="AE652" s="314"/>
      <c r="AF652" s="314"/>
    </row>
    <row r="653" spans="5:32" ht="14.15" customHeight="1" x14ac:dyDescent="0.35">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c r="AA653" s="314"/>
      <c r="AB653" s="314"/>
      <c r="AC653" s="314"/>
      <c r="AD653" s="314"/>
      <c r="AE653" s="314"/>
      <c r="AF653" s="314"/>
    </row>
    <row r="654" spans="5:32" ht="14.15" customHeight="1" x14ac:dyDescent="0.35">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c r="AA654" s="314"/>
      <c r="AB654" s="314"/>
      <c r="AC654" s="314"/>
      <c r="AD654" s="314"/>
      <c r="AE654" s="314"/>
      <c r="AF654" s="314"/>
    </row>
    <row r="655" spans="5:32" ht="14.15" customHeight="1" x14ac:dyDescent="0.35">
      <c r="E655" s="314"/>
      <c r="F655" s="314"/>
      <c r="G655" s="314"/>
      <c r="H655" s="314"/>
      <c r="I655" s="314"/>
      <c r="J655" s="314"/>
      <c r="K655" s="314"/>
      <c r="L655" s="314"/>
      <c r="M655" s="314"/>
      <c r="N655" s="314"/>
      <c r="O655" s="314"/>
      <c r="P655" s="314"/>
      <c r="Q655" s="314"/>
      <c r="R655" s="314"/>
      <c r="S655" s="314"/>
      <c r="T655" s="314"/>
      <c r="U655" s="314"/>
      <c r="V655" s="314"/>
      <c r="W655" s="314"/>
      <c r="X655" s="314"/>
      <c r="Y655" s="314"/>
      <c r="Z655" s="314"/>
      <c r="AA655" s="314"/>
      <c r="AB655" s="314"/>
      <c r="AC655" s="314"/>
      <c r="AD655" s="314"/>
      <c r="AE655" s="314"/>
      <c r="AF655" s="314"/>
    </row>
    <row r="656" spans="5:32" ht="14.15" customHeight="1" x14ac:dyDescent="0.35">
      <c r="E656" s="314"/>
      <c r="F656" s="314"/>
      <c r="G656" s="314"/>
      <c r="H656" s="314"/>
      <c r="I656" s="314"/>
      <c r="J656" s="314"/>
      <c r="K656" s="314"/>
      <c r="L656" s="314"/>
      <c r="M656" s="314"/>
      <c r="N656" s="314"/>
      <c r="O656" s="314"/>
      <c r="P656" s="314"/>
      <c r="Q656" s="314"/>
      <c r="R656" s="314"/>
      <c r="S656" s="314"/>
      <c r="T656" s="314"/>
      <c r="U656" s="314"/>
      <c r="V656" s="314"/>
      <c r="W656" s="314"/>
      <c r="X656" s="314"/>
      <c r="Y656" s="314"/>
      <c r="Z656" s="314"/>
      <c r="AA656" s="314"/>
      <c r="AB656" s="314"/>
      <c r="AC656" s="314"/>
      <c r="AD656" s="314"/>
      <c r="AE656" s="314"/>
      <c r="AF656" s="314"/>
    </row>
    <row r="657" spans="5:32" ht="14.15" customHeight="1" x14ac:dyDescent="0.35">
      <c r="E657" s="314"/>
      <c r="F657" s="314"/>
      <c r="G657" s="314"/>
      <c r="H657" s="314"/>
      <c r="I657" s="314"/>
      <c r="J657" s="314"/>
      <c r="K657" s="314"/>
      <c r="L657" s="314"/>
      <c r="M657" s="314"/>
      <c r="N657" s="314"/>
      <c r="O657" s="314"/>
      <c r="P657" s="314"/>
      <c r="Q657" s="314"/>
      <c r="R657" s="314"/>
      <c r="S657" s="314"/>
      <c r="T657" s="314"/>
      <c r="U657" s="314"/>
      <c r="V657" s="314"/>
      <c r="W657" s="314"/>
      <c r="X657" s="314"/>
      <c r="Y657" s="314"/>
      <c r="Z657" s="314"/>
      <c r="AA657" s="314"/>
      <c r="AB657" s="314"/>
      <c r="AC657" s="314"/>
      <c r="AD657" s="314"/>
      <c r="AE657" s="314"/>
      <c r="AF657" s="314"/>
    </row>
    <row r="658" spans="5:32" ht="14.15" customHeight="1" x14ac:dyDescent="0.35">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c r="AA658" s="314"/>
      <c r="AB658" s="314"/>
      <c r="AC658" s="314"/>
      <c r="AD658" s="314"/>
      <c r="AE658" s="314"/>
      <c r="AF658" s="314"/>
    </row>
    <row r="659" spans="5:32" ht="14.15" customHeight="1" x14ac:dyDescent="0.35">
      <c r="E659" s="314"/>
      <c r="F659" s="314"/>
      <c r="G659" s="314"/>
      <c r="H659" s="314"/>
      <c r="I659" s="314"/>
      <c r="J659" s="314"/>
      <c r="K659" s="314"/>
      <c r="L659" s="314"/>
      <c r="M659" s="314"/>
      <c r="N659" s="314"/>
      <c r="O659" s="314"/>
      <c r="P659" s="314"/>
      <c r="Q659" s="314"/>
      <c r="R659" s="314"/>
      <c r="S659" s="314"/>
      <c r="T659" s="314"/>
      <c r="U659" s="314"/>
      <c r="V659" s="314"/>
      <c r="W659" s="314"/>
      <c r="X659" s="314"/>
      <c r="Y659" s="314"/>
      <c r="Z659" s="314"/>
      <c r="AA659" s="314"/>
      <c r="AB659" s="314"/>
      <c r="AC659" s="314"/>
      <c r="AD659" s="314"/>
      <c r="AE659" s="314"/>
      <c r="AF659" s="314"/>
    </row>
    <row r="660" spans="5:32" ht="14.15" customHeight="1" x14ac:dyDescent="0.35">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c r="AA660" s="314"/>
      <c r="AB660" s="314"/>
      <c r="AC660" s="314"/>
      <c r="AD660" s="314"/>
      <c r="AE660" s="314"/>
      <c r="AF660" s="314"/>
    </row>
    <row r="661" spans="5:32" ht="14.15" customHeight="1" x14ac:dyDescent="0.35">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314"/>
      <c r="AF661" s="314"/>
    </row>
    <row r="662" spans="5:32" ht="14.15" customHeight="1" x14ac:dyDescent="0.35">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c r="AA662" s="314"/>
      <c r="AB662" s="314"/>
      <c r="AC662" s="314"/>
      <c r="AD662" s="314"/>
      <c r="AE662" s="314"/>
      <c r="AF662" s="314"/>
    </row>
    <row r="663" spans="5:32" ht="14.15" customHeight="1" x14ac:dyDescent="0.35">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c r="AA663" s="314"/>
      <c r="AB663" s="314"/>
      <c r="AC663" s="314"/>
      <c r="AD663" s="314"/>
      <c r="AE663" s="314"/>
      <c r="AF663" s="314"/>
    </row>
    <row r="664" spans="5:32" ht="14.15" customHeight="1" x14ac:dyDescent="0.35">
      <c r="E664" s="314"/>
      <c r="F664" s="314"/>
      <c r="G664" s="314"/>
      <c r="H664" s="314"/>
      <c r="I664" s="314"/>
      <c r="J664" s="314"/>
      <c r="K664" s="314"/>
      <c r="L664" s="314"/>
      <c r="M664" s="314"/>
      <c r="N664" s="314"/>
      <c r="O664" s="314"/>
      <c r="P664" s="314"/>
      <c r="Q664" s="314"/>
      <c r="R664" s="314"/>
      <c r="S664" s="314"/>
      <c r="T664" s="314"/>
      <c r="U664" s="314"/>
      <c r="V664" s="314"/>
      <c r="W664" s="314"/>
      <c r="X664" s="314"/>
      <c r="Y664" s="314"/>
      <c r="Z664" s="314"/>
      <c r="AA664" s="314"/>
      <c r="AB664" s="314"/>
      <c r="AC664" s="314"/>
      <c r="AD664" s="314"/>
      <c r="AE664" s="314"/>
      <c r="AF664" s="314"/>
    </row>
    <row r="665" spans="5:32" ht="14.15" customHeight="1" x14ac:dyDescent="0.35">
      <c r="E665" s="314"/>
      <c r="F665" s="314"/>
      <c r="G665" s="314"/>
      <c r="H665" s="314"/>
      <c r="I665" s="314"/>
      <c r="J665" s="314"/>
      <c r="K665" s="314"/>
      <c r="L665" s="314"/>
      <c r="M665" s="314"/>
      <c r="N665" s="314"/>
      <c r="O665" s="314"/>
      <c r="P665" s="314"/>
      <c r="Q665" s="314"/>
      <c r="R665" s="314"/>
      <c r="S665" s="314"/>
      <c r="T665" s="314"/>
      <c r="U665" s="314"/>
      <c r="V665" s="314"/>
      <c r="W665" s="314"/>
      <c r="X665" s="314"/>
      <c r="Y665" s="314"/>
      <c r="Z665" s="314"/>
      <c r="AA665" s="314"/>
      <c r="AB665" s="314"/>
      <c r="AC665" s="314"/>
      <c r="AD665" s="314"/>
      <c r="AE665" s="314"/>
      <c r="AF665" s="314"/>
    </row>
    <row r="666" spans="5:32" ht="14.15" customHeight="1" x14ac:dyDescent="0.35">
      <c r="E666" s="314"/>
      <c r="F666" s="314"/>
      <c r="G666" s="314"/>
      <c r="H666" s="314"/>
      <c r="I666" s="314"/>
      <c r="J666" s="314"/>
      <c r="K666" s="314"/>
      <c r="L666" s="314"/>
      <c r="M666" s="314"/>
      <c r="N666" s="314"/>
      <c r="O666" s="314"/>
      <c r="P666" s="314"/>
      <c r="Q666" s="314"/>
      <c r="R666" s="314"/>
      <c r="S666" s="314"/>
      <c r="T666" s="314"/>
      <c r="U666" s="314"/>
      <c r="V666" s="314"/>
      <c r="W666" s="314"/>
      <c r="X666" s="314"/>
      <c r="Y666" s="314"/>
      <c r="Z666" s="314"/>
      <c r="AA666" s="314"/>
      <c r="AB666" s="314"/>
      <c r="AC666" s="314"/>
      <c r="AD666" s="314"/>
      <c r="AE666" s="314"/>
      <c r="AF666" s="314"/>
    </row>
    <row r="667" spans="5:32" ht="14.15" customHeight="1" x14ac:dyDescent="0.35">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314"/>
      <c r="AE667" s="314"/>
      <c r="AF667" s="314"/>
    </row>
    <row r="668" spans="5:32" ht="14.15" customHeight="1" x14ac:dyDescent="0.35">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4"/>
      <c r="AD668" s="314"/>
      <c r="AE668" s="314"/>
      <c r="AF668" s="314"/>
    </row>
    <row r="669" spans="5:32" ht="14.15" customHeight="1" x14ac:dyDescent="0.35">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c r="AA669" s="314"/>
      <c r="AB669" s="314"/>
      <c r="AC669" s="314"/>
      <c r="AD669" s="314"/>
      <c r="AE669" s="314"/>
      <c r="AF669" s="314"/>
    </row>
    <row r="670" spans="5:32" ht="14.15" customHeight="1" x14ac:dyDescent="0.35">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c r="AA670" s="314"/>
      <c r="AB670" s="314"/>
      <c r="AC670" s="314"/>
      <c r="AD670" s="314"/>
      <c r="AE670" s="314"/>
      <c r="AF670" s="314"/>
    </row>
    <row r="671" spans="5:32" ht="14.15" customHeight="1" x14ac:dyDescent="0.35">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4"/>
      <c r="AD671" s="314"/>
      <c r="AE671" s="314"/>
      <c r="AF671" s="314"/>
    </row>
    <row r="672" spans="5:32" ht="14.15" customHeight="1" x14ac:dyDescent="0.35">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314"/>
      <c r="AE672" s="314"/>
      <c r="AF672" s="314"/>
    </row>
    <row r="673" spans="5:32" ht="14.15" customHeight="1" x14ac:dyDescent="0.35">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314"/>
      <c r="AF673" s="314"/>
    </row>
    <row r="674" spans="5:32" ht="14.15" customHeight="1" x14ac:dyDescent="0.35">
      <c r="E674" s="314"/>
      <c r="F674" s="314"/>
      <c r="G674" s="314"/>
      <c r="H674" s="314"/>
      <c r="I674" s="314"/>
      <c r="J674" s="314"/>
      <c r="K674" s="314"/>
      <c r="L674" s="314"/>
      <c r="M674" s="314"/>
      <c r="N674" s="314"/>
      <c r="O674" s="314"/>
      <c r="P674" s="314"/>
      <c r="Q674" s="314"/>
      <c r="R674" s="314"/>
      <c r="S674" s="314"/>
      <c r="T674" s="314"/>
      <c r="U674" s="314"/>
      <c r="V674" s="314"/>
      <c r="W674" s="314"/>
      <c r="X674" s="314"/>
      <c r="Y674" s="314"/>
      <c r="Z674" s="314"/>
      <c r="AA674" s="314"/>
      <c r="AB674" s="314"/>
      <c r="AC674" s="314"/>
      <c r="AD674" s="314"/>
      <c r="AE674" s="314"/>
      <c r="AF674" s="314"/>
    </row>
    <row r="675" spans="5:32" ht="14.15" customHeight="1" x14ac:dyDescent="0.35">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314"/>
      <c r="AE675" s="314"/>
      <c r="AF675" s="314"/>
    </row>
    <row r="676" spans="5:32" ht="14.15" customHeight="1" x14ac:dyDescent="0.35">
      <c r="E676" s="314"/>
      <c r="F676" s="314"/>
      <c r="G676" s="314"/>
      <c r="H676" s="314"/>
      <c r="I676" s="314"/>
      <c r="J676" s="314"/>
      <c r="K676" s="314"/>
      <c r="L676" s="314"/>
      <c r="M676" s="314"/>
      <c r="N676" s="314"/>
      <c r="O676" s="314"/>
      <c r="P676" s="314"/>
      <c r="Q676" s="314"/>
      <c r="R676" s="314"/>
      <c r="S676" s="314"/>
      <c r="T676" s="314"/>
      <c r="U676" s="314"/>
      <c r="V676" s="314"/>
      <c r="W676" s="314"/>
      <c r="X676" s="314"/>
      <c r="Y676" s="314"/>
      <c r="Z676" s="314"/>
      <c r="AA676" s="314"/>
      <c r="AB676" s="314"/>
      <c r="AC676" s="314"/>
      <c r="AD676" s="314"/>
      <c r="AE676" s="314"/>
      <c r="AF676" s="314"/>
    </row>
    <row r="677" spans="5:32" ht="14.15" customHeight="1" x14ac:dyDescent="0.35">
      <c r="E677" s="314"/>
      <c r="F677" s="314"/>
      <c r="G677" s="314"/>
      <c r="H677" s="314"/>
      <c r="I677" s="314"/>
      <c r="J677" s="314"/>
      <c r="K677" s="314"/>
      <c r="L677" s="314"/>
      <c r="M677" s="314"/>
      <c r="N677" s="314"/>
      <c r="O677" s="314"/>
      <c r="P677" s="314"/>
      <c r="Q677" s="314"/>
      <c r="R677" s="314"/>
      <c r="S677" s="314"/>
      <c r="T677" s="314"/>
      <c r="U677" s="314"/>
      <c r="V677" s="314"/>
      <c r="W677" s="314"/>
      <c r="X677" s="314"/>
      <c r="Y677" s="314"/>
      <c r="Z677" s="314"/>
      <c r="AA677" s="314"/>
      <c r="AB677" s="314"/>
      <c r="AC677" s="314"/>
      <c r="AD677" s="314"/>
      <c r="AE677" s="314"/>
      <c r="AF677" s="314"/>
    </row>
    <row r="678" spans="5:32" ht="14.15" customHeight="1" x14ac:dyDescent="0.35">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c r="AA678" s="314"/>
      <c r="AB678" s="314"/>
      <c r="AC678" s="314"/>
      <c r="AD678" s="314"/>
      <c r="AE678" s="314"/>
      <c r="AF678" s="314"/>
    </row>
    <row r="679" spans="5:32" ht="14.15" customHeight="1" x14ac:dyDescent="0.35">
      <c r="E679" s="314"/>
      <c r="F679" s="314"/>
      <c r="G679" s="314"/>
      <c r="H679" s="314"/>
      <c r="I679" s="314"/>
      <c r="J679" s="314"/>
      <c r="K679" s="314"/>
      <c r="L679" s="314"/>
      <c r="M679" s="314"/>
      <c r="N679" s="314"/>
      <c r="O679" s="314"/>
      <c r="P679" s="314"/>
      <c r="Q679" s="314"/>
      <c r="R679" s="314"/>
      <c r="S679" s="314"/>
      <c r="T679" s="314"/>
      <c r="U679" s="314"/>
      <c r="V679" s="314"/>
      <c r="W679" s="314"/>
      <c r="X679" s="314"/>
      <c r="Y679" s="314"/>
      <c r="Z679" s="314"/>
      <c r="AA679" s="314"/>
      <c r="AB679" s="314"/>
      <c r="AC679" s="314"/>
      <c r="AD679" s="314"/>
      <c r="AE679" s="314"/>
      <c r="AF679" s="314"/>
    </row>
    <row r="680" spans="5:32" ht="14.15" customHeight="1" x14ac:dyDescent="0.35">
      <c r="E680" s="314"/>
      <c r="F680" s="314"/>
      <c r="G680" s="314"/>
      <c r="H680" s="314"/>
      <c r="I680" s="314"/>
      <c r="J680" s="314"/>
      <c r="K680" s="314"/>
      <c r="L680" s="314"/>
      <c r="M680" s="314"/>
      <c r="N680" s="314"/>
      <c r="O680" s="314"/>
      <c r="P680" s="314"/>
      <c r="Q680" s="314"/>
      <c r="R680" s="314"/>
      <c r="S680" s="314"/>
      <c r="T680" s="314"/>
      <c r="U680" s="314"/>
      <c r="V680" s="314"/>
      <c r="W680" s="314"/>
      <c r="X680" s="314"/>
      <c r="Y680" s="314"/>
      <c r="Z680" s="314"/>
      <c r="AA680" s="314"/>
      <c r="AB680" s="314"/>
      <c r="AC680" s="314"/>
      <c r="AD680" s="314"/>
      <c r="AE680" s="314"/>
      <c r="AF680" s="314"/>
    </row>
    <row r="681" spans="5:32" ht="14.15" customHeight="1" x14ac:dyDescent="0.35">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314"/>
      <c r="AE681" s="314"/>
      <c r="AF681" s="314"/>
    </row>
    <row r="682" spans="5:32" ht="14.15" customHeight="1" x14ac:dyDescent="0.35">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314"/>
      <c r="AF682" s="314"/>
    </row>
    <row r="683" spans="5:32" ht="14.15" customHeight="1" x14ac:dyDescent="0.35">
      <c r="E683" s="314"/>
      <c r="F683" s="314"/>
      <c r="G683" s="314"/>
      <c r="H683" s="314"/>
      <c r="I683" s="314"/>
      <c r="J683" s="314"/>
      <c r="K683" s="314"/>
      <c r="L683" s="314"/>
      <c r="M683" s="314"/>
      <c r="N683" s="314"/>
      <c r="O683" s="314"/>
      <c r="P683" s="314"/>
      <c r="Q683" s="314"/>
      <c r="R683" s="314"/>
      <c r="S683" s="314"/>
      <c r="T683" s="314"/>
      <c r="U683" s="314"/>
      <c r="V683" s="314"/>
      <c r="W683" s="314"/>
      <c r="X683" s="314"/>
      <c r="Y683" s="314"/>
      <c r="Z683" s="314"/>
      <c r="AA683" s="314"/>
      <c r="AB683" s="314"/>
      <c r="AC683" s="314"/>
      <c r="AD683" s="314"/>
      <c r="AE683" s="314"/>
      <c r="AF683" s="314"/>
    </row>
    <row r="684" spans="5:32" ht="14.15" customHeight="1" x14ac:dyDescent="0.35">
      <c r="E684" s="314"/>
      <c r="F684" s="314"/>
      <c r="G684" s="314"/>
      <c r="H684" s="314"/>
      <c r="I684" s="314"/>
      <c r="J684" s="314"/>
      <c r="K684" s="314"/>
      <c r="L684" s="314"/>
      <c r="M684" s="314"/>
      <c r="N684" s="314"/>
      <c r="O684" s="314"/>
      <c r="P684" s="314"/>
      <c r="Q684" s="314"/>
      <c r="R684" s="314"/>
      <c r="S684" s="314"/>
      <c r="T684" s="314"/>
      <c r="U684" s="314"/>
      <c r="V684" s="314"/>
      <c r="W684" s="314"/>
      <c r="X684" s="314"/>
      <c r="Y684" s="314"/>
      <c r="Z684" s="314"/>
      <c r="AA684" s="314"/>
      <c r="AB684" s="314"/>
      <c r="AC684" s="314"/>
      <c r="AD684" s="314"/>
      <c r="AE684" s="314"/>
      <c r="AF684" s="314"/>
    </row>
    <row r="685" spans="5:32" ht="14.15" customHeight="1" x14ac:dyDescent="0.35">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c r="AA685" s="314"/>
      <c r="AB685" s="314"/>
      <c r="AC685" s="314"/>
      <c r="AD685" s="314"/>
      <c r="AE685" s="314"/>
      <c r="AF685" s="314"/>
    </row>
    <row r="686" spans="5:32" ht="14.15" customHeight="1" x14ac:dyDescent="0.35">
      <c r="E686" s="314"/>
      <c r="F686" s="314"/>
      <c r="G686" s="314"/>
      <c r="H686" s="314"/>
      <c r="I686" s="314"/>
      <c r="J686" s="314"/>
      <c r="K686" s="314"/>
      <c r="L686" s="314"/>
      <c r="M686" s="314"/>
      <c r="N686" s="314"/>
      <c r="O686" s="314"/>
      <c r="P686" s="314"/>
      <c r="Q686" s="314"/>
      <c r="R686" s="314"/>
      <c r="S686" s="314"/>
      <c r="T686" s="314"/>
      <c r="U686" s="314"/>
      <c r="V686" s="314"/>
      <c r="W686" s="314"/>
      <c r="X686" s="314"/>
      <c r="Y686" s="314"/>
      <c r="Z686" s="314"/>
      <c r="AA686" s="314"/>
      <c r="AB686" s="314"/>
      <c r="AC686" s="314"/>
      <c r="AD686" s="314"/>
      <c r="AE686" s="314"/>
      <c r="AF686" s="314"/>
    </row>
    <row r="687" spans="5:32" ht="14.15" customHeight="1" x14ac:dyDescent="0.35">
      <c r="E687" s="314"/>
      <c r="F687" s="314"/>
      <c r="G687" s="314"/>
      <c r="H687" s="314"/>
      <c r="I687" s="314"/>
      <c r="J687" s="314"/>
      <c r="K687" s="314"/>
      <c r="L687" s="314"/>
      <c r="M687" s="314"/>
      <c r="N687" s="314"/>
      <c r="O687" s="314"/>
      <c r="P687" s="314"/>
      <c r="Q687" s="314"/>
      <c r="R687" s="314"/>
      <c r="S687" s="314"/>
      <c r="T687" s="314"/>
      <c r="U687" s="314"/>
      <c r="V687" s="314"/>
      <c r="W687" s="314"/>
      <c r="X687" s="314"/>
      <c r="Y687" s="314"/>
      <c r="Z687" s="314"/>
      <c r="AA687" s="314"/>
      <c r="AB687" s="314"/>
      <c r="AC687" s="314"/>
      <c r="AD687" s="314"/>
      <c r="AE687" s="314"/>
      <c r="AF687" s="314"/>
    </row>
    <row r="688" spans="5:32" ht="14.15" customHeight="1" x14ac:dyDescent="0.35">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c r="AA688" s="314"/>
      <c r="AB688" s="314"/>
      <c r="AC688" s="314"/>
      <c r="AD688" s="314"/>
      <c r="AE688" s="314"/>
      <c r="AF688" s="314"/>
    </row>
    <row r="689" spans="2:32" s="147" customFormat="1" ht="14.15" customHeight="1" x14ac:dyDescent="0.35">
      <c r="B689" s="146"/>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c r="AA689" s="314"/>
      <c r="AB689" s="314"/>
      <c r="AC689" s="314"/>
      <c r="AD689" s="314"/>
      <c r="AE689" s="314"/>
      <c r="AF689" s="314"/>
    </row>
    <row r="690" spans="2:32" s="147" customFormat="1" ht="14.15" customHeight="1" x14ac:dyDescent="0.35">
      <c r="B690" s="146"/>
      <c r="E690" s="314"/>
      <c r="F690" s="314"/>
      <c r="G690" s="314"/>
      <c r="H690" s="314"/>
      <c r="I690" s="314"/>
      <c r="J690" s="314"/>
      <c r="K690" s="314"/>
      <c r="L690" s="314"/>
      <c r="M690" s="314"/>
      <c r="N690" s="314"/>
      <c r="O690" s="314"/>
      <c r="P690" s="314"/>
      <c r="Q690" s="314"/>
      <c r="R690" s="314"/>
      <c r="S690" s="314"/>
      <c r="T690" s="314"/>
      <c r="U690" s="314"/>
      <c r="V690" s="314"/>
      <c r="W690" s="314"/>
      <c r="X690" s="314"/>
      <c r="Y690" s="314"/>
      <c r="Z690" s="314"/>
      <c r="AA690" s="314"/>
      <c r="AB690" s="314"/>
      <c r="AC690" s="314"/>
      <c r="AD690" s="314"/>
      <c r="AE690" s="314"/>
      <c r="AF690" s="314"/>
    </row>
    <row r="691" spans="2:32" s="147" customFormat="1" ht="14.15" customHeight="1" x14ac:dyDescent="0.35">
      <c r="B691" s="146"/>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14"/>
      <c r="AE691" s="314"/>
      <c r="AF691" s="314"/>
    </row>
    <row r="692" spans="2:32" s="147" customFormat="1" ht="14.15" customHeight="1" x14ac:dyDescent="0.35">
      <c r="B692" s="146"/>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4"/>
      <c r="AD692" s="314"/>
      <c r="AE692" s="314"/>
      <c r="AF692" s="314"/>
    </row>
    <row r="693" spans="2:32" s="147" customFormat="1" ht="14.15" customHeight="1" x14ac:dyDescent="0.35">
      <c r="B693" s="146"/>
      <c r="E693" s="314"/>
      <c r="F693" s="314"/>
      <c r="G693" s="314"/>
      <c r="H693" s="314"/>
      <c r="I693" s="314"/>
      <c r="J693" s="314"/>
      <c r="K693" s="314"/>
      <c r="L693" s="314"/>
      <c r="M693" s="314"/>
      <c r="N693" s="314"/>
      <c r="O693" s="314"/>
      <c r="P693" s="314"/>
      <c r="Q693" s="314"/>
      <c r="R693" s="314"/>
      <c r="S693" s="314"/>
      <c r="T693" s="314"/>
      <c r="U693" s="314"/>
      <c r="V693" s="314"/>
      <c r="W693" s="314"/>
      <c r="X693" s="314"/>
      <c r="Y693" s="314"/>
      <c r="Z693" s="314"/>
      <c r="AA693" s="314"/>
      <c r="AB693" s="314"/>
      <c r="AC693" s="314"/>
      <c r="AD693" s="314"/>
      <c r="AE693" s="314"/>
      <c r="AF693" s="314"/>
    </row>
    <row r="694" spans="2:32" s="147" customFormat="1" ht="14.15" customHeight="1" x14ac:dyDescent="0.35">
      <c r="B694" s="146"/>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4"/>
      <c r="AD694" s="314"/>
      <c r="AE694" s="314"/>
      <c r="AF694" s="314"/>
    </row>
    <row r="695" spans="2:32" s="147" customFormat="1" ht="14.15" customHeight="1" x14ac:dyDescent="0.35">
      <c r="B695" s="146"/>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c r="AA695" s="314"/>
      <c r="AB695" s="314"/>
      <c r="AC695" s="314"/>
      <c r="AD695" s="314"/>
      <c r="AE695" s="314"/>
      <c r="AF695" s="314"/>
    </row>
    <row r="696" spans="2:32" s="147" customFormat="1" ht="14.15" customHeight="1" x14ac:dyDescent="0.35">
      <c r="B696" s="146"/>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c r="AA696" s="314"/>
      <c r="AB696" s="314"/>
      <c r="AC696" s="314"/>
      <c r="AD696" s="314"/>
      <c r="AE696" s="314"/>
      <c r="AF696" s="314"/>
    </row>
    <row r="697" spans="2:32" s="147" customFormat="1" ht="14.15" customHeight="1" x14ac:dyDescent="0.35">
      <c r="B697" s="146"/>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c r="AA697" s="314"/>
      <c r="AB697" s="314"/>
      <c r="AC697" s="314"/>
      <c r="AD697" s="314"/>
      <c r="AE697" s="314"/>
      <c r="AF697" s="314"/>
    </row>
    <row r="698" spans="2:32" s="147" customFormat="1" ht="14.15" customHeight="1" x14ac:dyDescent="0.35">
      <c r="B698" s="146"/>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4"/>
      <c r="AD698" s="314"/>
      <c r="AE698" s="314"/>
      <c r="AF698" s="314"/>
    </row>
    <row r="699" spans="2:32" s="147" customFormat="1" ht="14.15" customHeight="1" x14ac:dyDescent="0.35">
      <c r="B699" s="146"/>
      <c r="E699" s="314"/>
      <c r="F699" s="314"/>
      <c r="G699" s="314"/>
      <c r="H699" s="314"/>
      <c r="I699" s="314"/>
      <c r="J699" s="314"/>
      <c r="K699" s="314"/>
      <c r="L699" s="314"/>
      <c r="M699" s="314"/>
      <c r="N699" s="314"/>
      <c r="O699" s="314"/>
      <c r="P699" s="314"/>
      <c r="Q699" s="314"/>
      <c r="R699" s="314"/>
      <c r="S699" s="314"/>
      <c r="T699" s="314"/>
      <c r="U699" s="314"/>
      <c r="V699" s="314"/>
      <c r="W699" s="314"/>
      <c r="X699" s="314"/>
      <c r="Y699" s="314"/>
      <c r="Z699" s="314"/>
      <c r="AA699" s="314"/>
      <c r="AB699" s="314"/>
      <c r="AC699" s="314"/>
      <c r="AD699" s="314"/>
      <c r="AE699" s="314"/>
      <c r="AF699" s="314"/>
    </row>
    <row r="700" spans="2:32" s="147" customFormat="1" ht="14.15" customHeight="1" x14ac:dyDescent="0.35">
      <c r="B700" s="146"/>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c r="AA700" s="314"/>
      <c r="AB700" s="314"/>
      <c r="AC700" s="314"/>
      <c r="AD700" s="314"/>
      <c r="AE700" s="314"/>
      <c r="AF700" s="314"/>
    </row>
    <row r="701" spans="2:32" s="147" customFormat="1" ht="14.15" customHeight="1" x14ac:dyDescent="0.35">
      <c r="B701" s="146"/>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c r="AA701" s="314"/>
      <c r="AB701" s="314"/>
      <c r="AC701" s="314"/>
      <c r="AD701" s="314"/>
      <c r="AE701" s="314"/>
      <c r="AF701" s="314"/>
    </row>
    <row r="702" spans="2:32" s="147" customFormat="1" ht="14.15" customHeight="1" x14ac:dyDescent="0.35">
      <c r="B702" s="146"/>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c r="AA702" s="314"/>
      <c r="AB702" s="314"/>
      <c r="AC702" s="314"/>
      <c r="AD702" s="314"/>
      <c r="AE702" s="314"/>
      <c r="AF702" s="314"/>
    </row>
    <row r="703" spans="2:32" s="147" customFormat="1" ht="14.15" customHeight="1" x14ac:dyDescent="0.35">
      <c r="B703" s="146"/>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c r="AA703" s="314"/>
      <c r="AB703" s="314"/>
      <c r="AC703" s="314"/>
      <c r="AD703" s="314"/>
      <c r="AE703" s="314"/>
      <c r="AF703" s="314"/>
    </row>
    <row r="704" spans="2:32" s="147" customFormat="1" ht="14.15" customHeight="1" x14ac:dyDescent="0.35">
      <c r="B704" s="146"/>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c r="AA704" s="314"/>
      <c r="AB704" s="314"/>
      <c r="AC704" s="314"/>
      <c r="AD704" s="314"/>
      <c r="AE704" s="314"/>
      <c r="AF704" s="314"/>
    </row>
    <row r="705" spans="2:32" s="147" customFormat="1" ht="14.15" customHeight="1" x14ac:dyDescent="0.35">
      <c r="B705" s="146"/>
      <c r="E705" s="314"/>
      <c r="F705" s="314"/>
      <c r="G705" s="314"/>
      <c r="H705" s="314"/>
      <c r="I705" s="314"/>
      <c r="J705" s="314"/>
      <c r="K705" s="314"/>
      <c r="L705" s="314"/>
      <c r="M705" s="314"/>
      <c r="N705" s="314"/>
      <c r="O705" s="314"/>
      <c r="P705" s="314"/>
      <c r="Q705" s="314"/>
      <c r="R705" s="314"/>
      <c r="S705" s="314"/>
      <c r="T705" s="314"/>
      <c r="U705" s="314"/>
      <c r="V705" s="314"/>
      <c r="W705" s="314"/>
      <c r="X705" s="314"/>
      <c r="Y705" s="314"/>
      <c r="Z705" s="314"/>
      <c r="AA705" s="314"/>
      <c r="AB705" s="314"/>
      <c r="AC705" s="314"/>
      <c r="AD705" s="314"/>
      <c r="AE705" s="314"/>
      <c r="AF705" s="314"/>
    </row>
    <row r="706" spans="2:32" s="147" customFormat="1" ht="14.15" customHeight="1" x14ac:dyDescent="0.35">
      <c r="B706" s="146"/>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14"/>
      <c r="AE706" s="314"/>
      <c r="AF706" s="314"/>
    </row>
    <row r="707" spans="2:32" s="147" customFormat="1" ht="14.15" customHeight="1" x14ac:dyDescent="0.35">
      <c r="B707" s="146"/>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c r="AA707" s="314"/>
      <c r="AB707" s="314"/>
      <c r="AC707" s="314"/>
      <c r="AD707" s="314"/>
      <c r="AE707" s="314"/>
      <c r="AF707" s="314"/>
    </row>
    <row r="708" spans="2:32" s="147" customFormat="1" ht="14.15" customHeight="1" x14ac:dyDescent="0.35">
      <c r="B708" s="146"/>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4"/>
      <c r="AD708" s="314"/>
      <c r="AE708" s="314"/>
      <c r="AF708" s="314"/>
    </row>
    <row r="709" spans="2:32" s="147" customFormat="1" ht="14.15" customHeight="1" x14ac:dyDescent="0.35">
      <c r="B709" s="146"/>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c r="AA709" s="314"/>
      <c r="AB709" s="314"/>
      <c r="AC709" s="314"/>
      <c r="AD709" s="314"/>
      <c r="AE709" s="314"/>
      <c r="AF709" s="314"/>
    </row>
    <row r="710" spans="2:32" s="147" customFormat="1" ht="14.15" customHeight="1" x14ac:dyDescent="0.35">
      <c r="B710" s="146"/>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4"/>
      <c r="AD710" s="314"/>
      <c r="AE710" s="314"/>
      <c r="AF710" s="314"/>
    </row>
    <row r="711" spans="2:32" s="147" customFormat="1" ht="14.15" customHeight="1" x14ac:dyDescent="0.35">
      <c r="B711" s="146"/>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c r="AA711" s="314"/>
      <c r="AB711" s="314"/>
      <c r="AC711" s="314"/>
      <c r="AD711" s="314"/>
      <c r="AE711" s="314"/>
      <c r="AF711" s="314"/>
    </row>
    <row r="712" spans="2:32" s="147" customFormat="1" ht="14.15" customHeight="1" x14ac:dyDescent="0.35">
      <c r="B712" s="146"/>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4"/>
      <c r="AD712" s="314"/>
      <c r="AE712" s="314"/>
      <c r="AF712" s="314"/>
    </row>
    <row r="713" spans="2:32" s="147" customFormat="1" ht="14.15" customHeight="1" x14ac:dyDescent="0.35">
      <c r="B713" s="146"/>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4"/>
      <c r="AD713" s="314"/>
      <c r="AE713" s="314"/>
      <c r="AF713" s="314"/>
    </row>
    <row r="714" spans="2:32" s="147" customFormat="1" ht="14.15" customHeight="1" x14ac:dyDescent="0.35">
      <c r="B714" s="146"/>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4"/>
      <c r="AD714" s="314"/>
      <c r="AE714" s="314"/>
      <c r="AF714" s="314"/>
    </row>
    <row r="715" spans="2:32" s="147" customFormat="1" ht="14.15" customHeight="1" x14ac:dyDescent="0.35">
      <c r="B715" s="146"/>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314"/>
      <c r="AE715" s="314"/>
      <c r="AF715" s="314"/>
    </row>
    <row r="716" spans="2:32" s="147" customFormat="1" ht="14.15" customHeight="1" x14ac:dyDescent="0.35">
      <c r="B716" s="146"/>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4"/>
      <c r="AD716" s="314"/>
      <c r="AE716" s="314"/>
      <c r="AF716" s="314"/>
    </row>
    <row r="717" spans="2:32" s="147" customFormat="1" ht="14.15" customHeight="1" x14ac:dyDescent="0.35">
      <c r="B717" s="146"/>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c r="AA717" s="314"/>
      <c r="AB717" s="314"/>
      <c r="AC717" s="314"/>
      <c r="AD717" s="314"/>
      <c r="AE717" s="314"/>
      <c r="AF717" s="314"/>
    </row>
    <row r="718" spans="2:32" s="147" customFormat="1" ht="14.15" customHeight="1" x14ac:dyDescent="0.35">
      <c r="B718" s="146"/>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4"/>
      <c r="AD718" s="314"/>
      <c r="AE718" s="314"/>
      <c r="AF718" s="314"/>
    </row>
    <row r="719" spans="2:32" s="147" customFormat="1" ht="14.15" customHeight="1" x14ac:dyDescent="0.35">
      <c r="B719" s="146"/>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314"/>
      <c r="AE719" s="314"/>
      <c r="AF719" s="314"/>
    </row>
    <row r="720" spans="2:32" s="147" customFormat="1" ht="14.15" customHeight="1" x14ac:dyDescent="0.35">
      <c r="B720" s="146"/>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c r="AA720" s="314"/>
      <c r="AB720" s="314"/>
      <c r="AC720" s="314"/>
      <c r="AD720" s="314"/>
      <c r="AE720" s="314"/>
      <c r="AF720" s="314"/>
    </row>
    <row r="721" spans="2:32" s="147" customFormat="1" ht="14.15" customHeight="1" x14ac:dyDescent="0.35">
      <c r="B721" s="146"/>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c r="AA721" s="314"/>
      <c r="AB721" s="314"/>
      <c r="AC721" s="314"/>
      <c r="AD721" s="314"/>
      <c r="AE721" s="314"/>
      <c r="AF721" s="314"/>
    </row>
    <row r="722" spans="2:32" s="147" customFormat="1" ht="14.15" customHeight="1" x14ac:dyDescent="0.35">
      <c r="B722" s="146"/>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4"/>
      <c r="AD722" s="314"/>
      <c r="AE722" s="314"/>
      <c r="AF722" s="314"/>
    </row>
    <row r="723" spans="2:32" s="147" customFormat="1" ht="14.15" customHeight="1" x14ac:dyDescent="0.35">
      <c r="B723" s="146"/>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4"/>
      <c r="AD723" s="314"/>
      <c r="AE723" s="314"/>
      <c r="AF723" s="314"/>
    </row>
    <row r="724" spans="2:32" s="147" customFormat="1" ht="14.15" customHeight="1" x14ac:dyDescent="0.35">
      <c r="B724" s="146"/>
      <c r="E724" s="314"/>
      <c r="F724" s="314"/>
      <c r="G724" s="314"/>
      <c r="H724" s="314"/>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row>
    <row r="725" spans="2:32" s="147" customFormat="1" ht="14.15" customHeight="1" x14ac:dyDescent="0.35">
      <c r="B725" s="146"/>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c r="AA725" s="314"/>
      <c r="AB725" s="314"/>
      <c r="AC725" s="314"/>
      <c r="AD725" s="314"/>
      <c r="AE725" s="314"/>
      <c r="AF725" s="314"/>
    </row>
    <row r="726" spans="2:32" s="147" customFormat="1" ht="14.15" customHeight="1" x14ac:dyDescent="0.35">
      <c r="B726" s="146"/>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row>
    <row r="727" spans="2:32" s="147" customFormat="1" ht="14.15" customHeight="1" x14ac:dyDescent="0.35">
      <c r="B727" s="146"/>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314"/>
      <c r="AF727" s="314"/>
    </row>
    <row r="728" spans="2:32" s="147" customFormat="1" ht="14.15" customHeight="1" x14ac:dyDescent="0.35">
      <c r="B728" s="146"/>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c r="AA728" s="314"/>
      <c r="AB728" s="314"/>
      <c r="AC728" s="314"/>
      <c r="AD728" s="314"/>
      <c r="AE728" s="314"/>
      <c r="AF728" s="314"/>
    </row>
    <row r="729" spans="2:32" s="147" customFormat="1" ht="14.15" customHeight="1" x14ac:dyDescent="0.35">
      <c r="B729" s="146"/>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314"/>
      <c r="AE729" s="314"/>
      <c r="AF729" s="314"/>
    </row>
    <row r="730" spans="2:32" s="147" customFormat="1" ht="14.15" customHeight="1" x14ac:dyDescent="0.35">
      <c r="B730" s="146"/>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row>
    <row r="731" spans="2:32" s="147" customFormat="1" ht="14.15" customHeight="1" x14ac:dyDescent="0.35">
      <c r="B731" s="146"/>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c r="AA731" s="314"/>
      <c r="AB731" s="314"/>
      <c r="AC731" s="314"/>
      <c r="AD731" s="314"/>
      <c r="AE731" s="314"/>
      <c r="AF731" s="314"/>
    </row>
    <row r="732" spans="2:32" s="147" customFormat="1" ht="14.15" customHeight="1" x14ac:dyDescent="0.35">
      <c r="B732" s="146"/>
      <c r="E732" s="314"/>
      <c r="F732" s="314"/>
      <c r="G732" s="314"/>
      <c r="H732" s="314"/>
      <c r="I732" s="314"/>
      <c r="J732" s="314"/>
      <c r="K732" s="314"/>
      <c r="L732" s="314"/>
      <c r="M732" s="314"/>
      <c r="N732" s="314"/>
      <c r="O732" s="314"/>
      <c r="P732" s="314"/>
      <c r="Q732" s="314"/>
      <c r="R732" s="314"/>
      <c r="S732" s="314"/>
      <c r="T732" s="314"/>
      <c r="U732" s="314"/>
      <c r="V732" s="314"/>
      <c r="W732" s="314"/>
      <c r="X732" s="314"/>
      <c r="Y732" s="314"/>
      <c r="Z732" s="314"/>
      <c r="AA732" s="314"/>
      <c r="AB732" s="314"/>
      <c r="AC732" s="314"/>
      <c r="AD732" s="314"/>
      <c r="AE732" s="314"/>
      <c r="AF732" s="314"/>
    </row>
    <row r="733" spans="2:32" s="147" customFormat="1" ht="14.15" customHeight="1" x14ac:dyDescent="0.35">
      <c r="B733" s="146"/>
      <c r="E733" s="314"/>
      <c r="F733" s="314"/>
      <c r="G733" s="314"/>
      <c r="H733" s="314"/>
      <c r="I733" s="314"/>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row>
    <row r="734" spans="2:32" s="147" customFormat="1" ht="14.15" customHeight="1" x14ac:dyDescent="0.35">
      <c r="B734" s="146"/>
      <c r="E734" s="314"/>
      <c r="F734" s="314"/>
      <c r="G734" s="314"/>
      <c r="H734" s="314"/>
      <c r="I734" s="314"/>
      <c r="J734" s="314"/>
      <c r="K734" s="314"/>
      <c r="L734" s="314"/>
      <c r="M734" s="314"/>
      <c r="N734" s="314"/>
      <c r="O734" s="314"/>
      <c r="P734" s="314"/>
      <c r="Q734" s="314"/>
      <c r="R734" s="314"/>
      <c r="S734" s="314"/>
      <c r="T734" s="314"/>
      <c r="U734" s="314"/>
      <c r="V734" s="314"/>
      <c r="W734" s="314"/>
      <c r="X734" s="314"/>
      <c r="Y734" s="314"/>
      <c r="Z734" s="314"/>
      <c r="AA734" s="314"/>
      <c r="AB734" s="314"/>
      <c r="AC734" s="314"/>
      <c r="AD734" s="314"/>
      <c r="AE734" s="314"/>
      <c r="AF734" s="314"/>
    </row>
    <row r="735" spans="2:32" s="147" customFormat="1" ht="14.15" customHeight="1" x14ac:dyDescent="0.35">
      <c r="B735" s="146"/>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c r="AA735" s="314"/>
      <c r="AB735" s="314"/>
      <c r="AC735" s="314"/>
      <c r="AD735" s="314"/>
      <c r="AE735" s="314"/>
      <c r="AF735" s="314"/>
    </row>
    <row r="736" spans="2:32" s="147" customFormat="1" ht="14.15" customHeight="1" x14ac:dyDescent="0.35">
      <c r="B736" s="146"/>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row>
    <row r="737" spans="2:32" s="147" customFormat="1" ht="14.15" customHeight="1" x14ac:dyDescent="0.35">
      <c r="B737" s="146"/>
      <c r="E737" s="314"/>
      <c r="F737" s="314"/>
      <c r="G737" s="314"/>
      <c r="H737" s="314"/>
      <c r="I737" s="314"/>
      <c r="J737" s="314"/>
      <c r="K737" s="314"/>
      <c r="L737" s="314"/>
      <c r="M737" s="314"/>
      <c r="N737" s="314"/>
      <c r="O737" s="314"/>
      <c r="P737" s="314"/>
      <c r="Q737" s="314"/>
      <c r="R737" s="314"/>
      <c r="S737" s="314"/>
      <c r="T737" s="314"/>
      <c r="U737" s="314"/>
      <c r="V737" s="314"/>
      <c r="W737" s="314"/>
      <c r="X737" s="314"/>
      <c r="Y737" s="314"/>
      <c r="Z737" s="314"/>
      <c r="AA737" s="314"/>
      <c r="AB737" s="314"/>
      <c r="AC737" s="314"/>
      <c r="AD737" s="314"/>
      <c r="AE737" s="314"/>
      <c r="AF737" s="314"/>
    </row>
    <row r="738" spans="2:32" s="147" customFormat="1" ht="14.15" customHeight="1" x14ac:dyDescent="0.35">
      <c r="B738" s="146"/>
      <c r="E738" s="314"/>
      <c r="F738" s="314"/>
      <c r="G738" s="314"/>
      <c r="H738" s="314"/>
      <c r="I738" s="314"/>
      <c r="J738" s="314"/>
      <c r="K738" s="314"/>
      <c r="L738" s="314"/>
      <c r="M738" s="314"/>
      <c r="N738" s="314"/>
      <c r="O738" s="314"/>
      <c r="P738" s="314"/>
      <c r="Q738" s="314"/>
      <c r="R738" s="314"/>
      <c r="S738" s="314"/>
      <c r="T738" s="314"/>
      <c r="U738" s="314"/>
      <c r="V738" s="314"/>
      <c r="W738" s="314"/>
      <c r="X738" s="314"/>
      <c r="Y738" s="314"/>
      <c r="Z738" s="314"/>
      <c r="AA738" s="314"/>
      <c r="AB738" s="314"/>
      <c r="AC738" s="314"/>
      <c r="AD738" s="314"/>
      <c r="AE738" s="314"/>
      <c r="AF738" s="314"/>
    </row>
    <row r="739" spans="2:32" s="147" customFormat="1" ht="14.15" customHeight="1" x14ac:dyDescent="0.35">
      <c r="B739" s="146"/>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c r="AA739" s="314"/>
      <c r="AB739" s="314"/>
      <c r="AC739" s="314"/>
      <c r="AD739" s="314"/>
      <c r="AE739" s="314"/>
      <c r="AF739" s="314"/>
    </row>
    <row r="740" spans="2:32" s="147" customFormat="1" ht="14.15" customHeight="1" x14ac:dyDescent="0.35">
      <c r="B740" s="146"/>
      <c r="E740" s="314"/>
      <c r="F740" s="314"/>
      <c r="G740" s="314"/>
      <c r="H740" s="314"/>
      <c r="I740" s="314"/>
      <c r="J740" s="314"/>
      <c r="K740" s="314"/>
      <c r="L740" s="314"/>
      <c r="M740" s="314"/>
      <c r="N740" s="314"/>
      <c r="O740" s="314"/>
      <c r="P740" s="314"/>
      <c r="Q740" s="314"/>
      <c r="R740" s="314"/>
      <c r="S740" s="314"/>
      <c r="T740" s="314"/>
      <c r="U740" s="314"/>
      <c r="V740" s="314"/>
      <c r="W740" s="314"/>
      <c r="X740" s="314"/>
      <c r="Y740" s="314"/>
      <c r="Z740" s="314"/>
      <c r="AA740" s="314"/>
      <c r="AB740" s="314"/>
      <c r="AC740" s="314"/>
      <c r="AD740" s="314"/>
      <c r="AE740" s="314"/>
      <c r="AF740" s="314"/>
    </row>
    <row r="741" spans="2:32" s="147" customFormat="1" ht="14.15" customHeight="1" x14ac:dyDescent="0.35">
      <c r="B741" s="146"/>
      <c r="E741" s="314"/>
      <c r="F741" s="314"/>
      <c r="G741" s="314"/>
      <c r="H741" s="314"/>
      <c r="I741" s="314"/>
      <c r="J741" s="314"/>
      <c r="K741" s="314"/>
      <c r="L741" s="314"/>
      <c r="M741" s="314"/>
      <c r="N741" s="314"/>
      <c r="O741" s="314"/>
      <c r="P741" s="314"/>
      <c r="Q741" s="314"/>
      <c r="R741" s="314"/>
      <c r="S741" s="314"/>
      <c r="T741" s="314"/>
      <c r="U741" s="314"/>
      <c r="V741" s="314"/>
      <c r="W741" s="314"/>
      <c r="X741" s="314"/>
      <c r="Y741" s="314"/>
      <c r="Z741" s="314"/>
      <c r="AA741" s="314"/>
      <c r="AB741" s="314"/>
      <c r="AC741" s="314"/>
      <c r="AD741" s="314"/>
      <c r="AE741" s="314"/>
      <c r="AF741" s="314"/>
    </row>
    <row r="742" spans="2:32" s="147" customFormat="1" ht="14.15" customHeight="1" x14ac:dyDescent="0.35">
      <c r="B742" s="146"/>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c r="AA742" s="314"/>
      <c r="AB742" s="314"/>
      <c r="AC742" s="314"/>
      <c r="AD742" s="314"/>
      <c r="AE742" s="314"/>
      <c r="AF742" s="314"/>
    </row>
    <row r="743" spans="2:32" s="147" customFormat="1" ht="14.15" customHeight="1" x14ac:dyDescent="0.35">
      <c r="B743" s="146"/>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c r="AA743" s="314"/>
      <c r="AB743" s="314"/>
      <c r="AC743" s="314"/>
      <c r="AD743" s="314"/>
      <c r="AE743" s="314"/>
      <c r="AF743" s="314"/>
    </row>
    <row r="744" spans="2:32" s="147" customFormat="1" ht="14.15" customHeight="1" x14ac:dyDescent="0.35">
      <c r="B744" s="146"/>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c r="AA744" s="314"/>
      <c r="AB744" s="314"/>
      <c r="AC744" s="314"/>
      <c r="AD744" s="314"/>
      <c r="AE744" s="314"/>
      <c r="AF744" s="314"/>
    </row>
    <row r="745" spans="2:32" s="147" customFormat="1" ht="14.15" customHeight="1" x14ac:dyDescent="0.35">
      <c r="B745" s="146"/>
      <c r="E745" s="314"/>
      <c r="F745" s="314"/>
      <c r="G745" s="314"/>
      <c r="H745" s="314"/>
      <c r="I745" s="314"/>
      <c r="J745" s="314"/>
      <c r="K745" s="314"/>
      <c r="L745" s="314"/>
      <c r="M745" s="314"/>
      <c r="N745" s="314"/>
      <c r="O745" s="314"/>
      <c r="P745" s="314"/>
      <c r="Q745" s="314"/>
      <c r="R745" s="314"/>
      <c r="S745" s="314"/>
      <c r="T745" s="314"/>
      <c r="U745" s="314"/>
      <c r="V745" s="314"/>
      <c r="W745" s="314"/>
      <c r="X745" s="314"/>
      <c r="Y745" s="314"/>
      <c r="Z745" s="314"/>
      <c r="AA745" s="314"/>
      <c r="AB745" s="314"/>
      <c r="AC745" s="314"/>
      <c r="AD745" s="314"/>
      <c r="AE745" s="314"/>
      <c r="AF745" s="314"/>
    </row>
    <row r="746" spans="2:32" s="147" customFormat="1" ht="14.15" customHeight="1" x14ac:dyDescent="0.35">
      <c r="B746" s="146"/>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c r="AA746" s="314"/>
      <c r="AB746" s="314"/>
      <c r="AC746" s="314"/>
      <c r="AD746" s="314"/>
      <c r="AE746" s="314"/>
      <c r="AF746" s="314"/>
    </row>
    <row r="747" spans="2:32" s="147" customFormat="1" ht="14.15" customHeight="1" x14ac:dyDescent="0.35">
      <c r="B747" s="146"/>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4"/>
      <c r="AD747" s="314"/>
      <c r="AE747" s="314"/>
      <c r="AF747" s="314"/>
    </row>
    <row r="748" spans="2:32" s="147" customFormat="1" ht="14.15" customHeight="1" x14ac:dyDescent="0.35">
      <c r="B748" s="146"/>
      <c r="E748" s="314"/>
      <c r="F748" s="314"/>
      <c r="G748" s="314"/>
      <c r="H748" s="314"/>
      <c r="I748" s="314"/>
      <c r="J748" s="314"/>
      <c r="K748" s="314"/>
      <c r="L748" s="314"/>
      <c r="M748" s="314"/>
      <c r="N748" s="314"/>
      <c r="O748" s="314"/>
      <c r="P748" s="314"/>
      <c r="Q748" s="314"/>
      <c r="R748" s="314"/>
      <c r="S748" s="314"/>
      <c r="T748" s="314"/>
      <c r="U748" s="314"/>
      <c r="V748" s="314"/>
      <c r="W748" s="314"/>
      <c r="X748" s="314"/>
      <c r="Y748" s="314"/>
      <c r="Z748" s="314"/>
      <c r="AA748" s="314"/>
      <c r="AB748" s="314"/>
      <c r="AC748" s="314"/>
      <c r="AD748" s="314"/>
      <c r="AE748" s="314"/>
      <c r="AF748" s="314"/>
    </row>
    <row r="749" spans="2:32" s="147" customFormat="1" ht="14.15" customHeight="1" x14ac:dyDescent="0.35">
      <c r="B749" s="146"/>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314"/>
      <c r="AE749" s="314"/>
      <c r="AF749" s="314"/>
    </row>
    <row r="750" spans="2:32" s="147" customFormat="1" ht="14.15" customHeight="1" x14ac:dyDescent="0.35">
      <c r="B750" s="146"/>
      <c r="E750" s="314"/>
      <c r="F750" s="314"/>
      <c r="G750" s="314"/>
      <c r="H750" s="314"/>
      <c r="I750" s="314"/>
      <c r="J750" s="314"/>
      <c r="K750" s="314"/>
      <c r="L750" s="314"/>
      <c r="M750" s="314"/>
      <c r="N750" s="314"/>
      <c r="O750" s="314"/>
      <c r="P750" s="314"/>
      <c r="Q750" s="314"/>
      <c r="R750" s="314"/>
      <c r="S750" s="314"/>
      <c r="T750" s="314"/>
      <c r="U750" s="314"/>
      <c r="V750" s="314"/>
      <c r="W750" s="314"/>
      <c r="X750" s="314"/>
      <c r="Y750" s="314"/>
      <c r="Z750" s="314"/>
      <c r="AA750" s="314"/>
      <c r="AB750" s="314"/>
      <c r="AC750" s="314"/>
      <c r="AD750" s="314"/>
      <c r="AE750" s="314"/>
      <c r="AF750" s="314"/>
    </row>
    <row r="751" spans="2:32" s="147" customFormat="1" ht="14.15" customHeight="1" x14ac:dyDescent="0.35">
      <c r="B751" s="146"/>
      <c r="E751" s="314"/>
      <c r="F751" s="314"/>
      <c r="G751" s="314"/>
      <c r="H751" s="314"/>
      <c r="I751" s="314"/>
      <c r="J751" s="314"/>
      <c r="K751" s="314"/>
      <c r="L751" s="314"/>
      <c r="M751" s="314"/>
      <c r="N751" s="314"/>
      <c r="O751" s="314"/>
      <c r="P751" s="314"/>
      <c r="Q751" s="314"/>
      <c r="R751" s="314"/>
      <c r="S751" s="314"/>
      <c r="T751" s="314"/>
      <c r="U751" s="314"/>
      <c r="V751" s="314"/>
      <c r="W751" s="314"/>
      <c r="X751" s="314"/>
      <c r="Y751" s="314"/>
      <c r="Z751" s="314"/>
      <c r="AA751" s="314"/>
      <c r="AB751" s="314"/>
      <c r="AC751" s="314"/>
      <c r="AD751" s="314"/>
      <c r="AE751" s="314"/>
      <c r="AF751" s="314"/>
    </row>
    <row r="752" spans="2:32" s="147" customFormat="1" ht="14.15" customHeight="1" x14ac:dyDescent="0.35">
      <c r="B752" s="146"/>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4"/>
      <c r="AD752" s="314"/>
      <c r="AE752" s="314"/>
      <c r="AF752" s="314"/>
    </row>
    <row r="753" spans="2:32" s="147" customFormat="1" ht="14.15" customHeight="1" x14ac:dyDescent="0.35">
      <c r="B753" s="146"/>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c r="AA753" s="314"/>
      <c r="AB753" s="314"/>
      <c r="AC753" s="314"/>
      <c r="AD753" s="314"/>
      <c r="AE753" s="314"/>
      <c r="AF753" s="314"/>
    </row>
    <row r="754" spans="2:32" s="147" customFormat="1" ht="14.15" customHeight="1" x14ac:dyDescent="0.35">
      <c r="B754" s="146"/>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c r="AA754" s="314"/>
      <c r="AB754" s="314"/>
      <c r="AC754" s="314"/>
      <c r="AD754" s="314"/>
      <c r="AE754" s="314"/>
      <c r="AF754" s="314"/>
    </row>
    <row r="755" spans="2:32" s="147" customFormat="1" ht="14.15" customHeight="1" x14ac:dyDescent="0.35">
      <c r="B755" s="146"/>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4"/>
      <c r="AD755" s="314"/>
      <c r="AE755" s="314"/>
      <c r="AF755" s="314"/>
    </row>
    <row r="756" spans="2:32" s="147" customFormat="1" ht="14.15" customHeight="1" x14ac:dyDescent="0.35">
      <c r="B756" s="146"/>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4"/>
      <c r="AD756" s="314"/>
      <c r="AE756" s="314"/>
      <c r="AF756" s="314"/>
    </row>
    <row r="757" spans="2:32" s="147" customFormat="1" ht="14.15" customHeight="1" x14ac:dyDescent="0.35">
      <c r="B757" s="146"/>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314"/>
      <c r="AE757" s="314"/>
      <c r="AF757" s="314"/>
    </row>
    <row r="758" spans="2:32" s="147" customFormat="1" ht="14.15" customHeight="1" x14ac:dyDescent="0.35">
      <c r="B758" s="146"/>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c r="AA758" s="314"/>
      <c r="AB758" s="314"/>
      <c r="AC758" s="314"/>
      <c r="AD758" s="314"/>
      <c r="AE758" s="314"/>
      <c r="AF758" s="314"/>
    </row>
    <row r="759" spans="2:32" s="147" customFormat="1" ht="14.15" customHeight="1" x14ac:dyDescent="0.35">
      <c r="B759" s="146"/>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314"/>
      <c r="AE759" s="314"/>
      <c r="AF759" s="314"/>
    </row>
    <row r="760" spans="2:32" s="147" customFormat="1" ht="14.15" customHeight="1" x14ac:dyDescent="0.35">
      <c r="B760" s="146"/>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c r="AA760" s="314"/>
      <c r="AB760" s="314"/>
      <c r="AC760" s="314"/>
      <c r="AD760" s="314"/>
      <c r="AE760" s="314"/>
      <c r="AF760" s="314"/>
    </row>
    <row r="761" spans="2:32" s="147" customFormat="1" ht="14.15" customHeight="1" x14ac:dyDescent="0.35">
      <c r="B761" s="146"/>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c r="AA761" s="314"/>
      <c r="AB761" s="314"/>
      <c r="AC761" s="314"/>
      <c r="AD761" s="314"/>
      <c r="AE761" s="314"/>
      <c r="AF761" s="314"/>
    </row>
    <row r="762" spans="2:32" s="147" customFormat="1" ht="14.15" customHeight="1" x14ac:dyDescent="0.35">
      <c r="B762" s="146"/>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c r="AA762" s="314"/>
      <c r="AB762" s="314"/>
      <c r="AC762" s="314"/>
      <c r="AD762" s="314"/>
      <c r="AE762" s="314"/>
      <c r="AF762" s="314"/>
    </row>
    <row r="763" spans="2:32" s="147" customFormat="1" ht="14.15" customHeight="1" x14ac:dyDescent="0.35">
      <c r="B763" s="146"/>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c r="AA763" s="314"/>
      <c r="AB763" s="314"/>
      <c r="AC763" s="314"/>
      <c r="AD763" s="314"/>
      <c r="AE763" s="314"/>
      <c r="AF763" s="314"/>
    </row>
    <row r="764" spans="2:32" s="147" customFormat="1" ht="14.15" customHeight="1" x14ac:dyDescent="0.35">
      <c r="B764" s="146"/>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c r="AA764" s="314"/>
      <c r="AB764" s="314"/>
      <c r="AC764" s="314"/>
      <c r="AD764" s="314"/>
      <c r="AE764" s="314"/>
      <c r="AF764" s="314"/>
    </row>
    <row r="765" spans="2:32" s="147" customFormat="1" ht="14.15" customHeight="1" x14ac:dyDescent="0.35">
      <c r="B765" s="146"/>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4"/>
      <c r="AD765" s="314"/>
      <c r="AE765" s="314"/>
      <c r="AF765" s="314"/>
    </row>
    <row r="766" spans="2:32" s="147" customFormat="1" ht="14.15" customHeight="1" x14ac:dyDescent="0.35">
      <c r="B766" s="146"/>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row>
    <row r="767" spans="2:32" s="147" customFormat="1" ht="14.15" customHeight="1" x14ac:dyDescent="0.35">
      <c r="B767" s="146"/>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c r="AA767" s="314"/>
      <c r="AB767" s="314"/>
      <c r="AC767" s="314"/>
      <c r="AD767" s="314"/>
      <c r="AE767" s="314"/>
      <c r="AF767" s="314"/>
    </row>
    <row r="768" spans="2:32" s="147" customFormat="1" ht="14.15" customHeight="1" x14ac:dyDescent="0.35">
      <c r="B768" s="146"/>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c r="AA768" s="314"/>
      <c r="AB768" s="314"/>
      <c r="AC768" s="314"/>
      <c r="AD768" s="314"/>
      <c r="AE768" s="314"/>
      <c r="AF768" s="314"/>
    </row>
    <row r="769" spans="2:32" s="147" customFormat="1" ht="14.15" customHeight="1" x14ac:dyDescent="0.35">
      <c r="B769" s="146"/>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c r="AA769" s="314"/>
      <c r="AB769" s="314"/>
      <c r="AC769" s="314"/>
      <c r="AD769" s="314"/>
      <c r="AE769" s="314"/>
      <c r="AF769" s="314"/>
    </row>
    <row r="770" spans="2:32" s="147" customFormat="1" ht="14.15" customHeight="1" x14ac:dyDescent="0.35">
      <c r="B770" s="146"/>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row>
    <row r="771" spans="2:32" s="147" customFormat="1" ht="14.15" customHeight="1" x14ac:dyDescent="0.35">
      <c r="B771" s="146"/>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4"/>
      <c r="AD771" s="314"/>
      <c r="AE771" s="314"/>
      <c r="AF771" s="314"/>
    </row>
    <row r="772" spans="2:32" s="147" customFormat="1" ht="14.15" customHeight="1" x14ac:dyDescent="0.35">
      <c r="B772" s="146"/>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row>
    <row r="773" spans="2:32" s="147" customFormat="1" ht="14.15" customHeight="1" x14ac:dyDescent="0.35">
      <c r="B773" s="146"/>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4"/>
      <c r="AD773" s="314"/>
      <c r="AE773" s="314"/>
      <c r="AF773" s="314"/>
    </row>
    <row r="774" spans="2:32" s="147" customFormat="1" ht="14.15" customHeight="1" x14ac:dyDescent="0.35">
      <c r="B774" s="146"/>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4"/>
      <c r="AD774" s="314"/>
      <c r="AE774" s="314"/>
      <c r="AF774" s="314"/>
    </row>
    <row r="775" spans="2:32" s="147" customFormat="1" ht="14.15" customHeight="1" x14ac:dyDescent="0.35">
      <c r="B775" s="146"/>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c r="AA775" s="314"/>
      <c r="AB775" s="314"/>
      <c r="AC775" s="314"/>
      <c r="AD775" s="314"/>
      <c r="AE775" s="314"/>
      <c r="AF775" s="314"/>
    </row>
    <row r="776" spans="2:32" s="147" customFormat="1" ht="14.15" customHeight="1" x14ac:dyDescent="0.35">
      <c r="B776" s="146"/>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314"/>
      <c r="AE776" s="314"/>
      <c r="AF776" s="314"/>
    </row>
    <row r="777" spans="2:32" s="147" customFormat="1" ht="14.15" customHeight="1" x14ac:dyDescent="0.35">
      <c r="B777" s="146"/>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314"/>
      <c r="AE777" s="314"/>
      <c r="AF777" s="314"/>
    </row>
    <row r="778" spans="2:32" s="147" customFormat="1" ht="14.15" customHeight="1" x14ac:dyDescent="0.35">
      <c r="B778" s="146"/>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314"/>
      <c r="AF778" s="314"/>
    </row>
    <row r="779" spans="2:32" s="147" customFormat="1" ht="14.15" customHeight="1" x14ac:dyDescent="0.35">
      <c r="B779" s="146"/>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c r="AA779" s="314"/>
      <c r="AB779" s="314"/>
      <c r="AC779" s="314"/>
      <c r="AD779" s="314"/>
      <c r="AE779" s="314"/>
      <c r="AF779" s="314"/>
    </row>
    <row r="780" spans="2:32" s="147" customFormat="1" ht="14.15" customHeight="1" x14ac:dyDescent="0.35">
      <c r="B780" s="146"/>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314"/>
      <c r="AE780" s="314"/>
      <c r="AF780" s="314"/>
    </row>
    <row r="781" spans="2:32" s="147" customFormat="1" ht="14.15" customHeight="1" x14ac:dyDescent="0.35">
      <c r="B781" s="146"/>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314"/>
      <c r="AE781" s="314"/>
      <c r="AF781" s="314"/>
    </row>
    <row r="782" spans="2:32" s="147" customFormat="1" ht="14.15" customHeight="1" x14ac:dyDescent="0.35">
      <c r="B782" s="146"/>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314"/>
      <c r="AE782" s="314"/>
      <c r="AF782" s="314"/>
    </row>
    <row r="783" spans="2:32" s="147" customFormat="1" ht="14.15" customHeight="1" x14ac:dyDescent="0.35">
      <c r="B783" s="146"/>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4"/>
      <c r="AD783" s="314"/>
      <c r="AE783" s="314"/>
      <c r="AF783" s="314"/>
    </row>
    <row r="784" spans="2:32" s="147" customFormat="1" ht="14.15" customHeight="1" x14ac:dyDescent="0.35">
      <c r="B784" s="146"/>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314"/>
      <c r="AE784" s="314"/>
      <c r="AF784" s="314"/>
    </row>
    <row r="785" spans="2:32" s="147" customFormat="1" ht="14.15" customHeight="1" x14ac:dyDescent="0.35">
      <c r="B785" s="146"/>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4"/>
      <c r="AD785" s="314"/>
      <c r="AE785" s="314"/>
      <c r="AF785" s="314"/>
    </row>
    <row r="786" spans="2:32" s="147" customFormat="1" ht="14.15" customHeight="1" x14ac:dyDescent="0.35">
      <c r="B786" s="146"/>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314"/>
      <c r="AE786" s="314"/>
      <c r="AF786" s="314"/>
    </row>
    <row r="787" spans="2:32" s="147" customFormat="1" ht="14.15" customHeight="1" x14ac:dyDescent="0.35">
      <c r="B787" s="146"/>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314"/>
      <c r="AF787" s="314"/>
    </row>
    <row r="788" spans="2:32" s="147" customFormat="1" ht="14.15" customHeight="1" x14ac:dyDescent="0.35">
      <c r="B788" s="146"/>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c r="AA788" s="314"/>
      <c r="AB788" s="314"/>
      <c r="AC788" s="314"/>
      <c r="AD788" s="314"/>
      <c r="AE788" s="314"/>
      <c r="AF788" s="314"/>
    </row>
    <row r="789" spans="2:32" s="147" customFormat="1" ht="14.15" customHeight="1" x14ac:dyDescent="0.35">
      <c r="B789" s="146"/>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314"/>
      <c r="AE789" s="314"/>
      <c r="AF789" s="314"/>
    </row>
    <row r="790" spans="2:32" s="147" customFormat="1" ht="14.15" customHeight="1" x14ac:dyDescent="0.35">
      <c r="B790" s="146"/>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314"/>
      <c r="AE790" s="314"/>
      <c r="AF790" s="314"/>
    </row>
    <row r="791" spans="2:32" s="147" customFormat="1" ht="14.15" customHeight="1" x14ac:dyDescent="0.35">
      <c r="B791" s="146"/>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c r="AA791" s="314"/>
      <c r="AB791" s="314"/>
      <c r="AC791" s="314"/>
      <c r="AD791" s="314"/>
      <c r="AE791" s="314"/>
      <c r="AF791" s="314"/>
    </row>
    <row r="792" spans="2:32" s="147" customFormat="1" ht="14.15" customHeight="1" x14ac:dyDescent="0.35">
      <c r="B792" s="146"/>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c r="AA792" s="314"/>
      <c r="AB792" s="314"/>
      <c r="AC792" s="314"/>
      <c r="AD792" s="314"/>
      <c r="AE792" s="314"/>
      <c r="AF792" s="314"/>
    </row>
    <row r="793" spans="2:32" s="147" customFormat="1" ht="14.15" customHeight="1" x14ac:dyDescent="0.35">
      <c r="B793" s="146"/>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314"/>
      <c r="AE793" s="314"/>
      <c r="AF793" s="314"/>
    </row>
    <row r="794" spans="2:32" s="147" customFormat="1" ht="14.15" customHeight="1" x14ac:dyDescent="0.35">
      <c r="B794" s="146"/>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4"/>
      <c r="AD794" s="314"/>
      <c r="AE794" s="314"/>
      <c r="AF794" s="314"/>
    </row>
    <row r="795" spans="2:32" s="147" customFormat="1" ht="14.15" customHeight="1" x14ac:dyDescent="0.35">
      <c r="B795" s="146"/>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4"/>
      <c r="AD795" s="314"/>
      <c r="AE795" s="314"/>
      <c r="AF795" s="314"/>
    </row>
    <row r="796" spans="2:32" s="147" customFormat="1" ht="14.15" customHeight="1" x14ac:dyDescent="0.35">
      <c r="B796" s="146"/>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4"/>
      <c r="AD796" s="314"/>
      <c r="AE796" s="314"/>
      <c r="AF796" s="314"/>
    </row>
    <row r="797" spans="2:32" s="147" customFormat="1" ht="14.15" customHeight="1" x14ac:dyDescent="0.35">
      <c r="B797" s="146"/>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314"/>
      <c r="AE797" s="314"/>
      <c r="AF797" s="314"/>
    </row>
    <row r="798" spans="2:32" s="147" customFormat="1" ht="14.15" customHeight="1" x14ac:dyDescent="0.35">
      <c r="B798" s="146"/>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314"/>
      <c r="AE798" s="314"/>
      <c r="AF798" s="314"/>
    </row>
    <row r="799" spans="2:32" s="147" customFormat="1" ht="14.15" customHeight="1" x14ac:dyDescent="0.35">
      <c r="B799" s="146"/>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4"/>
      <c r="AD799" s="314"/>
      <c r="AE799" s="314"/>
      <c r="AF799" s="314"/>
    </row>
    <row r="800" spans="2:32" s="147" customFormat="1" ht="14.15" customHeight="1" x14ac:dyDescent="0.35">
      <c r="B800" s="146"/>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314"/>
      <c r="AE800" s="314"/>
      <c r="AF800" s="314"/>
    </row>
    <row r="801" spans="2:32" s="147" customFormat="1" ht="14.15" customHeight="1" x14ac:dyDescent="0.35">
      <c r="B801" s="146"/>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4"/>
      <c r="AD801" s="314"/>
      <c r="AE801" s="314"/>
      <c r="AF801" s="314"/>
    </row>
    <row r="802" spans="2:32" s="147" customFormat="1" ht="14.15" customHeight="1" x14ac:dyDescent="0.35">
      <c r="B802" s="146"/>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314"/>
      <c r="AE802" s="314"/>
      <c r="AF802" s="314"/>
    </row>
    <row r="803" spans="2:32" s="147" customFormat="1" ht="14.15" customHeight="1" x14ac:dyDescent="0.35">
      <c r="B803" s="146"/>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314"/>
      <c r="AE803" s="314"/>
      <c r="AF803" s="314"/>
    </row>
    <row r="804" spans="2:32" s="147" customFormat="1" ht="14.15" customHeight="1" x14ac:dyDescent="0.35">
      <c r="B804" s="146"/>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4"/>
      <c r="AD804" s="314"/>
      <c r="AE804" s="314"/>
      <c r="AF804" s="314"/>
    </row>
    <row r="805" spans="2:32" s="147" customFormat="1" ht="14.15" customHeight="1" x14ac:dyDescent="0.35">
      <c r="B805" s="146"/>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4"/>
      <c r="AD805" s="314"/>
      <c r="AE805" s="314"/>
      <c r="AF805" s="314"/>
    </row>
    <row r="806" spans="2:32" s="147" customFormat="1" ht="14.15" customHeight="1" x14ac:dyDescent="0.35">
      <c r="B806" s="146"/>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314"/>
      <c r="AE806" s="314"/>
      <c r="AF806" s="314"/>
    </row>
    <row r="807" spans="2:32" s="147" customFormat="1" ht="14.15" customHeight="1" x14ac:dyDescent="0.35">
      <c r="B807" s="146"/>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314"/>
      <c r="AE807" s="314"/>
      <c r="AF807" s="314"/>
    </row>
    <row r="808" spans="2:32" s="147" customFormat="1" ht="14.15" customHeight="1" x14ac:dyDescent="0.35">
      <c r="B808" s="146"/>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314"/>
      <c r="AE808" s="314"/>
      <c r="AF808" s="314"/>
    </row>
    <row r="809" spans="2:32" s="147" customFormat="1" ht="14.15" customHeight="1" x14ac:dyDescent="0.35">
      <c r="B809" s="146"/>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c r="AA809" s="314"/>
      <c r="AB809" s="314"/>
      <c r="AC809" s="314"/>
      <c r="AD809" s="314"/>
      <c r="AE809" s="314"/>
      <c r="AF809" s="314"/>
    </row>
    <row r="810" spans="2:32" s="147" customFormat="1" ht="14.15" customHeight="1" x14ac:dyDescent="0.35">
      <c r="B810" s="146"/>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4"/>
      <c r="AD810" s="314"/>
      <c r="AE810" s="314"/>
      <c r="AF810" s="314"/>
    </row>
    <row r="811" spans="2:32" s="147" customFormat="1" ht="14.15" customHeight="1" x14ac:dyDescent="0.35">
      <c r="B811" s="146"/>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c r="AA811" s="314"/>
      <c r="AB811" s="314"/>
      <c r="AC811" s="314"/>
      <c r="AD811" s="314"/>
      <c r="AE811" s="314"/>
      <c r="AF811" s="314"/>
    </row>
    <row r="812" spans="2:32" s="147" customFormat="1" ht="14.15" customHeight="1" x14ac:dyDescent="0.35">
      <c r="B812" s="146"/>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c r="AA812" s="314"/>
      <c r="AB812" s="314"/>
      <c r="AC812" s="314"/>
      <c r="AD812" s="314"/>
      <c r="AE812" s="314"/>
      <c r="AF812" s="314"/>
    </row>
    <row r="813" spans="2:32" s="147" customFormat="1" ht="14.15" customHeight="1" x14ac:dyDescent="0.35">
      <c r="B813" s="146"/>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4"/>
      <c r="AD813" s="314"/>
      <c r="AE813" s="314"/>
      <c r="AF813" s="314"/>
    </row>
    <row r="814" spans="2:32" s="147" customFormat="1" ht="14.15" customHeight="1" x14ac:dyDescent="0.35">
      <c r="B814" s="146"/>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4"/>
      <c r="AD814" s="314"/>
      <c r="AE814" s="314"/>
      <c r="AF814" s="314"/>
    </row>
    <row r="815" spans="2:32" s="147" customFormat="1" ht="14.15" customHeight="1" x14ac:dyDescent="0.35">
      <c r="B815" s="146"/>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4"/>
      <c r="AD815" s="314"/>
      <c r="AE815" s="314"/>
      <c r="AF815" s="314"/>
    </row>
    <row r="816" spans="2:32" s="147" customFormat="1" ht="14.15" customHeight="1" x14ac:dyDescent="0.35">
      <c r="B816" s="146"/>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4"/>
      <c r="AD816" s="314"/>
      <c r="AE816" s="314"/>
      <c r="AF816" s="314"/>
    </row>
    <row r="817" spans="2:32" s="147" customFormat="1" ht="14.15" customHeight="1" x14ac:dyDescent="0.35">
      <c r="B817" s="146"/>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4"/>
      <c r="AD817" s="314"/>
      <c r="AE817" s="314"/>
      <c r="AF817" s="314"/>
    </row>
    <row r="818" spans="2:32" s="147" customFormat="1" ht="14.15" customHeight="1" x14ac:dyDescent="0.35">
      <c r="B818" s="146"/>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c r="AA818" s="314"/>
      <c r="AB818" s="314"/>
      <c r="AC818" s="314"/>
      <c r="AD818" s="314"/>
      <c r="AE818" s="314"/>
      <c r="AF818" s="314"/>
    </row>
    <row r="819" spans="2:32" s="147" customFormat="1" ht="14.15" customHeight="1" x14ac:dyDescent="0.35">
      <c r="B819" s="146"/>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4"/>
      <c r="AD819" s="314"/>
      <c r="AE819" s="314"/>
      <c r="AF819" s="314"/>
    </row>
    <row r="820" spans="2:32" s="147" customFormat="1" ht="14.15" customHeight="1" x14ac:dyDescent="0.35">
      <c r="B820" s="146"/>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c r="AA820" s="314"/>
      <c r="AB820" s="314"/>
      <c r="AC820" s="314"/>
      <c r="AD820" s="314"/>
      <c r="AE820" s="314"/>
      <c r="AF820" s="314"/>
    </row>
    <row r="821" spans="2:32" s="147" customFormat="1" ht="14.15" customHeight="1" x14ac:dyDescent="0.35">
      <c r="B821" s="146"/>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c r="AA821" s="314"/>
      <c r="AB821" s="314"/>
      <c r="AC821" s="314"/>
      <c r="AD821" s="314"/>
      <c r="AE821" s="314"/>
      <c r="AF821" s="314"/>
    </row>
    <row r="822" spans="2:32" s="147" customFormat="1" ht="14.15" customHeight="1" x14ac:dyDescent="0.35">
      <c r="B822" s="146"/>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4"/>
      <c r="AD822" s="314"/>
      <c r="AE822" s="314"/>
      <c r="AF822" s="314"/>
    </row>
    <row r="823" spans="2:32" s="147" customFormat="1" ht="14.15" customHeight="1" x14ac:dyDescent="0.35">
      <c r="B823" s="146"/>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c r="AA823" s="314"/>
      <c r="AB823" s="314"/>
      <c r="AC823" s="314"/>
      <c r="AD823" s="314"/>
      <c r="AE823" s="314"/>
      <c r="AF823" s="314"/>
    </row>
    <row r="824" spans="2:32" s="147" customFormat="1" ht="14.15" customHeight="1" x14ac:dyDescent="0.35">
      <c r="B824" s="146"/>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c r="AA824" s="314"/>
      <c r="AB824" s="314"/>
      <c r="AC824" s="314"/>
      <c r="AD824" s="314"/>
      <c r="AE824" s="314"/>
      <c r="AF824" s="314"/>
    </row>
    <row r="825" spans="2:32" s="147" customFormat="1" ht="14.15" customHeight="1" x14ac:dyDescent="0.35">
      <c r="B825" s="146"/>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14"/>
      <c r="AE825" s="314"/>
      <c r="AF825" s="314"/>
    </row>
    <row r="826" spans="2:32" s="147" customFormat="1" ht="14.15" customHeight="1" x14ac:dyDescent="0.35">
      <c r="B826" s="146"/>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314"/>
      <c r="AE826" s="314"/>
      <c r="AF826" s="314"/>
    </row>
    <row r="827" spans="2:32" s="147" customFormat="1" ht="14.15" customHeight="1" x14ac:dyDescent="0.35">
      <c r="B827" s="146"/>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4"/>
      <c r="AD827" s="314"/>
      <c r="AE827" s="314"/>
      <c r="AF827" s="314"/>
    </row>
    <row r="828" spans="2:32" s="147" customFormat="1" ht="14.15" customHeight="1" x14ac:dyDescent="0.35">
      <c r="B828" s="146"/>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314"/>
      <c r="AE828" s="314"/>
      <c r="AF828" s="314"/>
    </row>
    <row r="829" spans="2:32" s="147" customFormat="1" ht="14.15" customHeight="1" x14ac:dyDescent="0.35">
      <c r="B829" s="146"/>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4"/>
      <c r="AD829" s="314"/>
      <c r="AE829" s="314"/>
      <c r="AF829" s="314"/>
    </row>
    <row r="830" spans="2:32" s="147" customFormat="1" ht="14.15" customHeight="1" x14ac:dyDescent="0.35">
      <c r="B830" s="146"/>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314"/>
      <c r="AE830" s="314"/>
      <c r="AF830" s="314"/>
    </row>
    <row r="831" spans="2:32" s="147" customFormat="1" ht="14.15" customHeight="1" x14ac:dyDescent="0.35">
      <c r="B831" s="146"/>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4"/>
      <c r="AD831" s="314"/>
      <c r="AE831" s="314"/>
      <c r="AF831" s="314"/>
    </row>
    <row r="832" spans="2:32" s="147" customFormat="1" ht="14.15" customHeight="1" x14ac:dyDescent="0.35">
      <c r="B832" s="146"/>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314"/>
      <c r="AE832" s="314"/>
      <c r="AF832" s="314"/>
    </row>
    <row r="833" spans="2:32" s="147" customFormat="1" ht="14.15" customHeight="1" x14ac:dyDescent="0.35">
      <c r="B833" s="146"/>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c r="AA833" s="314"/>
      <c r="AB833" s="314"/>
      <c r="AC833" s="314"/>
      <c r="AD833" s="314"/>
      <c r="AE833" s="314"/>
      <c r="AF833" s="314"/>
    </row>
    <row r="834" spans="2:32" s="147" customFormat="1" ht="14.15" customHeight="1" x14ac:dyDescent="0.35">
      <c r="B834" s="146"/>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4"/>
      <c r="AD834" s="314"/>
      <c r="AE834" s="314"/>
      <c r="AF834" s="314"/>
    </row>
    <row r="835" spans="2:32" s="147" customFormat="1" ht="14.15" customHeight="1" x14ac:dyDescent="0.35">
      <c r="B835" s="146"/>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4"/>
      <c r="AD835" s="314"/>
      <c r="AE835" s="314"/>
      <c r="AF835" s="314"/>
    </row>
    <row r="836" spans="2:32" s="147" customFormat="1" ht="14.15" customHeight="1" x14ac:dyDescent="0.35">
      <c r="B836" s="146"/>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4"/>
      <c r="AD836" s="314"/>
      <c r="AE836" s="314"/>
      <c r="AF836" s="314"/>
    </row>
    <row r="837" spans="2:32" s="147" customFormat="1" ht="14.15" customHeight="1" x14ac:dyDescent="0.35">
      <c r="B837" s="146"/>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c r="AA837" s="314"/>
      <c r="AB837" s="314"/>
      <c r="AC837" s="314"/>
      <c r="AD837" s="314"/>
      <c r="AE837" s="314"/>
      <c r="AF837" s="314"/>
    </row>
    <row r="838" spans="2:32" s="147" customFormat="1" ht="14.15" customHeight="1" x14ac:dyDescent="0.35">
      <c r="B838" s="146"/>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4"/>
      <c r="AD838" s="314"/>
      <c r="AE838" s="314"/>
      <c r="AF838" s="314"/>
    </row>
    <row r="839" spans="2:32" s="147" customFormat="1" ht="14.15" customHeight="1" x14ac:dyDescent="0.35">
      <c r="B839" s="146"/>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314"/>
      <c r="AE839" s="314"/>
      <c r="AF839" s="314"/>
    </row>
    <row r="840" spans="2:32" s="147" customFormat="1" ht="14.15" customHeight="1" x14ac:dyDescent="0.35">
      <c r="B840" s="146"/>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4"/>
      <c r="AD840" s="314"/>
      <c r="AE840" s="314"/>
      <c r="AF840" s="314"/>
    </row>
    <row r="841" spans="2:32" s="147" customFormat="1" ht="14.15" customHeight="1" x14ac:dyDescent="0.35">
      <c r="B841" s="146"/>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4"/>
      <c r="AD841" s="314"/>
      <c r="AE841" s="314"/>
      <c r="AF841" s="314"/>
    </row>
    <row r="842" spans="2:32" s="147" customFormat="1" ht="14.15" customHeight="1" x14ac:dyDescent="0.35">
      <c r="B842" s="146"/>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c r="AA842" s="314"/>
      <c r="AB842" s="314"/>
      <c r="AC842" s="314"/>
      <c r="AD842" s="314"/>
      <c r="AE842" s="314"/>
      <c r="AF842" s="314"/>
    </row>
    <row r="843" spans="2:32" s="147" customFormat="1" ht="14.15" customHeight="1" x14ac:dyDescent="0.35">
      <c r="B843" s="146"/>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c r="AA843" s="314"/>
      <c r="AB843" s="314"/>
      <c r="AC843" s="314"/>
      <c r="AD843" s="314"/>
      <c r="AE843" s="314"/>
      <c r="AF843" s="314"/>
    </row>
    <row r="844" spans="2:32" s="147" customFormat="1" ht="14.15" customHeight="1" x14ac:dyDescent="0.35">
      <c r="B844" s="146"/>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c r="AA844" s="314"/>
      <c r="AB844" s="314"/>
      <c r="AC844" s="314"/>
      <c r="AD844" s="314"/>
      <c r="AE844" s="314"/>
      <c r="AF844" s="314"/>
    </row>
    <row r="845" spans="2:32" s="147" customFormat="1" ht="14.15" customHeight="1" x14ac:dyDescent="0.35">
      <c r="B845" s="146"/>
      <c r="E845" s="314"/>
      <c r="F845" s="314"/>
      <c r="G845" s="314"/>
      <c r="H845" s="314"/>
      <c r="I845" s="314"/>
      <c r="J845" s="314"/>
      <c r="K845" s="314"/>
      <c r="L845" s="314"/>
      <c r="M845" s="314"/>
      <c r="N845" s="314"/>
      <c r="O845" s="314"/>
      <c r="P845" s="314"/>
      <c r="Q845" s="314"/>
      <c r="R845" s="314"/>
      <c r="S845" s="314"/>
      <c r="T845" s="314"/>
      <c r="U845" s="314"/>
      <c r="V845" s="314"/>
      <c r="W845" s="314"/>
      <c r="X845" s="314"/>
      <c r="Y845" s="314"/>
      <c r="Z845" s="314"/>
      <c r="AA845" s="314"/>
      <c r="AB845" s="314"/>
      <c r="AC845" s="314"/>
      <c r="AD845" s="314"/>
      <c r="AE845" s="314"/>
      <c r="AF845" s="314"/>
    </row>
    <row r="846" spans="2:32" s="147" customFormat="1" ht="14.15" customHeight="1" x14ac:dyDescent="0.35">
      <c r="B846" s="146"/>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c r="AA846" s="314"/>
      <c r="AB846" s="314"/>
      <c r="AC846" s="314"/>
      <c r="AD846" s="314"/>
      <c r="AE846" s="314"/>
      <c r="AF846" s="314"/>
    </row>
    <row r="847" spans="2:32" s="147" customFormat="1" ht="14.15" customHeight="1" x14ac:dyDescent="0.35">
      <c r="B847" s="146"/>
      <c r="E847" s="314"/>
      <c r="F847" s="314"/>
      <c r="G847" s="314"/>
      <c r="H847" s="314"/>
      <c r="I847" s="314"/>
      <c r="J847" s="314"/>
      <c r="K847" s="314"/>
      <c r="L847" s="314"/>
      <c r="M847" s="314"/>
      <c r="N847" s="314"/>
      <c r="O847" s="314"/>
      <c r="P847" s="314"/>
      <c r="Q847" s="314"/>
      <c r="R847" s="314"/>
      <c r="S847" s="314"/>
      <c r="T847" s="314"/>
      <c r="U847" s="314"/>
      <c r="V847" s="314"/>
      <c r="W847" s="314"/>
      <c r="X847" s="314"/>
      <c r="Y847" s="314"/>
      <c r="Z847" s="314"/>
      <c r="AA847" s="314"/>
      <c r="AB847" s="314"/>
      <c r="AC847" s="314"/>
      <c r="AD847" s="314"/>
      <c r="AE847" s="314"/>
      <c r="AF847" s="314"/>
    </row>
    <row r="848" spans="2:32" s="147" customFormat="1" ht="14.15" customHeight="1" x14ac:dyDescent="0.35">
      <c r="B848" s="146"/>
      <c r="E848" s="314"/>
      <c r="F848" s="314"/>
      <c r="G848" s="314"/>
      <c r="H848" s="314"/>
      <c r="I848" s="314"/>
      <c r="J848" s="314"/>
      <c r="K848" s="314"/>
      <c r="L848" s="314"/>
      <c r="M848" s="314"/>
      <c r="N848" s="314"/>
      <c r="O848" s="314"/>
      <c r="P848" s="314"/>
      <c r="Q848" s="314"/>
      <c r="R848" s="314"/>
      <c r="S848" s="314"/>
      <c r="T848" s="314"/>
      <c r="U848" s="314"/>
      <c r="V848" s="314"/>
      <c r="W848" s="314"/>
      <c r="X848" s="314"/>
      <c r="Y848" s="314"/>
      <c r="Z848" s="314"/>
      <c r="AA848" s="314"/>
      <c r="AB848" s="314"/>
      <c r="AC848" s="314"/>
      <c r="AD848" s="314"/>
      <c r="AE848" s="314"/>
      <c r="AF848" s="314"/>
    </row>
    <row r="849" spans="2:32" s="147" customFormat="1" ht="14.15" customHeight="1" x14ac:dyDescent="0.35">
      <c r="B849" s="146"/>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4"/>
      <c r="AD849" s="314"/>
      <c r="AE849" s="314"/>
      <c r="AF849" s="314"/>
    </row>
    <row r="850" spans="2:32" s="147" customFormat="1" ht="14.15" customHeight="1" x14ac:dyDescent="0.35">
      <c r="B850" s="146"/>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314"/>
      <c r="AE850" s="314"/>
      <c r="AF850" s="314"/>
    </row>
    <row r="851" spans="2:32" s="147" customFormat="1" ht="14.15" customHeight="1" x14ac:dyDescent="0.35">
      <c r="B851" s="146"/>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314"/>
      <c r="AF851" s="314"/>
    </row>
    <row r="852" spans="2:32" s="147" customFormat="1" ht="14.15" customHeight="1" x14ac:dyDescent="0.35">
      <c r="B852" s="146"/>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c r="AA852" s="314"/>
      <c r="AB852" s="314"/>
      <c r="AC852" s="314"/>
      <c r="AD852" s="314"/>
      <c r="AE852" s="314"/>
      <c r="AF852" s="314"/>
    </row>
    <row r="853" spans="2:32" s="147" customFormat="1" ht="14.15" customHeight="1" x14ac:dyDescent="0.35">
      <c r="B853" s="146"/>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314"/>
      <c r="AE853" s="314"/>
      <c r="AF853" s="314"/>
    </row>
    <row r="854" spans="2:32" s="147" customFormat="1" ht="14.15" customHeight="1" x14ac:dyDescent="0.35">
      <c r="B854" s="146"/>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4"/>
      <c r="AD854" s="314"/>
      <c r="AE854" s="314"/>
      <c r="AF854" s="314"/>
    </row>
    <row r="855" spans="2:32" s="147" customFormat="1" ht="14.15" customHeight="1" x14ac:dyDescent="0.35">
      <c r="B855" s="146"/>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4"/>
      <c r="AD855" s="314"/>
      <c r="AE855" s="314"/>
      <c r="AF855" s="314"/>
    </row>
    <row r="856" spans="2:32" s="147" customFormat="1" ht="14.15" customHeight="1" x14ac:dyDescent="0.35">
      <c r="B856" s="146"/>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4"/>
      <c r="AD856" s="314"/>
      <c r="AE856" s="314"/>
      <c r="AF856" s="314"/>
    </row>
    <row r="857" spans="2:32" s="147" customFormat="1" ht="14.15" customHeight="1" x14ac:dyDescent="0.35">
      <c r="B857" s="146"/>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314"/>
      <c r="AE857" s="314"/>
      <c r="AF857" s="314"/>
    </row>
    <row r="858" spans="2:32" s="147" customFormat="1" ht="14.15" customHeight="1" x14ac:dyDescent="0.35">
      <c r="B858" s="146"/>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314"/>
      <c r="AE858" s="314"/>
      <c r="AF858" s="314"/>
    </row>
    <row r="859" spans="2:32" s="147" customFormat="1" ht="14.15" customHeight="1" x14ac:dyDescent="0.35">
      <c r="B859" s="146"/>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314"/>
      <c r="AE859" s="314"/>
      <c r="AF859" s="314"/>
    </row>
    <row r="860" spans="2:32" s="147" customFormat="1" ht="14.15" customHeight="1" x14ac:dyDescent="0.35">
      <c r="B860" s="146"/>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314"/>
      <c r="AF860" s="314"/>
    </row>
    <row r="861" spans="2:32" s="147" customFormat="1" ht="14.15" customHeight="1" x14ac:dyDescent="0.35">
      <c r="B861" s="146"/>
      <c r="E861" s="314"/>
      <c r="F861" s="314"/>
      <c r="G861" s="314"/>
      <c r="H861" s="314"/>
      <c r="I861" s="314"/>
      <c r="J861" s="314"/>
      <c r="K861" s="314"/>
      <c r="L861" s="314"/>
      <c r="M861" s="314"/>
      <c r="N861" s="314"/>
      <c r="O861" s="314"/>
      <c r="P861" s="314"/>
      <c r="Q861" s="314"/>
      <c r="R861" s="314"/>
      <c r="S861" s="314"/>
      <c r="T861" s="314"/>
      <c r="U861" s="314"/>
      <c r="V861" s="314"/>
      <c r="W861" s="314"/>
      <c r="X861" s="314"/>
      <c r="Y861" s="314"/>
      <c r="Z861" s="314"/>
      <c r="AA861" s="314"/>
      <c r="AB861" s="314"/>
      <c r="AC861" s="314"/>
      <c r="AD861" s="314"/>
      <c r="AE861" s="314"/>
      <c r="AF861" s="314"/>
    </row>
    <row r="862" spans="2:32" s="147" customFormat="1" ht="14.15" customHeight="1" x14ac:dyDescent="0.35">
      <c r="B862" s="146"/>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c r="AA862" s="314"/>
      <c r="AB862" s="314"/>
      <c r="AC862" s="314"/>
      <c r="AD862" s="314"/>
      <c r="AE862" s="314"/>
      <c r="AF862" s="314"/>
    </row>
    <row r="863" spans="2:32" s="147" customFormat="1" ht="14.15" customHeight="1" x14ac:dyDescent="0.35">
      <c r="B863" s="146"/>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314"/>
      <c r="AE863" s="314"/>
      <c r="AF863" s="314"/>
    </row>
    <row r="864" spans="2:32" s="147" customFormat="1" ht="14.15" customHeight="1" x14ac:dyDescent="0.35">
      <c r="B864" s="146"/>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314"/>
      <c r="AE864" s="314"/>
      <c r="AF864" s="314"/>
    </row>
    <row r="865" spans="2:32" s="147" customFormat="1" ht="14.15" customHeight="1" x14ac:dyDescent="0.35">
      <c r="B865" s="146"/>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c r="AA865" s="314"/>
      <c r="AB865" s="314"/>
      <c r="AC865" s="314"/>
      <c r="AD865" s="314"/>
      <c r="AE865" s="314"/>
      <c r="AF865" s="314"/>
    </row>
    <row r="866" spans="2:32" s="147" customFormat="1" ht="14.15" customHeight="1" x14ac:dyDescent="0.35">
      <c r="B866" s="146"/>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14"/>
      <c r="AE866" s="314"/>
      <c r="AF866" s="314"/>
    </row>
    <row r="867" spans="2:32" s="147" customFormat="1" ht="14.15" customHeight="1" x14ac:dyDescent="0.35">
      <c r="B867" s="146"/>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c r="AA867" s="314"/>
      <c r="AB867" s="314"/>
      <c r="AC867" s="314"/>
      <c r="AD867" s="314"/>
      <c r="AE867" s="314"/>
      <c r="AF867" s="314"/>
    </row>
    <row r="868" spans="2:32" s="147" customFormat="1" ht="14.15" customHeight="1" x14ac:dyDescent="0.35">
      <c r="B868" s="146"/>
      <c r="E868" s="314"/>
      <c r="F868" s="314"/>
      <c r="G868" s="314"/>
      <c r="H868" s="314"/>
      <c r="I868" s="314"/>
      <c r="J868" s="314"/>
      <c r="K868" s="314"/>
      <c r="L868" s="314"/>
      <c r="M868" s="314"/>
      <c r="N868" s="314"/>
      <c r="O868" s="314"/>
      <c r="P868" s="314"/>
      <c r="Q868" s="314"/>
      <c r="R868" s="314"/>
      <c r="S868" s="314"/>
      <c r="T868" s="314"/>
      <c r="U868" s="314"/>
      <c r="V868" s="314"/>
      <c r="W868" s="314"/>
      <c r="X868" s="314"/>
      <c r="Y868" s="314"/>
      <c r="Z868" s="314"/>
      <c r="AA868" s="314"/>
      <c r="AB868" s="314"/>
      <c r="AC868" s="314"/>
      <c r="AD868" s="314"/>
      <c r="AE868" s="314"/>
      <c r="AF868" s="314"/>
    </row>
    <row r="869" spans="2:32" s="147" customFormat="1" ht="14.15" customHeight="1" x14ac:dyDescent="0.35">
      <c r="B869" s="146"/>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c r="AA869" s="314"/>
      <c r="AB869" s="314"/>
      <c r="AC869" s="314"/>
      <c r="AD869" s="314"/>
      <c r="AE869" s="314"/>
      <c r="AF869" s="314"/>
    </row>
    <row r="870" spans="2:32" s="147" customFormat="1" ht="14.15" customHeight="1" x14ac:dyDescent="0.35">
      <c r="B870" s="146"/>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c r="AA870" s="314"/>
      <c r="AB870" s="314"/>
      <c r="AC870" s="314"/>
      <c r="AD870" s="314"/>
      <c r="AE870" s="314"/>
      <c r="AF870" s="314"/>
    </row>
    <row r="871" spans="2:32" s="147" customFormat="1" ht="14.15" customHeight="1" x14ac:dyDescent="0.35">
      <c r="B871" s="146"/>
      <c r="E871" s="314"/>
      <c r="F871" s="314"/>
      <c r="G871" s="314"/>
      <c r="H871" s="314"/>
      <c r="I871" s="314"/>
      <c r="J871" s="314"/>
      <c r="K871" s="314"/>
      <c r="L871" s="314"/>
      <c r="M871" s="314"/>
      <c r="N871" s="314"/>
      <c r="O871" s="314"/>
      <c r="P871" s="314"/>
      <c r="Q871" s="314"/>
      <c r="R871" s="314"/>
      <c r="S871" s="314"/>
      <c r="T871" s="314"/>
      <c r="U871" s="314"/>
      <c r="V871" s="314"/>
      <c r="W871" s="314"/>
      <c r="X871" s="314"/>
      <c r="Y871" s="314"/>
      <c r="Z871" s="314"/>
      <c r="AA871" s="314"/>
      <c r="AB871" s="314"/>
      <c r="AC871" s="314"/>
      <c r="AD871" s="314"/>
      <c r="AE871" s="314"/>
      <c r="AF871" s="314"/>
    </row>
    <row r="872" spans="2:32" s="147" customFormat="1" ht="14.15" customHeight="1" x14ac:dyDescent="0.35">
      <c r="B872" s="146"/>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4"/>
      <c r="AD872" s="314"/>
      <c r="AE872" s="314"/>
      <c r="AF872" s="314"/>
    </row>
    <row r="873" spans="2:32" s="147" customFormat="1" ht="14.15" customHeight="1" x14ac:dyDescent="0.35">
      <c r="B873" s="146"/>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c r="AA873" s="314"/>
      <c r="AB873" s="314"/>
      <c r="AC873" s="314"/>
      <c r="AD873" s="314"/>
      <c r="AE873" s="314"/>
      <c r="AF873" s="314"/>
    </row>
    <row r="874" spans="2:32" s="147" customFormat="1" ht="14.15" customHeight="1" x14ac:dyDescent="0.35">
      <c r="B874" s="146"/>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c r="AA874" s="314"/>
      <c r="AB874" s="314"/>
      <c r="AC874" s="314"/>
      <c r="AD874" s="314"/>
      <c r="AE874" s="314"/>
      <c r="AF874" s="314"/>
    </row>
    <row r="875" spans="2:32" s="147" customFormat="1" ht="14.15" customHeight="1" x14ac:dyDescent="0.35">
      <c r="B875" s="146"/>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14"/>
      <c r="AE875" s="314"/>
      <c r="AF875" s="314"/>
    </row>
    <row r="876" spans="2:32" s="147" customFormat="1" ht="14.15" customHeight="1" x14ac:dyDescent="0.35">
      <c r="B876" s="146"/>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4"/>
      <c r="AD876" s="314"/>
      <c r="AE876" s="314"/>
      <c r="AF876" s="314"/>
    </row>
    <row r="877" spans="2:32" s="147" customFormat="1" ht="14.15" customHeight="1" x14ac:dyDescent="0.35">
      <c r="B877" s="146"/>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314"/>
      <c r="AE877" s="314"/>
      <c r="AF877" s="314"/>
    </row>
    <row r="878" spans="2:32" s="147" customFormat="1" ht="14.15" customHeight="1" x14ac:dyDescent="0.35">
      <c r="B878" s="146"/>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314"/>
      <c r="AF878" s="314"/>
    </row>
    <row r="879" spans="2:32" s="147" customFormat="1" ht="14.15" customHeight="1" x14ac:dyDescent="0.35">
      <c r="B879" s="146"/>
      <c r="E879" s="314"/>
      <c r="F879" s="314"/>
      <c r="G879" s="314"/>
      <c r="H879" s="314"/>
      <c r="I879" s="314"/>
      <c r="J879" s="314"/>
      <c r="K879" s="314"/>
      <c r="L879" s="314"/>
      <c r="M879" s="314"/>
      <c r="N879" s="314"/>
      <c r="O879" s="314"/>
      <c r="P879" s="314"/>
      <c r="Q879" s="314"/>
      <c r="R879" s="314"/>
      <c r="S879" s="314"/>
      <c r="T879" s="314"/>
      <c r="U879" s="314"/>
      <c r="V879" s="314"/>
      <c r="W879" s="314"/>
      <c r="X879" s="314"/>
      <c r="Y879" s="314"/>
      <c r="Z879" s="314"/>
      <c r="AA879" s="314"/>
      <c r="AB879" s="314"/>
      <c r="AC879" s="314"/>
      <c r="AD879" s="314"/>
      <c r="AE879" s="314"/>
      <c r="AF879" s="314"/>
    </row>
    <row r="880" spans="2:32" s="147" customFormat="1" ht="14.15" customHeight="1" x14ac:dyDescent="0.35">
      <c r="B880" s="146"/>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314"/>
      <c r="AE880" s="314"/>
      <c r="AF880" s="314"/>
    </row>
    <row r="881" spans="2:32" s="147" customFormat="1" ht="14.15" customHeight="1" x14ac:dyDescent="0.35">
      <c r="B881" s="146"/>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4"/>
      <c r="AD881" s="314"/>
      <c r="AE881" s="314"/>
      <c r="AF881" s="314"/>
    </row>
    <row r="882" spans="2:32" s="147" customFormat="1" ht="14.15" customHeight="1" x14ac:dyDescent="0.35">
      <c r="B882" s="146"/>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4"/>
      <c r="AD882" s="314"/>
      <c r="AE882" s="314"/>
      <c r="AF882" s="314"/>
    </row>
    <row r="883" spans="2:32" s="147" customFormat="1" ht="14.15" customHeight="1" x14ac:dyDescent="0.35">
      <c r="B883" s="146"/>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4"/>
      <c r="AD883" s="314"/>
      <c r="AE883" s="314"/>
      <c r="AF883" s="314"/>
    </row>
    <row r="884" spans="2:32" s="147" customFormat="1" ht="14.15" customHeight="1" x14ac:dyDescent="0.35">
      <c r="B884" s="146"/>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4"/>
      <c r="AD884" s="314"/>
      <c r="AE884" s="314"/>
      <c r="AF884" s="314"/>
    </row>
    <row r="885" spans="2:32" s="147" customFormat="1" ht="14.15" customHeight="1" x14ac:dyDescent="0.35">
      <c r="B885" s="146"/>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4"/>
      <c r="AD885" s="314"/>
      <c r="AE885" s="314"/>
      <c r="AF885" s="314"/>
    </row>
    <row r="886" spans="2:32" s="147" customFormat="1" ht="14.15" customHeight="1" x14ac:dyDescent="0.35">
      <c r="B886" s="146"/>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314"/>
      <c r="AF886" s="314"/>
    </row>
    <row r="887" spans="2:32" s="147" customFormat="1" ht="14.15" customHeight="1" x14ac:dyDescent="0.35">
      <c r="B887" s="146"/>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314"/>
      <c r="AF887" s="314"/>
    </row>
    <row r="888" spans="2:32" s="147" customFormat="1" ht="14.15" customHeight="1" x14ac:dyDescent="0.35">
      <c r="B888" s="146"/>
      <c r="E888" s="314"/>
      <c r="F888" s="314"/>
      <c r="G888" s="314"/>
      <c r="H888" s="314"/>
      <c r="I888" s="314"/>
      <c r="J888" s="314"/>
      <c r="K888" s="314"/>
      <c r="L888" s="314"/>
      <c r="M888" s="314"/>
      <c r="N888" s="314"/>
      <c r="O888" s="314"/>
      <c r="P888" s="314"/>
      <c r="Q888" s="314"/>
      <c r="R888" s="314"/>
      <c r="S888" s="314"/>
      <c r="T888" s="314"/>
      <c r="U888" s="314"/>
      <c r="V888" s="314"/>
      <c r="W888" s="314"/>
      <c r="X888" s="314"/>
      <c r="Y888" s="314"/>
      <c r="Z888" s="314"/>
      <c r="AA888" s="314"/>
      <c r="AB888" s="314"/>
      <c r="AC888" s="314"/>
      <c r="AD888" s="314"/>
      <c r="AE888" s="314"/>
      <c r="AF888" s="314"/>
    </row>
    <row r="889" spans="2:32" s="147" customFormat="1" ht="14.15" customHeight="1" x14ac:dyDescent="0.35">
      <c r="B889" s="146"/>
      <c r="E889" s="314"/>
      <c r="F889" s="314"/>
      <c r="G889" s="314"/>
      <c r="H889" s="314"/>
      <c r="I889" s="314"/>
      <c r="J889" s="314"/>
      <c r="K889" s="314"/>
      <c r="L889" s="314"/>
      <c r="M889" s="314"/>
      <c r="N889" s="314"/>
      <c r="O889" s="314"/>
      <c r="P889" s="314"/>
      <c r="Q889" s="314"/>
      <c r="R889" s="314"/>
      <c r="S889" s="314"/>
      <c r="T889" s="314"/>
      <c r="U889" s="314"/>
      <c r="V889" s="314"/>
      <c r="W889" s="314"/>
      <c r="X889" s="314"/>
      <c r="Y889" s="314"/>
      <c r="Z889" s="314"/>
      <c r="AA889" s="314"/>
      <c r="AB889" s="314"/>
      <c r="AC889" s="314"/>
      <c r="AD889" s="314"/>
      <c r="AE889" s="314"/>
      <c r="AF889" s="314"/>
    </row>
    <row r="890" spans="2:32" s="147" customFormat="1" ht="14.15" customHeight="1" x14ac:dyDescent="0.35">
      <c r="B890" s="146"/>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c r="AA890" s="314"/>
      <c r="AB890" s="314"/>
      <c r="AC890" s="314"/>
      <c r="AD890" s="314"/>
      <c r="AE890" s="314"/>
      <c r="AF890" s="314"/>
    </row>
    <row r="891" spans="2:32" s="147" customFormat="1" ht="14.15" customHeight="1" x14ac:dyDescent="0.35">
      <c r="B891" s="146"/>
      <c r="E891" s="314"/>
      <c r="F891" s="314"/>
      <c r="G891" s="314"/>
      <c r="H891" s="314"/>
      <c r="I891" s="314"/>
      <c r="J891" s="314"/>
      <c r="K891" s="314"/>
      <c r="L891" s="314"/>
      <c r="M891" s="314"/>
      <c r="N891" s="314"/>
      <c r="O891" s="314"/>
      <c r="P891" s="314"/>
      <c r="Q891" s="314"/>
      <c r="R891" s="314"/>
      <c r="S891" s="314"/>
      <c r="T891" s="314"/>
      <c r="U891" s="314"/>
      <c r="V891" s="314"/>
      <c r="W891" s="314"/>
      <c r="X891" s="314"/>
      <c r="Y891" s="314"/>
      <c r="Z891" s="314"/>
      <c r="AA891" s="314"/>
      <c r="AB891" s="314"/>
      <c r="AC891" s="314"/>
      <c r="AD891" s="314"/>
      <c r="AE891" s="314"/>
      <c r="AF891" s="314"/>
    </row>
    <row r="892" spans="2:32" s="147" customFormat="1" ht="14.15" customHeight="1" x14ac:dyDescent="0.35">
      <c r="B892" s="146"/>
      <c r="E892" s="314"/>
      <c r="F892" s="314"/>
      <c r="G892" s="314"/>
      <c r="H892" s="314"/>
      <c r="I892" s="314"/>
      <c r="J892" s="314"/>
      <c r="K892" s="314"/>
      <c r="L892" s="314"/>
      <c r="M892" s="314"/>
      <c r="N892" s="314"/>
      <c r="O892" s="314"/>
      <c r="P892" s="314"/>
      <c r="Q892" s="314"/>
      <c r="R892" s="314"/>
      <c r="S892" s="314"/>
      <c r="T892" s="314"/>
      <c r="U892" s="314"/>
      <c r="V892" s="314"/>
      <c r="W892" s="314"/>
      <c r="X892" s="314"/>
      <c r="Y892" s="314"/>
      <c r="Z892" s="314"/>
      <c r="AA892" s="314"/>
      <c r="AB892" s="314"/>
      <c r="AC892" s="314"/>
      <c r="AD892" s="314"/>
      <c r="AE892" s="314"/>
      <c r="AF892" s="314"/>
    </row>
    <row r="893" spans="2:32" s="147" customFormat="1" ht="14.15" customHeight="1" x14ac:dyDescent="0.35">
      <c r="B893" s="146"/>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c r="AA893" s="314"/>
      <c r="AB893" s="314"/>
      <c r="AC893" s="314"/>
      <c r="AD893" s="314"/>
      <c r="AE893" s="314"/>
      <c r="AF893" s="314"/>
    </row>
    <row r="894" spans="2:32" s="147" customFormat="1" ht="14.15" customHeight="1" x14ac:dyDescent="0.35">
      <c r="B894" s="146"/>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c r="AA894" s="314"/>
      <c r="AB894" s="314"/>
      <c r="AC894" s="314"/>
      <c r="AD894" s="314"/>
      <c r="AE894" s="314"/>
      <c r="AF894" s="314"/>
    </row>
    <row r="895" spans="2:32" s="147" customFormat="1" ht="14.15" customHeight="1" x14ac:dyDescent="0.35">
      <c r="B895" s="146"/>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314"/>
      <c r="AE895" s="314"/>
      <c r="AF895" s="314"/>
    </row>
    <row r="896" spans="2:32" s="147" customFormat="1" ht="14.15" customHeight="1" x14ac:dyDescent="0.35">
      <c r="B896" s="146"/>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314"/>
      <c r="AF896" s="314"/>
    </row>
    <row r="897" spans="2:32" s="147" customFormat="1" ht="14.15" customHeight="1" x14ac:dyDescent="0.35">
      <c r="B897" s="146"/>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c r="AA897" s="314"/>
      <c r="AB897" s="314"/>
      <c r="AC897" s="314"/>
      <c r="AD897" s="314"/>
      <c r="AE897" s="314"/>
      <c r="AF897" s="314"/>
    </row>
    <row r="898" spans="2:32" s="147" customFormat="1" ht="14.15" customHeight="1" x14ac:dyDescent="0.35">
      <c r="B898" s="146"/>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314"/>
      <c r="AE898" s="314"/>
      <c r="AF898" s="314"/>
    </row>
    <row r="899" spans="2:32" s="147" customFormat="1" ht="14.15" customHeight="1" x14ac:dyDescent="0.35">
      <c r="B899" s="146"/>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4"/>
      <c r="AD899" s="314"/>
      <c r="AE899" s="314"/>
      <c r="AF899" s="314"/>
    </row>
    <row r="900" spans="2:32" s="147" customFormat="1" ht="14.15" customHeight="1" x14ac:dyDescent="0.35">
      <c r="B900" s="146"/>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c r="AA900" s="314"/>
      <c r="AB900" s="314"/>
      <c r="AC900" s="314"/>
      <c r="AD900" s="314"/>
      <c r="AE900" s="314"/>
      <c r="AF900" s="314"/>
    </row>
    <row r="901" spans="2:32" s="147" customFormat="1" ht="14.15" customHeight="1" x14ac:dyDescent="0.35">
      <c r="B901" s="146"/>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c r="AA901" s="314"/>
      <c r="AB901" s="314"/>
      <c r="AC901" s="314"/>
      <c r="AD901" s="314"/>
      <c r="AE901" s="314"/>
      <c r="AF901" s="314"/>
    </row>
    <row r="902" spans="2:32" s="147" customFormat="1" ht="14.15" customHeight="1" x14ac:dyDescent="0.35">
      <c r="B902" s="146"/>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c r="AA902" s="314"/>
      <c r="AB902" s="314"/>
      <c r="AC902" s="314"/>
      <c r="AD902" s="314"/>
      <c r="AE902" s="314"/>
      <c r="AF902" s="314"/>
    </row>
    <row r="903" spans="2:32" s="147" customFormat="1" ht="14.15" customHeight="1" x14ac:dyDescent="0.35">
      <c r="B903" s="146"/>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4"/>
      <c r="AD903" s="314"/>
      <c r="AE903" s="314"/>
      <c r="AF903" s="314"/>
    </row>
    <row r="904" spans="2:32" s="147" customFormat="1" ht="14.15" customHeight="1" x14ac:dyDescent="0.35">
      <c r="B904" s="146"/>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314"/>
      <c r="AE904" s="314"/>
      <c r="AF904" s="314"/>
    </row>
    <row r="905" spans="2:32" s="147" customFormat="1" ht="14.15" customHeight="1" x14ac:dyDescent="0.35">
      <c r="B905" s="146"/>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314"/>
      <c r="AF905" s="314"/>
    </row>
    <row r="906" spans="2:32" s="147" customFormat="1" ht="14.15" customHeight="1" x14ac:dyDescent="0.35">
      <c r="B906" s="146"/>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c r="AA906" s="314"/>
      <c r="AB906" s="314"/>
      <c r="AC906" s="314"/>
      <c r="AD906" s="314"/>
      <c r="AE906" s="314"/>
      <c r="AF906" s="314"/>
    </row>
    <row r="907" spans="2:32" s="147" customFormat="1" ht="14.15" customHeight="1" x14ac:dyDescent="0.35">
      <c r="B907" s="146"/>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c r="AA907" s="314"/>
      <c r="AB907" s="314"/>
      <c r="AC907" s="314"/>
      <c r="AD907" s="314"/>
      <c r="AE907" s="314"/>
      <c r="AF907" s="314"/>
    </row>
    <row r="908" spans="2:32" s="147" customFormat="1" ht="14.15" customHeight="1" x14ac:dyDescent="0.35">
      <c r="B908" s="146"/>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c r="AA908" s="314"/>
      <c r="AB908" s="314"/>
      <c r="AC908" s="314"/>
      <c r="AD908" s="314"/>
      <c r="AE908" s="314"/>
      <c r="AF908" s="314"/>
    </row>
    <row r="909" spans="2:32" s="147" customFormat="1" ht="14.15" customHeight="1" x14ac:dyDescent="0.35">
      <c r="B909" s="146"/>
      <c r="E909" s="314"/>
      <c r="F909" s="314"/>
      <c r="G909" s="314"/>
      <c r="H909" s="314"/>
      <c r="I909" s="314"/>
      <c r="J909" s="314"/>
      <c r="K909" s="314"/>
      <c r="L909" s="314"/>
      <c r="M909" s="314"/>
      <c r="N909" s="314"/>
      <c r="O909" s="314"/>
      <c r="P909" s="314"/>
      <c r="Q909" s="314"/>
      <c r="R909" s="314"/>
      <c r="S909" s="314"/>
      <c r="T909" s="314"/>
      <c r="U909" s="314"/>
      <c r="V909" s="314"/>
      <c r="W909" s="314"/>
      <c r="X909" s="314"/>
      <c r="Y909" s="314"/>
      <c r="Z909" s="314"/>
      <c r="AA909" s="314"/>
      <c r="AB909" s="314"/>
      <c r="AC909" s="314"/>
      <c r="AD909" s="314"/>
      <c r="AE909" s="314"/>
      <c r="AF909" s="314"/>
    </row>
    <row r="910" spans="2:32" s="147" customFormat="1" ht="14.15" customHeight="1" x14ac:dyDescent="0.35">
      <c r="B910" s="146"/>
      <c r="E910" s="314"/>
      <c r="F910" s="314"/>
      <c r="G910" s="314"/>
      <c r="H910" s="314"/>
      <c r="I910" s="314"/>
      <c r="J910" s="314"/>
      <c r="K910" s="314"/>
      <c r="L910" s="314"/>
      <c r="M910" s="314"/>
      <c r="N910" s="314"/>
      <c r="O910" s="314"/>
      <c r="P910" s="314"/>
      <c r="Q910" s="314"/>
      <c r="R910" s="314"/>
      <c r="S910" s="314"/>
      <c r="T910" s="314"/>
      <c r="U910" s="314"/>
      <c r="V910" s="314"/>
      <c r="W910" s="314"/>
      <c r="X910" s="314"/>
      <c r="Y910" s="314"/>
      <c r="Z910" s="314"/>
      <c r="AA910" s="314"/>
      <c r="AB910" s="314"/>
      <c r="AC910" s="314"/>
      <c r="AD910" s="314"/>
      <c r="AE910" s="314"/>
      <c r="AF910" s="314"/>
    </row>
    <row r="911" spans="2:32" s="147" customFormat="1" ht="14.15" customHeight="1" x14ac:dyDescent="0.35">
      <c r="B911" s="146"/>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c r="AA911" s="314"/>
      <c r="AB911" s="314"/>
      <c r="AC911" s="314"/>
      <c r="AD911" s="314"/>
      <c r="AE911" s="314"/>
      <c r="AF911" s="314"/>
    </row>
    <row r="912" spans="2:32" s="147" customFormat="1" ht="14.15" customHeight="1" x14ac:dyDescent="0.35">
      <c r="B912" s="146"/>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4"/>
      <c r="AD912" s="314"/>
      <c r="AE912" s="314"/>
      <c r="AF912" s="314"/>
    </row>
    <row r="913" spans="2:32" s="147" customFormat="1" ht="14.15" customHeight="1" x14ac:dyDescent="0.35">
      <c r="B913" s="146"/>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c r="AA913" s="314"/>
      <c r="AB913" s="314"/>
      <c r="AC913" s="314"/>
      <c r="AD913" s="314"/>
      <c r="AE913" s="314"/>
      <c r="AF913" s="314"/>
    </row>
    <row r="914" spans="2:32" s="147" customFormat="1" ht="14.15" customHeight="1" x14ac:dyDescent="0.35">
      <c r="B914" s="146"/>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c r="AA914" s="314"/>
      <c r="AB914" s="314"/>
      <c r="AC914" s="314"/>
      <c r="AD914" s="314"/>
      <c r="AE914" s="314"/>
      <c r="AF914" s="314"/>
    </row>
    <row r="915" spans="2:32" s="147" customFormat="1" ht="14.15" customHeight="1" x14ac:dyDescent="0.35">
      <c r="B915" s="146"/>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4"/>
      <c r="AD915" s="314"/>
      <c r="AE915" s="314"/>
      <c r="AF915" s="314"/>
    </row>
    <row r="916" spans="2:32" s="147" customFormat="1" ht="14.15" customHeight="1" x14ac:dyDescent="0.35">
      <c r="B916" s="146"/>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4"/>
      <c r="AD916" s="314"/>
      <c r="AE916" s="314"/>
      <c r="AF916" s="314"/>
    </row>
    <row r="917" spans="2:32" s="147" customFormat="1" ht="14.15" customHeight="1" x14ac:dyDescent="0.35">
      <c r="B917" s="146"/>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4"/>
      <c r="AD917" s="314"/>
      <c r="AE917" s="314"/>
      <c r="AF917" s="314"/>
    </row>
    <row r="918" spans="2:32" s="147" customFormat="1" ht="14.15" customHeight="1" x14ac:dyDescent="0.35">
      <c r="B918" s="146"/>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4"/>
      <c r="AD918" s="314"/>
      <c r="AE918" s="314"/>
      <c r="AF918" s="314"/>
    </row>
    <row r="919" spans="2:32" s="147" customFormat="1" ht="14.15" customHeight="1" x14ac:dyDescent="0.35">
      <c r="B919" s="146"/>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4"/>
      <c r="AD919" s="314"/>
      <c r="AE919" s="314"/>
      <c r="AF919" s="314"/>
    </row>
    <row r="920" spans="2:32" s="147" customFormat="1" ht="14.15" customHeight="1" x14ac:dyDescent="0.35">
      <c r="B920" s="146"/>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314"/>
      <c r="AE920" s="314"/>
      <c r="AF920" s="314"/>
    </row>
    <row r="921" spans="2:32" s="147" customFormat="1" ht="14.15" customHeight="1" x14ac:dyDescent="0.35">
      <c r="B921" s="146"/>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c r="AA921" s="314"/>
      <c r="AB921" s="314"/>
      <c r="AC921" s="314"/>
      <c r="AD921" s="314"/>
      <c r="AE921" s="314"/>
      <c r="AF921" s="314"/>
    </row>
    <row r="922" spans="2:32" s="147" customFormat="1" ht="14.15" customHeight="1" x14ac:dyDescent="0.35">
      <c r="B922" s="146"/>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4"/>
      <c r="AD922" s="314"/>
      <c r="AE922" s="314"/>
      <c r="AF922" s="314"/>
    </row>
    <row r="923" spans="2:32" s="147" customFormat="1" ht="14.15" customHeight="1" x14ac:dyDescent="0.35">
      <c r="B923" s="146"/>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c r="AA923" s="314"/>
      <c r="AB923" s="314"/>
      <c r="AC923" s="314"/>
      <c r="AD923" s="314"/>
      <c r="AE923" s="314"/>
      <c r="AF923" s="314"/>
    </row>
    <row r="924" spans="2:32" s="147" customFormat="1" ht="14.15" customHeight="1" x14ac:dyDescent="0.35">
      <c r="B924" s="146"/>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4"/>
      <c r="AD924" s="314"/>
      <c r="AE924" s="314"/>
      <c r="AF924" s="314"/>
    </row>
    <row r="925" spans="2:32" s="147" customFormat="1" ht="14.15" customHeight="1" x14ac:dyDescent="0.35">
      <c r="B925" s="146"/>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4"/>
      <c r="AD925" s="314"/>
      <c r="AE925" s="314"/>
      <c r="AF925" s="314"/>
    </row>
    <row r="926" spans="2:32" s="147" customFormat="1" ht="14.15" customHeight="1" x14ac:dyDescent="0.35">
      <c r="B926" s="146"/>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4"/>
      <c r="AD926" s="314"/>
      <c r="AE926" s="314"/>
      <c r="AF926" s="314"/>
    </row>
    <row r="927" spans="2:32" s="147" customFormat="1" ht="14.15" customHeight="1" x14ac:dyDescent="0.35">
      <c r="B927" s="146"/>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4"/>
      <c r="AD927" s="314"/>
      <c r="AE927" s="314"/>
      <c r="AF927" s="314"/>
    </row>
    <row r="928" spans="2:32" s="147" customFormat="1" ht="14.15" customHeight="1" x14ac:dyDescent="0.35">
      <c r="B928" s="146"/>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4"/>
      <c r="AD928" s="314"/>
      <c r="AE928" s="314"/>
      <c r="AF928" s="314"/>
    </row>
    <row r="929" spans="2:32" s="147" customFormat="1" ht="14.15" customHeight="1" x14ac:dyDescent="0.35">
      <c r="B929" s="146"/>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314"/>
      <c r="AE929" s="314"/>
      <c r="AF929" s="314"/>
    </row>
    <row r="930" spans="2:32" s="147" customFormat="1" ht="14.15" customHeight="1" x14ac:dyDescent="0.35">
      <c r="B930" s="146"/>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c r="AA930" s="314"/>
      <c r="AB930" s="314"/>
      <c r="AC930" s="314"/>
      <c r="AD930" s="314"/>
      <c r="AE930" s="314"/>
      <c r="AF930" s="314"/>
    </row>
    <row r="931" spans="2:32" s="147" customFormat="1" ht="14.15" customHeight="1" x14ac:dyDescent="0.35">
      <c r="B931" s="146"/>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c r="AA931" s="314"/>
      <c r="AB931" s="314"/>
      <c r="AC931" s="314"/>
      <c r="AD931" s="314"/>
      <c r="AE931" s="314"/>
      <c r="AF931" s="314"/>
    </row>
    <row r="932" spans="2:32" s="147" customFormat="1" ht="14.15" customHeight="1" x14ac:dyDescent="0.35">
      <c r="B932" s="146"/>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c r="AA932" s="314"/>
      <c r="AB932" s="314"/>
      <c r="AC932" s="314"/>
      <c r="AD932" s="314"/>
      <c r="AE932" s="314"/>
      <c r="AF932" s="314"/>
    </row>
    <row r="933" spans="2:32" s="147" customFormat="1" ht="14.15" customHeight="1" x14ac:dyDescent="0.35">
      <c r="B933" s="146"/>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c r="AA933" s="314"/>
      <c r="AB933" s="314"/>
      <c r="AC933" s="314"/>
      <c r="AD933" s="314"/>
      <c r="AE933" s="314"/>
      <c r="AF933" s="314"/>
    </row>
    <row r="934" spans="2:32" s="147" customFormat="1" ht="14.15" customHeight="1" x14ac:dyDescent="0.35">
      <c r="B934" s="146"/>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c r="AA934" s="314"/>
      <c r="AB934" s="314"/>
      <c r="AC934" s="314"/>
      <c r="AD934" s="314"/>
      <c r="AE934" s="314"/>
      <c r="AF934" s="314"/>
    </row>
    <row r="935" spans="2:32" s="147" customFormat="1" ht="14.15" customHeight="1" x14ac:dyDescent="0.35">
      <c r="B935" s="146"/>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c r="AA935" s="314"/>
      <c r="AB935" s="314"/>
      <c r="AC935" s="314"/>
      <c r="AD935" s="314"/>
      <c r="AE935" s="314"/>
      <c r="AF935" s="314"/>
    </row>
    <row r="936" spans="2:32" s="147" customFormat="1" ht="14.15" customHeight="1" x14ac:dyDescent="0.35">
      <c r="B936" s="146"/>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c r="AA936" s="314"/>
      <c r="AB936" s="314"/>
      <c r="AC936" s="314"/>
      <c r="AD936" s="314"/>
      <c r="AE936" s="314"/>
      <c r="AF936" s="314"/>
    </row>
    <row r="937" spans="2:32" s="147" customFormat="1" ht="14.15" customHeight="1" x14ac:dyDescent="0.35">
      <c r="B937" s="146"/>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4"/>
      <c r="AD937" s="314"/>
      <c r="AE937" s="314"/>
      <c r="AF937" s="314"/>
    </row>
    <row r="938" spans="2:32" s="147" customFormat="1" ht="14.15" customHeight="1" x14ac:dyDescent="0.35">
      <c r="B938" s="146"/>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314"/>
      <c r="AE938" s="314"/>
      <c r="AF938" s="314"/>
    </row>
    <row r="939" spans="2:32" s="147" customFormat="1" ht="14.15" customHeight="1" x14ac:dyDescent="0.35">
      <c r="B939" s="146"/>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314"/>
      <c r="AF939" s="314"/>
    </row>
    <row r="940" spans="2:32" s="147" customFormat="1" ht="14.15" customHeight="1" x14ac:dyDescent="0.35">
      <c r="B940" s="146"/>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c r="AA940" s="314"/>
      <c r="AB940" s="314"/>
      <c r="AC940" s="314"/>
      <c r="AD940" s="314"/>
      <c r="AE940" s="314"/>
      <c r="AF940" s="314"/>
    </row>
    <row r="941" spans="2:32" s="147" customFormat="1" ht="14.15" customHeight="1" x14ac:dyDescent="0.35">
      <c r="B941" s="146"/>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314"/>
      <c r="AE941" s="314"/>
      <c r="AF941" s="314"/>
    </row>
    <row r="942" spans="2:32" s="147" customFormat="1" ht="14.15" customHeight="1" x14ac:dyDescent="0.35">
      <c r="B942" s="146"/>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4"/>
      <c r="AD942" s="314"/>
      <c r="AE942" s="314"/>
      <c r="AF942" s="314"/>
    </row>
    <row r="943" spans="2:32" s="147" customFormat="1" ht="14.15" customHeight="1" x14ac:dyDescent="0.35">
      <c r="B943" s="146"/>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4"/>
      <c r="AD943" s="314"/>
      <c r="AE943" s="314"/>
      <c r="AF943" s="314"/>
    </row>
    <row r="944" spans="2:32" s="147" customFormat="1" ht="14.15" customHeight="1" x14ac:dyDescent="0.35">
      <c r="B944" s="146"/>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4"/>
      <c r="AD944" s="314"/>
      <c r="AE944" s="314"/>
      <c r="AF944" s="314"/>
    </row>
    <row r="945" spans="2:32" s="147" customFormat="1" ht="14.15" customHeight="1" x14ac:dyDescent="0.35">
      <c r="B945" s="146"/>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4"/>
      <c r="AD945" s="314"/>
      <c r="AE945" s="314"/>
      <c r="AF945" s="314"/>
    </row>
    <row r="946" spans="2:32" s="147" customFormat="1" ht="14.15" customHeight="1" x14ac:dyDescent="0.35">
      <c r="B946" s="146"/>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4"/>
      <c r="AD946" s="314"/>
      <c r="AE946" s="314"/>
      <c r="AF946" s="314"/>
    </row>
    <row r="947" spans="2:32" s="147" customFormat="1" ht="14.15" customHeight="1" x14ac:dyDescent="0.35">
      <c r="B947" s="146"/>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314"/>
      <c r="AE947" s="314"/>
      <c r="AF947" s="314"/>
    </row>
    <row r="948" spans="2:32" s="147" customFormat="1" ht="14.15" customHeight="1" x14ac:dyDescent="0.35">
      <c r="B948" s="146"/>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314"/>
      <c r="AF948" s="314"/>
    </row>
    <row r="949" spans="2:32" s="147" customFormat="1" ht="14.15" customHeight="1" x14ac:dyDescent="0.35">
      <c r="B949" s="146"/>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c r="AA949" s="314"/>
      <c r="AB949" s="314"/>
      <c r="AC949" s="314"/>
      <c r="AD949" s="314"/>
      <c r="AE949" s="314"/>
      <c r="AF949" s="314"/>
    </row>
    <row r="950" spans="2:32" s="147" customFormat="1" ht="14.15" customHeight="1" x14ac:dyDescent="0.35">
      <c r="B950" s="146"/>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c r="AA950" s="314"/>
      <c r="AB950" s="314"/>
      <c r="AC950" s="314"/>
      <c r="AD950" s="314"/>
      <c r="AE950" s="314"/>
      <c r="AF950" s="314"/>
    </row>
    <row r="951" spans="2:32" s="147" customFormat="1" ht="14.15" customHeight="1" x14ac:dyDescent="0.35">
      <c r="B951" s="146"/>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314"/>
      <c r="AE951" s="314"/>
      <c r="AF951" s="314"/>
    </row>
    <row r="952" spans="2:32" s="147" customFormat="1" ht="14.15" customHeight="1" x14ac:dyDescent="0.35">
      <c r="B952" s="146"/>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c r="AA952" s="314"/>
      <c r="AB952" s="314"/>
      <c r="AC952" s="314"/>
      <c r="AD952" s="314"/>
      <c r="AE952" s="314"/>
      <c r="AF952" s="314"/>
    </row>
    <row r="953" spans="2:32" s="147" customFormat="1" ht="14.15" customHeight="1" x14ac:dyDescent="0.35">
      <c r="B953" s="146"/>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c r="AA953" s="314"/>
      <c r="AB953" s="314"/>
      <c r="AC953" s="314"/>
      <c r="AD953" s="314"/>
      <c r="AE953" s="314"/>
      <c r="AF953" s="314"/>
    </row>
    <row r="954" spans="2:32" s="147" customFormat="1" ht="14.15" customHeight="1" x14ac:dyDescent="0.35">
      <c r="B954" s="146"/>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314"/>
      <c r="AE954" s="314"/>
      <c r="AF954" s="314"/>
    </row>
    <row r="955" spans="2:32" s="147" customFormat="1" ht="14.15" customHeight="1" x14ac:dyDescent="0.35">
      <c r="B955" s="146"/>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4"/>
      <c r="AD955" s="314"/>
      <c r="AE955" s="314"/>
      <c r="AF955" s="314"/>
    </row>
    <row r="956" spans="2:32" s="147" customFormat="1" ht="14.15" customHeight="1" x14ac:dyDescent="0.35">
      <c r="B956" s="146"/>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4"/>
      <c r="AD956" s="314"/>
      <c r="AE956" s="314"/>
      <c r="AF956" s="314"/>
    </row>
    <row r="957" spans="2:32" s="147" customFormat="1" ht="14.15" customHeight="1" x14ac:dyDescent="0.35">
      <c r="B957" s="146"/>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4"/>
      <c r="AD957" s="314"/>
      <c r="AE957" s="314"/>
      <c r="AF957" s="314"/>
    </row>
    <row r="958" spans="2:32" s="147" customFormat="1" ht="14.15" customHeight="1" x14ac:dyDescent="0.35">
      <c r="B958" s="146"/>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4"/>
      <c r="AD958" s="314"/>
      <c r="AE958" s="314"/>
      <c r="AF958" s="314"/>
    </row>
    <row r="959" spans="2:32" s="147" customFormat="1" ht="14.15" customHeight="1" x14ac:dyDescent="0.35">
      <c r="B959" s="146"/>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4"/>
      <c r="AD959" s="314"/>
      <c r="AE959" s="314"/>
      <c r="AF959" s="314"/>
    </row>
    <row r="960" spans="2:32" s="147" customFormat="1" ht="14.15" customHeight="1" x14ac:dyDescent="0.35">
      <c r="B960" s="146"/>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4"/>
      <c r="AD960" s="314"/>
      <c r="AE960" s="314"/>
      <c r="AF960" s="314"/>
    </row>
    <row r="961" spans="2:32" s="147" customFormat="1" ht="14.15" customHeight="1" x14ac:dyDescent="0.35">
      <c r="B961" s="146"/>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4"/>
      <c r="AD961" s="314"/>
      <c r="AE961" s="314"/>
      <c r="AF961" s="314"/>
    </row>
    <row r="962" spans="2:32" s="147" customFormat="1" ht="14.15" customHeight="1" x14ac:dyDescent="0.35">
      <c r="B962" s="146"/>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4"/>
      <c r="AD962" s="314"/>
      <c r="AE962" s="314"/>
      <c r="AF962" s="314"/>
    </row>
    <row r="963" spans="2:32" s="147" customFormat="1" ht="14.15" customHeight="1" x14ac:dyDescent="0.35">
      <c r="B963" s="146"/>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4"/>
      <c r="AD963" s="314"/>
      <c r="AE963" s="314"/>
      <c r="AF963" s="314"/>
    </row>
    <row r="964" spans="2:32" s="147" customFormat="1" ht="14.15" customHeight="1" x14ac:dyDescent="0.35">
      <c r="B964" s="146"/>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4"/>
      <c r="AD964" s="314"/>
      <c r="AE964" s="314"/>
      <c r="AF964" s="314"/>
    </row>
    <row r="965" spans="2:32" s="147" customFormat="1" ht="14.15" customHeight="1" x14ac:dyDescent="0.35">
      <c r="B965" s="146"/>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4"/>
      <c r="AD965" s="314"/>
      <c r="AE965" s="314"/>
      <c r="AF965" s="314"/>
    </row>
    <row r="966" spans="2:32" s="147" customFormat="1" ht="14.15" customHeight="1" x14ac:dyDescent="0.35">
      <c r="B966" s="146"/>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4"/>
      <c r="AD966" s="314"/>
      <c r="AE966" s="314"/>
      <c r="AF966" s="314"/>
    </row>
    <row r="967" spans="2:32" s="147" customFormat="1" ht="14.15" customHeight="1" x14ac:dyDescent="0.35">
      <c r="B967" s="146"/>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4"/>
      <c r="AD967" s="314"/>
      <c r="AE967" s="314"/>
      <c r="AF967" s="314"/>
    </row>
    <row r="968" spans="2:32" s="147" customFormat="1" ht="14.15" customHeight="1" x14ac:dyDescent="0.35">
      <c r="B968" s="146"/>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4"/>
      <c r="AD968" s="314"/>
      <c r="AE968" s="314"/>
      <c r="AF968" s="314"/>
    </row>
    <row r="969" spans="2:32" s="147" customFormat="1" ht="14.15" customHeight="1" x14ac:dyDescent="0.35">
      <c r="B969" s="146"/>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4"/>
      <c r="AD969" s="314"/>
      <c r="AE969" s="314"/>
      <c r="AF969" s="314"/>
    </row>
    <row r="970" spans="2:32" s="147" customFormat="1" ht="14.15" customHeight="1" x14ac:dyDescent="0.35">
      <c r="B970" s="146"/>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4"/>
      <c r="AD970" s="314"/>
      <c r="AE970" s="314"/>
      <c r="AF970" s="314"/>
    </row>
    <row r="971" spans="2:32" s="147" customFormat="1" ht="14.15" customHeight="1" x14ac:dyDescent="0.35">
      <c r="B971" s="146"/>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4"/>
      <c r="AD971" s="314"/>
      <c r="AE971" s="314"/>
      <c r="AF971" s="314"/>
    </row>
    <row r="972" spans="2:32" s="147" customFormat="1" ht="14.15" customHeight="1" x14ac:dyDescent="0.35">
      <c r="B972" s="146"/>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4"/>
      <c r="AD972" s="314"/>
      <c r="AE972" s="314"/>
      <c r="AF972" s="314"/>
    </row>
    <row r="973" spans="2:32" s="147" customFormat="1" ht="14.15" customHeight="1" x14ac:dyDescent="0.35">
      <c r="B973" s="146"/>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4"/>
      <c r="AD973" s="314"/>
      <c r="AE973" s="314"/>
      <c r="AF973" s="314"/>
    </row>
    <row r="974" spans="2:32" s="147" customFormat="1" ht="14.15" customHeight="1" x14ac:dyDescent="0.35">
      <c r="B974" s="146"/>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4"/>
      <c r="AD974" s="314"/>
      <c r="AE974" s="314"/>
      <c r="AF974" s="314"/>
    </row>
    <row r="975" spans="2:32" s="147" customFormat="1" ht="14.15" customHeight="1" x14ac:dyDescent="0.35">
      <c r="B975" s="146"/>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4"/>
      <c r="AD975" s="314"/>
      <c r="AE975" s="314"/>
      <c r="AF975" s="314"/>
    </row>
    <row r="976" spans="2:32" s="147" customFormat="1" ht="14.15" customHeight="1" x14ac:dyDescent="0.35">
      <c r="B976" s="146"/>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4"/>
      <c r="AD976" s="314"/>
      <c r="AE976" s="314"/>
      <c r="AF976" s="314"/>
    </row>
    <row r="977" spans="2:32" s="147" customFormat="1" ht="14.15" customHeight="1" x14ac:dyDescent="0.35">
      <c r="B977" s="146"/>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c r="AA977" s="314"/>
      <c r="AB977" s="314"/>
      <c r="AC977" s="314"/>
      <c r="AD977" s="314"/>
      <c r="AE977" s="314"/>
      <c r="AF977" s="314"/>
    </row>
    <row r="978" spans="2:32" s="147" customFormat="1" ht="14.15" customHeight="1" x14ac:dyDescent="0.35">
      <c r="B978" s="146"/>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c r="AA978" s="314"/>
      <c r="AB978" s="314"/>
      <c r="AC978" s="314"/>
      <c r="AD978" s="314"/>
      <c r="AE978" s="314"/>
      <c r="AF978" s="314"/>
    </row>
    <row r="979" spans="2:32" s="147" customFormat="1" ht="14.15" customHeight="1" x14ac:dyDescent="0.35">
      <c r="B979" s="146"/>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c r="AA979" s="314"/>
      <c r="AB979" s="314"/>
      <c r="AC979" s="314"/>
      <c r="AD979" s="314"/>
      <c r="AE979" s="314"/>
      <c r="AF979" s="314"/>
    </row>
    <row r="980" spans="2:32" s="147" customFormat="1" ht="14.15" customHeight="1" x14ac:dyDescent="0.35">
      <c r="B980" s="146"/>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c r="AA980" s="314"/>
      <c r="AB980" s="314"/>
      <c r="AC980" s="314"/>
      <c r="AD980" s="314"/>
      <c r="AE980" s="314"/>
      <c r="AF980" s="314"/>
    </row>
    <row r="981" spans="2:32" s="147" customFormat="1" ht="14.15" customHeight="1" x14ac:dyDescent="0.35">
      <c r="B981" s="146"/>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4"/>
      <c r="AD981" s="314"/>
      <c r="AE981" s="314"/>
      <c r="AF981" s="314"/>
    </row>
    <row r="982" spans="2:32" s="147" customFormat="1" ht="14.15" customHeight="1" x14ac:dyDescent="0.35">
      <c r="B982" s="146"/>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4"/>
      <c r="AD982" s="314"/>
      <c r="AE982" s="314"/>
      <c r="AF982" s="314"/>
    </row>
    <row r="983" spans="2:32" s="147" customFormat="1" ht="14.15" customHeight="1" x14ac:dyDescent="0.35">
      <c r="B983" s="146"/>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4"/>
      <c r="AD983" s="314"/>
      <c r="AE983" s="314"/>
      <c r="AF983" s="314"/>
    </row>
    <row r="984" spans="2:32" s="147" customFormat="1" ht="14.15" customHeight="1" x14ac:dyDescent="0.35">
      <c r="B984" s="146"/>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4"/>
      <c r="AD984" s="314"/>
      <c r="AE984" s="314"/>
      <c r="AF984" s="314"/>
    </row>
    <row r="985" spans="2:32" s="147" customFormat="1" ht="14.15" customHeight="1" x14ac:dyDescent="0.35">
      <c r="B985" s="146"/>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4"/>
      <c r="AD985" s="314"/>
      <c r="AE985" s="314"/>
      <c r="AF985" s="314"/>
    </row>
    <row r="986" spans="2:32" s="147" customFormat="1" ht="14.15" customHeight="1" x14ac:dyDescent="0.35">
      <c r="B986" s="146"/>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c r="AA986" s="314"/>
      <c r="AB986" s="314"/>
      <c r="AC986" s="314"/>
      <c r="AD986" s="314"/>
      <c r="AE986" s="314"/>
      <c r="AF986" s="314"/>
    </row>
    <row r="987" spans="2:32" s="147" customFormat="1" ht="14.15" customHeight="1" x14ac:dyDescent="0.35">
      <c r="B987" s="146"/>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c r="AA987" s="314"/>
      <c r="AB987" s="314"/>
      <c r="AC987" s="314"/>
      <c r="AD987" s="314"/>
      <c r="AE987" s="314"/>
      <c r="AF987" s="314"/>
    </row>
    <row r="988" spans="2:32" s="147" customFormat="1" ht="14.15" customHeight="1" x14ac:dyDescent="0.35">
      <c r="B988" s="146"/>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c r="AA988" s="314"/>
      <c r="AB988" s="314"/>
      <c r="AC988" s="314"/>
      <c r="AD988" s="314"/>
      <c r="AE988" s="314"/>
      <c r="AF988" s="314"/>
    </row>
    <row r="989" spans="2:32" s="147" customFormat="1" ht="14.15" customHeight="1" x14ac:dyDescent="0.35">
      <c r="B989" s="146"/>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c r="AA989" s="314"/>
      <c r="AB989" s="314"/>
      <c r="AC989" s="314"/>
      <c r="AD989" s="314"/>
      <c r="AE989" s="314"/>
      <c r="AF989" s="314"/>
    </row>
    <row r="990" spans="2:32" s="147" customFormat="1" ht="14.15" customHeight="1" x14ac:dyDescent="0.35">
      <c r="B990" s="146"/>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4"/>
      <c r="AD990" s="314"/>
      <c r="AE990" s="314"/>
      <c r="AF990" s="314"/>
    </row>
    <row r="991" spans="2:32" s="147" customFormat="1" ht="14.15" customHeight="1" x14ac:dyDescent="0.35">
      <c r="B991" s="146"/>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c r="AA991" s="314"/>
      <c r="AB991" s="314"/>
      <c r="AC991" s="314"/>
      <c r="AD991" s="314"/>
      <c r="AE991" s="314"/>
      <c r="AF991" s="314"/>
    </row>
    <row r="992" spans="2:32" s="147" customFormat="1" ht="14.15" customHeight="1" x14ac:dyDescent="0.35">
      <c r="B992" s="146"/>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c r="AA992" s="314"/>
      <c r="AB992" s="314"/>
      <c r="AC992" s="314"/>
      <c r="AD992" s="314"/>
      <c r="AE992" s="314"/>
      <c r="AF992" s="314"/>
    </row>
    <row r="993" spans="2:32" s="147" customFormat="1" ht="14.15" customHeight="1" x14ac:dyDescent="0.35">
      <c r="B993" s="146"/>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4"/>
      <c r="AD993" s="314"/>
      <c r="AE993" s="314"/>
      <c r="AF993" s="314"/>
    </row>
    <row r="994" spans="2:32" s="147" customFormat="1" ht="14.15" customHeight="1" x14ac:dyDescent="0.35">
      <c r="B994" s="146"/>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4"/>
      <c r="AD994" s="314"/>
      <c r="AE994" s="314"/>
      <c r="AF994" s="314"/>
    </row>
    <row r="995" spans="2:32" s="147" customFormat="1" ht="14.15" customHeight="1" x14ac:dyDescent="0.35">
      <c r="B995" s="146"/>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4"/>
      <c r="AD995" s="314"/>
      <c r="AE995" s="314"/>
      <c r="AF995" s="314"/>
    </row>
    <row r="996" spans="2:32" s="147" customFormat="1" ht="14.15" customHeight="1" x14ac:dyDescent="0.35">
      <c r="B996" s="146"/>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4"/>
      <c r="AD996" s="314"/>
      <c r="AE996" s="314"/>
      <c r="AF996" s="314"/>
    </row>
    <row r="997" spans="2:32" s="147" customFormat="1" ht="14.15" customHeight="1" x14ac:dyDescent="0.35">
      <c r="B997" s="146"/>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4"/>
      <c r="AD997" s="314"/>
      <c r="AE997" s="314"/>
      <c r="AF997" s="314"/>
    </row>
    <row r="998" spans="2:32" s="147" customFormat="1" ht="14.15" customHeight="1" x14ac:dyDescent="0.35">
      <c r="B998" s="146"/>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314"/>
      <c r="AE998" s="314"/>
      <c r="AF998" s="314"/>
    </row>
    <row r="999" spans="2:32" s="147" customFormat="1" ht="14.15" customHeight="1" x14ac:dyDescent="0.35">
      <c r="B999" s="146"/>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c r="AA999" s="314"/>
      <c r="AB999" s="314"/>
      <c r="AC999" s="314"/>
      <c r="AD999" s="314"/>
      <c r="AE999" s="314"/>
      <c r="AF999" s="314"/>
    </row>
    <row r="1000" spans="2:32" s="147" customFormat="1" ht="14.15" customHeight="1" x14ac:dyDescent="0.35">
      <c r="B1000" s="146"/>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4"/>
      <c r="AD1000" s="314"/>
      <c r="AE1000" s="314"/>
      <c r="AF1000" s="314"/>
    </row>
    <row r="1001" spans="2:32" s="147" customFormat="1" ht="14.15" customHeight="1" x14ac:dyDescent="0.35">
      <c r="B1001" s="146"/>
      <c r="E1001" s="314"/>
      <c r="F1001" s="314"/>
      <c r="G1001" s="314"/>
      <c r="H1001" s="314"/>
      <c r="I1001" s="314"/>
      <c r="J1001" s="314"/>
      <c r="K1001" s="314"/>
      <c r="L1001" s="314"/>
      <c r="M1001" s="314"/>
      <c r="N1001" s="314"/>
      <c r="O1001" s="314"/>
      <c r="P1001" s="314"/>
      <c r="Q1001" s="314"/>
      <c r="R1001" s="314"/>
      <c r="S1001" s="314"/>
      <c r="T1001" s="314"/>
      <c r="U1001" s="314"/>
      <c r="V1001" s="314"/>
      <c r="W1001" s="314"/>
      <c r="X1001" s="314"/>
      <c r="Y1001" s="314"/>
      <c r="Z1001" s="314"/>
      <c r="AA1001" s="314"/>
      <c r="AB1001" s="314"/>
      <c r="AC1001" s="314"/>
      <c r="AD1001" s="314"/>
      <c r="AE1001" s="314"/>
      <c r="AF1001" s="314"/>
    </row>
    <row r="1002" spans="2:32" s="147" customFormat="1" ht="14.15" customHeight="1" x14ac:dyDescent="0.35">
      <c r="B1002" s="146"/>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4"/>
      <c r="AD1002" s="314"/>
      <c r="AE1002" s="314"/>
      <c r="AF1002" s="314"/>
    </row>
    <row r="1003" spans="2:32" s="147" customFormat="1" ht="14.15" customHeight="1" x14ac:dyDescent="0.35">
      <c r="B1003" s="146"/>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4"/>
      <c r="AD1003" s="314"/>
      <c r="AE1003" s="314"/>
      <c r="AF1003" s="314"/>
    </row>
    <row r="1004" spans="2:32" s="147" customFormat="1" ht="14.15" customHeight="1" x14ac:dyDescent="0.35">
      <c r="B1004" s="146"/>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4"/>
      <c r="AD1004" s="314"/>
      <c r="AE1004" s="314"/>
      <c r="AF1004" s="314"/>
    </row>
    <row r="1005" spans="2:32" s="147" customFormat="1" ht="14.15" customHeight="1" x14ac:dyDescent="0.35">
      <c r="B1005" s="146"/>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4"/>
      <c r="AD1005" s="314"/>
      <c r="AE1005" s="314"/>
      <c r="AF1005" s="314"/>
    </row>
    <row r="1006" spans="2:32" s="147" customFormat="1" ht="14.15" customHeight="1" x14ac:dyDescent="0.35">
      <c r="B1006" s="146"/>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4"/>
      <c r="AD1006" s="314"/>
      <c r="AE1006" s="314"/>
      <c r="AF1006" s="314"/>
    </row>
    <row r="1007" spans="2:32" s="147" customFormat="1" ht="14.15" customHeight="1" x14ac:dyDescent="0.35">
      <c r="B1007" s="146"/>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314"/>
      <c r="AE1007" s="314"/>
      <c r="AF1007" s="314"/>
    </row>
    <row r="1008" spans="2:32" s="147" customFormat="1" ht="14.15" customHeight="1" x14ac:dyDescent="0.35">
      <c r="B1008" s="146"/>
      <c r="E1008" s="314"/>
      <c r="F1008" s="314"/>
      <c r="G1008" s="314"/>
      <c r="H1008" s="314"/>
      <c r="I1008" s="314"/>
      <c r="J1008" s="314"/>
      <c r="K1008" s="314"/>
      <c r="L1008" s="314"/>
      <c r="M1008" s="314"/>
      <c r="N1008" s="314"/>
      <c r="O1008" s="314"/>
      <c r="P1008" s="314"/>
      <c r="Q1008" s="314"/>
      <c r="R1008" s="314"/>
      <c r="S1008" s="314"/>
      <c r="T1008" s="314"/>
      <c r="U1008" s="314"/>
      <c r="V1008" s="314"/>
      <c r="W1008" s="314"/>
      <c r="X1008" s="314"/>
      <c r="Y1008" s="314"/>
      <c r="Z1008" s="314"/>
      <c r="AA1008" s="314"/>
      <c r="AB1008" s="314"/>
      <c r="AC1008" s="314"/>
      <c r="AD1008" s="314"/>
      <c r="AE1008" s="314"/>
      <c r="AF1008" s="314"/>
    </row>
    <row r="1009" spans="2:32" s="147" customFormat="1" ht="14.15" customHeight="1" x14ac:dyDescent="0.35">
      <c r="B1009" s="146"/>
      <c r="E1009" s="314"/>
      <c r="F1009" s="314"/>
      <c r="G1009" s="314"/>
      <c r="H1009" s="314"/>
      <c r="I1009" s="314"/>
      <c r="J1009" s="314"/>
      <c r="K1009" s="314"/>
      <c r="L1009" s="314"/>
      <c r="M1009" s="314"/>
      <c r="N1009" s="314"/>
      <c r="O1009" s="314"/>
      <c r="P1009" s="314"/>
      <c r="Q1009" s="314"/>
      <c r="R1009" s="314"/>
      <c r="S1009" s="314"/>
      <c r="T1009" s="314"/>
      <c r="U1009" s="314"/>
      <c r="V1009" s="314"/>
      <c r="W1009" s="314"/>
      <c r="X1009" s="314"/>
      <c r="Y1009" s="314"/>
      <c r="Z1009" s="314"/>
      <c r="AA1009" s="314"/>
      <c r="AB1009" s="314"/>
      <c r="AC1009" s="314"/>
      <c r="AD1009" s="314"/>
      <c r="AE1009" s="314"/>
      <c r="AF1009" s="314"/>
    </row>
    <row r="1010" spans="2:32" s="147" customFormat="1" ht="14.15" customHeight="1" x14ac:dyDescent="0.35">
      <c r="B1010" s="146"/>
      <c r="E1010" s="314"/>
      <c r="F1010" s="314"/>
      <c r="G1010" s="314"/>
      <c r="H1010" s="314"/>
      <c r="I1010" s="314"/>
      <c r="J1010" s="314"/>
      <c r="K1010" s="314"/>
      <c r="L1010" s="314"/>
      <c r="M1010" s="314"/>
      <c r="N1010" s="314"/>
      <c r="O1010" s="314"/>
      <c r="P1010" s="314"/>
      <c r="Q1010" s="314"/>
      <c r="R1010" s="314"/>
      <c r="S1010" s="314"/>
      <c r="T1010" s="314"/>
      <c r="U1010" s="314"/>
      <c r="V1010" s="314"/>
      <c r="W1010" s="314"/>
      <c r="X1010" s="314"/>
      <c r="Y1010" s="314"/>
      <c r="Z1010" s="314"/>
      <c r="AA1010" s="314"/>
      <c r="AB1010" s="314"/>
      <c r="AC1010" s="314"/>
      <c r="AD1010" s="314"/>
      <c r="AE1010" s="314"/>
      <c r="AF1010" s="314"/>
    </row>
    <row r="1011" spans="2:32" s="147" customFormat="1" ht="14.15" customHeight="1" x14ac:dyDescent="0.35">
      <c r="B1011" s="146"/>
      <c r="E1011" s="314"/>
      <c r="F1011" s="314"/>
      <c r="G1011" s="314"/>
      <c r="H1011" s="314"/>
      <c r="I1011" s="314"/>
      <c r="J1011" s="314"/>
      <c r="K1011" s="314"/>
      <c r="L1011" s="314"/>
      <c r="M1011" s="314"/>
      <c r="N1011" s="314"/>
      <c r="O1011" s="314"/>
      <c r="P1011" s="314"/>
      <c r="Q1011" s="314"/>
      <c r="R1011" s="314"/>
      <c r="S1011" s="314"/>
      <c r="T1011" s="314"/>
      <c r="U1011" s="314"/>
      <c r="V1011" s="314"/>
      <c r="W1011" s="314"/>
      <c r="X1011" s="314"/>
      <c r="Y1011" s="314"/>
      <c r="Z1011" s="314"/>
      <c r="AA1011" s="314"/>
      <c r="AB1011" s="314"/>
      <c r="AC1011" s="314"/>
      <c r="AD1011" s="314"/>
      <c r="AE1011" s="314"/>
      <c r="AF1011" s="314"/>
    </row>
    <row r="1012" spans="2:32" s="147" customFormat="1" ht="14.15" customHeight="1" x14ac:dyDescent="0.35">
      <c r="B1012" s="146"/>
      <c r="E1012" s="314"/>
      <c r="F1012" s="314"/>
      <c r="G1012" s="314"/>
      <c r="H1012" s="314"/>
      <c r="I1012" s="314"/>
      <c r="J1012" s="314"/>
      <c r="K1012" s="314"/>
      <c r="L1012" s="314"/>
      <c r="M1012" s="314"/>
      <c r="N1012" s="314"/>
      <c r="O1012" s="314"/>
      <c r="P1012" s="314"/>
      <c r="Q1012" s="314"/>
      <c r="R1012" s="314"/>
      <c r="S1012" s="314"/>
      <c r="T1012" s="314"/>
      <c r="U1012" s="314"/>
      <c r="V1012" s="314"/>
      <c r="W1012" s="314"/>
      <c r="X1012" s="314"/>
      <c r="Y1012" s="314"/>
      <c r="Z1012" s="314"/>
      <c r="AA1012" s="314"/>
      <c r="AB1012" s="314"/>
      <c r="AC1012" s="314"/>
      <c r="AD1012" s="314"/>
      <c r="AE1012" s="314"/>
      <c r="AF1012" s="314"/>
    </row>
    <row r="1013" spans="2:32" s="147" customFormat="1" ht="14.15" customHeight="1" x14ac:dyDescent="0.35">
      <c r="B1013" s="146"/>
      <c r="E1013" s="314"/>
      <c r="F1013" s="314"/>
      <c r="G1013" s="314"/>
      <c r="H1013" s="314"/>
      <c r="I1013" s="314"/>
      <c r="J1013" s="314"/>
      <c r="K1013" s="314"/>
      <c r="L1013" s="314"/>
      <c r="M1013" s="314"/>
      <c r="N1013" s="314"/>
      <c r="O1013" s="314"/>
      <c r="P1013" s="314"/>
      <c r="Q1013" s="314"/>
      <c r="R1013" s="314"/>
      <c r="S1013" s="314"/>
      <c r="T1013" s="314"/>
      <c r="U1013" s="314"/>
      <c r="V1013" s="314"/>
      <c r="W1013" s="314"/>
      <c r="X1013" s="314"/>
      <c r="Y1013" s="314"/>
      <c r="Z1013" s="314"/>
      <c r="AA1013" s="314"/>
      <c r="AB1013" s="314"/>
      <c r="AC1013" s="314"/>
      <c r="AD1013" s="314"/>
      <c r="AE1013" s="314"/>
      <c r="AF1013" s="314"/>
    </row>
    <row r="1014" spans="2:32" s="147" customFormat="1" ht="14.15" customHeight="1" x14ac:dyDescent="0.35">
      <c r="B1014" s="146"/>
      <c r="E1014" s="314"/>
      <c r="F1014" s="314"/>
      <c r="G1014" s="314"/>
      <c r="H1014" s="314"/>
      <c r="I1014" s="314"/>
      <c r="J1014" s="314"/>
      <c r="K1014" s="314"/>
      <c r="L1014" s="314"/>
      <c r="M1014" s="314"/>
      <c r="N1014" s="314"/>
      <c r="O1014" s="314"/>
      <c r="P1014" s="314"/>
      <c r="Q1014" s="314"/>
      <c r="R1014" s="314"/>
      <c r="S1014" s="314"/>
      <c r="T1014" s="314"/>
      <c r="U1014" s="314"/>
      <c r="V1014" s="314"/>
      <c r="W1014" s="314"/>
      <c r="X1014" s="314"/>
      <c r="Y1014" s="314"/>
      <c r="Z1014" s="314"/>
      <c r="AA1014" s="314"/>
      <c r="AB1014" s="314"/>
      <c r="AC1014" s="314"/>
      <c r="AD1014" s="314"/>
      <c r="AE1014" s="314"/>
      <c r="AF1014" s="314"/>
    </row>
    <row r="1015" spans="2:32" s="147" customFormat="1" ht="14.15" customHeight="1" x14ac:dyDescent="0.35">
      <c r="B1015" s="146"/>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4"/>
      <c r="AD1015" s="314"/>
      <c r="AE1015" s="314"/>
      <c r="AF1015" s="314"/>
    </row>
    <row r="1016" spans="2:32" s="147" customFormat="1" ht="14.15" customHeight="1" x14ac:dyDescent="0.35">
      <c r="B1016" s="146"/>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4"/>
      <c r="AD1016" s="314"/>
      <c r="AE1016" s="314"/>
      <c r="AF1016" s="314"/>
    </row>
    <row r="1017" spans="2:32" s="147" customFormat="1" ht="14.15" customHeight="1" x14ac:dyDescent="0.35">
      <c r="B1017" s="146"/>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314"/>
      <c r="AE1017" s="314"/>
      <c r="AF1017" s="314"/>
    </row>
    <row r="1018" spans="2:32" s="147" customFormat="1" ht="14.15" customHeight="1" x14ac:dyDescent="0.35">
      <c r="B1018" s="146"/>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314"/>
      <c r="AF1018" s="314"/>
    </row>
    <row r="1019" spans="2:32" s="147" customFormat="1" ht="14.15" customHeight="1" x14ac:dyDescent="0.35">
      <c r="B1019" s="146"/>
      <c r="E1019" s="314"/>
      <c r="F1019" s="314"/>
      <c r="G1019" s="314"/>
      <c r="H1019" s="314"/>
      <c r="I1019" s="314"/>
      <c r="J1019" s="314"/>
      <c r="K1019" s="314"/>
      <c r="L1019" s="314"/>
      <c r="M1019" s="314"/>
      <c r="N1019" s="314"/>
      <c r="O1019" s="314"/>
      <c r="P1019" s="314"/>
      <c r="Q1019" s="314"/>
      <c r="R1019" s="314"/>
      <c r="S1019" s="314"/>
      <c r="T1019" s="314"/>
      <c r="U1019" s="314"/>
      <c r="V1019" s="314"/>
      <c r="W1019" s="314"/>
      <c r="X1019" s="314"/>
      <c r="Y1019" s="314"/>
      <c r="Z1019" s="314"/>
      <c r="AA1019" s="314"/>
      <c r="AB1019" s="314"/>
      <c r="AC1019" s="314"/>
      <c r="AD1019" s="314"/>
      <c r="AE1019" s="314"/>
      <c r="AF1019" s="314"/>
    </row>
    <row r="1020" spans="2:32" s="147" customFormat="1" ht="14.15" customHeight="1" x14ac:dyDescent="0.35">
      <c r="B1020" s="146"/>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314"/>
      <c r="AE1020" s="314"/>
      <c r="AF1020" s="314"/>
    </row>
    <row r="1021" spans="2:32" s="147" customFormat="1" ht="14.15" customHeight="1" x14ac:dyDescent="0.35">
      <c r="B1021" s="146"/>
      <c r="E1021" s="314"/>
      <c r="F1021" s="314"/>
      <c r="G1021" s="314"/>
      <c r="H1021" s="314"/>
      <c r="I1021" s="314"/>
      <c r="J1021" s="314"/>
      <c r="K1021" s="314"/>
      <c r="L1021" s="314"/>
      <c r="M1021" s="314"/>
      <c r="N1021" s="314"/>
      <c r="O1021" s="314"/>
      <c r="P1021" s="314"/>
      <c r="Q1021" s="314"/>
      <c r="R1021" s="314"/>
      <c r="S1021" s="314"/>
      <c r="T1021" s="314"/>
      <c r="U1021" s="314"/>
      <c r="V1021" s="314"/>
      <c r="W1021" s="314"/>
      <c r="X1021" s="314"/>
      <c r="Y1021" s="314"/>
      <c r="Z1021" s="314"/>
      <c r="AA1021" s="314"/>
      <c r="AB1021" s="314"/>
      <c r="AC1021" s="314"/>
      <c r="AD1021" s="314"/>
      <c r="AE1021" s="314"/>
      <c r="AF1021" s="314"/>
    </row>
    <row r="1022" spans="2:32" s="147" customFormat="1" ht="14.15" customHeight="1" x14ac:dyDescent="0.35">
      <c r="B1022" s="146"/>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4"/>
      <c r="AD1022" s="314"/>
      <c r="AE1022" s="314"/>
      <c r="AF1022" s="314"/>
    </row>
    <row r="1023" spans="2:32" s="147" customFormat="1" ht="14.15" customHeight="1" x14ac:dyDescent="0.35">
      <c r="B1023" s="146"/>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4"/>
      <c r="AD1023" s="314"/>
      <c r="AE1023" s="314"/>
      <c r="AF1023" s="314"/>
    </row>
    <row r="1024" spans="2:32" s="147" customFormat="1" ht="14.15" customHeight="1" x14ac:dyDescent="0.35">
      <c r="B1024" s="146"/>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4"/>
      <c r="AD1024" s="314"/>
      <c r="AE1024" s="314"/>
      <c r="AF1024" s="314"/>
    </row>
    <row r="1025" spans="2:32" s="147" customFormat="1" ht="14.15" customHeight="1" x14ac:dyDescent="0.35">
      <c r="B1025" s="146"/>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4"/>
      <c r="AD1025" s="314"/>
      <c r="AE1025" s="314"/>
      <c r="AF1025" s="314"/>
    </row>
    <row r="1026" spans="2:32" s="147" customFormat="1" ht="14.15" customHeight="1" x14ac:dyDescent="0.35">
      <c r="B1026" s="146"/>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314"/>
      <c r="AE1026" s="314"/>
      <c r="AF1026" s="314"/>
    </row>
    <row r="1027" spans="2:32" s="147" customFormat="1" ht="14.15" customHeight="1" x14ac:dyDescent="0.35">
      <c r="B1027" s="146"/>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314"/>
      <c r="AF1027" s="314"/>
    </row>
    <row r="1028" spans="2:32" s="147" customFormat="1" ht="14.15" customHeight="1" x14ac:dyDescent="0.35">
      <c r="B1028" s="146"/>
      <c r="E1028" s="314"/>
      <c r="F1028" s="314"/>
      <c r="G1028" s="314"/>
      <c r="H1028" s="314"/>
      <c r="I1028" s="314"/>
      <c r="J1028" s="314"/>
      <c r="K1028" s="314"/>
      <c r="L1028" s="314"/>
      <c r="M1028" s="314"/>
      <c r="N1028" s="314"/>
      <c r="O1028" s="314"/>
      <c r="P1028" s="314"/>
      <c r="Q1028" s="314"/>
      <c r="R1028" s="314"/>
      <c r="S1028" s="314"/>
      <c r="T1028" s="314"/>
      <c r="U1028" s="314"/>
      <c r="V1028" s="314"/>
      <c r="W1028" s="314"/>
      <c r="X1028" s="314"/>
      <c r="Y1028" s="314"/>
      <c r="Z1028" s="314"/>
      <c r="AA1028" s="314"/>
      <c r="AB1028" s="314"/>
      <c r="AC1028" s="314"/>
      <c r="AD1028" s="314"/>
      <c r="AE1028" s="314"/>
      <c r="AF1028" s="314"/>
    </row>
    <row r="1029" spans="2:32" s="147" customFormat="1" ht="14.15" customHeight="1" x14ac:dyDescent="0.35">
      <c r="B1029" s="146"/>
      <c r="E1029" s="314"/>
      <c r="F1029" s="314"/>
      <c r="G1029" s="314"/>
      <c r="H1029" s="314"/>
      <c r="I1029" s="314"/>
      <c r="J1029" s="314"/>
      <c r="K1029" s="314"/>
      <c r="L1029" s="314"/>
      <c r="M1029" s="314"/>
      <c r="N1029" s="314"/>
      <c r="O1029" s="314"/>
      <c r="P1029" s="314"/>
      <c r="Q1029" s="314"/>
      <c r="R1029" s="314"/>
      <c r="S1029" s="314"/>
      <c r="T1029" s="314"/>
      <c r="U1029" s="314"/>
      <c r="V1029" s="314"/>
      <c r="W1029" s="314"/>
      <c r="X1029" s="314"/>
      <c r="Y1029" s="314"/>
      <c r="Z1029" s="314"/>
      <c r="AA1029" s="314"/>
      <c r="AB1029" s="314"/>
      <c r="AC1029" s="314"/>
      <c r="AD1029" s="314"/>
      <c r="AE1029" s="314"/>
      <c r="AF1029" s="314"/>
    </row>
    <row r="1030" spans="2:32" s="147" customFormat="1" ht="14.15" customHeight="1" x14ac:dyDescent="0.35">
      <c r="B1030" s="146"/>
      <c r="E1030" s="314"/>
      <c r="F1030" s="314"/>
      <c r="G1030" s="314"/>
      <c r="H1030" s="314"/>
      <c r="I1030" s="314"/>
      <c r="J1030" s="314"/>
      <c r="K1030" s="314"/>
      <c r="L1030" s="314"/>
      <c r="M1030" s="314"/>
      <c r="N1030" s="314"/>
      <c r="O1030" s="314"/>
      <c r="P1030" s="314"/>
      <c r="Q1030" s="314"/>
      <c r="R1030" s="314"/>
      <c r="S1030" s="314"/>
      <c r="T1030" s="314"/>
      <c r="U1030" s="314"/>
      <c r="V1030" s="314"/>
      <c r="W1030" s="314"/>
      <c r="X1030" s="314"/>
      <c r="Y1030" s="314"/>
      <c r="Z1030" s="314"/>
      <c r="AA1030" s="314"/>
      <c r="AB1030" s="314"/>
      <c r="AC1030" s="314"/>
      <c r="AD1030" s="314"/>
      <c r="AE1030" s="314"/>
      <c r="AF1030" s="314"/>
    </row>
    <row r="1031" spans="2:32" s="147" customFormat="1" ht="14.15" customHeight="1" x14ac:dyDescent="0.35">
      <c r="B1031" s="146"/>
      <c r="E1031" s="314"/>
      <c r="F1031" s="314"/>
      <c r="G1031" s="314"/>
      <c r="H1031" s="314"/>
      <c r="I1031" s="314"/>
      <c r="J1031" s="314"/>
      <c r="K1031" s="314"/>
      <c r="L1031" s="314"/>
      <c r="M1031" s="314"/>
      <c r="N1031" s="314"/>
      <c r="O1031" s="314"/>
      <c r="P1031" s="314"/>
      <c r="Q1031" s="314"/>
      <c r="R1031" s="314"/>
      <c r="S1031" s="314"/>
      <c r="T1031" s="314"/>
      <c r="U1031" s="314"/>
      <c r="V1031" s="314"/>
      <c r="W1031" s="314"/>
      <c r="X1031" s="314"/>
      <c r="Y1031" s="314"/>
      <c r="Z1031" s="314"/>
      <c r="AA1031" s="314"/>
      <c r="AB1031" s="314"/>
      <c r="AC1031" s="314"/>
      <c r="AD1031" s="314"/>
      <c r="AE1031" s="314"/>
      <c r="AF1031" s="314"/>
    </row>
    <row r="1032" spans="2:32" s="147" customFormat="1" ht="14.15" customHeight="1" x14ac:dyDescent="0.35">
      <c r="B1032" s="146"/>
      <c r="E1032" s="314"/>
      <c r="F1032" s="314"/>
      <c r="G1032" s="314"/>
      <c r="H1032" s="314"/>
      <c r="I1032" s="314"/>
      <c r="J1032" s="314"/>
      <c r="K1032" s="314"/>
      <c r="L1032" s="314"/>
      <c r="M1032" s="314"/>
      <c r="N1032" s="314"/>
      <c r="O1032" s="314"/>
      <c r="P1032" s="314"/>
      <c r="Q1032" s="314"/>
      <c r="R1032" s="314"/>
      <c r="S1032" s="314"/>
      <c r="T1032" s="314"/>
      <c r="U1032" s="314"/>
      <c r="V1032" s="314"/>
      <c r="W1032" s="314"/>
      <c r="X1032" s="314"/>
      <c r="Y1032" s="314"/>
      <c r="Z1032" s="314"/>
      <c r="AA1032" s="314"/>
      <c r="AB1032" s="314"/>
      <c r="AC1032" s="314"/>
      <c r="AD1032" s="314"/>
      <c r="AE1032" s="314"/>
      <c r="AF1032" s="314"/>
    </row>
    <row r="1033" spans="2:32" s="147" customFormat="1" ht="14.15" customHeight="1" x14ac:dyDescent="0.35">
      <c r="B1033" s="146"/>
      <c r="E1033" s="314"/>
      <c r="F1033" s="314"/>
      <c r="G1033" s="314"/>
      <c r="H1033" s="314"/>
      <c r="I1033" s="314"/>
      <c r="J1033" s="314"/>
      <c r="K1033" s="314"/>
      <c r="L1033" s="314"/>
      <c r="M1033" s="314"/>
      <c r="N1033" s="314"/>
      <c r="O1033" s="314"/>
      <c r="P1033" s="314"/>
      <c r="Q1033" s="314"/>
      <c r="R1033" s="314"/>
      <c r="S1033" s="314"/>
      <c r="T1033" s="314"/>
      <c r="U1033" s="314"/>
      <c r="V1033" s="314"/>
      <c r="W1033" s="314"/>
      <c r="X1033" s="314"/>
      <c r="Y1033" s="314"/>
      <c r="Z1033" s="314"/>
      <c r="AA1033" s="314"/>
      <c r="AB1033" s="314"/>
      <c r="AC1033" s="314"/>
      <c r="AD1033" s="314"/>
      <c r="AE1033" s="314"/>
      <c r="AF1033" s="314"/>
    </row>
    <row r="1034" spans="2:32" s="147" customFormat="1" ht="14.15" customHeight="1" x14ac:dyDescent="0.35">
      <c r="B1034" s="146"/>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4"/>
      <c r="AD1034" s="314"/>
      <c r="AE1034" s="314"/>
      <c r="AF1034" s="314"/>
    </row>
    <row r="1035" spans="2:32" s="147" customFormat="1" ht="14.15" customHeight="1" x14ac:dyDescent="0.35">
      <c r="B1035" s="146"/>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4"/>
      <c r="AD1035" s="314"/>
      <c r="AE1035" s="314"/>
      <c r="AF1035" s="314"/>
    </row>
    <row r="1036" spans="2:32" s="147" customFormat="1" ht="14.15" customHeight="1" x14ac:dyDescent="0.35">
      <c r="B1036" s="146"/>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4"/>
      <c r="AD1036" s="314"/>
      <c r="AE1036" s="314"/>
      <c r="AF1036" s="314"/>
    </row>
    <row r="1037" spans="2:32" s="147" customFormat="1" ht="14.15" customHeight="1" x14ac:dyDescent="0.35">
      <c r="B1037" s="146"/>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4"/>
      <c r="AD1037" s="314"/>
      <c r="AE1037" s="314"/>
      <c r="AF1037" s="314"/>
    </row>
    <row r="1038" spans="2:32" s="147" customFormat="1" ht="14.15" customHeight="1" x14ac:dyDescent="0.35">
      <c r="B1038" s="146"/>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4"/>
      <c r="AD1038" s="314"/>
      <c r="AE1038" s="314"/>
      <c r="AF1038" s="314"/>
    </row>
    <row r="1039" spans="2:32" s="147" customFormat="1" ht="14.15" customHeight="1" x14ac:dyDescent="0.35">
      <c r="B1039" s="146"/>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314"/>
      <c r="AE1039" s="314"/>
      <c r="AF1039" s="314"/>
    </row>
    <row r="1040" spans="2:32" s="147" customFormat="1" ht="14.15" customHeight="1" x14ac:dyDescent="0.35">
      <c r="B1040" s="146"/>
      <c r="E1040" s="314"/>
      <c r="F1040" s="314"/>
      <c r="G1040" s="314"/>
      <c r="H1040" s="314"/>
      <c r="I1040" s="314"/>
      <c r="J1040" s="314"/>
      <c r="K1040" s="314"/>
      <c r="L1040" s="314"/>
      <c r="M1040" s="314"/>
      <c r="N1040" s="314"/>
      <c r="O1040" s="314"/>
      <c r="P1040" s="314"/>
      <c r="Q1040" s="314"/>
      <c r="R1040" s="314"/>
      <c r="S1040" s="314"/>
      <c r="T1040" s="314"/>
      <c r="U1040" s="314"/>
      <c r="V1040" s="314"/>
      <c r="W1040" s="314"/>
      <c r="X1040" s="314"/>
      <c r="Y1040" s="314"/>
      <c r="Z1040" s="314"/>
      <c r="AA1040" s="314"/>
      <c r="AB1040" s="314"/>
      <c r="AC1040" s="314"/>
      <c r="AD1040" s="314"/>
      <c r="AE1040" s="314"/>
      <c r="AF1040" s="314"/>
    </row>
    <row r="1041" spans="2:32" s="147" customFormat="1" ht="14.15" customHeight="1" x14ac:dyDescent="0.35">
      <c r="B1041" s="146"/>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4"/>
      <c r="AD1041" s="314"/>
      <c r="AE1041" s="314"/>
      <c r="AF1041" s="314"/>
    </row>
    <row r="1042" spans="2:32" s="147" customFormat="1" ht="14.15" customHeight="1" x14ac:dyDescent="0.35">
      <c r="B1042" s="146"/>
      <c r="E1042" s="314"/>
      <c r="F1042" s="314"/>
      <c r="G1042" s="314"/>
      <c r="H1042" s="314"/>
      <c r="I1042" s="314"/>
      <c r="J1042" s="314"/>
      <c r="K1042" s="314"/>
      <c r="L1042" s="314"/>
      <c r="M1042" s="314"/>
      <c r="N1042" s="314"/>
      <c r="O1042" s="314"/>
      <c r="P1042" s="314"/>
      <c r="Q1042" s="314"/>
      <c r="R1042" s="314"/>
      <c r="S1042" s="314"/>
      <c r="T1042" s="314"/>
      <c r="U1042" s="314"/>
      <c r="V1042" s="314"/>
      <c r="W1042" s="314"/>
      <c r="X1042" s="314"/>
      <c r="Y1042" s="314"/>
      <c r="Z1042" s="314"/>
      <c r="AA1042" s="314"/>
      <c r="AB1042" s="314"/>
      <c r="AC1042" s="314"/>
      <c r="AD1042" s="314"/>
      <c r="AE1042" s="314"/>
      <c r="AF1042" s="314"/>
    </row>
    <row r="1043" spans="2:32" s="147" customFormat="1" ht="14.15" customHeight="1" x14ac:dyDescent="0.35">
      <c r="B1043" s="146"/>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4"/>
      <c r="AD1043" s="314"/>
      <c r="AE1043" s="314"/>
      <c r="AF1043" s="314"/>
    </row>
    <row r="1044" spans="2:32" s="147" customFormat="1" ht="14.15" customHeight="1" x14ac:dyDescent="0.35">
      <c r="B1044" s="146"/>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4"/>
      <c r="AD1044" s="314"/>
      <c r="AE1044" s="314"/>
      <c r="AF1044" s="314"/>
    </row>
    <row r="1045" spans="2:32" s="147" customFormat="1" ht="14.15" customHeight="1" x14ac:dyDescent="0.35">
      <c r="B1045" s="146"/>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4"/>
      <c r="AD1045" s="314"/>
      <c r="AE1045" s="314"/>
      <c r="AF1045" s="314"/>
    </row>
    <row r="1046" spans="2:32" s="147" customFormat="1" ht="14.15" customHeight="1" x14ac:dyDescent="0.35">
      <c r="B1046" s="146"/>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4"/>
      <c r="AD1046" s="314"/>
      <c r="AE1046" s="314"/>
      <c r="AF1046" s="314"/>
    </row>
    <row r="1047" spans="2:32" s="147" customFormat="1" ht="14.15" customHeight="1" x14ac:dyDescent="0.35">
      <c r="B1047" s="146"/>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4"/>
      <c r="AD1047" s="314"/>
      <c r="AE1047" s="314"/>
      <c r="AF1047" s="314"/>
    </row>
    <row r="1048" spans="2:32" s="147" customFormat="1" ht="14.15" customHeight="1" x14ac:dyDescent="0.35">
      <c r="B1048" s="146"/>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314"/>
      <c r="AE1048" s="314"/>
      <c r="AF1048" s="314"/>
    </row>
    <row r="1049" spans="2:32" s="147" customFormat="1" ht="14.15" customHeight="1" x14ac:dyDescent="0.35">
      <c r="B1049" s="146"/>
      <c r="E1049" s="314"/>
      <c r="F1049" s="314"/>
      <c r="G1049" s="314"/>
      <c r="H1049" s="314"/>
      <c r="I1049" s="314"/>
      <c r="J1049" s="314"/>
      <c r="K1049" s="314"/>
      <c r="L1049" s="314"/>
      <c r="M1049" s="314"/>
      <c r="N1049" s="314"/>
      <c r="O1049" s="314"/>
      <c r="P1049" s="314"/>
      <c r="Q1049" s="314"/>
      <c r="R1049" s="314"/>
      <c r="S1049" s="314"/>
      <c r="T1049" s="314"/>
      <c r="U1049" s="314"/>
      <c r="V1049" s="314"/>
      <c r="W1049" s="314"/>
      <c r="X1049" s="314"/>
      <c r="Y1049" s="314"/>
      <c r="Z1049" s="314"/>
      <c r="AA1049" s="314"/>
      <c r="AB1049" s="314"/>
      <c r="AC1049" s="314"/>
      <c r="AD1049" s="314"/>
      <c r="AE1049" s="314"/>
      <c r="AF1049" s="314"/>
    </row>
    <row r="1050" spans="2:32" s="147" customFormat="1" ht="14.15" customHeight="1" x14ac:dyDescent="0.35">
      <c r="B1050" s="146"/>
      <c r="E1050" s="314"/>
      <c r="F1050" s="314"/>
      <c r="G1050" s="314"/>
      <c r="H1050" s="314"/>
      <c r="I1050" s="314"/>
      <c r="J1050" s="314"/>
      <c r="K1050" s="314"/>
      <c r="L1050" s="314"/>
      <c r="M1050" s="314"/>
      <c r="N1050" s="314"/>
      <c r="O1050" s="314"/>
      <c r="P1050" s="314"/>
      <c r="Q1050" s="314"/>
      <c r="R1050" s="314"/>
      <c r="S1050" s="314"/>
      <c r="T1050" s="314"/>
      <c r="U1050" s="314"/>
      <c r="V1050" s="314"/>
      <c r="W1050" s="314"/>
      <c r="X1050" s="314"/>
      <c r="Y1050" s="314"/>
      <c r="Z1050" s="314"/>
      <c r="AA1050" s="314"/>
      <c r="AB1050" s="314"/>
      <c r="AC1050" s="314"/>
      <c r="AD1050" s="314"/>
      <c r="AE1050" s="314"/>
      <c r="AF1050" s="314"/>
    </row>
    <row r="1051" spans="2:32" s="147" customFormat="1" ht="14.15" customHeight="1" x14ac:dyDescent="0.35">
      <c r="B1051" s="146"/>
      <c r="E1051" s="314"/>
      <c r="F1051" s="314"/>
      <c r="G1051" s="314"/>
      <c r="H1051" s="314"/>
      <c r="I1051" s="314"/>
      <c r="J1051" s="314"/>
      <c r="K1051" s="314"/>
      <c r="L1051" s="314"/>
      <c r="M1051" s="314"/>
      <c r="N1051" s="314"/>
      <c r="O1051" s="314"/>
      <c r="P1051" s="314"/>
      <c r="Q1051" s="314"/>
      <c r="R1051" s="314"/>
      <c r="S1051" s="314"/>
      <c r="T1051" s="314"/>
      <c r="U1051" s="314"/>
      <c r="V1051" s="314"/>
      <c r="W1051" s="314"/>
      <c r="X1051" s="314"/>
      <c r="Y1051" s="314"/>
      <c r="Z1051" s="314"/>
      <c r="AA1051" s="314"/>
      <c r="AB1051" s="314"/>
      <c r="AC1051" s="314"/>
      <c r="AD1051" s="314"/>
      <c r="AE1051" s="314"/>
      <c r="AF1051" s="314"/>
    </row>
    <row r="1052" spans="2:32" s="147" customFormat="1" ht="14.15" customHeight="1" x14ac:dyDescent="0.35">
      <c r="B1052" s="146"/>
      <c r="E1052" s="314"/>
      <c r="F1052" s="314"/>
      <c r="G1052" s="314"/>
      <c r="H1052" s="314"/>
      <c r="I1052" s="314"/>
      <c r="J1052" s="314"/>
      <c r="K1052" s="314"/>
      <c r="L1052" s="314"/>
      <c r="M1052" s="314"/>
      <c r="N1052" s="314"/>
      <c r="O1052" s="314"/>
      <c r="P1052" s="314"/>
      <c r="Q1052" s="314"/>
      <c r="R1052" s="314"/>
      <c r="S1052" s="314"/>
      <c r="T1052" s="314"/>
      <c r="U1052" s="314"/>
      <c r="V1052" s="314"/>
      <c r="W1052" s="314"/>
      <c r="X1052" s="314"/>
      <c r="Y1052" s="314"/>
      <c r="Z1052" s="314"/>
      <c r="AA1052" s="314"/>
      <c r="AB1052" s="314"/>
      <c r="AC1052" s="314"/>
      <c r="AD1052" s="314"/>
      <c r="AE1052" s="314"/>
      <c r="AF1052" s="314"/>
    </row>
    <row r="1053" spans="2:32" s="147" customFormat="1" ht="14.15" customHeight="1" x14ac:dyDescent="0.35">
      <c r="B1053" s="146"/>
      <c r="E1053" s="314"/>
      <c r="F1053" s="314"/>
      <c r="G1053" s="314"/>
      <c r="H1053" s="314"/>
      <c r="I1053" s="314"/>
      <c r="J1053" s="314"/>
      <c r="K1053" s="314"/>
      <c r="L1053" s="314"/>
      <c r="M1053" s="314"/>
      <c r="N1053" s="314"/>
      <c r="O1053" s="314"/>
      <c r="P1053" s="314"/>
      <c r="Q1053" s="314"/>
      <c r="R1053" s="314"/>
      <c r="S1053" s="314"/>
      <c r="T1053" s="314"/>
      <c r="U1053" s="314"/>
      <c r="V1053" s="314"/>
      <c r="W1053" s="314"/>
      <c r="X1053" s="314"/>
      <c r="Y1053" s="314"/>
      <c r="Z1053" s="314"/>
      <c r="AA1053" s="314"/>
      <c r="AB1053" s="314"/>
      <c r="AC1053" s="314"/>
      <c r="AD1053" s="314"/>
      <c r="AE1053" s="314"/>
      <c r="AF1053" s="314"/>
    </row>
    <row r="1054" spans="2:32" s="147" customFormat="1" ht="14.15" customHeight="1" x14ac:dyDescent="0.35">
      <c r="B1054" s="146"/>
      <c r="E1054" s="314"/>
      <c r="F1054" s="314"/>
      <c r="G1054" s="314"/>
      <c r="H1054" s="314"/>
      <c r="I1054" s="314"/>
      <c r="J1054" s="314"/>
      <c r="K1054" s="314"/>
      <c r="L1054" s="314"/>
      <c r="M1054" s="314"/>
      <c r="N1054" s="314"/>
      <c r="O1054" s="314"/>
      <c r="P1054" s="314"/>
      <c r="Q1054" s="314"/>
      <c r="R1054" s="314"/>
      <c r="S1054" s="314"/>
      <c r="T1054" s="314"/>
      <c r="U1054" s="314"/>
      <c r="V1054" s="314"/>
      <c r="W1054" s="314"/>
      <c r="X1054" s="314"/>
      <c r="Y1054" s="314"/>
      <c r="Z1054" s="314"/>
      <c r="AA1054" s="314"/>
      <c r="AB1054" s="314"/>
      <c r="AC1054" s="314"/>
      <c r="AD1054" s="314"/>
      <c r="AE1054" s="314"/>
      <c r="AF1054" s="314"/>
    </row>
    <row r="1055" spans="2:32" s="147" customFormat="1" ht="14.15" customHeight="1" x14ac:dyDescent="0.35">
      <c r="B1055" s="146"/>
      <c r="E1055" s="314"/>
      <c r="F1055" s="314"/>
      <c r="G1055" s="314"/>
      <c r="H1055" s="314"/>
      <c r="I1055" s="314"/>
      <c r="J1055" s="314"/>
      <c r="K1055" s="314"/>
      <c r="L1055" s="314"/>
      <c r="M1055" s="314"/>
      <c r="N1055" s="314"/>
      <c r="O1055" s="314"/>
      <c r="P1055" s="314"/>
      <c r="Q1055" s="314"/>
      <c r="R1055" s="314"/>
      <c r="S1055" s="314"/>
      <c r="T1055" s="314"/>
      <c r="U1055" s="314"/>
      <c r="V1055" s="314"/>
      <c r="W1055" s="314"/>
      <c r="X1055" s="314"/>
      <c r="Y1055" s="314"/>
      <c r="Z1055" s="314"/>
      <c r="AA1055" s="314"/>
      <c r="AB1055" s="314"/>
      <c r="AC1055" s="314"/>
      <c r="AD1055" s="314"/>
      <c r="AE1055" s="314"/>
      <c r="AF1055" s="314"/>
    </row>
    <row r="1056" spans="2:32" s="147" customFormat="1" ht="14.15" customHeight="1" x14ac:dyDescent="0.35">
      <c r="B1056" s="146"/>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4"/>
      <c r="AD1056" s="314"/>
      <c r="AE1056" s="314"/>
      <c r="AF1056" s="314"/>
    </row>
    <row r="1057" spans="2:32" s="147" customFormat="1" ht="14.15" customHeight="1" x14ac:dyDescent="0.35">
      <c r="B1057" s="146"/>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4"/>
      <c r="AD1057" s="314"/>
      <c r="AE1057" s="314"/>
      <c r="AF1057" s="314"/>
    </row>
    <row r="1058" spans="2:32" s="147" customFormat="1" ht="14.15" customHeight="1" x14ac:dyDescent="0.35">
      <c r="B1058" s="146"/>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4"/>
      <c r="AD1058" s="314"/>
      <c r="AE1058" s="314"/>
      <c r="AF1058" s="314"/>
    </row>
    <row r="1059" spans="2:32" s="147" customFormat="1" ht="14.15" customHeight="1" x14ac:dyDescent="0.35">
      <c r="B1059" s="146"/>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4"/>
      <c r="AD1059" s="314"/>
      <c r="AE1059" s="314"/>
      <c r="AF1059" s="314"/>
    </row>
    <row r="1060" spans="2:32" s="147" customFormat="1" ht="14.15" customHeight="1" x14ac:dyDescent="0.35">
      <c r="B1060" s="146"/>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314"/>
      <c r="AE1060" s="314"/>
      <c r="AF1060" s="314"/>
    </row>
    <row r="1061" spans="2:32" s="147" customFormat="1" ht="14.15" customHeight="1" x14ac:dyDescent="0.35">
      <c r="B1061" s="146"/>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314"/>
      <c r="AF1061" s="314"/>
    </row>
    <row r="1062" spans="2:32" s="147" customFormat="1" ht="14.15" customHeight="1" x14ac:dyDescent="0.35">
      <c r="B1062" s="146"/>
      <c r="E1062" s="314"/>
      <c r="F1062" s="314"/>
      <c r="G1062" s="314"/>
      <c r="H1062" s="314"/>
      <c r="I1062" s="314"/>
      <c r="J1062" s="314"/>
      <c r="K1062" s="314"/>
      <c r="L1062" s="314"/>
      <c r="M1062" s="314"/>
      <c r="N1062" s="314"/>
      <c r="O1062" s="314"/>
      <c r="P1062" s="314"/>
      <c r="Q1062" s="314"/>
      <c r="R1062" s="314"/>
      <c r="S1062" s="314"/>
      <c r="T1062" s="314"/>
      <c r="U1062" s="314"/>
      <c r="V1062" s="314"/>
      <c r="W1062" s="314"/>
      <c r="X1062" s="314"/>
      <c r="Y1062" s="314"/>
      <c r="Z1062" s="314"/>
      <c r="AA1062" s="314"/>
      <c r="AB1062" s="314"/>
      <c r="AC1062" s="314"/>
      <c r="AD1062" s="314"/>
      <c r="AE1062" s="314"/>
      <c r="AF1062" s="314"/>
    </row>
    <row r="1063" spans="2:32" s="147" customFormat="1" ht="14.15" customHeight="1" x14ac:dyDescent="0.35">
      <c r="B1063" s="146"/>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314"/>
      <c r="AE1063" s="314"/>
      <c r="AF1063" s="314"/>
    </row>
    <row r="1064" spans="2:32" s="147" customFormat="1" ht="14.15" customHeight="1" x14ac:dyDescent="0.35">
      <c r="B1064" s="146"/>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4"/>
      <c r="AD1064" s="314"/>
      <c r="AE1064" s="314"/>
      <c r="AF1064" s="314"/>
    </row>
    <row r="1065" spans="2:32" s="147" customFormat="1" ht="14.15" customHeight="1" x14ac:dyDescent="0.35">
      <c r="B1065" s="146"/>
      <c r="E1065" s="314"/>
      <c r="F1065" s="314"/>
      <c r="G1065" s="314"/>
      <c r="H1065" s="314"/>
      <c r="I1065" s="314"/>
      <c r="J1065" s="314"/>
      <c r="K1065" s="314"/>
      <c r="L1065" s="314"/>
      <c r="M1065" s="314"/>
      <c r="N1065" s="314"/>
      <c r="O1065" s="314"/>
      <c r="P1065" s="314"/>
      <c r="Q1065" s="314"/>
      <c r="R1065" s="314"/>
      <c r="S1065" s="314"/>
      <c r="T1065" s="314"/>
      <c r="U1065" s="314"/>
      <c r="V1065" s="314"/>
      <c r="W1065" s="314"/>
      <c r="X1065" s="314"/>
      <c r="Y1065" s="314"/>
      <c r="Z1065" s="314"/>
      <c r="AA1065" s="314"/>
      <c r="AB1065" s="314"/>
      <c r="AC1065" s="314"/>
      <c r="AD1065" s="314"/>
      <c r="AE1065" s="314"/>
      <c r="AF1065" s="314"/>
    </row>
    <row r="1066" spans="2:32" s="147" customFormat="1" ht="14.15" customHeight="1" x14ac:dyDescent="0.35">
      <c r="B1066" s="146"/>
      <c r="E1066" s="314"/>
      <c r="F1066" s="314"/>
      <c r="G1066" s="314"/>
      <c r="H1066" s="314"/>
      <c r="I1066" s="314"/>
      <c r="J1066" s="314"/>
      <c r="K1066" s="314"/>
      <c r="L1066" s="314"/>
      <c r="M1066" s="314"/>
      <c r="N1066" s="314"/>
      <c r="O1066" s="314"/>
      <c r="P1066" s="314"/>
      <c r="Q1066" s="314"/>
      <c r="R1066" s="314"/>
      <c r="S1066" s="314"/>
      <c r="T1066" s="314"/>
      <c r="U1066" s="314"/>
      <c r="V1066" s="314"/>
      <c r="W1066" s="314"/>
      <c r="X1066" s="314"/>
      <c r="Y1066" s="314"/>
      <c r="Z1066" s="314"/>
      <c r="AA1066" s="314"/>
      <c r="AB1066" s="314"/>
      <c r="AC1066" s="314"/>
      <c r="AD1066" s="314"/>
      <c r="AE1066" s="314"/>
      <c r="AF1066" s="314"/>
    </row>
    <row r="1067" spans="2:32" s="147" customFormat="1" ht="14.15" customHeight="1" x14ac:dyDescent="0.35">
      <c r="B1067" s="146"/>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4"/>
      <c r="AD1067" s="314"/>
      <c r="AE1067" s="314"/>
      <c r="AF1067" s="314"/>
    </row>
    <row r="1068" spans="2:32" s="147" customFormat="1" ht="14.15" customHeight="1" x14ac:dyDescent="0.35">
      <c r="B1068" s="146"/>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4"/>
      <c r="AD1068" s="314"/>
      <c r="AE1068" s="314"/>
      <c r="AF1068" s="314"/>
    </row>
    <row r="1069" spans="2:32" s="147" customFormat="1" ht="14.15" customHeight="1" x14ac:dyDescent="0.35">
      <c r="B1069" s="146"/>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314"/>
      <c r="AE1069" s="314"/>
      <c r="AF1069" s="314"/>
    </row>
    <row r="1070" spans="2:32" s="147" customFormat="1" ht="14.15" customHeight="1" x14ac:dyDescent="0.35">
      <c r="B1070" s="146"/>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314"/>
      <c r="AF1070" s="314"/>
    </row>
    <row r="1071" spans="2:32" s="147" customFormat="1" ht="14.15" customHeight="1" x14ac:dyDescent="0.35">
      <c r="B1071" s="146"/>
      <c r="E1071" s="314"/>
      <c r="F1071" s="314"/>
      <c r="G1071" s="314"/>
      <c r="H1071" s="314"/>
      <c r="I1071" s="314"/>
      <c r="J1071" s="314"/>
      <c r="K1071" s="314"/>
      <c r="L1071" s="314"/>
      <c r="M1071" s="314"/>
      <c r="N1071" s="314"/>
      <c r="O1071" s="314"/>
      <c r="P1071" s="314"/>
      <c r="Q1071" s="314"/>
      <c r="R1071" s="314"/>
      <c r="S1071" s="314"/>
      <c r="T1071" s="314"/>
      <c r="U1071" s="314"/>
      <c r="V1071" s="314"/>
      <c r="W1071" s="314"/>
      <c r="X1071" s="314"/>
      <c r="Y1071" s="314"/>
      <c r="Z1071" s="314"/>
      <c r="AA1071" s="314"/>
      <c r="AB1071" s="314"/>
      <c r="AC1071" s="314"/>
      <c r="AD1071" s="314"/>
      <c r="AE1071" s="314"/>
      <c r="AF1071" s="314"/>
    </row>
    <row r="1072" spans="2:32" s="147" customFormat="1" ht="14.15" customHeight="1" x14ac:dyDescent="0.35">
      <c r="B1072" s="146"/>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314"/>
      <c r="AE1072" s="314"/>
      <c r="AF1072" s="314"/>
    </row>
    <row r="1073" spans="2:32" s="147" customFormat="1" ht="14.15" customHeight="1" x14ac:dyDescent="0.35">
      <c r="B1073" s="146"/>
      <c r="E1073" s="314"/>
      <c r="F1073" s="314"/>
      <c r="G1073" s="314"/>
      <c r="H1073" s="314"/>
      <c r="I1073" s="314"/>
      <c r="J1073" s="314"/>
      <c r="K1073" s="314"/>
      <c r="L1073" s="314"/>
      <c r="M1073" s="314"/>
      <c r="N1073" s="314"/>
      <c r="O1073" s="314"/>
      <c r="P1073" s="314"/>
      <c r="Q1073" s="314"/>
      <c r="R1073" s="314"/>
      <c r="S1073" s="314"/>
      <c r="T1073" s="314"/>
      <c r="U1073" s="314"/>
      <c r="V1073" s="314"/>
      <c r="W1073" s="314"/>
      <c r="X1073" s="314"/>
      <c r="Y1073" s="314"/>
      <c r="Z1073" s="314"/>
      <c r="AA1073" s="314"/>
      <c r="AB1073" s="314"/>
      <c r="AC1073" s="314"/>
      <c r="AD1073" s="314"/>
      <c r="AE1073" s="314"/>
      <c r="AF1073" s="314"/>
    </row>
    <row r="1074" spans="2:32" s="147" customFormat="1" ht="14.15" customHeight="1" x14ac:dyDescent="0.35">
      <c r="B1074" s="146"/>
      <c r="E1074" s="314"/>
      <c r="F1074" s="314"/>
      <c r="G1074" s="314"/>
      <c r="H1074" s="314"/>
      <c r="I1074" s="314"/>
      <c r="J1074" s="314"/>
      <c r="K1074" s="314"/>
      <c r="L1074" s="314"/>
      <c r="M1074" s="314"/>
      <c r="N1074" s="314"/>
      <c r="O1074" s="314"/>
      <c r="P1074" s="314"/>
      <c r="Q1074" s="314"/>
      <c r="R1074" s="314"/>
      <c r="S1074" s="314"/>
      <c r="T1074" s="314"/>
      <c r="U1074" s="314"/>
      <c r="V1074" s="314"/>
      <c r="W1074" s="314"/>
      <c r="X1074" s="314"/>
      <c r="Y1074" s="314"/>
      <c r="Z1074" s="314"/>
      <c r="AA1074" s="314"/>
      <c r="AB1074" s="314"/>
      <c r="AC1074" s="314"/>
      <c r="AD1074" s="314"/>
      <c r="AE1074" s="314"/>
      <c r="AF1074" s="314"/>
    </row>
    <row r="1075" spans="2:32" s="147" customFormat="1" ht="14.15" customHeight="1" x14ac:dyDescent="0.35">
      <c r="B1075" s="146"/>
      <c r="E1075" s="314"/>
      <c r="F1075" s="314"/>
      <c r="G1075" s="314"/>
      <c r="H1075" s="314"/>
      <c r="I1075" s="314"/>
      <c r="J1075" s="314"/>
      <c r="K1075" s="314"/>
      <c r="L1075" s="314"/>
      <c r="M1075" s="314"/>
      <c r="N1075" s="314"/>
      <c r="O1075" s="314"/>
      <c r="P1075" s="314"/>
      <c r="Q1075" s="314"/>
      <c r="R1075" s="314"/>
      <c r="S1075" s="314"/>
      <c r="T1075" s="314"/>
      <c r="U1075" s="314"/>
      <c r="V1075" s="314"/>
      <c r="W1075" s="314"/>
      <c r="X1075" s="314"/>
      <c r="Y1075" s="314"/>
      <c r="Z1075" s="314"/>
      <c r="AA1075" s="314"/>
      <c r="AB1075" s="314"/>
      <c r="AC1075" s="314"/>
      <c r="AD1075" s="314"/>
      <c r="AE1075" s="314"/>
      <c r="AF1075" s="314"/>
    </row>
    <row r="1076" spans="2:32" s="147" customFormat="1" ht="14.15" customHeight="1" x14ac:dyDescent="0.35">
      <c r="B1076" s="146"/>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314"/>
      <c r="AE1076" s="314"/>
      <c r="AF1076" s="314"/>
    </row>
    <row r="1077" spans="2:32" s="147" customFormat="1" ht="14.15" customHeight="1" x14ac:dyDescent="0.35">
      <c r="B1077" s="146"/>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4"/>
      <c r="AD1077" s="314"/>
      <c r="AE1077" s="314"/>
      <c r="AF1077" s="314"/>
    </row>
    <row r="1078" spans="2:32" s="147" customFormat="1" ht="14.15" customHeight="1" x14ac:dyDescent="0.35">
      <c r="B1078" s="146"/>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4"/>
      <c r="AD1078" s="314"/>
      <c r="AE1078" s="314"/>
      <c r="AF1078" s="314"/>
    </row>
    <row r="1079" spans="2:32" s="147" customFormat="1" ht="14.15" customHeight="1" x14ac:dyDescent="0.35">
      <c r="B1079" s="146"/>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4"/>
      <c r="AD1079" s="314"/>
      <c r="AE1079" s="314"/>
      <c r="AF1079" s="314"/>
    </row>
    <row r="1080" spans="2:32" s="147" customFormat="1" ht="14.15" customHeight="1" x14ac:dyDescent="0.35">
      <c r="B1080" s="146"/>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4"/>
      <c r="AD1080" s="314"/>
      <c r="AE1080" s="314"/>
      <c r="AF1080" s="314"/>
    </row>
    <row r="1081" spans="2:32" s="147" customFormat="1" ht="14.15" customHeight="1" x14ac:dyDescent="0.35">
      <c r="B1081" s="146"/>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314"/>
      <c r="AE1081" s="314"/>
      <c r="AF1081" s="314"/>
    </row>
    <row r="1082" spans="2:32" s="147" customFormat="1" ht="14.15" customHeight="1" x14ac:dyDescent="0.35">
      <c r="B1082" s="146"/>
      <c r="E1082" s="314"/>
      <c r="F1082" s="314"/>
      <c r="G1082" s="314"/>
      <c r="H1082" s="314"/>
      <c r="I1082" s="314"/>
      <c r="J1082" s="314"/>
      <c r="K1082" s="314"/>
      <c r="L1082" s="314"/>
      <c r="M1082" s="314"/>
      <c r="N1082" s="314"/>
      <c r="O1082" s="314"/>
      <c r="P1082" s="314"/>
      <c r="Q1082" s="314"/>
      <c r="R1082" s="314"/>
      <c r="S1082" s="314"/>
      <c r="T1082" s="314"/>
      <c r="U1082" s="314"/>
      <c r="V1082" s="314"/>
      <c r="W1082" s="314"/>
      <c r="X1082" s="314"/>
      <c r="Y1082" s="314"/>
      <c r="Z1082" s="314"/>
      <c r="AA1082" s="314"/>
      <c r="AB1082" s="314"/>
      <c r="AC1082" s="314"/>
      <c r="AD1082" s="314"/>
      <c r="AE1082" s="314"/>
      <c r="AF1082" s="314"/>
    </row>
    <row r="1083" spans="2:32" s="147" customFormat="1" ht="14.15" customHeight="1" x14ac:dyDescent="0.35">
      <c r="B1083" s="146"/>
      <c r="E1083" s="314"/>
      <c r="F1083" s="314"/>
      <c r="G1083" s="314"/>
      <c r="H1083" s="314"/>
      <c r="I1083" s="314"/>
      <c r="J1083" s="314"/>
      <c r="K1083" s="314"/>
      <c r="L1083" s="314"/>
      <c r="M1083" s="314"/>
      <c r="N1083" s="314"/>
      <c r="O1083" s="314"/>
      <c r="P1083" s="314"/>
      <c r="Q1083" s="314"/>
      <c r="R1083" s="314"/>
      <c r="S1083" s="314"/>
      <c r="T1083" s="314"/>
      <c r="U1083" s="314"/>
      <c r="V1083" s="314"/>
      <c r="W1083" s="314"/>
      <c r="X1083" s="314"/>
      <c r="Y1083" s="314"/>
      <c r="Z1083" s="314"/>
      <c r="AA1083" s="314"/>
      <c r="AB1083" s="314"/>
      <c r="AC1083" s="314"/>
      <c r="AD1083" s="314"/>
      <c r="AE1083" s="314"/>
      <c r="AF1083" s="314"/>
    </row>
    <row r="1084" spans="2:32" s="147" customFormat="1" ht="14.15" customHeight="1" x14ac:dyDescent="0.35">
      <c r="B1084" s="146"/>
      <c r="E1084" s="314"/>
      <c r="F1084" s="314"/>
      <c r="G1084" s="314"/>
      <c r="H1084" s="314"/>
      <c r="I1084" s="314"/>
      <c r="J1084" s="314"/>
      <c r="K1084" s="314"/>
      <c r="L1084" s="314"/>
      <c r="M1084" s="314"/>
      <c r="N1084" s="314"/>
      <c r="O1084" s="314"/>
      <c r="P1084" s="314"/>
      <c r="Q1084" s="314"/>
      <c r="R1084" s="314"/>
      <c r="S1084" s="314"/>
      <c r="T1084" s="314"/>
      <c r="U1084" s="314"/>
      <c r="V1084" s="314"/>
      <c r="W1084" s="314"/>
      <c r="X1084" s="314"/>
      <c r="Y1084" s="314"/>
      <c r="Z1084" s="314"/>
      <c r="AA1084" s="314"/>
      <c r="AB1084" s="314"/>
      <c r="AC1084" s="314"/>
      <c r="AD1084" s="314"/>
      <c r="AE1084" s="314"/>
      <c r="AF1084" s="314"/>
    </row>
    <row r="1085" spans="2:32" s="147" customFormat="1" ht="14.15" customHeight="1" x14ac:dyDescent="0.35">
      <c r="B1085" s="146"/>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4"/>
      <c r="Z1085" s="314"/>
      <c r="AA1085" s="314"/>
      <c r="AB1085" s="314"/>
      <c r="AC1085" s="314"/>
      <c r="AD1085" s="314"/>
      <c r="AE1085" s="314"/>
      <c r="AF1085" s="314"/>
    </row>
    <row r="1086" spans="2:32" s="147" customFormat="1" ht="14.15" customHeight="1" x14ac:dyDescent="0.35">
      <c r="B1086" s="146"/>
      <c r="E1086" s="314"/>
      <c r="F1086" s="314"/>
      <c r="G1086" s="314"/>
      <c r="H1086" s="314"/>
      <c r="I1086" s="314"/>
      <c r="J1086" s="314"/>
      <c r="K1086" s="314"/>
      <c r="L1086" s="314"/>
      <c r="M1086" s="314"/>
      <c r="N1086" s="314"/>
      <c r="O1086" s="314"/>
      <c r="P1086" s="314"/>
      <c r="Q1086" s="314"/>
      <c r="R1086" s="314"/>
      <c r="S1086" s="314"/>
      <c r="T1086" s="314"/>
      <c r="U1086" s="314"/>
      <c r="V1086" s="314"/>
      <c r="W1086" s="314"/>
      <c r="X1086" s="314"/>
      <c r="Y1086" s="314"/>
      <c r="Z1086" s="314"/>
      <c r="AA1086" s="314"/>
      <c r="AB1086" s="314"/>
      <c r="AC1086" s="314"/>
      <c r="AD1086" s="314"/>
      <c r="AE1086" s="314"/>
      <c r="AF1086" s="314"/>
    </row>
    <row r="1087" spans="2:32" s="147" customFormat="1" ht="14.15" customHeight="1" x14ac:dyDescent="0.35">
      <c r="B1087" s="146"/>
      <c r="E1087" s="314"/>
      <c r="F1087" s="314"/>
      <c r="G1087" s="314"/>
      <c r="H1087" s="314"/>
      <c r="I1087" s="314"/>
      <c r="J1087" s="314"/>
      <c r="K1087" s="314"/>
      <c r="L1087" s="314"/>
      <c r="M1087" s="314"/>
      <c r="N1087" s="314"/>
      <c r="O1087" s="314"/>
      <c r="P1087" s="314"/>
      <c r="Q1087" s="314"/>
      <c r="R1087" s="314"/>
      <c r="S1087" s="314"/>
      <c r="T1087" s="314"/>
      <c r="U1087" s="314"/>
      <c r="V1087" s="314"/>
      <c r="W1087" s="314"/>
      <c r="X1087" s="314"/>
      <c r="Y1087" s="314"/>
      <c r="Z1087" s="314"/>
      <c r="AA1087" s="314"/>
      <c r="AB1087" s="314"/>
      <c r="AC1087" s="314"/>
      <c r="AD1087" s="314"/>
      <c r="AE1087" s="314"/>
      <c r="AF1087" s="314"/>
    </row>
    <row r="1088" spans="2:32" s="147" customFormat="1" ht="14.15" customHeight="1" x14ac:dyDescent="0.35">
      <c r="B1088" s="146"/>
      <c r="E1088" s="314"/>
      <c r="F1088" s="314"/>
      <c r="G1088" s="314"/>
      <c r="H1088" s="314"/>
      <c r="I1088" s="314"/>
      <c r="J1088" s="314"/>
      <c r="K1088" s="314"/>
      <c r="L1088" s="314"/>
      <c r="M1088" s="314"/>
      <c r="N1088" s="314"/>
      <c r="O1088" s="314"/>
      <c r="P1088" s="314"/>
      <c r="Q1088" s="314"/>
      <c r="R1088" s="314"/>
      <c r="S1088" s="314"/>
      <c r="T1088" s="314"/>
      <c r="U1088" s="314"/>
      <c r="V1088" s="314"/>
      <c r="W1088" s="314"/>
      <c r="X1088" s="314"/>
      <c r="Y1088" s="314"/>
      <c r="Z1088" s="314"/>
      <c r="AA1088" s="314"/>
      <c r="AB1088" s="314"/>
      <c r="AC1088" s="314"/>
      <c r="AD1088" s="314"/>
      <c r="AE1088" s="314"/>
      <c r="AF1088" s="314"/>
    </row>
    <row r="1089" spans="2:32" s="147" customFormat="1" ht="14.15" customHeight="1" x14ac:dyDescent="0.35">
      <c r="B1089" s="146"/>
      <c r="E1089" s="314"/>
      <c r="F1089" s="314"/>
      <c r="G1089" s="314"/>
      <c r="H1089" s="314"/>
      <c r="I1089" s="314"/>
      <c r="J1089" s="314"/>
      <c r="K1089" s="314"/>
      <c r="L1089" s="314"/>
      <c r="M1089" s="314"/>
      <c r="N1089" s="314"/>
      <c r="O1089" s="314"/>
      <c r="P1089" s="314"/>
      <c r="Q1089" s="314"/>
      <c r="R1089" s="314"/>
      <c r="S1089" s="314"/>
      <c r="T1089" s="314"/>
      <c r="U1089" s="314"/>
      <c r="V1089" s="314"/>
      <c r="W1089" s="314"/>
      <c r="X1089" s="314"/>
      <c r="Y1089" s="314"/>
      <c r="Z1089" s="314"/>
      <c r="AA1089" s="314"/>
      <c r="AB1089" s="314"/>
      <c r="AC1089" s="314"/>
      <c r="AD1089" s="314"/>
      <c r="AE1089" s="314"/>
      <c r="AF1089" s="314"/>
    </row>
    <row r="1090" spans="2:32" s="147" customFormat="1" ht="14.15" customHeight="1" x14ac:dyDescent="0.35">
      <c r="B1090" s="146"/>
      <c r="E1090" s="314"/>
      <c r="F1090" s="314"/>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c r="AA1090" s="314"/>
      <c r="AB1090" s="314"/>
      <c r="AC1090" s="314"/>
      <c r="AD1090" s="314"/>
      <c r="AE1090" s="314"/>
      <c r="AF1090" s="314"/>
    </row>
    <row r="1091" spans="2:32" s="147" customFormat="1" ht="14.15" customHeight="1" x14ac:dyDescent="0.35">
      <c r="B1091" s="146"/>
      <c r="E1091" s="314"/>
      <c r="F1091" s="314"/>
      <c r="G1091" s="314"/>
      <c r="H1091" s="314"/>
      <c r="I1091" s="314"/>
      <c r="J1091" s="314"/>
      <c r="K1091" s="314"/>
      <c r="L1091" s="314"/>
      <c r="M1091" s="314"/>
      <c r="N1091" s="314"/>
      <c r="O1091" s="314"/>
      <c r="P1091" s="314"/>
      <c r="Q1091" s="314"/>
      <c r="R1091" s="314"/>
      <c r="S1091" s="314"/>
      <c r="T1091" s="314"/>
      <c r="U1091" s="314"/>
      <c r="V1091" s="314"/>
      <c r="W1091" s="314"/>
      <c r="X1091" s="314"/>
      <c r="Y1091" s="314"/>
      <c r="Z1091" s="314"/>
      <c r="AA1091" s="314"/>
      <c r="AB1091" s="314"/>
      <c r="AC1091" s="314"/>
      <c r="AD1091" s="314"/>
      <c r="AE1091" s="314"/>
      <c r="AF1091" s="314"/>
    </row>
    <row r="1092" spans="2:32" s="147" customFormat="1" ht="14.15" customHeight="1" x14ac:dyDescent="0.35">
      <c r="B1092" s="146"/>
      <c r="E1092" s="314"/>
      <c r="F1092" s="314"/>
      <c r="G1092" s="314"/>
      <c r="H1092" s="314"/>
      <c r="I1092" s="314"/>
      <c r="J1092" s="314"/>
      <c r="K1092" s="314"/>
      <c r="L1092" s="314"/>
      <c r="M1092" s="314"/>
      <c r="N1092" s="314"/>
      <c r="O1092" s="314"/>
      <c r="P1092" s="314"/>
      <c r="Q1092" s="314"/>
      <c r="R1092" s="314"/>
      <c r="S1092" s="314"/>
      <c r="T1092" s="314"/>
      <c r="U1092" s="314"/>
      <c r="V1092" s="314"/>
      <c r="W1092" s="314"/>
      <c r="X1092" s="314"/>
      <c r="Y1092" s="314"/>
      <c r="Z1092" s="314"/>
      <c r="AA1092" s="314"/>
      <c r="AB1092" s="314"/>
      <c r="AC1092" s="314"/>
      <c r="AD1092" s="314"/>
      <c r="AE1092" s="314"/>
      <c r="AF1092" s="314"/>
    </row>
    <row r="1093" spans="2:32" s="147" customFormat="1" ht="14.15" customHeight="1" x14ac:dyDescent="0.35">
      <c r="B1093" s="146"/>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314"/>
      <c r="AE1093" s="314"/>
      <c r="AF1093" s="314"/>
    </row>
    <row r="1094" spans="2:32" s="147" customFormat="1" ht="14.15" customHeight="1" x14ac:dyDescent="0.35">
      <c r="B1094" s="146"/>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314"/>
      <c r="AF1094" s="314"/>
    </row>
    <row r="1095" spans="2:32" s="147" customFormat="1" ht="14.15" customHeight="1" x14ac:dyDescent="0.35">
      <c r="B1095" s="146"/>
      <c r="E1095" s="314"/>
      <c r="F1095" s="314"/>
      <c r="G1095" s="314"/>
      <c r="H1095" s="314"/>
      <c r="I1095" s="314"/>
      <c r="J1095" s="314"/>
      <c r="K1095" s="314"/>
      <c r="L1095" s="314"/>
      <c r="M1095" s="314"/>
      <c r="N1095" s="314"/>
      <c r="O1095" s="314"/>
      <c r="P1095" s="314"/>
      <c r="Q1095" s="314"/>
      <c r="R1095" s="314"/>
      <c r="S1095" s="314"/>
      <c r="T1095" s="314"/>
      <c r="U1095" s="314"/>
      <c r="V1095" s="314"/>
      <c r="W1095" s="314"/>
      <c r="X1095" s="314"/>
      <c r="Y1095" s="314"/>
      <c r="Z1095" s="314"/>
      <c r="AA1095" s="314"/>
      <c r="AB1095" s="314"/>
      <c r="AC1095" s="314"/>
      <c r="AD1095" s="314"/>
      <c r="AE1095" s="314"/>
      <c r="AF1095" s="314"/>
    </row>
    <row r="1096" spans="2:32" s="147" customFormat="1" ht="14.15" customHeight="1" x14ac:dyDescent="0.35">
      <c r="B1096" s="146"/>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314"/>
      <c r="AE1096" s="314"/>
      <c r="AF1096" s="314"/>
    </row>
    <row r="1097" spans="2:32" s="147" customFormat="1" ht="14.15" customHeight="1" x14ac:dyDescent="0.35">
      <c r="B1097" s="146"/>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4"/>
      <c r="AD1097" s="314"/>
      <c r="AE1097" s="314"/>
      <c r="AF1097" s="314"/>
    </row>
    <row r="1098" spans="2:32" s="147" customFormat="1" ht="14.15" customHeight="1" x14ac:dyDescent="0.35">
      <c r="B1098" s="146"/>
      <c r="E1098" s="314"/>
      <c r="F1098" s="314"/>
      <c r="G1098" s="314"/>
      <c r="H1098" s="314"/>
      <c r="I1098" s="314"/>
      <c r="J1098" s="314"/>
      <c r="K1098" s="314"/>
      <c r="L1098" s="314"/>
      <c r="M1098" s="314"/>
      <c r="N1098" s="314"/>
      <c r="O1098" s="314"/>
      <c r="P1098" s="314"/>
      <c r="Q1098" s="314"/>
      <c r="R1098" s="314"/>
      <c r="S1098" s="314"/>
      <c r="T1098" s="314"/>
      <c r="U1098" s="314"/>
      <c r="V1098" s="314"/>
      <c r="W1098" s="314"/>
      <c r="X1098" s="314"/>
      <c r="Y1098" s="314"/>
      <c r="Z1098" s="314"/>
      <c r="AA1098" s="314"/>
      <c r="AB1098" s="314"/>
      <c r="AC1098" s="314"/>
      <c r="AD1098" s="314"/>
      <c r="AE1098" s="314"/>
      <c r="AF1098" s="314"/>
    </row>
    <row r="1099" spans="2:32" s="147" customFormat="1" ht="14.15" customHeight="1" x14ac:dyDescent="0.35">
      <c r="B1099" s="146"/>
      <c r="E1099" s="314"/>
      <c r="F1099" s="314"/>
      <c r="G1099" s="314"/>
      <c r="H1099" s="314"/>
      <c r="I1099" s="314"/>
      <c r="J1099" s="314"/>
      <c r="K1099" s="314"/>
      <c r="L1099" s="314"/>
      <c r="M1099" s="314"/>
      <c r="N1099" s="314"/>
      <c r="O1099" s="314"/>
      <c r="P1099" s="314"/>
      <c r="Q1099" s="314"/>
      <c r="R1099" s="314"/>
      <c r="S1099" s="314"/>
      <c r="T1099" s="314"/>
      <c r="U1099" s="314"/>
      <c r="V1099" s="314"/>
      <c r="W1099" s="314"/>
      <c r="X1099" s="314"/>
      <c r="Y1099" s="314"/>
      <c r="Z1099" s="314"/>
      <c r="AA1099" s="314"/>
      <c r="AB1099" s="314"/>
      <c r="AC1099" s="314"/>
      <c r="AD1099" s="314"/>
      <c r="AE1099" s="314"/>
      <c r="AF1099" s="314"/>
    </row>
    <row r="1100" spans="2:32" s="147" customFormat="1" ht="14.15" customHeight="1" x14ac:dyDescent="0.35">
      <c r="B1100" s="146"/>
      <c r="E1100" s="314"/>
      <c r="F1100" s="314"/>
      <c r="G1100" s="314"/>
      <c r="H1100" s="314"/>
      <c r="I1100" s="314"/>
      <c r="J1100" s="314"/>
      <c r="K1100" s="314"/>
      <c r="L1100" s="314"/>
      <c r="M1100" s="314"/>
      <c r="N1100" s="314"/>
      <c r="O1100" s="314"/>
      <c r="P1100" s="314"/>
      <c r="Q1100" s="314"/>
      <c r="R1100" s="314"/>
      <c r="S1100" s="314"/>
      <c r="T1100" s="314"/>
      <c r="U1100" s="314"/>
      <c r="V1100" s="314"/>
      <c r="W1100" s="314"/>
      <c r="X1100" s="314"/>
      <c r="Y1100" s="314"/>
      <c r="Z1100" s="314"/>
      <c r="AA1100" s="314"/>
      <c r="AB1100" s="314"/>
      <c r="AC1100" s="314"/>
      <c r="AD1100" s="314"/>
      <c r="AE1100" s="314"/>
      <c r="AF1100" s="314"/>
    </row>
    <row r="1101" spans="2:32" s="147" customFormat="1" ht="14.15" customHeight="1" x14ac:dyDescent="0.35">
      <c r="B1101" s="146"/>
      <c r="E1101" s="314"/>
      <c r="F1101" s="314"/>
      <c r="G1101" s="314"/>
      <c r="H1101" s="314"/>
      <c r="I1101" s="314"/>
      <c r="J1101" s="314"/>
      <c r="K1101" s="314"/>
      <c r="L1101" s="314"/>
      <c r="M1101" s="314"/>
      <c r="N1101" s="314"/>
      <c r="O1101" s="314"/>
      <c r="P1101" s="314"/>
      <c r="Q1101" s="314"/>
      <c r="R1101" s="314"/>
      <c r="S1101" s="314"/>
      <c r="T1101" s="314"/>
      <c r="U1101" s="314"/>
      <c r="V1101" s="314"/>
      <c r="W1101" s="314"/>
      <c r="X1101" s="314"/>
      <c r="Y1101" s="314"/>
      <c r="Z1101" s="314"/>
      <c r="AA1101" s="314"/>
      <c r="AB1101" s="314"/>
      <c r="AC1101" s="314"/>
      <c r="AD1101" s="314"/>
      <c r="AE1101" s="314"/>
      <c r="AF1101" s="314"/>
    </row>
    <row r="1102" spans="2:32" s="147" customFormat="1" ht="14.15" customHeight="1" x14ac:dyDescent="0.35">
      <c r="B1102" s="146"/>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314"/>
      <c r="AE1102" s="314"/>
      <c r="AF1102" s="314"/>
    </row>
    <row r="1103" spans="2:32" s="147" customFormat="1" ht="14.15" customHeight="1" x14ac:dyDescent="0.35">
      <c r="B1103" s="146"/>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314"/>
      <c r="AF1103" s="314"/>
    </row>
    <row r="1104" spans="2:32" s="147" customFormat="1" ht="14.15" customHeight="1" x14ac:dyDescent="0.35">
      <c r="B1104" s="146"/>
      <c r="E1104" s="314"/>
      <c r="F1104" s="314"/>
      <c r="G1104" s="314"/>
      <c r="H1104" s="314"/>
      <c r="I1104" s="314"/>
      <c r="J1104" s="314"/>
      <c r="K1104" s="314"/>
      <c r="L1104" s="314"/>
      <c r="M1104" s="314"/>
      <c r="N1104" s="314"/>
      <c r="O1104" s="314"/>
      <c r="P1104" s="314"/>
      <c r="Q1104" s="314"/>
      <c r="R1104" s="314"/>
      <c r="S1104" s="314"/>
      <c r="T1104" s="314"/>
      <c r="U1104" s="314"/>
      <c r="V1104" s="314"/>
      <c r="W1104" s="314"/>
      <c r="X1104" s="314"/>
      <c r="Y1104" s="314"/>
      <c r="Z1104" s="314"/>
      <c r="AA1104" s="314"/>
      <c r="AB1104" s="314"/>
      <c r="AC1104" s="314"/>
      <c r="AD1104" s="314"/>
      <c r="AE1104" s="314"/>
      <c r="AF1104" s="314"/>
    </row>
    <row r="1105" spans="2:32" s="147" customFormat="1" ht="14.15" customHeight="1" x14ac:dyDescent="0.35">
      <c r="B1105" s="146"/>
      <c r="E1105" s="314"/>
      <c r="F1105" s="314"/>
      <c r="G1105" s="314"/>
      <c r="H1105" s="314"/>
      <c r="I1105" s="314"/>
      <c r="J1105" s="314"/>
      <c r="K1105" s="314"/>
      <c r="L1105" s="314"/>
      <c r="M1105" s="314"/>
      <c r="N1105" s="314"/>
      <c r="O1105" s="314"/>
      <c r="P1105" s="314"/>
      <c r="Q1105" s="314"/>
      <c r="R1105" s="314"/>
      <c r="S1105" s="314"/>
      <c r="T1105" s="314"/>
      <c r="U1105" s="314"/>
      <c r="V1105" s="314"/>
      <c r="W1105" s="314"/>
      <c r="X1105" s="314"/>
      <c r="Y1105" s="314"/>
      <c r="Z1105" s="314"/>
      <c r="AA1105" s="314"/>
      <c r="AB1105" s="314"/>
      <c r="AC1105" s="314"/>
      <c r="AD1105" s="314"/>
      <c r="AE1105" s="314"/>
      <c r="AF1105" s="314"/>
    </row>
    <row r="1106" spans="2:32" s="147" customFormat="1" ht="14.15" customHeight="1" x14ac:dyDescent="0.35">
      <c r="B1106" s="146"/>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314"/>
      <c r="AE1106" s="314"/>
      <c r="AF1106" s="314"/>
    </row>
    <row r="1107" spans="2:32" s="147" customFormat="1" ht="14.15" customHeight="1" x14ac:dyDescent="0.35">
      <c r="B1107" s="146"/>
      <c r="E1107" s="314"/>
      <c r="F1107" s="314"/>
      <c r="G1107" s="314"/>
      <c r="H1107" s="314"/>
      <c r="I1107" s="314"/>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314"/>
      <c r="AE1107" s="314"/>
      <c r="AF1107" s="314"/>
    </row>
    <row r="1108" spans="2:32" s="147" customFormat="1" ht="14.15" customHeight="1" x14ac:dyDescent="0.35">
      <c r="B1108" s="146"/>
      <c r="E1108" s="314"/>
      <c r="F1108" s="314"/>
      <c r="G1108" s="314"/>
      <c r="H1108" s="314"/>
      <c r="I1108" s="314"/>
      <c r="J1108" s="314"/>
      <c r="K1108" s="314"/>
      <c r="L1108" s="314"/>
      <c r="M1108" s="314"/>
      <c r="N1108" s="314"/>
      <c r="O1108" s="314"/>
      <c r="P1108" s="314"/>
      <c r="Q1108" s="314"/>
      <c r="R1108" s="314"/>
      <c r="S1108" s="314"/>
      <c r="T1108" s="314"/>
      <c r="U1108" s="314"/>
      <c r="V1108" s="314"/>
      <c r="W1108" s="314"/>
      <c r="X1108" s="314"/>
      <c r="Y1108" s="314"/>
      <c r="Z1108" s="314"/>
      <c r="AA1108" s="314"/>
      <c r="AB1108" s="314"/>
      <c r="AC1108" s="314"/>
      <c r="AD1108" s="314"/>
      <c r="AE1108" s="314"/>
      <c r="AF1108" s="314"/>
    </row>
    <row r="1109" spans="2:32" s="147" customFormat="1" ht="14.15" customHeight="1" x14ac:dyDescent="0.35">
      <c r="B1109" s="146"/>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314"/>
      <c r="AE1109" s="314"/>
      <c r="AF1109" s="314"/>
    </row>
    <row r="1110" spans="2:32" s="147" customFormat="1" ht="14.15" customHeight="1" x14ac:dyDescent="0.35">
      <c r="B1110" s="146"/>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314"/>
      <c r="AE1110" s="314"/>
      <c r="AF1110" s="314"/>
    </row>
    <row r="1111" spans="2:32" s="147" customFormat="1" ht="14.15" customHeight="1" x14ac:dyDescent="0.35">
      <c r="B1111" s="146"/>
      <c r="E1111" s="314"/>
      <c r="F1111" s="314"/>
      <c r="G1111" s="314"/>
      <c r="H1111" s="314"/>
      <c r="I1111" s="314"/>
      <c r="J1111" s="314"/>
      <c r="K1111" s="314"/>
      <c r="L1111" s="314"/>
      <c r="M1111" s="314"/>
      <c r="N1111" s="314"/>
      <c r="O1111" s="314"/>
      <c r="P1111" s="314"/>
      <c r="Q1111" s="314"/>
      <c r="R1111" s="314"/>
      <c r="S1111" s="314"/>
      <c r="T1111" s="314"/>
      <c r="U1111" s="314"/>
      <c r="V1111" s="314"/>
      <c r="W1111" s="314"/>
      <c r="X1111" s="314"/>
      <c r="Y1111" s="314"/>
      <c r="Z1111" s="314"/>
      <c r="AA1111" s="314"/>
      <c r="AB1111" s="314"/>
      <c r="AC1111" s="314"/>
      <c r="AD1111" s="314"/>
      <c r="AE1111" s="314"/>
      <c r="AF1111" s="314"/>
    </row>
    <row r="1112" spans="2:32" s="147" customFormat="1" ht="14.15" customHeight="1" x14ac:dyDescent="0.35">
      <c r="B1112" s="146"/>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4"/>
      <c r="AD1112" s="314"/>
      <c r="AE1112" s="314"/>
      <c r="AF1112" s="314"/>
    </row>
    <row r="1113" spans="2:32" s="147" customFormat="1" ht="14.15" customHeight="1" x14ac:dyDescent="0.35">
      <c r="B1113" s="146"/>
      <c r="E1113" s="314"/>
      <c r="F1113" s="314"/>
      <c r="G1113" s="314"/>
      <c r="H1113" s="314"/>
      <c r="I1113" s="314"/>
      <c r="J1113" s="314"/>
      <c r="K1113" s="314"/>
      <c r="L1113" s="314"/>
      <c r="M1113" s="314"/>
      <c r="N1113" s="314"/>
      <c r="O1113" s="314"/>
      <c r="P1113" s="314"/>
      <c r="Q1113" s="314"/>
      <c r="R1113" s="314"/>
      <c r="S1113" s="314"/>
      <c r="T1113" s="314"/>
      <c r="U1113" s="314"/>
      <c r="V1113" s="314"/>
      <c r="W1113" s="314"/>
      <c r="X1113" s="314"/>
      <c r="Y1113" s="314"/>
      <c r="Z1113" s="314"/>
      <c r="AA1113" s="314"/>
      <c r="AB1113" s="314"/>
      <c r="AC1113" s="314"/>
      <c r="AD1113" s="314"/>
      <c r="AE1113" s="314"/>
      <c r="AF1113" s="314"/>
    </row>
    <row r="1114" spans="2:32" s="147" customFormat="1" ht="14.15" customHeight="1" x14ac:dyDescent="0.35">
      <c r="B1114" s="146"/>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4"/>
      <c r="AD1114" s="314"/>
      <c r="AE1114" s="314"/>
      <c r="AF1114" s="314"/>
    </row>
    <row r="1115" spans="2:32" s="147" customFormat="1" ht="14.15" customHeight="1" x14ac:dyDescent="0.35">
      <c r="B1115" s="146"/>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4"/>
      <c r="AD1115" s="314"/>
      <c r="AE1115" s="314"/>
      <c r="AF1115" s="314"/>
    </row>
    <row r="1116" spans="2:32" s="147" customFormat="1" ht="14.15" customHeight="1" x14ac:dyDescent="0.35">
      <c r="B1116" s="146"/>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4"/>
      <c r="AD1116" s="314"/>
      <c r="AE1116" s="314"/>
      <c r="AF1116" s="314"/>
    </row>
    <row r="1117" spans="2:32" s="147" customFormat="1" ht="14.15" customHeight="1" x14ac:dyDescent="0.35">
      <c r="B1117" s="146"/>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4"/>
      <c r="AD1117" s="314"/>
      <c r="AE1117" s="314"/>
      <c r="AF1117" s="314"/>
    </row>
    <row r="1118" spans="2:32" s="147" customFormat="1" ht="14.15" customHeight="1" x14ac:dyDescent="0.35">
      <c r="B1118" s="146"/>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4"/>
      <c r="AD1118" s="314"/>
      <c r="AE1118" s="314"/>
      <c r="AF1118" s="314"/>
    </row>
    <row r="1119" spans="2:32" s="147" customFormat="1" ht="14.15" customHeight="1" x14ac:dyDescent="0.35">
      <c r="B1119" s="146"/>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314"/>
      <c r="AE1119" s="314"/>
      <c r="AF1119" s="314"/>
    </row>
    <row r="1120" spans="2:32" s="147" customFormat="1" ht="14.15" customHeight="1" x14ac:dyDescent="0.35">
      <c r="B1120" s="146"/>
      <c r="E1120" s="314"/>
      <c r="F1120" s="314"/>
      <c r="G1120" s="314"/>
      <c r="H1120" s="314"/>
      <c r="I1120" s="314"/>
      <c r="J1120" s="314"/>
      <c r="K1120" s="314"/>
      <c r="L1120" s="314"/>
      <c r="M1120" s="314"/>
      <c r="N1120" s="314"/>
      <c r="O1120" s="314"/>
      <c r="P1120" s="314"/>
      <c r="Q1120" s="314"/>
      <c r="R1120" s="314"/>
      <c r="S1120" s="314"/>
      <c r="T1120" s="314"/>
      <c r="U1120" s="314"/>
      <c r="V1120" s="314"/>
      <c r="W1120" s="314"/>
      <c r="X1120" s="314"/>
      <c r="Y1120" s="314"/>
      <c r="Z1120" s="314"/>
      <c r="AA1120" s="314"/>
      <c r="AB1120" s="314"/>
      <c r="AC1120" s="314"/>
      <c r="AD1120" s="314"/>
      <c r="AE1120" s="314"/>
      <c r="AF1120" s="314"/>
    </row>
    <row r="1121" spans="2:32" s="147" customFormat="1" ht="14.15" customHeight="1" x14ac:dyDescent="0.35">
      <c r="B1121" s="146"/>
      <c r="E1121" s="314"/>
      <c r="F1121" s="314"/>
      <c r="G1121" s="314"/>
      <c r="H1121" s="314"/>
      <c r="I1121" s="314"/>
      <c r="J1121" s="314"/>
      <c r="K1121" s="314"/>
      <c r="L1121" s="314"/>
      <c r="M1121" s="314"/>
      <c r="N1121" s="314"/>
      <c r="O1121" s="314"/>
      <c r="P1121" s="314"/>
      <c r="Q1121" s="314"/>
      <c r="R1121" s="314"/>
      <c r="S1121" s="314"/>
      <c r="T1121" s="314"/>
      <c r="U1121" s="314"/>
      <c r="V1121" s="314"/>
      <c r="W1121" s="314"/>
      <c r="X1121" s="314"/>
      <c r="Y1121" s="314"/>
      <c r="Z1121" s="314"/>
      <c r="AA1121" s="314"/>
      <c r="AB1121" s="314"/>
      <c r="AC1121" s="314"/>
      <c r="AD1121" s="314"/>
      <c r="AE1121" s="314"/>
      <c r="AF1121" s="314"/>
    </row>
    <row r="1122" spans="2:32" s="147" customFormat="1" ht="14.15" customHeight="1" x14ac:dyDescent="0.35">
      <c r="B1122" s="146"/>
      <c r="E1122" s="314"/>
      <c r="F1122" s="314"/>
      <c r="G1122" s="314"/>
      <c r="H1122" s="314"/>
      <c r="I1122" s="314"/>
      <c r="J1122" s="314"/>
      <c r="K1122" s="314"/>
      <c r="L1122" s="314"/>
      <c r="M1122" s="314"/>
      <c r="N1122" s="314"/>
      <c r="O1122" s="314"/>
      <c r="P1122" s="314"/>
      <c r="Q1122" s="314"/>
      <c r="R1122" s="314"/>
      <c r="S1122" s="314"/>
      <c r="T1122" s="314"/>
      <c r="U1122" s="314"/>
      <c r="V1122" s="314"/>
      <c r="W1122" s="314"/>
      <c r="X1122" s="314"/>
      <c r="Y1122" s="314"/>
      <c r="Z1122" s="314"/>
      <c r="AA1122" s="314"/>
      <c r="AB1122" s="314"/>
      <c r="AC1122" s="314"/>
      <c r="AD1122" s="314"/>
      <c r="AE1122" s="314"/>
      <c r="AF1122" s="314"/>
    </row>
    <row r="1123" spans="2:32" s="147" customFormat="1" ht="14.15" customHeight="1" x14ac:dyDescent="0.35">
      <c r="B1123" s="146"/>
      <c r="E1123" s="314"/>
      <c r="F1123" s="314"/>
      <c r="G1123" s="314"/>
      <c r="H1123" s="314"/>
      <c r="I1123" s="314"/>
      <c r="J1123" s="314"/>
      <c r="K1123" s="314"/>
      <c r="L1123" s="314"/>
      <c r="M1123" s="314"/>
      <c r="N1123" s="314"/>
      <c r="O1123" s="314"/>
      <c r="P1123" s="314"/>
      <c r="Q1123" s="314"/>
      <c r="R1123" s="314"/>
      <c r="S1123" s="314"/>
      <c r="T1123" s="314"/>
      <c r="U1123" s="314"/>
      <c r="V1123" s="314"/>
      <c r="W1123" s="314"/>
      <c r="X1123" s="314"/>
      <c r="Y1123" s="314"/>
      <c r="Z1123" s="314"/>
      <c r="AA1123" s="314"/>
      <c r="AB1123" s="314"/>
      <c r="AC1123" s="314"/>
      <c r="AD1123" s="314"/>
      <c r="AE1123" s="314"/>
      <c r="AF1123" s="314"/>
    </row>
    <row r="1124" spans="2:32" s="147" customFormat="1" ht="14.15" customHeight="1" x14ac:dyDescent="0.35">
      <c r="B1124" s="146"/>
      <c r="E1124" s="314"/>
      <c r="F1124" s="314"/>
      <c r="G1124" s="314"/>
      <c r="H1124" s="314"/>
      <c r="I1124" s="314"/>
      <c r="J1124" s="314"/>
      <c r="K1124" s="314"/>
      <c r="L1124" s="314"/>
      <c r="M1124" s="314"/>
      <c r="N1124" s="314"/>
      <c r="O1124" s="314"/>
      <c r="P1124" s="314"/>
      <c r="Q1124" s="314"/>
      <c r="R1124" s="314"/>
      <c r="S1124" s="314"/>
      <c r="T1124" s="314"/>
      <c r="U1124" s="314"/>
      <c r="V1124" s="314"/>
      <c r="W1124" s="314"/>
      <c r="X1124" s="314"/>
      <c r="Y1124" s="314"/>
      <c r="Z1124" s="314"/>
      <c r="AA1124" s="314"/>
      <c r="AB1124" s="314"/>
      <c r="AC1124" s="314"/>
      <c r="AD1124" s="314"/>
      <c r="AE1124" s="314"/>
      <c r="AF1124" s="314"/>
    </row>
    <row r="1125" spans="2:32" s="147" customFormat="1" ht="14.15" customHeight="1" x14ac:dyDescent="0.35">
      <c r="B1125" s="146"/>
      <c r="E1125" s="314"/>
      <c r="F1125" s="314"/>
      <c r="G1125" s="314"/>
      <c r="H1125" s="314"/>
      <c r="I1125" s="314"/>
      <c r="J1125" s="314"/>
      <c r="K1125" s="314"/>
      <c r="L1125" s="314"/>
      <c r="M1125" s="314"/>
      <c r="N1125" s="314"/>
      <c r="O1125" s="314"/>
      <c r="P1125" s="314"/>
      <c r="Q1125" s="314"/>
      <c r="R1125" s="314"/>
      <c r="S1125" s="314"/>
      <c r="T1125" s="314"/>
      <c r="U1125" s="314"/>
      <c r="V1125" s="314"/>
      <c r="W1125" s="314"/>
      <c r="X1125" s="314"/>
      <c r="Y1125" s="314"/>
      <c r="Z1125" s="314"/>
      <c r="AA1125" s="314"/>
      <c r="AB1125" s="314"/>
      <c r="AC1125" s="314"/>
      <c r="AD1125" s="314"/>
      <c r="AE1125" s="314"/>
      <c r="AF1125" s="314"/>
    </row>
    <row r="1126" spans="2:32" s="147" customFormat="1" ht="14.15" customHeight="1" x14ac:dyDescent="0.35">
      <c r="B1126" s="146"/>
      <c r="E1126" s="314"/>
      <c r="F1126" s="314"/>
      <c r="G1126" s="314"/>
      <c r="H1126" s="314"/>
      <c r="I1126" s="314"/>
      <c r="J1126" s="314"/>
      <c r="K1126" s="314"/>
      <c r="L1126" s="314"/>
      <c r="M1126" s="314"/>
      <c r="N1126" s="314"/>
      <c r="O1126" s="314"/>
      <c r="P1126" s="314"/>
      <c r="Q1126" s="314"/>
      <c r="R1126" s="314"/>
      <c r="S1126" s="314"/>
      <c r="T1126" s="314"/>
      <c r="U1126" s="314"/>
      <c r="V1126" s="314"/>
      <c r="W1126" s="314"/>
      <c r="X1126" s="314"/>
      <c r="Y1126" s="314"/>
      <c r="Z1126" s="314"/>
      <c r="AA1126" s="314"/>
      <c r="AB1126" s="314"/>
      <c r="AC1126" s="314"/>
      <c r="AD1126" s="314"/>
      <c r="AE1126" s="314"/>
      <c r="AF1126" s="314"/>
    </row>
    <row r="1127" spans="2:32" s="147" customFormat="1" ht="14.15" customHeight="1" x14ac:dyDescent="0.35">
      <c r="B1127" s="146"/>
      <c r="E1127" s="314"/>
      <c r="F1127" s="314"/>
      <c r="G1127" s="314"/>
      <c r="H1127" s="314"/>
      <c r="I1127" s="314"/>
      <c r="J1127" s="314"/>
      <c r="K1127" s="314"/>
      <c r="L1127" s="314"/>
      <c r="M1127" s="314"/>
      <c r="N1127" s="314"/>
      <c r="O1127" s="314"/>
      <c r="P1127" s="314"/>
      <c r="Q1127" s="314"/>
      <c r="R1127" s="314"/>
      <c r="S1127" s="314"/>
      <c r="T1127" s="314"/>
      <c r="U1127" s="314"/>
      <c r="V1127" s="314"/>
      <c r="W1127" s="314"/>
      <c r="X1127" s="314"/>
      <c r="Y1127" s="314"/>
      <c r="Z1127" s="314"/>
      <c r="AA1127" s="314"/>
      <c r="AB1127" s="314"/>
      <c r="AC1127" s="314"/>
      <c r="AD1127" s="314"/>
      <c r="AE1127" s="314"/>
      <c r="AF1127" s="314"/>
    </row>
    <row r="1128" spans="2:32" s="147" customFormat="1" ht="14.15" customHeight="1" x14ac:dyDescent="0.35">
      <c r="B1128" s="146"/>
      <c r="E1128" s="314"/>
      <c r="F1128" s="314"/>
      <c r="G1128" s="314"/>
      <c r="H1128" s="314"/>
      <c r="I1128" s="314"/>
      <c r="J1128" s="314"/>
      <c r="K1128" s="314"/>
      <c r="L1128" s="314"/>
      <c r="M1128" s="314"/>
      <c r="N1128" s="314"/>
      <c r="O1128" s="314"/>
      <c r="P1128" s="314"/>
      <c r="Q1128" s="314"/>
      <c r="R1128" s="314"/>
      <c r="S1128" s="314"/>
      <c r="T1128" s="314"/>
      <c r="U1128" s="314"/>
      <c r="V1128" s="314"/>
      <c r="W1128" s="314"/>
      <c r="X1128" s="314"/>
      <c r="Y1128" s="314"/>
      <c r="Z1128" s="314"/>
      <c r="AA1128" s="314"/>
      <c r="AB1128" s="314"/>
      <c r="AC1128" s="314"/>
      <c r="AD1128" s="314"/>
      <c r="AE1128" s="314"/>
      <c r="AF1128" s="314"/>
    </row>
    <row r="1129" spans="2:32" s="147" customFormat="1" ht="14.15" customHeight="1" x14ac:dyDescent="0.35">
      <c r="B1129" s="146"/>
      <c r="E1129" s="314"/>
      <c r="F1129" s="314"/>
      <c r="G1129" s="314"/>
      <c r="H1129" s="314"/>
      <c r="I1129" s="314"/>
      <c r="J1129" s="314"/>
      <c r="K1129" s="314"/>
      <c r="L1129" s="314"/>
      <c r="M1129" s="314"/>
      <c r="N1129" s="314"/>
      <c r="O1129" s="314"/>
      <c r="P1129" s="314"/>
      <c r="Q1129" s="314"/>
      <c r="R1129" s="314"/>
      <c r="S1129" s="314"/>
      <c r="T1129" s="314"/>
      <c r="U1129" s="314"/>
      <c r="V1129" s="314"/>
      <c r="W1129" s="314"/>
      <c r="X1129" s="314"/>
      <c r="Y1129" s="314"/>
      <c r="Z1129" s="314"/>
      <c r="AA1129" s="314"/>
      <c r="AB1129" s="314"/>
      <c r="AC1129" s="314"/>
      <c r="AD1129" s="314"/>
      <c r="AE1129" s="314"/>
      <c r="AF1129" s="314"/>
    </row>
    <row r="1130" spans="2:32" s="147" customFormat="1" ht="14.15" customHeight="1" x14ac:dyDescent="0.35">
      <c r="B1130" s="146"/>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4"/>
      <c r="AD1130" s="314"/>
      <c r="AE1130" s="314"/>
      <c r="AF1130" s="314"/>
    </row>
    <row r="1131" spans="2:32" s="147" customFormat="1" ht="14.15" customHeight="1" x14ac:dyDescent="0.35">
      <c r="B1131" s="146"/>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4"/>
      <c r="AD1131" s="314"/>
      <c r="AE1131" s="314"/>
      <c r="AF1131" s="314"/>
    </row>
    <row r="1132" spans="2:32" s="147" customFormat="1" ht="14.15" customHeight="1" x14ac:dyDescent="0.35">
      <c r="B1132" s="146"/>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314"/>
      <c r="AE1132" s="314"/>
      <c r="AF1132" s="314"/>
    </row>
    <row r="1133" spans="2:32" s="147" customFormat="1" ht="14.15" customHeight="1" x14ac:dyDescent="0.35">
      <c r="B1133" s="146"/>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314"/>
      <c r="AF1133" s="314"/>
    </row>
    <row r="1134" spans="2:32" s="147" customFormat="1" ht="14.15" customHeight="1" x14ac:dyDescent="0.35">
      <c r="B1134" s="146"/>
      <c r="E1134" s="314"/>
      <c r="F1134" s="314"/>
      <c r="G1134" s="314"/>
      <c r="H1134" s="314"/>
      <c r="I1134" s="314"/>
      <c r="J1134" s="314"/>
      <c r="K1134" s="314"/>
      <c r="L1134" s="314"/>
      <c r="M1134" s="314"/>
      <c r="N1134" s="314"/>
      <c r="O1134" s="314"/>
      <c r="P1134" s="314"/>
      <c r="Q1134" s="314"/>
      <c r="R1134" s="314"/>
      <c r="S1134" s="314"/>
      <c r="T1134" s="314"/>
      <c r="U1134" s="314"/>
      <c r="V1134" s="314"/>
      <c r="W1134" s="314"/>
      <c r="X1134" s="314"/>
      <c r="Y1134" s="314"/>
      <c r="Z1134" s="314"/>
      <c r="AA1134" s="314"/>
      <c r="AB1134" s="314"/>
      <c r="AC1134" s="314"/>
      <c r="AD1134" s="314"/>
      <c r="AE1134" s="314"/>
      <c r="AF1134" s="314"/>
    </row>
    <row r="1135" spans="2:32" s="147" customFormat="1" ht="14.15" customHeight="1" x14ac:dyDescent="0.35">
      <c r="B1135" s="146"/>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314"/>
      <c r="AE1135" s="314"/>
      <c r="AF1135" s="314"/>
    </row>
    <row r="1136" spans="2:32" s="147" customFormat="1" ht="14.15" customHeight="1" x14ac:dyDescent="0.35">
      <c r="B1136" s="146"/>
      <c r="E1136" s="314"/>
      <c r="F1136" s="314"/>
      <c r="G1136" s="314"/>
      <c r="H1136" s="314"/>
      <c r="I1136" s="314"/>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314"/>
      <c r="AE1136" s="314"/>
      <c r="AF1136" s="314"/>
    </row>
    <row r="1137" spans="2:32" s="147" customFormat="1" ht="14.15" customHeight="1" x14ac:dyDescent="0.35">
      <c r="B1137" s="146"/>
      <c r="E1137" s="314"/>
      <c r="F1137" s="314"/>
      <c r="G1137" s="314"/>
      <c r="H1137" s="314"/>
      <c r="I1137" s="314"/>
      <c r="J1137" s="314"/>
      <c r="K1137" s="314"/>
      <c r="L1137" s="314"/>
      <c r="M1137" s="314"/>
      <c r="N1137" s="314"/>
      <c r="O1137" s="314"/>
      <c r="P1137" s="314"/>
      <c r="Q1137" s="314"/>
      <c r="R1137" s="314"/>
      <c r="S1137" s="314"/>
      <c r="T1137" s="314"/>
      <c r="U1137" s="314"/>
      <c r="V1137" s="314"/>
      <c r="W1137" s="314"/>
      <c r="X1137" s="314"/>
      <c r="Y1137" s="314"/>
      <c r="Z1137" s="314"/>
      <c r="AA1137" s="314"/>
      <c r="AB1137" s="314"/>
      <c r="AC1137" s="314"/>
      <c r="AD1137" s="314"/>
      <c r="AE1137" s="314"/>
      <c r="AF1137" s="314"/>
    </row>
    <row r="1138" spans="2:32" s="147" customFormat="1" ht="14.15" customHeight="1" x14ac:dyDescent="0.35">
      <c r="B1138" s="146"/>
      <c r="E1138" s="314"/>
      <c r="F1138" s="314"/>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c r="AA1138" s="314"/>
      <c r="AB1138" s="314"/>
      <c r="AC1138" s="314"/>
      <c r="AD1138" s="314"/>
      <c r="AE1138" s="314"/>
      <c r="AF1138" s="314"/>
    </row>
    <row r="1139" spans="2:32" s="147" customFormat="1" ht="14.15" customHeight="1" x14ac:dyDescent="0.35">
      <c r="B1139" s="146"/>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4"/>
      <c r="AD1139" s="314"/>
      <c r="AE1139" s="314"/>
      <c r="AF1139" s="314"/>
    </row>
    <row r="1140" spans="2:32" s="147" customFormat="1" ht="14.15" customHeight="1" x14ac:dyDescent="0.35">
      <c r="B1140" s="146"/>
      <c r="E1140" s="314"/>
      <c r="F1140" s="314"/>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c r="AA1140" s="314"/>
      <c r="AB1140" s="314"/>
      <c r="AC1140" s="314"/>
      <c r="AD1140" s="314"/>
      <c r="AE1140" s="314"/>
      <c r="AF1140" s="314"/>
    </row>
    <row r="1141" spans="2:32" s="147" customFormat="1" ht="14.15" customHeight="1" x14ac:dyDescent="0.35">
      <c r="B1141" s="146"/>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314"/>
      <c r="AE1141" s="314"/>
      <c r="AF1141" s="314"/>
    </row>
    <row r="1142" spans="2:32" s="147" customFormat="1" ht="14.15" customHeight="1" x14ac:dyDescent="0.35">
      <c r="B1142" s="146"/>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314"/>
      <c r="AF1142" s="314"/>
    </row>
    <row r="1143" spans="2:32" s="147" customFormat="1" ht="14.15" customHeight="1" x14ac:dyDescent="0.35">
      <c r="B1143" s="146"/>
      <c r="E1143" s="314"/>
      <c r="F1143" s="314"/>
      <c r="G1143" s="314"/>
      <c r="H1143" s="314"/>
      <c r="I1143" s="314"/>
      <c r="J1143" s="314"/>
      <c r="K1143" s="314"/>
      <c r="L1143" s="314"/>
      <c r="M1143" s="314"/>
      <c r="N1143" s="314"/>
      <c r="O1143" s="314"/>
      <c r="P1143" s="314"/>
      <c r="Q1143" s="314"/>
      <c r="R1143" s="314"/>
      <c r="S1143" s="314"/>
      <c r="T1143" s="314"/>
      <c r="U1143" s="314"/>
      <c r="V1143" s="314"/>
      <c r="W1143" s="314"/>
      <c r="X1143" s="314"/>
      <c r="Y1143" s="314"/>
      <c r="Z1143" s="314"/>
      <c r="AA1143" s="314"/>
      <c r="AB1143" s="314"/>
      <c r="AC1143" s="314"/>
      <c r="AD1143" s="314"/>
      <c r="AE1143" s="314"/>
      <c r="AF1143" s="314"/>
    </row>
    <row r="1144" spans="2:32" s="147" customFormat="1" ht="14.15" customHeight="1" x14ac:dyDescent="0.35">
      <c r="B1144" s="146"/>
      <c r="E1144" s="314"/>
      <c r="F1144" s="314"/>
      <c r="G1144" s="314"/>
      <c r="H1144" s="314"/>
      <c r="I1144" s="314"/>
      <c r="J1144" s="314"/>
      <c r="K1144" s="314"/>
      <c r="L1144" s="314"/>
      <c r="M1144" s="314"/>
      <c r="N1144" s="314"/>
      <c r="O1144" s="314"/>
      <c r="P1144" s="314"/>
      <c r="Q1144" s="314"/>
      <c r="R1144" s="314"/>
      <c r="S1144" s="314"/>
      <c r="T1144" s="314"/>
      <c r="U1144" s="314"/>
      <c r="V1144" s="314"/>
      <c r="W1144" s="314"/>
      <c r="X1144" s="314"/>
      <c r="Y1144" s="314"/>
      <c r="Z1144" s="314"/>
      <c r="AA1144" s="314"/>
      <c r="AB1144" s="314"/>
      <c r="AC1144" s="314"/>
      <c r="AD1144" s="314"/>
      <c r="AE1144" s="314"/>
      <c r="AF1144" s="314"/>
    </row>
    <row r="1145" spans="2:32" s="147" customFormat="1" ht="14.15" customHeight="1" x14ac:dyDescent="0.35">
      <c r="B1145" s="146"/>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314"/>
      <c r="AE1145" s="314"/>
      <c r="AF1145" s="314"/>
    </row>
    <row r="1146" spans="2:32" s="147" customFormat="1" ht="14.15" customHeight="1" x14ac:dyDescent="0.35">
      <c r="B1146" s="146"/>
      <c r="E1146" s="314"/>
      <c r="F1146" s="314"/>
      <c r="G1146" s="314"/>
      <c r="H1146" s="314"/>
      <c r="I1146" s="314"/>
      <c r="J1146" s="314"/>
      <c r="K1146" s="314"/>
      <c r="L1146" s="314"/>
      <c r="M1146" s="314"/>
      <c r="N1146" s="314"/>
      <c r="O1146" s="314"/>
      <c r="P1146" s="314"/>
      <c r="Q1146" s="314"/>
      <c r="R1146" s="314"/>
      <c r="S1146" s="314"/>
      <c r="T1146" s="314"/>
      <c r="U1146" s="314"/>
      <c r="V1146" s="314"/>
      <c r="W1146" s="314"/>
      <c r="X1146" s="314"/>
      <c r="Y1146" s="314"/>
      <c r="Z1146" s="314"/>
      <c r="AA1146" s="314"/>
      <c r="AB1146" s="314"/>
      <c r="AC1146" s="314"/>
      <c r="AD1146" s="314"/>
      <c r="AE1146" s="314"/>
      <c r="AF1146" s="314"/>
    </row>
    <row r="1147" spans="2:32" s="147" customFormat="1" ht="14.15" customHeight="1" x14ac:dyDescent="0.35">
      <c r="B1147" s="146"/>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314"/>
      <c r="AE1147" s="314"/>
      <c r="AF1147" s="314"/>
    </row>
    <row r="1148" spans="2:32" s="147" customFormat="1" ht="14.15" customHeight="1" x14ac:dyDescent="0.35">
      <c r="B1148" s="146"/>
      <c r="E1148" s="314"/>
      <c r="F1148" s="314"/>
      <c r="G1148" s="314"/>
      <c r="H1148" s="314"/>
      <c r="I1148" s="314"/>
      <c r="J1148" s="314"/>
      <c r="K1148" s="314"/>
      <c r="L1148" s="314"/>
      <c r="M1148" s="314"/>
      <c r="N1148" s="314"/>
      <c r="O1148" s="314"/>
      <c r="P1148" s="314"/>
      <c r="Q1148" s="314"/>
      <c r="R1148" s="314"/>
      <c r="S1148" s="314"/>
      <c r="T1148" s="314"/>
      <c r="U1148" s="314"/>
      <c r="V1148" s="314"/>
      <c r="W1148" s="314"/>
      <c r="X1148" s="314"/>
      <c r="Y1148" s="314"/>
      <c r="Z1148" s="314"/>
      <c r="AA1148" s="314"/>
      <c r="AB1148" s="314"/>
      <c r="AC1148" s="314"/>
      <c r="AD1148" s="314"/>
      <c r="AE1148" s="314"/>
      <c r="AF1148" s="314"/>
    </row>
    <row r="1149" spans="2:32" s="147" customFormat="1" ht="14.15" customHeight="1" x14ac:dyDescent="0.35">
      <c r="B1149" s="146"/>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4"/>
      <c r="AD1149" s="314"/>
      <c r="AE1149" s="314"/>
      <c r="AF1149" s="314"/>
    </row>
    <row r="1150" spans="2:32" s="147" customFormat="1" ht="14.15" customHeight="1" x14ac:dyDescent="0.35">
      <c r="B1150" s="146"/>
      <c r="E1150" s="314"/>
      <c r="F1150" s="314"/>
      <c r="G1150" s="314"/>
      <c r="H1150" s="314"/>
      <c r="I1150" s="314"/>
      <c r="J1150" s="314"/>
      <c r="K1150" s="314"/>
      <c r="L1150" s="314"/>
      <c r="M1150" s="314"/>
      <c r="N1150" s="314"/>
      <c r="O1150" s="314"/>
      <c r="P1150" s="314"/>
      <c r="Q1150" s="314"/>
      <c r="R1150" s="314"/>
      <c r="S1150" s="314"/>
      <c r="T1150" s="314"/>
      <c r="U1150" s="314"/>
      <c r="V1150" s="314"/>
      <c r="W1150" s="314"/>
      <c r="X1150" s="314"/>
      <c r="Y1150" s="314"/>
      <c r="Z1150" s="314"/>
      <c r="AA1150" s="314"/>
      <c r="AB1150" s="314"/>
      <c r="AC1150" s="314"/>
      <c r="AD1150" s="314"/>
      <c r="AE1150" s="314"/>
      <c r="AF1150" s="314"/>
    </row>
    <row r="1151" spans="2:32" s="147" customFormat="1" ht="14.15" customHeight="1" x14ac:dyDescent="0.35">
      <c r="B1151" s="146"/>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4"/>
      <c r="AD1151" s="314"/>
      <c r="AE1151" s="314"/>
      <c r="AF1151" s="314"/>
    </row>
    <row r="1152" spans="2:32" s="147" customFormat="1" ht="14.15" customHeight="1" x14ac:dyDescent="0.35">
      <c r="B1152" s="146"/>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4"/>
      <c r="AD1152" s="314"/>
      <c r="AE1152" s="314"/>
      <c r="AF1152" s="314"/>
    </row>
    <row r="1153" spans="2:32" s="147" customFormat="1" ht="14.15" customHeight="1" x14ac:dyDescent="0.35">
      <c r="B1153" s="146"/>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4"/>
      <c r="AD1153" s="314"/>
      <c r="AE1153" s="314"/>
      <c r="AF1153" s="314"/>
    </row>
    <row r="1154" spans="2:32" s="147" customFormat="1" ht="14.15" customHeight="1" x14ac:dyDescent="0.35">
      <c r="B1154" s="146"/>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4"/>
      <c r="AD1154" s="314"/>
      <c r="AE1154" s="314"/>
      <c r="AF1154" s="314"/>
    </row>
    <row r="1155" spans="2:32" s="147" customFormat="1" ht="14.15" customHeight="1" x14ac:dyDescent="0.35">
      <c r="B1155" s="146"/>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4"/>
      <c r="AD1155" s="314"/>
      <c r="AE1155" s="314"/>
      <c r="AF1155" s="314"/>
    </row>
    <row r="1156" spans="2:32" s="147" customFormat="1" ht="14.15" customHeight="1" x14ac:dyDescent="0.35">
      <c r="B1156" s="146"/>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314"/>
      <c r="AE1156" s="314"/>
      <c r="AF1156" s="314"/>
    </row>
    <row r="1157" spans="2:32" s="147" customFormat="1" ht="14.15" customHeight="1" x14ac:dyDescent="0.35">
      <c r="B1157" s="146"/>
      <c r="E1157" s="314"/>
      <c r="F1157" s="314"/>
      <c r="G1157" s="314"/>
      <c r="H1157" s="314"/>
      <c r="I1157" s="314"/>
      <c r="J1157" s="314"/>
      <c r="K1157" s="314"/>
      <c r="L1157" s="314"/>
      <c r="M1157" s="314"/>
      <c r="N1157" s="314"/>
      <c r="O1157" s="314"/>
      <c r="P1157" s="314"/>
      <c r="Q1157" s="314"/>
      <c r="R1157" s="314"/>
      <c r="S1157" s="314"/>
      <c r="T1157" s="314"/>
      <c r="U1157" s="314"/>
      <c r="V1157" s="314"/>
      <c r="W1157" s="314"/>
      <c r="X1157" s="314"/>
      <c r="Y1157" s="314"/>
      <c r="Z1157" s="314"/>
      <c r="AA1157" s="314"/>
      <c r="AB1157" s="314"/>
      <c r="AC1157" s="314"/>
      <c r="AD1157" s="314"/>
      <c r="AE1157" s="314"/>
      <c r="AF1157" s="314"/>
    </row>
    <row r="1158" spans="2:32" s="147" customFormat="1" ht="14.15" customHeight="1" x14ac:dyDescent="0.35">
      <c r="B1158" s="146"/>
      <c r="E1158" s="314"/>
      <c r="F1158" s="314"/>
      <c r="G1158" s="314"/>
      <c r="H1158" s="314"/>
      <c r="I1158" s="314"/>
      <c r="J1158" s="314"/>
      <c r="K1158" s="314"/>
      <c r="L1158" s="314"/>
      <c r="M1158" s="314"/>
      <c r="N1158" s="314"/>
      <c r="O1158" s="314"/>
      <c r="P1158" s="314"/>
      <c r="Q1158" s="314"/>
      <c r="R1158" s="314"/>
      <c r="S1158" s="314"/>
      <c r="T1158" s="314"/>
      <c r="U1158" s="314"/>
      <c r="V1158" s="314"/>
      <c r="W1158" s="314"/>
      <c r="X1158" s="314"/>
      <c r="Y1158" s="314"/>
      <c r="Z1158" s="314"/>
      <c r="AA1158" s="314"/>
      <c r="AB1158" s="314"/>
      <c r="AC1158" s="314"/>
      <c r="AD1158" s="314"/>
      <c r="AE1158" s="314"/>
      <c r="AF1158" s="314"/>
    </row>
    <row r="1159" spans="2:32" s="147" customFormat="1" ht="14.15" customHeight="1" x14ac:dyDescent="0.35">
      <c r="B1159" s="146"/>
      <c r="E1159" s="314"/>
      <c r="F1159" s="314"/>
      <c r="G1159" s="314"/>
      <c r="H1159" s="314"/>
      <c r="I1159" s="314"/>
      <c r="J1159" s="314"/>
      <c r="K1159" s="314"/>
      <c r="L1159" s="314"/>
      <c r="M1159" s="314"/>
      <c r="N1159" s="314"/>
      <c r="O1159" s="314"/>
      <c r="P1159" s="314"/>
      <c r="Q1159" s="314"/>
      <c r="R1159" s="314"/>
      <c r="S1159" s="314"/>
      <c r="T1159" s="314"/>
      <c r="U1159" s="314"/>
      <c r="V1159" s="314"/>
      <c r="W1159" s="314"/>
      <c r="X1159" s="314"/>
      <c r="Y1159" s="314"/>
      <c r="Z1159" s="314"/>
      <c r="AA1159" s="314"/>
      <c r="AB1159" s="314"/>
      <c r="AC1159" s="314"/>
      <c r="AD1159" s="314"/>
      <c r="AE1159" s="314"/>
      <c r="AF1159" s="314"/>
    </row>
    <row r="1160" spans="2:32" s="147" customFormat="1" ht="14.15" customHeight="1" x14ac:dyDescent="0.35">
      <c r="B1160" s="146"/>
      <c r="E1160" s="314"/>
      <c r="F1160" s="314"/>
      <c r="G1160" s="314"/>
      <c r="H1160" s="314"/>
      <c r="I1160" s="314"/>
      <c r="J1160" s="314"/>
      <c r="K1160" s="314"/>
      <c r="L1160" s="314"/>
      <c r="M1160" s="314"/>
      <c r="N1160" s="314"/>
      <c r="O1160" s="314"/>
      <c r="P1160" s="314"/>
      <c r="Q1160" s="314"/>
      <c r="R1160" s="314"/>
      <c r="S1160" s="314"/>
      <c r="T1160" s="314"/>
      <c r="U1160" s="314"/>
      <c r="V1160" s="314"/>
      <c r="W1160" s="314"/>
      <c r="X1160" s="314"/>
      <c r="Y1160" s="314"/>
      <c r="Z1160" s="314"/>
      <c r="AA1160" s="314"/>
      <c r="AB1160" s="314"/>
      <c r="AC1160" s="314"/>
      <c r="AD1160" s="314"/>
      <c r="AE1160" s="314"/>
      <c r="AF1160" s="314"/>
    </row>
    <row r="1161" spans="2:32" s="147" customFormat="1" ht="14.15" customHeight="1" x14ac:dyDescent="0.35">
      <c r="B1161" s="146"/>
      <c r="E1161" s="314"/>
      <c r="F1161" s="314"/>
      <c r="G1161" s="314"/>
      <c r="H1161" s="314"/>
      <c r="I1161" s="314"/>
      <c r="J1161" s="314"/>
      <c r="K1161" s="314"/>
      <c r="L1161" s="314"/>
      <c r="M1161" s="314"/>
      <c r="N1161" s="314"/>
      <c r="O1161" s="314"/>
      <c r="P1161" s="314"/>
      <c r="Q1161" s="314"/>
      <c r="R1161" s="314"/>
      <c r="S1161" s="314"/>
      <c r="T1161" s="314"/>
      <c r="U1161" s="314"/>
      <c r="V1161" s="314"/>
      <c r="W1161" s="314"/>
      <c r="X1161" s="314"/>
      <c r="Y1161" s="314"/>
      <c r="Z1161" s="314"/>
      <c r="AA1161" s="314"/>
      <c r="AB1161" s="314"/>
      <c r="AC1161" s="314"/>
      <c r="AD1161" s="314"/>
      <c r="AE1161" s="314"/>
      <c r="AF1161" s="314"/>
    </row>
    <row r="1162" spans="2:32" s="147" customFormat="1" ht="14.15" customHeight="1" x14ac:dyDescent="0.35">
      <c r="B1162" s="146"/>
      <c r="E1162" s="314"/>
      <c r="F1162" s="314"/>
      <c r="G1162" s="314"/>
      <c r="H1162" s="314"/>
      <c r="I1162" s="314"/>
      <c r="J1162" s="314"/>
      <c r="K1162" s="314"/>
      <c r="L1162" s="314"/>
      <c r="M1162" s="314"/>
      <c r="N1162" s="314"/>
      <c r="O1162" s="314"/>
      <c r="P1162" s="314"/>
      <c r="Q1162" s="314"/>
      <c r="R1162" s="314"/>
      <c r="S1162" s="314"/>
      <c r="T1162" s="314"/>
      <c r="U1162" s="314"/>
      <c r="V1162" s="314"/>
      <c r="W1162" s="314"/>
      <c r="X1162" s="314"/>
      <c r="Y1162" s="314"/>
      <c r="Z1162" s="314"/>
      <c r="AA1162" s="314"/>
      <c r="AB1162" s="314"/>
      <c r="AC1162" s="314"/>
      <c r="AD1162" s="314"/>
      <c r="AE1162" s="314"/>
      <c r="AF1162" s="314"/>
    </row>
    <row r="1163" spans="2:32" s="147" customFormat="1" ht="14.15" customHeight="1" x14ac:dyDescent="0.35">
      <c r="B1163" s="146"/>
      <c r="E1163" s="314"/>
      <c r="F1163" s="314"/>
      <c r="G1163" s="314"/>
      <c r="H1163" s="314"/>
      <c r="I1163" s="314"/>
      <c r="J1163" s="314"/>
      <c r="K1163" s="314"/>
      <c r="L1163" s="314"/>
      <c r="M1163" s="314"/>
      <c r="N1163" s="314"/>
      <c r="O1163" s="314"/>
      <c r="P1163" s="314"/>
      <c r="Q1163" s="314"/>
      <c r="R1163" s="314"/>
      <c r="S1163" s="314"/>
      <c r="T1163" s="314"/>
      <c r="U1163" s="314"/>
      <c r="V1163" s="314"/>
      <c r="W1163" s="314"/>
      <c r="X1163" s="314"/>
      <c r="Y1163" s="314"/>
      <c r="Z1163" s="314"/>
      <c r="AA1163" s="314"/>
      <c r="AB1163" s="314"/>
      <c r="AC1163" s="314"/>
      <c r="AD1163" s="314"/>
      <c r="AE1163" s="314"/>
      <c r="AF1163" s="314"/>
    </row>
    <row r="1164" spans="2:32" s="147" customFormat="1" ht="14.15" customHeight="1" x14ac:dyDescent="0.35">
      <c r="B1164" s="146"/>
      <c r="E1164" s="314"/>
      <c r="F1164" s="314"/>
      <c r="G1164" s="314"/>
      <c r="H1164" s="314"/>
      <c r="I1164" s="314"/>
      <c r="J1164" s="314"/>
      <c r="K1164" s="314"/>
      <c r="L1164" s="314"/>
      <c r="M1164" s="314"/>
      <c r="N1164" s="314"/>
      <c r="O1164" s="314"/>
      <c r="P1164" s="314"/>
      <c r="Q1164" s="314"/>
      <c r="R1164" s="314"/>
      <c r="S1164" s="314"/>
      <c r="T1164" s="314"/>
      <c r="U1164" s="314"/>
      <c r="V1164" s="314"/>
      <c r="W1164" s="314"/>
      <c r="X1164" s="314"/>
      <c r="Y1164" s="314"/>
      <c r="Z1164" s="314"/>
      <c r="AA1164" s="314"/>
      <c r="AB1164" s="314"/>
      <c r="AC1164" s="314"/>
      <c r="AD1164" s="314"/>
      <c r="AE1164" s="314"/>
      <c r="AF1164" s="314"/>
    </row>
    <row r="1165" spans="2:32" s="147" customFormat="1" ht="14.15" customHeight="1" x14ac:dyDescent="0.35">
      <c r="B1165" s="146"/>
      <c r="E1165" s="314"/>
      <c r="F1165" s="314"/>
      <c r="G1165" s="314"/>
      <c r="H1165" s="314"/>
      <c r="I1165" s="314"/>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314"/>
      <c r="AE1165" s="314"/>
      <c r="AF1165" s="314"/>
    </row>
    <row r="1166" spans="2:32" s="147" customFormat="1" ht="14.15" customHeight="1" x14ac:dyDescent="0.35">
      <c r="B1166" s="146"/>
      <c r="E1166" s="314"/>
      <c r="F1166" s="314"/>
      <c r="G1166" s="314"/>
      <c r="H1166" s="314"/>
      <c r="I1166" s="314"/>
      <c r="J1166" s="314"/>
      <c r="K1166" s="314"/>
      <c r="L1166" s="314"/>
      <c r="M1166" s="314"/>
      <c r="N1166" s="314"/>
      <c r="O1166" s="314"/>
      <c r="P1166" s="314"/>
      <c r="Q1166" s="314"/>
      <c r="R1166" s="314"/>
      <c r="S1166" s="314"/>
      <c r="T1166" s="314"/>
      <c r="U1166" s="314"/>
      <c r="V1166" s="314"/>
      <c r="W1166" s="314"/>
      <c r="X1166" s="314"/>
      <c r="Y1166" s="314"/>
      <c r="Z1166" s="314"/>
      <c r="AA1166" s="314"/>
      <c r="AB1166" s="314"/>
      <c r="AC1166" s="314"/>
      <c r="AD1166" s="314"/>
      <c r="AE1166" s="314"/>
      <c r="AF1166" s="314"/>
    </row>
    <row r="1167" spans="2:32" s="147" customFormat="1" ht="14.15" customHeight="1" x14ac:dyDescent="0.35">
      <c r="B1167" s="146"/>
      <c r="E1167" s="314"/>
      <c r="F1167" s="314"/>
      <c r="G1167" s="314"/>
      <c r="H1167" s="314"/>
      <c r="I1167" s="314"/>
      <c r="J1167" s="314"/>
      <c r="K1167" s="314"/>
      <c r="L1167" s="314"/>
      <c r="M1167" s="314"/>
      <c r="N1167" s="314"/>
      <c r="O1167" s="314"/>
      <c r="P1167" s="314"/>
      <c r="Q1167" s="314"/>
      <c r="R1167" s="314"/>
      <c r="S1167" s="314"/>
      <c r="T1167" s="314"/>
      <c r="U1167" s="314"/>
      <c r="V1167" s="314"/>
      <c r="W1167" s="314"/>
      <c r="X1167" s="314"/>
      <c r="Y1167" s="314"/>
      <c r="Z1167" s="314"/>
      <c r="AA1167" s="314"/>
      <c r="AB1167" s="314"/>
      <c r="AC1167" s="314"/>
      <c r="AD1167" s="314"/>
      <c r="AE1167" s="314"/>
      <c r="AF1167" s="314"/>
    </row>
    <row r="1168" spans="2:32" s="147" customFormat="1" ht="14.15" customHeight="1" x14ac:dyDescent="0.35">
      <c r="B1168" s="146"/>
      <c r="E1168" s="314"/>
      <c r="F1168" s="314"/>
      <c r="G1168" s="314"/>
      <c r="H1168" s="314"/>
      <c r="I1168" s="314"/>
      <c r="J1168" s="314"/>
      <c r="K1168" s="314"/>
      <c r="L1168" s="314"/>
      <c r="M1168" s="314"/>
      <c r="N1168" s="314"/>
      <c r="O1168" s="314"/>
      <c r="P1168" s="314"/>
      <c r="Q1168" s="314"/>
      <c r="R1168" s="314"/>
      <c r="S1168" s="314"/>
      <c r="T1168" s="314"/>
      <c r="U1168" s="314"/>
      <c r="V1168" s="314"/>
      <c r="W1168" s="314"/>
      <c r="X1168" s="314"/>
      <c r="Y1168" s="314"/>
      <c r="Z1168" s="314"/>
      <c r="AA1168" s="314"/>
      <c r="AB1168" s="314"/>
      <c r="AC1168" s="314"/>
      <c r="AD1168" s="314"/>
      <c r="AE1168" s="314"/>
      <c r="AF1168" s="314"/>
    </row>
    <row r="1169" spans="2:32" s="147" customFormat="1" ht="14.15" customHeight="1" x14ac:dyDescent="0.35">
      <c r="B1169" s="146"/>
      <c r="E1169" s="314"/>
      <c r="F1169" s="314"/>
      <c r="G1169" s="314"/>
      <c r="H1169" s="314"/>
      <c r="I1169" s="314"/>
      <c r="J1169" s="314"/>
      <c r="K1169" s="314"/>
      <c r="L1169" s="314"/>
      <c r="M1169" s="314"/>
      <c r="N1169" s="314"/>
      <c r="O1169" s="314"/>
      <c r="P1169" s="314"/>
      <c r="Q1169" s="314"/>
      <c r="R1169" s="314"/>
      <c r="S1169" s="314"/>
      <c r="T1169" s="314"/>
      <c r="U1169" s="314"/>
      <c r="V1169" s="314"/>
      <c r="W1169" s="314"/>
      <c r="X1169" s="314"/>
      <c r="Y1169" s="314"/>
      <c r="Z1169" s="314"/>
      <c r="AA1169" s="314"/>
      <c r="AB1169" s="314"/>
      <c r="AC1169" s="314"/>
      <c r="AD1169" s="314"/>
      <c r="AE1169" s="314"/>
      <c r="AF1169" s="314"/>
    </row>
    <row r="1170" spans="2:32" s="147" customFormat="1" ht="14.15" customHeight="1" x14ac:dyDescent="0.35">
      <c r="B1170" s="146"/>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314"/>
      <c r="AE1170" s="314"/>
      <c r="AF1170" s="314"/>
    </row>
    <row r="1171" spans="2:32" s="147" customFormat="1" ht="14.15" customHeight="1" x14ac:dyDescent="0.35">
      <c r="B1171" s="146"/>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314"/>
      <c r="AF1171" s="314"/>
    </row>
    <row r="1172" spans="2:32" s="147" customFormat="1" ht="14.15" customHeight="1" x14ac:dyDescent="0.35">
      <c r="B1172" s="146"/>
      <c r="E1172" s="314"/>
      <c r="F1172" s="314"/>
      <c r="G1172" s="314"/>
      <c r="H1172" s="314"/>
      <c r="I1172" s="314"/>
      <c r="J1172" s="314"/>
      <c r="K1172" s="314"/>
      <c r="L1172" s="314"/>
      <c r="M1172" s="314"/>
      <c r="N1172" s="314"/>
      <c r="O1172" s="314"/>
      <c r="P1172" s="314"/>
      <c r="Q1172" s="314"/>
      <c r="R1172" s="314"/>
      <c r="S1172" s="314"/>
      <c r="T1172" s="314"/>
      <c r="U1172" s="314"/>
      <c r="V1172" s="314"/>
      <c r="W1172" s="314"/>
      <c r="X1172" s="314"/>
      <c r="Y1172" s="314"/>
      <c r="Z1172" s="314"/>
      <c r="AA1172" s="314"/>
      <c r="AB1172" s="314"/>
      <c r="AC1172" s="314"/>
      <c r="AD1172" s="314"/>
      <c r="AE1172" s="314"/>
      <c r="AF1172" s="314"/>
    </row>
    <row r="1173" spans="2:32" s="147" customFormat="1" ht="14.15" customHeight="1" x14ac:dyDescent="0.35">
      <c r="B1173" s="146"/>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314"/>
      <c r="AE1173" s="314"/>
      <c r="AF1173" s="314"/>
    </row>
    <row r="1174" spans="2:32" s="147" customFormat="1" ht="14.15" customHeight="1" x14ac:dyDescent="0.35">
      <c r="B1174" s="146"/>
      <c r="E1174" s="314"/>
      <c r="F1174" s="314"/>
      <c r="G1174" s="314"/>
      <c r="H1174" s="314"/>
      <c r="I1174" s="314"/>
      <c r="J1174" s="314"/>
      <c r="K1174" s="314"/>
      <c r="L1174" s="314"/>
      <c r="M1174" s="314"/>
      <c r="N1174" s="314"/>
      <c r="O1174" s="314"/>
      <c r="P1174" s="314"/>
      <c r="Q1174" s="314"/>
      <c r="R1174" s="314"/>
      <c r="S1174" s="314"/>
      <c r="T1174" s="314"/>
      <c r="U1174" s="314"/>
      <c r="V1174" s="314"/>
      <c r="W1174" s="314"/>
      <c r="X1174" s="314"/>
      <c r="Y1174" s="314"/>
      <c r="Z1174" s="314"/>
      <c r="AA1174" s="314"/>
      <c r="AB1174" s="314"/>
      <c r="AC1174" s="314"/>
      <c r="AD1174" s="314"/>
      <c r="AE1174" s="314"/>
      <c r="AF1174" s="314"/>
    </row>
    <row r="1175" spans="2:32" s="147" customFormat="1" ht="14.15" customHeight="1" x14ac:dyDescent="0.35">
      <c r="B1175" s="146"/>
      <c r="E1175" s="314"/>
      <c r="F1175" s="314"/>
      <c r="G1175" s="314"/>
      <c r="H1175" s="314"/>
      <c r="I1175" s="314"/>
      <c r="J1175" s="314"/>
      <c r="K1175" s="314"/>
      <c r="L1175" s="314"/>
      <c r="M1175" s="314"/>
      <c r="N1175" s="314"/>
      <c r="O1175" s="314"/>
      <c r="P1175" s="314"/>
      <c r="Q1175" s="314"/>
      <c r="R1175" s="314"/>
      <c r="S1175" s="314"/>
      <c r="T1175" s="314"/>
      <c r="U1175" s="314"/>
      <c r="V1175" s="314"/>
      <c r="W1175" s="314"/>
      <c r="X1175" s="314"/>
      <c r="Y1175" s="314"/>
      <c r="Z1175" s="314"/>
      <c r="AA1175" s="314"/>
      <c r="AB1175" s="314"/>
      <c r="AC1175" s="314"/>
      <c r="AD1175" s="314"/>
      <c r="AE1175" s="314"/>
      <c r="AF1175" s="314"/>
    </row>
    <row r="1176" spans="2:32" s="147" customFormat="1" ht="14.15" customHeight="1" x14ac:dyDescent="0.35">
      <c r="B1176" s="146"/>
      <c r="E1176" s="314"/>
      <c r="F1176" s="314"/>
      <c r="G1176" s="314"/>
      <c r="H1176" s="314"/>
      <c r="I1176" s="314"/>
      <c r="J1176" s="314"/>
      <c r="K1176" s="314"/>
      <c r="L1176" s="314"/>
      <c r="M1176" s="314"/>
      <c r="N1176" s="314"/>
      <c r="O1176" s="314"/>
      <c r="P1176" s="314"/>
      <c r="Q1176" s="314"/>
      <c r="R1176" s="314"/>
      <c r="S1176" s="314"/>
      <c r="T1176" s="314"/>
      <c r="U1176" s="314"/>
      <c r="V1176" s="314"/>
      <c r="W1176" s="314"/>
      <c r="X1176" s="314"/>
      <c r="Y1176" s="314"/>
      <c r="Z1176" s="314"/>
      <c r="AA1176" s="314"/>
      <c r="AB1176" s="314"/>
      <c r="AC1176" s="314"/>
      <c r="AD1176" s="314"/>
      <c r="AE1176" s="314"/>
      <c r="AF1176" s="314"/>
    </row>
    <row r="1177" spans="2:32" s="147" customFormat="1" ht="14.15" customHeight="1" x14ac:dyDescent="0.35">
      <c r="B1177" s="146"/>
      <c r="E1177" s="314"/>
      <c r="F1177" s="314"/>
      <c r="G1177" s="314"/>
      <c r="H1177" s="314"/>
      <c r="I1177" s="314"/>
      <c r="J1177" s="314"/>
      <c r="K1177" s="314"/>
      <c r="L1177" s="314"/>
      <c r="M1177" s="314"/>
      <c r="N1177" s="314"/>
      <c r="O1177" s="314"/>
      <c r="P1177" s="314"/>
      <c r="Q1177" s="314"/>
      <c r="R1177" s="314"/>
      <c r="S1177" s="314"/>
      <c r="T1177" s="314"/>
      <c r="U1177" s="314"/>
      <c r="V1177" s="314"/>
      <c r="W1177" s="314"/>
      <c r="X1177" s="314"/>
      <c r="Y1177" s="314"/>
      <c r="Z1177" s="314"/>
      <c r="AA1177" s="314"/>
      <c r="AB1177" s="314"/>
      <c r="AC1177" s="314"/>
      <c r="AD1177" s="314"/>
      <c r="AE1177" s="314"/>
      <c r="AF1177" s="314"/>
    </row>
    <row r="1178" spans="2:32" s="147" customFormat="1" ht="14.15" customHeight="1" x14ac:dyDescent="0.35">
      <c r="B1178" s="146"/>
      <c r="E1178" s="314"/>
      <c r="F1178" s="314"/>
      <c r="G1178" s="314"/>
      <c r="H1178" s="314"/>
      <c r="I1178" s="314"/>
      <c r="J1178" s="314"/>
      <c r="K1178" s="314"/>
      <c r="L1178" s="314"/>
      <c r="M1178" s="314"/>
      <c r="N1178" s="314"/>
      <c r="O1178" s="314"/>
      <c r="P1178" s="314"/>
      <c r="Q1178" s="314"/>
      <c r="R1178" s="314"/>
      <c r="S1178" s="314"/>
      <c r="T1178" s="314"/>
      <c r="U1178" s="314"/>
      <c r="V1178" s="314"/>
      <c r="W1178" s="314"/>
      <c r="X1178" s="314"/>
      <c r="Y1178" s="314"/>
      <c r="Z1178" s="314"/>
      <c r="AA1178" s="314"/>
      <c r="AB1178" s="314"/>
      <c r="AC1178" s="314"/>
      <c r="AD1178" s="314"/>
      <c r="AE1178" s="314"/>
      <c r="AF1178" s="314"/>
    </row>
    <row r="1179" spans="2:32" s="147" customFormat="1" ht="14.15" customHeight="1" x14ac:dyDescent="0.35">
      <c r="B1179" s="146"/>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314"/>
      <c r="AE1179" s="314"/>
      <c r="AF1179" s="314"/>
    </row>
    <row r="1180" spans="2:32" s="147" customFormat="1" ht="14.15" customHeight="1" x14ac:dyDescent="0.35">
      <c r="B1180" s="146"/>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314"/>
      <c r="AF1180" s="314"/>
    </row>
    <row r="1181" spans="2:32" s="147" customFormat="1" ht="14.15" customHeight="1" x14ac:dyDescent="0.35">
      <c r="B1181" s="146"/>
      <c r="E1181" s="314"/>
      <c r="F1181" s="314"/>
      <c r="G1181" s="314"/>
      <c r="H1181" s="314"/>
      <c r="I1181" s="314"/>
      <c r="J1181" s="314"/>
      <c r="K1181" s="314"/>
      <c r="L1181" s="314"/>
      <c r="M1181" s="314"/>
      <c r="N1181" s="314"/>
      <c r="O1181" s="314"/>
      <c r="P1181" s="314"/>
      <c r="Q1181" s="314"/>
      <c r="R1181" s="314"/>
      <c r="S1181" s="314"/>
      <c r="T1181" s="314"/>
      <c r="U1181" s="314"/>
      <c r="V1181" s="314"/>
      <c r="W1181" s="314"/>
      <c r="X1181" s="314"/>
      <c r="Y1181" s="314"/>
      <c r="Z1181" s="314"/>
      <c r="AA1181" s="314"/>
      <c r="AB1181" s="314"/>
      <c r="AC1181" s="314"/>
      <c r="AD1181" s="314"/>
      <c r="AE1181" s="314"/>
      <c r="AF1181" s="314"/>
    </row>
    <row r="1182" spans="2:32" s="147" customFormat="1" ht="14.15" customHeight="1" x14ac:dyDescent="0.35">
      <c r="B1182" s="146"/>
      <c r="E1182" s="314"/>
      <c r="F1182" s="314"/>
      <c r="G1182" s="314"/>
      <c r="H1182" s="314"/>
      <c r="I1182" s="314"/>
      <c r="J1182" s="314"/>
      <c r="K1182" s="314"/>
      <c r="L1182" s="314"/>
      <c r="M1182" s="314"/>
      <c r="N1182" s="314"/>
      <c r="O1182" s="314"/>
      <c r="P1182" s="314"/>
      <c r="Q1182" s="314"/>
      <c r="R1182" s="314"/>
      <c r="S1182" s="314"/>
      <c r="T1182" s="314"/>
      <c r="U1182" s="314"/>
      <c r="V1182" s="314"/>
      <c r="W1182" s="314"/>
      <c r="X1182" s="314"/>
      <c r="Y1182" s="314"/>
      <c r="Z1182" s="314"/>
      <c r="AA1182" s="314"/>
      <c r="AB1182" s="314"/>
      <c r="AC1182" s="314"/>
      <c r="AD1182" s="314"/>
      <c r="AE1182" s="314"/>
      <c r="AF1182" s="314"/>
    </row>
    <row r="1183" spans="2:32" s="147" customFormat="1" ht="14.15" customHeight="1" x14ac:dyDescent="0.35">
      <c r="B1183" s="146"/>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4"/>
      <c r="Z1183" s="314"/>
      <c r="AA1183" s="314"/>
      <c r="AB1183" s="314"/>
      <c r="AC1183" s="314"/>
      <c r="AD1183" s="314"/>
      <c r="AE1183" s="314"/>
      <c r="AF1183" s="314"/>
    </row>
    <row r="1184" spans="2:32" s="147" customFormat="1" ht="14.15" customHeight="1" x14ac:dyDescent="0.35">
      <c r="B1184" s="146"/>
      <c r="E1184" s="314"/>
      <c r="F1184" s="314"/>
      <c r="G1184" s="314"/>
      <c r="H1184" s="314"/>
      <c r="I1184" s="314"/>
      <c r="J1184" s="314"/>
      <c r="K1184" s="314"/>
      <c r="L1184" s="314"/>
      <c r="M1184" s="314"/>
      <c r="N1184" s="314"/>
      <c r="O1184" s="314"/>
      <c r="P1184" s="314"/>
      <c r="Q1184" s="314"/>
      <c r="R1184" s="314"/>
      <c r="S1184" s="314"/>
      <c r="T1184" s="314"/>
      <c r="U1184" s="314"/>
      <c r="V1184" s="314"/>
      <c r="W1184" s="314"/>
      <c r="X1184" s="314"/>
      <c r="Y1184" s="314"/>
      <c r="Z1184" s="314"/>
      <c r="AA1184" s="314"/>
      <c r="AB1184" s="314"/>
      <c r="AC1184" s="314"/>
      <c r="AD1184" s="314"/>
      <c r="AE1184" s="314"/>
      <c r="AF1184" s="314"/>
    </row>
    <row r="1185" spans="2:32" s="147" customFormat="1" ht="14.15" customHeight="1" x14ac:dyDescent="0.35">
      <c r="B1185" s="146"/>
      <c r="E1185" s="314"/>
      <c r="F1185" s="314"/>
      <c r="G1185" s="314"/>
      <c r="H1185" s="314"/>
      <c r="I1185" s="314"/>
      <c r="J1185" s="314"/>
      <c r="K1185" s="314"/>
      <c r="L1185" s="314"/>
      <c r="M1185" s="314"/>
      <c r="N1185" s="314"/>
      <c r="O1185" s="314"/>
      <c r="P1185" s="314"/>
      <c r="Q1185" s="314"/>
      <c r="R1185" s="314"/>
      <c r="S1185" s="314"/>
      <c r="T1185" s="314"/>
      <c r="U1185" s="314"/>
      <c r="V1185" s="314"/>
      <c r="W1185" s="314"/>
      <c r="X1185" s="314"/>
      <c r="Y1185" s="314"/>
      <c r="Z1185" s="314"/>
      <c r="AA1185" s="314"/>
      <c r="AB1185" s="314"/>
      <c r="AC1185" s="314"/>
      <c r="AD1185" s="314"/>
      <c r="AE1185" s="314"/>
      <c r="AF1185" s="314"/>
    </row>
    <row r="1186" spans="2:32" s="147" customFormat="1" ht="14.15" customHeight="1" x14ac:dyDescent="0.35">
      <c r="B1186" s="146"/>
      <c r="E1186" s="314"/>
      <c r="F1186" s="314"/>
      <c r="G1186" s="314"/>
      <c r="H1186" s="314"/>
      <c r="I1186" s="314"/>
      <c r="J1186" s="314"/>
      <c r="K1186" s="314"/>
      <c r="L1186" s="314"/>
      <c r="M1186" s="314"/>
      <c r="N1186" s="314"/>
      <c r="O1186" s="314"/>
      <c r="P1186" s="314"/>
      <c r="Q1186" s="314"/>
      <c r="R1186" s="314"/>
      <c r="S1186" s="314"/>
      <c r="T1186" s="314"/>
      <c r="U1186" s="314"/>
      <c r="V1186" s="314"/>
      <c r="W1186" s="314"/>
      <c r="X1186" s="314"/>
      <c r="Y1186" s="314"/>
      <c r="Z1186" s="314"/>
      <c r="AA1186" s="314"/>
      <c r="AB1186" s="314"/>
      <c r="AC1186" s="314"/>
      <c r="AD1186" s="314"/>
      <c r="AE1186" s="314"/>
      <c r="AF1186" s="314"/>
    </row>
    <row r="1187" spans="2:32" s="147" customFormat="1" ht="14.15" customHeight="1" x14ac:dyDescent="0.35">
      <c r="B1187" s="146"/>
      <c r="E1187" s="314"/>
      <c r="F1187" s="314"/>
      <c r="G1187" s="314"/>
      <c r="H1187" s="314"/>
      <c r="I1187" s="314"/>
      <c r="J1187" s="314"/>
      <c r="K1187" s="314"/>
      <c r="L1187" s="314"/>
      <c r="M1187" s="314"/>
      <c r="N1187" s="314"/>
      <c r="O1187" s="314"/>
      <c r="P1187" s="314"/>
      <c r="Q1187" s="314"/>
      <c r="R1187" s="314"/>
      <c r="S1187" s="314"/>
      <c r="T1187" s="314"/>
      <c r="U1187" s="314"/>
      <c r="V1187" s="314"/>
      <c r="W1187" s="314"/>
      <c r="X1187" s="314"/>
      <c r="Y1187" s="314"/>
      <c r="Z1187" s="314"/>
      <c r="AA1187" s="314"/>
      <c r="AB1187" s="314"/>
      <c r="AC1187" s="314"/>
      <c r="AD1187" s="314"/>
      <c r="AE1187" s="314"/>
      <c r="AF1187" s="314"/>
    </row>
    <row r="1188" spans="2:32" s="147" customFormat="1" ht="14.15" customHeight="1" x14ac:dyDescent="0.35">
      <c r="B1188" s="146"/>
      <c r="E1188" s="314"/>
      <c r="F1188" s="314"/>
      <c r="G1188" s="314"/>
      <c r="H1188" s="314"/>
      <c r="I1188" s="314"/>
      <c r="J1188" s="314"/>
      <c r="K1188" s="314"/>
      <c r="L1188" s="314"/>
      <c r="M1188" s="314"/>
      <c r="N1188" s="314"/>
      <c r="O1188" s="314"/>
      <c r="P1188" s="314"/>
      <c r="Q1188" s="314"/>
      <c r="R1188" s="314"/>
      <c r="S1188" s="314"/>
      <c r="T1188" s="314"/>
      <c r="U1188" s="314"/>
      <c r="V1188" s="314"/>
      <c r="W1188" s="314"/>
      <c r="X1188" s="314"/>
      <c r="Y1188" s="314"/>
      <c r="Z1188" s="314"/>
      <c r="AA1188" s="314"/>
      <c r="AB1188" s="314"/>
      <c r="AC1188" s="314"/>
      <c r="AD1188" s="314"/>
      <c r="AE1188" s="314"/>
      <c r="AF1188" s="314"/>
    </row>
    <row r="1189" spans="2:32" s="147" customFormat="1" ht="14.15" customHeight="1" x14ac:dyDescent="0.35">
      <c r="B1189" s="146"/>
      <c r="E1189" s="314"/>
      <c r="F1189" s="314"/>
      <c r="G1189" s="314"/>
      <c r="H1189" s="314"/>
      <c r="I1189" s="314"/>
      <c r="J1189" s="314"/>
      <c r="K1189" s="314"/>
      <c r="L1189" s="314"/>
      <c r="M1189" s="314"/>
      <c r="N1189" s="314"/>
      <c r="O1189" s="314"/>
      <c r="P1189" s="314"/>
      <c r="Q1189" s="314"/>
      <c r="R1189" s="314"/>
      <c r="S1189" s="314"/>
      <c r="T1189" s="314"/>
      <c r="U1189" s="314"/>
      <c r="V1189" s="314"/>
      <c r="W1189" s="314"/>
      <c r="X1189" s="314"/>
      <c r="Y1189" s="314"/>
      <c r="Z1189" s="314"/>
      <c r="AA1189" s="314"/>
      <c r="AB1189" s="314"/>
      <c r="AC1189" s="314"/>
      <c r="AD1189" s="314"/>
      <c r="AE1189" s="314"/>
      <c r="AF1189" s="314"/>
    </row>
    <row r="1190" spans="2:32" s="147" customFormat="1" ht="14.15" customHeight="1" x14ac:dyDescent="0.35">
      <c r="B1190" s="146"/>
      <c r="E1190" s="314"/>
      <c r="F1190" s="314"/>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c r="AA1190" s="314"/>
      <c r="AB1190" s="314"/>
      <c r="AC1190" s="314"/>
      <c r="AD1190" s="314"/>
      <c r="AE1190" s="314"/>
      <c r="AF1190" s="314"/>
    </row>
    <row r="1191" spans="2:32" s="147" customFormat="1" ht="14.15" customHeight="1" x14ac:dyDescent="0.35">
      <c r="B1191" s="146"/>
      <c r="E1191" s="314"/>
      <c r="F1191" s="314"/>
      <c r="G1191" s="314"/>
      <c r="H1191" s="314"/>
      <c r="I1191" s="314"/>
      <c r="J1191" s="314"/>
      <c r="K1191" s="314"/>
      <c r="L1191" s="314"/>
      <c r="M1191" s="314"/>
      <c r="N1191" s="314"/>
      <c r="O1191" s="314"/>
      <c r="P1191" s="314"/>
      <c r="Q1191" s="314"/>
      <c r="R1191" s="314"/>
      <c r="S1191" s="314"/>
      <c r="T1191" s="314"/>
      <c r="U1191" s="314"/>
      <c r="V1191" s="314"/>
      <c r="W1191" s="314"/>
      <c r="X1191" s="314"/>
      <c r="Y1191" s="314"/>
      <c r="Z1191" s="314"/>
      <c r="AA1191" s="314"/>
      <c r="AB1191" s="314"/>
      <c r="AC1191" s="314"/>
      <c r="AD1191" s="314"/>
      <c r="AE1191" s="314"/>
      <c r="AF1191" s="314"/>
    </row>
    <row r="1192" spans="2:32" s="147" customFormat="1" ht="14.15" customHeight="1" x14ac:dyDescent="0.35">
      <c r="B1192" s="146"/>
      <c r="E1192" s="314"/>
      <c r="F1192" s="314"/>
      <c r="G1192" s="314"/>
      <c r="H1192" s="314"/>
      <c r="I1192" s="314"/>
      <c r="J1192" s="314"/>
      <c r="K1192" s="314"/>
      <c r="L1192" s="314"/>
      <c r="M1192" s="314"/>
      <c r="N1192" s="314"/>
      <c r="O1192" s="314"/>
      <c r="P1192" s="314"/>
      <c r="Q1192" s="314"/>
      <c r="R1192" s="314"/>
      <c r="S1192" s="314"/>
      <c r="T1192" s="314"/>
      <c r="U1192" s="314"/>
      <c r="V1192" s="314"/>
      <c r="W1192" s="314"/>
      <c r="X1192" s="314"/>
      <c r="Y1192" s="314"/>
      <c r="Z1192" s="314"/>
      <c r="AA1192" s="314"/>
      <c r="AB1192" s="314"/>
      <c r="AC1192" s="314"/>
      <c r="AD1192" s="314"/>
      <c r="AE1192" s="314"/>
      <c r="AF1192" s="314"/>
    </row>
    <row r="1193" spans="2:32" s="147" customFormat="1" ht="14.15" customHeight="1" x14ac:dyDescent="0.35">
      <c r="B1193" s="146"/>
      <c r="E1193" s="314"/>
      <c r="F1193" s="314"/>
      <c r="G1193" s="314"/>
      <c r="H1193" s="314"/>
      <c r="I1193" s="314"/>
      <c r="J1193" s="314"/>
      <c r="K1193" s="314"/>
      <c r="L1193" s="314"/>
      <c r="M1193" s="314"/>
      <c r="N1193" s="314"/>
      <c r="O1193" s="314"/>
      <c r="P1193" s="314"/>
      <c r="Q1193" s="314"/>
      <c r="R1193" s="314"/>
      <c r="S1193" s="314"/>
      <c r="T1193" s="314"/>
      <c r="U1193" s="314"/>
      <c r="V1193" s="314"/>
      <c r="W1193" s="314"/>
      <c r="X1193" s="314"/>
      <c r="Y1193" s="314"/>
      <c r="Z1193" s="314"/>
      <c r="AA1193" s="314"/>
      <c r="AB1193" s="314"/>
      <c r="AC1193" s="314"/>
      <c r="AD1193" s="314"/>
      <c r="AE1193" s="314"/>
      <c r="AF1193" s="314"/>
    </row>
    <row r="1194" spans="2:32" s="147" customFormat="1" ht="14.15" customHeight="1" x14ac:dyDescent="0.35">
      <c r="B1194" s="146"/>
      <c r="E1194" s="314"/>
      <c r="F1194" s="314"/>
      <c r="G1194" s="314"/>
      <c r="H1194" s="314"/>
      <c r="I1194" s="314"/>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4"/>
      <c r="AD1194" s="314"/>
      <c r="AE1194" s="314"/>
      <c r="AF1194" s="314"/>
    </row>
    <row r="1195" spans="2:32" s="147" customFormat="1" ht="14.15" customHeight="1" x14ac:dyDescent="0.35">
      <c r="B1195" s="146"/>
      <c r="E1195" s="314"/>
      <c r="F1195" s="314"/>
      <c r="G1195" s="314"/>
      <c r="H1195" s="314"/>
      <c r="I1195" s="314"/>
      <c r="J1195" s="314"/>
      <c r="K1195" s="314"/>
      <c r="L1195" s="314"/>
      <c r="M1195" s="314"/>
      <c r="N1195" s="314"/>
      <c r="O1195" s="314"/>
      <c r="P1195" s="314"/>
      <c r="Q1195" s="314"/>
      <c r="R1195" s="314"/>
      <c r="S1195" s="314"/>
      <c r="T1195" s="314"/>
      <c r="U1195" s="314"/>
      <c r="V1195" s="314"/>
      <c r="W1195" s="314"/>
      <c r="X1195" s="314"/>
      <c r="Y1195" s="314"/>
      <c r="Z1195" s="314"/>
      <c r="AA1195" s="314"/>
      <c r="AB1195" s="314"/>
      <c r="AC1195" s="314"/>
      <c r="AD1195" s="314"/>
      <c r="AE1195" s="314"/>
      <c r="AF1195" s="314"/>
    </row>
    <row r="1196" spans="2:32" s="147" customFormat="1" ht="14.15" customHeight="1" x14ac:dyDescent="0.35">
      <c r="B1196" s="146"/>
      <c r="E1196" s="314"/>
      <c r="F1196" s="314"/>
      <c r="G1196" s="314"/>
      <c r="H1196" s="314"/>
      <c r="I1196" s="314"/>
      <c r="J1196" s="314"/>
      <c r="K1196" s="314"/>
      <c r="L1196" s="314"/>
      <c r="M1196" s="314"/>
      <c r="N1196" s="314"/>
      <c r="O1196" s="314"/>
      <c r="P1196" s="314"/>
      <c r="Q1196" s="314"/>
      <c r="R1196" s="314"/>
      <c r="S1196" s="314"/>
      <c r="T1196" s="314"/>
      <c r="U1196" s="314"/>
      <c r="V1196" s="314"/>
      <c r="W1196" s="314"/>
      <c r="X1196" s="314"/>
      <c r="Y1196" s="314"/>
      <c r="Z1196" s="314"/>
      <c r="AA1196" s="314"/>
      <c r="AB1196" s="314"/>
      <c r="AC1196" s="314"/>
      <c r="AD1196" s="314"/>
      <c r="AE1196" s="314"/>
      <c r="AF1196" s="314"/>
    </row>
    <row r="1197" spans="2:32" s="147" customFormat="1" ht="14.15" customHeight="1" x14ac:dyDescent="0.35">
      <c r="B1197" s="146"/>
      <c r="E1197" s="314"/>
      <c r="F1197" s="314"/>
      <c r="G1197" s="314"/>
      <c r="H1197" s="314"/>
      <c r="I1197" s="314"/>
      <c r="J1197" s="314"/>
      <c r="K1197" s="314"/>
      <c r="L1197" s="314"/>
      <c r="M1197" s="314"/>
      <c r="N1197" s="314"/>
      <c r="O1197" s="314"/>
      <c r="P1197" s="314"/>
      <c r="Q1197" s="314"/>
      <c r="R1197" s="314"/>
      <c r="S1197" s="314"/>
      <c r="T1197" s="314"/>
      <c r="U1197" s="314"/>
      <c r="V1197" s="314"/>
      <c r="W1197" s="314"/>
      <c r="X1197" s="314"/>
      <c r="Y1197" s="314"/>
      <c r="Z1197" s="314"/>
      <c r="AA1197" s="314"/>
      <c r="AB1197" s="314"/>
      <c r="AC1197" s="314"/>
      <c r="AD1197" s="314"/>
      <c r="AE1197" s="314"/>
      <c r="AF1197" s="314"/>
    </row>
    <row r="1198" spans="2:32" s="147" customFormat="1" ht="14.15" customHeight="1" x14ac:dyDescent="0.35">
      <c r="B1198" s="146"/>
      <c r="E1198" s="314"/>
      <c r="F1198" s="314"/>
      <c r="G1198" s="314"/>
      <c r="H1198" s="314"/>
      <c r="I1198" s="314"/>
      <c r="J1198" s="314"/>
      <c r="K1198" s="314"/>
      <c r="L1198" s="314"/>
      <c r="M1198" s="314"/>
      <c r="N1198" s="314"/>
      <c r="O1198" s="314"/>
      <c r="P1198" s="314"/>
      <c r="Q1198" s="314"/>
      <c r="R1198" s="314"/>
      <c r="S1198" s="314"/>
      <c r="T1198" s="314"/>
      <c r="U1198" s="314"/>
      <c r="V1198" s="314"/>
      <c r="W1198" s="314"/>
      <c r="X1198" s="314"/>
      <c r="Y1198" s="314"/>
      <c r="Z1198" s="314"/>
      <c r="AA1198" s="314"/>
      <c r="AB1198" s="314"/>
      <c r="AC1198" s="314"/>
      <c r="AD1198" s="314"/>
      <c r="AE1198" s="314"/>
      <c r="AF1198" s="314"/>
    </row>
    <row r="1199" spans="2:32" s="147" customFormat="1" ht="14.15" customHeight="1" x14ac:dyDescent="0.35">
      <c r="B1199" s="146"/>
      <c r="E1199" s="314"/>
      <c r="F1199" s="314"/>
      <c r="G1199" s="314"/>
      <c r="H1199" s="314"/>
      <c r="I1199" s="314"/>
      <c r="J1199" s="314"/>
      <c r="K1199" s="314"/>
      <c r="L1199" s="314"/>
      <c r="M1199" s="314"/>
      <c r="N1199" s="314"/>
      <c r="O1199" s="314"/>
      <c r="P1199" s="314"/>
      <c r="Q1199" s="314"/>
      <c r="R1199" s="314"/>
      <c r="S1199" s="314"/>
      <c r="T1199" s="314"/>
      <c r="U1199" s="314"/>
      <c r="V1199" s="314"/>
      <c r="W1199" s="314"/>
      <c r="X1199" s="314"/>
      <c r="Y1199" s="314"/>
      <c r="Z1199" s="314"/>
      <c r="AA1199" s="314"/>
      <c r="AB1199" s="314"/>
      <c r="AC1199" s="314"/>
      <c r="AD1199" s="314"/>
      <c r="AE1199" s="314"/>
      <c r="AF1199" s="314"/>
    </row>
    <row r="1200" spans="2:32" s="147" customFormat="1" ht="14.15" customHeight="1" x14ac:dyDescent="0.35">
      <c r="B1200" s="146"/>
      <c r="E1200" s="314"/>
      <c r="F1200" s="314"/>
      <c r="G1200" s="314"/>
      <c r="H1200" s="314"/>
      <c r="I1200" s="314"/>
      <c r="J1200" s="314"/>
      <c r="K1200" s="314"/>
      <c r="L1200" s="314"/>
      <c r="M1200" s="314"/>
      <c r="N1200" s="314"/>
      <c r="O1200" s="314"/>
      <c r="P1200" s="314"/>
      <c r="Q1200" s="314"/>
      <c r="R1200" s="314"/>
      <c r="S1200" s="314"/>
      <c r="T1200" s="314"/>
      <c r="U1200" s="314"/>
      <c r="V1200" s="314"/>
      <c r="W1200" s="314"/>
      <c r="X1200" s="314"/>
      <c r="Y1200" s="314"/>
      <c r="Z1200" s="314"/>
      <c r="AA1200" s="314"/>
      <c r="AB1200" s="314"/>
      <c r="AC1200" s="314"/>
      <c r="AD1200" s="314"/>
      <c r="AE1200" s="314"/>
      <c r="AF1200" s="314"/>
    </row>
    <row r="1201" spans="2:32" s="147" customFormat="1" ht="14.15" customHeight="1" x14ac:dyDescent="0.35">
      <c r="B1201" s="146"/>
      <c r="E1201" s="314"/>
      <c r="F1201" s="314"/>
      <c r="G1201" s="314"/>
      <c r="H1201" s="314"/>
      <c r="I1201" s="314"/>
      <c r="J1201" s="314"/>
      <c r="K1201" s="314"/>
      <c r="L1201" s="314"/>
      <c r="M1201" s="314"/>
      <c r="N1201" s="314"/>
      <c r="O1201" s="314"/>
      <c r="P1201" s="314"/>
      <c r="Q1201" s="314"/>
      <c r="R1201" s="314"/>
      <c r="S1201" s="314"/>
      <c r="T1201" s="314"/>
      <c r="U1201" s="314"/>
      <c r="V1201" s="314"/>
      <c r="W1201" s="314"/>
      <c r="X1201" s="314"/>
      <c r="Y1201" s="314"/>
      <c r="Z1201" s="314"/>
      <c r="AA1201" s="314"/>
      <c r="AB1201" s="314"/>
      <c r="AC1201" s="314"/>
      <c r="AD1201" s="314"/>
      <c r="AE1201" s="314"/>
      <c r="AF1201" s="314"/>
    </row>
    <row r="1202" spans="2:32" s="147" customFormat="1" ht="14.15" customHeight="1" x14ac:dyDescent="0.35">
      <c r="B1202" s="146"/>
      <c r="E1202" s="314"/>
      <c r="F1202" s="314"/>
      <c r="G1202" s="314"/>
      <c r="H1202" s="314"/>
      <c r="I1202" s="314"/>
      <c r="J1202" s="314"/>
      <c r="K1202" s="314"/>
      <c r="L1202" s="314"/>
      <c r="M1202" s="314"/>
      <c r="N1202" s="314"/>
      <c r="O1202" s="314"/>
      <c r="P1202" s="314"/>
      <c r="Q1202" s="314"/>
      <c r="R1202" s="314"/>
      <c r="S1202" s="314"/>
      <c r="T1202" s="314"/>
      <c r="U1202" s="314"/>
      <c r="V1202" s="314"/>
      <c r="W1202" s="314"/>
      <c r="X1202" s="314"/>
      <c r="Y1202" s="314"/>
      <c r="Z1202" s="314"/>
      <c r="AA1202" s="314"/>
      <c r="AB1202" s="314"/>
      <c r="AC1202" s="314"/>
      <c r="AD1202" s="314"/>
      <c r="AE1202" s="314"/>
      <c r="AF1202" s="314"/>
    </row>
    <row r="1203" spans="2:32" s="147" customFormat="1" ht="14.15" customHeight="1" x14ac:dyDescent="0.35">
      <c r="B1203" s="146"/>
      <c r="E1203" s="314"/>
      <c r="F1203" s="314"/>
      <c r="G1203" s="314"/>
      <c r="H1203" s="314"/>
      <c r="I1203" s="314"/>
      <c r="J1203" s="314"/>
      <c r="K1203" s="314"/>
      <c r="L1203" s="314"/>
      <c r="M1203" s="314"/>
      <c r="N1203" s="314"/>
      <c r="O1203" s="314"/>
      <c r="P1203" s="314"/>
      <c r="Q1203" s="314"/>
      <c r="R1203" s="314"/>
      <c r="S1203" s="314"/>
      <c r="T1203" s="314"/>
      <c r="U1203" s="314"/>
      <c r="V1203" s="314"/>
      <c r="W1203" s="314"/>
      <c r="X1203" s="314"/>
      <c r="Y1203" s="314"/>
      <c r="Z1203" s="314"/>
      <c r="AA1203" s="314"/>
      <c r="AB1203" s="314"/>
      <c r="AC1203" s="314"/>
      <c r="AD1203" s="314"/>
      <c r="AE1203" s="314"/>
      <c r="AF1203" s="314"/>
    </row>
    <row r="1204" spans="2:32" s="147" customFormat="1" ht="14.15" customHeight="1" x14ac:dyDescent="0.35">
      <c r="B1204" s="146"/>
      <c r="E1204" s="314"/>
      <c r="F1204" s="314"/>
      <c r="G1204" s="314"/>
      <c r="H1204" s="314"/>
      <c r="I1204" s="314"/>
      <c r="J1204" s="314"/>
      <c r="K1204" s="314"/>
      <c r="L1204" s="314"/>
      <c r="M1204" s="314"/>
      <c r="N1204" s="314"/>
      <c r="O1204" s="314"/>
      <c r="P1204" s="314"/>
      <c r="Q1204" s="314"/>
      <c r="R1204" s="314"/>
      <c r="S1204" s="314"/>
      <c r="T1204" s="314"/>
      <c r="U1204" s="314"/>
      <c r="V1204" s="314"/>
      <c r="W1204" s="314"/>
      <c r="X1204" s="314"/>
      <c r="Y1204" s="314"/>
      <c r="Z1204" s="314"/>
      <c r="AA1204" s="314"/>
      <c r="AB1204" s="314"/>
      <c r="AC1204" s="314"/>
      <c r="AD1204" s="314"/>
      <c r="AE1204" s="314"/>
      <c r="AF1204" s="314"/>
    </row>
    <row r="1205" spans="2:32" s="147" customFormat="1" ht="14.15" customHeight="1" x14ac:dyDescent="0.35">
      <c r="B1205" s="146"/>
      <c r="E1205" s="314"/>
      <c r="F1205" s="314"/>
      <c r="G1205" s="314"/>
      <c r="H1205" s="314"/>
      <c r="I1205" s="314"/>
      <c r="J1205" s="314"/>
      <c r="K1205" s="314"/>
      <c r="L1205" s="314"/>
      <c r="M1205" s="314"/>
      <c r="N1205" s="314"/>
      <c r="O1205" s="314"/>
      <c r="P1205" s="314"/>
      <c r="Q1205" s="314"/>
      <c r="R1205" s="314"/>
      <c r="S1205" s="314"/>
      <c r="T1205" s="314"/>
      <c r="U1205" s="314"/>
      <c r="V1205" s="314"/>
      <c r="W1205" s="314"/>
      <c r="X1205" s="314"/>
      <c r="Y1205" s="314"/>
      <c r="Z1205" s="314"/>
      <c r="AA1205" s="314"/>
      <c r="AB1205" s="314"/>
      <c r="AC1205" s="314"/>
      <c r="AD1205" s="314"/>
      <c r="AE1205" s="314"/>
      <c r="AF1205" s="314"/>
    </row>
    <row r="1206" spans="2:32" s="147" customFormat="1" ht="14.15" customHeight="1" x14ac:dyDescent="0.35">
      <c r="B1206" s="146"/>
      <c r="E1206" s="314"/>
      <c r="F1206" s="314"/>
      <c r="G1206" s="314"/>
      <c r="H1206" s="314"/>
      <c r="I1206" s="314"/>
      <c r="J1206" s="314"/>
      <c r="K1206" s="314"/>
      <c r="L1206" s="314"/>
      <c r="M1206" s="314"/>
      <c r="N1206" s="314"/>
      <c r="O1206" s="314"/>
      <c r="P1206" s="314"/>
      <c r="Q1206" s="314"/>
      <c r="R1206" s="314"/>
      <c r="S1206" s="314"/>
      <c r="T1206" s="314"/>
      <c r="U1206" s="314"/>
      <c r="V1206" s="314"/>
      <c r="W1206" s="314"/>
      <c r="X1206" s="314"/>
      <c r="Y1206" s="314"/>
      <c r="Z1206" s="314"/>
      <c r="AA1206" s="314"/>
      <c r="AB1206" s="314"/>
      <c r="AC1206" s="314"/>
      <c r="AD1206" s="314"/>
      <c r="AE1206" s="314"/>
      <c r="AF1206" s="314"/>
    </row>
    <row r="1207" spans="2:32" s="147" customFormat="1" ht="14.15" customHeight="1" x14ac:dyDescent="0.35">
      <c r="B1207" s="146"/>
      <c r="E1207" s="314"/>
      <c r="F1207" s="314"/>
      <c r="G1207" s="314"/>
      <c r="H1207" s="314"/>
      <c r="I1207" s="314"/>
      <c r="J1207" s="314"/>
      <c r="K1207" s="314"/>
      <c r="L1207" s="314"/>
      <c r="M1207" s="314"/>
      <c r="N1207" s="314"/>
      <c r="O1207" s="314"/>
      <c r="P1207" s="314"/>
      <c r="Q1207" s="314"/>
      <c r="R1207" s="314"/>
      <c r="S1207" s="314"/>
      <c r="T1207" s="314"/>
      <c r="U1207" s="314"/>
      <c r="V1207" s="314"/>
      <c r="W1207" s="314"/>
      <c r="X1207" s="314"/>
      <c r="Y1207" s="314"/>
      <c r="Z1207" s="314"/>
      <c r="AA1207" s="314"/>
      <c r="AB1207" s="314"/>
      <c r="AC1207" s="314"/>
      <c r="AD1207" s="314"/>
      <c r="AE1207" s="314"/>
      <c r="AF1207" s="314"/>
    </row>
    <row r="1208" spans="2:32" s="147" customFormat="1" ht="14.15" customHeight="1" x14ac:dyDescent="0.35">
      <c r="B1208" s="146"/>
      <c r="E1208" s="314"/>
      <c r="F1208" s="314"/>
      <c r="G1208" s="314"/>
      <c r="H1208" s="314"/>
      <c r="I1208" s="314"/>
      <c r="J1208" s="314"/>
      <c r="K1208" s="314"/>
      <c r="L1208" s="314"/>
      <c r="M1208" s="314"/>
      <c r="N1208" s="314"/>
      <c r="O1208" s="314"/>
      <c r="P1208" s="314"/>
      <c r="Q1208" s="314"/>
      <c r="R1208" s="314"/>
      <c r="S1208" s="314"/>
      <c r="T1208" s="314"/>
      <c r="U1208" s="314"/>
      <c r="V1208" s="314"/>
      <c r="W1208" s="314"/>
      <c r="X1208" s="314"/>
      <c r="Y1208" s="314"/>
      <c r="Z1208" s="314"/>
      <c r="AA1208" s="314"/>
      <c r="AB1208" s="314"/>
      <c r="AC1208" s="314"/>
      <c r="AD1208" s="314"/>
      <c r="AE1208" s="314"/>
      <c r="AF1208" s="314"/>
    </row>
    <row r="1209" spans="2:32" s="147" customFormat="1" ht="14.15" customHeight="1" x14ac:dyDescent="0.35">
      <c r="B1209" s="146"/>
      <c r="E1209" s="314"/>
      <c r="F1209" s="314"/>
      <c r="G1209" s="314"/>
      <c r="H1209" s="314"/>
      <c r="I1209" s="314"/>
      <c r="J1209" s="314"/>
      <c r="K1209" s="314"/>
      <c r="L1209" s="314"/>
      <c r="M1209" s="314"/>
      <c r="N1209" s="314"/>
      <c r="O1209" s="314"/>
      <c r="P1209" s="314"/>
      <c r="Q1209" s="314"/>
      <c r="R1209" s="314"/>
      <c r="S1209" s="314"/>
      <c r="T1209" s="314"/>
      <c r="U1209" s="314"/>
      <c r="V1209" s="314"/>
      <c r="W1209" s="314"/>
      <c r="X1209" s="314"/>
      <c r="Y1209" s="314"/>
      <c r="Z1209" s="314"/>
      <c r="AA1209" s="314"/>
      <c r="AB1209" s="314"/>
      <c r="AC1209" s="314"/>
      <c r="AD1209" s="314"/>
      <c r="AE1209" s="314"/>
      <c r="AF1209" s="314"/>
    </row>
    <row r="1210" spans="2:32" s="147" customFormat="1" ht="14.15" customHeight="1" x14ac:dyDescent="0.35">
      <c r="B1210" s="146"/>
      <c r="E1210" s="314"/>
      <c r="F1210" s="314"/>
      <c r="G1210" s="314"/>
      <c r="H1210" s="314"/>
      <c r="I1210" s="314"/>
      <c r="J1210" s="314"/>
      <c r="K1210" s="314"/>
      <c r="L1210" s="314"/>
      <c r="M1210" s="314"/>
      <c r="N1210" s="314"/>
      <c r="O1210" s="314"/>
      <c r="P1210" s="314"/>
      <c r="Q1210" s="314"/>
      <c r="R1210" s="314"/>
      <c r="S1210" s="314"/>
      <c r="T1210" s="314"/>
      <c r="U1210" s="314"/>
      <c r="V1210" s="314"/>
      <c r="W1210" s="314"/>
      <c r="X1210" s="314"/>
      <c r="Y1210" s="314"/>
      <c r="Z1210" s="314"/>
      <c r="AA1210" s="314"/>
      <c r="AB1210" s="314"/>
      <c r="AC1210" s="314"/>
      <c r="AD1210" s="314"/>
      <c r="AE1210" s="314"/>
      <c r="AF1210" s="314"/>
    </row>
    <row r="1211" spans="2:32" s="147" customFormat="1" ht="14.15" customHeight="1" x14ac:dyDescent="0.35">
      <c r="B1211" s="146"/>
      <c r="E1211" s="314"/>
      <c r="F1211" s="314"/>
      <c r="G1211" s="314"/>
      <c r="H1211" s="314"/>
      <c r="I1211" s="314"/>
      <c r="J1211" s="314"/>
      <c r="K1211" s="314"/>
      <c r="L1211" s="314"/>
      <c r="M1211" s="314"/>
      <c r="N1211" s="314"/>
      <c r="O1211" s="314"/>
      <c r="P1211" s="314"/>
      <c r="Q1211" s="314"/>
      <c r="R1211" s="314"/>
      <c r="S1211" s="314"/>
      <c r="T1211" s="314"/>
      <c r="U1211" s="314"/>
      <c r="V1211" s="314"/>
      <c r="W1211" s="314"/>
      <c r="X1211" s="314"/>
      <c r="Y1211" s="314"/>
      <c r="Z1211" s="314"/>
      <c r="AA1211" s="314"/>
      <c r="AB1211" s="314"/>
      <c r="AC1211" s="314"/>
      <c r="AD1211" s="314"/>
      <c r="AE1211" s="314"/>
      <c r="AF1211" s="314"/>
    </row>
    <row r="1212" spans="2:32" s="147" customFormat="1" ht="14.15" customHeight="1" x14ac:dyDescent="0.35">
      <c r="B1212" s="146"/>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314"/>
      <c r="Z1212" s="314"/>
      <c r="AA1212" s="314"/>
      <c r="AB1212" s="314"/>
      <c r="AC1212" s="314"/>
      <c r="AD1212" s="314"/>
      <c r="AE1212" s="314"/>
      <c r="AF1212" s="314"/>
    </row>
    <row r="1213" spans="2:32" s="147" customFormat="1" ht="14.15" customHeight="1" x14ac:dyDescent="0.35">
      <c r="B1213" s="146"/>
      <c r="E1213" s="314"/>
      <c r="F1213" s="314"/>
      <c r="G1213" s="314"/>
      <c r="H1213" s="314"/>
      <c r="I1213" s="314"/>
      <c r="J1213" s="314"/>
      <c r="K1213" s="314"/>
      <c r="L1213" s="314"/>
      <c r="M1213" s="314"/>
      <c r="N1213" s="314"/>
      <c r="O1213" s="314"/>
      <c r="P1213" s="314"/>
      <c r="Q1213" s="314"/>
      <c r="R1213" s="314"/>
      <c r="S1213" s="314"/>
      <c r="T1213" s="314"/>
      <c r="U1213" s="314"/>
      <c r="V1213" s="314"/>
      <c r="W1213" s="314"/>
      <c r="X1213" s="314"/>
      <c r="Y1213" s="314"/>
      <c r="Z1213" s="314"/>
      <c r="AA1213" s="314"/>
      <c r="AB1213" s="314"/>
      <c r="AC1213" s="314"/>
      <c r="AD1213" s="314"/>
      <c r="AE1213" s="314"/>
      <c r="AF1213" s="314"/>
    </row>
    <row r="1214" spans="2:32" s="147" customFormat="1" ht="14.15" customHeight="1" x14ac:dyDescent="0.35">
      <c r="B1214" s="146"/>
      <c r="E1214" s="314"/>
      <c r="F1214" s="314"/>
      <c r="G1214" s="314"/>
      <c r="H1214" s="314"/>
      <c r="I1214" s="314"/>
      <c r="J1214" s="314"/>
      <c r="K1214" s="314"/>
      <c r="L1214" s="314"/>
      <c r="M1214" s="314"/>
      <c r="N1214" s="314"/>
      <c r="O1214" s="314"/>
      <c r="P1214" s="314"/>
      <c r="Q1214" s="314"/>
      <c r="R1214" s="314"/>
      <c r="S1214" s="314"/>
      <c r="T1214" s="314"/>
      <c r="U1214" s="314"/>
      <c r="V1214" s="314"/>
      <c r="W1214" s="314"/>
      <c r="X1214" s="314"/>
      <c r="Y1214" s="314"/>
      <c r="Z1214" s="314"/>
      <c r="AA1214" s="314"/>
      <c r="AB1214" s="314"/>
      <c r="AC1214" s="314"/>
      <c r="AD1214" s="314"/>
      <c r="AE1214" s="314"/>
      <c r="AF1214" s="314"/>
    </row>
    <row r="1215" spans="2:32" s="147" customFormat="1" ht="14.15" customHeight="1" x14ac:dyDescent="0.35">
      <c r="B1215" s="146"/>
      <c r="E1215" s="314"/>
      <c r="F1215" s="314"/>
      <c r="G1215" s="314"/>
      <c r="H1215" s="314"/>
      <c r="I1215" s="314"/>
      <c r="J1215" s="314"/>
      <c r="K1215" s="314"/>
      <c r="L1215" s="314"/>
      <c r="M1215" s="314"/>
      <c r="N1215" s="314"/>
      <c r="O1215" s="314"/>
      <c r="P1215" s="314"/>
      <c r="Q1215" s="314"/>
      <c r="R1215" s="314"/>
      <c r="S1215" s="314"/>
      <c r="T1215" s="314"/>
      <c r="U1215" s="314"/>
      <c r="V1215" s="314"/>
      <c r="W1215" s="314"/>
      <c r="X1215" s="314"/>
      <c r="Y1215" s="314"/>
      <c r="Z1215" s="314"/>
      <c r="AA1215" s="314"/>
      <c r="AB1215" s="314"/>
      <c r="AC1215" s="314"/>
      <c r="AD1215" s="314"/>
      <c r="AE1215" s="314"/>
      <c r="AF1215" s="314"/>
    </row>
    <row r="1216" spans="2:32" s="147" customFormat="1" ht="14.15" customHeight="1" x14ac:dyDescent="0.35">
      <c r="B1216" s="146"/>
      <c r="E1216" s="314"/>
      <c r="F1216" s="314"/>
      <c r="G1216" s="314"/>
      <c r="H1216" s="314"/>
      <c r="I1216" s="314"/>
      <c r="J1216" s="314"/>
      <c r="K1216" s="314"/>
      <c r="L1216" s="314"/>
      <c r="M1216" s="314"/>
      <c r="N1216" s="314"/>
      <c r="O1216" s="314"/>
      <c r="P1216" s="314"/>
      <c r="Q1216" s="314"/>
      <c r="R1216" s="314"/>
      <c r="S1216" s="314"/>
      <c r="T1216" s="314"/>
      <c r="U1216" s="314"/>
      <c r="V1216" s="314"/>
      <c r="W1216" s="314"/>
      <c r="X1216" s="314"/>
      <c r="Y1216" s="314"/>
      <c r="Z1216" s="314"/>
      <c r="AA1216" s="314"/>
      <c r="AB1216" s="314"/>
      <c r="AC1216" s="314"/>
      <c r="AD1216" s="314"/>
      <c r="AE1216" s="314"/>
      <c r="AF1216" s="314"/>
    </row>
    <row r="1217" spans="2:32" s="147" customFormat="1" ht="14.15" customHeight="1" x14ac:dyDescent="0.35">
      <c r="B1217" s="146"/>
      <c r="E1217" s="314"/>
      <c r="F1217" s="314"/>
      <c r="G1217" s="314"/>
      <c r="H1217" s="314"/>
      <c r="I1217" s="314"/>
      <c r="J1217" s="314"/>
      <c r="K1217" s="314"/>
      <c r="L1217" s="314"/>
      <c r="M1217" s="314"/>
      <c r="N1217" s="314"/>
      <c r="O1217" s="314"/>
      <c r="P1217" s="314"/>
      <c r="Q1217" s="314"/>
      <c r="R1217" s="314"/>
      <c r="S1217" s="314"/>
      <c r="T1217" s="314"/>
      <c r="U1217" s="314"/>
      <c r="V1217" s="314"/>
      <c r="W1217" s="314"/>
      <c r="X1217" s="314"/>
      <c r="Y1217" s="314"/>
      <c r="Z1217" s="314"/>
      <c r="AA1217" s="314"/>
      <c r="AB1217" s="314"/>
      <c r="AC1217" s="314"/>
      <c r="AD1217" s="314"/>
      <c r="AE1217" s="314"/>
      <c r="AF1217" s="314"/>
    </row>
    <row r="1218" spans="2:32" s="147" customFormat="1" ht="14.15" customHeight="1" x14ac:dyDescent="0.35">
      <c r="B1218" s="146"/>
      <c r="E1218" s="314"/>
      <c r="F1218" s="314"/>
      <c r="G1218" s="314"/>
      <c r="H1218" s="314"/>
      <c r="I1218" s="314"/>
      <c r="J1218" s="314"/>
      <c r="K1218" s="314"/>
      <c r="L1218" s="314"/>
      <c r="M1218" s="314"/>
      <c r="N1218" s="314"/>
      <c r="O1218" s="314"/>
      <c r="P1218" s="314"/>
      <c r="Q1218" s="314"/>
      <c r="R1218" s="314"/>
      <c r="S1218" s="314"/>
      <c r="T1218" s="314"/>
      <c r="U1218" s="314"/>
      <c r="V1218" s="314"/>
      <c r="W1218" s="314"/>
      <c r="X1218" s="314"/>
      <c r="Y1218" s="314"/>
      <c r="Z1218" s="314"/>
      <c r="AA1218" s="314"/>
      <c r="AB1218" s="314"/>
      <c r="AC1218" s="314"/>
      <c r="AD1218" s="314"/>
      <c r="AE1218" s="314"/>
      <c r="AF1218" s="314"/>
    </row>
    <row r="1219" spans="2:32" s="147" customFormat="1" ht="14.15" customHeight="1" x14ac:dyDescent="0.35">
      <c r="B1219" s="146"/>
      <c r="E1219" s="314"/>
      <c r="F1219" s="314"/>
      <c r="G1219" s="314"/>
      <c r="H1219" s="314"/>
      <c r="I1219" s="314"/>
      <c r="J1219" s="314"/>
      <c r="K1219" s="314"/>
      <c r="L1219" s="314"/>
      <c r="M1219" s="314"/>
      <c r="N1219" s="314"/>
      <c r="O1219" s="314"/>
      <c r="P1219" s="314"/>
      <c r="Q1219" s="314"/>
      <c r="R1219" s="314"/>
      <c r="S1219" s="314"/>
      <c r="T1219" s="314"/>
      <c r="U1219" s="314"/>
      <c r="V1219" s="314"/>
      <c r="W1219" s="314"/>
      <c r="X1219" s="314"/>
      <c r="Y1219" s="314"/>
      <c r="Z1219" s="314"/>
      <c r="AA1219" s="314"/>
      <c r="AB1219" s="314"/>
      <c r="AC1219" s="314"/>
      <c r="AD1219" s="314"/>
      <c r="AE1219" s="314"/>
      <c r="AF1219" s="314"/>
    </row>
    <row r="1220" spans="2:32" s="147" customFormat="1" ht="14.15" customHeight="1" x14ac:dyDescent="0.35">
      <c r="B1220" s="146"/>
      <c r="E1220" s="314"/>
      <c r="F1220" s="314"/>
      <c r="G1220" s="314"/>
      <c r="H1220" s="314"/>
      <c r="I1220" s="314"/>
      <c r="J1220" s="314"/>
      <c r="K1220" s="314"/>
      <c r="L1220" s="314"/>
      <c r="M1220" s="314"/>
      <c r="N1220" s="314"/>
      <c r="O1220" s="314"/>
      <c r="P1220" s="314"/>
      <c r="Q1220" s="314"/>
      <c r="R1220" s="314"/>
      <c r="S1220" s="314"/>
      <c r="T1220" s="314"/>
      <c r="U1220" s="314"/>
      <c r="V1220" s="314"/>
      <c r="W1220" s="314"/>
      <c r="X1220" s="314"/>
      <c r="Y1220" s="314"/>
      <c r="Z1220" s="314"/>
      <c r="AA1220" s="314"/>
      <c r="AB1220" s="314"/>
      <c r="AC1220" s="314"/>
      <c r="AD1220" s="314"/>
      <c r="AE1220" s="314"/>
      <c r="AF1220" s="314"/>
    </row>
    <row r="1221" spans="2:32" s="147" customFormat="1" ht="14.15" customHeight="1" x14ac:dyDescent="0.35">
      <c r="B1221" s="146"/>
      <c r="E1221" s="314"/>
      <c r="F1221" s="314"/>
      <c r="G1221" s="314"/>
      <c r="H1221" s="314"/>
      <c r="I1221" s="314"/>
      <c r="J1221" s="314"/>
      <c r="K1221" s="314"/>
      <c r="L1221" s="314"/>
      <c r="M1221" s="314"/>
      <c r="N1221" s="314"/>
      <c r="O1221" s="314"/>
      <c r="P1221" s="314"/>
      <c r="Q1221" s="314"/>
      <c r="R1221" s="314"/>
      <c r="S1221" s="314"/>
      <c r="T1221" s="314"/>
      <c r="U1221" s="314"/>
      <c r="V1221" s="314"/>
      <c r="W1221" s="314"/>
      <c r="X1221" s="314"/>
      <c r="Y1221" s="314"/>
      <c r="Z1221" s="314"/>
      <c r="AA1221" s="314"/>
      <c r="AB1221" s="314"/>
      <c r="AC1221" s="314"/>
      <c r="AD1221" s="314"/>
      <c r="AE1221" s="314"/>
      <c r="AF1221" s="314"/>
    </row>
    <row r="1222" spans="2:32" s="147" customFormat="1" ht="14.15" customHeight="1" x14ac:dyDescent="0.35">
      <c r="B1222" s="146"/>
      <c r="E1222" s="314"/>
      <c r="F1222" s="314"/>
      <c r="G1222" s="314"/>
      <c r="H1222" s="314"/>
      <c r="I1222" s="314"/>
      <c r="J1222" s="314"/>
      <c r="K1222" s="314"/>
      <c r="L1222" s="314"/>
      <c r="M1222" s="314"/>
      <c r="N1222" s="314"/>
      <c r="O1222" s="314"/>
      <c r="P1222" s="314"/>
      <c r="Q1222" s="314"/>
      <c r="R1222" s="314"/>
      <c r="S1222" s="314"/>
      <c r="T1222" s="314"/>
      <c r="U1222" s="314"/>
      <c r="V1222" s="314"/>
      <c r="W1222" s="314"/>
      <c r="X1222" s="314"/>
      <c r="Y1222" s="314"/>
      <c r="Z1222" s="314"/>
      <c r="AA1222" s="314"/>
      <c r="AB1222" s="314"/>
      <c r="AC1222" s="314"/>
      <c r="AD1222" s="314"/>
      <c r="AE1222" s="314"/>
      <c r="AF1222" s="314"/>
    </row>
    <row r="1223" spans="2:32" s="147" customFormat="1" ht="14.15" customHeight="1" x14ac:dyDescent="0.35">
      <c r="B1223" s="146"/>
      <c r="E1223" s="314"/>
      <c r="F1223" s="314"/>
      <c r="G1223" s="314"/>
      <c r="H1223" s="314"/>
      <c r="I1223" s="314"/>
      <c r="J1223" s="314"/>
      <c r="K1223" s="314"/>
      <c r="L1223" s="314"/>
      <c r="M1223" s="314"/>
      <c r="N1223" s="314"/>
      <c r="O1223" s="314"/>
      <c r="P1223" s="314"/>
      <c r="Q1223" s="314"/>
      <c r="R1223" s="314"/>
      <c r="S1223" s="314"/>
      <c r="T1223" s="314"/>
      <c r="U1223" s="314"/>
      <c r="V1223" s="314"/>
      <c r="W1223" s="314"/>
      <c r="X1223" s="314"/>
      <c r="Y1223" s="314"/>
      <c r="Z1223" s="314"/>
      <c r="AA1223" s="314"/>
      <c r="AB1223" s="314"/>
      <c r="AC1223" s="314"/>
      <c r="AD1223" s="314"/>
      <c r="AE1223" s="314"/>
      <c r="AF1223" s="314"/>
    </row>
    <row r="1224" spans="2:32" s="147" customFormat="1" ht="14.15" customHeight="1" x14ac:dyDescent="0.35">
      <c r="B1224" s="146"/>
      <c r="E1224" s="314"/>
      <c r="F1224" s="314"/>
      <c r="G1224" s="314"/>
      <c r="H1224" s="314"/>
      <c r="I1224" s="314"/>
      <c r="J1224" s="314"/>
      <c r="K1224" s="314"/>
      <c r="L1224" s="314"/>
      <c r="M1224" s="314"/>
      <c r="N1224" s="314"/>
      <c r="O1224" s="314"/>
      <c r="P1224" s="314"/>
      <c r="Q1224" s="314"/>
      <c r="R1224" s="314"/>
      <c r="S1224" s="314"/>
      <c r="T1224" s="314"/>
      <c r="U1224" s="314"/>
      <c r="V1224" s="314"/>
      <c r="W1224" s="314"/>
      <c r="X1224" s="314"/>
      <c r="Y1224" s="314"/>
      <c r="Z1224" s="314"/>
      <c r="AA1224" s="314"/>
      <c r="AB1224" s="314"/>
      <c r="AC1224" s="314"/>
      <c r="AD1224" s="314"/>
      <c r="AE1224" s="314"/>
      <c r="AF1224" s="314"/>
    </row>
    <row r="1225" spans="2:32" s="147" customFormat="1" ht="14.15" customHeight="1" x14ac:dyDescent="0.35">
      <c r="B1225" s="146"/>
      <c r="E1225" s="314"/>
      <c r="F1225" s="314"/>
      <c r="G1225" s="314"/>
      <c r="H1225" s="314"/>
      <c r="I1225" s="314"/>
      <c r="J1225" s="314"/>
      <c r="K1225" s="314"/>
      <c r="L1225" s="314"/>
      <c r="M1225" s="314"/>
      <c r="N1225" s="314"/>
      <c r="O1225" s="314"/>
      <c r="P1225" s="314"/>
      <c r="Q1225" s="314"/>
      <c r="R1225" s="314"/>
      <c r="S1225" s="314"/>
      <c r="T1225" s="314"/>
      <c r="U1225" s="314"/>
      <c r="V1225" s="314"/>
      <c r="W1225" s="314"/>
      <c r="X1225" s="314"/>
      <c r="Y1225" s="314"/>
      <c r="Z1225" s="314"/>
      <c r="AA1225" s="314"/>
      <c r="AB1225" s="314"/>
      <c r="AC1225" s="314"/>
      <c r="AD1225" s="314"/>
      <c r="AE1225" s="314"/>
      <c r="AF1225" s="314"/>
    </row>
    <row r="1226" spans="2:32" s="147" customFormat="1" ht="14.15" customHeight="1" x14ac:dyDescent="0.35">
      <c r="B1226" s="146"/>
      <c r="E1226" s="314"/>
      <c r="F1226" s="314"/>
      <c r="G1226" s="314"/>
      <c r="H1226" s="314"/>
      <c r="I1226" s="314"/>
      <c r="J1226" s="314"/>
      <c r="K1226" s="314"/>
      <c r="L1226" s="314"/>
      <c r="M1226" s="314"/>
      <c r="N1226" s="314"/>
      <c r="O1226" s="314"/>
      <c r="P1226" s="314"/>
      <c r="Q1226" s="314"/>
      <c r="R1226" s="314"/>
      <c r="S1226" s="314"/>
      <c r="T1226" s="314"/>
      <c r="U1226" s="314"/>
      <c r="V1226" s="314"/>
      <c r="W1226" s="314"/>
      <c r="X1226" s="314"/>
      <c r="Y1226" s="314"/>
      <c r="Z1226" s="314"/>
      <c r="AA1226" s="314"/>
      <c r="AB1226" s="314"/>
      <c r="AC1226" s="314"/>
      <c r="AD1226" s="314"/>
      <c r="AE1226" s="314"/>
      <c r="AF1226" s="314"/>
    </row>
    <row r="1227" spans="2:32" s="147" customFormat="1" ht="14.15" customHeight="1" x14ac:dyDescent="0.35">
      <c r="B1227" s="146"/>
      <c r="E1227" s="314"/>
      <c r="F1227" s="314"/>
      <c r="G1227" s="314"/>
      <c r="H1227" s="314"/>
      <c r="I1227" s="314"/>
      <c r="J1227" s="314"/>
      <c r="K1227" s="314"/>
      <c r="L1227" s="314"/>
      <c r="M1227" s="314"/>
      <c r="N1227" s="314"/>
      <c r="O1227" s="314"/>
      <c r="P1227" s="314"/>
      <c r="Q1227" s="314"/>
      <c r="R1227" s="314"/>
      <c r="S1227" s="314"/>
      <c r="T1227" s="314"/>
      <c r="U1227" s="314"/>
      <c r="V1227" s="314"/>
      <c r="W1227" s="314"/>
      <c r="X1227" s="314"/>
      <c r="Y1227" s="314"/>
      <c r="Z1227" s="314"/>
      <c r="AA1227" s="314"/>
      <c r="AB1227" s="314"/>
      <c r="AC1227" s="314"/>
      <c r="AD1227" s="314"/>
      <c r="AE1227" s="314"/>
      <c r="AF1227" s="314"/>
    </row>
    <row r="1228" spans="2:32" s="147" customFormat="1" ht="14.15" customHeight="1" x14ac:dyDescent="0.35">
      <c r="B1228" s="146"/>
      <c r="E1228" s="314"/>
      <c r="F1228" s="314"/>
      <c r="G1228" s="314"/>
      <c r="H1228" s="314"/>
      <c r="I1228" s="314"/>
      <c r="J1228" s="314"/>
      <c r="K1228" s="314"/>
      <c r="L1228" s="314"/>
      <c r="M1228" s="314"/>
      <c r="N1228" s="314"/>
      <c r="O1228" s="314"/>
      <c r="P1228" s="314"/>
      <c r="Q1228" s="314"/>
      <c r="R1228" s="314"/>
      <c r="S1228" s="314"/>
      <c r="T1228" s="314"/>
      <c r="U1228" s="314"/>
      <c r="V1228" s="314"/>
      <c r="W1228" s="314"/>
      <c r="X1228" s="314"/>
      <c r="Y1228" s="314"/>
      <c r="Z1228" s="314"/>
      <c r="AA1228" s="314"/>
      <c r="AB1228" s="314"/>
      <c r="AC1228" s="314"/>
      <c r="AD1228" s="314"/>
      <c r="AE1228" s="314"/>
      <c r="AF1228" s="314"/>
    </row>
    <row r="1229" spans="2:32" s="147" customFormat="1" ht="14.15" customHeight="1" x14ac:dyDescent="0.35">
      <c r="B1229" s="146"/>
      <c r="E1229" s="314"/>
      <c r="F1229" s="314"/>
      <c r="G1229" s="314"/>
      <c r="H1229" s="314"/>
      <c r="I1229" s="314"/>
      <c r="J1229" s="314"/>
      <c r="K1229" s="314"/>
      <c r="L1229" s="314"/>
      <c r="M1229" s="314"/>
      <c r="N1229" s="314"/>
      <c r="O1229" s="314"/>
      <c r="P1229" s="314"/>
      <c r="Q1229" s="314"/>
      <c r="R1229" s="314"/>
      <c r="S1229" s="314"/>
      <c r="T1229" s="314"/>
      <c r="U1229" s="314"/>
      <c r="V1229" s="314"/>
      <c r="W1229" s="314"/>
      <c r="X1229" s="314"/>
      <c r="Y1229" s="314"/>
      <c r="Z1229" s="314"/>
      <c r="AA1229" s="314"/>
      <c r="AB1229" s="314"/>
      <c r="AC1229" s="314"/>
      <c r="AD1229" s="314"/>
      <c r="AE1229" s="314"/>
      <c r="AF1229" s="314"/>
    </row>
    <row r="1230" spans="2:32" s="147" customFormat="1" ht="14.15" customHeight="1" x14ac:dyDescent="0.35">
      <c r="B1230" s="146"/>
      <c r="E1230" s="314"/>
      <c r="F1230" s="314"/>
      <c r="G1230" s="314"/>
      <c r="H1230" s="314"/>
      <c r="I1230" s="314"/>
      <c r="J1230" s="314"/>
      <c r="K1230" s="314"/>
      <c r="L1230" s="314"/>
      <c r="M1230" s="314"/>
      <c r="N1230" s="314"/>
      <c r="O1230" s="314"/>
      <c r="P1230" s="314"/>
      <c r="Q1230" s="314"/>
      <c r="R1230" s="314"/>
      <c r="S1230" s="314"/>
      <c r="T1230" s="314"/>
      <c r="U1230" s="314"/>
      <c r="V1230" s="314"/>
      <c r="W1230" s="314"/>
      <c r="X1230" s="314"/>
      <c r="Y1230" s="314"/>
      <c r="Z1230" s="314"/>
      <c r="AA1230" s="314"/>
      <c r="AB1230" s="314"/>
      <c r="AC1230" s="314"/>
      <c r="AD1230" s="314"/>
      <c r="AE1230" s="314"/>
      <c r="AF1230" s="314"/>
    </row>
    <row r="1231" spans="2:32" s="147" customFormat="1" ht="14.15" customHeight="1" x14ac:dyDescent="0.35">
      <c r="B1231" s="146"/>
      <c r="E1231" s="314"/>
      <c r="F1231" s="314"/>
      <c r="G1231" s="314"/>
      <c r="H1231" s="314"/>
      <c r="I1231" s="314"/>
      <c r="J1231" s="314"/>
      <c r="K1231" s="314"/>
      <c r="L1231" s="314"/>
      <c r="M1231" s="314"/>
      <c r="N1231" s="314"/>
      <c r="O1231" s="314"/>
      <c r="P1231" s="314"/>
      <c r="Q1231" s="314"/>
      <c r="R1231" s="314"/>
      <c r="S1231" s="314"/>
      <c r="T1231" s="314"/>
      <c r="U1231" s="314"/>
      <c r="V1231" s="314"/>
      <c r="W1231" s="314"/>
      <c r="X1231" s="314"/>
      <c r="Y1231" s="314"/>
      <c r="Z1231" s="314"/>
      <c r="AA1231" s="314"/>
      <c r="AB1231" s="314"/>
      <c r="AC1231" s="314"/>
      <c r="AD1231" s="314"/>
      <c r="AE1231" s="314"/>
      <c r="AF1231" s="314"/>
    </row>
    <row r="1232" spans="2:32" s="147" customFormat="1" ht="14.15" customHeight="1" x14ac:dyDescent="0.35">
      <c r="B1232" s="146"/>
      <c r="E1232" s="314"/>
      <c r="F1232" s="314"/>
      <c r="G1232" s="314"/>
      <c r="H1232" s="314"/>
      <c r="I1232" s="314"/>
      <c r="J1232" s="314"/>
      <c r="K1232" s="314"/>
      <c r="L1232" s="314"/>
      <c r="M1232" s="314"/>
      <c r="N1232" s="314"/>
      <c r="O1232" s="314"/>
      <c r="P1232" s="314"/>
      <c r="Q1232" s="314"/>
      <c r="R1232" s="314"/>
      <c r="S1232" s="314"/>
      <c r="T1232" s="314"/>
      <c r="U1232" s="314"/>
      <c r="V1232" s="314"/>
      <c r="W1232" s="314"/>
      <c r="X1232" s="314"/>
      <c r="Y1232" s="314"/>
      <c r="Z1232" s="314"/>
      <c r="AA1232" s="314"/>
      <c r="AB1232" s="314"/>
      <c r="AC1232" s="314"/>
      <c r="AD1232" s="314"/>
      <c r="AE1232" s="314"/>
      <c r="AF1232" s="314"/>
    </row>
    <row r="1233" spans="2:32" s="147" customFormat="1" ht="14.15" customHeight="1" x14ac:dyDescent="0.35">
      <c r="B1233" s="146"/>
      <c r="E1233" s="314"/>
      <c r="F1233" s="314"/>
      <c r="G1233" s="314"/>
      <c r="H1233" s="314"/>
      <c r="I1233" s="314"/>
      <c r="J1233" s="314"/>
      <c r="K1233" s="314"/>
      <c r="L1233" s="314"/>
      <c r="M1233" s="314"/>
      <c r="N1233" s="314"/>
      <c r="O1233" s="314"/>
      <c r="P1233" s="314"/>
      <c r="Q1233" s="314"/>
      <c r="R1233" s="314"/>
      <c r="S1233" s="314"/>
      <c r="T1233" s="314"/>
      <c r="U1233" s="314"/>
      <c r="V1233" s="314"/>
      <c r="W1233" s="314"/>
      <c r="X1233" s="314"/>
      <c r="Y1233" s="314"/>
      <c r="Z1233" s="314"/>
      <c r="AA1233" s="314"/>
      <c r="AB1233" s="314"/>
      <c r="AC1233" s="314"/>
      <c r="AD1233" s="314"/>
      <c r="AE1233" s="314"/>
      <c r="AF1233" s="314"/>
    </row>
    <row r="1234" spans="2:32" s="147" customFormat="1" ht="14.15" customHeight="1" x14ac:dyDescent="0.35">
      <c r="B1234" s="146"/>
      <c r="E1234" s="314"/>
      <c r="F1234" s="314"/>
      <c r="G1234" s="314"/>
      <c r="H1234" s="314"/>
      <c r="I1234" s="314"/>
      <c r="J1234" s="314"/>
      <c r="K1234" s="314"/>
      <c r="L1234" s="314"/>
      <c r="M1234" s="314"/>
      <c r="N1234" s="314"/>
      <c r="O1234" s="314"/>
      <c r="P1234" s="314"/>
      <c r="Q1234" s="314"/>
      <c r="R1234" s="314"/>
      <c r="S1234" s="314"/>
      <c r="T1234" s="314"/>
      <c r="U1234" s="314"/>
      <c r="V1234" s="314"/>
      <c r="W1234" s="314"/>
      <c r="X1234" s="314"/>
      <c r="Y1234" s="314"/>
      <c r="Z1234" s="314"/>
      <c r="AA1234" s="314"/>
      <c r="AB1234" s="314"/>
      <c r="AC1234" s="314"/>
      <c r="AD1234" s="314"/>
      <c r="AE1234" s="314"/>
      <c r="AF1234" s="314"/>
    </row>
    <row r="1235" spans="2:32" s="147" customFormat="1" ht="14.15" customHeight="1" x14ac:dyDescent="0.35">
      <c r="B1235" s="146"/>
      <c r="E1235" s="314"/>
      <c r="F1235" s="314"/>
      <c r="G1235" s="314"/>
      <c r="H1235" s="314"/>
      <c r="I1235" s="314"/>
      <c r="J1235" s="314"/>
      <c r="K1235" s="314"/>
      <c r="L1235" s="314"/>
      <c r="M1235" s="314"/>
      <c r="N1235" s="314"/>
      <c r="O1235" s="314"/>
      <c r="P1235" s="314"/>
      <c r="Q1235" s="314"/>
      <c r="R1235" s="314"/>
      <c r="S1235" s="314"/>
      <c r="T1235" s="314"/>
      <c r="U1235" s="314"/>
      <c r="V1235" s="314"/>
      <c r="W1235" s="314"/>
      <c r="X1235" s="314"/>
      <c r="Y1235" s="314"/>
      <c r="Z1235" s="314"/>
      <c r="AA1235" s="314"/>
      <c r="AB1235" s="314"/>
      <c r="AC1235" s="314"/>
      <c r="AD1235" s="314"/>
      <c r="AE1235" s="314"/>
      <c r="AF1235" s="314"/>
    </row>
    <row r="1236" spans="2:32" s="147" customFormat="1" ht="14.15" customHeight="1" x14ac:dyDescent="0.35">
      <c r="B1236" s="146"/>
      <c r="E1236" s="314"/>
      <c r="F1236" s="314"/>
      <c r="G1236" s="314"/>
      <c r="H1236" s="314"/>
      <c r="I1236" s="314"/>
      <c r="J1236" s="314"/>
      <c r="K1236" s="314"/>
      <c r="L1236" s="314"/>
      <c r="M1236" s="314"/>
      <c r="N1236" s="314"/>
      <c r="O1236" s="314"/>
      <c r="P1236" s="314"/>
      <c r="Q1236" s="314"/>
      <c r="R1236" s="314"/>
      <c r="S1236" s="314"/>
      <c r="T1236" s="314"/>
      <c r="U1236" s="314"/>
      <c r="V1236" s="314"/>
      <c r="W1236" s="314"/>
      <c r="X1236" s="314"/>
      <c r="Y1236" s="314"/>
      <c r="Z1236" s="314"/>
      <c r="AA1236" s="314"/>
      <c r="AB1236" s="314"/>
      <c r="AC1236" s="314"/>
      <c r="AD1236" s="314"/>
      <c r="AE1236" s="314"/>
      <c r="AF1236" s="314"/>
    </row>
    <row r="1237" spans="2:32" s="147" customFormat="1" ht="14.15" customHeight="1" x14ac:dyDescent="0.35">
      <c r="B1237" s="146"/>
      <c r="E1237" s="314"/>
      <c r="F1237" s="314"/>
      <c r="G1237" s="314"/>
      <c r="H1237" s="314"/>
      <c r="I1237" s="314"/>
      <c r="J1237" s="314"/>
      <c r="K1237" s="314"/>
      <c r="L1237" s="314"/>
      <c r="M1237" s="314"/>
      <c r="N1237" s="314"/>
      <c r="O1237" s="314"/>
      <c r="P1237" s="314"/>
      <c r="Q1237" s="314"/>
      <c r="R1237" s="314"/>
      <c r="S1237" s="314"/>
      <c r="T1237" s="314"/>
      <c r="U1237" s="314"/>
      <c r="V1237" s="314"/>
      <c r="W1237" s="314"/>
      <c r="X1237" s="314"/>
      <c r="Y1237" s="314"/>
      <c r="Z1237" s="314"/>
      <c r="AA1237" s="314"/>
      <c r="AB1237" s="314"/>
      <c r="AC1237" s="314"/>
      <c r="AD1237" s="314"/>
      <c r="AE1237" s="314"/>
      <c r="AF1237" s="314"/>
    </row>
    <row r="1238" spans="2:32" s="147" customFormat="1" ht="14.15" customHeight="1" x14ac:dyDescent="0.35">
      <c r="B1238" s="146"/>
      <c r="E1238" s="314"/>
      <c r="F1238" s="314"/>
      <c r="G1238" s="314"/>
      <c r="H1238" s="314"/>
      <c r="I1238" s="314"/>
      <c r="J1238" s="314"/>
      <c r="K1238" s="314"/>
      <c r="L1238" s="314"/>
      <c r="M1238" s="314"/>
      <c r="N1238" s="314"/>
      <c r="O1238" s="314"/>
      <c r="P1238" s="314"/>
      <c r="Q1238" s="314"/>
      <c r="R1238" s="314"/>
      <c r="S1238" s="314"/>
      <c r="T1238" s="314"/>
      <c r="U1238" s="314"/>
      <c r="V1238" s="314"/>
      <c r="W1238" s="314"/>
      <c r="X1238" s="314"/>
      <c r="Y1238" s="314"/>
      <c r="Z1238" s="314"/>
      <c r="AA1238" s="314"/>
      <c r="AB1238" s="314"/>
      <c r="AC1238" s="314"/>
      <c r="AD1238" s="314"/>
      <c r="AE1238" s="314"/>
      <c r="AF1238" s="314"/>
    </row>
    <row r="1239" spans="2:32" s="147" customFormat="1" ht="14.15" customHeight="1" x14ac:dyDescent="0.35">
      <c r="B1239" s="146"/>
      <c r="E1239" s="314"/>
      <c r="F1239" s="314"/>
      <c r="G1239" s="314"/>
      <c r="H1239" s="314"/>
      <c r="I1239" s="314"/>
      <c r="J1239" s="314"/>
      <c r="K1239" s="314"/>
      <c r="L1239" s="314"/>
      <c r="M1239" s="314"/>
      <c r="N1239" s="314"/>
      <c r="O1239" s="314"/>
      <c r="P1239" s="314"/>
      <c r="Q1239" s="314"/>
      <c r="R1239" s="314"/>
      <c r="S1239" s="314"/>
      <c r="T1239" s="314"/>
      <c r="U1239" s="314"/>
      <c r="V1239" s="314"/>
      <c r="W1239" s="314"/>
      <c r="X1239" s="314"/>
      <c r="Y1239" s="314"/>
      <c r="Z1239" s="314"/>
      <c r="AA1239" s="314"/>
      <c r="AB1239" s="314"/>
      <c r="AC1239" s="314"/>
      <c r="AD1239" s="314"/>
      <c r="AE1239" s="314"/>
      <c r="AF1239" s="314"/>
    </row>
    <row r="1240" spans="2:32" s="147" customFormat="1" ht="14.15" customHeight="1" x14ac:dyDescent="0.35">
      <c r="B1240" s="146"/>
      <c r="E1240" s="314"/>
      <c r="F1240" s="314"/>
      <c r="G1240" s="314"/>
      <c r="H1240" s="314"/>
      <c r="I1240" s="314"/>
      <c r="J1240" s="314"/>
      <c r="K1240" s="314"/>
      <c r="L1240" s="314"/>
      <c r="M1240" s="314"/>
      <c r="N1240" s="314"/>
      <c r="O1240" s="314"/>
      <c r="P1240" s="314"/>
      <c r="Q1240" s="314"/>
      <c r="R1240" s="314"/>
      <c r="S1240" s="314"/>
      <c r="T1240" s="314"/>
      <c r="U1240" s="314"/>
      <c r="V1240" s="314"/>
      <c r="W1240" s="314"/>
      <c r="X1240" s="314"/>
      <c r="Y1240" s="314"/>
      <c r="Z1240" s="314"/>
      <c r="AA1240" s="314"/>
      <c r="AB1240" s="314"/>
      <c r="AC1240" s="314"/>
      <c r="AD1240" s="314"/>
      <c r="AE1240" s="314"/>
      <c r="AF1240" s="314"/>
    </row>
    <row r="1241" spans="2:32" s="147" customFormat="1" ht="14.15" customHeight="1" x14ac:dyDescent="0.35">
      <c r="B1241" s="146"/>
      <c r="E1241" s="314"/>
      <c r="F1241" s="314"/>
      <c r="G1241" s="314"/>
      <c r="H1241" s="314"/>
      <c r="I1241" s="314"/>
      <c r="J1241" s="314"/>
      <c r="K1241" s="314"/>
      <c r="L1241" s="314"/>
      <c r="M1241" s="314"/>
      <c r="N1241" s="314"/>
      <c r="O1241" s="314"/>
      <c r="P1241" s="314"/>
      <c r="Q1241" s="314"/>
      <c r="R1241" s="314"/>
      <c r="S1241" s="314"/>
      <c r="T1241" s="314"/>
      <c r="U1241" s="314"/>
      <c r="V1241" s="314"/>
      <c r="W1241" s="314"/>
      <c r="X1241" s="314"/>
      <c r="Y1241" s="314"/>
      <c r="Z1241" s="314"/>
      <c r="AA1241" s="314"/>
      <c r="AB1241" s="314"/>
      <c r="AC1241" s="314"/>
      <c r="AD1241" s="314"/>
      <c r="AE1241" s="314"/>
      <c r="AF1241" s="314"/>
    </row>
    <row r="1242" spans="2:32" s="147" customFormat="1" ht="14.15" customHeight="1" x14ac:dyDescent="0.35">
      <c r="B1242" s="146"/>
      <c r="E1242" s="314"/>
      <c r="F1242" s="314"/>
      <c r="G1242" s="314"/>
      <c r="H1242" s="314"/>
      <c r="I1242" s="314"/>
      <c r="J1242" s="314"/>
      <c r="K1242" s="314"/>
      <c r="L1242" s="314"/>
      <c r="M1242" s="314"/>
      <c r="N1242" s="314"/>
      <c r="O1242" s="314"/>
      <c r="P1242" s="314"/>
      <c r="Q1242" s="314"/>
      <c r="R1242" s="314"/>
      <c r="S1242" s="314"/>
      <c r="T1242" s="314"/>
      <c r="U1242" s="314"/>
      <c r="V1242" s="314"/>
      <c r="W1242" s="314"/>
      <c r="X1242" s="314"/>
      <c r="Y1242" s="314"/>
      <c r="Z1242" s="314"/>
      <c r="AA1242" s="314"/>
      <c r="AB1242" s="314"/>
      <c r="AC1242" s="314"/>
      <c r="AD1242" s="314"/>
      <c r="AE1242" s="314"/>
      <c r="AF1242" s="314"/>
    </row>
    <row r="1243" spans="2:32" s="147" customFormat="1" ht="14.15" customHeight="1" x14ac:dyDescent="0.35">
      <c r="B1243" s="146"/>
      <c r="E1243" s="314"/>
      <c r="F1243" s="314"/>
      <c r="G1243" s="314"/>
      <c r="H1243" s="314"/>
      <c r="I1243" s="314"/>
      <c r="J1243" s="314"/>
      <c r="K1243" s="314"/>
      <c r="L1243" s="314"/>
      <c r="M1243" s="314"/>
      <c r="N1243" s="314"/>
      <c r="O1243" s="314"/>
      <c r="P1243" s="314"/>
      <c r="Q1243" s="314"/>
      <c r="R1243" s="314"/>
      <c r="S1243" s="314"/>
      <c r="T1243" s="314"/>
      <c r="U1243" s="314"/>
      <c r="V1243" s="314"/>
      <c r="W1243" s="314"/>
      <c r="X1243" s="314"/>
      <c r="Y1243" s="314"/>
      <c r="Z1243" s="314"/>
      <c r="AA1243" s="314"/>
      <c r="AB1243" s="314"/>
      <c r="AC1243" s="314"/>
      <c r="AD1243" s="314"/>
      <c r="AE1243" s="314"/>
      <c r="AF1243" s="314"/>
    </row>
    <row r="1244" spans="2:32" s="147" customFormat="1" ht="14.15" customHeight="1" x14ac:dyDescent="0.35">
      <c r="B1244" s="146"/>
      <c r="E1244" s="314"/>
      <c r="F1244" s="314"/>
      <c r="G1244" s="314"/>
      <c r="H1244" s="314"/>
      <c r="I1244" s="314"/>
      <c r="J1244" s="314"/>
      <c r="K1244" s="314"/>
      <c r="L1244" s="314"/>
      <c r="M1244" s="314"/>
      <c r="N1244" s="314"/>
      <c r="O1244" s="314"/>
      <c r="P1244" s="314"/>
      <c r="Q1244" s="314"/>
      <c r="R1244" s="314"/>
      <c r="S1244" s="314"/>
      <c r="T1244" s="314"/>
      <c r="U1244" s="314"/>
      <c r="V1244" s="314"/>
      <c r="W1244" s="314"/>
      <c r="X1244" s="314"/>
      <c r="Y1244" s="314"/>
      <c r="Z1244" s="314"/>
      <c r="AA1244" s="314"/>
      <c r="AB1244" s="314"/>
      <c r="AC1244" s="314"/>
      <c r="AD1244" s="314"/>
      <c r="AE1244" s="314"/>
      <c r="AF1244" s="314"/>
    </row>
    <row r="1245" spans="2:32" s="147" customFormat="1" ht="14.15" customHeight="1" x14ac:dyDescent="0.35">
      <c r="B1245" s="146"/>
      <c r="E1245" s="314"/>
      <c r="F1245" s="314"/>
      <c r="G1245" s="314"/>
      <c r="H1245" s="314"/>
      <c r="I1245" s="314"/>
      <c r="J1245" s="314"/>
      <c r="K1245" s="314"/>
      <c r="L1245" s="314"/>
      <c r="M1245" s="314"/>
      <c r="N1245" s="314"/>
      <c r="O1245" s="314"/>
      <c r="P1245" s="314"/>
      <c r="Q1245" s="314"/>
      <c r="R1245" s="314"/>
      <c r="S1245" s="314"/>
      <c r="T1245" s="314"/>
      <c r="U1245" s="314"/>
      <c r="V1245" s="314"/>
      <c r="W1245" s="314"/>
      <c r="X1245" s="314"/>
      <c r="Y1245" s="314"/>
      <c r="Z1245" s="314"/>
      <c r="AA1245" s="314"/>
      <c r="AB1245" s="314"/>
      <c r="AC1245" s="314"/>
      <c r="AD1245" s="314"/>
      <c r="AE1245" s="314"/>
      <c r="AF1245" s="314"/>
    </row>
    <row r="1246" spans="2:32" s="147" customFormat="1" ht="14.15" customHeight="1" x14ac:dyDescent="0.35">
      <c r="B1246" s="146"/>
      <c r="E1246" s="314"/>
      <c r="F1246" s="314"/>
      <c r="G1246" s="314"/>
      <c r="H1246" s="314"/>
      <c r="I1246" s="314"/>
      <c r="J1246" s="314"/>
      <c r="K1246" s="314"/>
      <c r="L1246" s="314"/>
      <c r="M1246" s="314"/>
      <c r="N1246" s="314"/>
      <c r="O1246" s="314"/>
      <c r="P1246" s="314"/>
      <c r="Q1246" s="314"/>
      <c r="R1246" s="314"/>
      <c r="S1246" s="314"/>
      <c r="T1246" s="314"/>
      <c r="U1246" s="314"/>
      <c r="V1246" s="314"/>
      <c r="W1246" s="314"/>
      <c r="X1246" s="314"/>
      <c r="Y1246" s="314"/>
      <c r="Z1246" s="314"/>
      <c r="AA1246" s="314"/>
      <c r="AB1246" s="314"/>
      <c r="AC1246" s="314"/>
      <c r="AD1246" s="314"/>
      <c r="AE1246" s="314"/>
      <c r="AF1246" s="314"/>
    </row>
    <row r="1247" spans="2:32" s="147" customFormat="1" ht="14.15" customHeight="1" x14ac:dyDescent="0.35">
      <c r="B1247" s="146"/>
      <c r="E1247" s="314"/>
      <c r="F1247" s="314"/>
      <c r="G1247" s="314"/>
      <c r="H1247" s="314"/>
      <c r="I1247" s="314"/>
      <c r="J1247" s="314"/>
      <c r="K1247" s="314"/>
      <c r="L1247" s="314"/>
      <c r="M1247" s="314"/>
      <c r="N1247" s="314"/>
      <c r="O1247" s="314"/>
      <c r="P1247" s="314"/>
      <c r="Q1247" s="314"/>
      <c r="R1247" s="314"/>
      <c r="S1247" s="314"/>
      <c r="T1247" s="314"/>
      <c r="U1247" s="314"/>
      <c r="V1247" s="314"/>
      <c r="W1247" s="314"/>
      <c r="X1247" s="314"/>
      <c r="Y1247" s="314"/>
      <c r="Z1247" s="314"/>
      <c r="AA1247" s="314"/>
      <c r="AB1247" s="314"/>
      <c r="AC1247" s="314"/>
      <c r="AD1247" s="314"/>
      <c r="AE1247" s="314"/>
      <c r="AF1247" s="314"/>
    </row>
    <row r="1248" spans="2:32" s="147" customFormat="1" ht="14.15" customHeight="1" x14ac:dyDescent="0.35">
      <c r="B1248" s="146"/>
      <c r="E1248" s="314"/>
      <c r="F1248" s="314"/>
      <c r="G1248" s="314"/>
      <c r="H1248" s="314"/>
      <c r="I1248" s="314"/>
      <c r="J1248" s="314"/>
      <c r="K1248" s="314"/>
      <c r="L1248" s="314"/>
      <c r="M1248" s="314"/>
      <c r="N1248" s="314"/>
      <c r="O1248" s="314"/>
      <c r="P1248" s="314"/>
      <c r="Q1248" s="314"/>
      <c r="R1248" s="314"/>
      <c r="S1248" s="314"/>
      <c r="T1248" s="314"/>
      <c r="U1248" s="314"/>
      <c r="V1248" s="314"/>
      <c r="W1248" s="314"/>
      <c r="X1248" s="314"/>
      <c r="Y1248" s="314"/>
      <c r="Z1248" s="314"/>
      <c r="AA1248" s="314"/>
      <c r="AB1248" s="314"/>
      <c r="AC1248" s="314"/>
      <c r="AD1248" s="314"/>
      <c r="AE1248" s="314"/>
      <c r="AF1248" s="314"/>
    </row>
    <row r="1249" spans="2:32" s="147" customFormat="1" ht="14.15" customHeight="1" x14ac:dyDescent="0.35">
      <c r="B1249" s="146"/>
      <c r="E1249" s="314"/>
      <c r="F1249" s="314"/>
      <c r="G1249" s="314"/>
      <c r="H1249" s="314"/>
      <c r="I1249" s="314"/>
      <c r="J1249" s="314"/>
      <c r="K1249" s="314"/>
      <c r="L1249" s="314"/>
      <c r="M1249" s="314"/>
      <c r="N1249" s="314"/>
      <c r="O1249" s="314"/>
      <c r="P1249" s="314"/>
      <c r="Q1249" s="314"/>
      <c r="R1249" s="314"/>
      <c r="S1249" s="314"/>
      <c r="T1249" s="314"/>
      <c r="U1249" s="314"/>
      <c r="V1249" s="314"/>
      <c r="W1249" s="314"/>
      <c r="X1249" s="314"/>
      <c r="Y1249" s="314"/>
      <c r="Z1249" s="314"/>
      <c r="AA1249" s="314"/>
      <c r="AB1249" s="314"/>
      <c r="AC1249" s="314"/>
      <c r="AD1249" s="314"/>
      <c r="AE1249" s="314"/>
      <c r="AF1249" s="314"/>
    </row>
    <row r="1250" spans="2:32" s="147" customFormat="1" ht="14.15" customHeight="1" x14ac:dyDescent="0.35">
      <c r="B1250" s="146"/>
      <c r="E1250" s="314"/>
      <c r="F1250" s="314"/>
      <c r="G1250" s="314"/>
      <c r="H1250" s="314"/>
      <c r="I1250" s="314"/>
      <c r="J1250" s="314"/>
      <c r="K1250" s="314"/>
      <c r="L1250" s="314"/>
      <c r="M1250" s="314"/>
      <c r="N1250" s="314"/>
      <c r="O1250" s="314"/>
      <c r="P1250" s="314"/>
      <c r="Q1250" s="314"/>
      <c r="R1250" s="314"/>
      <c r="S1250" s="314"/>
      <c r="T1250" s="314"/>
      <c r="U1250" s="314"/>
      <c r="V1250" s="314"/>
      <c r="W1250" s="314"/>
      <c r="X1250" s="314"/>
      <c r="Y1250" s="314"/>
      <c r="Z1250" s="314"/>
      <c r="AA1250" s="314"/>
      <c r="AB1250" s="314"/>
      <c r="AC1250" s="314"/>
      <c r="AD1250" s="314"/>
      <c r="AE1250" s="314"/>
      <c r="AF1250" s="314"/>
    </row>
    <row r="1251" spans="2:32" s="147" customFormat="1" ht="14.15" customHeight="1" x14ac:dyDescent="0.35">
      <c r="B1251" s="146"/>
      <c r="E1251" s="314"/>
      <c r="F1251" s="314"/>
      <c r="G1251" s="314"/>
      <c r="H1251" s="314"/>
      <c r="I1251" s="314"/>
      <c r="J1251" s="314"/>
      <c r="K1251" s="314"/>
      <c r="L1251" s="314"/>
      <c r="M1251" s="314"/>
      <c r="N1251" s="314"/>
      <c r="O1251" s="314"/>
      <c r="P1251" s="314"/>
      <c r="Q1251" s="314"/>
      <c r="R1251" s="314"/>
      <c r="S1251" s="314"/>
      <c r="T1251" s="314"/>
      <c r="U1251" s="314"/>
      <c r="V1251" s="314"/>
      <c r="W1251" s="314"/>
      <c r="X1251" s="314"/>
      <c r="Y1251" s="314"/>
      <c r="Z1251" s="314"/>
      <c r="AA1251" s="314"/>
      <c r="AB1251" s="314"/>
      <c r="AC1251" s="314"/>
      <c r="AD1251" s="314"/>
      <c r="AE1251" s="314"/>
      <c r="AF1251" s="314"/>
    </row>
    <row r="1252" spans="2:32" s="147" customFormat="1" ht="14.15" customHeight="1" x14ac:dyDescent="0.35">
      <c r="B1252" s="146"/>
      <c r="E1252" s="314"/>
      <c r="F1252" s="314"/>
      <c r="G1252" s="314"/>
      <c r="H1252" s="314"/>
      <c r="I1252" s="314"/>
      <c r="J1252" s="314"/>
      <c r="K1252" s="314"/>
      <c r="L1252" s="314"/>
      <c r="M1252" s="314"/>
      <c r="N1252" s="314"/>
      <c r="O1252" s="314"/>
      <c r="P1252" s="314"/>
      <c r="Q1252" s="314"/>
      <c r="R1252" s="314"/>
      <c r="S1252" s="314"/>
      <c r="T1252" s="314"/>
      <c r="U1252" s="314"/>
      <c r="V1252" s="314"/>
      <c r="W1252" s="314"/>
      <c r="X1252" s="314"/>
      <c r="Y1252" s="314"/>
      <c r="Z1252" s="314"/>
      <c r="AA1252" s="314"/>
      <c r="AB1252" s="314"/>
      <c r="AC1252" s="314"/>
      <c r="AD1252" s="314"/>
      <c r="AE1252" s="314"/>
      <c r="AF1252" s="314"/>
    </row>
    <row r="1253" spans="2:32" s="147" customFormat="1" ht="14.15" customHeight="1" x14ac:dyDescent="0.35">
      <c r="B1253" s="146"/>
      <c r="E1253" s="314"/>
      <c r="F1253" s="314"/>
      <c r="G1253" s="314"/>
      <c r="H1253" s="314"/>
      <c r="I1253" s="314"/>
      <c r="J1253" s="314"/>
      <c r="K1253" s="314"/>
      <c r="L1253" s="314"/>
      <c r="M1253" s="314"/>
      <c r="N1253" s="314"/>
      <c r="O1253" s="314"/>
      <c r="P1253" s="314"/>
      <c r="Q1253" s="314"/>
      <c r="R1253" s="314"/>
      <c r="S1253" s="314"/>
      <c r="T1253" s="314"/>
      <c r="U1253" s="314"/>
      <c r="V1253" s="314"/>
      <c r="W1253" s="314"/>
      <c r="X1253" s="314"/>
      <c r="Y1253" s="314"/>
      <c r="Z1253" s="314"/>
      <c r="AA1253" s="314"/>
      <c r="AB1253" s="314"/>
      <c r="AC1253" s="314"/>
      <c r="AD1253" s="314"/>
      <c r="AE1253" s="314"/>
      <c r="AF1253" s="314"/>
    </row>
    <row r="1254" spans="2:32" s="147" customFormat="1" ht="14.15" customHeight="1" x14ac:dyDescent="0.35">
      <c r="B1254" s="146"/>
      <c r="E1254" s="314"/>
      <c r="F1254" s="314"/>
      <c r="G1254" s="314"/>
      <c r="H1254" s="314"/>
      <c r="I1254" s="314"/>
      <c r="J1254" s="314"/>
      <c r="K1254" s="314"/>
      <c r="L1254" s="314"/>
      <c r="M1254" s="314"/>
      <c r="N1254" s="314"/>
      <c r="O1254" s="314"/>
      <c r="P1254" s="314"/>
      <c r="Q1254" s="314"/>
      <c r="R1254" s="314"/>
      <c r="S1254" s="314"/>
      <c r="T1254" s="314"/>
      <c r="U1254" s="314"/>
      <c r="V1254" s="314"/>
      <c r="W1254" s="314"/>
      <c r="X1254" s="314"/>
      <c r="Y1254" s="314"/>
      <c r="Z1254" s="314"/>
      <c r="AA1254" s="314"/>
      <c r="AB1254" s="314"/>
      <c r="AC1254" s="314"/>
      <c r="AD1254" s="314"/>
      <c r="AE1254" s="314"/>
      <c r="AF1254" s="314"/>
    </row>
    <row r="1255" spans="2:32" s="147" customFormat="1" ht="14.15" customHeight="1" x14ac:dyDescent="0.35">
      <c r="B1255" s="146"/>
      <c r="E1255" s="314"/>
      <c r="F1255" s="314"/>
      <c r="G1255" s="314"/>
      <c r="H1255" s="314"/>
      <c r="I1255" s="314"/>
      <c r="J1255" s="314"/>
      <c r="K1255" s="314"/>
      <c r="L1255" s="314"/>
      <c r="M1255" s="314"/>
      <c r="N1255" s="314"/>
      <c r="O1255" s="314"/>
      <c r="P1255" s="314"/>
      <c r="Q1255" s="314"/>
      <c r="R1255" s="314"/>
      <c r="S1255" s="314"/>
      <c r="T1255" s="314"/>
      <c r="U1255" s="314"/>
      <c r="V1255" s="314"/>
      <c r="W1255" s="314"/>
      <c r="X1255" s="314"/>
      <c r="Y1255" s="314"/>
      <c r="Z1255" s="314"/>
      <c r="AA1255" s="314"/>
      <c r="AB1255" s="314"/>
      <c r="AC1255" s="314"/>
      <c r="AD1255" s="314"/>
      <c r="AE1255" s="314"/>
      <c r="AF1255" s="314"/>
    </row>
    <row r="1256" spans="2:32" s="147" customFormat="1" ht="14.15" customHeight="1" x14ac:dyDescent="0.35">
      <c r="B1256" s="146"/>
      <c r="E1256" s="314"/>
      <c r="F1256" s="314"/>
      <c r="G1256" s="314"/>
      <c r="H1256" s="314"/>
      <c r="I1256" s="314"/>
      <c r="J1256" s="314"/>
      <c r="K1256" s="314"/>
      <c r="L1256" s="314"/>
      <c r="M1256" s="314"/>
      <c r="N1256" s="314"/>
      <c r="O1256" s="314"/>
      <c r="P1256" s="314"/>
      <c r="Q1256" s="314"/>
      <c r="R1256" s="314"/>
      <c r="S1256" s="314"/>
      <c r="T1256" s="314"/>
      <c r="U1256" s="314"/>
      <c r="V1256" s="314"/>
      <c r="W1256" s="314"/>
      <c r="X1256" s="314"/>
      <c r="Y1256" s="314"/>
      <c r="Z1256" s="314"/>
      <c r="AA1256" s="314"/>
      <c r="AB1256" s="314"/>
      <c r="AC1256" s="314"/>
      <c r="AD1256" s="314"/>
      <c r="AE1256" s="314"/>
      <c r="AF1256" s="314"/>
    </row>
    <row r="1257" spans="2:32" s="147" customFormat="1" ht="14.15" customHeight="1" x14ac:dyDescent="0.35">
      <c r="B1257" s="146"/>
      <c r="E1257" s="314"/>
      <c r="F1257" s="314"/>
      <c r="G1257" s="314"/>
      <c r="H1257" s="314"/>
      <c r="I1257" s="314"/>
      <c r="J1257" s="314"/>
      <c r="K1257" s="314"/>
      <c r="L1257" s="314"/>
      <c r="M1257" s="314"/>
      <c r="N1257" s="314"/>
      <c r="O1257" s="314"/>
      <c r="P1257" s="314"/>
      <c r="Q1257" s="314"/>
      <c r="R1257" s="314"/>
      <c r="S1257" s="314"/>
      <c r="T1257" s="314"/>
      <c r="U1257" s="314"/>
      <c r="V1257" s="314"/>
      <c r="W1257" s="314"/>
      <c r="X1257" s="314"/>
      <c r="Y1257" s="314"/>
      <c r="Z1257" s="314"/>
      <c r="AA1257" s="314"/>
      <c r="AB1257" s="314"/>
      <c r="AC1257" s="314"/>
      <c r="AD1257" s="314"/>
      <c r="AE1257" s="314"/>
      <c r="AF1257" s="314"/>
    </row>
    <row r="1258" spans="2:32" s="147" customFormat="1" ht="14.15" customHeight="1" x14ac:dyDescent="0.35">
      <c r="B1258" s="146"/>
      <c r="E1258" s="314"/>
      <c r="F1258" s="314"/>
      <c r="G1258" s="314"/>
      <c r="H1258" s="314"/>
      <c r="I1258" s="314"/>
      <c r="J1258" s="314"/>
      <c r="K1258" s="314"/>
      <c r="L1258" s="314"/>
      <c r="M1258" s="314"/>
      <c r="N1258" s="314"/>
      <c r="O1258" s="314"/>
      <c r="P1258" s="314"/>
      <c r="Q1258" s="314"/>
      <c r="R1258" s="314"/>
      <c r="S1258" s="314"/>
      <c r="T1258" s="314"/>
      <c r="U1258" s="314"/>
      <c r="V1258" s="314"/>
      <c r="W1258" s="314"/>
      <c r="X1258" s="314"/>
      <c r="Y1258" s="314"/>
      <c r="Z1258" s="314"/>
      <c r="AA1258" s="314"/>
      <c r="AB1258" s="314"/>
      <c r="AC1258" s="314"/>
      <c r="AD1258" s="314"/>
      <c r="AE1258" s="314"/>
      <c r="AF1258" s="314"/>
    </row>
    <row r="1259" spans="2:32" s="147" customFormat="1" ht="14.15" customHeight="1" x14ac:dyDescent="0.35">
      <c r="B1259" s="146"/>
      <c r="E1259" s="314"/>
      <c r="F1259" s="314"/>
      <c r="G1259" s="314"/>
      <c r="H1259" s="314"/>
      <c r="I1259" s="314"/>
      <c r="J1259" s="314"/>
      <c r="K1259" s="314"/>
      <c r="L1259" s="314"/>
      <c r="M1259" s="314"/>
      <c r="N1259" s="314"/>
      <c r="O1259" s="314"/>
      <c r="P1259" s="314"/>
      <c r="Q1259" s="314"/>
      <c r="R1259" s="314"/>
      <c r="S1259" s="314"/>
      <c r="T1259" s="314"/>
      <c r="U1259" s="314"/>
      <c r="V1259" s="314"/>
      <c r="W1259" s="314"/>
      <c r="X1259" s="314"/>
      <c r="Y1259" s="314"/>
      <c r="Z1259" s="314"/>
      <c r="AA1259" s="314"/>
      <c r="AB1259" s="314"/>
      <c r="AC1259" s="314"/>
      <c r="AD1259" s="314"/>
      <c r="AE1259" s="314"/>
      <c r="AF1259" s="314"/>
    </row>
    <row r="1260" spans="2:32" s="147" customFormat="1" ht="14.15" customHeight="1" x14ac:dyDescent="0.35">
      <c r="B1260" s="146"/>
      <c r="E1260" s="314"/>
      <c r="F1260" s="314"/>
      <c r="G1260" s="314"/>
      <c r="H1260" s="314"/>
      <c r="I1260" s="314"/>
      <c r="J1260" s="314"/>
      <c r="K1260" s="314"/>
      <c r="L1260" s="314"/>
      <c r="M1260" s="314"/>
      <c r="N1260" s="314"/>
      <c r="O1260" s="314"/>
      <c r="P1260" s="314"/>
      <c r="Q1260" s="314"/>
      <c r="R1260" s="314"/>
      <c r="S1260" s="314"/>
      <c r="T1260" s="314"/>
      <c r="U1260" s="314"/>
      <c r="V1260" s="314"/>
      <c r="W1260" s="314"/>
      <c r="X1260" s="314"/>
      <c r="Y1260" s="314"/>
      <c r="Z1260" s="314"/>
      <c r="AA1260" s="314"/>
      <c r="AB1260" s="314"/>
      <c r="AC1260" s="314"/>
      <c r="AD1260" s="314"/>
      <c r="AE1260" s="314"/>
      <c r="AF1260" s="314"/>
    </row>
    <row r="1261" spans="2:32" s="147" customFormat="1" ht="14.15" customHeight="1" x14ac:dyDescent="0.35">
      <c r="B1261" s="146"/>
      <c r="E1261" s="314"/>
      <c r="F1261" s="314"/>
      <c r="G1261" s="314"/>
      <c r="H1261" s="314"/>
      <c r="I1261" s="314"/>
      <c r="J1261" s="314"/>
      <c r="K1261" s="314"/>
      <c r="L1261" s="314"/>
      <c r="M1261" s="314"/>
      <c r="N1261" s="314"/>
      <c r="O1261" s="314"/>
      <c r="P1261" s="314"/>
      <c r="Q1261" s="314"/>
      <c r="R1261" s="314"/>
      <c r="S1261" s="314"/>
      <c r="T1261" s="314"/>
      <c r="U1261" s="314"/>
      <c r="V1261" s="314"/>
      <c r="W1261" s="314"/>
      <c r="X1261" s="314"/>
      <c r="Y1261" s="314"/>
      <c r="Z1261" s="314"/>
      <c r="AA1261" s="314"/>
      <c r="AB1261" s="314"/>
      <c r="AC1261" s="314"/>
      <c r="AD1261" s="314"/>
      <c r="AE1261" s="314"/>
      <c r="AF1261" s="314"/>
    </row>
    <row r="1262" spans="2:32" s="147" customFormat="1" ht="14.15" customHeight="1" x14ac:dyDescent="0.35">
      <c r="B1262" s="146"/>
      <c r="E1262" s="314"/>
      <c r="F1262" s="314"/>
      <c r="G1262" s="314"/>
      <c r="H1262" s="314"/>
      <c r="I1262" s="314"/>
      <c r="J1262" s="314"/>
      <c r="K1262" s="314"/>
      <c r="L1262" s="314"/>
      <c r="M1262" s="314"/>
      <c r="N1262" s="314"/>
      <c r="O1262" s="314"/>
      <c r="P1262" s="314"/>
      <c r="Q1262" s="314"/>
      <c r="R1262" s="314"/>
      <c r="S1262" s="314"/>
      <c r="T1262" s="314"/>
      <c r="U1262" s="314"/>
      <c r="V1262" s="314"/>
      <c r="W1262" s="314"/>
      <c r="X1262" s="314"/>
      <c r="Y1262" s="314"/>
      <c r="Z1262" s="314"/>
      <c r="AA1262" s="314"/>
      <c r="AB1262" s="314"/>
      <c r="AC1262" s="314"/>
      <c r="AD1262" s="314"/>
      <c r="AE1262" s="314"/>
      <c r="AF1262" s="314"/>
    </row>
    <row r="1263" spans="2:32" s="147" customFormat="1" ht="14.15" customHeight="1" x14ac:dyDescent="0.35">
      <c r="B1263" s="146"/>
      <c r="E1263" s="314"/>
      <c r="F1263" s="314"/>
      <c r="G1263" s="314"/>
      <c r="H1263" s="314"/>
      <c r="I1263" s="314"/>
      <c r="J1263" s="314"/>
      <c r="K1263" s="314"/>
      <c r="L1263" s="314"/>
      <c r="M1263" s="314"/>
      <c r="N1263" s="314"/>
      <c r="O1263" s="314"/>
      <c r="P1263" s="314"/>
      <c r="Q1263" s="314"/>
      <c r="R1263" s="314"/>
      <c r="S1263" s="314"/>
      <c r="T1263" s="314"/>
      <c r="U1263" s="314"/>
      <c r="V1263" s="314"/>
      <c r="W1263" s="314"/>
      <c r="X1263" s="314"/>
      <c r="Y1263" s="314"/>
      <c r="Z1263" s="314"/>
      <c r="AA1263" s="314"/>
      <c r="AB1263" s="314"/>
      <c r="AC1263" s="314"/>
      <c r="AD1263" s="314"/>
      <c r="AE1263" s="314"/>
      <c r="AF1263" s="314"/>
    </row>
    <row r="1264" spans="2:32" s="147" customFormat="1" ht="14.15" customHeight="1" x14ac:dyDescent="0.35">
      <c r="B1264" s="146"/>
      <c r="E1264" s="314"/>
      <c r="F1264" s="314"/>
      <c r="G1264" s="314"/>
      <c r="H1264" s="314"/>
      <c r="I1264" s="314"/>
      <c r="J1264" s="314"/>
      <c r="K1264" s="314"/>
      <c r="L1264" s="314"/>
      <c r="M1264" s="314"/>
      <c r="N1264" s="314"/>
      <c r="O1264" s="314"/>
      <c r="P1264" s="314"/>
      <c r="Q1264" s="314"/>
      <c r="R1264" s="314"/>
      <c r="S1264" s="314"/>
      <c r="T1264" s="314"/>
      <c r="U1264" s="314"/>
      <c r="V1264" s="314"/>
      <c r="W1264" s="314"/>
      <c r="X1264" s="314"/>
      <c r="Y1264" s="314"/>
      <c r="Z1264" s="314"/>
      <c r="AA1264" s="314"/>
      <c r="AB1264" s="314"/>
      <c r="AC1264" s="314"/>
      <c r="AD1264" s="314"/>
      <c r="AE1264" s="314"/>
      <c r="AF1264" s="314"/>
    </row>
    <row r="1265" spans="2:32" s="147" customFormat="1" ht="14.15" customHeight="1" x14ac:dyDescent="0.35">
      <c r="B1265" s="146"/>
      <c r="E1265" s="314"/>
      <c r="F1265" s="314"/>
      <c r="G1265" s="314"/>
      <c r="H1265" s="314"/>
      <c r="I1265" s="314"/>
      <c r="J1265" s="314"/>
      <c r="K1265" s="314"/>
      <c r="L1265" s="314"/>
      <c r="M1265" s="314"/>
      <c r="N1265" s="314"/>
      <c r="O1265" s="314"/>
      <c r="P1265" s="314"/>
      <c r="Q1265" s="314"/>
      <c r="R1265" s="314"/>
      <c r="S1265" s="314"/>
      <c r="T1265" s="314"/>
      <c r="U1265" s="314"/>
      <c r="V1265" s="314"/>
      <c r="W1265" s="314"/>
      <c r="X1265" s="314"/>
      <c r="Y1265" s="314"/>
      <c r="Z1265" s="314"/>
      <c r="AA1265" s="314"/>
      <c r="AB1265" s="314"/>
      <c r="AC1265" s="314"/>
      <c r="AD1265" s="314"/>
      <c r="AE1265" s="314"/>
      <c r="AF1265" s="314"/>
    </row>
    <row r="1266" spans="2:32" s="147" customFormat="1" ht="14.15" customHeight="1" x14ac:dyDescent="0.35">
      <c r="B1266" s="146"/>
      <c r="E1266" s="314"/>
      <c r="F1266" s="314"/>
      <c r="G1266" s="314"/>
      <c r="H1266" s="314"/>
      <c r="I1266" s="314"/>
      <c r="J1266" s="314"/>
      <c r="K1266" s="314"/>
      <c r="L1266" s="314"/>
      <c r="M1266" s="314"/>
      <c r="N1266" s="314"/>
      <c r="O1266" s="314"/>
      <c r="P1266" s="314"/>
      <c r="Q1266" s="314"/>
      <c r="R1266" s="314"/>
      <c r="S1266" s="314"/>
      <c r="T1266" s="314"/>
      <c r="U1266" s="314"/>
      <c r="V1266" s="314"/>
      <c r="W1266" s="314"/>
      <c r="X1266" s="314"/>
      <c r="Y1266" s="314"/>
      <c r="Z1266" s="314"/>
      <c r="AA1266" s="314"/>
      <c r="AB1266" s="314"/>
      <c r="AC1266" s="314"/>
      <c r="AD1266" s="314"/>
      <c r="AE1266" s="314"/>
      <c r="AF1266" s="314"/>
    </row>
    <row r="1267" spans="2:32" s="147" customFormat="1" ht="14.15" customHeight="1" x14ac:dyDescent="0.35">
      <c r="B1267" s="146"/>
      <c r="E1267" s="314"/>
      <c r="F1267" s="314"/>
      <c r="G1267" s="314"/>
      <c r="H1267" s="314"/>
      <c r="I1267" s="314"/>
      <c r="J1267" s="314"/>
      <c r="K1267" s="314"/>
      <c r="L1267" s="314"/>
      <c r="M1267" s="314"/>
      <c r="N1267" s="314"/>
      <c r="O1267" s="314"/>
      <c r="P1267" s="314"/>
      <c r="Q1267" s="314"/>
      <c r="R1267" s="314"/>
      <c r="S1267" s="314"/>
      <c r="T1267" s="314"/>
      <c r="U1267" s="314"/>
      <c r="V1267" s="314"/>
      <c r="W1267" s="314"/>
      <c r="X1267" s="314"/>
      <c r="Y1267" s="314"/>
      <c r="Z1267" s="314"/>
      <c r="AA1267" s="314"/>
      <c r="AB1267" s="314"/>
      <c r="AC1267" s="314"/>
      <c r="AD1267" s="314"/>
      <c r="AE1267" s="314"/>
      <c r="AF1267" s="314"/>
    </row>
    <row r="1268" spans="2:32" s="147" customFormat="1" ht="14.15" customHeight="1" x14ac:dyDescent="0.35">
      <c r="B1268" s="146"/>
      <c r="E1268" s="314"/>
      <c r="F1268" s="314"/>
      <c r="G1268" s="314"/>
      <c r="H1268" s="314"/>
      <c r="I1268" s="314"/>
      <c r="J1268" s="314"/>
      <c r="K1268" s="314"/>
      <c r="L1268" s="314"/>
      <c r="M1268" s="314"/>
      <c r="N1268" s="314"/>
      <c r="O1268" s="314"/>
      <c r="P1268" s="314"/>
      <c r="Q1268" s="314"/>
      <c r="R1268" s="314"/>
      <c r="S1268" s="314"/>
      <c r="T1268" s="314"/>
      <c r="U1268" s="314"/>
      <c r="V1268" s="314"/>
      <c r="W1268" s="314"/>
      <c r="X1268" s="314"/>
      <c r="Y1268" s="314"/>
      <c r="Z1268" s="314"/>
      <c r="AA1268" s="314"/>
      <c r="AB1268" s="314"/>
      <c r="AC1268" s="314"/>
      <c r="AD1268" s="314"/>
      <c r="AE1268" s="314"/>
      <c r="AF1268" s="314"/>
    </row>
    <row r="1269" spans="2:32" s="147" customFormat="1" ht="14.15" customHeight="1" x14ac:dyDescent="0.35">
      <c r="B1269" s="146"/>
      <c r="E1269" s="314"/>
      <c r="F1269" s="314"/>
      <c r="G1269" s="314"/>
      <c r="H1269" s="314"/>
      <c r="I1269" s="314"/>
      <c r="J1269" s="314"/>
      <c r="K1269" s="314"/>
      <c r="L1269" s="314"/>
      <c r="M1269" s="314"/>
      <c r="N1269" s="314"/>
      <c r="O1269" s="314"/>
      <c r="P1269" s="314"/>
      <c r="Q1269" s="314"/>
      <c r="R1269" s="314"/>
      <c r="S1269" s="314"/>
      <c r="T1269" s="314"/>
      <c r="U1269" s="314"/>
      <c r="V1269" s="314"/>
      <c r="W1269" s="314"/>
      <c r="X1269" s="314"/>
      <c r="Y1269" s="314"/>
      <c r="Z1269" s="314"/>
      <c r="AA1269" s="314"/>
      <c r="AB1269" s="314"/>
      <c r="AC1269" s="314"/>
      <c r="AD1269" s="314"/>
      <c r="AE1269" s="314"/>
      <c r="AF1269" s="314"/>
    </row>
    <row r="1270" spans="2:32" s="147" customFormat="1" ht="14.15" customHeight="1" x14ac:dyDescent="0.35">
      <c r="B1270" s="146"/>
      <c r="E1270" s="314"/>
      <c r="F1270" s="314"/>
      <c r="G1270" s="314"/>
      <c r="H1270" s="314"/>
      <c r="I1270" s="314"/>
      <c r="J1270" s="314"/>
      <c r="K1270" s="314"/>
      <c r="L1270" s="314"/>
      <c r="M1270" s="314"/>
      <c r="N1270" s="314"/>
      <c r="O1270" s="314"/>
      <c r="P1270" s="314"/>
      <c r="Q1270" s="314"/>
      <c r="R1270" s="314"/>
      <c r="S1270" s="314"/>
      <c r="T1270" s="314"/>
      <c r="U1270" s="314"/>
      <c r="V1270" s="314"/>
      <c r="W1270" s="314"/>
      <c r="X1270" s="314"/>
      <c r="Y1270" s="314"/>
      <c r="Z1270" s="314"/>
      <c r="AA1270" s="314"/>
      <c r="AB1270" s="314"/>
      <c r="AC1270" s="314"/>
      <c r="AD1270" s="314"/>
      <c r="AE1270" s="314"/>
      <c r="AF1270" s="314"/>
    </row>
    <row r="1271" spans="2:32" s="147" customFormat="1" ht="14.15" customHeight="1" x14ac:dyDescent="0.35">
      <c r="B1271" s="146"/>
      <c r="E1271" s="314"/>
      <c r="F1271" s="314"/>
      <c r="G1271" s="314"/>
      <c r="H1271" s="314"/>
      <c r="I1271" s="314"/>
      <c r="J1271" s="314"/>
      <c r="K1271" s="314"/>
      <c r="L1271" s="314"/>
      <c r="M1271" s="314"/>
      <c r="N1271" s="314"/>
      <c r="O1271" s="314"/>
      <c r="P1271" s="314"/>
      <c r="Q1271" s="314"/>
      <c r="R1271" s="314"/>
      <c r="S1271" s="314"/>
      <c r="T1271" s="314"/>
      <c r="U1271" s="314"/>
      <c r="V1271" s="314"/>
      <c r="W1271" s="314"/>
      <c r="X1271" s="314"/>
      <c r="Y1271" s="314"/>
      <c r="Z1271" s="314"/>
      <c r="AA1271" s="314"/>
      <c r="AB1271" s="314"/>
      <c r="AC1271" s="314"/>
      <c r="AD1271" s="314"/>
      <c r="AE1271" s="314"/>
      <c r="AF1271" s="314"/>
    </row>
    <row r="1272" spans="2:32" s="147" customFormat="1" ht="14.15" customHeight="1" x14ac:dyDescent="0.35">
      <c r="B1272" s="146"/>
      <c r="E1272" s="314"/>
      <c r="F1272" s="314"/>
      <c r="G1272" s="314"/>
      <c r="H1272" s="314"/>
      <c r="I1272" s="314"/>
      <c r="J1272" s="314"/>
      <c r="K1272" s="314"/>
      <c r="L1272" s="314"/>
      <c r="M1272" s="314"/>
      <c r="N1272" s="314"/>
      <c r="O1272" s="314"/>
      <c r="P1272" s="314"/>
      <c r="Q1272" s="314"/>
      <c r="R1272" s="314"/>
      <c r="S1272" s="314"/>
      <c r="T1272" s="314"/>
      <c r="U1272" s="314"/>
      <c r="V1272" s="314"/>
      <c r="W1272" s="314"/>
      <c r="X1272" s="314"/>
      <c r="Y1272" s="314"/>
      <c r="Z1272" s="314"/>
      <c r="AA1272" s="314"/>
      <c r="AB1272" s="314"/>
      <c r="AC1272" s="314"/>
      <c r="AD1272" s="314"/>
      <c r="AE1272" s="314"/>
      <c r="AF1272" s="314"/>
    </row>
    <row r="1273" spans="2:32" s="147" customFormat="1" ht="14.15" customHeight="1" x14ac:dyDescent="0.35">
      <c r="B1273" s="146"/>
      <c r="E1273" s="314"/>
      <c r="F1273" s="314"/>
      <c r="G1273" s="314"/>
      <c r="H1273" s="314"/>
      <c r="I1273" s="314"/>
      <c r="J1273" s="314"/>
      <c r="K1273" s="314"/>
      <c r="L1273" s="314"/>
      <c r="M1273" s="314"/>
      <c r="N1273" s="314"/>
      <c r="O1273" s="314"/>
      <c r="P1273" s="314"/>
      <c r="Q1273" s="314"/>
      <c r="R1273" s="314"/>
      <c r="S1273" s="314"/>
      <c r="T1273" s="314"/>
      <c r="U1273" s="314"/>
      <c r="V1273" s="314"/>
      <c r="W1273" s="314"/>
      <c r="X1273" s="314"/>
      <c r="Y1273" s="314"/>
      <c r="Z1273" s="314"/>
      <c r="AA1273" s="314"/>
      <c r="AB1273" s="314"/>
      <c r="AC1273" s="314"/>
      <c r="AD1273" s="314"/>
      <c r="AE1273" s="314"/>
      <c r="AF1273" s="314"/>
    </row>
    <row r="1274" spans="2:32" s="147" customFormat="1" ht="14.15" customHeight="1" x14ac:dyDescent="0.35">
      <c r="B1274" s="146"/>
      <c r="E1274" s="314"/>
      <c r="F1274" s="314"/>
      <c r="G1274" s="314"/>
      <c r="H1274" s="314"/>
      <c r="I1274" s="314"/>
      <c r="J1274" s="314"/>
      <c r="K1274" s="314"/>
      <c r="L1274" s="314"/>
      <c r="M1274" s="314"/>
      <c r="N1274" s="314"/>
      <c r="O1274" s="314"/>
      <c r="P1274" s="314"/>
      <c r="Q1274" s="314"/>
      <c r="R1274" s="314"/>
      <c r="S1274" s="314"/>
      <c r="T1274" s="314"/>
      <c r="U1274" s="314"/>
      <c r="V1274" s="314"/>
      <c r="W1274" s="314"/>
      <c r="X1274" s="314"/>
      <c r="Y1274" s="314"/>
      <c r="Z1274" s="314"/>
      <c r="AA1274" s="314"/>
      <c r="AB1274" s="314"/>
      <c r="AC1274" s="314"/>
      <c r="AD1274" s="314"/>
      <c r="AE1274" s="314"/>
      <c r="AF1274" s="314"/>
    </row>
    <row r="1275" spans="2:32" s="147" customFormat="1" ht="14.15" customHeight="1" x14ac:dyDescent="0.35">
      <c r="B1275" s="146"/>
      <c r="E1275" s="314"/>
      <c r="F1275" s="314"/>
      <c r="G1275" s="314"/>
      <c r="H1275" s="314"/>
      <c r="I1275" s="314"/>
      <c r="J1275" s="314"/>
      <c r="K1275" s="314"/>
      <c r="L1275" s="314"/>
      <c r="M1275" s="314"/>
      <c r="N1275" s="314"/>
      <c r="O1275" s="314"/>
      <c r="P1275" s="314"/>
      <c r="Q1275" s="314"/>
      <c r="R1275" s="314"/>
      <c r="S1275" s="314"/>
      <c r="T1275" s="314"/>
      <c r="U1275" s="314"/>
      <c r="V1275" s="314"/>
      <c r="W1275" s="314"/>
      <c r="X1275" s="314"/>
      <c r="Y1275" s="314"/>
      <c r="Z1275" s="314"/>
      <c r="AA1275" s="314"/>
      <c r="AB1275" s="314"/>
      <c r="AC1275" s="314"/>
      <c r="AD1275" s="314"/>
      <c r="AE1275" s="314"/>
      <c r="AF1275" s="314"/>
    </row>
    <row r="1276" spans="2:32" s="147" customFormat="1" ht="14.15" customHeight="1" x14ac:dyDescent="0.35">
      <c r="B1276" s="146"/>
      <c r="E1276" s="314"/>
      <c r="F1276" s="314"/>
      <c r="G1276" s="314"/>
      <c r="H1276" s="314"/>
      <c r="I1276" s="314"/>
      <c r="J1276" s="314"/>
      <c r="K1276" s="314"/>
      <c r="L1276" s="314"/>
      <c r="M1276" s="314"/>
      <c r="N1276" s="314"/>
      <c r="O1276" s="314"/>
      <c r="P1276" s="314"/>
      <c r="Q1276" s="314"/>
      <c r="R1276" s="314"/>
      <c r="S1276" s="314"/>
      <c r="T1276" s="314"/>
      <c r="U1276" s="314"/>
      <c r="V1276" s="314"/>
      <c r="W1276" s="314"/>
      <c r="X1276" s="314"/>
      <c r="Y1276" s="314"/>
      <c r="Z1276" s="314"/>
      <c r="AA1276" s="314"/>
      <c r="AB1276" s="314"/>
      <c r="AC1276" s="314"/>
      <c r="AD1276" s="314"/>
      <c r="AE1276" s="314"/>
      <c r="AF1276" s="314"/>
    </row>
    <row r="1277" spans="2:32" s="147" customFormat="1" ht="14.15" customHeight="1" x14ac:dyDescent="0.35">
      <c r="B1277" s="146"/>
      <c r="E1277" s="314"/>
      <c r="F1277" s="314"/>
      <c r="G1277" s="314"/>
      <c r="H1277" s="314"/>
      <c r="I1277" s="314"/>
      <c r="J1277" s="314"/>
      <c r="K1277" s="314"/>
      <c r="L1277" s="314"/>
      <c r="M1277" s="314"/>
      <c r="N1277" s="314"/>
      <c r="O1277" s="314"/>
      <c r="P1277" s="314"/>
      <c r="Q1277" s="314"/>
      <c r="R1277" s="314"/>
      <c r="S1277" s="314"/>
      <c r="T1277" s="314"/>
      <c r="U1277" s="314"/>
      <c r="V1277" s="314"/>
      <c r="W1277" s="314"/>
      <c r="X1277" s="314"/>
      <c r="Y1277" s="314"/>
      <c r="Z1277" s="314"/>
      <c r="AA1277" s="314"/>
      <c r="AB1277" s="314"/>
      <c r="AC1277" s="314"/>
      <c r="AD1277" s="314"/>
      <c r="AE1277" s="314"/>
      <c r="AF1277" s="314"/>
    </row>
    <row r="1278" spans="2:32" s="147" customFormat="1" ht="14.15" customHeight="1" x14ac:dyDescent="0.35">
      <c r="B1278" s="146"/>
      <c r="E1278" s="314"/>
      <c r="F1278" s="314"/>
      <c r="G1278" s="314"/>
      <c r="H1278" s="314"/>
      <c r="I1278" s="314"/>
      <c r="J1278" s="314"/>
      <c r="K1278" s="314"/>
      <c r="L1278" s="314"/>
      <c r="M1278" s="314"/>
      <c r="N1278" s="314"/>
      <c r="O1278" s="314"/>
      <c r="P1278" s="314"/>
      <c r="Q1278" s="314"/>
      <c r="R1278" s="314"/>
      <c r="S1278" s="314"/>
      <c r="T1278" s="314"/>
      <c r="U1278" s="314"/>
      <c r="V1278" s="314"/>
      <c r="W1278" s="314"/>
      <c r="X1278" s="314"/>
      <c r="Y1278" s="314"/>
      <c r="Z1278" s="314"/>
      <c r="AA1278" s="314"/>
      <c r="AB1278" s="314"/>
      <c r="AC1278" s="314"/>
      <c r="AD1278" s="314"/>
      <c r="AE1278" s="314"/>
      <c r="AF1278" s="314"/>
    </row>
    <row r="1279" spans="2:32" s="147" customFormat="1" ht="14.15" customHeight="1" x14ac:dyDescent="0.35">
      <c r="B1279" s="146"/>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4"/>
      <c r="Z1279" s="314"/>
      <c r="AA1279" s="314"/>
      <c r="AB1279" s="314"/>
      <c r="AC1279" s="314"/>
      <c r="AD1279" s="314"/>
      <c r="AE1279" s="314"/>
      <c r="AF1279" s="314"/>
    </row>
    <row r="1280" spans="2:32" s="147" customFormat="1" ht="14.15" customHeight="1" x14ac:dyDescent="0.35">
      <c r="B1280" s="146"/>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314"/>
      <c r="AE1280" s="314"/>
      <c r="AF1280" s="314"/>
    </row>
    <row r="1281" spans="2:32" s="147" customFormat="1" ht="14.15" customHeight="1" x14ac:dyDescent="0.35">
      <c r="B1281" s="146"/>
      <c r="E1281" s="314"/>
      <c r="F1281" s="314"/>
      <c r="G1281" s="314"/>
      <c r="H1281" s="314"/>
      <c r="I1281" s="314"/>
      <c r="J1281" s="314"/>
      <c r="K1281" s="314"/>
      <c r="L1281" s="314"/>
      <c r="M1281" s="314"/>
      <c r="N1281" s="314"/>
      <c r="O1281" s="314"/>
      <c r="P1281" s="314"/>
      <c r="Q1281" s="314"/>
      <c r="R1281" s="314"/>
      <c r="S1281" s="314"/>
      <c r="T1281" s="314"/>
      <c r="U1281" s="314"/>
      <c r="V1281" s="314"/>
      <c r="W1281" s="314"/>
      <c r="X1281" s="314"/>
      <c r="Y1281" s="314"/>
      <c r="Z1281" s="314"/>
      <c r="AA1281" s="314"/>
      <c r="AB1281" s="314"/>
      <c r="AC1281" s="314"/>
      <c r="AD1281" s="314"/>
      <c r="AE1281" s="314"/>
      <c r="AF1281" s="314"/>
    </row>
    <row r="1282" spans="2:32" s="147" customFormat="1" ht="14.15" customHeight="1" x14ac:dyDescent="0.35">
      <c r="B1282" s="146"/>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4"/>
      <c r="AD1282" s="314"/>
      <c r="AE1282" s="314"/>
      <c r="AF1282" s="314"/>
    </row>
    <row r="1283" spans="2:32" s="147" customFormat="1" ht="14.15" customHeight="1" x14ac:dyDescent="0.35">
      <c r="B1283" s="146"/>
      <c r="E1283" s="314"/>
      <c r="F1283" s="314"/>
      <c r="G1283" s="314"/>
      <c r="H1283" s="314"/>
      <c r="I1283" s="314"/>
      <c r="J1283" s="314"/>
      <c r="K1283" s="314"/>
      <c r="L1283" s="314"/>
      <c r="M1283" s="314"/>
      <c r="N1283" s="314"/>
      <c r="O1283" s="314"/>
      <c r="P1283" s="314"/>
      <c r="Q1283" s="314"/>
      <c r="R1283" s="314"/>
      <c r="S1283" s="314"/>
      <c r="T1283" s="314"/>
      <c r="U1283" s="314"/>
      <c r="V1283" s="314"/>
      <c r="W1283" s="314"/>
      <c r="X1283" s="314"/>
      <c r="Y1283" s="314"/>
      <c r="Z1283" s="314"/>
      <c r="AA1283" s="314"/>
      <c r="AB1283" s="314"/>
      <c r="AC1283" s="314"/>
      <c r="AD1283" s="314"/>
      <c r="AE1283" s="314"/>
      <c r="AF1283" s="314"/>
    </row>
    <row r="1284" spans="2:32" s="147" customFormat="1" ht="14.15" customHeight="1" x14ac:dyDescent="0.35">
      <c r="B1284" s="146"/>
      <c r="E1284" s="314"/>
      <c r="F1284" s="314"/>
      <c r="G1284" s="314"/>
      <c r="H1284" s="314"/>
      <c r="I1284" s="314"/>
      <c r="J1284" s="314"/>
      <c r="K1284" s="314"/>
      <c r="L1284" s="314"/>
      <c r="M1284" s="314"/>
      <c r="N1284" s="314"/>
      <c r="O1284" s="314"/>
      <c r="P1284" s="314"/>
      <c r="Q1284" s="314"/>
      <c r="R1284" s="314"/>
      <c r="S1284" s="314"/>
      <c r="T1284" s="314"/>
      <c r="U1284" s="314"/>
      <c r="V1284" s="314"/>
      <c r="W1284" s="314"/>
      <c r="X1284" s="314"/>
      <c r="Y1284" s="314"/>
      <c r="Z1284" s="314"/>
      <c r="AA1284" s="314"/>
      <c r="AB1284" s="314"/>
      <c r="AC1284" s="314"/>
      <c r="AD1284" s="314"/>
      <c r="AE1284" s="314"/>
      <c r="AF1284" s="314"/>
    </row>
    <row r="1285" spans="2:32" s="147" customFormat="1" ht="14.15" customHeight="1" x14ac:dyDescent="0.35">
      <c r="B1285" s="146"/>
      <c r="E1285" s="314"/>
      <c r="F1285" s="314"/>
      <c r="G1285" s="314"/>
      <c r="H1285" s="314"/>
      <c r="I1285" s="314"/>
      <c r="J1285" s="314"/>
      <c r="K1285" s="314"/>
      <c r="L1285" s="314"/>
      <c r="M1285" s="314"/>
      <c r="N1285" s="314"/>
      <c r="O1285" s="314"/>
      <c r="P1285" s="314"/>
      <c r="Q1285" s="314"/>
      <c r="R1285" s="314"/>
      <c r="S1285" s="314"/>
      <c r="T1285" s="314"/>
      <c r="U1285" s="314"/>
      <c r="V1285" s="314"/>
      <c r="W1285" s="314"/>
      <c r="X1285" s="314"/>
      <c r="Y1285" s="314"/>
      <c r="Z1285" s="314"/>
      <c r="AA1285" s="314"/>
      <c r="AB1285" s="314"/>
      <c r="AC1285" s="314"/>
      <c r="AD1285" s="314"/>
      <c r="AE1285" s="314"/>
      <c r="AF1285" s="314"/>
    </row>
    <row r="1286" spans="2:32" s="147" customFormat="1" ht="14.15" customHeight="1" x14ac:dyDescent="0.35">
      <c r="B1286" s="146"/>
      <c r="E1286" s="314"/>
      <c r="F1286" s="314"/>
      <c r="G1286" s="314"/>
      <c r="H1286" s="314"/>
      <c r="I1286" s="314"/>
      <c r="J1286" s="314"/>
      <c r="K1286" s="314"/>
      <c r="L1286" s="314"/>
      <c r="M1286" s="314"/>
      <c r="N1286" s="314"/>
      <c r="O1286" s="314"/>
      <c r="P1286" s="314"/>
      <c r="Q1286" s="314"/>
      <c r="R1286" s="314"/>
      <c r="S1286" s="314"/>
      <c r="T1286" s="314"/>
      <c r="U1286" s="314"/>
      <c r="V1286" s="314"/>
      <c r="W1286" s="314"/>
      <c r="X1286" s="314"/>
      <c r="Y1286" s="314"/>
      <c r="Z1286" s="314"/>
      <c r="AA1286" s="314"/>
      <c r="AB1286" s="314"/>
      <c r="AC1286" s="314"/>
      <c r="AD1286" s="314"/>
      <c r="AE1286" s="314"/>
      <c r="AF1286" s="314"/>
    </row>
    <row r="1287" spans="2:32" s="147" customFormat="1" ht="14.15" customHeight="1" x14ac:dyDescent="0.35">
      <c r="B1287" s="146"/>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4"/>
      <c r="AD1287" s="314"/>
      <c r="AE1287" s="314"/>
      <c r="AF1287" s="314"/>
    </row>
    <row r="1288" spans="2:32" s="147" customFormat="1" ht="14.15" customHeight="1" x14ac:dyDescent="0.35">
      <c r="B1288" s="146"/>
      <c r="E1288" s="314"/>
      <c r="F1288" s="314"/>
      <c r="G1288" s="314"/>
      <c r="H1288" s="314"/>
      <c r="I1288" s="314"/>
      <c r="J1288" s="314"/>
      <c r="K1288" s="314"/>
      <c r="L1288" s="314"/>
      <c r="M1288" s="314"/>
      <c r="N1288" s="314"/>
      <c r="O1288" s="314"/>
      <c r="P1288" s="314"/>
      <c r="Q1288" s="314"/>
      <c r="R1288" s="314"/>
      <c r="S1288" s="314"/>
      <c r="T1288" s="314"/>
      <c r="U1288" s="314"/>
      <c r="V1288" s="314"/>
      <c r="W1288" s="314"/>
      <c r="X1288" s="314"/>
      <c r="Y1288" s="314"/>
      <c r="Z1288" s="314"/>
      <c r="AA1288" s="314"/>
      <c r="AB1288" s="314"/>
      <c r="AC1288" s="314"/>
      <c r="AD1288" s="314"/>
      <c r="AE1288" s="314"/>
      <c r="AF1288" s="314"/>
    </row>
    <row r="1289" spans="2:32" s="147" customFormat="1" ht="14.15" customHeight="1" x14ac:dyDescent="0.35">
      <c r="B1289" s="146"/>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4"/>
      <c r="AD1289" s="314"/>
      <c r="AE1289" s="314"/>
      <c r="AF1289" s="314"/>
    </row>
    <row r="1290" spans="2:32" s="147" customFormat="1" ht="14.15" customHeight="1" x14ac:dyDescent="0.35">
      <c r="B1290" s="146"/>
      <c r="E1290" s="314"/>
      <c r="F1290" s="314"/>
      <c r="G1290" s="314"/>
      <c r="H1290" s="314"/>
      <c r="I1290" s="314"/>
      <c r="J1290" s="314"/>
      <c r="K1290" s="314"/>
      <c r="L1290" s="314"/>
      <c r="M1290" s="314"/>
      <c r="N1290" s="314"/>
      <c r="O1290" s="314"/>
      <c r="P1290" s="314"/>
      <c r="Q1290" s="314"/>
      <c r="R1290" s="314"/>
      <c r="S1290" s="314"/>
      <c r="T1290" s="314"/>
      <c r="U1290" s="314"/>
      <c r="V1290" s="314"/>
      <c r="W1290" s="314"/>
      <c r="X1290" s="314"/>
      <c r="Y1290" s="314"/>
      <c r="Z1290" s="314"/>
      <c r="AA1290" s="314"/>
      <c r="AB1290" s="314"/>
      <c r="AC1290" s="314"/>
      <c r="AD1290" s="314"/>
      <c r="AE1290" s="314"/>
      <c r="AF1290" s="314"/>
    </row>
    <row r="1291" spans="2:32" s="147" customFormat="1" ht="14.15" customHeight="1" x14ac:dyDescent="0.35">
      <c r="B1291" s="146"/>
      <c r="E1291" s="314"/>
      <c r="F1291" s="314"/>
      <c r="G1291" s="314"/>
      <c r="H1291" s="314"/>
      <c r="I1291" s="314"/>
      <c r="J1291" s="314"/>
      <c r="K1291" s="314"/>
      <c r="L1291" s="314"/>
      <c r="M1291" s="314"/>
      <c r="N1291" s="314"/>
      <c r="O1291" s="314"/>
      <c r="P1291" s="314"/>
      <c r="Q1291" s="314"/>
      <c r="R1291" s="314"/>
      <c r="S1291" s="314"/>
      <c r="T1291" s="314"/>
      <c r="U1291" s="314"/>
      <c r="V1291" s="314"/>
      <c r="W1291" s="314"/>
      <c r="X1291" s="314"/>
      <c r="Y1291" s="314"/>
      <c r="Z1291" s="314"/>
      <c r="AA1291" s="314"/>
      <c r="AB1291" s="314"/>
      <c r="AC1291" s="314"/>
      <c r="AD1291" s="314"/>
      <c r="AE1291" s="314"/>
      <c r="AF1291" s="314"/>
    </row>
    <row r="1292" spans="2:32" s="147" customFormat="1" ht="14.15" customHeight="1" x14ac:dyDescent="0.35">
      <c r="B1292" s="146"/>
      <c r="E1292" s="314"/>
      <c r="F1292" s="314"/>
      <c r="G1292" s="314"/>
      <c r="H1292" s="314"/>
      <c r="I1292" s="314"/>
      <c r="J1292" s="314"/>
      <c r="K1292" s="314"/>
      <c r="L1292" s="314"/>
      <c r="M1292" s="314"/>
      <c r="N1292" s="314"/>
      <c r="O1292" s="314"/>
      <c r="P1292" s="314"/>
      <c r="Q1292" s="314"/>
      <c r="R1292" s="314"/>
      <c r="S1292" s="314"/>
      <c r="T1292" s="314"/>
      <c r="U1292" s="314"/>
      <c r="V1292" s="314"/>
      <c r="W1292" s="314"/>
      <c r="X1292" s="314"/>
      <c r="Y1292" s="314"/>
      <c r="Z1292" s="314"/>
      <c r="AA1292" s="314"/>
      <c r="AB1292" s="314"/>
      <c r="AC1292" s="314"/>
      <c r="AD1292" s="314"/>
      <c r="AE1292" s="314"/>
      <c r="AF1292" s="314"/>
    </row>
    <row r="1293" spans="2:32" s="147" customFormat="1" ht="14.15" customHeight="1" x14ac:dyDescent="0.35">
      <c r="B1293" s="146"/>
      <c r="E1293" s="314"/>
      <c r="F1293" s="314"/>
      <c r="G1293" s="314"/>
      <c r="H1293" s="314"/>
      <c r="I1293" s="314"/>
      <c r="J1293" s="314"/>
      <c r="K1293" s="314"/>
      <c r="L1293" s="314"/>
      <c r="M1293" s="314"/>
      <c r="N1293" s="314"/>
      <c r="O1293" s="314"/>
      <c r="P1293" s="314"/>
      <c r="Q1293" s="314"/>
      <c r="R1293" s="314"/>
      <c r="S1293" s="314"/>
      <c r="T1293" s="314"/>
      <c r="U1293" s="314"/>
      <c r="V1293" s="314"/>
      <c r="W1293" s="314"/>
      <c r="X1293" s="314"/>
      <c r="Y1293" s="314"/>
      <c r="Z1293" s="314"/>
      <c r="AA1293" s="314"/>
      <c r="AB1293" s="314"/>
      <c r="AC1293" s="314"/>
      <c r="AD1293" s="314"/>
      <c r="AE1293" s="314"/>
      <c r="AF1293" s="314"/>
    </row>
    <row r="1294" spans="2:32" s="147" customFormat="1" ht="14.15" customHeight="1" x14ac:dyDescent="0.35">
      <c r="B1294" s="146"/>
      <c r="E1294" s="314"/>
      <c r="F1294" s="314"/>
      <c r="G1294" s="314"/>
      <c r="H1294" s="314"/>
      <c r="I1294" s="314"/>
      <c r="J1294" s="314"/>
      <c r="K1294" s="314"/>
      <c r="L1294" s="314"/>
      <c r="M1294" s="314"/>
      <c r="N1294" s="314"/>
      <c r="O1294" s="314"/>
      <c r="P1294" s="314"/>
      <c r="Q1294" s="314"/>
      <c r="R1294" s="314"/>
      <c r="S1294" s="314"/>
      <c r="T1294" s="314"/>
      <c r="U1294" s="314"/>
      <c r="V1294" s="314"/>
      <c r="W1294" s="314"/>
      <c r="X1294" s="314"/>
      <c r="Y1294" s="314"/>
      <c r="Z1294" s="314"/>
      <c r="AA1294" s="314"/>
      <c r="AB1294" s="314"/>
      <c r="AC1294" s="314"/>
      <c r="AD1294" s="314"/>
      <c r="AE1294" s="314"/>
      <c r="AF1294" s="314"/>
    </row>
    <row r="1295" spans="2:32" s="147" customFormat="1" ht="14.15" customHeight="1" x14ac:dyDescent="0.35">
      <c r="B1295" s="146"/>
      <c r="E1295" s="314"/>
      <c r="F1295" s="314"/>
      <c r="G1295" s="314"/>
      <c r="H1295" s="314"/>
      <c r="I1295" s="314"/>
      <c r="J1295" s="314"/>
      <c r="K1295" s="314"/>
      <c r="L1295" s="314"/>
      <c r="M1295" s="314"/>
      <c r="N1295" s="314"/>
      <c r="O1295" s="314"/>
      <c r="P1295" s="314"/>
      <c r="Q1295" s="314"/>
      <c r="R1295" s="314"/>
      <c r="S1295" s="314"/>
      <c r="T1295" s="314"/>
      <c r="U1295" s="314"/>
      <c r="V1295" s="314"/>
      <c r="W1295" s="314"/>
      <c r="X1295" s="314"/>
      <c r="Y1295" s="314"/>
      <c r="Z1295" s="314"/>
      <c r="AA1295" s="314"/>
      <c r="AB1295" s="314"/>
      <c r="AC1295" s="314"/>
      <c r="AD1295" s="314"/>
      <c r="AE1295" s="314"/>
      <c r="AF1295" s="314"/>
    </row>
    <row r="1296" spans="2:32" s="147" customFormat="1" ht="14.15" customHeight="1" x14ac:dyDescent="0.35">
      <c r="B1296" s="146"/>
      <c r="E1296" s="314"/>
      <c r="F1296" s="314"/>
      <c r="G1296" s="314"/>
      <c r="H1296" s="314"/>
      <c r="I1296" s="314"/>
      <c r="J1296" s="314"/>
      <c r="K1296" s="314"/>
      <c r="L1296" s="314"/>
      <c r="M1296" s="314"/>
      <c r="N1296" s="314"/>
      <c r="O1296" s="314"/>
      <c r="P1296" s="314"/>
      <c r="Q1296" s="314"/>
      <c r="R1296" s="314"/>
      <c r="S1296" s="314"/>
      <c r="T1296" s="314"/>
      <c r="U1296" s="314"/>
      <c r="V1296" s="314"/>
      <c r="W1296" s="314"/>
      <c r="X1296" s="314"/>
      <c r="Y1296" s="314"/>
      <c r="Z1296" s="314"/>
      <c r="AA1296" s="314"/>
      <c r="AB1296" s="314"/>
      <c r="AC1296" s="314"/>
      <c r="AD1296" s="314"/>
      <c r="AE1296" s="314"/>
      <c r="AF1296" s="314"/>
    </row>
    <row r="1297" spans="2:32" s="147" customFormat="1" ht="14.15" customHeight="1" x14ac:dyDescent="0.35">
      <c r="B1297" s="146"/>
      <c r="E1297" s="314"/>
      <c r="F1297" s="314"/>
      <c r="G1297" s="314"/>
      <c r="H1297" s="314"/>
      <c r="I1297" s="314"/>
      <c r="J1297" s="314"/>
      <c r="K1297" s="314"/>
      <c r="L1297" s="314"/>
      <c r="M1297" s="314"/>
      <c r="N1297" s="314"/>
      <c r="O1297" s="314"/>
      <c r="P1297" s="314"/>
      <c r="Q1297" s="314"/>
      <c r="R1297" s="314"/>
      <c r="S1297" s="314"/>
      <c r="T1297" s="314"/>
      <c r="U1297" s="314"/>
      <c r="V1297" s="314"/>
      <c r="W1297" s="314"/>
      <c r="X1297" s="314"/>
      <c r="Y1297" s="314"/>
      <c r="Z1297" s="314"/>
      <c r="AA1297" s="314"/>
      <c r="AB1297" s="314"/>
      <c r="AC1297" s="314"/>
      <c r="AD1297" s="314"/>
      <c r="AE1297" s="314"/>
      <c r="AF1297" s="314"/>
    </row>
    <row r="1298" spans="2:32" s="147" customFormat="1" ht="14.15" customHeight="1" x14ac:dyDescent="0.35">
      <c r="B1298" s="146"/>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c r="AA1298" s="314"/>
      <c r="AB1298" s="314"/>
      <c r="AC1298" s="314"/>
      <c r="AD1298" s="314"/>
      <c r="AE1298" s="314"/>
      <c r="AF1298" s="314"/>
    </row>
    <row r="1299" spans="2:32" s="147" customFormat="1" ht="14.15" customHeight="1" x14ac:dyDescent="0.35">
      <c r="B1299" s="146"/>
      <c r="E1299" s="314"/>
      <c r="F1299" s="314"/>
      <c r="G1299" s="314"/>
      <c r="H1299" s="314"/>
      <c r="I1299" s="314"/>
      <c r="J1299" s="314"/>
      <c r="K1299" s="314"/>
      <c r="L1299" s="314"/>
      <c r="M1299" s="314"/>
      <c r="N1299" s="314"/>
      <c r="O1299" s="314"/>
      <c r="P1299" s="314"/>
      <c r="Q1299" s="314"/>
      <c r="R1299" s="314"/>
      <c r="S1299" s="314"/>
      <c r="T1299" s="314"/>
      <c r="U1299" s="314"/>
      <c r="V1299" s="314"/>
      <c r="W1299" s="314"/>
      <c r="X1299" s="314"/>
      <c r="Y1299" s="314"/>
      <c r="Z1299" s="314"/>
      <c r="AA1299" s="314"/>
      <c r="AB1299" s="314"/>
      <c r="AC1299" s="314"/>
      <c r="AD1299" s="314"/>
      <c r="AE1299" s="314"/>
      <c r="AF1299" s="314"/>
    </row>
    <row r="1300" spans="2:32" s="147" customFormat="1" ht="14.15" customHeight="1" x14ac:dyDescent="0.35">
      <c r="B1300" s="146"/>
      <c r="E1300" s="314"/>
      <c r="F1300" s="314"/>
      <c r="G1300" s="314"/>
      <c r="H1300" s="314"/>
      <c r="I1300" s="314"/>
      <c r="J1300" s="314"/>
      <c r="K1300" s="314"/>
      <c r="L1300" s="314"/>
      <c r="M1300" s="314"/>
      <c r="N1300" s="314"/>
      <c r="O1300" s="314"/>
      <c r="P1300" s="314"/>
      <c r="Q1300" s="314"/>
      <c r="R1300" s="314"/>
      <c r="S1300" s="314"/>
      <c r="T1300" s="314"/>
      <c r="U1300" s="314"/>
      <c r="V1300" s="314"/>
      <c r="W1300" s="314"/>
      <c r="X1300" s="314"/>
      <c r="Y1300" s="314"/>
      <c r="Z1300" s="314"/>
      <c r="AA1300" s="314"/>
      <c r="AB1300" s="314"/>
      <c r="AC1300" s="314"/>
      <c r="AD1300" s="314"/>
      <c r="AE1300" s="314"/>
      <c r="AF1300" s="314"/>
    </row>
    <row r="1301" spans="2:32" s="147" customFormat="1" ht="14.15" customHeight="1" x14ac:dyDescent="0.35">
      <c r="B1301" s="146"/>
      <c r="E1301" s="314"/>
      <c r="F1301" s="314"/>
      <c r="G1301" s="314"/>
      <c r="H1301" s="314"/>
      <c r="I1301" s="314"/>
      <c r="J1301" s="314"/>
      <c r="K1301" s="314"/>
      <c r="L1301" s="314"/>
      <c r="M1301" s="314"/>
      <c r="N1301" s="314"/>
      <c r="O1301" s="314"/>
      <c r="P1301" s="314"/>
      <c r="Q1301" s="314"/>
      <c r="R1301" s="314"/>
      <c r="S1301" s="314"/>
      <c r="T1301" s="314"/>
      <c r="U1301" s="314"/>
      <c r="V1301" s="314"/>
      <c r="W1301" s="314"/>
      <c r="X1301" s="314"/>
      <c r="Y1301" s="314"/>
      <c r="Z1301" s="314"/>
      <c r="AA1301" s="314"/>
      <c r="AB1301" s="314"/>
      <c r="AC1301" s="314"/>
      <c r="AD1301" s="314"/>
      <c r="AE1301" s="314"/>
      <c r="AF1301" s="314"/>
    </row>
    <row r="1302" spans="2:32" s="147" customFormat="1" ht="14.15" customHeight="1" x14ac:dyDescent="0.35">
      <c r="B1302" s="146"/>
      <c r="E1302" s="314"/>
      <c r="F1302" s="314"/>
      <c r="G1302" s="314"/>
      <c r="H1302" s="314"/>
      <c r="I1302" s="314"/>
      <c r="J1302" s="314"/>
      <c r="K1302" s="314"/>
      <c r="L1302" s="314"/>
      <c r="M1302" s="314"/>
      <c r="N1302" s="314"/>
      <c r="O1302" s="314"/>
      <c r="P1302" s="314"/>
      <c r="Q1302" s="314"/>
      <c r="R1302" s="314"/>
      <c r="S1302" s="314"/>
      <c r="T1302" s="314"/>
      <c r="U1302" s="314"/>
      <c r="V1302" s="314"/>
      <c r="W1302" s="314"/>
      <c r="X1302" s="314"/>
      <c r="Y1302" s="314"/>
      <c r="Z1302" s="314"/>
      <c r="AA1302" s="314"/>
      <c r="AB1302" s="314"/>
      <c r="AC1302" s="314"/>
      <c r="AD1302" s="314"/>
      <c r="AE1302" s="314"/>
      <c r="AF1302" s="314"/>
    </row>
    <row r="1303" spans="2:32" s="147" customFormat="1" ht="14.15" customHeight="1" x14ac:dyDescent="0.35">
      <c r="B1303" s="146"/>
      <c r="E1303" s="314"/>
      <c r="F1303" s="314"/>
      <c r="G1303" s="314"/>
      <c r="H1303" s="314"/>
      <c r="I1303" s="314"/>
      <c r="J1303" s="314"/>
      <c r="K1303" s="314"/>
      <c r="L1303" s="314"/>
      <c r="M1303" s="314"/>
      <c r="N1303" s="314"/>
      <c r="O1303" s="314"/>
      <c r="P1303" s="314"/>
      <c r="Q1303" s="314"/>
      <c r="R1303" s="314"/>
      <c r="S1303" s="314"/>
      <c r="T1303" s="314"/>
      <c r="U1303" s="314"/>
      <c r="V1303" s="314"/>
      <c r="W1303" s="314"/>
      <c r="X1303" s="314"/>
      <c r="Y1303" s="314"/>
      <c r="Z1303" s="314"/>
      <c r="AA1303" s="314"/>
      <c r="AB1303" s="314"/>
      <c r="AC1303" s="314"/>
      <c r="AD1303" s="314"/>
      <c r="AE1303" s="314"/>
      <c r="AF1303" s="314"/>
    </row>
    <row r="1304" spans="2:32" s="147" customFormat="1" ht="14.15" customHeight="1" x14ac:dyDescent="0.35">
      <c r="B1304" s="146"/>
      <c r="E1304" s="314"/>
      <c r="F1304" s="314"/>
      <c r="G1304" s="314"/>
      <c r="H1304" s="314"/>
      <c r="I1304" s="314"/>
      <c r="J1304" s="314"/>
      <c r="K1304" s="314"/>
      <c r="L1304" s="314"/>
      <c r="M1304" s="314"/>
      <c r="N1304" s="314"/>
      <c r="O1304" s="314"/>
      <c r="P1304" s="314"/>
      <c r="Q1304" s="314"/>
      <c r="R1304" s="314"/>
      <c r="S1304" s="314"/>
      <c r="T1304" s="314"/>
      <c r="U1304" s="314"/>
      <c r="V1304" s="314"/>
      <c r="W1304" s="314"/>
      <c r="X1304" s="314"/>
      <c r="Y1304" s="314"/>
      <c r="Z1304" s="314"/>
      <c r="AA1304" s="314"/>
      <c r="AB1304" s="314"/>
      <c r="AC1304" s="314"/>
      <c r="AD1304" s="314"/>
      <c r="AE1304" s="314"/>
      <c r="AF1304" s="314"/>
    </row>
    <row r="1305" spans="2:32" s="147" customFormat="1" ht="14.15" customHeight="1" x14ac:dyDescent="0.35">
      <c r="B1305" s="146"/>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314"/>
      <c r="AE1305" s="314"/>
      <c r="AF1305" s="314"/>
    </row>
    <row r="1306" spans="2:32" s="147" customFormat="1" ht="14.15" customHeight="1" x14ac:dyDescent="0.35">
      <c r="B1306" s="146"/>
      <c r="E1306" s="314"/>
      <c r="F1306" s="314"/>
      <c r="G1306" s="314"/>
      <c r="H1306" s="314"/>
      <c r="I1306" s="314"/>
      <c r="J1306" s="314"/>
      <c r="K1306" s="314"/>
      <c r="L1306" s="314"/>
      <c r="M1306" s="314"/>
      <c r="N1306" s="314"/>
      <c r="O1306" s="314"/>
      <c r="P1306" s="314"/>
      <c r="Q1306" s="314"/>
      <c r="R1306" s="314"/>
      <c r="S1306" s="314"/>
      <c r="T1306" s="314"/>
      <c r="U1306" s="314"/>
      <c r="V1306" s="314"/>
      <c r="W1306" s="314"/>
      <c r="X1306" s="314"/>
      <c r="Y1306" s="314"/>
      <c r="Z1306" s="314"/>
      <c r="AA1306" s="314"/>
      <c r="AB1306" s="314"/>
      <c r="AC1306" s="314"/>
      <c r="AD1306" s="314"/>
      <c r="AE1306" s="314"/>
      <c r="AF1306" s="314"/>
    </row>
    <row r="1307" spans="2:32" s="147" customFormat="1" ht="14.15" customHeight="1" x14ac:dyDescent="0.35">
      <c r="B1307" s="146"/>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4"/>
      <c r="AD1307" s="314"/>
      <c r="AE1307" s="314"/>
      <c r="AF1307" s="314"/>
    </row>
    <row r="1308" spans="2:32" s="147" customFormat="1" ht="14.15" customHeight="1" x14ac:dyDescent="0.35">
      <c r="B1308" s="146"/>
      <c r="E1308" s="314"/>
      <c r="F1308" s="314"/>
      <c r="G1308" s="314"/>
      <c r="H1308" s="314"/>
      <c r="I1308" s="314"/>
      <c r="J1308" s="314"/>
      <c r="K1308" s="314"/>
      <c r="L1308" s="314"/>
      <c r="M1308" s="314"/>
      <c r="N1308" s="314"/>
      <c r="O1308" s="314"/>
      <c r="P1308" s="314"/>
      <c r="Q1308" s="314"/>
      <c r="R1308" s="314"/>
      <c r="S1308" s="314"/>
      <c r="T1308" s="314"/>
      <c r="U1308" s="314"/>
      <c r="V1308" s="314"/>
      <c r="W1308" s="314"/>
      <c r="X1308" s="314"/>
      <c r="Y1308" s="314"/>
      <c r="Z1308" s="314"/>
      <c r="AA1308" s="314"/>
      <c r="AB1308" s="314"/>
      <c r="AC1308" s="314"/>
      <c r="AD1308" s="314"/>
      <c r="AE1308" s="314"/>
      <c r="AF1308" s="314"/>
    </row>
    <row r="1309" spans="2:32" s="147" customFormat="1" ht="14.15" customHeight="1" x14ac:dyDescent="0.35">
      <c r="B1309" s="146"/>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4"/>
      <c r="AD1309" s="314"/>
      <c r="AE1309" s="314"/>
      <c r="AF1309" s="314"/>
    </row>
    <row r="1310" spans="2:32" s="147" customFormat="1" ht="14.15" customHeight="1" x14ac:dyDescent="0.35">
      <c r="B1310" s="146"/>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314"/>
      <c r="AE1310" s="314"/>
      <c r="AF1310" s="314"/>
    </row>
    <row r="1311" spans="2:32" s="147" customFormat="1" ht="14.15" customHeight="1" x14ac:dyDescent="0.35">
      <c r="B1311" s="146"/>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314"/>
      <c r="AF1311" s="314"/>
    </row>
    <row r="1312" spans="2:32" s="147" customFormat="1" ht="14.15" customHeight="1" x14ac:dyDescent="0.35">
      <c r="B1312" s="146"/>
      <c r="E1312" s="314"/>
      <c r="F1312" s="314"/>
      <c r="G1312" s="314"/>
      <c r="H1312" s="314"/>
      <c r="I1312" s="314"/>
      <c r="J1312" s="314"/>
      <c r="K1312" s="314"/>
      <c r="L1312" s="314"/>
      <c r="M1312" s="314"/>
      <c r="N1312" s="314"/>
      <c r="O1312" s="314"/>
      <c r="P1312" s="314"/>
      <c r="Q1312" s="314"/>
      <c r="R1312" s="314"/>
      <c r="S1312" s="314"/>
      <c r="T1312" s="314"/>
      <c r="U1312" s="314"/>
      <c r="V1312" s="314"/>
      <c r="W1312" s="314"/>
      <c r="X1312" s="314"/>
      <c r="Y1312" s="314"/>
      <c r="Z1312" s="314"/>
      <c r="AA1312" s="314"/>
      <c r="AB1312" s="314"/>
      <c r="AC1312" s="314"/>
      <c r="AD1312" s="314"/>
      <c r="AE1312" s="314"/>
      <c r="AF1312" s="314"/>
    </row>
    <row r="1313" spans="2:32" s="147" customFormat="1" ht="14.15" customHeight="1" x14ac:dyDescent="0.35">
      <c r="B1313" s="146"/>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314"/>
      <c r="AE1313" s="314"/>
      <c r="AF1313" s="314"/>
    </row>
    <row r="1314" spans="2:32" s="147" customFormat="1" ht="14.15" customHeight="1" x14ac:dyDescent="0.35">
      <c r="B1314" s="146"/>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314"/>
      <c r="AE1314" s="314"/>
      <c r="AF1314" s="314"/>
    </row>
    <row r="1315" spans="2:32" s="147" customFormat="1" ht="14.15" customHeight="1" x14ac:dyDescent="0.35">
      <c r="B1315" s="146"/>
      <c r="E1315" s="314"/>
      <c r="F1315" s="314"/>
      <c r="G1315" s="314"/>
      <c r="H1315" s="314"/>
      <c r="I1315" s="314"/>
      <c r="J1315" s="314"/>
      <c r="K1315" s="314"/>
      <c r="L1315" s="314"/>
      <c r="M1315" s="314"/>
      <c r="N1315" s="314"/>
      <c r="O1315" s="314"/>
      <c r="P1315" s="314"/>
      <c r="Q1315" s="314"/>
      <c r="R1315" s="314"/>
      <c r="S1315" s="314"/>
      <c r="T1315" s="314"/>
      <c r="U1315" s="314"/>
      <c r="V1315" s="314"/>
      <c r="W1315" s="314"/>
      <c r="X1315" s="314"/>
      <c r="Y1315" s="314"/>
      <c r="Z1315" s="314"/>
      <c r="AA1315" s="314"/>
      <c r="AB1315" s="314"/>
      <c r="AC1315" s="314"/>
      <c r="AD1315" s="314"/>
      <c r="AE1315" s="314"/>
      <c r="AF1315" s="314"/>
    </row>
    <row r="1316" spans="2:32" s="147" customFormat="1" ht="14.15" customHeight="1" x14ac:dyDescent="0.35">
      <c r="B1316" s="146"/>
      <c r="E1316" s="314"/>
      <c r="F1316" s="314"/>
      <c r="G1316" s="314"/>
      <c r="H1316" s="314"/>
      <c r="I1316" s="314"/>
      <c r="J1316" s="314"/>
      <c r="K1316" s="314"/>
      <c r="L1316" s="314"/>
      <c r="M1316" s="314"/>
      <c r="N1316" s="314"/>
      <c r="O1316" s="314"/>
      <c r="P1316" s="314"/>
      <c r="Q1316" s="314"/>
      <c r="R1316" s="314"/>
      <c r="S1316" s="314"/>
      <c r="T1316" s="314"/>
      <c r="U1316" s="314"/>
      <c r="V1316" s="314"/>
      <c r="W1316" s="314"/>
      <c r="X1316" s="314"/>
      <c r="Y1316" s="314"/>
      <c r="Z1316" s="314"/>
      <c r="AA1316" s="314"/>
      <c r="AB1316" s="314"/>
      <c r="AC1316" s="314"/>
      <c r="AD1316" s="314"/>
      <c r="AE1316" s="314"/>
      <c r="AF1316" s="314"/>
    </row>
    <row r="1317" spans="2:32" s="147" customFormat="1" ht="14.15" customHeight="1" x14ac:dyDescent="0.35">
      <c r="B1317" s="146"/>
      <c r="E1317" s="314"/>
      <c r="F1317" s="314"/>
      <c r="G1317" s="314"/>
      <c r="H1317" s="314"/>
      <c r="I1317" s="314"/>
      <c r="J1317" s="314"/>
      <c r="K1317" s="314"/>
      <c r="L1317" s="314"/>
      <c r="M1317" s="314"/>
      <c r="N1317" s="314"/>
      <c r="O1317" s="314"/>
      <c r="P1317" s="314"/>
      <c r="Q1317" s="314"/>
      <c r="R1317" s="314"/>
      <c r="S1317" s="314"/>
      <c r="T1317" s="314"/>
      <c r="U1317" s="314"/>
      <c r="V1317" s="314"/>
      <c r="W1317" s="314"/>
      <c r="X1317" s="314"/>
      <c r="Y1317" s="314"/>
      <c r="Z1317" s="314"/>
      <c r="AA1317" s="314"/>
      <c r="AB1317" s="314"/>
      <c r="AC1317" s="314"/>
      <c r="AD1317" s="314"/>
      <c r="AE1317" s="314"/>
      <c r="AF1317" s="314"/>
    </row>
    <row r="1318" spans="2:32" s="147" customFormat="1" ht="14.15" customHeight="1" x14ac:dyDescent="0.35">
      <c r="B1318" s="146"/>
      <c r="E1318" s="314"/>
      <c r="F1318" s="314"/>
      <c r="G1318" s="314"/>
      <c r="H1318" s="314"/>
      <c r="I1318" s="314"/>
      <c r="J1318" s="314"/>
      <c r="K1318" s="314"/>
      <c r="L1318" s="314"/>
      <c r="M1318" s="314"/>
      <c r="N1318" s="314"/>
      <c r="O1318" s="314"/>
      <c r="P1318" s="314"/>
      <c r="Q1318" s="314"/>
      <c r="R1318" s="314"/>
      <c r="S1318" s="314"/>
      <c r="T1318" s="314"/>
      <c r="U1318" s="314"/>
      <c r="V1318" s="314"/>
      <c r="W1318" s="314"/>
      <c r="X1318" s="314"/>
      <c r="Y1318" s="314"/>
      <c r="Z1318" s="314"/>
      <c r="AA1318" s="314"/>
      <c r="AB1318" s="314"/>
      <c r="AC1318" s="314"/>
      <c r="AD1318" s="314"/>
      <c r="AE1318" s="314"/>
      <c r="AF1318" s="314"/>
    </row>
    <row r="1319" spans="2:32" s="147" customFormat="1" ht="14.15" customHeight="1" x14ac:dyDescent="0.35">
      <c r="B1319" s="146"/>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314"/>
      <c r="AE1319" s="314"/>
      <c r="AF1319" s="314"/>
    </row>
    <row r="1320" spans="2:32" s="147" customFormat="1" ht="14.15" customHeight="1" x14ac:dyDescent="0.35">
      <c r="B1320" s="146"/>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314"/>
      <c r="AF1320" s="314"/>
    </row>
    <row r="1321" spans="2:32" s="147" customFormat="1" ht="14.15" customHeight="1" x14ac:dyDescent="0.35">
      <c r="B1321" s="146"/>
      <c r="E1321" s="314"/>
      <c r="F1321" s="314"/>
      <c r="G1321" s="314"/>
      <c r="H1321" s="314"/>
      <c r="I1321" s="314"/>
      <c r="J1321" s="314"/>
      <c r="K1321" s="314"/>
      <c r="L1321" s="314"/>
      <c r="M1321" s="314"/>
      <c r="N1321" s="314"/>
      <c r="O1321" s="314"/>
      <c r="P1321" s="314"/>
      <c r="Q1321" s="314"/>
      <c r="R1321" s="314"/>
      <c r="S1321" s="314"/>
      <c r="T1321" s="314"/>
      <c r="U1321" s="314"/>
      <c r="V1321" s="314"/>
      <c r="W1321" s="314"/>
      <c r="X1321" s="314"/>
      <c r="Y1321" s="314"/>
      <c r="Z1321" s="314"/>
      <c r="AA1321" s="314"/>
      <c r="AB1321" s="314"/>
      <c r="AC1321" s="314"/>
      <c r="AD1321" s="314"/>
      <c r="AE1321" s="314"/>
      <c r="AF1321" s="314"/>
    </row>
    <row r="1322" spans="2:32" s="147" customFormat="1" ht="14.15" customHeight="1" x14ac:dyDescent="0.35">
      <c r="B1322" s="146"/>
      <c r="E1322" s="314"/>
      <c r="F1322" s="314"/>
      <c r="G1322" s="314"/>
      <c r="H1322" s="314"/>
      <c r="I1322" s="314"/>
      <c r="J1322" s="314"/>
      <c r="K1322" s="314"/>
      <c r="L1322" s="314"/>
      <c r="M1322" s="314"/>
      <c r="N1322" s="314"/>
      <c r="O1322" s="314"/>
      <c r="P1322" s="314"/>
      <c r="Q1322" s="314"/>
      <c r="R1322" s="314"/>
      <c r="S1322" s="314"/>
      <c r="T1322" s="314"/>
      <c r="U1322" s="314"/>
      <c r="V1322" s="314"/>
      <c r="W1322" s="314"/>
      <c r="X1322" s="314"/>
      <c r="Y1322" s="314"/>
      <c r="Z1322" s="314"/>
      <c r="AA1322" s="314"/>
      <c r="AB1322" s="314"/>
      <c r="AC1322" s="314"/>
      <c r="AD1322" s="314"/>
      <c r="AE1322" s="314"/>
      <c r="AF1322" s="314"/>
    </row>
    <row r="1323" spans="2:32" s="147" customFormat="1" ht="14.15" customHeight="1" x14ac:dyDescent="0.35">
      <c r="B1323" s="146"/>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314"/>
      <c r="AE1323" s="314"/>
      <c r="AF1323" s="314"/>
    </row>
    <row r="1324" spans="2:32" s="147" customFormat="1" ht="14.15" customHeight="1" x14ac:dyDescent="0.35">
      <c r="B1324" s="146"/>
      <c r="E1324" s="314"/>
      <c r="F1324" s="314"/>
      <c r="G1324" s="314"/>
      <c r="H1324" s="314"/>
      <c r="I1324" s="314"/>
      <c r="J1324" s="314"/>
      <c r="K1324" s="314"/>
      <c r="L1324" s="314"/>
      <c r="M1324" s="314"/>
      <c r="N1324" s="314"/>
      <c r="O1324" s="314"/>
      <c r="P1324" s="314"/>
      <c r="Q1324" s="314"/>
      <c r="R1324" s="314"/>
      <c r="S1324" s="314"/>
      <c r="T1324" s="314"/>
      <c r="U1324" s="314"/>
      <c r="V1324" s="314"/>
      <c r="W1324" s="314"/>
      <c r="X1324" s="314"/>
      <c r="Y1324" s="314"/>
      <c r="Z1324" s="314"/>
      <c r="AA1324" s="314"/>
      <c r="AB1324" s="314"/>
      <c r="AC1324" s="314"/>
      <c r="AD1324" s="314"/>
      <c r="AE1324" s="314"/>
      <c r="AF1324" s="314"/>
    </row>
    <row r="1325" spans="2:32" s="147" customFormat="1" ht="14.15" customHeight="1" x14ac:dyDescent="0.35">
      <c r="B1325" s="146"/>
      <c r="E1325" s="314"/>
      <c r="F1325" s="314"/>
      <c r="G1325" s="314"/>
      <c r="H1325" s="314"/>
      <c r="I1325" s="314"/>
      <c r="J1325" s="314"/>
      <c r="K1325" s="314"/>
      <c r="L1325" s="314"/>
      <c r="M1325" s="314"/>
      <c r="N1325" s="314"/>
      <c r="O1325" s="314"/>
      <c r="P1325" s="314"/>
      <c r="Q1325" s="314"/>
      <c r="R1325" s="314"/>
      <c r="S1325" s="314"/>
      <c r="T1325" s="314"/>
      <c r="U1325" s="314"/>
      <c r="V1325" s="314"/>
      <c r="W1325" s="314"/>
      <c r="X1325" s="314"/>
      <c r="Y1325" s="314"/>
      <c r="Z1325" s="314"/>
      <c r="AA1325" s="314"/>
      <c r="AB1325" s="314"/>
      <c r="AC1325" s="314"/>
      <c r="AD1325" s="314"/>
      <c r="AE1325" s="314"/>
      <c r="AF1325" s="314"/>
    </row>
    <row r="1326" spans="2:32" s="147" customFormat="1" ht="14.15" customHeight="1" x14ac:dyDescent="0.35">
      <c r="B1326" s="146"/>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314"/>
      <c r="AE1326" s="314"/>
      <c r="AF1326" s="314"/>
    </row>
    <row r="1327" spans="2:32" s="147" customFormat="1" ht="14.15" customHeight="1" x14ac:dyDescent="0.35">
      <c r="B1327" s="146"/>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4"/>
      <c r="AD1327" s="314"/>
      <c r="AE1327" s="314"/>
      <c r="AF1327" s="314"/>
    </row>
    <row r="1328" spans="2:32" s="147" customFormat="1" ht="14.15" customHeight="1" x14ac:dyDescent="0.35">
      <c r="B1328" s="146"/>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4"/>
      <c r="AD1328" s="314"/>
      <c r="AE1328" s="314"/>
      <c r="AF1328" s="314"/>
    </row>
    <row r="1329" spans="2:32" s="147" customFormat="1" ht="14.15" customHeight="1" x14ac:dyDescent="0.35">
      <c r="B1329" s="146"/>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4"/>
      <c r="AD1329" s="314"/>
      <c r="AE1329" s="314"/>
      <c r="AF1329" s="314"/>
    </row>
    <row r="1330" spans="2:32" s="147" customFormat="1" ht="14.15" customHeight="1" x14ac:dyDescent="0.35">
      <c r="B1330" s="146"/>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4"/>
      <c r="AD1330" s="314"/>
      <c r="AE1330" s="314"/>
      <c r="AF1330" s="314"/>
    </row>
    <row r="1331" spans="2:32" s="147" customFormat="1" ht="14.15" customHeight="1" x14ac:dyDescent="0.35">
      <c r="B1331" s="146"/>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4"/>
      <c r="AD1331" s="314"/>
      <c r="AE1331" s="314"/>
      <c r="AF1331" s="314"/>
    </row>
    <row r="1332" spans="2:32" s="147" customFormat="1" ht="14.15" customHeight="1" x14ac:dyDescent="0.35">
      <c r="B1332" s="146"/>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314"/>
      <c r="AE1332" s="314"/>
      <c r="AF1332" s="314"/>
    </row>
    <row r="1333" spans="2:32" s="147" customFormat="1" ht="14.15" customHeight="1" x14ac:dyDescent="0.35">
      <c r="B1333" s="146"/>
      <c r="E1333" s="314"/>
      <c r="F1333" s="314"/>
      <c r="G1333" s="314"/>
      <c r="H1333" s="314"/>
      <c r="I1333" s="314"/>
      <c r="J1333" s="314"/>
      <c r="K1333" s="314"/>
      <c r="L1333" s="314"/>
      <c r="M1333" s="314"/>
      <c r="N1333" s="314"/>
      <c r="O1333" s="314"/>
      <c r="P1333" s="314"/>
      <c r="Q1333" s="314"/>
      <c r="R1333" s="314"/>
      <c r="S1333" s="314"/>
      <c r="T1333" s="314"/>
      <c r="U1333" s="314"/>
      <c r="V1333" s="314"/>
      <c r="W1333" s="314"/>
      <c r="X1333" s="314"/>
      <c r="Y1333" s="314"/>
      <c r="Z1333" s="314"/>
      <c r="AA1333" s="314"/>
      <c r="AB1333" s="314"/>
      <c r="AC1333" s="314"/>
      <c r="AD1333" s="314"/>
      <c r="AE1333" s="314"/>
      <c r="AF1333" s="314"/>
    </row>
    <row r="1334" spans="2:32" s="147" customFormat="1" ht="14.15" customHeight="1" x14ac:dyDescent="0.35">
      <c r="B1334" s="146"/>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4"/>
      <c r="AD1334" s="314"/>
      <c r="AE1334" s="314"/>
      <c r="AF1334" s="314"/>
    </row>
    <row r="1335" spans="2:32" s="147" customFormat="1" ht="14.15" customHeight="1" x14ac:dyDescent="0.35">
      <c r="B1335" s="146"/>
      <c r="E1335" s="314"/>
      <c r="F1335" s="314"/>
      <c r="G1335" s="314"/>
      <c r="H1335" s="314"/>
      <c r="I1335" s="314"/>
      <c r="J1335" s="314"/>
      <c r="K1335" s="314"/>
      <c r="L1335" s="314"/>
      <c r="M1335" s="314"/>
      <c r="N1335" s="314"/>
      <c r="O1335" s="314"/>
      <c r="P1335" s="314"/>
      <c r="Q1335" s="314"/>
      <c r="R1335" s="314"/>
      <c r="S1335" s="314"/>
      <c r="T1335" s="314"/>
      <c r="U1335" s="314"/>
      <c r="V1335" s="314"/>
      <c r="W1335" s="314"/>
      <c r="X1335" s="314"/>
      <c r="Y1335" s="314"/>
      <c r="Z1335" s="314"/>
      <c r="AA1335" s="314"/>
      <c r="AB1335" s="314"/>
      <c r="AC1335" s="314"/>
      <c r="AD1335" s="314"/>
      <c r="AE1335" s="314"/>
      <c r="AF1335" s="314"/>
    </row>
    <row r="1336" spans="2:32" s="147" customFormat="1" ht="14.15" customHeight="1" x14ac:dyDescent="0.35">
      <c r="B1336" s="146"/>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314"/>
      <c r="AE1336" s="314"/>
      <c r="AF1336" s="314"/>
    </row>
    <row r="1337" spans="2:32" s="147" customFormat="1" ht="14.15" customHeight="1" x14ac:dyDescent="0.35">
      <c r="B1337" s="146"/>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314"/>
      <c r="AF1337" s="314"/>
    </row>
    <row r="1338" spans="2:32" s="147" customFormat="1" ht="14.15" customHeight="1" x14ac:dyDescent="0.35">
      <c r="B1338" s="146"/>
      <c r="E1338" s="314"/>
      <c r="F1338" s="314"/>
      <c r="G1338" s="314"/>
      <c r="H1338" s="314"/>
      <c r="I1338" s="314"/>
      <c r="J1338" s="314"/>
      <c r="K1338" s="314"/>
      <c r="L1338" s="314"/>
      <c r="M1338" s="314"/>
      <c r="N1338" s="314"/>
      <c r="O1338" s="314"/>
      <c r="P1338" s="314"/>
      <c r="Q1338" s="314"/>
      <c r="R1338" s="314"/>
      <c r="S1338" s="314"/>
      <c r="T1338" s="314"/>
      <c r="U1338" s="314"/>
      <c r="V1338" s="314"/>
      <c r="W1338" s="314"/>
      <c r="X1338" s="314"/>
      <c r="Y1338" s="314"/>
      <c r="Z1338" s="314"/>
      <c r="AA1338" s="314"/>
      <c r="AB1338" s="314"/>
      <c r="AC1338" s="314"/>
      <c r="AD1338" s="314"/>
      <c r="AE1338" s="314"/>
      <c r="AF1338" s="314"/>
    </row>
    <row r="1339" spans="2:32" s="147" customFormat="1" ht="14.15" customHeight="1" x14ac:dyDescent="0.35">
      <c r="B1339" s="146"/>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314"/>
      <c r="AE1339" s="314"/>
      <c r="AF1339" s="314"/>
    </row>
    <row r="1340" spans="2:32" s="147" customFormat="1" ht="14.15" customHeight="1" x14ac:dyDescent="0.35">
      <c r="B1340" s="146"/>
      <c r="E1340" s="314"/>
      <c r="F1340" s="314"/>
      <c r="G1340" s="314"/>
      <c r="H1340" s="314"/>
      <c r="I1340" s="314"/>
      <c r="J1340" s="314"/>
      <c r="K1340" s="314"/>
      <c r="L1340" s="314"/>
      <c r="M1340" s="314"/>
      <c r="N1340" s="314"/>
      <c r="O1340" s="314"/>
      <c r="P1340" s="314"/>
      <c r="Q1340" s="314"/>
      <c r="R1340" s="314"/>
      <c r="S1340" s="314"/>
      <c r="T1340" s="314"/>
      <c r="U1340" s="314"/>
      <c r="V1340" s="314"/>
      <c r="W1340" s="314"/>
      <c r="X1340" s="314"/>
      <c r="Y1340" s="314"/>
      <c r="Z1340" s="314"/>
      <c r="AA1340" s="314"/>
      <c r="AB1340" s="314"/>
      <c r="AC1340" s="314"/>
      <c r="AD1340" s="314"/>
      <c r="AE1340" s="314"/>
      <c r="AF1340" s="314"/>
    </row>
    <row r="1341" spans="2:32" s="147" customFormat="1" ht="14.15" customHeight="1" x14ac:dyDescent="0.35">
      <c r="B1341" s="146"/>
      <c r="E1341" s="314"/>
      <c r="F1341" s="314"/>
      <c r="G1341" s="314"/>
      <c r="H1341" s="314"/>
      <c r="I1341" s="314"/>
      <c r="J1341" s="314"/>
      <c r="K1341" s="314"/>
      <c r="L1341" s="314"/>
      <c r="M1341" s="314"/>
      <c r="N1341" s="314"/>
      <c r="O1341" s="314"/>
      <c r="P1341" s="314"/>
      <c r="Q1341" s="314"/>
      <c r="R1341" s="314"/>
      <c r="S1341" s="314"/>
      <c r="T1341" s="314"/>
      <c r="U1341" s="314"/>
      <c r="V1341" s="314"/>
      <c r="W1341" s="314"/>
      <c r="X1341" s="314"/>
      <c r="Y1341" s="314"/>
      <c r="Z1341" s="314"/>
      <c r="AA1341" s="314"/>
      <c r="AB1341" s="314"/>
      <c r="AC1341" s="314"/>
      <c r="AD1341" s="314"/>
      <c r="AE1341" s="314"/>
      <c r="AF1341" s="314"/>
    </row>
    <row r="1342" spans="2:32" s="147" customFormat="1" ht="14.15" customHeight="1" x14ac:dyDescent="0.35">
      <c r="B1342" s="146"/>
      <c r="E1342" s="314"/>
      <c r="F1342" s="314"/>
      <c r="G1342" s="314"/>
      <c r="H1342" s="314"/>
      <c r="I1342" s="314"/>
      <c r="J1342" s="314"/>
      <c r="K1342" s="314"/>
      <c r="L1342" s="314"/>
      <c r="M1342" s="314"/>
      <c r="N1342" s="314"/>
      <c r="O1342" s="314"/>
      <c r="P1342" s="314"/>
      <c r="Q1342" s="314"/>
      <c r="R1342" s="314"/>
      <c r="S1342" s="314"/>
      <c r="T1342" s="314"/>
      <c r="U1342" s="314"/>
      <c r="V1342" s="314"/>
      <c r="W1342" s="314"/>
      <c r="X1342" s="314"/>
      <c r="Y1342" s="314"/>
      <c r="Z1342" s="314"/>
      <c r="AA1342" s="314"/>
      <c r="AB1342" s="314"/>
      <c r="AC1342" s="314"/>
      <c r="AD1342" s="314"/>
      <c r="AE1342" s="314"/>
      <c r="AF1342" s="314"/>
    </row>
    <row r="1343" spans="2:32" s="147" customFormat="1" ht="14.15" customHeight="1" x14ac:dyDescent="0.35">
      <c r="B1343" s="146"/>
      <c r="E1343" s="314"/>
      <c r="F1343" s="314"/>
      <c r="G1343" s="314"/>
      <c r="H1343" s="314"/>
      <c r="I1343" s="314"/>
      <c r="J1343" s="314"/>
      <c r="K1343" s="314"/>
      <c r="L1343" s="314"/>
      <c r="M1343" s="314"/>
      <c r="N1343" s="314"/>
      <c r="O1343" s="314"/>
      <c r="P1343" s="314"/>
      <c r="Q1343" s="314"/>
      <c r="R1343" s="314"/>
      <c r="S1343" s="314"/>
      <c r="T1343" s="314"/>
      <c r="U1343" s="314"/>
      <c r="V1343" s="314"/>
      <c r="W1343" s="314"/>
      <c r="X1343" s="314"/>
      <c r="Y1343" s="314"/>
      <c r="Z1343" s="314"/>
      <c r="AA1343" s="314"/>
      <c r="AB1343" s="314"/>
      <c r="AC1343" s="314"/>
      <c r="AD1343" s="314"/>
      <c r="AE1343" s="314"/>
      <c r="AF1343" s="314"/>
    </row>
    <row r="1344" spans="2:32" s="147" customFormat="1" ht="14.15" customHeight="1" x14ac:dyDescent="0.35">
      <c r="B1344" s="146"/>
      <c r="E1344" s="314"/>
      <c r="F1344" s="314"/>
      <c r="G1344" s="314"/>
      <c r="H1344" s="314"/>
      <c r="I1344" s="314"/>
      <c r="J1344" s="314"/>
      <c r="K1344" s="314"/>
      <c r="L1344" s="314"/>
      <c r="M1344" s="314"/>
      <c r="N1344" s="314"/>
      <c r="O1344" s="314"/>
      <c r="P1344" s="314"/>
      <c r="Q1344" s="314"/>
      <c r="R1344" s="314"/>
      <c r="S1344" s="314"/>
      <c r="T1344" s="314"/>
      <c r="U1344" s="314"/>
      <c r="V1344" s="314"/>
      <c r="W1344" s="314"/>
      <c r="X1344" s="314"/>
      <c r="Y1344" s="314"/>
      <c r="Z1344" s="314"/>
      <c r="AA1344" s="314"/>
      <c r="AB1344" s="314"/>
      <c r="AC1344" s="314"/>
      <c r="AD1344" s="314"/>
      <c r="AE1344" s="314"/>
      <c r="AF1344" s="314"/>
    </row>
    <row r="1345" spans="2:32" s="147" customFormat="1" ht="14.15" customHeight="1" x14ac:dyDescent="0.35">
      <c r="B1345" s="146"/>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314"/>
      <c r="AE1345" s="314"/>
      <c r="AF1345" s="314"/>
    </row>
    <row r="1346" spans="2:32" s="147" customFormat="1" ht="14.15" customHeight="1" x14ac:dyDescent="0.35">
      <c r="B1346" s="146"/>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314"/>
      <c r="AF1346" s="314"/>
    </row>
    <row r="1347" spans="2:32" s="147" customFormat="1" ht="14.15" customHeight="1" x14ac:dyDescent="0.35">
      <c r="B1347" s="146"/>
      <c r="E1347" s="314"/>
      <c r="F1347" s="314"/>
      <c r="G1347" s="314"/>
      <c r="H1347" s="314"/>
      <c r="I1347" s="314"/>
      <c r="J1347" s="314"/>
      <c r="K1347" s="314"/>
      <c r="L1347" s="314"/>
      <c r="M1347" s="314"/>
      <c r="N1347" s="314"/>
      <c r="O1347" s="314"/>
      <c r="P1347" s="314"/>
      <c r="Q1347" s="314"/>
      <c r="R1347" s="314"/>
      <c r="S1347" s="314"/>
      <c r="T1347" s="314"/>
      <c r="U1347" s="314"/>
      <c r="V1347" s="314"/>
      <c r="W1347" s="314"/>
      <c r="X1347" s="314"/>
      <c r="Y1347" s="314"/>
      <c r="Z1347" s="314"/>
      <c r="AA1347" s="314"/>
      <c r="AB1347" s="314"/>
      <c r="AC1347" s="314"/>
      <c r="AD1347" s="314"/>
      <c r="AE1347" s="314"/>
      <c r="AF1347" s="314"/>
    </row>
    <row r="1348" spans="2:32" s="147" customFormat="1" ht="14.15" customHeight="1" x14ac:dyDescent="0.35">
      <c r="B1348" s="146"/>
      <c r="E1348" s="314"/>
      <c r="F1348" s="314"/>
      <c r="G1348" s="314"/>
      <c r="H1348" s="314"/>
      <c r="I1348" s="314"/>
      <c r="J1348" s="314"/>
      <c r="K1348" s="314"/>
      <c r="L1348" s="314"/>
      <c r="M1348" s="314"/>
      <c r="N1348" s="314"/>
      <c r="O1348" s="314"/>
      <c r="P1348" s="314"/>
      <c r="Q1348" s="314"/>
      <c r="R1348" s="314"/>
      <c r="S1348" s="314"/>
      <c r="T1348" s="314"/>
      <c r="U1348" s="314"/>
      <c r="V1348" s="314"/>
      <c r="W1348" s="314"/>
      <c r="X1348" s="314"/>
      <c r="Y1348" s="314"/>
      <c r="Z1348" s="314"/>
      <c r="AA1348" s="314"/>
      <c r="AB1348" s="314"/>
      <c r="AC1348" s="314"/>
      <c r="AD1348" s="314"/>
      <c r="AE1348" s="314"/>
      <c r="AF1348" s="314"/>
    </row>
    <row r="1349" spans="2:32" s="147" customFormat="1" ht="14.15" customHeight="1" x14ac:dyDescent="0.35">
      <c r="B1349" s="146"/>
      <c r="E1349" s="314"/>
      <c r="F1349" s="314"/>
      <c r="G1349" s="314"/>
      <c r="H1349" s="314"/>
      <c r="I1349" s="314"/>
      <c r="J1349" s="314"/>
      <c r="K1349" s="314"/>
      <c r="L1349" s="314"/>
      <c r="M1349" s="314"/>
      <c r="N1349" s="314"/>
      <c r="O1349" s="314"/>
      <c r="P1349" s="314"/>
      <c r="Q1349" s="314"/>
      <c r="R1349" s="314"/>
      <c r="S1349" s="314"/>
      <c r="T1349" s="314"/>
      <c r="U1349" s="314"/>
      <c r="V1349" s="314"/>
      <c r="W1349" s="314"/>
      <c r="X1349" s="314"/>
      <c r="Y1349" s="314"/>
      <c r="Z1349" s="314"/>
      <c r="AA1349" s="314"/>
      <c r="AB1349" s="314"/>
      <c r="AC1349" s="314"/>
      <c r="AD1349" s="314"/>
      <c r="AE1349" s="314"/>
      <c r="AF1349" s="314"/>
    </row>
    <row r="1350" spans="2:32" s="147" customFormat="1" ht="14.15" customHeight="1" x14ac:dyDescent="0.35">
      <c r="B1350" s="146"/>
      <c r="E1350" s="314"/>
      <c r="F1350" s="314"/>
      <c r="G1350" s="314"/>
      <c r="H1350" s="314"/>
      <c r="I1350" s="314"/>
      <c r="J1350" s="314"/>
      <c r="K1350" s="314"/>
      <c r="L1350" s="314"/>
      <c r="M1350" s="314"/>
      <c r="N1350" s="314"/>
      <c r="O1350" s="314"/>
      <c r="P1350" s="314"/>
      <c r="Q1350" s="314"/>
      <c r="R1350" s="314"/>
      <c r="S1350" s="314"/>
      <c r="T1350" s="314"/>
      <c r="U1350" s="314"/>
      <c r="V1350" s="314"/>
      <c r="W1350" s="314"/>
      <c r="X1350" s="314"/>
      <c r="Y1350" s="314"/>
      <c r="Z1350" s="314"/>
      <c r="AA1350" s="314"/>
      <c r="AB1350" s="314"/>
      <c r="AC1350" s="314"/>
      <c r="AD1350" s="314"/>
      <c r="AE1350" s="314"/>
      <c r="AF1350" s="314"/>
    </row>
    <row r="1351" spans="2:32" s="147" customFormat="1" ht="14.15" customHeight="1" x14ac:dyDescent="0.35">
      <c r="B1351" s="146"/>
      <c r="E1351" s="314"/>
      <c r="F1351" s="314"/>
      <c r="G1351" s="314"/>
      <c r="H1351" s="314"/>
      <c r="I1351" s="314"/>
      <c r="J1351" s="314"/>
      <c r="K1351" s="314"/>
      <c r="L1351" s="314"/>
      <c r="M1351" s="314"/>
      <c r="N1351" s="314"/>
      <c r="O1351" s="314"/>
      <c r="P1351" s="314"/>
      <c r="Q1351" s="314"/>
      <c r="R1351" s="314"/>
      <c r="S1351" s="314"/>
      <c r="T1351" s="314"/>
      <c r="U1351" s="314"/>
      <c r="V1351" s="314"/>
      <c r="W1351" s="314"/>
      <c r="X1351" s="314"/>
      <c r="Y1351" s="314"/>
      <c r="Z1351" s="314"/>
      <c r="AA1351" s="314"/>
      <c r="AB1351" s="314"/>
      <c r="AC1351" s="314"/>
      <c r="AD1351" s="314"/>
      <c r="AE1351" s="314"/>
      <c r="AF1351" s="314"/>
    </row>
    <row r="1352" spans="2:32" s="147" customFormat="1" ht="14.15" customHeight="1" x14ac:dyDescent="0.35">
      <c r="B1352" s="146"/>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314"/>
      <c r="AE1352" s="314"/>
      <c r="AF1352" s="314"/>
    </row>
    <row r="1353" spans="2:32" s="147" customFormat="1" ht="14.15" customHeight="1" x14ac:dyDescent="0.35">
      <c r="B1353" s="146"/>
      <c r="E1353" s="314"/>
      <c r="F1353" s="314"/>
      <c r="G1353" s="314"/>
      <c r="H1353" s="314"/>
      <c r="I1353" s="314"/>
      <c r="J1353" s="314"/>
      <c r="K1353" s="314"/>
      <c r="L1353" s="314"/>
      <c r="M1353" s="314"/>
      <c r="N1353" s="314"/>
      <c r="O1353" s="314"/>
      <c r="P1353" s="314"/>
      <c r="Q1353" s="314"/>
      <c r="R1353" s="314"/>
      <c r="S1353" s="314"/>
      <c r="T1353" s="314"/>
      <c r="U1353" s="314"/>
      <c r="V1353" s="314"/>
      <c r="W1353" s="314"/>
      <c r="X1353" s="314"/>
      <c r="Y1353" s="314"/>
      <c r="Z1353" s="314"/>
      <c r="AA1353" s="314"/>
      <c r="AB1353" s="314"/>
      <c r="AC1353" s="314"/>
      <c r="AD1353" s="314"/>
      <c r="AE1353" s="314"/>
      <c r="AF1353" s="314"/>
    </row>
    <row r="1354" spans="2:32" s="147" customFormat="1" ht="14.15" customHeight="1" x14ac:dyDescent="0.35">
      <c r="B1354" s="146"/>
      <c r="E1354" s="314"/>
      <c r="F1354" s="314"/>
      <c r="G1354" s="314"/>
      <c r="H1354" s="314"/>
      <c r="I1354" s="314"/>
      <c r="J1354" s="314"/>
      <c r="K1354" s="314"/>
      <c r="L1354" s="314"/>
      <c r="M1354" s="314"/>
      <c r="N1354" s="314"/>
      <c r="O1354" s="314"/>
      <c r="P1354" s="314"/>
      <c r="Q1354" s="314"/>
      <c r="R1354" s="314"/>
      <c r="S1354" s="314"/>
      <c r="T1354" s="314"/>
      <c r="U1354" s="314"/>
      <c r="V1354" s="314"/>
      <c r="W1354" s="314"/>
      <c r="X1354" s="314"/>
      <c r="Y1354" s="314"/>
      <c r="Z1354" s="314"/>
      <c r="AA1354" s="314"/>
      <c r="AB1354" s="314"/>
      <c r="AC1354" s="314"/>
      <c r="AD1354" s="314"/>
      <c r="AE1354" s="314"/>
      <c r="AF1354" s="314"/>
    </row>
    <row r="1355" spans="2:32" s="147" customFormat="1" ht="14.15" customHeight="1" x14ac:dyDescent="0.35">
      <c r="B1355" s="146"/>
      <c r="E1355" s="314"/>
      <c r="F1355" s="314"/>
      <c r="G1355" s="314"/>
      <c r="H1355" s="314"/>
      <c r="I1355" s="314"/>
      <c r="J1355" s="314"/>
      <c r="K1355" s="314"/>
      <c r="L1355" s="314"/>
      <c r="M1355" s="314"/>
      <c r="N1355" s="314"/>
      <c r="O1355" s="314"/>
      <c r="P1355" s="314"/>
      <c r="Q1355" s="314"/>
      <c r="R1355" s="314"/>
      <c r="S1355" s="314"/>
      <c r="T1355" s="314"/>
      <c r="U1355" s="314"/>
      <c r="V1355" s="314"/>
      <c r="W1355" s="314"/>
      <c r="X1355" s="314"/>
      <c r="Y1355" s="314"/>
      <c r="Z1355" s="314"/>
      <c r="AA1355" s="314"/>
      <c r="AB1355" s="314"/>
      <c r="AC1355" s="314"/>
      <c r="AD1355" s="314"/>
      <c r="AE1355" s="314"/>
      <c r="AF1355" s="314"/>
    </row>
    <row r="1356" spans="2:32" s="147" customFormat="1" ht="14.15" customHeight="1" x14ac:dyDescent="0.35">
      <c r="B1356" s="146"/>
      <c r="E1356" s="314"/>
      <c r="F1356" s="314"/>
      <c r="G1356" s="314"/>
      <c r="H1356" s="314"/>
      <c r="I1356" s="314"/>
      <c r="J1356" s="314"/>
      <c r="K1356" s="314"/>
      <c r="L1356" s="314"/>
      <c r="M1356" s="314"/>
      <c r="N1356" s="314"/>
      <c r="O1356" s="314"/>
      <c r="P1356" s="314"/>
      <c r="Q1356" s="314"/>
      <c r="R1356" s="314"/>
      <c r="S1356" s="314"/>
      <c r="T1356" s="314"/>
      <c r="U1356" s="314"/>
      <c r="V1356" s="314"/>
      <c r="W1356" s="314"/>
      <c r="X1356" s="314"/>
      <c r="Y1356" s="314"/>
      <c r="Z1356" s="314"/>
      <c r="AA1356" s="314"/>
      <c r="AB1356" s="314"/>
      <c r="AC1356" s="314"/>
      <c r="AD1356" s="314"/>
      <c r="AE1356" s="314"/>
      <c r="AF1356" s="314"/>
    </row>
    <row r="1357" spans="2:32" s="147" customFormat="1" ht="14.15" customHeight="1" x14ac:dyDescent="0.35">
      <c r="B1357" s="146"/>
      <c r="E1357" s="314"/>
      <c r="F1357" s="314"/>
      <c r="G1357" s="314"/>
      <c r="H1357" s="314"/>
      <c r="I1357" s="314"/>
      <c r="J1357" s="314"/>
      <c r="K1357" s="314"/>
      <c r="L1357" s="314"/>
      <c r="M1357" s="314"/>
      <c r="N1357" s="314"/>
      <c r="O1357" s="314"/>
      <c r="P1357" s="314"/>
      <c r="Q1357" s="314"/>
      <c r="R1357" s="314"/>
      <c r="S1357" s="314"/>
      <c r="T1357" s="314"/>
      <c r="U1357" s="314"/>
      <c r="V1357" s="314"/>
      <c r="W1357" s="314"/>
      <c r="X1357" s="314"/>
      <c r="Y1357" s="314"/>
      <c r="Z1357" s="314"/>
      <c r="AA1357" s="314"/>
      <c r="AB1357" s="314"/>
      <c r="AC1357" s="314"/>
      <c r="AD1357" s="314"/>
      <c r="AE1357" s="314"/>
      <c r="AF1357" s="314"/>
    </row>
    <row r="1358" spans="2:32" s="147" customFormat="1" ht="14.15" customHeight="1" x14ac:dyDescent="0.35">
      <c r="B1358" s="146"/>
      <c r="E1358" s="314"/>
      <c r="F1358" s="314"/>
      <c r="G1358" s="314"/>
      <c r="H1358" s="314"/>
      <c r="I1358" s="314"/>
      <c r="J1358" s="314"/>
      <c r="K1358" s="314"/>
      <c r="L1358" s="314"/>
      <c r="M1358" s="314"/>
      <c r="N1358" s="314"/>
      <c r="O1358" s="314"/>
      <c r="P1358" s="314"/>
      <c r="Q1358" s="314"/>
      <c r="R1358" s="314"/>
      <c r="S1358" s="314"/>
      <c r="T1358" s="314"/>
      <c r="U1358" s="314"/>
      <c r="V1358" s="314"/>
      <c r="W1358" s="314"/>
      <c r="X1358" s="314"/>
      <c r="Y1358" s="314"/>
      <c r="Z1358" s="314"/>
      <c r="AA1358" s="314"/>
      <c r="AB1358" s="314"/>
      <c r="AC1358" s="314"/>
      <c r="AD1358" s="314"/>
      <c r="AE1358" s="314"/>
      <c r="AF1358" s="314"/>
    </row>
    <row r="1359" spans="2:32" s="147" customFormat="1" ht="14.15" customHeight="1" x14ac:dyDescent="0.35">
      <c r="B1359" s="146"/>
      <c r="E1359" s="314"/>
      <c r="F1359" s="314"/>
      <c r="G1359" s="314"/>
      <c r="H1359" s="314"/>
      <c r="I1359" s="314"/>
      <c r="J1359" s="314"/>
      <c r="K1359" s="314"/>
      <c r="L1359" s="314"/>
      <c r="M1359" s="314"/>
      <c r="N1359" s="314"/>
      <c r="O1359" s="314"/>
      <c r="P1359" s="314"/>
      <c r="Q1359" s="314"/>
      <c r="R1359" s="314"/>
      <c r="S1359" s="314"/>
      <c r="T1359" s="314"/>
      <c r="U1359" s="314"/>
      <c r="V1359" s="314"/>
      <c r="W1359" s="314"/>
      <c r="X1359" s="314"/>
      <c r="Y1359" s="314"/>
      <c r="Z1359" s="314"/>
      <c r="AA1359" s="314"/>
      <c r="AB1359" s="314"/>
      <c r="AC1359" s="314"/>
      <c r="AD1359" s="314"/>
      <c r="AE1359" s="314"/>
      <c r="AF1359" s="314"/>
    </row>
    <row r="1360" spans="2:32" s="147" customFormat="1" ht="14.15" customHeight="1" x14ac:dyDescent="0.35">
      <c r="B1360" s="146"/>
      <c r="E1360" s="314"/>
      <c r="F1360" s="314"/>
      <c r="G1360" s="314"/>
      <c r="H1360" s="314"/>
      <c r="I1360" s="314"/>
      <c r="J1360" s="314"/>
      <c r="K1360" s="314"/>
      <c r="L1360" s="314"/>
      <c r="M1360" s="314"/>
      <c r="N1360" s="314"/>
      <c r="O1360" s="314"/>
      <c r="P1360" s="314"/>
      <c r="Q1360" s="314"/>
      <c r="R1360" s="314"/>
      <c r="S1360" s="314"/>
      <c r="T1360" s="314"/>
      <c r="U1360" s="314"/>
      <c r="V1360" s="314"/>
      <c r="W1360" s="314"/>
      <c r="X1360" s="314"/>
      <c r="Y1360" s="314"/>
      <c r="Z1360" s="314"/>
      <c r="AA1360" s="314"/>
      <c r="AB1360" s="314"/>
      <c r="AC1360" s="314"/>
      <c r="AD1360" s="314"/>
      <c r="AE1360" s="314"/>
      <c r="AF1360" s="314"/>
    </row>
    <row r="1361" spans="2:32" s="147" customFormat="1" ht="14.15" customHeight="1" x14ac:dyDescent="0.35">
      <c r="B1361" s="146"/>
      <c r="E1361" s="314"/>
      <c r="F1361" s="314"/>
      <c r="G1361" s="314"/>
      <c r="H1361" s="314"/>
      <c r="I1361" s="314"/>
      <c r="J1361" s="314"/>
      <c r="K1361" s="314"/>
      <c r="L1361" s="314"/>
      <c r="M1361" s="314"/>
      <c r="N1361" s="314"/>
      <c r="O1361" s="314"/>
      <c r="P1361" s="314"/>
      <c r="Q1361" s="314"/>
      <c r="R1361" s="314"/>
      <c r="S1361" s="314"/>
      <c r="T1361" s="314"/>
      <c r="U1361" s="314"/>
      <c r="V1361" s="314"/>
      <c r="W1361" s="314"/>
      <c r="X1361" s="314"/>
      <c r="Y1361" s="314"/>
      <c r="Z1361" s="314"/>
      <c r="AA1361" s="314"/>
      <c r="AB1361" s="314"/>
      <c r="AC1361" s="314"/>
      <c r="AD1361" s="314"/>
      <c r="AE1361" s="314"/>
      <c r="AF1361" s="314"/>
    </row>
    <row r="1362" spans="2:32" s="147" customFormat="1" ht="14.15" customHeight="1" x14ac:dyDescent="0.35">
      <c r="B1362" s="146"/>
      <c r="E1362" s="314"/>
      <c r="F1362" s="314"/>
      <c r="G1362" s="314"/>
      <c r="H1362" s="314"/>
      <c r="I1362" s="314"/>
      <c r="J1362" s="314"/>
      <c r="K1362" s="314"/>
      <c r="L1362" s="314"/>
      <c r="M1362" s="314"/>
      <c r="N1362" s="314"/>
      <c r="O1362" s="314"/>
      <c r="P1362" s="314"/>
      <c r="Q1362" s="314"/>
      <c r="R1362" s="314"/>
      <c r="S1362" s="314"/>
      <c r="T1362" s="314"/>
      <c r="U1362" s="314"/>
      <c r="V1362" s="314"/>
      <c r="W1362" s="314"/>
      <c r="X1362" s="314"/>
      <c r="Y1362" s="314"/>
      <c r="Z1362" s="314"/>
      <c r="AA1362" s="314"/>
      <c r="AB1362" s="314"/>
      <c r="AC1362" s="314"/>
      <c r="AD1362" s="314"/>
      <c r="AE1362" s="314"/>
      <c r="AF1362" s="314"/>
    </row>
    <row r="1363" spans="2:32" s="147" customFormat="1" ht="14.15" customHeight="1" x14ac:dyDescent="0.35">
      <c r="B1363" s="146"/>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314"/>
      <c r="AE1363" s="314"/>
      <c r="AF1363" s="314"/>
    </row>
    <row r="1364" spans="2:32" s="147" customFormat="1" ht="14.15" customHeight="1" x14ac:dyDescent="0.35">
      <c r="B1364" s="146"/>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314"/>
      <c r="AF1364" s="314"/>
    </row>
    <row r="1365" spans="2:32" s="147" customFormat="1" ht="14.15" customHeight="1" x14ac:dyDescent="0.35">
      <c r="B1365" s="146"/>
      <c r="E1365" s="314"/>
      <c r="F1365" s="314"/>
      <c r="G1365" s="314"/>
      <c r="H1365" s="314"/>
      <c r="I1365" s="314"/>
      <c r="J1365" s="314"/>
      <c r="K1365" s="314"/>
      <c r="L1365" s="314"/>
      <c r="M1365" s="314"/>
      <c r="N1365" s="314"/>
      <c r="O1365" s="314"/>
      <c r="P1365" s="314"/>
      <c r="Q1365" s="314"/>
      <c r="R1365" s="314"/>
      <c r="S1365" s="314"/>
      <c r="T1365" s="314"/>
      <c r="U1365" s="314"/>
      <c r="V1365" s="314"/>
      <c r="W1365" s="314"/>
      <c r="X1365" s="314"/>
      <c r="Y1365" s="314"/>
      <c r="Z1365" s="314"/>
      <c r="AA1365" s="314"/>
      <c r="AB1365" s="314"/>
      <c r="AC1365" s="314"/>
      <c r="AD1365" s="314"/>
      <c r="AE1365" s="314"/>
      <c r="AF1365" s="314"/>
    </row>
    <row r="1366" spans="2:32" s="147" customFormat="1" ht="14.15" customHeight="1" x14ac:dyDescent="0.35">
      <c r="B1366" s="146"/>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314"/>
      <c r="AE1366" s="314"/>
      <c r="AF1366" s="314"/>
    </row>
    <row r="1367" spans="2:32" s="147" customFormat="1" ht="14.15" customHeight="1" x14ac:dyDescent="0.35">
      <c r="B1367" s="146"/>
      <c r="E1367" s="314"/>
      <c r="F1367" s="314"/>
      <c r="G1367" s="314"/>
      <c r="H1367" s="314"/>
      <c r="I1367" s="314"/>
      <c r="J1367" s="314"/>
      <c r="K1367" s="314"/>
      <c r="L1367" s="314"/>
      <c r="M1367" s="314"/>
      <c r="N1367" s="314"/>
      <c r="O1367" s="314"/>
      <c r="P1367" s="314"/>
      <c r="Q1367" s="314"/>
      <c r="R1367" s="314"/>
      <c r="S1367" s="314"/>
      <c r="T1367" s="314"/>
      <c r="U1367" s="314"/>
      <c r="V1367" s="314"/>
      <c r="W1367" s="314"/>
      <c r="X1367" s="314"/>
      <c r="Y1367" s="314"/>
      <c r="Z1367" s="314"/>
      <c r="AA1367" s="314"/>
      <c r="AB1367" s="314"/>
      <c r="AC1367" s="314"/>
      <c r="AD1367" s="314"/>
      <c r="AE1367" s="314"/>
      <c r="AF1367" s="314"/>
    </row>
    <row r="1368" spans="2:32" s="147" customFormat="1" ht="14.15" customHeight="1" x14ac:dyDescent="0.35">
      <c r="B1368" s="146"/>
      <c r="E1368" s="314"/>
      <c r="F1368" s="314"/>
      <c r="G1368" s="314"/>
      <c r="H1368" s="314"/>
      <c r="I1368" s="314"/>
      <c r="J1368" s="314"/>
      <c r="K1368" s="314"/>
      <c r="L1368" s="314"/>
      <c r="M1368" s="314"/>
      <c r="N1368" s="314"/>
      <c r="O1368" s="314"/>
      <c r="P1368" s="314"/>
      <c r="Q1368" s="314"/>
      <c r="R1368" s="314"/>
      <c r="S1368" s="314"/>
      <c r="T1368" s="314"/>
      <c r="U1368" s="314"/>
      <c r="V1368" s="314"/>
      <c r="W1368" s="314"/>
      <c r="X1368" s="314"/>
      <c r="Y1368" s="314"/>
      <c r="Z1368" s="314"/>
      <c r="AA1368" s="314"/>
      <c r="AB1368" s="314"/>
      <c r="AC1368" s="314"/>
      <c r="AD1368" s="314"/>
      <c r="AE1368" s="314"/>
      <c r="AF1368" s="314"/>
    </row>
    <row r="1369" spans="2:32" s="147" customFormat="1" ht="14.15" customHeight="1" x14ac:dyDescent="0.35">
      <c r="B1369" s="146"/>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314"/>
      <c r="AE1369" s="314"/>
      <c r="AF1369" s="314"/>
    </row>
    <row r="1370" spans="2:32" s="147" customFormat="1" ht="14.15" customHeight="1" x14ac:dyDescent="0.35">
      <c r="B1370" s="146"/>
      <c r="E1370" s="314"/>
      <c r="F1370" s="314"/>
      <c r="G1370" s="314"/>
      <c r="H1370" s="314"/>
      <c r="I1370" s="314"/>
      <c r="J1370" s="314"/>
      <c r="K1370" s="314"/>
      <c r="L1370" s="314"/>
      <c r="M1370" s="314"/>
      <c r="N1370" s="314"/>
      <c r="O1370" s="314"/>
      <c r="P1370" s="314"/>
      <c r="Q1370" s="314"/>
      <c r="R1370" s="314"/>
      <c r="S1370" s="314"/>
      <c r="T1370" s="314"/>
      <c r="U1370" s="314"/>
      <c r="V1370" s="314"/>
      <c r="W1370" s="314"/>
      <c r="X1370" s="314"/>
      <c r="Y1370" s="314"/>
      <c r="Z1370" s="314"/>
      <c r="AA1370" s="314"/>
      <c r="AB1370" s="314"/>
      <c r="AC1370" s="314"/>
      <c r="AD1370" s="314"/>
      <c r="AE1370" s="314"/>
      <c r="AF1370" s="314"/>
    </row>
    <row r="1371" spans="2:32" s="147" customFormat="1" ht="14.15" customHeight="1" x14ac:dyDescent="0.35">
      <c r="B1371" s="146"/>
      <c r="E1371" s="314"/>
      <c r="F1371" s="314"/>
      <c r="G1371" s="314"/>
      <c r="H1371" s="314"/>
      <c r="I1371" s="314"/>
      <c r="J1371" s="314"/>
      <c r="K1371" s="314"/>
      <c r="L1371" s="314"/>
      <c r="M1371" s="314"/>
      <c r="N1371" s="314"/>
      <c r="O1371" s="314"/>
      <c r="P1371" s="314"/>
      <c r="Q1371" s="314"/>
      <c r="R1371" s="314"/>
      <c r="S1371" s="314"/>
      <c r="T1371" s="314"/>
      <c r="U1371" s="314"/>
      <c r="V1371" s="314"/>
      <c r="W1371" s="314"/>
      <c r="X1371" s="314"/>
      <c r="Y1371" s="314"/>
      <c r="Z1371" s="314"/>
      <c r="AA1371" s="314"/>
      <c r="AB1371" s="314"/>
      <c r="AC1371" s="314"/>
      <c r="AD1371" s="314"/>
      <c r="AE1371" s="314"/>
      <c r="AF1371" s="314"/>
    </row>
    <row r="1372" spans="2:32" s="147" customFormat="1" ht="14.15" customHeight="1" x14ac:dyDescent="0.35">
      <c r="B1372" s="146"/>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314"/>
      <c r="AE1372" s="314"/>
      <c r="AF1372" s="314"/>
    </row>
    <row r="1373" spans="2:32" s="147" customFormat="1" ht="14.15" customHeight="1" x14ac:dyDescent="0.35">
      <c r="B1373" s="146"/>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314"/>
      <c r="AF1373" s="314"/>
    </row>
    <row r="1374" spans="2:32" s="147" customFormat="1" ht="14.15" customHeight="1" x14ac:dyDescent="0.35">
      <c r="B1374" s="146"/>
      <c r="E1374" s="314"/>
      <c r="F1374" s="314"/>
      <c r="G1374" s="314"/>
      <c r="H1374" s="314"/>
      <c r="I1374" s="314"/>
      <c r="J1374" s="314"/>
      <c r="K1374" s="314"/>
      <c r="L1374" s="314"/>
      <c r="M1374" s="314"/>
      <c r="N1374" s="314"/>
      <c r="O1374" s="314"/>
      <c r="P1374" s="314"/>
      <c r="Q1374" s="314"/>
      <c r="R1374" s="314"/>
      <c r="S1374" s="314"/>
      <c r="T1374" s="314"/>
      <c r="U1374" s="314"/>
      <c r="V1374" s="314"/>
      <c r="W1374" s="314"/>
      <c r="X1374" s="314"/>
      <c r="Y1374" s="314"/>
      <c r="Z1374" s="314"/>
      <c r="AA1374" s="314"/>
      <c r="AB1374" s="314"/>
      <c r="AC1374" s="314"/>
      <c r="AD1374" s="314"/>
      <c r="AE1374" s="314"/>
      <c r="AF1374" s="314"/>
    </row>
    <row r="1375" spans="2:32" s="147" customFormat="1" ht="14.15" customHeight="1" x14ac:dyDescent="0.35">
      <c r="B1375" s="146"/>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4"/>
      <c r="Z1375" s="314"/>
      <c r="AA1375" s="314"/>
      <c r="AB1375" s="314"/>
      <c r="AC1375" s="314"/>
      <c r="AD1375" s="314"/>
      <c r="AE1375" s="314"/>
      <c r="AF1375" s="314"/>
    </row>
    <row r="1376" spans="2:32" s="147" customFormat="1" ht="14.15" customHeight="1" x14ac:dyDescent="0.35">
      <c r="B1376" s="146"/>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314"/>
      <c r="AE1376" s="314"/>
      <c r="AF1376" s="314"/>
    </row>
    <row r="1377" spans="2:32" s="147" customFormat="1" ht="14.15" customHeight="1" x14ac:dyDescent="0.35">
      <c r="B1377" s="146"/>
      <c r="E1377" s="314"/>
      <c r="F1377" s="314"/>
      <c r="G1377" s="314"/>
      <c r="H1377" s="314"/>
      <c r="I1377" s="314"/>
      <c r="J1377" s="314"/>
      <c r="K1377" s="314"/>
      <c r="L1377" s="314"/>
      <c r="M1377" s="314"/>
      <c r="N1377" s="314"/>
      <c r="O1377" s="314"/>
      <c r="P1377" s="314"/>
      <c r="Q1377" s="314"/>
      <c r="R1377" s="314"/>
      <c r="S1377" s="314"/>
      <c r="T1377" s="314"/>
      <c r="U1377" s="314"/>
      <c r="V1377" s="314"/>
      <c r="W1377" s="314"/>
      <c r="X1377" s="314"/>
      <c r="Y1377" s="314"/>
      <c r="Z1377" s="314"/>
      <c r="AA1377" s="314"/>
      <c r="AB1377" s="314"/>
      <c r="AC1377" s="314"/>
      <c r="AD1377" s="314"/>
      <c r="AE1377" s="314"/>
      <c r="AF1377" s="314"/>
    </row>
    <row r="1378" spans="2:32" s="147" customFormat="1" ht="14.15" customHeight="1" x14ac:dyDescent="0.35">
      <c r="B1378" s="146"/>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314"/>
      <c r="AE1378" s="314"/>
      <c r="AF1378" s="314"/>
    </row>
    <row r="1379" spans="2:32" s="147" customFormat="1" ht="14.15" customHeight="1" x14ac:dyDescent="0.35">
      <c r="B1379" s="146"/>
      <c r="E1379" s="314"/>
      <c r="F1379" s="314"/>
      <c r="G1379" s="314"/>
      <c r="H1379" s="314"/>
      <c r="I1379" s="314"/>
      <c r="J1379" s="314"/>
      <c r="K1379" s="314"/>
      <c r="L1379" s="314"/>
      <c r="M1379" s="314"/>
      <c r="N1379" s="314"/>
      <c r="O1379" s="314"/>
      <c r="P1379" s="314"/>
      <c r="Q1379" s="314"/>
      <c r="R1379" s="314"/>
      <c r="S1379" s="314"/>
      <c r="T1379" s="314"/>
      <c r="U1379" s="314"/>
      <c r="V1379" s="314"/>
      <c r="W1379" s="314"/>
      <c r="X1379" s="314"/>
      <c r="Y1379" s="314"/>
      <c r="Z1379" s="314"/>
      <c r="AA1379" s="314"/>
      <c r="AB1379" s="314"/>
      <c r="AC1379" s="314"/>
      <c r="AD1379" s="314"/>
      <c r="AE1379" s="314"/>
      <c r="AF1379" s="314"/>
    </row>
    <row r="1380" spans="2:32" s="147" customFormat="1" ht="14.15" customHeight="1" x14ac:dyDescent="0.35">
      <c r="B1380" s="146"/>
      <c r="E1380" s="314"/>
      <c r="F1380" s="314"/>
      <c r="G1380" s="314"/>
      <c r="H1380" s="314"/>
      <c r="I1380" s="314"/>
      <c r="J1380" s="314"/>
      <c r="K1380" s="314"/>
      <c r="L1380" s="314"/>
      <c r="M1380" s="314"/>
      <c r="N1380" s="314"/>
      <c r="O1380" s="314"/>
      <c r="P1380" s="314"/>
      <c r="Q1380" s="314"/>
      <c r="R1380" s="314"/>
      <c r="S1380" s="314"/>
      <c r="T1380" s="314"/>
      <c r="U1380" s="314"/>
      <c r="V1380" s="314"/>
      <c r="W1380" s="314"/>
      <c r="X1380" s="314"/>
      <c r="Y1380" s="314"/>
      <c r="Z1380" s="314"/>
      <c r="AA1380" s="314"/>
      <c r="AB1380" s="314"/>
      <c r="AC1380" s="314"/>
      <c r="AD1380" s="314"/>
      <c r="AE1380" s="314"/>
      <c r="AF1380" s="314"/>
    </row>
    <row r="1381" spans="2:32" s="147" customFormat="1" ht="14.15" customHeight="1" x14ac:dyDescent="0.35">
      <c r="B1381" s="146"/>
      <c r="E1381" s="314"/>
      <c r="F1381" s="314"/>
      <c r="G1381" s="314"/>
      <c r="H1381" s="314"/>
      <c r="I1381" s="314"/>
      <c r="J1381" s="314"/>
      <c r="K1381" s="314"/>
      <c r="L1381" s="314"/>
      <c r="M1381" s="314"/>
      <c r="N1381" s="314"/>
      <c r="O1381" s="314"/>
      <c r="P1381" s="314"/>
      <c r="Q1381" s="314"/>
      <c r="R1381" s="314"/>
      <c r="S1381" s="314"/>
      <c r="T1381" s="314"/>
      <c r="U1381" s="314"/>
      <c r="V1381" s="314"/>
      <c r="W1381" s="314"/>
      <c r="X1381" s="314"/>
      <c r="Y1381" s="314"/>
      <c r="Z1381" s="314"/>
      <c r="AA1381" s="314"/>
      <c r="AB1381" s="314"/>
      <c r="AC1381" s="314"/>
      <c r="AD1381" s="314"/>
      <c r="AE1381" s="314"/>
      <c r="AF1381" s="314"/>
    </row>
    <row r="1382" spans="2:32" s="147" customFormat="1" ht="14.15" customHeight="1" x14ac:dyDescent="0.35">
      <c r="B1382" s="146"/>
      <c r="E1382" s="314"/>
      <c r="F1382" s="314"/>
      <c r="G1382" s="314"/>
      <c r="H1382" s="314"/>
      <c r="I1382" s="314"/>
      <c r="J1382" s="314"/>
      <c r="K1382" s="314"/>
      <c r="L1382" s="314"/>
      <c r="M1382" s="314"/>
      <c r="N1382" s="314"/>
      <c r="O1382" s="314"/>
      <c r="P1382" s="314"/>
      <c r="Q1382" s="314"/>
      <c r="R1382" s="314"/>
      <c r="S1382" s="314"/>
      <c r="T1382" s="314"/>
      <c r="U1382" s="314"/>
      <c r="V1382" s="314"/>
      <c r="W1382" s="314"/>
      <c r="X1382" s="314"/>
      <c r="Y1382" s="314"/>
      <c r="Z1382" s="314"/>
      <c r="AA1382" s="314"/>
      <c r="AB1382" s="314"/>
      <c r="AC1382" s="314"/>
      <c r="AD1382" s="314"/>
      <c r="AE1382" s="314"/>
      <c r="AF1382" s="314"/>
    </row>
    <row r="1383" spans="2:32" s="147" customFormat="1" ht="14.15" customHeight="1" x14ac:dyDescent="0.35">
      <c r="B1383" s="146"/>
      <c r="E1383" s="314"/>
      <c r="F1383" s="314"/>
      <c r="G1383" s="314"/>
      <c r="H1383" s="314"/>
      <c r="I1383" s="314"/>
      <c r="J1383" s="314"/>
      <c r="K1383" s="314"/>
      <c r="L1383" s="314"/>
      <c r="M1383" s="314"/>
      <c r="N1383" s="314"/>
      <c r="O1383" s="314"/>
      <c r="P1383" s="314"/>
      <c r="Q1383" s="314"/>
      <c r="R1383" s="314"/>
      <c r="S1383" s="314"/>
      <c r="T1383" s="314"/>
      <c r="U1383" s="314"/>
      <c r="V1383" s="314"/>
      <c r="W1383" s="314"/>
      <c r="X1383" s="314"/>
      <c r="Y1383" s="314"/>
      <c r="Z1383" s="314"/>
      <c r="AA1383" s="314"/>
      <c r="AB1383" s="314"/>
      <c r="AC1383" s="314"/>
      <c r="AD1383" s="314"/>
      <c r="AE1383" s="314"/>
      <c r="AF1383" s="314"/>
    </row>
    <row r="1384" spans="2:32" s="147" customFormat="1" ht="14.15" customHeight="1" x14ac:dyDescent="0.35">
      <c r="B1384" s="146"/>
      <c r="E1384" s="314"/>
      <c r="F1384" s="314"/>
      <c r="G1384" s="314"/>
      <c r="H1384" s="314"/>
      <c r="I1384" s="314"/>
      <c r="J1384" s="314"/>
      <c r="K1384" s="314"/>
      <c r="L1384" s="314"/>
      <c r="M1384" s="314"/>
      <c r="N1384" s="314"/>
      <c r="O1384" s="314"/>
      <c r="P1384" s="314"/>
      <c r="Q1384" s="314"/>
      <c r="R1384" s="314"/>
      <c r="S1384" s="314"/>
      <c r="T1384" s="314"/>
      <c r="U1384" s="314"/>
      <c r="V1384" s="314"/>
      <c r="W1384" s="314"/>
      <c r="X1384" s="314"/>
      <c r="Y1384" s="314"/>
      <c r="Z1384" s="314"/>
      <c r="AA1384" s="314"/>
      <c r="AB1384" s="314"/>
      <c r="AC1384" s="314"/>
      <c r="AD1384" s="314"/>
      <c r="AE1384" s="314"/>
      <c r="AF1384" s="314"/>
    </row>
    <row r="1385" spans="2:32" s="147" customFormat="1" ht="14.15" customHeight="1" x14ac:dyDescent="0.35">
      <c r="B1385" s="146"/>
      <c r="E1385" s="314"/>
      <c r="F1385" s="314"/>
      <c r="G1385" s="314"/>
      <c r="H1385" s="314"/>
      <c r="I1385" s="314"/>
      <c r="J1385" s="314"/>
      <c r="K1385" s="314"/>
      <c r="L1385" s="314"/>
      <c r="M1385" s="314"/>
      <c r="N1385" s="314"/>
      <c r="O1385" s="314"/>
      <c r="P1385" s="314"/>
      <c r="Q1385" s="314"/>
      <c r="R1385" s="314"/>
      <c r="S1385" s="314"/>
      <c r="T1385" s="314"/>
      <c r="U1385" s="314"/>
      <c r="V1385" s="314"/>
      <c r="W1385" s="314"/>
      <c r="X1385" s="314"/>
      <c r="Y1385" s="314"/>
      <c r="Z1385" s="314"/>
      <c r="AA1385" s="314"/>
      <c r="AB1385" s="314"/>
      <c r="AC1385" s="314"/>
      <c r="AD1385" s="314"/>
      <c r="AE1385" s="314"/>
      <c r="AF1385" s="314"/>
    </row>
    <row r="1386" spans="2:32" s="147" customFormat="1" ht="14.15" customHeight="1" x14ac:dyDescent="0.35">
      <c r="B1386" s="146"/>
      <c r="E1386" s="314"/>
      <c r="F1386" s="314"/>
      <c r="G1386" s="314"/>
      <c r="H1386" s="314"/>
      <c r="I1386" s="314"/>
      <c r="J1386" s="314"/>
      <c r="K1386" s="314"/>
      <c r="L1386" s="314"/>
      <c r="M1386" s="314"/>
      <c r="N1386" s="314"/>
      <c r="O1386" s="314"/>
      <c r="P1386" s="314"/>
      <c r="Q1386" s="314"/>
      <c r="R1386" s="314"/>
      <c r="S1386" s="314"/>
      <c r="T1386" s="314"/>
      <c r="U1386" s="314"/>
      <c r="V1386" s="314"/>
      <c r="W1386" s="314"/>
      <c r="X1386" s="314"/>
      <c r="Y1386" s="314"/>
      <c r="Z1386" s="314"/>
      <c r="AA1386" s="314"/>
      <c r="AB1386" s="314"/>
      <c r="AC1386" s="314"/>
      <c r="AD1386" s="314"/>
      <c r="AE1386" s="314"/>
      <c r="AF1386" s="314"/>
    </row>
    <row r="1387" spans="2:32" s="147" customFormat="1" ht="14.15" customHeight="1" x14ac:dyDescent="0.35">
      <c r="B1387" s="146"/>
      <c r="E1387" s="314"/>
      <c r="F1387" s="314"/>
      <c r="G1387" s="314"/>
      <c r="H1387" s="314"/>
      <c r="I1387" s="314"/>
      <c r="J1387" s="314"/>
      <c r="K1387" s="314"/>
      <c r="L1387" s="314"/>
      <c r="M1387" s="314"/>
      <c r="N1387" s="314"/>
      <c r="O1387" s="314"/>
      <c r="P1387" s="314"/>
      <c r="Q1387" s="314"/>
      <c r="R1387" s="314"/>
      <c r="S1387" s="314"/>
      <c r="T1387" s="314"/>
      <c r="U1387" s="314"/>
      <c r="V1387" s="314"/>
      <c r="W1387" s="314"/>
      <c r="X1387" s="314"/>
      <c r="Y1387" s="314"/>
      <c r="Z1387" s="314"/>
      <c r="AA1387" s="314"/>
      <c r="AB1387" s="314"/>
      <c r="AC1387" s="314"/>
      <c r="AD1387" s="314"/>
      <c r="AE1387" s="314"/>
      <c r="AF1387" s="314"/>
    </row>
    <row r="1388" spans="2:32" s="147" customFormat="1" ht="14.15" customHeight="1" x14ac:dyDescent="0.35">
      <c r="B1388" s="146"/>
      <c r="E1388" s="314"/>
      <c r="F1388" s="314"/>
      <c r="G1388" s="314"/>
      <c r="H1388" s="314"/>
      <c r="I1388" s="314"/>
      <c r="J1388" s="314"/>
      <c r="K1388" s="314"/>
      <c r="L1388" s="314"/>
      <c r="M1388" s="314"/>
      <c r="N1388" s="314"/>
      <c r="O1388" s="314"/>
      <c r="P1388" s="314"/>
      <c r="Q1388" s="314"/>
      <c r="R1388" s="314"/>
      <c r="S1388" s="314"/>
      <c r="T1388" s="314"/>
      <c r="U1388" s="314"/>
      <c r="V1388" s="314"/>
      <c r="W1388" s="314"/>
      <c r="X1388" s="314"/>
      <c r="Y1388" s="314"/>
      <c r="Z1388" s="314"/>
      <c r="AA1388" s="314"/>
      <c r="AB1388" s="314"/>
      <c r="AC1388" s="314"/>
      <c r="AD1388" s="314"/>
      <c r="AE1388" s="314"/>
      <c r="AF1388" s="314"/>
    </row>
    <row r="1389" spans="2:32" s="147" customFormat="1" ht="14.15" customHeight="1" x14ac:dyDescent="0.35">
      <c r="B1389" s="146"/>
      <c r="E1389" s="314"/>
      <c r="F1389" s="314"/>
      <c r="G1389" s="314"/>
      <c r="H1389" s="314"/>
      <c r="I1389" s="314"/>
      <c r="J1389" s="314"/>
      <c r="K1389" s="314"/>
      <c r="L1389" s="314"/>
      <c r="M1389" s="314"/>
      <c r="N1389" s="314"/>
      <c r="O1389" s="314"/>
      <c r="P1389" s="314"/>
      <c r="Q1389" s="314"/>
      <c r="R1389" s="314"/>
      <c r="S1389" s="314"/>
      <c r="T1389" s="314"/>
      <c r="U1389" s="314"/>
      <c r="V1389" s="314"/>
      <c r="W1389" s="314"/>
      <c r="X1389" s="314"/>
      <c r="Y1389" s="314"/>
      <c r="Z1389" s="314"/>
      <c r="AA1389" s="314"/>
      <c r="AB1389" s="314"/>
      <c r="AC1389" s="314"/>
      <c r="AD1389" s="314"/>
      <c r="AE1389" s="314"/>
      <c r="AF1389" s="314"/>
    </row>
    <row r="1390" spans="2:32" s="147" customFormat="1" ht="14.15" customHeight="1" x14ac:dyDescent="0.35">
      <c r="B1390" s="146"/>
      <c r="E1390" s="314"/>
      <c r="F1390" s="314"/>
      <c r="G1390" s="314"/>
      <c r="H1390" s="314"/>
      <c r="I1390" s="314"/>
      <c r="J1390" s="314"/>
      <c r="K1390" s="314"/>
      <c r="L1390" s="314"/>
      <c r="M1390" s="314"/>
      <c r="N1390" s="314"/>
      <c r="O1390" s="314"/>
      <c r="P1390" s="314"/>
      <c r="Q1390" s="314"/>
      <c r="R1390" s="314"/>
      <c r="S1390" s="314"/>
      <c r="T1390" s="314"/>
      <c r="U1390" s="314"/>
      <c r="V1390" s="314"/>
      <c r="W1390" s="314"/>
      <c r="X1390" s="314"/>
      <c r="Y1390" s="314"/>
      <c r="Z1390" s="314"/>
      <c r="AA1390" s="314"/>
      <c r="AB1390" s="314"/>
      <c r="AC1390" s="314"/>
      <c r="AD1390" s="314"/>
      <c r="AE1390" s="314"/>
      <c r="AF1390" s="314"/>
    </row>
    <row r="1391" spans="2:32" s="147" customFormat="1" ht="14.15" customHeight="1" x14ac:dyDescent="0.35">
      <c r="B1391" s="146"/>
      <c r="E1391" s="314"/>
      <c r="F1391" s="314"/>
      <c r="G1391" s="314"/>
      <c r="H1391" s="314"/>
      <c r="I1391" s="314"/>
      <c r="J1391" s="314"/>
      <c r="K1391" s="314"/>
      <c r="L1391" s="314"/>
      <c r="M1391" s="314"/>
      <c r="N1391" s="314"/>
      <c r="O1391" s="314"/>
      <c r="P1391" s="314"/>
      <c r="Q1391" s="314"/>
      <c r="R1391" s="314"/>
      <c r="S1391" s="314"/>
      <c r="T1391" s="314"/>
      <c r="U1391" s="314"/>
      <c r="V1391" s="314"/>
      <c r="W1391" s="314"/>
      <c r="X1391" s="314"/>
      <c r="Y1391" s="314"/>
      <c r="Z1391" s="314"/>
      <c r="AA1391" s="314"/>
      <c r="AB1391" s="314"/>
      <c r="AC1391" s="314"/>
      <c r="AD1391" s="314"/>
      <c r="AE1391" s="314"/>
      <c r="AF1391" s="314"/>
    </row>
    <row r="1392" spans="2:32" s="147" customFormat="1" ht="14.15" customHeight="1" x14ac:dyDescent="0.35">
      <c r="B1392" s="146"/>
      <c r="E1392" s="314"/>
      <c r="F1392" s="314"/>
      <c r="G1392" s="314"/>
      <c r="H1392" s="314"/>
      <c r="I1392" s="314"/>
      <c r="J1392" s="314"/>
      <c r="K1392" s="314"/>
      <c r="L1392" s="314"/>
      <c r="M1392" s="314"/>
      <c r="N1392" s="314"/>
      <c r="O1392" s="314"/>
      <c r="P1392" s="314"/>
      <c r="Q1392" s="314"/>
      <c r="R1392" s="314"/>
      <c r="S1392" s="314"/>
      <c r="T1392" s="314"/>
      <c r="U1392" s="314"/>
      <c r="V1392" s="314"/>
      <c r="W1392" s="314"/>
      <c r="X1392" s="314"/>
      <c r="Y1392" s="314"/>
      <c r="Z1392" s="314"/>
      <c r="AA1392" s="314"/>
      <c r="AB1392" s="314"/>
      <c r="AC1392" s="314"/>
      <c r="AD1392" s="314"/>
      <c r="AE1392" s="314"/>
      <c r="AF1392" s="314"/>
    </row>
    <row r="1393" spans="2:32" s="147" customFormat="1" ht="14.15" customHeight="1" x14ac:dyDescent="0.35">
      <c r="B1393" s="146"/>
      <c r="E1393" s="314"/>
      <c r="F1393" s="314"/>
      <c r="G1393" s="314"/>
      <c r="H1393" s="314"/>
      <c r="I1393" s="314"/>
      <c r="J1393" s="314"/>
      <c r="K1393" s="314"/>
      <c r="L1393" s="314"/>
      <c r="M1393" s="314"/>
      <c r="N1393" s="314"/>
      <c r="O1393" s="314"/>
      <c r="P1393" s="314"/>
      <c r="Q1393" s="314"/>
      <c r="R1393" s="314"/>
      <c r="S1393" s="314"/>
      <c r="T1393" s="314"/>
      <c r="U1393" s="314"/>
      <c r="V1393" s="314"/>
      <c r="W1393" s="314"/>
      <c r="X1393" s="314"/>
      <c r="Y1393" s="314"/>
      <c r="Z1393" s="314"/>
      <c r="AA1393" s="314"/>
      <c r="AB1393" s="314"/>
      <c r="AC1393" s="314"/>
      <c r="AD1393" s="314"/>
      <c r="AE1393" s="314"/>
      <c r="AF1393" s="314"/>
    </row>
    <row r="1394" spans="2:32" s="147" customFormat="1" ht="14.15" customHeight="1" x14ac:dyDescent="0.35">
      <c r="B1394" s="146"/>
      <c r="E1394" s="314"/>
      <c r="F1394" s="314"/>
      <c r="G1394" s="314"/>
      <c r="H1394" s="314"/>
      <c r="I1394" s="314"/>
      <c r="J1394" s="314"/>
      <c r="K1394" s="314"/>
      <c r="L1394" s="314"/>
      <c r="M1394" s="314"/>
      <c r="N1394" s="314"/>
      <c r="O1394" s="314"/>
      <c r="P1394" s="314"/>
      <c r="Q1394" s="314"/>
      <c r="R1394" s="314"/>
      <c r="S1394" s="314"/>
      <c r="T1394" s="314"/>
      <c r="U1394" s="314"/>
      <c r="V1394" s="314"/>
      <c r="W1394" s="314"/>
      <c r="X1394" s="314"/>
      <c r="Y1394" s="314"/>
      <c r="Z1394" s="314"/>
      <c r="AA1394" s="314"/>
      <c r="AB1394" s="314"/>
      <c r="AC1394" s="314"/>
      <c r="AD1394" s="314"/>
      <c r="AE1394" s="314"/>
      <c r="AF1394" s="314"/>
    </row>
    <row r="1395" spans="2:32" s="147" customFormat="1" ht="14.15" customHeight="1" x14ac:dyDescent="0.35">
      <c r="B1395" s="146"/>
      <c r="E1395" s="314"/>
      <c r="F1395" s="314"/>
      <c r="G1395" s="314"/>
      <c r="H1395" s="314"/>
      <c r="I1395" s="314"/>
      <c r="J1395" s="314"/>
      <c r="K1395" s="314"/>
      <c r="L1395" s="314"/>
      <c r="M1395" s="314"/>
      <c r="N1395" s="314"/>
      <c r="O1395" s="314"/>
      <c r="P1395" s="314"/>
      <c r="Q1395" s="314"/>
      <c r="R1395" s="314"/>
      <c r="S1395" s="314"/>
      <c r="T1395" s="314"/>
      <c r="U1395" s="314"/>
      <c r="V1395" s="314"/>
      <c r="W1395" s="314"/>
      <c r="X1395" s="314"/>
      <c r="Y1395" s="314"/>
      <c r="Z1395" s="314"/>
      <c r="AA1395" s="314"/>
      <c r="AB1395" s="314"/>
      <c r="AC1395" s="314"/>
      <c r="AD1395" s="314"/>
      <c r="AE1395" s="314"/>
      <c r="AF1395" s="314"/>
    </row>
    <row r="1396" spans="2:32" s="147" customFormat="1" ht="14.15" customHeight="1" x14ac:dyDescent="0.35">
      <c r="B1396" s="146"/>
      <c r="E1396" s="314"/>
      <c r="F1396" s="314"/>
      <c r="G1396" s="314"/>
      <c r="H1396" s="314"/>
      <c r="I1396" s="314"/>
      <c r="J1396" s="314"/>
      <c r="K1396" s="314"/>
      <c r="L1396" s="314"/>
      <c r="M1396" s="314"/>
      <c r="N1396" s="314"/>
      <c r="O1396" s="314"/>
      <c r="P1396" s="314"/>
      <c r="Q1396" s="314"/>
      <c r="R1396" s="314"/>
      <c r="S1396" s="314"/>
      <c r="T1396" s="314"/>
      <c r="U1396" s="314"/>
      <c r="V1396" s="314"/>
      <c r="W1396" s="314"/>
      <c r="X1396" s="314"/>
      <c r="Y1396" s="314"/>
      <c r="Z1396" s="314"/>
      <c r="AA1396" s="314"/>
      <c r="AB1396" s="314"/>
      <c r="AC1396" s="314"/>
      <c r="AD1396" s="314"/>
      <c r="AE1396" s="314"/>
      <c r="AF1396" s="314"/>
    </row>
    <row r="1397" spans="2:32" s="147" customFormat="1" ht="14.15" customHeight="1" x14ac:dyDescent="0.35">
      <c r="B1397" s="146"/>
      <c r="E1397" s="314"/>
      <c r="F1397" s="314"/>
      <c r="G1397" s="314"/>
      <c r="H1397" s="314"/>
      <c r="I1397" s="314"/>
      <c r="J1397" s="314"/>
      <c r="K1397" s="314"/>
      <c r="L1397" s="314"/>
      <c r="M1397" s="314"/>
      <c r="N1397" s="314"/>
      <c r="O1397" s="314"/>
      <c r="P1397" s="314"/>
      <c r="Q1397" s="314"/>
      <c r="R1397" s="314"/>
      <c r="S1397" s="314"/>
      <c r="T1397" s="314"/>
      <c r="U1397" s="314"/>
      <c r="V1397" s="314"/>
      <c r="W1397" s="314"/>
      <c r="X1397" s="314"/>
      <c r="Y1397" s="314"/>
      <c r="Z1397" s="314"/>
      <c r="AA1397" s="314"/>
      <c r="AB1397" s="314"/>
      <c r="AC1397" s="314"/>
      <c r="AD1397" s="314"/>
      <c r="AE1397" s="314"/>
      <c r="AF1397" s="314"/>
    </row>
    <row r="1398" spans="2:32" s="147" customFormat="1" ht="14.15" customHeight="1" x14ac:dyDescent="0.35">
      <c r="B1398" s="146"/>
      <c r="E1398" s="314"/>
      <c r="F1398" s="314"/>
      <c r="G1398" s="314"/>
      <c r="H1398" s="314"/>
      <c r="I1398" s="314"/>
      <c r="J1398" s="314"/>
      <c r="K1398" s="314"/>
      <c r="L1398" s="314"/>
      <c r="M1398" s="314"/>
      <c r="N1398" s="314"/>
      <c r="O1398" s="314"/>
      <c r="P1398" s="314"/>
      <c r="Q1398" s="314"/>
      <c r="R1398" s="314"/>
      <c r="S1398" s="314"/>
      <c r="T1398" s="314"/>
      <c r="U1398" s="314"/>
      <c r="V1398" s="314"/>
      <c r="W1398" s="314"/>
      <c r="X1398" s="314"/>
      <c r="Y1398" s="314"/>
      <c r="Z1398" s="314"/>
      <c r="AA1398" s="314"/>
      <c r="AB1398" s="314"/>
      <c r="AC1398" s="314"/>
      <c r="AD1398" s="314"/>
      <c r="AE1398" s="314"/>
      <c r="AF1398" s="314"/>
    </row>
    <row r="1399" spans="2:32" s="147" customFormat="1" ht="14.15" customHeight="1" x14ac:dyDescent="0.35">
      <c r="B1399" s="146"/>
      <c r="E1399" s="314"/>
      <c r="F1399" s="314"/>
      <c r="G1399" s="314"/>
      <c r="H1399" s="314"/>
      <c r="I1399" s="314"/>
      <c r="J1399" s="314"/>
      <c r="K1399" s="314"/>
      <c r="L1399" s="314"/>
      <c r="M1399" s="314"/>
      <c r="N1399" s="314"/>
      <c r="O1399" s="314"/>
      <c r="P1399" s="314"/>
      <c r="Q1399" s="314"/>
      <c r="R1399" s="314"/>
      <c r="S1399" s="314"/>
      <c r="T1399" s="314"/>
      <c r="U1399" s="314"/>
      <c r="V1399" s="314"/>
      <c r="W1399" s="314"/>
      <c r="X1399" s="314"/>
      <c r="Y1399" s="314"/>
      <c r="Z1399" s="314"/>
      <c r="AA1399" s="314"/>
      <c r="AB1399" s="314"/>
      <c r="AC1399" s="314"/>
      <c r="AD1399" s="314"/>
      <c r="AE1399" s="314"/>
      <c r="AF1399" s="314"/>
    </row>
    <row r="1400" spans="2:32" s="147" customFormat="1" ht="14.15" customHeight="1" x14ac:dyDescent="0.35">
      <c r="B1400" s="146"/>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314"/>
      <c r="AE1400" s="314"/>
      <c r="AF1400" s="314"/>
    </row>
    <row r="1401" spans="2:32" s="147" customFormat="1" ht="14.15" customHeight="1" x14ac:dyDescent="0.35">
      <c r="B1401" s="146"/>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314"/>
      <c r="AF1401" s="314"/>
    </row>
    <row r="1402" spans="2:32" s="147" customFormat="1" ht="14.15" customHeight="1" x14ac:dyDescent="0.35">
      <c r="B1402" s="146"/>
      <c r="E1402" s="314"/>
      <c r="F1402" s="314"/>
      <c r="G1402" s="314"/>
      <c r="H1402" s="314"/>
      <c r="I1402" s="314"/>
      <c r="J1402" s="314"/>
      <c r="K1402" s="314"/>
      <c r="L1402" s="314"/>
      <c r="M1402" s="314"/>
      <c r="N1402" s="314"/>
      <c r="O1402" s="314"/>
      <c r="P1402" s="314"/>
      <c r="Q1402" s="314"/>
      <c r="R1402" s="314"/>
      <c r="S1402" s="314"/>
      <c r="T1402" s="314"/>
      <c r="U1402" s="314"/>
      <c r="V1402" s="314"/>
      <c r="W1402" s="314"/>
      <c r="X1402" s="314"/>
      <c r="Y1402" s="314"/>
      <c r="Z1402" s="314"/>
      <c r="AA1402" s="314"/>
      <c r="AB1402" s="314"/>
      <c r="AC1402" s="314"/>
      <c r="AD1402" s="314"/>
      <c r="AE1402" s="314"/>
      <c r="AF1402" s="314"/>
    </row>
    <row r="1403" spans="2:32" s="147" customFormat="1" ht="14.15" customHeight="1" x14ac:dyDescent="0.35">
      <c r="B1403" s="146"/>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314"/>
      <c r="AE1403" s="314"/>
      <c r="AF1403" s="314"/>
    </row>
    <row r="1404" spans="2:32" s="147" customFormat="1" ht="14.15" customHeight="1" x14ac:dyDescent="0.35">
      <c r="B1404" s="146"/>
      <c r="E1404" s="314"/>
      <c r="F1404" s="314"/>
      <c r="G1404" s="314"/>
      <c r="H1404" s="314"/>
      <c r="I1404" s="314"/>
      <c r="J1404" s="314"/>
      <c r="K1404" s="314"/>
      <c r="L1404" s="314"/>
      <c r="M1404" s="314"/>
      <c r="N1404" s="314"/>
      <c r="O1404" s="314"/>
      <c r="P1404" s="314"/>
      <c r="Q1404" s="314"/>
      <c r="R1404" s="314"/>
      <c r="S1404" s="314"/>
      <c r="T1404" s="314"/>
      <c r="U1404" s="314"/>
      <c r="V1404" s="314"/>
      <c r="W1404" s="314"/>
      <c r="X1404" s="314"/>
      <c r="Y1404" s="314"/>
      <c r="Z1404" s="314"/>
      <c r="AA1404" s="314"/>
      <c r="AB1404" s="314"/>
      <c r="AC1404" s="314"/>
      <c r="AD1404" s="314"/>
      <c r="AE1404" s="314"/>
      <c r="AF1404" s="314"/>
    </row>
    <row r="1405" spans="2:32" s="147" customFormat="1" ht="14.15" customHeight="1" x14ac:dyDescent="0.35">
      <c r="B1405" s="146"/>
      <c r="E1405" s="314"/>
      <c r="F1405" s="314"/>
      <c r="G1405" s="314"/>
      <c r="H1405" s="314"/>
      <c r="I1405" s="314"/>
      <c r="J1405" s="314"/>
      <c r="K1405" s="314"/>
      <c r="L1405" s="314"/>
      <c r="M1405" s="314"/>
      <c r="N1405" s="314"/>
      <c r="O1405" s="314"/>
      <c r="P1405" s="314"/>
      <c r="Q1405" s="314"/>
      <c r="R1405" s="314"/>
      <c r="S1405" s="314"/>
      <c r="T1405" s="314"/>
      <c r="U1405" s="314"/>
      <c r="V1405" s="314"/>
      <c r="W1405" s="314"/>
      <c r="X1405" s="314"/>
      <c r="Y1405" s="314"/>
      <c r="Z1405" s="314"/>
      <c r="AA1405" s="314"/>
      <c r="AB1405" s="314"/>
      <c r="AC1405" s="314"/>
      <c r="AD1405" s="314"/>
      <c r="AE1405" s="314"/>
      <c r="AF1405" s="314"/>
    </row>
    <row r="1406" spans="2:32" s="147" customFormat="1" ht="14.15" customHeight="1" x14ac:dyDescent="0.35">
      <c r="B1406" s="146"/>
      <c r="E1406" s="314"/>
      <c r="F1406" s="314"/>
      <c r="G1406" s="314"/>
      <c r="H1406" s="314"/>
      <c r="I1406" s="314"/>
      <c r="J1406" s="314"/>
      <c r="K1406" s="314"/>
      <c r="L1406" s="314"/>
      <c r="M1406" s="314"/>
      <c r="N1406" s="314"/>
      <c r="O1406" s="314"/>
      <c r="P1406" s="314"/>
      <c r="Q1406" s="314"/>
      <c r="R1406" s="314"/>
      <c r="S1406" s="314"/>
      <c r="T1406" s="314"/>
      <c r="U1406" s="314"/>
      <c r="V1406" s="314"/>
      <c r="W1406" s="314"/>
      <c r="X1406" s="314"/>
      <c r="Y1406" s="314"/>
      <c r="Z1406" s="314"/>
      <c r="AA1406" s="314"/>
      <c r="AB1406" s="314"/>
      <c r="AC1406" s="314"/>
      <c r="AD1406" s="314"/>
      <c r="AE1406" s="314"/>
      <c r="AF1406" s="314"/>
    </row>
    <row r="1407" spans="2:32" s="147" customFormat="1" ht="14.15" customHeight="1" x14ac:dyDescent="0.35">
      <c r="B1407" s="146"/>
      <c r="E1407" s="314"/>
      <c r="F1407" s="314"/>
      <c r="G1407" s="314"/>
      <c r="H1407" s="314"/>
      <c r="I1407" s="314"/>
      <c r="J1407" s="314"/>
      <c r="K1407" s="314"/>
      <c r="L1407" s="314"/>
      <c r="M1407" s="314"/>
      <c r="N1407" s="314"/>
      <c r="O1407" s="314"/>
      <c r="P1407" s="314"/>
      <c r="Q1407" s="314"/>
      <c r="R1407" s="314"/>
      <c r="S1407" s="314"/>
      <c r="T1407" s="314"/>
      <c r="U1407" s="314"/>
      <c r="V1407" s="314"/>
      <c r="W1407" s="314"/>
      <c r="X1407" s="314"/>
      <c r="Y1407" s="314"/>
      <c r="Z1407" s="314"/>
      <c r="AA1407" s="314"/>
      <c r="AB1407" s="314"/>
      <c r="AC1407" s="314"/>
      <c r="AD1407" s="314"/>
      <c r="AE1407" s="314"/>
      <c r="AF1407" s="314"/>
    </row>
    <row r="1408" spans="2:32" s="147" customFormat="1" ht="14.15" customHeight="1" x14ac:dyDescent="0.35">
      <c r="B1408" s="146"/>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314"/>
      <c r="AE1408" s="314"/>
      <c r="AF1408" s="314"/>
    </row>
    <row r="1409" spans="2:32" s="147" customFormat="1" ht="14.15" customHeight="1" x14ac:dyDescent="0.35">
      <c r="B1409" s="146"/>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314"/>
      <c r="AE1409" s="314"/>
      <c r="AF1409" s="314"/>
    </row>
    <row r="1410" spans="2:32" s="147" customFormat="1" ht="14.15" customHeight="1" x14ac:dyDescent="0.35">
      <c r="B1410" s="146"/>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314"/>
      <c r="AF1410" s="314"/>
    </row>
    <row r="1411" spans="2:32" s="147" customFormat="1" ht="14.15" customHeight="1" x14ac:dyDescent="0.35">
      <c r="B1411" s="146"/>
      <c r="E1411" s="314"/>
      <c r="F1411" s="314"/>
      <c r="G1411" s="314"/>
      <c r="H1411" s="314"/>
      <c r="I1411" s="314"/>
      <c r="J1411" s="314"/>
      <c r="K1411" s="314"/>
      <c r="L1411" s="314"/>
      <c r="M1411" s="314"/>
      <c r="N1411" s="314"/>
      <c r="O1411" s="314"/>
      <c r="P1411" s="314"/>
      <c r="Q1411" s="314"/>
      <c r="R1411" s="314"/>
      <c r="S1411" s="314"/>
      <c r="T1411" s="314"/>
      <c r="U1411" s="314"/>
      <c r="V1411" s="314"/>
      <c r="W1411" s="314"/>
      <c r="X1411" s="314"/>
      <c r="Y1411" s="314"/>
      <c r="Z1411" s="314"/>
      <c r="AA1411" s="314"/>
      <c r="AB1411" s="314"/>
      <c r="AC1411" s="314"/>
      <c r="AD1411" s="314"/>
      <c r="AE1411" s="314"/>
      <c r="AF1411" s="314"/>
    </row>
    <row r="1412" spans="2:32" s="147" customFormat="1" ht="14.15" customHeight="1" x14ac:dyDescent="0.35">
      <c r="B1412" s="146"/>
      <c r="E1412" s="314"/>
      <c r="F1412" s="314"/>
      <c r="G1412" s="314"/>
      <c r="H1412" s="314"/>
      <c r="I1412" s="314"/>
      <c r="J1412" s="314"/>
      <c r="K1412" s="314"/>
      <c r="L1412" s="314"/>
      <c r="M1412" s="314"/>
      <c r="N1412" s="314"/>
      <c r="O1412" s="314"/>
      <c r="P1412" s="314"/>
      <c r="Q1412" s="314"/>
      <c r="R1412" s="314"/>
      <c r="S1412" s="314"/>
      <c r="T1412" s="314"/>
      <c r="U1412" s="314"/>
      <c r="V1412" s="314"/>
      <c r="W1412" s="314"/>
      <c r="X1412" s="314"/>
      <c r="Y1412" s="314"/>
      <c r="Z1412" s="314"/>
      <c r="AA1412" s="314"/>
      <c r="AB1412" s="314"/>
      <c r="AC1412" s="314"/>
      <c r="AD1412" s="314"/>
      <c r="AE1412" s="314"/>
      <c r="AF1412" s="314"/>
    </row>
    <row r="1413" spans="2:32" s="147" customFormat="1" ht="14.15" customHeight="1" x14ac:dyDescent="0.35">
      <c r="B1413" s="146"/>
      <c r="E1413" s="314"/>
      <c r="F1413" s="314"/>
      <c r="G1413" s="314"/>
      <c r="H1413" s="314"/>
      <c r="I1413" s="314"/>
      <c r="J1413" s="314"/>
      <c r="K1413" s="314"/>
      <c r="L1413" s="314"/>
      <c r="M1413" s="314"/>
      <c r="N1413" s="314"/>
      <c r="O1413" s="314"/>
      <c r="P1413" s="314"/>
      <c r="Q1413" s="314"/>
      <c r="R1413" s="314"/>
      <c r="S1413" s="314"/>
      <c r="T1413" s="314"/>
      <c r="U1413" s="314"/>
      <c r="V1413" s="314"/>
      <c r="W1413" s="314"/>
      <c r="X1413" s="314"/>
      <c r="Y1413" s="314"/>
      <c r="Z1413" s="314"/>
      <c r="AA1413" s="314"/>
      <c r="AB1413" s="314"/>
      <c r="AC1413" s="314"/>
      <c r="AD1413" s="314"/>
      <c r="AE1413" s="314"/>
      <c r="AF1413" s="314"/>
    </row>
    <row r="1414" spans="2:32" s="147" customFormat="1" ht="14.15" customHeight="1" x14ac:dyDescent="0.35">
      <c r="B1414" s="146"/>
      <c r="E1414" s="314"/>
      <c r="F1414" s="314"/>
      <c r="G1414" s="314"/>
      <c r="H1414" s="314"/>
      <c r="I1414" s="314"/>
      <c r="J1414" s="314"/>
      <c r="K1414" s="314"/>
      <c r="L1414" s="314"/>
      <c r="M1414" s="314"/>
      <c r="N1414" s="314"/>
      <c r="O1414" s="314"/>
      <c r="P1414" s="314"/>
      <c r="Q1414" s="314"/>
      <c r="R1414" s="314"/>
      <c r="S1414" s="314"/>
      <c r="T1414" s="314"/>
      <c r="U1414" s="314"/>
      <c r="V1414" s="314"/>
      <c r="W1414" s="314"/>
      <c r="X1414" s="314"/>
      <c r="Y1414" s="314"/>
      <c r="Z1414" s="314"/>
      <c r="AA1414" s="314"/>
      <c r="AB1414" s="314"/>
      <c r="AC1414" s="314"/>
      <c r="AD1414" s="314"/>
      <c r="AE1414" s="314"/>
      <c r="AF1414" s="314"/>
    </row>
    <row r="1415" spans="2:32" s="147" customFormat="1" ht="14.15" customHeight="1" x14ac:dyDescent="0.35">
      <c r="B1415" s="146"/>
      <c r="E1415" s="314"/>
      <c r="F1415" s="314"/>
      <c r="G1415" s="314"/>
      <c r="H1415" s="314"/>
      <c r="I1415" s="314"/>
      <c r="J1415" s="314"/>
      <c r="K1415" s="314"/>
      <c r="L1415" s="314"/>
      <c r="M1415" s="314"/>
      <c r="N1415" s="314"/>
      <c r="O1415" s="314"/>
      <c r="P1415" s="314"/>
      <c r="Q1415" s="314"/>
      <c r="R1415" s="314"/>
      <c r="S1415" s="314"/>
      <c r="T1415" s="314"/>
      <c r="U1415" s="314"/>
      <c r="V1415" s="314"/>
      <c r="W1415" s="314"/>
      <c r="X1415" s="314"/>
      <c r="Y1415" s="314"/>
      <c r="Z1415" s="314"/>
      <c r="AA1415" s="314"/>
      <c r="AB1415" s="314"/>
      <c r="AC1415" s="314"/>
      <c r="AD1415" s="314"/>
      <c r="AE1415" s="314"/>
      <c r="AF1415" s="314"/>
    </row>
    <row r="1416" spans="2:32" s="147" customFormat="1" ht="14.15" customHeight="1" x14ac:dyDescent="0.35">
      <c r="B1416" s="146"/>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314"/>
      <c r="AE1416" s="314"/>
      <c r="AF1416" s="314"/>
    </row>
    <row r="1417" spans="2:32" s="147" customFormat="1" ht="14.15" customHeight="1" x14ac:dyDescent="0.35">
      <c r="B1417" s="146"/>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314"/>
      <c r="AE1417" s="314"/>
      <c r="AF1417" s="314"/>
    </row>
    <row r="1418" spans="2:32" s="147" customFormat="1" ht="14.15" customHeight="1" x14ac:dyDescent="0.35">
      <c r="B1418" s="146"/>
      <c r="E1418" s="314"/>
      <c r="F1418" s="314"/>
      <c r="G1418" s="314"/>
      <c r="H1418" s="314"/>
      <c r="I1418" s="314"/>
      <c r="J1418" s="314"/>
      <c r="K1418" s="314"/>
      <c r="L1418" s="314"/>
      <c r="M1418" s="314"/>
      <c r="N1418" s="314"/>
      <c r="O1418" s="314"/>
      <c r="P1418" s="314"/>
      <c r="Q1418" s="314"/>
      <c r="R1418" s="314"/>
      <c r="S1418" s="314"/>
      <c r="T1418" s="314"/>
      <c r="U1418" s="314"/>
      <c r="V1418" s="314"/>
      <c r="W1418" s="314"/>
      <c r="X1418" s="314"/>
      <c r="Y1418" s="314"/>
      <c r="Z1418" s="314"/>
      <c r="AA1418" s="314"/>
      <c r="AB1418" s="314"/>
      <c r="AC1418" s="314"/>
      <c r="AD1418" s="314"/>
      <c r="AE1418" s="314"/>
      <c r="AF1418" s="314"/>
    </row>
    <row r="1419" spans="2:32" s="147" customFormat="1" ht="14.15" customHeight="1" x14ac:dyDescent="0.35">
      <c r="B1419" s="146"/>
      <c r="E1419" s="314"/>
      <c r="F1419" s="314"/>
      <c r="G1419" s="314"/>
      <c r="H1419" s="314"/>
      <c r="I1419" s="314"/>
      <c r="J1419" s="314"/>
      <c r="K1419" s="314"/>
      <c r="L1419" s="314"/>
      <c r="M1419" s="314"/>
      <c r="N1419" s="314"/>
      <c r="O1419" s="314"/>
      <c r="P1419" s="314"/>
      <c r="Q1419" s="314"/>
      <c r="R1419" s="314"/>
      <c r="S1419" s="314"/>
      <c r="T1419" s="314"/>
      <c r="U1419" s="314"/>
      <c r="V1419" s="314"/>
      <c r="W1419" s="314"/>
      <c r="X1419" s="314"/>
      <c r="Y1419" s="314"/>
      <c r="Z1419" s="314"/>
      <c r="AA1419" s="314"/>
      <c r="AB1419" s="314"/>
      <c r="AC1419" s="314"/>
      <c r="AD1419" s="314"/>
      <c r="AE1419" s="314"/>
      <c r="AF1419" s="314"/>
    </row>
    <row r="1420" spans="2:32" s="147" customFormat="1" ht="14.15" customHeight="1" x14ac:dyDescent="0.35">
      <c r="B1420" s="146"/>
      <c r="E1420" s="314"/>
      <c r="F1420" s="314"/>
      <c r="G1420" s="314"/>
      <c r="H1420" s="314"/>
      <c r="I1420" s="314"/>
      <c r="J1420" s="314"/>
      <c r="K1420" s="314"/>
      <c r="L1420" s="314"/>
      <c r="M1420" s="314"/>
      <c r="N1420" s="314"/>
      <c r="O1420" s="314"/>
      <c r="P1420" s="314"/>
      <c r="Q1420" s="314"/>
      <c r="R1420" s="314"/>
      <c r="S1420" s="314"/>
      <c r="T1420" s="314"/>
      <c r="U1420" s="314"/>
      <c r="V1420" s="314"/>
      <c r="W1420" s="314"/>
      <c r="X1420" s="314"/>
      <c r="Y1420" s="314"/>
      <c r="Z1420" s="314"/>
      <c r="AA1420" s="314"/>
      <c r="AB1420" s="314"/>
      <c r="AC1420" s="314"/>
      <c r="AD1420" s="314"/>
      <c r="AE1420" s="314"/>
      <c r="AF1420" s="314"/>
    </row>
    <row r="1421" spans="2:32" s="147" customFormat="1" ht="14.15" customHeight="1" x14ac:dyDescent="0.35">
      <c r="B1421" s="146"/>
      <c r="E1421" s="314"/>
      <c r="F1421" s="314"/>
      <c r="G1421" s="314"/>
      <c r="H1421" s="314"/>
      <c r="I1421" s="314"/>
      <c r="J1421" s="314"/>
      <c r="K1421" s="314"/>
      <c r="L1421" s="314"/>
      <c r="M1421" s="314"/>
      <c r="N1421" s="314"/>
      <c r="O1421" s="314"/>
      <c r="P1421" s="314"/>
      <c r="Q1421" s="314"/>
      <c r="R1421" s="314"/>
      <c r="S1421" s="314"/>
      <c r="T1421" s="314"/>
      <c r="U1421" s="314"/>
      <c r="V1421" s="314"/>
      <c r="W1421" s="314"/>
      <c r="X1421" s="314"/>
      <c r="Y1421" s="314"/>
      <c r="Z1421" s="314"/>
      <c r="AA1421" s="314"/>
      <c r="AB1421" s="314"/>
      <c r="AC1421" s="314"/>
      <c r="AD1421" s="314"/>
      <c r="AE1421" s="314"/>
      <c r="AF1421" s="314"/>
    </row>
    <row r="1422" spans="2:32" s="147" customFormat="1" ht="14.15" customHeight="1" x14ac:dyDescent="0.35">
      <c r="B1422" s="146"/>
      <c r="E1422" s="314"/>
      <c r="F1422" s="314"/>
      <c r="G1422" s="314"/>
      <c r="H1422" s="314"/>
      <c r="I1422" s="314"/>
      <c r="J1422" s="314"/>
      <c r="K1422" s="314"/>
      <c r="L1422" s="314"/>
      <c r="M1422" s="314"/>
      <c r="N1422" s="314"/>
      <c r="O1422" s="314"/>
      <c r="P1422" s="314"/>
      <c r="Q1422" s="314"/>
      <c r="R1422" s="314"/>
      <c r="S1422" s="314"/>
      <c r="T1422" s="314"/>
      <c r="U1422" s="314"/>
      <c r="V1422" s="314"/>
      <c r="W1422" s="314"/>
      <c r="X1422" s="314"/>
      <c r="Y1422" s="314"/>
      <c r="Z1422" s="314"/>
      <c r="AA1422" s="314"/>
      <c r="AB1422" s="314"/>
      <c r="AC1422" s="314"/>
      <c r="AD1422" s="314"/>
      <c r="AE1422" s="314"/>
      <c r="AF1422" s="314"/>
    </row>
    <row r="1423" spans="2:32" s="147" customFormat="1" ht="14.15" customHeight="1" x14ac:dyDescent="0.35">
      <c r="B1423" s="146"/>
      <c r="E1423" s="314"/>
      <c r="F1423" s="314"/>
      <c r="G1423" s="314"/>
      <c r="H1423" s="314"/>
      <c r="I1423" s="314"/>
      <c r="J1423" s="314"/>
      <c r="K1423" s="314"/>
      <c r="L1423" s="314"/>
      <c r="M1423" s="314"/>
      <c r="N1423" s="314"/>
      <c r="O1423" s="314"/>
      <c r="P1423" s="314"/>
      <c r="Q1423" s="314"/>
      <c r="R1423" s="314"/>
      <c r="S1423" s="314"/>
      <c r="T1423" s="314"/>
      <c r="U1423" s="314"/>
      <c r="V1423" s="314"/>
      <c r="W1423" s="314"/>
      <c r="X1423" s="314"/>
      <c r="Y1423" s="314"/>
      <c r="Z1423" s="314"/>
      <c r="AA1423" s="314"/>
      <c r="AB1423" s="314"/>
      <c r="AC1423" s="314"/>
      <c r="AD1423" s="314"/>
      <c r="AE1423" s="314"/>
      <c r="AF1423" s="314"/>
    </row>
    <row r="1424" spans="2:32" s="147" customFormat="1" ht="14.15" customHeight="1" x14ac:dyDescent="0.35">
      <c r="B1424" s="146"/>
      <c r="E1424" s="314"/>
      <c r="F1424" s="314"/>
      <c r="G1424" s="314"/>
      <c r="H1424" s="314"/>
      <c r="I1424" s="314"/>
      <c r="J1424" s="314"/>
      <c r="K1424" s="314"/>
      <c r="L1424" s="314"/>
      <c r="M1424" s="314"/>
      <c r="N1424" s="314"/>
      <c r="O1424" s="314"/>
      <c r="P1424" s="314"/>
      <c r="Q1424" s="314"/>
      <c r="R1424" s="314"/>
      <c r="S1424" s="314"/>
      <c r="T1424" s="314"/>
      <c r="U1424" s="314"/>
      <c r="V1424" s="314"/>
      <c r="W1424" s="314"/>
      <c r="X1424" s="314"/>
      <c r="Y1424" s="314"/>
      <c r="Z1424" s="314"/>
      <c r="AA1424" s="314"/>
      <c r="AB1424" s="314"/>
      <c r="AC1424" s="314"/>
      <c r="AD1424" s="314"/>
      <c r="AE1424" s="314"/>
      <c r="AF1424" s="314"/>
    </row>
    <row r="1425" spans="2:32" s="147" customFormat="1" ht="14.15" customHeight="1" x14ac:dyDescent="0.35">
      <c r="B1425" s="146"/>
      <c r="E1425" s="314"/>
      <c r="F1425" s="314"/>
      <c r="G1425" s="314"/>
      <c r="H1425" s="314"/>
      <c r="I1425" s="314"/>
      <c r="J1425" s="314"/>
      <c r="K1425" s="314"/>
      <c r="L1425" s="314"/>
      <c r="M1425" s="314"/>
      <c r="N1425" s="314"/>
      <c r="O1425" s="314"/>
      <c r="P1425" s="314"/>
      <c r="Q1425" s="314"/>
      <c r="R1425" s="314"/>
      <c r="S1425" s="314"/>
      <c r="T1425" s="314"/>
      <c r="U1425" s="314"/>
      <c r="V1425" s="314"/>
      <c r="W1425" s="314"/>
      <c r="X1425" s="314"/>
      <c r="Y1425" s="314"/>
      <c r="Z1425" s="314"/>
      <c r="AA1425" s="314"/>
      <c r="AB1425" s="314"/>
      <c r="AC1425" s="314"/>
      <c r="AD1425" s="314"/>
      <c r="AE1425" s="314"/>
      <c r="AF1425" s="314"/>
    </row>
    <row r="1426" spans="2:32" s="147" customFormat="1" ht="14.15" customHeight="1" x14ac:dyDescent="0.35">
      <c r="B1426" s="146"/>
      <c r="E1426" s="314"/>
      <c r="F1426" s="314"/>
      <c r="G1426" s="314"/>
      <c r="H1426" s="314"/>
      <c r="I1426" s="314"/>
      <c r="J1426" s="314"/>
      <c r="K1426" s="314"/>
      <c r="L1426" s="314"/>
      <c r="M1426" s="314"/>
      <c r="N1426" s="314"/>
      <c r="O1426" s="314"/>
      <c r="P1426" s="314"/>
      <c r="Q1426" s="314"/>
      <c r="R1426" s="314"/>
      <c r="S1426" s="314"/>
      <c r="T1426" s="314"/>
      <c r="U1426" s="314"/>
      <c r="V1426" s="314"/>
      <c r="W1426" s="314"/>
      <c r="X1426" s="314"/>
      <c r="Y1426" s="314"/>
      <c r="Z1426" s="314"/>
      <c r="AA1426" s="314"/>
      <c r="AB1426" s="314"/>
      <c r="AC1426" s="314"/>
      <c r="AD1426" s="314"/>
      <c r="AE1426" s="314"/>
      <c r="AF1426" s="314"/>
    </row>
    <row r="1427" spans="2:32" s="147" customFormat="1" ht="14.15" customHeight="1" x14ac:dyDescent="0.35">
      <c r="B1427" s="146"/>
      <c r="E1427" s="314"/>
      <c r="F1427" s="314"/>
      <c r="G1427" s="314"/>
      <c r="H1427" s="314"/>
      <c r="I1427" s="314"/>
      <c r="J1427" s="314"/>
      <c r="K1427" s="314"/>
      <c r="L1427" s="314"/>
      <c r="M1427" s="314"/>
      <c r="N1427" s="314"/>
      <c r="O1427" s="314"/>
      <c r="P1427" s="314"/>
      <c r="Q1427" s="314"/>
      <c r="R1427" s="314"/>
      <c r="S1427" s="314"/>
      <c r="T1427" s="314"/>
      <c r="U1427" s="314"/>
      <c r="V1427" s="314"/>
      <c r="W1427" s="314"/>
      <c r="X1427" s="314"/>
      <c r="Y1427" s="314"/>
      <c r="Z1427" s="314"/>
      <c r="AA1427" s="314"/>
      <c r="AB1427" s="314"/>
      <c r="AC1427" s="314"/>
      <c r="AD1427" s="314"/>
      <c r="AE1427" s="314"/>
      <c r="AF1427" s="314"/>
    </row>
    <row r="1428" spans="2:32" s="147" customFormat="1" ht="14.15" customHeight="1" x14ac:dyDescent="0.35">
      <c r="B1428" s="146"/>
      <c r="E1428" s="314"/>
      <c r="F1428" s="314"/>
      <c r="G1428" s="314"/>
      <c r="H1428" s="314"/>
      <c r="I1428" s="314"/>
      <c r="J1428" s="314"/>
      <c r="K1428" s="314"/>
      <c r="L1428" s="314"/>
      <c r="M1428" s="314"/>
      <c r="N1428" s="314"/>
      <c r="O1428" s="314"/>
      <c r="P1428" s="314"/>
      <c r="Q1428" s="314"/>
      <c r="R1428" s="314"/>
      <c r="S1428" s="314"/>
      <c r="T1428" s="314"/>
      <c r="U1428" s="314"/>
      <c r="V1428" s="314"/>
      <c r="W1428" s="314"/>
      <c r="X1428" s="314"/>
      <c r="Y1428" s="314"/>
      <c r="Z1428" s="314"/>
      <c r="AA1428" s="314"/>
      <c r="AB1428" s="314"/>
      <c r="AC1428" s="314"/>
      <c r="AD1428" s="314"/>
      <c r="AE1428" s="314"/>
      <c r="AF1428" s="314"/>
    </row>
    <row r="1429" spans="2:32" s="147" customFormat="1" ht="14.15" customHeight="1" x14ac:dyDescent="0.35">
      <c r="B1429" s="146"/>
      <c r="E1429" s="314"/>
      <c r="F1429" s="314"/>
      <c r="G1429" s="314"/>
      <c r="H1429" s="314"/>
      <c r="I1429" s="314"/>
      <c r="J1429" s="314"/>
      <c r="K1429" s="314"/>
      <c r="L1429" s="314"/>
      <c r="M1429" s="314"/>
      <c r="N1429" s="314"/>
      <c r="O1429" s="314"/>
      <c r="P1429" s="314"/>
      <c r="Q1429" s="314"/>
      <c r="R1429" s="314"/>
      <c r="S1429" s="314"/>
      <c r="T1429" s="314"/>
      <c r="U1429" s="314"/>
      <c r="V1429" s="314"/>
      <c r="W1429" s="314"/>
      <c r="X1429" s="314"/>
      <c r="Y1429" s="314"/>
      <c r="Z1429" s="314"/>
      <c r="AA1429" s="314"/>
      <c r="AB1429" s="314"/>
      <c r="AC1429" s="314"/>
      <c r="AD1429" s="314"/>
      <c r="AE1429" s="314"/>
      <c r="AF1429" s="314"/>
    </row>
    <row r="1430" spans="2:32" s="147" customFormat="1" ht="14.15" customHeight="1" x14ac:dyDescent="0.35">
      <c r="B1430" s="146"/>
      <c r="E1430" s="314"/>
      <c r="F1430" s="314"/>
      <c r="G1430" s="314"/>
      <c r="H1430" s="314"/>
      <c r="I1430" s="314"/>
      <c r="J1430" s="314"/>
      <c r="K1430" s="314"/>
      <c r="L1430" s="314"/>
      <c r="M1430" s="314"/>
      <c r="N1430" s="314"/>
      <c r="O1430" s="314"/>
      <c r="P1430" s="314"/>
      <c r="Q1430" s="314"/>
      <c r="R1430" s="314"/>
      <c r="S1430" s="314"/>
      <c r="T1430" s="314"/>
      <c r="U1430" s="314"/>
      <c r="V1430" s="314"/>
      <c r="W1430" s="314"/>
      <c r="X1430" s="314"/>
      <c r="Y1430" s="314"/>
      <c r="Z1430" s="314"/>
      <c r="AA1430" s="314"/>
      <c r="AB1430" s="314"/>
      <c r="AC1430" s="314"/>
      <c r="AD1430" s="314"/>
      <c r="AE1430" s="314"/>
      <c r="AF1430" s="314"/>
    </row>
    <row r="1431" spans="2:32" s="147" customFormat="1" ht="14.15" customHeight="1" x14ac:dyDescent="0.35">
      <c r="B1431" s="146"/>
      <c r="E1431" s="314"/>
      <c r="F1431" s="314"/>
      <c r="G1431" s="314"/>
      <c r="H1431" s="314"/>
      <c r="I1431" s="314"/>
      <c r="J1431" s="314"/>
      <c r="K1431" s="314"/>
      <c r="L1431" s="314"/>
      <c r="M1431" s="314"/>
      <c r="N1431" s="314"/>
      <c r="O1431" s="314"/>
      <c r="P1431" s="314"/>
      <c r="Q1431" s="314"/>
      <c r="R1431" s="314"/>
      <c r="S1431" s="314"/>
      <c r="T1431" s="314"/>
      <c r="U1431" s="314"/>
      <c r="V1431" s="314"/>
      <c r="W1431" s="314"/>
      <c r="X1431" s="314"/>
      <c r="Y1431" s="314"/>
      <c r="Z1431" s="314"/>
      <c r="AA1431" s="314"/>
      <c r="AB1431" s="314"/>
      <c r="AC1431" s="314"/>
      <c r="AD1431" s="314"/>
      <c r="AE1431" s="314"/>
      <c r="AF1431" s="314"/>
    </row>
    <row r="1432" spans="2:32" s="147" customFormat="1" ht="14.15" customHeight="1" x14ac:dyDescent="0.35">
      <c r="B1432" s="146"/>
      <c r="E1432" s="314"/>
      <c r="F1432" s="314"/>
      <c r="G1432" s="314"/>
      <c r="H1432" s="314"/>
      <c r="I1432" s="314"/>
      <c r="J1432" s="314"/>
      <c r="K1432" s="314"/>
      <c r="L1432" s="314"/>
      <c r="M1432" s="314"/>
      <c r="N1432" s="314"/>
      <c r="O1432" s="314"/>
      <c r="P1432" s="314"/>
      <c r="Q1432" s="314"/>
      <c r="R1432" s="314"/>
      <c r="S1432" s="314"/>
      <c r="T1432" s="314"/>
      <c r="U1432" s="314"/>
      <c r="V1432" s="314"/>
      <c r="W1432" s="314"/>
      <c r="X1432" s="314"/>
      <c r="Y1432" s="314"/>
      <c r="Z1432" s="314"/>
      <c r="AA1432" s="314"/>
      <c r="AB1432" s="314"/>
      <c r="AC1432" s="314"/>
      <c r="AD1432" s="314"/>
      <c r="AE1432" s="314"/>
      <c r="AF1432" s="314"/>
    </row>
    <row r="1433" spans="2:32" s="147" customFormat="1" ht="14.15" customHeight="1" x14ac:dyDescent="0.35">
      <c r="B1433" s="146"/>
      <c r="E1433" s="314"/>
      <c r="F1433" s="314"/>
      <c r="G1433" s="314"/>
      <c r="H1433" s="314"/>
      <c r="I1433" s="314"/>
      <c r="J1433" s="314"/>
      <c r="K1433" s="314"/>
      <c r="L1433" s="314"/>
      <c r="M1433" s="314"/>
      <c r="N1433" s="314"/>
      <c r="O1433" s="314"/>
      <c r="P1433" s="314"/>
      <c r="Q1433" s="314"/>
      <c r="R1433" s="314"/>
      <c r="S1433" s="314"/>
      <c r="T1433" s="314"/>
      <c r="U1433" s="314"/>
      <c r="V1433" s="314"/>
      <c r="W1433" s="314"/>
      <c r="X1433" s="314"/>
      <c r="Y1433" s="314"/>
      <c r="Z1433" s="314"/>
      <c r="AA1433" s="314"/>
      <c r="AB1433" s="314"/>
      <c r="AC1433" s="314"/>
      <c r="AD1433" s="314"/>
      <c r="AE1433" s="314"/>
      <c r="AF1433" s="314"/>
    </row>
    <row r="1434" spans="2:32" s="147" customFormat="1" ht="14.15" customHeight="1" x14ac:dyDescent="0.35">
      <c r="B1434" s="146"/>
      <c r="E1434" s="314"/>
      <c r="F1434" s="314"/>
      <c r="G1434" s="314"/>
      <c r="H1434" s="314"/>
      <c r="I1434" s="314"/>
      <c r="J1434" s="314"/>
      <c r="K1434" s="314"/>
      <c r="L1434" s="314"/>
      <c r="M1434" s="314"/>
      <c r="N1434" s="314"/>
      <c r="O1434" s="314"/>
      <c r="P1434" s="314"/>
      <c r="Q1434" s="314"/>
      <c r="R1434" s="314"/>
      <c r="S1434" s="314"/>
      <c r="T1434" s="314"/>
      <c r="U1434" s="314"/>
      <c r="V1434" s="314"/>
      <c r="W1434" s="314"/>
      <c r="X1434" s="314"/>
      <c r="Y1434" s="314"/>
      <c r="Z1434" s="314"/>
      <c r="AA1434" s="314"/>
      <c r="AB1434" s="314"/>
      <c r="AC1434" s="314"/>
      <c r="AD1434" s="314"/>
      <c r="AE1434" s="314"/>
      <c r="AF1434" s="314"/>
    </row>
    <row r="1435" spans="2:32" s="147" customFormat="1" ht="14.15" customHeight="1" x14ac:dyDescent="0.35">
      <c r="B1435" s="146"/>
      <c r="E1435" s="314"/>
      <c r="F1435" s="314"/>
      <c r="G1435" s="314"/>
      <c r="H1435" s="314"/>
      <c r="I1435" s="314"/>
      <c r="J1435" s="314"/>
      <c r="K1435" s="314"/>
      <c r="L1435" s="314"/>
      <c r="M1435" s="314"/>
      <c r="N1435" s="314"/>
      <c r="O1435" s="314"/>
      <c r="P1435" s="314"/>
      <c r="Q1435" s="314"/>
      <c r="R1435" s="314"/>
      <c r="S1435" s="314"/>
      <c r="T1435" s="314"/>
      <c r="U1435" s="314"/>
      <c r="V1435" s="314"/>
      <c r="W1435" s="314"/>
      <c r="X1435" s="314"/>
      <c r="Y1435" s="314"/>
      <c r="Z1435" s="314"/>
      <c r="AA1435" s="314"/>
      <c r="AB1435" s="314"/>
      <c r="AC1435" s="314"/>
      <c r="AD1435" s="314"/>
      <c r="AE1435" s="314"/>
      <c r="AF1435" s="314"/>
    </row>
    <row r="1436" spans="2:32" s="147" customFormat="1" ht="14.15" customHeight="1" x14ac:dyDescent="0.35">
      <c r="B1436" s="146"/>
      <c r="E1436" s="314"/>
      <c r="F1436" s="314"/>
      <c r="G1436" s="314"/>
      <c r="H1436" s="314"/>
      <c r="I1436" s="314"/>
      <c r="J1436" s="314"/>
      <c r="K1436" s="314"/>
      <c r="L1436" s="314"/>
      <c r="M1436" s="314"/>
      <c r="N1436" s="314"/>
      <c r="O1436" s="314"/>
      <c r="P1436" s="314"/>
      <c r="Q1436" s="314"/>
      <c r="R1436" s="314"/>
      <c r="S1436" s="314"/>
      <c r="T1436" s="314"/>
      <c r="U1436" s="314"/>
      <c r="V1436" s="314"/>
      <c r="W1436" s="314"/>
      <c r="X1436" s="314"/>
      <c r="Y1436" s="314"/>
      <c r="Z1436" s="314"/>
      <c r="AA1436" s="314"/>
      <c r="AB1436" s="314"/>
      <c r="AC1436" s="314"/>
      <c r="AD1436" s="314"/>
      <c r="AE1436" s="314"/>
      <c r="AF1436" s="314"/>
    </row>
    <row r="1437" spans="2:32" s="147" customFormat="1" ht="14.15" customHeight="1" x14ac:dyDescent="0.35">
      <c r="B1437" s="146"/>
      <c r="E1437" s="314"/>
      <c r="F1437" s="314"/>
      <c r="G1437" s="314"/>
      <c r="H1437" s="314"/>
      <c r="I1437" s="314"/>
      <c r="J1437" s="314"/>
      <c r="K1437" s="314"/>
      <c r="L1437" s="314"/>
      <c r="M1437" s="314"/>
      <c r="N1437" s="314"/>
      <c r="O1437" s="314"/>
      <c r="P1437" s="314"/>
      <c r="Q1437" s="314"/>
      <c r="R1437" s="314"/>
      <c r="S1437" s="314"/>
      <c r="T1437" s="314"/>
      <c r="U1437" s="314"/>
      <c r="V1437" s="314"/>
      <c r="W1437" s="314"/>
      <c r="X1437" s="314"/>
      <c r="Y1437" s="314"/>
      <c r="Z1437" s="314"/>
      <c r="AA1437" s="314"/>
      <c r="AB1437" s="314"/>
      <c r="AC1437" s="314"/>
      <c r="AD1437" s="314"/>
      <c r="AE1437" s="314"/>
      <c r="AF1437" s="314"/>
    </row>
    <row r="1438" spans="2:32" s="147" customFormat="1" ht="14.15" customHeight="1" x14ac:dyDescent="0.35">
      <c r="B1438" s="146"/>
      <c r="E1438" s="314"/>
      <c r="F1438" s="314"/>
      <c r="G1438" s="314"/>
      <c r="H1438" s="314"/>
      <c r="I1438" s="314"/>
      <c r="J1438" s="314"/>
      <c r="K1438" s="314"/>
      <c r="L1438" s="314"/>
      <c r="M1438" s="314"/>
      <c r="N1438" s="314"/>
      <c r="O1438" s="314"/>
      <c r="P1438" s="314"/>
      <c r="Q1438" s="314"/>
      <c r="R1438" s="314"/>
      <c r="S1438" s="314"/>
      <c r="T1438" s="314"/>
      <c r="U1438" s="314"/>
      <c r="V1438" s="314"/>
      <c r="W1438" s="314"/>
      <c r="X1438" s="314"/>
      <c r="Y1438" s="314"/>
      <c r="Z1438" s="314"/>
      <c r="AA1438" s="314"/>
      <c r="AB1438" s="314"/>
      <c r="AC1438" s="314"/>
      <c r="AD1438" s="314"/>
      <c r="AE1438" s="314"/>
      <c r="AF1438" s="314"/>
    </row>
    <row r="1439" spans="2:32" s="147" customFormat="1" ht="14.15" customHeight="1" x14ac:dyDescent="0.35">
      <c r="B1439" s="146"/>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314"/>
      <c r="AE1439" s="314"/>
      <c r="AF1439" s="314"/>
    </row>
    <row r="1440" spans="2:32" s="147" customFormat="1" ht="14.15" customHeight="1" x14ac:dyDescent="0.35">
      <c r="B1440" s="146"/>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314"/>
      <c r="AE1440" s="314"/>
      <c r="AF1440" s="314"/>
    </row>
    <row r="1441" spans="2:32" s="147" customFormat="1" ht="14.15" customHeight="1" x14ac:dyDescent="0.35">
      <c r="B1441" s="146"/>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314"/>
      <c r="AF1441" s="314"/>
    </row>
    <row r="1442" spans="2:32" s="147" customFormat="1" ht="14.15" customHeight="1" x14ac:dyDescent="0.35">
      <c r="B1442" s="146"/>
      <c r="E1442" s="314"/>
      <c r="F1442" s="314"/>
      <c r="G1442" s="314"/>
      <c r="H1442" s="314"/>
      <c r="I1442" s="314"/>
      <c r="J1442" s="314"/>
      <c r="K1442" s="314"/>
      <c r="L1442" s="314"/>
      <c r="M1442" s="314"/>
      <c r="N1442" s="314"/>
      <c r="O1442" s="314"/>
      <c r="P1442" s="314"/>
      <c r="Q1442" s="314"/>
      <c r="R1442" s="314"/>
      <c r="S1442" s="314"/>
      <c r="T1442" s="314"/>
      <c r="U1442" s="314"/>
      <c r="V1442" s="314"/>
      <c r="W1442" s="314"/>
      <c r="X1442" s="314"/>
      <c r="Y1442" s="314"/>
      <c r="Z1442" s="314"/>
      <c r="AA1442" s="314"/>
      <c r="AB1442" s="314"/>
      <c r="AC1442" s="314"/>
      <c r="AD1442" s="314"/>
      <c r="AE1442" s="314"/>
      <c r="AF1442" s="314"/>
    </row>
    <row r="1443" spans="2:32" s="147" customFormat="1" ht="14.15" customHeight="1" x14ac:dyDescent="0.35">
      <c r="B1443" s="146"/>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314"/>
      <c r="AE1443" s="314"/>
      <c r="AF1443" s="314"/>
    </row>
    <row r="1444" spans="2:32" s="147" customFormat="1" ht="14.15" customHeight="1" x14ac:dyDescent="0.35">
      <c r="B1444" s="146"/>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4"/>
      <c r="Z1444" s="314"/>
      <c r="AA1444" s="314"/>
      <c r="AB1444" s="314"/>
      <c r="AC1444" s="314"/>
      <c r="AD1444" s="314"/>
      <c r="AE1444" s="314"/>
      <c r="AF1444" s="314"/>
    </row>
    <row r="1445" spans="2:32" s="147" customFormat="1" ht="14.15" customHeight="1" x14ac:dyDescent="0.35">
      <c r="B1445" s="146"/>
      <c r="E1445" s="314"/>
      <c r="F1445" s="314"/>
      <c r="G1445" s="314"/>
      <c r="H1445" s="314"/>
      <c r="I1445" s="314"/>
      <c r="J1445" s="314"/>
      <c r="K1445" s="314"/>
      <c r="L1445" s="314"/>
      <c r="M1445" s="314"/>
      <c r="N1445" s="314"/>
      <c r="O1445" s="314"/>
      <c r="P1445" s="314"/>
      <c r="Q1445" s="314"/>
      <c r="R1445" s="314"/>
      <c r="S1445" s="314"/>
      <c r="T1445" s="314"/>
      <c r="U1445" s="314"/>
      <c r="V1445" s="314"/>
      <c r="W1445" s="314"/>
      <c r="X1445" s="314"/>
      <c r="Y1445" s="314"/>
      <c r="Z1445" s="314"/>
      <c r="AA1445" s="314"/>
      <c r="AB1445" s="314"/>
      <c r="AC1445" s="314"/>
      <c r="AD1445" s="314"/>
      <c r="AE1445" s="314"/>
      <c r="AF1445" s="314"/>
    </row>
    <row r="1446" spans="2:32" s="147" customFormat="1" ht="14.15" customHeight="1" x14ac:dyDescent="0.35">
      <c r="B1446" s="146"/>
      <c r="E1446" s="314"/>
      <c r="F1446" s="314"/>
      <c r="G1446" s="314"/>
      <c r="H1446" s="314"/>
      <c r="I1446" s="314"/>
      <c r="J1446" s="314"/>
      <c r="K1446" s="314"/>
      <c r="L1446" s="314"/>
      <c r="M1446" s="314"/>
      <c r="N1446" s="314"/>
      <c r="O1446" s="314"/>
      <c r="P1446" s="314"/>
      <c r="Q1446" s="314"/>
      <c r="R1446" s="314"/>
      <c r="S1446" s="314"/>
      <c r="T1446" s="314"/>
      <c r="U1446" s="314"/>
      <c r="V1446" s="314"/>
      <c r="W1446" s="314"/>
      <c r="X1446" s="314"/>
      <c r="Y1446" s="314"/>
      <c r="Z1446" s="314"/>
      <c r="AA1446" s="314"/>
      <c r="AB1446" s="314"/>
      <c r="AC1446" s="314"/>
      <c r="AD1446" s="314"/>
      <c r="AE1446" s="314"/>
      <c r="AF1446" s="314"/>
    </row>
    <row r="1447" spans="2:32" s="147" customFormat="1" ht="14.15" customHeight="1" x14ac:dyDescent="0.35">
      <c r="B1447" s="146"/>
      <c r="E1447" s="314"/>
      <c r="F1447" s="314"/>
      <c r="G1447" s="314"/>
      <c r="H1447" s="314"/>
      <c r="I1447" s="314"/>
      <c r="J1447" s="314"/>
      <c r="K1447" s="314"/>
      <c r="L1447" s="314"/>
      <c r="M1447" s="314"/>
      <c r="N1447" s="314"/>
      <c r="O1447" s="314"/>
      <c r="P1447" s="314"/>
      <c r="Q1447" s="314"/>
      <c r="R1447" s="314"/>
      <c r="S1447" s="314"/>
      <c r="T1447" s="314"/>
      <c r="U1447" s="314"/>
      <c r="V1447" s="314"/>
      <c r="W1447" s="314"/>
      <c r="X1447" s="314"/>
      <c r="Y1447" s="314"/>
      <c r="Z1447" s="314"/>
      <c r="AA1447" s="314"/>
      <c r="AB1447" s="314"/>
      <c r="AC1447" s="314"/>
      <c r="AD1447" s="314"/>
      <c r="AE1447" s="314"/>
      <c r="AF1447" s="314"/>
    </row>
    <row r="1448" spans="2:32" s="147" customFormat="1" ht="14.15" customHeight="1" x14ac:dyDescent="0.35">
      <c r="B1448" s="146"/>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314"/>
      <c r="AE1448" s="314"/>
      <c r="AF1448" s="314"/>
    </row>
    <row r="1449" spans="2:32" s="147" customFormat="1" ht="14.15" customHeight="1" x14ac:dyDescent="0.35">
      <c r="B1449" s="146"/>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314"/>
      <c r="AE1449" s="314"/>
      <c r="AF1449" s="314"/>
    </row>
    <row r="1450" spans="2:32" s="147" customFormat="1" ht="14.15" customHeight="1" x14ac:dyDescent="0.35">
      <c r="B1450" s="146"/>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314"/>
      <c r="AF1450" s="314"/>
    </row>
    <row r="1451" spans="2:32" s="147" customFormat="1" ht="14.15" customHeight="1" x14ac:dyDescent="0.35">
      <c r="B1451" s="146"/>
      <c r="E1451" s="314"/>
      <c r="F1451" s="314"/>
      <c r="G1451" s="314"/>
      <c r="H1451" s="314"/>
      <c r="I1451" s="314"/>
      <c r="J1451" s="314"/>
      <c r="K1451" s="314"/>
      <c r="L1451" s="314"/>
      <c r="M1451" s="314"/>
      <c r="N1451" s="314"/>
      <c r="O1451" s="314"/>
      <c r="P1451" s="314"/>
      <c r="Q1451" s="314"/>
      <c r="R1451" s="314"/>
      <c r="S1451" s="314"/>
      <c r="T1451" s="314"/>
      <c r="U1451" s="314"/>
      <c r="V1451" s="314"/>
      <c r="W1451" s="314"/>
      <c r="X1451" s="314"/>
      <c r="Y1451" s="314"/>
      <c r="Z1451" s="314"/>
      <c r="AA1451" s="314"/>
      <c r="AB1451" s="314"/>
      <c r="AC1451" s="314"/>
      <c r="AD1451" s="314"/>
      <c r="AE1451" s="314"/>
      <c r="AF1451" s="314"/>
    </row>
    <row r="1452" spans="2:32" s="147" customFormat="1" ht="14.15" customHeight="1" x14ac:dyDescent="0.35">
      <c r="B1452" s="146"/>
      <c r="E1452" s="314"/>
      <c r="F1452" s="314"/>
      <c r="G1452" s="314"/>
      <c r="H1452" s="314"/>
      <c r="I1452" s="314"/>
      <c r="J1452" s="314"/>
      <c r="K1452" s="314"/>
      <c r="L1452" s="314"/>
      <c r="M1452" s="314"/>
      <c r="N1452" s="314"/>
      <c r="O1452" s="314"/>
      <c r="P1452" s="314"/>
      <c r="Q1452" s="314"/>
      <c r="R1452" s="314"/>
      <c r="S1452" s="314"/>
      <c r="T1452" s="314"/>
      <c r="U1452" s="314"/>
      <c r="V1452" s="314"/>
      <c r="W1452" s="314"/>
      <c r="X1452" s="314"/>
      <c r="Y1452" s="314"/>
      <c r="Z1452" s="314"/>
      <c r="AA1452" s="314"/>
      <c r="AB1452" s="314"/>
      <c r="AC1452" s="314"/>
      <c r="AD1452" s="314"/>
      <c r="AE1452" s="314"/>
      <c r="AF1452" s="314"/>
    </row>
    <row r="1453" spans="2:32" s="147" customFormat="1" ht="14.15" customHeight="1" x14ac:dyDescent="0.35">
      <c r="B1453" s="146"/>
      <c r="E1453" s="314"/>
      <c r="F1453" s="314"/>
      <c r="G1453" s="314"/>
      <c r="H1453" s="314"/>
      <c r="I1453" s="314"/>
      <c r="J1453" s="314"/>
      <c r="K1453" s="314"/>
      <c r="L1453" s="314"/>
      <c r="M1453" s="314"/>
      <c r="N1453" s="314"/>
      <c r="O1453" s="314"/>
      <c r="P1453" s="314"/>
      <c r="Q1453" s="314"/>
      <c r="R1453" s="314"/>
      <c r="S1453" s="314"/>
      <c r="T1453" s="314"/>
      <c r="U1453" s="314"/>
      <c r="V1453" s="314"/>
      <c r="W1453" s="314"/>
      <c r="X1453" s="314"/>
      <c r="Y1453" s="314"/>
      <c r="Z1453" s="314"/>
      <c r="AA1453" s="314"/>
      <c r="AB1453" s="314"/>
      <c r="AC1453" s="314"/>
      <c r="AD1453" s="314"/>
      <c r="AE1453" s="314"/>
      <c r="AF1453" s="314"/>
    </row>
    <row r="1454" spans="2:32" s="147" customFormat="1" ht="14.15" customHeight="1" x14ac:dyDescent="0.35">
      <c r="B1454" s="146"/>
      <c r="E1454" s="314"/>
      <c r="F1454" s="314"/>
      <c r="G1454" s="314"/>
      <c r="H1454" s="314"/>
      <c r="I1454" s="314"/>
      <c r="J1454" s="314"/>
      <c r="K1454" s="314"/>
      <c r="L1454" s="314"/>
      <c r="M1454" s="314"/>
      <c r="N1454" s="314"/>
      <c r="O1454" s="314"/>
      <c r="P1454" s="314"/>
      <c r="Q1454" s="314"/>
      <c r="R1454" s="314"/>
      <c r="S1454" s="314"/>
      <c r="T1454" s="314"/>
      <c r="U1454" s="314"/>
      <c r="V1454" s="314"/>
      <c r="W1454" s="314"/>
      <c r="X1454" s="314"/>
      <c r="Y1454" s="314"/>
      <c r="Z1454" s="314"/>
      <c r="AA1454" s="314"/>
      <c r="AB1454" s="314"/>
      <c r="AC1454" s="314"/>
      <c r="AD1454" s="314"/>
      <c r="AE1454" s="314"/>
      <c r="AF1454" s="314"/>
    </row>
    <row r="1455" spans="2:32" s="147" customFormat="1" ht="14.15" customHeight="1" x14ac:dyDescent="0.35">
      <c r="B1455" s="146"/>
      <c r="E1455" s="314"/>
      <c r="F1455" s="314"/>
      <c r="G1455" s="314"/>
      <c r="H1455" s="314"/>
      <c r="I1455" s="314"/>
      <c r="J1455" s="314"/>
      <c r="K1455" s="314"/>
      <c r="L1455" s="314"/>
      <c r="M1455" s="314"/>
      <c r="N1455" s="314"/>
      <c r="O1455" s="314"/>
      <c r="P1455" s="314"/>
      <c r="Q1455" s="314"/>
      <c r="R1455" s="314"/>
      <c r="S1455" s="314"/>
      <c r="T1455" s="314"/>
      <c r="U1455" s="314"/>
      <c r="V1455" s="314"/>
      <c r="W1455" s="314"/>
      <c r="X1455" s="314"/>
      <c r="Y1455" s="314"/>
      <c r="Z1455" s="314"/>
      <c r="AA1455" s="314"/>
      <c r="AB1455" s="314"/>
      <c r="AC1455" s="314"/>
      <c r="AD1455" s="314"/>
      <c r="AE1455" s="314"/>
      <c r="AF1455" s="314"/>
    </row>
    <row r="1456" spans="2:32" s="147" customFormat="1" ht="14.15" customHeight="1" x14ac:dyDescent="0.35">
      <c r="B1456" s="146"/>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314"/>
      <c r="AE1456" s="314"/>
      <c r="AF1456" s="314"/>
    </row>
    <row r="1457" spans="2:32" s="147" customFormat="1" ht="14.15" customHeight="1" x14ac:dyDescent="0.35">
      <c r="B1457" s="146"/>
      <c r="E1457" s="314"/>
      <c r="F1457" s="314"/>
      <c r="G1457" s="314"/>
      <c r="H1457" s="314"/>
      <c r="I1457" s="314"/>
      <c r="J1457" s="314"/>
      <c r="K1457" s="314"/>
      <c r="L1457" s="314"/>
      <c r="M1457" s="314"/>
      <c r="N1457" s="314"/>
      <c r="O1457" s="314"/>
      <c r="P1457" s="314"/>
      <c r="Q1457" s="314"/>
      <c r="R1457" s="314"/>
      <c r="S1457" s="314"/>
      <c r="T1457" s="314"/>
      <c r="U1457" s="314"/>
      <c r="V1457" s="314"/>
      <c r="W1457" s="314"/>
      <c r="X1457" s="314"/>
      <c r="Y1457" s="314"/>
      <c r="Z1457" s="314"/>
      <c r="AA1457" s="314"/>
      <c r="AB1457" s="314"/>
      <c r="AC1457" s="314"/>
      <c r="AD1457" s="314"/>
      <c r="AE1457" s="314"/>
      <c r="AF1457" s="314"/>
    </row>
    <row r="1458" spans="2:32" s="147" customFormat="1" ht="14.15" customHeight="1" x14ac:dyDescent="0.35">
      <c r="B1458" s="146"/>
      <c r="E1458" s="314"/>
      <c r="F1458" s="314"/>
      <c r="G1458" s="314"/>
      <c r="H1458" s="314"/>
      <c r="I1458" s="314"/>
      <c r="J1458" s="314"/>
      <c r="K1458" s="314"/>
      <c r="L1458" s="314"/>
      <c r="M1458" s="314"/>
      <c r="N1458" s="314"/>
      <c r="O1458" s="314"/>
      <c r="P1458" s="314"/>
      <c r="Q1458" s="314"/>
      <c r="R1458" s="314"/>
      <c r="S1458" s="314"/>
      <c r="T1458" s="314"/>
      <c r="U1458" s="314"/>
      <c r="V1458" s="314"/>
      <c r="W1458" s="314"/>
      <c r="X1458" s="314"/>
      <c r="Y1458" s="314"/>
      <c r="Z1458" s="314"/>
      <c r="AA1458" s="314"/>
      <c r="AB1458" s="314"/>
      <c r="AC1458" s="314"/>
      <c r="AD1458" s="314"/>
      <c r="AE1458" s="314"/>
      <c r="AF1458" s="314"/>
    </row>
    <row r="1459" spans="2:32" s="147" customFormat="1" ht="14.15" customHeight="1" x14ac:dyDescent="0.35">
      <c r="B1459" s="146"/>
      <c r="E1459" s="314"/>
      <c r="F1459" s="314"/>
      <c r="G1459" s="314"/>
      <c r="H1459" s="314"/>
      <c r="I1459" s="314"/>
      <c r="J1459" s="314"/>
      <c r="K1459" s="314"/>
      <c r="L1459" s="314"/>
      <c r="M1459" s="314"/>
      <c r="N1459" s="314"/>
      <c r="O1459" s="314"/>
      <c r="P1459" s="314"/>
      <c r="Q1459" s="314"/>
      <c r="R1459" s="314"/>
      <c r="S1459" s="314"/>
      <c r="T1459" s="314"/>
      <c r="U1459" s="314"/>
      <c r="V1459" s="314"/>
      <c r="W1459" s="314"/>
      <c r="X1459" s="314"/>
      <c r="Y1459" s="314"/>
      <c r="Z1459" s="314"/>
      <c r="AA1459" s="314"/>
      <c r="AB1459" s="314"/>
      <c r="AC1459" s="314"/>
      <c r="AD1459" s="314"/>
      <c r="AE1459" s="314"/>
      <c r="AF1459" s="314"/>
    </row>
    <row r="1460" spans="2:32" s="147" customFormat="1" ht="14.15" customHeight="1" x14ac:dyDescent="0.35">
      <c r="B1460" s="146"/>
      <c r="E1460" s="314"/>
      <c r="F1460" s="314"/>
      <c r="G1460" s="314"/>
      <c r="H1460" s="314"/>
      <c r="I1460" s="314"/>
      <c r="J1460" s="314"/>
      <c r="K1460" s="314"/>
      <c r="L1460" s="314"/>
      <c r="M1460" s="314"/>
      <c r="N1460" s="314"/>
      <c r="O1460" s="314"/>
      <c r="P1460" s="314"/>
      <c r="Q1460" s="314"/>
      <c r="R1460" s="314"/>
      <c r="S1460" s="314"/>
      <c r="T1460" s="314"/>
      <c r="U1460" s="314"/>
      <c r="V1460" s="314"/>
      <c r="W1460" s="314"/>
      <c r="X1460" s="314"/>
      <c r="Y1460" s="314"/>
      <c r="Z1460" s="314"/>
      <c r="AA1460" s="314"/>
      <c r="AB1460" s="314"/>
      <c r="AC1460" s="314"/>
      <c r="AD1460" s="314"/>
      <c r="AE1460" s="314"/>
      <c r="AF1460" s="314"/>
    </row>
    <row r="1461" spans="2:32" s="147" customFormat="1" ht="14.15" customHeight="1" x14ac:dyDescent="0.35">
      <c r="B1461" s="146"/>
      <c r="E1461" s="314"/>
      <c r="F1461" s="314"/>
      <c r="G1461" s="314"/>
      <c r="H1461" s="314"/>
      <c r="I1461" s="314"/>
      <c r="J1461" s="314"/>
      <c r="K1461" s="314"/>
      <c r="L1461" s="314"/>
      <c r="M1461" s="314"/>
      <c r="N1461" s="314"/>
      <c r="O1461" s="314"/>
      <c r="P1461" s="314"/>
      <c r="Q1461" s="314"/>
      <c r="R1461" s="314"/>
      <c r="S1461" s="314"/>
      <c r="T1461" s="314"/>
      <c r="U1461" s="314"/>
      <c r="V1461" s="314"/>
      <c r="W1461" s="314"/>
      <c r="X1461" s="314"/>
      <c r="Y1461" s="314"/>
      <c r="Z1461" s="314"/>
      <c r="AA1461" s="314"/>
      <c r="AB1461" s="314"/>
      <c r="AC1461" s="314"/>
      <c r="AD1461" s="314"/>
      <c r="AE1461" s="314"/>
      <c r="AF1461" s="314"/>
    </row>
    <row r="1462" spans="2:32" s="147" customFormat="1" ht="14.15" customHeight="1" x14ac:dyDescent="0.35">
      <c r="B1462" s="146"/>
      <c r="E1462" s="314"/>
      <c r="F1462" s="314"/>
      <c r="G1462" s="314"/>
      <c r="H1462" s="314"/>
      <c r="I1462" s="314"/>
      <c r="J1462" s="314"/>
      <c r="K1462" s="314"/>
      <c r="L1462" s="314"/>
      <c r="M1462" s="314"/>
      <c r="N1462" s="314"/>
      <c r="O1462" s="314"/>
      <c r="P1462" s="314"/>
      <c r="Q1462" s="314"/>
      <c r="R1462" s="314"/>
      <c r="S1462" s="314"/>
      <c r="T1462" s="314"/>
      <c r="U1462" s="314"/>
      <c r="V1462" s="314"/>
      <c r="W1462" s="314"/>
      <c r="X1462" s="314"/>
      <c r="Y1462" s="314"/>
      <c r="Z1462" s="314"/>
      <c r="AA1462" s="314"/>
      <c r="AB1462" s="314"/>
      <c r="AC1462" s="314"/>
      <c r="AD1462" s="314"/>
      <c r="AE1462" s="314"/>
      <c r="AF1462" s="314"/>
    </row>
    <row r="1463" spans="2:32" s="147" customFormat="1" ht="14.15" customHeight="1" x14ac:dyDescent="0.35">
      <c r="B1463" s="146"/>
      <c r="E1463" s="314"/>
      <c r="F1463" s="314"/>
      <c r="G1463" s="314"/>
      <c r="H1463" s="314"/>
      <c r="I1463" s="314"/>
      <c r="J1463" s="314"/>
      <c r="K1463" s="314"/>
      <c r="L1463" s="314"/>
      <c r="M1463" s="314"/>
      <c r="N1463" s="314"/>
      <c r="O1463" s="314"/>
      <c r="P1463" s="314"/>
      <c r="Q1463" s="314"/>
      <c r="R1463" s="314"/>
      <c r="S1463" s="314"/>
      <c r="T1463" s="314"/>
      <c r="U1463" s="314"/>
      <c r="V1463" s="314"/>
      <c r="W1463" s="314"/>
      <c r="X1463" s="314"/>
      <c r="Y1463" s="314"/>
      <c r="Z1463" s="314"/>
      <c r="AA1463" s="314"/>
      <c r="AB1463" s="314"/>
      <c r="AC1463" s="314"/>
      <c r="AD1463" s="314"/>
      <c r="AE1463" s="314"/>
      <c r="AF1463" s="314"/>
    </row>
    <row r="1464" spans="2:32" s="147" customFormat="1" ht="14.15" customHeight="1" x14ac:dyDescent="0.35">
      <c r="B1464" s="146"/>
      <c r="E1464" s="314"/>
      <c r="F1464" s="314"/>
      <c r="G1464" s="314"/>
      <c r="H1464" s="314"/>
      <c r="I1464" s="314"/>
      <c r="J1464" s="314"/>
      <c r="K1464" s="314"/>
      <c r="L1464" s="314"/>
      <c r="M1464" s="314"/>
      <c r="N1464" s="314"/>
      <c r="O1464" s="314"/>
      <c r="P1464" s="314"/>
      <c r="Q1464" s="314"/>
      <c r="R1464" s="314"/>
      <c r="S1464" s="314"/>
      <c r="T1464" s="314"/>
      <c r="U1464" s="314"/>
      <c r="V1464" s="314"/>
      <c r="W1464" s="314"/>
      <c r="X1464" s="314"/>
      <c r="Y1464" s="314"/>
      <c r="Z1464" s="314"/>
      <c r="AA1464" s="314"/>
      <c r="AB1464" s="314"/>
      <c r="AC1464" s="314"/>
      <c r="AD1464" s="314"/>
      <c r="AE1464" s="314"/>
      <c r="AF1464" s="314"/>
    </row>
    <row r="1465" spans="2:32" s="147" customFormat="1" ht="14.15" customHeight="1" x14ac:dyDescent="0.35">
      <c r="B1465" s="146"/>
      <c r="E1465" s="314"/>
      <c r="F1465" s="314"/>
      <c r="G1465" s="314"/>
      <c r="H1465" s="314"/>
      <c r="I1465" s="314"/>
      <c r="J1465" s="314"/>
      <c r="K1465" s="314"/>
      <c r="L1465" s="314"/>
      <c r="M1465" s="314"/>
      <c r="N1465" s="314"/>
      <c r="O1465" s="314"/>
      <c r="P1465" s="314"/>
      <c r="Q1465" s="314"/>
      <c r="R1465" s="314"/>
      <c r="S1465" s="314"/>
      <c r="T1465" s="314"/>
      <c r="U1465" s="314"/>
      <c r="V1465" s="314"/>
      <c r="W1465" s="314"/>
      <c r="X1465" s="314"/>
      <c r="Y1465" s="314"/>
      <c r="Z1465" s="314"/>
      <c r="AA1465" s="314"/>
      <c r="AB1465" s="314"/>
      <c r="AC1465" s="314"/>
      <c r="AD1465" s="314"/>
      <c r="AE1465" s="314"/>
      <c r="AF1465" s="314"/>
    </row>
    <row r="1466" spans="2:32" s="147" customFormat="1" ht="14.15" customHeight="1" x14ac:dyDescent="0.35">
      <c r="B1466" s="146"/>
      <c r="E1466" s="314"/>
      <c r="F1466" s="314"/>
      <c r="G1466" s="314"/>
      <c r="H1466" s="314"/>
      <c r="I1466" s="314"/>
      <c r="J1466" s="314"/>
      <c r="K1466" s="314"/>
      <c r="L1466" s="314"/>
      <c r="M1466" s="314"/>
      <c r="N1466" s="314"/>
      <c r="O1466" s="314"/>
      <c r="P1466" s="314"/>
      <c r="Q1466" s="314"/>
      <c r="R1466" s="314"/>
      <c r="S1466" s="314"/>
      <c r="T1466" s="314"/>
      <c r="U1466" s="314"/>
      <c r="V1466" s="314"/>
      <c r="W1466" s="314"/>
      <c r="X1466" s="314"/>
      <c r="Y1466" s="314"/>
      <c r="Z1466" s="314"/>
      <c r="AA1466" s="314"/>
      <c r="AB1466" s="314"/>
      <c r="AC1466" s="314"/>
      <c r="AD1466" s="314"/>
      <c r="AE1466" s="314"/>
      <c r="AF1466" s="314"/>
    </row>
    <row r="1467" spans="2:32" s="147" customFormat="1" ht="14.15" customHeight="1" x14ac:dyDescent="0.35">
      <c r="B1467" s="146"/>
      <c r="E1467" s="314"/>
      <c r="F1467" s="314"/>
      <c r="G1467" s="314"/>
      <c r="H1467" s="314"/>
      <c r="I1467" s="314"/>
      <c r="J1467" s="314"/>
      <c r="K1467" s="314"/>
      <c r="L1467" s="314"/>
      <c r="M1467" s="314"/>
      <c r="N1467" s="314"/>
      <c r="O1467" s="314"/>
      <c r="P1467" s="314"/>
      <c r="Q1467" s="314"/>
      <c r="R1467" s="314"/>
      <c r="S1467" s="314"/>
      <c r="T1467" s="314"/>
      <c r="U1467" s="314"/>
      <c r="V1467" s="314"/>
      <c r="W1467" s="314"/>
      <c r="X1467" s="314"/>
      <c r="Y1467" s="314"/>
      <c r="Z1467" s="314"/>
      <c r="AA1467" s="314"/>
      <c r="AB1467" s="314"/>
      <c r="AC1467" s="314"/>
      <c r="AD1467" s="314"/>
      <c r="AE1467" s="314"/>
      <c r="AF1467" s="314"/>
    </row>
    <row r="1468" spans="2:32" s="147" customFormat="1" ht="14.15" customHeight="1" x14ac:dyDescent="0.35">
      <c r="B1468" s="146"/>
      <c r="E1468" s="314"/>
      <c r="F1468" s="314"/>
      <c r="G1468" s="314"/>
      <c r="H1468" s="314"/>
      <c r="I1468" s="314"/>
      <c r="J1468" s="314"/>
      <c r="K1468" s="314"/>
      <c r="L1468" s="314"/>
      <c r="M1468" s="314"/>
      <c r="N1468" s="314"/>
      <c r="O1468" s="314"/>
      <c r="P1468" s="314"/>
      <c r="Q1468" s="314"/>
      <c r="R1468" s="314"/>
      <c r="S1468" s="314"/>
      <c r="T1468" s="314"/>
      <c r="U1468" s="314"/>
      <c r="V1468" s="314"/>
      <c r="W1468" s="314"/>
      <c r="X1468" s="314"/>
      <c r="Y1468" s="314"/>
      <c r="Z1468" s="314"/>
      <c r="AA1468" s="314"/>
      <c r="AB1468" s="314"/>
      <c r="AC1468" s="314"/>
      <c r="AD1468" s="314"/>
      <c r="AE1468" s="314"/>
      <c r="AF1468" s="314"/>
    </row>
    <row r="1469" spans="2:32" s="147" customFormat="1" ht="14.15" customHeight="1" x14ac:dyDescent="0.35">
      <c r="B1469" s="146"/>
      <c r="E1469" s="314"/>
      <c r="F1469" s="314"/>
      <c r="G1469" s="314"/>
      <c r="H1469" s="314"/>
      <c r="I1469" s="314"/>
      <c r="J1469" s="314"/>
      <c r="K1469" s="314"/>
      <c r="L1469" s="314"/>
      <c r="M1469" s="314"/>
      <c r="N1469" s="314"/>
      <c r="O1469" s="314"/>
      <c r="P1469" s="314"/>
      <c r="Q1469" s="314"/>
      <c r="R1469" s="314"/>
      <c r="S1469" s="314"/>
      <c r="T1469" s="314"/>
      <c r="U1469" s="314"/>
      <c r="V1469" s="314"/>
      <c r="W1469" s="314"/>
      <c r="X1469" s="314"/>
      <c r="Y1469" s="314"/>
      <c r="Z1469" s="314"/>
      <c r="AA1469" s="314"/>
      <c r="AB1469" s="314"/>
      <c r="AC1469" s="314"/>
      <c r="AD1469" s="314"/>
      <c r="AE1469" s="314"/>
      <c r="AF1469" s="314"/>
    </row>
    <row r="1470" spans="2:32" s="147" customFormat="1" ht="14.15" customHeight="1" x14ac:dyDescent="0.35">
      <c r="B1470" s="146"/>
      <c r="E1470" s="314"/>
      <c r="F1470" s="314"/>
      <c r="G1470" s="314"/>
      <c r="H1470" s="314"/>
      <c r="I1470" s="314"/>
      <c r="J1470" s="314"/>
      <c r="K1470" s="314"/>
      <c r="L1470" s="314"/>
      <c r="M1470" s="314"/>
      <c r="N1470" s="314"/>
      <c r="O1470" s="314"/>
      <c r="P1470" s="314"/>
      <c r="Q1470" s="314"/>
      <c r="R1470" s="314"/>
      <c r="S1470" s="314"/>
      <c r="T1470" s="314"/>
      <c r="U1470" s="314"/>
      <c r="V1470" s="314"/>
      <c r="W1470" s="314"/>
      <c r="X1470" s="314"/>
      <c r="Y1470" s="314"/>
      <c r="Z1470" s="314"/>
      <c r="AA1470" s="314"/>
      <c r="AB1470" s="314"/>
      <c r="AC1470" s="314"/>
      <c r="AD1470" s="314"/>
      <c r="AE1470" s="314"/>
      <c r="AF1470" s="314"/>
    </row>
    <row r="1471" spans="2:32" s="147" customFormat="1" ht="14.15" customHeight="1" x14ac:dyDescent="0.35">
      <c r="B1471" s="146"/>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314"/>
      <c r="AE1471" s="314"/>
      <c r="AF1471" s="314"/>
    </row>
    <row r="1472" spans="2:32" s="147" customFormat="1" ht="14.15" customHeight="1" x14ac:dyDescent="0.35">
      <c r="B1472" s="146"/>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314"/>
      <c r="AF1472" s="314"/>
    </row>
    <row r="1473" spans="2:32" s="147" customFormat="1" ht="14.15" customHeight="1" x14ac:dyDescent="0.35">
      <c r="B1473" s="146"/>
      <c r="E1473" s="314"/>
      <c r="F1473" s="314"/>
      <c r="G1473" s="314"/>
      <c r="H1473" s="314"/>
      <c r="I1473" s="314"/>
      <c r="J1473" s="314"/>
      <c r="K1473" s="314"/>
      <c r="L1473" s="314"/>
      <c r="M1473" s="314"/>
      <c r="N1473" s="314"/>
      <c r="O1473" s="314"/>
      <c r="P1473" s="314"/>
      <c r="Q1473" s="314"/>
      <c r="R1473" s="314"/>
      <c r="S1473" s="314"/>
      <c r="T1473" s="314"/>
      <c r="U1473" s="314"/>
      <c r="V1473" s="314"/>
      <c r="W1473" s="314"/>
      <c r="X1473" s="314"/>
      <c r="Y1473" s="314"/>
      <c r="Z1473" s="314"/>
      <c r="AA1473" s="314"/>
      <c r="AB1473" s="314"/>
      <c r="AC1473" s="314"/>
      <c r="AD1473" s="314"/>
      <c r="AE1473" s="314"/>
      <c r="AF1473" s="314"/>
    </row>
    <row r="1474" spans="2:32" s="147" customFormat="1" ht="14.15" customHeight="1" x14ac:dyDescent="0.35">
      <c r="B1474" s="146"/>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314"/>
      <c r="AE1474" s="314"/>
      <c r="AF1474" s="314"/>
    </row>
    <row r="1475" spans="2:32" s="147" customFormat="1" ht="14.15" customHeight="1" x14ac:dyDescent="0.35">
      <c r="B1475" s="146"/>
      <c r="E1475" s="314"/>
      <c r="F1475" s="314"/>
      <c r="G1475" s="314"/>
      <c r="H1475" s="314"/>
      <c r="I1475" s="314"/>
      <c r="J1475" s="314"/>
      <c r="K1475" s="314"/>
      <c r="L1475" s="314"/>
      <c r="M1475" s="314"/>
      <c r="N1475" s="314"/>
      <c r="O1475" s="314"/>
      <c r="P1475" s="314"/>
      <c r="Q1475" s="314"/>
      <c r="R1475" s="314"/>
      <c r="S1475" s="314"/>
      <c r="T1475" s="314"/>
      <c r="U1475" s="314"/>
      <c r="V1475" s="314"/>
      <c r="W1475" s="314"/>
      <c r="X1475" s="314"/>
      <c r="Y1475" s="314"/>
      <c r="Z1475" s="314"/>
      <c r="AA1475" s="314"/>
      <c r="AB1475" s="314"/>
      <c r="AC1475" s="314"/>
      <c r="AD1475" s="314"/>
      <c r="AE1475" s="314"/>
      <c r="AF1475" s="314"/>
    </row>
    <row r="1476" spans="2:32" s="147" customFormat="1" ht="14.15" customHeight="1" x14ac:dyDescent="0.35">
      <c r="B1476" s="146"/>
      <c r="E1476" s="314"/>
      <c r="F1476" s="314"/>
      <c r="G1476" s="314"/>
      <c r="H1476" s="314"/>
      <c r="I1476" s="314"/>
      <c r="J1476" s="314"/>
      <c r="K1476" s="314"/>
      <c r="L1476" s="314"/>
      <c r="M1476" s="314"/>
      <c r="N1476" s="314"/>
      <c r="O1476" s="314"/>
      <c r="P1476" s="314"/>
      <c r="Q1476" s="314"/>
      <c r="R1476" s="314"/>
      <c r="S1476" s="314"/>
      <c r="T1476" s="314"/>
      <c r="U1476" s="314"/>
      <c r="V1476" s="314"/>
      <c r="W1476" s="314"/>
      <c r="X1476" s="314"/>
      <c r="Y1476" s="314"/>
      <c r="Z1476" s="314"/>
      <c r="AA1476" s="314"/>
      <c r="AB1476" s="314"/>
      <c r="AC1476" s="314"/>
      <c r="AD1476" s="314"/>
      <c r="AE1476" s="314"/>
      <c r="AF1476" s="314"/>
    </row>
    <row r="1477" spans="2:32" s="147" customFormat="1" ht="14.15" customHeight="1" x14ac:dyDescent="0.35">
      <c r="B1477" s="146"/>
      <c r="E1477" s="314"/>
      <c r="F1477" s="314"/>
      <c r="G1477" s="314"/>
      <c r="H1477" s="314"/>
      <c r="I1477" s="314"/>
      <c r="J1477" s="314"/>
      <c r="K1477" s="314"/>
      <c r="L1477" s="314"/>
      <c r="M1477" s="314"/>
      <c r="N1477" s="314"/>
      <c r="O1477" s="314"/>
      <c r="P1477" s="314"/>
      <c r="Q1477" s="314"/>
      <c r="R1477" s="314"/>
      <c r="S1477" s="314"/>
      <c r="T1477" s="314"/>
      <c r="U1477" s="314"/>
      <c r="V1477" s="314"/>
      <c r="W1477" s="314"/>
      <c r="X1477" s="314"/>
      <c r="Y1477" s="314"/>
      <c r="Z1477" s="314"/>
      <c r="AA1477" s="314"/>
      <c r="AB1477" s="314"/>
      <c r="AC1477" s="314"/>
      <c r="AD1477" s="314"/>
      <c r="AE1477" s="314"/>
      <c r="AF1477" s="314"/>
    </row>
    <row r="1478" spans="2:32" s="147" customFormat="1" ht="14.15" customHeight="1" x14ac:dyDescent="0.35">
      <c r="B1478" s="146"/>
      <c r="E1478" s="314"/>
      <c r="F1478" s="314"/>
      <c r="G1478" s="314"/>
      <c r="H1478" s="314"/>
      <c r="I1478" s="314"/>
      <c r="J1478" s="314"/>
      <c r="K1478" s="314"/>
      <c r="L1478" s="314"/>
      <c r="M1478" s="314"/>
      <c r="N1478" s="314"/>
      <c r="O1478" s="314"/>
      <c r="P1478" s="314"/>
      <c r="Q1478" s="314"/>
      <c r="R1478" s="314"/>
      <c r="S1478" s="314"/>
      <c r="T1478" s="314"/>
      <c r="U1478" s="314"/>
      <c r="V1478" s="314"/>
      <c r="W1478" s="314"/>
      <c r="X1478" s="314"/>
      <c r="Y1478" s="314"/>
      <c r="Z1478" s="314"/>
      <c r="AA1478" s="314"/>
      <c r="AB1478" s="314"/>
      <c r="AC1478" s="314"/>
      <c r="AD1478" s="314"/>
      <c r="AE1478" s="314"/>
      <c r="AF1478" s="314"/>
    </row>
    <row r="1479" spans="2:32" s="147" customFormat="1" ht="14.15" customHeight="1" x14ac:dyDescent="0.35">
      <c r="B1479" s="146"/>
      <c r="E1479" s="314"/>
      <c r="F1479" s="314"/>
      <c r="G1479" s="314"/>
      <c r="H1479" s="314"/>
      <c r="I1479" s="314"/>
      <c r="J1479" s="314"/>
      <c r="K1479" s="314"/>
      <c r="L1479" s="314"/>
      <c r="M1479" s="314"/>
      <c r="N1479" s="314"/>
      <c r="O1479" s="314"/>
      <c r="P1479" s="314"/>
      <c r="Q1479" s="314"/>
      <c r="R1479" s="314"/>
      <c r="S1479" s="314"/>
      <c r="T1479" s="314"/>
      <c r="U1479" s="314"/>
      <c r="V1479" s="314"/>
      <c r="W1479" s="314"/>
      <c r="X1479" s="314"/>
      <c r="Y1479" s="314"/>
      <c r="Z1479" s="314"/>
      <c r="AA1479" s="314"/>
      <c r="AB1479" s="314"/>
      <c r="AC1479" s="314"/>
      <c r="AD1479" s="314"/>
      <c r="AE1479" s="314"/>
      <c r="AF1479" s="314"/>
    </row>
    <row r="1480" spans="2:32" s="147" customFormat="1" ht="14.15" customHeight="1" x14ac:dyDescent="0.35">
      <c r="B1480" s="146"/>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314"/>
      <c r="AE1480" s="314"/>
      <c r="AF1480" s="314"/>
    </row>
    <row r="1481" spans="2:32" s="147" customFormat="1" ht="14.15" customHeight="1" x14ac:dyDescent="0.35">
      <c r="B1481" s="146"/>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314"/>
      <c r="AF1481" s="314"/>
    </row>
    <row r="1482" spans="2:32" s="147" customFormat="1" ht="14.15" customHeight="1" x14ac:dyDescent="0.35">
      <c r="B1482" s="146"/>
      <c r="E1482" s="314"/>
      <c r="F1482" s="314"/>
      <c r="G1482" s="314"/>
      <c r="H1482" s="314"/>
      <c r="I1482" s="314"/>
      <c r="J1482" s="314"/>
      <c r="K1482" s="314"/>
      <c r="L1482" s="314"/>
      <c r="M1482" s="314"/>
      <c r="N1482" s="314"/>
      <c r="O1482" s="314"/>
      <c r="P1482" s="314"/>
      <c r="Q1482" s="314"/>
      <c r="R1482" s="314"/>
      <c r="S1482" s="314"/>
      <c r="T1482" s="314"/>
      <c r="U1482" s="314"/>
      <c r="V1482" s="314"/>
      <c r="W1482" s="314"/>
      <c r="X1482" s="314"/>
      <c r="Y1482" s="314"/>
      <c r="Z1482" s="314"/>
      <c r="AA1482" s="314"/>
      <c r="AB1482" s="314"/>
      <c r="AC1482" s="314"/>
      <c r="AD1482" s="314"/>
      <c r="AE1482" s="314"/>
      <c r="AF1482" s="314"/>
    </row>
    <row r="1483" spans="2:32" s="147" customFormat="1" ht="14.15" customHeight="1" x14ac:dyDescent="0.35">
      <c r="B1483" s="146"/>
      <c r="E1483" s="314"/>
      <c r="F1483" s="314"/>
      <c r="G1483" s="314"/>
      <c r="H1483" s="314"/>
      <c r="I1483" s="314"/>
      <c r="J1483" s="314"/>
      <c r="K1483" s="314"/>
      <c r="L1483" s="314"/>
      <c r="M1483" s="314"/>
      <c r="N1483" s="314"/>
      <c r="O1483" s="314"/>
      <c r="P1483" s="314"/>
      <c r="Q1483" s="314"/>
      <c r="R1483" s="314"/>
      <c r="S1483" s="314"/>
      <c r="T1483" s="314"/>
      <c r="U1483" s="314"/>
      <c r="V1483" s="314"/>
      <c r="W1483" s="314"/>
      <c r="X1483" s="314"/>
      <c r="Y1483" s="314"/>
      <c r="Z1483" s="314"/>
      <c r="AA1483" s="314"/>
      <c r="AB1483" s="314"/>
      <c r="AC1483" s="314"/>
      <c r="AD1483" s="314"/>
      <c r="AE1483" s="314"/>
      <c r="AF1483" s="314"/>
    </row>
    <row r="1484" spans="2:32" s="147" customFormat="1" ht="14.15" customHeight="1" x14ac:dyDescent="0.35">
      <c r="B1484" s="146"/>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314"/>
      <c r="AE1484" s="314"/>
      <c r="AF1484" s="314"/>
    </row>
    <row r="1485" spans="2:32" s="147" customFormat="1" ht="14.15" customHeight="1" x14ac:dyDescent="0.35">
      <c r="B1485" s="146"/>
      <c r="E1485" s="314"/>
      <c r="F1485" s="314"/>
      <c r="G1485" s="314"/>
      <c r="H1485" s="314"/>
      <c r="I1485" s="314"/>
      <c r="J1485" s="314"/>
      <c r="K1485" s="314"/>
      <c r="L1485" s="314"/>
      <c r="M1485" s="314"/>
      <c r="N1485" s="314"/>
      <c r="O1485" s="314"/>
      <c r="P1485" s="314"/>
      <c r="Q1485" s="314"/>
      <c r="R1485" s="314"/>
      <c r="S1485" s="314"/>
      <c r="T1485" s="314"/>
      <c r="U1485" s="314"/>
      <c r="V1485" s="314"/>
      <c r="W1485" s="314"/>
      <c r="X1485" s="314"/>
      <c r="Y1485" s="314"/>
      <c r="Z1485" s="314"/>
      <c r="AA1485" s="314"/>
      <c r="AB1485" s="314"/>
      <c r="AC1485" s="314"/>
      <c r="AD1485" s="314"/>
      <c r="AE1485" s="314"/>
      <c r="AF1485" s="314"/>
    </row>
    <row r="1486" spans="2:32" s="147" customFormat="1" ht="14.15" customHeight="1" x14ac:dyDescent="0.35">
      <c r="B1486" s="146"/>
      <c r="E1486" s="314"/>
      <c r="F1486" s="314"/>
      <c r="G1486" s="314"/>
      <c r="H1486" s="314"/>
      <c r="I1486" s="314"/>
      <c r="J1486" s="314"/>
      <c r="K1486" s="314"/>
      <c r="L1486" s="314"/>
      <c r="M1486" s="314"/>
      <c r="N1486" s="314"/>
      <c r="O1486" s="314"/>
      <c r="P1486" s="314"/>
      <c r="Q1486" s="314"/>
      <c r="R1486" s="314"/>
      <c r="S1486" s="314"/>
      <c r="T1486" s="314"/>
      <c r="U1486" s="314"/>
      <c r="V1486" s="314"/>
      <c r="W1486" s="314"/>
      <c r="X1486" s="314"/>
      <c r="Y1486" s="314"/>
      <c r="Z1486" s="314"/>
      <c r="AA1486" s="314"/>
      <c r="AB1486" s="314"/>
      <c r="AC1486" s="314"/>
      <c r="AD1486" s="314"/>
      <c r="AE1486" s="314"/>
      <c r="AF1486" s="314"/>
    </row>
    <row r="1487" spans="2:32" s="147" customFormat="1" ht="14.15" customHeight="1" x14ac:dyDescent="0.35">
      <c r="B1487" s="146"/>
      <c r="E1487" s="314"/>
      <c r="F1487" s="314"/>
      <c r="G1487" s="314"/>
      <c r="H1487" s="314"/>
      <c r="I1487" s="314"/>
      <c r="J1487" s="314"/>
      <c r="K1487" s="314"/>
      <c r="L1487" s="314"/>
      <c r="M1487" s="314"/>
      <c r="N1487" s="314"/>
      <c r="O1487" s="314"/>
      <c r="P1487" s="314"/>
      <c r="Q1487" s="314"/>
      <c r="R1487" s="314"/>
      <c r="S1487" s="314"/>
      <c r="T1487" s="314"/>
      <c r="U1487" s="314"/>
      <c r="V1487" s="314"/>
      <c r="W1487" s="314"/>
      <c r="X1487" s="314"/>
      <c r="Y1487" s="314"/>
      <c r="Z1487" s="314"/>
      <c r="AA1487" s="314"/>
      <c r="AB1487" s="314"/>
      <c r="AC1487" s="314"/>
      <c r="AD1487" s="314"/>
      <c r="AE1487" s="314"/>
      <c r="AF1487" s="314"/>
    </row>
    <row r="1488" spans="2:32" s="147" customFormat="1" ht="14.15" customHeight="1" x14ac:dyDescent="0.35">
      <c r="B1488" s="146"/>
      <c r="E1488" s="314"/>
      <c r="F1488" s="314"/>
      <c r="G1488" s="314"/>
      <c r="H1488" s="314"/>
      <c r="I1488" s="314"/>
      <c r="J1488" s="314"/>
      <c r="K1488" s="314"/>
      <c r="L1488" s="314"/>
      <c r="M1488" s="314"/>
      <c r="N1488" s="314"/>
      <c r="O1488" s="314"/>
      <c r="P1488" s="314"/>
      <c r="Q1488" s="314"/>
      <c r="R1488" s="314"/>
      <c r="S1488" s="314"/>
      <c r="T1488" s="314"/>
      <c r="U1488" s="314"/>
      <c r="V1488" s="314"/>
      <c r="W1488" s="314"/>
      <c r="X1488" s="314"/>
      <c r="Y1488" s="314"/>
      <c r="Z1488" s="314"/>
      <c r="AA1488" s="314"/>
      <c r="AB1488" s="314"/>
      <c r="AC1488" s="314"/>
      <c r="AD1488" s="314"/>
      <c r="AE1488" s="314"/>
      <c r="AF1488" s="314"/>
    </row>
    <row r="1489" spans="2:32" s="147" customFormat="1" ht="14.15" customHeight="1" x14ac:dyDescent="0.35">
      <c r="B1489" s="146"/>
      <c r="E1489" s="314"/>
      <c r="F1489" s="314"/>
      <c r="G1489" s="314"/>
      <c r="H1489" s="314"/>
      <c r="I1489" s="314"/>
      <c r="J1489" s="314"/>
      <c r="K1489" s="314"/>
      <c r="L1489" s="314"/>
      <c r="M1489" s="314"/>
      <c r="N1489" s="314"/>
      <c r="O1489" s="314"/>
      <c r="P1489" s="314"/>
      <c r="Q1489" s="314"/>
      <c r="R1489" s="314"/>
      <c r="S1489" s="314"/>
      <c r="T1489" s="314"/>
      <c r="U1489" s="314"/>
      <c r="V1489" s="314"/>
      <c r="W1489" s="314"/>
      <c r="X1489" s="314"/>
      <c r="Y1489" s="314"/>
      <c r="Z1489" s="314"/>
      <c r="AA1489" s="314"/>
      <c r="AB1489" s="314"/>
      <c r="AC1489" s="314"/>
      <c r="AD1489" s="314"/>
      <c r="AE1489" s="314"/>
      <c r="AF1489" s="314"/>
    </row>
    <row r="1490" spans="2:32" s="147" customFormat="1" ht="14.15" customHeight="1" x14ac:dyDescent="0.35">
      <c r="B1490" s="146"/>
      <c r="E1490" s="314"/>
      <c r="F1490" s="314"/>
      <c r="G1490" s="314"/>
      <c r="H1490" s="314"/>
      <c r="I1490" s="314"/>
      <c r="J1490" s="314"/>
      <c r="K1490" s="314"/>
      <c r="L1490" s="314"/>
      <c r="M1490" s="314"/>
      <c r="N1490" s="314"/>
      <c r="O1490" s="314"/>
      <c r="P1490" s="314"/>
      <c r="Q1490" s="314"/>
      <c r="R1490" s="314"/>
      <c r="S1490" s="314"/>
      <c r="T1490" s="314"/>
      <c r="U1490" s="314"/>
      <c r="V1490" s="314"/>
      <c r="W1490" s="314"/>
      <c r="X1490" s="314"/>
      <c r="Y1490" s="314"/>
      <c r="Z1490" s="314"/>
      <c r="AA1490" s="314"/>
      <c r="AB1490" s="314"/>
      <c r="AC1490" s="314"/>
      <c r="AD1490" s="314"/>
      <c r="AE1490" s="314"/>
      <c r="AF1490" s="314"/>
    </row>
    <row r="1491" spans="2:32" s="147" customFormat="1" ht="14.15" customHeight="1" x14ac:dyDescent="0.35">
      <c r="B1491" s="146"/>
      <c r="E1491" s="314"/>
      <c r="F1491" s="314"/>
      <c r="G1491" s="314"/>
      <c r="H1491" s="314"/>
      <c r="I1491" s="314"/>
      <c r="J1491" s="314"/>
      <c r="K1491" s="314"/>
      <c r="L1491" s="314"/>
      <c r="M1491" s="314"/>
      <c r="N1491" s="314"/>
      <c r="O1491" s="314"/>
      <c r="P1491" s="314"/>
      <c r="Q1491" s="314"/>
      <c r="R1491" s="314"/>
      <c r="S1491" s="314"/>
      <c r="T1491" s="314"/>
      <c r="U1491" s="314"/>
      <c r="V1491" s="314"/>
      <c r="W1491" s="314"/>
      <c r="X1491" s="314"/>
      <c r="Y1491" s="314"/>
      <c r="Z1491" s="314"/>
      <c r="AA1491" s="314"/>
      <c r="AB1491" s="314"/>
      <c r="AC1491" s="314"/>
      <c r="AD1491" s="314"/>
      <c r="AE1491" s="314"/>
      <c r="AF1491" s="314"/>
    </row>
    <row r="1492" spans="2:32" s="147" customFormat="1" ht="14.15" customHeight="1" x14ac:dyDescent="0.35">
      <c r="B1492" s="146"/>
      <c r="E1492" s="314"/>
      <c r="F1492" s="314"/>
      <c r="G1492" s="314"/>
      <c r="H1492" s="314"/>
      <c r="I1492" s="314"/>
      <c r="J1492" s="314"/>
      <c r="K1492" s="314"/>
      <c r="L1492" s="314"/>
      <c r="M1492" s="314"/>
      <c r="N1492" s="314"/>
      <c r="O1492" s="314"/>
      <c r="P1492" s="314"/>
      <c r="Q1492" s="314"/>
      <c r="R1492" s="314"/>
      <c r="S1492" s="314"/>
      <c r="T1492" s="314"/>
      <c r="U1492" s="314"/>
      <c r="V1492" s="314"/>
      <c r="W1492" s="314"/>
      <c r="X1492" s="314"/>
      <c r="Y1492" s="314"/>
      <c r="Z1492" s="314"/>
      <c r="AA1492" s="314"/>
      <c r="AB1492" s="314"/>
      <c r="AC1492" s="314"/>
      <c r="AD1492" s="314"/>
      <c r="AE1492" s="314"/>
      <c r="AF1492" s="314"/>
    </row>
    <row r="1493" spans="2:32" s="147" customFormat="1" ht="14.15" customHeight="1" x14ac:dyDescent="0.35">
      <c r="B1493" s="146"/>
      <c r="E1493" s="314"/>
      <c r="F1493" s="314"/>
      <c r="G1493" s="314"/>
      <c r="H1493" s="314"/>
      <c r="I1493" s="314"/>
      <c r="J1493" s="314"/>
      <c r="K1493" s="314"/>
      <c r="L1493" s="314"/>
      <c r="M1493" s="314"/>
      <c r="N1493" s="314"/>
      <c r="O1493" s="314"/>
      <c r="P1493" s="314"/>
      <c r="Q1493" s="314"/>
      <c r="R1493" s="314"/>
      <c r="S1493" s="314"/>
      <c r="T1493" s="314"/>
      <c r="U1493" s="314"/>
      <c r="V1493" s="314"/>
      <c r="W1493" s="314"/>
      <c r="X1493" s="314"/>
      <c r="Y1493" s="314"/>
      <c r="Z1493" s="314"/>
      <c r="AA1493" s="314"/>
      <c r="AB1493" s="314"/>
      <c r="AC1493" s="314"/>
      <c r="AD1493" s="314"/>
      <c r="AE1493" s="314"/>
      <c r="AF1493" s="314"/>
    </row>
    <row r="1494" spans="2:32" s="147" customFormat="1" ht="14.15" customHeight="1" x14ac:dyDescent="0.35">
      <c r="B1494" s="146"/>
      <c r="E1494" s="314"/>
      <c r="F1494" s="314"/>
      <c r="G1494" s="314"/>
      <c r="H1494" s="314"/>
      <c r="I1494" s="314"/>
      <c r="J1494" s="314"/>
      <c r="K1494" s="314"/>
      <c r="L1494" s="314"/>
      <c r="M1494" s="314"/>
      <c r="N1494" s="314"/>
      <c r="O1494" s="314"/>
      <c r="P1494" s="314"/>
      <c r="Q1494" s="314"/>
      <c r="R1494" s="314"/>
      <c r="S1494" s="314"/>
      <c r="T1494" s="314"/>
      <c r="U1494" s="314"/>
      <c r="V1494" s="314"/>
      <c r="W1494" s="314"/>
      <c r="X1494" s="314"/>
      <c r="Y1494" s="314"/>
      <c r="Z1494" s="314"/>
      <c r="AA1494" s="314"/>
      <c r="AB1494" s="314"/>
      <c r="AC1494" s="314"/>
      <c r="AD1494" s="314"/>
      <c r="AE1494" s="314"/>
      <c r="AF1494" s="314"/>
    </row>
    <row r="1495" spans="2:32" s="147" customFormat="1" ht="14.15" customHeight="1" x14ac:dyDescent="0.35">
      <c r="B1495" s="146"/>
      <c r="E1495" s="314"/>
      <c r="F1495" s="314"/>
      <c r="G1495" s="314"/>
      <c r="H1495" s="314"/>
      <c r="I1495" s="314"/>
      <c r="J1495" s="314"/>
      <c r="K1495" s="314"/>
      <c r="L1495" s="314"/>
      <c r="M1495" s="314"/>
      <c r="N1495" s="314"/>
      <c r="O1495" s="314"/>
      <c r="P1495" s="314"/>
      <c r="Q1495" s="314"/>
      <c r="R1495" s="314"/>
      <c r="S1495" s="314"/>
      <c r="T1495" s="314"/>
      <c r="U1495" s="314"/>
      <c r="V1495" s="314"/>
      <c r="W1495" s="314"/>
      <c r="X1495" s="314"/>
      <c r="Y1495" s="314"/>
      <c r="Z1495" s="314"/>
      <c r="AA1495" s="314"/>
      <c r="AB1495" s="314"/>
      <c r="AC1495" s="314"/>
      <c r="AD1495" s="314"/>
      <c r="AE1495" s="314"/>
      <c r="AF1495" s="314"/>
    </row>
    <row r="1496" spans="2:32" s="147" customFormat="1" ht="14.15" customHeight="1" x14ac:dyDescent="0.35">
      <c r="B1496" s="146"/>
      <c r="E1496" s="314"/>
      <c r="F1496" s="314"/>
      <c r="G1496" s="314"/>
      <c r="H1496" s="314"/>
      <c r="I1496" s="314"/>
      <c r="J1496" s="314"/>
      <c r="K1496" s="314"/>
      <c r="L1496" s="314"/>
      <c r="M1496" s="314"/>
      <c r="N1496" s="314"/>
      <c r="O1496" s="314"/>
      <c r="P1496" s="314"/>
      <c r="Q1496" s="314"/>
      <c r="R1496" s="314"/>
      <c r="S1496" s="314"/>
      <c r="T1496" s="314"/>
      <c r="U1496" s="314"/>
      <c r="V1496" s="314"/>
      <c r="W1496" s="314"/>
      <c r="X1496" s="314"/>
      <c r="Y1496" s="314"/>
      <c r="Z1496" s="314"/>
      <c r="AA1496" s="314"/>
      <c r="AB1496" s="314"/>
      <c r="AC1496" s="314"/>
      <c r="AD1496" s="314"/>
      <c r="AE1496" s="314"/>
      <c r="AF1496" s="314"/>
    </row>
    <row r="1497" spans="2:32" s="147" customFormat="1" ht="14.15" customHeight="1" x14ac:dyDescent="0.35">
      <c r="B1497" s="146"/>
      <c r="E1497" s="314"/>
      <c r="F1497" s="314"/>
      <c r="G1497" s="314"/>
      <c r="H1497" s="314"/>
      <c r="I1497" s="314"/>
      <c r="J1497" s="314"/>
      <c r="K1497" s="314"/>
      <c r="L1497" s="314"/>
      <c r="M1497" s="314"/>
      <c r="N1497" s="314"/>
      <c r="O1497" s="314"/>
      <c r="P1497" s="314"/>
      <c r="Q1497" s="314"/>
      <c r="R1497" s="314"/>
      <c r="S1497" s="314"/>
      <c r="T1497" s="314"/>
      <c r="U1497" s="314"/>
      <c r="V1497" s="314"/>
      <c r="W1497" s="314"/>
      <c r="X1497" s="314"/>
      <c r="Y1497" s="314"/>
      <c r="Z1497" s="314"/>
      <c r="AA1497" s="314"/>
      <c r="AB1497" s="314"/>
      <c r="AC1497" s="314"/>
      <c r="AD1497" s="314"/>
      <c r="AE1497" s="314"/>
      <c r="AF1497" s="314"/>
    </row>
    <row r="1498" spans="2:32" s="147" customFormat="1" ht="14.15" customHeight="1" x14ac:dyDescent="0.35">
      <c r="B1498" s="146"/>
      <c r="E1498" s="314"/>
      <c r="F1498" s="314"/>
      <c r="G1498" s="314"/>
      <c r="H1498" s="314"/>
      <c r="I1498" s="314"/>
      <c r="J1498" s="314"/>
      <c r="K1498" s="314"/>
      <c r="L1498" s="314"/>
      <c r="M1498" s="314"/>
      <c r="N1498" s="314"/>
      <c r="O1498" s="314"/>
      <c r="P1498" s="314"/>
      <c r="Q1498" s="314"/>
      <c r="R1498" s="314"/>
      <c r="S1498" s="314"/>
      <c r="T1498" s="314"/>
      <c r="U1498" s="314"/>
      <c r="V1498" s="314"/>
      <c r="W1498" s="314"/>
      <c r="X1498" s="314"/>
      <c r="Y1498" s="314"/>
      <c r="Z1498" s="314"/>
      <c r="AA1498" s="314"/>
      <c r="AB1498" s="314"/>
      <c r="AC1498" s="314"/>
      <c r="AD1498" s="314"/>
      <c r="AE1498" s="314"/>
      <c r="AF1498" s="314"/>
    </row>
    <row r="1499" spans="2:32" s="147" customFormat="1" ht="14.15" customHeight="1" x14ac:dyDescent="0.35">
      <c r="B1499" s="146"/>
      <c r="E1499" s="314"/>
      <c r="F1499" s="314"/>
      <c r="G1499" s="314"/>
      <c r="H1499" s="314"/>
      <c r="I1499" s="314"/>
      <c r="J1499" s="314"/>
      <c r="K1499" s="314"/>
      <c r="L1499" s="314"/>
      <c r="M1499" s="314"/>
      <c r="N1499" s="314"/>
      <c r="O1499" s="314"/>
      <c r="P1499" s="314"/>
      <c r="Q1499" s="314"/>
      <c r="R1499" s="314"/>
      <c r="S1499" s="314"/>
      <c r="T1499" s="314"/>
      <c r="U1499" s="314"/>
      <c r="V1499" s="314"/>
      <c r="W1499" s="314"/>
      <c r="X1499" s="314"/>
      <c r="Y1499" s="314"/>
      <c r="Z1499" s="314"/>
      <c r="AA1499" s="314"/>
      <c r="AB1499" s="314"/>
      <c r="AC1499" s="314"/>
      <c r="AD1499" s="314"/>
      <c r="AE1499" s="314"/>
      <c r="AF1499" s="314"/>
    </row>
    <row r="1500" spans="2:32" s="147" customFormat="1" ht="14.15" customHeight="1" x14ac:dyDescent="0.35">
      <c r="B1500" s="146"/>
      <c r="E1500" s="314"/>
      <c r="F1500" s="314"/>
      <c r="G1500" s="314"/>
      <c r="H1500" s="314"/>
      <c r="I1500" s="314"/>
      <c r="J1500" s="314"/>
      <c r="K1500" s="314"/>
      <c r="L1500" s="314"/>
      <c r="M1500" s="314"/>
      <c r="N1500" s="314"/>
      <c r="O1500" s="314"/>
      <c r="P1500" s="314"/>
      <c r="Q1500" s="314"/>
      <c r="R1500" s="314"/>
      <c r="S1500" s="314"/>
      <c r="T1500" s="314"/>
      <c r="U1500" s="314"/>
      <c r="V1500" s="314"/>
      <c r="W1500" s="314"/>
      <c r="X1500" s="314"/>
      <c r="Y1500" s="314"/>
      <c r="Z1500" s="314"/>
      <c r="AA1500" s="314"/>
      <c r="AB1500" s="314"/>
      <c r="AC1500" s="314"/>
      <c r="AD1500" s="314"/>
      <c r="AE1500" s="314"/>
      <c r="AF1500" s="314"/>
    </row>
    <row r="1501" spans="2:32" s="147" customFormat="1" ht="14.15" customHeight="1" x14ac:dyDescent="0.35">
      <c r="B1501" s="146"/>
      <c r="E1501" s="314"/>
      <c r="F1501" s="314"/>
      <c r="G1501" s="314"/>
      <c r="H1501" s="314"/>
      <c r="I1501" s="314"/>
      <c r="J1501" s="314"/>
      <c r="K1501" s="314"/>
      <c r="L1501" s="314"/>
      <c r="M1501" s="314"/>
      <c r="N1501" s="314"/>
      <c r="O1501" s="314"/>
      <c r="P1501" s="314"/>
      <c r="Q1501" s="314"/>
      <c r="R1501" s="314"/>
      <c r="S1501" s="314"/>
      <c r="T1501" s="314"/>
      <c r="U1501" s="314"/>
      <c r="V1501" s="314"/>
      <c r="W1501" s="314"/>
      <c r="X1501" s="314"/>
      <c r="Y1501" s="314"/>
      <c r="Z1501" s="314"/>
      <c r="AA1501" s="314"/>
      <c r="AB1501" s="314"/>
      <c r="AC1501" s="314"/>
      <c r="AD1501" s="314"/>
      <c r="AE1501" s="314"/>
      <c r="AF1501" s="314"/>
    </row>
    <row r="1502" spans="2:32" s="147" customFormat="1" ht="14.15" customHeight="1" x14ac:dyDescent="0.35">
      <c r="B1502" s="146"/>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4"/>
      <c r="AD1502" s="314"/>
      <c r="AE1502" s="314"/>
      <c r="AF1502" s="314"/>
    </row>
    <row r="1503" spans="2:32" s="147" customFormat="1" ht="14.15" customHeight="1" x14ac:dyDescent="0.35">
      <c r="B1503" s="146"/>
      <c r="E1503" s="314"/>
      <c r="F1503" s="314"/>
      <c r="G1503" s="314"/>
      <c r="H1503" s="314"/>
      <c r="I1503" s="314"/>
      <c r="J1503" s="314"/>
      <c r="K1503" s="314"/>
      <c r="L1503" s="314"/>
      <c r="M1503" s="314"/>
      <c r="N1503" s="314"/>
      <c r="O1503" s="314"/>
      <c r="P1503" s="314"/>
      <c r="Q1503" s="314"/>
      <c r="R1503" s="314"/>
      <c r="S1503" s="314"/>
      <c r="T1503" s="314"/>
      <c r="U1503" s="314"/>
      <c r="V1503" s="314"/>
      <c r="W1503" s="314"/>
      <c r="X1503" s="314"/>
      <c r="Y1503" s="314"/>
      <c r="Z1503" s="314"/>
      <c r="AA1503" s="314"/>
      <c r="AB1503" s="314"/>
      <c r="AC1503" s="314"/>
      <c r="AD1503" s="314"/>
      <c r="AE1503" s="314"/>
      <c r="AF1503" s="314"/>
    </row>
    <row r="1504" spans="2:32" s="147" customFormat="1" ht="14.15" customHeight="1" x14ac:dyDescent="0.35">
      <c r="B1504" s="146"/>
      <c r="E1504" s="314"/>
      <c r="F1504" s="314"/>
      <c r="G1504" s="314"/>
      <c r="H1504" s="314"/>
      <c r="I1504" s="314"/>
      <c r="J1504" s="314"/>
      <c r="K1504" s="314"/>
      <c r="L1504" s="314"/>
      <c r="M1504" s="314"/>
      <c r="N1504" s="314"/>
      <c r="O1504" s="314"/>
      <c r="P1504" s="314"/>
      <c r="Q1504" s="314"/>
      <c r="R1504" s="314"/>
      <c r="S1504" s="314"/>
      <c r="T1504" s="314"/>
      <c r="U1504" s="314"/>
      <c r="V1504" s="314"/>
      <c r="W1504" s="314"/>
      <c r="X1504" s="314"/>
      <c r="Y1504" s="314"/>
      <c r="Z1504" s="314"/>
      <c r="AA1504" s="314"/>
      <c r="AB1504" s="314"/>
      <c r="AC1504" s="314"/>
      <c r="AD1504" s="314"/>
      <c r="AE1504" s="314"/>
      <c r="AF1504" s="314"/>
    </row>
    <row r="1505" spans="2:32" s="147" customFormat="1" ht="14.15" customHeight="1" x14ac:dyDescent="0.35">
      <c r="B1505" s="146"/>
      <c r="E1505" s="314"/>
      <c r="F1505" s="314"/>
      <c r="G1505" s="314"/>
      <c r="H1505" s="314"/>
      <c r="I1505" s="314"/>
      <c r="J1505" s="314"/>
      <c r="K1505" s="314"/>
      <c r="L1505" s="314"/>
      <c r="M1505" s="314"/>
      <c r="N1505" s="314"/>
      <c r="O1505" s="314"/>
      <c r="P1505" s="314"/>
      <c r="Q1505" s="314"/>
      <c r="R1505" s="314"/>
      <c r="S1505" s="314"/>
      <c r="T1505" s="314"/>
      <c r="U1505" s="314"/>
      <c r="V1505" s="314"/>
      <c r="W1505" s="314"/>
      <c r="X1505" s="314"/>
      <c r="Y1505" s="314"/>
      <c r="Z1505" s="314"/>
      <c r="AA1505" s="314"/>
      <c r="AB1505" s="314"/>
      <c r="AC1505" s="314"/>
      <c r="AD1505" s="314"/>
      <c r="AE1505" s="314"/>
      <c r="AF1505" s="314"/>
    </row>
    <row r="1506" spans="2:32" s="147" customFormat="1" ht="14.15" customHeight="1" x14ac:dyDescent="0.35">
      <c r="B1506" s="146"/>
      <c r="E1506" s="314"/>
      <c r="F1506" s="314"/>
      <c r="G1506" s="314"/>
      <c r="H1506" s="314"/>
      <c r="I1506" s="314"/>
      <c r="J1506" s="314"/>
      <c r="K1506" s="314"/>
      <c r="L1506" s="314"/>
      <c r="M1506" s="314"/>
      <c r="N1506" s="314"/>
      <c r="O1506" s="314"/>
      <c r="P1506" s="314"/>
      <c r="Q1506" s="314"/>
      <c r="R1506" s="314"/>
      <c r="S1506" s="314"/>
      <c r="T1506" s="314"/>
      <c r="U1506" s="314"/>
      <c r="V1506" s="314"/>
      <c r="W1506" s="314"/>
      <c r="X1506" s="314"/>
      <c r="Y1506" s="314"/>
      <c r="Z1506" s="314"/>
      <c r="AA1506" s="314"/>
      <c r="AB1506" s="314"/>
      <c r="AC1506" s="314"/>
      <c r="AD1506" s="314"/>
      <c r="AE1506" s="314"/>
      <c r="AF1506" s="314"/>
    </row>
    <row r="1507" spans="2:32" s="147" customFormat="1" ht="14.15" customHeight="1" x14ac:dyDescent="0.35">
      <c r="B1507" s="146"/>
      <c r="E1507" s="314"/>
      <c r="F1507" s="314"/>
      <c r="G1507" s="314"/>
      <c r="H1507" s="314"/>
      <c r="I1507" s="314"/>
      <c r="J1507" s="314"/>
      <c r="K1507" s="314"/>
      <c r="L1507" s="314"/>
      <c r="M1507" s="314"/>
      <c r="N1507" s="314"/>
      <c r="O1507" s="314"/>
      <c r="P1507" s="314"/>
      <c r="Q1507" s="314"/>
      <c r="R1507" s="314"/>
      <c r="S1507" s="314"/>
      <c r="T1507" s="314"/>
      <c r="U1507" s="314"/>
      <c r="V1507" s="314"/>
      <c r="W1507" s="314"/>
      <c r="X1507" s="314"/>
      <c r="Y1507" s="314"/>
      <c r="Z1507" s="314"/>
      <c r="AA1507" s="314"/>
      <c r="AB1507" s="314"/>
      <c r="AC1507" s="314"/>
      <c r="AD1507" s="314"/>
      <c r="AE1507" s="314"/>
      <c r="AF1507" s="314"/>
    </row>
    <row r="1508" spans="2:32" s="147" customFormat="1" ht="14.15" customHeight="1" x14ac:dyDescent="0.35">
      <c r="B1508" s="146"/>
      <c r="E1508" s="314"/>
      <c r="F1508" s="314"/>
      <c r="G1508" s="314"/>
      <c r="H1508" s="314"/>
      <c r="I1508" s="314"/>
      <c r="J1508" s="314"/>
      <c r="K1508" s="314"/>
      <c r="L1508" s="314"/>
      <c r="M1508" s="314"/>
      <c r="N1508" s="314"/>
      <c r="O1508" s="314"/>
      <c r="P1508" s="314"/>
      <c r="Q1508" s="314"/>
      <c r="R1508" s="314"/>
      <c r="S1508" s="314"/>
      <c r="T1508" s="314"/>
      <c r="U1508" s="314"/>
      <c r="V1508" s="314"/>
      <c r="W1508" s="314"/>
      <c r="X1508" s="314"/>
      <c r="Y1508" s="314"/>
      <c r="Z1508" s="314"/>
      <c r="AA1508" s="314"/>
      <c r="AB1508" s="314"/>
      <c r="AC1508" s="314"/>
      <c r="AD1508" s="314"/>
      <c r="AE1508" s="314"/>
      <c r="AF1508" s="314"/>
    </row>
    <row r="1509" spans="2:32" s="147" customFormat="1" ht="14.15" customHeight="1" x14ac:dyDescent="0.35">
      <c r="B1509" s="146"/>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4"/>
      <c r="AD1509" s="314"/>
      <c r="AE1509" s="314"/>
      <c r="AF1509" s="314"/>
    </row>
    <row r="1510" spans="2:32" s="147" customFormat="1" ht="14.15" customHeight="1" x14ac:dyDescent="0.35">
      <c r="B1510" s="146"/>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4"/>
      <c r="AD1510" s="314"/>
      <c r="AE1510" s="314"/>
      <c r="AF1510" s="314"/>
    </row>
    <row r="1511" spans="2:32" s="147" customFormat="1" ht="14.15" customHeight="1" x14ac:dyDescent="0.35">
      <c r="B1511" s="146"/>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4"/>
      <c r="AD1511" s="314"/>
      <c r="AE1511" s="314"/>
      <c r="AF1511" s="314"/>
    </row>
    <row r="1512" spans="2:32" s="147" customFormat="1" ht="14.15" customHeight="1" x14ac:dyDescent="0.35">
      <c r="B1512" s="146"/>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4"/>
      <c r="AD1512" s="314"/>
      <c r="AE1512" s="314"/>
      <c r="AF1512" s="314"/>
    </row>
    <row r="1513" spans="2:32" s="147" customFormat="1" ht="14.15" customHeight="1" x14ac:dyDescent="0.35">
      <c r="B1513" s="146"/>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4"/>
      <c r="AD1513" s="314"/>
      <c r="AE1513" s="314"/>
      <c r="AF1513" s="314"/>
    </row>
    <row r="1514" spans="2:32" s="147" customFormat="1" ht="14.15" customHeight="1" x14ac:dyDescent="0.35">
      <c r="B1514" s="146"/>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4"/>
      <c r="AD1514" s="314"/>
      <c r="AE1514" s="314"/>
      <c r="AF1514" s="314"/>
    </row>
    <row r="1515" spans="2:32" s="147" customFormat="1" ht="14.15" customHeight="1" x14ac:dyDescent="0.35">
      <c r="B1515" s="146"/>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314"/>
      <c r="AE1515" s="314"/>
      <c r="AF1515" s="314"/>
    </row>
    <row r="1516" spans="2:32" s="147" customFormat="1" ht="14.15" customHeight="1" x14ac:dyDescent="0.35">
      <c r="B1516" s="146"/>
      <c r="E1516" s="314"/>
      <c r="F1516" s="314"/>
      <c r="G1516" s="314"/>
      <c r="H1516" s="314"/>
      <c r="I1516" s="314"/>
      <c r="J1516" s="314"/>
      <c r="K1516" s="314"/>
      <c r="L1516" s="314"/>
      <c r="M1516" s="314"/>
      <c r="N1516" s="314"/>
      <c r="O1516" s="314"/>
      <c r="P1516" s="314"/>
      <c r="Q1516" s="314"/>
      <c r="R1516" s="314"/>
      <c r="S1516" s="314"/>
      <c r="T1516" s="314"/>
      <c r="U1516" s="314"/>
      <c r="V1516" s="314"/>
      <c r="W1516" s="314"/>
      <c r="X1516" s="314"/>
      <c r="Y1516" s="314"/>
      <c r="Z1516" s="314"/>
      <c r="AA1516" s="314"/>
      <c r="AB1516" s="314"/>
      <c r="AC1516" s="314"/>
      <c r="AD1516" s="314"/>
      <c r="AE1516" s="314"/>
      <c r="AF1516" s="314"/>
    </row>
    <row r="1517" spans="2:32" s="147" customFormat="1" ht="14.15" customHeight="1" x14ac:dyDescent="0.35">
      <c r="B1517" s="146"/>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4"/>
      <c r="AD1517" s="314"/>
      <c r="AE1517" s="314"/>
      <c r="AF1517" s="314"/>
    </row>
    <row r="1518" spans="2:32" s="147" customFormat="1" ht="14.15" customHeight="1" x14ac:dyDescent="0.35">
      <c r="B1518" s="146"/>
      <c r="E1518" s="314"/>
      <c r="F1518" s="314"/>
      <c r="G1518" s="314"/>
      <c r="H1518" s="314"/>
      <c r="I1518" s="314"/>
      <c r="J1518" s="314"/>
      <c r="K1518" s="314"/>
      <c r="L1518" s="314"/>
      <c r="M1518" s="314"/>
      <c r="N1518" s="314"/>
      <c r="O1518" s="314"/>
      <c r="P1518" s="314"/>
      <c r="Q1518" s="314"/>
      <c r="R1518" s="314"/>
      <c r="S1518" s="314"/>
      <c r="T1518" s="314"/>
      <c r="U1518" s="314"/>
      <c r="V1518" s="314"/>
      <c r="W1518" s="314"/>
      <c r="X1518" s="314"/>
      <c r="Y1518" s="314"/>
      <c r="Z1518" s="314"/>
      <c r="AA1518" s="314"/>
      <c r="AB1518" s="314"/>
      <c r="AC1518" s="314"/>
      <c r="AD1518" s="314"/>
      <c r="AE1518" s="314"/>
      <c r="AF1518" s="314"/>
    </row>
    <row r="1519" spans="2:32" s="147" customFormat="1" ht="14.15" customHeight="1" x14ac:dyDescent="0.35">
      <c r="B1519" s="146"/>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4"/>
      <c r="AD1519" s="314"/>
      <c r="AE1519" s="314"/>
      <c r="AF1519" s="314"/>
    </row>
    <row r="1520" spans="2:32" s="147" customFormat="1" ht="14.15" customHeight="1" x14ac:dyDescent="0.35">
      <c r="B1520" s="146"/>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4"/>
      <c r="AD1520" s="314"/>
      <c r="AE1520" s="314"/>
      <c r="AF1520" s="314"/>
    </row>
    <row r="1521" spans="2:32" s="147" customFormat="1" ht="14.15" customHeight="1" x14ac:dyDescent="0.35">
      <c r="B1521" s="146"/>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4"/>
      <c r="AD1521" s="314"/>
      <c r="AE1521" s="314"/>
      <c r="AF1521" s="314"/>
    </row>
    <row r="1522" spans="2:32" s="147" customFormat="1" ht="14.15" customHeight="1" x14ac:dyDescent="0.35">
      <c r="B1522" s="146"/>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4"/>
      <c r="AD1522" s="314"/>
      <c r="AE1522" s="314"/>
      <c r="AF1522" s="314"/>
    </row>
    <row r="1523" spans="2:32" s="147" customFormat="1" ht="14.15" customHeight="1" x14ac:dyDescent="0.35">
      <c r="B1523" s="146"/>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4"/>
      <c r="AD1523" s="314"/>
      <c r="AE1523" s="314"/>
      <c r="AF1523" s="314"/>
    </row>
    <row r="1524" spans="2:32" s="147" customFormat="1" ht="14.15" customHeight="1" x14ac:dyDescent="0.35">
      <c r="B1524" s="146"/>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314"/>
      <c r="AE1524" s="314"/>
      <c r="AF1524" s="314"/>
    </row>
    <row r="1525" spans="2:32" s="147" customFormat="1" ht="14.15" customHeight="1" x14ac:dyDescent="0.35">
      <c r="B1525" s="146"/>
      <c r="E1525" s="314"/>
      <c r="F1525" s="314"/>
      <c r="G1525" s="314"/>
      <c r="H1525" s="314"/>
      <c r="I1525" s="314"/>
      <c r="J1525" s="314"/>
      <c r="K1525" s="314"/>
      <c r="L1525" s="314"/>
      <c r="M1525" s="314"/>
      <c r="N1525" s="314"/>
      <c r="O1525" s="314"/>
      <c r="P1525" s="314"/>
      <c r="Q1525" s="314"/>
      <c r="R1525" s="314"/>
      <c r="S1525" s="314"/>
      <c r="T1525" s="314"/>
      <c r="U1525" s="314"/>
      <c r="V1525" s="314"/>
      <c r="W1525" s="314"/>
      <c r="X1525" s="314"/>
      <c r="Y1525" s="314"/>
      <c r="Z1525" s="314"/>
      <c r="AA1525" s="314"/>
      <c r="AB1525" s="314"/>
      <c r="AC1525" s="314"/>
      <c r="AD1525" s="314"/>
      <c r="AE1525" s="314"/>
      <c r="AF1525" s="314"/>
    </row>
    <row r="1526" spans="2:32" s="147" customFormat="1" ht="14.15" customHeight="1" x14ac:dyDescent="0.35">
      <c r="B1526" s="146"/>
      <c r="E1526" s="314"/>
      <c r="F1526" s="314"/>
      <c r="G1526" s="314"/>
      <c r="H1526" s="314"/>
      <c r="I1526" s="314"/>
      <c r="J1526" s="314"/>
      <c r="K1526" s="314"/>
      <c r="L1526" s="314"/>
      <c r="M1526" s="314"/>
      <c r="N1526" s="314"/>
      <c r="O1526" s="314"/>
      <c r="P1526" s="314"/>
      <c r="Q1526" s="314"/>
      <c r="R1526" s="314"/>
      <c r="S1526" s="314"/>
      <c r="T1526" s="314"/>
      <c r="U1526" s="314"/>
      <c r="V1526" s="314"/>
      <c r="W1526" s="314"/>
      <c r="X1526" s="314"/>
      <c r="Y1526" s="314"/>
      <c r="Z1526" s="314"/>
      <c r="AA1526" s="314"/>
      <c r="AB1526" s="314"/>
      <c r="AC1526" s="314"/>
      <c r="AD1526" s="314"/>
      <c r="AE1526" s="314"/>
      <c r="AF1526" s="314"/>
    </row>
    <row r="1527" spans="2:32" s="147" customFormat="1" ht="14.15" customHeight="1" x14ac:dyDescent="0.35">
      <c r="B1527" s="146"/>
      <c r="E1527" s="314"/>
      <c r="F1527" s="314"/>
      <c r="G1527" s="314"/>
      <c r="H1527" s="314"/>
      <c r="I1527" s="314"/>
      <c r="J1527" s="314"/>
      <c r="K1527" s="314"/>
      <c r="L1527" s="314"/>
      <c r="M1527" s="314"/>
      <c r="N1527" s="314"/>
      <c r="O1527" s="314"/>
      <c r="P1527" s="314"/>
      <c r="Q1527" s="314"/>
      <c r="R1527" s="314"/>
      <c r="S1527" s="314"/>
      <c r="T1527" s="314"/>
      <c r="U1527" s="314"/>
      <c r="V1527" s="314"/>
      <c r="W1527" s="314"/>
      <c r="X1527" s="314"/>
      <c r="Y1527" s="314"/>
      <c r="Z1527" s="314"/>
      <c r="AA1527" s="314"/>
      <c r="AB1527" s="314"/>
      <c r="AC1527" s="314"/>
      <c r="AD1527" s="314"/>
      <c r="AE1527" s="314"/>
      <c r="AF1527" s="314"/>
    </row>
    <row r="1528" spans="2:32" s="147" customFormat="1" ht="14.15" customHeight="1" x14ac:dyDescent="0.35">
      <c r="B1528" s="146"/>
      <c r="E1528" s="314"/>
      <c r="F1528" s="314"/>
      <c r="G1528" s="314"/>
      <c r="H1528" s="314"/>
      <c r="I1528" s="314"/>
      <c r="J1528" s="314"/>
      <c r="K1528" s="314"/>
      <c r="L1528" s="314"/>
      <c r="M1528" s="314"/>
      <c r="N1528" s="314"/>
      <c r="O1528" s="314"/>
      <c r="P1528" s="314"/>
      <c r="Q1528" s="314"/>
      <c r="R1528" s="314"/>
      <c r="S1528" s="314"/>
      <c r="T1528" s="314"/>
      <c r="U1528" s="314"/>
      <c r="V1528" s="314"/>
      <c r="W1528" s="314"/>
      <c r="X1528" s="314"/>
      <c r="Y1528" s="314"/>
      <c r="Z1528" s="314"/>
      <c r="AA1528" s="314"/>
      <c r="AB1528" s="314"/>
      <c r="AC1528" s="314"/>
      <c r="AD1528" s="314"/>
      <c r="AE1528" s="314"/>
      <c r="AF1528" s="314"/>
    </row>
    <row r="1529" spans="2:32" s="147" customFormat="1" ht="14.15" customHeight="1" x14ac:dyDescent="0.35">
      <c r="B1529" s="146"/>
      <c r="E1529" s="314"/>
      <c r="F1529" s="314"/>
      <c r="G1529" s="314"/>
      <c r="H1529" s="314"/>
      <c r="I1529" s="314"/>
      <c r="J1529" s="314"/>
      <c r="K1529" s="314"/>
      <c r="L1529" s="314"/>
      <c r="M1529" s="314"/>
      <c r="N1529" s="314"/>
      <c r="O1529" s="314"/>
      <c r="P1529" s="314"/>
      <c r="Q1529" s="314"/>
      <c r="R1529" s="314"/>
      <c r="S1529" s="314"/>
      <c r="T1529" s="314"/>
      <c r="U1529" s="314"/>
      <c r="V1529" s="314"/>
      <c r="W1529" s="314"/>
      <c r="X1529" s="314"/>
      <c r="Y1529" s="314"/>
      <c r="Z1529" s="314"/>
      <c r="AA1529" s="314"/>
      <c r="AB1529" s="314"/>
      <c r="AC1529" s="314"/>
      <c r="AD1529" s="314"/>
      <c r="AE1529" s="314"/>
      <c r="AF1529" s="314"/>
    </row>
    <row r="1530" spans="2:32" s="147" customFormat="1" ht="14.15" customHeight="1" x14ac:dyDescent="0.35">
      <c r="B1530" s="146"/>
      <c r="E1530" s="314"/>
      <c r="F1530" s="314"/>
      <c r="G1530" s="314"/>
      <c r="H1530" s="314"/>
      <c r="I1530" s="314"/>
      <c r="J1530" s="314"/>
      <c r="K1530" s="314"/>
      <c r="L1530" s="314"/>
      <c r="M1530" s="314"/>
      <c r="N1530" s="314"/>
      <c r="O1530" s="314"/>
      <c r="P1530" s="314"/>
      <c r="Q1530" s="314"/>
      <c r="R1530" s="314"/>
      <c r="S1530" s="314"/>
      <c r="T1530" s="314"/>
      <c r="U1530" s="314"/>
      <c r="V1530" s="314"/>
      <c r="W1530" s="314"/>
      <c r="X1530" s="314"/>
      <c r="Y1530" s="314"/>
      <c r="Z1530" s="314"/>
      <c r="AA1530" s="314"/>
      <c r="AB1530" s="314"/>
      <c r="AC1530" s="314"/>
      <c r="AD1530" s="314"/>
      <c r="AE1530" s="314"/>
      <c r="AF1530" s="314"/>
    </row>
    <row r="1531" spans="2:32" s="147" customFormat="1" ht="14.15" customHeight="1" x14ac:dyDescent="0.35">
      <c r="B1531" s="146"/>
      <c r="E1531" s="314"/>
      <c r="F1531" s="314"/>
      <c r="G1531" s="314"/>
      <c r="H1531" s="314"/>
      <c r="I1531" s="314"/>
      <c r="J1531" s="314"/>
      <c r="K1531" s="314"/>
      <c r="L1531" s="314"/>
      <c r="M1531" s="314"/>
      <c r="N1531" s="314"/>
      <c r="O1531" s="314"/>
      <c r="P1531" s="314"/>
      <c r="Q1531" s="314"/>
      <c r="R1531" s="314"/>
      <c r="S1531" s="314"/>
      <c r="T1531" s="314"/>
      <c r="U1531" s="314"/>
      <c r="V1531" s="314"/>
      <c r="W1531" s="314"/>
      <c r="X1531" s="314"/>
      <c r="Y1531" s="314"/>
      <c r="Z1531" s="314"/>
      <c r="AA1531" s="314"/>
      <c r="AB1531" s="314"/>
      <c r="AC1531" s="314"/>
      <c r="AD1531" s="314"/>
      <c r="AE1531" s="314"/>
      <c r="AF1531" s="314"/>
    </row>
    <row r="1532" spans="2:32" s="147" customFormat="1" ht="14.15" customHeight="1" x14ac:dyDescent="0.35">
      <c r="B1532" s="146"/>
      <c r="E1532" s="314"/>
      <c r="F1532" s="314"/>
      <c r="G1532" s="314"/>
      <c r="H1532" s="314"/>
      <c r="I1532" s="314"/>
      <c r="J1532" s="314"/>
      <c r="K1532" s="314"/>
      <c r="L1532" s="314"/>
      <c r="M1532" s="314"/>
      <c r="N1532" s="314"/>
      <c r="O1532" s="314"/>
      <c r="P1532" s="314"/>
      <c r="Q1532" s="314"/>
      <c r="R1532" s="314"/>
      <c r="S1532" s="314"/>
      <c r="T1532" s="314"/>
      <c r="U1532" s="314"/>
      <c r="V1532" s="314"/>
      <c r="W1532" s="314"/>
      <c r="X1532" s="314"/>
      <c r="Y1532" s="314"/>
      <c r="Z1532" s="314"/>
      <c r="AA1532" s="314"/>
      <c r="AB1532" s="314"/>
      <c r="AC1532" s="314"/>
      <c r="AD1532" s="314"/>
      <c r="AE1532" s="314"/>
      <c r="AF1532" s="314"/>
    </row>
    <row r="1533" spans="2:32" s="147" customFormat="1" ht="14.15" customHeight="1" x14ac:dyDescent="0.35">
      <c r="B1533" s="146"/>
      <c r="E1533" s="314"/>
      <c r="F1533" s="314"/>
      <c r="G1533" s="314"/>
      <c r="H1533" s="314"/>
      <c r="I1533" s="314"/>
      <c r="J1533" s="314"/>
      <c r="K1533" s="314"/>
      <c r="L1533" s="314"/>
      <c r="M1533" s="314"/>
      <c r="N1533" s="314"/>
      <c r="O1533" s="314"/>
      <c r="P1533" s="314"/>
      <c r="Q1533" s="314"/>
      <c r="R1533" s="314"/>
      <c r="S1533" s="314"/>
      <c r="T1533" s="314"/>
      <c r="U1533" s="314"/>
      <c r="V1533" s="314"/>
      <c r="W1533" s="314"/>
      <c r="X1533" s="314"/>
      <c r="Y1533" s="314"/>
      <c r="Z1533" s="314"/>
      <c r="AA1533" s="314"/>
      <c r="AB1533" s="314"/>
      <c r="AC1533" s="314"/>
      <c r="AD1533" s="314"/>
      <c r="AE1533" s="314"/>
      <c r="AF1533" s="314"/>
    </row>
    <row r="1534" spans="2:32" s="147" customFormat="1" ht="14.15" customHeight="1" x14ac:dyDescent="0.35">
      <c r="B1534" s="146"/>
      <c r="E1534" s="314"/>
      <c r="F1534" s="314"/>
      <c r="G1534" s="314"/>
      <c r="H1534" s="314"/>
      <c r="I1534" s="314"/>
      <c r="J1534" s="314"/>
      <c r="K1534" s="314"/>
      <c r="L1534" s="314"/>
      <c r="M1534" s="314"/>
      <c r="N1534" s="314"/>
      <c r="O1534" s="314"/>
      <c r="P1534" s="314"/>
      <c r="Q1534" s="314"/>
      <c r="R1534" s="314"/>
      <c r="S1534" s="314"/>
      <c r="T1534" s="314"/>
      <c r="U1534" s="314"/>
      <c r="V1534" s="314"/>
      <c r="W1534" s="314"/>
      <c r="X1534" s="314"/>
      <c r="Y1534" s="314"/>
      <c r="Z1534" s="314"/>
      <c r="AA1534" s="314"/>
      <c r="AB1534" s="314"/>
      <c r="AC1534" s="314"/>
      <c r="AD1534" s="314"/>
      <c r="AE1534" s="314"/>
      <c r="AF1534" s="314"/>
    </row>
    <row r="1535" spans="2:32" s="147" customFormat="1" ht="14.15" customHeight="1" x14ac:dyDescent="0.35">
      <c r="B1535" s="146"/>
      <c r="E1535" s="314"/>
      <c r="F1535" s="314"/>
      <c r="G1535" s="314"/>
      <c r="H1535" s="314"/>
      <c r="I1535" s="314"/>
      <c r="J1535" s="314"/>
      <c r="K1535" s="314"/>
      <c r="L1535" s="314"/>
      <c r="M1535" s="314"/>
      <c r="N1535" s="314"/>
      <c r="O1535" s="314"/>
      <c r="P1535" s="314"/>
      <c r="Q1535" s="314"/>
      <c r="R1535" s="314"/>
      <c r="S1535" s="314"/>
      <c r="T1535" s="314"/>
      <c r="U1535" s="314"/>
      <c r="V1535" s="314"/>
      <c r="W1535" s="314"/>
      <c r="X1535" s="314"/>
      <c r="Y1535" s="314"/>
      <c r="Z1535" s="314"/>
      <c r="AA1535" s="314"/>
      <c r="AB1535" s="314"/>
      <c r="AC1535" s="314"/>
      <c r="AD1535" s="314"/>
      <c r="AE1535" s="314"/>
      <c r="AF1535" s="314"/>
    </row>
    <row r="1536" spans="2:32" s="147" customFormat="1" ht="14.15" customHeight="1" x14ac:dyDescent="0.35">
      <c r="B1536" s="146"/>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4"/>
      <c r="AD1536" s="314"/>
      <c r="AE1536" s="314"/>
      <c r="AF1536" s="314"/>
    </row>
    <row r="1537" spans="2:32" s="147" customFormat="1" ht="14.15" customHeight="1" x14ac:dyDescent="0.35">
      <c r="B1537" s="146"/>
      <c r="E1537" s="314"/>
      <c r="F1537" s="314"/>
      <c r="G1537" s="314"/>
      <c r="H1537" s="314"/>
      <c r="I1537" s="314"/>
      <c r="J1537" s="314"/>
      <c r="K1537" s="314"/>
      <c r="L1537" s="314"/>
      <c r="M1537" s="314"/>
      <c r="N1537" s="314"/>
      <c r="O1537" s="314"/>
      <c r="P1537" s="314"/>
      <c r="Q1537" s="314"/>
      <c r="R1537" s="314"/>
      <c r="S1537" s="314"/>
      <c r="T1537" s="314"/>
      <c r="U1537" s="314"/>
      <c r="V1537" s="314"/>
      <c r="W1537" s="314"/>
      <c r="X1537" s="314"/>
      <c r="Y1537" s="314"/>
      <c r="Z1537" s="314"/>
      <c r="AA1537" s="314"/>
      <c r="AB1537" s="314"/>
      <c r="AC1537" s="314"/>
      <c r="AD1537" s="314"/>
      <c r="AE1537" s="314"/>
      <c r="AF1537" s="314"/>
    </row>
    <row r="1538" spans="2:32" s="147" customFormat="1" ht="14.15" customHeight="1" x14ac:dyDescent="0.35">
      <c r="B1538" s="146"/>
      <c r="E1538" s="314"/>
      <c r="F1538" s="314"/>
      <c r="G1538" s="314"/>
      <c r="H1538" s="314"/>
      <c r="I1538" s="314"/>
      <c r="J1538" s="314"/>
      <c r="K1538" s="314"/>
      <c r="L1538" s="314"/>
      <c r="M1538" s="314"/>
      <c r="N1538" s="314"/>
      <c r="O1538" s="314"/>
      <c r="P1538" s="314"/>
      <c r="Q1538" s="314"/>
      <c r="R1538" s="314"/>
      <c r="S1538" s="314"/>
      <c r="T1538" s="314"/>
      <c r="U1538" s="314"/>
      <c r="V1538" s="314"/>
      <c r="W1538" s="314"/>
      <c r="X1538" s="314"/>
      <c r="Y1538" s="314"/>
      <c r="Z1538" s="314"/>
      <c r="AA1538" s="314"/>
      <c r="AB1538" s="314"/>
      <c r="AC1538" s="314"/>
      <c r="AD1538" s="314"/>
      <c r="AE1538" s="314"/>
      <c r="AF1538" s="314"/>
    </row>
    <row r="1539" spans="2:32" s="147" customFormat="1" ht="14.15" customHeight="1" x14ac:dyDescent="0.35">
      <c r="B1539" s="146"/>
      <c r="E1539" s="314"/>
      <c r="F1539" s="314"/>
      <c r="G1539" s="314"/>
      <c r="H1539" s="314"/>
      <c r="I1539" s="314"/>
      <c r="J1539" s="314"/>
      <c r="K1539" s="314"/>
      <c r="L1539" s="314"/>
      <c r="M1539" s="314"/>
      <c r="N1539" s="314"/>
      <c r="O1539" s="314"/>
      <c r="P1539" s="314"/>
      <c r="Q1539" s="314"/>
      <c r="R1539" s="314"/>
      <c r="S1539" s="314"/>
      <c r="T1539" s="314"/>
      <c r="U1539" s="314"/>
      <c r="V1539" s="314"/>
      <c r="W1539" s="314"/>
      <c r="X1539" s="314"/>
      <c r="Y1539" s="314"/>
      <c r="Z1539" s="314"/>
      <c r="AA1539" s="314"/>
      <c r="AB1539" s="314"/>
      <c r="AC1539" s="314"/>
      <c r="AD1539" s="314"/>
      <c r="AE1539" s="314"/>
      <c r="AF1539" s="314"/>
    </row>
    <row r="1540" spans="2:32" s="147" customFormat="1" ht="14.15" customHeight="1" x14ac:dyDescent="0.35">
      <c r="B1540" s="146"/>
      <c r="E1540" s="314"/>
      <c r="F1540" s="314"/>
      <c r="G1540" s="314"/>
      <c r="H1540" s="314"/>
      <c r="I1540" s="314"/>
      <c r="J1540" s="314"/>
      <c r="K1540" s="314"/>
      <c r="L1540" s="314"/>
      <c r="M1540" s="314"/>
      <c r="N1540" s="314"/>
      <c r="O1540" s="314"/>
      <c r="P1540" s="314"/>
      <c r="Q1540" s="314"/>
      <c r="R1540" s="314"/>
      <c r="S1540" s="314"/>
      <c r="T1540" s="314"/>
      <c r="U1540" s="314"/>
      <c r="V1540" s="314"/>
      <c r="W1540" s="314"/>
      <c r="X1540" s="314"/>
      <c r="Y1540" s="314"/>
      <c r="Z1540" s="314"/>
      <c r="AA1540" s="314"/>
      <c r="AB1540" s="314"/>
      <c r="AC1540" s="314"/>
      <c r="AD1540" s="314"/>
      <c r="AE1540" s="314"/>
      <c r="AF1540" s="314"/>
    </row>
    <row r="1541" spans="2:32" s="147" customFormat="1" ht="14.15" customHeight="1" x14ac:dyDescent="0.35">
      <c r="B1541" s="146"/>
      <c r="E1541" s="314"/>
      <c r="F1541" s="314"/>
      <c r="G1541" s="314"/>
      <c r="H1541" s="314"/>
      <c r="I1541" s="314"/>
      <c r="J1541" s="314"/>
      <c r="K1541" s="314"/>
      <c r="L1541" s="314"/>
      <c r="M1541" s="314"/>
      <c r="N1541" s="314"/>
      <c r="O1541" s="314"/>
      <c r="P1541" s="314"/>
      <c r="Q1541" s="314"/>
      <c r="R1541" s="314"/>
      <c r="S1541" s="314"/>
      <c r="T1541" s="314"/>
      <c r="U1541" s="314"/>
      <c r="V1541" s="314"/>
      <c r="W1541" s="314"/>
      <c r="X1541" s="314"/>
      <c r="Y1541" s="314"/>
      <c r="Z1541" s="314"/>
      <c r="AA1541" s="314"/>
      <c r="AB1541" s="314"/>
      <c r="AC1541" s="314"/>
      <c r="AD1541" s="314"/>
      <c r="AE1541" s="314"/>
      <c r="AF1541" s="314"/>
    </row>
    <row r="1542" spans="2:32" s="147" customFormat="1" ht="14.15" customHeight="1" x14ac:dyDescent="0.35">
      <c r="B1542" s="146"/>
      <c r="E1542" s="314"/>
      <c r="F1542" s="314"/>
      <c r="G1542" s="314"/>
      <c r="H1542" s="314"/>
      <c r="I1542" s="314"/>
      <c r="J1542" s="314"/>
      <c r="K1542" s="314"/>
      <c r="L1542" s="314"/>
      <c r="M1542" s="314"/>
      <c r="N1542" s="314"/>
      <c r="O1542" s="314"/>
      <c r="P1542" s="314"/>
      <c r="Q1542" s="314"/>
      <c r="R1542" s="314"/>
      <c r="S1542" s="314"/>
      <c r="T1542" s="314"/>
      <c r="U1542" s="314"/>
      <c r="V1542" s="314"/>
      <c r="W1542" s="314"/>
      <c r="X1542" s="314"/>
      <c r="Y1542" s="314"/>
      <c r="Z1542" s="314"/>
      <c r="AA1542" s="314"/>
      <c r="AB1542" s="314"/>
      <c r="AC1542" s="314"/>
      <c r="AD1542" s="314"/>
      <c r="AE1542" s="314"/>
      <c r="AF1542" s="314"/>
    </row>
    <row r="1543" spans="2:32" s="147" customFormat="1" ht="14.15" customHeight="1" x14ac:dyDescent="0.35">
      <c r="B1543" s="146"/>
      <c r="E1543" s="314"/>
      <c r="F1543" s="314"/>
      <c r="G1543" s="314"/>
      <c r="H1543" s="314"/>
      <c r="I1543" s="314"/>
      <c r="J1543" s="314"/>
      <c r="K1543" s="314"/>
      <c r="L1543" s="314"/>
      <c r="M1543" s="314"/>
      <c r="N1543" s="314"/>
      <c r="O1543" s="314"/>
      <c r="P1543" s="314"/>
      <c r="Q1543" s="314"/>
      <c r="R1543" s="314"/>
      <c r="S1543" s="314"/>
      <c r="T1543" s="314"/>
      <c r="U1543" s="314"/>
      <c r="V1543" s="314"/>
      <c r="W1543" s="314"/>
      <c r="X1543" s="314"/>
      <c r="Y1543" s="314"/>
      <c r="Z1543" s="314"/>
      <c r="AA1543" s="314"/>
      <c r="AB1543" s="314"/>
      <c r="AC1543" s="314"/>
      <c r="AD1543" s="314"/>
      <c r="AE1543" s="314"/>
      <c r="AF1543" s="314"/>
    </row>
    <row r="1544" spans="2:32" s="147" customFormat="1" ht="14.15" customHeight="1" x14ac:dyDescent="0.35">
      <c r="B1544" s="146"/>
      <c r="E1544" s="314"/>
      <c r="F1544" s="314"/>
      <c r="G1544" s="314"/>
      <c r="H1544" s="314"/>
      <c r="I1544" s="314"/>
      <c r="J1544" s="314"/>
      <c r="K1544" s="314"/>
      <c r="L1544" s="314"/>
      <c r="M1544" s="314"/>
      <c r="N1544" s="314"/>
      <c r="O1544" s="314"/>
      <c r="P1544" s="314"/>
      <c r="Q1544" s="314"/>
      <c r="R1544" s="314"/>
      <c r="S1544" s="314"/>
      <c r="T1544" s="314"/>
      <c r="U1544" s="314"/>
      <c r="V1544" s="314"/>
      <c r="W1544" s="314"/>
      <c r="X1544" s="314"/>
      <c r="Y1544" s="314"/>
      <c r="Z1544" s="314"/>
      <c r="AA1544" s="314"/>
      <c r="AB1544" s="314"/>
      <c r="AC1544" s="314"/>
      <c r="AD1544" s="314"/>
      <c r="AE1544" s="314"/>
      <c r="AF1544" s="314"/>
    </row>
    <row r="1545" spans="2:32" s="147" customFormat="1" ht="14.15" customHeight="1" x14ac:dyDescent="0.35">
      <c r="B1545" s="146"/>
      <c r="E1545" s="314"/>
      <c r="F1545" s="314"/>
      <c r="G1545" s="314"/>
      <c r="H1545" s="314"/>
      <c r="I1545" s="314"/>
      <c r="J1545" s="314"/>
      <c r="K1545" s="314"/>
      <c r="L1545" s="314"/>
      <c r="M1545" s="314"/>
      <c r="N1545" s="314"/>
      <c r="O1545" s="314"/>
      <c r="P1545" s="314"/>
      <c r="Q1545" s="314"/>
      <c r="R1545" s="314"/>
      <c r="S1545" s="314"/>
      <c r="T1545" s="314"/>
      <c r="U1545" s="314"/>
      <c r="V1545" s="314"/>
      <c r="W1545" s="314"/>
      <c r="X1545" s="314"/>
      <c r="Y1545" s="314"/>
      <c r="Z1545" s="314"/>
      <c r="AA1545" s="314"/>
      <c r="AB1545" s="314"/>
      <c r="AC1545" s="314"/>
      <c r="AD1545" s="314"/>
      <c r="AE1545" s="314"/>
      <c r="AF1545" s="314"/>
    </row>
    <row r="1546" spans="2:32" s="147" customFormat="1" ht="14.15" customHeight="1" x14ac:dyDescent="0.35">
      <c r="B1546" s="146"/>
      <c r="E1546" s="314"/>
      <c r="F1546" s="314"/>
      <c r="G1546" s="314"/>
      <c r="H1546" s="314"/>
      <c r="I1546" s="314"/>
      <c r="J1546" s="314"/>
      <c r="K1546" s="314"/>
      <c r="L1546" s="314"/>
      <c r="M1546" s="314"/>
      <c r="N1546" s="314"/>
      <c r="O1546" s="314"/>
      <c r="P1546" s="314"/>
      <c r="Q1546" s="314"/>
      <c r="R1546" s="314"/>
      <c r="S1546" s="314"/>
      <c r="T1546" s="314"/>
      <c r="U1546" s="314"/>
      <c r="V1546" s="314"/>
      <c r="W1546" s="314"/>
      <c r="X1546" s="314"/>
      <c r="Y1546" s="314"/>
      <c r="Z1546" s="314"/>
      <c r="AA1546" s="314"/>
      <c r="AB1546" s="314"/>
      <c r="AC1546" s="314"/>
      <c r="AD1546" s="314"/>
      <c r="AE1546" s="314"/>
      <c r="AF1546" s="314"/>
    </row>
    <row r="1547" spans="2:32" s="147" customFormat="1" ht="14.15" customHeight="1" x14ac:dyDescent="0.35">
      <c r="B1547" s="146"/>
      <c r="E1547" s="314"/>
      <c r="F1547" s="314"/>
      <c r="G1547" s="314"/>
      <c r="H1547" s="314"/>
      <c r="I1547" s="314"/>
      <c r="J1547" s="314"/>
      <c r="K1547" s="314"/>
      <c r="L1547" s="314"/>
      <c r="M1547" s="314"/>
      <c r="N1547" s="314"/>
      <c r="O1547" s="314"/>
      <c r="P1547" s="314"/>
      <c r="Q1547" s="314"/>
      <c r="R1547" s="314"/>
      <c r="S1547" s="314"/>
      <c r="T1547" s="314"/>
      <c r="U1547" s="314"/>
      <c r="V1547" s="314"/>
      <c r="W1547" s="314"/>
      <c r="X1547" s="314"/>
      <c r="Y1547" s="314"/>
      <c r="Z1547" s="314"/>
      <c r="AA1547" s="314"/>
      <c r="AB1547" s="314"/>
      <c r="AC1547" s="314"/>
      <c r="AD1547" s="314"/>
      <c r="AE1547" s="314"/>
      <c r="AF1547" s="314"/>
    </row>
    <row r="1548" spans="2:32" s="147" customFormat="1" ht="14.15" customHeight="1" x14ac:dyDescent="0.35">
      <c r="B1548" s="146"/>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314"/>
      <c r="AE1548" s="314"/>
      <c r="AF1548" s="314"/>
    </row>
    <row r="1549" spans="2:32" s="147" customFormat="1" ht="14.15" customHeight="1" x14ac:dyDescent="0.35">
      <c r="B1549" s="146"/>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314"/>
      <c r="AF1549" s="314"/>
    </row>
    <row r="1550" spans="2:32" s="147" customFormat="1" ht="14.15" customHeight="1" x14ac:dyDescent="0.35">
      <c r="B1550" s="146"/>
      <c r="E1550" s="314"/>
      <c r="F1550" s="314"/>
      <c r="G1550" s="314"/>
      <c r="H1550" s="314"/>
      <c r="I1550" s="314"/>
      <c r="J1550" s="314"/>
      <c r="K1550" s="314"/>
      <c r="L1550" s="314"/>
      <c r="M1550" s="314"/>
      <c r="N1550" s="314"/>
      <c r="O1550" s="314"/>
      <c r="P1550" s="314"/>
      <c r="Q1550" s="314"/>
      <c r="R1550" s="314"/>
      <c r="S1550" s="314"/>
      <c r="T1550" s="314"/>
      <c r="U1550" s="314"/>
      <c r="V1550" s="314"/>
      <c r="W1550" s="314"/>
      <c r="X1550" s="314"/>
      <c r="Y1550" s="314"/>
      <c r="Z1550" s="314"/>
      <c r="AA1550" s="314"/>
      <c r="AB1550" s="314"/>
      <c r="AC1550" s="314"/>
      <c r="AD1550" s="314"/>
      <c r="AE1550" s="314"/>
      <c r="AF1550" s="314"/>
    </row>
    <row r="1551" spans="2:32" s="147" customFormat="1" ht="14.15" customHeight="1" x14ac:dyDescent="0.35">
      <c r="B1551" s="146"/>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314"/>
      <c r="AE1551" s="314"/>
      <c r="AF1551" s="314"/>
    </row>
    <row r="1552" spans="2:32" s="147" customFormat="1" ht="14.15" customHeight="1" x14ac:dyDescent="0.35">
      <c r="B1552" s="146"/>
      <c r="E1552" s="314"/>
      <c r="F1552" s="314"/>
      <c r="G1552" s="314"/>
      <c r="H1552" s="314"/>
      <c r="I1552" s="314"/>
      <c r="J1552" s="314"/>
      <c r="K1552" s="314"/>
      <c r="L1552" s="314"/>
      <c r="M1552" s="314"/>
      <c r="N1552" s="314"/>
      <c r="O1552" s="314"/>
      <c r="P1552" s="314"/>
      <c r="Q1552" s="314"/>
      <c r="R1552" s="314"/>
      <c r="S1552" s="314"/>
      <c r="T1552" s="314"/>
      <c r="U1552" s="314"/>
      <c r="V1552" s="314"/>
      <c r="W1552" s="314"/>
      <c r="X1552" s="314"/>
      <c r="Y1552" s="314"/>
      <c r="Z1552" s="314"/>
      <c r="AA1552" s="314"/>
      <c r="AB1552" s="314"/>
      <c r="AC1552" s="314"/>
      <c r="AD1552" s="314"/>
      <c r="AE1552" s="314"/>
      <c r="AF1552" s="314"/>
    </row>
    <row r="1553" spans="2:32" s="147" customFormat="1" ht="14.15" customHeight="1" x14ac:dyDescent="0.35">
      <c r="B1553" s="146"/>
      <c r="E1553" s="314"/>
      <c r="F1553" s="314"/>
      <c r="G1553" s="314"/>
      <c r="H1553" s="314"/>
      <c r="I1553" s="314"/>
      <c r="J1553" s="314"/>
      <c r="K1553" s="314"/>
      <c r="L1553" s="314"/>
      <c r="M1553" s="314"/>
      <c r="N1553" s="314"/>
      <c r="O1553" s="314"/>
      <c r="P1553" s="314"/>
      <c r="Q1553" s="314"/>
      <c r="R1553" s="314"/>
      <c r="S1553" s="314"/>
      <c r="T1553" s="314"/>
      <c r="U1553" s="314"/>
      <c r="V1553" s="314"/>
      <c r="W1553" s="314"/>
      <c r="X1553" s="314"/>
      <c r="Y1553" s="314"/>
      <c r="Z1553" s="314"/>
      <c r="AA1553" s="314"/>
      <c r="AB1553" s="314"/>
      <c r="AC1553" s="314"/>
      <c r="AD1553" s="314"/>
      <c r="AE1553" s="314"/>
      <c r="AF1553" s="314"/>
    </row>
    <row r="1554" spans="2:32" s="147" customFormat="1" ht="14.15" customHeight="1" x14ac:dyDescent="0.35">
      <c r="B1554" s="146"/>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314"/>
      <c r="AA1554" s="314"/>
      <c r="AB1554" s="314"/>
      <c r="AC1554" s="314"/>
      <c r="AD1554" s="314"/>
      <c r="AE1554" s="314"/>
      <c r="AF1554" s="314"/>
    </row>
    <row r="1555" spans="2:32" s="147" customFormat="1" ht="14.15" customHeight="1" x14ac:dyDescent="0.35">
      <c r="B1555" s="146"/>
      <c r="E1555" s="314"/>
      <c r="F1555" s="314"/>
      <c r="G1555" s="314"/>
      <c r="H1555" s="314"/>
      <c r="I1555" s="314"/>
      <c r="J1555" s="314"/>
      <c r="K1555" s="314"/>
      <c r="L1555" s="314"/>
      <c r="M1555" s="314"/>
      <c r="N1555" s="314"/>
      <c r="O1555" s="314"/>
      <c r="P1555" s="314"/>
      <c r="Q1555" s="314"/>
      <c r="R1555" s="314"/>
      <c r="S1555" s="314"/>
      <c r="T1555" s="314"/>
      <c r="U1555" s="314"/>
      <c r="V1555" s="314"/>
      <c r="W1555" s="314"/>
      <c r="X1555" s="314"/>
      <c r="Y1555" s="314"/>
      <c r="Z1555" s="314"/>
      <c r="AA1555" s="314"/>
      <c r="AB1555" s="314"/>
      <c r="AC1555" s="314"/>
      <c r="AD1555" s="314"/>
      <c r="AE1555" s="314"/>
      <c r="AF1555" s="314"/>
    </row>
    <row r="1556" spans="2:32" s="147" customFormat="1" ht="14.15" customHeight="1" x14ac:dyDescent="0.35">
      <c r="B1556" s="146"/>
      <c r="E1556" s="314"/>
      <c r="F1556" s="314"/>
      <c r="G1556" s="314"/>
      <c r="H1556" s="314"/>
      <c r="I1556" s="314"/>
      <c r="J1556" s="314"/>
      <c r="K1556" s="314"/>
      <c r="L1556" s="314"/>
      <c r="M1556" s="314"/>
      <c r="N1556" s="314"/>
      <c r="O1556" s="314"/>
      <c r="P1556" s="314"/>
      <c r="Q1556" s="314"/>
      <c r="R1556" s="314"/>
      <c r="S1556" s="314"/>
      <c r="T1556" s="314"/>
      <c r="U1556" s="314"/>
      <c r="V1556" s="314"/>
      <c r="W1556" s="314"/>
      <c r="X1556" s="314"/>
      <c r="Y1556" s="314"/>
      <c r="Z1556" s="314"/>
      <c r="AA1556" s="314"/>
      <c r="AB1556" s="314"/>
      <c r="AC1556" s="314"/>
      <c r="AD1556" s="314"/>
      <c r="AE1556" s="314"/>
      <c r="AF1556" s="314"/>
    </row>
    <row r="1557" spans="2:32" s="147" customFormat="1" ht="14.15" customHeight="1" x14ac:dyDescent="0.35">
      <c r="B1557" s="146"/>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314"/>
      <c r="AE1557" s="314"/>
      <c r="AF1557" s="314"/>
    </row>
    <row r="1558" spans="2:32" s="147" customFormat="1" ht="14.15" customHeight="1" x14ac:dyDescent="0.35">
      <c r="B1558" s="146"/>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314"/>
      <c r="AF1558" s="314"/>
    </row>
    <row r="1559" spans="2:32" s="147" customFormat="1" ht="14.15" customHeight="1" x14ac:dyDescent="0.35">
      <c r="B1559" s="146"/>
      <c r="E1559" s="314"/>
      <c r="F1559" s="314"/>
      <c r="G1559" s="314"/>
      <c r="H1559" s="314"/>
      <c r="I1559" s="314"/>
      <c r="J1559" s="314"/>
      <c r="K1559" s="314"/>
      <c r="L1559" s="314"/>
      <c r="M1559" s="314"/>
      <c r="N1559" s="314"/>
      <c r="O1559" s="314"/>
      <c r="P1559" s="314"/>
      <c r="Q1559" s="314"/>
      <c r="R1559" s="314"/>
      <c r="S1559" s="314"/>
      <c r="T1559" s="314"/>
      <c r="U1559" s="314"/>
      <c r="V1559" s="314"/>
      <c r="W1559" s="314"/>
      <c r="X1559" s="314"/>
      <c r="Y1559" s="314"/>
      <c r="Z1559" s="314"/>
      <c r="AA1559" s="314"/>
      <c r="AB1559" s="314"/>
      <c r="AC1559" s="314"/>
      <c r="AD1559" s="314"/>
      <c r="AE1559" s="314"/>
      <c r="AF1559" s="314"/>
    </row>
    <row r="1560" spans="2:32" s="147" customFormat="1" ht="14.15" customHeight="1" x14ac:dyDescent="0.35">
      <c r="B1560" s="146"/>
      <c r="E1560" s="314"/>
      <c r="F1560" s="314"/>
      <c r="G1560" s="314"/>
      <c r="H1560" s="314"/>
      <c r="I1560" s="314"/>
      <c r="J1560" s="314"/>
      <c r="K1560" s="314"/>
      <c r="L1560" s="314"/>
      <c r="M1560" s="314"/>
      <c r="N1560" s="314"/>
      <c r="O1560" s="314"/>
      <c r="P1560" s="314"/>
      <c r="Q1560" s="314"/>
      <c r="R1560" s="314"/>
      <c r="S1560" s="314"/>
      <c r="T1560" s="314"/>
      <c r="U1560" s="314"/>
      <c r="V1560" s="314"/>
      <c r="W1560" s="314"/>
      <c r="X1560" s="314"/>
      <c r="Y1560" s="314"/>
      <c r="Z1560" s="314"/>
      <c r="AA1560" s="314"/>
      <c r="AB1560" s="314"/>
      <c r="AC1560" s="314"/>
      <c r="AD1560" s="314"/>
      <c r="AE1560" s="314"/>
      <c r="AF1560" s="314"/>
    </row>
    <row r="1561" spans="2:32" s="147" customFormat="1" ht="14.15" customHeight="1" x14ac:dyDescent="0.35">
      <c r="B1561" s="146"/>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314"/>
      <c r="AE1561" s="314"/>
      <c r="AF1561" s="314"/>
    </row>
    <row r="1562" spans="2:32" s="147" customFormat="1" ht="14.15" customHeight="1" x14ac:dyDescent="0.35">
      <c r="B1562" s="146"/>
      <c r="E1562" s="314"/>
      <c r="F1562" s="314"/>
      <c r="G1562" s="314"/>
      <c r="H1562" s="314"/>
      <c r="I1562" s="314"/>
      <c r="J1562" s="314"/>
      <c r="K1562" s="314"/>
      <c r="L1562" s="314"/>
      <c r="M1562" s="314"/>
      <c r="N1562" s="314"/>
      <c r="O1562" s="314"/>
      <c r="P1562" s="314"/>
      <c r="Q1562" s="314"/>
      <c r="R1562" s="314"/>
      <c r="S1562" s="314"/>
      <c r="T1562" s="314"/>
      <c r="U1562" s="314"/>
      <c r="V1562" s="314"/>
      <c r="W1562" s="314"/>
      <c r="X1562" s="314"/>
      <c r="Y1562" s="314"/>
      <c r="Z1562" s="314"/>
      <c r="AA1562" s="314"/>
      <c r="AB1562" s="314"/>
      <c r="AC1562" s="314"/>
      <c r="AD1562" s="314"/>
      <c r="AE1562" s="314"/>
      <c r="AF1562" s="314"/>
    </row>
    <row r="1563" spans="2:32" x14ac:dyDescent="0.35">
      <c r="E1563" s="314"/>
      <c r="F1563" s="314"/>
      <c r="G1563" s="314"/>
      <c r="H1563" s="314"/>
      <c r="I1563" s="314"/>
      <c r="J1563" s="314"/>
      <c r="K1563" s="314"/>
      <c r="L1563" s="314"/>
      <c r="M1563" s="314"/>
      <c r="N1563" s="314"/>
      <c r="O1563" s="314"/>
      <c r="P1563" s="314"/>
      <c r="Q1563" s="314"/>
      <c r="R1563" s="314"/>
      <c r="S1563" s="314"/>
      <c r="T1563" s="314"/>
      <c r="U1563" s="314"/>
      <c r="V1563" s="314"/>
      <c r="W1563" s="314"/>
      <c r="X1563" s="314"/>
      <c r="Y1563" s="314"/>
      <c r="Z1563" s="314"/>
      <c r="AA1563" s="314"/>
      <c r="AB1563" s="314"/>
      <c r="AC1563" s="314"/>
      <c r="AD1563" s="314"/>
      <c r="AE1563" s="314"/>
      <c r="AF1563" s="314"/>
    </row>
    <row r="1564" spans="2:32" x14ac:dyDescent="0.35">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314"/>
      <c r="AE1564" s="314"/>
      <c r="AF1564" s="314"/>
    </row>
    <row r="1565" spans="2:32" x14ac:dyDescent="0.35">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4"/>
      <c r="AD1565" s="314"/>
      <c r="AE1565" s="314"/>
      <c r="AF1565" s="314"/>
    </row>
    <row r="1566" spans="2:32" x14ac:dyDescent="0.35">
      <c r="E1566" s="314"/>
      <c r="F1566" s="314"/>
      <c r="G1566" s="314"/>
      <c r="H1566" s="314"/>
      <c r="I1566" s="314"/>
      <c r="J1566" s="314"/>
      <c r="K1566" s="314"/>
      <c r="L1566" s="314"/>
      <c r="M1566" s="314"/>
      <c r="N1566" s="314"/>
      <c r="O1566" s="314"/>
      <c r="P1566" s="314"/>
      <c r="Q1566" s="314"/>
      <c r="R1566" s="314"/>
      <c r="S1566" s="314"/>
      <c r="T1566" s="314"/>
      <c r="U1566" s="314"/>
      <c r="V1566" s="314"/>
      <c r="W1566" s="314"/>
      <c r="X1566" s="314"/>
      <c r="Y1566" s="314"/>
      <c r="Z1566" s="314"/>
      <c r="AA1566" s="314"/>
      <c r="AB1566" s="314"/>
      <c r="AC1566" s="314"/>
      <c r="AD1566" s="314"/>
      <c r="AE1566" s="314"/>
      <c r="AF1566" s="314"/>
    </row>
    <row r="1567" spans="2:32" x14ac:dyDescent="0.35">
      <c r="E1567" s="314"/>
      <c r="F1567" s="314"/>
      <c r="G1567" s="314"/>
      <c r="H1567" s="314"/>
      <c r="I1567" s="314"/>
      <c r="J1567" s="314"/>
      <c r="K1567" s="314"/>
      <c r="L1567" s="314"/>
      <c r="M1567" s="314"/>
      <c r="N1567" s="314"/>
      <c r="O1567" s="314"/>
      <c r="P1567" s="314"/>
      <c r="Q1567" s="314"/>
      <c r="R1567" s="314"/>
      <c r="S1567" s="314"/>
      <c r="T1567" s="314"/>
      <c r="U1567" s="314"/>
      <c r="V1567" s="314"/>
      <c r="W1567" s="314"/>
      <c r="X1567" s="314"/>
      <c r="Y1567" s="314"/>
      <c r="Z1567" s="314"/>
      <c r="AA1567" s="314"/>
      <c r="AB1567" s="314"/>
      <c r="AC1567" s="314"/>
      <c r="AD1567" s="314"/>
      <c r="AE1567" s="314"/>
      <c r="AF1567" s="314"/>
    </row>
    <row r="1568" spans="2:32" x14ac:dyDescent="0.35">
      <c r="E1568" s="314"/>
      <c r="F1568" s="314"/>
      <c r="G1568" s="314"/>
      <c r="H1568" s="314"/>
      <c r="I1568" s="314"/>
      <c r="J1568" s="314"/>
      <c r="K1568" s="314"/>
      <c r="L1568" s="314"/>
      <c r="M1568" s="314"/>
      <c r="N1568" s="314"/>
      <c r="O1568" s="314"/>
      <c r="P1568" s="314"/>
      <c r="Q1568" s="314"/>
      <c r="R1568" s="314"/>
      <c r="S1568" s="314"/>
      <c r="T1568" s="314"/>
      <c r="U1568" s="314"/>
      <c r="V1568" s="314"/>
      <c r="W1568" s="314"/>
      <c r="X1568" s="314"/>
      <c r="Y1568" s="314"/>
      <c r="Z1568" s="314"/>
      <c r="AA1568" s="314"/>
      <c r="AB1568" s="314"/>
      <c r="AC1568" s="314"/>
      <c r="AD1568" s="314"/>
      <c r="AE1568" s="314"/>
      <c r="AF1568" s="314"/>
    </row>
    <row r="1569" spans="5:32" x14ac:dyDescent="0.35">
      <c r="E1569" s="314"/>
      <c r="F1569" s="314"/>
      <c r="G1569" s="314"/>
      <c r="H1569" s="314"/>
      <c r="I1569" s="314"/>
      <c r="J1569" s="314"/>
      <c r="K1569" s="314"/>
      <c r="L1569" s="314"/>
      <c r="M1569" s="314"/>
      <c r="N1569" s="314"/>
      <c r="O1569" s="314"/>
      <c r="P1569" s="314"/>
      <c r="Q1569" s="314"/>
      <c r="R1569" s="314"/>
      <c r="S1569" s="314"/>
      <c r="T1569" s="314"/>
      <c r="U1569" s="314"/>
      <c r="V1569" s="314"/>
      <c r="W1569" s="314"/>
      <c r="X1569" s="314"/>
      <c r="Y1569" s="314"/>
      <c r="Z1569" s="314"/>
      <c r="AA1569" s="314"/>
      <c r="AB1569" s="314"/>
      <c r="AC1569" s="314"/>
      <c r="AD1569" s="314"/>
      <c r="AE1569" s="314"/>
      <c r="AF1569" s="314"/>
    </row>
    <row r="1570" spans="5:32" x14ac:dyDescent="0.35">
      <c r="E1570" s="314"/>
      <c r="F1570" s="314"/>
      <c r="G1570" s="314"/>
      <c r="H1570" s="314"/>
      <c r="I1570" s="314"/>
      <c r="J1570" s="314"/>
      <c r="K1570" s="314"/>
      <c r="L1570" s="314"/>
      <c r="M1570" s="314"/>
      <c r="N1570" s="314"/>
      <c r="O1570" s="314"/>
      <c r="P1570" s="314"/>
      <c r="Q1570" s="314"/>
      <c r="R1570" s="314"/>
      <c r="S1570" s="314"/>
      <c r="T1570" s="314"/>
      <c r="U1570" s="314"/>
      <c r="V1570" s="314"/>
      <c r="W1570" s="314"/>
      <c r="X1570" s="314"/>
      <c r="Y1570" s="314"/>
      <c r="Z1570" s="314"/>
      <c r="AA1570" s="314"/>
      <c r="AB1570" s="314"/>
      <c r="AC1570" s="314"/>
      <c r="AD1570" s="314"/>
      <c r="AE1570" s="314"/>
      <c r="AF1570" s="314"/>
    </row>
    <row r="1571" spans="5:32" x14ac:dyDescent="0.35">
      <c r="E1571" s="314"/>
      <c r="F1571" s="314"/>
      <c r="G1571" s="314"/>
      <c r="H1571" s="314"/>
      <c r="I1571" s="314"/>
      <c r="J1571" s="314"/>
      <c r="K1571" s="314"/>
      <c r="L1571" s="314"/>
      <c r="M1571" s="314"/>
      <c r="N1571" s="314"/>
      <c r="O1571" s="314"/>
      <c r="P1571" s="314"/>
      <c r="Q1571" s="314"/>
      <c r="R1571" s="314"/>
      <c r="S1571" s="314"/>
      <c r="T1571" s="314"/>
      <c r="U1571" s="314"/>
      <c r="V1571" s="314"/>
      <c r="W1571" s="314"/>
      <c r="X1571" s="314"/>
      <c r="Y1571" s="314"/>
      <c r="Z1571" s="314"/>
      <c r="AA1571" s="314"/>
      <c r="AB1571" s="314"/>
      <c r="AC1571" s="314"/>
      <c r="AD1571" s="314"/>
      <c r="AE1571" s="314"/>
      <c r="AF1571" s="314"/>
    </row>
    <row r="1572" spans="5:32" x14ac:dyDescent="0.35">
      <c r="E1572" s="314"/>
      <c r="F1572" s="314"/>
      <c r="G1572" s="314"/>
      <c r="H1572" s="314"/>
      <c r="I1572" s="314"/>
      <c r="J1572" s="314"/>
      <c r="K1572" s="314"/>
      <c r="L1572" s="314"/>
      <c r="M1572" s="314"/>
      <c r="N1572" s="314"/>
      <c r="O1572" s="314"/>
      <c r="P1572" s="314"/>
      <c r="Q1572" s="314"/>
      <c r="R1572" s="314"/>
      <c r="S1572" s="314"/>
      <c r="T1572" s="314"/>
      <c r="U1572" s="314"/>
      <c r="V1572" s="314"/>
      <c r="W1572" s="314"/>
      <c r="X1572" s="314"/>
      <c r="Y1572" s="314"/>
      <c r="Z1572" s="314"/>
      <c r="AA1572" s="314"/>
      <c r="AB1572" s="314"/>
      <c r="AC1572" s="314"/>
      <c r="AD1572" s="314"/>
      <c r="AE1572" s="314"/>
      <c r="AF1572" s="314"/>
    </row>
    <row r="1573" spans="5:32" x14ac:dyDescent="0.35">
      <c r="E1573" s="314"/>
      <c r="F1573" s="314"/>
      <c r="G1573" s="314"/>
      <c r="H1573" s="314"/>
      <c r="I1573" s="314"/>
      <c r="J1573" s="314"/>
      <c r="K1573" s="314"/>
      <c r="L1573" s="314"/>
      <c r="M1573" s="314"/>
      <c r="N1573" s="314"/>
      <c r="O1573" s="314"/>
      <c r="P1573" s="314"/>
      <c r="Q1573" s="314"/>
      <c r="R1573" s="314"/>
      <c r="S1573" s="314"/>
      <c r="T1573" s="314"/>
      <c r="U1573" s="314"/>
      <c r="V1573" s="314"/>
      <c r="W1573" s="314"/>
      <c r="X1573" s="314"/>
      <c r="Y1573" s="314"/>
      <c r="Z1573" s="314"/>
      <c r="AA1573" s="314"/>
      <c r="AB1573" s="314"/>
      <c r="AC1573" s="314"/>
      <c r="AD1573" s="314"/>
      <c r="AE1573" s="314"/>
      <c r="AF1573" s="314"/>
    </row>
    <row r="1574" spans="5:32" x14ac:dyDescent="0.35">
      <c r="E1574" s="314"/>
      <c r="F1574" s="314"/>
      <c r="G1574" s="314"/>
      <c r="H1574" s="314"/>
      <c r="I1574" s="314"/>
      <c r="J1574" s="314"/>
      <c r="K1574" s="314"/>
      <c r="L1574" s="314"/>
      <c r="M1574" s="314"/>
      <c r="N1574" s="314"/>
      <c r="O1574" s="314"/>
      <c r="P1574" s="314"/>
      <c r="Q1574" s="314"/>
      <c r="R1574" s="314"/>
      <c r="S1574" s="314"/>
      <c r="T1574" s="314"/>
      <c r="U1574" s="314"/>
      <c r="V1574" s="314"/>
      <c r="W1574" s="314"/>
      <c r="X1574" s="314"/>
      <c r="Y1574" s="314"/>
      <c r="Z1574" s="314"/>
      <c r="AA1574" s="314"/>
      <c r="AB1574" s="314"/>
      <c r="AC1574" s="314"/>
      <c r="AD1574" s="314"/>
      <c r="AE1574" s="314"/>
      <c r="AF1574" s="314"/>
    </row>
    <row r="1575" spans="5:32" x14ac:dyDescent="0.35">
      <c r="E1575" s="314"/>
      <c r="F1575" s="314"/>
      <c r="G1575" s="314"/>
      <c r="H1575" s="314"/>
      <c r="I1575" s="314"/>
      <c r="J1575" s="314"/>
      <c r="K1575" s="314"/>
      <c r="L1575" s="314"/>
      <c r="M1575" s="314"/>
      <c r="N1575" s="314"/>
      <c r="O1575" s="314"/>
      <c r="P1575" s="314"/>
      <c r="Q1575" s="314"/>
      <c r="R1575" s="314"/>
      <c r="S1575" s="314"/>
      <c r="T1575" s="314"/>
      <c r="U1575" s="314"/>
      <c r="V1575" s="314"/>
      <c r="W1575" s="314"/>
      <c r="X1575" s="314"/>
      <c r="Y1575" s="314"/>
      <c r="Z1575" s="314"/>
      <c r="AA1575" s="314"/>
      <c r="AB1575" s="314"/>
      <c r="AC1575" s="314"/>
      <c r="AD1575" s="314"/>
      <c r="AE1575" s="314"/>
      <c r="AF1575" s="314"/>
    </row>
    <row r="1576" spans="5:32" x14ac:dyDescent="0.35">
      <c r="E1576" s="314"/>
      <c r="F1576" s="314"/>
      <c r="G1576" s="314"/>
      <c r="H1576" s="314"/>
      <c r="I1576" s="314"/>
      <c r="J1576" s="314"/>
      <c r="K1576" s="314"/>
      <c r="L1576" s="314"/>
      <c r="M1576" s="314"/>
      <c r="N1576" s="314"/>
      <c r="O1576" s="314"/>
      <c r="P1576" s="314"/>
      <c r="Q1576" s="314"/>
      <c r="R1576" s="314"/>
      <c r="S1576" s="314"/>
      <c r="T1576" s="314"/>
      <c r="U1576" s="314"/>
      <c r="V1576" s="314"/>
      <c r="W1576" s="314"/>
      <c r="X1576" s="314"/>
      <c r="Y1576" s="314"/>
      <c r="Z1576" s="314"/>
      <c r="AA1576" s="314"/>
      <c r="AB1576" s="314"/>
      <c r="AC1576" s="314"/>
      <c r="AD1576" s="314"/>
      <c r="AE1576" s="314"/>
      <c r="AF1576" s="314"/>
    </row>
    <row r="1577" spans="5:32" x14ac:dyDescent="0.35">
      <c r="E1577" s="314"/>
      <c r="F1577" s="314"/>
      <c r="G1577" s="314"/>
      <c r="H1577" s="314"/>
      <c r="I1577" s="314"/>
      <c r="J1577" s="314"/>
      <c r="K1577" s="314"/>
      <c r="L1577" s="314"/>
      <c r="M1577" s="314"/>
      <c r="N1577" s="314"/>
      <c r="O1577" s="314"/>
      <c r="P1577" s="314"/>
      <c r="Q1577" s="314"/>
      <c r="R1577" s="314"/>
      <c r="S1577" s="314"/>
      <c r="T1577" s="314"/>
      <c r="U1577" s="314"/>
      <c r="V1577" s="314"/>
      <c r="W1577" s="314"/>
      <c r="X1577" s="314"/>
      <c r="Y1577" s="314"/>
      <c r="Z1577" s="314"/>
      <c r="AA1577" s="314"/>
      <c r="AB1577" s="314"/>
      <c r="AC1577" s="314"/>
      <c r="AD1577" s="314"/>
      <c r="AE1577" s="314"/>
      <c r="AF1577" s="314"/>
    </row>
    <row r="1578" spans="5:32" x14ac:dyDescent="0.35">
      <c r="E1578" s="314"/>
      <c r="F1578" s="314"/>
      <c r="G1578" s="314"/>
      <c r="H1578" s="314"/>
      <c r="I1578" s="314"/>
      <c r="J1578" s="314"/>
      <c r="K1578" s="314"/>
      <c r="L1578" s="314"/>
      <c r="M1578" s="314"/>
      <c r="N1578" s="314"/>
      <c r="O1578" s="314"/>
      <c r="P1578" s="314"/>
      <c r="Q1578" s="314"/>
      <c r="R1578" s="314"/>
      <c r="S1578" s="314"/>
      <c r="T1578" s="314"/>
      <c r="U1578" s="314"/>
      <c r="V1578" s="314"/>
      <c r="W1578" s="314"/>
      <c r="X1578" s="314"/>
      <c r="Y1578" s="314"/>
      <c r="Z1578" s="314"/>
      <c r="AA1578" s="314"/>
      <c r="AB1578" s="314"/>
      <c r="AC1578" s="314"/>
      <c r="AD1578" s="314"/>
      <c r="AE1578" s="314"/>
      <c r="AF1578" s="314"/>
    </row>
    <row r="1579" spans="5:32" x14ac:dyDescent="0.35">
      <c r="E1579" s="314"/>
      <c r="F1579" s="314"/>
      <c r="G1579" s="314"/>
      <c r="H1579" s="314"/>
      <c r="I1579" s="314"/>
      <c r="J1579" s="314"/>
      <c r="K1579" s="314"/>
      <c r="L1579" s="314"/>
      <c r="M1579" s="314"/>
      <c r="N1579" s="314"/>
      <c r="O1579" s="314"/>
      <c r="P1579" s="314"/>
      <c r="Q1579" s="314"/>
      <c r="R1579" s="314"/>
      <c r="S1579" s="314"/>
      <c r="T1579" s="314"/>
      <c r="U1579" s="314"/>
      <c r="V1579" s="314"/>
      <c r="W1579" s="314"/>
      <c r="X1579" s="314"/>
      <c r="Y1579" s="314"/>
      <c r="Z1579" s="314"/>
      <c r="AA1579" s="314"/>
      <c r="AB1579" s="314"/>
      <c r="AC1579" s="314"/>
      <c r="AD1579" s="314"/>
      <c r="AE1579" s="314"/>
      <c r="AF1579" s="314"/>
    </row>
    <row r="1580" spans="5:32" x14ac:dyDescent="0.35">
      <c r="E1580" s="314"/>
      <c r="F1580" s="314"/>
      <c r="G1580" s="314"/>
      <c r="H1580" s="314"/>
      <c r="I1580" s="314"/>
      <c r="J1580" s="314"/>
      <c r="K1580" s="314"/>
      <c r="L1580" s="314"/>
      <c r="M1580" s="314"/>
      <c r="N1580" s="314"/>
      <c r="O1580" s="314"/>
      <c r="P1580" s="314"/>
      <c r="Q1580" s="314"/>
      <c r="R1580" s="314"/>
      <c r="S1580" s="314"/>
      <c r="T1580" s="314"/>
      <c r="U1580" s="314"/>
      <c r="V1580" s="314"/>
      <c r="W1580" s="314"/>
      <c r="X1580" s="314"/>
      <c r="Y1580" s="314"/>
      <c r="Z1580" s="314"/>
      <c r="AA1580" s="314"/>
      <c r="AB1580" s="314"/>
      <c r="AC1580" s="314"/>
      <c r="AD1580" s="314"/>
      <c r="AE1580" s="314"/>
      <c r="AF1580" s="314"/>
    </row>
    <row r="1581" spans="5:32" x14ac:dyDescent="0.35">
      <c r="E1581" s="314"/>
      <c r="F1581" s="314"/>
      <c r="G1581" s="314"/>
      <c r="H1581" s="314"/>
      <c r="I1581" s="314"/>
      <c r="J1581" s="314"/>
      <c r="K1581" s="314"/>
      <c r="L1581" s="314"/>
      <c r="M1581" s="314"/>
      <c r="N1581" s="314"/>
      <c r="O1581" s="314"/>
      <c r="P1581" s="314"/>
      <c r="Q1581" s="314"/>
      <c r="R1581" s="314"/>
      <c r="S1581" s="314"/>
      <c r="T1581" s="314"/>
      <c r="U1581" s="314"/>
      <c r="V1581" s="314"/>
      <c r="W1581" s="314"/>
      <c r="X1581" s="314"/>
      <c r="Y1581" s="314"/>
      <c r="Z1581" s="314"/>
      <c r="AA1581" s="314"/>
      <c r="AB1581" s="314"/>
      <c r="AC1581" s="314"/>
      <c r="AD1581" s="314"/>
      <c r="AE1581" s="314"/>
      <c r="AF1581" s="314"/>
    </row>
    <row r="1582" spans="5:32" x14ac:dyDescent="0.35">
      <c r="E1582" s="314"/>
      <c r="F1582" s="314"/>
      <c r="G1582" s="314"/>
      <c r="H1582" s="314"/>
      <c r="I1582" s="314"/>
      <c r="J1582" s="314"/>
      <c r="K1582" s="314"/>
      <c r="L1582" s="314"/>
      <c r="M1582" s="314"/>
      <c r="N1582" s="314"/>
      <c r="O1582" s="314"/>
      <c r="P1582" s="314"/>
      <c r="Q1582" s="314"/>
      <c r="R1582" s="314"/>
      <c r="S1582" s="314"/>
      <c r="T1582" s="314"/>
      <c r="U1582" s="314"/>
      <c r="V1582" s="314"/>
      <c r="W1582" s="314"/>
      <c r="X1582" s="314"/>
      <c r="Y1582" s="314"/>
      <c r="Z1582" s="314"/>
      <c r="AA1582" s="314"/>
      <c r="AB1582" s="314"/>
      <c r="AC1582" s="314"/>
      <c r="AD1582" s="314"/>
      <c r="AE1582" s="314"/>
      <c r="AF1582" s="314"/>
    </row>
    <row r="1583" spans="5:32" x14ac:dyDescent="0.35">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4"/>
      <c r="AD1583" s="314"/>
      <c r="AE1583" s="314"/>
      <c r="AF1583" s="314"/>
    </row>
    <row r="1584" spans="5:32" x14ac:dyDescent="0.35">
      <c r="E1584" s="314"/>
      <c r="F1584" s="314"/>
      <c r="G1584" s="314"/>
      <c r="H1584" s="314"/>
      <c r="I1584" s="314"/>
      <c r="J1584" s="314"/>
      <c r="K1584" s="314"/>
      <c r="L1584" s="314"/>
      <c r="M1584" s="314"/>
      <c r="N1584" s="314"/>
      <c r="O1584" s="314"/>
      <c r="P1584" s="314"/>
      <c r="Q1584" s="314"/>
      <c r="R1584" s="314"/>
      <c r="S1584" s="314"/>
      <c r="T1584" s="314"/>
      <c r="U1584" s="314"/>
      <c r="V1584" s="314"/>
      <c r="W1584" s="314"/>
      <c r="X1584" s="314"/>
      <c r="Y1584" s="314"/>
      <c r="Z1584" s="314"/>
      <c r="AA1584" s="314"/>
      <c r="AB1584" s="314"/>
      <c r="AC1584" s="314"/>
      <c r="AD1584" s="314"/>
      <c r="AE1584" s="314"/>
      <c r="AF1584" s="314"/>
    </row>
    <row r="1585" spans="5:32" x14ac:dyDescent="0.35">
      <c r="E1585" s="314"/>
      <c r="F1585" s="314"/>
      <c r="G1585" s="314"/>
      <c r="H1585" s="314"/>
      <c r="I1585" s="314"/>
      <c r="J1585" s="314"/>
      <c r="K1585" s="314"/>
      <c r="L1585" s="314"/>
      <c r="M1585" s="314"/>
      <c r="N1585" s="314"/>
      <c r="O1585" s="314"/>
      <c r="P1585" s="314"/>
      <c r="Q1585" s="314"/>
      <c r="R1585" s="314"/>
      <c r="S1585" s="314"/>
      <c r="T1585" s="314"/>
      <c r="U1585" s="314"/>
      <c r="V1585" s="314"/>
      <c r="W1585" s="314"/>
      <c r="X1585" s="314"/>
      <c r="Y1585" s="314"/>
      <c r="Z1585" s="314"/>
      <c r="AA1585" s="314"/>
      <c r="AB1585" s="314"/>
      <c r="AC1585" s="314"/>
      <c r="AD1585" s="314"/>
      <c r="AE1585" s="314"/>
      <c r="AF1585" s="314"/>
    </row>
    <row r="1586" spans="5:32" x14ac:dyDescent="0.35">
      <c r="E1586" s="314"/>
      <c r="F1586" s="314"/>
      <c r="G1586" s="314"/>
      <c r="H1586" s="314"/>
      <c r="I1586" s="314"/>
      <c r="J1586" s="314"/>
      <c r="K1586" s="314"/>
      <c r="L1586" s="314"/>
      <c r="M1586" s="314"/>
      <c r="N1586" s="314"/>
      <c r="O1586" s="314"/>
      <c r="P1586" s="314"/>
      <c r="Q1586" s="314"/>
      <c r="R1586" s="314"/>
      <c r="S1586" s="314"/>
      <c r="T1586" s="314"/>
      <c r="U1586" s="314"/>
      <c r="V1586" s="314"/>
      <c r="W1586" s="314"/>
      <c r="X1586" s="314"/>
      <c r="Y1586" s="314"/>
      <c r="Z1586" s="314"/>
      <c r="AA1586" s="314"/>
      <c r="AB1586" s="314"/>
      <c r="AC1586" s="314"/>
      <c r="AD1586" s="314"/>
      <c r="AE1586" s="314"/>
      <c r="AF1586" s="314"/>
    </row>
    <row r="1587" spans="5:32" x14ac:dyDescent="0.35">
      <c r="E1587" s="314"/>
      <c r="F1587" s="314"/>
      <c r="G1587" s="314"/>
      <c r="H1587" s="314"/>
      <c r="I1587" s="314"/>
      <c r="J1587" s="314"/>
      <c r="K1587" s="314"/>
      <c r="L1587" s="314"/>
      <c r="M1587" s="314"/>
      <c r="N1587" s="314"/>
      <c r="O1587" s="314"/>
      <c r="P1587" s="314"/>
      <c r="Q1587" s="314"/>
      <c r="R1587" s="314"/>
      <c r="S1587" s="314"/>
      <c r="T1587" s="314"/>
      <c r="U1587" s="314"/>
      <c r="V1587" s="314"/>
      <c r="W1587" s="314"/>
      <c r="X1587" s="314"/>
      <c r="Y1587" s="314"/>
      <c r="Z1587" s="314"/>
      <c r="AA1587" s="314"/>
      <c r="AB1587" s="314"/>
      <c r="AC1587" s="314"/>
      <c r="AD1587" s="314"/>
      <c r="AE1587" s="314"/>
      <c r="AF1587" s="314"/>
    </row>
    <row r="1588" spans="5:32" x14ac:dyDescent="0.35">
      <c r="E1588" s="314"/>
      <c r="F1588" s="314"/>
      <c r="G1588" s="314"/>
      <c r="H1588" s="314"/>
      <c r="I1588" s="314"/>
      <c r="J1588" s="314"/>
      <c r="K1588" s="314"/>
      <c r="L1588" s="314"/>
      <c r="M1588" s="314"/>
      <c r="N1588" s="314"/>
      <c r="O1588" s="314"/>
      <c r="P1588" s="314"/>
      <c r="Q1588" s="314"/>
      <c r="R1588" s="314"/>
      <c r="S1588" s="314"/>
      <c r="T1588" s="314"/>
      <c r="U1588" s="314"/>
      <c r="V1588" s="314"/>
      <c r="W1588" s="314"/>
      <c r="X1588" s="314"/>
      <c r="Y1588" s="314"/>
      <c r="Z1588" s="314"/>
      <c r="AA1588" s="314"/>
      <c r="AB1588" s="314"/>
      <c r="AC1588" s="314"/>
      <c r="AD1588" s="314"/>
      <c r="AE1588" s="314"/>
      <c r="AF1588" s="314"/>
    </row>
    <row r="1589" spans="5:32" x14ac:dyDescent="0.35">
      <c r="E1589" s="314"/>
      <c r="F1589" s="314"/>
      <c r="G1589" s="314"/>
      <c r="H1589" s="314"/>
      <c r="I1589" s="314"/>
      <c r="J1589" s="314"/>
      <c r="K1589" s="314"/>
      <c r="L1589" s="314"/>
      <c r="M1589" s="314"/>
      <c r="N1589" s="314"/>
      <c r="O1589" s="314"/>
      <c r="P1589" s="314"/>
      <c r="Q1589" s="314"/>
      <c r="R1589" s="314"/>
      <c r="S1589" s="314"/>
      <c r="T1589" s="314"/>
      <c r="U1589" s="314"/>
      <c r="V1589" s="314"/>
      <c r="W1589" s="314"/>
      <c r="X1589" s="314"/>
      <c r="Y1589" s="314"/>
      <c r="Z1589" s="314"/>
      <c r="AA1589" s="314"/>
      <c r="AB1589" s="314"/>
      <c r="AC1589" s="314"/>
      <c r="AD1589" s="314"/>
      <c r="AE1589" s="314"/>
      <c r="AF1589" s="314"/>
    </row>
    <row r="1590" spans="5:32" x14ac:dyDescent="0.35">
      <c r="E1590" s="314"/>
      <c r="F1590" s="314"/>
      <c r="G1590" s="314"/>
      <c r="H1590" s="314"/>
      <c r="I1590" s="314"/>
      <c r="J1590" s="314"/>
      <c r="K1590" s="314"/>
      <c r="L1590" s="314"/>
      <c r="M1590" s="314"/>
      <c r="N1590" s="314"/>
      <c r="O1590" s="314"/>
      <c r="P1590" s="314"/>
      <c r="Q1590" s="314"/>
      <c r="R1590" s="314"/>
      <c r="S1590" s="314"/>
      <c r="T1590" s="314"/>
      <c r="U1590" s="314"/>
      <c r="V1590" s="314"/>
      <c r="W1590" s="314"/>
      <c r="X1590" s="314"/>
      <c r="Y1590" s="314"/>
      <c r="Z1590" s="314"/>
      <c r="AA1590" s="314"/>
      <c r="AB1590" s="314"/>
      <c r="AC1590" s="314"/>
      <c r="AD1590" s="314"/>
      <c r="AE1590" s="314"/>
      <c r="AF1590" s="314"/>
    </row>
    <row r="1591" spans="5:32" x14ac:dyDescent="0.35">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4"/>
      <c r="AD1591" s="314"/>
      <c r="AE1591" s="314"/>
      <c r="AF1591" s="314"/>
    </row>
    <row r="1592" spans="5:32" x14ac:dyDescent="0.35">
      <c r="E1592" s="314"/>
      <c r="F1592" s="314"/>
      <c r="G1592" s="314"/>
      <c r="H1592" s="314"/>
      <c r="I1592" s="314"/>
      <c r="J1592" s="314"/>
      <c r="K1592" s="314"/>
      <c r="L1592" s="314"/>
      <c r="M1592" s="314"/>
      <c r="N1592" s="314"/>
      <c r="O1592" s="314"/>
      <c r="P1592" s="314"/>
      <c r="Q1592" s="314"/>
      <c r="R1592" s="314"/>
      <c r="S1592" s="314"/>
      <c r="T1592" s="314"/>
      <c r="U1592" s="314"/>
      <c r="V1592" s="314"/>
      <c r="W1592" s="314"/>
      <c r="X1592" s="314"/>
      <c r="Y1592" s="314"/>
      <c r="Z1592" s="314"/>
      <c r="AA1592" s="314"/>
      <c r="AB1592" s="314"/>
      <c r="AC1592" s="314"/>
      <c r="AD1592" s="314"/>
      <c r="AE1592" s="314"/>
      <c r="AF1592" s="314"/>
    </row>
    <row r="1593" spans="5:32" x14ac:dyDescent="0.35">
      <c r="E1593" s="314"/>
      <c r="F1593" s="314"/>
      <c r="G1593" s="314"/>
      <c r="H1593" s="314"/>
      <c r="I1593" s="314"/>
      <c r="J1593" s="314"/>
      <c r="K1593" s="314"/>
      <c r="L1593" s="314"/>
      <c r="M1593" s="314"/>
      <c r="N1593" s="314"/>
      <c r="O1593" s="314"/>
      <c r="P1593" s="314"/>
      <c r="Q1593" s="314"/>
      <c r="R1593" s="314"/>
      <c r="S1593" s="314"/>
      <c r="T1593" s="314"/>
      <c r="U1593" s="314"/>
      <c r="V1593" s="314"/>
      <c r="W1593" s="314"/>
      <c r="X1593" s="314"/>
      <c r="Y1593" s="314"/>
      <c r="Z1593" s="314"/>
      <c r="AA1593" s="314"/>
      <c r="AB1593" s="314"/>
      <c r="AC1593" s="314"/>
      <c r="AD1593" s="314"/>
      <c r="AE1593" s="314"/>
      <c r="AF1593" s="314"/>
    </row>
    <row r="1594" spans="5:32" x14ac:dyDescent="0.35">
      <c r="E1594" s="314"/>
      <c r="F1594" s="314"/>
      <c r="G1594" s="314"/>
      <c r="H1594" s="314"/>
      <c r="I1594" s="314"/>
      <c r="J1594" s="314"/>
      <c r="K1594" s="314"/>
      <c r="L1594" s="314"/>
      <c r="M1594" s="314"/>
      <c r="N1594" s="314"/>
      <c r="O1594" s="314"/>
      <c r="P1594" s="314"/>
      <c r="Q1594" s="314"/>
      <c r="R1594" s="314"/>
      <c r="S1594" s="314"/>
      <c r="T1594" s="314"/>
      <c r="U1594" s="314"/>
      <c r="V1594" s="314"/>
      <c r="W1594" s="314"/>
      <c r="X1594" s="314"/>
      <c r="Y1594" s="314"/>
      <c r="Z1594" s="314"/>
      <c r="AA1594" s="314"/>
      <c r="AB1594" s="314"/>
      <c r="AC1594" s="314"/>
      <c r="AD1594" s="314"/>
      <c r="AE1594" s="314"/>
      <c r="AF1594" s="314"/>
    </row>
    <row r="1595" spans="5:32" x14ac:dyDescent="0.35">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4"/>
      <c r="AD1595" s="314"/>
      <c r="AE1595" s="314"/>
      <c r="AF1595" s="314"/>
    </row>
    <row r="1596" spans="5:32" x14ac:dyDescent="0.35">
      <c r="E1596" s="314"/>
      <c r="F1596" s="314"/>
      <c r="G1596" s="314"/>
      <c r="H1596" s="314"/>
      <c r="I1596" s="314"/>
      <c r="J1596" s="314"/>
      <c r="K1596" s="314"/>
      <c r="L1596" s="314"/>
      <c r="M1596" s="314"/>
      <c r="N1596" s="314"/>
      <c r="O1596" s="314"/>
      <c r="P1596" s="314"/>
      <c r="Q1596" s="314"/>
      <c r="R1596" s="314"/>
      <c r="S1596" s="314"/>
      <c r="T1596" s="314"/>
      <c r="U1596" s="314"/>
      <c r="V1596" s="314"/>
      <c r="W1596" s="314"/>
      <c r="X1596" s="314"/>
      <c r="Y1596" s="314"/>
      <c r="Z1596" s="314"/>
      <c r="AA1596" s="314"/>
      <c r="AB1596" s="314"/>
      <c r="AC1596" s="314"/>
      <c r="AD1596" s="314"/>
      <c r="AE1596" s="314"/>
      <c r="AF1596" s="314"/>
    </row>
    <row r="1597" spans="5:32" x14ac:dyDescent="0.35">
      <c r="E1597" s="314"/>
      <c r="F1597" s="314"/>
      <c r="G1597" s="314"/>
      <c r="H1597" s="314"/>
      <c r="I1597" s="314"/>
      <c r="J1597" s="314"/>
      <c r="K1597" s="314"/>
      <c r="L1597" s="314"/>
      <c r="M1597" s="314"/>
      <c r="N1597" s="314"/>
      <c r="O1597" s="314"/>
      <c r="P1597" s="314"/>
      <c r="Q1597" s="314"/>
      <c r="R1597" s="314"/>
      <c r="S1597" s="314"/>
      <c r="T1597" s="314"/>
      <c r="U1597" s="314"/>
      <c r="V1597" s="314"/>
      <c r="W1597" s="314"/>
      <c r="X1597" s="314"/>
      <c r="Y1597" s="314"/>
      <c r="Z1597" s="314"/>
      <c r="AA1597" s="314"/>
      <c r="AB1597" s="314"/>
      <c r="AC1597" s="314"/>
      <c r="AD1597" s="314"/>
      <c r="AE1597" s="314"/>
      <c r="AF1597" s="314"/>
    </row>
    <row r="1598" spans="5:32" x14ac:dyDescent="0.35">
      <c r="E1598" s="314"/>
      <c r="F1598" s="314"/>
      <c r="G1598" s="314"/>
      <c r="H1598" s="314"/>
      <c r="I1598" s="314"/>
      <c r="J1598" s="314"/>
      <c r="K1598" s="314"/>
      <c r="L1598" s="314"/>
      <c r="M1598" s="314"/>
      <c r="N1598" s="314"/>
      <c r="O1598" s="314"/>
      <c r="P1598" s="314"/>
      <c r="Q1598" s="314"/>
      <c r="R1598" s="314"/>
      <c r="S1598" s="314"/>
      <c r="T1598" s="314"/>
      <c r="U1598" s="314"/>
      <c r="V1598" s="314"/>
      <c r="W1598" s="314"/>
      <c r="X1598" s="314"/>
      <c r="Y1598" s="314"/>
      <c r="Z1598" s="314"/>
      <c r="AA1598" s="314"/>
      <c r="AB1598" s="314"/>
      <c r="AC1598" s="314"/>
      <c r="AD1598" s="314"/>
      <c r="AE1598" s="314"/>
      <c r="AF1598" s="314"/>
    </row>
    <row r="1599" spans="5:32" x14ac:dyDescent="0.35">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4"/>
      <c r="AD1599" s="314"/>
      <c r="AE1599" s="314"/>
      <c r="AF1599" s="314"/>
    </row>
    <row r="1600" spans="5:32" x14ac:dyDescent="0.35">
      <c r="E1600" s="314"/>
      <c r="F1600" s="314"/>
      <c r="G1600" s="314"/>
      <c r="H1600" s="314"/>
      <c r="I1600" s="314"/>
      <c r="J1600" s="314"/>
      <c r="K1600" s="314"/>
      <c r="L1600" s="314"/>
      <c r="M1600" s="314"/>
      <c r="N1600" s="314"/>
      <c r="O1600" s="314"/>
      <c r="P1600" s="314"/>
      <c r="Q1600" s="314"/>
      <c r="R1600" s="314"/>
      <c r="S1600" s="314"/>
      <c r="T1600" s="314"/>
      <c r="U1600" s="314"/>
      <c r="V1600" s="314"/>
      <c r="W1600" s="314"/>
      <c r="X1600" s="314"/>
      <c r="Y1600" s="314"/>
      <c r="Z1600" s="314"/>
      <c r="AA1600" s="314"/>
      <c r="AB1600" s="314"/>
      <c r="AC1600" s="314"/>
      <c r="AD1600" s="314"/>
      <c r="AE1600" s="314"/>
      <c r="AF1600" s="314"/>
    </row>
    <row r="1601" spans="5:32" x14ac:dyDescent="0.35">
      <c r="E1601" s="314"/>
      <c r="F1601" s="314"/>
      <c r="G1601" s="314"/>
      <c r="H1601" s="314"/>
      <c r="I1601" s="314"/>
      <c r="J1601" s="314"/>
      <c r="K1601" s="314"/>
      <c r="L1601" s="314"/>
      <c r="M1601" s="314"/>
      <c r="N1601" s="314"/>
      <c r="O1601" s="314"/>
      <c r="P1601" s="314"/>
      <c r="Q1601" s="314"/>
      <c r="R1601" s="314"/>
      <c r="S1601" s="314"/>
      <c r="T1601" s="314"/>
      <c r="U1601" s="314"/>
      <c r="V1601" s="314"/>
      <c r="W1601" s="314"/>
      <c r="X1601" s="314"/>
      <c r="Y1601" s="314"/>
      <c r="Z1601" s="314"/>
      <c r="AA1601" s="314"/>
      <c r="AB1601" s="314"/>
      <c r="AC1601" s="314"/>
      <c r="AD1601" s="314"/>
      <c r="AE1601" s="314"/>
      <c r="AF1601" s="314"/>
    </row>
    <row r="1602" spans="5:32" x14ac:dyDescent="0.35">
      <c r="E1602" s="314"/>
      <c r="F1602" s="314"/>
      <c r="G1602" s="314"/>
      <c r="H1602" s="314"/>
      <c r="I1602" s="314"/>
      <c r="J1602" s="314"/>
      <c r="K1602" s="314"/>
      <c r="L1602" s="314"/>
      <c r="M1602" s="314"/>
      <c r="N1602" s="314"/>
      <c r="O1602" s="314"/>
      <c r="P1602" s="314"/>
      <c r="Q1602" s="314"/>
      <c r="R1602" s="314"/>
      <c r="S1602" s="314"/>
      <c r="T1602" s="314"/>
      <c r="U1602" s="314"/>
      <c r="V1602" s="314"/>
      <c r="W1602" s="314"/>
      <c r="X1602" s="314"/>
      <c r="Y1602" s="314"/>
      <c r="Z1602" s="314"/>
      <c r="AA1602" s="314"/>
      <c r="AB1602" s="314"/>
      <c r="AC1602" s="314"/>
      <c r="AD1602" s="314"/>
      <c r="AE1602" s="314"/>
      <c r="AF1602" s="314"/>
    </row>
    <row r="1603" spans="5:32" x14ac:dyDescent="0.35">
      <c r="E1603" s="314"/>
      <c r="F1603" s="314"/>
      <c r="G1603" s="314"/>
      <c r="H1603" s="314"/>
      <c r="I1603" s="314"/>
      <c r="J1603" s="314"/>
      <c r="K1603" s="314"/>
      <c r="L1603" s="314"/>
      <c r="M1603" s="314"/>
      <c r="N1603" s="314"/>
      <c r="O1603" s="314"/>
      <c r="P1603" s="314"/>
      <c r="Q1603" s="314"/>
      <c r="R1603" s="314"/>
      <c r="S1603" s="314"/>
      <c r="T1603" s="314"/>
      <c r="U1603" s="314"/>
      <c r="V1603" s="314"/>
      <c r="W1603" s="314"/>
      <c r="X1603" s="314"/>
      <c r="Y1603" s="314"/>
      <c r="Z1603" s="314"/>
      <c r="AA1603" s="314"/>
      <c r="AB1603" s="314"/>
      <c r="AC1603" s="314"/>
      <c r="AD1603" s="314"/>
      <c r="AE1603" s="314"/>
      <c r="AF1603" s="314"/>
    </row>
    <row r="1604" spans="5:32" x14ac:dyDescent="0.35">
      <c r="E1604" s="314"/>
      <c r="F1604" s="314"/>
      <c r="G1604" s="314"/>
      <c r="H1604" s="314"/>
      <c r="I1604" s="314"/>
      <c r="J1604" s="314"/>
      <c r="K1604" s="314"/>
      <c r="L1604" s="314"/>
      <c r="M1604" s="314"/>
      <c r="N1604" s="314"/>
      <c r="O1604" s="314"/>
      <c r="P1604" s="314"/>
      <c r="Q1604" s="314"/>
      <c r="R1604" s="314"/>
      <c r="S1604" s="314"/>
      <c r="T1604" s="314"/>
      <c r="U1604" s="314"/>
      <c r="V1604" s="314"/>
      <c r="W1604" s="314"/>
      <c r="X1604" s="314"/>
      <c r="Y1604" s="314"/>
      <c r="Z1604" s="314"/>
      <c r="AA1604" s="314"/>
      <c r="AB1604" s="314"/>
      <c r="AC1604" s="314"/>
      <c r="AD1604" s="314"/>
      <c r="AE1604" s="314"/>
      <c r="AF1604" s="314"/>
    </row>
    <row r="1605" spans="5:32" x14ac:dyDescent="0.35">
      <c r="E1605" s="314"/>
      <c r="F1605" s="314"/>
      <c r="G1605" s="314"/>
      <c r="H1605" s="314"/>
      <c r="I1605" s="314"/>
      <c r="J1605" s="314"/>
      <c r="K1605" s="314"/>
      <c r="L1605" s="314"/>
      <c r="M1605" s="314"/>
      <c r="N1605" s="314"/>
      <c r="O1605" s="314"/>
      <c r="P1605" s="314"/>
      <c r="Q1605" s="314"/>
      <c r="R1605" s="314"/>
      <c r="S1605" s="314"/>
      <c r="T1605" s="314"/>
      <c r="U1605" s="314"/>
      <c r="V1605" s="314"/>
      <c r="W1605" s="314"/>
      <c r="X1605" s="314"/>
      <c r="Y1605" s="314"/>
      <c r="Z1605" s="314"/>
      <c r="AA1605" s="314"/>
      <c r="AB1605" s="314"/>
      <c r="AC1605" s="314"/>
      <c r="AD1605" s="314"/>
      <c r="AE1605" s="314"/>
      <c r="AF1605" s="314"/>
    </row>
    <row r="1606" spans="5:32" x14ac:dyDescent="0.35">
      <c r="E1606" s="314"/>
      <c r="F1606" s="314"/>
      <c r="G1606" s="314"/>
      <c r="H1606" s="314"/>
      <c r="I1606" s="314"/>
      <c r="J1606" s="314"/>
      <c r="K1606" s="314"/>
      <c r="L1606" s="314"/>
      <c r="M1606" s="314"/>
      <c r="N1606" s="314"/>
      <c r="O1606" s="314"/>
      <c r="P1606" s="314"/>
      <c r="Q1606" s="314"/>
      <c r="R1606" s="314"/>
      <c r="S1606" s="314"/>
      <c r="T1606" s="314"/>
      <c r="U1606" s="314"/>
      <c r="V1606" s="314"/>
      <c r="W1606" s="314"/>
      <c r="X1606" s="314"/>
      <c r="Y1606" s="314"/>
      <c r="Z1606" s="314"/>
      <c r="AA1606" s="314"/>
      <c r="AB1606" s="314"/>
      <c r="AC1606" s="314"/>
      <c r="AD1606" s="314"/>
      <c r="AE1606" s="314"/>
      <c r="AF1606" s="314"/>
    </row>
    <row r="1607" spans="5:32" x14ac:dyDescent="0.35">
      <c r="E1607" s="314"/>
      <c r="F1607" s="314"/>
      <c r="G1607" s="314"/>
      <c r="H1607" s="314"/>
      <c r="I1607" s="314"/>
      <c r="J1607" s="314"/>
      <c r="K1607" s="314"/>
      <c r="L1607" s="314"/>
      <c r="M1607" s="314"/>
      <c r="N1607" s="314"/>
      <c r="O1607" s="314"/>
      <c r="P1607" s="314"/>
      <c r="Q1607" s="314"/>
      <c r="R1607" s="314"/>
      <c r="S1607" s="314"/>
      <c r="T1607" s="314"/>
      <c r="U1607" s="314"/>
      <c r="V1607" s="314"/>
      <c r="W1607" s="314"/>
      <c r="X1607" s="314"/>
      <c r="Y1607" s="314"/>
      <c r="Z1607" s="314"/>
      <c r="AA1607" s="314"/>
      <c r="AB1607" s="314"/>
      <c r="AC1607" s="314"/>
      <c r="AD1607" s="314"/>
      <c r="AE1607" s="314"/>
      <c r="AF1607" s="314"/>
    </row>
    <row r="1608" spans="5:32" x14ac:dyDescent="0.35">
      <c r="E1608" s="314"/>
      <c r="F1608" s="314"/>
      <c r="G1608" s="314"/>
      <c r="H1608" s="314"/>
      <c r="I1608" s="314"/>
      <c r="J1608" s="314"/>
      <c r="K1608" s="314"/>
      <c r="L1608" s="314"/>
      <c r="M1608" s="314"/>
      <c r="N1608" s="314"/>
      <c r="O1608" s="314"/>
      <c r="P1608" s="314"/>
      <c r="Q1608" s="314"/>
      <c r="R1608" s="314"/>
      <c r="S1608" s="314"/>
      <c r="T1608" s="314"/>
      <c r="U1608" s="314"/>
      <c r="V1608" s="314"/>
      <c r="W1608" s="314"/>
      <c r="X1608" s="314"/>
      <c r="Y1608" s="314"/>
      <c r="Z1608" s="314"/>
      <c r="AA1608" s="314"/>
      <c r="AB1608" s="314"/>
      <c r="AC1608" s="314"/>
      <c r="AD1608" s="314"/>
      <c r="AE1608" s="314"/>
      <c r="AF1608" s="314"/>
    </row>
    <row r="1609" spans="5:32" x14ac:dyDescent="0.35">
      <c r="E1609" s="314"/>
      <c r="F1609" s="314"/>
      <c r="G1609" s="314"/>
      <c r="H1609" s="314"/>
      <c r="I1609" s="314"/>
      <c r="J1609" s="314"/>
      <c r="K1609" s="314"/>
      <c r="L1609" s="314"/>
      <c r="M1609" s="314"/>
      <c r="N1609" s="314"/>
      <c r="O1609" s="314"/>
      <c r="P1609" s="314"/>
      <c r="Q1609" s="314"/>
      <c r="R1609" s="314"/>
      <c r="S1609" s="314"/>
      <c r="T1609" s="314"/>
      <c r="U1609" s="314"/>
      <c r="V1609" s="314"/>
      <c r="W1609" s="314"/>
      <c r="X1609" s="314"/>
      <c r="Y1609" s="314"/>
      <c r="Z1609" s="314"/>
      <c r="AA1609" s="314"/>
      <c r="AB1609" s="314"/>
      <c r="AC1609" s="314"/>
      <c r="AD1609" s="314"/>
      <c r="AE1609" s="314"/>
      <c r="AF1609" s="314"/>
    </row>
    <row r="1610" spans="5:32" x14ac:dyDescent="0.35">
      <c r="E1610" s="314"/>
      <c r="F1610" s="314"/>
      <c r="G1610" s="314"/>
      <c r="H1610" s="314"/>
      <c r="I1610" s="314"/>
      <c r="J1610" s="314"/>
      <c r="K1610" s="314"/>
      <c r="L1610" s="314"/>
      <c r="M1610" s="314"/>
      <c r="N1610" s="314"/>
      <c r="O1610" s="314"/>
      <c r="P1610" s="314"/>
      <c r="Q1610" s="314"/>
      <c r="R1610" s="314"/>
      <c r="S1610" s="314"/>
      <c r="T1610" s="314"/>
      <c r="U1610" s="314"/>
      <c r="V1610" s="314"/>
      <c r="W1610" s="314"/>
      <c r="X1610" s="314"/>
      <c r="Y1610" s="314"/>
      <c r="Z1610" s="314"/>
      <c r="AA1610" s="314"/>
      <c r="AB1610" s="314"/>
      <c r="AC1610" s="314"/>
      <c r="AD1610" s="314"/>
      <c r="AE1610" s="314"/>
      <c r="AF1610" s="314"/>
    </row>
    <row r="1611" spans="5:32" x14ac:dyDescent="0.35">
      <c r="E1611" s="314"/>
      <c r="F1611" s="314"/>
      <c r="G1611" s="314"/>
      <c r="H1611" s="314"/>
      <c r="I1611" s="314"/>
      <c r="J1611" s="314"/>
      <c r="K1611" s="314"/>
      <c r="L1611" s="314"/>
      <c r="M1611" s="314"/>
      <c r="N1611" s="314"/>
      <c r="O1611" s="314"/>
      <c r="P1611" s="314"/>
      <c r="Q1611" s="314"/>
      <c r="R1611" s="314"/>
      <c r="S1611" s="314"/>
      <c r="T1611" s="314"/>
      <c r="U1611" s="314"/>
      <c r="V1611" s="314"/>
      <c r="W1611" s="314"/>
      <c r="X1611" s="314"/>
      <c r="Y1611" s="314"/>
      <c r="Z1611" s="314"/>
      <c r="AA1611" s="314"/>
      <c r="AB1611" s="314"/>
      <c r="AC1611" s="314"/>
      <c r="AD1611" s="314"/>
      <c r="AE1611" s="314"/>
      <c r="AF1611" s="314"/>
    </row>
    <row r="1612" spans="5:32" x14ac:dyDescent="0.35">
      <c r="E1612" s="314"/>
      <c r="F1612" s="314"/>
      <c r="G1612" s="314"/>
      <c r="H1612" s="314"/>
      <c r="I1612" s="314"/>
      <c r="J1612" s="314"/>
      <c r="K1612" s="314"/>
      <c r="L1612" s="314"/>
      <c r="M1612" s="314"/>
      <c r="N1612" s="314"/>
      <c r="O1612" s="314"/>
      <c r="P1612" s="314"/>
      <c r="Q1612" s="314"/>
      <c r="R1612" s="314"/>
      <c r="S1612" s="314"/>
      <c r="T1612" s="314"/>
      <c r="U1612" s="314"/>
      <c r="V1612" s="314"/>
      <c r="W1612" s="314"/>
      <c r="X1612" s="314"/>
      <c r="Y1612" s="314"/>
      <c r="Z1612" s="314"/>
      <c r="AA1612" s="314"/>
      <c r="AB1612" s="314"/>
      <c r="AC1612" s="314"/>
      <c r="AD1612" s="314"/>
      <c r="AE1612" s="314"/>
      <c r="AF1612" s="314"/>
    </row>
    <row r="1613" spans="5:32" x14ac:dyDescent="0.35">
      <c r="E1613" s="314"/>
      <c r="F1613" s="314"/>
      <c r="G1613" s="314"/>
      <c r="H1613" s="314"/>
      <c r="I1613" s="314"/>
      <c r="J1613" s="314"/>
      <c r="K1613" s="314"/>
      <c r="L1613" s="314"/>
      <c r="M1613" s="314"/>
      <c r="N1613" s="314"/>
      <c r="O1613" s="314"/>
      <c r="P1613" s="314"/>
      <c r="Q1613" s="314"/>
      <c r="R1613" s="314"/>
      <c r="S1613" s="314"/>
      <c r="T1613" s="314"/>
      <c r="U1613" s="314"/>
      <c r="V1613" s="314"/>
      <c r="W1613" s="314"/>
      <c r="X1613" s="314"/>
      <c r="Y1613" s="314"/>
      <c r="Z1613" s="314"/>
      <c r="AA1613" s="314"/>
      <c r="AB1613" s="314"/>
      <c r="AC1613" s="314"/>
      <c r="AD1613" s="314"/>
      <c r="AE1613" s="314"/>
      <c r="AF1613" s="314"/>
    </row>
    <row r="1614" spans="5:32" x14ac:dyDescent="0.35">
      <c r="E1614" s="314"/>
      <c r="F1614" s="314"/>
      <c r="G1614" s="314"/>
      <c r="H1614" s="314"/>
      <c r="I1614" s="314"/>
      <c r="J1614" s="314"/>
      <c r="K1614" s="314"/>
      <c r="L1614" s="314"/>
      <c r="M1614" s="314"/>
      <c r="N1614" s="314"/>
      <c r="O1614" s="314"/>
      <c r="P1614" s="314"/>
      <c r="Q1614" s="314"/>
      <c r="R1614" s="314"/>
      <c r="S1614" s="314"/>
      <c r="T1614" s="314"/>
      <c r="U1614" s="314"/>
      <c r="V1614" s="314"/>
      <c r="W1614" s="314"/>
      <c r="X1614" s="314"/>
      <c r="Y1614" s="314"/>
      <c r="Z1614" s="314"/>
      <c r="AA1614" s="314"/>
      <c r="AB1614" s="314"/>
      <c r="AC1614" s="314"/>
      <c r="AD1614" s="314"/>
      <c r="AE1614" s="314"/>
      <c r="AF1614" s="314"/>
    </row>
    <row r="1615" spans="5:32" x14ac:dyDescent="0.35">
      <c r="E1615" s="314"/>
      <c r="F1615" s="314"/>
      <c r="G1615" s="314"/>
      <c r="H1615" s="314"/>
      <c r="I1615" s="314"/>
      <c r="J1615" s="314"/>
      <c r="K1615" s="314"/>
      <c r="L1615" s="314"/>
      <c r="M1615" s="314"/>
      <c r="N1615" s="314"/>
      <c r="O1615" s="314"/>
      <c r="P1615" s="314"/>
      <c r="Q1615" s="314"/>
      <c r="R1615" s="314"/>
      <c r="S1615" s="314"/>
      <c r="T1615" s="314"/>
      <c r="U1615" s="314"/>
      <c r="V1615" s="314"/>
      <c r="W1615" s="314"/>
      <c r="X1615" s="314"/>
      <c r="Y1615" s="314"/>
      <c r="Z1615" s="314"/>
      <c r="AA1615" s="314"/>
      <c r="AB1615" s="314"/>
      <c r="AC1615" s="314"/>
      <c r="AD1615" s="314"/>
      <c r="AE1615" s="314"/>
      <c r="AF1615" s="314"/>
    </row>
    <row r="1616" spans="5:32" x14ac:dyDescent="0.35">
      <c r="E1616" s="314"/>
      <c r="F1616" s="314"/>
      <c r="G1616" s="314"/>
      <c r="H1616" s="314"/>
      <c r="I1616" s="314"/>
      <c r="J1616" s="314"/>
      <c r="K1616" s="314"/>
      <c r="L1616" s="314"/>
      <c r="M1616" s="314"/>
      <c r="N1616" s="314"/>
      <c r="O1616" s="314"/>
      <c r="P1616" s="314"/>
      <c r="Q1616" s="314"/>
      <c r="R1616" s="314"/>
      <c r="S1616" s="314"/>
      <c r="T1616" s="314"/>
      <c r="U1616" s="314"/>
      <c r="V1616" s="314"/>
      <c r="W1616" s="314"/>
      <c r="X1616" s="314"/>
      <c r="Y1616" s="314"/>
      <c r="Z1616" s="314"/>
      <c r="AA1616" s="314"/>
      <c r="AB1616" s="314"/>
      <c r="AC1616" s="314"/>
      <c r="AD1616" s="314"/>
      <c r="AE1616" s="314"/>
      <c r="AF1616" s="314"/>
    </row>
    <row r="1617" spans="5:32" x14ac:dyDescent="0.35">
      <c r="E1617" s="314"/>
      <c r="F1617" s="314"/>
      <c r="G1617" s="314"/>
      <c r="H1617" s="314"/>
      <c r="I1617" s="314"/>
      <c r="J1617" s="314"/>
      <c r="K1617" s="314"/>
      <c r="L1617" s="314"/>
      <c r="M1617" s="314"/>
      <c r="N1617" s="314"/>
      <c r="O1617" s="314"/>
      <c r="P1617" s="314"/>
      <c r="Q1617" s="314"/>
      <c r="R1617" s="314"/>
      <c r="S1617" s="314"/>
      <c r="T1617" s="314"/>
      <c r="U1617" s="314"/>
      <c r="V1617" s="314"/>
      <c r="W1617" s="314"/>
      <c r="X1617" s="314"/>
      <c r="Y1617" s="314"/>
      <c r="Z1617" s="314"/>
      <c r="AA1617" s="314"/>
      <c r="AB1617" s="314"/>
      <c r="AC1617" s="314"/>
      <c r="AD1617" s="314"/>
      <c r="AE1617" s="314"/>
      <c r="AF1617" s="314"/>
    </row>
    <row r="1618" spans="5:32" x14ac:dyDescent="0.35">
      <c r="E1618" s="314"/>
      <c r="F1618" s="314"/>
      <c r="G1618" s="314"/>
      <c r="H1618" s="314"/>
      <c r="I1618" s="314"/>
      <c r="J1618" s="314"/>
      <c r="K1618" s="314"/>
      <c r="L1618" s="314"/>
      <c r="M1618" s="314"/>
      <c r="N1618" s="314"/>
      <c r="O1618" s="314"/>
      <c r="P1618" s="314"/>
      <c r="Q1618" s="314"/>
      <c r="R1618" s="314"/>
      <c r="S1618" s="314"/>
      <c r="T1618" s="314"/>
      <c r="U1618" s="314"/>
      <c r="V1618" s="314"/>
      <c r="W1618" s="314"/>
      <c r="X1618" s="314"/>
      <c r="Y1618" s="314"/>
      <c r="Z1618" s="314"/>
      <c r="AA1618" s="314"/>
      <c r="AB1618" s="314"/>
      <c r="AC1618" s="314"/>
      <c r="AD1618" s="314"/>
      <c r="AE1618" s="314"/>
      <c r="AF1618" s="314"/>
    </row>
    <row r="1619" spans="5:32" x14ac:dyDescent="0.35">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4"/>
      <c r="AD1619" s="314"/>
      <c r="AE1619" s="314"/>
      <c r="AF1619" s="314"/>
    </row>
    <row r="1620" spans="5:32" x14ac:dyDescent="0.35">
      <c r="E1620" s="314"/>
      <c r="F1620" s="314"/>
      <c r="G1620" s="314"/>
      <c r="H1620" s="314"/>
      <c r="I1620" s="314"/>
      <c r="J1620" s="314"/>
      <c r="K1620" s="314"/>
      <c r="L1620" s="314"/>
      <c r="M1620" s="314"/>
      <c r="N1620" s="314"/>
      <c r="O1620" s="314"/>
      <c r="P1620" s="314"/>
      <c r="Q1620" s="314"/>
      <c r="R1620" s="314"/>
      <c r="S1620" s="314"/>
      <c r="T1620" s="314"/>
      <c r="U1620" s="314"/>
      <c r="V1620" s="314"/>
      <c r="W1620" s="314"/>
      <c r="X1620" s="314"/>
      <c r="Y1620" s="314"/>
      <c r="Z1620" s="314"/>
      <c r="AA1620" s="314"/>
      <c r="AB1620" s="314"/>
      <c r="AC1620" s="314"/>
      <c r="AD1620" s="314"/>
      <c r="AE1620" s="314"/>
      <c r="AF1620" s="314"/>
    </row>
    <row r="1621" spans="5:32" x14ac:dyDescent="0.35">
      <c r="E1621" s="314"/>
      <c r="F1621" s="314"/>
      <c r="G1621" s="314"/>
      <c r="H1621" s="314"/>
      <c r="I1621" s="314"/>
      <c r="J1621" s="314"/>
      <c r="K1621" s="314"/>
      <c r="L1621" s="314"/>
      <c r="M1621" s="314"/>
      <c r="N1621" s="314"/>
      <c r="O1621" s="314"/>
      <c r="P1621" s="314"/>
      <c r="Q1621" s="314"/>
      <c r="R1621" s="314"/>
      <c r="S1621" s="314"/>
      <c r="T1621" s="314"/>
      <c r="U1621" s="314"/>
      <c r="V1621" s="314"/>
      <c r="W1621" s="314"/>
      <c r="X1621" s="314"/>
      <c r="Y1621" s="314"/>
      <c r="Z1621" s="314"/>
      <c r="AA1621" s="314"/>
      <c r="AB1621" s="314"/>
      <c r="AC1621" s="314"/>
      <c r="AD1621" s="314"/>
      <c r="AE1621" s="314"/>
      <c r="AF1621" s="314"/>
    </row>
    <row r="1622" spans="5:32" x14ac:dyDescent="0.35">
      <c r="E1622" s="314"/>
      <c r="F1622" s="314"/>
      <c r="G1622" s="314"/>
      <c r="H1622" s="314"/>
      <c r="I1622" s="314"/>
      <c r="J1622" s="314"/>
      <c r="K1622" s="314"/>
      <c r="L1622" s="314"/>
      <c r="M1622" s="314"/>
      <c r="N1622" s="314"/>
      <c r="O1622" s="314"/>
      <c r="P1622" s="314"/>
      <c r="Q1622" s="314"/>
      <c r="R1622" s="314"/>
      <c r="S1622" s="314"/>
      <c r="T1622" s="314"/>
      <c r="U1622" s="314"/>
      <c r="V1622" s="314"/>
      <c r="W1622" s="314"/>
      <c r="X1622" s="314"/>
      <c r="Y1622" s="314"/>
      <c r="Z1622" s="314"/>
      <c r="AA1622" s="314"/>
      <c r="AB1622" s="314"/>
      <c r="AC1622" s="314"/>
      <c r="AD1622" s="314"/>
      <c r="AE1622" s="314"/>
      <c r="AF1622" s="314"/>
    </row>
    <row r="1623" spans="5:32" x14ac:dyDescent="0.35">
      <c r="E1623" s="314"/>
      <c r="F1623" s="314"/>
      <c r="G1623" s="314"/>
      <c r="H1623" s="314"/>
      <c r="I1623" s="314"/>
      <c r="J1623" s="314"/>
      <c r="K1623" s="314"/>
      <c r="L1623" s="314"/>
      <c r="M1623" s="314"/>
      <c r="N1623" s="314"/>
      <c r="O1623" s="314"/>
      <c r="P1623" s="314"/>
      <c r="Q1623" s="314"/>
      <c r="R1623" s="314"/>
      <c r="S1623" s="314"/>
      <c r="T1623" s="314"/>
      <c r="U1623" s="314"/>
      <c r="V1623" s="314"/>
      <c r="W1623" s="314"/>
      <c r="X1623" s="314"/>
      <c r="Y1623" s="314"/>
      <c r="Z1623" s="314"/>
      <c r="AA1623" s="314"/>
      <c r="AB1623" s="314"/>
      <c r="AC1623" s="314"/>
      <c r="AD1623" s="314"/>
      <c r="AE1623" s="314"/>
      <c r="AF1623" s="314"/>
    </row>
    <row r="1624" spans="5:32" x14ac:dyDescent="0.35">
      <c r="E1624" s="314"/>
      <c r="F1624" s="314"/>
      <c r="G1624" s="314"/>
      <c r="H1624" s="314"/>
      <c r="I1624" s="314"/>
      <c r="J1624" s="314"/>
      <c r="K1624" s="314"/>
      <c r="L1624" s="314"/>
      <c r="M1624" s="314"/>
      <c r="N1624" s="314"/>
      <c r="O1624" s="314"/>
      <c r="P1624" s="314"/>
      <c r="Q1624" s="314"/>
      <c r="R1624" s="314"/>
      <c r="S1624" s="314"/>
      <c r="T1624" s="314"/>
      <c r="U1624" s="314"/>
      <c r="V1624" s="314"/>
      <c r="W1624" s="314"/>
      <c r="X1624" s="314"/>
      <c r="Y1624" s="314"/>
      <c r="Z1624" s="314"/>
      <c r="AA1624" s="314"/>
      <c r="AB1624" s="314"/>
      <c r="AC1624" s="314"/>
      <c r="AD1624" s="314"/>
      <c r="AE1624" s="314"/>
      <c r="AF1624" s="314"/>
    </row>
    <row r="1625" spans="5:32" x14ac:dyDescent="0.35">
      <c r="E1625" s="314"/>
      <c r="F1625" s="314"/>
      <c r="G1625" s="314"/>
      <c r="H1625" s="314"/>
      <c r="I1625" s="314"/>
      <c r="J1625" s="314"/>
      <c r="K1625" s="314"/>
      <c r="L1625" s="314"/>
      <c r="M1625" s="314"/>
      <c r="N1625" s="314"/>
      <c r="O1625" s="314"/>
      <c r="P1625" s="314"/>
      <c r="Q1625" s="314"/>
      <c r="R1625" s="314"/>
      <c r="S1625" s="314"/>
      <c r="T1625" s="314"/>
      <c r="U1625" s="314"/>
      <c r="V1625" s="314"/>
      <c r="W1625" s="314"/>
      <c r="X1625" s="314"/>
      <c r="Y1625" s="314"/>
      <c r="Z1625" s="314"/>
      <c r="AA1625" s="314"/>
      <c r="AB1625" s="314"/>
      <c r="AC1625" s="314"/>
      <c r="AD1625" s="314"/>
      <c r="AE1625" s="314"/>
      <c r="AF1625" s="314"/>
    </row>
    <row r="1626" spans="5:32" x14ac:dyDescent="0.35">
      <c r="E1626" s="314"/>
      <c r="F1626" s="314"/>
      <c r="G1626" s="314"/>
      <c r="H1626" s="314"/>
      <c r="I1626" s="314"/>
      <c r="J1626" s="314"/>
      <c r="K1626" s="314"/>
      <c r="L1626" s="314"/>
      <c r="M1626" s="314"/>
      <c r="N1626" s="314"/>
      <c r="O1626" s="314"/>
      <c r="P1626" s="314"/>
      <c r="Q1626" s="314"/>
      <c r="R1626" s="314"/>
      <c r="S1626" s="314"/>
      <c r="T1626" s="314"/>
      <c r="U1626" s="314"/>
      <c r="V1626" s="314"/>
      <c r="W1626" s="314"/>
      <c r="X1626" s="314"/>
      <c r="Y1626" s="314"/>
      <c r="Z1626" s="314"/>
      <c r="AA1626" s="314"/>
      <c r="AB1626" s="314"/>
      <c r="AC1626" s="314"/>
      <c r="AD1626" s="314"/>
      <c r="AE1626" s="314"/>
      <c r="AF1626" s="314"/>
    </row>
    <row r="1627" spans="5:32" x14ac:dyDescent="0.35">
      <c r="E1627" s="314"/>
      <c r="F1627" s="314"/>
      <c r="G1627" s="314"/>
      <c r="H1627" s="314"/>
      <c r="I1627" s="314"/>
      <c r="J1627" s="314"/>
      <c r="K1627" s="314"/>
      <c r="L1627" s="314"/>
      <c r="M1627" s="314"/>
      <c r="N1627" s="314"/>
      <c r="O1627" s="314"/>
      <c r="P1627" s="314"/>
      <c r="Q1627" s="314"/>
      <c r="R1627" s="314"/>
      <c r="S1627" s="314"/>
      <c r="T1627" s="314"/>
      <c r="U1627" s="314"/>
      <c r="V1627" s="314"/>
      <c r="W1627" s="314"/>
      <c r="X1627" s="314"/>
      <c r="Y1627" s="314"/>
      <c r="Z1627" s="314"/>
      <c r="AA1627" s="314"/>
      <c r="AB1627" s="314"/>
      <c r="AC1627" s="314"/>
      <c r="AD1627" s="314"/>
      <c r="AE1627" s="314"/>
      <c r="AF1627" s="314"/>
    </row>
    <row r="1628" spans="5:32" x14ac:dyDescent="0.35">
      <c r="E1628" s="314"/>
      <c r="F1628" s="314"/>
      <c r="G1628" s="314"/>
      <c r="H1628" s="314"/>
      <c r="I1628" s="314"/>
      <c r="J1628" s="314"/>
      <c r="K1628" s="314"/>
      <c r="L1628" s="314"/>
      <c r="M1628" s="314"/>
      <c r="N1628" s="314"/>
      <c r="O1628" s="314"/>
      <c r="P1628" s="314"/>
      <c r="Q1628" s="314"/>
      <c r="R1628" s="314"/>
      <c r="S1628" s="314"/>
      <c r="T1628" s="314"/>
      <c r="U1628" s="314"/>
      <c r="V1628" s="314"/>
      <c r="W1628" s="314"/>
      <c r="X1628" s="314"/>
      <c r="Y1628" s="314"/>
      <c r="Z1628" s="314"/>
      <c r="AA1628" s="314"/>
      <c r="AB1628" s="314"/>
      <c r="AC1628" s="314"/>
      <c r="AD1628" s="314"/>
      <c r="AE1628" s="314"/>
      <c r="AF1628" s="314"/>
    </row>
    <row r="1629" spans="5:32" x14ac:dyDescent="0.35">
      <c r="E1629" s="314"/>
      <c r="F1629" s="314"/>
      <c r="G1629" s="314"/>
      <c r="H1629" s="314"/>
      <c r="I1629" s="314"/>
      <c r="J1629" s="314"/>
      <c r="K1629" s="314"/>
      <c r="L1629" s="314"/>
      <c r="M1629" s="314"/>
      <c r="N1629" s="314"/>
      <c r="O1629" s="314"/>
      <c r="P1629" s="314"/>
      <c r="Q1629" s="314"/>
      <c r="R1629" s="314"/>
      <c r="S1629" s="314"/>
      <c r="T1629" s="314"/>
      <c r="U1629" s="314"/>
      <c r="V1629" s="314"/>
      <c r="W1629" s="314"/>
      <c r="X1629" s="314"/>
      <c r="Y1629" s="314"/>
      <c r="Z1629" s="314"/>
      <c r="AA1629" s="314"/>
      <c r="AB1629" s="314"/>
      <c r="AC1629" s="314"/>
      <c r="AD1629" s="314"/>
      <c r="AE1629" s="314"/>
      <c r="AF1629" s="314"/>
    </row>
    <row r="1630" spans="5:32" x14ac:dyDescent="0.35">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314"/>
      <c r="AE1630" s="314"/>
      <c r="AF1630" s="314"/>
    </row>
    <row r="1631" spans="5:32" x14ac:dyDescent="0.35">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314"/>
      <c r="AF1631" s="314"/>
    </row>
    <row r="1632" spans="5:32" x14ac:dyDescent="0.35">
      <c r="E1632" s="314"/>
      <c r="F1632" s="314"/>
      <c r="G1632" s="314"/>
      <c r="H1632" s="314"/>
      <c r="I1632" s="314"/>
      <c r="J1632" s="314"/>
      <c r="K1632" s="314"/>
      <c r="L1632" s="314"/>
      <c r="M1632" s="314"/>
      <c r="N1632" s="314"/>
      <c r="O1632" s="314"/>
      <c r="P1632" s="314"/>
      <c r="Q1632" s="314"/>
      <c r="R1632" s="314"/>
      <c r="S1632" s="314"/>
      <c r="T1632" s="314"/>
      <c r="U1632" s="314"/>
      <c r="V1632" s="314"/>
      <c r="W1632" s="314"/>
      <c r="X1632" s="314"/>
      <c r="Y1632" s="314"/>
      <c r="Z1632" s="314"/>
      <c r="AA1632" s="314"/>
      <c r="AB1632" s="314"/>
      <c r="AC1632" s="314"/>
      <c r="AD1632" s="314"/>
      <c r="AE1632" s="314"/>
      <c r="AF1632" s="314"/>
    </row>
    <row r="1633" spans="5:32" x14ac:dyDescent="0.35">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314"/>
      <c r="AE1633" s="314"/>
      <c r="AF1633" s="314"/>
    </row>
    <row r="1634" spans="5:32" x14ac:dyDescent="0.35">
      <c r="E1634" s="314"/>
      <c r="F1634" s="314"/>
      <c r="G1634" s="314"/>
      <c r="H1634" s="314"/>
      <c r="I1634" s="314"/>
      <c r="J1634" s="314"/>
      <c r="K1634" s="314"/>
      <c r="L1634" s="314"/>
      <c r="M1634" s="314"/>
      <c r="N1634" s="314"/>
      <c r="O1634" s="314"/>
      <c r="P1634" s="314"/>
      <c r="Q1634" s="314"/>
      <c r="R1634" s="314"/>
      <c r="S1634" s="314"/>
      <c r="T1634" s="314"/>
      <c r="U1634" s="314"/>
      <c r="V1634" s="314"/>
      <c r="W1634" s="314"/>
      <c r="X1634" s="314"/>
      <c r="Y1634" s="314"/>
      <c r="Z1634" s="314"/>
      <c r="AA1634" s="314"/>
      <c r="AB1634" s="314"/>
      <c r="AC1634" s="314"/>
      <c r="AD1634" s="314"/>
      <c r="AE1634" s="314"/>
      <c r="AF1634" s="314"/>
    </row>
    <row r="1635" spans="5:32" x14ac:dyDescent="0.35">
      <c r="E1635" s="314"/>
      <c r="F1635" s="314"/>
      <c r="G1635" s="314"/>
      <c r="H1635" s="314"/>
      <c r="I1635" s="314"/>
      <c r="J1635" s="314"/>
      <c r="K1635" s="314"/>
      <c r="L1635" s="314"/>
      <c r="M1635" s="314"/>
      <c r="N1635" s="314"/>
      <c r="O1635" s="314"/>
      <c r="P1635" s="314"/>
      <c r="Q1635" s="314"/>
      <c r="R1635" s="314"/>
      <c r="S1635" s="314"/>
      <c r="T1635" s="314"/>
      <c r="U1635" s="314"/>
      <c r="V1635" s="314"/>
      <c r="W1635" s="314"/>
      <c r="X1635" s="314"/>
      <c r="Y1635" s="314"/>
      <c r="Z1635" s="314"/>
      <c r="AA1635" s="314"/>
      <c r="AB1635" s="314"/>
      <c r="AC1635" s="314"/>
      <c r="AD1635" s="314"/>
      <c r="AE1635" s="314"/>
      <c r="AF1635" s="314"/>
    </row>
    <row r="1636" spans="5:32" x14ac:dyDescent="0.35">
      <c r="E1636" s="314"/>
      <c r="F1636" s="314"/>
      <c r="G1636" s="314"/>
      <c r="H1636" s="314"/>
      <c r="I1636" s="314"/>
      <c r="J1636" s="314"/>
      <c r="K1636" s="314"/>
      <c r="L1636" s="314"/>
      <c r="M1636" s="314"/>
      <c r="N1636" s="314"/>
      <c r="O1636" s="314"/>
      <c r="P1636" s="314"/>
      <c r="Q1636" s="314"/>
      <c r="R1636" s="314"/>
      <c r="S1636" s="314"/>
      <c r="T1636" s="314"/>
      <c r="U1636" s="314"/>
      <c r="V1636" s="314"/>
      <c r="W1636" s="314"/>
      <c r="X1636" s="314"/>
      <c r="Y1636" s="314"/>
      <c r="Z1636" s="314"/>
      <c r="AA1636" s="314"/>
      <c r="AB1636" s="314"/>
      <c r="AC1636" s="314"/>
      <c r="AD1636" s="314"/>
      <c r="AE1636" s="314"/>
      <c r="AF1636" s="314"/>
    </row>
    <row r="1637" spans="5:32" x14ac:dyDescent="0.35">
      <c r="E1637" s="314"/>
      <c r="F1637" s="314"/>
      <c r="G1637" s="314"/>
      <c r="H1637" s="314"/>
      <c r="I1637" s="314"/>
      <c r="J1637" s="314"/>
      <c r="K1637" s="314"/>
      <c r="L1637" s="314"/>
      <c r="M1637" s="314"/>
      <c r="N1637" s="314"/>
      <c r="O1637" s="314"/>
      <c r="P1637" s="314"/>
      <c r="Q1637" s="314"/>
      <c r="R1637" s="314"/>
      <c r="S1637" s="314"/>
      <c r="T1637" s="314"/>
      <c r="U1637" s="314"/>
      <c r="V1637" s="314"/>
      <c r="W1637" s="314"/>
      <c r="X1637" s="314"/>
      <c r="Y1637" s="314"/>
      <c r="Z1637" s="314"/>
      <c r="AA1637" s="314"/>
      <c r="AB1637" s="314"/>
      <c r="AC1637" s="314"/>
      <c r="AD1637" s="314"/>
      <c r="AE1637" s="314"/>
      <c r="AF1637" s="314"/>
    </row>
    <row r="1638" spans="5:32" x14ac:dyDescent="0.35">
      <c r="E1638" s="314"/>
      <c r="F1638" s="314"/>
      <c r="G1638" s="314"/>
      <c r="H1638" s="314"/>
      <c r="I1638" s="314"/>
      <c r="J1638" s="314"/>
      <c r="K1638" s="314"/>
      <c r="L1638" s="314"/>
      <c r="M1638" s="314"/>
      <c r="N1638" s="314"/>
      <c r="O1638" s="314"/>
      <c r="P1638" s="314"/>
      <c r="Q1638" s="314"/>
      <c r="R1638" s="314"/>
      <c r="S1638" s="314"/>
      <c r="T1638" s="314"/>
      <c r="U1638" s="314"/>
      <c r="V1638" s="314"/>
      <c r="W1638" s="314"/>
      <c r="X1638" s="314"/>
      <c r="Y1638" s="314"/>
      <c r="Z1638" s="314"/>
      <c r="AA1638" s="314"/>
      <c r="AB1638" s="314"/>
      <c r="AC1638" s="314"/>
      <c r="AD1638" s="314"/>
      <c r="AE1638" s="314"/>
      <c r="AF1638" s="314"/>
    </row>
    <row r="1639" spans="5:32" x14ac:dyDescent="0.35">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314"/>
      <c r="AE1639" s="314"/>
      <c r="AF1639" s="314"/>
    </row>
    <row r="1640" spans="5:32" x14ac:dyDescent="0.35">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314"/>
      <c r="AF1640" s="314"/>
    </row>
    <row r="1641" spans="5:32" x14ac:dyDescent="0.35">
      <c r="E1641" s="314"/>
      <c r="F1641" s="314"/>
      <c r="G1641" s="314"/>
      <c r="H1641" s="314"/>
      <c r="I1641" s="314"/>
      <c r="J1641" s="314"/>
      <c r="K1641" s="314"/>
      <c r="L1641" s="314"/>
      <c r="M1641" s="314"/>
      <c r="N1641" s="314"/>
      <c r="O1641" s="314"/>
      <c r="P1641" s="314"/>
      <c r="Q1641" s="314"/>
      <c r="R1641" s="314"/>
      <c r="S1641" s="314"/>
      <c r="T1641" s="314"/>
      <c r="U1641" s="314"/>
      <c r="V1641" s="314"/>
      <c r="W1641" s="314"/>
      <c r="X1641" s="314"/>
      <c r="Y1641" s="314"/>
      <c r="Z1641" s="314"/>
      <c r="AA1641" s="314"/>
      <c r="AB1641" s="314"/>
      <c r="AC1641" s="314"/>
      <c r="AD1641" s="314"/>
      <c r="AE1641" s="314"/>
      <c r="AF1641" s="314"/>
    </row>
    <row r="1642" spans="5:32" x14ac:dyDescent="0.35">
      <c r="E1642" s="314"/>
      <c r="F1642" s="314"/>
      <c r="G1642" s="314"/>
      <c r="H1642" s="314"/>
      <c r="I1642" s="314"/>
      <c r="J1642" s="314"/>
      <c r="K1642" s="314"/>
      <c r="L1642" s="314"/>
      <c r="M1642" s="314"/>
      <c r="N1642" s="314"/>
      <c r="O1642" s="314"/>
      <c r="P1642" s="314"/>
      <c r="Q1642" s="314"/>
      <c r="R1642" s="314"/>
      <c r="S1642" s="314"/>
      <c r="T1642" s="314"/>
      <c r="U1642" s="314"/>
      <c r="V1642" s="314"/>
      <c r="W1642" s="314"/>
      <c r="X1642" s="314"/>
      <c r="Y1642" s="314"/>
      <c r="Z1642" s="314"/>
      <c r="AA1642" s="314"/>
      <c r="AB1642" s="314"/>
      <c r="AC1642" s="314"/>
      <c r="AD1642" s="314"/>
      <c r="AE1642" s="314"/>
      <c r="AF1642" s="314"/>
    </row>
    <row r="1643" spans="5:32" x14ac:dyDescent="0.35">
      <c r="E1643" s="314"/>
      <c r="F1643" s="314"/>
      <c r="G1643" s="314"/>
      <c r="H1643" s="314"/>
      <c r="I1643" s="314"/>
      <c r="J1643" s="314"/>
      <c r="K1643" s="314"/>
      <c r="L1643" s="314"/>
      <c r="M1643" s="314"/>
      <c r="N1643" s="314"/>
      <c r="O1643" s="314"/>
      <c r="P1643" s="314"/>
      <c r="Q1643" s="314"/>
      <c r="R1643" s="314"/>
      <c r="S1643" s="314"/>
      <c r="T1643" s="314"/>
      <c r="U1643" s="314"/>
      <c r="V1643" s="314"/>
      <c r="W1643" s="314"/>
      <c r="X1643" s="314"/>
      <c r="Y1643" s="314"/>
      <c r="Z1643" s="314"/>
      <c r="AA1643" s="314"/>
      <c r="AB1643" s="314"/>
      <c r="AC1643" s="314"/>
      <c r="AD1643" s="314"/>
      <c r="AE1643" s="314"/>
      <c r="AF1643" s="314"/>
    </row>
    <row r="1644" spans="5:32" x14ac:dyDescent="0.35">
      <c r="E1644" s="314"/>
      <c r="F1644" s="314"/>
      <c r="G1644" s="314"/>
      <c r="H1644" s="314"/>
      <c r="I1644" s="314"/>
      <c r="J1644" s="314"/>
      <c r="K1644" s="314"/>
      <c r="L1644" s="314"/>
      <c r="M1644" s="314"/>
      <c r="N1644" s="314"/>
      <c r="O1644" s="314"/>
      <c r="P1644" s="314"/>
      <c r="Q1644" s="314"/>
      <c r="R1644" s="314"/>
      <c r="S1644" s="314"/>
      <c r="T1644" s="314"/>
      <c r="U1644" s="314"/>
      <c r="V1644" s="314"/>
      <c r="W1644" s="314"/>
      <c r="X1644" s="314"/>
      <c r="Y1644" s="314"/>
      <c r="Z1644" s="314"/>
      <c r="AA1644" s="314"/>
      <c r="AB1644" s="314"/>
      <c r="AC1644" s="314"/>
      <c r="AD1644" s="314"/>
      <c r="AE1644" s="314"/>
      <c r="AF1644" s="314"/>
    </row>
    <row r="1645" spans="5:32" x14ac:dyDescent="0.35">
      <c r="E1645" s="314"/>
      <c r="F1645" s="314"/>
      <c r="G1645" s="314"/>
      <c r="H1645" s="314"/>
      <c r="I1645" s="314"/>
      <c r="J1645" s="314"/>
      <c r="K1645" s="314"/>
      <c r="L1645" s="314"/>
      <c r="M1645" s="314"/>
      <c r="N1645" s="314"/>
      <c r="O1645" s="314"/>
      <c r="P1645" s="314"/>
      <c r="Q1645" s="314"/>
      <c r="R1645" s="314"/>
      <c r="S1645" s="314"/>
      <c r="T1645" s="314"/>
      <c r="U1645" s="314"/>
      <c r="V1645" s="314"/>
      <c r="W1645" s="314"/>
      <c r="X1645" s="314"/>
      <c r="Y1645" s="314"/>
      <c r="Z1645" s="314"/>
      <c r="AA1645" s="314"/>
      <c r="AB1645" s="314"/>
      <c r="AC1645" s="314"/>
      <c r="AD1645" s="314"/>
      <c r="AE1645" s="314"/>
      <c r="AF1645" s="314"/>
    </row>
    <row r="1646" spans="5:32" x14ac:dyDescent="0.35">
      <c r="E1646" s="314"/>
      <c r="F1646" s="314"/>
      <c r="G1646" s="314"/>
      <c r="H1646" s="314"/>
      <c r="I1646" s="314"/>
      <c r="J1646" s="314"/>
      <c r="K1646" s="314"/>
      <c r="L1646" s="314"/>
      <c r="M1646" s="314"/>
      <c r="N1646" s="314"/>
      <c r="O1646" s="314"/>
      <c r="P1646" s="314"/>
      <c r="Q1646" s="314"/>
      <c r="R1646" s="314"/>
      <c r="S1646" s="314"/>
      <c r="T1646" s="314"/>
      <c r="U1646" s="314"/>
      <c r="V1646" s="314"/>
      <c r="W1646" s="314"/>
      <c r="X1646" s="314"/>
      <c r="Y1646" s="314"/>
      <c r="Z1646" s="314"/>
      <c r="AA1646" s="314"/>
      <c r="AB1646" s="314"/>
      <c r="AC1646" s="314"/>
      <c r="AD1646" s="314"/>
      <c r="AE1646" s="314"/>
      <c r="AF1646" s="314"/>
    </row>
    <row r="1647" spans="5:32" x14ac:dyDescent="0.35">
      <c r="E1647" s="314"/>
      <c r="F1647" s="314"/>
      <c r="G1647" s="314"/>
      <c r="H1647" s="314"/>
      <c r="I1647" s="314"/>
      <c r="J1647" s="314"/>
      <c r="K1647" s="314"/>
      <c r="L1647" s="314"/>
      <c r="M1647" s="314"/>
      <c r="N1647" s="314"/>
      <c r="O1647" s="314"/>
      <c r="P1647" s="314"/>
      <c r="Q1647" s="314"/>
      <c r="R1647" s="314"/>
      <c r="S1647" s="314"/>
      <c r="T1647" s="314"/>
      <c r="U1647" s="314"/>
      <c r="V1647" s="314"/>
      <c r="W1647" s="314"/>
      <c r="X1647" s="314"/>
      <c r="Y1647" s="314"/>
      <c r="Z1647" s="314"/>
      <c r="AA1647" s="314"/>
      <c r="AB1647" s="314"/>
      <c r="AC1647" s="314"/>
      <c r="AD1647" s="314"/>
      <c r="AE1647" s="314"/>
      <c r="AF1647" s="314"/>
    </row>
    <row r="1648" spans="5:32" x14ac:dyDescent="0.35">
      <c r="E1648" s="314"/>
      <c r="F1648" s="314"/>
      <c r="G1648" s="314"/>
      <c r="H1648" s="314"/>
      <c r="I1648" s="314"/>
      <c r="J1648" s="314"/>
      <c r="K1648" s="314"/>
      <c r="L1648" s="314"/>
      <c r="M1648" s="314"/>
      <c r="N1648" s="314"/>
      <c r="O1648" s="314"/>
      <c r="P1648" s="314"/>
      <c r="Q1648" s="314"/>
      <c r="R1648" s="314"/>
      <c r="S1648" s="314"/>
      <c r="T1648" s="314"/>
      <c r="U1648" s="314"/>
      <c r="V1648" s="314"/>
      <c r="W1648" s="314"/>
      <c r="X1648" s="314"/>
      <c r="Y1648" s="314"/>
      <c r="Z1648" s="314"/>
      <c r="AA1648" s="314"/>
      <c r="AB1648" s="314"/>
      <c r="AC1648" s="314"/>
      <c r="AD1648" s="314"/>
      <c r="AE1648" s="314"/>
      <c r="AF1648" s="314"/>
    </row>
    <row r="1649" spans="5:32" x14ac:dyDescent="0.35">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4"/>
      <c r="AD1649" s="314"/>
      <c r="AE1649" s="314"/>
      <c r="AF1649" s="314"/>
    </row>
    <row r="1650" spans="5:32" x14ac:dyDescent="0.35">
      <c r="E1650" s="314"/>
      <c r="F1650" s="314"/>
      <c r="G1650" s="314"/>
      <c r="H1650" s="314"/>
      <c r="I1650" s="314"/>
      <c r="J1650" s="314"/>
      <c r="K1650" s="314"/>
      <c r="L1650" s="314"/>
      <c r="M1650" s="314"/>
      <c r="N1650" s="314"/>
      <c r="O1650" s="314"/>
      <c r="P1650" s="314"/>
      <c r="Q1650" s="314"/>
      <c r="R1650" s="314"/>
      <c r="S1650" s="314"/>
      <c r="T1650" s="314"/>
      <c r="U1650" s="314"/>
      <c r="V1650" s="314"/>
      <c r="W1650" s="314"/>
      <c r="X1650" s="314"/>
      <c r="Y1650" s="314"/>
      <c r="Z1650" s="314"/>
      <c r="AA1650" s="314"/>
      <c r="AB1650" s="314"/>
      <c r="AC1650" s="314"/>
      <c r="AD1650" s="314"/>
      <c r="AE1650" s="314"/>
      <c r="AF1650" s="314"/>
    </row>
    <row r="1651" spans="5:32" x14ac:dyDescent="0.35">
      <c r="E1651" s="314"/>
      <c r="F1651" s="314"/>
      <c r="G1651" s="314"/>
      <c r="H1651" s="314"/>
      <c r="I1651" s="314"/>
      <c r="J1651" s="314"/>
      <c r="K1651" s="314"/>
      <c r="L1651" s="314"/>
      <c r="M1651" s="314"/>
      <c r="N1651" s="314"/>
      <c r="O1651" s="314"/>
      <c r="P1651" s="314"/>
      <c r="Q1651" s="314"/>
      <c r="R1651" s="314"/>
      <c r="S1651" s="314"/>
      <c r="T1651" s="314"/>
      <c r="U1651" s="314"/>
      <c r="V1651" s="314"/>
      <c r="W1651" s="314"/>
      <c r="X1651" s="314"/>
      <c r="Y1651" s="314"/>
      <c r="Z1651" s="314"/>
      <c r="AA1651" s="314"/>
      <c r="AB1651" s="314"/>
      <c r="AC1651" s="314"/>
      <c r="AD1651" s="314"/>
      <c r="AE1651" s="314"/>
      <c r="AF1651" s="314"/>
    </row>
    <row r="1652" spans="5:32" x14ac:dyDescent="0.35">
      <c r="E1652" s="314"/>
      <c r="F1652" s="314"/>
      <c r="G1652" s="314"/>
      <c r="H1652" s="314"/>
      <c r="I1652" s="314"/>
      <c r="J1652" s="314"/>
      <c r="K1652" s="314"/>
      <c r="L1652" s="314"/>
      <c r="M1652" s="314"/>
      <c r="N1652" s="314"/>
      <c r="O1652" s="314"/>
      <c r="P1652" s="314"/>
      <c r="Q1652" s="314"/>
      <c r="R1652" s="314"/>
      <c r="S1652" s="314"/>
      <c r="T1652" s="314"/>
      <c r="U1652" s="314"/>
      <c r="V1652" s="314"/>
      <c r="W1652" s="314"/>
      <c r="X1652" s="314"/>
      <c r="Y1652" s="314"/>
      <c r="Z1652" s="314"/>
      <c r="AA1652" s="314"/>
      <c r="AB1652" s="314"/>
      <c r="AC1652" s="314"/>
      <c r="AD1652" s="314"/>
      <c r="AE1652" s="314"/>
      <c r="AF1652" s="314"/>
    </row>
    <row r="1653" spans="5:32" x14ac:dyDescent="0.35">
      <c r="E1653" s="314"/>
      <c r="F1653" s="314"/>
      <c r="G1653" s="314"/>
      <c r="H1653" s="314"/>
      <c r="I1653" s="314"/>
      <c r="J1653" s="314"/>
      <c r="K1653" s="314"/>
      <c r="L1653" s="314"/>
      <c r="M1653" s="314"/>
      <c r="N1653" s="314"/>
      <c r="O1653" s="314"/>
      <c r="P1653" s="314"/>
      <c r="Q1653" s="314"/>
      <c r="R1653" s="314"/>
      <c r="S1653" s="314"/>
      <c r="T1653" s="314"/>
      <c r="U1653" s="314"/>
      <c r="V1653" s="314"/>
      <c r="W1653" s="314"/>
      <c r="X1653" s="314"/>
      <c r="Y1653" s="314"/>
      <c r="Z1653" s="314"/>
      <c r="AA1653" s="314"/>
      <c r="AB1653" s="314"/>
      <c r="AC1653" s="314"/>
      <c r="AD1653" s="314"/>
      <c r="AE1653" s="314"/>
      <c r="AF1653" s="314"/>
    </row>
    <row r="1654" spans="5:32" x14ac:dyDescent="0.35">
      <c r="E1654" s="314"/>
      <c r="F1654" s="314"/>
      <c r="G1654" s="314"/>
      <c r="H1654" s="314"/>
      <c r="I1654" s="314"/>
      <c r="J1654" s="314"/>
      <c r="K1654" s="314"/>
      <c r="L1654" s="314"/>
      <c r="M1654" s="314"/>
      <c r="N1654" s="314"/>
      <c r="O1654" s="314"/>
      <c r="P1654" s="314"/>
      <c r="Q1654" s="314"/>
      <c r="R1654" s="314"/>
      <c r="S1654" s="314"/>
      <c r="T1654" s="314"/>
      <c r="U1654" s="314"/>
      <c r="V1654" s="314"/>
      <c r="W1654" s="314"/>
      <c r="X1654" s="314"/>
      <c r="Y1654" s="314"/>
      <c r="Z1654" s="314"/>
      <c r="AA1654" s="314"/>
      <c r="AB1654" s="314"/>
      <c r="AC1654" s="314"/>
      <c r="AD1654" s="314"/>
      <c r="AE1654" s="314"/>
      <c r="AF1654" s="314"/>
    </row>
    <row r="1655" spans="5:32" x14ac:dyDescent="0.35">
      <c r="E1655" s="314"/>
      <c r="F1655" s="314"/>
      <c r="G1655" s="314"/>
      <c r="H1655" s="314"/>
      <c r="I1655" s="314"/>
      <c r="J1655" s="314"/>
      <c r="K1655" s="314"/>
      <c r="L1655" s="314"/>
      <c r="M1655" s="314"/>
      <c r="N1655" s="314"/>
      <c r="O1655" s="314"/>
      <c r="P1655" s="314"/>
      <c r="Q1655" s="314"/>
      <c r="R1655" s="314"/>
      <c r="S1655" s="314"/>
      <c r="T1655" s="314"/>
      <c r="U1655" s="314"/>
      <c r="V1655" s="314"/>
      <c r="W1655" s="314"/>
      <c r="X1655" s="314"/>
      <c r="Y1655" s="314"/>
      <c r="Z1655" s="314"/>
      <c r="AA1655" s="314"/>
      <c r="AB1655" s="314"/>
      <c r="AC1655" s="314"/>
      <c r="AD1655" s="314"/>
      <c r="AE1655" s="314"/>
      <c r="AF1655" s="314"/>
    </row>
    <row r="1656" spans="5:32" x14ac:dyDescent="0.35">
      <c r="E1656" s="314"/>
      <c r="F1656" s="314"/>
      <c r="G1656" s="314"/>
      <c r="H1656" s="314"/>
      <c r="I1656" s="314"/>
      <c r="J1656" s="314"/>
      <c r="K1656" s="314"/>
      <c r="L1656" s="314"/>
      <c r="M1656" s="314"/>
      <c r="N1656" s="314"/>
      <c r="O1656" s="314"/>
      <c r="P1656" s="314"/>
      <c r="Q1656" s="314"/>
      <c r="R1656" s="314"/>
      <c r="S1656" s="314"/>
      <c r="T1656" s="314"/>
      <c r="U1656" s="314"/>
      <c r="V1656" s="314"/>
      <c r="W1656" s="314"/>
      <c r="X1656" s="314"/>
      <c r="Y1656" s="314"/>
      <c r="Z1656" s="314"/>
      <c r="AA1656" s="314"/>
      <c r="AB1656" s="314"/>
      <c r="AC1656" s="314"/>
      <c r="AD1656" s="314"/>
      <c r="AE1656" s="314"/>
      <c r="AF1656" s="314"/>
    </row>
    <row r="1657" spans="5:32" x14ac:dyDescent="0.35">
      <c r="E1657" s="314"/>
      <c r="F1657" s="314"/>
      <c r="G1657" s="314"/>
      <c r="H1657" s="314"/>
      <c r="I1657" s="314"/>
      <c r="J1657" s="314"/>
      <c r="K1657" s="314"/>
      <c r="L1657" s="314"/>
      <c r="M1657" s="314"/>
      <c r="N1657" s="314"/>
      <c r="O1657" s="314"/>
      <c r="P1657" s="314"/>
      <c r="Q1657" s="314"/>
      <c r="R1657" s="314"/>
      <c r="S1657" s="314"/>
      <c r="T1657" s="314"/>
      <c r="U1657" s="314"/>
      <c r="V1657" s="314"/>
      <c r="W1657" s="314"/>
      <c r="X1657" s="314"/>
      <c r="Y1657" s="314"/>
      <c r="Z1657" s="314"/>
      <c r="AA1657" s="314"/>
      <c r="AB1657" s="314"/>
      <c r="AC1657" s="314"/>
      <c r="AD1657" s="314"/>
      <c r="AE1657" s="314"/>
      <c r="AF1657" s="314"/>
    </row>
    <row r="1658" spans="5:32" x14ac:dyDescent="0.35">
      <c r="E1658" s="314"/>
      <c r="F1658" s="314"/>
      <c r="G1658" s="314"/>
      <c r="H1658" s="314"/>
      <c r="I1658" s="314"/>
      <c r="J1658" s="314"/>
      <c r="K1658" s="314"/>
      <c r="L1658" s="314"/>
      <c r="M1658" s="314"/>
      <c r="N1658" s="314"/>
      <c r="O1658" s="314"/>
      <c r="P1658" s="314"/>
      <c r="Q1658" s="314"/>
      <c r="R1658" s="314"/>
      <c r="S1658" s="314"/>
      <c r="T1658" s="314"/>
      <c r="U1658" s="314"/>
      <c r="V1658" s="314"/>
      <c r="W1658" s="314"/>
      <c r="X1658" s="314"/>
      <c r="Y1658" s="314"/>
      <c r="Z1658" s="314"/>
      <c r="AA1658" s="314"/>
      <c r="AB1658" s="314"/>
      <c r="AC1658" s="314"/>
      <c r="AD1658" s="314"/>
      <c r="AE1658" s="314"/>
      <c r="AF1658" s="314"/>
    </row>
    <row r="1659" spans="5:32" x14ac:dyDescent="0.35">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314"/>
      <c r="AE1659" s="314"/>
      <c r="AF1659" s="314"/>
    </row>
    <row r="1660" spans="5:32" x14ac:dyDescent="0.35">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314"/>
      <c r="AF1660" s="314"/>
    </row>
    <row r="1661" spans="5:32" x14ac:dyDescent="0.35">
      <c r="E1661" s="314"/>
      <c r="F1661" s="314"/>
      <c r="G1661" s="314"/>
      <c r="H1661" s="314"/>
      <c r="I1661" s="314"/>
      <c r="J1661" s="314"/>
      <c r="K1661" s="314"/>
      <c r="L1661" s="314"/>
      <c r="M1661" s="314"/>
      <c r="N1661" s="314"/>
      <c r="O1661" s="314"/>
      <c r="P1661" s="314"/>
      <c r="Q1661" s="314"/>
      <c r="R1661" s="314"/>
      <c r="S1661" s="314"/>
      <c r="T1661" s="314"/>
      <c r="U1661" s="314"/>
      <c r="V1661" s="314"/>
      <c r="W1661" s="314"/>
      <c r="X1661" s="314"/>
      <c r="Y1661" s="314"/>
      <c r="Z1661" s="314"/>
      <c r="AA1661" s="314"/>
      <c r="AB1661" s="314"/>
      <c r="AC1661" s="314"/>
      <c r="AD1661" s="314"/>
      <c r="AE1661" s="314"/>
      <c r="AF1661" s="314"/>
    </row>
    <row r="1662" spans="5:32" x14ac:dyDescent="0.35">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314"/>
      <c r="AE1662" s="314"/>
      <c r="AF1662" s="314"/>
    </row>
    <row r="1663" spans="5:32" x14ac:dyDescent="0.35">
      <c r="E1663" s="314"/>
      <c r="F1663" s="314"/>
      <c r="G1663" s="314"/>
      <c r="H1663" s="314"/>
      <c r="I1663" s="314"/>
      <c r="J1663" s="314"/>
      <c r="K1663" s="314"/>
      <c r="L1663" s="314"/>
      <c r="M1663" s="314"/>
      <c r="N1663" s="314"/>
      <c r="O1663" s="314"/>
      <c r="P1663" s="314"/>
      <c r="Q1663" s="314"/>
      <c r="R1663" s="314"/>
      <c r="S1663" s="314"/>
      <c r="T1663" s="314"/>
      <c r="U1663" s="314"/>
      <c r="V1663" s="314"/>
      <c r="W1663" s="314"/>
      <c r="X1663" s="314"/>
      <c r="Y1663" s="314"/>
      <c r="Z1663" s="314"/>
      <c r="AA1663" s="314"/>
      <c r="AB1663" s="314"/>
      <c r="AC1663" s="314"/>
      <c r="AD1663" s="314"/>
      <c r="AE1663" s="314"/>
      <c r="AF1663" s="314"/>
    </row>
    <row r="1664" spans="5:32" x14ac:dyDescent="0.35">
      <c r="E1664" s="314"/>
      <c r="F1664" s="314"/>
      <c r="G1664" s="314"/>
      <c r="H1664" s="314"/>
      <c r="I1664" s="314"/>
      <c r="J1664" s="314"/>
      <c r="K1664" s="314"/>
      <c r="L1664" s="314"/>
      <c r="M1664" s="314"/>
      <c r="N1664" s="314"/>
      <c r="O1664" s="314"/>
      <c r="P1664" s="314"/>
      <c r="Q1664" s="314"/>
      <c r="R1664" s="314"/>
      <c r="S1664" s="314"/>
      <c r="T1664" s="314"/>
      <c r="U1664" s="314"/>
      <c r="V1664" s="314"/>
      <c r="W1664" s="314"/>
      <c r="X1664" s="314"/>
      <c r="Y1664" s="314"/>
      <c r="Z1664" s="314"/>
      <c r="AA1664" s="314"/>
      <c r="AB1664" s="314"/>
      <c r="AC1664" s="314"/>
      <c r="AD1664" s="314"/>
      <c r="AE1664" s="314"/>
      <c r="AF1664" s="314"/>
    </row>
    <row r="1665" spans="5:32" x14ac:dyDescent="0.35">
      <c r="E1665" s="314"/>
      <c r="F1665" s="314"/>
      <c r="G1665" s="314"/>
      <c r="H1665" s="314"/>
      <c r="I1665" s="314"/>
      <c r="J1665" s="314"/>
      <c r="K1665" s="314"/>
      <c r="L1665" s="314"/>
      <c r="M1665" s="314"/>
      <c r="N1665" s="314"/>
      <c r="O1665" s="314"/>
      <c r="P1665" s="314"/>
      <c r="Q1665" s="314"/>
      <c r="R1665" s="314"/>
      <c r="S1665" s="314"/>
      <c r="T1665" s="314"/>
      <c r="U1665" s="314"/>
      <c r="V1665" s="314"/>
      <c r="W1665" s="314"/>
      <c r="X1665" s="314"/>
      <c r="Y1665" s="314"/>
      <c r="Z1665" s="314"/>
      <c r="AA1665" s="314"/>
      <c r="AB1665" s="314"/>
      <c r="AC1665" s="314"/>
      <c r="AD1665" s="314"/>
      <c r="AE1665" s="314"/>
      <c r="AF1665" s="314"/>
    </row>
    <row r="1666" spans="5:32" x14ac:dyDescent="0.35">
      <c r="E1666" s="314"/>
      <c r="F1666" s="314"/>
      <c r="G1666" s="314"/>
      <c r="H1666" s="314"/>
      <c r="I1666" s="314"/>
      <c r="J1666" s="314"/>
      <c r="K1666" s="314"/>
      <c r="L1666" s="314"/>
      <c r="M1666" s="314"/>
      <c r="N1666" s="314"/>
      <c r="O1666" s="314"/>
      <c r="P1666" s="314"/>
      <c r="Q1666" s="314"/>
      <c r="R1666" s="314"/>
      <c r="S1666" s="314"/>
      <c r="T1666" s="314"/>
      <c r="U1666" s="314"/>
      <c r="V1666" s="314"/>
      <c r="W1666" s="314"/>
      <c r="X1666" s="314"/>
      <c r="Y1666" s="314"/>
      <c r="Z1666" s="314"/>
      <c r="AA1666" s="314"/>
      <c r="AB1666" s="314"/>
      <c r="AC1666" s="314"/>
      <c r="AD1666" s="314"/>
      <c r="AE1666" s="314"/>
      <c r="AF1666" s="314"/>
    </row>
    <row r="1667" spans="5:32" x14ac:dyDescent="0.35">
      <c r="E1667" s="314"/>
      <c r="F1667" s="314"/>
      <c r="G1667" s="314"/>
      <c r="H1667" s="314"/>
      <c r="I1667" s="314"/>
      <c r="J1667" s="314"/>
      <c r="K1667" s="314"/>
      <c r="L1667" s="314"/>
      <c r="M1667" s="314"/>
      <c r="N1667" s="314"/>
      <c r="O1667" s="314"/>
      <c r="P1667" s="314"/>
      <c r="Q1667" s="314"/>
      <c r="R1667" s="314"/>
      <c r="S1667" s="314"/>
      <c r="T1667" s="314"/>
      <c r="U1667" s="314"/>
      <c r="V1667" s="314"/>
      <c r="W1667" s="314"/>
      <c r="X1667" s="314"/>
      <c r="Y1667" s="314"/>
      <c r="Z1667" s="314"/>
      <c r="AA1667" s="314"/>
      <c r="AB1667" s="314"/>
      <c r="AC1667" s="314"/>
      <c r="AD1667" s="314"/>
      <c r="AE1667" s="314"/>
      <c r="AF1667" s="314"/>
    </row>
    <row r="1668" spans="5:32" x14ac:dyDescent="0.35">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314"/>
      <c r="AE1668" s="314"/>
      <c r="AF1668" s="314"/>
    </row>
    <row r="1669" spans="5:32" x14ac:dyDescent="0.35">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314"/>
      <c r="AF1669" s="314"/>
    </row>
    <row r="1670" spans="5:32" x14ac:dyDescent="0.35">
      <c r="E1670" s="314"/>
      <c r="F1670" s="314"/>
      <c r="G1670" s="314"/>
      <c r="H1670" s="314"/>
      <c r="I1670" s="314"/>
      <c r="J1670" s="314"/>
      <c r="K1670" s="314"/>
      <c r="L1670" s="314"/>
      <c r="M1670" s="314"/>
      <c r="N1670" s="314"/>
      <c r="O1670" s="314"/>
      <c r="P1670" s="314"/>
      <c r="Q1670" s="314"/>
      <c r="R1670" s="314"/>
      <c r="S1670" s="314"/>
      <c r="T1670" s="314"/>
      <c r="U1670" s="314"/>
      <c r="V1670" s="314"/>
      <c r="W1670" s="314"/>
      <c r="X1670" s="314"/>
      <c r="Y1670" s="314"/>
      <c r="Z1670" s="314"/>
      <c r="AA1670" s="314"/>
      <c r="AB1670" s="314"/>
      <c r="AC1670" s="314"/>
      <c r="AD1670" s="314"/>
      <c r="AE1670" s="314"/>
      <c r="AF1670" s="314"/>
    </row>
    <row r="1671" spans="5:32" x14ac:dyDescent="0.35">
      <c r="E1671" s="314"/>
      <c r="F1671" s="314"/>
      <c r="G1671" s="314"/>
      <c r="H1671" s="314"/>
      <c r="I1671" s="314"/>
      <c r="J1671" s="314"/>
      <c r="K1671" s="314"/>
      <c r="L1671" s="314"/>
      <c r="M1671" s="314"/>
      <c r="N1671" s="314"/>
      <c r="O1671" s="314"/>
      <c r="P1671" s="314"/>
      <c r="Q1671" s="314"/>
      <c r="R1671" s="314"/>
      <c r="S1671" s="314"/>
      <c r="T1671" s="314"/>
      <c r="U1671" s="314"/>
      <c r="V1671" s="314"/>
      <c r="W1671" s="314"/>
      <c r="X1671" s="314"/>
      <c r="Y1671" s="314"/>
      <c r="Z1671" s="314"/>
      <c r="AA1671" s="314"/>
      <c r="AB1671" s="314"/>
      <c r="AC1671" s="314"/>
      <c r="AD1671" s="314"/>
      <c r="AE1671" s="314"/>
      <c r="AF1671" s="314"/>
    </row>
    <row r="1672" spans="5:32" x14ac:dyDescent="0.35">
      <c r="E1672" s="314"/>
      <c r="F1672" s="314"/>
      <c r="G1672" s="314"/>
      <c r="H1672" s="314"/>
      <c r="I1672" s="314"/>
      <c r="J1672" s="314"/>
      <c r="K1672" s="314"/>
      <c r="L1672" s="314"/>
      <c r="M1672" s="314"/>
      <c r="N1672" s="314"/>
      <c r="O1672" s="314"/>
      <c r="P1672" s="314"/>
      <c r="Q1672" s="314"/>
      <c r="R1672" s="314"/>
      <c r="S1672" s="314"/>
      <c r="T1672" s="314"/>
      <c r="U1672" s="314"/>
      <c r="V1672" s="314"/>
      <c r="W1672" s="314"/>
      <c r="X1672" s="314"/>
      <c r="Y1672" s="314"/>
      <c r="Z1672" s="314"/>
      <c r="AA1672" s="314"/>
      <c r="AB1672" s="314"/>
      <c r="AC1672" s="314"/>
      <c r="AD1672" s="314"/>
      <c r="AE1672" s="314"/>
      <c r="AF1672" s="314"/>
    </row>
    <row r="1673" spans="5:32" x14ac:dyDescent="0.35">
      <c r="E1673" s="314"/>
      <c r="F1673" s="314"/>
      <c r="G1673" s="314"/>
      <c r="H1673" s="314"/>
      <c r="I1673" s="314"/>
      <c r="J1673" s="314"/>
      <c r="K1673" s="314"/>
      <c r="L1673" s="314"/>
      <c r="M1673" s="314"/>
      <c r="N1673" s="314"/>
      <c r="O1673" s="314"/>
      <c r="P1673" s="314"/>
      <c r="Q1673" s="314"/>
      <c r="R1673" s="314"/>
      <c r="S1673" s="314"/>
      <c r="T1673" s="314"/>
      <c r="U1673" s="314"/>
      <c r="V1673" s="314"/>
      <c r="W1673" s="314"/>
      <c r="X1673" s="314"/>
      <c r="Y1673" s="314"/>
      <c r="Z1673" s="314"/>
      <c r="AA1673" s="314"/>
      <c r="AB1673" s="314"/>
      <c r="AC1673" s="314"/>
      <c r="AD1673" s="314"/>
      <c r="AE1673" s="314"/>
      <c r="AF1673" s="314"/>
    </row>
    <row r="1674" spans="5:32" x14ac:dyDescent="0.35">
      <c r="E1674" s="314"/>
      <c r="F1674" s="314"/>
      <c r="G1674" s="314"/>
      <c r="H1674" s="314"/>
      <c r="I1674" s="314"/>
      <c r="J1674" s="314"/>
      <c r="K1674" s="314"/>
      <c r="L1674" s="314"/>
      <c r="M1674" s="314"/>
      <c r="N1674" s="314"/>
      <c r="O1674" s="314"/>
      <c r="P1674" s="314"/>
      <c r="Q1674" s="314"/>
      <c r="R1674" s="314"/>
      <c r="S1674" s="314"/>
      <c r="T1674" s="314"/>
      <c r="U1674" s="314"/>
      <c r="V1674" s="314"/>
      <c r="W1674" s="314"/>
      <c r="X1674" s="314"/>
      <c r="Y1674" s="314"/>
      <c r="Z1674" s="314"/>
      <c r="AA1674" s="314"/>
      <c r="AB1674" s="314"/>
      <c r="AC1674" s="314"/>
      <c r="AD1674" s="314"/>
      <c r="AE1674" s="314"/>
      <c r="AF1674" s="314"/>
    </row>
    <row r="1675" spans="5:32" x14ac:dyDescent="0.35">
      <c r="E1675" s="314"/>
      <c r="F1675" s="314"/>
      <c r="G1675" s="314"/>
      <c r="H1675" s="314"/>
      <c r="I1675" s="314"/>
      <c r="J1675" s="314"/>
      <c r="K1675" s="314"/>
      <c r="L1675" s="314"/>
      <c r="M1675" s="314"/>
      <c r="N1675" s="314"/>
      <c r="O1675" s="314"/>
      <c r="P1675" s="314"/>
      <c r="Q1675" s="314"/>
      <c r="R1675" s="314"/>
      <c r="S1675" s="314"/>
      <c r="T1675" s="314"/>
      <c r="U1675" s="314"/>
      <c r="V1675" s="314"/>
      <c r="W1675" s="314"/>
      <c r="X1675" s="314"/>
      <c r="Y1675" s="314"/>
      <c r="Z1675" s="314"/>
      <c r="AA1675" s="314"/>
      <c r="AB1675" s="314"/>
      <c r="AC1675" s="314"/>
      <c r="AD1675" s="314"/>
      <c r="AE1675" s="314"/>
      <c r="AF1675" s="314"/>
    </row>
    <row r="1676" spans="5:32" x14ac:dyDescent="0.35">
      <c r="E1676" s="314"/>
      <c r="F1676" s="314"/>
      <c r="G1676" s="314"/>
      <c r="H1676" s="314"/>
      <c r="I1676" s="314"/>
      <c r="J1676" s="314"/>
      <c r="K1676" s="314"/>
      <c r="L1676" s="314"/>
      <c r="M1676" s="314"/>
      <c r="N1676" s="314"/>
      <c r="O1676" s="314"/>
      <c r="P1676" s="314"/>
      <c r="Q1676" s="314"/>
      <c r="R1676" s="314"/>
      <c r="S1676" s="314"/>
      <c r="T1676" s="314"/>
      <c r="U1676" s="314"/>
      <c r="V1676" s="314"/>
      <c r="W1676" s="314"/>
      <c r="X1676" s="314"/>
      <c r="Y1676" s="314"/>
      <c r="Z1676" s="314"/>
      <c r="AA1676" s="314"/>
      <c r="AB1676" s="314"/>
      <c r="AC1676" s="314"/>
      <c r="AD1676" s="314"/>
      <c r="AE1676" s="314"/>
      <c r="AF1676" s="314"/>
    </row>
    <row r="1677" spans="5:32" x14ac:dyDescent="0.35">
      <c r="E1677" s="314"/>
      <c r="F1677" s="314"/>
      <c r="G1677" s="314"/>
      <c r="H1677" s="314"/>
      <c r="I1677" s="314"/>
      <c r="J1677" s="314"/>
      <c r="K1677" s="314"/>
      <c r="L1677" s="314"/>
      <c r="M1677" s="314"/>
      <c r="N1677" s="314"/>
      <c r="O1677" s="314"/>
      <c r="P1677" s="314"/>
      <c r="Q1677" s="314"/>
      <c r="R1677" s="314"/>
      <c r="S1677" s="314"/>
      <c r="T1677" s="314"/>
      <c r="U1677" s="314"/>
      <c r="V1677" s="314"/>
      <c r="W1677" s="314"/>
      <c r="X1677" s="314"/>
      <c r="Y1677" s="314"/>
      <c r="Z1677" s="314"/>
      <c r="AA1677" s="314"/>
      <c r="AB1677" s="314"/>
      <c r="AC1677" s="314"/>
      <c r="AD1677" s="314"/>
      <c r="AE1677" s="314"/>
      <c r="AF1677" s="314"/>
    </row>
    <row r="1678" spans="5:32" x14ac:dyDescent="0.35">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4"/>
      <c r="AD1678" s="314"/>
      <c r="AE1678" s="314"/>
      <c r="AF1678" s="314"/>
    </row>
    <row r="1679" spans="5:32" x14ac:dyDescent="0.35">
      <c r="E1679" s="314"/>
      <c r="F1679" s="314"/>
      <c r="G1679" s="314"/>
      <c r="H1679" s="314"/>
      <c r="I1679" s="314"/>
      <c r="J1679" s="314"/>
      <c r="K1679" s="314"/>
      <c r="L1679" s="314"/>
      <c r="M1679" s="314"/>
      <c r="N1679" s="314"/>
      <c r="O1679" s="314"/>
      <c r="P1679" s="314"/>
      <c r="Q1679" s="314"/>
      <c r="R1679" s="314"/>
      <c r="S1679" s="314"/>
      <c r="T1679" s="314"/>
      <c r="U1679" s="314"/>
      <c r="V1679" s="314"/>
      <c r="W1679" s="314"/>
      <c r="X1679" s="314"/>
      <c r="Y1679" s="314"/>
      <c r="Z1679" s="314"/>
      <c r="AA1679" s="314"/>
      <c r="AB1679" s="314"/>
      <c r="AC1679" s="314"/>
      <c r="AD1679" s="314"/>
      <c r="AE1679" s="314"/>
      <c r="AF1679" s="314"/>
    </row>
    <row r="1680" spans="5:32" x14ac:dyDescent="0.35">
      <c r="E1680" s="314"/>
      <c r="F1680" s="314"/>
      <c r="G1680" s="314"/>
      <c r="H1680" s="314"/>
      <c r="I1680" s="314"/>
      <c r="J1680" s="314"/>
      <c r="K1680" s="314"/>
      <c r="L1680" s="314"/>
      <c r="M1680" s="314"/>
      <c r="N1680" s="314"/>
      <c r="O1680" s="314"/>
      <c r="P1680" s="314"/>
      <c r="Q1680" s="314"/>
      <c r="R1680" s="314"/>
      <c r="S1680" s="314"/>
      <c r="T1680" s="314"/>
      <c r="U1680" s="314"/>
      <c r="V1680" s="314"/>
      <c r="W1680" s="314"/>
      <c r="X1680" s="314"/>
      <c r="Y1680" s="314"/>
      <c r="Z1680" s="314"/>
      <c r="AA1680" s="314"/>
      <c r="AB1680" s="314"/>
      <c r="AC1680" s="314"/>
      <c r="AD1680" s="314"/>
      <c r="AE1680" s="314"/>
      <c r="AF1680" s="314"/>
    </row>
    <row r="1681" spans="5:32" x14ac:dyDescent="0.35">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4"/>
      <c r="AD1681" s="314"/>
      <c r="AE1681" s="314"/>
      <c r="AF1681" s="314"/>
    </row>
    <row r="1682" spans="5:32" x14ac:dyDescent="0.35">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4"/>
      <c r="AD1682" s="314"/>
      <c r="AE1682" s="314"/>
      <c r="AF1682" s="314"/>
    </row>
    <row r="1683" spans="5:32" x14ac:dyDescent="0.35">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4"/>
      <c r="AD1683" s="314"/>
      <c r="AE1683" s="314"/>
      <c r="AF1683" s="314"/>
    </row>
    <row r="1684" spans="5:32" x14ac:dyDescent="0.35">
      <c r="E1684" s="314"/>
      <c r="F1684" s="314"/>
      <c r="G1684" s="314"/>
      <c r="H1684" s="314"/>
      <c r="I1684" s="314"/>
      <c r="J1684" s="314"/>
      <c r="K1684" s="314"/>
      <c r="L1684" s="314"/>
      <c r="M1684" s="314"/>
      <c r="N1684" s="314"/>
      <c r="O1684" s="314"/>
      <c r="P1684" s="314"/>
      <c r="Q1684" s="314"/>
      <c r="R1684" s="314"/>
      <c r="S1684" s="314"/>
      <c r="T1684" s="314"/>
      <c r="U1684" s="314"/>
      <c r="V1684" s="314"/>
      <c r="W1684" s="314"/>
      <c r="X1684" s="314"/>
      <c r="Y1684" s="314"/>
      <c r="Z1684" s="314"/>
      <c r="AA1684" s="314"/>
      <c r="AB1684" s="314"/>
      <c r="AC1684" s="314"/>
      <c r="AD1684" s="314"/>
      <c r="AE1684" s="314"/>
      <c r="AF1684" s="314"/>
    </row>
    <row r="1685" spans="5:32" x14ac:dyDescent="0.35">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4"/>
      <c r="AD1685" s="314"/>
      <c r="AE1685" s="314"/>
      <c r="AF1685" s="314"/>
    </row>
    <row r="1686" spans="5:32" x14ac:dyDescent="0.35">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314"/>
      <c r="AE1686" s="314"/>
      <c r="AF1686" s="314"/>
    </row>
    <row r="1687" spans="5:32" x14ac:dyDescent="0.35">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314"/>
      <c r="AF1687" s="314"/>
    </row>
    <row r="1688" spans="5:32" x14ac:dyDescent="0.35">
      <c r="E1688" s="314"/>
      <c r="F1688" s="314"/>
      <c r="G1688" s="314"/>
      <c r="H1688" s="314"/>
      <c r="I1688" s="314"/>
      <c r="J1688" s="314"/>
      <c r="K1688" s="314"/>
      <c r="L1688" s="314"/>
      <c r="M1688" s="314"/>
      <c r="N1688" s="314"/>
      <c r="O1688" s="314"/>
      <c r="P1688" s="314"/>
      <c r="Q1688" s="314"/>
      <c r="R1688" s="314"/>
      <c r="S1688" s="314"/>
      <c r="T1688" s="314"/>
      <c r="U1688" s="314"/>
      <c r="V1688" s="314"/>
      <c r="W1688" s="314"/>
      <c r="X1688" s="314"/>
      <c r="Y1688" s="314"/>
      <c r="Z1688" s="314"/>
      <c r="AA1688" s="314"/>
      <c r="AB1688" s="314"/>
      <c r="AC1688" s="314"/>
      <c r="AD1688" s="314"/>
      <c r="AE1688" s="314"/>
      <c r="AF1688" s="314"/>
    </row>
    <row r="1689" spans="5:32" x14ac:dyDescent="0.35">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314"/>
      <c r="AE1689" s="314"/>
      <c r="AF1689" s="314"/>
    </row>
    <row r="1690" spans="5:32" x14ac:dyDescent="0.35">
      <c r="E1690" s="314"/>
      <c r="F1690" s="314"/>
      <c r="G1690" s="314"/>
      <c r="H1690" s="314"/>
      <c r="I1690" s="314"/>
      <c r="J1690" s="314"/>
      <c r="K1690" s="314"/>
      <c r="L1690" s="314"/>
      <c r="M1690" s="314"/>
      <c r="N1690" s="314"/>
      <c r="O1690" s="314"/>
      <c r="P1690" s="314"/>
      <c r="Q1690" s="314"/>
      <c r="R1690" s="314"/>
      <c r="S1690" s="314"/>
      <c r="T1690" s="314"/>
      <c r="U1690" s="314"/>
      <c r="V1690" s="314"/>
      <c r="W1690" s="314"/>
      <c r="X1690" s="314"/>
      <c r="Y1690" s="314"/>
      <c r="Z1690" s="314"/>
      <c r="AA1690" s="314"/>
      <c r="AB1690" s="314"/>
      <c r="AC1690" s="314"/>
      <c r="AD1690" s="314"/>
      <c r="AE1690" s="314"/>
      <c r="AF1690" s="314"/>
    </row>
    <row r="1691" spans="5:32" x14ac:dyDescent="0.35">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4"/>
      <c r="AD1691" s="314"/>
      <c r="AE1691" s="314"/>
      <c r="AF1691" s="314"/>
    </row>
    <row r="1692" spans="5:32" x14ac:dyDescent="0.35">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4"/>
      <c r="AD1692" s="314"/>
      <c r="AE1692" s="314"/>
      <c r="AF1692" s="314"/>
    </row>
    <row r="1693" spans="5:32" x14ac:dyDescent="0.35">
      <c r="E1693" s="314"/>
      <c r="F1693" s="314"/>
      <c r="G1693" s="314"/>
      <c r="H1693" s="314"/>
      <c r="I1693" s="314"/>
      <c r="J1693" s="314"/>
      <c r="K1693" s="314"/>
      <c r="L1693" s="314"/>
      <c r="M1693" s="314"/>
      <c r="N1693" s="314"/>
      <c r="O1693" s="314"/>
      <c r="P1693" s="314"/>
      <c r="Q1693" s="314"/>
      <c r="R1693" s="314"/>
      <c r="S1693" s="314"/>
      <c r="T1693" s="314"/>
      <c r="U1693" s="314"/>
      <c r="V1693" s="314"/>
      <c r="W1693" s="314"/>
      <c r="X1693" s="314"/>
      <c r="Y1693" s="314"/>
      <c r="Z1693" s="314"/>
      <c r="AA1693" s="314"/>
      <c r="AB1693" s="314"/>
      <c r="AC1693" s="314"/>
      <c r="AD1693" s="314"/>
      <c r="AE1693" s="314"/>
      <c r="AF1693" s="314"/>
    </row>
    <row r="1694" spans="5:32" x14ac:dyDescent="0.35">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4"/>
      <c r="AD1694" s="314"/>
      <c r="AE1694" s="314"/>
      <c r="AF1694" s="314"/>
    </row>
    <row r="1695" spans="5:32" x14ac:dyDescent="0.35">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314"/>
      <c r="AE1695" s="314"/>
      <c r="AF1695" s="314"/>
    </row>
    <row r="1696" spans="5:32" x14ac:dyDescent="0.35">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314"/>
      <c r="AF1696" s="314"/>
    </row>
    <row r="1697" spans="5:32" x14ac:dyDescent="0.35">
      <c r="E1697" s="314"/>
      <c r="F1697" s="314"/>
      <c r="G1697" s="314"/>
      <c r="H1697" s="314"/>
      <c r="I1697" s="314"/>
      <c r="J1697" s="314"/>
      <c r="K1697" s="314"/>
      <c r="L1697" s="314"/>
      <c r="M1697" s="314"/>
      <c r="N1697" s="314"/>
      <c r="O1697" s="314"/>
      <c r="P1697" s="314"/>
      <c r="Q1697" s="314"/>
      <c r="R1697" s="314"/>
      <c r="S1697" s="314"/>
      <c r="T1697" s="314"/>
      <c r="U1697" s="314"/>
      <c r="V1697" s="314"/>
      <c r="W1697" s="314"/>
      <c r="X1697" s="314"/>
      <c r="Y1697" s="314"/>
      <c r="Z1697" s="314"/>
      <c r="AA1697" s="314"/>
      <c r="AB1697" s="314"/>
      <c r="AC1697" s="314"/>
      <c r="AD1697" s="314"/>
      <c r="AE1697" s="314"/>
      <c r="AF1697" s="314"/>
    </row>
    <row r="1698" spans="5:32" x14ac:dyDescent="0.35">
      <c r="E1698" s="314"/>
      <c r="F1698" s="314"/>
      <c r="G1698" s="314"/>
      <c r="H1698" s="314"/>
      <c r="I1698" s="314"/>
      <c r="J1698" s="314"/>
      <c r="K1698" s="314"/>
      <c r="L1698" s="314"/>
      <c r="M1698" s="314"/>
      <c r="N1698" s="314"/>
      <c r="O1698" s="314"/>
      <c r="P1698" s="314"/>
      <c r="Q1698" s="314"/>
      <c r="R1698" s="314"/>
      <c r="S1698" s="314"/>
      <c r="T1698" s="314"/>
      <c r="U1698" s="314"/>
      <c r="V1698" s="314"/>
      <c r="W1698" s="314"/>
      <c r="X1698" s="314"/>
      <c r="Y1698" s="314"/>
      <c r="Z1698" s="314"/>
      <c r="AA1698" s="314"/>
      <c r="AB1698" s="314"/>
      <c r="AC1698" s="314"/>
      <c r="AD1698" s="314"/>
      <c r="AE1698" s="314"/>
      <c r="AF1698" s="314"/>
    </row>
    <row r="1699" spans="5:32" x14ac:dyDescent="0.35">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314"/>
      <c r="AE1699" s="314"/>
      <c r="AF1699" s="314"/>
    </row>
    <row r="1700" spans="5:32" x14ac:dyDescent="0.35">
      <c r="E1700" s="314"/>
      <c r="F1700" s="314"/>
      <c r="G1700" s="314"/>
      <c r="H1700" s="314"/>
      <c r="I1700" s="314"/>
      <c r="J1700" s="314"/>
      <c r="K1700" s="314"/>
      <c r="L1700" s="314"/>
      <c r="M1700" s="314"/>
      <c r="N1700" s="314"/>
      <c r="O1700" s="314"/>
      <c r="P1700" s="314"/>
      <c r="Q1700" s="314"/>
      <c r="R1700" s="314"/>
      <c r="S1700" s="314"/>
      <c r="T1700" s="314"/>
      <c r="U1700" s="314"/>
      <c r="V1700" s="314"/>
      <c r="W1700" s="314"/>
      <c r="X1700" s="314"/>
      <c r="Y1700" s="314"/>
      <c r="Z1700" s="314"/>
      <c r="AA1700" s="314"/>
      <c r="AB1700" s="314"/>
      <c r="AC1700" s="314"/>
      <c r="AD1700" s="314"/>
      <c r="AE1700" s="314"/>
      <c r="AF1700" s="314"/>
    </row>
    <row r="1701" spans="5:32" x14ac:dyDescent="0.35">
      <c r="E1701" s="314"/>
      <c r="F1701" s="314"/>
      <c r="G1701" s="314"/>
      <c r="H1701" s="314"/>
      <c r="I1701" s="314"/>
      <c r="J1701" s="314"/>
      <c r="K1701" s="314"/>
      <c r="L1701" s="314"/>
      <c r="M1701" s="314"/>
      <c r="N1701" s="314"/>
      <c r="O1701" s="314"/>
      <c r="P1701" s="314"/>
      <c r="Q1701" s="314"/>
      <c r="R1701" s="314"/>
      <c r="S1701" s="314"/>
      <c r="T1701" s="314"/>
      <c r="U1701" s="314"/>
      <c r="V1701" s="314"/>
      <c r="W1701" s="314"/>
      <c r="X1701" s="314"/>
      <c r="Y1701" s="314"/>
      <c r="Z1701" s="314"/>
      <c r="AA1701" s="314"/>
      <c r="AB1701" s="314"/>
      <c r="AC1701" s="314"/>
      <c r="AD1701" s="314"/>
      <c r="AE1701" s="314"/>
      <c r="AF1701" s="314"/>
    </row>
    <row r="1702" spans="5:32" x14ac:dyDescent="0.35">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314"/>
      <c r="AE1702" s="314"/>
      <c r="AF1702" s="314"/>
    </row>
    <row r="1703" spans="5:32" x14ac:dyDescent="0.35">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4"/>
      <c r="AD1703" s="314"/>
      <c r="AE1703" s="314"/>
      <c r="AF1703" s="314"/>
    </row>
    <row r="1704" spans="5:32" x14ac:dyDescent="0.35">
      <c r="E1704" s="314"/>
      <c r="F1704" s="314"/>
      <c r="G1704" s="314"/>
      <c r="H1704" s="314"/>
      <c r="I1704" s="314"/>
      <c r="J1704" s="314"/>
      <c r="K1704" s="314"/>
      <c r="L1704" s="314"/>
      <c r="M1704" s="314"/>
      <c r="N1704" s="314"/>
      <c r="O1704" s="314"/>
      <c r="P1704" s="314"/>
      <c r="Q1704" s="314"/>
      <c r="R1704" s="314"/>
      <c r="S1704" s="314"/>
      <c r="T1704" s="314"/>
      <c r="U1704" s="314"/>
      <c r="V1704" s="314"/>
      <c r="W1704" s="314"/>
      <c r="X1704" s="314"/>
      <c r="Y1704" s="314"/>
      <c r="Z1704" s="314"/>
      <c r="AA1704" s="314"/>
      <c r="AB1704" s="314"/>
      <c r="AC1704" s="314"/>
      <c r="AD1704" s="314"/>
      <c r="AE1704" s="314"/>
      <c r="AF1704" s="314"/>
    </row>
    <row r="1705" spans="5:32" x14ac:dyDescent="0.35">
      <c r="E1705" s="314"/>
      <c r="F1705" s="314"/>
      <c r="G1705" s="314"/>
      <c r="H1705" s="314"/>
      <c r="I1705" s="314"/>
      <c r="J1705" s="314"/>
      <c r="K1705" s="314"/>
      <c r="L1705" s="314"/>
      <c r="M1705" s="314"/>
      <c r="N1705" s="314"/>
      <c r="O1705" s="314"/>
      <c r="P1705" s="314"/>
      <c r="Q1705" s="314"/>
      <c r="R1705" s="314"/>
      <c r="S1705" s="314"/>
      <c r="T1705" s="314"/>
      <c r="U1705" s="314"/>
      <c r="V1705" s="314"/>
      <c r="W1705" s="314"/>
      <c r="X1705" s="314"/>
      <c r="Y1705" s="314"/>
      <c r="Z1705" s="314"/>
      <c r="AA1705" s="314"/>
      <c r="AB1705" s="314"/>
      <c r="AC1705" s="314"/>
      <c r="AD1705" s="314"/>
      <c r="AE1705" s="314"/>
      <c r="AF1705" s="314"/>
    </row>
    <row r="1706" spans="5:32" x14ac:dyDescent="0.35">
      <c r="E1706" s="314"/>
      <c r="F1706" s="314"/>
      <c r="G1706" s="314"/>
      <c r="H1706" s="314"/>
      <c r="I1706" s="314"/>
      <c r="J1706" s="314"/>
      <c r="K1706" s="314"/>
      <c r="L1706" s="314"/>
      <c r="M1706" s="314"/>
      <c r="N1706" s="314"/>
      <c r="O1706" s="314"/>
      <c r="P1706" s="314"/>
      <c r="Q1706" s="314"/>
      <c r="R1706" s="314"/>
      <c r="S1706" s="314"/>
      <c r="T1706" s="314"/>
      <c r="U1706" s="314"/>
      <c r="V1706" s="314"/>
      <c r="W1706" s="314"/>
      <c r="X1706" s="314"/>
      <c r="Y1706" s="314"/>
      <c r="Z1706" s="314"/>
      <c r="AA1706" s="314"/>
      <c r="AB1706" s="314"/>
      <c r="AC1706" s="314"/>
      <c r="AD1706" s="314"/>
      <c r="AE1706" s="314"/>
      <c r="AF1706" s="314"/>
    </row>
    <row r="1707" spans="5:32" x14ac:dyDescent="0.35">
      <c r="E1707" s="314"/>
      <c r="F1707" s="314"/>
      <c r="G1707" s="314"/>
      <c r="H1707" s="314"/>
      <c r="I1707" s="314"/>
      <c r="J1707" s="314"/>
      <c r="K1707" s="314"/>
      <c r="L1707" s="314"/>
      <c r="M1707" s="314"/>
      <c r="N1707" s="314"/>
      <c r="O1707" s="314"/>
      <c r="P1707" s="314"/>
      <c r="Q1707" s="314"/>
      <c r="R1707" s="314"/>
      <c r="S1707" s="314"/>
      <c r="T1707" s="314"/>
      <c r="U1707" s="314"/>
      <c r="V1707" s="314"/>
      <c r="W1707" s="314"/>
      <c r="X1707" s="314"/>
      <c r="Y1707" s="314"/>
      <c r="Z1707" s="314"/>
      <c r="AA1707" s="314"/>
      <c r="AB1707" s="314"/>
      <c r="AC1707" s="314"/>
      <c r="AD1707" s="314"/>
      <c r="AE1707" s="314"/>
      <c r="AF1707" s="314"/>
    </row>
    <row r="1708" spans="5:32" x14ac:dyDescent="0.35">
      <c r="E1708" s="314"/>
      <c r="F1708" s="314"/>
      <c r="G1708" s="314"/>
      <c r="H1708" s="314"/>
      <c r="I1708" s="314"/>
      <c r="J1708" s="314"/>
      <c r="K1708" s="314"/>
      <c r="L1708" s="314"/>
      <c r="M1708" s="314"/>
      <c r="N1708" s="314"/>
      <c r="O1708" s="314"/>
      <c r="P1708" s="314"/>
      <c r="Q1708" s="314"/>
      <c r="R1708" s="314"/>
      <c r="S1708" s="314"/>
      <c r="T1708" s="314"/>
      <c r="U1708" s="314"/>
      <c r="V1708" s="314"/>
      <c r="W1708" s="314"/>
      <c r="X1708" s="314"/>
      <c r="Y1708" s="314"/>
      <c r="Z1708" s="314"/>
      <c r="AA1708" s="314"/>
      <c r="AB1708" s="314"/>
      <c r="AC1708" s="314"/>
      <c r="AD1708" s="314"/>
      <c r="AE1708" s="314"/>
      <c r="AF1708" s="314"/>
    </row>
    <row r="1709" spans="5:32" x14ac:dyDescent="0.35">
      <c r="E1709" s="314"/>
      <c r="F1709" s="314"/>
      <c r="G1709" s="314"/>
      <c r="H1709" s="314"/>
      <c r="I1709" s="314"/>
      <c r="J1709" s="314"/>
      <c r="K1709" s="314"/>
      <c r="L1709" s="314"/>
      <c r="M1709" s="314"/>
      <c r="N1709" s="314"/>
      <c r="O1709" s="314"/>
      <c r="P1709" s="314"/>
      <c r="Q1709" s="314"/>
      <c r="R1709" s="314"/>
      <c r="S1709" s="314"/>
      <c r="T1709" s="314"/>
      <c r="U1709" s="314"/>
      <c r="V1709" s="314"/>
      <c r="W1709" s="314"/>
      <c r="X1709" s="314"/>
      <c r="Y1709" s="314"/>
      <c r="Z1709" s="314"/>
      <c r="AA1709" s="314"/>
      <c r="AB1709" s="314"/>
      <c r="AC1709" s="314"/>
      <c r="AD1709" s="314"/>
      <c r="AE1709" s="314"/>
      <c r="AF1709" s="314"/>
    </row>
    <row r="1710" spans="5:32" x14ac:dyDescent="0.35">
      <c r="E1710" s="314"/>
      <c r="F1710" s="314"/>
      <c r="G1710" s="314"/>
      <c r="H1710" s="314"/>
      <c r="I1710" s="314"/>
      <c r="J1710" s="314"/>
      <c r="K1710" s="314"/>
      <c r="L1710" s="314"/>
      <c r="M1710" s="314"/>
      <c r="N1710" s="314"/>
      <c r="O1710" s="314"/>
      <c r="P1710" s="314"/>
      <c r="Q1710" s="314"/>
      <c r="R1710" s="314"/>
      <c r="S1710" s="314"/>
      <c r="T1710" s="314"/>
      <c r="U1710" s="314"/>
      <c r="V1710" s="314"/>
      <c r="W1710" s="314"/>
      <c r="X1710" s="314"/>
      <c r="Y1710" s="314"/>
      <c r="Z1710" s="314"/>
      <c r="AA1710" s="314"/>
      <c r="AB1710" s="314"/>
      <c r="AC1710" s="314"/>
      <c r="AD1710" s="314"/>
      <c r="AE1710" s="314"/>
      <c r="AF1710" s="314"/>
    </row>
    <row r="1711" spans="5:32" x14ac:dyDescent="0.35">
      <c r="E1711" s="314"/>
      <c r="F1711" s="314"/>
      <c r="G1711" s="314"/>
      <c r="H1711" s="314"/>
      <c r="I1711" s="314"/>
      <c r="J1711" s="314"/>
      <c r="K1711" s="314"/>
      <c r="L1711" s="314"/>
      <c r="M1711" s="314"/>
      <c r="N1711" s="314"/>
      <c r="O1711" s="314"/>
      <c r="P1711" s="314"/>
      <c r="Q1711" s="314"/>
      <c r="R1711" s="314"/>
      <c r="S1711" s="314"/>
      <c r="T1711" s="314"/>
      <c r="U1711" s="314"/>
      <c r="V1711" s="314"/>
      <c r="W1711" s="314"/>
      <c r="X1711" s="314"/>
      <c r="Y1711" s="314"/>
      <c r="Z1711" s="314"/>
      <c r="AA1711" s="314"/>
      <c r="AB1711" s="314"/>
      <c r="AC1711" s="314"/>
      <c r="AD1711" s="314"/>
      <c r="AE1711" s="314"/>
      <c r="AF1711" s="314"/>
    </row>
    <row r="1712" spans="5:32" x14ac:dyDescent="0.35">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4"/>
      <c r="AD1712" s="314"/>
      <c r="AE1712" s="314"/>
      <c r="AF1712" s="314"/>
    </row>
    <row r="1713" spans="5:32" x14ac:dyDescent="0.35">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4"/>
      <c r="AD1713" s="314"/>
      <c r="AE1713" s="314"/>
      <c r="AF1713" s="314"/>
    </row>
    <row r="1714" spans="5:32" x14ac:dyDescent="0.35">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4"/>
      <c r="AD1714" s="314"/>
      <c r="AE1714" s="314"/>
      <c r="AF1714" s="314"/>
    </row>
    <row r="1715" spans="5:32" x14ac:dyDescent="0.35">
      <c r="E1715" s="314"/>
      <c r="F1715" s="314"/>
      <c r="G1715" s="314"/>
      <c r="H1715" s="314"/>
      <c r="I1715" s="314"/>
      <c r="J1715" s="314"/>
      <c r="K1715" s="314"/>
      <c r="L1715" s="314"/>
      <c r="M1715" s="314"/>
      <c r="N1715" s="314"/>
      <c r="O1715" s="314"/>
      <c r="P1715" s="314"/>
      <c r="Q1715" s="314"/>
      <c r="R1715" s="314"/>
      <c r="S1715" s="314"/>
      <c r="T1715" s="314"/>
      <c r="U1715" s="314"/>
      <c r="V1715" s="314"/>
      <c r="W1715" s="314"/>
      <c r="X1715" s="314"/>
      <c r="Y1715" s="314"/>
      <c r="Z1715" s="314"/>
      <c r="AA1715" s="314"/>
      <c r="AB1715" s="314"/>
      <c r="AC1715" s="314"/>
      <c r="AD1715" s="314"/>
      <c r="AE1715" s="314"/>
      <c r="AF1715" s="314"/>
    </row>
    <row r="1716" spans="5:32" x14ac:dyDescent="0.35">
      <c r="E1716" s="314"/>
      <c r="F1716" s="314"/>
      <c r="G1716" s="314"/>
      <c r="H1716" s="314"/>
      <c r="I1716" s="314"/>
      <c r="J1716" s="314"/>
      <c r="K1716" s="314"/>
      <c r="L1716" s="314"/>
      <c r="M1716" s="314"/>
      <c r="N1716" s="314"/>
      <c r="O1716" s="314"/>
      <c r="P1716" s="314"/>
      <c r="Q1716" s="314"/>
      <c r="R1716" s="314"/>
      <c r="S1716" s="314"/>
      <c r="T1716" s="314"/>
      <c r="U1716" s="314"/>
      <c r="V1716" s="314"/>
      <c r="W1716" s="314"/>
      <c r="X1716" s="314"/>
      <c r="Y1716" s="314"/>
      <c r="Z1716" s="314"/>
      <c r="AA1716" s="314"/>
      <c r="AB1716" s="314"/>
      <c r="AC1716" s="314"/>
      <c r="AD1716" s="314"/>
      <c r="AE1716" s="314"/>
      <c r="AF1716" s="314"/>
    </row>
    <row r="1717" spans="5:32" x14ac:dyDescent="0.35">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4"/>
      <c r="AD1717" s="314"/>
      <c r="AE1717" s="314"/>
      <c r="AF1717" s="314"/>
    </row>
    <row r="1718" spans="5:32" x14ac:dyDescent="0.35">
      <c r="E1718" s="314"/>
      <c r="F1718" s="314"/>
      <c r="G1718" s="314"/>
      <c r="H1718" s="314"/>
      <c r="I1718" s="314"/>
      <c r="J1718" s="314"/>
      <c r="K1718" s="314"/>
      <c r="L1718" s="314"/>
      <c r="M1718" s="314"/>
      <c r="N1718" s="314"/>
      <c r="O1718" s="314"/>
      <c r="P1718" s="314"/>
      <c r="Q1718" s="314"/>
      <c r="R1718" s="314"/>
      <c r="S1718" s="314"/>
      <c r="T1718" s="314"/>
      <c r="U1718" s="314"/>
      <c r="V1718" s="314"/>
      <c r="W1718" s="314"/>
      <c r="X1718" s="314"/>
      <c r="Y1718" s="314"/>
      <c r="Z1718" s="314"/>
      <c r="AA1718" s="314"/>
      <c r="AB1718" s="314"/>
      <c r="AC1718" s="314"/>
      <c r="AD1718" s="314"/>
      <c r="AE1718" s="314"/>
      <c r="AF1718" s="314"/>
    </row>
    <row r="1719" spans="5:32" x14ac:dyDescent="0.35">
      <c r="E1719" s="314"/>
      <c r="F1719" s="314"/>
      <c r="G1719" s="314"/>
      <c r="H1719" s="314"/>
      <c r="I1719" s="314"/>
      <c r="J1719" s="314"/>
      <c r="K1719" s="314"/>
      <c r="L1719" s="314"/>
      <c r="M1719" s="314"/>
      <c r="N1719" s="314"/>
      <c r="O1719" s="314"/>
      <c r="P1719" s="314"/>
      <c r="Q1719" s="314"/>
      <c r="R1719" s="314"/>
      <c r="S1719" s="314"/>
      <c r="T1719" s="314"/>
      <c r="U1719" s="314"/>
      <c r="V1719" s="314"/>
      <c r="W1719" s="314"/>
      <c r="X1719" s="314"/>
      <c r="Y1719" s="314"/>
      <c r="Z1719" s="314"/>
      <c r="AA1719" s="314"/>
      <c r="AB1719" s="314"/>
      <c r="AC1719" s="314"/>
      <c r="AD1719" s="314"/>
      <c r="AE1719" s="314"/>
      <c r="AF1719" s="314"/>
    </row>
    <row r="1720" spans="5:32" x14ac:dyDescent="0.35">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4"/>
      <c r="AD1720" s="314"/>
      <c r="AE1720" s="314"/>
      <c r="AF1720" s="314"/>
    </row>
    <row r="1721" spans="5:32" x14ac:dyDescent="0.35">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4"/>
      <c r="AD1721" s="314"/>
      <c r="AE1721" s="314"/>
      <c r="AF1721" s="314"/>
    </row>
    <row r="1722" spans="5:32" x14ac:dyDescent="0.35">
      <c r="E1722" s="314"/>
      <c r="F1722" s="314"/>
      <c r="G1722" s="314"/>
      <c r="H1722" s="314"/>
      <c r="I1722" s="314"/>
      <c r="J1722" s="314"/>
      <c r="K1722" s="314"/>
      <c r="L1722" s="314"/>
      <c r="M1722" s="314"/>
      <c r="N1722" s="314"/>
      <c r="O1722" s="314"/>
      <c r="P1722" s="314"/>
      <c r="Q1722" s="314"/>
      <c r="R1722" s="314"/>
      <c r="S1722" s="314"/>
      <c r="T1722" s="314"/>
      <c r="U1722" s="314"/>
      <c r="V1722" s="314"/>
      <c r="W1722" s="314"/>
      <c r="X1722" s="314"/>
      <c r="Y1722" s="314"/>
      <c r="Z1722" s="314"/>
      <c r="AA1722" s="314"/>
      <c r="AB1722" s="314"/>
      <c r="AC1722" s="314"/>
      <c r="AD1722" s="314"/>
      <c r="AE1722" s="314"/>
      <c r="AF1722" s="314"/>
    </row>
    <row r="1723" spans="5:32" x14ac:dyDescent="0.35">
      <c r="E1723" s="314"/>
      <c r="F1723" s="314"/>
      <c r="G1723" s="314"/>
      <c r="H1723" s="314"/>
      <c r="I1723" s="314"/>
      <c r="J1723" s="314"/>
      <c r="K1723" s="314"/>
      <c r="L1723" s="314"/>
      <c r="M1723" s="314"/>
      <c r="N1723" s="314"/>
      <c r="O1723" s="314"/>
      <c r="P1723" s="314"/>
      <c r="Q1723" s="314"/>
      <c r="R1723" s="314"/>
      <c r="S1723" s="314"/>
      <c r="T1723" s="314"/>
      <c r="U1723" s="314"/>
      <c r="V1723" s="314"/>
      <c r="W1723" s="314"/>
      <c r="X1723" s="314"/>
      <c r="Y1723" s="314"/>
      <c r="Z1723" s="314"/>
      <c r="AA1723" s="314"/>
      <c r="AB1723" s="314"/>
      <c r="AC1723" s="314"/>
      <c r="AD1723" s="314"/>
      <c r="AE1723" s="314"/>
      <c r="AF1723" s="314"/>
    </row>
    <row r="1724" spans="5:32" x14ac:dyDescent="0.35">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4"/>
      <c r="AD1724" s="314"/>
      <c r="AE1724" s="314"/>
      <c r="AF1724" s="314"/>
    </row>
    <row r="1725" spans="5:32" x14ac:dyDescent="0.35">
      <c r="E1725" s="314"/>
      <c r="F1725" s="314"/>
      <c r="G1725" s="314"/>
      <c r="H1725" s="314"/>
      <c r="I1725" s="314"/>
      <c r="J1725" s="314"/>
      <c r="K1725" s="314"/>
      <c r="L1725" s="314"/>
      <c r="M1725" s="314"/>
      <c r="N1725" s="314"/>
      <c r="O1725" s="314"/>
      <c r="P1725" s="314"/>
      <c r="Q1725" s="314"/>
      <c r="R1725" s="314"/>
      <c r="S1725" s="314"/>
      <c r="T1725" s="314"/>
      <c r="U1725" s="314"/>
      <c r="V1725" s="314"/>
      <c r="W1725" s="314"/>
      <c r="X1725" s="314"/>
      <c r="Y1725" s="314"/>
      <c r="Z1725" s="314"/>
      <c r="AA1725" s="314"/>
      <c r="AB1725" s="314"/>
      <c r="AC1725" s="314"/>
      <c r="AD1725" s="314"/>
      <c r="AE1725" s="314"/>
      <c r="AF1725" s="314"/>
    </row>
    <row r="1726" spans="5:32" x14ac:dyDescent="0.35">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4"/>
      <c r="AD1726" s="314"/>
      <c r="AE1726" s="314"/>
      <c r="AF1726" s="314"/>
    </row>
    <row r="1727" spans="5:32" x14ac:dyDescent="0.35">
      <c r="E1727" s="314"/>
      <c r="F1727" s="314"/>
      <c r="G1727" s="314"/>
      <c r="H1727" s="314"/>
      <c r="I1727" s="314"/>
      <c r="J1727" s="314"/>
      <c r="K1727" s="314"/>
      <c r="L1727" s="314"/>
      <c r="M1727" s="314"/>
      <c r="N1727" s="314"/>
      <c r="O1727" s="314"/>
      <c r="P1727" s="314"/>
      <c r="Q1727" s="314"/>
      <c r="R1727" s="314"/>
      <c r="S1727" s="314"/>
      <c r="T1727" s="314"/>
      <c r="U1727" s="314"/>
      <c r="V1727" s="314"/>
      <c r="W1727" s="314"/>
      <c r="X1727" s="314"/>
      <c r="Y1727" s="314"/>
      <c r="Z1727" s="314"/>
      <c r="AA1727" s="314"/>
      <c r="AB1727" s="314"/>
      <c r="AC1727" s="314"/>
      <c r="AD1727" s="314"/>
      <c r="AE1727" s="314"/>
      <c r="AF1727" s="314"/>
    </row>
    <row r="1728" spans="5:32" x14ac:dyDescent="0.35">
      <c r="E1728" s="314"/>
      <c r="F1728" s="314"/>
      <c r="G1728" s="314"/>
      <c r="H1728" s="314"/>
      <c r="I1728" s="314"/>
      <c r="J1728" s="314"/>
      <c r="K1728" s="314"/>
      <c r="L1728" s="314"/>
      <c r="M1728" s="314"/>
      <c r="N1728" s="314"/>
      <c r="O1728" s="314"/>
      <c r="P1728" s="314"/>
      <c r="Q1728" s="314"/>
      <c r="R1728" s="314"/>
      <c r="S1728" s="314"/>
      <c r="T1728" s="314"/>
      <c r="U1728" s="314"/>
      <c r="V1728" s="314"/>
      <c r="W1728" s="314"/>
      <c r="X1728" s="314"/>
      <c r="Y1728" s="314"/>
      <c r="Z1728" s="314"/>
      <c r="AA1728" s="314"/>
      <c r="AB1728" s="314"/>
      <c r="AC1728" s="314"/>
      <c r="AD1728" s="314"/>
      <c r="AE1728" s="314"/>
      <c r="AF1728" s="314"/>
    </row>
    <row r="1729" spans="5:32" x14ac:dyDescent="0.35">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4"/>
      <c r="AD1729" s="314"/>
      <c r="AE1729" s="314"/>
      <c r="AF1729" s="314"/>
    </row>
    <row r="1730" spans="5:32" x14ac:dyDescent="0.35">
      <c r="E1730" s="314"/>
      <c r="F1730" s="314"/>
      <c r="G1730" s="314"/>
      <c r="H1730" s="314"/>
      <c r="I1730" s="314"/>
      <c r="J1730" s="314"/>
      <c r="K1730" s="314"/>
      <c r="L1730" s="314"/>
      <c r="M1730" s="314"/>
      <c r="N1730" s="314"/>
      <c r="O1730" s="314"/>
      <c r="P1730" s="314"/>
      <c r="Q1730" s="314"/>
      <c r="R1730" s="314"/>
      <c r="S1730" s="314"/>
      <c r="T1730" s="314"/>
      <c r="U1730" s="314"/>
      <c r="V1730" s="314"/>
      <c r="W1730" s="314"/>
      <c r="X1730" s="314"/>
      <c r="Y1730" s="314"/>
      <c r="Z1730" s="314"/>
      <c r="AA1730" s="314"/>
      <c r="AB1730" s="314"/>
      <c r="AC1730" s="314"/>
      <c r="AD1730" s="314"/>
      <c r="AE1730" s="314"/>
      <c r="AF1730" s="314"/>
    </row>
    <row r="1731" spans="5:32" x14ac:dyDescent="0.35">
      <c r="E1731" s="314"/>
      <c r="F1731" s="314"/>
      <c r="G1731" s="314"/>
      <c r="H1731" s="314"/>
      <c r="I1731" s="314"/>
      <c r="J1731" s="314"/>
      <c r="K1731" s="314"/>
      <c r="L1731" s="314"/>
      <c r="M1731" s="314"/>
      <c r="N1731" s="314"/>
      <c r="O1731" s="314"/>
      <c r="P1731" s="314"/>
      <c r="Q1731" s="314"/>
      <c r="R1731" s="314"/>
      <c r="S1731" s="314"/>
      <c r="T1731" s="314"/>
      <c r="U1731" s="314"/>
      <c r="V1731" s="314"/>
      <c r="W1731" s="314"/>
      <c r="X1731" s="314"/>
      <c r="Y1731" s="314"/>
      <c r="Z1731" s="314"/>
      <c r="AA1731" s="314"/>
      <c r="AB1731" s="314"/>
      <c r="AC1731" s="314"/>
      <c r="AD1731" s="314"/>
      <c r="AE1731" s="314"/>
      <c r="AF1731" s="314"/>
    </row>
    <row r="1732" spans="5:32" x14ac:dyDescent="0.35">
      <c r="E1732" s="314"/>
      <c r="F1732" s="314"/>
      <c r="G1732" s="314"/>
      <c r="H1732" s="314"/>
      <c r="I1732" s="314"/>
      <c r="J1732" s="314"/>
      <c r="K1732" s="314"/>
      <c r="L1732" s="314"/>
      <c r="M1732" s="314"/>
      <c r="N1732" s="314"/>
      <c r="O1732" s="314"/>
      <c r="P1732" s="314"/>
      <c r="Q1732" s="314"/>
      <c r="R1732" s="314"/>
      <c r="S1732" s="314"/>
      <c r="T1732" s="314"/>
      <c r="U1732" s="314"/>
      <c r="V1732" s="314"/>
      <c r="W1732" s="314"/>
      <c r="X1732" s="314"/>
      <c r="Y1732" s="314"/>
      <c r="Z1732" s="314"/>
      <c r="AA1732" s="314"/>
      <c r="AB1732" s="314"/>
      <c r="AC1732" s="314"/>
      <c r="AD1732" s="314"/>
      <c r="AE1732" s="314"/>
      <c r="AF1732" s="314"/>
    </row>
    <row r="1733" spans="5:32" x14ac:dyDescent="0.35">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314"/>
      <c r="AF1733" s="314"/>
    </row>
    <row r="1734" spans="5:32" x14ac:dyDescent="0.35">
      <c r="E1734" s="314"/>
      <c r="F1734" s="314"/>
      <c r="G1734" s="314"/>
      <c r="H1734" s="314"/>
      <c r="I1734" s="314"/>
      <c r="J1734" s="314"/>
      <c r="K1734" s="314"/>
      <c r="L1734" s="314"/>
      <c r="M1734" s="314"/>
      <c r="N1734" s="314"/>
      <c r="O1734" s="314"/>
      <c r="P1734" s="314"/>
      <c r="Q1734" s="314"/>
      <c r="R1734" s="314"/>
      <c r="S1734" s="314"/>
      <c r="T1734" s="314"/>
      <c r="U1734" s="314"/>
      <c r="V1734" s="314"/>
      <c r="W1734" s="314"/>
      <c r="X1734" s="314"/>
      <c r="Y1734" s="314"/>
      <c r="Z1734" s="314"/>
      <c r="AA1734" s="314"/>
      <c r="AB1734" s="314"/>
      <c r="AC1734" s="314"/>
      <c r="AD1734" s="314"/>
      <c r="AE1734" s="314"/>
      <c r="AF1734" s="314"/>
    </row>
    <row r="1735" spans="5:32" x14ac:dyDescent="0.35">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314"/>
      <c r="AE1735" s="314"/>
      <c r="AF1735" s="314"/>
    </row>
    <row r="1736" spans="5:32" x14ac:dyDescent="0.35">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4"/>
      <c r="AD1736" s="314"/>
      <c r="AE1736" s="314"/>
      <c r="AF1736" s="314"/>
    </row>
    <row r="1737" spans="5:32" x14ac:dyDescent="0.35">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4"/>
      <c r="AD1737" s="314"/>
      <c r="AE1737" s="314"/>
      <c r="AF1737" s="314"/>
    </row>
    <row r="1738" spans="5:32" x14ac:dyDescent="0.35">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4"/>
      <c r="AD1738" s="314"/>
      <c r="AE1738" s="314"/>
      <c r="AF1738" s="314"/>
    </row>
    <row r="1739" spans="5:32" x14ac:dyDescent="0.35">
      <c r="E1739" s="314"/>
      <c r="F1739" s="314"/>
      <c r="G1739" s="314"/>
      <c r="H1739" s="314"/>
      <c r="I1739" s="314"/>
      <c r="J1739" s="314"/>
      <c r="K1739" s="314"/>
      <c r="L1739" s="314"/>
      <c r="M1739" s="314"/>
      <c r="N1739" s="314"/>
      <c r="O1739" s="314"/>
      <c r="P1739" s="314"/>
      <c r="Q1739" s="314"/>
      <c r="R1739" s="314"/>
      <c r="S1739" s="314"/>
      <c r="T1739" s="314"/>
      <c r="U1739" s="314"/>
      <c r="V1739" s="314"/>
      <c r="W1739" s="314"/>
      <c r="X1739" s="314"/>
      <c r="Y1739" s="314"/>
      <c r="Z1739" s="314"/>
      <c r="AA1739" s="314"/>
      <c r="AB1739" s="314"/>
      <c r="AC1739" s="314"/>
      <c r="AD1739" s="314"/>
      <c r="AE1739" s="314"/>
      <c r="AF1739" s="314"/>
    </row>
    <row r="1740" spans="5:32" x14ac:dyDescent="0.35">
      <c r="E1740" s="314"/>
      <c r="F1740" s="314"/>
      <c r="G1740" s="314"/>
      <c r="H1740" s="314"/>
      <c r="I1740" s="314"/>
      <c r="J1740" s="314"/>
      <c r="K1740" s="314"/>
      <c r="L1740" s="314"/>
      <c r="M1740" s="314"/>
      <c r="N1740" s="314"/>
      <c r="O1740" s="314"/>
      <c r="P1740" s="314"/>
      <c r="Q1740" s="314"/>
      <c r="R1740" s="314"/>
      <c r="S1740" s="314"/>
      <c r="T1740" s="314"/>
      <c r="U1740" s="314"/>
      <c r="V1740" s="314"/>
      <c r="W1740" s="314"/>
      <c r="X1740" s="314"/>
      <c r="Y1740" s="314"/>
      <c r="Z1740" s="314"/>
      <c r="AA1740" s="314"/>
      <c r="AB1740" s="314"/>
      <c r="AC1740" s="314"/>
      <c r="AD1740" s="314"/>
      <c r="AE1740" s="314"/>
      <c r="AF1740" s="314"/>
    </row>
    <row r="1741" spans="5:32" x14ac:dyDescent="0.35">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314"/>
      <c r="AE1741" s="314"/>
      <c r="AF1741" s="314"/>
    </row>
    <row r="1742" spans="5:32" x14ac:dyDescent="0.35">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314"/>
      <c r="AF1742" s="314"/>
    </row>
    <row r="1743" spans="5:32" x14ac:dyDescent="0.35">
      <c r="E1743" s="314"/>
      <c r="F1743" s="314"/>
      <c r="G1743" s="314"/>
      <c r="H1743" s="314"/>
      <c r="I1743" s="314"/>
      <c r="J1743" s="314"/>
      <c r="K1743" s="314"/>
      <c r="L1743" s="314"/>
      <c r="M1743" s="314"/>
      <c r="N1743" s="314"/>
      <c r="O1743" s="314"/>
      <c r="P1743" s="314"/>
      <c r="Q1743" s="314"/>
      <c r="R1743" s="314"/>
      <c r="S1743" s="314"/>
      <c r="T1743" s="314"/>
      <c r="U1743" s="314"/>
      <c r="V1743" s="314"/>
      <c r="W1743" s="314"/>
      <c r="X1743" s="314"/>
      <c r="Y1743" s="314"/>
      <c r="Z1743" s="314"/>
      <c r="AA1743" s="314"/>
      <c r="AB1743" s="314"/>
      <c r="AC1743" s="314"/>
      <c r="AD1743" s="314"/>
      <c r="AE1743" s="314"/>
      <c r="AF1743" s="314"/>
    </row>
    <row r="1744" spans="5:32" x14ac:dyDescent="0.35">
      <c r="E1744" s="314"/>
      <c r="F1744" s="314"/>
      <c r="G1744" s="314"/>
      <c r="H1744" s="314"/>
      <c r="I1744" s="314"/>
      <c r="J1744" s="314"/>
      <c r="K1744" s="314"/>
      <c r="L1744" s="314"/>
      <c r="M1744" s="314"/>
      <c r="N1744" s="314"/>
      <c r="O1744" s="314"/>
      <c r="P1744" s="314"/>
      <c r="Q1744" s="314"/>
      <c r="R1744" s="314"/>
      <c r="S1744" s="314"/>
      <c r="T1744" s="314"/>
      <c r="U1744" s="314"/>
      <c r="V1744" s="314"/>
      <c r="W1744" s="314"/>
      <c r="X1744" s="314"/>
      <c r="Y1744" s="314"/>
      <c r="Z1744" s="314"/>
      <c r="AA1744" s="314"/>
      <c r="AB1744" s="314"/>
      <c r="AC1744" s="314"/>
      <c r="AD1744" s="314"/>
      <c r="AE1744" s="314"/>
      <c r="AF1744" s="314"/>
    </row>
    <row r="1745" spans="5:32" x14ac:dyDescent="0.35">
      <c r="E1745" s="314"/>
      <c r="F1745" s="314"/>
      <c r="G1745" s="314"/>
      <c r="H1745" s="314"/>
      <c r="I1745" s="314"/>
      <c r="J1745" s="314"/>
      <c r="K1745" s="314"/>
      <c r="L1745" s="314"/>
      <c r="M1745" s="314"/>
      <c r="N1745" s="314"/>
      <c r="O1745" s="314"/>
      <c r="P1745" s="314"/>
      <c r="Q1745" s="314"/>
      <c r="R1745" s="314"/>
      <c r="S1745" s="314"/>
      <c r="T1745" s="314"/>
      <c r="U1745" s="314"/>
      <c r="V1745" s="314"/>
      <c r="W1745" s="314"/>
      <c r="X1745" s="314"/>
      <c r="Y1745" s="314"/>
      <c r="Z1745" s="314"/>
      <c r="AA1745" s="314"/>
      <c r="AB1745" s="314"/>
      <c r="AC1745" s="314"/>
      <c r="AD1745" s="314"/>
      <c r="AE1745" s="314"/>
      <c r="AF1745" s="314"/>
    </row>
    <row r="1746" spans="5:32" x14ac:dyDescent="0.35">
      <c r="E1746" s="314"/>
      <c r="F1746" s="314"/>
      <c r="G1746" s="314"/>
      <c r="H1746" s="314"/>
      <c r="I1746" s="314"/>
      <c r="J1746" s="314"/>
      <c r="K1746" s="314"/>
      <c r="L1746" s="314"/>
      <c r="M1746" s="314"/>
      <c r="N1746" s="314"/>
      <c r="O1746" s="314"/>
      <c r="P1746" s="314"/>
      <c r="Q1746" s="314"/>
      <c r="R1746" s="314"/>
      <c r="S1746" s="314"/>
      <c r="T1746" s="314"/>
      <c r="U1746" s="314"/>
      <c r="V1746" s="314"/>
      <c r="W1746" s="314"/>
      <c r="X1746" s="314"/>
      <c r="Y1746" s="314"/>
      <c r="Z1746" s="314"/>
      <c r="AA1746" s="314"/>
      <c r="AB1746" s="314"/>
      <c r="AC1746" s="314"/>
      <c r="AD1746" s="314"/>
      <c r="AE1746" s="314"/>
      <c r="AF1746" s="314"/>
    </row>
    <row r="1747" spans="5:32" x14ac:dyDescent="0.35">
      <c r="E1747" s="314"/>
      <c r="F1747" s="314"/>
      <c r="G1747" s="314"/>
      <c r="H1747" s="314"/>
      <c r="I1747" s="314"/>
      <c r="J1747" s="314"/>
      <c r="K1747" s="314"/>
      <c r="L1747" s="314"/>
      <c r="M1747" s="314"/>
      <c r="N1747" s="314"/>
      <c r="O1747" s="314"/>
      <c r="P1747" s="314"/>
      <c r="Q1747" s="314"/>
      <c r="R1747" s="314"/>
      <c r="S1747" s="314"/>
      <c r="T1747" s="314"/>
      <c r="U1747" s="314"/>
      <c r="V1747" s="314"/>
      <c r="W1747" s="314"/>
      <c r="X1747" s="314"/>
      <c r="Y1747" s="314"/>
      <c r="Z1747" s="314"/>
      <c r="AA1747" s="314"/>
      <c r="AB1747" s="314"/>
      <c r="AC1747" s="314"/>
      <c r="AD1747" s="314"/>
      <c r="AE1747" s="314"/>
      <c r="AF1747" s="314"/>
    </row>
    <row r="1748" spans="5:32" x14ac:dyDescent="0.35">
      <c r="E1748" s="314"/>
      <c r="F1748" s="314"/>
      <c r="G1748" s="314"/>
      <c r="H1748" s="314"/>
      <c r="I1748" s="314"/>
      <c r="J1748" s="314"/>
      <c r="K1748" s="314"/>
      <c r="L1748" s="314"/>
      <c r="M1748" s="314"/>
      <c r="N1748" s="314"/>
      <c r="O1748" s="314"/>
      <c r="P1748" s="314"/>
      <c r="Q1748" s="314"/>
      <c r="R1748" s="314"/>
      <c r="S1748" s="314"/>
      <c r="T1748" s="314"/>
      <c r="U1748" s="314"/>
      <c r="V1748" s="314"/>
      <c r="W1748" s="314"/>
      <c r="X1748" s="314"/>
      <c r="Y1748" s="314"/>
      <c r="Z1748" s="314"/>
      <c r="AA1748" s="314"/>
      <c r="AB1748" s="314"/>
      <c r="AC1748" s="314"/>
      <c r="AD1748" s="314"/>
      <c r="AE1748" s="314"/>
      <c r="AF1748" s="314"/>
    </row>
    <row r="1749" spans="5:32" x14ac:dyDescent="0.35">
      <c r="E1749" s="314"/>
      <c r="F1749" s="314"/>
      <c r="G1749" s="314"/>
      <c r="H1749" s="314"/>
      <c r="I1749" s="314"/>
      <c r="J1749" s="314"/>
      <c r="K1749" s="314"/>
      <c r="L1749" s="314"/>
      <c r="M1749" s="314"/>
      <c r="N1749" s="314"/>
      <c r="O1749" s="314"/>
      <c r="P1749" s="314"/>
      <c r="Q1749" s="314"/>
      <c r="R1749" s="314"/>
      <c r="S1749" s="314"/>
      <c r="T1749" s="314"/>
      <c r="U1749" s="314"/>
      <c r="V1749" s="314"/>
      <c r="W1749" s="314"/>
      <c r="X1749" s="314"/>
      <c r="Y1749" s="314"/>
      <c r="Z1749" s="314"/>
      <c r="AA1749" s="314"/>
      <c r="AB1749" s="314"/>
      <c r="AC1749" s="314"/>
      <c r="AD1749" s="314"/>
      <c r="AE1749" s="314"/>
      <c r="AF1749" s="314"/>
    </row>
    <row r="1750" spans="5:32" x14ac:dyDescent="0.35">
      <c r="E1750" s="314"/>
      <c r="F1750" s="314"/>
      <c r="G1750" s="314"/>
      <c r="H1750" s="314"/>
      <c r="I1750" s="314"/>
      <c r="J1750" s="314"/>
      <c r="K1750" s="314"/>
      <c r="L1750" s="314"/>
      <c r="M1750" s="314"/>
      <c r="N1750" s="314"/>
      <c r="O1750" s="314"/>
      <c r="P1750" s="314"/>
      <c r="Q1750" s="314"/>
      <c r="R1750" s="314"/>
      <c r="S1750" s="314"/>
      <c r="T1750" s="314"/>
      <c r="U1750" s="314"/>
      <c r="V1750" s="314"/>
      <c r="W1750" s="314"/>
      <c r="X1750" s="314"/>
      <c r="Y1750" s="314"/>
      <c r="Z1750" s="314"/>
      <c r="AA1750" s="314"/>
      <c r="AB1750" s="314"/>
      <c r="AC1750" s="314"/>
      <c r="AD1750" s="314"/>
      <c r="AE1750" s="314"/>
      <c r="AF1750" s="314"/>
    </row>
    <row r="1751" spans="5:32" x14ac:dyDescent="0.35">
      <c r="E1751" s="314"/>
      <c r="F1751" s="314"/>
      <c r="G1751" s="314"/>
      <c r="H1751" s="314"/>
      <c r="I1751" s="314"/>
      <c r="J1751" s="314"/>
      <c r="K1751" s="314"/>
      <c r="L1751" s="314"/>
      <c r="M1751" s="314"/>
      <c r="N1751" s="314"/>
      <c r="O1751" s="314"/>
      <c r="P1751" s="314"/>
      <c r="Q1751" s="314"/>
      <c r="R1751" s="314"/>
      <c r="S1751" s="314"/>
      <c r="T1751" s="314"/>
      <c r="U1751" s="314"/>
      <c r="V1751" s="314"/>
      <c r="W1751" s="314"/>
      <c r="X1751" s="314"/>
      <c r="Y1751" s="314"/>
      <c r="Z1751" s="314"/>
      <c r="AA1751" s="314"/>
      <c r="AB1751" s="314"/>
      <c r="AC1751" s="314"/>
      <c r="AD1751" s="314"/>
      <c r="AE1751" s="314"/>
      <c r="AF1751" s="314"/>
    </row>
    <row r="1752" spans="5:32" x14ac:dyDescent="0.35">
      <c r="E1752" s="314"/>
      <c r="F1752" s="314"/>
      <c r="G1752" s="314"/>
      <c r="H1752" s="314"/>
      <c r="I1752" s="314"/>
      <c r="J1752" s="314"/>
      <c r="K1752" s="314"/>
      <c r="L1752" s="314"/>
      <c r="M1752" s="314"/>
      <c r="N1752" s="314"/>
      <c r="O1752" s="314"/>
      <c r="P1752" s="314"/>
      <c r="Q1752" s="314"/>
      <c r="R1752" s="314"/>
      <c r="S1752" s="314"/>
      <c r="T1752" s="314"/>
      <c r="U1752" s="314"/>
      <c r="V1752" s="314"/>
      <c r="W1752" s="314"/>
      <c r="X1752" s="314"/>
      <c r="Y1752" s="314"/>
      <c r="Z1752" s="314"/>
      <c r="AA1752" s="314"/>
      <c r="AB1752" s="314"/>
      <c r="AC1752" s="314"/>
      <c r="AD1752" s="314"/>
      <c r="AE1752" s="314"/>
      <c r="AF1752" s="314"/>
    </row>
    <row r="1753" spans="5:32" x14ac:dyDescent="0.35">
      <c r="E1753" s="314"/>
      <c r="F1753" s="314"/>
      <c r="G1753" s="314"/>
      <c r="H1753" s="314"/>
      <c r="I1753" s="314"/>
      <c r="J1753" s="314"/>
      <c r="K1753" s="314"/>
      <c r="L1753" s="314"/>
      <c r="M1753" s="314"/>
      <c r="N1753" s="314"/>
      <c r="O1753" s="314"/>
      <c r="P1753" s="314"/>
      <c r="Q1753" s="314"/>
      <c r="R1753" s="314"/>
      <c r="S1753" s="314"/>
      <c r="T1753" s="314"/>
      <c r="U1753" s="314"/>
      <c r="V1753" s="314"/>
      <c r="W1753" s="314"/>
      <c r="X1753" s="314"/>
      <c r="Y1753" s="314"/>
      <c r="Z1753" s="314"/>
      <c r="AA1753" s="314"/>
      <c r="AB1753" s="314"/>
      <c r="AC1753" s="314"/>
      <c r="AD1753" s="314"/>
      <c r="AE1753" s="314"/>
      <c r="AF1753" s="314"/>
    </row>
    <row r="1754" spans="5:32" x14ac:dyDescent="0.35">
      <c r="E1754" s="314"/>
      <c r="F1754" s="314"/>
      <c r="G1754" s="314"/>
      <c r="H1754" s="314"/>
      <c r="I1754" s="314"/>
      <c r="J1754" s="314"/>
      <c r="K1754" s="314"/>
      <c r="L1754" s="314"/>
      <c r="M1754" s="314"/>
      <c r="N1754" s="314"/>
      <c r="O1754" s="314"/>
      <c r="P1754" s="314"/>
      <c r="Q1754" s="314"/>
      <c r="R1754" s="314"/>
      <c r="S1754" s="314"/>
      <c r="T1754" s="314"/>
      <c r="U1754" s="314"/>
      <c r="V1754" s="314"/>
      <c r="W1754" s="314"/>
      <c r="X1754" s="314"/>
      <c r="Y1754" s="314"/>
      <c r="Z1754" s="314"/>
      <c r="AA1754" s="314"/>
      <c r="AB1754" s="314"/>
      <c r="AC1754" s="314"/>
      <c r="AD1754" s="314"/>
      <c r="AE1754" s="314"/>
      <c r="AF1754" s="314"/>
    </row>
    <row r="1755" spans="5:32" x14ac:dyDescent="0.35">
      <c r="E1755" s="314"/>
      <c r="F1755" s="314"/>
      <c r="G1755" s="314"/>
      <c r="H1755" s="314"/>
      <c r="I1755" s="314"/>
      <c r="J1755" s="314"/>
      <c r="K1755" s="314"/>
      <c r="L1755" s="314"/>
      <c r="M1755" s="314"/>
      <c r="N1755" s="314"/>
      <c r="O1755" s="314"/>
      <c r="P1755" s="314"/>
      <c r="Q1755" s="314"/>
      <c r="R1755" s="314"/>
      <c r="S1755" s="314"/>
      <c r="T1755" s="314"/>
      <c r="U1755" s="314"/>
      <c r="V1755" s="314"/>
      <c r="W1755" s="314"/>
      <c r="X1755" s="314"/>
      <c r="Y1755" s="314"/>
      <c r="Z1755" s="314"/>
      <c r="AA1755" s="314"/>
      <c r="AB1755" s="314"/>
      <c r="AC1755" s="314"/>
      <c r="AD1755" s="314"/>
      <c r="AE1755" s="314"/>
      <c r="AF1755" s="314"/>
    </row>
    <row r="1756" spans="5:32" x14ac:dyDescent="0.35">
      <c r="E1756" s="314"/>
      <c r="F1756" s="314"/>
      <c r="G1756" s="314"/>
      <c r="H1756" s="314"/>
      <c r="I1756" s="314"/>
      <c r="J1756" s="314"/>
      <c r="K1756" s="314"/>
      <c r="L1756" s="314"/>
      <c r="M1756" s="314"/>
      <c r="N1756" s="314"/>
      <c r="O1756" s="314"/>
      <c r="P1756" s="314"/>
      <c r="Q1756" s="314"/>
      <c r="R1756" s="314"/>
      <c r="S1756" s="314"/>
      <c r="T1756" s="314"/>
      <c r="U1756" s="314"/>
      <c r="V1756" s="314"/>
      <c r="W1756" s="314"/>
      <c r="X1756" s="314"/>
      <c r="Y1756" s="314"/>
      <c r="Z1756" s="314"/>
      <c r="AA1756" s="314"/>
      <c r="AB1756" s="314"/>
      <c r="AC1756" s="314"/>
      <c r="AD1756" s="314"/>
      <c r="AE1756" s="314"/>
      <c r="AF1756" s="314"/>
    </row>
    <row r="1757" spans="5:32" x14ac:dyDescent="0.35">
      <c r="E1757" s="314"/>
      <c r="F1757" s="314"/>
      <c r="G1757" s="314"/>
      <c r="H1757" s="314"/>
      <c r="I1757" s="314"/>
      <c r="J1757" s="314"/>
      <c r="K1757" s="314"/>
      <c r="L1757" s="314"/>
      <c r="M1757" s="314"/>
      <c r="N1757" s="314"/>
      <c r="O1757" s="314"/>
      <c r="P1757" s="314"/>
      <c r="Q1757" s="314"/>
      <c r="R1757" s="314"/>
      <c r="S1757" s="314"/>
      <c r="T1757" s="314"/>
      <c r="U1757" s="314"/>
      <c r="V1757" s="314"/>
      <c r="W1757" s="314"/>
      <c r="X1757" s="314"/>
      <c r="Y1757" s="314"/>
      <c r="Z1757" s="314"/>
      <c r="AA1757" s="314"/>
      <c r="AB1757" s="314"/>
      <c r="AC1757" s="314"/>
      <c r="AD1757" s="314"/>
      <c r="AE1757" s="314"/>
      <c r="AF1757" s="314"/>
    </row>
    <row r="1758" spans="5:32" x14ac:dyDescent="0.35">
      <c r="E1758" s="314"/>
      <c r="F1758" s="314"/>
      <c r="G1758" s="314"/>
      <c r="H1758" s="314"/>
      <c r="I1758" s="314"/>
      <c r="J1758" s="314"/>
      <c r="K1758" s="314"/>
      <c r="L1758" s="314"/>
      <c r="M1758" s="314"/>
      <c r="N1758" s="314"/>
      <c r="O1758" s="314"/>
      <c r="P1758" s="314"/>
      <c r="Q1758" s="314"/>
      <c r="R1758" s="314"/>
      <c r="S1758" s="314"/>
      <c r="T1758" s="314"/>
      <c r="U1758" s="314"/>
      <c r="V1758" s="314"/>
      <c r="W1758" s="314"/>
      <c r="X1758" s="314"/>
      <c r="Y1758" s="314"/>
      <c r="Z1758" s="314"/>
      <c r="AA1758" s="314"/>
      <c r="AB1758" s="314"/>
      <c r="AC1758" s="314"/>
      <c r="AD1758" s="314"/>
      <c r="AE1758" s="314"/>
      <c r="AF1758" s="314"/>
    </row>
    <row r="1759" spans="5:32" x14ac:dyDescent="0.35">
      <c r="E1759" s="314"/>
      <c r="F1759" s="314"/>
      <c r="G1759" s="314"/>
      <c r="H1759" s="314"/>
      <c r="I1759" s="314"/>
      <c r="J1759" s="314"/>
      <c r="K1759" s="314"/>
      <c r="L1759" s="314"/>
      <c r="M1759" s="314"/>
      <c r="N1759" s="314"/>
      <c r="O1759" s="314"/>
      <c r="P1759" s="314"/>
      <c r="Q1759" s="314"/>
      <c r="R1759" s="314"/>
      <c r="S1759" s="314"/>
      <c r="T1759" s="314"/>
      <c r="U1759" s="314"/>
      <c r="V1759" s="314"/>
      <c r="W1759" s="314"/>
      <c r="X1759" s="314"/>
      <c r="Y1759" s="314"/>
      <c r="Z1759" s="314"/>
      <c r="AA1759" s="314"/>
      <c r="AB1759" s="314"/>
      <c r="AC1759" s="314"/>
      <c r="AD1759" s="314"/>
      <c r="AE1759" s="314"/>
      <c r="AF1759" s="314"/>
    </row>
    <row r="1760" spans="5:32" x14ac:dyDescent="0.35">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314"/>
      <c r="AE1760" s="314"/>
      <c r="AF1760" s="314"/>
    </row>
    <row r="1761" spans="5:32" x14ac:dyDescent="0.35">
      <c r="E1761" s="314"/>
      <c r="F1761" s="314"/>
      <c r="G1761" s="314"/>
      <c r="H1761" s="314"/>
      <c r="I1761" s="314"/>
      <c r="J1761" s="314"/>
      <c r="K1761" s="314"/>
      <c r="L1761" s="314"/>
      <c r="M1761" s="314"/>
      <c r="N1761" s="314"/>
      <c r="O1761" s="314"/>
      <c r="P1761" s="314"/>
      <c r="Q1761" s="314"/>
      <c r="R1761" s="314"/>
      <c r="S1761" s="314"/>
      <c r="T1761" s="314"/>
      <c r="U1761" s="314"/>
      <c r="V1761" s="314"/>
      <c r="W1761" s="314"/>
      <c r="X1761" s="314"/>
      <c r="Y1761" s="314"/>
      <c r="Z1761" s="314"/>
      <c r="AA1761" s="314"/>
      <c r="AB1761" s="314"/>
      <c r="AC1761" s="314"/>
      <c r="AD1761" s="314"/>
      <c r="AE1761" s="314"/>
      <c r="AF1761" s="314"/>
    </row>
    <row r="1762" spans="5:32" x14ac:dyDescent="0.35">
      <c r="E1762" s="314"/>
      <c r="F1762" s="314"/>
      <c r="G1762" s="314"/>
      <c r="H1762" s="314"/>
      <c r="I1762" s="314"/>
      <c r="J1762" s="314"/>
      <c r="K1762" s="314"/>
      <c r="L1762" s="314"/>
      <c r="M1762" s="314"/>
      <c r="N1762" s="314"/>
      <c r="O1762" s="314"/>
      <c r="P1762" s="314"/>
      <c r="Q1762" s="314"/>
      <c r="R1762" s="314"/>
      <c r="S1762" s="314"/>
      <c r="T1762" s="314"/>
      <c r="U1762" s="314"/>
      <c r="V1762" s="314"/>
      <c r="W1762" s="314"/>
      <c r="X1762" s="314"/>
      <c r="Y1762" s="314"/>
      <c r="Z1762" s="314"/>
      <c r="AA1762" s="314"/>
      <c r="AB1762" s="314"/>
      <c r="AC1762" s="314"/>
      <c r="AD1762" s="314"/>
      <c r="AE1762" s="314"/>
      <c r="AF1762" s="314"/>
    </row>
    <row r="1763" spans="5:32" x14ac:dyDescent="0.35">
      <c r="E1763" s="314"/>
      <c r="F1763" s="314"/>
      <c r="G1763" s="314"/>
      <c r="H1763" s="314"/>
      <c r="I1763" s="314"/>
      <c r="J1763" s="314"/>
      <c r="K1763" s="314"/>
      <c r="L1763" s="314"/>
      <c r="M1763" s="314"/>
      <c r="N1763" s="314"/>
      <c r="O1763" s="314"/>
      <c r="P1763" s="314"/>
      <c r="Q1763" s="314"/>
      <c r="R1763" s="314"/>
      <c r="S1763" s="314"/>
      <c r="T1763" s="314"/>
      <c r="U1763" s="314"/>
      <c r="V1763" s="314"/>
      <c r="W1763" s="314"/>
      <c r="X1763" s="314"/>
      <c r="Y1763" s="314"/>
      <c r="Z1763" s="314"/>
      <c r="AA1763" s="314"/>
      <c r="AB1763" s="314"/>
      <c r="AC1763" s="314"/>
      <c r="AD1763" s="314"/>
      <c r="AE1763" s="314"/>
      <c r="AF1763" s="314"/>
    </row>
    <row r="1764" spans="5:32" x14ac:dyDescent="0.35">
      <c r="E1764" s="314"/>
      <c r="F1764" s="314"/>
      <c r="G1764" s="314"/>
      <c r="H1764" s="314"/>
      <c r="I1764" s="314"/>
      <c r="J1764" s="314"/>
      <c r="K1764" s="314"/>
      <c r="L1764" s="314"/>
      <c r="M1764" s="314"/>
      <c r="N1764" s="314"/>
      <c r="O1764" s="314"/>
      <c r="P1764" s="314"/>
      <c r="Q1764" s="314"/>
      <c r="R1764" s="314"/>
      <c r="S1764" s="314"/>
      <c r="T1764" s="314"/>
      <c r="U1764" s="314"/>
      <c r="V1764" s="314"/>
      <c r="W1764" s="314"/>
      <c r="X1764" s="314"/>
      <c r="Y1764" s="314"/>
      <c r="Z1764" s="314"/>
      <c r="AA1764" s="314"/>
      <c r="AB1764" s="314"/>
      <c r="AC1764" s="314"/>
      <c r="AD1764" s="314"/>
      <c r="AE1764" s="314"/>
      <c r="AF1764" s="314"/>
    </row>
    <row r="1765" spans="5:32" x14ac:dyDescent="0.35">
      <c r="E1765" s="314"/>
      <c r="F1765" s="314"/>
      <c r="G1765" s="314"/>
      <c r="H1765" s="314"/>
      <c r="I1765" s="314"/>
      <c r="J1765" s="314"/>
      <c r="K1765" s="314"/>
      <c r="L1765" s="314"/>
      <c r="M1765" s="314"/>
      <c r="N1765" s="314"/>
      <c r="O1765" s="314"/>
      <c r="P1765" s="314"/>
      <c r="Q1765" s="314"/>
      <c r="R1765" s="314"/>
      <c r="S1765" s="314"/>
      <c r="T1765" s="314"/>
      <c r="U1765" s="314"/>
      <c r="V1765" s="314"/>
      <c r="W1765" s="314"/>
      <c r="X1765" s="314"/>
      <c r="Y1765" s="314"/>
      <c r="Z1765" s="314"/>
      <c r="AA1765" s="314"/>
      <c r="AB1765" s="314"/>
      <c r="AC1765" s="314"/>
      <c r="AD1765" s="314"/>
      <c r="AE1765" s="314"/>
      <c r="AF1765" s="314"/>
    </row>
    <row r="1766" spans="5:32" x14ac:dyDescent="0.35">
      <c r="E1766" s="314"/>
      <c r="F1766" s="314"/>
      <c r="G1766" s="314"/>
      <c r="H1766" s="314"/>
      <c r="I1766" s="314"/>
      <c r="J1766" s="314"/>
      <c r="K1766" s="314"/>
      <c r="L1766" s="314"/>
      <c r="M1766" s="314"/>
      <c r="N1766" s="314"/>
      <c r="O1766" s="314"/>
      <c r="P1766" s="314"/>
      <c r="Q1766" s="314"/>
      <c r="R1766" s="314"/>
      <c r="S1766" s="314"/>
      <c r="T1766" s="314"/>
      <c r="U1766" s="314"/>
      <c r="V1766" s="314"/>
      <c r="W1766" s="314"/>
      <c r="X1766" s="314"/>
      <c r="Y1766" s="314"/>
      <c r="Z1766" s="314"/>
      <c r="AA1766" s="314"/>
      <c r="AB1766" s="314"/>
      <c r="AC1766" s="314"/>
      <c r="AD1766" s="314"/>
      <c r="AE1766" s="314"/>
      <c r="AF1766" s="314"/>
    </row>
    <row r="1767" spans="5:32" x14ac:dyDescent="0.35">
      <c r="E1767" s="314"/>
      <c r="F1767" s="314"/>
      <c r="G1767" s="314"/>
      <c r="H1767" s="314"/>
      <c r="I1767" s="314"/>
      <c r="J1767" s="314"/>
      <c r="K1767" s="314"/>
      <c r="L1767" s="314"/>
      <c r="M1767" s="314"/>
      <c r="N1767" s="314"/>
      <c r="O1767" s="314"/>
      <c r="P1767" s="314"/>
      <c r="Q1767" s="314"/>
      <c r="R1767" s="314"/>
      <c r="S1767" s="314"/>
      <c r="T1767" s="314"/>
      <c r="U1767" s="314"/>
      <c r="V1767" s="314"/>
      <c r="W1767" s="314"/>
      <c r="X1767" s="314"/>
      <c r="Y1767" s="314"/>
      <c r="Z1767" s="314"/>
      <c r="AA1767" s="314"/>
      <c r="AB1767" s="314"/>
      <c r="AC1767" s="314"/>
      <c r="AD1767" s="314"/>
      <c r="AE1767" s="314"/>
      <c r="AF1767" s="314"/>
    </row>
    <row r="1768" spans="5:32" x14ac:dyDescent="0.35">
      <c r="E1768" s="314"/>
      <c r="F1768" s="314"/>
      <c r="G1768" s="314"/>
      <c r="H1768" s="314"/>
      <c r="I1768" s="314"/>
      <c r="J1768" s="314"/>
      <c r="K1768" s="314"/>
      <c r="L1768" s="314"/>
      <c r="M1768" s="314"/>
      <c r="N1768" s="314"/>
      <c r="O1768" s="314"/>
      <c r="P1768" s="314"/>
      <c r="Q1768" s="314"/>
      <c r="R1768" s="314"/>
      <c r="S1768" s="314"/>
      <c r="T1768" s="314"/>
      <c r="U1768" s="314"/>
      <c r="V1768" s="314"/>
      <c r="W1768" s="314"/>
      <c r="X1768" s="314"/>
      <c r="Y1768" s="314"/>
      <c r="Z1768" s="314"/>
      <c r="AA1768" s="314"/>
      <c r="AB1768" s="314"/>
      <c r="AC1768" s="314"/>
      <c r="AD1768" s="314"/>
      <c r="AE1768" s="314"/>
      <c r="AF1768" s="314"/>
    </row>
    <row r="1769" spans="5:32" x14ac:dyDescent="0.35">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314"/>
      <c r="AE1769" s="314"/>
      <c r="AF1769" s="314"/>
    </row>
    <row r="1770" spans="5:32" x14ac:dyDescent="0.35">
      <c r="E1770" s="314"/>
      <c r="F1770" s="314"/>
      <c r="G1770" s="314"/>
      <c r="H1770" s="314"/>
      <c r="I1770" s="314"/>
      <c r="J1770" s="314"/>
      <c r="K1770" s="314"/>
      <c r="L1770" s="314"/>
      <c r="M1770" s="314"/>
      <c r="N1770" s="314"/>
      <c r="O1770" s="314"/>
      <c r="P1770" s="314"/>
      <c r="Q1770" s="314"/>
      <c r="R1770" s="314"/>
      <c r="S1770" s="314"/>
      <c r="T1770" s="314"/>
      <c r="U1770" s="314"/>
      <c r="V1770" s="314"/>
      <c r="W1770" s="314"/>
      <c r="X1770" s="314"/>
      <c r="Y1770" s="314"/>
      <c r="Z1770" s="314"/>
      <c r="AA1770" s="314"/>
      <c r="AB1770" s="314"/>
      <c r="AC1770" s="314"/>
      <c r="AD1770" s="314"/>
      <c r="AE1770" s="314"/>
      <c r="AF1770" s="314"/>
    </row>
    <row r="1771" spans="5:32" x14ac:dyDescent="0.35">
      <c r="E1771" s="314"/>
      <c r="F1771" s="314"/>
      <c r="G1771" s="314"/>
      <c r="H1771" s="314"/>
      <c r="I1771" s="314"/>
      <c r="J1771" s="314"/>
      <c r="K1771" s="314"/>
      <c r="L1771" s="314"/>
      <c r="M1771" s="314"/>
      <c r="N1771" s="314"/>
      <c r="O1771" s="314"/>
      <c r="P1771" s="314"/>
      <c r="Q1771" s="314"/>
      <c r="R1771" s="314"/>
      <c r="S1771" s="314"/>
      <c r="T1771" s="314"/>
      <c r="U1771" s="314"/>
      <c r="V1771" s="314"/>
      <c r="W1771" s="314"/>
      <c r="X1771" s="314"/>
      <c r="Y1771" s="314"/>
      <c r="Z1771" s="314"/>
      <c r="AA1771" s="314"/>
      <c r="AB1771" s="314"/>
      <c r="AC1771" s="314"/>
      <c r="AD1771" s="314"/>
      <c r="AE1771" s="314"/>
      <c r="AF1771" s="314"/>
    </row>
    <row r="1772" spans="5:32" x14ac:dyDescent="0.35">
      <c r="E1772" s="314"/>
      <c r="F1772" s="314"/>
      <c r="G1772" s="314"/>
      <c r="H1772" s="314"/>
      <c r="I1772" s="314"/>
      <c r="J1772" s="314"/>
      <c r="K1772" s="314"/>
      <c r="L1772" s="314"/>
      <c r="M1772" s="314"/>
      <c r="N1772" s="314"/>
      <c r="O1772" s="314"/>
      <c r="P1772" s="314"/>
      <c r="Q1772" s="314"/>
      <c r="R1772" s="314"/>
      <c r="S1772" s="314"/>
      <c r="T1772" s="314"/>
      <c r="U1772" s="314"/>
      <c r="V1772" s="314"/>
      <c r="W1772" s="314"/>
      <c r="X1772" s="314"/>
      <c r="Y1772" s="314"/>
      <c r="Z1772" s="314"/>
      <c r="AA1772" s="314"/>
      <c r="AB1772" s="314"/>
      <c r="AC1772" s="314"/>
      <c r="AD1772" s="314"/>
      <c r="AE1772" s="314"/>
      <c r="AF1772" s="314"/>
    </row>
    <row r="1773" spans="5:32" x14ac:dyDescent="0.35">
      <c r="E1773" s="314"/>
      <c r="F1773" s="314"/>
      <c r="G1773" s="314"/>
      <c r="H1773" s="314"/>
      <c r="I1773" s="314"/>
      <c r="J1773" s="314"/>
      <c r="K1773" s="314"/>
      <c r="L1773" s="314"/>
      <c r="M1773" s="314"/>
      <c r="N1773" s="314"/>
      <c r="O1773" s="314"/>
      <c r="P1773" s="314"/>
      <c r="Q1773" s="314"/>
      <c r="R1773" s="314"/>
      <c r="S1773" s="314"/>
      <c r="T1773" s="314"/>
      <c r="U1773" s="314"/>
      <c r="V1773" s="314"/>
      <c r="W1773" s="314"/>
      <c r="X1773" s="314"/>
      <c r="Y1773" s="314"/>
      <c r="Z1773" s="314"/>
      <c r="AA1773" s="314"/>
      <c r="AB1773" s="314"/>
      <c r="AC1773" s="314"/>
      <c r="AD1773" s="314"/>
      <c r="AE1773" s="314"/>
      <c r="AF1773" s="314"/>
    </row>
    <row r="1774" spans="5:32" x14ac:dyDescent="0.35">
      <c r="E1774" s="314"/>
      <c r="F1774" s="314"/>
      <c r="G1774" s="314"/>
      <c r="H1774" s="314"/>
      <c r="I1774" s="314"/>
      <c r="J1774" s="314"/>
      <c r="K1774" s="314"/>
      <c r="L1774" s="314"/>
      <c r="M1774" s="314"/>
      <c r="N1774" s="314"/>
      <c r="O1774" s="314"/>
      <c r="P1774" s="314"/>
      <c r="Q1774" s="314"/>
      <c r="R1774" s="314"/>
      <c r="S1774" s="314"/>
      <c r="T1774" s="314"/>
      <c r="U1774" s="314"/>
      <c r="V1774" s="314"/>
      <c r="W1774" s="314"/>
      <c r="X1774" s="314"/>
      <c r="Y1774" s="314"/>
      <c r="Z1774" s="314"/>
      <c r="AA1774" s="314"/>
      <c r="AB1774" s="314"/>
      <c r="AC1774" s="314"/>
      <c r="AD1774" s="314"/>
      <c r="AE1774" s="314"/>
      <c r="AF1774" s="314"/>
    </row>
    <row r="1775" spans="5:32" x14ac:dyDescent="0.35">
      <c r="E1775" s="314"/>
      <c r="F1775" s="314"/>
      <c r="G1775" s="314"/>
      <c r="H1775" s="314"/>
      <c r="I1775" s="314"/>
      <c r="J1775" s="314"/>
      <c r="K1775" s="314"/>
      <c r="L1775" s="314"/>
      <c r="M1775" s="314"/>
      <c r="N1775" s="314"/>
      <c r="O1775" s="314"/>
      <c r="P1775" s="314"/>
      <c r="Q1775" s="314"/>
      <c r="R1775" s="314"/>
      <c r="S1775" s="314"/>
      <c r="T1775" s="314"/>
      <c r="U1775" s="314"/>
      <c r="V1775" s="314"/>
      <c r="W1775" s="314"/>
      <c r="X1775" s="314"/>
      <c r="Y1775" s="314"/>
      <c r="Z1775" s="314"/>
      <c r="AA1775" s="314"/>
      <c r="AB1775" s="314"/>
      <c r="AC1775" s="314"/>
      <c r="AD1775" s="314"/>
      <c r="AE1775" s="314"/>
      <c r="AF1775" s="314"/>
    </row>
    <row r="1776" spans="5:32" x14ac:dyDescent="0.35">
      <c r="E1776" s="314"/>
      <c r="F1776" s="314"/>
      <c r="G1776" s="314"/>
      <c r="H1776" s="314"/>
      <c r="I1776" s="314"/>
      <c r="J1776" s="314"/>
      <c r="K1776" s="314"/>
      <c r="L1776" s="314"/>
      <c r="M1776" s="314"/>
      <c r="N1776" s="314"/>
      <c r="O1776" s="314"/>
      <c r="P1776" s="314"/>
      <c r="Q1776" s="314"/>
      <c r="R1776" s="314"/>
      <c r="S1776" s="314"/>
      <c r="T1776" s="314"/>
      <c r="U1776" s="314"/>
      <c r="V1776" s="314"/>
      <c r="W1776" s="314"/>
      <c r="X1776" s="314"/>
      <c r="Y1776" s="314"/>
      <c r="Z1776" s="314"/>
      <c r="AA1776" s="314"/>
      <c r="AB1776" s="314"/>
      <c r="AC1776" s="314"/>
      <c r="AD1776" s="314"/>
      <c r="AE1776" s="314"/>
      <c r="AF1776" s="314"/>
    </row>
    <row r="1777" spans="5:32" x14ac:dyDescent="0.35">
      <c r="E1777" s="314"/>
      <c r="F1777" s="314"/>
      <c r="G1777" s="314"/>
      <c r="H1777" s="314"/>
      <c r="I1777" s="314"/>
      <c r="J1777" s="314"/>
      <c r="K1777" s="314"/>
      <c r="L1777" s="314"/>
      <c r="M1777" s="314"/>
      <c r="N1777" s="314"/>
      <c r="O1777" s="314"/>
      <c r="P1777" s="314"/>
      <c r="Q1777" s="314"/>
      <c r="R1777" s="314"/>
      <c r="S1777" s="314"/>
      <c r="T1777" s="314"/>
      <c r="U1777" s="314"/>
      <c r="V1777" s="314"/>
      <c r="W1777" s="314"/>
      <c r="X1777" s="314"/>
      <c r="Y1777" s="314"/>
      <c r="Z1777" s="314"/>
      <c r="AA1777" s="314"/>
      <c r="AB1777" s="314"/>
      <c r="AC1777" s="314"/>
      <c r="AD1777" s="314"/>
      <c r="AE1777" s="314"/>
      <c r="AF1777" s="314"/>
    </row>
    <row r="1778" spans="5:32" x14ac:dyDescent="0.35">
      <c r="E1778" s="314"/>
      <c r="F1778" s="314"/>
      <c r="G1778" s="314"/>
      <c r="H1778" s="314"/>
      <c r="I1778" s="314"/>
      <c r="J1778" s="314"/>
      <c r="K1778" s="314"/>
      <c r="L1778" s="314"/>
      <c r="M1778" s="314"/>
      <c r="N1778" s="314"/>
      <c r="O1778" s="314"/>
      <c r="P1778" s="314"/>
      <c r="Q1778" s="314"/>
      <c r="R1778" s="314"/>
      <c r="S1778" s="314"/>
      <c r="T1778" s="314"/>
      <c r="U1778" s="314"/>
      <c r="V1778" s="314"/>
      <c r="W1778" s="314"/>
      <c r="X1778" s="314"/>
      <c r="Y1778" s="314"/>
      <c r="Z1778" s="314"/>
      <c r="AA1778" s="314"/>
      <c r="AB1778" s="314"/>
      <c r="AC1778" s="314"/>
      <c r="AD1778" s="314"/>
      <c r="AE1778" s="314"/>
      <c r="AF1778" s="314"/>
    </row>
    <row r="1779" spans="5:32" x14ac:dyDescent="0.35">
      <c r="E1779" s="314"/>
      <c r="F1779" s="314"/>
      <c r="G1779" s="314"/>
      <c r="H1779" s="314"/>
      <c r="I1779" s="314"/>
      <c r="J1779" s="314"/>
      <c r="K1779" s="314"/>
      <c r="L1779" s="314"/>
      <c r="M1779" s="314"/>
      <c r="N1779" s="314"/>
      <c r="O1779" s="314"/>
      <c r="P1779" s="314"/>
      <c r="Q1779" s="314"/>
      <c r="R1779" s="314"/>
      <c r="S1779" s="314"/>
      <c r="T1779" s="314"/>
      <c r="U1779" s="314"/>
      <c r="V1779" s="314"/>
      <c r="W1779" s="314"/>
      <c r="X1779" s="314"/>
      <c r="Y1779" s="314"/>
      <c r="Z1779" s="314"/>
      <c r="AA1779" s="314"/>
      <c r="AB1779" s="314"/>
      <c r="AC1779" s="314"/>
      <c r="AD1779" s="314"/>
      <c r="AE1779" s="314"/>
      <c r="AF1779" s="314"/>
    </row>
    <row r="1780" spans="5:32" x14ac:dyDescent="0.35">
      <c r="E1780" s="314"/>
      <c r="F1780" s="314"/>
      <c r="G1780" s="314"/>
      <c r="H1780" s="314"/>
      <c r="I1780" s="314"/>
      <c r="J1780" s="314"/>
      <c r="K1780" s="314"/>
      <c r="L1780" s="314"/>
      <c r="M1780" s="314"/>
      <c r="N1780" s="314"/>
      <c r="O1780" s="314"/>
      <c r="P1780" s="314"/>
      <c r="Q1780" s="314"/>
      <c r="R1780" s="314"/>
      <c r="S1780" s="314"/>
      <c r="T1780" s="314"/>
      <c r="U1780" s="314"/>
      <c r="V1780" s="314"/>
      <c r="W1780" s="314"/>
      <c r="X1780" s="314"/>
      <c r="Y1780" s="314"/>
      <c r="Z1780" s="314"/>
      <c r="AA1780" s="314"/>
      <c r="AB1780" s="314"/>
      <c r="AC1780" s="314"/>
      <c r="AD1780" s="314"/>
      <c r="AE1780" s="314"/>
      <c r="AF1780" s="314"/>
    </row>
    <row r="1781" spans="5:32" x14ac:dyDescent="0.35">
      <c r="E1781" s="314"/>
      <c r="F1781" s="314"/>
      <c r="G1781" s="314"/>
      <c r="H1781" s="314"/>
      <c r="I1781" s="314"/>
      <c r="J1781" s="314"/>
      <c r="K1781" s="314"/>
      <c r="L1781" s="314"/>
      <c r="M1781" s="314"/>
      <c r="N1781" s="314"/>
      <c r="O1781" s="314"/>
      <c r="P1781" s="314"/>
      <c r="Q1781" s="314"/>
      <c r="R1781" s="314"/>
      <c r="S1781" s="314"/>
      <c r="T1781" s="314"/>
      <c r="U1781" s="314"/>
      <c r="V1781" s="314"/>
      <c r="W1781" s="314"/>
      <c r="X1781" s="314"/>
      <c r="Y1781" s="314"/>
      <c r="Z1781" s="314"/>
      <c r="AA1781" s="314"/>
      <c r="AB1781" s="314"/>
      <c r="AC1781" s="314"/>
      <c r="AD1781" s="314"/>
      <c r="AE1781" s="314"/>
      <c r="AF1781" s="314"/>
    </row>
    <row r="1782" spans="5:32" x14ac:dyDescent="0.35">
      <c r="E1782" s="314"/>
      <c r="F1782" s="314"/>
      <c r="G1782" s="314"/>
      <c r="H1782" s="314"/>
      <c r="I1782" s="314"/>
      <c r="J1782" s="314"/>
      <c r="K1782" s="314"/>
      <c r="L1782" s="314"/>
      <c r="M1782" s="314"/>
      <c r="N1782" s="314"/>
      <c r="O1782" s="314"/>
      <c r="P1782" s="314"/>
      <c r="Q1782" s="314"/>
      <c r="R1782" s="314"/>
      <c r="S1782" s="314"/>
      <c r="T1782" s="314"/>
      <c r="U1782" s="314"/>
      <c r="V1782" s="314"/>
      <c r="W1782" s="314"/>
      <c r="X1782" s="314"/>
      <c r="Y1782" s="314"/>
      <c r="Z1782" s="314"/>
      <c r="AA1782" s="314"/>
      <c r="AB1782" s="314"/>
      <c r="AC1782" s="314"/>
      <c r="AD1782" s="314"/>
      <c r="AE1782" s="314"/>
      <c r="AF1782" s="314"/>
    </row>
    <row r="1783" spans="5:32" x14ac:dyDescent="0.35">
      <c r="E1783" s="314"/>
      <c r="F1783" s="314"/>
      <c r="G1783" s="314"/>
      <c r="H1783" s="314"/>
      <c r="I1783" s="314"/>
      <c r="J1783" s="314"/>
      <c r="K1783" s="314"/>
      <c r="L1783" s="314"/>
      <c r="M1783" s="314"/>
      <c r="N1783" s="314"/>
      <c r="O1783" s="314"/>
      <c r="P1783" s="314"/>
      <c r="Q1783" s="314"/>
      <c r="R1783" s="314"/>
      <c r="S1783" s="314"/>
      <c r="T1783" s="314"/>
      <c r="U1783" s="314"/>
      <c r="V1783" s="314"/>
      <c r="W1783" s="314"/>
      <c r="X1783" s="314"/>
      <c r="Y1783" s="314"/>
      <c r="Z1783" s="314"/>
      <c r="AA1783" s="314"/>
      <c r="AB1783" s="314"/>
      <c r="AC1783" s="314"/>
      <c r="AD1783" s="314"/>
      <c r="AE1783" s="314"/>
      <c r="AF1783" s="314"/>
    </row>
    <row r="1784" spans="5:32" x14ac:dyDescent="0.35">
      <c r="E1784" s="314"/>
      <c r="F1784" s="314"/>
      <c r="G1784" s="314"/>
      <c r="H1784" s="314"/>
      <c r="I1784" s="314"/>
      <c r="J1784" s="314"/>
      <c r="K1784" s="314"/>
      <c r="L1784" s="314"/>
      <c r="M1784" s="314"/>
      <c r="N1784" s="314"/>
      <c r="O1784" s="314"/>
      <c r="P1784" s="314"/>
      <c r="Q1784" s="314"/>
      <c r="R1784" s="314"/>
      <c r="S1784" s="314"/>
      <c r="T1784" s="314"/>
      <c r="U1784" s="314"/>
      <c r="V1784" s="314"/>
      <c r="W1784" s="314"/>
      <c r="X1784" s="314"/>
      <c r="Y1784" s="314"/>
      <c r="Z1784" s="314"/>
      <c r="AA1784" s="314"/>
      <c r="AB1784" s="314"/>
      <c r="AC1784" s="314"/>
      <c r="AD1784" s="314"/>
      <c r="AE1784" s="314"/>
      <c r="AF1784" s="314"/>
    </row>
    <row r="1785" spans="5:32" x14ac:dyDescent="0.35">
      <c r="E1785" s="314"/>
      <c r="F1785" s="314"/>
      <c r="G1785" s="314"/>
      <c r="H1785" s="314"/>
      <c r="I1785" s="314"/>
      <c r="J1785" s="314"/>
      <c r="K1785" s="314"/>
      <c r="L1785" s="314"/>
      <c r="M1785" s="314"/>
      <c r="N1785" s="314"/>
      <c r="O1785" s="314"/>
      <c r="P1785" s="314"/>
      <c r="Q1785" s="314"/>
      <c r="R1785" s="314"/>
      <c r="S1785" s="314"/>
      <c r="T1785" s="314"/>
      <c r="U1785" s="314"/>
      <c r="V1785" s="314"/>
      <c r="W1785" s="314"/>
      <c r="X1785" s="314"/>
      <c r="Y1785" s="314"/>
      <c r="Z1785" s="314"/>
      <c r="AA1785" s="314"/>
      <c r="AB1785" s="314"/>
      <c r="AC1785" s="314"/>
      <c r="AD1785" s="314"/>
      <c r="AE1785" s="314"/>
      <c r="AF1785" s="314"/>
    </row>
    <row r="1786" spans="5:32" x14ac:dyDescent="0.35">
      <c r="E1786" s="314"/>
      <c r="F1786" s="314"/>
      <c r="G1786" s="314"/>
      <c r="H1786" s="314"/>
      <c r="I1786" s="314"/>
      <c r="J1786" s="314"/>
      <c r="K1786" s="314"/>
      <c r="L1786" s="314"/>
      <c r="M1786" s="314"/>
      <c r="N1786" s="314"/>
      <c r="O1786" s="314"/>
      <c r="P1786" s="314"/>
      <c r="Q1786" s="314"/>
      <c r="R1786" s="314"/>
      <c r="S1786" s="314"/>
      <c r="T1786" s="314"/>
      <c r="U1786" s="314"/>
      <c r="V1786" s="314"/>
      <c r="W1786" s="314"/>
      <c r="X1786" s="314"/>
      <c r="Y1786" s="314"/>
      <c r="Z1786" s="314"/>
      <c r="AA1786" s="314"/>
      <c r="AB1786" s="314"/>
      <c r="AC1786" s="314"/>
      <c r="AD1786" s="314"/>
      <c r="AE1786" s="314"/>
      <c r="AF1786" s="314"/>
    </row>
    <row r="1787" spans="5:32" x14ac:dyDescent="0.35">
      <c r="E1787" s="314"/>
      <c r="F1787" s="314"/>
      <c r="G1787" s="314"/>
      <c r="H1787" s="314"/>
      <c r="I1787" s="314"/>
      <c r="J1787" s="314"/>
      <c r="K1787" s="314"/>
      <c r="L1787" s="314"/>
      <c r="M1787" s="314"/>
      <c r="N1787" s="314"/>
      <c r="O1787" s="314"/>
      <c r="P1787" s="314"/>
      <c r="Q1787" s="314"/>
      <c r="R1787" s="314"/>
      <c r="S1787" s="314"/>
      <c r="T1787" s="314"/>
      <c r="U1787" s="314"/>
      <c r="V1787" s="314"/>
      <c r="W1787" s="314"/>
      <c r="X1787" s="314"/>
      <c r="Y1787" s="314"/>
      <c r="Z1787" s="314"/>
      <c r="AA1787" s="314"/>
      <c r="AB1787" s="314"/>
      <c r="AC1787" s="314"/>
      <c r="AD1787" s="314"/>
      <c r="AE1787" s="314"/>
      <c r="AF1787" s="314"/>
    </row>
    <row r="1788" spans="5:32" x14ac:dyDescent="0.35">
      <c r="E1788" s="314"/>
      <c r="F1788" s="314"/>
      <c r="G1788" s="314"/>
      <c r="H1788" s="314"/>
      <c r="I1788" s="314"/>
      <c r="J1788" s="314"/>
      <c r="K1788" s="314"/>
      <c r="L1788" s="314"/>
      <c r="M1788" s="314"/>
      <c r="N1788" s="314"/>
      <c r="O1788" s="314"/>
      <c r="P1788" s="314"/>
      <c r="Q1788" s="314"/>
      <c r="R1788" s="314"/>
      <c r="S1788" s="314"/>
      <c r="T1788" s="314"/>
      <c r="U1788" s="314"/>
      <c r="V1788" s="314"/>
      <c r="W1788" s="314"/>
      <c r="X1788" s="314"/>
      <c r="Y1788" s="314"/>
      <c r="Z1788" s="314"/>
      <c r="AA1788" s="314"/>
      <c r="AB1788" s="314"/>
      <c r="AC1788" s="314"/>
      <c r="AD1788" s="314"/>
      <c r="AE1788" s="314"/>
      <c r="AF1788" s="314"/>
    </row>
    <row r="1789" spans="5:32" x14ac:dyDescent="0.35">
      <c r="E1789" s="314"/>
      <c r="F1789" s="314"/>
      <c r="G1789" s="314"/>
      <c r="H1789" s="314"/>
      <c r="I1789" s="314"/>
      <c r="J1789" s="314"/>
      <c r="K1789" s="314"/>
      <c r="L1789" s="314"/>
      <c r="M1789" s="314"/>
      <c r="N1789" s="314"/>
      <c r="O1789" s="314"/>
      <c r="P1789" s="314"/>
      <c r="Q1789" s="314"/>
      <c r="R1789" s="314"/>
      <c r="S1789" s="314"/>
      <c r="T1789" s="314"/>
      <c r="U1789" s="314"/>
      <c r="V1789" s="314"/>
      <c r="W1789" s="314"/>
      <c r="X1789" s="314"/>
      <c r="Y1789" s="314"/>
      <c r="Z1789" s="314"/>
      <c r="AA1789" s="314"/>
      <c r="AB1789" s="314"/>
      <c r="AC1789" s="314"/>
      <c r="AD1789" s="314"/>
      <c r="AE1789" s="314"/>
      <c r="AF1789" s="314"/>
    </row>
    <row r="1790" spans="5:32" x14ac:dyDescent="0.35">
      <c r="E1790" s="314"/>
      <c r="F1790" s="314"/>
      <c r="G1790" s="314"/>
      <c r="H1790" s="314"/>
      <c r="I1790" s="314"/>
      <c r="J1790" s="314"/>
      <c r="K1790" s="314"/>
      <c r="L1790" s="314"/>
      <c r="M1790" s="314"/>
      <c r="N1790" s="314"/>
      <c r="O1790" s="314"/>
      <c r="P1790" s="314"/>
      <c r="Q1790" s="314"/>
      <c r="R1790" s="314"/>
      <c r="S1790" s="314"/>
      <c r="T1790" s="314"/>
      <c r="U1790" s="314"/>
      <c r="V1790" s="314"/>
      <c r="W1790" s="314"/>
      <c r="X1790" s="314"/>
      <c r="Y1790" s="314"/>
      <c r="Z1790" s="314"/>
      <c r="AA1790" s="314"/>
      <c r="AB1790" s="314"/>
      <c r="AC1790" s="314"/>
      <c r="AD1790" s="314"/>
      <c r="AE1790" s="314"/>
      <c r="AF1790" s="314"/>
    </row>
    <row r="1791" spans="5:32" x14ac:dyDescent="0.35">
      <c r="E1791" s="314"/>
      <c r="F1791" s="314"/>
      <c r="G1791" s="314"/>
      <c r="H1791" s="314"/>
      <c r="I1791" s="314"/>
      <c r="J1791" s="314"/>
      <c r="K1791" s="314"/>
      <c r="L1791" s="314"/>
      <c r="M1791" s="314"/>
      <c r="N1791" s="314"/>
      <c r="O1791" s="314"/>
      <c r="P1791" s="314"/>
      <c r="Q1791" s="314"/>
      <c r="R1791" s="314"/>
      <c r="S1791" s="314"/>
      <c r="T1791" s="314"/>
      <c r="U1791" s="314"/>
      <c r="V1791" s="314"/>
      <c r="W1791" s="314"/>
      <c r="X1791" s="314"/>
      <c r="Y1791" s="314"/>
      <c r="Z1791" s="314"/>
      <c r="AA1791" s="314"/>
      <c r="AB1791" s="314"/>
      <c r="AC1791" s="314"/>
      <c r="AD1791" s="314"/>
      <c r="AE1791" s="314"/>
      <c r="AF1791" s="314"/>
    </row>
    <row r="1792" spans="5:32" x14ac:dyDescent="0.35">
      <c r="E1792" s="314"/>
      <c r="F1792" s="314"/>
      <c r="G1792" s="314"/>
      <c r="H1792" s="314"/>
      <c r="I1792" s="314"/>
      <c r="J1792" s="314"/>
      <c r="K1792" s="314"/>
      <c r="L1792" s="314"/>
      <c r="M1792" s="314"/>
      <c r="N1792" s="314"/>
      <c r="O1792" s="314"/>
      <c r="P1792" s="314"/>
      <c r="Q1792" s="314"/>
      <c r="R1792" s="314"/>
      <c r="S1792" s="314"/>
      <c r="T1792" s="314"/>
      <c r="U1792" s="314"/>
      <c r="V1792" s="314"/>
      <c r="W1792" s="314"/>
      <c r="X1792" s="314"/>
      <c r="Y1792" s="314"/>
      <c r="Z1792" s="314"/>
      <c r="AA1792" s="314"/>
      <c r="AB1792" s="314"/>
      <c r="AC1792" s="314"/>
      <c r="AD1792" s="314"/>
      <c r="AE1792" s="314"/>
      <c r="AF1792" s="314"/>
    </row>
    <row r="1793" spans="5:32" x14ac:dyDescent="0.35">
      <c r="E1793" s="314"/>
      <c r="F1793" s="314"/>
      <c r="G1793" s="314"/>
      <c r="H1793" s="314"/>
      <c r="I1793" s="314"/>
      <c r="J1793" s="314"/>
      <c r="K1793" s="314"/>
      <c r="L1793" s="314"/>
      <c r="M1793" s="314"/>
      <c r="N1793" s="314"/>
      <c r="O1793" s="314"/>
      <c r="P1793" s="314"/>
      <c r="Q1793" s="314"/>
      <c r="R1793" s="314"/>
      <c r="S1793" s="314"/>
      <c r="T1793" s="314"/>
      <c r="U1793" s="314"/>
      <c r="V1793" s="314"/>
      <c r="W1793" s="314"/>
      <c r="X1793" s="314"/>
      <c r="Y1793" s="314"/>
      <c r="Z1793" s="314"/>
      <c r="AA1793" s="314"/>
      <c r="AB1793" s="314"/>
      <c r="AC1793" s="314"/>
      <c r="AD1793" s="314"/>
      <c r="AE1793" s="314"/>
      <c r="AF1793" s="314"/>
    </row>
    <row r="1794" spans="5:32" x14ac:dyDescent="0.35">
      <c r="E1794" s="314"/>
      <c r="F1794" s="314"/>
      <c r="G1794" s="314"/>
      <c r="H1794" s="314"/>
      <c r="I1794" s="314"/>
      <c r="J1794" s="314"/>
      <c r="K1794" s="314"/>
      <c r="L1794" s="314"/>
      <c r="M1794" s="314"/>
      <c r="N1794" s="314"/>
      <c r="O1794" s="314"/>
      <c r="P1794" s="314"/>
      <c r="Q1794" s="314"/>
      <c r="R1794" s="314"/>
      <c r="S1794" s="314"/>
      <c r="T1794" s="314"/>
      <c r="U1794" s="314"/>
      <c r="V1794" s="314"/>
      <c r="W1794" s="314"/>
      <c r="X1794" s="314"/>
      <c r="Y1794" s="314"/>
      <c r="Z1794" s="314"/>
      <c r="AA1794" s="314"/>
      <c r="AB1794" s="314"/>
      <c r="AC1794" s="314"/>
      <c r="AD1794" s="314"/>
      <c r="AE1794" s="314"/>
      <c r="AF1794" s="314"/>
    </row>
    <row r="1795" spans="5:32" x14ac:dyDescent="0.35">
      <c r="E1795" s="314"/>
      <c r="F1795" s="314"/>
      <c r="G1795" s="314"/>
      <c r="H1795" s="314"/>
      <c r="I1795" s="314"/>
      <c r="J1795" s="314"/>
      <c r="K1795" s="314"/>
      <c r="L1795" s="314"/>
      <c r="M1795" s="314"/>
      <c r="N1795" s="314"/>
      <c r="O1795" s="314"/>
      <c r="P1795" s="314"/>
      <c r="Q1795" s="314"/>
      <c r="R1795" s="314"/>
      <c r="S1795" s="314"/>
      <c r="T1795" s="314"/>
      <c r="U1795" s="314"/>
      <c r="V1795" s="314"/>
      <c r="W1795" s="314"/>
      <c r="X1795" s="314"/>
      <c r="Y1795" s="314"/>
      <c r="Z1795" s="314"/>
      <c r="AA1795" s="314"/>
      <c r="AB1795" s="314"/>
      <c r="AC1795" s="314"/>
      <c r="AD1795" s="314"/>
      <c r="AE1795" s="314"/>
      <c r="AF1795" s="314"/>
    </row>
    <row r="1796" spans="5:32" x14ac:dyDescent="0.35">
      <c r="E1796" s="314"/>
      <c r="F1796" s="314"/>
      <c r="G1796" s="314"/>
      <c r="H1796" s="314"/>
      <c r="I1796" s="314"/>
      <c r="J1796" s="314"/>
      <c r="K1796" s="314"/>
      <c r="L1796" s="314"/>
      <c r="M1796" s="314"/>
      <c r="N1796" s="314"/>
      <c r="O1796" s="314"/>
      <c r="P1796" s="314"/>
      <c r="Q1796" s="314"/>
      <c r="R1796" s="314"/>
      <c r="S1796" s="314"/>
      <c r="T1796" s="314"/>
      <c r="U1796" s="314"/>
      <c r="V1796" s="314"/>
      <c r="W1796" s="314"/>
      <c r="X1796" s="314"/>
      <c r="Y1796" s="314"/>
      <c r="Z1796" s="314"/>
      <c r="AA1796" s="314"/>
      <c r="AB1796" s="314"/>
      <c r="AC1796" s="314"/>
      <c r="AD1796" s="314"/>
      <c r="AE1796" s="314"/>
      <c r="AF1796" s="314"/>
    </row>
    <row r="1797" spans="5:32" x14ac:dyDescent="0.35">
      <c r="E1797" s="314"/>
      <c r="F1797" s="314"/>
      <c r="G1797" s="314"/>
      <c r="H1797" s="314"/>
      <c r="I1797" s="314"/>
      <c r="J1797" s="314"/>
      <c r="K1797" s="314"/>
      <c r="L1797" s="314"/>
      <c r="M1797" s="314"/>
      <c r="N1797" s="314"/>
      <c r="O1797" s="314"/>
      <c r="P1797" s="314"/>
      <c r="Q1797" s="314"/>
      <c r="R1797" s="314"/>
      <c r="S1797" s="314"/>
      <c r="T1797" s="314"/>
      <c r="U1797" s="314"/>
      <c r="V1797" s="314"/>
      <c r="W1797" s="314"/>
      <c r="X1797" s="314"/>
      <c r="Y1797" s="314"/>
      <c r="Z1797" s="314"/>
      <c r="AA1797" s="314"/>
      <c r="AB1797" s="314"/>
      <c r="AC1797" s="314"/>
      <c r="AD1797" s="314"/>
      <c r="AE1797" s="314"/>
      <c r="AF1797" s="314"/>
    </row>
    <row r="1798" spans="5:32" x14ac:dyDescent="0.35">
      <c r="E1798" s="314"/>
      <c r="F1798" s="314"/>
      <c r="G1798" s="314"/>
      <c r="H1798" s="314"/>
      <c r="I1798" s="314"/>
      <c r="J1798" s="314"/>
      <c r="K1798" s="314"/>
      <c r="L1798" s="314"/>
      <c r="M1798" s="314"/>
      <c r="N1798" s="314"/>
      <c r="O1798" s="314"/>
      <c r="P1798" s="314"/>
      <c r="Q1798" s="314"/>
      <c r="R1798" s="314"/>
      <c r="S1798" s="314"/>
      <c r="T1798" s="314"/>
      <c r="U1798" s="314"/>
      <c r="V1798" s="314"/>
      <c r="W1798" s="314"/>
      <c r="X1798" s="314"/>
      <c r="Y1798" s="314"/>
      <c r="Z1798" s="314"/>
      <c r="AA1798" s="314"/>
      <c r="AB1798" s="314"/>
      <c r="AC1798" s="314"/>
      <c r="AD1798" s="314"/>
      <c r="AE1798" s="314"/>
      <c r="AF1798" s="314"/>
    </row>
    <row r="1799" spans="5:32" x14ac:dyDescent="0.35">
      <c r="E1799" s="314"/>
      <c r="F1799" s="314"/>
      <c r="G1799" s="314"/>
      <c r="H1799" s="314"/>
      <c r="I1799" s="314"/>
      <c r="J1799" s="314"/>
      <c r="K1799" s="314"/>
      <c r="L1799" s="314"/>
      <c r="M1799" s="314"/>
      <c r="N1799" s="314"/>
      <c r="O1799" s="314"/>
      <c r="P1799" s="314"/>
      <c r="Q1799" s="314"/>
      <c r="R1799" s="314"/>
      <c r="S1799" s="314"/>
      <c r="T1799" s="314"/>
      <c r="U1799" s="314"/>
      <c r="V1799" s="314"/>
      <c r="W1799" s="314"/>
      <c r="X1799" s="314"/>
      <c r="Y1799" s="314"/>
      <c r="Z1799" s="314"/>
      <c r="AA1799" s="314"/>
      <c r="AB1799" s="314"/>
      <c r="AC1799" s="314"/>
      <c r="AD1799" s="314"/>
      <c r="AE1799" s="314"/>
      <c r="AF1799" s="314"/>
    </row>
    <row r="1800" spans="5:32" x14ac:dyDescent="0.35">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314"/>
      <c r="AE1800" s="314"/>
      <c r="AF1800" s="314"/>
    </row>
    <row r="1801" spans="5:32" x14ac:dyDescent="0.35">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314"/>
      <c r="AF1801" s="314"/>
    </row>
    <row r="1802" spans="5:32" x14ac:dyDescent="0.35">
      <c r="E1802" s="314"/>
      <c r="F1802" s="314"/>
      <c r="G1802" s="314"/>
      <c r="H1802" s="314"/>
      <c r="I1802" s="314"/>
      <c r="J1802" s="314"/>
      <c r="K1802" s="314"/>
      <c r="L1802" s="314"/>
      <c r="M1802" s="314"/>
      <c r="N1802" s="314"/>
      <c r="O1802" s="314"/>
      <c r="P1802" s="314"/>
      <c r="Q1802" s="314"/>
      <c r="R1802" s="314"/>
      <c r="S1802" s="314"/>
      <c r="T1802" s="314"/>
      <c r="U1802" s="314"/>
      <c r="V1802" s="314"/>
      <c r="W1802" s="314"/>
      <c r="X1802" s="314"/>
      <c r="Y1802" s="314"/>
      <c r="Z1802" s="314"/>
      <c r="AA1802" s="314"/>
      <c r="AB1802" s="314"/>
      <c r="AC1802" s="314"/>
      <c r="AD1802" s="314"/>
      <c r="AE1802" s="314"/>
      <c r="AF1802" s="314"/>
    </row>
    <row r="1803" spans="5:32" x14ac:dyDescent="0.35">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314"/>
      <c r="AE1803" s="314"/>
      <c r="AF1803" s="314"/>
    </row>
    <row r="1804" spans="5:32" x14ac:dyDescent="0.35">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4"/>
      <c r="AD1804" s="314"/>
      <c r="AE1804" s="314"/>
      <c r="AF1804" s="314"/>
    </row>
    <row r="1805" spans="5:32" x14ac:dyDescent="0.35">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4"/>
      <c r="AD1805" s="314"/>
      <c r="AE1805" s="314"/>
      <c r="AF1805" s="314"/>
    </row>
    <row r="1806" spans="5:32" x14ac:dyDescent="0.35">
      <c r="E1806" s="314"/>
      <c r="F1806" s="314"/>
      <c r="G1806" s="314"/>
      <c r="H1806" s="314"/>
      <c r="I1806" s="314"/>
      <c r="J1806" s="314"/>
      <c r="K1806" s="314"/>
      <c r="L1806" s="314"/>
      <c r="M1806" s="314"/>
      <c r="N1806" s="314"/>
      <c r="O1806" s="314"/>
      <c r="P1806" s="314"/>
      <c r="Q1806" s="314"/>
      <c r="R1806" s="314"/>
      <c r="S1806" s="314"/>
      <c r="T1806" s="314"/>
      <c r="U1806" s="314"/>
      <c r="V1806" s="314"/>
      <c r="W1806" s="314"/>
      <c r="X1806" s="314"/>
      <c r="Y1806" s="314"/>
      <c r="Z1806" s="314"/>
      <c r="AA1806" s="314"/>
      <c r="AB1806" s="314"/>
      <c r="AC1806" s="314"/>
      <c r="AD1806" s="314"/>
      <c r="AE1806" s="314"/>
      <c r="AF1806" s="314"/>
    </row>
    <row r="1807" spans="5:32" x14ac:dyDescent="0.35">
      <c r="E1807" s="314"/>
      <c r="F1807" s="314"/>
      <c r="G1807" s="314"/>
      <c r="H1807" s="314"/>
      <c r="I1807" s="314"/>
      <c r="J1807" s="314"/>
      <c r="K1807" s="314"/>
      <c r="L1807" s="314"/>
      <c r="M1807" s="314"/>
      <c r="N1807" s="314"/>
      <c r="O1807" s="314"/>
      <c r="P1807" s="314"/>
      <c r="Q1807" s="314"/>
      <c r="R1807" s="314"/>
      <c r="S1807" s="314"/>
      <c r="T1807" s="314"/>
      <c r="U1807" s="314"/>
      <c r="V1807" s="314"/>
      <c r="W1807" s="314"/>
      <c r="X1807" s="314"/>
      <c r="Y1807" s="314"/>
      <c r="Z1807" s="314"/>
      <c r="AA1807" s="314"/>
      <c r="AB1807" s="314"/>
      <c r="AC1807" s="314"/>
      <c r="AD1807" s="314"/>
      <c r="AE1807" s="314"/>
      <c r="AF1807" s="314"/>
    </row>
    <row r="1808" spans="5:32" x14ac:dyDescent="0.35">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4"/>
      <c r="AD1808" s="314"/>
      <c r="AE1808" s="314"/>
      <c r="AF1808" s="314"/>
    </row>
    <row r="1809" spans="5:32" x14ac:dyDescent="0.35">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314"/>
      <c r="AE1809" s="314"/>
      <c r="AF1809" s="314"/>
    </row>
    <row r="1810" spans="5:32" x14ac:dyDescent="0.35">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314"/>
      <c r="AF1810" s="314"/>
    </row>
    <row r="1811" spans="5:32" x14ac:dyDescent="0.35">
      <c r="E1811" s="314"/>
      <c r="F1811" s="314"/>
      <c r="G1811" s="314"/>
      <c r="H1811" s="314"/>
      <c r="I1811" s="314"/>
      <c r="J1811" s="314"/>
      <c r="K1811" s="314"/>
      <c r="L1811" s="314"/>
      <c r="M1811" s="314"/>
      <c r="N1811" s="314"/>
      <c r="O1811" s="314"/>
      <c r="P1811" s="314"/>
      <c r="Q1811" s="314"/>
      <c r="R1811" s="314"/>
      <c r="S1811" s="314"/>
      <c r="T1811" s="314"/>
      <c r="U1811" s="314"/>
      <c r="V1811" s="314"/>
      <c r="W1811" s="314"/>
      <c r="X1811" s="314"/>
      <c r="Y1811" s="314"/>
      <c r="Z1811" s="314"/>
      <c r="AA1811" s="314"/>
      <c r="AB1811" s="314"/>
      <c r="AC1811" s="314"/>
      <c r="AD1811" s="314"/>
      <c r="AE1811" s="314"/>
      <c r="AF1811" s="314"/>
    </row>
    <row r="1812" spans="5:32" x14ac:dyDescent="0.35">
      <c r="E1812" s="314"/>
      <c r="F1812" s="314"/>
      <c r="G1812" s="314"/>
      <c r="H1812" s="314"/>
      <c r="I1812" s="314"/>
      <c r="J1812" s="314"/>
      <c r="K1812" s="314"/>
      <c r="L1812" s="314"/>
      <c r="M1812" s="314"/>
      <c r="N1812" s="314"/>
      <c r="O1812" s="314"/>
      <c r="P1812" s="314"/>
      <c r="Q1812" s="314"/>
      <c r="R1812" s="314"/>
      <c r="S1812" s="314"/>
      <c r="T1812" s="314"/>
      <c r="U1812" s="314"/>
      <c r="V1812" s="314"/>
      <c r="W1812" s="314"/>
      <c r="X1812" s="314"/>
      <c r="Y1812" s="314"/>
      <c r="Z1812" s="314"/>
      <c r="AA1812" s="314"/>
      <c r="AB1812" s="314"/>
      <c r="AC1812" s="314"/>
      <c r="AD1812" s="314"/>
      <c r="AE1812" s="314"/>
      <c r="AF1812" s="314"/>
    </row>
    <row r="1813" spans="5:32" x14ac:dyDescent="0.35">
      <c r="E1813" s="314"/>
      <c r="F1813" s="314"/>
      <c r="G1813" s="314"/>
      <c r="H1813" s="314"/>
      <c r="I1813" s="314"/>
      <c r="J1813" s="314"/>
      <c r="K1813" s="314"/>
      <c r="L1813" s="314"/>
      <c r="M1813" s="314"/>
      <c r="N1813" s="314"/>
      <c r="O1813" s="314"/>
      <c r="P1813" s="314"/>
      <c r="Q1813" s="314"/>
      <c r="R1813" s="314"/>
      <c r="S1813" s="314"/>
      <c r="T1813" s="314"/>
      <c r="U1813" s="314"/>
      <c r="V1813" s="314"/>
      <c r="W1813" s="314"/>
      <c r="X1813" s="314"/>
      <c r="Y1813" s="314"/>
      <c r="Z1813" s="314"/>
      <c r="AA1813" s="314"/>
      <c r="AB1813" s="314"/>
      <c r="AC1813" s="314"/>
      <c r="AD1813" s="314"/>
      <c r="AE1813" s="314"/>
      <c r="AF1813" s="314"/>
    </row>
    <row r="1814" spans="5:32" x14ac:dyDescent="0.35">
      <c r="E1814" s="314"/>
      <c r="F1814" s="314"/>
      <c r="G1814" s="314"/>
      <c r="H1814" s="314"/>
      <c r="I1814" s="314"/>
      <c r="J1814" s="314"/>
      <c r="K1814" s="314"/>
      <c r="L1814" s="314"/>
      <c r="M1814" s="314"/>
      <c r="N1814" s="314"/>
      <c r="O1814" s="314"/>
      <c r="P1814" s="314"/>
      <c r="Q1814" s="314"/>
      <c r="R1814" s="314"/>
      <c r="S1814" s="314"/>
      <c r="T1814" s="314"/>
      <c r="U1814" s="314"/>
      <c r="V1814" s="314"/>
      <c r="W1814" s="314"/>
      <c r="X1814" s="314"/>
      <c r="Y1814" s="314"/>
      <c r="Z1814" s="314"/>
      <c r="AA1814" s="314"/>
      <c r="AB1814" s="314"/>
      <c r="AC1814" s="314"/>
      <c r="AD1814" s="314"/>
      <c r="AE1814" s="314"/>
      <c r="AF1814" s="314"/>
    </row>
    <row r="1815" spans="5:32" x14ac:dyDescent="0.35">
      <c r="E1815" s="314"/>
      <c r="F1815" s="314"/>
      <c r="G1815" s="314"/>
      <c r="H1815" s="314"/>
      <c r="I1815" s="314"/>
      <c r="J1815" s="314"/>
      <c r="K1815" s="314"/>
      <c r="L1815" s="314"/>
      <c r="M1815" s="314"/>
      <c r="N1815" s="314"/>
      <c r="O1815" s="314"/>
      <c r="P1815" s="314"/>
      <c r="Q1815" s="314"/>
      <c r="R1815" s="314"/>
      <c r="S1815" s="314"/>
      <c r="T1815" s="314"/>
      <c r="U1815" s="314"/>
      <c r="V1815" s="314"/>
      <c r="W1815" s="314"/>
      <c r="X1815" s="314"/>
      <c r="Y1815" s="314"/>
      <c r="Z1815" s="314"/>
      <c r="AA1815" s="314"/>
      <c r="AB1815" s="314"/>
      <c r="AC1815" s="314"/>
      <c r="AD1815" s="314"/>
      <c r="AE1815" s="314"/>
      <c r="AF1815" s="314"/>
    </row>
    <row r="1816" spans="5:32" x14ac:dyDescent="0.35">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314"/>
      <c r="AE1816" s="314"/>
      <c r="AF1816" s="314"/>
    </row>
    <row r="1817" spans="5:32" x14ac:dyDescent="0.35">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4"/>
      <c r="AD1817" s="314"/>
      <c r="AE1817" s="314"/>
      <c r="AF1817" s="314"/>
    </row>
    <row r="1818" spans="5:32" x14ac:dyDescent="0.35">
      <c r="E1818" s="314"/>
      <c r="F1818" s="314"/>
      <c r="G1818" s="314"/>
      <c r="H1818" s="314"/>
      <c r="I1818" s="314"/>
      <c r="J1818" s="314"/>
      <c r="K1818" s="314"/>
      <c r="L1818" s="314"/>
      <c r="M1818" s="314"/>
      <c r="N1818" s="314"/>
      <c r="O1818" s="314"/>
      <c r="P1818" s="314"/>
      <c r="Q1818" s="314"/>
      <c r="R1818" s="314"/>
      <c r="S1818" s="314"/>
      <c r="T1818" s="314"/>
      <c r="U1818" s="314"/>
      <c r="V1818" s="314"/>
      <c r="W1818" s="314"/>
      <c r="X1818" s="314"/>
      <c r="Y1818" s="314"/>
      <c r="Z1818" s="314"/>
      <c r="AA1818" s="314"/>
      <c r="AB1818" s="314"/>
      <c r="AC1818" s="314"/>
      <c r="AD1818" s="314"/>
      <c r="AE1818" s="314"/>
      <c r="AF1818" s="314"/>
    </row>
    <row r="1819" spans="5:32" x14ac:dyDescent="0.35">
      <c r="E1819" s="314"/>
      <c r="F1819" s="314"/>
      <c r="G1819" s="314"/>
      <c r="H1819" s="314"/>
      <c r="I1819" s="314"/>
      <c r="J1819" s="314"/>
      <c r="K1819" s="314"/>
      <c r="L1819" s="314"/>
      <c r="M1819" s="314"/>
      <c r="N1819" s="314"/>
      <c r="O1819" s="314"/>
      <c r="P1819" s="314"/>
      <c r="Q1819" s="314"/>
      <c r="R1819" s="314"/>
      <c r="S1819" s="314"/>
      <c r="T1819" s="314"/>
      <c r="U1819" s="314"/>
      <c r="V1819" s="314"/>
      <c r="W1819" s="314"/>
      <c r="X1819" s="314"/>
      <c r="Y1819" s="314"/>
      <c r="Z1819" s="314"/>
      <c r="AA1819" s="314"/>
      <c r="AB1819" s="314"/>
      <c r="AC1819" s="314"/>
      <c r="AD1819" s="314"/>
      <c r="AE1819" s="314"/>
      <c r="AF1819" s="314"/>
    </row>
    <row r="1820" spans="5:32" x14ac:dyDescent="0.35">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4"/>
      <c r="AD1820" s="314"/>
      <c r="AE1820" s="314"/>
      <c r="AF1820" s="314"/>
    </row>
    <row r="1821" spans="5:32" x14ac:dyDescent="0.35">
      <c r="E1821" s="314"/>
      <c r="F1821" s="314"/>
      <c r="G1821" s="314"/>
      <c r="H1821" s="314"/>
      <c r="I1821" s="314"/>
      <c r="J1821" s="314"/>
      <c r="K1821" s="314"/>
      <c r="L1821" s="314"/>
      <c r="M1821" s="314"/>
      <c r="N1821" s="314"/>
      <c r="O1821" s="314"/>
      <c r="P1821" s="314"/>
      <c r="Q1821" s="314"/>
      <c r="R1821" s="314"/>
      <c r="S1821" s="314"/>
      <c r="T1821" s="314"/>
      <c r="U1821" s="314"/>
      <c r="V1821" s="314"/>
      <c r="W1821" s="314"/>
      <c r="X1821" s="314"/>
      <c r="Y1821" s="314"/>
      <c r="Z1821" s="314"/>
      <c r="AA1821" s="314"/>
      <c r="AB1821" s="314"/>
      <c r="AC1821" s="314"/>
      <c r="AD1821" s="314"/>
      <c r="AE1821" s="314"/>
      <c r="AF1821" s="314"/>
    </row>
    <row r="1822" spans="5:32" x14ac:dyDescent="0.35">
      <c r="E1822" s="314"/>
      <c r="F1822" s="314"/>
      <c r="G1822" s="314"/>
      <c r="H1822" s="314"/>
      <c r="I1822" s="314"/>
      <c r="J1822" s="314"/>
      <c r="K1822" s="314"/>
      <c r="L1822" s="314"/>
      <c r="M1822" s="314"/>
      <c r="N1822" s="314"/>
      <c r="O1822" s="314"/>
      <c r="P1822" s="314"/>
      <c r="Q1822" s="314"/>
      <c r="R1822" s="314"/>
      <c r="S1822" s="314"/>
      <c r="T1822" s="314"/>
      <c r="U1822" s="314"/>
      <c r="V1822" s="314"/>
      <c r="W1822" s="314"/>
      <c r="X1822" s="314"/>
      <c r="Y1822" s="314"/>
      <c r="Z1822" s="314"/>
      <c r="AA1822" s="314"/>
      <c r="AB1822" s="314"/>
      <c r="AC1822" s="314"/>
      <c r="AD1822" s="314"/>
      <c r="AE1822" s="314"/>
      <c r="AF1822" s="314"/>
    </row>
    <row r="1823" spans="5:32" x14ac:dyDescent="0.35">
      <c r="E1823" s="314"/>
      <c r="F1823" s="314"/>
      <c r="G1823" s="314"/>
      <c r="H1823" s="314"/>
      <c r="I1823" s="314"/>
      <c r="J1823" s="314"/>
      <c r="K1823" s="314"/>
      <c r="L1823" s="314"/>
      <c r="M1823" s="314"/>
      <c r="N1823" s="314"/>
      <c r="O1823" s="314"/>
      <c r="P1823" s="314"/>
      <c r="Q1823" s="314"/>
      <c r="R1823" s="314"/>
      <c r="S1823" s="314"/>
      <c r="T1823" s="314"/>
      <c r="U1823" s="314"/>
      <c r="V1823" s="314"/>
      <c r="W1823" s="314"/>
      <c r="X1823" s="314"/>
      <c r="Y1823" s="314"/>
      <c r="Z1823" s="314"/>
      <c r="AA1823" s="314"/>
      <c r="AB1823" s="314"/>
      <c r="AC1823" s="314"/>
      <c r="AD1823" s="314"/>
      <c r="AE1823" s="314"/>
      <c r="AF1823" s="314"/>
    </row>
    <row r="1824" spans="5:32" x14ac:dyDescent="0.35">
      <c r="E1824" s="314"/>
      <c r="F1824" s="314"/>
      <c r="G1824" s="314"/>
      <c r="H1824" s="314"/>
      <c r="I1824" s="314"/>
      <c r="J1824" s="314"/>
      <c r="K1824" s="314"/>
      <c r="L1824" s="314"/>
      <c r="M1824" s="314"/>
      <c r="N1824" s="314"/>
      <c r="O1824" s="314"/>
      <c r="P1824" s="314"/>
      <c r="Q1824" s="314"/>
      <c r="R1824" s="314"/>
      <c r="S1824" s="314"/>
      <c r="T1824" s="314"/>
      <c r="U1824" s="314"/>
      <c r="V1824" s="314"/>
      <c r="W1824" s="314"/>
      <c r="X1824" s="314"/>
      <c r="Y1824" s="314"/>
      <c r="Z1824" s="314"/>
      <c r="AA1824" s="314"/>
      <c r="AB1824" s="314"/>
      <c r="AC1824" s="314"/>
      <c r="AD1824" s="314"/>
      <c r="AE1824" s="314"/>
      <c r="AF1824" s="314"/>
    </row>
    <row r="1825" spans="5:32" x14ac:dyDescent="0.35">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314"/>
      <c r="AE1825" s="314"/>
      <c r="AF1825" s="314"/>
    </row>
    <row r="1826" spans="5:32" x14ac:dyDescent="0.35">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314"/>
      <c r="AF1826" s="314"/>
    </row>
    <row r="1827" spans="5:32" x14ac:dyDescent="0.35">
      <c r="E1827" s="314"/>
      <c r="F1827" s="314"/>
      <c r="G1827" s="314"/>
      <c r="H1827" s="314"/>
      <c r="I1827" s="314"/>
      <c r="J1827" s="314"/>
      <c r="K1827" s="314"/>
      <c r="L1827" s="314"/>
      <c r="M1827" s="314"/>
      <c r="N1827" s="314"/>
      <c r="O1827" s="314"/>
      <c r="P1827" s="314"/>
      <c r="Q1827" s="314"/>
      <c r="R1827" s="314"/>
      <c r="S1827" s="314"/>
      <c r="T1827" s="314"/>
      <c r="U1827" s="314"/>
      <c r="V1827" s="314"/>
      <c r="W1827" s="314"/>
      <c r="X1827" s="314"/>
      <c r="Y1827" s="314"/>
      <c r="Z1827" s="314"/>
      <c r="AA1827" s="314"/>
      <c r="AB1827" s="314"/>
      <c r="AC1827" s="314"/>
      <c r="AD1827" s="314"/>
      <c r="AE1827" s="314"/>
      <c r="AF1827" s="314"/>
    </row>
    <row r="1828" spans="5:32" x14ac:dyDescent="0.35">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314"/>
      <c r="AE1828" s="314"/>
      <c r="AF1828" s="314"/>
    </row>
    <row r="1829" spans="5:32" x14ac:dyDescent="0.35">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4"/>
      <c r="AD1829" s="314"/>
      <c r="AE1829" s="314"/>
      <c r="AF1829" s="314"/>
    </row>
    <row r="1830" spans="5:32" x14ac:dyDescent="0.35">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4"/>
      <c r="AD1830" s="314"/>
      <c r="AE1830" s="314"/>
      <c r="AF1830" s="314"/>
    </row>
    <row r="1831" spans="5:32" x14ac:dyDescent="0.35">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4"/>
      <c r="AD1831" s="314"/>
      <c r="AE1831" s="314"/>
      <c r="AF1831" s="314"/>
    </row>
    <row r="1832" spans="5:32" x14ac:dyDescent="0.35">
      <c r="E1832" s="314"/>
      <c r="F1832" s="314"/>
      <c r="G1832" s="314"/>
      <c r="H1832" s="314"/>
      <c r="I1832" s="314"/>
      <c r="J1832" s="314"/>
      <c r="K1832" s="314"/>
      <c r="L1832" s="314"/>
      <c r="M1832" s="314"/>
      <c r="N1832" s="314"/>
      <c r="O1832" s="314"/>
      <c r="P1832" s="314"/>
      <c r="Q1832" s="314"/>
      <c r="R1832" s="314"/>
      <c r="S1832" s="314"/>
      <c r="T1832" s="314"/>
      <c r="U1832" s="314"/>
      <c r="V1832" s="314"/>
      <c r="W1832" s="314"/>
      <c r="X1832" s="314"/>
      <c r="Y1832" s="314"/>
      <c r="Z1832" s="314"/>
      <c r="AA1832" s="314"/>
      <c r="AB1832" s="314"/>
      <c r="AC1832" s="314"/>
      <c r="AD1832" s="314"/>
      <c r="AE1832" s="314"/>
      <c r="AF1832" s="314"/>
    </row>
    <row r="1833" spans="5:32" x14ac:dyDescent="0.35">
      <c r="E1833" s="314"/>
      <c r="F1833" s="314"/>
      <c r="G1833" s="314"/>
      <c r="H1833" s="314"/>
      <c r="I1833" s="314"/>
      <c r="J1833" s="314"/>
      <c r="K1833" s="314"/>
      <c r="L1833" s="314"/>
      <c r="M1833" s="314"/>
      <c r="N1833" s="314"/>
      <c r="O1833" s="314"/>
      <c r="P1833" s="314"/>
      <c r="Q1833" s="314"/>
      <c r="R1833" s="314"/>
      <c r="S1833" s="314"/>
      <c r="T1833" s="314"/>
      <c r="U1833" s="314"/>
      <c r="V1833" s="314"/>
      <c r="W1833" s="314"/>
      <c r="X1833" s="314"/>
      <c r="Y1833" s="314"/>
      <c r="Z1833" s="314"/>
      <c r="AA1833" s="314"/>
      <c r="AB1833" s="314"/>
      <c r="AC1833" s="314"/>
      <c r="AD1833" s="314"/>
      <c r="AE1833" s="314"/>
      <c r="AF1833" s="314"/>
    </row>
    <row r="1834" spans="5:32" x14ac:dyDescent="0.35">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314"/>
      <c r="AE1834" s="314"/>
      <c r="AF1834" s="314"/>
    </row>
    <row r="1835" spans="5:32" x14ac:dyDescent="0.35">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314"/>
      <c r="AF1835" s="314"/>
    </row>
    <row r="1836" spans="5:32" x14ac:dyDescent="0.35">
      <c r="E1836" s="314"/>
      <c r="F1836" s="314"/>
      <c r="G1836" s="314"/>
      <c r="H1836" s="314"/>
      <c r="I1836" s="314"/>
      <c r="J1836" s="314"/>
      <c r="K1836" s="314"/>
      <c r="L1836" s="314"/>
      <c r="M1836" s="314"/>
      <c r="N1836" s="314"/>
      <c r="O1836" s="314"/>
      <c r="P1836" s="314"/>
      <c r="Q1836" s="314"/>
      <c r="R1836" s="314"/>
      <c r="S1836" s="314"/>
      <c r="T1836" s="314"/>
      <c r="U1836" s="314"/>
      <c r="V1836" s="314"/>
      <c r="W1836" s="314"/>
      <c r="X1836" s="314"/>
      <c r="Y1836" s="314"/>
      <c r="Z1836" s="314"/>
      <c r="AA1836" s="314"/>
      <c r="AB1836" s="314"/>
      <c r="AC1836" s="314"/>
      <c r="AD1836" s="314"/>
      <c r="AE1836" s="314"/>
      <c r="AF1836" s="314"/>
    </row>
    <row r="1837" spans="5:32" x14ac:dyDescent="0.35">
      <c r="E1837" s="314"/>
      <c r="F1837" s="314"/>
      <c r="G1837" s="314"/>
      <c r="H1837" s="314"/>
      <c r="I1837" s="314"/>
      <c r="J1837" s="314"/>
      <c r="K1837" s="314"/>
      <c r="L1837" s="314"/>
      <c r="M1837" s="314"/>
      <c r="N1837" s="314"/>
      <c r="O1837" s="314"/>
      <c r="P1837" s="314"/>
      <c r="Q1837" s="314"/>
      <c r="R1837" s="314"/>
      <c r="S1837" s="314"/>
      <c r="T1837" s="314"/>
      <c r="U1837" s="314"/>
      <c r="V1837" s="314"/>
      <c r="W1837" s="314"/>
      <c r="X1837" s="314"/>
      <c r="Y1837" s="314"/>
      <c r="Z1837" s="314"/>
      <c r="AA1837" s="314"/>
      <c r="AB1837" s="314"/>
      <c r="AC1837" s="314"/>
      <c r="AD1837" s="314"/>
      <c r="AE1837" s="314"/>
      <c r="AF1837" s="314"/>
    </row>
    <row r="1838" spans="5:32" x14ac:dyDescent="0.35">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314"/>
      <c r="AE1838" s="314"/>
      <c r="AF1838" s="314"/>
    </row>
    <row r="1839" spans="5:32" x14ac:dyDescent="0.35">
      <c r="E1839" s="314"/>
      <c r="F1839" s="314"/>
      <c r="G1839" s="314"/>
      <c r="H1839" s="314"/>
      <c r="I1839" s="314"/>
      <c r="J1839" s="314"/>
      <c r="K1839" s="314"/>
      <c r="L1839" s="314"/>
      <c r="M1839" s="314"/>
      <c r="N1839" s="314"/>
      <c r="O1839" s="314"/>
      <c r="P1839" s="314"/>
      <c r="Q1839" s="314"/>
      <c r="R1839" s="314"/>
      <c r="S1839" s="314"/>
      <c r="T1839" s="314"/>
      <c r="U1839" s="314"/>
      <c r="V1839" s="314"/>
      <c r="W1839" s="314"/>
      <c r="X1839" s="314"/>
      <c r="Y1839" s="314"/>
      <c r="Z1839" s="314"/>
      <c r="AA1839" s="314"/>
      <c r="AB1839" s="314"/>
      <c r="AC1839" s="314"/>
      <c r="AD1839" s="314"/>
      <c r="AE1839" s="314"/>
      <c r="AF1839" s="314"/>
    </row>
    <row r="1840" spans="5:32" x14ac:dyDescent="0.35">
      <c r="E1840" s="314"/>
      <c r="F1840" s="314"/>
      <c r="G1840" s="314"/>
      <c r="H1840" s="314"/>
      <c r="I1840" s="314"/>
      <c r="J1840" s="314"/>
      <c r="K1840" s="314"/>
      <c r="L1840" s="314"/>
      <c r="M1840" s="314"/>
      <c r="N1840" s="314"/>
      <c r="O1840" s="314"/>
      <c r="P1840" s="314"/>
      <c r="Q1840" s="314"/>
      <c r="R1840" s="314"/>
      <c r="S1840" s="314"/>
      <c r="T1840" s="314"/>
      <c r="U1840" s="314"/>
      <c r="V1840" s="314"/>
      <c r="W1840" s="314"/>
      <c r="X1840" s="314"/>
      <c r="Y1840" s="314"/>
      <c r="Z1840" s="314"/>
      <c r="AA1840" s="314"/>
      <c r="AB1840" s="314"/>
      <c r="AC1840" s="314"/>
      <c r="AD1840" s="314"/>
      <c r="AE1840" s="314"/>
      <c r="AF1840" s="314"/>
    </row>
    <row r="1841" spans="5:32" x14ac:dyDescent="0.35">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14"/>
      <c r="AE1841" s="314"/>
      <c r="AF1841" s="314"/>
    </row>
    <row r="1842" spans="5:32" x14ac:dyDescent="0.35">
      <c r="E1842" s="314"/>
      <c r="F1842" s="314"/>
      <c r="G1842" s="314"/>
      <c r="H1842" s="314"/>
      <c r="I1842" s="314"/>
      <c r="J1842" s="314"/>
      <c r="K1842" s="314"/>
      <c r="L1842" s="314"/>
      <c r="M1842" s="314"/>
      <c r="N1842" s="314"/>
      <c r="O1842" s="314"/>
      <c r="P1842" s="314"/>
      <c r="Q1842" s="314"/>
      <c r="R1842" s="314"/>
      <c r="S1842" s="314"/>
      <c r="T1842" s="314"/>
      <c r="U1842" s="314"/>
      <c r="V1842" s="314"/>
      <c r="W1842" s="314"/>
      <c r="X1842" s="314"/>
      <c r="Y1842" s="314"/>
      <c r="Z1842" s="314"/>
      <c r="AA1842" s="314"/>
      <c r="AB1842" s="314"/>
      <c r="AC1842" s="314"/>
      <c r="AD1842" s="314"/>
      <c r="AE1842" s="314"/>
      <c r="AF1842" s="314"/>
    </row>
    <row r="1843" spans="5:32" x14ac:dyDescent="0.35">
      <c r="E1843" s="314"/>
      <c r="F1843" s="314"/>
      <c r="G1843" s="314"/>
      <c r="H1843" s="314"/>
      <c r="I1843" s="314"/>
      <c r="J1843" s="314"/>
      <c r="K1843" s="314"/>
      <c r="L1843" s="314"/>
      <c r="M1843" s="314"/>
      <c r="N1843" s="314"/>
      <c r="O1843" s="314"/>
      <c r="P1843" s="314"/>
      <c r="Q1843" s="314"/>
      <c r="R1843" s="314"/>
      <c r="S1843" s="314"/>
      <c r="T1843" s="314"/>
      <c r="U1843" s="314"/>
      <c r="V1843" s="314"/>
      <c r="W1843" s="314"/>
      <c r="X1843" s="314"/>
      <c r="Y1843" s="314"/>
      <c r="Z1843" s="314"/>
      <c r="AA1843" s="314"/>
      <c r="AB1843" s="314"/>
      <c r="AC1843" s="314"/>
      <c r="AD1843" s="314"/>
      <c r="AE1843" s="314"/>
      <c r="AF1843" s="314"/>
    </row>
    <row r="1844" spans="5:32" x14ac:dyDescent="0.35">
      <c r="E1844" s="314"/>
      <c r="F1844" s="314"/>
      <c r="G1844" s="314"/>
      <c r="H1844" s="314"/>
      <c r="I1844" s="314"/>
      <c r="J1844" s="314"/>
      <c r="K1844" s="314"/>
      <c r="L1844" s="314"/>
      <c r="M1844" s="314"/>
      <c r="N1844" s="314"/>
      <c r="O1844" s="314"/>
      <c r="P1844" s="314"/>
      <c r="Q1844" s="314"/>
      <c r="R1844" s="314"/>
      <c r="S1844" s="314"/>
      <c r="T1844" s="314"/>
      <c r="U1844" s="314"/>
      <c r="V1844" s="314"/>
      <c r="W1844" s="314"/>
      <c r="X1844" s="314"/>
      <c r="Y1844" s="314"/>
      <c r="Z1844" s="314"/>
      <c r="AA1844" s="314"/>
      <c r="AB1844" s="314"/>
      <c r="AC1844" s="314"/>
      <c r="AD1844" s="314"/>
      <c r="AE1844" s="314"/>
      <c r="AF1844" s="314"/>
    </row>
    <row r="1845" spans="5:32" x14ac:dyDescent="0.35">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4"/>
      <c r="AD1845" s="314"/>
      <c r="AE1845" s="314"/>
      <c r="AF1845" s="314"/>
    </row>
    <row r="1846" spans="5:32" x14ac:dyDescent="0.35">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4"/>
      <c r="AD1846" s="314"/>
      <c r="AE1846" s="314"/>
      <c r="AF1846" s="314"/>
    </row>
    <row r="1847" spans="5:32" x14ac:dyDescent="0.35">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4"/>
      <c r="AD1847" s="314"/>
      <c r="AE1847" s="314"/>
      <c r="AF1847" s="314"/>
    </row>
    <row r="1848" spans="5:32" x14ac:dyDescent="0.35">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4"/>
      <c r="AD1848" s="314"/>
      <c r="AE1848" s="314"/>
      <c r="AF1848" s="314"/>
    </row>
    <row r="1849" spans="5:32" x14ac:dyDescent="0.35">
      <c r="E1849" s="314"/>
      <c r="F1849" s="314"/>
      <c r="G1849" s="314"/>
      <c r="H1849" s="314"/>
      <c r="I1849" s="314"/>
      <c r="J1849" s="314"/>
      <c r="K1849" s="314"/>
      <c r="L1849" s="314"/>
      <c r="M1849" s="314"/>
      <c r="N1849" s="314"/>
      <c r="O1849" s="314"/>
      <c r="P1849" s="314"/>
      <c r="Q1849" s="314"/>
      <c r="R1849" s="314"/>
      <c r="S1849" s="314"/>
      <c r="T1849" s="314"/>
      <c r="U1849" s="314"/>
      <c r="V1849" s="314"/>
      <c r="W1849" s="314"/>
      <c r="X1849" s="314"/>
      <c r="Y1849" s="314"/>
      <c r="Z1849" s="314"/>
      <c r="AA1849" s="314"/>
      <c r="AB1849" s="314"/>
      <c r="AC1849" s="314"/>
      <c r="AD1849" s="314"/>
      <c r="AE1849" s="314"/>
      <c r="AF1849" s="314"/>
    </row>
    <row r="1850" spans="5:32" x14ac:dyDescent="0.35">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4"/>
      <c r="AD1850" s="314"/>
      <c r="AE1850" s="314"/>
      <c r="AF1850" s="314"/>
    </row>
    <row r="1851" spans="5:32" x14ac:dyDescent="0.35">
      <c r="E1851" s="314"/>
      <c r="F1851" s="314"/>
      <c r="G1851" s="314"/>
      <c r="H1851" s="314"/>
      <c r="I1851" s="314"/>
      <c r="J1851" s="314"/>
      <c r="K1851" s="314"/>
      <c r="L1851" s="314"/>
      <c r="M1851" s="314"/>
      <c r="N1851" s="314"/>
      <c r="O1851" s="314"/>
      <c r="P1851" s="314"/>
      <c r="Q1851" s="314"/>
      <c r="R1851" s="314"/>
      <c r="S1851" s="314"/>
      <c r="T1851" s="314"/>
      <c r="U1851" s="314"/>
      <c r="V1851" s="314"/>
      <c r="W1851" s="314"/>
      <c r="X1851" s="314"/>
      <c r="Y1851" s="314"/>
      <c r="Z1851" s="314"/>
      <c r="AA1851" s="314"/>
      <c r="AB1851" s="314"/>
      <c r="AC1851" s="314"/>
      <c r="AD1851" s="314"/>
      <c r="AE1851" s="314"/>
      <c r="AF1851" s="314"/>
    </row>
    <row r="1852" spans="5:32" x14ac:dyDescent="0.35">
      <c r="E1852" s="314"/>
      <c r="F1852" s="314"/>
      <c r="G1852" s="314"/>
      <c r="H1852" s="314"/>
      <c r="I1852" s="314"/>
      <c r="J1852" s="314"/>
      <c r="K1852" s="314"/>
      <c r="L1852" s="314"/>
      <c r="M1852" s="314"/>
      <c r="N1852" s="314"/>
      <c r="O1852" s="314"/>
      <c r="P1852" s="314"/>
      <c r="Q1852" s="314"/>
      <c r="R1852" s="314"/>
      <c r="S1852" s="314"/>
      <c r="T1852" s="314"/>
      <c r="U1852" s="314"/>
      <c r="V1852" s="314"/>
      <c r="W1852" s="314"/>
      <c r="X1852" s="314"/>
      <c r="Y1852" s="314"/>
      <c r="Z1852" s="314"/>
      <c r="AA1852" s="314"/>
      <c r="AB1852" s="314"/>
      <c r="AC1852" s="314"/>
      <c r="AD1852" s="314"/>
      <c r="AE1852" s="314"/>
      <c r="AF1852" s="314"/>
    </row>
    <row r="1853" spans="5:32" x14ac:dyDescent="0.35">
      <c r="E1853" s="314"/>
      <c r="F1853" s="314"/>
      <c r="G1853" s="314"/>
      <c r="H1853" s="314"/>
      <c r="I1853" s="314"/>
      <c r="J1853" s="314"/>
      <c r="K1853" s="314"/>
      <c r="L1853" s="314"/>
      <c r="M1853" s="314"/>
      <c r="N1853" s="314"/>
      <c r="O1853" s="314"/>
      <c r="P1853" s="314"/>
      <c r="Q1853" s="314"/>
      <c r="R1853" s="314"/>
      <c r="S1853" s="314"/>
      <c r="T1853" s="314"/>
      <c r="U1853" s="314"/>
      <c r="V1853" s="314"/>
      <c r="W1853" s="314"/>
      <c r="X1853" s="314"/>
      <c r="Y1853" s="314"/>
      <c r="Z1853" s="314"/>
      <c r="AA1853" s="314"/>
      <c r="AB1853" s="314"/>
      <c r="AC1853" s="314"/>
      <c r="AD1853" s="314"/>
      <c r="AE1853" s="314"/>
      <c r="AF1853" s="314"/>
    </row>
    <row r="1854" spans="5:32" x14ac:dyDescent="0.35">
      <c r="E1854" s="314"/>
      <c r="F1854" s="314"/>
      <c r="G1854" s="314"/>
      <c r="H1854" s="314"/>
      <c r="I1854" s="314"/>
      <c r="J1854" s="314"/>
      <c r="K1854" s="314"/>
      <c r="L1854" s="314"/>
      <c r="M1854" s="314"/>
      <c r="N1854" s="314"/>
      <c r="O1854" s="314"/>
      <c r="P1854" s="314"/>
      <c r="Q1854" s="314"/>
      <c r="R1854" s="314"/>
      <c r="S1854" s="314"/>
      <c r="T1854" s="314"/>
      <c r="U1854" s="314"/>
      <c r="V1854" s="314"/>
      <c r="W1854" s="314"/>
      <c r="X1854" s="314"/>
      <c r="Y1854" s="314"/>
      <c r="Z1854" s="314"/>
      <c r="AA1854" s="314"/>
      <c r="AB1854" s="314"/>
      <c r="AC1854" s="314"/>
      <c r="AD1854" s="314"/>
      <c r="AE1854" s="314"/>
      <c r="AF1854" s="314"/>
    </row>
    <row r="1855" spans="5:32" x14ac:dyDescent="0.35">
      <c r="E1855" s="314"/>
      <c r="F1855" s="314"/>
      <c r="G1855" s="314"/>
      <c r="H1855" s="314"/>
      <c r="I1855" s="314"/>
      <c r="J1855" s="314"/>
      <c r="K1855" s="314"/>
      <c r="L1855" s="314"/>
      <c r="M1855" s="314"/>
      <c r="N1855" s="314"/>
      <c r="O1855" s="314"/>
      <c r="P1855" s="314"/>
      <c r="Q1855" s="314"/>
      <c r="R1855" s="314"/>
      <c r="S1855" s="314"/>
      <c r="T1855" s="314"/>
      <c r="U1855" s="314"/>
      <c r="V1855" s="314"/>
      <c r="W1855" s="314"/>
      <c r="X1855" s="314"/>
      <c r="Y1855" s="314"/>
      <c r="Z1855" s="314"/>
      <c r="AA1855" s="314"/>
      <c r="AB1855" s="314"/>
      <c r="AC1855" s="314"/>
      <c r="AD1855" s="314"/>
      <c r="AE1855" s="314"/>
      <c r="AF1855" s="314"/>
    </row>
    <row r="1856" spans="5:32" x14ac:dyDescent="0.35">
      <c r="E1856" s="314"/>
      <c r="F1856" s="314"/>
      <c r="G1856" s="314"/>
      <c r="H1856" s="314"/>
      <c r="I1856" s="314"/>
      <c r="J1856" s="314"/>
      <c r="K1856" s="314"/>
      <c r="L1856" s="314"/>
      <c r="M1856" s="314"/>
      <c r="N1856" s="314"/>
      <c r="O1856" s="314"/>
      <c r="P1856" s="314"/>
      <c r="Q1856" s="314"/>
      <c r="R1856" s="314"/>
      <c r="S1856" s="314"/>
      <c r="T1856" s="314"/>
      <c r="U1856" s="314"/>
      <c r="V1856" s="314"/>
      <c r="W1856" s="314"/>
      <c r="X1856" s="314"/>
      <c r="Y1856" s="314"/>
      <c r="Z1856" s="314"/>
      <c r="AA1856" s="314"/>
      <c r="AB1856" s="314"/>
      <c r="AC1856" s="314"/>
      <c r="AD1856" s="314"/>
      <c r="AE1856" s="314"/>
      <c r="AF1856" s="314"/>
    </row>
    <row r="1857" spans="5:32" x14ac:dyDescent="0.35">
      <c r="E1857" s="314"/>
      <c r="F1857" s="314"/>
      <c r="G1857" s="314"/>
      <c r="H1857" s="314"/>
      <c r="I1857" s="314"/>
      <c r="J1857" s="314"/>
      <c r="K1857" s="314"/>
      <c r="L1857" s="314"/>
      <c r="M1857" s="314"/>
      <c r="N1857" s="314"/>
      <c r="O1857" s="314"/>
      <c r="P1857" s="314"/>
      <c r="Q1857" s="314"/>
      <c r="R1857" s="314"/>
      <c r="S1857" s="314"/>
      <c r="T1857" s="314"/>
      <c r="U1857" s="314"/>
      <c r="V1857" s="314"/>
      <c r="W1857" s="314"/>
      <c r="X1857" s="314"/>
      <c r="Y1857" s="314"/>
      <c r="Z1857" s="314"/>
      <c r="AA1857" s="314"/>
      <c r="AB1857" s="314"/>
      <c r="AC1857" s="314"/>
      <c r="AD1857" s="314"/>
      <c r="AE1857" s="314"/>
      <c r="AF1857" s="314"/>
    </row>
    <row r="1858" spans="5:32" x14ac:dyDescent="0.35">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4"/>
      <c r="AD1858" s="314"/>
      <c r="AE1858" s="314"/>
      <c r="AF1858" s="314"/>
    </row>
    <row r="1859" spans="5:32" x14ac:dyDescent="0.35">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4"/>
      <c r="AD1859" s="314"/>
      <c r="AE1859" s="314"/>
      <c r="AF1859" s="314"/>
    </row>
    <row r="1860" spans="5:32" x14ac:dyDescent="0.35">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4"/>
      <c r="AD1860" s="314"/>
      <c r="AE1860" s="314"/>
      <c r="AF1860" s="314"/>
    </row>
    <row r="1861" spans="5:32" x14ac:dyDescent="0.35">
      <c r="E1861" s="314"/>
      <c r="F1861" s="314"/>
      <c r="G1861" s="314"/>
      <c r="H1861" s="314"/>
      <c r="I1861" s="314"/>
      <c r="J1861" s="314"/>
      <c r="K1861" s="314"/>
      <c r="L1861" s="314"/>
      <c r="M1861" s="314"/>
      <c r="N1861" s="314"/>
      <c r="O1861" s="314"/>
      <c r="P1861" s="314"/>
      <c r="Q1861" s="314"/>
      <c r="R1861" s="314"/>
      <c r="S1861" s="314"/>
      <c r="T1861" s="314"/>
      <c r="U1861" s="314"/>
      <c r="V1861" s="314"/>
      <c r="W1861" s="314"/>
      <c r="X1861" s="314"/>
      <c r="Y1861" s="314"/>
      <c r="Z1861" s="314"/>
      <c r="AA1861" s="314"/>
      <c r="AB1861" s="314"/>
      <c r="AC1861" s="314"/>
      <c r="AD1861" s="314"/>
      <c r="AE1861" s="314"/>
      <c r="AF1861" s="314"/>
    </row>
    <row r="1862" spans="5:32" x14ac:dyDescent="0.35">
      <c r="E1862" s="314"/>
      <c r="F1862" s="314"/>
      <c r="G1862" s="314"/>
      <c r="H1862" s="314"/>
      <c r="I1862" s="314"/>
      <c r="J1862" s="314"/>
      <c r="K1862" s="314"/>
      <c r="L1862" s="314"/>
      <c r="M1862" s="314"/>
      <c r="N1862" s="314"/>
      <c r="O1862" s="314"/>
      <c r="P1862" s="314"/>
      <c r="Q1862" s="314"/>
      <c r="R1862" s="314"/>
      <c r="S1862" s="314"/>
      <c r="T1862" s="314"/>
      <c r="U1862" s="314"/>
      <c r="V1862" s="314"/>
      <c r="W1862" s="314"/>
      <c r="X1862" s="314"/>
      <c r="Y1862" s="314"/>
      <c r="Z1862" s="314"/>
      <c r="AA1862" s="314"/>
      <c r="AB1862" s="314"/>
      <c r="AC1862" s="314"/>
      <c r="AD1862" s="314"/>
      <c r="AE1862" s="314"/>
      <c r="AF1862" s="314"/>
    </row>
    <row r="1863" spans="5:32" x14ac:dyDescent="0.35">
      <c r="E1863" s="314"/>
      <c r="F1863" s="314"/>
      <c r="G1863" s="314"/>
      <c r="H1863" s="314"/>
      <c r="I1863" s="314"/>
      <c r="J1863" s="314"/>
      <c r="K1863" s="314"/>
      <c r="L1863" s="314"/>
      <c r="M1863" s="314"/>
      <c r="N1863" s="314"/>
      <c r="O1863" s="314"/>
      <c r="P1863" s="314"/>
      <c r="Q1863" s="314"/>
      <c r="R1863" s="314"/>
      <c r="S1863" s="314"/>
      <c r="T1863" s="314"/>
      <c r="U1863" s="314"/>
      <c r="V1863" s="314"/>
      <c r="W1863" s="314"/>
      <c r="X1863" s="314"/>
      <c r="Y1863" s="314"/>
      <c r="Z1863" s="314"/>
      <c r="AA1863" s="314"/>
      <c r="AB1863" s="314"/>
      <c r="AC1863" s="314"/>
      <c r="AD1863" s="314"/>
      <c r="AE1863" s="314"/>
      <c r="AF1863" s="314"/>
    </row>
    <row r="1864" spans="5:32" x14ac:dyDescent="0.35">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4"/>
      <c r="AD1864" s="314"/>
      <c r="AE1864" s="314"/>
      <c r="AF1864" s="314"/>
    </row>
    <row r="1865" spans="5:32" x14ac:dyDescent="0.35">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4"/>
      <c r="AD1865" s="314"/>
      <c r="AE1865" s="314"/>
      <c r="AF1865" s="314"/>
    </row>
    <row r="1866" spans="5:32" x14ac:dyDescent="0.35">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4"/>
      <c r="AD1866" s="314"/>
      <c r="AE1866" s="314"/>
      <c r="AF1866" s="314"/>
    </row>
    <row r="1867" spans="5:32" x14ac:dyDescent="0.35">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4"/>
      <c r="AD1867" s="314"/>
      <c r="AE1867" s="314"/>
      <c r="AF1867" s="314"/>
    </row>
    <row r="1868" spans="5:32" x14ac:dyDescent="0.35">
      <c r="E1868" s="314"/>
      <c r="F1868" s="314"/>
      <c r="G1868" s="314"/>
      <c r="H1868" s="314"/>
      <c r="I1868" s="314"/>
      <c r="J1868" s="314"/>
      <c r="K1868" s="314"/>
      <c r="L1868" s="314"/>
      <c r="M1868" s="314"/>
      <c r="N1868" s="314"/>
      <c r="O1868" s="314"/>
      <c r="P1868" s="314"/>
      <c r="Q1868" s="314"/>
      <c r="R1868" s="314"/>
      <c r="S1868" s="314"/>
      <c r="T1868" s="314"/>
      <c r="U1868" s="314"/>
      <c r="V1868" s="314"/>
      <c r="W1868" s="314"/>
      <c r="X1868" s="314"/>
      <c r="Y1868" s="314"/>
      <c r="Z1868" s="314"/>
      <c r="AA1868" s="314"/>
      <c r="AB1868" s="314"/>
      <c r="AC1868" s="314"/>
      <c r="AD1868" s="314"/>
      <c r="AE1868" s="314"/>
      <c r="AF1868" s="314"/>
    </row>
    <row r="1869" spans="5:32" x14ac:dyDescent="0.35">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4"/>
      <c r="AD1869" s="314"/>
      <c r="AE1869" s="314"/>
      <c r="AF1869" s="314"/>
    </row>
    <row r="1870" spans="5:32" x14ac:dyDescent="0.35">
      <c r="E1870" s="314"/>
      <c r="F1870" s="314"/>
      <c r="G1870" s="314"/>
      <c r="H1870" s="314"/>
      <c r="I1870" s="314"/>
      <c r="J1870" s="314"/>
      <c r="K1870" s="314"/>
      <c r="L1870" s="314"/>
      <c r="M1870" s="314"/>
      <c r="N1870" s="314"/>
      <c r="O1870" s="314"/>
      <c r="P1870" s="314"/>
      <c r="Q1870" s="314"/>
      <c r="R1870" s="314"/>
      <c r="S1870" s="314"/>
      <c r="T1870" s="314"/>
      <c r="U1870" s="314"/>
      <c r="V1870" s="314"/>
      <c r="W1870" s="314"/>
      <c r="X1870" s="314"/>
      <c r="Y1870" s="314"/>
      <c r="Z1870" s="314"/>
      <c r="AA1870" s="314"/>
      <c r="AB1870" s="314"/>
      <c r="AC1870" s="314"/>
      <c r="AD1870" s="314"/>
      <c r="AE1870" s="314"/>
      <c r="AF1870" s="314"/>
    </row>
    <row r="1871" spans="5:32" x14ac:dyDescent="0.35">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4"/>
      <c r="AD1871" s="314"/>
      <c r="AE1871" s="314"/>
      <c r="AF1871" s="314"/>
    </row>
    <row r="1872" spans="5:32" x14ac:dyDescent="0.35">
      <c r="E1872" s="314"/>
      <c r="F1872" s="314"/>
      <c r="G1872" s="314"/>
      <c r="H1872" s="314"/>
      <c r="I1872" s="314"/>
      <c r="J1872" s="314"/>
      <c r="K1872" s="314"/>
      <c r="L1872" s="314"/>
      <c r="M1872" s="314"/>
      <c r="N1872" s="314"/>
      <c r="O1872" s="314"/>
      <c r="P1872" s="314"/>
      <c r="Q1872" s="314"/>
      <c r="R1872" s="314"/>
      <c r="S1872" s="314"/>
      <c r="T1872" s="314"/>
      <c r="U1872" s="314"/>
      <c r="V1872" s="314"/>
      <c r="W1872" s="314"/>
      <c r="X1872" s="314"/>
      <c r="Y1872" s="314"/>
      <c r="Z1872" s="314"/>
      <c r="AA1872" s="314"/>
      <c r="AB1872" s="314"/>
      <c r="AC1872" s="314"/>
      <c r="AD1872" s="314"/>
      <c r="AE1872" s="314"/>
      <c r="AF1872" s="314"/>
    </row>
    <row r="1873" spans="5:32" x14ac:dyDescent="0.35">
      <c r="E1873" s="314"/>
      <c r="F1873" s="314"/>
      <c r="G1873" s="314"/>
      <c r="H1873" s="314"/>
      <c r="I1873" s="314"/>
      <c r="J1873" s="314"/>
      <c r="K1873" s="314"/>
      <c r="L1873" s="314"/>
      <c r="M1873" s="314"/>
      <c r="N1873" s="314"/>
      <c r="O1873" s="314"/>
      <c r="P1873" s="314"/>
      <c r="Q1873" s="314"/>
      <c r="R1873" s="314"/>
      <c r="S1873" s="314"/>
      <c r="T1873" s="314"/>
      <c r="U1873" s="314"/>
      <c r="V1873" s="314"/>
      <c r="W1873" s="314"/>
      <c r="X1873" s="314"/>
      <c r="Y1873" s="314"/>
      <c r="Z1873" s="314"/>
      <c r="AA1873" s="314"/>
      <c r="AB1873" s="314"/>
      <c r="AC1873" s="314"/>
      <c r="AD1873" s="314"/>
      <c r="AE1873" s="314"/>
      <c r="AF1873" s="314"/>
    </row>
    <row r="1874" spans="5:32" x14ac:dyDescent="0.35">
      <c r="E1874" s="314"/>
      <c r="F1874" s="314"/>
      <c r="G1874" s="314"/>
      <c r="H1874" s="314"/>
      <c r="I1874" s="314"/>
      <c r="J1874" s="314"/>
      <c r="K1874" s="314"/>
      <c r="L1874" s="314"/>
      <c r="M1874" s="314"/>
      <c r="N1874" s="314"/>
      <c r="O1874" s="314"/>
      <c r="P1874" s="314"/>
      <c r="Q1874" s="314"/>
      <c r="R1874" s="314"/>
      <c r="S1874" s="314"/>
      <c r="T1874" s="314"/>
      <c r="U1874" s="314"/>
      <c r="V1874" s="314"/>
      <c r="W1874" s="314"/>
      <c r="X1874" s="314"/>
      <c r="Y1874" s="314"/>
      <c r="Z1874" s="314"/>
      <c r="AA1874" s="314"/>
      <c r="AB1874" s="314"/>
      <c r="AC1874" s="314"/>
      <c r="AD1874" s="314"/>
      <c r="AE1874" s="314"/>
      <c r="AF1874" s="314"/>
    </row>
    <row r="1875" spans="5:32" x14ac:dyDescent="0.35">
      <c r="E1875" s="314"/>
      <c r="F1875" s="314"/>
      <c r="G1875" s="314"/>
      <c r="H1875" s="314"/>
      <c r="I1875" s="314"/>
      <c r="J1875" s="314"/>
      <c r="K1875" s="314"/>
      <c r="L1875" s="314"/>
      <c r="M1875" s="314"/>
      <c r="N1875" s="314"/>
      <c r="O1875" s="314"/>
      <c r="P1875" s="314"/>
      <c r="Q1875" s="314"/>
      <c r="R1875" s="314"/>
      <c r="S1875" s="314"/>
      <c r="T1875" s="314"/>
      <c r="U1875" s="314"/>
      <c r="V1875" s="314"/>
      <c r="W1875" s="314"/>
      <c r="X1875" s="314"/>
      <c r="Y1875" s="314"/>
      <c r="Z1875" s="314"/>
      <c r="AA1875" s="314"/>
      <c r="AB1875" s="314"/>
      <c r="AC1875" s="314"/>
      <c r="AD1875" s="314"/>
      <c r="AE1875" s="314"/>
      <c r="AF1875" s="314"/>
    </row>
    <row r="1876" spans="5:32" x14ac:dyDescent="0.35">
      <c r="E1876" s="314"/>
      <c r="F1876" s="314"/>
      <c r="G1876" s="314"/>
      <c r="H1876" s="314"/>
      <c r="I1876" s="314"/>
      <c r="J1876" s="314"/>
      <c r="K1876" s="314"/>
      <c r="L1876" s="314"/>
      <c r="M1876" s="314"/>
      <c r="N1876" s="314"/>
      <c r="O1876" s="314"/>
      <c r="P1876" s="314"/>
      <c r="Q1876" s="314"/>
      <c r="R1876" s="314"/>
      <c r="S1876" s="314"/>
      <c r="T1876" s="314"/>
      <c r="U1876" s="314"/>
      <c r="V1876" s="314"/>
      <c r="W1876" s="314"/>
      <c r="X1876" s="314"/>
      <c r="Y1876" s="314"/>
      <c r="Z1876" s="314"/>
      <c r="AA1876" s="314"/>
      <c r="AB1876" s="314"/>
      <c r="AC1876" s="314"/>
      <c r="AD1876" s="314"/>
      <c r="AE1876" s="314"/>
      <c r="AF1876" s="314"/>
    </row>
    <row r="1877" spans="5:32" x14ac:dyDescent="0.35">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4"/>
      <c r="AD1877" s="314"/>
      <c r="AE1877" s="314"/>
      <c r="AF1877" s="314"/>
    </row>
    <row r="1878" spans="5:32" x14ac:dyDescent="0.35">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314"/>
      <c r="AE1878" s="314"/>
      <c r="AF1878" s="314"/>
    </row>
    <row r="1879" spans="5:32" x14ac:dyDescent="0.35">
      <c r="E1879" s="314"/>
      <c r="F1879" s="314"/>
      <c r="G1879" s="314"/>
      <c r="H1879" s="314"/>
      <c r="I1879" s="314"/>
      <c r="J1879" s="314"/>
      <c r="K1879" s="314"/>
      <c r="L1879" s="314"/>
      <c r="M1879" s="314"/>
      <c r="N1879" s="314"/>
      <c r="O1879" s="314"/>
      <c r="P1879" s="314"/>
      <c r="Q1879" s="314"/>
      <c r="R1879" s="314"/>
      <c r="S1879" s="314"/>
      <c r="T1879" s="314"/>
      <c r="U1879" s="314"/>
      <c r="V1879" s="314"/>
      <c r="W1879" s="314"/>
      <c r="X1879" s="314"/>
      <c r="Y1879" s="314"/>
      <c r="Z1879" s="314"/>
      <c r="AA1879" s="314"/>
      <c r="AB1879" s="314"/>
      <c r="AC1879" s="314"/>
      <c r="AD1879" s="314"/>
      <c r="AE1879" s="314"/>
      <c r="AF1879" s="314"/>
    </row>
    <row r="1880" spans="5:32" x14ac:dyDescent="0.35">
      <c r="E1880" s="314"/>
      <c r="F1880" s="314"/>
      <c r="G1880" s="314"/>
      <c r="H1880" s="314"/>
      <c r="I1880" s="314"/>
      <c r="J1880" s="314"/>
      <c r="K1880" s="314"/>
      <c r="L1880" s="314"/>
      <c r="M1880" s="314"/>
      <c r="N1880" s="314"/>
      <c r="O1880" s="314"/>
      <c r="P1880" s="314"/>
      <c r="Q1880" s="314"/>
      <c r="R1880" s="314"/>
      <c r="S1880" s="314"/>
      <c r="T1880" s="314"/>
      <c r="U1880" s="314"/>
      <c r="V1880" s="314"/>
      <c r="W1880" s="314"/>
      <c r="X1880" s="314"/>
      <c r="Y1880" s="314"/>
      <c r="Z1880" s="314"/>
      <c r="AA1880" s="314"/>
      <c r="AB1880" s="314"/>
      <c r="AC1880" s="314"/>
      <c r="AD1880" s="314"/>
      <c r="AE1880" s="314"/>
      <c r="AF1880" s="314"/>
    </row>
    <row r="1881" spans="5:32" x14ac:dyDescent="0.35">
      <c r="E1881" s="314"/>
      <c r="F1881" s="314"/>
      <c r="G1881" s="314"/>
      <c r="H1881" s="314"/>
      <c r="I1881" s="314"/>
      <c r="J1881" s="314"/>
      <c r="K1881" s="314"/>
      <c r="L1881" s="314"/>
      <c r="M1881" s="314"/>
      <c r="N1881" s="314"/>
      <c r="O1881" s="314"/>
      <c r="P1881" s="314"/>
      <c r="Q1881" s="314"/>
      <c r="R1881" s="314"/>
      <c r="S1881" s="314"/>
      <c r="T1881" s="314"/>
      <c r="U1881" s="314"/>
      <c r="V1881" s="314"/>
      <c r="W1881" s="314"/>
      <c r="X1881" s="314"/>
      <c r="Y1881" s="314"/>
      <c r="Z1881" s="314"/>
      <c r="AA1881" s="314"/>
      <c r="AB1881" s="314"/>
      <c r="AC1881" s="314"/>
      <c r="AD1881" s="314"/>
      <c r="AE1881" s="314"/>
      <c r="AF1881" s="314"/>
    </row>
    <row r="1882" spans="5:32" x14ac:dyDescent="0.35">
      <c r="E1882" s="314"/>
      <c r="F1882" s="314"/>
      <c r="G1882" s="314"/>
      <c r="H1882" s="314"/>
      <c r="I1882" s="314"/>
      <c r="J1882" s="314"/>
      <c r="K1882" s="314"/>
      <c r="L1882" s="314"/>
      <c r="M1882" s="314"/>
      <c r="N1882" s="314"/>
      <c r="O1882" s="314"/>
      <c r="P1882" s="314"/>
      <c r="Q1882" s="314"/>
      <c r="R1882" s="314"/>
      <c r="S1882" s="314"/>
      <c r="T1882" s="314"/>
      <c r="U1882" s="314"/>
      <c r="V1882" s="314"/>
      <c r="W1882" s="314"/>
      <c r="X1882" s="314"/>
      <c r="Y1882" s="314"/>
      <c r="Z1882" s="314"/>
      <c r="AA1882" s="314"/>
      <c r="AB1882" s="314"/>
      <c r="AC1882" s="314"/>
      <c r="AD1882" s="314"/>
      <c r="AE1882" s="314"/>
      <c r="AF1882" s="314"/>
    </row>
    <row r="1883" spans="5:32" x14ac:dyDescent="0.35">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314"/>
      <c r="AF1883" s="314"/>
    </row>
    <row r="1884" spans="5:32" x14ac:dyDescent="0.35">
      <c r="E1884" s="314"/>
      <c r="F1884" s="314"/>
      <c r="G1884" s="314"/>
      <c r="H1884" s="314"/>
      <c r="I1884" s="314"/>
      <c r="J1884" s="314"/>
      <c r="K1884" s="314"/>
      <c r="L1884" s="314"/>
      <c r="M1884" s="314"/>
      <c r="N1884" s="314"/>
      <c r="O1884" s="314"/>
      <c r="P1884" s="314"/>
      <c r="Q1884" s="314"/>
      <c r="R1884" s="314"/>
      <c r="S1884" s="314"/>
      <c r="T1884" s="314"/>
      <c r="U1884" s="314"/>
      <c r="V1884" s="314"/>
      <c r="W1884" s="314"/>
      <c r="X1884" s="314"/>
      <c r="Y1884" s="314"/>
      <c r="Z1884" s="314"/>
      <c r="AA1884" s="314"/>
      <c r="AB1884" s="314"/>
      <c r="AC1884" s="314"/>
      <c r="AD1884" s="314"/>
      <c r="AE1884" s="314"/>
      <c r="AF1884" s="314"/>
    </row>
    <row r="1885" spans="5:32" x14ac:dyDescent="0.35">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314"/>
      <c r="AE1885" s="314"/>
      <c r="AF1885" s="314"/>
    </row>
    <row r="1886" spans="5:32" x14ac:dyDescent="0.35">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4"/>
      <c r="AD1886" s="314"/>
      <c r="AE1886" s="314"/>
      <c r="AF1886" s="314"/>
    </row>
    <row r="1887" spans="5:32" x14ac:dyDescent="0.35">
      <c r="E1887" s="314"/>
      <c r="F1887" s="314"/>
      <c r="G1887" s="314"/>
      <c r="H1887" s="314"/>
      <c r="I1887" s="314"/>
      <c r="J1887" s="314"/>
      <c r="K1887" s="314"/>
      <c r="L1887" s="314"/>
      <c r="M1887" s="314"/>
      <c r="N1887" s="314"/>
      <c r="O1887" s="314"/>
      <c r="P1887" s="314"/>
      <c r="Q1887" s="314"/>
      <c r="R1887" s="314"/>
      <c r="S1887" s="314"/>
      <c r="T1887" s="314"/>
      <c r="U1887" s="314"/>
      <c r="V1887" s="314"/>
      <c r="W1887" s="314"/>
      <c r="X1887" s="314"/>
      <c r="Y1887" s="314"/>
      <c r="Z1887" s="314"/>
      <c r="AA1887" s="314"/>
      <c r="AB1887" s="314"/>
      <c r="AC1887" s="314"/>
      <c r="AD1887" s="314"/>
      <c r="AE1887" s="314"/>
      <c r="AF1887" s="314"/>
    </row>
    <row r="1888" spans="5:32" x14ac:dyDescent="0.35">
      <c r="E1888" s="314"/>
      <c r="F1888" s="314"/>
      <c r="G1888" s="314"/>
      <c r="H1888" s="314"/>
      <c r="I1888" s="314"/>
      <c r="J1888" s="314"/>
      <c r="K1888" s="314"/>
      <c r="L1888" s="314"/>
      <c r="M1888" s="314"/>
      <c r="N1888" s="314"/>
      <c r="O1888" s="314"/>
      <c r="P1888" s="314"/>
      <c r="Q1888" s="314"/>
      <c r="R1888" s="314"/>
      <c r="S1888" s="314"/>
      <c r="T1888" s="314"/>
      <c r="U1888" s="314"/>
      <c r="V1888" s="314"/>
      <c r="W1888" s="314"/>
      <c r="X1888" s="314"/>
      <c r="Y1888" s="314"/>
      <c r="Z1888" s="314"/>
      <c r="AA1888" s="314"/>
      <c r="AB1888" s="314"/>
      <c r="AC1888" s="314"/>
      <c r="AD1888" s="314"/>
      <c r="AE1888" s="314"/>
      <c r="AF1888" s="314"/>
    </row>
    <row r="1889" spans="5:32" x14ac:dyDescent="0.35">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4"/>
      <c r="AD1889" s="314"/>
      <c r="AE1889" s="314"/>
      <c r="AF1889" s="314"/>
    </row>
    <row r="1890" spans="5:32" x14ac:dyDescent="0.35">
      <c r="E1890" s="314"/>
      <c r="F1890" s="314"/>
      <c r="G1890" s="314"/>
      <c r="H1890" s="314"/>
      <c r="I1890" s="314"/>
      <c r="J1890" s="314"/>
      <c r="K1890" s="314"/>
      <c r="L1890" s="314"/>
      <c r="M1890" s="314"/>
      <c r="N1890" s="314"/>
      <c r="O1890" s="314"/>
      <c r="P1890" s="314"/>
      <c r="Q1890" s="314"/>
      <c r="R1890" s="314"/>
      <c r="S1890" s="314"/>
      <c r="T1890" s="314"/>
      <c r="U1890" s="314"/>
      <c r="V1890" s="314"/>
      <c r="W1890" s="314"/>
      <c r="X1890" s="314"/>
      <c r="Y1890" s="314"/>
      <c r="Z1890" s="314"/>
      <c r="AA1890" s="314"/>
      <c r="AB1890" s="314"/>
      <c r="AC1890" s="314"/>
      <c r="AD1890" s="314"/>
      <c r="AE1890" s="314"/>
      <c r="AF1890" s="314"/>
    </row>
    <row r="1891" spans="5:32" x14ac:dyDescent="0.35">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314"/>
      <c r="AE1891" s="314"/>
      <c r="AF1891" s="314"/>
    </row>
    <row r="1892" spans="5:32" x14ac:dyDescent="0.35">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314"/>
      <c r="AF1892" s="314"/>
    </row>
    <row r="1893" spans="5:32" x14ac:dyDescent="0.35">
      <c r="E1893" s="314"/>
      <c r="F1893" s="314"/>
      <c r="G1893" s="314"/>
      <c r="H1893" s="314"/>
      <c r="I1893" s="314"/>
      <c r="J1893" s="314"/>
      <c r="K1893" s="314"/>
      <c r="L1893" s="314"/>
      <c r="M1893" s="314"/>
      <c r="N1893" s="314"/>
      <c r="O1893" s="314"/>
      <c r="P1893" s="314"/>
      <c r="Q1893" s="314"/>
      <c r="R1893" s="314"/>
      <c r="S1893" s="314"/>
      <c r="T1893" s="314"/>
      <c r="U1893" s="314"/>
      <c r="V1893" s="314"/>
      <c r="W1893" s="314"/>
      <c r="X1893" s="314"/>
      <c r="Y1893" s="314"/>
      <c r="Z1893" s="314"/>
      <c r="AA1893" s="314"/>
      <c r="AB1893" s="314"/>
      <c r="AC1893" s="314"/>
      <c r="AD1893" s="314"/>
      <c r="AE1893" s="314"/>
      <c r="AF1893" s="314"/>
    </row>
    <row r="1894" spans="5:32" x14ac:dyDescent="0.35">
      <c r="E1894" s="314"/>
      <c r="F1894" s="314"/>
      <c r="G1894" s="314"/>
      <c r="H1894" s="314"/>
      <c r="I1894" s="314"/>
      <c r="J1894" s="314"/>
      <c r="K1894" s="314"/>
      <c r="L1894" s="314"/>
      <c r="M1894" s="314"/>
      <c r="N1894" s="314"/>
      <c r="O1894" s="314"/>
      <c r="P1894" s="314"/>
      <c r="Q1894" s="314"/>
      <c r="R1894" s="314"/>
      <c r="S1894" s="314"/>
      <c r="T1894" s="314"/>
      <c r="U1894" s="314"/>
      <c r="V1894" s="314"/>
      <c r="W1894" s="314"/>
      <c r="X1894" s="314"/>
      <c r="Y1894" s="314"/>
      <c r="Z1894" s="314"/>
      <c r="AA1894" s="314"/>
      <c r="AB1894" s="314"/>
      <c r="AC1894" s="314"/>
      <c r="AD1894" s="314"/>
      <c r="AE1894" s="314"/>
      <c r="AF1894" s="314"/>
    </row>
    <row r="1895" spans="5:32" x14ac:dyDescent="0.35">
      <c r="E1895" s="314"/>
      <c r="F1895" s="314"/>
      <c r="G1895" s="314"/>
      <c r="H1895" s="314"/>
      <c r="I1895" s="314"/>
      <c r="J1895" s="314"/>
      <c r="K1895" s="314"/>
      <c r="L1895" s="314"/>
      <c r="M1895" s="314"/>
      <c r="N1895" s="314"/>
      <c r="O1895" s="314"/>
      <c r="P1895" s="314"/>
      <c r="Q1895" s="314"/>
      <c r="R1895" s="314"/>
      <c r="S1895" s="314"/>
      <c r="T1895" s="314"/>
      <c r="U1895" s="314"/>
      <c r="V1895" s="314"/>
      <c r="W1895" s="314"/>
      <c r="X1895" s="314"/>
      <c r="Y1895" s="314"/>
      <c r="Z1895" s="314"/>
      <c r="AA1895" s="314"/>
      <c r="AB1895" s="314"/>
      <c r="AC1895" s="314"/>
      <c r="AD1895" s="314"/>
      <c r="AE1895" s="314"/>
      <c r="AF1895" s="314"/>
    </row>
    <row r="1896" spans="5:32" x14ac:dyDescent="0.35">
      <c r="E1896" s="314"/>
      <c r="F1896" s="314"/>
      <c r="G1896" s="314"/>
      <c r="H1896" s="314"/>
      <c r="I1896" s="314"/>
      <c r="J1896" s="314"/>
      <c r="K1896" s="314"/>
      <c r="L1896" s="314"/>
      <c r="M1896" s="314"/>
      <c r="N1896" s="314"/>
      <c r="O1896" s="314"/>
      <c r="P1896" s="314"/>
      <c r="Q1896" s="314"/>
      <c r="R1896" s="314"/>
      <c r="S1896" s="314"/>
      <c r="T1896" s="314"/>
      <c r="U1896" s="314"/>
      <c r="V1896" s="314"/>
      <c r="W1896" s="314"/>
      <c r="X1896" s="314"/>
      <c r="Y1896" s="314"/>
      <c r="Z1896" s="314"/>
      <c r="AA1896" s="314"/>
      <c r="AB1896" s="314"/>
      <c r="AC1896" s="314"/>
      <c r="AD1896" s="314"/>
      <c r="AE1896" s="314"/>
      <c r="AF1896" s="314"/>
    </row>
    <row r="1897" spans="5:32" x14ac:dyDescent="0.35">
      <c r="E1897" s="314"/>
      <c r="F1897" s="314"/>
      <c r="G1897" s="314"/>
      <c r="H1897" s="314"/>
      <c r="I1897" s="314"/>
      <c r="J1897" s="314"/>
      <c r="K1897" s="314"/>
      <c r="L1897" s="314"/>
      <c r="M1897" s="314"/>
      <c r="N1897" s="314"/>
      <c r="O1897" s="314"/>
      <c r="P1897" s="314"/>
      <c r="Q1897" s="314"/>
      <c r="R1897" s="314"/>
      <c r="S1897" s="314"/>
      <c r="T1897" s="314"/>
      <c r="U1897" s="314"/>
      <c r="V1897" s="314"/>
      <c r="W1897" s="314"/>
      <c r="X1897" s="314"/>
      <c r="Y1897" s="314"/>
      <c r="Z1897" s="314"/>
      <c r="AA1897" s="314"/>
      <c r="AB1897" s="314"/>
      <c r="AC1897" s="314"/>
      <c r="AD1897" s="314"/>
      <c r="AE1897" s="314"/>
      <c r="AF1897" s="314"/>
    </row>
    <row r="1898" spans="5:32" x14ac:dyDescent="0.35">
      <c r="E1898" s="314"/>
      <c r="F1898" s="314"/>
      <c r="G1898" s="314"/>
      <c r="H1898" s="314"/>
      <c r="I1898" s="314"/>
      <c r="J1898" s="314"/>
      <c r="K1898" s="314"/>
      <c r="L1898" s="314"/>
      <c r="M1898" s="314"/>
      <c r="N1898" s="314"/>
      <c r="O1898" s="314"/>
      <c r="P1898" s="314"/>
      <c r="Q1898" s="314"/>
      <c r="R1898" s="314"/>
      <c r="S1898" s="314"/>
      <c r="T1898" s="314"/>
      <c r="U1898" s="314"/>
      <c r="V1898" s="314"/>
      <c r="W1898" s="314"/>
      <c r="X1898" s="314"/>
      <c r="Y1898" s="314"/>
      <c r="Z1898" s="314"/>
      <c r="AA1898" s="314"/>
      <c r="AB1898" s="314"/>
      <c r="AC1898" s="314"/>
      <c r="AD1898" s="314"/>
      <c r="AE1898" s="314"/>
      <c r="AF1898" s="314"/>
    </row>
    <row r="1899" spans="5:32" x14ac:dyDescent="0.35">
      <c r="E1899" s="314"/>
      <c r="F1899" s="314"/>
      <c r="G1899" s="314"/>
      <c r="H1899" s="314"/>
      <c r="I1899" s="314"/>
      <c r="J1899" s="314"/>
      <c r="K1899" s="314"/>
      <c r="L1899" s="314"/>
      <c r="M1899" s="314"/>
      <c r="N1899" s="314"/>
      <c r="O1899" s="314"/>
      <c r="P1899" s="314"/>
      <c r="Q1899" s="314"/>
      <c r="R1899" s="314"/>
      <c r="S1899" s="314"/>
      <c r="T1899" s="314"/>
      <c r="U1899" s="314"/>
      <c r="V1899" s="314"/>
      <c r="W1899" s="314"/>
      <c r="X1899" s="314"/>
      <c r="Y1899" s="314"/>
      <c r="Z1899" s="314"/>
      <c r="AA1899" s="314"/>
      <c r="AB1899" s="314"/>
      <c r="AC1899" s="314"/>
      <c r="AD1899" s="314"/>
      <c r="AE1899" s="314"/>
      <c r="AF1899" s="314"/>
    </row>
    <row r="1900" spans="5:32" x14ac:dyDescent="0.35">
      <c r="E1900" s="314"/>
      <c r="F1900" s="314"/>
      <c r="G1900" s="314"/>
      <c r="H1900" s="314"/>
      <c r="I1900" s="314"/>
      <c r="J1900" s="314"/>
      <c r="K1900" s="314"/>
      <c r="L1900" s="314"/>
      <c r="M1900" s="314"/>
      <c r="N1900" s="314"/>
      <c r="O1900" s="314"/>
      <c r="P1900" s="314"/>
      <c r="Q1900" s="314"/>
      <c r="R1900" s="314"/>
      <c r="S1900" s="314"/>
      <c r="T1900" s="314"/>
      <c r="U1900" s="314"/>
      <c r="V1900" s="314"/>
      <c r="W1900" s="314"/>
      <c r="X1900" s="314"/>
      <c r="Y1900" s="314"/>
      <c r="Z1900" s="314"/>
      <c r="AA1900" s="314"/>
      <c r="AB1900" s="314"/>
      <c r="AC1900" s="314"/>
      <c r="AD1900" s="314"/>
      <c r="AE1900" s="314"/>
      <c r="AF1900" s="314"/>
    </row>
    <row r="1901" spans="5:32" x14ac:dyDescent="0.35">
      <c r="E1901" s="314"/>
      <c r="F1901" s="314"/>
      <c r="G1901" s="314"/>
      <c r="H1901" s="314"/>
      <c r="I1901" s="314"/>
      <c r="J1901" s="314"/>
      <c r="K1901" s="314"/>
      <c r="L1901" s="314"/>
      <c r="M1901" s="314"/>
      <c r="N1901" s="314"/>
      <c r="O1901" s="314"/>
      <c r="P1901" s="314"/>
      <c r="Q1901" s="314"/>
      <c r="R1901" s="314"/>
      <c r="S1901" s="314"/>
      <c r="T1901" s="314"/>
      <c r="U1901" s="314"/>
      <c r="V1901" s="314"/>
      <c r="W1901" s="314"/>
      <c r="X1901" s="314"/>
      <c r="Y1901" s="314"/>
      <c r="Z1901" s="314"/>
      <c r="AA1901" s="314"/>
      <c r="AB1901" s="314"/>
      <c r="AC1901" s="314"/>
      <c r="AD1901" s="314"/>
      <c r="AE1901" s="314"/>
      <c r="AF1901" s="314"/>
    </row>
    <row r="1902" spans="5:32" x14ac:dyDescent="0.35">
      <c r="E1902" s="314"/>
      <c r="F1902" s="314"/>
      <c r="G1902" s="314"/>
      <c r="H1902" s="314"/>
      <c r="I1902" s="314"/>
      <c r="J1902" s="314"/>
      <c r="K1902" s="314"/>
      <c r="L1902" s="314"/>
      <c r="M1902" s="314"/>
      <c r="N1902" s="314"/>
      <c r="O1902" s="314"/>
      <c r="P1902" s="314"/>
      <c r="Q1902" s="314"/>
      <c r="R1902" s="314"/>
      <c r="S1902" s="314"/>
      <c r="T1902" s="314"/>
      <c r="U1902" s="314"/>
      <c r="V1902" s="314"/>
      <c r="W1902" s="314"/>
      <c r="X1902" s="314"/>
      <c r="Y1902" s="314"/>
      <c r="Z1902" s="314"/>
      <c r="AA1902" s="314"/>
      <c r="AB1902" s="314"/>
      <c r="AC1902" s="314"/>
      <c r="AD1902" s="314"/>
      <c r="AE1902" s="314"/>
      <c r="AF1902" s="314"/>
    </row>
    <row r="1903" spans="5:32" x14ac:dyDescent="0.35">
      <c r="E1903" s="314"/>
      <c r="F1903" s="314"/>
      <c r="G1903" s="314"/>
      <c r="H1903" s="314"/>
      <c r="I1903" s="314"/>
      <c r="J1903" s="314"/>
      <c r="K1903" s="314"/>
      <c r="L1903" s="314"/>
      <c r="M1903" s="314"/>
      <c r="N1903" s="314"/>
      <c r="O1903" s="314"/>
      <c r="P1903" s="314"/>
      <c r="Q1903" s="314"/>
      <c r="R1903" s="314"/>
      <c r="S1903" s="314"/>
      <c r="T1903" s="314"/>
      <c r="U1903" s="314"/>
      <c r="V1903" s="314"/>
      <c r="W1903" s="314"/>
      <c r="X1903" s="314"/>
      <c r="Y1903" s="314"/>
      <c r="Z1903" s="314"/>
      <c r="AA1903" s="314"/>
      <c r="AB1903" s="314"/>
      <c r="AC1903" s="314"/>
      <c r="AD1903" s="314"/>
      <c r="AE1903" s="314"/>
      <c r="AF1903" s="314"/>
    </row>
    <row r="1904" spans="5:32" x14ac:dyDescent="0.35">
      <c r="E1904" s="314"/>
      <c r="F1904" s="314"/>
      <c r="G1904" s="314"/>
      <c r="H1904" s="314"/>
      <c r="I1904" s="314"/>
      <c r="J1904" s="314"/>
      <c r="K1904" s="314"/>
      <c r="L1904" s="314"/>
      <c r="M1904" s="314"/>
      <c r="N1904" s="314"/>
      <c r="O1904" s="314"/>
      <c r="P1904" s="314"/>
      <c r="Q1904" s="314"/>
      <c r="R1904" s="314"/>
      <c r="S1904" s="314"/>
      <c r="T1904" s="314"/>
      <c r="U1904" s="314"/>
      <c r="V1904" s="314"/>
      <c r="W1904" s="314"/>
      <c r="X1904" s="314"/>
      <c r="Y1904" s="314"/>
      <c r="Z1904" s="314"/>
      <c r="AA1904" s="314"/>
      <c r="AB1904" s="314"/>
      <c r="AC1904" s="314"/>
      <c r="AD1904" s="314"/>
      <c r="AE1904" s="314"/>
      <c r="AF1904" s="314"/>
    </row>
    <row r="1905" spans="5:32" x14ac:dyDescent="0.35">
      <c r="E1905" s="314"/>
      <c r="F1905" s="314"/>
      <c r="G1905" s="314"/>
      <c r="H1905" s="314"/>
      <c r="I1905" s="314"/>
      <c r="J1905" s="314"/>
      <c r="K1905" s="314"/>
      <c r="L1905" s="314"/>
      <c r="M1905" s="314"/>
      <c r="N1905" s="314"/>
      <c r="O1905" s="314"/>
      <c r="P1905" s="314"/>
      <c r="Q1905" s="314"/>
      <c r="R1905" s="314"/>
      <c r="S1905" s="314"/>
      <c r="T1905" s="314"/>
      <c r="U1905" s="314"/>
      <c r="V1905" s="314"/>
      <c r="W1905" s="314"/>
      <c r="X1905" s="314"/>
      <c r="Y1905" s="314"/>
      <c r="Z1905" s="314"/>
      <c r="AA1905" s="314"/>
      <c r="AB1905" s="314"/>
      <c r="AC1905" s="314"/>
      <c r="AD1905" s="314"/>
      <c r="AE1905" s="314"/>
      <c r="AF1905" s="314"/>
    </row>
    <row r="1906" spans="5:32" x14ac:dyDescent="0.35">
      <c r="E1906" s="314"/>
      <c r="F1906" s="314"/>
      <c r="G1906" s="314"/>
      <c r="H1906" s="314"/>
      <c r="I1906" s="314"/>
      <c r="J1906" s="314"/>
      <c r="K1906" s="314"/>
      <c r="L1906" s="314"/>
      <c r="M1906" s="314"/>
      <c r="N1906" s="314"/>
      <c r="O1906" s="314"/>
      <c r="P1906" s="314"/>
      <c r="Q1906" s="314"/>
      <c r="R1906" s="314"/>
      <c r="S1906" s="314"/>
      <c r="T1906" s="314"/>
      <c r="U1906" s="314"/>
      <c r="V1906" s="314"/>
      <c r="W1906" s="314"/>
      <c r="X1906" s="314"/>
      <c r="Y1906" s="314"/>
      <c r="Z1906" s="314"/>
      <c r="AA1906" s="314"/>
      <c r="AB1906" s="314"/>
      <c r="AC1906" s="314"/>
      <c r="AD1906" s="314"/>
      <c r="AE1906" s="314"/>
      <c r="AF1906" s="314"/>
    </row>
    <row r="1907" spans="5:32" x14ac:dyDescent="0.35">
      <c r="E1907" s="314"/>
      <c r="F1907" s="314"/>
      <c r="G1907" s="314"/>
      <c r="H1907" s="314"/>
      <c r="I1907" s="314"/>
      <c r="J1907" s="314"/>
      <c r="K1907" s="314"/>
      <c r="L1907" s="314"/>
      <c r="M1907" s="314"/>
      <c r="N1907" s="314"/>
      <c r="O1907" s="314"/>
      <c r="P1907" s="314"/>
      <c r="Q1907" s="314"/>
      <c r="R1907" s="314"/>
      <c r="S1907" s="314"/>
      <c r="T1907" s="314"/>
      <c r="U1907" s="314"/>
      <c r="V1907" s="314"/>
      <c r="W1907" s="314"/>
      <c r="X1907" s="314"/>
      <c r="Y1907" s="314"/>
      <c r="Z1907" s="314"/>
      <c r="AA1907" s="314"/>
      <c r="AB1907" s="314"/>
      <c r="AC1907" s="314"/>
      <c r="AD1907" s="314"/>
      <c r="AE1907" s="314"/>
      <c r="AF1907" s="314"/>
    </row>
    <row r="1908" spans="5:32" x14ac:dyDescent="0.35">
      <c r="E1908" s="314"/>
      <c r="F1908" s="314"/>
      <c r="G1908" s="314"/>
      <c r="H1908" s="314"/>
      <c r="I1908" s="314"/>
      <c r="J1908" s="314"/>
      <c r="K1908" s="314"/>
      <c r="L1908" s="314"/>
      <c r="M1908" s="314"/>
      <c r="N1908" s="314"/>
      <c r="O1908" s="314"/>
      <c r="P1908" s="314"/>
      <c r="Q1908" s="314"/>
      <c r="R1908" s="314"/>
      <c r="S1908" s="314"/>
      <c r="T1908" s="314"/>
      <c r="U1908" s="314"/>
      <c r="V1908" s="314"/>
      <c r="W1908" s="314"/>
      <c r="X1908" s="314"/>
      <c r="Y1908" s="314"/>
      <c r="Z1908" s="314"/>
      <c r="AA1908" s="314"/>
      <c r="AB1908" s="314"/>
      <c r="AC1908" s="314"/>
      <c r="AD1908" s="314"/>
      <c r="AE1908" s="314"/>
      <c r="AF1908" s="314"/>
    </row>
    <row r="1909" spans="5:32" x14ac:dyDescent="0.35">
      <c r="E1909" s="314"/>
      <c r="F1909" s="314"/>
      <c r="G1909" s="314"/>
      <c r="H1909" s="314"/>
      <c r="I1909" s="314"/>
      <c r="J1909" s="314"/>
      <c r="K1909" s="314"/>
      <c r="L1909" s="314"/>
      <c r="M1909" s="314"/>
      <c r="N1909" s="314"/>
      <c r="O1909" s="314"/>
      <c r="P1909" s="314"/>
      <c r="Q1909" s="314"/>
      <c r="R1909" s="314"/>
      <c r="S1909" s="314"/>
      <c r="T1909" s="314"/>
      <c r="U1909" s="314"/>
      <c r="V1909" s="314"/>
      <c r="W1909" s="314"/>
      <c r="X1909" s="314"/>
      <c r="Y1909" s="314"/>
      <c r="Z1909" s="314"/>
      <c r="AA1909" s="314"/>
      <c r="AB1909" s="314"/>
      <c r="AC1909" s="314"/>
      <c r="AD1909" s="314"/>
      <c r="AE1909" s="314"/>
      <c r="AF1909" s="314"/>
    </row>
    <row r="1910" spans="5:32" x14ac:dyDescent="0.35">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314"/>
      <c r="AE1910" s="314"/>
      <c r="AF1910" s="314"/>
    </row>
    <row r="1911" spans="5:32" x14ac:dyDescent="0.35">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314"/>
      <c r="AF1911" s="314"/>
    </row>
    <row r="1912" spans="5:32" x14ac:dyDescent="0.35">
      <c r="E1912" s="314"/>
      <c r="F1912" s="314"/>
      <c r="G1912" s="314"/>
      <c r="H1912" s="314"/>
      <c r="I1912" s="314"/>
      <c r="J1912" s="314"/>
      <c r="K1912" s="314"/>
      <c r="L1912" s="314"/>
      <c r="M1912" s="314"/>
      <c r="N1912" s="314"/>
      <c r="O1912" s="314"/>
      <c r="P1912" s="314"/>
      <c r="Q1912" s="314"/>
      <c r="R1912" s="314"/>
      <c r="S1912" s="314"/>
      <c r="T1912" s="314"/>
      <c r="U1912" s="314"/>
      <c r="V1912" s="314"/>
      <c r="W1912" s="314"/>
      <c r="X1912" s="314"/>
      <c r="Y1912" s="314"/>
      <c r="Z1912" s="314"/>
      <c r="AA1912" s="314"/>
      <c r="AB1912" s="314"/>
      <c r="AC1912" s="314"/>
      <c r="AD1912" s="314"/>
      <c r="AE1912" s="314"/>
      <c r="AF1912" s="314"/>
    </row>
    <row r="1913" spans="5:32" x14ac:dyDescent="0.35">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314"/>
      <c r="AE1913" s="314"/>
      <c r="AF1913" s="314"/>
    </row>
    <row r="1914" spans="5:32" x14ac:dyDescent="0.35">
      <c r="E1914" s="314"/>
      <c r="F1914" s="314"/>
      <c r="G1914" s="314"/>
      <c r="H1914" s="314"/>
      <c r="I1914" s="314"/>
      <c r="J1914" s="314"/>
      <c r="K1914" s="314"/>
      <c r="L1914" s="314"/>
      <c r="M1914" s="314"/>
      <c r="N1914" s="314"/>
      <c r="O1914" s="314"/>
      <c r="P1914" s="314"/>
      <c r="Q1914" s="314"/>
      <c r="R1914" s="314"/>
      <c r="S1914" s="314"/>
      <c r="T1914" s="314"/>
      <c r="U1914" s="314"/>
      <c r="V1914" s="314"/>
      <c r="W1914" s="314"/>
      <c r="X1914" s="314"/>
      <c r="Y1914" s="314"/>
      <c r="Z1914" s="314"/>
      <c r="AA1914" s="314"/>
      <c r="AB1914" s="314"/>
      <c r="AC1914" s="314"/>
      <c r="AD1914" s="314"/>
      <c r="AE1914" s="314"/>
      <c r="AF1914" s="314"/>
    </row>
    <row r="1915" spans="5:32" x14ac:dyDescent="0.35">
      <c r="E1915" s="314"/>
      <c r="F1915" s="314"/>
      <c r="G1915" s="314"/>
      <c r="H1915" s="314"/>
      <c r="I1915" s="314"/>
      <c r="J1915" s="314"/>
      <c r="K1915" s="314"/>
      <c r="L1915" s="314"/>
      <c r="M1915" s="314"/>
      <c r="N1915" s="314"/>
      <c r="O1915" s="314"/>
      <c r="P1915" s="314"/>
      <c r="Q1915" s="314"/>
      <c r="R1915" s="314"/>
      <c r="S1915" s="314"/>
      <c r="T1915" s="314"/>
      <c r="U1915" s="314"/>
      <c r="V1915" s="314"/>
      <c r="W1915" s="314"/>
      <c r="X1915" s="314"/>
      <c r="Y1915" s="314"/>
      <c r="Z1915" s="314"/>
      <c r="AA1915" s="314"/>
      <c r="AB1915" s="314"/>
      <c r="AC1915" s="314"/>
      <c r="AD1915" s="314"/>
      <c r="AE1915" s="314"/>
      <c r="AF1915" s="314"/>
    </row>
    <row r="1916" spans="5:32" x14ac:dyDescent="0.35">
      <c r="E1916" s="314"/>
      <c r="F1916" s="314"/>
      <c r="G1916" s="314"/>
      <c r="H1916" s="314"/>
      <c r="I1916" s="314"/>
      <c r="J1916" s="314"/>
      <c r="K1916" s="314"/>
      <c r="L1916" s="314"/>
      <c r="M1916" s="314"/>
      <c r="N1916" s="314"/>
      <c r="O1916" s="314"/>
      <c r="P1916" s="314"/>
      <c r="Q1916" s="314"/>
      <c r="R1916" s="314"/>
      <c r="S1916" s="314"/>
      <c r="T1916" s="314"/>
      <c r="U1916" s="314"/>
      <c r="V1916" s="314"/>
      <c r="W1916" s="314"/>
      <c r="X1916" s="314"/>
      <c r="Y1916" s="314"/>
      <c r="Z1916" s="314"/>
      <c r="AA1916" s="314"/>
      <c r="AB1916" s="314"/>
      <c r="AC1916" s="314"/>
      <c r="AD1916" s="314"/>
      <c r="AE1916" s="314"/>
      <c r="AF1916" s="314"/>
    </row>
    <row r="1917" spans="5:32" x14ac:dyDescent="0.35">
      <c r="E1917" s="314"/>
      <c r="F1917" s="314"/>
      <c r="G1917" s="314"/>
      <c r="H1917" s="314"/>
      <c r="I1917" s="314"/>
      <c r="J1917" s="314"/>
      <c r="K1917" s="314"/>
      <c r="L1917" s="314"/>
      <c r="M1917" s="314"/>
      <c r="N1917" s="314"/>
      <c r="O1917" s="314"/>
      <c r="P1917" s="314"/>
      <c r="Q1917" s="314"/>
      <c r="R1917" s="314"/>
      <c r="S1917" s="314"/>
      <c r="T1917" s="314"/>
      <c r="U1917" s="314"/>
      <c r="V1917" s="314"/>
      <c r="W1917" s="314"/>
      <c r="X1917" s="314"/>
      <c r="Y1917" s="314"/>
      <c r="Z1917" s="314"/>
      <c r="AA1917" s="314"/>
      <c r="AB1917" s="314"/>
      <c r="AC1917" s="314"/>
      <c r="AD1917" s="314"/>
      <c r="AE1917" s="314"/>
      <c r="AF1917" s="314"/>
    </row>
    <row r="1918" spans="5:32" x14ac:dyDescent="0.35">
      <c r="E1918" s="314"/>
      <c r="F1918" s="314"/>
      <c r="G1918" s="314"/>
      <c r="H1918" s="314"/>
      <c r="I1918" s="314"/>
      <c r="J1918" s="314"/>
      <c r="K1918" s="314"/>
      <c r="L1918" s="314"/>
      <c r="M1918" s="314"/>
      <c r="N1918" s="314"/>
      <c r="O1918" s="314"/>
      <c r="P1918" s="314"/>
      <c r="Q1918" s="314"/>
      <c r="R1918" s="314"/>
      <c r="S1918" s="314"/>
      <c r="T1918" s="314"/>
      <c r="U1918" s="314"/>
      <c r="V1918" s="314"/>
      <c r="W1918" s="314"/>
      <c r="X1918" s="314"/>
      <c r="Y1918" s="314"/>
      <c r="Z1918" s="314"/>
      <c r="AA1918" s="314"/>
      <c r="AB1918" s="314"/>
      <c r="AC1918" s="314"/>
      <c r="AD1918" s="314"/>
      <c r="AE1918" s="314"/>
      <c r="AF1918" s="314"/>
    </row>
    <row r="1919" spans="5:32" x14ac:dyDescent="0.35">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314"/>
      <c r="AE1919" s="314"/>
      <c r="AF1919" s="314"/>
    </row>
    <row r="1920" spans="5:32" x14ac:dyDescent="0.35">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314"/>
      <c r="AF1920" s="314"/>
    </row>
    <row r="1921" spans="5:32" x14ac:dyDescent="0.35">
      <c r="E1921" s="314"/>
      <c r="F1921" s="314"/>
      <c r="G1921" s="314"/>
      <c r="H1921" s="314"/>
      <c r="I1921" s="314"/>
      <c r="J1921" s="314"/>
      <c r="K1921" s="314"/>
      <c r="L1921" s="314"/>
      <c r="M1921" s="314"/>
      <c r="N1921" s="314"/>
      <c r="O1921" s="314"/>
      <c r="P1921" s="314"/>
      <c r="Q1921" s="314"/>
      <c r="R1921" s="314"/>
      <c r="S1921" s="314"/>
      <c r="T1921" s="314"/>
      <c r="U1921" s="314"/>
      <c r="V1921" s="314"/>
      <c r="W1921" s="314"/>
      <c r="X1921" s="314"/>
      <c r="Y1921" s="314"/>
      <c r="Z1921" s="314"/>
      <c r="AA1921" s="314"/>
      <c r="AB1921" s="314"/>
      <c r="AC1921" s="314"/>
      <c r="AD1921" s="314"/>
      <c r="AE1921" s="314"/>
      <c r="AF1921" s="314"/>
    </row>
    <row r="1922" spans="5:32" x14ac:dyDescent="0.35">
      <c r="E1922" s="314"/>
      <c r="F1922" s="314"/>
      <c r="G1922" s="314"/>
      <c r="H1922" s="314"/>
      <c r="I1922" s="314"/>
      <c r="J1922" s="314"/>
      <c r="K1922" s="314"/>
      <c r="L1922" s="314"/>
      <c r="M1922" s="314"/>
      <c r="N1922" s="314"/>
      <c r="O1922" s="314"/>
      <c r="P1922" s="314"/>
      <c r="Q1922" s="314"/>
      <c r="R1922" s="314"/>
      <c r="S1922" s="314"/>
      <c r="T1922" s="314"/>
      <c r="U1922" s="314"/>
      <c r="V1922" s="314"/>
      <c r="W1922" s="314"/>
      <c r="X1922" s="314"/>
      <c r="Y1922" s="314"/>
      <c r="Z1922" s="314"/>
      <c r="AA1922" s="314"/>
      <c r="AB1922" s="314"/>
      <c r="AC1922" s="314"/>
      <c r="AD1922" s="314"/>
      <c r="AE1922" s="314"/>
      <c r="AF1922" s="314"/>
    </row>
    <row r="1923" spans="5:32" x14ac:dyDescent="0.35">
      <c r="E1923" s="314"/>
      <c r="F1923" s="314"/>
      <c r="G1923" s="314"/>
      <c r="H1923" s="314"/>
      <c r="I1923" s="314"/>
      <c r="J1923" s="314"/>
      <c r="K1923" s="314"/>
      <c r="L1923" s="314"/>
      <c r="M1923" s="314"/>
      <c r="N1923" s="314"/>
      <c r="O1923" s="314"/>
      <c r="P1923" s="314"/>
      <c r="Q1923" s="314"/>
      <c r="R1923" s="314"/>
      <c r="S1923" s="314"/>
      <c r="T1923" s="314"/>
      <c r="U1923" s="314"/>
      <c r="V1923" s="314"/>
      <c r="W1923" s="314"/>
      <c r="X1923" s="314"/>
      <c r="Y1923" s="314"/>
      <c r="Z1923" s="314"/>
      <c r="AA1923" s="314"/>
      <c r="AB1923" s="314"/>
      <c r="AC1923" s="314"/>
      <c r="AD1923" s="314"/>
      <c r="AE1923" s="314"/>
      <c r="AF1923" s="314"/>
    </row>
    <row r="1924" spans="5:32" x14ac:dyDescent="0.35">
      <c r="E1924" s="314"/>
      <c r="F1924" s="314"/>
      <c r="G1924" s="314"/>
      <c r="H1924" s="314"/>
      <c r="I1924" s="314"/>
      <c r="J1924" s="314"/>
      <c r="K1924" s="314"/>
      <c r="L1924" s="314"/>
      <c r="M1924" s="314"/>
      <c r="N1924" s="314"/>
      <c r="O1924" s="314"/>
      <c r="P1924" s="314"/>
      <c r="Q1924" s="314"/>
      <c r="R1924" s="314"/>
      <c r="S1924" s="314"/>
      <c r="T1924" s="314"/>
      <c r="U1924" s="314"/>
      <c r="V1924" s="314"/>
      <c r="W1924" s="314"/>
      <c r="X1924" s="314"/>
      <c r="Y1924" s="314"/>
      <c r="Z1924" s="314"/>
      <c r="AA1924" s="314"/>
      <c r="AB1924" s="314"/>
      <c r="AC1924" s="314"/>
      <c r="AD1924" s="314"/>
      <c r="AE1924" s="314"/>
      <c r="AF1924" s="314"/>
    </row>
    <row r="1925" spans="5:32" x14ac:dyDescent="0.35">
      <c r="E1925" s="314"/>
      <c r="F1925" s="314"/>
      <c r="G1925" s="314"/>
      <c r="H1925" s="314"/>
      <c r="I1925" s="314"/>
      <c r="J1925" s="314"/>
      <c r="K1925" s="314"/>
      <c r="L1925" s="314"/>
      <c r="M1925" s="314"/>
      <c r="N1925" s="314"/>
      <c r="O1925" s="314"/>
      <c r="P1925" s="314"/>
      <c r="Q1925" s="314"/>
      <c r="R1925" s="314"/>
      <c r="S1925" s="314"/>
      <c r="T1925" s="314"/>
      <c r="U1925" s="314"/>
      <c r="V1925" s="314"/>
      <c r="W1925" s="314"/>
      <c r="X1925" s="314"/>
      <c r="Y1925" s="314"/>
      <c r="Z1925" s="314"/>
      <c r="AA1925" s="314"/>
      <c r="AB1925" s="314"/>
      <c r="AC1925" s="314"/>
      <c r="AD1925" s="314"/>
      <c r="AE1925" s="314"/>
      <c r="AF1925" s="314"/>
    </row>
    <row r="1926" spans="5:32" x14ac:dyDescent="0.35">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314"/>
      <c r="AE1926" s="314"/>
      <c r="AF1926" s="314"/>
    </row>
    <row r="1927" spans="5:32" x14ac:dyDescent="0.35">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4"/>
      <c r="AD1927" s="314"/>
      <c r="AE1927" s="314"/>
      <c r="AF1927" s="314"/>
    </row>
    <row r="1928" spans="5:32" x14ac:dyDescent="0.35">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4"/>
      <c r="AD1928" s="314"/>
      <c r="AE1928" s="314"/>
      <c r="AF1928" s="314"/>
    </row>
    <row r="1929" spans="5:32" x14ac:dyDescent="0.35">
      <c r="E1929" s="314"/>
      <c r="F1929" s="314"/>
      <c r="G1929" s="314"/>
      <c r="H1929" s="314"/>
      <c r="I1929" s="314"/>
      <c r="J1929" s="314"/>
      <c r="K1929" s="314"/>
      <c r="L1929" s="314"/>
      <c r="M1929" s="314"/>
      <c r="N1929" s="314"/>
      <c r="O1929" s="314"/>
      <c r="P1929" s="314"/>
      <c r="Q1929" s="314"/>
      <c r="R1929" s="314"/>
      <c r="S1929" s="314"/>
      <c r="T1929" s="314"/>
      <c r="U1929" s="314"/>
      <c r="V1929" s="314"/>
      <c r="W1929" s="314"/>
      <c r="X1929" s="314"/>
      <c r="Y1929" s="314"/>
      <c r="Z1929" s="314"/>
      <c r="AA1929" s="314"/>
      <c r="AB1929" s="314"/>
      <c r="AC1929" s="314"/>
      <c r="AD1929" s="314"/>
      <c r="AE1929" s="314"/>
      <c r="AF1929" s="314"/>
    </row>
    <row r="1930" spans="5:32" x14ac:dyDescent="0.35">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4"/>
      <c r="AD1930" s="314"/>
      <c r="AE1930" s="314"/>
      <c r="AF1930" s="314"/>
    </row>
    <row r="1931" spans="5:32" x14ac:dyDescent="0.35">
      <c r="E1931" s="314"/>
      <c r="F1931" s="314"/>
      <c r="G1931" s="314"/>
      <c r="H1931" s="314"/>
      <c r="I1931" s="314"/>
      <c r="J1931" s="314"/>
      <c r="K1931" s="314"/>
      <c r="L1931" s="314"/>
      <c r="M1931" s="314"/>
      <c r="N1931" s="314"/>
      <c r="O1931" s="314"/>
      <c r="P1931" s="314"/>
      <c r="Q1931" s="314"/>
      <c r="R1931" s="314"/>
      <c r="S1931" s="314"/>
      <c r="T1931" s="314"/>
      <c r="U1931" s="314"/>
      <c r="V1931" s="314"/>
      <c r="W1931" s="314"/>
      <c r="X1931" s="314"/>
      <c r="Y1931" s="314"/>
      <c r="Z1931" s="314"/>
      <c r="AA1931" s="314"/>
      <c r="AB1931" s="314"/>
      <c r="AC1931" s="314"/>
      <c r="AD1931" s="314"/>
      <c r="AE1931" s="314"/>
      <c r="AF1931" s="314"/>
    </row>
    <row r="1932" spans="5:32" x14ac:dyDescent="0.35">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4"/>
      <c r="AD1932" s="314"/>
      <c r="AE1932" s="314"/>
      <c r="AF1932" s="314"/>
    </row>
    <row r="1933" spans="5:32" x14ac:dyDescent="0.35">
      <c r="E1933" s="314"/>
      <c r="F1933" s="314"/>
      <c r="G1933" s="314"/>
      <c r="H1933" s="314"/>
      <c r="I1933" s="314"/>
      <c r="J1933" s="314"/>
      <c r="K1933" s="314"/>
      <c r="L1933" s="314"/>
      <c r="M1933" s="314"/>
      <c r="N1933" s="314"/>
      <c r="O1933" s="314"/>
      <c r="P1933" s="314"/>
      <c r="Q1933" s="314"/>
      <c r="R1933" s="314"/>
      <c r="S1933" s="314"/>
      <c r="T1933" s="314"/>
      <c r="U1933" s="314"/>
      <c r="V1933" s="314"/>
      <c r="W1933" s="314"/>
      <c r="X1933" s="314"/>
      <c r="Y1933" s="314"/>
      <c r="Z1933" s="314"/>
      <c r="AA1933" s="314"/>
      <c r="AB1933" s="314"/>
      <c r="AC1933" s="314"/>
      <c r="AD1933" s="314"/>
      <c r="AE1933" s="314"/>
      <c r="AF1933" s="314"/>
    </row>
    <row r="1934" spans="5:32" x14ac:dyDescent="0.35">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4"/>
      <c r="AD1934" s="314"/>
      <c r="AE1934" s="314"/>
      <c r="AF1934" s="314"/>
    </row>
    <row r="1935" spans="5:32" x14ac:dyDescent="0.35">
      <c r="E1935" s="314"/>
      <c r="F1935" s="314"/>
      <c r="G1935" s="314"/>
      <c r="H1935" s="314"/>
      <c r="I1935" s="314"/>
      <c r="J1935" s="314"/>
      <c r="K1935" s="314"/>
      <c r="L1935" s="314"/>
      <c r="M1935" s="314"/>
      <c r="N1935" s="314"/>
      <c r="O1935" s="314"/>
      <c r="P1935" s="314"/>
      <c r="Q1935" s="314"/>
      <c r="R1935" s="314"/>
      <c r="S1935" s="314"/>
      <c r="T1935" s="314"/>
      <c r="U1935" s="314"/>
      <c r="V1935" s="314"/>
      <c r="W1935" s="314"/>
      <c r="X1935" s="314"/>
      <c r="Y1935" s="314"/>
      <c r="Z1935" s="314"/>
      <c r="AA1935" s="314"/>
      <c r="AB1935" s="314"/>
      <c r="AC1935" s="314"/>
      <c r="AD1935" s="314"/>
      <c r="AE1935" s="314"/>
      <c r="AF1935" s="314"/>
    </row>
    <row r="1936" spans="5:32" x14ac:dyDescent="0.35">
      <c r="E1936" s="314"/>
      <c r="F1936" s="314"/>
      <c r="G1936" s="314"/>
      <c r="H1936" s="314"/>
      <c r="I1936" s="314"/>
      <c r="J1936" s="314"/>
      <c r="K1936" s="314"/>
      <c r="L1936" s="314"/>
      <c r="M1936" s="314"/>
      <c r="N1936" s="314"/>
      <c r="O1936" s="314"/>
      <c r="P1936" s="314"/>
      <c r="Q1936" s="314"/>
      <c r="R1936" s="314"/>
      <c r="S1936" s="314"/>
      <c r="T1936" s="314"/>
      <c r="U1936" s="314"/>
      <c r="V1936" s="314"/>
      <c r="W1936" s="314"/>
      <c r="X1936" s="314"/>
      <c r="Y1936" s="314"/>
      <c r="Z1936" s="314"/>
      <c r="AA1936" s="314"/>
      <c r="AB1936" s="314"/>
      <c r="AC1936" s="314"/>
      <c r="AD1936" s="314"/>
      <c r="AE1936" s="314"/>
      <c r="AF1936" s="314"/>
    </row>
    <row r="1937" spans="5:32" x14ac:dyDescent="0.35">
      <c r="E1937" s="314"/>
      <c r="F1937" s="314"/>
      <c r="G1937" s="314"/>
      <c r="H1937" s="314"/>
      <c r="I1937" s="314"/>
      <c r="J1937" s="314"/>
      <c r="K1937" s="314"/>
      <c r="L1937" s="314"/>
      <c r="M1937" s="314"/>
      <c r="N1937" s="314"/>
      <c r="O1937" s="314"/>
      <c r="P1937" s="314"/>
      <c r="Q1937" s="314"/>
      <c r="R1937" s="314"/>
      <c r="S1937" s="314"/>
      <c r="T1937" s="314"/>
      <c r="U1937" s="314"/>
      <c r="V1937" s="314"/>
      <c r="W1937" s="314"/>
      <c r="X1937" s="314"/>
      <c r="Y1937" s="314"/>
      <c r="Z1937" s="314"/>
      <c r="AA1937" s="314"/>
      <c r="AB1937" s="314"/>
      <c r="AC1937" s="314"/>
      <c r="AD1937" s="314"/>
      <c r="AE1937" s="314"/>
      <c r="AF1937" s="314"/>
    </row>
    <row r="1938" spans="5:32" x14ac:dyDescent="0.35">
      <c r="E1938" s="314"/>
      <c r="F1938" s="314"/>
      <c r="G1938" s="314"/>
      <c r="H1938" s="314"/>
      <c r="I1938" s="314"/>
      <c r="J1938" s="314"/>
      <c r="K1938" s="314"/>
      <c r="L1938" s="314"/>
      <c r="M1938" s="314"/>
      <c r="N1938" s="314"/>
      <c r="O1938" s="314"/>
      <c r="P1938" s="314"/>
      <c r="Q1938" s="314"/>
      <c r="R1938" s="314"/>
      <c r="S1938" s="314"/>
      <c r="T1938" s="314"/>
      <c r="U1938" s="314"/>
      <c r="V1938" s="314"/>
      <c r="W1938" s="314"/>
      <c r="X1938" s="314"/>
      <c r="Y1938" s="314"/>
      <c r="Z1938" s="314"/>
      <c r="AA1938" s="314"/>
      <c r="AB1938" s="314"/>
      <c r="AC1938" s="314"/>
      <c r="AD1938" s="314"/>
      <c r="AE1938" s="314"/>
      <c r="AF1938" s="314"/>
    </row>
    <row r="1939" spans="5:32" x14ac:dyDescent="0.35">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314"/>
      <c r="AE1939" s="314"/>
      <c r="AF1939" s="314"/>
    </row>
    <row r="1940" spans="5:32" x14ac:dyDescent="0.35">
      <c r="E1940" s="314"/>
      <c r="F1940" s="314"/>
      <c r="G1940" s="314"/>
      <c r="H1940" s="314"/>
      <c r="I1940" s="314"/>
      <c r="J1940" s="314"/>
      <c r="K1940" s="314"/>
      <c r="L1940" s="314"/>
      <c r="M1940" s="314"/>
      <c r="N1940" s="314"/>
      <c r="O1940" s="314"/>
      <c r="P1940" s="314"/>
      <c r="Q1940" s="314"/>
      <c r="R1940" s="314"/>
      <c r="S1940" s="314"/>
      <c r="T1940" s="314"/>
      <c r="U1940" s="314"/>
      <c r="V1940" s="314"/>
      <c r="W1940" s="314"/>
      <c r="X1940" s="314"/>
      <c r="Y1940" s="314"/>
      <c r="Z1940" s="314"/>
      <c r="AA1940" s="314"/>
      <c r="AB1940" s="314"/>
      <c r="AC1940" s="314"/>
      <c r="AD1940" s="314"/>
      <c r="AE1940" s="314"/>
      <c r="AF1940" s="314"/>
    </row>
    <row r="1941" spans="5:32" x14ac:dyDescent="0.35">
      <c r="E1941" s="314"/>
      <c r="F1941" s="314"/>
      <c r="G1941" s="314"/>
      <c r="H1941" s="314"/>
      <c r="I1941" s="314"/>
      <c r="J1941" s="314"/>
      <c r="K1941" s="314"/>
      <c r="L1941" s="314"/>
      <c r="M1941" s="314"/>
      <c r="N1941" s="314"/>
      <c r="O1941" s="314"/>
      <c r="P1941" s="314"/>
      <c r="Q1941" s="314"/>
      <c r="R1941" s="314"/>
      <c r="S1941" s="314"/>
      <c r="T1941" s="314"/>
      <c r="U1941" s="314"/>
      <c r="V1941" s="314"/>
      <c r="W1941" s="314"/>
      <c r="X1941" s="314"/>
      <c r="Y1941" s="314"/>
      <c r="Z1941" s="314"/>
      <c r="AA1941" s="314"/>
      <c r="AB1941" s="314"/>
      <c r="AC1941" s="314"/>
      <c r="AD1941" s="314"/>
      <c r="AE1941" s="314"/>
      <c r="AF1941" s="314"/>
    </row>
    <row r="1942" spans="5:32" x14ac:dyDescent="0.35">
      <c r="E1942" s="314"/>
      <c r="F1942" s="314"/>
      <c r="G1942" s="314"/>
      <c r="H1942" s="314"/>
      <c r="I1942" s="314"/>
      <c r="J1942" s="314"/>
      <c r="K1942" s="314"/>
      <c r="L1942" s="314"/>
      <c r="M1942" s="314"/>
      <c r="N1942" s="314"/>
      <c r="O1942" s="314"/>
      <c r="P1942" s="314"/>
      <c r="Q1942" s="314"/>
      <c r="R1942" s="314"/>
      <c r="S1942" s="314"/>
      <c r="T1942" s="314"/>
      <c r="U1942" s="314"/>
      <c r="V1942" s="314"/>
      <c r="W1942" s="314"/>
      <c r="X1942" s="314"/>
      <c r="Y1942" s="314"/>
      <c r="Z1942" s="314"/>
      <c r="AA1942" s="314"/>
      <c r="AB1942" s="314"/>
      <c r="AC1942" s="314"/>
      <c r="AD1942" s="314"/>
      <c r="AE1942" s="314"/>
      <c r="AF1942" s="314"/>
    </row>
    <row r="1943" spans="5:32" x14ac:dyDescent="0.35">
      <c r="E1943" s="314"/>
      <c r="F1943" s="314"/>
      <c r="G1943" s="314"/>
      <c r="H1943" s="314"/>
      <c r="I1943" s="314"/>
      <c r="J1943" s="314"/>
      <c r="K1943" s="314"/>
      <c r="L1943" s="314"/>
      <c r="M1943" s="314"/>
      <c r="N1943" s="314"/>
      <c r="O1943" s="314"/>
      <c r="P1943" s="314"/>
      <c r="Q1943" s="314"/>
      <c r="R1943" s="314"/>
      <c r="S1943" s="314"/>
      <c r="T1943" s="314"/>
      <c r="U1943" s="314"/>
      <c r="V1943" s="314"/>
      <c r="W1943" s="314"/>
      <c r="X1943" s="314"/>
      <c r="Y1943" s="314"/>
      <c r="Z1943" s="314"/>
      <c r="AA1943" s="314"/>
      <c r="AB1943" s="314"/>
      <c r="AC1943" s="314"/>
      <c r="AD1943" s="314"/>
      <c r="AE1943" s="314"/>
      <c r="AF1943" s="314"/>
    </row>
    <row r="1944" spans="5:32" x14ac:dyDescent="0.35">
      <c r="E1944" s="314"/>
      <c r="F1944" s="314"/>
      <c r="G1944" s="314"/>
      <c r="H1944" s="314"/>
      <c r="I1944" s="314"/>
      <c r="J1944" s="314"/>
      <c r="K1944" s="314"/>
      <c r="L1944" s="314"/>
      <c r="M1944" s="314"/>
      <c r="N1944" s="314"/>
      <c r="O1944" s="314"/>
      <c r="P1944" s="314"/>
      <c r="Q1944" s="314"/>
      <c r="R1944" s="314"/>
      <c r="S1944" s="314"/>
      <c r="T1944" s="314"/>
      <c r="U1944" s="314"/>
      <c r="V1944" s="314"/>
      <c r="W1944" s="314"/>
      <c r="X1944" s="314"/>
      <c r="Y1944" s="314"/>
      <c r="Z1944" s="314"/>
      <c r="AA1944" s="314"/>
      <c r="AB1944" s="314"/>
      <c r="AC1944" s="314"/>
      <c r="AD1944" s="314"/>
      <c r="AE1944" s="314"/>
      <c r="AF1944" s="314"/>
    </row>
    <row r="1945" spans="5:32" x14ac:dyDescent="0.35">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314"/>
      <c r="AF1945" s="314"/>
    </row>
    <row r="1946" spans="5:32" x14ac:dyDescent="0.35">
      <c r="E1946" s="314"/>
      <c r="F1946" s="314"/>
      <c r="G1946" s="314"/>
      <c r="H1946" s="314"/>
      <c r="I1946" s="314"/>
      <c r="J1946" s="314"/>
      <c r="K1946" s="314"/>
      <c r="L1946" s="314"/>
      <c r="M1946" s="314"/>
      <c r="N1946" s="314"/>
      <c r="O1946" s="314"/>
      <c r="P1946" s="314"/>
      <c r="Q1946" s="314"/>
      <c r="R1946" s="314"/>
      <c r="S1946" s="314"/>
      <c r="T1946" s="314"/>
      <c r="U1946" s="314"/>
      <c r="V1946" s="314"/>
      <c r="W1946" s="314"/>
      <c r="X1946" s="314"/>
      <c r="Y1946" s="314"/>
      <c r="Z1946" s="314"/>
      <c r="AA1946" s="314"/>
      <c r="AB1946" s="314"/>
      <c r="AC1946" s="314"/>
      <c r="AD1946" s="314"/>
      <c r="AE1946" s="314"/>
      <c r="AF1946" s="314"/>
    </row>
    <row r="1947" spans="5:32" x14ac:dyDescent="0.35">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314"/>
      <c r="AE1947" s="314"/>
      <c r="AF1947" s="314"/>
    </row>
    <row r="1948" spans="5:32" x14ac:dyDescent="0.35">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4"/>
      <c r="AD1948" s="314"/>
      <c r="AE1948" s="314"/>
      <c r="AF1948" s="314"/>
    </row>
    <row r="1949" spans="5:32" x14ac:dyDescent="0.35">
      <c r="E1949" s="314"/>
      <c r="F1949" s="314"/>
      <c r="G1949" s="314"/>
      <c r="H1949" s="314"/>
      <c r="I1949" s="314"/>
      <c r="J1949" s="314"/>
      <c r="K1949" s="314"/>
      <c r="L1949" s="314"/>
      <c r="M1949" s="314"/>
      <c r="N1949" s="314"/>
      <c r="O1949" s="314"/>
      <c r="P1949" s="314"/>
      <c r="Q1949" s="314"/>
      <c r="R1949" s="314"/>
      <c r="S1949" s="314"/>
      <c r="T1949" s="314"/>
      <c r="U1949" s="314"/>
      <c r="V1949" s="314"/>
      <c r="W1949" s="314"/>
      <c r="X1949" s="314"/>
      <c r="Y1949" s="314"/>
      <c r="Z1949" s="314"/>
      <c r="AA1949" s="314"/>
      <c r="AB1949" s="314"/>
      <c r="AC1949" s="314"/>
      <c r="AD1949" s="314"/>
      <c r="AE1949" s="314"/>
      <c r="AF1949" s="314"/>
    </row>
    <row r="1950" spans="5:32" x14ac:dyDescent="0.35">
      <c r="E1950" s="314"/>
      <c r="F1950" s="314"/>
      <c r="G1950" s="314"/>
      <c r="H1950" s="314"/>
      <c r="I1950" s="314"/>
      <c r="J1950" s="314"/>
      <c r="K1950" s="314"/>
      <c r="L1950" s="314"/>
      <c r="M1950" s="314"/>
      <c r="N1950" s="314"/>
      <c r="O1950" s="314"/>
      <c r="P1950" s="314"/>
      <c r="Q1950" s="314"/>
      <c r="R1950" s="314"/>
      <c r="S1950" s="314"/>
      <c r="T1950" s="314"/>
      <c r="U1950" s="314"/>
      <c r="V1950" s="314"/>
      <c r="W1950" s="314"/>
      <c r="X1950" s="314"/>
      <c r="Y1950" s="314"/>
      <c r="Z1950" s="314"/>
      <c r="AA1950" s="314"/>
      <c r="AB1950" s="314"/>
      <c r="AC1950" s="314"/>
      <c r="AD1950" s="314"/>
      <c r="AE1950" s="314"/>
      <c r="AF1950" s="314"/>
    </row>
    <row r="1951" spans="5:32" x14ac:dyDescent="0.35">
      <c r="E1951" s="314"/>
      <c r="F1951" s="314"/>
      <c r="G1951" s="314"/>
      <c r="H1951" s="314"/>
      <c r="I1951" s="314"/>
      <c r="J1951" s="314"/>
      <c r="K1951" s="314"/>
      <c r="L1951" s="314"/>
      <c r="M1951" s="314"/>
      <c r="N1951" s="314"/>
      <c r="O1951" s="314"/>
      <c r="P1951" s="314"/>
      <c r="Q1951" s="314"/>
      <c r="R1951" s="314"/>
      <c r="S1951" s="314"/>
      <c r="T1951" s="314"/>
      <c r="U1951" s="314"/>
      <c r="V1951" s="314"/>
      <c r="W1951" s="314"/>
      <c r="X1951" s="314"/>
      <c r="Y1951" s="314"/>
      <c r="Z1951" s="314"/>
      <c r="AA1951" s="314"/>
      <c r="AB1951" s="314"/>
      <c r="AC1951" s="314"/>
      <c r="AD1951" s="314"/>
      <c r="AE1951" s="314"/>
      <c r="AF1951" s="314"/>
    </row>
    <row r="1952" spans="5:32" x14ac:dyDescent="0.35">
      <c r="E1952" s="314"/>
      <c r="F1952" s="314"/>
      <c r="G1952" s="314"/>
      <c r="H1952" s="314"/>
      <c r="I1952" s="314"/>
      <c r="J1952" s="314"/>
      <c r="K1952" s="314"/>
      <c r="L1952" s="314"/>
      <c r="M1952" s="314"/>
      <c r="N1952" s="314"/>
      <c r="O1952" s="314"/>
      <c r="P1952" s="314"/>
      <c r="Q1952" s="314"/>
      <c r="R1952" s="314"/>
      <c r="S1952" s="314"/>
      <c r="T1952" s="314"/>
      <c r="U1952" s="314"/>
      <c r="V1952" s="314"/>
      <c r="W1952" s="314"/>
      <c r="X1952" s="314"/>
      <c r="Y1952" s="314"/>
      <c r="Z1952" s="314"/>
      <c r="AA1952" s="314"/>
      <c r="AB1952" s="314"/>
      <c r="AC1952" s="314"/>
      <c r="AD1952" s="314"/>
      <c r="AE1952" s="314"/>
      <c r="AF1952" s="314"/>
    </row>
    <row r="1953" spans="5:32" x14ac:dyDescent="0.35">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314"/>
      <c r="AE1953" s="314"/>
      <c r="AF1953" s="314"/>
    </row>
    <row r="1954" spans="5:32" x14ac:dyDescent="0.35">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314"/>
      <c r="AF1954" s="314"/>
    </row>
    <row r="1955" spans="5:32" x14ac:dyDescent="0.35">
      <c r="E1955" s="314"/>
      <c r="F1955" s="314"/>
      <c r="G1955" s="314"/>
      <c r="H1955" s="314"/>
      <c r="I1955" s="314"/>
      <c r="J1955" s="314"/>
      <c r="K1955" s="314"/>
      <c r="L1955" s="314"/>
      <c r="M1955" s="314"/>
      <c r="N1955" s="314"/>
      <c r="O1955" s="314"/>
      <c r="P1955" s="314"/>
      <c r="Q1955" s="314"/>
      <c r="R1955" s="314"/>
      <c r="S1955" s="314"/>
      <c r="T1955" s="314"/>
      <c r="U1955" s="314"/>
      <c r="V1955" s="314"/>
      <c r="W1955" s="314"/>
      <c r="X1955" s="314"/>
      <c r="Y1955" s="314"/>
      <c r="Z1955" s="314"/>
      <c r="AA1955" s="314"/>
      <c r="AB1955" s="314"/>
      <c r="AC1955" s="314"/>
      <c r="AD1955" s="314"/>
      <c r="AE1955" s="314"/>
      <c r="AF1955" s="314"/>
    </row>
    <row r="1956" spans="5:32" x14ac:dyDescent="0.35">
      <c r="E1956" s="314"/>
      <c r="F1956" s="314"/>
      <c r="G1956" s="314"/>
      <c r="H1956" s="314"/>
      <c r="I1956" s="314"/>
      <c r="J1956" s="314"/>
      <c r="K1956" s="314"/>
      <c r="L1956" s="314"/>
      <c r="M1956" s="314"/>
      <c r="N1956" s="314"/>
      <c r="O1956" s="314"/>
      <c r="P1956" s="314"/>
      <c r="Q1956" s="314"/>
      <c r="R1956" s="314"/>
      <c r="S1956" s="314"/>
      <c r="T1956" s="314"/>
      <c r="U1956" s="314"/>
      <c r="V1956" s="314"/>
      <c r="W1956" s="314"/>
      <c r="X1956" s="314"/>
      <c r="Y1956" s="314"/>
      <c r="Z1956" s="314"/>
      <c r="AA1956" s="314"/>
      <c r="AB1956" s="314"/>
      <c r="AC1956" s="314"/>
      <c r="AD1956" s="314"/>
      <c r="AE1956" s="314"/>
      <c r="AF1956" s="314"/>
    </row>
    <row r="1957" spans="5:32" x14ac:dyDescent="0.35">
      <c r="E1957" s="314"/>
      <c r="F1957" s="314"/>
      <c r="G1957" s="314"/>
      <c r="H1957" s="314"/>
      <c r="I1957" s="314"/>
      <c r="J1957" s="314"/>
      <c r="K1957" s="314"/>
      <c r="L1957" s="314"/>
      <c r="M1957" s="314"/>
      <c r="N1957" s="314"/>
      <c r="O1957" s="314"/>
      <c r="P1957" s="314"/>
      <c r="Q1957" s="314"/>
      <c r="R1957" s="314"/>
      <c r="S1957" s="314"/>
      <c r="T1957" s="314"/>
      <c r="U1957" s="314"/>
      <c r="V1957" s="314"/>
      <c r="W1957" s="314"/>
      <c r="X1957" s="314"/>
      <c r="Y1957" s="314"/>
      <c r="Z1957" s="314"/>
      <c r="AA1957" s="314"/>
      <c r="AB1957" s="314"/>
      <c r="AC1957" s="314"/>
      <c r="AD1957" s="314"/>
      <c r="AE1957" s="314"/>
      <c r="AF1957" s="314"/>
    </row>
    <row r="1958" spans="5:32" x14ac:dyDescent="0.35">
      <c r="E1958" s="314"/>
      <c r="F1958" s="314"/>
      <c r="G1958" s="314"/>
      <c r="H1958" s="314"/>
      <c r="I1958" s="314"/>
      <c r="J1958" s="314"/>
      <c r="K1958" s="314"/>
      <c r="L1958" s="314"/>
      <c r="M1958" s="314"/>
      <c r="N1958" s="314"/>
      <c r="O1958" s="314"/>
      <c r="P1958" s="314"/>
      <c r="Q1958" s="314"/>
      <c r="R1958" s="314"/>
      <c r="S1958" s="314"/>
      <c r="T1958" s="314"/>
      <c r="U1958" s="314"/>
      <c r="V1958" s="314"/>
      <c r="W1958" s="314"/>
      <c r="X1958" s="314"/>
      <c r="Y1958" s="314"/>
      <c r="Z1958" s="314"/>
      <c r="AA1958" s="314"/>
      <c r="AB1958" s="314"/>
      <c r="AC1958" s="314"/>
      <c r="AD1958" s="314"/>
      <c r="AE1958" s="314"/>
      <c r="AF1958" s="314"/>
    </row>
    <row r="1959" spans="5:32" x14ac:dyDescent="0.35">
      <c r="E1959" s="314"/>
      <c r="F1959" s="314"/>
      <c r="G1959" s="314"/>
      <c r="H1959" s="314"/>
      <c r="I1959" s="314"/>
      <c r="J1959" s="314"/>
      <c r="K1959" s="314"/>
      <c r="L1959" s="314"/>
      <c r="M1959" s="314"/>
      <c r="N1959" s="314"/>
      <c r="O1959" s="314"/>
      <c r="P1959" s="314"/>
      <c r="Q1959" s="314"/>
      <c r="R1959" s="314"/>
      <c r="S1959" s="314"/>
      <c r="T1959" s="314"/>
      <c r="U1959" s="314"/>
      <c r="V1959" s="314"/>
      <c r="W1959" s="314"/>
      <c r="X1959" s="314"/>
      <c r="Y1959" s="314"/>
      <c r="Z1959" s="314"/>
      <c r="AA1959" s="314"/>
      <c r="AB1959" s="314"/>
      <c r="AC1959" s="314"/>
      <c r="AD1959" s="314"/>
      <c r="AE1959" s="314"/>
      <c r="AF1959" s="314"/>
    </row>
    <row r="1960" spans="5:32" x14ac:dyDescent="0.35">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314"/>
      <c r="AE1960" s="314"/>
      <c r="AF1960" s="314"/>
    </row>
    <row r="1961" spans="5:32" x14ac:dyDescent="0.35">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4"/>
      <c r="AD1961" s="314"/>
      <c r="AE1961" s="314"/>
      <c r="AF1961" s="314"/>
    </row>
    <row r="1962" spans="5:32" x14ac:dyDescent="0.35">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4"/>
      <c r="AD1962" s="314"/>
      <c r="AE1962" s="314"/>
      <c r="AF1962" s="314"/>
    </row>
    <row r="1963" spans="5:32" x14ac:dyDescent="0.35">
      <c r="E1963" s="314"/>
      <c r="F1963" s="314"/>
      <c r="G1963" s="314"/>
      <c r="H1963" s="314"/>
      <c r="I1963" s="314"/>
      <c r="J1963" s="314"/>
      <c r="K1963" s="314"/>
      <c r="L1963" s="314"/>
      <c r="M1963" s="314"/>
      <c r="N1963" s="314"/>
      <c r="O1963" s="314"/>
      <c r="P1963" s="314"/>
      <c r="Q1963" s="314"/>
      <c r="R1963" s="314"/>
      <c r="S1963" s="314"/>
      <c r="T1963" s="314"/>
      <c r="U1963" s="314"/>
      <c r="V1963" s="314"/>
      <c r="W1963" s="314"/>
      <c r="X1963" s="314"/>
      <c r="Y1963" s="314"/>
      <c r="Z1963" s="314"/>
      <c r="AA1963" s="314"/>
      <c r="AB1963" s="314"/>
      <c r="AC1963" s="314"/>
      <c r="AD1963" s="314"/>
      <c r="AE1963" s="314"/>
      <c r="AF1963" s="314"/>
    </row>
    <row r="1964" spans="5:32" x14ac:dyDescent="0.35">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4"/>
      <c r="AD1964" s="314"/>
      <c r="AE1964" s="314"/>
      <c r="AF1964" s="314"/>
    </row>
    <row r="1965" spans="5:32" x14ac:dyDescent="0.35">
      <c r="E1965" s="314"/>
      <c r="F1965" s="314"/>
      <c r="G1965" s="314"/>
      <c r="H1965" s="314"/>
      <c r="I1965" s="314"/>
      <c r="J1965" s="314"/>
      <c r="K1965" s="314"/>
      <c r="L1965" s="314"/>
      <c r="M1965" s="314"/>
      <c r="N1965" s="314"/>
      <c r="O1965" s="314"/>
      <c r="P1965" s="314"/>
      <c r="Q1965" s="314"/>
      <c r="R1965" s="314"/>
      <c r="S1965" s="314"/>
      <c r="T1965" s="314"/>
      <c r="U1965" s="314"/>
      <c r="V1965" s="314"/>
      <c r="W1965" s="314"/>
      <c r="X1965" s="314"/>
      <c r="Y1965" s="314"/>
      <c r="Z1965" s="314"/>
      <c r="AA1965" s="314"/>
      <c r="AB1965" s="314"/>
      <c r="AC1965" s="314"/>
      <c r="AD1965" s="314"/>
      <c r="AE1965" s="314"/>
      <c r="AF1965" s="314"/>
    </row>
    <row r="1966" spans="5:32" x14ac:dyDescent="0.35">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4"/>
      <c r="AD1966" s="314"/>
      <c r="AE1966" s="314"/>
      <c r="AF1966" s="314"/>
    </row>
    <row r="1967" spans="5:32" x14ac:dyDescent="0.35">
      <c r="E1967" s="314"/>
      <c r="F1967" s="314"/>
      <c r="G1967" s="314"/>
      <c r="H1967" s="314"/>
      <c r="I1967" s="314"/>
      <c r="J1967" s="314"/>
      <c r="K1967" s="314"/>
      <c r="L1967" s="314"/>
      <c r="M1967" s="314"/>
      <c r="N1967" s="314"/>
      <c r="O1967" s="314"/>
      <c r="P1967" s="314"/>
      <c r="Q1967" s="314"/>
      <c r="R1967" s="314"/>
      <c r="S1967" s="314"/>
      <c r="T1967" s="314"/>
      <c r="U1967" s="314"/>
      <c r="V1967" s="314"/>
      <c r="W1967" s="314"/>
      <c r="X1967" s="314"/>
      <c r="Y1967" s="314"/>
      <c r="Z1967" s="314"/>
      <c r="AA1967" s="314"/>
      <c r="AB1967" s="314"/>
      <c r="AC1967" s="314"/>
      <c r="AD1967" s="314"/>
      <c r="AE1967" s="314"/>
      <c r="AF1967" s="314"/>
    </row>
    <row r="1968" spans="5:32" x14ac:dyDescent="0.35">
      <c r="E1968" s="314"/>
      <c r="F1968" s="314"/>
      <c r="G1968" s="314"/>
      <c r="H1968" s="314"/>
      <c r="I1968" s="314"/>
      <c r="J1968" s="314"/>
      <c r="K1968" s="314"/>
      <c r="L1968" s="314"/>
      <c r="M1968" s="314"/>
      <c r="N1968" s="314"/>
      <c r="O1968" s="314"/>
      <c r="P1968" s="314"/>
      <c r="Q1968" s="314"/>
      <c r="R1968" s="314"/>
      <c r="S1968" s="314"/>
      <c r="T1968" s="314"/>
      <c r="U1968" s="314"/>
      <c r="V1968" s="314"/>
      <c r="W1968" s="314"/>
      <c r="X1968" s="314"/>
      <c r="Y1968" s="314"/>
      <c r="Z1968" s="314"/>
      <c r="AA1968" s="314"/>
      <c r="AB1968" s="314"/>
      <c r="AC1968" s="314"/>
      <c r="AD1968" s="314"/>
      <c r="AE1968" s="314"/>
      <c r="AF1968" s="314"/>
    </row>
    <row r="1969" spans="5:32" x14ac:dyDescent="0.35">
      <c r="E1969" s="314"/>
      <c r="F1969" s="314"/>
      <c r="G1969" s="314"/>
      <c r="H1969" s="314"/>
      <c r="I1969" s="314"/>
      <c r="J1969" s="314"/>
      <c r="K1969" s="314"/>
      <c r="L1969" s="314"/>
      <c r="M1969" s="314"/>
      <c r="N1969" s="314"/>
      <c r="O1969" s="314"/>
      <c r="P1969" s="314"/>
      <c r="Q1969" s="314"/>
      <c r="R1969" s="314"/>
      <c r="S1969" s="314"/>
      <c r="T1969" s="314"/>
      <c r="U1969" s="314"/>
      <c r="V1969" s="314"/>
      <c r="W1969" s="314"/>
      <c r="X1969" s="314"/>
      <c r="Y1969" s="314"/>
      <c r="Z1969" s="314"/>
      <c r="AA1969" s="314"/>
      <c r="AB1969" s="314"/>
      <c r="AC1969" s="314"/>
      <c r="AD1969" s="314"/>
      <c r="AE1969" s="314"/>
      <c r="AF1969" s="314"/>
    </row>
    <row r="1970" spans="5:32" x14ac:dyDescent="0.35">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4"/>
      <c r="AD1970" s="314"/>
      <c r="AE1970" s="314"/>
      <c r="AF1970" s="314"/>
    </row>
    <row r="1971" spans="5:32" x14ac:dyDescent="0.35">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4"/>
      <c r="AD1971" s="314"/>
      <c r="AE1971" s="314"/>
      <c r="AF1971" s="314"/>
    </row>
    <row r="1972" spans="5:32" x14ac:dyDescent="0.35">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4"/>
      <c r="AD1972" s="314"/>
      <c r="AE1972" s="314"/>
      <c r="AF1972" s="314"/>
    </row>
    <row r="1973" spans="5:32" x14ac:dyDescent="0.35">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314"/>
      <c r="AF1973" s="314"/>
    </row>
    <row r="1974" spans="5:32" x14ac:dyDescent="0.35">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314"/>
      <c r="AF1974" s="314"/>
    </row>
    <row r="1975" spans="5:32" x14ac:dyDescent="0.35">
      <c r="E1975" s="314"/>
      <c r="F1975" s="314"/>
      <c r="G1975" s="314"/>
      <c r="H1975" s="314"/>
      <c r="I1975" s="314"/>
      <c r="J1975" s="314"/>
      <c r="K1975" s="314"/>
      <c r="L1975" s="314"/>
      <c r="M1975" s="314"/>
      <c r="N1975" s="314"/>
      <c r="O1975" s="314"/>
      <c r="P1975" s="314"/>
      <c r="Q1975" s="314"/>
      <c r="R1975" s="314"/>
      <c r="S1975" s="314"/>
      <c r="T1975" s="314"/>
      <c r="U1975" s="314"/>
      <c r="V1975" s="314"/>
      <c r="W1975" s="314"/>
      <c r="X1975" s="314"/>
      <c r="Y1975" s="314"/>
      <c r="Z1975" s="314"/>
      <c r="AA1975" s="314"/>
      <c r="AB1975" s="314"/>
      <c r="AC1975" s="314"/>
      <c r="AD1975" s="314"/>
      <c r="AE1975" s="314"/>
      <c r="AF1975" s="314"/>
    </row>
    <row r="1976" spans="5:32" x14ac:dyDescent="0.35">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314"/>
      <c r="AE1976" s="314"/>
      <c r="AF1976" s="314"/>
    </row>
    <row r="1977" spans="5:32" x14ac:dyDescent="0.35">
      <c r="E1977" s="314"/>
      <c r="F1977" s="314"/>
      <c r="G1977" s="314"/>
      <c r="H1977" s="314"/>
      <c r="I1977" s="314"/>
      <c r="J1977" s="314"/>
      <c r="K1977" s="314"/>
      <c r="L1977" s="314"/>
      <c r="M1977" s="314"/>
      <c r="N1977" s="314"/>
      <c r="O1977" s="314"/>
      <c r="P1977" s="314"/>
      <c r="Q1977" s="314"/>
      <c r="R1977" s="314"/>
      <c r="S1977" s="314"/>
      <c r="T1977" s="314"/>
      <c r="U1977" s="314"/>
      <c r="V1977" s="314"/>
      <c r="W1977" s="314"/>
      <c r="X1977" s="314"/>
      <c r="Y1977" s="314"/>
      <c r="Z1977" s="314"/>
      <c r="AA1977" s="314"/>
      <c r="AB1977" s="314"/>
      <c r="AC1977" s="314"/>
      <c r="AD1977" s="314"/>
      <c r="AE1977" s="314"/>
      <c r="AF1977" s="314"/>
    </row>
    <row r="1978" spans="5:32" x14ac:dyDescent="0.35">
      <c r="E1978" s="314"/>
      <c r="F1978" s="314"/>
      <c r="G1978" s="314"/>
      <c r="H1978" s="314"/>
      <c r="I1978" s="314"/>
      <c r="J1978" s="314"/>
      <c r="K1978" s="314"/>
      <c r="L1978" s="314"/>
      <c r="M1978" s="314"/>
      <c r="N1978" s="314"/>
      <c r="O1978" s="314"/>
      <c r="P1978" s="314"/>
      <c r="Q1978" s="314"/>
      <c r="R1978" s="314"/>
      <c r="S1978" s="314"/>
      <c r="T1978" s="314"/>
      <c r="U1978" s="314"/>
      <c r="V1978" s="314"/>
      <c r="W1978" s="314"/>
      <c r="X1978" s="314"/>
      <c r="Y1978" s="314"/>
      <c r="Z1978" s="314"/>
      <c r="AA1978" s="314"/>
      <c r="AB1978" s="314"/>
      <c r="AC1978" s="314"/>
      <c r="AD1978" s="314"/>
      <c r="AE1978" s="314"/>
      <c r="AF1978" s="314"/>
    </row>
    <row r="1979" spans="5:32" x14ac:dyDescent="0.35">
      <c r="E1979" s="314"/>
      <c r="F1979" s="314"/>
      <c r="G1979" s="314"/>
      <c r="H1979" s="314"/>
      <c r="I1979" s="314"/>
      <c r="J1979" s="314"/>
      <c r="K1979" s="314"/>
      <c r="L1979" s="314"/>
      <c r="M1979" s="314"/>
      <c r="N1979" s="314"/>
      <c r="O1979" s="314"/>
      <c r="P1979" s="314"/>
      <c r="Q1979" s="314"/>
      <c r="R1979" s="314"/>
      <c r="S1979" s="314"/>
      <c r="T1979" s="314"/>
      <c r="U1979" s="314"/>
      <c r="V1979" s="314"/>
      <c r="W1979" s="314"/>
      <c r="X1979" s="314"/>
      <c r="Y1979" s="314"/>
      <c r="Z1979" s="314"/>
      <c r="AA1979" s="314"/>
      <c r="AB1979" s="314"/>
      <c r="AC1979" s="314"/>
      <c r="AD1979" s="314"/>
      <c r="AE1979" s="314"/>
      <c r="AF1979" s="314"/>
    </row>
    <row r="1980" spans="5:32" x14ac:dyDescent="0.35">
      <c r="E1980" s="314"/>
      <c r="F1980" s="314"/>
      <c r="G1980" s="314"/>
      <c r="H1980" s="314"/>
      <c r="I1980" s="314"/>
      <c r="J1980" s="314"/>
      <c r="K1980" s="314"/>
      <c r="L1980" s="314"/>
      <c r="M1980" s="314"/>
      <c r="N1980" s="314"/>
      <c r="O1980" s="314"/>
      <c r="P1980" s="314"/>
      <c r="Q1980" s="314"/>
      <c r="R1980" s="314"/>
      <c r="S1980" s="314"/>
      <c r="T1980" s="314"/>
      <c r="U1980" s="314"/>
      <c r="V1980" s="314"/>
      <c r="W1980" s="314"/>
      <c r="X1980" s="314"/>
      <c r="Y1980" s="314"/>
      <c r="Z1980" s="314"/>
      <c r="AA1980" s="314"/>
      <c r="AB1980" s="314"/>
      <c r="AC1980" s="314"/>
      <c r="AD1980" s="314"/>
      <c r="AE1980" s="314"/>
      <c r="AF1980" s="314"/>
    </row>
    <row r="1981" spans="5:32" x14ac:dyDescent="0.35">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4"/>
      <c r="AD1981" s="314"/>
      <c r="AE1981" s="314"/>
      <c r="AF1981" s="314"/>
    </row>
    <row r="1982" spans="5:32" x14ac:dyDescent="0.35">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314"/>
      <c r="AE1982" s="314"/>
      <c r="AF1982" s="314"/>
    </row>
    <row r="1983" spans="5:32" x14ac:dyDescent="0.35">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314"/>
      <c r="AF1983" s="314"/>
    </row>
    <row r="1984" spans="5:32" x14ac:dyDescent="0.35">
      <c r="E1984" s="314"/>
      <c r="F1984" s="314"/>
      <c r="G1984" s="314"/>
      <c r="H1984" s="314"/>
      <c r="I1984" s="314"/>
      <c r="J1984" s="314"/>
      <c r="K1984" s="314"/>
      <c r="L1984" s="314"/>
      <c r="M1984" s="314"/>
      <c r="N1984" s="314"/>
      <c r="O1984" s="314"/>
      <c r="P1984" s="314"/>
      <c r="Q1984" s="314"/>
      <c r="R1984" s="314"/>
      <c r="S1984" s="314"/>
      <c r="T1984" s="314"/>
      <c r="U1984" s="314"/>
      <c r="V1984" s="314"/>
      <c r="W1984" s="314"/>
      <c r="X1984" s="314"/>
      <c r="Y1984" s="314"/>
      <c r="Z1984" s="314"/>
      <c r="AA1984" s="314"/>
      <c r="AB1984" s="314"/>
      <c r="AC1984" s="314"/>
      <c r="AD1984" s="314"/>
      <c r="AE1984" s="314"/>
      <c r="AF1984" s="314"/>
    </row>
    <row r="1985" spans="5:32" x14ac:dyDescent="0.35">
      <c r="E1985" s="314"/>
      <c r="F1985" s="314"/>
      <c r="G1985" s="314"/>
      <c r="H1985" s="314"/>
      <c r="I1985" s="314"/>
      <c r="J1985" s="314"/>
      <c r="K1985" s="314"/>
      <c r="L1985" s="314"/>
      <c r="M1985" s="314"/>
      <c r="N1985" s="314"/>
      <c r="O1985" s="314"/>
      <c r="P1985" s="314"/>
      <c r="Q1985" s="314"/>
      <c r="R1985" s="314"/>
      <c r="S1985" s="314"/>
      <c r="T1985" s="314"/>
      <c r="U1985" s="314"/>
      <c r="V1985" s="314"/>
      <c r="W1985" s="314"/>
      <c r="X1985" s="314"/>
      <c r="Y1985" s="314"/>
      <c r="Z1985" s="314"/>
      <c r="AA1985" s="314"/>
      <c r="AB1985" s="314"/>
      <c r="AC1985" s="314"/>
      <c r="AD1985" s="314"/>
      <c r="AE1985" s="314"/>
      <c r="AF1985" s="314"/>
    </row>
    <row r="1986" spans="5:32" x14ac:dyDescent="0.35">
      <c r="E1986" s="314"/>
      <c r="F1986" s="314"/>
      <c r="G1986" s="314"/>
      <c r="H1986" s="314"/>
      <c r="I1986" s="314"/>
      <c r="J1986" s="314"/>
      <c r="K1986" s="314"/>
      <c r="L1986" s="314"/>
      <c r="M1986" s="314"/>
      <c r="N1986" s="314"/>
      <c r="O1986" s="314"/>
      <c r="P1986" s="314"/>
      <c r="Q1986" s="314"/>
      <c r="R1986" s="314"/>
      <c r="S1986" s="314"/>
      <c r="T1986" s="314"/>
      <c r="U1986" s="314"/>
      <c r="V1986" s="314"/>
      <c r="W1986" s="314"/>
      <c r="X1986" s="314"/>
      <c r="Y1986" s="314"/>
      <c r="Z1986" s="314"/>
      <c r="AA1986" s="314"/>
      <c r="AB1986" s="314"/>
      <c r="AC1986" s="314"/>
      <c r="AD1986" s="314"/>
      <c r="AE1986" s="314"/>
      <c r="AF1986" s="314"/>
    </row>
    <row r="1987" spans="5:32" x14ac:dyDescent="0.35">
      <c r="E1987" s="314"/>
      <c r="F1987" s="314"/>
      <c r="G1987" s="314"/>
      <c r="H1987" s="314"/>
      <c r="I1987" s="314"/>
      <c r="J1987" s="314"/>
      <c r="K1987" s="314"/>
      <c r="L1987" s="314"/>
      <c r="M1987" s="314"/>
      <c r="N1987" s="314"/>
      <c r="O1987" s="314"/>
      <c r="P1987" s="314"/>
      <c r="Q1987" s="314"/>
      <c r="R1987" s="314"/>
      <c r="S1987" s="314"/>
      <c r="T1987" s="314"/>
      <c r="U1987" s="314"/>
      <c r="V1987" s="314"/>
      <c r="W1987" s="314"/>
      <c r="X1987" s="314"/>
      <c r="Y1987" s="314"/>
      <c r="Z1987" s="314"/>
      <c r="AA1987" s="314"/>
      <c r="AB1987" s="314"/>
      <c r="AC1987" s="314"/>
      <c r="AD1987" s="314"/>
      <c r="AE1987" s="314"/>
      <c r="AF1987" s="314"/>
    </row>
    <row r="1988" spans="5:32" x14ac:dyDescent="0.35">
      <c r="E1988" s="314"/>
      <c r="F1988" s="314"/>
      <c r="G1988" s="314"/>
      <c r="H1988" s="314"/>
      <c r="I1988" s="314"/>
      <c r="J1988" s="314"/>
      <c r="K1988" s="314"/>
      <c r="L1988" s="314"/>
      <c r="M1988" s="314"/>
      <c r="N1988" s="314"/>
      <c r="O1988" s="314"/>
      <c r="P1988" s="314"/>
      <c r="Q1988" s="314"/>
      <c r="R1988" s="314"/>
      <c r="S1988" s="314"/>
      <c r="T1988" s="314"/>
      <c r="U1988" s="314"/>
      <c r="V1988" s="314"/>
      <c r="W1988" s="314"/>
      <c r="X1988" s="314"/>
      <c r="Y1988" s="314"/>
      <c r="Z1988" s="314"/>
      <c r="AA1988" s="314"/>
      <c r="AB1988" s="314"/>
      <c r="AC1988" s="314"/>
      <c r="AD1988" s="314"/>
      <c r="AE1988" s="314"/>
      <c r="AF1988" s="314"/>
    </row>
    <row r="1989" spans="5:32" x14ac:dyDescent="0.35">
      <c r="E1989" s="314"/>
      <c r="F1989" s="314"/>
      <c r="G1989" s="314"/>
      <c r="H1989" s="314"/>
      <c r="I1989" s="314"/>
      <c r="J1989" s="314"/>
      <c r="K1989" s="314"/>
      <c r="L1989" s="314"/>
      <c r="M1989" s="314"/>
      <c r="N1989" s="314"/>
      <c r="O1989" s="314"/>
      <c r="P1989" s="314"/>
      <c r="Q1989" s="314"/>
      <c r="R1989" s="314"/>
      <c r="S1989" s="314"/>
      <c r="T1989" s="314"/>
      <c r="U1989" s="314"/>
      <c r="V1989" s="314"/>
      <c r="W1989" s="314"/>
      <c r="X1989" s="314"/>
      <c r="Y1989" s="314"/>
      <c r="Z1989" s="314"/>
      <c r="AA1989" s="314"/>
      <c r="AB1989" s="314"/>
      <c r="AC1989" s="314"/>
      <c r="AD1989" s="314"/>
      <c r="AE1989" s="314"/>
      <c r="AF1989" s="314"/>
    </row>
    <row r="1990" spans="5:32" x14ac:dyDescent="0.35">
      <c r="E1990" s="314"/>
      <c r="F1990" s="314"/>
      <c r="G1990" s="314"/>
      <c r="H1990" s="314"/>
      <c r="I1990" s="314"/>
      <c r="J1990" s="314"/>
      <c r="K1990" s="314"/>
      <c r="L1990" s="314"/>
      <c r="M1990" s="314"/>
      <c r="N1990" s="314"/>
      <c r="O1990" s="314"/>
      <c r="P1990" s="314"/>
      <c r="Q1990" s="314"/>
      <c r="R1990" s="314"/>
      <c r="S1990" s="314"/>
      <c r="T1990" s="314"/>
      <c r="U1990" s="314"/>
      <c r="V1990" s="314"/>
      <c r="W1990" s="314"/>
      <c r="X1990" s="314"/>
      <c r="Y1990" s="314"/>
      <c r="Z1990" s="314"/>
      <c r="AA1990" s="314"/>
      <c r="AB1990" s="314"/>
      <c r="AC1990" s="314"/>
      <c r="AD1990" s="314"/>
      <c r="AE1990" s="314"/>
      <c r="AF1990" s="314"/>
    </row>
    <row r="1991" spans="5:32" x14ac:dyDescent="0.35">
      <c r="E1991" s="314"/>
      <c r="F1991" s="314"/>
      <c r="G1991" s="314"/>
      <c r="H1991" s="314"/>
      <c r="I1991" s="314"/>
      <c r="J1991" s="314"/>
      <c r="K1991" s="314"/>
      <c r="L1991" s="314"/>
      <c r="M1991" s="314"/>
      <c r="N1991" s="314"/>
      <c r="O1991" s="314"/>
      <c r="P1991" s="314"/>
      <c r="Q1991" s="314"/>
      <c r="R1991" s="314"/>
      <c r="S1991" s="314"/>
      <c r="T1991" s="314"/>
      <c r="U1991" s="314"/>
      <c r="V1991" s="314"/>
      <c r="W1991" s="314"/>
      <c r="X1991" s="314"/>
      <c r="Y1991" s="314"/>
      <c r="Z1991" s="314"/>
      <c r="AA1991" s="314"/>
      <c r="AB1991" s="314"/>
      <c r="AC1991" s="314"/>
      <c r="AD1991" s="314"/>
      <c r="AE1991" s="314"/>
      <c r="AF1991" s="314"/>
    </row>
    <row r="1992" spans="5:32" x14ac:dyDescent="0.35">
      <c r="E1992" s="314"/>
      <c r="F1992" s="314"/>
      <c r="G1992" s="314"/>
      <c r="H1992" s="314"/>
      <c r="I1992" s="314"/>
      <c r="J1992" s="314"/>
      <c r="K1992" s="314"/>
      <c r="L1992" s="314"/>
      <c r="M1992" s="314"/>
      <c r="N1992" s="314"/>
      <c r="O1992" s="314"/>
      <c r="P1992" s="314"/>
      <c r="Q1992" s="314"/>
      <c r="R1992" s="314"/>
      <c r="S1992" s="314"/>
      <c r="T1992" s="314"/>
      <c r="U1992" s="314"/>
      <c r="V1992" s="314"/>
      <c r="W1992" s="314"/>
      <c r="X1992" s="314"/>
      <c r="Y1992" s="314"/>
      <c r="Z1992" s="314"/>
      <c r="AA1992" s="314"/>
      <c r="AB1992" s="314"/>
      <c r="AC1992" s="314"/>
      <c r="AD1992" s="314"/>
      <c r="AE1992" s="314"/>
      <c r="AF1992" s="314"/>
    </row>
    <row r="1993" spans="5:32" x14ac:dyDescent="0.35">
      <c r="E1993" s="314"/>
      <c r="F1993" s="314"/>
      <c r="G1993" s="314"/>
      <c r="H1993" s="314"/>
      <c r="I1993" s="314"/>
      <c r="J1993" s="314"/>
      <c r="K1993" s="314"/>
      <c r="L1993" s="314"/>
      <c r="M1993" s="314"/>
      <c r="N1993" s="314"/>
      <c r="O1993" s="314"/>
      <c r="P1993" s="314"/>
      <c r="Q1993" s="314"/>
      <c r="R1993" s="314"/>
      <c r="S1993" s="314"/>
      <c r="T1993" s="314"/>
      <c r="U1993" s="314"/>
      <c r="V1993" s="314"/>
      <c r="W1993" s="314"/>
      <c r="X1993" s="314"/>
      <c r="Y1993" s="314"/>
      <c r="Z1993" s="314"/>
      <c r="AA1993" s="314"/>
      <c r="AB1993" s="314"/>
      <c r="AC1993" s="314"/>
      <c r="AD1993" s="314"/>
      <c r="AE1993" s="314"/>
      <c r="AF1993" s="314"/>
    </row>
    <row r="1994" spans="5:32" x14ac:dyDescent="0.35">
      <c r="E1994" s="314"/>
      <c r="F1994" s="314"/>
      <c r="G1994" s="314"/>
      <c r="H1994" s="314"/>
      <c r="I1994" s="314"/>
      <c r="J1994" s="314"/>
      <c r="K1994" s="314"/>
      <c r="L1994" s="314"/>
      <c r="M1994" s="314"/>
      <c r="N1994" s="314"/>
      <c r="O1994" s="314"/>
      <c r="P1994" s="314"/>
      <c r="Q1994" s="314"/>
      <c r="R1994" s="314"/>
      <c r="S1994" s="314"/>
      <c r="T1994" s="314"/>
      <c r="U1994" s="314"/>
      <c r="V1994" s="314"/>
      <c r="W1994" s="314"/>
      <c r="X1994" s="314"/>
      <c r="Y1994" s="314"/>
      <c r="Z1994" s="314"/>
      <c r="AA1994" s="314"/>
      <c r="AB1994" s="314"/>
      <c r="AC1994" s="314"/>
      <c r="AD1994" s="314"/>
      <c r="AE1994" s="314"/>
      <c r="AF1994" s="314"/>
    </row>
    <row r="1995" spans="5:32" x14ac:dyDescent="0.35">
      <c r="E1995" s="314"/>
      <c r="F1995" s="314"/>
      <c r="G1995" s="314"/>
      <c r="H1995" s="314"/>
      <c r="I1995" s="314"/>
      <c r="J1995" s="314"/>
      <c r="K1995" s="314"/>
      <c r="L1995" s="314"/>
      <c r="M1995" s="314"/>
      <c r="N1995" s="314"/>
      <c r="O1995" s="314"/>
      <c r="P1995" s="314"/>
      <c r="Q1995" s="314"/>
      <c r="R1995" s="314"/>
      <c r="S1995" s="314"/>
      <c r="T1995" s="314"/>
      <c r="U1995" s="314"/>
      <c r="V1995" s="314"/>
      <c r="W1995" s="314"/>
      <c r="X1995" s="314"/>
      <c r="Y1995" s="314"/>
      <c r="Z1995" s="314"/>
      <c r="AA1995" s="314"/>
      <c r="AB1995" s="314"/>
      <c r="AC1995" s="314"/>
      <c r="AD1995" s="314"/>
      <c r="AE1995" s="314"/>
      <c r="AF1995" s="314"/>
    </row>
    <row r="1996" spans="5:32" x14ac:dyDescent="0.35">
      <c r="E1996" s="314"/>
      <c r="F1996" s="314"/>
      <c r="G1996" s="314"/>
      <c r="H1996" s="314"/>
      <c r="I1996" s="314"/>
      <c r="J1996" s="314"/>
      <c r="K1996" s="314"/>
      <c r="L1996" s="314"/>
      <c r="M1996" s="314"/>
      <c r="N1996" s="314"/>
      <c r="O1996" s="314"/>
      <c r="P1996" s="314"/>
      <c r="Q1996" s="314"/>
      <c r="R1996" s="314"/>
      <c r="S1996" s="314"/>
      <c r="T1996" s="314"/>
      <c r="U1996" s="314"/>
      <c r="V1996" s="314"/>
      <c r="W1996" s="314"/>
      <c r="X1996" s="314"/>
      <c r="Y1996" s="314"/>
      <c r="Z1996" s="314"/>
      <c r="AA1996" s="314"/>
      <c r="AB1996" s="314"/>
      <c r="AC1996" s="314"/>
      <c r="AD1996" s="314"/>
      <c r="AE1996" s="314"/>
      <c r="AF1996" s="314"/>
    </row>
    <row r="1997" spans="5:32" x14ac:dyDescent="0.35">
      <c r="E1997" s="314"/>
      <c r="F1997" s="314"/>
      <c r="G1997" s="314"/>
      <c r="H1997" s="314"/>
      <c r="I1997" s="314"/>
      <c r="J1997" s="314"/>
      <c r="K1997" s="314"/>
      <c r="L1997" s="314"/>
      <c r="M1997" s="314"/>
      <c r="N1997" s="314"/>
      <c r="O1997" s="314"/>
      <c r="P1997" s="314"/>
      <c r="Q1997" s="314"/>
      <c r="R1997" s="314"/>
      <c r="S1997" s="314"/>
      <c r="T1997" s="314"/>
      <c r="U1997" s="314"/>
      <c r="V1997" s="314"/>
      <c r="W1997" s="314"/>
      <c r="X1997" s="314"/>
      <c r="Y1997" s="314"/>
      <c r="Z1997" s="314"/>
      <c r="AA1997" s="314"/>
      <c r="AB1997" s="314"/>
      <c r="AC1997" s="314"/>
      <c r="AD1997" s="314"/>
      <c r="AE1997" s="314"/>
      <c r="AF1997" s="314"/>
    </row>
    <row r="1998" spans="5:32" x14ac:dyDescent="0.35">
      <c r="E1998" s="314"/>
      <c r="F1998" s="314"/>
      <c r="G1998" s="314"/>
      <c r="H1998" s="314"/>
      <c r="I1998" s="314"/>
      <c r="J1998" s="314"/>
      <c r="K1998" s="314"/>
      <c r="L1998" s="314"/>
      <c r="M1998" s="314"/>
      <c r="N1998" s="314"/>
      <c r="O1998" s="314"/>
      <c r="P1998" s="314"/>
      <c r="Q1998" s="314"/>
      <c r="R1998" s="314"/>
      <c r="S1998" s="314"/>
      <c r="T1998" s="314"/>
      <c r="U1998" s="314"/>
      <c r="V1998" s="314"/>
      <c r="W1998" s="314"/>
      <c r="X1998" s="314"/>
      <c r="Y1998" s="314"/>
      <c r="Z1998" s="314"/>
      <c r="AA1998" s="314"/>
      <c r="AB1998" s="314"/>
      <c r="AC1998" s="314"/>
      <c r="AD1998" s="314"/>
      <c r="AE1998" s="314"/>
      <c r="AF1998" s="314"/>
    </row>
    <row r="1999" spans="5:32" x14ac:dyDescent="0.35">
      <c r="E1999" s="314"/>
      <c r="F1999" s="314"/>
      <c r="G1999" s="314"/>
      <c r="H1999" s="314"/>
      <c r="I1999" s="314"/>
      <c r="J1999" s="314"/>
      <c r="K1999" s="314"/>
      <c r="L1999" s="314"/>
      <c r="M1999" s="314"/>
      <c r="N1999" s="314"/>
      <c r="O1999" s="314"/>
      <c r="P1999" s="314"/>
      <c r="Q1999" s="314"/>
      <c r="R1999" s="314"/>
      <c r="S1999" s="314"/>
      <c r="T1999" s="314"/>
      <c r="U1999" s="314"/>
      <c r="V1999" s="314"/>
      <c r="W1999" s="314"/>
      <c r="X1999" s="314"/>
      <c r="Y1999" s="314"/>
      <c r="Z1999" s="314"/>
      <c r="AA1999" s="314"/>
      <c r="AB1999" s="314"/>
      <c r="AC1999" s="314"/>
      <c r="AD1999" s="314"/>
      <c r="AE1999" s="314"/>
      <c r="AF1999" s="314"/>
    </row>
    <row r="2000" spans="5:32" x14ac:dyDescent="0.35">
      <c r="E2000" s="314"/>
      <c r="F2000" s="314"/>
      <c r="G2000" s="314"/>
      <c r="H2000" s="314"/>
      <c r="I2000" s="314"/>
      <c r="J2000" s="314"/>
      <c r="K2000" s="314"/>
      <c r="L2000" s="314"/>
      <c r="M2000" s="314"/>
      <c r="N2000" s="314"/>
      <c r="O2000" s="314"/>
      <c r="P2000" s="314"/>
      <c r="Q2000" s="314"/>
      <c r="R2000" s="314"/>
      <c r="S2000" s="314"/>
      <c r="T2000" s="314"/>
      <c r="U2000" s="314"/>
      <c r="V2000" s="314"/>
      <c r="W2000" s="314"/>
      <c r="X2000" s="314"/>
      <c r="Y2000" s="314"/>
      <c r="Z2000" s="314"/>
      <c r="AA2000" s="314"/>
      <c r="AB2000" s="314"/>
      <c r="AC2000" s="314"/>
      <c r="AD2000" s="314"/>
      <c r="AE2000" s="314"/>
      <c r="AF2000" s="314"/>
    </row>
    <row r="2001" spans="5:32" x14ac:dyDescent="0.35">
      <c r="E2001" s="314"/>
      <c r="F2001" s="314"/>
      <c r="G2001" s="314"/>
      <c r="H2001" s="314"/>
      <c r="I2001" s="314"/>
      <c r="J2001" s="314"/>
      <c r="K2001" s="314"/>
      <c r="L2001" s="314"/>
      <c r="M2001" s="314"/>
      <c r="N2001" s="314"/>
      <c r="O2001" s="314"/>
      <c r="P2001" s="314"/>
      <c r="Q2001" s="314"/>
      <c r="R2001" s="314"/>
      <c r="S2001" s="314"/>
      <c r="T2001" s="314"/>
      <c r="U2001" s="314"/>
      <c r="V2001" s="314"/>
      <c r="W2001" s="314"/>
      <c r="X2001" s="314"/>
      <c r="Y2001" s="314"/>
      <c r="Z2001" s="314"/>
      <c r="AA2001" s="314"/>
      <c r="AB2001" s="314"/>
      <c r="AC2001" s="314"/>
      <c r="AD2001" s="314"/>
      <c r="AE2001" s="314"/>
      <c r="AF2001" s="314"/>
    </row>
    <row r="2002" spans="5:32" x14ac:dyDescent="0.35">
      <c r="E2002" s="314"/>
      <c r="F2002" s="314"/>
      <c r="G2002" s="314"/>
      <c r="H2002" s="314"/>
      <c r="I2002" s="314"/>
      <c r="J2002" s="314"/>
      <c r="K2002" s="314"/>
      <c r="L2002" s="314"/>
      <c r="M2002" s="314"/>
      <c r="N2002" s="314"/>
      <c r="O2002" s="314"/>
      <c r="P2002" s="314"/>
      <c r="Q2002" s="314"/>
      <c r="R2002" s="314"/>
      <c r="S2002" s="314"/>
      <c r="T2002" s="314"/>
      <c r="U2002" s="314"/>
      <c r="V2002" s="314"/>
      <c r="W2002" s="314"/>
      <c r="X2002" s="314"/>
      <c r="Y2002" s="314"/>
      <c r="Z2002" s="314"/>
      <c r="AA2002" s="314"/>
      <c r="AB2002" s="314"/>
      <c r="AC2002" s="314"/>
      <c r="AD2002" s="314"/>
      <c r="AE2002" s="314"/>
      <c r="AF2002" s="314"/>
    </row>
    <row r="2003" spans="5:32" x14ac:dyDescent="0.35">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c r="Y2003" s="314"/>
      <c r="Z2003" s="314"/>
      <c r="AA2003" s="314"/>
      <c r="AB2003" s="314"/>
      <c r="AC2003" s="314"/>
      <c r="AD2003" s="314"/>
      <c r="AE2003" s="314"/>
      <c r="AF2003" s="314"/>
    </row>
    <row r="2004" spans="5:32" x14ac:dyDescent="0.35">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314"/>
      <c r="AE2004" s="314"/>
      <c r="AF2004" s="314"/>
    </row>
    <row r="2005" spans="5:32" x14ac:dyDescent="0.35">
      <c r="E2005" s="314"/>
      <c r="F2005" s="314"/>
      <c r="G2005" s="314"/>
      <c r="H2005" s="314"/>
      <c r="I2005" s="314"/>
      <c r="J2005" s="314"/>
      <c r="K2005" s="314"/>
      <c r="L2005" s="314"/>
      <c r="M2005" s="314"/>
      <c r="N2005" s="314"/>
      <c r="O2005" s="314"/>
      <c r="P2005" s="314"/>
      <c r="Q2005" s="314"/>
      <c r="R2005" s="314"/>
      <c r="S2005" s="314"/>
      <c r="T2005" s="314"/>
      <c r="U2005" s="314"/>
      <c r="V2005" s="314"/>
      <c r="W2005" s="314"/>
      <c r="X2005" s="314"/>
      <c r="Y2005" s="314"/>
      <c r="Z2005" s="314"/>
      <c r="AA2005" s="314"/>
      <c r="AB2005" s="314"/>
      <c r="AC2005" s="314"/>
      <c r="AD2005" s="314"/>
      <c r="AE2005" s="314"/>
      <c r="AF2005" s="314"/>
    </row>
    <row r="2006" spans="5:32" x14ac:dyDescent="0.35">
      <c r="E2006" s="314"/>
      <c r="F2006" s="314"/>
      <c r="G2006" s="314"/>
      <c r="H2006" s="314"/>
      <c r="I2006" s="314"/>
      <c r="J2006" s="314"/>
      <c r="K2006" s="314"/>
      <c r="L2006" s="314"/>
      <c r="M2006" s="314"/>
      <c r="N2006" s="314"/>
      <c r="O2006" s="314"/>
      <c r="P2006" s="314"/>
      <c r="Q2006" s="314"/>
      <c r="R2006" s="314"/>
      <c r="S2006" s="314"/>
      <c r="T2006" s="314"/>
      <c r="U2006" s="314"/>
      <c r="V2006" s="314"/>
      <c r="W2006" s="314"/>
      <c r="X2006" s="314"/>
      <c r="Y2006" s="314"/>
      <c r="Z2006" s="314"/>
      <c r="AA2006" s="314"/>
      <c r="AB2006" s="314"/>
      <c r="AC2006" s="314"/>
      <c r="AD2006" s="314"/>
      <c r="AE2006" s="314"/>
      <c r="AF2006" s="314"/>
    </row>
    <row r="2007" spans="5:32" x14ac:dyDescent="0.35">
      <c r="E2007" s="314"/>
      <c r="F2007" s="314"/>
      <c r="G2007" s="314"/>
      <c r="H2007" s="314"/>
      <c r="I2007" s="314"/>
      <c r="J2007" s="314"/>
      <c r="K2007" s="314"/>
      <c r="L2007" s="314"/>
      <c r="M2007" s="314"/>
      <c r="N2007" s="314"/>
      <c r="O2007" s="314"/>
      <c r="P2007" s="314"/>
      <c r="Q2007" s="314"/>
      <c r="R2007" s="314"/>
      <c r="S2007" s="314"/>
      <c r="T2007" s="314"/>
      <c r="U2007" s="314"/>
      <c r="V2007" s="314"/>
      <c r="W2007" s="314"/>
      <c r="X2007" s="314"/>
      <c r="Y2007" s="314"/>
      <c r="Z2007" s="314"/>
      <c r="AA2007" s="314"/>
      <c r="AB2007" s="314"/>
      <c r="AC2007" s="314"/>
      <c r="AD2007" s="314"/>
      <c r="AE2007" s="314"/>
      <c r="AF2007" s="314"/>
    </row>
    <row r="2008" spans="5:32" x14ac:dyDescent="0.35">
      <c r="E2008" s="314"/>
      <c r="F2008" s="314"/>
      <c r="G2008" s="314"/>
      <c r="H2008" s="314"/>
      <c r="I2008" s="314"/>
      <c r="J2008" s="314"/>
      <c r="K2008" s="314"/>
      <c r="L2008" s="314"/>
      <c r="M2008" s="314"/>
      <c r="N2008" s="314"/>
      <c r="O2008" s="314"/>
      <c r="P2008" s="314"/>
      <c r="Q2008" s="314"/>
      <c r="R2008" s="314"/>
      <c r="S2008" s="314"/>
      <c r="T2008" s="314"/>
      <c r="U2008" s="314"/>
      <c r="V2008" s="314"/>
      <c r="W2008" s="314"/>
      <c r="X2008" s="314"/>
      <c r="Y2008" s="314"/>
      <c r="Z2008" s="314"/>
      <c r="AA2008" s="314"/>
      <c r="AB2008" s="314"/>
      <c r="AC2008" s="314"/>
      <c r="AD2008" s="314"/>
      <c r="AE2008" s="314"/>
      <c r="AF2008" s="314"/>
    </row>
    <row r="2009" spans="5:32" x14ac:dyDescent="0.35">
      <c r="E2009" s="314"/>
      <c r="F2009" s="314"/>
      <c r="G2009" s="314"/>
      <c r="H2009" s="314"/>
      <c r="I2009" s="314"/>
      <c r="J2009" s="314"/>
      <c r="K2009" s="314"/>
      <c r="L2009" s="314"/>
      <c r="M2009" s="314"/>
      <c r="N2009" s="314"/>
      <c r="O2009" s="314"/>
      <c r="P2009" s="314"/>
      <c r="Q2009" s="314"/>
      <c r="R2009" s="314"/>
      <c r="S2009" s="314"/>
      <c r="T2009" s="314"/>
      <c r="U2009" s="314"/>
      <c r="V2009" s="314"/>
      <c r="W2009" s="314"/>
      <c r="X2009" s="314"/>
      <c r="Y2009" s="314"/>
      <c r="Z2009" s="314"/>
      <c r="AA2009" s="314"/>
      <c r="AB2009" s="314"/>
      <c r="AC2009" s="314"/>
      <c r="AD2009" s="314"/>
      <c r="AE2009" s="314"/>
      <c r="AF2009" s="314"/>
    </row>
    <row r="2010" spans="5:32" x14ac:dyDescent="0.35">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314"/>
      <c r="AE2010" s="314"/>
      <c r="AF2010" s="314"/>
    </row>
    <row r="2011" spans="5:32" x14ac:dyDescent="0.35">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314"/>
      <c r="AF2011" s="314"/>
    </row>
    <row r="2012" spans="5:32" x14ac:dyDescent="0.35">
      <c r="E2012" s="314"/>
      <c r="F2012" s="314"/>
      <c r="G2012" s="314"/>
      <c r="H2012" s="314"/>
      <c r="I2012" s="314"/>
      <c r="J2012" s="314"/>
      <c r="K2012" s="314"/>
      <c r="L2012" s="314"/>
      <c r="M2012" s="314"/>
      <c r="N2012" s="314"/>
      <c r="O2012" s="314"/>
      <c r="P2012" s="314"/>
      <c r="Q2012" s="314"/>
      <c r="R2012" s="314"/>
      <c r="S2012" s="314"/>
      <c r="T2012" s="314"/>
      <c r="U2012" s="314"/>
      <c r="V2012" s="314"/>
      <c r="W2012" s="314"/>
      <c r="X2012" s="314"/>
      <c r="Y2012" s="314"/>
      <c r="Z2012" s="314"/>
      <c r="AA2012" s="314"/>
      <c r="AB2012" s="314"/>
      <c r="AC2012" s="314"/>
      <c r="AD2012" s="314"/>
      <c r="AE2012" s="314"/>
      <c r="AF2012" s="314"/>
    </row>
    <row r="2013" spans="5:32" x14ac:dyDescent="0.35">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314"/>
      <c r="AE2013" s="314"/>
      <c r="AF2013" s="314"/>
    </row>
    <row r="2014" spans="5:32" x14ac:dyDescent="0.35">
      <c r="E2014" s="314"/>
      <c r="F2014" s="314"/>
      <c r="G2014" s="314"/>
      <c r="H2014" s="314"/>
      <c r="I2014" s="314"/>
      <c r="J2014" s="314"/>
      <c r="K2014" s="314"/>
      <c r="L2014" s="314"/>
      <c r="M2014" s="314"/>
      <c r="N2014" s="314"/>
      <c r="O2014" s="314"/>
      <c r="P2014" s="314"/>
      <c r="Q2014" s="314"/>
      <c r="R2014" s="314"/>
      <c r="S2014" s="314"/>
      <c r="T2014" s="314"/>
      <c r="U2014" s="314"/>
      <c r="V2014" s="314"/>
      <c r="W2014" s="314"/>
      <c r="X2014" s="314"/>
      <c r="Y2014" s="314"/>
      <c r="Z2014" s="314"/>
      <c r="AA2014" s="314"/>
      <c r="AB2014" s="314"/>
      <c r="AC2014" s="314"/>
      <c r="AD2014" s="314"/>
      <c r="AE2014" s="314"/>
      <c r="AF2014" s="314"/>
    </row>
    <row r="2015" spans="5:32" x14ac:dyDescent="0.35">
      <c r="E2015" s="314"/>
      <c r="F2015" s="314"/>
      <c r="G2015" s="314"/>
      <c r="H2015" s="314"/>
      <c r="I2015" s="314"/>
      <c r="J2015" s="314"/>
      <c r="K2015" s="314"/>
      <c r="L2015" s="314"/>
      <c r="M2015" s="314"/>
      <c r="N2015" s="314"/>
      <c r="O2015" s="314"/>
      <c r="P2015" s="314"/>
      <c r="Q2015" s="314"/>
      <c r="R2015" s="314"/>
      <c r="S2015" s="314"/>
      <c r="T2015" s="314"/>
      <c r="U2015" s="314"/>
      <c r="V2015" s="314"/>
      <c r="W2015" s="314"/>
      <c r="X2015" s="314"/>
      <c r="Y2015" s="314"/>
      <c r="Z2015" s="314"/>
      <c r="AA2015" s="314"/>
      <c r="AB2015" s="314"/>
      <c r="AC2015" s="314"/>
      <c r="AD2015" s="314"/>
      <c r="AE2015" s="314"/>
      <c r="AF2015" s="314"/>
    </row>
    <row r="2016" spans="5:32" x14ac:dyDescent="0.35">
      <c r="E2016" s="314"/>
      <c r="F2016" s="314"/>
      <c r="G2016" s="314"/>
      <c r="H2016" s="314"/>
      <c r="I2016" s="314"/>
      <c r="J2016" s="314"/>
      <c r="K2016" s="314"/>
      <c r="L2016" s="314"/>
      <c r="M2016" s="314"/>
      <c r="N2016" s="314"/>
      <c r="O2016" s="314"/>
      <c r="P2016" s="314"/>
      <c r="Q2016" s="314"/>
      <c r="R2016" s="314"/>
      <c r="S2016" s="314"/>
      <c r="T2016" s="314"/>
      <c r="U2016" s="314"/>
      <c r="V2016" s="314"/>
      <c r="W2016" s="314"/>
      <c r="X2016" s="314"/>
      <c r="Y2016" s="314"/>
      <c r="Z2016" s="314"/>
      <c r="AA2016" s="314"/>
      <c r="AB2016" s="314"/>
      <c r="AC2016" s="314"/>
      <c r="AD2016" s="314"/>
      <c r="AE2016" s="314"/>
      <c r="AF2016" s="314"/>
    </row>
    <row r="2017" spans="5:32" x14ac:dyDescent="0.35">
      <c r="E2017" s="314"/>
      <c r="F2017" s="314"/>
      <c r="G2017" s="314"/>
      <c r="H2017" s="314"/>
      <c r="I2017" s="314"/>
      <c r="J2017" s="314"/>
      <c r="K2017" s="314"/>
      <c r="L2017" s="314"/>
      <c r="M2017" s="314"/>
      <c r="N2017" s="314"/>
      <c r="O2017" s="314"/>
      <c r="P2017" s="314"/>
      <c r="Q2017" s="314"/>
      <c r="R2017" s="314"/>
      <c r="S2017" s="314"/>
      <c r="T2017" s="314"/>
      <c r="U2017" s="314"/>
      <c r="V2017" s="314"/>
      <c r="W2017" s="314"/>
      <c r="X2017" s="314"/>
      <c r="Y2017" s="314"/>
      <c r="Z2017" s="314"/>
      <c r="AA2017" s="314"/>
      <c r="AB2017" s="314"/>
      <c r="AC2017" s="314"/>
      <c r="AD2017" s="314"/>
      <c r="AE2017" s="314"/>
      <c r="AF2017" s="314"/>
    </row>
    <row r="2018" spans="5:32" x14ac:dyDescent="0.35">
      <c r="E2018" s="314"/>
      <c r="F2018" s="314"/>
      <c r="G2018" s="314"/>
      <c r="H2018" s="314"/>
      <c r="I2018" s="314"/>
      <c r="J2018" s="314"/>
      <c r="K2018" s="314"/>
      <c r="L2018" s="314"/>
      <c r="M2018" s="314"/>
      <c r="N2018" s="314"/>
      <c r="O2018" s="314"/>
      <c r="P2018" s="314"/>
      <c r="Q2018" s="314"/>
      <c r="R2018" s="314"/>
      <c r="S2018" s="314"/>
      <c r="T2018" s="314"/>
      <c r="U2018" s="314"/>
      <c r="V2018" s="314"/>
      <c r="W2018" s="314"/>
      <c r="X2018" s="314"/>
      <c r="Y2018" s="314"/>
      <c r="Z2018" s="314"/>
      <c r="AA2018" s="314"/>
      <c r="AB2018" s="314"/>
      <c r="AC2018" s="314"/>
      <c r="AD2018" s="314"/>
      <c r="AE2018" s="314"/>
      <c r="AF2018" s="314"/>
    </row>
    <row r="2019" spans="5:32" x14ac:dyDescent="0.35">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314"/>
      <c r="AE2019" s="314"/>
      <c r="AF2019" s="314"/>
    </row>
    <row r="2020" spans="5:32" x14ac:dyDescent="0.35">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314"/>
      <c r="AF2020" s="314"/>
    </row>
    <row r="2021" spans="5:32" x14ac:dyDescent="0.35">
      <c r="E2021" s="314"/>
      <c r="F2021" s="314"/>
      <c r="G2021" s="314"/>
      <c r="H2021" s="314"/>
      <c r="I2021" s="314"/>
      <c r="J2021" s="314"/>
      <c r="K2021" s="314"/>
      <c r="L2021" s="314"/>
      <c r="M2021" s="314"/>
      <c r="N2021" s="314"/>
      <c r="O2021" s="314"/>
      <c r="P2021" s="314"/>
      <c r="Q2021" s="314"/>
      <c r="R2021" s="314"/>
      <c r="S2021" s="314"/>
      <c r="T2021" s="314"/>
      <c r="U2021" s="314"/>
      <c r="V2021" s="314"/>
      <c r="W2021" s="314"/>
      <c r="X2021" s="314"/>
      <c r="Y2021" s="314"/>
      <c r="Z2021" s="314"/>
      <c r="AA2021" s="314"/>
      <c r="AB2021" s="314"/>
      <c r="AC2021" s="314"/>
      <c r="AD2021" s="314"/>
      <c r="AE2021" s="314"/>
      <c r="AF2021" s="314"/>
    </row>
    <row r="2022" spans="5:32" x14ac:dyDescent="0.35">
      <c r="E2022" s="314"/>
      <c r="F2022" s="314"/>
      <c r="G2022" s="314"/>
      <c r="H2022" s="314"/>
      <c r="I2022" s="314"/>
      <c r="J2022" s="314"/>
      <c r="K2022" s="314"/>
      <c r="L2022" s="314"/>
      <c r="M2022" s="314"/>
      <c r="N2022" s="314"/>
      <c r="O2022" s="314"/>
      <c r="P2022" s="314"/>
      <c r="Q2022" s="314"/>
      <c r="R2022" s="314"/>
      <c r="S2022" s="314"/>
      <c r="T2022" s="314"/>
      <c r="U2022" s="314"/>
      <c r="V2022" s="314"/>
      <c r="W2022" s="314"/>
      <c r="X2022" s="314"/>
      <c r="Y2022" s="314"/>
      <c r="Z2022" s="314"/>
      <c r="AA2022" s="314"/>
      <c r="AB2022" s="314"/>
      <c r="AC2022" s="314"/>
      <c r="AD2022" s="314"/>
      <c r="AE2022" s="314"/>
      <c r="AF2022" s="314"/>
    </row>
    <row r="2023" spans="5:32" x14ac:dyDescent="0.35">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314"/>
      <c r="AE2023" s="314"/>
      <c r="AF2023" s="314"/>
    </row>
    <row r="2024" spans="5:32" x14ac:dyDescent="0.35">
      <c r="E2024" s="314"/>
      <c r="F2024" s="314"/>
      <c r="G2024" s="314"/>
      <c r="H2024" s="314"/>
      <c r="I2024" s="314"/>
      <c r="J2024" s="314"/>
      <c r="K2024" s="314"/>
      <c r="L2024" s="314"/>
      <c r="M2024" s="314"/>
      <c r="N2024" s="314"/>
      <c r="O2024" s="314"/>
      <c r="P2024" s="314"/>
      <c r="Q2024" s="314"/>
      <c r="R2024" s="314"/>
      <c r="S2024" s="314"/>
      <c r="T2024" s="314"/>
      <c r="U2024" s="314"/>
      <c r="V2024" s="314"/>
      <c r="W2024" s="314"/>
      <c r="X2024" s="314"/>
      <c r="Y2024" s="314"/>
      <c r="Z2024" s="314"/>
      <c r="AA2024" s="314"/>
      <c r="AB2024" s="314"/>
      <c r="AC2024" s="314"/>
      <c r="AD2024" s="314"/>
      <c r="AE2024" s="314"/>
      <c r="AF2024" s="314"/>
    </row>
    <row r="2025" spans="5:32" x14ac:dyDescent="0.35">
      <c r="E2025" s="314"/>
      <c r="F2025" s="314"/>
      <c r="G2025" s="314"/>
      <c r="H2025" s="314"/>
      <c r="I2025" s="314"/>
      <c r="J2025" s="314"/>
      <c r="K2025" s="314"/>
      <c r="L2025" s="314"/>
      <c r="M2025" s="314"/>
      <c r="N2025" s="314"/>
      <c r="O2025" s="314"/>
      <c r="P2025" s="314"/>
      <c r="Q2025" s="314"/>
      <c r="R2025" s="314"/>
      <c r="S2025" s="314"/>
      <c r="T2025" s="314"/>
      <c r="U2025" s="314"/>
      <c r="V2025" s="314"/>
      <c r="W2025" s="314"/>
      <c r="X2025" s="314"/>
      <c r="Y2025" s="314"/>
      <c r="Z2025" s="314"/>
      <c r="AA2025" s="314"/>
      <c r="AB2025" s="314"/>
      <c r="AC2025" s="314"/>
      <c r="AD2025" s="314"/>
      <c r="AE2025" s="314"/>
      <c r="AF2025" s="314"/>
    </row>
    <row r="2026" spans="5:32" x14ac:dyDescent="0.35">
      <c r="E2026" s="314"/>
      <c r="F2026" s="314"/>
      <c r="G2026" s="314"/>
      <c r="H2026" s="314"/>
      <c r="I2026" s="314"/>
      <c r="J2026" s="314"/>
      <c r="K2026" s="314"/>
      <c r="L2026" s="314"/>
      <c r="M2026" s="314"/>
      <c r="N2026" s="314"/>
      <c r="O2026" s="314"/>
      <c r="P2026" s="314"/>
      <c r="Q2026" s="314"/>
      <c r="R2026" s="314"/>
      <c r="S2026" s="314"/>
      <c r="T2026" s="314"/>
      <c r="U2026" s="314"/>
      <c r="V2026" s="314"/>
      <c r="W2026" s="314"/>
      <c r="X2026" s="314"/>
      <c r="Y2026" s="314"/>
      <c r="Z2026" s="314"/>
      <c r="AA2026" s="314"/>
      <c r="AB2026" s="314"/>
      <c r="AC2026" s="314"/>
      <c r="AD2026" s="314"/>
      <c r="AE2026" s="314"/>
      <c r="AF2026" s="314"/>
    </row>
    <row r="2027" spans="5:32" x14ac:dyDescent="0.35">
      <c r="E2027" s="314"/>
      <c r="F2027" s="314"/>
      <c r="G2027" s="314"/>
      <c r="H2027" s="314"/>
      <c r="I2027" s="314"/>
      <c r="J2027" s="314"/>
      <c r="K2027" s="314"/>
      <c r="L2027" s="314"/>
      <c r="M2027" s="314"/>
      <c r="N2027" s="314"/>
      <c r="O2027" s="314"/>
      <c r="P2027" s="314"/>
      <c r="Q2027" s="314"/>
      <c r="R2027" s="314"/>
      <c r="S2027" s="314"/>
      <c r="T2027" s="314"/>
      <c r="U2027" s="314"/>
      <c r="V2027" s="314"/>
      <c r="W2027" s="314"/>
      <c r="X2027" s="314"/>
      <c r="Y2027" s="314"/>
      <c r="Z2027" s="314"/>
      <c r="AA2027" s="314"/>
      <c r="AB2027" s="314"/>
      <c r="AC2027" s="314"/>
      <c r="AD2027" s="314"/>
      <c r="AE2027" s="314"/>
      <c r="AF2027" s="314"/>
    </row>
    <row r="2028" spans="5:32" x14ac:dyDescent="0.35">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4"/>
      <c r="AD2028" s="314"/>
      <c r="AE2028" s="314"/>
      <c r="AF2028" s="314"/>
    </row>
    <row r="2029" spans="5:32" x14ac:dyDescent="0.35">
      <c r="E2029" s="314"/>
      <c r="F2029" s="314"/>
      <c r="G2029" s="314"/>
      <c r="H2029" s="314"/>
      <c r="I2029" s="314"/>
      <c r="J2029" s="314"/>
      <c r="K2029" s="314"/>
      <c r="L2029" s="314"/>
      <c r="M2029" s="314"/>
      <c r="N2029" s="314"/>
      <c r="O2029" s="314"/>
      <c r="P2029" s="314"/>
      <c r="Q2029" s="314"/>
      <c r="R2029" s="314"/>
      <c r="S2029" s="314"/>
      <c r="T2029" s="314"/>
      <c r="U2029" s="314"/>
      <c r="V2029" s="314"/>
      <c r="W2029" s="314"/>
      <c r="X2029" s="314"/>
      <c r="Y2029" s="314"/>
      <c r="Z2029" s="314"/>
      <c r="AA2029" s="314"/>
      <c r="AB2029" s="314"/>
      <c r="AC2029" s="314"/>
      <c r="AD2029" s="314"/>
      <c r="AE2029" s="314"/>
      <c r="AF2029" s="314"/>
    </row>
    <row r="2030" spans="5:32" x14ac:dyDescent="0.35">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4"/>
      <c r="AD2030" s="314"/>
      <c r="AE2030" s="314"/>
      <c r="AF2030" s="314"/>
    </row>
    <row r="2031" spans="5:32" x14ac:dyDescent="0.35">
      <c r="E2031" s="314"/>
      <c r="F2031" s="314"/>
      <c r="G2031" s="314"/>
      <c r="H2031" s="314"/>
      <c r="I2031" s="314"/>
      <c r="J2031" s="314"/>
      <c r="K2031" s="314"/>
      <c r="L2031" s="314"/>
      <c r="M2031" s="314"/>
      <c r="N2031" s="314"/>
      <c r="O2031" s="314"/>
      <c r="P2031" s="314"/>
      <c r="Q2031" s="314"/>
      <c r="R2031" s="314"/>
      <c r="S2031" s="314"/>
      <c r="T2031" s="314"/>
      <c r="U2031" s="314"/>
      <c r="V2031" s="314"/>
      <c r="W2031" s="314"/>
      <c r="X2031" s="314"/>
      <c r="Y2031" s="314"/>
      <c r="Z2031" s="314"/>
      <c r="AA2031" s="314"/>
      <c r="AB2031" s="314"/>
      <c r="AC2031" s="314"/>
      <c r="AD2031" s="314"/>
      <c r="AE2031" s="314"/>
      <c r="AF2031" s="314"/>
    </row>
    <row r="2032" spans="5:32" x14ac:dyDescent="0.35">
      <c r="E2032" s="314"/>
      <c r="F2032" s="314"/>
      <c r="G2032" s="314"/>
      <c r="H2032" s="314"/>
      <c r="I2032" s="314"/>
      <c r="J2032" s="314"/>
      <c r="K2032" s="314"/>
      <c r="L2032" s="314"/>
      <c r="M2032" s="314"/>
      <c r="N2032" s="314"/>
      <c r="O2032" s="314"/>
      <c r="P2032" s="314"/>
      <c r="Q2032" s="314"/>
      <c r="R2032" s="314"/>
      <c r="S2032" s="314"/>
      <c r="T2032" s="314"/>
      <c r="U2032" s="314"/>
      <c r="V2032" s="314"/>
      <c r="W2032" s="314"/>
      <c r="X2032" s="314"/>
      <c r="Y2032" s="314"/>
      <c r="Z2032" s="314"/>
      <c r="AA2032" s="314"/>
      <c r="AB2032" s="314"/>
      <c r="AC2032" s="314"/>
      <c r="AD2032" s="314"/>
      <c r="AE2032" s="314"/>
      <c r="AF2032" s="314"/>
    </row>
    <row r="2033" spans="5:32" x14ac:dyDescent="0.35">
      <c r="E2033" s="314"/>
      <c r="F2033" s="314"/>
      <c r="G2033" s="314"/>
      <c r="H2033" s="314"/>
      <c r="I2033" s="314"/>
      <c r="J2033" s="314"/>
      <c r="K2033" s="314"/>
      <c r="L2033" s="314"/>
      <c r="M2033" s="314"/>
      <c r="N2033" s="314"/>
      <c r="O2033" s="314"/>
      <c r="P2033" s="314"/>
      <c r="Q2033" s="314"/>
      <c r="R2033" s="314"/>
      <c r="S2033" s="314"/>
      <c r="T2033" s="314"/>
      <c r="U2033" s="314"/>
      <c r="V2033" s="314"/>
      <c r="W2033" s="314"/>
      <c r="X2033" s="314"/>
      <c r="Y2033" s="314"/>
      <c r="Z2033" s="314"/>
      <c r="AA2033" s="314"/>
      <c r="AB2033" s="314"/>
      <c r="AC2033" s="314"/>
      <c r="AD2033" s="314"/>
      <c r="AE2033" s="314"/>
      <c r="AF2033" s="314"/>
    </row>
    <row r="2034" spans="5:32" x14ac:dyDescent="0.35">
      <c r="E2034" s="314"/>
      <c r="F2034" s="314"/>
      <c r="G2034" s="314"/>
      <c r="H2034" s="314"/>
      <c r="I2034" s="314"/>
      <c r="J2034" s="314"/>
      <c r="K2034" s="314"/>
      <c r="L2034" s="314"/>
      <c r="M2034" s="314"/>
      <c r="N2034" s="314"/>
      <c r="O2034" s="314"/>
      <c r="P2034" s="314"/>
      <c r="Q2034" s="314"/>
      <c r="R2034" s="314"/>
      <c r="S2034" s="314"/>
      <c r="T2034" s="314"/>
      <c r="U2034" s="314"/>
      <c r="V2034" s="314"/>
      <c r="W2034" s="314"/>
      <c r="X2034" s="314"/>
      <c r="Y2034" s="314"/>
      <c r="Z2034" s="314"/>
      <c r="AA2034" s="314"/>
      <c r="AB2034" s="314"/>
      <c r="AC2034" s="314"/>
      <c r="AD2034" s="314"/>
      <c r="AE2034" s="314"/>
      <c r="AF2034" s="314"/>
    </row>
    <row r="2035" spans="5:32" x14ac:dyDescent="0.35">
      <c r="E2035" s="314"/>
      <c r="F2035" s="314"/>
      <c r="G2035" s="314"/>
      <c r="H2035" s="314"/>
      <c r="I2035" s="314"/>
      <c r="J2035" s="314"/>
      <c r="K2035" s="314"/>
      <c r="L2035" s="314"/>
      <c r="M2035" s="314"/>
      <c r="N2035" s="314"/>
      <c r="O2035" s="314"/>
      <c r="P2035" s="314"/>
      <c r="Q2035" s="314"/>
      <c r="R2035" s="314"/>
      <c r="S2035" s="314"/>
      <c r="T2035" s="314"/>
      <c r="U2035" s="314"/>
      <c r="V2035" s="314"/>
      <c r="W2035" s="314"/>
      <c r="X2035" s="314"/>
      <c r="Y2035" s="314"/>
      <c r="Z2035" s="314"/>
      <c r="AA2035" s="314"/>
      <c r="AB2035" s="314"/>
      <c r="AC2035" s="314"/>
      <c r="AD2035" s="314"/>
      <c r="AE2035" s="314"/>
      <c r="AF2035" s="314"/>
    </row>
    <row r="2036" spans="5:32" x14ac:dyDescent="0.35">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4"/>
      <c r="AD2036" s="314"/>
      <c r="AE2036" s="314"/>
      <c r="AF2036" s="314"/>
    </row>
    <row r="2037" spans="5:32" x14ac:dyDescent="0.35">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314"/>
      <c r="AE2037" s="314"/>
      <c r="AF2037" s="314"/>
    </row>
    <row r="2038" spans="5:32" x14ac:dyDescent="0.35">
      <c r="E2038" s="314"/>
      <c r="F2038" s="314"/>
      <c r="G2038" s="314"/>
      <c r="H2038" s="314"/>
      <c r="I2038" s="314"/>
      <c r="J2038" s="314"/>
      <c r="K2038" s="314"/>
      <c r="L2038" s="314"/>
      <c r="M2038" s="314"/>
      <c r="N2038" s="314"/>
      <c r="O2038" s="314"/>
      <c r="P2038" s="314"/>
      <c r="Q2038" s="314"/>
      <c r="R2038" s="314"/>
      <c r="S2038" s="314"/>
      <c r="T2038" s="314"/>
      <c r="U2038" s="314"/>
      <c r="V2038" s="314"/>
      <c r="W2038" s="314"/>
      <c r="X2038" s="314"/>
      <c r="Y2038" s="314"/>
      <c r="Z2038" s="314"/>
      <c r="AA2038" s="314"/>
      <c r="AB2038" s="314"/>
      <c r="AC2038" s="314"/>
      <c r="AD2038" s="314"/>
      <c r="AE2038" s="314"/>
      <c r="AF2038" s="314"/>
    </row>
    <row r="2039" spans="5:32" x14ac:dyDescent="0.35">
      <c r="E2039" s="314"/>
      <c r="F2039" s="314"/>
      <c r="G2039" s="314"/>
      <c r="H2039" s="314"/>
      <c r="I2039" s="314"/>
      <c r="J2039" s="314"/>
      <c r="K2039" s="314"/>
      <c r="L2039" s="314"/>
      <c r="M2039" s="314"/>
      <c r="N2039" s="314"/>
      <c r="O2039" s="314"/>
      <c r="P2039" s="314"/>
      <c r="Q2039" s="314"/>
      <c r="R2039" s="314"/>
      <c r="S2039" s="314"/>
      <c r="T2039" s="314"/>
      <c r="U2039" s="314"/>
      <c r="V2039" s="314"/>
      <c r="W2039" s="314"/>
      <c r="X2039" s="314"/>
      <c r="Y2039" s="314"/>
      <c r="Z2039" s="314"/>
      <c r="AA2039" s="314"/>
      <c r="AB2039" s="314"/>
      <c r="AC2039" s="314"/>
      <c r="AD2039" s="314"/>
      <c r="AE2039" s="314"/>
      <c r="AF2039" s="314"/>
    </row>
    <row r="2040" spans="5:32" x14ac:dyDescent="0.35">
      <c r="E2040" s="314"/>
      <c r="F2040" s="314"/>
      <c r="G2040" s="314"/>
      <c r="H2040" s="314"/>
      <c r="I2040" s="314"/>
      <c r="J2040" s="314"/>
      <c r="K2040" s="314"/>
      <c r="L2040" s="314"/>
      <c r="M2040" s="314"/>
      <c r="N2040" s="314"/>
      <c r="O2040" s="314"/>
      <c r="P2040" s="314"/>
      <c r="Q2040" s="314"/>
      <c r="R2040" s="314"/>
      <c r="S2040" s="314"/>
      <c r="T2040" s="314"/>
      <c r="U2040" s="314"/>
      <c r="V2040" s="314"/>
      <c r="W2040" s="314"/>
      <c r="X2040" s="314"/>
      <c r="Y2040" s="314"/>
      <c r="Z2040" s="314"/>
      <c r="AA2040" s="314"/>
      <c r="AB2040" s="314"/>
      <c r="AC2040" s="314"/>
      <c r="AD2040" s="314"/>
      <c r="AE2040" s="314"/>
      <c r="AF2040" s="314"/>
    </row>
    <row r="2041" spans="5:32" x14ac:dyDescent="0.35">
      <c r="E2041" s="314"/>
      <c r="F2041" s="314"/>
      <c r="G2041" s="314"/>
      <c r="H2041" s="314"/>
      <c r="I2041" s="314"/>
      <c r="J2041" s="314"/>
      <c r="K2041" s="314"/>
      <c r="L2041" s="314"/>
      <c r="M2041" s="314"/>
      <c r="N2041" s="314"/>
      <c r="O2041" s="314"/>
      <c r="P2041" s="314"/>
      <c r="Q2041" s="314"/>
      <c r="R2041" s="314"/>
      <c r="S2041" s="314"/>
      <c r="T2041" s="314"/>
      <c r="U2041" s="314"/>
      <c r="V2041" s="314"/>
      <c r="W2041" s="314"/>
      <c r="X2041" s="314"/>
      <c r="Y2041" s="314"/>
      <c r="Z2041" s="314"/>
      <c r="AA2041" s="314"/>
      <c r="AB2041" s="314"/>
      <c r="AC2041" s="314"/>
      <c r="AD2041" s="314"/>
      <c r="AE2041" s="314"/>
      <c r="AF2041" s="314"/>
    </row>
    <row r="2042" spans="5:32" x14ac:dyDescent="0.35">
      <c r="E2042" s="314"/>
      <c r="F2042" s="314"/>
      <c r="G2042" s="314"/>
      <c r="H2042" s="314"/>
      <c r="I2042" s="314"/>
      <c r="J2042" s="314"/>
      <c r="K2042" s="314"/>
      <c r="L2042" s="314"/>
      <c r="M2042" s="314"/>
      <c r="N2042" s="314"/>
      <c r="O2042" s="314"/>
      <c r="P2042" s="314"/>
      <c r="Q2042" s="314"/>
      <c r="R2042" s="314"/>
      <c r="S2042" s="314"/>
      <c r="T2042" s="314"/>
      <c r="U2042" s="314"/>
      <c r="V2042" s="314"/>
      <c r="W2042" s="314"/>
      <c r="X2042" s="314"/>
      <c r="Y2042" s="314"/>
      <c r="Z2042" s="314"/>
      <c r="AA2042" s="314"/>
      <c r="AB2042" s="314"/>
      <c r="AC2042" s="314"/>
      <c r="AD2042" s="314"/>
      <c r="AE2042" s="314"/>
      <c r="AF2042" s="314"/>
    </row>
    <row r="2043" spans="5:32" x14ac:dyDescent="0.35">
      <c r="E2043" s="314"/>
      <c r="F2043" s="314"/>
      <c r="G2043" s="314"/>
      <c r="H2043" s="314"/>
      <c r="I2043" s="314"/>
      <c r="J2043" s="314"/>
      <c r="K2043" s="314"/>
      <c r="L2043" s="314"/>
      <c r="M2043" s="314"/>
      <c r="N2043" s="314"/>
      <c r="O2043" s="314"/>
      <c r="P2043" s="314"/>
      <c r="Q2043" s="314"/>
      <c r="R2043" s="314"/>
      <c r="S2043" s="314"/>
      <c r="T2043" s="314"/>
      <c r="U2043" s="314"/>
      <c r="V2043" s="314"/>
      <c r="W2043" s="314"/>
      <c r="X2043" s="314"/>
      <c r="Y2043" s="314"/>
      <c r="Z2043" s="314"/>
      <c r="AA2043" s="314"/>
      <c r="AB2043" s="314"/>
      <c r="AC2043" s="314"/>
      <c r="AD2043" s="314"/>
      <c r="AE2043" s="314"/>
      <c r="AF2043" s="314"/>
    </row>
    <row r="2044" spans="5:32" x14ac:dyDescent="0.35">
      <c r="E2044" s="314"/>
      <c r="F2044" s="314"/>
      <c r="G2044" s="314"/>
      <c r="H2044" s="314"/>
      <c r="I2044" s="314"/>
      <c r="J2044" s="314"/>
      <c r="K2044" s="314"/>
      <c r="L2044" s="314"/>
      <c r="M2044" s="314"/>
      <c r="N2044" s="314"/>
      <c r="O2044" s="314"/>
      <c r="P2044" s="314"/>
      <c r="Q2044" s="314"/>
      <c r="R2044" s="314"/>
      <c r="S2044" s="314"/>
      <c r="T2044" s="314"/>
      <c r="U2044" s="314"/>
      <c r="V2044" s="314"/>
      <c r="W2044" s="314"/>
      <c r="X2044" s="314"/>
      <c r="Y2044" s="314"/>
      <c r="Z2044" s="314"/>
      <c r="AA2044" s="314"/>
      <c r="AB2044" s="314"/>
      <c r="AC2044" s="314"/>
      <c r="AD2044" s="314"/>
      <c r="AE2044" s="314"/>
      <c r="AF2044" s="314"/>
    </row>
    <row r="2045" spans="5:32" x14ac:dyDescent="0.35">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4"/>
      <c r="AD2045" s="314"/>
      <c r="AE2045" s="314"/>
      <c r="AF2045" s="314"/>
    </row>
    <row r="2046" spans="5:32" x14ac:dyDescent="0.35">
      <c r="E2046" s="314"/>
      <c r="F2046" s="314"/>
      <c r="G2046" s="314"/>
      <c r="H2046" s="314"/>
      <c r="I2046" s="314"/>
      <c r="J2046" s="314"/>
      <c r="K2046" s="314"/>
      <c r="L2046" s="314"/>
      <c r="M2046" s="314"/>
      <c r="N2046" s="314"/>
      <c r="O2046" s="314"/>
      <c r="P2046" s="314"/>
      <c r="Q2046" s="314"/>
      <c r="R2046" s="314"/>
      <c r="S2046" s="314"/>
      <c r="T2046" s="314"/>
      <c r="U2046" s="314"/>
      <c r="V2046" s="314"/>
      <c r="W2046" s="314"/>
      <c r="X2046" s="314"/>
      <c r="Y2046" s="314"/>
      <c r="Z2046" s="314"/>
      <c r="AA2046" s="314"/>
      <c r="AB2046" s="314"/>
      <c r="AC2046" s="314"/>
      <c r="AD2046" s="314"/>
      <c r="AE2046" s="314"/>
      <c r="AF2046" s="314"/>
    </row>
    <row r="2047" spans="5:32" x14ac:dyDescent="0.35">
      <c r="E2047" s="314"/>
      <c r="F2047" s="314"/>
      <c r="G2047" s="314"/>
      <c r="H2047" s="314"/>
      <c r="I2047" s="314"/>
      <c r="J2047" s="314"/>
      <c r="K2047" s="314"/>
      <c r="L2047" s="314"/>
      <c r="M2047" s="314"/>
      <c r="N2047" s="314"/>
      <c r="O2047" s="314"/>
      <c r="P2047" s="314"/>
      <c r="Q2047" s="314"/>
      <c r="R2047" s="314"/>
      <c r="S2047" s="314"/>
      <c r="T2047" s="314"/>
      <c r="U2047" s="314"/>
      <c r="V2047" s="314"/>
      <c r="W2047" s="314"/>
      <c r="X2047" s="314"/>
      <c r="Y2047" s="314"/>
      <c r="Z2047" s="314"/>
      <c r="AA2047" s="314"/>
      <c r="AB2047" s="314"/>
      <c r="AC2047" s="314"/>
      <c r="AD2047" s="314"/>
      <c r="AE2047" s="314"/>
      <c r="AF2047" s="314"/>
    </row>
    <row r="2048" spans="5:32" x14ac:dyDescent="0.35">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4"/>
      <c r="AD2048" s="314"/>
      <c r="AE2048" s="314"/>
      <c r="AF2048" s="314"/>
    </row>
    <row r="2049" spans="5:32" x14ac:dyDescent="0.35">
      <c r="E2049" s="314"/>
      <c r="F2049" s="314"/>
      <c r="G2049" s="314"/>
      <c r="H2049" s="314"/>
      <c r="I2049" s="314"/>
      <c r="J2049" s="314"/>
      <c r="K2049" s="314"/>
      <c r="L2049" s="314"/>
      <c r="M2049" s="314"/>
      <c r="N2049" s="314"/>
      <c r="O2049" s="314"/>
      <c r="P2049" s="314"/>
      <c r="Q2049" s="314"/>
      <c r="R2049" s="314"/>
      <c r="S2049" s="314"/>
      <c r="T2049" s="314"/>
      <c r="U2049" s="314"/>
      <c r="V2049" s="314"/>
      <c r="W2049" s="314"/>
      <c r="X2049" s="314"/>
      <c r="Y2049" s="314"/>
      <c r="Z2049" s="314"/>
      <c r="AA2049" s="314"/>
      <c r="AB2049" s="314"/>
      <c r="AC2049" s="314"/>
      <c r="AD2049" s="314"/>
      <c r="AE2049" s="314"/>
      <c r="AF2049" s="314"/>
    </row>
    <row r="2050" spans="5:32" x14ac:dyDescent="0.35">
      <c r="E2050" s="314"/>
      <c r="F2050" s="314"/>
      <c r="G2050" s="314"/>
      <c r="H2050" s="314"/>
      <c r="I2050" s="314"/>
      <c r="J2050" s="314"/>
      <c r="K2050" s="314"/>
      <c r="L2050" s="314"/>
      <c r="M2050" s="314"/>
      <c r="N2050" s="314"/>
      <c r="O2050" s="314"/>
      <c r="P2050" s="314"/>
      <c r="Q2050" s="314"/>
      <c r="R2050" s="314"/>
      <c r="S2050" s="314"/>
      <c r="T2050" s="314"/>
      <c r="U2050" s="314"/>
      <c r="V2050" s="314"/>
      <c r="W2050" s="314"/>
      <c r="X2050" s="314"/>
      <c r="Y2050" s="314"/>
      <c r="Z2050" s="314"/>
      <c r="AA2050" s="314"/>
      <c r="AB2050" s="314"/>
      <c r="AC2050" s="314"/>
      <c r="AD2050" s="314"/>
      <c r="AE2050" s="314"/>
      <c r="AF2050" s="314"/>
    </row>
    <row r="2051" spans="5:32" x14ac:dyDescent="0.35">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4"/>
      <c r="AD2051" s="314"/>
      <c r="AE2051" s="314"/>
      <c r="AF2051" s="314"/>
    </row>
    <row r="2052" spans="5:32" x14ac:dyDescent="0.35">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4"/>
      <c r="AD2052" s="314"/>
      <c r="AE2052" s="314"/>
      <c r="AF2052" s="314"/>
    </row>
    <row r="2053" spans="5:32" x14ac:dyDescent="0.35">
      <c r="E2053" s="314"/>
      <c r="F2053" s="314"/>
      <c r="G2053" s="314"/>
      <c r="H2053" s="314"/>
      <c r="I2053" s="314"/>
      <c r="J2053" s="314"/>
      <c r="K2053" s="314"/>
      <c r="L2053" s="314"/>
      <c r="M2053" s="314"/>
      <c r="N2053" s="314"/>
      <c r="O2053" s="314"/>
      <c r="P2053" s="314"/>
      <c r="Q2053" s="314"/>
      <c r="R2053" s="314"/>
      <c r="S2053" s="314"/>
      <c r="T2053" s="314"/>
      <c r="U2053" s="314"/>
      <c r="V2053" s="314"/>
      <c r="W2053" s="314"/>
      <c r="X2053" s="314"/>
      <c r="Y2053" s="314"/>
      <c r="Z2053" s="314"/>
      <c r="AA2053" s="314"/>
      <c r="AB2053" s="314"/>
      <c r="AC2053" s="314"/>
      <c r="AD2053" s="314"/>
      <c r="AE2053" s="314"/>
      <c r="AF2053" s="314"/>
    </row>
    <row r="2054" spans="5:32" x14ac:dyDescent="0.35">
      <c r="E2054" s="314"/>
      <c r="F2054" s="314"/>
      <c r="G2054" s="314"/>
      <c r="H2054" s="314"/>
      <c r="I2054" s="314"/>
      <c r="J2054" s="314"/>
      <c r="K2054" s="314"/>
      <c r="L2054" s="314"/>
      <c r="M2054" s="314"/>
      <c r="N2054" s="314"/>
      <c r="O2054" s="314"/>
      <c r="P2054" s="314"/>
      <c r="Q2054" s="314"/>
      <c r="R2054" s="314"/>
      <c r="S2054" s="314"/>
      <c r="T2054" s="314"/>
      <c r="U2054" s="314"/>
      <c r="V2054" s="314"/>
      <c r="W2054" s="314"/>
      <c r="X2054" s="314"/>
      <c r="Y2054" s="314"/>
      <c r="Z2054" s="314"/>
      <c r="AA2054" s="314"/>
      <c r="AB2054" s="314"/>
      <c r="AC2054" s="314"/>
      <c r="AD2054" s="314"/>
      <c r="AE2054" s="314"/>
      <c r="AF2054" s="314"/>
    </row>
    <row r="2055" spans="5:32" x14ac:dyDescent="0.35">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314"/>
      <c r="AE2055" s="314"/>
      <c r="AF2055" s="314"/>
    </row>
    <row r="2056" spans="5:32" x14ac:dyDescent="0.35">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314"/>
      <c r="AF2056" s="314"/>
    </row>
    <row r="2057" spans="5:32" x14ac:dyDescent="0.35">
      <c r="E2057" s="314"/>
      <c r="F2057" s="314"/>
      <c r="G2057" s="314"/>
      <c r="H2057" s="314"/>
      <c r="I2057" s="314"/>
      <c r="J2057" s="314"/>
      <c r="K2057" s="314"/>
      <c r="L2057" s="314"/>
      <c r="M2057" s="314"/>
      <c r="N2057" s="314"/>
      <c r="O2057" s="314"/>
      <c r="P2057" s="314"/>
      <c r="Q2057" s="314"/>
      <c r="R2057" s="314"/>
      <c r="S2057" s="314"/>
      <c r="T2057" s="314"/>
      <c r="U2057" s="314"/>
      <c r="V2057" s="314"/>
      <c r="W2057" s="314"/>
      <c r="X2057" s="314"/>
      <c r="Y2057" s="314"/>
      <c r="Z2057" s="314"/>
      <c r="AA2057" s="314"/>
      <c r="AB2057" s="314"/>
      <c r="AC2057" s="314"/>
      <c r="AD2057" s="314"/>
      <c r="AE2057" s="314"/>
      <c r="AF2057" s="314"/>
    </row>
    <row r="2058" spans="5:32" x14ac:dyDescent="0.35">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314"/>
      <c r="AE2058" s="314"/>
      <c r="AF2058" s="314"/>
    </row>
    <row r="2059" spans="5:32" x14ac:dyDescent="0.35">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314"/>
      <c r="AE2059" s="314"/>
      <c r="AF2059" s="314"/>
    </row>
    <row r="2060" spans="5:32" x14ac:dyDescent="0.35">
      <c r="E2060" s="314"/>
      <c r="F2060" s="314"/>
      <c r="G2060" s="314"/>
      <c r="H2060" s="314"/>
      <c r="I2060" s="314"/>
      <c r="J2060" s="314"/>
      <c r="K2060" s="314"/>
      <c r="L2060" s="314"/>
      <c r="M2060" s="314"/>
      <c r="N2060" s="314"/>
      <c r="O2060" s="314"/>
      <c r="P2060" s="314"/>
      <c r="Q2060" s="314"/>
      <c r="R2060" s="314"/>
      <c r="S2060" s="314"/>
      <c r="T2060" s="314"/>
      <c r="U2060" s="314"/>
      <c r="V2060" s="314"/>
      <c r="W2060" s="314"/>
      <c r="X2060" s="314"/>
      <c r="Y2060" s="314"/>
      <c r="Z2060" s="314"/>
      <c r="AA2060" s="314"/>
      <c r="AB2060" s="314"/>
      <c r="AC2060" s="314"/>
      <c r="AD2060" s="314"/>
      <c r="AE2060" s="314"/>
      <c r="AF2060" s="314"/>
    </row>
    <row r="2061" spans="5:32" x14ac:dyDescent="0.35">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4"/>
      <c r="AD2061" s="314"/>
      <c r="AE2061" s="314"/>
      <c r="AF2061" s="314"/>
    </row>
    <row r="2062" spans="5:32" x14ac:dyDescent="0.35">
      <c r="E2062" s="314"/>
      <c r="F2062" s="314"/>
      <c r="G2062" s="314"/>
      <c r="H2062" s="314"/>
      <c r="I2062" s="314"/>
      <c r="J2062" s="314"/>
      <c r="K2062" s="314"/>
      <c r="L2062" s="314"/>
      <c r="M2062" s="314"/>
      <c r="N2062" s="314"/>
      <c r="O2062" s="314"/>
      <c r="P2062" s="314"/>
      <c r="Q2062" s="314"/>
      <c r="R2062" s="314"/>
      <c r="S2062" s="314"/>
      <c r="T2062" s="314"/>
      <c r="U2062" s="314"/>
      <c r="V2062" s="314"/>
      <c r="W2062" s="314"/>
      <c r="X2062" s="314"/>
      <c r="Y2062" s="314"/>
      <c r="Z2062" s="314"/>
      <c r="AA2062" s="314"/>
      <c r="AB2062" s="314"/>
      <c r="AC2062" s="314"/>
      <c r="AD2062" s="314"/>
      <c r="AE2062" s="314"/>
      <c r="AF2062" s="314"/>
    </row>
    <row r="2063" spans="5:32" x14ac:dyDescent="0.35">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4"/>
      <c r="AD2063" s="314"/>
      <c r="AE2063" s="314"/>
      <c r="AF2063" s="314"/>
    </row>
    <row r="2064" spans="5:32" x14ac:dyDescent="0.35">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314"/>
      <c r="AE2064" s="314"/>
      <c r="AF2064" s="314"/>
    </row>
    <row r="2065" spans="5:32" x14ac:dyDescent="0.35">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314"/>
      <c r="AF2065" s="314"/>
    </row>
    <row r="2066" spans="5:32" x14ac:dyDescent="0.35">
      <c r="E2066" s="314"/>
      <c r="F2066" s="314"/>
      <c r="G2066" s="314"/>
      <c r="H2066" s="314"/>
      <c r="I2066" s="314"/>
      <c r="J2066" s="314"/>
      <c r="K2066" s="314"/>
      <c r="L2066" s="314"/>
      <c r="M2066" s="314"/>
      <c r="N2066" s="314"/>
      <c r="O2066" s="314"/>
      <c r="P2066" s="314"/>
      <c r="Q2066" s="314"/>
      <c r="R2066" s="314"/>
      <c r="S2066" s="314"/>
      <c r="T2066" s="314"/>
      <c r="U2066" s="314"/>
      <c r="V2066" s="314"/>
      <c r="W2066" s="314"/>
      <c r="X2066" s="314"/>
      <c r="Y2066" s="314"/>
      <c r="Z2066" s="314"/>
      <c r="AA2066" s="314"/>
      <c r="AB2066" s="314"/>
      <c r="AC2066" s="314"/>
      <c r="AD2066" s="314"/>
      <c r="AE2066" s="314"/>
      <c r="AF2066" s="314"/>
    </row>
    <row r="2067" spans="5:32" x14ac:dyDescent="0.35">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c r="AA2067" s="314"/>
      <c r="AB2067" s="314"/>
      <c r="AC2067" s="314"/>
      <c r="AD2067" s="314"/>
      <c r="AE2067" s="314"/>
      <c r="AF2067" s="314"/>
    </row>
    <row r="2068" spans="5:32" x14ac:dyDescent="0.35">
      <c r="E2068" s="314"/>
      <c r="F2068" s="314"/>
      <c r="G2068" s="314"/>
      <c r="H2068" s="314"/>
      <c r="I2068" s="314"/>
      <c r="J2068" s="314"/>
      <c r="K2068" s="314"/>
      <c r="L2068" s="314"/>
      <c r="M2068" s="314"/>
      <c r="N2068" s="314"/>
      <c r="O2068" s="314"/>
      <c r="P2068" s="314"/>
      <c r="Q2068" s="314"/>
      <c r="R2068" s="314"/>
      <c r="S2068" s="314"/>
      <c r="T2068" s="314"/>
      <c r="U2068" s="314"/>
      <c r="V2068" s="314"/>
      <c r="W2068" s="314"/>
      <c r="X2068" s="314"/>
      <c r="Y2068" s="314"/>
      <c r="Z2068" s="314"/>
      <c r="AA2068" s="314"/>
      <c r="AB2068" s="314"/>
      <c r="AC2068" s="314"/>
      <c r="AD2068" s="314"/>
      <c r="AE2068" s="314"/>
      <c r="AF2068" s="314"/>
    </row>
    <row r="2069" spans="5:32" x14ac:dyDescent="0.35">
      <c r="E2069" s="314"/>
      <c r="F2069" s="314"/>
      <c r="G2069" s="314"/>
      <c r="H2069" s="314"/>
      <c r="I2069" s="314"/>
      <c r="J2069" s="314"/>
      <c r="K2069" s="314"/>
      <c r="L2069" s="314"/>
      <c r="M2069" s="314"/>
      <c r="N2069" s="314"/>
      <c r="O2069" s="314"/>
      <c r="P2069" s="314"/>
      <c r="Q2069" s="314"/>
      <c r="R2069" s="314"/>
      <c r="S2069" s="314"/>
      <c r="T2069" s="314"/>
      <c r="U2069" s="314"/>
      <c r="V2069" s="314"/>
      <c r="W2069" s="314"/>
      <c r="X2069" s="314"/>
      <c r="Y2069" s="314"/>
      <c r="Z2069" s="314"/>
      <c r="AA2069" s="314"/>
      <c r="AB2069" s="314"/>
      <c r="AC2069" s="314"/>
      <c r="AD2069" s="314"/>
      <c r="AE2069" s="314"/>
      <c r="AF2069" s="314"/>
    </row>
    <row r="2070" spans="5:32" x14ac:dyDescent="0.35">
      <c r="E2070" s="314"/>
      <c r="F2070" s="314"/>
      <c r="G2070" s="314"/>
      <c r="H2070" s="314"/>
      <c r="I2070" s="314"/>
      <c r="J2070" s="314"/>
      <c r="K2070" s="314"/>
      <c r="L2070" s="314"/>
      <c r="M2070" s="314"/>
      <c r="N2070" s="314"/>
      <c r="O2070" s="314"/>
      <c r="P2070" s="314"/>
      <c r="Q2070" s="314"/>
      <c r="R2070" s="314"/>
      <c r="S2070" s="314"/>
      <c r="T2070" s="314"/>
      <c r="U2070" s="314"/>
      <c r="V2070" s="314"/>
      <c r="W2070" s="314"/>
      <c r="X2070" s="314"/>
      <c r="Y2070" s="314"/>
      <c r="Z2070" s="314"/>
      <c r="AA2070" s="314"/>
      <c r="AB2070" s="314"/>
      <c r="AC2070" s="314"/>
      <c r="AD2070" s="314"/>
      <c r="AE2070" s="314"/>
      <c r="AF2070" s="314"/>
    </row>
    <row r="2071" spans="5:32" x14ac:dyDescent="0.35">
      <c r="E2071" s="314"/>
      <c r="F2071" s="314"/>
      <c r="G2071" s="314"/>
      <c r="H2071" s="314"/>
      <c r="I2071" s="314"/>
      <c r="J2071" s="314"/>
      <c r="K2071" s="314"/>
      <c r="L2071" s="314"/>
      <c r="M2071" s="314"/>
      <c r="N2071" s="314"/>
      <c r="O2071" s="314"/>
      <c r="P2071" s="314"/>
      <c r="Q2071" s="314"/>
      <c r="R2071" s="314"/>
      <c r="S2071" s="314"/>
      <c r="T2071" s="314"/>
      <c r="U2071" s="314"/>
      <c r="V2071" s="314"/>
      <c r="W2071" s="314"/>
      <c r="X2071" s="314"/>
      <c r="Y2071" s="314"/>
      <c r="Z2071" s="314"/>
      <c r="AA2071" s="314"/>
      <c r="AB2071" s="314"/>
      <c r="AC2071" s="314"/>
      <c r="AD2071" s="314"/>
      <c r="AE2071" s="314"/>
      <c r="AF2071" s="314"/>
    </row>
    <row r="2072" spans="5:32" x14ac:dyDescent="0.35">
      <c r="E2072" s="314"/>
      <c r="F2072" s="314"/>
      <c r="G2072" s="314"/>
      <c r="H2072" s="314"/>
      <c r="I2072" s="314"/>
      <c r="J2072" s="314"/>
      <c r="K2072" s="314"/>
      <c r="L2072" s="314"/>
      <c r="M2072" s="314"/>
      <c r="N2072" s="314"/>
      <c r="O2072" s="314"/>
      <c r="P2072" s="314"/>
      <c r="Q2072" s="314"/>
      <c r="R2072" s="314"/>
      <c r="S2072" s="314"/>
      <c r="T2072" s="314"/>
      <c r="U2072" s="314"/>
      <c r="V2072" s="314"/>
      <c r="W2072" s="314"/>
      <c r="X2072" s="314"/>
      <c r="Y2072" s="314"/>
      <c r="Z2072" s="314"/>
      <c r="AA2072" s="314"/>
      <c r="AB2072" s="314"/>
      <c r="AC2072" s="314"/>
      <c r="AD2072" s="314"/>
      <c r="AE2072" s="314"/>
      <c r="AF2072" s="314"/>
    </row>
    <row r="2073" spans="5:32" x14ac:dyDescent="0.35">
      <c r="E2073" s="314"/>
      <c r="F2073" s="314"/>
      <c r="G2073" s="314"/>
      <c r="H2073" s="314"/>
      <c r="I2073" s="314"/>
      <c r="J2073" s="314"/>
      <c r="K2073" s="314"/>
      <c r="L2073" s="314"/>
      <c r="M2073" s="314"/>
      <c r="N2073" s="314"/>
      <c r="O2073" s="314"/>
      <c r="P2073" s="314"/>
      <c r="Q2073" s="314"/>
      <c r="R2073" s="314"/>
      <c r="S2073" s="314"/>
      <c r="T2073" s="314"/>
      <c r="U2073" s="314"/>
      <c r="V2073" s="314"/>
      <c r="W2073" s="314"/>
      <c r="X2073" s="314"/>
      <c r="Y2073" s="314"/>
      <c r="Z2073" s="314"/>
      <c r="AA2073" s="314"/>
      <c r="AB2073" s="314"/>
      <c r="AC2073" s="314"/>
      <c r="AD2073" s="314"/>
      <c r="AE2073" s="314"/>
      <c r="AF2073" s="314"/>
    </row>
    <row r="2074" spans="5:32" x14ac:dyDescent="0.35">
      <c r="E2074" s="314"/>
      <c r="F2074" s="314"/>
      <c r="G2074" s="314"/>
      <c r="H2074" s="314"/>
      <c r="I2074" s="314"/>
      <c r="J2074" s="314"/>
      <c r="K2074" s="314"/>
      <c r="L2074" s="314"/>
      <c r="M2074" s="314"/>
      <c r="N2074" s="314"/>
      <c r="O2074" s="314"/>
      <c r="P2074" s="314"/>
      <c r="Q2074" s="314"/>
      <c r="R2074" s="314"/>
      <c r="S2074" s="314"/>
      <c r="T2074" s="314"/>
      <c r="U2074" s="314"/>
      <c r="V2074" s="314"/>
      <c r="W2074" s="314"/>
      <c r="X2074" s="314"/>
      <c r="Y2074" s="314"/>
      <c r="Z2074" s="314"/>
      <c r="AA2074" s="314"/>
      <c r="AB2074" s="314"/>
      <c r="AC2074" s="314"/>
      <c r="AD2074" s="314"/>
      <c r="AE2074" s="314"/>
      <c r="AF2074" s="314"/>
    </row>
    <row r="2075" spans="5:32" x14ac:dyDescent="0.35">
      <c r="E2075" s="314"/>
      <c r="F2075" s="314"/>
      <c r="G2075" s="314"/>
      <c r="H2075" s="314"/>
      <c r="I2075" s="314"/>
      <c r="J2075" s="314"/>
      <c r="K2075" s="314"/>
      <c r="L2075" s="314"/>
      <c r="M2075" s="314"/>
      <c r="N2075" s="314"/>
      <c r="O2075" s="314"/>
      <c r="P2075" s="314"/>
      <c r="Q2075" s="314"/>
      <c r="R2075" s="314"/>
      <c r="S2075" s="314"/>
      <c r="T2075" s="314"/>
      <c r="U2075" s="314"/>
      <c r="V2075" s="314"/>
      <c r="W2075" s="314"/>
      <c r="X2075" s="314"/>
      <c r="Y2075" s="314"/>
      <c r="Z2075" s="314"/>
      <c r="AA2075" s="314"/>
      <c r="AB2075" s="314"/>
      <c r="AC2075" s="314"/>
      <c r="AD2075" s="314"/>
      <c r="AE2075" s="314"/>
      <c r="AF2075" s="314"/>
    </row>
    <row r="2076" spans="5:32" x14ac:dyDescent="0.35">
      <c r="E2076" s="314"/>
      <c r="F2076" s="314"/>
      <c r="G2076" s="314"/>
      <c r="H2076" s="314"/>
      <c r="I2076" s="314"/>
      <c r="J2076" s="314"/>
      <c r="K2076" s="314"/>
      <c r="L2076" s="314"/>
      <c r="M2076" s="314"/>
      <c r="N2076" s="314"/>
      <c r="O2076" s="314"/>
      <c r="P2076" s="314"/>
      <c r="Q2076" s="314"/>
      <c r="R2076" s="314"/>
      <c r="S2076" s="314"/>
      <c r="T2076" s="314"/>
      <c r="U2076" s="314"/>
      <c r="V2076" s="314"/>
      <c r="W2076" s="314"/>
      <c r="X2076" s="314"/>
      <c r="Y2076" s="314"/>
      <c r="Z2076" s="314"/>
      <c r="AA2076" s="314"/>
      <c r="AB2076" s="314"/>
      <c r="AC2076" s="314"/>
      <c r="AD2076" s="314"/>
      <c r="AE2076" s="314"/>
      <c r="AF2076" s="314"/>
    </row>
    <row r="2077" spans="5:32" x14ac:dyDescent="0.35">
      <c r="E2077" s="314"/>
      <c r="F2077" s="314"/>
      <c r="G2077" s="314"/>
      <c r="H2077" s="314"/>
      <c r="I2077" s="314"/>
      <c r="J2077" s="314"/>
      <c r="K2077" s="314"/>
      <c r="L2077" s="314"/>
      <c r="M2077" s="314"/>
      <c r="N2077" s="314"/>
      <c r="O2077" s="314"/>
      <c r="P2077" s="314"/>
      <c r="Q2077" s="314"/>
      <c r="R2077" s="314"/>
      <c r="S2077" s="314"/>
      <c r="T2077" s="314"/>
      <c r="U2077" s="314"/>
      <c r="V2077" s="314"/>
      <c r="W2077" s="314"/>
      <c r="X2077" s="314"/>
      <c r="Y2077" s="314"/>
      <c r="Z2077" s="314"/>
      <c r="AA2077" s="314"/>
      <c r="AB2077" s="314"/>
      <c r="AC2077" s="314"/>
      <c r="AD2077" s="314"/>
      <c r="AE2077" s="314"/>
      <c r="AF2077" s="314"/>
    </row>
    <row r="2078" spans="5:32" x14ac:dyDescent="0.35">
      <c r="E2078" s="314"/>
      <c r="F2078" s="314"/>
      <c r="G2078" s="314"/>
      <c r="H2078" s="314"/>
      <c r="I2078" s="314"/>
      <c r="J2078" s="314"/>
      <c r="K2078" s="314"/>
      <c r="L2078" s="314"/>
      <c r="M2078" s="314"/>
      <c r="N2078" s="314"/>
      <c r="O2078" s="314"/>
      <c r="P2078" s="314"/>
      <c r="Q2078" s="314"/>
      <c r="R2078" s="314"/>
      <c r="S2078" s="314"/>
      <c r="T2078" s="314"/>
      <c r="U2078" s="314"/>
      <c r="V2078" s="314"/>
      <c r="W2078" s="314"/>
      <c r="X2078" s="314"/>
      <c r="Y2078" s="314"/>
      <c r="Z2078" s="314"/>
      <c r="AA2078" s="314"/>
      <c r="AB2078" s="314"/>
      <c r="AC2078" s="314"/>
      <c r="AD2078" s="314"/>
      <c r="AE2078" s="314"/>
      <c r="AF2078" s="314"/>
    </row>
    <row r="2079" spans="5:32" x14ac:dyDescent="0.35">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314"/>
      <c r="AE2079" s="314"/>
      <c r="AF2079" s="314"/>
    </row>
    <row r="2080" spans="5:32" x14ac:dyDescent="0.35">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314"/>
      <c r="AF2080" s="314"/>
    </row>
    <row r="2081" spans="5:32" x14ac:dyDescent="0.35">
      <c r="E2081" s="314"/>
      <c r="F2081" s="314"/>
      <c r="G2081" s="314"/>
      <c r="H2081" s="314"/>
      <c r="I2081" s="314"/>
      <c r="J2081" s="314"/>
      <c r="K2081" s="314"/>
      <c r="L2081" s="314"/>
      <c r="M2081" s="314"/>
      <c r="N2081" s="314"/>
      <c r="O2081" s="314"/>
      <c r="P2081" s="314"/>
      <c r="Q2081" s="314"/>
      <c r="R2081" s="314"/>
      <c r="S2081" s="314"/>
      <c r="T2081" s="314"/>
      <c r="U2081" s="314"/>
      <c r="V2081" s="314"/>
      <c r="W2081" s="314"/>
      <c r="X2081" s="314"/>
      <c r="Y2081" s="314"/>
      <c r="Z2081" s="314"/>
      <c r="AA2081" s="314"/>
      <c r="AB2081" s="314"/>
      <c r="AC2081" s="314"/>
      <c r="AD2081" s="314"/>
      <c r="AE2081" s="314"/>
      <c r="AF2081" s="314"/>
    </row>
    <row r="2082" spans="5:32" x14ac:dyDescent="0.35">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314"/>
      <c r="AE2082" s="314"/>
      <c r="AF2082" s="314"/>
    </row>
    <row r="2083" spans="5:32" x14ac:dyDescent="0.35">
      <c r="E2083" s="314"/>
      <c r="F2083" s="314"/>
      <c r="G2083" s="314"/>
      <c r="H2083" s="314"/>
      <c r="I2083" s="314"/>
      <c r="J2083" s="314"/>
      <c r="K2083" s="314"/>
      <c r="L2083" s="314"/>
      <c r="M2083" s="314"/>
      <c r="N2083" s="314"/>
      <c r="O2083" s="314"/>
      <c r="P2083" s="314"/>
      <c r="Q2083" s="314"/>
      <c r="R2083" s="314"/>
      <c r="S2083" s="314"/>
      <c r="T2083" s="314"/>
      <c r="U2083" s="314"/>
      <c r="V2083" s="314"/>
      <c r="W2083" s="314"/>
      <c r="X2083" s="314"/>
      <c r="Y2083" s="314"/>
      <c r="Z2083" s="314"/>
      <c r="AA2083" s="314"/>
      <c r="AB2083" s="314"/>
      <c r="AC2083" s="314"/>
      <c r="AD2083" s="314"/>
      <c r="AE2083" s="314"/>
      <c r="AF2083" s="314"/>
    </row>
    <row r="2084" spans="5:32" x14ac:dyDescent="0.35">
      <c r="E2084" s="314"/>
      <c r="F2084" s="314"/>
      <c r="G2084" s="314"/>
      <c r="H2084" s="314"/>
      <c r="I2084" s="314"/>
      <c r="J2084" s="314"/>
      <c r="K2084" s="314"/>
      <c r="L2084" s="314"/>
      <c r="M2084" s="314"/>
      <c r="N2084" s="314"/>
      <c r="O2084" s="314"/>
      <c r="P2084" s="314"/>
      <c r="Q2084" s="314"/>
      <c r="R2084" s="314"/>
      <c r="S2084" s="314"/>
      <c r="T2084" s="314"/>
      <c r="U2084" s="314"/>
      <c r="V2084" s="314"/>
      <c r="W2084" s="314"/>
      <c r="X2084" s="314"/>
      <c r="Y2084" s="314"/>
      <c r="Z2084" s="314"/>
      <c r="AA2084" s="314"/>
      <c r="AB2084" s="314"/>
      <c r="AC2084" s="314"/>
      <c r="AD2084" s="314"/>
      <c r="AE2084" s="314"/>
      <c r="AF2084" s="314"/>
    </row>
    <row r="2085" spans="5:32" x14ac:dyDescent="0.35">
      <c r="E2085" s="314"/>
      <c r="F2085" s="314"/>
      <c r="G2085" s="314"/>
      <c r="H2085" s="314"/>
      <c r="I2085" s="314"/>
      <c r="J2085" s="314"/>
      <c r="K2085" s="314"/>
      <c r="L2085" s="314"/>
      <c r="M2085" s="314"/>
      <c r="N2085" s="314"/>
      <c r="O2085" s="314"/>
      <c r="P2085" s="314"/>
      <c r="Q2085" s="314"/>
      <c r="R2085" s="314"/>
      <c r="S2085" s="314"/>
      <c r="T2085" s="314"/>
      <c r="U2085" s="314"/>
      <c r="V2085" s="314"/>
      <c r="W2085" s="314"/>
      <c r="X2085" s="314"/>
      <c r="Y2085" s="314"/>
      <c r="Z2085" s="314"/>
      <c r="AA2085" s="314"/>
      <c r="AB2085" s="314"/>
      <c r="AC2085" s="314"/>
      <c r="AD2085" s="314"/>
      <c r="AE2085" s="314"/>
      <c r="AF2085" s="314"/>
    </row>
    <row r="2086" spans="5:32" x14ac:dyDescent="0.35">
      <c r="E2086" s="314"/>
      <c r="F2086" s="314"/>
      <c r="G2086" s="314"/>
      <c r="H2086" s="314"/>
      <c r="I2086" s="314"/>
      <c r="J2086" s="314"/>
      <c r="K2086" s="314"/>
      <c r="L2086" s="314"/>
      <c r="M2086" s="314"/>
      <c r="N2086" s="314"/>
      <c r="O2086" s="314"/>
      <c r="P2086" s="314"/>
      <c r="Q2086" s="314"/>
      <c r="R2086" s="314"/>
      <c r="S2086" s="314"/>
      <c r="T2086" s="314"/>
      <c r="U2086" s="314"/>
      <c r="V2086" s="314"/>
      <c r="W2086" s="314"/>
      <c r="X2086" s="314"/>
      <c r="Y2086" s="314"/>
      <c r="Z2086" s="314"/>
      <c r="AA2086" s="314"/>
      <c r="AB2086" s="314"/>
      <c r="AC2086" s="314"/>
      <c r="AD2086" s="314"/>
      <c r="AE2086" s="314"/>
      <c r="AF2086" s="314"/>
    </row>
    <row r="2087" spans="5:32" x14ac:dyDescent="0.35">
      <c r="E2087" s="314"/>
      <c r="F2087" s="314"/>
      <c r="G2087" s="314"/>
      <c r="H2087" s="314"/>
      <c r="I2087" s="314"/>
      <c r="J2087" s="314"/>
      <c r="K2087" s="314"/>
      <c r="L2087" s="314"/>
      <c r="M2087" s="314"/>
      <c r="N2087" s="314"/>
      <c r="O2087" s="314"/>
      <c r="P2087" s="314"/>
      <c r="Q2087" s="314"/>
      <c r="R2087" s="314"/>
      <c r="S2087" s="314"/>
      <c r="T2087" s="314"/>
      <c r="U2087" s="314"/>
      <c r="V2087" s="314"/>
      <c r="W2087" s="314"/>
      <c r="X2087" s="314"/>
      <c r="Y2087" s="314"/>
      <c r="Z2087" s="314"/>
      <c r="AA2087" s="314"/>
      <c r="AB2087" s="314"/>
      <c r="AC2087" s="314"/>
      <c r="AD2087" s="314"/>
      <c r="AE2087" s="314"/>
      <c r="AF2087" s="314"/>
    </row>
    <row r="2088" spans="5:32" x14ac:dyDescent="0.35">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314"/>
      <c r="AE2088" s="314"/>
      <c r="AF2088" s="314"/>
    </row>
    <row r="2089" spans="5:32" x14ac:dyDescent="0.35">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314"/>
      <c r="AF2089" s="314"/>
    </row>
    <row r="2090" spans="5:32" x14ac:dyDescent="0.35">
      <c r="E2090" s="314"/>
      <c r="F2090" s="314"/>
      <c r="G2090" s="314"/>
      <c r="H2090" s="314"/>
      <c r="I2090" s="314"/>
      <c r="J2090" s="314"/>
      <c r="K2090" s="314"/>
      <c r="L2090" s="314"/>
      <c r="M2090" s="314"/>
      <c r="N2090" s="314"/>
      <c r="O2090" s="314"/>
      <c r="P2090" s="314"/>
      <c r="Q2090" s="314"/>
      <c r="R2090" s="314"/>
      <c r="S2090" s="314"/>
      <c r="T2090" s="314"/>
      <c r="U2090" s="314"/>
      <c r="V2090" s="314"/>
      <c r="W2090" s="314"/>
      <c r="X2090" s="314"/>
      <c r="Y2090" s="314"/>
      <c r="Z2090" s="314"/>
      <c r="AA2090" s="314"/>
      <c r="AB2090" s="314"/>
      <c r="AC2090" s="314"/>
      <c r="AD2090" s="314"/>
      <c r="AE2090" s="314"/>
      <c r="AF2090" s="314"/>
    </row>
    <row r="2091" spans="5:32" x14ac:dyDescent="0.35">
      <c r="E2091" s="314"/>
      <c r="F2091" s="314"/>
      <c r="G2091" s="314"/>
      <c r="H2091" s="314"/>
      <c r="I2091" s="314"/>
      <c r="J2091" s="314"/>
      <c r="K2091" s="314"/>
      <c r="L2091" s="314"/>
      <c r="M2091" s="314"/>
      <c r="N2091" s="314"/>
      <c r="O2091" s="314"/>
      <c r="P2091" s="314"/>
      <c r="Q2091" s="314"/>
      <c r="R2091" s="314"/>
      <c r="S2091" s="314"/>
      <c r="T2091" s="314"/>
      <c r="U2091" s="314"/>
      <c r="V2091" s="314"/>
      <c r="W2091" s="314"/>
      <c r="X2091" s="314"/>
      <c r="Y2091" s="314"/>
      <c r="Z2091" s="314"/>
      <c r="AA2091" s="314"/>
      <c r="AB2091" s="314"/>
      <c r="AC2091" s="314"/>
      <c r="AD2091" s="314"/>
      <c r="AE2091" s="314"/>
      <c r="AF2091" s="314"/>
    </row>
    <row r="2092" spans="5:32" x14ac:dyDescent="0.35">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314"/>
      <c r="AE2092" s="314"/>
      <c r="AF2092" s="314"/>
    </row>
    <row r="2093" spans="5:32" x14ac:dyDescent="0.35">
      <c r="E2093" s="314"/>
      <c r="F2093" s="314"/>
      <c r="G2093" s="314"/>
      <c r="H2093" s="314"/>
      <c r="I2093" s="314"/>
      <c r="J2093" s="314"/>
      <c r="K2093" s="314"/>
      <c r="L2093" s="314"/>
      <c r="M2093" s="314"/>
      <c r="N2093" s="314"/>
      <c r="O2093" s="314"/>
      <c r="P2093" s="314"/>
      <c r="Q2093" s="314"/>
      <c r="R2093" s="314"/>
      <c r="S2093" s="314"/>
      <c r="T2093" s="314"/>
      <c r="U2093" s="314"/>
      <c r="V2093" s="314"/>
      <c r="W2093" s="314"/>
      <c r="X2093" s="314"/>
      <c r="Y2093" s="314"/>
      <c r="Z2093" s="314"/>
      <c r="AA2093" s="314"/>
      <c r="AB2093" s="314"/>
      <c r="AC2093" s="314"/>
      <c r="AD2093" s="314"/>
      <c r="AE2093" s="314"/>
      <c r="AF2093" s="314"/>
    </row>
    <row r="2094" spans="5:32" x14ac:dyDescent="0.35">
      <c r="E2094" s="314"/>
      <c r="F2094" s="314"/>
      <c r="G2094" s="314"/>
      <c r="H2094" s="314"/>
      <c r="I2094" s="314"/>
      <c r="J2094" s="314"/>
      <c r="K2094" s="314"/>
      <c r="L2094" s="314"/>
      <c r="M2094" s="314"/>
      <c r="N2094" s="314"/>
      <c r="O2094" s="314"/>
      <c r="P2094" s="314"/>
      <c r="Q2094" s="314"/>
      <c r="R2094" s="314"/>
      <c r="S2094" s="314"/>
      <c r="T2094" s="314"/>
      <c r="U2094" s="314"/>
      <c r="V2094" s="314"/>
      <c r="W2094" s="314"/>
      <c r="X2094" s="314"/>
      <c r="Y2094" s="314"/>
      <c r="Z2094" s="314"/>
      <c r="AA2094" s="314"/>
      <c r="AB2094" s="314"/>
      <c r="AC2094" s="314"/>
      <c r="AD2094" s="314"/>
      <c r="AE2094" s="314"/>
      <c r="AF2094" s="314"/>
    </row>
    <row r="2095" spans="5:32" x14ac:dyDescent="0.35">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314"/>
      <c r="AE2095" s="314"/>
      <c r="AF2095" s="314"/>
    </row>
    <row r="2096" spans="5:32" x14ac:dyDescent="0.35">
      <c r="E2096" s="314"/>
      <c r="F2096" s="314"/>
      <c r="G2096" s="314"/>
      <c r="H2096" s="314"/>
      <c r="I2096" s="314"/>
      <c r="J2096" s="314"/>
      <c r="K2096" s="314"/>
      <c r="L2096" s="314"/>
      <c r="M2096" s="314"/>
      <c r="N2096" s="314"/>
      <c r="O2096" s="314"/>
      <c r="P2096" s="314"/>
      <c r="Q2096" s="314"/>
      <c r="R2096" s="314"/>
      <c r="S2096" s="314"/>
      <c r="T2096" s="314"/>
      <c r="U2096" s="314"/>
      <c r="V2096" s="314"/>
      <c r="W2096" s="314"/>
      <c r="X2096" s="314"/>
      <c r="Y2096" s="314"/>
      <c r="Z2096" s="314"/>
      <c r="AA2096" s="314"/>
      <c r="AB2096" s="314"/>
      <c r="AC2096" s="314"/>
      <c r="AD2096" s="314"/>
      <c r="AE2096" s="314"/>
      <c r="AF2096" s="314"/>
    </row>
    <row r="2097" spans="5:32" x14ac:dyDescent="0.35">
      <c r="E2097" s="314"/>
      <c r="F2097" s="314"/>
      <c r="G2097" s="314"/>
      <c r="H2097" s="314"/>
      <c r="I2097" s="314"/>
      <c r="J2097" s="314"/>
      <c r="K2097" s="314"/>
      <c r="L2097" s="314"/>
      <c r="M2097" s="314"/>
      <c r="N2097" s="314"/>
      <c r="O2097" s="314"/>
      <c r="P2097" s="314"/>
      <c r="Q2097" s="314"/>
      <c r="R2097" s="314"/>
      <c r="S2097" s="314"/>
      <c r="T2097" s="314"/>
      <c r="U2097" s="314"/>
      <c r="V2097" s="314"/>
      <c r="W2097" s="314"/>
      <c r="X2097" s="314"/>
      <c r="Y2097" s="314"/>
      <c r="Z2097" s="314"/>
      <c r="AA2097" s="314"/>
      <c r="AB2097" s="314"/>
      <c r="AC2097" s="314"/>
      <c r="AD2097" s="314"/>
      <c r="AE2097" s="314"/>
      <c r="AF2097" s="314"/>
    </row>
    <row r="2098" spans="5:32" x14ac:dyDescent="0.35">
      <c r="E2098" s="314"/>
      <c r="F2098" s="314"/>
      <c r="G2098" s="314"/>
      <c r="H2098" s="314"/>
      <c r="I2098" s="314"/>
      <c r="J2098" s="314"/>
      <c r="K2098" s="314"/>
      <c r="L2098" s="314"/>
      <c r="M2098" s="314"/>
      <c r="N2098" s="314"/>
      <c r="O2098" s="314"/>
      <c r="P2098" s="314"/>
      <c r="Q2098" s="314"/>
      <c r="R2098" s="314"/>
      <c r="S2098" s="314"/>
      <c r="T2098" s="314"/>
      <c r="U2098" s="314"/>
      <c r="V2098" s="314"/>
      <c r="W2098" s="314"/>
      <c r="X2098" s="314"/>
      <c r="Y2098" s="314"/>
      <c r="Z2098" s="314"/>
      <c r="AA2098" s="314"/>
      <c r="AB2098" s="314"/>
      <c r="AC2098" s="314"/>
      <c r="AD2098" s="314"/>
      <c r="AE2098" s="314"/>
      <c r="AF2098" s="314"/>
    </row>
    <row r="2099" spans="5:32" x14ac:dyDescent="0.35">
      <c r="E2099" s="314"/>
      <c r="F2099" s="314"/>
      <c r="G2099" s="314"/>
      <c r="H2099" s="314"/>
      <c r="I2099" s="314"/>
      <c r="J2099" s="314"/>
      <c r="K2099" s="314"/>
      <c r="L2099" s="314"/>
      <c r="M2099" s="314"/>
      <c r="N2099" s="314"/>
      <c r="O2099" s="314"/>
      <c r="P2099" s="314"/>
      <c r="Q2099" s="314"/>
      <c r="R2099" s="314"/>
      <c r="S2099" s="314"/>
      <c r="T2099" s="314"/>
      <c r="U2099" s="314"/>
      <c r="V2099" s="314"/>
      <c r="W2099" s="314"/>
      <c r="X2099" s="314"/>
      <c r="Y2099" s="314"/>
      <c r="Z2099" s="314"/>
      <c r="AA2099" s="314"/>
      <c r="AB2099" s="314"/>
      <c r="AC2099" s="314"/>
      <c r="AD2099" s="314"/>
      <c r="AE2099" s="314"/>
      <c r="AF2099" s="314"/>
    </row>
    <row r="2100" spans="5:32" x14ac:dyDescent="0.35">
      <c r="E2100" s="314"/>
      <c r="F2100" s="314"/>
      <c r="G2100" s="314"/>
      <c r="H2100" s="314"/>
      <c r="I2100" s="314"/>
      <c r="J2100" s="314"/>
      <c r="K2100" s="314"/>
      <c r="L2100" s="314"/>
      <c r="M2100" s="314"/>
      <c r="N2100" s="314"/>
      <c r="O2100" s="314"/>
      <c r="P2100" s="314"/>
      <c r="Q2100" s="314"/>
      <c r="R2100" s="314"/>
      <c r="S2100" s="314"/>
      <c r="T2100" s="314"/>
      <c r="U2100" s="314"/>
      <c r="V2100" s="314"/>
      <c r="W2100" s="314"/>
      <c r="X2100" s="314"/>
      <c r="Y2100" s="314"/>
      <c r="Z2100" s="314"/>
      <c r="AA2100" s="314"/>
      <c r="AB2100" s="314"/>
      <c r="AC2100" s="314"/>
      <c r="AD2100" s="314"/>
      <c r="AE2100" s="314"/>
      <c r="AF2100" s="314"/>
    </row>
    <row r="2101" spans="5:32" x14ac:dyDescent="0.35">
      <c r="E2101" s="314"/>
      <c r="F2101" s="314"/>
      <c r="G2101" s="314"/>
      <c r="H2101" s="314"/>
      <c r="I2101" s="314"/>
      <c r="J2101" s="314"/>
      <c r="K2101" s="314"/>
      <c r="L2101" s="314"/>
      <c r="M2101" s="314"/>
      <c r="N2101" s="314"/>
      <c r="O2101" s="314"/>
      <c r="P2101" s="314"/>
      <c r="Q2101" s="314"/>
      <c r="R2101" s="314"/>
      <c r="S2101" s="314"/>
      <c r="T2101" s="314"/>
      <c r="U2101" s="314"/>
      <c r="V2101" s="314"/>
      <c r="W2101" s="314"/>
      <c r="X2101" s="314"/>
      <c r="Y2101" s="314"/>
      <c r="Z2101" s="314"/>
      <c r="AA2101" s="314"/>
      <c r="AB2101" s="314"/>
      <c r="AC2101" s="314"/>
      <c r="AD2101" s="314"/>
      <c r="AE2101" s="314"/>
      <c r="AF2101" s="314"/>
    </row>
    <row r="2102" spans="5:32" x14ac:dyDescent="0.35">
      <c r="E2102" s="314"/>
      <c r="F2102" s="314"/>
      <c r="G2102" s="314"/>
      <c r="H2102" s="314"/>
      <c r="I2102" s="314"/>
      <c r="J2102" s="314"/>
      <c r="K2102" s="314"/>
      <c r="L2102" s="314"/>
      <c r="M2102" s="314"/>
      <c r="N2102" s="314"/>
      <c r="O2102" s="314"/>
      <c r="P2102" s="314"/>
      <c r="Q2102" s="314"/>
      <c r="R2102" s="314"/>
      <c r="S2102" s="314"/>
      <c r="T2102" s="314"/>
      <c r="U2102" s="314"/>
      <c r="V2102" s="314"/>
      <c r="W2102" s="314"/>
      <c r="X2102" s="314"/>
      <c r="Y2102" s="314"/>
      <c r="Z2102" s="314"/>
      <c r="AA2102" s="314"/>
      <c r="AB2102" s="314"/>
      <c r="AC2102" s="314"/>
      <c r="AD2102" s="314"/>
      <c r="AE2102" s="314"/>
      <c r="AF2102" s="314"/>
    </row>
    <row r="2103" spans="5:32" x14ac:dyDescent="0.35">
      <c r="E2103" s="314"/>
      <c r="F2103" s="314"/>
      <c r="G2103" s="314"/>
      <c r="H2103" s="314"/>
      <c r="I2103" s="314"/>
      <c r="J2103" s="314"/>
      <c r="K2103" s="314"/>
      <c r="L2103" s="314"/>
      <c r="M2103" s="314"/>
      <c r="N2103" s="314"/>
      <c r="O2103" s="314"/>
      <c r="P2103" s="314"/>
      <c r="Q2103" s="314"/>
      <c r="R2103" s="314"/>
      <c r="S2103" s="314"/>
      <c r="T2103" s="314"/>
      <c r="U2103" s="314"/>
      <c r="V2103" s="314"/>
      <c r="W2103" s="314"/>
      <c r="X2103" s="314"/>
      <c r="Y2103" s="314"/>
      <c r="Z2103" s="314"/>
      <c r="AA2103" s="314"/>
      <c r="AB2103" s="314"/>
      <c r="AC2103" s="314"/>
      <c r="AD2103" s="314"/>
      <c r="AE2103" s="314"/>
      <c r="AF2103" s="314"/>
    </row>
    <row r="2104" spans="5:32" x14ac:dyDescent="0.35">
      <c r="E2104" s="314"/>
      <c r="F2104" s="314"/>
      <c r="G2104" s="314"/>
      <c r="H2104" s="314"/>
      <c r="I2104" s="314"/>
      <c r="J2104" s="314"/>
      <c r="K2104" s="314"/>
      <c r="L2104" s="314"/>
      <c r="M2104" s="314"/>
      <c r="N2104" s="314"/>
      <c r="O2104" s="314"/>
      <c r="P2104" s="314"/>
      <c r="Q2104" s="314"/>
      <c r="R2104" s="314"/>
      <c r="S2104" s="314"/>
      <c r="T2104" s="314"/>
      <c r="U2104" s="314"/>
      <c r="V2104" s="314"/>
      <c r="W2104" s="314"/>
      <c r="X2104" s="314"/>
      <c r="Y2104" s="314"/>
      <c r="Z2104" s="314"/>
      <c r="AA2104" s="314"/>
      <c r="AB2104" s="314"/>
      <c r="AC2104" s="314"/>
      <c r="AD2104" s="314"/>
      <c r="AE2104" s="314"/>
      <c r="AF2104" s="314"/>
    </row>
    <row r="2105" spans="5:32" x14ac:dyDescent="0.35">
      <c r="E2105" s="314"/>
      <c r="F2105" s="314"/>
      <c r="G2105" s="314"/>
      <c r="H2105" s="314"/>
      <c r="I2105" s="314"/>
      <c r="J2105" s="314"/>
      <c r="K2105" s="314"/>
      <c r="L2105" s="314"/>
      <c r="M2105" s="314"/>
      <c r="N2105" s="314"/>
      <c r="O2105" s="314"/>
      <c r="P2105" s="314"/>
      <c r="Q2105" s="314"/>
      <c r="R2105" s="314"/>
      <c r="S2105" s="314"/>
      <c r="T2105" s="314"/>
      <c r="U2105" s="314"/>
      <c r="V2105" s="314"/>
      <c r="W2105" s="314"/>
      <c r="X2105" s="314"/>
      <c r="Y2105" s="314"/>
      <c r="Z2105" s="314"/>
      <c r="AA2105" s="314"/>
      <c r="AB2105" s="314"/>
      <c r="AC2105" s="314"/>
      <c r="AD2105" s="314"/>
      <c r="AE2105" s="314"/>
      <c r="AF2105" s="314"/>
    </row>
    <row r="2106" spans="5:32" x14ac:dyDescent="0.35">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314"/>
      <c r="AE2106" s="314"/>
      <c r="AF2106" s="314"/>
    </row>
    <row r="2107" spans="5:32" x14ac:dyDescent="0.35">
      <c r="E2107" s="314"/>
      <c r="F2107" s="314"/>
      <c r="G2107" s="314"/>
      <c r="H2107" s="314"/>
      <c r="I2107" s="314"/>
      <c r="J2107" s="314"/>
      <c r="K2107" s="314"/>
      <c r="L2107" s="314"/>
      <c r="M2107" s="314"/>
      <c r="N2107" s="314"/>
      <c r="O2107" s="314"/>
      <c r="P2107" s="314"/>
      <c r="Q2107" s="314"/>
      <c r="R2107" s="314"/>
      <c r="S2107" s="314"/>
      <c r="T2107" s="314"/>
      <c r="U2107" s="314"/>
      <c r="V2107" s="314"/>
      <c r="W2107" s="314"/>
      <c r="X2107" s="314"/>
      <c r="Y2107" s="314"/>
      <c r="Z2107" s="314"/>
      <c r="AA2107" s="314"/>
      <c r="AB2107" s="314"/>
      <c r="AC2107" s="314"/>
      <c r="AD2107" s="314"/>
      <c r="AE2107" s="314"/>
      <c r="AF2107" s="314"/>
    </row>
    <row r="2108" spans="5:32" x14ac:dyDescent="0.35">
      <c r="E2108" s="314"/>
      <c r="F2108" s="314"/>
      <c r="G2108" s="314"/>
      <c r="H2108" s="314"/>
      <c r="I2108" s="314"/>
      <c r="J2108" s="314"/>
      <c r="K2108" s="314"/>
      <c r="L2108" s="314"/>
      <c r="M2108" s="314"/>
      <c r="N2108" s="314"/>
      <c r="O2108" s="314"/>
      <c r="P2108" s="314"/>
      <c r="Q2108" s="314"/>
      <c r="R2108" s="314"/>
      <c r="S2108" s="314"/>
      <c r="T2108" s="314"/>
      <c r="U2108" s="314"/>
      <c r="V2108" s="314"/>
      <c r="W2108" s="314"/>
      <c r="X2108" s="314"/>
      <c r="Y2108" s="314"/>
      <c r="Z2108" s="314"/>
      <c r="AA2108" s="314"/>
      <c r="AB2108" s="314"/>
      <c r="AC2108" s="314"/>
      <c r="AD2108" s="314"/>
      <c r="AE2108" s="314"/>
      <c r="AF2108" s="314"/>
    </row>
    <row r="2109" spans="5:32" x14ac:dyDescent="0.35">
      <c r="E2109" s="314"/>
      <c r="F2109" s="314"/>
      <c r="G2109" s="314"/>
      <c r="H2109" s="314"/>
      <c r="I2109" s="314"/>
      <c r="J2109" s="314"/>
      <c r="K2109" s="314"/>
      <c r="L2109" s="314"/>
      <c r="M2109" s="314"/>
      <c r="N2109" s="314"/>
      <c r="O2109" s="314"/>
      <c r="P2109" s="314"/>
      <c r="Q2109" s="314"/>
      <c r="R2109" s="314"/>
      <c r="S2109" s="314"/>
      <c r="T2109" s="314"/>
      <c r="U2109" s="314"/>
      <c r="V2109" s="314"/>
      <c r="W2109" s="314"/>
      <c r="X2109" s="314"/>
      <c r="Y2109" s="314"/>
      <c r="Z2109" s="314"/>
      <c r="AA2109" s="314"/>
      <c r="AB2109" s="314"/>
      <c r="AC2109" s="314"/>
      <c r="AD2109" s="314"/>
      <c r="AE2109" s="314"/>
      <c r="AF2109" s="314"/>
    </row>
    <row r="2110" spans="5:32" x14ac:dyDescent="0.35">
      <c r="E2110" s="314"/>
      <c r="F2110" s="314"/>
      <c r="G2110" s="314"/>
      <c r="H2110" s="314"/>
      <c r="I2110" s="314"/>
      <c r="J2110" s="314"/>
      <c r="K2110" s="314"/>
      <c r="L2110" s="314"/>
      <c r="M2110" s="314"/>
      <c r="N2110" s="314"/>
      <c r="O2110" s="314"/>
      <c r="P2110" s="314"/>
      <c r="Q2110" s="314"/>
      <c r="R2110" s="314"/>
      <c r="S2110" s="314"/>
      <c r="T2110" s="314"/>
      <c r="U2110" s="314"/>
      <c r="V2110" s="314"/>
      <c r="W2110" s="314"/>
      <c r="X2110" s="314"/>
      <c r="Y2110" s="314"/>
      <c r="Z2110" s="314"/>
      <c r="AA2110" s="314"/>
      <c r="AB2110" s="314"/>
      <c r="AC2110" s="314"/>
      <c r="AD2110" s="314"/>
      <c r="AE2110" s="314"/>
      <c r="AF2110" s="314"/>
    </row>
    <row r="2111" spans="5:32" x14ac:dyDescent="0.35">
      <c r="E2111" s="314"/>
      <c r="F2111" s="314"/>
      <c r="G2111" s="314"/>
      <c r="H2111" s="314"/>
      <c r="I2111" s="314"/>
      <c r="J2111" s="314"/>
      <c r="K2111" s="314"/>
      <c r="L2111" s="314"/>
      <c r="M2111" s="314"/>
      <c r="N2111" s="314"/>
      <c r="O2111" s="314"/>
      <c r="P2111" s="314"/>
      <c r="Q2111" s="314"/>
      <c r="R2111" s="314"/>
      <c r="S2111" s="314"/>
      <c r="T2111" s="314"/>
      <c r="U2111" s="314"/>
      <c r="V2111" s="314"/>
      <c r="W2111" s="314"/>
      <c r="X2111" s="314"/>
      <c r="Y2111" s="314"/>
      <c r="Z2111" s="314"/>
      <c r="AA2111" s="314"/>
      <c r="AB2111" s="314"/>
      <c r="AC2111" s="314"/>
      <c r="AD2111" s="314"/>
      <c r="AE2111" s="314"/>
      <c r="AF2111" s="314"/>
    </row>
    <row r="2112" spans="5:32" x14ac:dyDescent="0.35">
      <c r="E2112" s="314"/>
      <c r="F2112" s="314"/>
      <c r="G2112" s="314"/>
      <c r="H2112" s="314"/>
      <c r="I2112" s="314"/>
      <c r="J2112" s="314"/>
      <c r="K2112" s="314"/>
      <c r="L2112" s="314"/>
      <c r="M2112" s="314"/>
      <c r="N2112" s="314"/>
      <c r="O2112" s="314"/>
      <c r="P2112" s="314"/>
      <c r="Q2112" s="314"/>
      <c r="R2112" s="314"/>
      <c r="S2112" s="314"/>
      <c r="T2112" s="314"/>
      <c r="U2112" s="314"/>
      <c r="V2112" s="314"/>
      <c r="W2112" s="314"/>
      <c r="X2112" s="314"/>
      <c r="Y2112" s="314"/>
      <c r="Z2112" s="314"/>
      <c r="AA2112" s="314"/>
      <c r="AB2112" s="314"/>
      <c r="AC2112" s="314"/>
      <c r="AD2112" s="314"/>
      <c r="AE2112" s="314"/>
      <c r="AF2112" s="314"/>
    </row>
    <row r="2113" spans="5:32" x14ac:dyDescent="0.35">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314"/>
      <c r="AF2113" s="314"/>
    </row>
    <row r="2114" spans="5:32" x14ac:dyDescent="0.35">
      <c r="E2114" s="314"/>
      <c r="F2114" s="314"/>
      <c r="G2114" s="314"/>
      <c r="H2114" s="314"/>
      <c r="I2114" s="314"/>
      <c r="J2114" s="314"/>
      <c r="K2114" s="314"/>
      <c r="L2114" s="314"/>
      <c r="M2114" s="314"/>
      <c r="N2114" s="314"/>
      <c r="O2114" s="314"/>
      <c r="P2114" s="314"/>
      <c r="Q2114" s="314"/>
      <c r="R2114" s="314"/>
      <c r="S2114" s="314"/>
      <c r="T2114" s="314"/>
      <c r="U2114" s="314"/>
      <c r="V2114" s="314"/>
      <c r="W2114" s="314"/>
      <c r="X2114" s="314"/>
      <c r="Y2114" s="314"/>
      <c r="Z2114" s="314"/>
      <c r="AA2114" s="314"/>
      <c r="AB2114" s="314"/>
      <c r="AC2114" s="314"/>
      <c r="AD2114" s="314"/>
      <c r="AE2114" s="314"/>
      <c r="AF2114" s="314"/>
    </row>
    <row r="2115" spans="5:32" x14ac:dyDescent="0.35">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314"/>
      <c r="AE2115" s="314"/>
      <c r="AF2115" s="314"/>
    </row>
    <row r="2116" spans="5:32" x14ac:dyDescent="0.35">
      <c r="E2116" s="314"/>
      <c r="F2116" s="314"/>
      <c r="G2116" s="314"/>
      <c r="H2116" s="314"/>
      <c r="I2116" s="314"/>
      <c r="J2116" s="314"/>
      <c r="K2116" s="314"/>
      <c r="L2116" s="314"/>
      <c r="M2116" s="314"/>
      <c r="N2116" s="314"/>
      <c r="O2116" s="314"/>
      <c r="P2116" s="314"/>
      <c r="Q2116" s="314"/>
      <c r="R2116" s="314"/>
      <c r="S2116" s="314"/>
      <c r="T2116" s="314"/>
      <c r="U2116" s="314"/>
      <c r="V2116" s="314"/>
      <c r="W2116" s="314"/>
      <c r="X2116" s="314"/>
      <c r="Y2116" s="314"/>
      <c r="Z2116" s="314"/>
      <c r="AA2116" s="314"/>
      <c r="AB2116" s="314"/>
      <c r="AC2116" s="314"/>
      <c r="AD2116" s="314"/>
      <c r="AE2116" s="314"/>
      <c r="AF2116" s="314"/>
    </row>
    <row r="2117" spans="5:32" x14ac:dyDescent="0.35">
      <c r="E2117" s="314"/>
      <c r="F2117" s="314"/>
      <c r="G2117" s="314"/>
      <c r="H2117" s="314"/>
      <c r="I2117" s="314"/>
      <c r="J2117" s="314"/>
      <c r="K2117" s="314"/>
      <c r="L2117" s="314"/>
      <c r="M2117" s="314"/>
      <c r="N2117" s="314"/>
      <c r="O2117" s="314"/>
      <c r="P2117" s="314"/>
      <c r="Q2117" s="314"/>
      <c r="R2117" s="314"/>
      <c r="S2117" s="314"/>
      <c r="T2117" s="314"/>
      <c r="U2117" s="314"/>
      <c r="V2117" s="314"/>
      <c r="W2117" s="314"/>
      <c r="X2117" s="314"/>
      <c r="Y2117" s="314"/>
      <c r="Z2117" s="314"/>
      <c r="AA2117" s="314"/>
      <c r="AB2117" s="314"/>
      <c r="AC2117" s="314"/>
      <c r="AD2117" s="314"/>
      <c r="AE2117" s="314"/>
      <c r="AF2117" s="314"/>
    </row>
    <row r="2118" spans="5:32" x14ac:dyDescent="0.35">
      <c r="E2118" s="314"/>
      <c r="F2118" s="314"/>
      <c r="G2118" s="314"/>
      <c r="H2118" s="314"/>
      <c r="I2118" s="314"/>
      <c r="J2118" s="314"/>
      <c r="K2118" s="314"/>
      <c r="L2118" s="314"/>
      <c r="M2118" s="314"/>
      <c r="N2118" s="314"/>
      <c r="O2118" s="314"/>
      <c r="P2118" s="314"/>
      <c r="Q2118" s="314"/>
      <c r="R2118" s="314"/>
      <c r="S2118" s="314"/>
      <c r="T2118" s="314"/>
      <c r="U2118" s="314"/>
      <c r="V2118" s="314"/>
      <c r="W2118" s="314"/>
      <c r="X2118" s="314"/>
      <c r="Y2118" s="314"/>
      <c r="Z2118" s="314"/>
      <c r="AA2118" s="314"/>
      <c r="AB2118" s="314"/>
      <c r="AC2118" s="314"/>
      <c r="AD2118" s="314"/>
      <c r="AE2118" s="314"/>
      <c r="AF2118" s="314"/>
    </row>
    <row r="2119" spans="5:32" x14ac:dyDescent="0.35">
      <c r="E2119" s="314"/>
      <c r="F2119" s="314"/>
      <c r="G2119" s="314"/>
      <c r="H2119" s="314"/>
      <c r="I2119" s="314"/>
      <c r="J2119" s="314"/>
      <c r="K2119" s="314"/>
      <c r="L2119" s="314"/>
      <c r="M2119" s="314"/>
      <c r="N2119" s="314"/>
      <c r="O2119" s="314"/>
      <c r="P2119" s="314"/>
      <c r="Q2119" s="314"/>
      <c r="R2119" s="314"/>
      <c r="S2119" s="314"/>
      <c r="T2119" s="314"/>
      <c r="U2119" s="314"/>
      <c r="V2119" s="314"/>
      <c r="W2119" s="314"/>
      <c r="X2119" s="314"/>
      <c r="Y2119" s="314"/>
      <c r="Z2119" s="314"/>
      <c r="AA2119" s="314"/>
      <c r="AB2119" s="314"/>
      <c r="AC2119" s="314"/>
      <c r="AD2119" s="314"/>
      <c r="AE2119" s="314"/>
      <c r="AF2119" s="314"/>
    </row>
    <row r="2120" spans="5:32" x14ac:dyDescent="0.35">
      <c r="E2120" s="314"/>
      <c r="F2120" s="314"/>
      <c r="G2120" s="314"/>
      <c r="H2120" s="314"/>
      <c r="I2120" s="314"/>
      <c r="J2120" s="314"/>
      <c r="K2120" s="314"/>
      <c r="L2120" s="314"/>
      <c r="M2120" s="314"/>
      <c r="N2120" s="314"/>
      <c r="O2120" s="314"/>
      <c r="P2120" s="314"/>
      <c r="Q2120" s="314"/>
      <c r="R2120" s="314"/>
      <c r="S2120" s="314"/>
      <c r="T2120" s="314"/>
      <c r="U2120" s="314"/>
      <c r="V2120" s="314"/>
      <c r="W2120" s="314"/>
      <c r="X2120" s="314"/>
      <c r="Y2120" s="314"/>
      <c r="Z2120" s="314"/>
      <c r="AA2120" s="314"/>
      <c r="AB2120" s="314"/>
      <c r="AC2120" s="314"/>
      <c r="AD2120" s="314"/>
      <c r="AE2120" s="314"/>
      <c r="AF2120" s="314"/>
    </row>
    <row r="2121" spans="5:32" x14ac:dyDescent="0.35">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314"/>
      <c r="AE2121" s="314"/>
      <c r="AF2121" s="314"/>
    </row>
    <row r="2122" spans="5:32" x14ac:dyDescent="0.35">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314"/>
      <c r="AF2122" s="314"/>
    </row>
    <row r="2123" spans="5:32" x14ac:dyDescent="0.35">
      <c r="E2123" s="314"/>
      <c r="F2123" s="314"/>
      <c r="G2123" s="314"/>
      <c r="H2123" s="314"/>
      <c r="I2123" s="314"/>
      <c r="J2123" s="314"/>
      <c r="K2123" s="314"/>
      <c r="L2123" s="314"/>
      <c r="M2123" s="314"/>
      <c r="N2123" s="314"/>
      <c r="O2123" s="314"/>
      <c r="P2123" s="314"/>
      <c r="Q2123" s="314"/>
      <c r="R2123" s="314"/>
      <c r="S2123" s="314"/>
      <c r="T2123" s="314"/>
      <c r="U2123" s="314"/>
      <c r="V2123" s="314"/>
      <c r="W2123" s="314"/>
      <c r="X2123" s="314"/>
      <c r="Y2123" s="314"/>
      <c r="Z2123" s="314"/>
      <c r="AA2123" s="314"/>
      <c r="AB2123" s="314"/>
      <c r="AC2123" s="314"/>
      <c r="AD2123" s="314"/>
      <c r="AE2123" s="314"/>
      <c r="AF2123" s="314"/>
    </row>
    <row r="2124" spans="5:32" x14ac:dyDescent="0.35">
      <c r="E2124" s="314"/>
      <c r="F2124" s="314"/>
      <c r="G2124" s="314"/>
      <c r="H2124" s="314"/>
      <c r="I2124" s="314"/>
      <c r="J2124" s="314"/>
      <c r="K2124" s="314"/>
      <c r="L2124" s="314"/>
      <c r="M2124" s="314"/>
      <c r="N2124" s="314"/>
      <c r="O2124" s="314"/>
      <c r="P2124" s="314"/>
      <c r="Q2124" s="314"/>
      <c r="R2124" s="314"/>
      <c r="S2124" s="314"/>
      <c r="T2124" s="314"/>
      <c r="U2124" s="314"/>
      <c r="V2124" s="314"/>
      <c r="W2124" s="314"/>
      <c r="X2124" s="314"/>
      <c r="Y2124" s="314"/>
      <c r="Z2124" s="314"/>
      <c r="AA2124" s="314"/>
      <c r="AB2124" s="314"/>
      <c r="AC2124" s="314"/>
      <c r="AD2124" s="314"/>
      <c r="AE2124" s="314"/>
      <c r="AF2124" s="314"/>
    </row>
    <row r="2125" spans="5:32" x14ac:dyDescent="0.35">
      <c r="E2125" s="314"/>
      <c r="F2125" s="314"/>
      <c r="G2125" s="314"/>
      <c r="H2125" s="314"/>
      <c r="I2125" s="314"/>
      <c r="J2125" s="314"/>
      <c r="K2125" s="314"/>
      <c r="L2125" s="314"/>
      <c r="M2125" s="314"/>
      <c r="N2125" s="314"/>
      <c r="O2125" s="314"/>
      <c r="P2125" s="314"/>
      <c r="Q2125" s="314"/>
      <c r="R2125" s="314"/>
      <c r="S2125" s="314"/>
      <c r="T2125" s="314"/>
      <c r="U2125" s="314"/>
      <c r="V2125" s="314"/>
      <c r="W2125" s="314"/>
      <c r="X2125" s="314"/>
      <c r="Y2125" s="314"/>
      <c r="Z2125" s="314"/>
      <c r="AA2125" s="314"/>
      <c r="AB2125" s="314"/>
      <c r="AC2125" s="314"/>
      <c r="AD2125" s="314"/>
      <c r="AE2125" s="314"/>
      <c r="AF2125" s="314"/>
    </row>
    <row r="2126" spans="5:32" x14ac:dyDescent="0.35">
      <c r="E2126" s="314"/>
      <c r="F2126" s="314"/>
      <c r="G2126" s="314"/>
      <c r="H2126" s="314"/>
      <c r="I2126" s="314"/>
      <c r="J2126" s="314"/>
      <c r="K2126" s="314"/>
      <c r="L2126" s="314"/>
      <c r="M2126" s="314"/>
      <c r="N2126" s="314"/>
      <c r="O2126" s="314"/>
      <c r="P2126" s="314"/>
      <c r="Q2126" s="314"/>
      <c r="R2126" s="314"/>
      <c r="S2126" s="314"/>
      <c r="T2126" s="314"/>
      <c r="U2126" s="314"/>
      <c r="V2126" s="314"/>
      <c r="W2126" s="314"/>
      <c r="X2126" s="314"/>
      <c r="Y2126" s="314"/>
      <c r="Z2126" s="314"/>
      <c r="AA2126" s="314"/>
      <c r="AB2126" s="314"/>
      <c r="AC2126" s="314"/>
      <c r="AD2126" s="314"/>
      <c r="AE2126" s="314"/>
      <c r="AF2126" s="314"/>
    </row>
    <row r="2127" spans="5:32" x14ac:dyDescent="0.35">
      <c r="E2127" s="314"/>
      <c r="F2127" s="314"/>
      <c r="G2127" s="314"/>
      <c r="H2127" s="314"/>
      <c r="I2127" s="314"/>
      <c r="J2127" s="314"/>
      <c r="K2127" s="314"/>
      <c r="L2127" s="314"/>
      <c r="M2127" s="314"/>
      <c r="N2127" s="314"/>
      <c r="O2127" s="314"/>
      <c r="P2127" s="314"/>
      <c r="Q2127" s="314"/>
      <c r="R2127" s="314"/>
      <c r="S2127" s="314"/>
      <c r="T2127" s="314"/>
      <c r="U2127" s="314"/>
      <c r="V2127" s="314"/>
      <c r="W2127" s="314"/>
      <c r="X2127" s="314"/>
      <c r="Y2127" s="314"/>
      <c r="Z2127" s="314"/>
      <c r="AA2127" s="314"/>
      <c r="AB2127" s="314"/>
      <c r="AC2127" s="314"/>
      <c r="AD2127" s="314"/>
      <c r="AE2127" s="314"/>
      <c r="AF2127" s="314"/>
    </row>
    <row r="2128" spans="5:32" x14ac:dyDescent="0.35">
      <c r="E2128" s="314"/>
      <c r="F2128" s="314"/>
      <c r="G2128" s="314"/>
      <c r="H2128" s="314"/>
      <c r="I2128" s="314"/>
      <c r="J2128" s="314"/>
      <c r="K2128" s="314"/>
      <c r="L2128" s="314"/>
      <c r="M2128" s="314"/>
      <c r="N2128" s="314"/>
      <c r="O2128" s="314"/>
      <c r="P2128" s="314"/>
      <c r="Q2128" s="314"/>
      <c r="R2128" s="314"/>
      <c r="S2128" s="314"/>
      <c r="T2128" s="314"/>
      <c r="U2128" s="314"/>
      <c r="V2128" s="314"/>
      <c r="W2128" s="314"/>
      <c r="X2128" s="314"/>
      <c r="Y2128" s="314"/>
      <c r="Z2128" s="314"/>
      <c r="AA2128" s="314"/>
      <c r="AB2128" s="314"/>
      <c r="AC2128" s="314"/>
      <c r="AD2128" s="314"/>
      <c r="AE2128" s="314"/>
      <c r="AF2128" s="314"/>
    </row>
    <row r="2129" spans="5:32" x14ac:dyDescent="0.35">
      <c r="E2129" s="314"/>
      <c r="F2129" s="314"/>
      <c r="G2129" s="314"/>
      <c r="H2129" s="314"/>
      <c r="I2129" s="314"/>
      <c r="J2129" s="314"/>
      <c r="K2129" s="314"/>
      <c r="L2129" s="314"/>
      <c r="M2129" s="314"/>
      <c r="N2129" s="314"/>
      <c r="O2129" s="314"/>
      <c r="P2129" s="314"/>
      <c r="Q2129" s="314"/>
      <c r="R2129" s="314"/>
      <c r="S2129" s="314"/>
      <c r="T2129" s="314"/>
      <c r="U2129" s="314"/>
      <c r="V2129" s="314"/>
      <c r="W2129" s="314"/>
      <c r="X2129" s="314"/>
      <c r="Y2129" s="314"/>
      <c r="Z2129" s="314"/>
      <c r="AA2129" s="314"/>
      <c r="AB2129" s="314"/>
      <c r="AC2129" s="314"/>
      <c r="AD2129" s="314"/>
      <c r="AE2129" s="314"/>
      <c r="AF2129" s="314"/>
    </row>
    <row r="2130" spans="5:32" x14ac:dyDescent="0.35">
      <c r="E2130" s="314"/>
      <c r="F2130" s="314"/>
      <c r="G2130" s="314"/>
      <c r="H2130" s="314"/>
      <c r="I2130" s="314"/>
      <c r="J2130" s="314"/>
      <c r="K2130" s="314"/>
      <c r="L2130" s="314"/>
      <c r="M2130" s="314"/>
      <c r="N2130" s="314"/>
      <c r="O2130" s="314"/>
      <c r="P2130" s="314"/>
      <c r="Q2130" s="314"/>
      <c r="R2130" s="314"/>
      <c r="S2130" s="314"/>
      <c r="T2130" s="314"/>
      <c r="U2130" s="314"/>
      <c r="V2130" s="314"/>
      <c r="W2130" s="314"/>
      <c r="X2130" s="314"/>
      <c r="Y2130" s="314"/>
      <c r="Z2130" s="314"/>
      <c r="AA2130" s="314"/>
      <c r="AB2130" s="314"/>
      <c r="AC2130" s="314"/>
      <c r="AD2130" s="314"/>
      <c r="AE2130" s="314"/>
      <c r="AF2130" s="314"/>
    </row>
    <row r="2131" spans="5:32" x14ac:dyDescent="0.35">
      <c r="E2131" s="314"/>
      <c r="F2131" s="314"/>
      <c r="G2131" s="314"/>
      <c r="H2131" s="314"/>
      <c r="I2131" s="314"/>
      <c r="J2131" s="314"/>
      <c r="K2131" s="314"/>
      <c r="L2131" s="314"/>
      <c r="M2131" s="314"/>
      <c r="N2131" s="314"/>
      <c r="O2131" s="314"/>
      <c r="P2131" s="314"/>
      <c r="Q2131" s="314"/>
      <c r="R2131" s="314"/>
      <c r="S2131" s="314"/>
      <c r="T2131" s="314"/>
      <c r="U2131" s="314"/>
      <c r="V2131" s="314"/>
      <c r="W2131" s="314"/>
      <c r="X2131" s="314"/>
      <c r="Y2131" s="314"/>
      <c r="Z2131" s="314"/>
      <c r="AA2131" s="314"/>
      <c r="AB2131" s="314"/>
      <c r="AC2131" s="314"/>
      <c r="AD2131" s="314"/>
      <c r="AE2131" s="314"/>
      <c r="AF2131" s="314"/>
    </row>
    <row r="2132" spans="5:32" x14ac:dyDescent="0.35">
      <c r="E2132" s="314"/>
      <c r="F2132" s="314"/>
      <c r="G2132" s="314"/>
      <c r="H2132" s="314"/>
      <c r="I2132" s="314"/>
      <c r="J2132" s="314"/>
      <c r="K2132" s="314"/>
      <c r="L2132" s="314"/>
      <c r="M2132" s="314"/>
      <c r="N2132" s="314"/>
      <c r="O2132" s="314"/>
      <c r="P2132" s="314"/>
      <c r="Q2132" s="314"/>
      <c r="R2132" s="314"/>
      <c r="S2132" s="314"/>
      <c r="T2132" s="314"/>
      <c r="U2132" s="314"/>
      <c r="V2132" s="314"/>
      <c r="W2132" s="314"/>
      <c r="X2132" s="314"/>
      <c r="Y2132" s="314"/>
      <c r="Z2132" s="314"/>
      <c r="AA2132" s="314"/>
      <c r="AB2132" s="314"/>
      <c r="AC2132" s="314"/>
      <c r="AD2132" s="314"/>
      <c r="AE2132" s="314"/>
      <c r="AF2132" s="314"/>
    </row>
    <row r="2133" spans="5:32" x14ac:dyDescent="0.35">
      <c r="E2133" s="314"/>
      <c r="F2133" s="314"/>
      <c r="G2133" s="314"/>
      <c r="H2133" s="314"/>
      <c r="I2133" s="314"/>
      <c r="J2133" s="314"/>
      <c r="K2133" s="314"/>
      <c r="L2133" s="314"/>
      <c r="M2133" s="314"/>
      <c r="N2133" s="314"/>
      <c r="O2133" s="314"/>
      <c r="P2133" s="314"/>
      <c r="Q2133" s="314"/>
      <c r="R2133" s="314"/>
      <c r="S2133" s="314"/>
      <c r="T2133" s="314"/>
      <c r="U2133" s="314"/>
      <c r="V2133" s="314"/>
      <c r="W2133" s="314"/>
      <c r="X2133" s="314"/>
      <c r="Y2133" s="314"/>
      <c r="Z2133" s="314"/>
      <c r="AA2133" s="314"/>
      <c r="AB2133" s="314"/>
      <c r="AC2133" s="314"/>
      <c r="AD2133" s="314"/>
      <c r="AE2133" s="314"/>
      <c r="AF2133" s="314"/>
    </row>
    <row r="2134" spans="5:32" x14ac:dyDescent="0.35">
      <c r="E2134" s="314"/>
      <c r="F2134" s="314"/>
      <c r="G2134" s="314"/>
      <c r="H2134" s="314"/>
      <c r="I2134" s="314"/>
      <c r="J2134" s="314"/>
      <c r="K2134" s="314"/>
      <c r="L2134" s="314"/>
      <c r="M2134" s="314"/>
      <c r="N2134" s="314"/>
      <c r="O2134" s="314"/>
      <c r="P2134" s="314"/>
      <c r="Q2134" s="314"/>
      <c r="R2134" s="314"/>
      <c r="S2134" s="314"/>
      <c r="T2134" s="314"/>
      <c r="U2134" s="314"/>
      <c r="V2134" s="314"/>
      <c r="W2134" s="314"/>
      <c r="X2134" s="314"/>
      <c r="Y2134" s="314"/>
      <c r="Z2134" s="314"/>
      <c r="AA2134" s="314"/>
      <c r="AB2134" s="314"/>
      <c r="AC2134" s="314"/>
      <c r="AD2134" s="314"/>
      <c r="AE2134" s="314"/>
      <c r="AF2134" s="314"/>
    </row>
    <row r="2135" spans="5:32" x14ac:dyDescent="0.35">
      <c r="E2135" s="314"/>
      <c r="F2135" s="314"/>
      <c r="G2135" s="314"/>
      <c r="H2135" s="314"/>
      <c r="I2135" s="314"/>
      <c r="J2135" s="314"/>
      <c r="K2135" s="314"/>
      <c r="L2135" s="314"/>
      <c r="M2135" s="314"/>
      <c r="N2135" s="314"/>
      <c r="O2135" s="314"/>
      <c r="P2135" s="314"/>
      <c r="Q2135" s="314"/>
      <c r="R2135" s="314"/>
      <c r="S2135" s="314"/>
      <c r="T2135" s="314"/>
      <c r="U2135" s="314"/>
      <c r="V2135" s="314"/>
      <c r="W2135" s="314"/>
      <c r="X2135" s="314"/>
      <c r="Y2135" s="314"/>
      <c r="Z2135" s="314"/>
      <c r="AA2135" s="314"/>
      <c r="AB2135" s="314"/>
      <c r="AC2135" s="314"/>
      <c r="AD2135" s="314"/>
      <c r="AE2135" s="314"/>
      <c r="AF2135" s="314"/>
    </row>
    <row r="2136" spans="5:32" x14ac:dyDescent="0.35">
      <c r="E2136" s="314"/>
      <c r="F2136" s="314"/>
      <c r="G2136" s="314"/>
      <c r="H2136" s="314"/>
      <c r="I2136" s="314"/>
      <c r="J2136" s="314"/>
      <c r="K2136" s="314"/>
      <c r="L2136" s="314"/>
      <c r="M2136" s="314"/>
      <c r="N2136" s="314"/>
      <c r="O2136" s="314"/>
      <c r="P2136" s="314"/>
      <c r="Q2136" s="314"/>
      <c r="R2136" s="314"/>
      <c r="S2136" s="314"/>
      <c r="T2136" s="314"/>
      <c r="U2136" s="314"/>
      <c r="V2136" s="314"/>
      <c r="W2136" s="314"/>
      <c r="X2136" s="314"/>
      <c r="Y2136" s="314"/>
      <c r="Z2136" s="314"/>
      <c r="AA2136" s="314"/>
      <c r="AB2136" s="314"/>
      <c r="AC2136" s="314"/>
      <c r="AD2136" s="314"/>
      <c r="AE2136" s="314"/>
      <c r="AF2136" s="314"/>
    </row>
    <row r="2137" spans="5:32" x14ac:dyDescent="0.35">
      <c r="E2137" s="314"/>
      <c r="F2137" s="314"/>
      <c r="G2137" s="314"/>
      <c r="H2137" s="314"/>
      <c r="I2137" s="314"/>
      <c r="J2137" s="314"/>
      <c r="K2137" s="314"/>
      <c r="L2137" s="314"/>
      <c r="M2137" s="314"/>
      <c r="N2137" s="314"/>
      <c r="O2137" s="314"/>
      <c r="P2137" s="314"/>
      <c r="Q2137" s="314"/>
      <c r="R2137" s="314"/>
      <c r="S2137" s="314"/>
      <c r="T2137" s="314"/>
      <c r="U2137" s="314"/>
      <c r="V2137" s="314"/>
      <c r="W2137" s="314"/>
      <c r="X2137" s="314"/>
      <c r="Y2137" s="314"/>
      <c r="Z2137" s="314"/>
      <c r="AA2137" s="314"/>
      <c r="AB2137" s="314"/>
      <c r="AC2137" s="314"/>
      <c r="AD2137" s="314"/>
      <c r="AE2137" s="314"/>
      <c r="AF2137" s="314"/>
    </row>
    <row r="2138" spans="5:32" x14ac:dyDescent="0.35">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314"/>
      <c r="AE2138" s="314"/>
      <c r="AF2138" s="314"/>
    </row>
    <row r="2139" spans="5:32" x14ac:dyDescent="0.35">
      <c r="E2139" s="314"/>
      <c r="F2139" s="314"/>
      <c r="G2139" s="314"/>
      <c r="H2139" s="314"/>
      <c r="I2139" s="314"/>
      <c r="J2139" s="314"/>
      <c r="K2139" s="314"/>
      <c r="L2139" s="314"/>
      <c r="M2139" s="314"/>
      <c r="N2139" s="314"/>
      <c r="O2139" s="314"/>
      <c r="P2139" s="314"/>
      <c r="Q2139" s="314"/>
      <c r="R2139" s="314"/>
      <c r="S2139" s="314"/>
      <c r="T2139" s="314"/>
      <c r="U2139" s="314"/>
      <c r="V2139" s="314"/>
      <c r="W2139" s="314"/>
      <c r="X2139" s="314"/>
      <c r="Y2139" s="314"/>
      <c r="Z2139" s="314"/>
      <c r="AA2139" s="314"/>
      <c r="AB2139" s="314"/>
      <c r="AC2139" s="314"/>
      <c r="AD2139" s="314"/>
      <c r="AE2139" s="314"/>
      <c r="AF2139" s="314"/>
    </row>
    <row r="2140" spans="5:32" x14ac:dyDescent="0.35">
      <c r="E2140" s="314"/>
      <c r="F2140" s="314"/>
      <c r="G2140" s="314"/>
      <c r="H2140" s="314"/>
      <c r="I2140" s="314"/>
      <c r="J2140" s="314"/>
      <c r="K2140" s="314"/>
      <c r="L2140" s="314"/>
      <c r="M2140" s="314"/>
      <c r="N2140" s="314"/>
      <c r="O2140" s="314"/>
      <c r="P2140" s="314"/>
      <c r="Q2140" s="314"/>
      <c r="R2140" s="314"/>
      <c r="S2140" s="314"/>
      <c r="T2140" s="314"/>
      <c r="U2140" s="314"/>
      <c r="V2140" s="314"/>
      <c r="W2140" s="314"/>
      <c r="X2140" s="314"/>
      <c r="Y2140" s="314"/>
      <c r="Z2140" s="314"/>
      <c r="AA2140" s="314"/>
      <c r="AB2140" s="314"/>
      <c r="AC2140" s="314"/>
      <c r="AD2140" s="314"/>
      <c r="AE2140" s="314"/>
      <c r="AF2140" s="314"/>
    </row>
    <row r="2141" spans="5:32" x14ac:dyDescent="0.35">
      <c r="E2141" s="314"/>
      <c r="F2141" s="314"/>
      <c r="G2141" s="314"/>
      <c r="H2141" s="314"/>
      <c r="I2141" s="314"/>
      <c r="J2141" s="314"/>
      <c r="K2141" s="314"/>
      <c r="L2141" s="314"/>
      <c r="M2141" s="314"/>
      <c r="N2141" s="314"/>
      <c r="O2141" s="314"/>
      <c r="P2141" s="314"/>
      <c r="Q2141" s="314"/>
      <c r="R2141" s="314"/>
      <c r="S2141" s="314"/>
      <c r="T2141" s="314"/>
      <c r="U2141" s="314"/>
      <c r="V2141" s="314"/>
      <c r="W2141" s="314"/>
      <c r="X2141" s="314"/>
      <c r="Y2141" s="314"/>
      <c r="Z2141" s="314"/>
      <c r="AA2141" s="314"/>
      <c r="AB2141" s="314"/>
      <c r="AC2141" s="314"/>
      <c r="AD2141" s="314"/>
      <c r="AE2141" s="314"/>
      <c r="AF2141" s="314"/>
    </row>
    <row r="2142" spans="5:32" x14ac:dyDescent="0.35">
      <c r="E2142" s="314"/>
      <c r="F2142" s="314"/>
      <c r="G2142" s="314"/>
      <c r="H2142" s="314"/>
      <c r="I2142" s="314"/>
      <c r="J2142" s="314"/>
      <c r="K2142" s="314"/>
      <c r="L2142" s="314"/>
      <c r="M2142" s="314"/>
      <c r="N2142" s="314"/>
      <c r="O2142" s="314"/>
      <c r="P2142" s="314"/>
      <c r="Q2142" s="314"/>
      <c r="R2142" s="314"/>
      <c r="S2142" s="314"/>
      <c r="T2142" s="314"/>
      <c r="U2142" s="314"/>
      <c r="V2142" s="314"/>
      <c r="W2142" s="314"/>
      <c r="X2142" s="314"/>
      <c r="Y2142" s="314"/>
      <c r="Z2142" s="314"/>
      <c r="AA2142" s="314"/>
      <c r="AB2142" s="314"/>
      <c r="AC2142" s="314"/>
      <c r="AD2142" s="314"/>
      <c r="AE2142" s="314"/>
      <c r="AF2142" s="314"/>
    </row>
    <row r="2143" spans="5:32" x14ac:dyDescent="0.35">
      <c r="E2143" s="314"/>
      <c r="F2143" s="314"/>
      <c r="G2143" s="314"/>
      <c r="H2143" s="314"/>
      <c r="I2143" s="314"/>
      <c r="J2143" s="314"/>
      <c r="K2143" s="314"/>
      <c r="L2143" s="314"/>
      <c r="M2143" s="314"/>
      <c r="N2143" s="314"/>
      <c r="O2143" s="314"/>
      <c r="P2143" s="314"/>
      <c r="Q2143" s="314"/>
      <c r="R2143" s="314"/>
      <c r="S2143" s="314"/>
      <c r="T2143" s="314"/>
      <c r="U2143" s="314"/>
      <c r="V2143" s="314"/>
      <c r="W2143" s="314"/>
      <c r="X2143" s="314"/>
      <c r="Y2143" s="314"/>
      <c r="Z2143" s="314"/>
      <c r="AA2143" s="314"/>
      <c r="AB2143" s="314"/>
      <c r="AC2143" s="314"/>
      <c r="AD2143" s="314"/>
      <c r="AE2143" s="314"/>
      <c r="AF2143" s="314"/>
    </row>
    <row r="2144" spans="5:32" x14ac:dyDescent="0.35">
      <c r="E2144" s="314"/>
      <c r="F2144" s="314"/>
      <c r="G2144" s="314"/>
      <c r="H2144" s="314"/>
      <c r="I2144" s="314"/>
      <c r="J2144" s="314"/>
      <c r="K2144" s="314"/>
      <c r="L2144" s="314"/>
      <c r="M2144" s="314"/>
      <c r="N2144" s="314"/>
      <c r="O2144" s="314"/>
      <c r="P2144" s="314"/>
      <c r="Q2144" s="314"/>
      <c r="R2144" s="314"/>
      <c r="S2144" s="314"/>
      <c r="T2144" s="314"/>
      <c r="U2144" s="314"/>
      <c r="V2144" s="314"/>
      <c r="W2144" s="314"/>
      <c r="X2144" s="314"/>
      <c r="Y2144" s="314"/>
      <c r="Z2144" s="314"/>
      <c r="AA2144" s="314"/>
      <c r="AB2144" s="314"/>
      <c r="AC2144" s="314"/>
      <c r="AD2144" s="314"/>
      <c r="AE2144" s="314"/>
      <c r="AF2144" s="314"/>
    </row>
    <row r="2145" spans="5:32" x14ac:dyDescent="0.35">
      <c r="E2145" s="314"/>
      <c r="F2145" s="314"/>
      <c r="G2145" s="314"/>
      <c r="H2145" s="314"/>
      <c r="I2145" s="314"/>
      <c r="J2145" s="314"/>
      <c r="K2145" s="314"/>
      <c r="L2145" s="314"/>
      <c r="M2145" s="314"/>
      <c r="N2145" s="314"/>
      <c r="O2145" s="314"/>
      <c r="P2145" s="314"/>
      <c r="Q2145" s="314"/>
      <c r="R2145" s="314"/>
      <c r="S2145" s="314"/>
      <c r="T2145" s="314"/>
      <c r="U2145" s="314"/>
      <c r="V2145" s="314"/>
      <c r="W2145" s="314"/>
      <c r="X2145" s="314"/>
      <c r="Y2145" s="314"/>
      <c r="Z2145" s="314"/>
      <c r="AA2145" s="314"/>
      <c r="AB2145" s="314"/>
      <c r="AC2145" s="314"/>
      <c r="AD2145" s="314"/>
      <c r="AE2145" s="314"/>
      <c r="AF2145" s="314"/>
    </row>
    <row r="2146" spans="5:32" x14ac:dyDescent="0.35">
      <c r="E2146" s="314"/>
      <c r="F2146" s="314"/>
      <c r="G2146" s="314"/>
      <c r="H2146" s="314"/>
      <c r="I2146" s="314"/>
      <c r="J2146" s="314"/>
      <c r="K2146" s="314"/>
      <c r="L2146" s="314"/>
      <c r="M2146" s="314"/>
      <c r="N2146" s="314"/>
      <c r="O2146" s="314"/>
      <c r="P2146" s="314"/>
      <c r="Q2146" s="314"/>
      <c r="R2146" s="314"/>
      <c r="S2146" s="314"/>
      <c r="T2146" s="314"/>
      <c r="U2146" s="314"/>
      <c r="V2146" s="314"/>
      <c r="W2146" s="314"/>
      <c r="X2146" s="314"/>
      <c r="Y2146" s="314"/>
      <c r="Z2146" s="314"/>
      <c r="AA2146" s="314"/>
      <c r="AB2146" s="314"/>
      <c r="AC2146" s="314"/>
      <c r="AD2146" s="314"/>
      <c r="AE2146" s="314"/>
      <c r="AF2146" s="314"/>
    </row>
    <row r="2147" spans="5:32" x14ac:dyDescent="0.35">
      <c r="E2147" s="314"/>
      <c r="F2147" s="314"/>
      <c r="G2147" s="314"/>
      <c r="H2147" s="314"/>
      <c r="I2147" s="314"/>
      <c r="J2147" s="314"/>
      <c r="K2147" s="314"/>
      <c r="L2147" s="314"/>
      <c r="M2147" s="314"/>
      <c r="N2147" s="314"/>
      <c r="O2147" s="314"/>
      <c r="P2147" s="314"/>
      <c r="Q2147" s="314"/>
      <c r="R2147" s="314"/>
      <c r="S2147" s="314"/>
      <c r="T2147" s="314"/>
      <c r="U2147" s="314"/>
      <c r="V2147" s="314"/>
      <c r="W2147" s="314"/>
      <c r="X2147" s="314"/>
      <c r="Y2147" s="314"/>
      <c r="Z2147" s="314"/>
      <c r="AA2147" s="314"/>
      <c r="AB2147" s="314"/>
      <c r="AC2147" s="314"/>
      <c r="AD2147" s="314"/>
      <c r="AE2147" s="314"/>
      <c r="AF2147" s="314"/>
    </row>
    <row r="2148" spans="5:32" x14ac:dyDescent="0.35">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314"/>
      <c r="AE2148" s="314"/>
      <c r="AF2148" s="314"/>
    </row>
    <row r="2149" spans="5:32" x14ac:dyDescent="0.35">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314"/>
      <c r="AF2149" s="314"/>
    </row>
    <row r="2150" spans="5:32" x14ac:dyDescent="0.35">
      <c r="E2150" s="314"/>
      <c r="F2150" s="314"/>
      <c r="G2150" s="314"/>
      <c r="H2150" s="314"/>
      <c r="I2150" s="314"/>
      <c r="J2150" s="314"/>
      <c r="K2150" s="314"/>
      <c r="L2150" s="314"/>
      <c r="M2150" s="314"/>
      <c r="N2150" s="314"/>
      <c r="O2150" s="314"/>
      <c r="P2150" s="314"/>
      <c r="Q2150" s="314"/>
      <c r="R2150" s="314"/>
      <c r="S2150" s="314"/>
      <c r="T2150" s="314"/>
      <c r="U2150" s="314"/>
      <c r="V2150" s="314"/>
      <c r="W2150" s="314"/>
      <c r="X2150" s="314"/>
      <c r="Y2150" s="314"/>
      <c r="Z2150" s="314"/>
      <c r="AA2150" s="314"/>
      <c r="AB2150" s="314"/>
      <c r="AC2150" s="314"/>
      <c r="AD2150" s="314"/>
      <c r="AE2150" s="314"/>
      <c r="AF2150" s="314"/>
    </row>
    <row r="2151" spans="5:32" x14ac:dyDescent="0.35">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314"/>
      <c r="AE2151" s="314"/>
      <c r="AF2151" s="314"/>
    </row>
    <row r="2152" spans="5:32" x14ac:dyDescent="0.35">
      <c r="E2152" s="314"/>
      <c r="F2152" s="314"/>
      <c r="G2152" s="314"/>
      <c r="H2152" s="314"/>
      <c r="I2152" s="314"/>
      <c r="J2152" s="314"/>
      <c r="K2152" s="314"/>
      <c r="L2152" s="314"/>
      <c r="M2152" s="314"/>
      <c r="N2152" s="314"/>
      <c r="O2152" s="314"/>
      <c r="P2152" s="314"/>
      <c r="Q2152" s="314"/>
      <c r="R2152" s="314"/>
      <c r="S2152" s="314"/>
      <c r="T2152" s="314"/>
      <c r="U2152" s="314"/>
      <c r="V2152" s="314"/>
      <c r="W2152" s="314"/>
      <c r="X2152" s="314"/>
      <c r="Y2152" s="314"/>
      <c r="Z2152" s="314"/>
      <c r="AA2152" s="314"/>
      <c r="AB2152" s="314"/>
      <c r="AC2152" s="314"/>
      <c r="AD2152" s="314"/>
      <c r="AE2152" s="314"/>
      <c r="AF2152" s="314"/>
    </row>
    <row r="2153" spans="5:32" x14ac:dyDescent="0.35">
      <c r="E2153" s="314"/>
      <c r="F2153" s="314"/>
      <c r="G2153" s="314"/>
      <c r="H2153" s="314"/>
      <c r="I2153" s="314"/>
      <c r="J2153" s="314"/>
      <c r="K2153" s="314"/>
      <c r="L2153" s="314"/>
      <c r="M2153" s="314"/>
      <c r="N2153" s="314"/>
      <c r="O2153" s="314"/>
      <c r="P2153" s="314"/>
      <c r="Q2153" s="314"/>
      <c r="R2153" s="314"/>
      <c r="S2153" s="314"/>
      <c r="T2153" s="314"/>
      <c r="U2153" s="314"/>
      <c r="V2153" s="314"/>
      <c r="W2153" s="314"/>
      <c r="X2153" s="314"/>
      <c r="Y2153" s="314"/>
      <c r="Z2153" s="314"/>
      <c r="AA2153" s="314"/>
      <c r="AB2153" s="314"/>
      <c r="AC2153" s="314"/>
      <c r="AD2153" s="314"/>
      <c r="AE2153" s="314"/>
      <c r="AF2153" s="314"/>
    </row>
    <row r="2154" spans="5:32" x14ac:dyDescent="0.35">
      <c r="E2154" s="314"/>
      <c r="F2154" s="314"/>
      <c r="G2154" s="314"/>
      <c r="H2154" s="314"/>
      <c r="I2154" s="314"/>
      <c r="J2154" s="314"/>
      <c r="K2154" s="314"/>
      <c r="L2154" s="314"/>
      <c r="M2154" s="314"/>
      <c r="N2154" s="314"/>
      <c r="O2154" s="314"/>
      <c r="P2154" s="314"/>
      <c r="Q2154" s="314"/>
      <c r="R2154" s="314"/>
      <c r="S2154" s="314"/>
      <c r="T2154" s="314"/>
      <c r="U2154" s="314"/>
      <c r="V2154" s="314"/>
      <c r="W2154" s="314"/>
      <c r="X2154" s="314"/>
      <c r="Y2154" s="314"/>
      <c r="Z2154" s="314"/>
      <c r="AA2154" s="314"/>
      <c r="AB2154" s="314"/>
      <c r="AC2154" s="314"/>
      <c r="AD2154" s="314"/>
      <c r="AE2154" s="314"/>
      <c r="AF2154" s="314"/>
    </row>
    <row r="2155" spans="5:32" x14ac:dyDescent="0.35">
      <c r="E2155" s="314"/>
      <c r="F2155" s="314"/>
      <c r="G2155" s="314"/>
      <c r="H2155" s="314"/>
      <c r="I2155" s="314"/>
      <c r="J2155" s="314"/>
      <c r="K2155" s="314"/>
      <c r="L2155" s="314"/>
      <c r="M2155" s="314"/>
      <c r="N2155" s="314"/>
      <c r="O2155" s="314"/>
      <c r="P2155" s="314"/>
      <c r="Q2155" s="314"/>
      <c r="R2155" s="314"/>
      <c r="S2155" s="314"/>
      <c r="T2155" s="314"/>
      <c r="U2155" s="314"/>
      <c r="V2155" s="314"/>
      <c r="W2155" s="314"/>
      <c r="X2155" s="314"/>
      <c r="Y2155" s="314"/>
      <c r="Z2155" s="314"/>
      <c r="AA2155" s="314"/>
      <c r="AB2155" s="314"/>
      <c r="AC2155" s="314"/>
      <c r="AD2155" s="314"/>
      <c r="AE2155" s="314"/>
      <c r="AF2155" s="314"/>
    </row>
    <row r="2156" spans="5:32" x14ac:dyDescent="0.35">
      <c r="E2156" s="314"/>
      <c r="F2156" s="314"/>
      <c r="G2156" s="314"/>
      <c r="H2156" s="314"/>
      <c r="I2156" s="314"/>
      <c r="J2156" s="314"/>
      <c r="K2156" s="314"/>
      <c r="L2156" s="314"/>
      <c r="M2156" s="314"/>
      <c r="N2156" s="314"/>
      <c r="O2156" s="314"/>
      <c r="P2156" s="314"/>
      <c r="Q2156" s="314"/>
      <c r="R2156" s="314"/>
      <c r="S2156" s="314"/>
      <c r="T2156" s="314"/>
      <c r="U2156" s="314"/>
      <c r="V2156" s="314"/>
      <c r="W2156" s="314"/>
      <c r="X2156" s="314"/>
      <c r="Y2156" s="314"/>
      <c r="Z2156" s="314"/>
      <c r="AA2156" s="314"/>
      <c r="AB2156" s="314"/>
      <c r="AC2156" s="314"/>
      <c r="AD2156" s="314"/>
      <c r="AE2156" s="314"/>
      <c r="AF2156" s="314"/>
    </row>
    <row r="2157" spans="5:32" x14ac:dyDescent="0.35">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314"/>
      <c r="AE2157" s="314"/>
      <c r="AF2157" s="314"/>
    </row>
    <row r="2158" spans="5:32" x14ac:dyDescent="0.35">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314"/>
      <c r="AF2158" s="314"/>
    </row>
    <row r="2159" spans="5:32" x14ac:dyDescent="0.35">
      <c r="E2159" s="314"/>
      <c r="F2159" s="314"/>
      <c r="G2159" s="314"/>
      <c r="H2159" s="314"/>
      <c r="I2159" s="314"/>
      <c r="J2159" s="314"/>
      <c r="K2159" s="314"/>
      <c r="L2159" s="314"/>
      <c r="M2159" s="314"/>
      <c r="N2159" s="314"/>
      <c r="O2159" s="314"/>
      <c r="P2159" s="314"/>
      <c r="Q2159" s="314"/>
      <c r="R2159" s="314"/>
      <c r="S2159" s="314"/>
      <c r="T2159" s="314"/>
      <c r="U2159" s="314"/>
      <c r="V2159" s="314"/>
      <c r="W2159" s="314"/>
      <c r="X2159" s="314"/>
      <c r="Y2159" s="314"/>
      <c r="Z2159" s="314"/>
      <c r="AA2159" s="314"/>
      <c r="AB2159" s="314"/>
      <c r="AC2159" s="314"/>
      <c r="AD2159" s="314"/>
      <c r="AE2159" s="314"/>
      <c r="AF2159" s="314"/>
    </row>
    <row r="2160" spans="5:32" x14ac:dyDescent="0.35">
      <c r="E2160" s="314"/>
      <c r="F2160" s="314"/>
      <c r="G2160" s="314"/>
      <c r="H2160" s="314"/>
      <c r="I2160" s="314"/>
      <c r="J2160" s="314"/>
      <c r="K2160" s="314"/>
      <c r="L2160" s="314"/>
      <c r="M2160" s="314"/>
      <c r="N2160" s="314"/>
      <c r="O2160" s="314"/>
      <c r="P2160" s="314"/>
      <c r="Q2160" s="314"/>
      <c r="R2160" s="314"/>
      <c r="S2160" s="314"/>
      <c r="T2160" s="314"/>
      <c r="U2160" s="314"/>
      <c r="V2160" s="314"/>
      <c r="W2160" s="314"/>
      <c r="X2160" s="314"/>
      <c r="Y2160" s="314"/>
      <c r="Z2160" s="314"/>
      <c r="AA2160" s="314"/>
      <c r="AB2160" s="314"/>
      <c r="AC2160" s="314"/>
      <c r="AD2160" s="314"/>
      <c r="AE2160" s="314"/>
      <c r="AF2160" s="314"/>
    </row>
    <row r="2161" spans="5:32" x14ac:dyDescent="0.35">
      <c r="E2161" s="314"/>
      <c r="F2161" s="314"/>
      <c r="G2161" s="314"/>
      <c r="H2161" s="314"/>
      <c r="I2161" s="314"/>
      <c r="J2161" s="314"/>
      <c r="K2161" s="314"/>
      <c r="L2161" s="314"/>
      <c r="M2161" s="314"/>
      <c r="N2161" s="314"/>
      <c r="O2161" s="314"/>
      <c r="P2161" s="314"/>
      <c r="Q2161" s="314"/>
      <c r="R2161" s="314"/>
      <c r="S2161" s="314"/>
      <c r="T2161" s="314"/>
      <c r="U2161" s="314"/>
      <c r="V2161" s="314"/>
      <c r="W2161" s="314"/>
      <c r="X2161" s="314"/>
      <c r="Y2161" s="314"/>
      <c r="Z2161" s="314"/>
      <c r="AA2161" s="314"/>
      <c r="AB2161" s="314"/>
      <c r="AC2161" s="314"/>
      <c r="AD2161" s="314"/>
      <c r="AE2161" s="314"/>
      <c r="AF2161" s="314"/>
    </row>
    <row r="2162" spans="5:32" x14ac:dyDescent="0.35">
      <c r="E2162" s="314"/>
      <c r="F2162" s="314"/>
      <c r="G2162" s="314"/>
      <c r="H2162" s="314"/>
      <c r="I2162" s="314"/>
      <c r="J2162" s="314"/>
      <c r="K2162" s="314"/>
      <c r="L2162" s="314"/>
      <c r="M2162" s="314"/>
      <c r="N2162" s="314"/>
      <c r="O2162" s="314"/>
      <c r="P2162" s="314"/>
      <c r="Q2162" s="314"/>
      <c r="R2162" s="314"/>
      <c r="S2162" s="314"/>
      <c r="T2162" s="314"/>
      <c r="U2162" s="314"/>
      <c r="V2162" s="314"/>
      <c r="W2162" s="314"/>
      <c r="X2162" s="314"/>
      <c r="Y2162" s="314"/>
      <c r="Z2162" s="314"/>
      <c r="AA2162" s="314"/>
      <c r="AB2162" s="314"/>
      <c r="AC2162" s="314"/>
      <c r="AD2162" s="314"/>
      <c r="AE2162" s="314"/>
      <c r="AF2162" s="314"/>
    </row>
    <row r="2163" spans="5:32" x14ac:dyDescent="0.35">
      <c r="E2163" s="314"/>
      <c r="F2163" s="314"/>
      <c r="G2163" s="314"/>
      <c r="H2163" s="314"/>
      <c r="I2163" s="314"/>
      <c r="J2163" s="314"/>
      <c r="K2163" s="314"/>
      <c r="L2163" s="314"/>
      <c r="M2163" s="314"/>
      <c r="N2163" s="314"/>
      <c r="O2163" s="314"/>
      <c r="P2163" s="314"/>
      <c r="Q2163" s="314"/>
      <c r="R2163" s="314"/>
      <c r="S2163" s="314"/>
      <c r="T2163" s="314"/>
      <c r="U2163" s="314"/>
      <c r="V2163" s="314"/>
      <c r="W2163" s="314"/>
      <c r="X2163" s="314"/>
      <c r="Y2163" s="314"/>
      <c r="Z2163" s="314"/>
      <c r="AA2163" s="314"/>
      <c r="AB2163" s="314"/>
      <c r="AC2163" s="314"/>
      <c r="AD2163" s="314"/>
      <c r="AE2163" s="314"/>
      <c r="AF2163" s="314"/>
    </row>
    <row r="2164" spans="5:32" x14ac:dyDescent="0.35">
      <c r="E2164" s="314"/>
      <c r="F2164" s="314"/>
      <c r="G2164" s="314"/>
      <c r="H2164" s="314"/>
      <c r="I2164" s="314"/>
      <c r="J2164" s="314"/>
      <c r="K2164" s="314"/>
      <c r="L2164" s="314"/>
      <c r="M2164" s="314"/>
      <c r="N2164" s="314"/>
      <c r="O2164" s="314"/>
      <c r="P2164" s="314"/>
      <c r="Q2164" s="314"/>
      <c r="R2164" s="314"/>
      <c r="S2164" s="314"/>
      <c r="T2164" s="314"/>
      <c r="U2164" s="314"/>
      <c r="V2164" s="314"/>
      <c r="W2164" s="314"/>
      <c r="X2164" s="314"/>
      <c r="Y2164" s="314"/>
      <c r="Z2164" s="314"/>
      <c r="AA2164" s="314"/>
      <c r="AB2164" s="314"/>
      <c r="AC2164" s="314"/>
      <c r="AD2164" s="314"/>
      <c r="AE2164" s="314"/>
      <c r="AF2164" s="314"/>
    </row>
    <row r="2165" spans="5:32" x14ac:dyDescent="0.35">
      <c r="E2165" s="314"/>
      <c r="F2165" s="314"/>
      <c r="G2165" s="314"/>
      <c r="H2165" s="314"/>
      <c r="I2165" s="314"/>
      <c r="J2165" s="314"/>
      <c r="K2165" s="314"/>
      <c r="L2165" s="314"/>
      <c r="M2165" s="314"/>
      <c r="N2165" s="314"/>
      <c r="O2165" s="314"/>
      <c r="P2165" s="314"/>
      <c r="Q2165" s="314"/>
      <c r="R2165" s="314"/>
      <c r="S2165" s="314"/>
      <c r="T2165" s="314"/>
      <c r="U2165" s="314"/>
      <c r="V2165" s="314"/>
      <c r="W2165" s="314"/>
      <c r="X2165" s="314"/>
      <c r="Y2165" s="314"/>
      <c r="Z2165" s="314"/>
      <c r="AA2165" s="314"/>
      <c r="AB2165" s="314"/>
      <c r="AC2165" s="314"/>
      <c r="AD2165" s="314"/>
      <c r="AE2165" s="314"/>
      <c r="AF2165" s="314"/>
    </row>
    <row r="2166" spans="5:32" x14ac:dyDescent="0.35">
      <c r="E2166" s="314"/>
      <c r="F2166" s="314"/>
      <c r="G2166" s="314"/>
      <c r="H2166" s="314"/>
      <c r="I2166" s="314"/>
      <c r="J2166" s="314"/>
      <c r="K2166" s="314"/>
      <c r="L2166" s="314"/>
      <c r="M2166" s="314"/>
      <c r="N2166" s="314"/>
      <c r="O2166" s="314"/>
      <c r="P2166" s="314"/>
      <c r="Q2166" s="314"/>
      <c r="R2166" s="314"/>
      <c r="S2166" s="314"/>
      <c r="T2166" s="314"/>
      <c r="U2166" s="314"/>
      <c r="V2166" s="314"/>
      <c r="W2166" s="314"/>
      <c r="X2166" s="314"/>
      <c r="Y2166" s="314"/>
      <c r="Z2166" s="314"/>
      <c r="AA2166" s="314"/>
      <c r="AB2166" s="314"/>
      <c r="AC2166" s="314"/>
      <c r="AD2166" s="314"/>
      <c r="AE2166" s="314"/>
      <c r="AF2166" s="314"/>
    </row>
    <row r="2167" spans="5:32" x14ac:dyDescent="0.35">
      <c r="E2167" s="314"/>
      <c r="F2167" s="314"/>
      <c r="G2167" s="314"/>
      <c r="H2167" s="314"/>
      <c r="I2167" s="314"/>
      <c r="J2167" s="314"/>
      <c r="K2167" s="314"/>
      <c r="L2167" s="314"/>
      <c r="M2167" s="314"/>
      <c r="N2167" s="314"/>
      <c r="O2167" s="314"/>
      <c r="P2167" s="314"/>
      <c r="Q2167" s="314"/>
      <c r="R2167" s="314"/>
      <c r="S2167" s="314"/>
      <c r="T2167" s="314"/>
      <c r="U2167" s="314"/>
      <c r="V2167" s="314"/>
      <c r="W2167" s="314"/>
      <c r="X2167" s="314"/>
      <c r="Y2167" s="314"/>
      <c r="Z2167" s="314"/>
      <c r="AA2167" s="314"/>
      <c r="AB2167" s="314"/>
      <c r="AC2167" s="314"/>
      <c r="AD2167" s="314"/>
      <c r="AE2167" s="314"/>
      <c r="AF2167" s="314"/>
    </row>
    <row r="2168" spans="5:32" x14ac:dyDescent="0.35">
      <c r="E2168" s="314"/>
      <c r="F2168" s="314"/>
      <c r="G2168" s="314"/>
      <c r="H2168" s="314"/>
      <c r="I2168" s="314"/>
      <c r="J2168" s="314"/>
      <c r="K2168" s="314"/>
      <c r="L2168" s="314"/>
      <c r="M2168" s="314"/>
      <c r="N2168" s="314"/>
      <c r="O2168" s="314"/>
      <c r="P2168" s="314"/>
      <c r="Q2168" s="314"/>
      <c r="R2168" s="314"/>
      <c r="S2168" s="314"/>
      <c r="T2168" s="314"/>
      <c r="U2168" s="314"/>
      <c r="V2168" s="314"/>
      <c r="W2168" s="314"/>
      <c r="X2168" s="314"/>
      <c r="Y2168" s="314"/>
      <c r="Z2168" s="314"/>
      <c r="AA2168" s="314"/>
      <c r="AB2168" s="314"/>
      <c r="AC2168" s="314"/>
      <c r="AD2168" s="314"/>
      <c r="AE2168" s="314"/>
      <c r="AF2168" s="314"/>
    </row>
    <row r="2169" spans="5:32" x14ac:dyDescent="0.35">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314"/>
      <c r="AE2169" s="314"/>
      <c r="AF2169" s="314"/>
    </row>
    <row r="2170" spans="5:32" x14ac:dyDescent="0.35">
      <c r="E2170" s="314"/>
      <c r="F2170" s="314"/>
      <c r="G2170" s="314"/>
      <c r="H2170" s="314"/>
      <c r="I2170" s="314"/>
      <c r="J2170" s="314"/>
      <c r="K2170" s="314"/>
      <c r="L2170" s="314"/>
      <c r="M2170" s="314"/>
      <c r="N2170" s="314"/>
      <c r="O2170" s="314"/>
      <c r="P2170" s="314"/>
      <c r="Q2170" s="314"/>
      <c r="R2170" s="314"/>
      <c r="S2170" s="314"/>
      <c r="T2170" s="314"/>
      <c r="U2170" s="314"/>
      <c r="V2170" s="314"/>
      <c r="W2170" s="314"/>
      <c r="X2170" s="314"/>
      <c r="Y2170" s="314"/>
      <c r="Z2170" s="314"/>
      <c r="AA2170" s="314"/>
      <c r="AB2170" s="314"/>
      <c r="AC2170" s="314"/>
      <c r="AD2170" s="314"/>
      <c r="AE2170" s="314"/>
      <c r="AF2170" s="314"/>
    </row>
    <row r="2171" spans="5:32" x14ac:dyDescent="0.35">
      <c r="E2171" s="314"/>
      <c r="F2171" s="314"/>
      <c r="G2171" s="314"/>
      <c r="H2171" s="314"/>
      <c r="I2171" s="314"/>
      <c r="J2171" s="314"/>
      <c r="K2171" s="314"/>
      <c r="L2171" s="314"/>
      <c r="M2171" s="314"/>
      <c r="N2171" s="314"/>
      <c r="O2171" s="314"/>
      <c r="P2171" s="314"/>
      <c r="Q2171" s="314"/>
      <c r="R2171" s="314"/>
      <c r="S2171" s="314"/>
      <c r="T2171" s="314"/>
      <c r="U2171" s="314"/>
      <c r="V2171" s="314"/>
      <c r="W2171" s="314"/>
      <c r="X2171" s="314"/>
      <c r="Y2171" s="314"/>
      <c r="Z2171" s="314"/>
      <c r="AA2171" s="314"/>
      <c r="AB2171" s="314"/>
      <c r="AC2171" s="314"/>
      <c r="AD2171" s="314"/>
      <c r="AE2171" s="314"/>
      <c r="AF2171" s="314"/>
    </row>
    <row r="2172" spans="5:32" x14ac:dyDescent="0.35">
      <c r="E2172" s="314"/>
      <c r="F2172" s="314"/>
      <c r="G2172" s="314"/>
      <c r="H2172" s="314"/>
      <c r="I2172" s="314"/>
      <c r="J2172" s="314"/>
      <c r="K2172" s="314"/>
      <c r="L2172" s="314"/>
      <c r="M2172" s="314"/>
      <c r="N2172" s="314"/>
      <c r="O2172" s="314"/>
      <c r="P2172" s="314"/>
      <c r="Q2172" s="314"/>
      <c r="R2172" s="314"/>
      <c r="S2172" s="314"/>
      <c r="T2172" s="314"/>
      <c r="U2172" s="314"/>
      <c r="V2172" s="314"/>
      <c r="W2172" s="314"/>
      <c r="X2172" s="314"/>
      <c r="Y2172" s="314"/>
      <c r="Z2172" s="314"/>
      <c r="AA2172" s="314"/>
      <c r="AB2172" s="314"/>
      <c r="AC2172" s="314"/>
      <c r="AD2172" s="314"/>
      <c r="AE2172" s="314"/>
      <c r="AF2172" s="314"/>
    </row>
    <row r="2173" spans="5:32" x14ac:dyDescent="0.35">
      <c r="E2173" s="314"/>
      <c r="F2173" s="314"/>
      <c r="G2173" s="314"/>
      <c r="H2173" s="314"/>
      <c r="I2173" s="314"/>
      <c r="J2173" s="314"/>
      <c r="K2173" s="314"/>
      <c r="L2173" s="314"/>
      <c r="M2173" s="314"/>
      <c r="N2173" s="314"/>
      <c r="O2173" s="314"/>
      <c r="P2173" s="314"/>
      <c r="Q2173" s="314"/>
      <c r="R2173" s="314"/>
      <c r="S2173" s="314"/>
      <c r="T2173" s="314"/>
      <c r="U2173" s="314"/>
      <c r="V2173" s="314"/>
      <c r="W2173" s="314"/>
      <c r="X2173" s="314"/>
      <c r="Y2173" s="314"/>
      <c r="Z2173" s="314"/>
      <c r="AA2173" s="314"/>
      <c r="AB2173" s="314"/>
      <c r="AC2173" s="314"/>
      <c r="AD2173" s="314"/>
      <c r="AE2173" s="314"/>
      <c r="AF2173" s="314"/>
    </row>
    <row r="2174" spans="5:32" x14ac:dyDescent="0.35">
      <c r="E2174" s="314"/>
      <c r="F2174" s="314"/>
      <c r="G2174" s="314"/>
      <c r="H2174" s="314"/>
      <c r="I2174" s="314"/>
      <c r="J2174" s="314"/>
      <c r="K2174" s="314"/>
      <c r="L2174" s="314"/>
      <c r="M2174" s="314"/>
      <c r="N2174" s="314"/>
      <c r="O2174" s="314"/>
      <c r="P2174" s="314"/>
      <c r="Q2174" s="314"/>
      <c r="R2174" s="314"/>
      <c r="S2174" s="314"/>
      <c r="T2174" s="314"/>
      <c r="U2174" s="314"/>
      <c r="V2174" s="314"/>
      <c r="W2174" s="314"/>
      <c r="X2174" s="314"/>
      <c r="Y2174" s="314"/>
      <c r="Z2174" s="314"/>
      <c r="AA2174" s="314"/>
      <c r="AB2174" s="314"/>
      <c r="AC2174" s="314"/>
      <c r="AD2174" s="314"/>
      <c r="AE2174" s="314"/>
      <c r="AF2174" s="314"/>
    </row>
    <row r="2175" spans="5:32" x14ac:dyDescent="0.35">
      <c r="E2175" s="314"/>
      <c r="F2175" s="314"/>
      <c r="G2175" s="314"/>
      <c r="H2175" s="314"/>
      <c r="I2175" s="314"/>
      <c r="J2175" s="314"/>
      <c r="K2175" s="314"/>
      <c r="L2175" s="314"/>
      <c r="M2175" s="314"/>
      <c r="N2175" s="314"/>
      <c r="O2175" s="314"/>
      <c r="P2175" s="314"/>
      <c r="Q2175" s="314"/>
      <c r="R2175" s="314"/>
      <c r="S2175" s="314"/>
      <c r="T2175" s="314"/>
      <c r="U2175" s="314"/>
      <c r="V2175" s="314"/>
      <c r="W2175" s="314"/>
      <c r="X2175" s="314"/>
      <c r="Y2175" s="314"/>
      <c r="Z2175" s="314"/>
      <c r="AA2175" s="314"/>
      <c r="AB2175" s="314"/>
      <c r="AC2175" s="314"/>
      <c r="AD2175" s="314"/>
      <c r="AE2175" s="314"/>
      <c r="AF2175" s="314"/>
    </row>
    <row r="2176" spans="5:32" x14ac:dyDescent="0.35">
      <c r="E2176" s="314"/>
      <c r="F2176" s="314"/>
      <c r="G2176" s="314"/>
      <c r="H2176" s="314"/>
      <c r="I2176" s="314"/>
      <c r="J2176" s="314"/>
      <c r="K2176" s="314"/>
      <c r="L2176" s="314"/>
      <c r="M2176" s="314"/>
      <c r="N2176" s="314"/>
      <c r="O2176" s="314"/>
      <c r="P2176" s="314"/>
      <c r="Q2176" s="314"/>
      <c r="R2176" s="314"/>
      <c r="S2176" s="314"/>
      <c r="T2176" s="314"/>
      <c r="U2176" s="314"/>
      <c r="V2176" s="314"/>
      <c r="W2176" s="314"/>
      <c r="X2176" s="314"/>
      <c r="Y2176" s="314"/>
      <c r="Z2176" s="314"/>
      <c r="AA2176" s="314"/>
      <c r="AB2176" s="314"/>
      <c r="AC2176" s="314"/>
      <c r="AD2176" s="314"/>
      <c r="AE2176" s="314"/>
      <c r="AF2176" s="314"/>
    </row>
    <row r="2177" spans="5:32" x14ac:dyDescent="0.35">
      <c r="E2177" s="314"/>
      <c r="F2177" s="314"/>
      <c r="G2177" s="314"/>
      <c r="H2177" s="314"/>
      <c r="I2177" s="314"/>
      <c r="J2177" s="314"/>
      <c r="K2177" s="314"/>
      <c r="L2177" s="314"/>
      <c r="M2177" s="314"/>
      <c r="N2177" s="314"/>
      <c r="O2177" s="314"/>
      <c r="P2177" s="314"/>
      <c r="Q2177" s="314"/>
      <c r="R2177" s="314"/>
      <c r="S2177" s="314"/>
      <c r="T2177" s="314"/>
      <c r="U2177" s="314"/>
      <c r="V2177" s="314"/>
      <c r="W2177" s="314"/>
      <c r="X2177" s="314"/>
      <c r="Y2177" s="314"/>
      <c r="Z2177" s="314"/>
      <c r="AA2177" s="314"/>
      <c r="AB2177" s="314"/>
      <c r="AC2177" s="314"/>
      <c r="AD2177" s="314"/>
      <c r="AE2177" s="314"/>
      <c r="AF2177" s="314"/>
    </row>
    <row r="2178" spans="5:32" x14ac:dyDescent="0.35">
      <c r="E2178" s="314"/>
      <c r="F2178" s="314"/>
      <c r="G2178" s="314"/>
      <c r="H2178" s="314"/>
      <c r="I2178" s="314"/>
      <c r="J2178" s="314"/>
      <c r="K2178" s="314"/>
      <c r="L2178" s="314"/>
      <c r="M2178" s="314"/>
      <c r="N2178" s="314"/>
      <c r="O2178" s="314"/>
      <c r="P2178" s="314"/>
      <c r="Q2178" s="314"/>
      <c r="R2178" s="314"/>
      <c r="S2178" s="314"/>
      <c r="T2178" s="314"/>
      <c r="U2178" s="314"/>
      <c r="V2178" s="314"/>
      <c r="W2178" s="314"/>
      <c r="X2178" s="314"/>
      <c r="Y2178" s="314"/>
      <c r="Z2178" s="314"/>
      <c r="AA2178" s="314"/>
      <c r="AB2178" s="314"/>
      <c r="AC2178" s="314"/>
      <c r="AD2178" s="314"/>
      <c r="AE2178" s="314"/>
      <c r="AF2178" s="314"/>
    </row>
    <row r="2179" spans="5:32" x14ac:dyDescent="0.35">
      <c r="E2179" s="314"/>
      <c r="F2179" s="314"/>
      <c r="G2179" s="314"/>
      <c r="H2179" s="314"/>
      <c r="I2179" s="314"/>
      <c r="J2179" s="314"/>
      <c r="K2179" s="314"/>
      <c r="L2179" s="314"/>
      <c r="M2179" s="314"/>
      <c r="N2179" s="314"/>
      <c r="O2179" s="314"/>
      <c r="P2179" s="314"/>
      <c r="Q2179" s="314"/>
      <c r="R2179" s="314"/>
      <c r="S2179" s="314"/>
      <c r="T2179" s="314"/>
      <c r="U2179" s="314"/>
      <c r="V2179" s="314"/>
      <c r="W2179" s="314"/>
      <c r="X2179" s="314"/>
      <c r="Y2179" s="314"/>
      <c r="Z2179" s="314"/>
      <c r="AA2179" s="314"/>
      <c r="AB2179" s="314"/>
      <c r="AC2179" s="314"/>
      <c r="AD2179" s="314"/>
      <c r="AE2179" s="314"/>
      <c r="AF2179" s="314"/>
    </row>
    <row r="2180" spans="5:32" x14ac:dyDescent="0.35">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314"/>
      <c r="AE2180" s="314"/>
      <c r="AF2180" s="314"/>
    </row>
    <row r="2181" spans="5:32" x14ac:dyDescent="0.35">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314"/>
      <c r="AF2181" s="314"/>
    </row>
    <row r="2182" spans="5:32" x14ac:dyDescent="0.35">
      <c r="E2182" s="314"/>
      <c r="F2182" s="314"/>
      <c r="G2182" s="314"/>
      <c r="H2182" s="314"/>
      <c r="I2182" s="314"/>
      <c r="J2182" s="314"/>
      <c r="K2182" s="314"/>
      <c r="L2182" s="314"/>
      <c r="M2182" s="314"/>
      <c r="N2182" s="314"/>
      <c r="O2182" s="314"/>
      <c r="P2182" s="314"/>
      <c r="Q2182" s="314"/>
      <c r="R2182" s="314"/>
      <c r="S2182" s="314"/>
      <c r="T2182" s="314"/>
      <c r="U2182" s="314"/>
      <c r="V2182" s="314"/>
      <c r="W2182" s="314"/>
      <c r="X2182" s="314"/>
      <c r="Y2182" s="314"/>
      <c r="Z2182" s="314"/>
      <c r="AA2182" s="314"/>
      <c r="AB2182" s="314"/>
      <c r="AC2182" s="314"/>
      <c r="AD2182" s="314"/>
      <c r="AE2182" s="314"/>
      <c r="AF2182" s="314"/>
    </row>
    <row r="2183" spans="5:32" x14ac:dyDescent="0.35">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314"/>
      <c r="AE2183" s="314"/>
      <c r="AF2183" s="314"/>
    </row>
    <row r="2184" spans="5:32" x14ac:dyDescent="0.35">
      <c r="E2184" s="314"/>
      <c r="F2184" s="314"/>
      <c r="G2184" s="314"/>
      <c r="H2184" s="314"/>
      <c r="I2184" s="314"/>
      <c r="J2184" s="314"/>
      <c r="K2184" s="314"/>
      <c r="L2184" s="314"/>
      <c r="M2184" s="314"/>
      <c r="N2184" s="314"/>
      <c r="O2184" s="314"/>
      <c r="P2184" s="314"/>
      <c r="Q2184" s="314"/>
      <c r="R2184" s="314"/>
      <c r="S2184" s="314"/>
      <c r="T2184" s="314"/>
      <c r="U2184" s="314"/>
      <c r="V2184" s="314"/>
      <c r="W2184" s="314"/>
      <c r="X2184" s="314"/>
      <c r="Y2184" s="314"/>
      <c r="Z2184" s="314"/>
      <c r="AA2184" s="314"/>
      <c r="AB2184" s="314"/>
      <c r="AC2184" s="314"/>
      <c r="AD2184" s="314"/>
      <c r="AE2184" s="314"/>
      <c r="AF2184" s="314"/>
    </row>
    <row r="2185" spans="5:32" x14ac:dyDescent="0.35">
      <c r="E2185" s="314"/>
      <c r="F2185" s="314"/>
      <c r="G2185" s="314"/>
      <c r="H2185" s="314"/>
      <c r="I2185" s="314"/>
      <c r="J2185" s="314"/>
      <c r="K2185" s="314"/>
      <c r="L2185" s="314"/>
      <c r="M2185" s="314"/>
      <c r="N2185" s="314"/>
      <c r="O2185" s="314"/>
      <c r="P2185" s="314"/>
      <c r="Q2185" s="314"/>
      <c r="R2185" s="314"/>
      <c r="S2185" s="314"/>
      <c r="T2185" s="314"/>
      <c r="U2185" s="314"/>
      <c r="V2185" s="314"/>
      <c r="W2185" s="314"/>
      <c r="X2185" s="314"/>
      <c r="Y2185" s="314"/>
      <c r="Z2185" s="314"/>
      <c r="AA2185" s="314"/>
      <c r="AB2185" s="314"/>
      <c r="AC2185" s="314"/>
      <c r="AD2185" s="314"/>
      <c r="AE2185" s="314"/>
      <c r="AF2185" s="314"/>
    </row>
    <row r="2186" spans="5:32" x14ac:dyDescent="0.35">
      <c r="E2186" s="314"/>
      <c r="F2186" s="314"/>
      <c r="G2186" s="314"/>
      <c r="H2186" s="314"/>
      <c r="I2186" s="314"/>
      <c r="J2186" s="314"/>
      <c r="K2186" s="314"/>
      <c r="L2186" s="314"/>
      <c r="M2186" s="314"/>
      <c r="N2186" s="314"/>
      <c r="O2186" s="314"/>
      <c r="P2186" s="314"/>
      <c r="Q2186" s="314"/>
      <c r="R2186" s="314"/>
      <c r="S2186" s="314"/>
      <c r="T2186" s="314"/>
      <c r="U2186" s="314"/>
      <c r="V2186" s="314"/>
      <c r="W2186" s="314"/>
      <c r="X2186" s="314"/>
      <c r="Y2186" s="314"/>
      <c r="Z2186" s="314"/>
      <c r="AA2186" s="314"/>
      <c r="AB2186" s="314"/>
      <c r="AC2186" s="314"/>
      <c r="AD2186" s="314"/>
      <c r="AE2186" s="314"/>
      <c r="AF2186" s="314"/>
    </row>
    <row r="2187" spans="5:32" x14ac:dyDescent="0.35">
      <c r="E2187" s="314"/>
      <c r="F2187" s="314"/>
      <c r="G2187" s="314"/>
      <c r="H2187" s="314"/>
      <c r="I2187" s="314"/>
      <c r="J2187" s="314"/>
      <c r="K2187" s="314"/>
      <c r="L2187" s="314"/>
      <c r="M2187" s="314"/>
      <c r="N2187" s="314"/>
      <c r="O2187" s="314"/>
      <c r="P2187" s="314"/>
      <c r="Q2187" s="314"/>
      <c r="R2187" s="314"/>
      <c r="S2187" s="314"/>
      <c r="T2187" s="314"/>
      <c r="U2187" s="314"/>
      <c r="V2187" s="314"/>
      <c r="W2187" s="314"/>
      <c r="X2187" s="314"/>
      <c r="Y2187" s="314"/>
      <c r="Z2187" s="314"/>
      <c r="AA2187" s="314"/>
      <c r="AB2187" s="314"/>
      <c r="AC2187" s="314"/>
      <c r="AD2187" s="314"/>
      <c r="AE2187" s="314"/>
      <c r="AF2187" s="314"/>
    </row>
    <row r="2188" spans="5:32" x14ac:dyDescent="0.35">
      <c r="E2188" s="314"/>
      <c r="F2188" s="314"/>
      <c r="G2188" s="314"/>
      <c r="H2188" s="314"/>
      <c r="I2188" s="314"/>
      <c r="J2188" s="314"/>
      <c r="K2188" s="314"/>
      <c r="L2188" s="314"/>
      <c r="M2188" s="314"/>
      <c r="N2188" s="314"/>
      <c r="O2188" s="314"/>
      <c r="P2188" s="314"/>
      <c r="Q2188" s="314"/>
      <c r="R2188" s="314"/>
      <c r="S2188" s="314"/>
      <c r="T2188" s="314"/>
      <c r="U2188" s="314"/>
      <c r="V2188" s="314"/>
      <c r="W2188" s="314"/>
      <c r="X2188" s="314"/>
      <c r="Y2188" s="314"/>
      <c r="Z2188" s="314"/>
      <c r="AA2188" s="314"/>
      <c r="AB2188" s="314"/>
      <c r="AC2188" s="314"/>
      <c r="AD2188" s="314"/>
      <c r="AE2188" s="314"/>
      <c r="AF2188" s="314"/>
    </row>
    <row r="2189" spans="5:32" x14ac:dyDescent="0.35">
      <c r="E2189" s="314"/>
      <c r="F2189" s="314"/>
      <c r="G2189" s="314"/>
      <c r="H2189" s="314"/>
      <c r="I2189" s="314"/>
      <c r="J2189" s="314"/>
      <c r="K2189" s="314"/>
      <c r="L2189" s="314"/>
      <c r="M2189" s="314"/>
      <c r="N2189" s="314"/>
      <c r="O2189" s="314"/>
      <c r="P2189" s="314"/>
      <c r="Q2189" s="314"/>
      <c r="R2189" s="314"/>
      <c r="S2189" s="314"/>
      <c r="T2189" s="314"/>
      <c r="U2189" s="314"/>
      <c r="V2189" s="314"/>
      <c r="W2189" s="314"/>
      <c r="X2189" s="314"/>
      <c r="Y2189" s="314"/>
      <c r="Z2189" s="314"/>
      <c r="AA2189" s="314"/>
      <c r="AB2189" s="314"/>
      <c r="AC2189" s="314"/>
      <c r="AD2189" s="314"/>
      <c r="AE2189" s="314"/>
      <c r="AF2189" s="314"/>
    </row>
    <row r="2190" spans="5:32" x14ac:dyDescent="0.35">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314"/>
      <c r="AF2190" s="314"/>
    </row>
    <row r="2191" spans="5:32" x14ac:dyDescent="0.35">
      <c r="E2191" s="314"/>
      <c r="F2191" s="314"/>
      <c r="G2191" s="314"/>
      <c r="H2191" s="314"/>
      <c r="I2191" s="314"/>
      <c r="J2191" s="314"/>
      <c r="K2191" s="314"/>
      <c r="L2191" s="314"/>
      <c r="M2191" s="314"/>
      <c r="N2191" s="314"/>
      <c r="O2191" s="314"/>
      <c r="P2191" s="314"/>
      <c r="Q2191" s="314"/>
      <c r="R2191" s="314"/>
      <c r="S2191" s="314"/>
      <c r="T2191" s="314"/>
      <c r="U2191" s="314"/>
      <c r="V2191" s="314"/>
      <c r="W2191" s="314"/>
      <c r="X2191" s="314"/>
      <c r="Y2191" s="314"/>
      <c r="Z2191" s="314"/>
      <c r="AA2191" s="314"/>
      <c r="AB2191" s="314"/>
      <c r="AC2191" s="314"/>
      <c r="AD2191" s="314"/>
      <c r="AE2191" s="314"/>
      <c r="AF2191" s="314"/>
    </row>
    <row r="2192" spans="5:32" x14ac:dyDescent="0.35">
      <c r="E2192" s="314"/>
      <c r="F2192" s="314"/>
      <c r="G2192" s="314"/>
      <c r="H2192" s="314"/>
      <c r="I2192" s="314"/>
      <c r="J2192" s="314"/>
      <c r="K2192" s="314"/>
      <c r="L2192" s="314"/>
      <c r="M2192" s="314"/>
      <c r="N2192" s="314"/>
      <c r="O2192" s="314"/>
      <c r="P2192" s="314"/>
      <c r="Q2192" s="314"/>
      <c r="R2192" s="314"/>
      <c r="S2192" s="314"/>
      <c r="T2192" s="314"/>
      <c r="U2192" s="314"/>
      <c r="V2192" s="314"/>
      <c r="W2192" s="314"/>
      <c r="X2192" s="314"/>
      <c r="Y2192" s="314"/>
      <c r="Z2192" s="314"/>
      <c r="AA2192" s="314"/>
      <c r="AB2192" s="314"/>
      <c r="AC2192" s="314"/>
      <c r="AD2192" s="314"/>
      <c r="AE2192" s="314"/>
      <c r="AF2192" s="314"/>
    </row>
    <row r="2193" spans="5:32" x14ac:dyDescent="0.35">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314"/>
      <c r="AE2193" s="314"/>
      <c r="AF2193" s="314"/>
    </row>
    <row r="2194" spans="5:32" x14ac:dyDescent="0.35">
      <c r="E2194" s="314"/>
      <c r="F2194" s="314"/>
      <c r="G2194" s="314"/>
      <c r="H2194" s="314"/>
      <c r="I2194" s="314"/>
      <c r="J2194" s="314"/>
      <c r="K2194" s="314"/>
      <c r="L2194" s="314"/>
      <c r="M2194" s="314"/>
      <c r="N2194" s="314"/>
      <c r="O2194" s="314"/>
      <c r="P2194" s="314"/>
      <c r="Q2194" s="314"/>
      <c r="R2194" s="314"/>
      <c r="S2194" s="314"/>
      <c r="T2194" s="314"/>
      <c r="U2194" s="314"/>
      <c r="V2194" s="314"/>
      <c r="W2194" s="314"/>
      <c r="X2194" s="314"/>
      <c r="Y2194" s="314"/>
      <c r="Z2194" s="314"/>
      <c r="AA2194" s="314"/>
      <c r="AB2194" s="314"/>
      <c r="AC2194" s="314"/>
      <c r="AD2194" s="314"/>
      <c r="AE2194" s="314"/>
      <c r="AF2194" s="314"/>
    </row>
    <row r="2195" spans="5:32" x14ac:dyDescent="0.35">
      <c r="E2195" s="314"/>
      <c r="F2195" s="314"/>
      <c r="G2195" s="314"/>
      <c r="H2195" s="314"/>
      <c r="I2195" s="314"/>
      <c r="J2195" s="314"/>
      <c r="K2195" s="314"/>
      <c r="L2195" s="314"/>
      <c r="M2195" s="314"/>
      <c r="N2195" s="314"/>
      <c r="O2195" s="314"/>
      <c r="P2195" s="314"/>
      <c r="Q2195" s="314"/>
      <c r="R2195" s="314"/>
      <c r="S2195" s="314"/>
      <c r="T2195" s="314"/>
      <c r="U2195" s="314"/>
      <c r="V2195" s="314"/>
      <c r="W2195" s="314"/>
      <c r="X2195" s="314"/>
      <c r="Y2195" s="314"/>
      <c r="Z2195" s="314"/>
      <c r="AA2195" s="314"/>
      <c r="AB2195" s="314"/>
      <c r="AC2195" s="314"/>
      <c r="AD2195" s="314"/>
      <c r="AE2195" s="314"/>
      <c r="AF2195" s="314"/>
    </row>
    <row r="2196" spans="5:32" x14ac:dyDescent="0.35">
      <c r="E2196" s="314"/>
      <c r="F2196" s="314"/>
      <c r="G2196" s="314"/>
      <c r="H2196" s="314"/>
      <c r="I2196" s="314"/>
      <c r="J2196" s="314"/>
      <c r="K2196" s="314"/>
      <c r="L2196" s="314"/>
      <c r="M2196" s="314"/>
      <c r="N2196" s="314"/>
      <c r="O2196" s="314"/>
      <c r="P2196" s="314"/>
      <c r="Q2196" s="314"/>
      <c r="R2196" s="314"/>
      <c r="S2196" s="314"/>
      <c r="T2196" s="314"/>
      <c r="U2196" s="314"/>
      <c r="V2196" s="314"/>
      <c r="W2196" s="314"/>
      <c r="X2196" s="314"/>
      <c r="Y2196" s="314"/>
      <c r="Z2196" s="314"/>
      <c r="AA2196" s="314"/>
      <c r="AB2196" s="314"/>
      <c r="AC2196" s="314"/>
      <c r="AD2196" s="314"/>
      <c r="AE2196" s="314"/>
      <c r="AF2196" s="314"/>
    </row>
    <row r="2197" spans="5:32" x14ac:dyDescent="0.35">
      <c r="E2197" s="314"/>
      <c r="F2197" s="314"/>
      <c r="G2197" s="314"/>
      <c r="H2197" s="314"/>
      <c r="I2197" s="314"/>
      <c r="J2197" s="314"/>
      <c r="K2197" s="314"/>
      <c r="L2197" s="314"/>
      <c r="M2197" s="314"/>
      <c r="N2197" s="314"/>
      <c r="O2197" s="314"/>
      <c r="P2197" s="314"/>
      <c r="Q2197" s="314"/>
      <c r="R2197" s="314"/>
      <c r="S2197" s="314"/>
      <c r="T2197" s="314"/>
      <c r="U2197" s="314"/>
      <c r="V2197" s="314"/>
      <c r="W2197" s="314"/>
      <c r="X2197" s="314"/>
      <c r="Y2197" s="314"/>
      <c r="Z2197" s="314"/>
      <c r="AA2197" s="314"/>
      <c r="AB2197" s="314"/>
      <c r="AC2197" s="314"/>
      <c r="AD2197" s="314"/>
      <c r="AE2197" s="314"/>
      <c r="AF2197" s="314"/>
    </row>
    <row r="2198" spans="5:32" x14ac:dyDescent="0.35">
      <c r="E2198" s="314"/>
      <c r="F2198" s="314"/>
      <c r="G2198" s="314"/>
      <c r="H2198" s="314"/>
      <c r="I2198" s="314"/>
      <c r="J2198" s="314"/>
      <c r="K2198" s="314"/>
      <c r="L2198" s="314"/>
      <c r="M2198" s="314"/>
      <c r="N2198" s="314"/>
      <c r="O2198" s="314"/>
      <c r="P2198" s="314"/>
      <c r="Q2198" s="314"/>
      <c r="R2198" s="314"/>
      <c r="S2198" s="314"/>
      <c r="T2198" s="314"/>
      <c r="U2198" s="314"/>
      <c r="V2198" s="314"/>
      <c r="W2198" s="314"/>
      <c r="X2198" s="314"/>
      <c r="Y2198" s="314"/>
      <c r="Z2198" s="314"/>
      <c r="AA2198" s="314"/>
      <c r="AB2198" s="314"/>
      <c r="AC2198" s="314"/>
      <c r="AD2198" s="314"/>
      <c r="AE2198" s="314"/>
      <c r="AF2198" s="314"/>
    </row>
    <row r="2199" spans="5:32" x14ac:dyDescent="0.35">
      <c r="E2199" s="314"/>
      <c r="F2199" s="314"/>
      <c r="G2199" s="314"/>
      <c r="H2199" s="314"/>
      <c r="I2199" s="314"/>
      <c r="J2199" s="314"/>
      <c r="K2199" s="314"/>
      <c r="L2199" s="314"/>
      <c r="M2199" s="314"/>
      <c r="N2199" s="314"/>
      <c r="O2199" s="314"/>
      <c r="P2199" s="314"/>
      <c r="Q2199" s="314"/>
      <c r="R2199" s="314"/>
      <c r="S2199" s="314"/>
      <c r="T2199" s="314"/>
      <c r="U2199" s="314"/>
      <c r="V2199" s="314"/>
      <c r="W2199" s="314"/>
      <c r="X2199" s="314"/>
      <c r="Y2199" s="314"/>
      <c r="Z2199" s="314"/>
      <c r="AA2199" s="314"/>
      <c r="AB2199" s="314"/>
      <c r="AC2199" s="314"/>
      <c r="AD2199" s="314"/>
      <c r="AE2199" s="314"/>
      <c r="AF2199" s="314"/>
    </row>
    <row r="2200" spans="5:32" x14ac:dyDescent="0.35">
      <c r="E2200" s="314"/>
      <c r="F2200" s="314"/>
      <c r="G2200" s="314"/>
      <c r="H2200" s="314"/>
      <c r="I2200" s="314"/>
      <c r="J2200" s="314"/>
      <c r="K2200" s="314"/>
      <c r="L2200" s="314"/>
      <c r="M2200" s="314"/>
      <c r="N2200" s="314"/>
      <c r="O2200" s="314"/>
      <c r="P2200" s="314"/>
      <c r="Q2200" s="314"/>
      <c r="R2200" s="314"/>
      <c r="S2200" s="314"/>
      <c r="T2200" s="314"/>
      <c r="U2200" s="314"/>
      <c r="V2200" s="314"/>
      <c r="W2200" s="314"/>
      <c r="X2200" s="314"/>
      <c r="Y2200" s="314"/>
      <c r="Z2200" s="314"/>
      <c r="AA2200" s="314"/>
      <c r="AB2200" s="314"/>
      <c r="AC2200" s="314"/>
      <c r="AD2200" s="314"/>
      <c r="AE2200" s="314"/>
      <c r="AF2200" s="314"/>
    </row>
    <row r="2201" spans="5:32" x14ac:dyDescent="0.35">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314"/>
      <c r="AE2201" s="314"/>
      <c r="AF2201" s="314"/>
    </row>
    <row r="2202" spans="5:32" x14ac:dyDescent="0.35">
      <c r="E2202" s="314"/>
      <c r="F2202" s="314"/>
      <c r="G2202" s="314"/>
      <c r="H2202" s="314"/>
      <c r="I2202" s="314"/>
      <c r="J2202" s="314"/>
      <c r="K2202" s="314"/>
      <c r="L2202" s="314"/>
      <c r="M2202" s="314"/>
      <c r="N2202" s="314"/>
      <c r="O2202" s="314"/>
      <c r="P2202" s="314"/>
      <c r="Q2202" s="314"/>
      <c r="R2202" s="314"/>
      <c r="S2202" s="314"/>
      <c r="T2202" s="314"/>
      <c r="U2202" s="314"/>
      <c r="V2202" s="314"/>
      <c r="W2202" s="314"/>
      <c r="X2202" s="314"/>
      <c r="Y2202" s="314"/>
      <c r="Z2202" s="314"/>
      <c r="AA2202" s="314"/>
      <c r="AB2202" s="314"/>
      <c r="AC2202" s="314"/>
      <c r="AD2202" s="314"/>
      <c r="AE2202" s="314"/>
      <c r="AF2202" s="314"/>
    </row>
    <row r="2203" spans="5:32" x14ac:dyDescent="0.35">
      <c r="E2203" s="314"/>
      <c r="F2203" s="314"/>
      <c r="G2203" s="314"/>
      <c r="H2203" s="314"/>
      <c r="I2203" s="314"/>
      <c r="J2203" s="314"/>
      <c r="K2203" s="314"/>
      <c r="L2203" s="314"/>
      <c r="M2203" s="314"/>
      <c r="N2203" s="314"/>
      <c r="O2203" s="314"/>
      <c r="P2203" s="314"/>
      <c r="Q2203" s="314"/>
      <c r="R2203" s="314"/>
      <c r="S2203" s="314"/>
      <c r="T2203" s="314"/>
      <c r="U2203" s="314"/>
      <c r="V2203" s="314"/>
      <c r="W2203" s="314"/>
      <c r="X2203" s="314"/>
      <c r="Y2203" s="314"/>
      <c r="Z2203" s="314"/>
      <c r="AA2203" s="314"/>
      <c r="AB2203" s="314"/>
      <c r="AC2203" s="314"/>
      <c r="AD2203" s="314"/>
      <c r="AE2203" s="314"/>
      <c r="AF2203" s="314"/>
    </row>
    <row r="2204" spans="5:32" x14ac:dyDescent="0.35">
      <c r="E2204" s="314"/>
      <c r="F2204" s="314"/>
      <c r="G2204" s="314"/>
      <c r="H2204" s="314"/>
      <c r="I2204" s="314"/>
      <c r="J2204" s="314"/>
      <c r="K2204" s="314"/>
      <c r="L2204" s="314"/>
      <c r="M2204" s="314"/>
      <c r="N2204" s="314"/>
      <c r="O2204" s="314"/>
      <c r="P2204" s="314"/>
      <c r="Q2204" s="314"/>
      <c r="R2204" s="314"/>
      <c r="S2204" s="314"/>
      <c r="T2204" s="314"/>
      <c r="U2204" s="314"/>
      <c r="V2204" s="314"/>
      <c r="W2204" s="314"/>
      <c r="X2204" s="314"/>
      <c r="Y2204" s="314"/>
      <c r="Z2204" s="314"/>
      <c r="AA2204" s="314"/>
      <c r="AB2204" s="314"/>
      <c r="AC2204" s="314"/>
      <c r="AD2204" s="314"/>
      <c r="AE2204" s="314"/>
      <c r="AF2204" s="314"/>
    </row>
    <row r="2205" spans="5:32" x14ac:dyDescent="0.35">
      <c r="E2205" s="314"/>
      <c r="F2205" s="314"/>
      <c r="G2205" s="314"/>
      <c r="H2205" s="314"/>
      <c r="I2205" s="314"/>
      <c r="J2205" s="314"/>
      <c r="K2205" s="314"/>
      <c r="L2205" s="314"/>
      <c r="M2205" s="314"/>
      <c r="N2205" s="314"/>
      <c r="O2205" s="314"/>
      <c r="P2205" s="314"/>
      <c r="Q2205" s="314"/>
      <c r="R2205" s="314"/>
      <c r="S2205" s="314"/>
      <c r="T2205" s="314"/>
      <c r="U2205" s="314"/>
      <c r="V2205" s="314"/>
      <c r="W2205" s="314"/>
      <c r="X2205" s="314"/>
      <c r="Y2205" s="314"/>
      <c r="Z2205" s="314"/>
      <c r="AA2205" s="314"/>
      <c r="AB2205" s="314"/>
      <c r="AC2205" s="314"/>
      <c r="AD2205" s="314"/>
      <c r="AE2205" s="314"/>
      <c r="AF2205" s="314"/>
    </row>
    <row r="2206" spans="5:32" x14ac:dyDescent="0.35">
      <c r="E2206" s="314"/>
      <c r="F2206" s="314"/>
      <c r="G2206" s="314"/>
      <c r="H2206" s="314"/>
      <c r="I2206" s="314"/>
      <c r="J2206" s="314"/>
      <c r="K2206" s="314"/>
      <c r="L2206" s="314"/>
      <c r="M2206" s="314"/>
      <c r="N2206" s="314"/>
      <c r="O2206" s="314"/>
      <c r="P2206" s="314"/>
      <c r="Q2206" s="314"/>
      <c r="R2206" s="314"/>
      <c r="S2206" s="314"/>
      <c r="T2206" s="314"/>
      <c r="U2206" s="314"/>
      <c r="V2206" s="314"/>
      <c r="W2206" s="314"/>
      <c r="X2206" s="314"/>
      <c r="Y2206" s="314"/>
      <c r="Z2206" s="314"/>
      <c r="AA2206" s="314"/>
      <c r="AB2206" s="314"/>
      <c r="AC2206" s="314"/>
      <c r="AD2206" s="314"/>
      <c r="AE2206" s="314"/>
      <c r="AF2206" s="314"/>
    </row>
    <row r="2207" spans="5:32" x14ac:dyDescent="0.35">
      <c r="E2207" s="314"/>
      <c r="F2207" s="314"/>
      <c r="G2207" s="314"/>
      <c r="H2207" s="314"/>
      <c r="I2207" s="314"/>
      <c r="J2207" s="314"/>
      <c r="K2207" s="314"/>
      <c r="L2207" s="314"/>
      <c r="M2207" s="314"/>
      <c r="N2207" s="314"/>
      <c r="O2207" s="314"/>
      <c r="P2207" s="314"/>
      <c r="Q2207" s="314"/>
      <c r="R2207" s="314"/>
      <c r="S2207" s="314"/>
      <c r="T2207" s="314"/>
      <c r="U2207" s="314"/>
      <c r="V2207" s="314"/>
      <c r="W2207" s="314"/>
      <c r="X2207" s="314"/>
      <c r="Y2207" s="314"/>
      <c r="Z2207" s="314"/>
      <c r="AA2207" s="314"/>
      <c r="AB2207" s="314"/>
      <c r="AC2207" s="314"/>
      <c r="AD2207" s="314"/>
      <c r="AE2207" s="314"/>
      <c r="AF2207" s="314"/>
    </row>
    <row r="2208" spans="5:32" x14ac:dyDescent="0.35">
      <c r="E2208" s="314"/>
      <c r="F2208" s="314"/>
      <c r="G2208" s="314"/>
      <c r="H2208" s="314"/>
      <c r="I2208" s="314"/>
      <c r="J2208" s="314"/>
      <c r="K2208" s="314"/>
      <c r="L2208" s="314"/>
      <c r="M2208" s="314"/>
      <c r="N2208" s="314"/>
      <c r="O2208" s="314"/>
      <c r="P2208" s="314"/>
      <c r="Q2208" s="314"/>
      <c r="R2208" s="314"/>
      <c r="S2208" s="314"/>
      <c r="T2208" s="314"/>
      <c r="U2208" s="314"/>
      <c r="V2208" s="314"/>
      <c r="W2208" s="314"/>
      <c r="X2208" s="314"/>
      <c r="Y2208" s="314"/>
      <c r="Z2208" s="314"/>
      <c r="AA2208" s="314"/>
      <c r="AB2208" s="314"/>
      <c r="AC2208" s="314"/>
      <c r="AD2208" s="314"/>
      <c r="AE2208" s="314"/>
      <c r="AF2208" s="314"/>
    </row>
    <row r="2209" spans="5:32" x14ac:dyDescent="0.35">
      <c r="E2209" s="314"/>
      <c r="F2209" s="314"/>
      <c r="G2209" s="314"/>
      <c r="H2209" s="314"/>
      <c r="I2209" s="314"/>
      <c r="J2209" s="314"/>
      <c r="K2209" s="314"/>
      <c r="L2209" s="314"/>
      <c r="M2209" s="314"/>
      <c r="N2209" s="314"/>
      <c r="O2209" s="314"/>
      <c r="P2209" s="314"/>
      <c r="Q2209" s="314"/>
      <c r="R2209" s="314"/>
      <c r="S2209" s="314"/>
      <c r="T2209" s="314"/>
      <c r="U2209" s="314"/>
      <c r="V2209" s="314"/>
      <c r="W2209" s="314"/>
      <c r="X2209" s="314"/>
      <c r="Y2209" s="314"/>
      <c r="Z2209" s="314"/>
      <c r="AA2209" s="314"/>
      <c r="AB2209" s="314"/>
      <c r="AC2209" s="314"/>
      <c r="AD2209" s="314"/>
      <c r="AE2209" s="314"/>
      <c r="AF2209" s="314"/>
    </row>
    <row r="2210" spans="5:32" x14ac:dyDescent="0.35">
      <c r="E2210" s="314"/>
      <c r="F2210" s="314"/>
      <c r="G2210" s="314"/>
      <c r="H2210" s="314"/>
      <c r="I2210" s="314"/>
      <c r="J2210" s="314"/>
      <c r="K2210" s="314"/>
      <c r="L2210" s="314"/>
      <c r="M2210" s="314"/>
      <c r="N2210" s="314"/>
      <c r="O2210" s="314"/>
      <c r="P2210" s="314"/>
      <c r="Q2210" s="314"/>
      <c r="R2210" s="314"/>
      <c r="S2210" s="314"/>
      <c r="T2210" s="314"/>
      <c r="U2210" s="314"/>
      <c r="V2210" s="314"/>
      <c r="W2210" s="314"/>
      <c r="X2210" s="314"/>
      <c r="Y2210" s="314"/>
      <c r="Z2210" s="314"/>
      <c r="AA2210" s="314"/>
      <c r="AB2210" s="314"/>
      <c r="AC2210" s="314"/>
      <c r="AD2210" s="314"/>
      <c r="AE2210" s="314"/>
      <c r="AF2210" s="314"/>
    </row>
    <row r="2211" spans="5:32" x14ac:dyDescent="0.35">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314"/>
      <c r="AE2211" s="314"/>
      <c r="AF2211" s="314"/>
    </row>
    <row r="2212" spans="5:32" x14ac:dyDescent="0.35">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314"/>
      <c r="AF2212" s="314"/>
    </row>
    <row r="2213" spans="5:32" x14ac:dyDescent="0.35">
      <c r="E2213" s="314"/>
      <c r="F2213" s="314"/>
      <c r="G2213" s="314"/>
      <c r="H2213" s="314"/>
      <c r="I2213" s="314"/>
      <c r="J2213" s="314"/>
      <c r="K2213" s="314"/>
      <c r="L2213" s="314"/>
      <c r="M2213" s="314"/>
      <c r="N2213" s="314"/>
      <c r="O2213" s="314"/>
      <c r="P2213" s="314"/>
      <c r="Q2213" s="314"/>
      <c r="R2213" s="314"/>
      <c r="S2213" s="314"/>
      <c r="T2213" s="314"/>
      <c r="U2213" s="314"/>
      <c r="V2213" s="314"/>
      <c r="W2213" s="314"/>
      <c r="X2213" s="314"/>
      <c r="Y2213" s="314"/>
      <c r="Z2213" s="314"/>
      <c r="AA2213" s="314"/>
      <c r="AB2213" s="314"/>
      <c r="AC2213" s="314"/>
      <c r="AD2213" s="314"/>
      <c r="AE2213" s="314"/>
      <c r="AF2213" s="314"/>
    </row>
    <row r="2214" spans="5:32" x14ac:dyDescent="0.35">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314"/>
      <c r="AE2214" s="314"/>
      <c r="AF2214" s="314"/>
    </row>
    <row r="2215" spans="5:32" x14ac:dyDescent="0.35">
      <c r="E2215" s="314"/>
      <c r="F2215" s="314"/>
      <c r="G2215" s="314"/>
      <c r="H2215" s="314"/>
      <c r="I2215" s="314"/>
      <c r="J2215" s="314"/>
      <c r="K2215" s="314"/>
      <c r="L2215" s="314"/>
      <c r="M2215" s="314"/>
      <c r="N2215" s="314"/>
      <c r="O2215" s="314"/>
      <c r="P2215" s="314"/>
      <c r="Q2215" s="314"/>
      <c r="R2215" s="314"/>
      <c r="S2215" s="314"/>
      <c r="T2215" s="314"/>
      <c r="U2215" s="314"/>
      <c r="V2215" s="314"/>
      <c r="W2215" s="314"/>
      <c r="X2215" s="314"/>
      <c r="Y2215" s="314"/>
      <c r="Z2215" s="314"/>
      <c r="AA2215" s="314"/>
      <c r="AB2215" s="314"/>
      <c r="AC2215" s="314"/>
      <c r="AD2215" s="314"/>
      <c r="AE2215" s="314"/>
      <c r="AF2215" s="314"/>
    </row>
    <row r="2216" spans="5:32" x14ac:dyDescent="0.35">
      <c r="E2216" s="314"/>
      <c r="F2216" s="314"/>
      <c r="G2216" s="314"/>
      <c r="H2216" s="314"/>
      <c r="I2216" s="314"/>
      <c r="J2216" s="314"/>
      <c r="K2216" s="314"/>
      <c r="L2216" s="314"/>
      <c r="M2216" s="314"/>
      <c r="N2216" s="314"/>
      <c r="O2216" s="314"/>
      <c r="P2216" s="314"/>
      <c r="Q2216" s="314"/>
      <c r="R2216" s="314"/>
      <c r="S2216" s="314"/>
      <c r="T2216" s="314"/>
      <c r="U2216" s="314"/>
      <c r="V2216" s="314"/>
      <c r="W2216" s="314"/>
      <c r="X2216" s="314"/>
      <c r="Y2216" s="314"/>
      <c r="Z2216" s="314"/>
      <c r="AA2216" s="314"/>
      <c r="AB2216" s="314"/>
      <c r="AC2216" s="314"/>
      <c r="AD2216" s="314"/>
      <c r="AE2216" s="314"/>
      <c r="AF2216" s="314"/>
    </row>
    <row r="2217" spans="5:32" x14ac:dyDescent="0.35">
      <c r="E2217" s="314"/>
      <c r="F2217" s="314"/>
      <c r="G2217" s="314"/>
      <c r="H2217" s="314"/>
      <c r="I2217" s="314"/>
      <c r="J2217" s="314"/>
      <c r="K2217" s="314"/>
      <c r="L2217" s="314"/>
      <c r="M2217" s="314"/>
      <c r="N2217" s="314"/>
      <c r="O2217" s="314"/>
      <c r="P2217" s="314"/>
      <c r="Q2217" s="314"/>
      <c r="R2217" s="314"/>
      <c r="S2217" s="314"/>
      <c r="T2217" s="314"/>
      <c r="U2217" s="314"/>
      <c r="V2217" s="314"/>
      <c r="W2217" s="314"/>
      <c r="X2217" s="314"/>
      <c r="Y2217" s="314"/>
      <c r="Z2217" s="314"/>
      <c r="AA2217" s="314"/>
      <c r="AB2217" s="314"/>
      <c r="AC2217" s="314"/>
      <c r="AD2217" s="314"/>
      <c r="AE2217" s="314"/>
      <c r="AF2217" s="314"/>
    </row>
    <row r="2218" spans="5:32" x14ac:dyDescent="0.35">
      <c r="E2218" s="314"/>
      <c r="F2218" s="314"/>
      <c r="G2218" s="314"/>
      <c r="H2218" s="314"/>
      <c r="I2218" s="314"/>
      <c r="J2218" s="314"/>
      <c r="K2218" s="314"/>
      <c r="L2218" s="314"/>
      <c r="M2218" s="314"/>
      <c r="N2218" s="314"/>
      <c r="O2218" s="314"/>
      <c r="P2218" s="314"/>
      <c r="Q2218" s="314"/>
      <c r="R2218" s="314"/>
      <c r="S2218" s="314"/>
      <c r="T2218" s="314"/>
      <c r="U2218" s="314"/>
      <c r="V2218" s="314"/>
      <c r="W2218" s="314"/>
      <c r="X2218" s="314"/>
      <c r="Y2218" s="314"/>
      <c r="Z2218" s="314"/>
      <c r="AA2218" s="314"/>
      <c r="AB2218" s="314"/>
      <c r="AC2218" s="314"/>
      <c r="AD2218" s="314"/>
      <c r="AE2218" s="314"/>
      <c r="AF2218" s="314"/>
    </row>
    <row r="2219" spans="5:32" x14ac:dyDescent="0.35">
      <c r="E2219" s="314"/>
      <c r="F2219" s="314"/>
      <c r="G2219" s="314"/>
      <c r="H2219" s="314"/>
      <c r="I2219" s="314"/>
      <c r="J2219" s="314"/>
      <c r="K2219" s="314"/>
      <c r="L2219" s="314"/>
      <c r="M2219" s="314"/>
      <c r="N2219" s="314"/>
      <c r="O2219" s="314"/>
      <c r="P2219" s="314"/>
      <c r="Q2219" s="314"/>
      <c r="R2219" s="314"/>
      <c r="S2219" s="314"/>
      <c r="T2219" s="314"/>
      <c r="U2219" s="314"/>
      <c r="V2219" s="314"/>
      <c r="W2219" s="314"/>
      <c r="X2219" s="314"/>
      <c r="Y2219" s="314"/>
      <c r="Z2219" s="314"/>
      <c r="AA2219" s="314"/>
      <c r="AB2219" s="314"/>
      <c r="AC2219" s="314"/>
      <c r="AD2219" s="314"/>
      <c r="AE2219" s="314"/>
      <c r="AF2219" s="314"/>
    </row>
    <row r="2220" spans="5:32" x14ac:dyDescent="0.35">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314"/>
      <c r="AE2220" s="314"/>
      <c r="AF2220" s="314"/>
    </row>
    <row r="2221" spans="5:32" x14ac:dyDescent="0.35">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314"/>
      <c r="AF2221" s="314"/>
    </row>
    <row r="2222" spans="5:32" x14ac:dyDescent="0.35">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314"/>
      <c r="AE2222" s="314"/>
      <c r="AF2222" s="314"/>
    </row>
    <row r="2223" spans="5:32" x14ac:dyDescent="0.35">
      <c r="E2223" s="314"/>
      <c r="F2223" s="314"/>
      <c r="G2223" s="314"/>
      <c r="H2223" s="314"/>
      <c r="I2223" s="314"/>
      <c r="J2223" s="314"/>
      <c r="K2223" s="314"/>
      <c r="L2223" s="314"/>
      <c r="M2223" s="314"/>
      <c r="N2223" s="314"/>
      <c r="O2223" s="314"/>
      <c r="P2223" s="314"/>
      <c r="Q2223" s="314"/>
      <c r="R2223" s="314"/>
      <c r="S2223" s="314"/>
      <c r="T2223" s="314"/>
      <c r="U2223" s="314"/>
      <c r="V2223" s="314"/>
      <c r="W2223" s="314"/>
      <c r="X2223" s="314"/>
      <c r="Y2223" s="314"/>
      <c r="Z2223" s="314"/>
      <c r="AA2223" s="314"/>
      <c r="AB2223" s="314"/>
      <c r="AC2223" s="314"/>
      <c r="AD2223" s="314"/>
      <c r="AE2223" s="314"/>
      <c r="AF2223" s="314"/>
    </row>
    <row r="2224" spans="5:32" x14ac:dyDescent="0.35">
      <c r="E2224" s="314"/>
      <c r="F2224" s="314"/>
      <c r="G2224" s="314"/>
      <c r="H2224" s="314"/>
      <c r="I2224" s="314"/>
      <c r="J2224" s="314"/>
      <c r="K2224" s="314"/>
      <c r="L2224" s="314"/>
      <c r="M2224" s="314"/>
      <c r="N2224" s="314"/>
      <c r="O2224" s="314"/>
      <c r="P2224" s="314"/>
      <c r="Q2224" s="314"/>
      <c r="R2224" s="314"/>
      <c r="S2224" s="314"/>
      <c r="T2224" s="314"/>
      <c r="U2224" s="314"/>
      <c r="V2224" s="314"/>
      <c r="W2224" s="314"/>
      <c r="X2224" s="314"/>
      <c r="Y2224" s="314"/>
      <c r="Z2224" s="314"/>
      <c r="AA2224" s="314"/>
      <c r="AB2224" s="314"/>
      <c r="AC2224" s="314"/>
      <c r="AD2224" s="314"/>
      <c r="AE2224" s="314"/>
      <c r="AF2224" s="314"/>
    </row>
    <row r="2225" spans="5:32" x14ac:dyDescent="0.35">
      <c r="E2225" s="314"/>
      <c r="F2225" s="314"/>
      <c r="G2225" s="314"/>
      <c r="H2225" s="314"/>
      <c r="I2225" s="314"/>
      <c r="J2225" s="314"/>
      <c r="K2225" s="314"/>
      <c r="L2225" s="314"/>
      <c r="M2225" s="314"/>
      <c r="N2225" s="314"/>
      <c r="O2225" s="314"/>
      <c r="P2225" s="314"/>
      <c r="Q2225" s="314"/>
      <c r="R2225" s="314"/>
      <c r="S2225" s="314"/>
      <c r="T2225" s="314"/>
      <c r="U2225" s="314"/>
      <c r="V2225" s="314"/>
      <c r="W2225" s="314"/>
      <c r="X2225" s="314"/>
      <c r="Y2225" s="314"/>
      <c r="Z2225" s="314"/>
      <c r="AA2225" s="314"/>
      <c r="AB2225" s="314"/>
      <c r="AC2225" s="314"/>
      <c r="AD2225" s="314"/>
      <c r="AE2225" s="314"/>
      <c r="AF2225" s="314"/>
    </row>
    <row r="2226" spans="5:32" x14ac:dyDescent="0.35">
      <c r="E2226" s="314"/>
      <c r="F2226" s="314"/>
      <c r="G2226" s="314"/>
      <c r="H2226" s="314"/>
      <c r="I2226" s="314"/>
      <c r="J2226" s="314"/>
      <c r="K2226" s="314"/>
      <c r="L2226" s="314"/>
      <c r="M2226" s="314"/>
      <c r="N2226" s="314"/>
      <c r="O2226" s="314"/>
      <c r="P2226" s="314"/>
      <c r="Q2226" s="314"/>
      <c r="R2226" s="314"/>
      <c r="S2226" s="314"/>
      <c r="T2226" s="314"/>
      <c r="U2226" s="314"/>
      <c r="V2226" s="314"/>
      <c r="W2226" s="314"/>
      <c r="X2226" s="314"/>
      <c r="Y2226" s="314"/>
      <c r="Z2226" s="314"/>
      <c r="AA2226" s="314"/>
      <c r="AB2226" s="314"/>
      <c r="AC2226" s="314"/>
      <c r="AD2226" s="314"/>
      <c r="AE2226" s="314"/>
      <c r="AF2226" s="314"/>
    </row>
    <row r="2227" spans="5:32" x14ac:dyDescent="0.35">
      <c r="E2227" s="314"/>
      <c r="F2227" s="314"/>
      <c r="G2227" s="314"/>
      <c r="H2227" s="314"/>
      <c r="I2227" s="314"/>
      <c r="J2227" s="314"/>
      <c r="K2227" s="314"/>
      <c r="L2227" s="314"/>
      <c r="M2227" s="314"/>
      <c r="N2227" s="314"/>
      <c r="O2227" s="314"/>
      <c r="P2227" s="314"/>
      <c r="Q2227" s="314"/>
      <c r="R2227" s="314"/>
      <c r="S2227" s="314"/>
      <c r="T2227" s="314"/>
      <c r="U2227" s="314"/>
      <c r="V2227" s="314"/>
      <c r="W2227" s="314"/>
      <c r="X2227" s="314"/>
      <c r="Y2227" s="314"/>
      <c r="Z2227" s="314"/>
      <c r="AA2227" s="314"/>
      <c r="AB2227" s="314"/>
      <c r="AC2227" s="314"/>
      <c r="AD2227" s="314"/>
      <c r="AE2227" s="314"/>
      <c r="AF2227" s="314"/>
    </row>
    <row r="2228" spans="5:32" x14ac:dyDescent="0.35">
      <c r="E2228" s="314"/>
      <c r="F2228" s="314"/>
      <c r="G2228" s="314"/>
      <c r="H2228" s="314"/>
      <c r="I2228" s="314"/>
      <c r="J2228" s="314"/>
      <c r="K2228" s="314"/>
      <c r="L2228" s="314"/>
      <c r="M2228" s="314"/>
      <c r="N2228" s="314"/>
      <c r="O2228" s="314"/>
      <c r="P2228" s="314"/>
      <c r="Q2228" s="314"/>
      <c r="R2228" s="314"/>
      <c r="S2228" s="314"/>
      <c r="T2228" s="314"/>
      <c r="U2228" s="314"/>
      <c r="V2228" s="314"/>
      <c r="W2228" s="314"/>
      <c r="X2228" s="314"/>
      <c r="Y2228" s="314"/>
      <c r="Z2228" s="314"/>
      <c r="AA2228" s="314"/>
      <c r="AB2228" s="314"/>
      <c r="AC2228" s="314"/>
      <c r="AD2228" s="314"/>
      <c r="AE2228" s="314"/>
      <c r="AF2228" s="314"/>
    </row>
    <row r="2229" spans="5:32" x14ac:dyDescent="0.35">
      <c r="E2229" s="314"/>
      <c r="F2229" s="314"/>
      <c r="G2229" s="314"/>
      <c r="H2229" s="314"/>
      <c r="I2229" s="314"/>
      <c r="J2229" s="314"/>
      <c r="K2229" s="314"/>
      <c r="L2229" s="314"/>
      <c r="M2229" s="314"/>
      <c r="N2229" s="314"/>
      <c r="O2229" s="314"/>
      <c r="P2229" s="314"/>
      <c r="Q2229" s="314"/>
      <c r="R2229" s="314"/>
      <c r="S2229" s="314"/>
      <c r="T2229" s="314"/>
      <c r="U2229" s="314"/>
      <c r="V2229" s="314"/>
      <c r="W2229" s="314"/>
      <c r="X2229" s="314"/>
      <c r="Y2229" s="314"/>
      <c r="Z2229" s="314"/>
      <c r="AA2229" s="314"/>
      <c r="AB2229" s="314"/>
      <c r="AC2229" s="314"/>
      <c r="AD2229" s="314"/>
      <c r="AE2229" s="314"/>
      <c r="AF2229" s="314"/>
    </row>
    <row r="2230" spans="5:32" x14ac:dyDescent="0.35">
      <c r="E2230" s="314"/>
      <c r="F2230" s="314"/>
      <c r="G2230" s="314"/>
      <c r="H2230" s="314"/>
      <c r="I2230" s="314"/>
      <c r="J2230" s="314"/>
      <c r="K2230" s="314"/>
      <c r="L2230" s="314"/>
      <c r="M2230" s="314"/>
      <c r="N2230" s="314"/>
      <c r="O2230" s="314"/>
      <c r="P2230" s="314"/>
      <c r="Q2230" s="314"/>
      <c r="R2230" s="314"/>
      <c r="S2230" s="314"/>
      <c r="T2230" s="314"/>
      <c r="U2230" s="314"/>
      <c r="V2230" s="314"/>
      <c r="W2230" s="314"/>
      <c r="X2230" s="314"/>
      <c r="Y2230" s="314"/>
      <c r="Z2230" s="314"/>
      <c r="AA2230" s="314"/>
      <c r="AB2230" s="314"/>
      <c r="AC2230" s="314"/>
      <c r="AD2230" s="314"/>
      <c r="AE2230" s="314"/>
      <c r="AF2230" s="314"/>
    </row>
    <row r="2231" spans="5:32" x14ac:dyDescent="0.35">
      <c r="E2231" s="314"/>
      <c r="F2231" s="314"/>
      <c r="G2231" s="314"/>
      <c r="H2231" s="314"/>
      <c r="I2231" s="314"/>
      <c r="J2231" s="314"/>
      <c r="K2231" s="314"/>
      <c r="L2231" s="314"/>
      <c r="M2231" s="314"/>
      <c r="N2231" s="314"/>
      <c r="O2231" s="314"/>
      <c r="P2231" s="314"/>
      <c r="Q2231" s="314"/>
      <c r="R2231" s="314"/>
      <c r="S2231" s="314"/>
      <c r="T2231" s="314"/>
      <c r="U2231" s="314"/>
      <c r="V2231" s="314"/>
      <c r="W2231" s="314"/>
      <c r="X2231" s="314"/>
      <c r="Y2231" s="314"/>
      <c r="Z2231" s="314"/>
      <c r="AA2231" s="314"/>
      <c r="AB2231" s="314"/>
      <c r="AC2231" s="314"/>
      <c r="AD2231" s="314"/>
      <c r="AE2231" s="314"/>
      <c r="AF2231" s="314"/>
    </row>
    <row r="2232" spans="5:32" x14ac:dyDescent="0.35">
      <c r="E2232" s="314"/>
      <c r="F2232" s="314"/>
      <c r="G2232" s="314"/>
      <c r="H2232" s="314"/>
      <c r="I2232" s="314"/>
      <c r="J2232" s="314"/>
      <c r="K2232" s="314"/>
      <c r="L2232" s="314"/>
      <c r="M2232" s="314"/>
      <c r="N2232" s="314"/>
      <c r="O2232" s="314"/>
      <c r="P2232" s="314"/>
      <c r="Q2232" s="314"/>
      <c r="R2232" s="314"/>
      <c r="S2232" s="314"/>
      <c r="T2232" s="314"/>
      <c r="U2232" s="314"/>
      <c r="V2232" s="314"/>
      <c r="W2232" s="314"/>
      <c r="X2232" s="314"/>
      <c r="Y2232" s="314"/>
      <c r="Z2232" s="314"/>
      <c r="AA2232" s="314"/>
      <c r="AB2232" s="314"/>
      <c r="AC2232" s="314"/>
      <c r="AD2232" s="314"/>
      <c r="AE2232" s="314"/>
      <c r="AF2232" s="314"/>
    </row>
    <row r="2233" spans="5:32" x14ac:dyDescent="0.35">
      <c r="E2233" s="314"/>
      <c r="F2233" s="314"/>
      <c r="G2233" s="314"/>
      <c r="H2233" s="314"/>
      <c r="I2233" s="314"/>
      <c r="J2233" s="314"/>
      <c r="K2233" s="314"/>
      <c r="L2233" s="314"/>
      <c r="M2233" s="314"/>
      <c r="N2233" s="314"/>
      <c r="O2233" s="314"/>
      <c r="P2233" s="314"/>
      <c r="Q2233" s="314"/>
      <c r="R2233" s="314"/>
      <c r="S2233" s="314"/>
      <c r="T2233" s="314"/>
      <c r="U2233" s="314"/>
      <c r="V2233" s="314"/>
      <c r="W2233" s="314"/>
      <c r="X2233" s="314"/>
      <c r="Y2233" s="314"/>
      <c r="Z2233" s="314"/>
      <c r="AA2233" s="314"/>
      <c r="AB2233" s="314"/>
      <c r="AC2233" s="314"/>
      <c r="AD2233" s="314"/>
      <c r="AE2233" s="314"/>
      <c r="AF2233" s="314"/>
    </row>
    <row r="2234" spans="5:32" x14ac:dyDescent="0.35">
      <c r="E2234" s="314"/>
      <c r="F2234" s="314"/>
      <c r="G2234" s="314"/>
      <c r="H2234" s="314"/>
      <c r="I2234" s="314"/>
      <c r="J2234" s="314"/>
      <c r="K2234" s="314"/>
      <c r="L2234" s="314"/>
      <c r="M2234" s="314"/>
      <c r="N2234" s="314"/>
      <c r="O2234" s="314"/>
      <c r="P2234" s="314"/>
      <c r="Q2234" s="314"/>
      <c r="R2234" s="314"/>
      <c r="S2234" s="314"/>
      <c r="T2234" s="314"/>
      <c r="U2234" s="314"/>
      <c r="V2234" s="314"/>
      <c r="W2234" s="314"/>
      <c r="X2234" s="314"/>
      <c r="Y2234" s="314"/>
      <c r="Z2234" s="314"/>
      <c r="AA2234" s="314"/>
      <c r="AB2234" s="314"/>
      <c r="AC2234" s="314"/>
      <c r="AD2234" s="314"/>
      <c r="AE2234" s="314"/>
      <c r="AF2234" s="314"/>
    </row>
    <row r="2235" spans="5:32" x14ac:dyDescent="0.35">
      <c r="E2235" s="314"/>
      <c r="F2235" s="314"/>
      <c r="G2235" s="314"/>
      <c r="H2235" s="314"/>
      <c r="I2235" s="314"/>
      <c r="J2235" s="314"/>
      <c r="K2235" s="314"/>
      <c r="L2235" s="314"/>
      <c r="M2235" s="314"/>
      <c r="N2235" s="314"/>
      <c r="O2235" s="314"/>
      <c r="P2235" s="314"/>
      <c r="Q2235" s="314"/>
      <c r="R2235" s="314"/>
      <c r="S2235" s="314"/>
      <c r="T2235" s="314"/>
      <c r="U2235" s="314"/>
      <c r="V2235" s="314"/>
      <c r="W2235" s="314"/>
      <c r="X2235" s="314"/>
      <c r="Y2235" s="314"/>
      <c r="Z2235" s="314"/>
      <c r="AA2235" s="314"/>
      <c r="AB2235" s="314"/>
      <c r="AC2235" s="314"/>
      <c r="AD2235" s="314"/>
      <c r="AE2235" s="314"/>
      <c r="AF2235" s="314"/>
    </row>
    <row r="2236" spans="5:32" x14ac:dyDescent="0.35">
      <c r="E2236" s="314"/>
      <c r="F2236" s="314"/>
      <c r="G2236" s="314"/>
      <c r="H2236" s="314"/>
      <c r="I2236" s="314"/>
      <c r="J2236" s="314"/>
      <c r="K2236" s="314"/>
      <c r="L2236" s="314"/>
      <c r="M2236" s="314"/>
      <c r="N2236" s="314"/>
      <c r="O2236" s="314"/>
      <c r="P2236" s="314"/>
      <c r="Q2236" s="314"/>
      <c r="R2236" s="314"/>
      <c r="S2236" s="314"/>
      <c r="T2236" s="314"/>
      <c r="U2236" s="314"/>
      <c r="V2236" s="314"/>
      <c r="W2236" s="314"/>
      <c r="X2236" s="314"/>
      <c r="Y2236" s="314"/>
      <c r="Z2236" s="314"/>
      <c r="AA2236" s="314"/>
      <c r="AB2236" s="314"/>
      <c r="AC2236" s="314"/>
      <c r="AD2236" s="314"/>
      <c r="AE2236" s="314"/>
      <c r="AF2236" s="314"/>
    </row>
    <row r="2237" spans="5:32" x14ac:dyDescent="0.35">
      <c r="E2237" s="314"/>
      <c r="F2237" s="314"/>
      <c r="G2237" s="314"/>
      <c r="H2237" s="314"/>
      <c r="I2237" s="314"/>
      <c r="J2237" s="314"/>
      <c r="K2237" s="314"/>
      <c r="L2237" s="314"/>
      <c r="M2237" s="314"/>
      <c r="N2237" s="314"/>
      <c r="O2237" s="314"/>
      <c r="P2237" s="314"/>
      <c r="Q2237" s="314"/>
      <c r="R2237" s="314"/>
      <c r="S2237" s="314"/>
      <c r="T2237" s="314"/>
      <c r="U2237" s="314"/>
      <c r="V2237" s="314"/>
      <c r="W2237" s="314"/>
      <c r="X2237" s="314"/>
      <c r="Y2237" s="314"/>
      <c r="Z2237" s="314"/>
      <c r="AA2237" s="314"/>
      <c r="AB2237" s="314"/>
      <c r="AC2237" s="314"/>
      <c r="AD2237" s="314"/>
      <c r="AE2237" s="314"/>
      <c r="AF2237" s="314"/>
    </row>
    <row r="2238" spans="5:32" x14ac:dyDescent="0.35">
      <c r="E2238" s="314"/>
      <c r="F2238" s="314"/>
      <c r="G2238" s="314"/>
      <c r="H2238" s="314"/>
      <c r="I2238" s="314"/>
      <c r="J2238" s="314"/>
      <c r="K2238" s="314"/>
      <c r="L2238" s="314"/>
      <c r="M2238" s="314"/>
      <c r="N2238" s="314"/>
      <c r="O2238" s="314"/>
      <c r="P2238" s="314"/>
      <c r="Q2238" s="314"/>
      <c r="R2238" s="314"/>
      <c r="S2238" s="314"/>
      <c r="T2238" s="314"/>
      <c r="U2238" s="314"/>
      <c r="V2238" s="314"/>
      <c r="W2238" s="314"/>
      <c r="X2238" s="314"/>
      <c r="Y2238" s="314"/>
      <c r="Z2238" s="314"/>
      <c r="AA2238" s="314"/>
      <c r="AB2238" s="314"/>
      <c r="AC2238" s="314"/>
      <c r="AD2238" s="314"/>
      <c r="AE2238" s="314"/>
      <c r="AF2238" s="314"/>
    </row>
    <row r="2239" spans="5:32" x14ac:dyDescent="0.35">
      <c r="E2239" s="314"/>
      <c r="F2239" s="314"/>
      <c r="G2239" s="314"/>
      <c r="H2239" s="314"/>
      <c r="I2239" s="314"/>
      <c r="J2239" s="314"/>
      <c r="K2239" s="314"/>
      <c r="L2239" s="314"/>
      <c r="M2239" s="314"/>
      <c r="N2239" s="314"/>
      <c r="O2239" s="314"/>
      <c r="P2239" s="314"/>
      <c r="Q2239" s="314"/>
      <c r="R2239" s="314"/>
      <c r="S2239" s="314"/>
      <c r="T2239" s="314"/>
      <c r="U2239" s="314"/>
      <c r="V2239" s="314"/>
      <c r="W2239" s="314"/>
      <c r="X2239" s="314"/>
      <c r="Y2239" s="314"/>
      <c r="Z2239" s="314"/>
      <c r="AA2239" s="314"/>
      <c r="AB2239" s="314"/>
      <c r="AC2239" s="314"/>
      <c r="AD2239" s="314"/>
      <c r="AE2239" s="314"/>
      <c r="AF2239" s="314"/>
    </row>
    <row r="2240" spans="5:32" x14ac:dyDescent="0.35">
      <c r="E2240" s="314"/>
      <c r="F2240" s="314"/>
      <c r="G2240" s="314"/>
      <c r="H2240" s="314"/>
      <c r="I2240" s="314"/>
      <c r="J2240" s="314"/>
      <c r="K2240" s="314"/>
      <c r="L2240" s="314"/>
      <c r="M2240" s="314"/>
      <c r="N2240" s="314"/>
      <c r="O2240" s="314"/>
      <c r="P2240" s="314"/>
      <c r="Q2240" s="314"/>
      <c r="R2240" s="314"/>
      <c r="S2240" s="314"/>
      <c r="T2240" s="314"/>
      <c r="U2240" s="314"/>
      <c r="V2240" s="314"/>
      <c r="W2240" s="314"/>
      <c r="X2240" s="314"/>
      <c r="Y2240" s="314"/>
      <c r="Z2240" s="314"/>
      <c r="AA2240" s="314"/>
      <c r="AB2240" s="314"/>
      <c r="AC2240" s="314"/>
      <c r="AD2240" s="314"/>
      <c r="AE2240" s="314"/>
      <c r="AF2240" s="314"/>
    </row>
    <row r="2241" spans="5:32" x14ac:dyDescent="0.35">
      <c r="E2241" s="314"/>
      <c r="F2241" s="314"/>
      <c r="G2241" s="314"/>
      <c r="H2241" s="314"/>
      <c r="I2241" s="314"/>
      <c r="J2241" s="314"/>
      <c r="K2241" s="314"/>
      <c r="L2241" s="314"/>
      <c r="M2241" s="314"/>
      <c r="N2241" s="314"/>
      <c r="O2241" s="314"/>
      <c r="P2241" s="314"/>
      <c r="Q2241" s="314"/>
      <c r="R2241" s="314"/>
      <c r="S2241" s="314"/>
      <c r="T2241" s="314"/>
      <c r="U2241" s="314"/>
      <c r="V2241" s="314"/>
      <c r="W2241" s="314"/>
      <c r="X2241" s="314"/>
      <c r="Y2241" s="314"/>
      <c r="Z2241" s="314"/>
      <c r="AA2241" s="314"/>
      <c r="AB2241" s="314"/>
      <c r="AC2241" s="314"/>
      <c r="AD2241" s="314"/>
      <c r="AE2241" s="314"/>
      <c r="AF2241" s="314"/>
    </row>
    <row r="2242" spans="5:32" x14ac:dyDescent="0.35">
      <c r="E2242" s="314"/>
      <c r="F2242" s="314"/>
      <c r="G2242" s="314"/>
      <c r="H2242" s="314"/>
      <c r="I2242" s="314"/>
      <c r="J2242" s="314"/>
      <c r="K2242" s="314"/>
      <c r="L2242" s="314"/>
      <c r="M2242" s="314"/>
      <c r="N2242" s="314"/>
      <c r="O2242" s="314"/>
      <c r="P2242" s="314"/>
      <c r="Q2242" s="314"/>
      <c r="R2242" s="314"/>
      <c r="S2242" s="314"/>
      <c r="T2242" s="314"/>
      <c r="U2242" s="314"/>
      <c r="V2242" s="314"/>
      <c r="W2242" s="314"/>
      <c r="X2242" s="314"/>
      <c r="Y2242" s="314"/>
      <c r="Z2242" s="314"/>
      <c r="AA2242" s="314"/>
      <c r="AB2242" s="314"/>
      <c r="AC2242" s="314"/>
      <c r="AD2242" s="314"/>
      <c r="AE2242" s="314"/>
      <c r="AF2242" s="314"/>
    </row>
    <row r="2243" spans="5:32" x14ac:dyDescent="0.35">
      <c r="E2243" s="314"/>
      <c r="F2243" s="314"/>
      <c r="G2243" s="314"/>
      <c r="H2243" s="314"/>
      <c r="I2243" s="314"/>
      <c r="J2243" s="314"/>
      <c r="K2243" s="314"/>
      <c r="L2243" s="314"/>
      <c r="M2243" s="314"/>
      <c r="N2243" s="314"/>
      <c r="O2243" s="314"/>
      <c r="P2243" s="314"/>
      <c r="Q2243" s="314"/>
      <c r="R2243" s="314"/>
      <c r="S2243" s="314"/>
      <c r="T2243" s="314"/>
      <c r="U2243" s="314"/>
      <c r="V2243" s="314"/>
      <c r="W2243" s="314"/>
      <c r="X2243" s="314"/>
      <c r="Y2243" s="314"/>
      <c r="Z2243" s="314"/>
      <c r="AA2243" s="314"/>
      <c r="AB2243" s="314"/>
      <c r="AC2243" s="314"/>
      <c r="AD2243" s="314"/>
      <c r="AE2243" s="314"/>
      <c r="AF2243" s="314"/>
    </row>
    <row r="2244" spans="5:32" x14ac:dyDescent="0.35">
      <c r="E2244" s="314"/>
      <c r="F2244" s="314"/>
      <c r="G2244" s="314"/>
      <c r="H2244" s="314"/>
      <c r="I2244" s="314"/>
      <c r="J2244" s="314"/>
      <c r="K2244" s="314"/>
      <c r="L2244" s="314"/>
      <c r="M2244" s="314"/>
      <c r="N2244" s="314"/>
      <c r="O2244" s="314"/>
      <c r="P2244" s="314"/>
      <c r="Q2244" s="314"/>
      <c r="R2244" s="314"/>
      <c r="S2244" s="314"/>
      <c r="T2244" s="314"/>
      <c r="U2244" s="314"/>
      <c r="V2244" s="314"/>
      <c r="W2244" s="314"/>
      <c r="X2244" s="314"/>
      <c r="Y2244" s="314"/>
      <c r="Z2244" s="314"/>
      <c r="AA2244" s="314"/>
      <c r="AB2244" s="314"/>
      <c r="AC2244" s="314"/>
      <c r="AD2244" s="314"/>
      <c r="AE2244" s="314"/>
      <c r="AF2244" s="314"/>
    </row>
    <row r="2245" spans="5:32" x14ac:dyDescent="0.35">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314"/>
      <c r="AF2245" s="314"/>
    </row>
    <row r="2246" spans="5:32" x14ac:dyDescent="0.35">
      <c r="E2246" s="314"/>
      <c r="F2246" s="314"/>
      <c r="G2246" s="314"/>
      <c r="H2246" s="314"/>
      <c r="I2246" s="314"/>
      <c r="J2246" s="314"/>
      <c r="K2246" s="314"/>
      <c r="L2246" s="314"/>
      <c r="M2246" s="314"/>
      <c r="N2246" s="314"/>
      <c r="O2246" s="314"/>
      <c r="P2246" s="314"/>
      <c r="Q2246" s="314"/>
      <c r="R2246" s="314"/>
      <c r="S2246" s="314"/>
      <c r="T2246" s="314"/>
      <c r="U2246" s="314"/>
      <c r="V2246" s="314"/>
      <c r="W2246" s="314"/>
      <c r="X2246" s="314"/>
      <c r="Y2246" s="314"/>
      <c r="Z2246" s="314"/>
      <c r="AA2246" s="314"/>
      <c r="AB2246" s="314"/>
      <c r="AC2246" s="314"/>
      <c r="AD2246" s="314"/>
      <c r="AE2246" s="314"/>
      <c r="AF2246" s="314"/>
    </row>
    <row r="2247" spans="5:32" x14ac:dyDescent="0.35">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314"/>
      <c r="AE2247" s="314"/>
      <c r="AF2247" s="314"/>
    </row>
    <row r="2248" spans="5:32" x14ac:dyDescent="0.35">
      <c r="E2248" s="314"/>
      <c r="F2248" s="314"/>
      <c r="G2248" s="314"/>
      <c r="H2248" s="314"/>
      <c r="I2248" s="314"/>
      <c r="J2248" s="314"/>
      <c r="K2248" s="314"/>
      <c r="L2248" s="314"/>
      <c r="M2248" s="314"/>
      <c r="N2248" s="314"/>
      <c r="O2248" s="314"/>
      <c r="P2248" s="314"/>
      <c r="Q2248" s="314"/>
      <c r="R2248" s="314"/>
      <c r="S2248" s="314"/>
      <c r="T2248" s="314"/>
      <c r="U2248" s="314"/>
      <c r="V2248" s="314"/>
      <c r="W2248" s="314"/>
      <c r="X2248" s="314"/>
      <c r="Y2248" s="314"/>
      <c r="Z2248" s="314"/>
      <c r="AA2248" s="314"/>
      <c r="AB2248" s="314"/>
      <c r="AC2248" s="314"/>
      <c r="AD2248" s="314"/>
      <c r="AE2248" s="314"/>
      <c r="AF2248" s="314"/>
    </row>
    <row r="2249" spans="5:32" x14ac:dyDescent="0.35">
      <c r="E2249" s="314"/>
      <c r="F2249" s="314"/>
      <c r="G2249" s="314"/>
      <c r="H2249" s="314"/>
      <c r="I2249" s="314"/>
      <c r="J2249" s="314"/>
      <c r="K2249" s="314"/>
      <c r="L2249" s="314"/>
      <c r="M2249" s="314"/>
      <c r="N2249" s="314"/>
      <c r="O2249" s="314"/>
      <c r="P2249" s="314"/>
      <c r="Q2249" s="314"/>
      <c r="R2249" s="314"/>
      <c r="S2249" s="314"/>
      <c r="T2249" s="314"/>
      <c r="U2249" s="314"/>
      <c r="V2249" s="314"/>
      <c r="W2249" s="314"/>
      <c r="X2249" s="314"/>
      <c r="Y2249" s="314"/>
      <c r="Z2249" s="314"/>
      <c r="AA2249" s="314"/>
      <c r="AB2249" s="314"/>
      <c r="AC2249" s="314"/>
      <c r="AD2249" s="314"/>
      <c r="AE2249" s="314"/>
      <c r="AF2249" s="314"/>
    </row>
    <row r="2250" spans="5:32" x14ac:dyDescent="0.35">
      <c r="E2250" s="314"/>
      <c r="F2250" s="314"/>
      <c r="G2250" s="314"/>
      <c r="H2250" s="314"/>
      <c r="I2250" s="314"/>
      <c r="J2250" s="314"/>
      <c r="K2250" s="314"/>
      <c r="L2250" s="314"/>
      <c r="M2250" s="314"/>
      <c r="N2250" s="314"/>
      <c r="O2250" s="314"/>
      <c r="P2250" s="314"/>
      <c r="Q2250" s="314"/>
      <c r="R2250" s="314"/>
      <c r="S2250" s="314"/>
      <c r="T2250" s="314"/>
      <c r="U2250" s="314"/>
      <c r="V2250" s="314"/>
      <c r="W2250" s="314"/>
      <c r="X2250" s="314"/>
      <c r="Y2250" s="314"/>
      <c r="Z2250" s="314"/>
      <c r="AA2250" s="314"/>
      <c r="AB2250" s="314"/>
      <c r="AC2250" s="314"/>
      <c r="AD2250" s="314"/>
      <c r="AE2250" s="314"/>
      <c r="AF2250" s="314"/>
    </row>
    <row r="2251" spans="5:32" x14ac:dyDescent="0.35">
      <c r="E2251" s="314"/>
      <c r="F2251" s="314"/>
      <c r="G2251" s="314"/>
      <c r="H2251" s="314"/>
      <c r="I2251" s="314"/>
      <c r="J2251" s="314"/>
      <c r="K2251" s="314"/>
      <c r="L2251" s="314"/>
      <c r="M2251" s="314"/>
      <c r="N2251" s="314"/>
      <c r="O2251" s="314"/>
      <c r="P2251" s="314"/>
      <c r="Q2251" s="314"/>
      <c r="R2251" s="314"/>
      <c r="S2251" s="314"/>
      <c r="T2251" s="314"/>
      <c r="U2251" s="314"/>
      <c r="V2251" s="314"/>
      <c r="W2251" s="314"/>
      <c r="X2251" s="314"/>
      <c r="Y2251" s="314"/>
      <c r="Z2251" s="314"/>
      <c r="AA2251" s="314"/>
      <c r="AB2251" s="314"/>
      <c r="AC2251" s="314"/>
      <c r="AD2251" s="314"/>
      <c r="AE2251" s="314"/>
      <c r="AF2251" s="314"/>
    </row>
    <row r="2252" spans="5:32" x14ac:dyDescent="0.35">
      <c r="E2252" s="314"/>
      <c r="F2252" s="314"/>
      <c r="G2252" s="314"/>
      <c r="H2252" s="314"/>
      <c r="I2252" s="314"/>
      <c r="J2252" s="314"/>
      <c r="K2252" s="314"/>
      <c r="L2252" s="314"/>
      <c r="M2252" s="314"/>
      <c r="N2252" s="314"/>
      <c r="O2252" s="314"/>
      <c r="P2252" s="314"/>
      <c r="Q2252" s="314"/>
      <c r="R2252" s="314"/>
      <c r="S2252" s="314"/>
      <c r="T2252" s="314"/>
      <c r="U2252" s="314"/>
      <c r="V2252" s="314"/>
      <c r="W2252" s="314"/>
      <c r="X2252" s="314"/>
      <c r="Y2252" s="314"/>
      <c r="Z2252" s="314"/>
      <c r="AA2252" s="314"/>
      <c r="AB2252" s="314"/>
      <c r="AC2252" s="314"/>
      <c r="AD2252" s="314"/>
      <c r="AE2252" s="314"/>
      <c r="AF2252" s="314"/>
    </row>
    <row r="2253" spans="5:32" x14ac:dyDescent="0.35">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314"/>
      <c r="AF2253" s="314"/>
    </row>
    <row r="2254" spans="5:32" x14ac:dyDescent="0.35">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314"/>
      <c r="AF2254" s="314"/>
    </row>
    <row r="2255" spans="5:32" x14ac:dyDescent="0.35">
      <c r="E2255" s="314"/>
      <c r="F2255" s="314"/>
      <c r="G2255" s="314"/>
      <c r="H2255" s="314"/>
      <c r="I2255" s="314"/>
      <c r="J2255" s="314"/>
      <c r="K2255" s="314"/>
      <c r="L2255" s="314"/>
      <c r="M2255" s="314"/>
      <c r="N2255" s="314"/>
      <c r="O2255" s="314"/>
      <c r="P2255" s="314"/>
      <c r="Q2255" s="314"/>
      <c r="R2255" s="314"/>
      <c r="S2255" s="314"/>
      <c r="T2255" s="314"/>
      <c r="U2255" s="314"/>
      <c r="V2255" s="314"/>
      <c r="W2255" s="314"/>
      <c r="X2255" s="314"/>
      <c r="Y2255" s="314"/>
      <c r="Z2255" s="314"/>
      <c r="AA2255" s="314"/>
      <c r="AB2255" s="314"/>
      <c r="AC2255" s="314"/>
      <c r="AD2255" s="314"/>
      <c r="AE2255" s="314"/>
      <c r="AF2255" s="314"/>
    </row>
    <row r="2256" spans="5:32" x14ac:dyDescent="0.35">
      <c r="E2256" s="314"/>
      <c r="F2256" s="314"/>
      <c r="G2256" s="314"/>
      <c r="H2256" s="314"/>
      <c r="I2256" s="314"/>
      <c r="J2256" s="314"/>
      <c r="K2256" s="314"/>
      <c r="L2256" s="314"/>
      <c r="M2256" s="314"/>
      <c r="N2256" s="314"/>
      <c r="O2256" s="314"/>
      <c r="P2256" s="314"/>
      <c r="Q2256" s="314"/>
      <c r="R2256" s="314"/>
      <c r="S2256" s="314"/>
      <c r="T2256" s="314"/>
      <c r="U2256" s="314"/>
      <c r="V2256" s="314"/>
      <c r="W2256" s="314"/>
      <c r="X2256" s="314"/>
      <c r="Y2256" s="314"/>
      <c r="Z2256" s="314"/>
      <c r="AA2256" s="314"/>
      <c r="AB2256" s="314"/>
      <c r="AC2256" s="314"/>
      <c r="AD2256" s="314"/>
      <c r="AE2256" s="314"/>
      <c r="AF2256" s="314"/>
    </row>
    <row r="2257" spans="5:32" x14ac:dyDescent="0.35">
      <c r="E2257" s="314"/>
      <c r="F2257" s="314"/>
      <c r="G2257" s="314"/>
      <c r="H2257" s="314"/>
      <c r="I2257" s="314"/>
      <c r="J2257" s="314"/>
      <c r="K2257" s="314"/>
      <c r="L2257" s="314"/>
      <c r="M2257" s="314"/>
      <c r="N2257" s="314"/>
      <c r="O2257" s="314"/>
      <c r="P2257" s="314"/>
      <c r="Q2257" s="314"/>
      <c r="R2257" s="314"/>
      <c r="S2257" s="314"/>
      <c r="T2257" s="314"/>
      <c r="U2257" s="314"/>
      <c r="V2257" s="314"/>
      <c r="W2257" s="314"/>
      <c r="X2257" s="314"/>
      <c r="Y2257" s="314"/>
      <c r="Z2257" s="314"/>
      <c r="AA2257" s="314"/>
      <c r="AB2257" s="314"/>
      <c r="AC2257" s="314"/>
      <c r="AD2257" s="314"/>
      <c r="AE2257" s="314"/>
      <c r="AF2257" s="314"/>
    </row>
    <row r="2258" spans="5:32" x14ac:dyDescent="0.35">
      <c r="E2258" s="314"/>
      <c r="F2258" s="314"/>
      <c r="G2258" s="314"/>
      <c r="H2258" s="314"/>
      <c r="I2258" s="314"/>
      <c r="J2258" s="314"/>
      <c r="K2258" s="314"/>
      <c r="L2258" s="314"/>
      <c r="M2258" s="314"/>
      <c r="N2258" s="314"/>
      <c r="O2258" s="314"/>
      <c r="P2258" s="314"/>
      <c r="Q2258" s="314"/>
      <c r="R2258" s="314"/>
      <c r="S2258" s="314"/>
      <c r="T2258" s="314"/>
      <c r="U2258" s="314"/>
      <c r="V2258" s="314"/>
      <c r="W2258" s="314"/>
      <c r="X2258" s="314"/>
      <c r="Y2258" s="314"/>
      <c r="Z2258" s="314"/>
      <c r="AA2258" s="314"/>
      <c r="AB2258" s="314"/>
      <c r="AC2258" s="314"/>
      <c r="AD2258" s="314"/>
      <c r="AE2258" s="314"/>
      <c r="AF2258" s="314"/>
    </row>
    <row r="2259" spans="5:32" x14ac:dyDescent="0.35">
      <c r="E2259" s="314"/>
      <c r="F2259" s="314"/>
      <c r="G2259" s="314"/>
      <c r="H2259" s="314"/>
      <c r="I2259" s="314"/>
      <c r="J2259" s="314"/>
      <c r="K2259" s="314"/>
      <c r="L2259" s="314"/>
      <c r="M2259" s="314"/>
      <c r="N2259" s="314"/>
      <c r="O2259" s="314"/>
      <c r="P2259" s="314"/>
      <c r="Q2259" s="314"/>
      <c r="R2259" s="314"/>
      <c r="S2259" s="314"/>
      <c r="T2259" s="314"/>
      <c r="U2259" s="314"/>
      <c r="V2259" s="314"/>
      <c r="W2259" s="314"/>
      <c r="X2259" s="314"/>
      <c r="Y2259" s="314"/>
      <c r="Z2259" s="314"/>
      <c r="AA2259" s="314"/>
      <c r="AB2259" s="314"/>
      <c r="AC2259" s="314"/>
      <c r="AD2259" s="314"/>
      <c r="AE2259" s="314"/>
      <c r="AF2259" s="314"/>
    </row>
    <row r="2260" spans="5:32" x14ac:dyDescent="0.35">
      <c r="E2260" s="314"/>
      <c r="F2260" s="314"/>
      <c r="G2260" s="314"/>
      <c r="H2260" s="314"/>
      <c r="I2260" s="314"/>
      <c r="J2260" s="314"/>
      <c r="K2260" s="314"/>
      <c r="L2260" s="314"/>
      <c r="M2260" s="314"/>
      <c r="N2260" s="314"/>
      <c r="O2260" s="314"/>
      <c r="P2260" s="314"/>
      <c r="Q2260" s="314"/>
      <c r="R2260" s="314"/>
      <c r="S2260" s="314"/>
      <c r="T2260" s="314"/>
      <c r="U2260" s="314"/>
      <c r="V2260" s="314"/>
      <c r="W2260" s="314"/>
      <c r="X2260" s="314"/>
      <c r="Y2260" s="314"/>
      <c r="Z2260" s="314"/>
      <c r="AA2260" s="314"/>
      <c r="AB2260" s="314"/>
      <c r="AC2260" s="314"/>
      <c r="AD2260" s="314"/>
      <c r="AE2260" s="314"/>
      <c r="AF2260" s="314"/>
    </row>
    <row r="2261" spans="5:32" x14ac:dyDescent="0.35">
      <c r="E2261" s="314"/>
      <c r="F2261" s="314"/>
      <c r="G2261" s="314"/>
      <c r="H2261" s="314"/>
      <c r="I2261" s="314"/>
      <c r="J2261" s="314"/>
      <c r="K2261" s="314"/>
      <c r="L2261" s="314"/>
      <c r="M2261" s="314"/>
      <c r="N2261" s="314"/>
      <c r="O2261" s="314"/>
      <c r="P2261" s="314"/>
      <c r="Q2261" s="314"/>
      <c r="R2261" s="314"/>
      <c r="S2261" s="314"/>
      <c r="T2261" s="314"/>
      <c r="U2261" s="314"/>
      <c r="V2261" s="314"/>
      <c r="W2261" s="314"/>
      <c r="X2261" s="314"/>
      <c r="Y2261" s="314"/>
      <c r="Z2261" s="314"/>
      <c r="AA2261" s="314"/>
      <c r="AB2261" s="314"/>
      <c r="AC2261" s="314"/>
      <c r="AD2261" s="314"/>
      <c r="AE2261" s="314"/>
      <c r="AF2261" s="314"/>
    </row>
    <row r="2262" spans="5:32" x14ac:dyDescent="0.35">
      <c r="E2262" s="314"/>
      <c r="F2262" s="314"/>
      <c r="G2262" s="314"/>
      <c r="H2262" s="314"/>
      <c r="I2262" s="314"/>
      <c r="J2262" s="314"/>
      <c r="K2262" s="314"/>
      <c r="L2262" s="314"/>
      <c r="M2262" s="314"/>
      <c r="N2262" s="314"/>
      <c r="O2262" s="314"/>
      <c r="P2262" s="314"/>
      <c r="Q2262" s="314"/>
      <c r="R2262" s="314"/>
      <c r="S2262" s="314"/>
      <c r="T2262" s="314"/>
      <c r="U2262" s="314"/>
      <c r="V2262" s="314"/>
      <c r="W2262" s="314"/>
      <c r="X2262" s="314"/>
      <c r="Y2262" s="314"/>
      <c r="Z2262" s="314"/>
      <c r="AA2262" s="314"/>
      <c r="AB2262" s="314"/>
      <c r="AC2262" s="314"/>
      <c r="AD2262" s="314"/>
      <c r="AE2262" s="314"/>
      <c r="AF2262" s="314"/>
    </row>
    <row r="2263" spans="5:32" x14ac:dyDescent="0.35">
      <c r="E2263" s="314"/>
      <c r="F2263" s="314"/>
      <c r="G2263" s="314"/>
      <c r="H2263" s="314"/>
      <c r="I2263" s="314"/>
      <c r="J2263" s="314"/>
      <c r="K2263" s="314"/>
      <c r="L2263" s="314"/>
      <c r="M2263" s="314"/>
      <c r="N2263" s="314"/>
      <c r="O2263" s="314"/>
      <c r="P2263" s="314"/>
      <c r="Q2263" s="314"/>
      <c r="R2263" s="314"/>
      <c r="S2263" s="314"/>
      <c r="T2263" s="314"/>
      <c r="U2263" s="314"/>
      <c r="V2263" s="314"/>
      <c r="W2263" s="314"/>
      <c r="X2263" s="314"/>
      <c r="Y2263" s="314"/>
      <c r="Z2263" s="314"/>
      <c r="AA2263" s="314"/>
      <c r="AB2263" s="314"/>
      <c r="AC2263" s="314"/>
      <c r="AD2263" s="314"/>
      <c r="AE2263" s="314"/>
      <c r="AF2263" s="314"/>
    </row>
    <row r="2264" spans="5:32" x14ac:dyDescent="0.35">
      <c r="E2264" s="314"/>
      <c r="F2264" s="314"/>
      <c r="G2264" s="314"/>
      <c r="H2264" s="314"/>
      <c r="I2264" s="314"/>
      <c r="J2264" s="314"/>
      <c r="K2264" s="314"/>
      <c r="L2264" s="314"/>
      <c r="M2264" s="314"/>
      <c r="N2264" s="314"/>
      <c r="O2264" s="314"/>
      <c r="P2264" s="314"/>
      <c r="Q2264" s="314"/>
      <c r="R2264" s="314"/>
      <c r="S2264" s="314"/>
      <c r="T2264" s="314"/>
      <c r="U2264" s="314"/>
      <c r="V2264" s="314"/>
      <c r="W2264" s="314"/>
      <c r="X2264" s="314"/>
      <c r="Y2264" s="314"/>
      <c r="Z2264" s="314"/>
      <c r="AA2264" s="314"/>
      <c r="AB2264" s="314"/>
      <c r="AC2264" s="314"/>
      <c r="AD2264" s="314"/>
      <c r="AE2264" s="314"/>
      <c r="AF2264" s="314"/>
    </row>
    <row r="2265" spans="5:32" x14ac:dyDescent="0.35">
      <c r="E2265" s="314"/>
      <c r="F2265" s="314"/>
      <c r="G2265" s="314"/>
      <c r="H2265" s="314"/>
      <c r="I2265" s="314"/>
      <c r="J2265" s="314"/>
      <c r="K2265" s="314"/>
      <c r="L2265" s="314"/>
      <c r="M2265" s="314"/>
      <c r="N2265" s="314"/>
      <c r="O2265" s="314"/>
      <c r="P2265" s="314"/>
      <c r="Q2265" s="314"/>
      <c r="R2265" s="314"/>
      <c r="S2265" s="314"/>
      <c r="T2265" s="314"/>
      <c r="U2265" s="314"/>
      <c r="V2265" s="314"/>
      <c r="W2265" s="314"/>
      <c r="X2265" s="314"/>
      <c r="Y2265" s="314"/>
      <c r="Z2265" s="314"/>
      <c r="AA2265" s="314"/>
      <c r="AB2265" s="314"/>
      <c r="AC2265" s="314"/>
      <c r="AD2265" s="314"/>
      <c r="AE2265" s="314"/>
      <c r="AF2265" s="314"/>
    </row>
    <row r="2266" spans="5:32" x14ac:dyDescent="0.35">
      <c r="E2266" s="314"/>
      <c r="F2266" s="314"/>
      <c r="G2266" s="314"/>
      <c r="H2266" s="314"/>
      <c r="I2266" s="314"/>
      <c r="J2266" s="314"/>
      <c r="K2266" s="314"/>
      <c r="L2266" s="314"/>
      <c r="M2266" s="314"/>
      <c r="N2266" s="314"/>
      <c r="O2266" s="314"/>
      <c r="P2266" s="314"/>
      <c r="Q2266" s="314"/>
      <c r="R2266" s="314"/>
      <c r="S2266" s="314"/>
      <c r="T2266" s="314"/>
      <c r="U2266" s="314"/>
      <c r="V2266" s="314"/>
      <c r="W2266" s="314"/>
      <c r="X2266" s="314"/>
      <c r="Y2266" s="314"/>
      <c r="Z2266" s="314"/>
      <c r="AA2266" s="314"/>
      <c r="AB2266" s="314"/>
      <c r="AC2266" s="314"/>
      <c r="AD2266" s="314"/>
      <c r="AE2266" s="314"/>
      <c r="AF2266" s="314"/>
    </row>
    <row r="2267" spans="5:32" x14ac:dyDescent="0.35">
      <c r="E2267" s="314"/>
      <c r="F2267" s="314"/>
      <c r="G2267" s="314"/>
      <c r="H2267" s="314"/>
      <c r="I2267" s="314"/>
      <c r="J2267" s="314"/>
      <c r="K2267" s="314"/>
      <c r="L2267" s="314"/>
      <c r="M2267" s="314"/>
      <c r="N2267" s="314"/>
      <c r="O2267" s="314"/>
      <c r="P2267" s="314"/>
      <c r="Q2267" s="314"/>
      <c r="R2267" s="314"/>
      <c r="S2267" s="314"/>
      <c r="T2267" s="314"/>
      <c r="U2267" s="314"/>
      <c r="V2267" s="314"/>
      <c r="W2267" s="314"/>
      <c r="X2267" s="314"/>
      <c r="Y2267" s="314"/>
      <c r="Z2267" s="314"/>
      <c r="AA2267" s="314"/>
      <c r="AB2267" s="314"/>
      <c r="AC2267" s="314"/>
      <c r="AD2267" s="314"/>
      <c r="AE2267" s="314"/>
      <c r="AF2267" s="314"/>
    </row>
    <row r="2268" spans="5:32" x14ac:dyDescent="0.35">
      <c r="E2268" s="314"/>
      <c r="F2268" s="314"/>
      <c r="G2268" s="314"/>
      <c r="H2268" s="314"/>
      <c r="I2268" s="314"/>
      <c r="J2268" s="314"/>
      <c r="K2268" s="314"/>
      <c r="L2268" s="314"/>
      <c r="M2268" s="314"/>
      <c r="N2268" s="314"/>
      <c r="O2268" s="314"/>
      <c r="P2268" s="314"/>
      <c r="Q2268" s="314"/>
      <c r="R2268" s="314"/>
      <c r="S2268" s="314"/>
      <c r="T2268" s="314"/>
      <c r="U2268" s="314"/>
      <c r="V2268" s="314"/>
      <c r="W2268" s="314"/>
      <c r="X2268" s="314"/>
      <c r="Y2268" s="314"/>
      <c r="Z2268" s="314"/>
      <c r="AA2268" s="314"/>
      <c r="AB2268" s="314"/>
      <c r="AC2268" s="314"/>
      <c r="AD2268" s="314"/>
      <c r="AE2268" s="314"/>
      <c r="AF2268" s="314"/>
    </row>
    <row r="2269" spans="5:32" x14ac:dyDescent="0.35">
      <c r="E2269" s="314"/>
      <c r="F2269" s="314"/>
      <c r="G2269" s="314"/>
      <c r="H2269" s="314"/>
      <c r="I2269" s="314"/>
      <c r="J2269" s="314"/>
      <c r="K2269" s="314"/>
      <c r="L2269" s="314"/>
      <c r="M2269" s="314"/>
      <c r="N2269" s="314"/>
      <c r="O2269" s="314"/>
      <c r="P2269" s="314"/>
      <c r="Q2269" s="314"/>
      <c r="R2269" s="314"/>
      <c r="S2269" s="314"/>
      <c r="T2269" s="314"/>
      <c r="U2269" s="314"/>
      <c r="V2269" s="314"/>
      <c r="W2269" s="314"/>
      <c r="X2269" s="314"/>
      <c r="Y2269" s="314"/>
      <c r="Z2269" s="314"/>
      <c r="AA2269" s="314"/>
      <c r="AB2269" s="314"/>
      <c r="AC2269" s="314"/>
      <c r="AD2269" s="314"/>
      <c r="AE2269" s="314"/>
      <c r="AF2269" s="314"/>
    </row>
    <row r="2270" spans="5:32" x14ac:dyDescent="0.35">
      <c r="E2270" s="314"/>
      <c r="F2270" s="314"/>
      <c r="G2270" s="314"/>
      <c r="H2270" s="314"/>
      <c r="I2270" s="314"/>
      <c r="J2270" s="314"/>
      <c r="K2270" s="314"/>
      <c r="L2270" s="314"/>
      <c r="M2270" s="314"/>
      <c r="N2270" s="314"/>
      <c r="O2270" s="314"/>
      <c r="P2270" s="314"/>
      <c r="Q2270" s="314"/>
      <c r="R2270" s="314"/>
      <c r="S2270" s="314"/>
      <c r="T2270" s="314"/>
      <c r="U2270" s="314"/>
      <c r="V2270" s="314"/>
      <c r="W2270" s="314"/>
      <c r="X2270" s="314"/>
      <c r="Y2270" s="314"/>
      <c r="Z2270" s="314"/>
      <c r="AA2270" s="314"/>
      <c r="AB2270" s="314"/>
      <c r="AC2270" s="314"/>
      <c r="AD2270" s="314"/>
      <c r="AE2270" s="314"/>
      <c r="AF2270" s="314"/>
    </row>
    <row r="2271" spans="5:32" x14ac:dyDescent="0.35">
      <c r="E2271" s="314"/>
      <c r="F2271" s="314"/>
      <c r="G2271" s="314"/>
      <c r="H2271" s="314"/>
      <c r="I2271" s="314"/>
      <c r="J2271" s="314"/>
      <c r="K2271" s="314"/>
      <c r="L2271" s="314"/>
      <c r="M2271" s="314"/>
      <c r="N2271" s="314"/>
      <c r="O2271" s="314"/>
      <c r="P2271" s="314"/>
      <c r="Q2271" s="314"/>
      <c r="R2271" s="314"/>
      <c r="S2271" s="314"/>
      <c r="T2271" s="314"/>
      <c r="U2271" s="314"/>
      <c r="V2271" s="314"/>
      <c r="W2271" s="314"/>
      <c r="X2271" s="314"/>
      <c r="Y2271" s="314"/>
      <c r="Z2271" s="314"/>
      <c r="AA2271" s="314"/>
      <c r="AB2271" s="314"/>
      <c r="AC2271" s="314"/>
      <c r="AD2271" s="314"/>
      <c r="AE2271" s="314"/>
      <c r="AF2271" s="314"/>
    </row>
    <row r="2272" spans="5:32" x14ac:dyDescent="0.35">
      <c r="E2272" s="314"/>
      <c r="F2272" s="314"/>
      <c r="G2272" s="314"/>
      <c r="H2272" s="314"/>
      <c r="I2272" s="314"/>
      <c r="J2272" s="314"/>
      <c r="K2272" s="314"/>
      <c r="L2272" s="314"/>
      <c r="M2272" s="314"/>
      <c r="N2272" s="314"/>
      <c r="O2272" s="314"/>
      <c r="P2272" s="314"/>
      <c r="Q2272" s="314"/>
      <c r="R2272" s="314"/>
      <c r="S2272" s="314"/>
      <c r="T2272" s="314"/>
      <c r="U2272" s="314"/>
      <c r="V2272" s="314"/>
      <c r="W2272" s="314"/>
      <c r="X2272" s="314"/>
      <c r="Y2272" s="314"/>
      <c r="Z2272" s="314"/>
      <c r="AA2272" s="314"/>
      <c r="AB2272" s="314"/>
      <c r="AC2272" s="314"/>
      <c r="AD2272" s="314"/>
      <c r="AE2272" s="314"/>
      <c r="AF2272" s="314"/>
    </row>
    <row r="2273" spans="5:32" x14ac:dyDescent="0.35">
      <c r="E2273" s="314"/>
      <c r="F2273" s="314"/>
      <c r="G2273" s="314"/>
      <c r="H2273" s="314"/>
      <c r="I2273" s="314"/>
      <c r="J2273" s="314"/>
      <c r="K2273" s="314"/>
      <c r="L2273" s="314"/>
      <c r="M2273" s="314"/>
      <c r="N2273" s="314"/>
      <c r="O2273" s="314"/>
      <c r="P2273" s="314"/>
      <c r="Q2273" s="314"/>
      <c r="R2273" s="314"/>
      <c r="S2273" s="314"/>
      <c r="T2273" s="314"/>
      <c r="U2273" s="314"/>
      <c r="V2273" s="314"/>
      <c r="W2273" s="314"/>
      <c r="X2273" s="314"/>
      <c r="Y2273" s="314"/>
      <c r="Z2273" s="314"/>
      <c r="AA2273" s="314"/>
      <c r="AB2273" s="314"/>
      <c r="AC2273" s="314"/>
      <c r="AD2273" s="314"/>
      <c r="AE2273" s="314"/>
      <c r="AF2273" s="314"/>
    </row>
    <row r="2274" spans="5:32" x14ac:dyDescent="0.35">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314"/>
      <c r="AF2274" s="314"/>
    </row>
    <row r="2275" spans="5:32" x14ac:dyDescent="0.35">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314"/>
      <c r="AF2275" s="314"/>
    </row>
    <row r="2276" spans="5:32" x14ac:dyDescent="0.35">
      <c r="E2276" s="314"/>
      <c r="F2276" s="314"/>
      <c r="G2276" s="314"/>
      <c r="H2276" s="314"/>
      <c r="I2276" s="314"/>
      <c r="J2276" s="314"/>
      <c r="K2276" s="314"/>
      <c r="L2276" s="314"/>
      <c r="M2276" s="314"/>
      <c r="N2276" s="314"/>
      <c r="O2276" s="314"/>
      <c r="P2276" s="314"/>
      <c r="Q2276" s="314"/>
      <c r="R2276" s="314"/>
      <c r="S2276" s="314"/>
      <c r="T2276" s="314"/>
      <c r="U2276" s="314"/>
      <c r="V2276" s="314"/>
      <c r="W2276" s="314"/>
      <c r="X2276" s="314"/>
      <c r="Y2276" s="314"/>
      <c r="Z2276" s="314"/>
      <c r="AA2276" s="314"/>
      <c r="AB2276" s="314"/>
      <c r="AC2276" s="314"/>
      <c r="AD2276" s="314"/>
      <c r="AE2276" s="314"/>
      <c r="AF2276" s="314"/>
    </row>
    <row r="2277" spans="5:32" x14ac:dyDescent="0.35">
      <c r="E2277" s="314"/>
      <c r="F2277" s="314"/>
      <c r="G2277" s="314"/>
      <c r="H2277" s="314"/>
      <c r="I2277" s="314"/>
      <c r="J2277" s="314"/>
      <c r="K2277" s="314"/>
      <c r="L2277" s="314"/>
      <c r="M2277" s="314"/>
      <c r="N2277" s="314"/>
      <c r="O2277" s="314"/>
      <c r="P2277" s="314"/>
      <c r="Q2277" s="314"/>
      <c r="R2277" s="314"/>
      <c r="S2277" s="314"/>
      <c r="T2277" s="314"/>
      <c r="U2277" s="314"/>
      <c r="V2277" s="314"/>
      <c r="W2277" s="314"/>
      <c r="X2277" s="314"/>
      <c r="Y2277" s="314"/>
      <c r="Z2277" s="314"/>
      <c r="AA2277" s="314"/>
      <c r="AB2277" s="314"/>
      <c r="AC2277" s="314"/>
      <c r="AD2277" s="314"/>
      <c r="AE2277" s="314"/>
      <c r="AF2277" s="314"/>
    </row>
    <row r="2278" spans="5:32" x14ac:dyDescent="0.35">
      <c r="E2278" s="314"/>
      <c r="F2278" s="314"/>
      <c r="G2278" s="314"/>
      <c r="H2278" s="314"/>
      <c r="I2278" s="314"/>
      <c r="J2278" s="314"/>
      <c r="K2278" s="314"/>
      <c r="L2278" s="314"/>
      <c r="M2278" s="314"/>
      <c r="N2278" s="314"/>
      <c r="O2278" s="314"/>
      <c r="P2278" s="314"/>
      <c r="Q2278" s="314"/>
      <c r="R2278" s="314"/>
      <c r="S2278" s="314"/>
      <c r="T2278" s="314"/>
      <c r="U2278" s="314"/>
      <c r="V2278" s="314"/>
      <c r="W2278" s="314"/>
      <c r="X2278" s="314"/>
      <c r="Y2278" s="314"/>
      <c r="Z2278" s="314"/>
      <c r="AA2278" s="314"/>
      <c r="AB2278" s="314"/>
      <c r="AC2278" s="314"/>
      <c r="AD2278" s="314"/>
      <c r="AE2278" s="314"/>
      <c r="AF2278" s="314"/>
    </row>
    <row r="2279" spans="5:32" x14ac:dyDescent="0.35">
      <c r="E2279" s="314"/>
      <c r="F2279" s="314"/>
      <c r="G2279" s="314"/>
      <c r="H2279" s="314"/>
      <c r="I2279" s="314"/>
      <c r="J2279" s="314"/>
      <c r="K2279" s="314"/>
      <c r="L2279" s="314"/>
      <c r="M2279" s="314"/>
      <c r="N2279" s="314"/>
      <c r="O2279" s="314"/>
      <c r="P2279" s="314"/>
      <c r="Q2279" s="314"/>
      <c r="R2279" s="314"/>
      <c r="S2279" s="314"/>
      <c r="T2279" s="314"/>
      <c r="U2279" s="314"/>
      <c r="V2279" s="314"/>
      <c r="W2279" s="314"/>
      <c r="X2279" s="314"/>
      <c r="Y2279" s="314"/>
      <c r="Z2279" s="314"/>
      <c r="AA2279" s="314"/>
      <c r="AB2279" s="314"/>
      <c r="AC2279" s="314"/>
      <c r="AD2279" s="314"/>
      <c r="AE2279" s="314"/>
      <c r="AF2279" s="314"/>
    </row>
    <row r="2280" spans="5:32" x14ac:dyDescent="0.35">
      <c r="E2280" s="314"/>
      <c r="F2280" s="314"/>
      <c r="G2280" s="314"/>
      <c r="H2280" s="314"/>
      <c r="I2280" s="314"/>
      <c r="J2280" s="314"/>
      <c r="K2280" s="314"/>
      <c r="L2280" s="314"/>
      <c r="M2280" s="314"/>
      <c r="N2280" s="314"/>
      <c r="O2280" s="314"/>
      <c r="P2280" s="314"/>
      <c r="Q2280" s="314"/>
      <c r="R2280" s="314"/>
      <c r="S2280" s="314"/>
      <c r="T2280" s="314"/>
      <c r="U2280" s="314"/>
      <c r="V2280" s="314"/>
      <c r="W2280" s="314"/>
      <c r="X2280" s="314"/>
      <c r="Y2280" s="314"/>
      <c r="Z2280" s="314"/>
      <c r="AA2280" s="314"/>
      <c r="AB2280" s="314"/>
      <c r="AC2280" s="314"/>
      <c r="AD2280" s="314"/>
      <c r="AE2280" s="314"/>
      <c r="AF2280" s="314"/>
    </row>
    <row r="2281" spans="5:32" x14ac:dyDescent="0.35">
      <c r="E2281" s="314"/>
      <c r="F2281" s="314"/>
      <c r="G2281" s="314"/>
      <c r="H2281" s="314"/>
      <c r="I2281" s="314"/>
      <c r="J2281" s="314"/>
      <c r="K2281" s="314"/>
      <c r="L2281" s="314"/>
      <c r="M2281" s="314"/>
      <c r="N2281" s="314"/>
      <c r="O2281" s="314"/>
      <c r="P2281" s="314"/>
      <c r="Q2281" s="314"/>
      <c r="R2281" s="314"/>
      <c r="S2281" s="314"/>
      <c r="T2281" s="314"/>
      <c r="U2281" s="314"/>
      <c r="V2281" s="314"/>
      <c r="W2281" s="314"/>
      <c r="X2281" s="314"/>
      <c r="Y2281" s="314"/>
      <c r="Z2281" s="314"/>
      <c r="AA2281" s="314"/>
      <c r="AB2281" s="314"/>
      <c r="AC2281" s="314"/>
      <c r="AD2281" s="314"/>
      <c r="AE2281" s="314"/>
      <c r="AF2281" s="314"/>
    </row>
    <row r="2282" spans="5:32" x14ac:dyDescent="0.35">
      <c r="E2282" s="314"/>
      <c r="F2282" s="314"/>
      <c r="G2282" s="314"/>
      <c r="H2282" s="314"/>
      <c r="I2282" s="314"/>
      <c r="J2282" s="314"/>
      <c r="K2282" s="314"/>
      <c r="L2282" s="314"/>
      <c r="M2282" s="314"/>
      <c r="N2282" s="314"/>
      <c r="O2282" s="314"/>
      <c r="P2282" s="314"/>
      <c r="Q2282" s="314"/>
      <c r="R2282" s="314"/>
      <c r="S2282" s="314"/>
      <c r="T2282" s="314"/>
      <c r="U2282" s="314"/>
      <c r="V2282" s="314"/>
      <c r="W2282" s="314"/>
      <c r="X2282" s="314"/>
      <c r="Y2282" s="314"/>
      <c r="Z2282" s="314"/>
      <c r="AA2282" s="314"/>
      <c r="AB2282" s="314"/>
      <c r="AC2282" s="314"/>
      <c r="AD2282" s="314"/>
      <c r="AE2282" s="314"/>
      <c r="AF2282" s="314"/>
    </row>
    <row r="2283" spans="5:32" x14ac:dyDescent="0.35">
      <c r="E2283" s="314"/>
      <c r="F2283" s="314"/>
      <c r="G2283" s="314"/>
      <c r="H2283" s="314"/>
      <c r="I2283" s="314"/>
      <c r="J2283" s="314"/>
      <c r="K2283" s="314"/>
      <c r="L2283" s="314"/>
      <c r="M2283" s="314"/>
      <c r="N2283" s="314"/>
      <c r="O2283" s="314"/>
      <c r="P2283" s="314"/>
      <c r="Q2283" s="314"/>
      <c r="R2283" s="314"/>
      <c r="S2283" s="314"/>
      <c r="T2283" s="314"/>
      <c r="U2283" s="314"/>
      <c r="V2283" s="314"/>
      <c r="W2283" s="314"/>
      <c r="X2283" s="314"/>
      <c r="Y2283" s="314"/>
      <c r="Z2283" s="314"/>
      <c r="AA2283" s="314"/>
      <c r="AB2283" s="314"/>
      <c r="AC2283" s="314"/>
      <c r="AD2283" s="314"/>
      <c r="AE2283" s="314"/>
      <c r="AF2283" s="314"/>
    </row>
    <row r="2284" spans="5:32" x14ac:dyDescent="0.35">
      <c r="E2284" s="314"/>
      <c r="F2284" s="314"/>
      <c r="G2284" s="314"/>
      <c r="H2284" s="314"/>
      <c r="I2284" s="314"/>
      <c r="J2284" s="314"/>
      <c r="K2284" s="314"/>
      <c r="L2284" s="314"/>
      <c r="M2284" s="314"/>
      <c r="N2284" s="314"/>
      <c r="O2284" s="314"/>
      <c r="P2284" s="314"/>
      <c r="Q2284" s="314"/>
      <c r="R2284" s="314"/>
      <c r="S2284" s="314"/>
      <c r="T2284" s="314"/>
      <c r="U2284" s="314"/>
      <c r="V2284" s="314"/>
      <c r="W2284" s="314"/>
      <c r="X2284" s="314"/>
      <c r="Y2284" s="314"/>
      <c r="Z2284" s="314"/>
      <c r="AA2284" s="314"/>
      <c r="AB2284" s="314"/>
      <c r="AC2284" s="314"/>
      <c r="AD2284" s="314"/>
      <c r="AE2284" s="314"/>
      <c r="AF2284" s="314"/>
    </row>
    <row r="2285" spans="5:32" x14ac:dyDescent="0.35">
      <c r="E2285" s="314"/>
      <c r="F2285" s="314"/>
      <c r="G2285" s="314"/>
      <c r="H2285" s="314"/>
      <c r="I2285" s="314"/>
      <c r="J2285" s="314"/>
      <c r="K2285" s="314"/>
      <c r="L2285" s="314"/>
      <c r="M2285" s="314"/>
      <c r="N2285" s="314"/>
      <c r="O2285" s="314"/>
      <c r="P2285" s="314"/>
      <c r="Q2285" s="314"/>
      <c r="R2285" s="314"/>
      <c r="S2285" s="314"/>
      <c r="T2285" s="314"/>
      <c r="U2285" s="314"/>
      <c r="V2285" s="314"/>
      <c r="W2285" s="314"/>
      <c r="X2285" s="314"/>
      <c r="Y2285" s="314"/>
      <c r="Z2285" s="314"/>
      <c r="AA2285" s="314"/>
      <c r="AB2285" s="314"/>
      <c r="AC2285" s="314"/>
      <c r="AD2285" s="314"/>
      <c r="AE2285" s="314"/>
      <c r="AF2285" s="314"/>
    </row>
    <row r="2286" spans="5:32" x14ac:dyDescent="0.35">
      <c r="E2286" s="314"/>
      <c r="F2286" s="314"/>
      <c r="G2286" s="314"/>
      <c r="H2286" s="314"/>
      <c r="I2286" s="314"/>
      <c r="J2286" s="314"/>
      <c r="K2286" s="314"/>
      <c r="L2286" s="314"/>
      <c r="M2286" s="314"/>
      <c r="N2286" s="314"/>
      <c r="O2286" s="314"/>
      <c r="P2286" s="314"/>
      <c r="Q2286" s="314"/>
      <c r="R2286" s="314"/>
      <c r="S2286" s="314"/>
      <c r="T2286" s="314"/>
      <c r="U2286" s="314"/>
      <c r="V2286" s="314"/>
      <c r="W2286" s="314"/>
      <c r="X2286" s="314"/>
      <c r="Y2286" s="314"/>
      <c r="Z2286" s="314"/>
      <c r="AA2286" s="314"/>
      <c r="AB2286" s="314"/>
      <c r="AC2286" s="314"/>
      <c r="AD2286" s="314"/>
      <c r="AE2286" s="314"/>
      <c r="AF2286" s="314"/>
    </row>
    <row r="2287" spans="5:32" x14ac:dyDescent="0.35">
      <c r="E2287" s="314"/>
      <c r="F2287" s="314"/>
      <c r="G2287" s="314"/>
      <c r="H2287" s="314"/>
      <c r="I2287" s="314"/>
      <c r="J2287" s="314"/>
      <c r="K2287" s="314"/>
      <c r="L2287" s="314"/>
      <c r="M2287" s="314"/>
      <c r="N2287" s="314"/>
      <c r="O2287" s="314"/>
      <c r="P2287" s="314"/>
      <c r="Q2287" s="314"/>
      <c r="R2287" s="314"/>
      <c r="S2287" s="314"/>
      <c r="T2287" s="314"/>
      <c r="U2287" s="314"/>
      <c r="V2287" s="314"/>
      <c r="W2287" s="314"/>
      <c r="X2287" s="314"/>
      <c r="Y2287" s="314"/>
      <c r="Z2287" s="314"/>
      <c r="AA2287" s="314"/>
      <c r="AB2287" s="314"/>
      <c r="AC2287" s="314"/>
      <c r="AD2287" s="314"/>
      <c r="AE2287" s="314"/>
      <c r="AF2287" s="314"/>
    </row>
    <row r="2288" spans="5:32" x14ac:dyDescent="0.35">
      <c r="E2288" s="314"/>
      <c r="F2288" s="314"/>
      <c r="G2288" s="314"/>
      <c r="H2288" s="314"/>
      <c r="I2288" s="314"/>
      <c r="J2288" s="314"/>
      <c r="K2288" s="314"/>
      <c r="L2288" s="314"/>
      <c r="M2288" s="314"/>
      <c r="N2288" s="314"/>
      <c r="O2288" s="314"/>
      <c r="P2288" s="314"/>
      <c r="Q2288" s="314"/>
      <c r="R2288" s="314"/>
      <c r="S2288" s="314"/>
      <c r="T2288" s="314"/>
      <c r="U2288" s="314"/>
      <c r="V2288" s="314"/>
      <c r="W2288" s="314"/>
      <c r="X2288" s="314"/>
      <c r="Y2288" s="314"/>
      <c r="Z2288" s="314"/>
      <c r="AA2288" s="314"/>
      <c r="AB2288" s="314"/>
      <c r="AC2288" s="314"/>
      <c r="AD2288" s="314"/>
      <c r="AE2288" s="314"/>
      <c r="AF2288" s="314"/>
    </row>
    <row r="2289" spans="5:32" x14ac:dyDescent="0.35">
      <c r="E2289" s="314"/>
      <c r="F2289" s="314"/>
      <c r="G2289" s="314"/>
      <c r="H2289" s="314"/>
      <c r="I2289" s="314"/>
      <c r="J2289" s="314"/>
      <c r="K2289" s="314"/>
      <c r="L2289" s="314"/>
      <c r="M2289" s="314"/>
      <c r="N2289" s="314"/>
      <c r="O2289" s="314"/>
      <c r="P2289" s="314"/>
      <c r="Q2289" s="314"/>
      <c r="R2289" s="314"/>
      <c r="S2289" s="314"/>
      <c r="T2289" s="314"/>
      <c r="U2289" s="314"/>
      <c r="V2289" s="314"/>
      <c r="W2289" s="314"/>
      <c r="X2289" s="314"/>
      <c r="Y2289" s="314"/>
      <c r="Z2289" s="314"/>
      <c r="AA2289" s="314"/>
      <c r="AB2289" s="314"/>
      <c r="AC2289" s="314"/>
      <c r="AD2289" s="314"/>
      <c r="AE2289" s="314"/>
      <c r="AF2289" s="314"/>
    </row>
    <row r="2290" spans="5:32" x14ac:dyDescent="0.35">
      <c r="E2290" s="314"/>
      <c r="F2290" s="314"/>
      <c r="G2290" s="314"/>
      <c r="H2290" s="314"/>
      <c r="I2290" s="314"/>
      <c r="J2290" s="314"/>
      <c r="K2290" s="314"/>
      <c r="L2290" s="314"/>
      <c r="M2290" s="314"/>
      <c r="N2290" s="314"/>
      <c r="O2290" s="314"/>
      <c r="P2290" s="314"/>
      <c r="Q2290" s="314"/>
      <c r="R2290" s="314"/>
      <c r="S2290" s="314"/>
      <c r="T2290" s="314"/>
      <c r="U2290" s="314"/>
      <c r="V2290" s="314"/>
      <c r="W2290" s="314"/>
      <c r="X2290" s="314"/>
      <c r="Y2290" s="314"/>
      <c r="Z2290" s="314"/>
      <c r="AA2290" s="314"/>
      <c r="AB2290" s="314"/>
      <c r="AC2290" s="314"/>
      <c r="AD2290" s="314"/>
      <c r="AE2290" s="314"/>
      <c r="AF2290" s="314"/>
    </row>
    <row r="2291" spans="5:32" x14ac:dyDescent="0.35">
      <c r="E2291" s="314"/>
      <c r="F2291" s="314"/>
      <c r="G2291" s="314"/>
      <c r="H2291" s="314"/>
      <c r="I2291" s="314"/>
      <c r="J2291" s="314"/>
      <c r="K2291" s="314"/>
      <c r="L2291" s="314"/>
      <c r="M2291" s="314"/>
      <c r="N2291" s="314"/>
      <c r="O2291" s="314"/>
      <c r="P2291" s="314"/>
      <c r="Q2291" s="314"/>
      <c r="R2291" s="314"/>
      <c r="S2291" s="314"/>
      <c r="T2291" s="314"/>
      <c r="U2291" s="314"/>
      <c r="V2291" s="314"/>
      <c r="W2291" s="314"/>
      <c r="X2291" s="314"/>
      <c r="Y2291" s="314"/>
      <c r="Z2291" s="314"/>
      <c r="AA2291" s="314"/>
      <c r="AB2291" s="314"/>
      <c r="AC2291" s="314"/>
      <c r="AD2291" s="314"/>
      <c r="AE2291" s="314"/>
      <c r="AF2291" s="314"/>
    </row>
    <row r="2292" spans="5:32" x14ac:dyDescent="0.35">
      <c r="E2292" s="314"/>
      <c r="F2292" s="314"/>
      <c r="G2292" s="314"/>
      <c r="H2292" s="314"/>
      <c r="I2292" s="314"/>
      <c r="J2292" s="314"/>
      <c r="K2292" s="314"/>
      <c r="L2292" s="314"/>
      <c r="M2292" s="314"/>
      <c r="N2292" s="314"/>
      <c r="O2292" s="314"/>
      <c r="P2292" s="314"/>
      <c r="Q2292" s="314"/>
      <c r="R2292" s="314"/>
      <c r="S2292" s="314"/>
      <c r="T2292" s="314"/>
      <c r="U2292" s="314"/>
      <c r="V2292" s="314"/>
      <c r="W2292" s="314"/>
      <c r="X2292" s="314"/>
      <c r="Y2292" s="314"/>
      <c r="Z2292" s="314"/>
      <c r="AA2292" s="314"/>
      <c r="AB2292" s="314"/>
      <c r="AC2292" s="314"/>
      <c r="AD2292" s="314"/>
      <c r="AE2292" s="314"/>
      <c r="AF2292" s="314"/>
    </row>
    <row r="2293" spans="5:32" x14ac:dyDescent="0.35">
      <c r="E2293" s="314"/>
      <c r="F2293" s="314"/>
      <c r="G2293" s="314"/>
      <c r="H2293" s="314"/>
      <c r="I2293" s="314"/>
      <c r="J2293" s="314"/>
      <c r="K2293" s="314"/>
      <c r="L2293" s="314"/>
      <c r="M2293" s="314"/>
      <c r="N2293" s="314"/>
      <c r="O2293" s="314"/>
      <c r="P2293" s="314"/>
      <c r="Q2293" s="314"/>
      <c r="R2293" s="314"/>
      <c r="S2293" s="314"/>
      <c r="T2293" s="314"/>
      <c r="U2293" s="314"/>
      <c r="V2293" s="314"/>
      <c r="W2293" s="314"/>
      <c r="X2293" s="314"/>
      <c r="Y2293" s="314"/>
      <c r="Z2293" s="314"/>
      <c r="AA2293" s="314"/>
      <c r="AB2293" s="314"/>
      <c r="AC2293" s="314"/>
      <c r="AD2293" s="314"/>
      <c r="AE2293" s="314"/>
      <c r="AF2293" s="314"/>
    </row>
    <row r="2294" spans="5:32" x14ac:dyDescent="0.35">
      <c r="E2294" s="314"/>
      <c r="F2294" s="314"/>
      <c r="G2294" s="314"/>
      <c r="H2294" s="314"/>
      <c r="I2294" s="314"/>
      <c r="J2294" s="314"/>
      <c r="K2294" s="314"/>
      <c r="L2294" s="314"/>
      <c r="M2294" s="314"/>
      <c r="N2294" s="314"/>
      <c r="O2294" s="314"/>
      <c r="P2294" s="314"/>
      <c r="Q2294" s="314"/>
      <c r="R2294" s="314"/>
      <c r="S2294" s="314"/>
      <c r="T2294" s="314"/>
      <c r="U2294" s="314"/>
      <c r="V2294" s="314"/>
      <c r="W2294" s="314"/>
      <c r="X2294" s="314"/>
      <c r="Y2294" s="314"/>
      <c r="Z2294" s="314"/>
      <c r="AA2294" s="314"/>
      <c r="AB2294" s="314"/>
      <c r="AC2294" s="314"/>
      <c r="AD2294" s="314"/>
      <c r="AE2294" s="314"/>
      <c r="AF2294" s="314"/>
    </row>
    <row r="2295" spans="5:32" x14ac:dyDescent="0.35">
      <c r="E2295" s="314"/>
      <c r="F2295" s="314"/>
      <c r="G2295" s="314"/>
      <c r="H2295" s="314"/>
      <c r="I2295" s="314"/>
      <c r="J2295" s="314"/>
      <c r="K2295" s="314"/>
      <c r="L2295" s="314"/>
      <c r="M2295" s="314"/>
      <c r="N2295" s="314"/>
      <c r="O2295" s="314"/>
      <c r="P2295" s="314"/>
      <c r="Q2295" s="314"/>
      <c r="R2295" s="314"/>
      <c r="S2295" s="314"/>
      <c r="T2295" s="314"/>
      <c r="U2295" s="314"/>
      <c r="V2295" s="314"/>
      <c r="W2295" s="314"/>
      <c r="X2295" s="314"/>
      <c r="Y2295" s="314"/>
      <c r="Z2295" s="314"/>
      <c r="AA2295" s="314"/>
      <c r="AB2295" s="314"/>
      <c r="AC2295" s="314"/>
      <c r="AD2295" s="314"/>
      <c r="AE2295" s="314"/>
      <c r="AF2295" s="314"/>
    </row>
    <row r="2296" spans="5:32" x14ac:dyDescent="0.35">
      <c r="E2296" s="314"/>
      <c r="F2296" s="314"/>
      <c r="G2296" s="314"/>
      <c r="H2296" s="314"/>
      <c r="I2296" s="314"/>
      <c r="J2296" s="314"/>
      <c r="K2296" s="314"/>
      <c r="L2296" s="314"/>
      <c r="M2296" s="314"/>
      <c r="N2296" s="314"/>
      <c r="O2296" s="314"/>
      <c r="P2296" s="314"/>
      <c r="Q2296" s="314"/>
      <c r="R2296" s="314"/>
      <c r="S2296" s="314"/>
      <c r="T2296" s="314"/>
      <c r="U2296" s="314"/>
      <c r="V2296" s="314"/>
      <c r="W2296" s="314"/>
      <c r="X2296" s="314"/>
      <c r="Y2296" s="314"/>
      <c r="Z2296" s="314"/>
      <c r="AA2296" s="314"/>
      <c r="AB2296" s="314"/>
      <c r="AC2296" s="314"/>
      <c r="AD2296" s="314"/>
      <c r="AE2296" s="314"/>
      <c r="AF2296" s="314"/>
    </row>
    <row r="2297" spans="5:32" x14ac:dyDescent="0.35">
      <c r="E2297" s="314"/>
      <c r="F2297" s="314"/>
      <c r="G2297" s="314"/>
      <c r="H2297" s="314"/>
      <c r="I2297" s="314"/>
      <c r="J2297" s="314"/>
      <c r="K2297" s="314"/>
      <c r="L2297" s="314"/>
      <c r="M2297" s="314"/>
      <c r="N2297" s="314"/>
      <c r="O2297" s="314"/>
      <c r="P2297" s="314"/>
      <c r="Q2297" s="314"/>
      <c r="R2297" s="314"/>
      <c r="S2297" s="314"/>
      <c r="T2297" s="314"/>
      <c r="U2297" s="314"/>
      <c r="V2297" s="314"/>
      <c r="W2297" s="314"/>
      <c r="X2297" s="314"/>
      <c r="Y2297" s="314"/>
      <c r="Z2297" s="314"/>
      <c r="AA2297" s="314"/>
      <c r="AB2297" s="314"/>
      <c r="AC2297" s="314"/>
      <c r="AD2297" s="314"/>
      <c r="AE2297" s="314"/>
      <c r="AF2297" s="314"/>
    </row>
    <row r="2298" spans="5:32" x14ac:dyDescent="0.35">
      <c r="E2298" s="314"/>
      <c r="F2298" s="314"/>
      <c r="G2298" s="314"/>
      <c r="H2298" s="314"/>
      <c r="I2298" s="314"/>
      <c r="J2298" s="314"/>
      <c r="K2298" s="314"/>
      <c r="L2298" s="314"/>
      <c r="M2298" s="314"/>
      <c r="N2298" s="314"/>
      <c r="O2298" s="314"/>
      <c r="P2298" s="314"/>
      <c r="Q2298" s="314"/>
      <c r="R2298" s="314"/>
      <c r="S2298" s="314"/>
      <c r="T2298" s="314"/>
      <c r="U2298" s="314"/>
      <c r="V2298" s="314"/>
      <c r="W2298" s="314"/>
      <c r="X2298" s="314"/>
      <c r="Y2298" s="314"/>
      <c r="Z2298" s="314"/>
      <c r="AA2298" s="314"/>
      <c r="AB2298" s="314"/>
      <c r="AC2298" s="314"/>
      <c r="AD2298" s="314"/>
      <c r="AE2298" s="314"/>
      <c r="AF2298" s="314"/>
    </row>
    <row r="2299" spans="5:32" x14ac:dyDescent="0.35">
      <c r="E2299" s="314"/>
      <c r="F2299" s="314"/>
      <c r="G2299" s="314"/>
      <c r="H2299" s="314"/>
      <c r="I2299" s="314"/>
      <c r="J2299" s="314"/>
      <c r="K2299" s="314"/>
      <c r="L2299" s="314"/>
      <c r="M2299" s="314"/>
      <c r="N2299" s="314"/>
      <c r="O2299" s="314"/>
      <c r="P2299" s="314"/>
      <c r="Q2299" s="314"/>
      <c r="R2299" s="314"/>
      <c r="S2299" s="314"/>
      <c r="T2299" s="314"/>
      <c r="U2299" s="314"/>
      <c r="V2299" s="314"/>
      <c r="W2299" s="314"/>
      <c r="X2299" s="314"/>
      <c r="Y2299" s="314"/>
      <c r="Z2299" s="314"/>
      <c r="AA2299" s="314"/>
      <c r="AB2299" s="314"/>
      <c r="AC2299" s="314"/>
      <c r="AD2299" s="314"/>
      <c r="AE2299" s="314"/>
      <c r="AF2299" s="314"/>
    </row>
    <row r="2300" spans="5:32" x14ac:dyDescent="0.35">
      <c r="E2300" s="314"/>
      <c r="F2300" s="314"/>
      <c r="G2300" s="314"/>
      <c r="H2300" s="314"/>
      <c r="I2300" s="314"/>
      <c r="J2300" s="314"/>
      <c r="K2300" s="314"/>
      <c r="L2300" s="314"/>
      <c r="M2300" s="314"/>
      <c r="N2300" s="314"/>
      <c r="O2300" s="314"/>
      <c r="P2300" s="314"/>
      <c r="Q2300" s="314"/>
      <c r="R2300" s="314"/>
      <c r="S2300" s="314"/>
      <c r="T2300" s="314"/>
      <c r="U2300" s="314"/>
      <c r="V2300" s="314"/>
      <c r="W2300" s="314"/>
      <c r="X2300" s="314"/>
      <c r="Y2300" s="314"/>
      <c r="Z2300" s="314"/>
      <c r="AA2300" s="314"/>
      <c r="AB2300" s="314"/>
      <c r="AC2300" s="314"/>
      <c r="AD2300" s="314"/>
      <c r="AE2300" s="314"/>
      <c r="AF2300" s="314"/>
    </row>
    <row r="2301" spans="5:32" x14ac:dyDescent="0.35">
      <c r="E2301" s="314"/>
      <c r="F2301" s="314"/>
      <c r="G2301" s="314"/>
      <c r="H2301" s="314"/>
      <c r="I2301" s="314"/>
      <c r="J2301" s="314"/>
      <c r="K2301" s="314"/>
      <c r="L2301" s="314"/>
      <c r="M2301" s="314"/>
      <c r="N2301" s="314"/>
      <c r="O2301" s="314"/>
      <c r="P2301" s="314"/>
      <c r="Q2301" s="314"/>
      <c r="R2301" s="314"/>
      <c r="S2301" s="314"/>
      <c r="T2301" s="314"/>
      <c r="U2301" s="314"/>
      <c r="V2301" s="314"/>
      <c r="W2301" s="314"/>
      <c r="X2301" s="314"/>
      <c r="Y2301" s="314"/>
      <c r="Z2301" s="314"/>
      <c r="AA2301" s="314"/>
      <c r="AB2301" s="314"/>
      <c r="AC2301" s="314"/>
      <c r="AD2301" s="314"/>
      <c r="AE2301" s="314"/>
      <c r="AF2301" s="314"/>
    </row>
    <row r="2302" spans="5:32" x14ac:dyDescent="0.35">
      <c r="E2302" s="314"/>
      <c r="F2302" s="314"/>
      <c r="G2302" s="314"/>
      <c r="H2302" s="314"/>
      <c r="I2302" s="314"/>
      <c r="J2302" s="314"/>
      <c r="K2302" s="314"/>
      <c r="L2302" s="314"/>
      <c r="M2302" s="314"/>
      <c r="N2302" s="314"/>
      <c r="O2302" s="314"/>
      <c r="P2302" s="314"/>
      <c r="Q2302" s="314"/>
      <c r="R2302" s="314"/>
      <c r="S2302" s="314"/>
      <c r="T2302" s="314"/>
      <c r="U2302" s="314"/>
      <c r="V2302" s="314"/>
      <c r="W2302" s="314"/>
      <c r="X2302" s="314"/>
      <c r="Y2302" s="314"/>
      <c r="Z2302" s="314"/>
      <c r="AA2302" s="314"/>
      <c r="AB2302" s="314"/>
      <c r="AC2302" s="314"/>
      <c r="AD2302" s="314"/>
      <c r="AE2302" s="314"/>
      <c r="AF2302" s="314"/>
    </row>
    <row r="2303" spans="5:32" x14ac:dyDescent="0.35">
      <c r="E2303" s="314"/>
      <c r="F2303" s="314"/>
      <c r="G2303" s="314"/>
      <c r="H2303" s="314"/>
      <c r="I2303" s="314"/>
      <c r="J2303" s="314"/>
      <c r="K2303" s="314"/>
      <c r="L2303" s="314"/>
      <c r="M2303" s="314"/>
      <c r="N2303" s="314"/>
      <c r="O2303" s="314"/>
      <c r="P2303" s="314"/>
      <c r="Q2303" s="314"/>
      <c r="R2303" s="314"/>
      <c r="S2303" s="314"/>
      <c r="T2303" s="314"/>
      <c r="U2303" s="314"/>
      <c r="V2303" s="314"/>
      <c r="W2303" s="314"/>
      <c r="X2303" s="314"/>
      <c r="Y2303" s="314"/>
      <c r="Z2303" s="314"/>
      <c r="AA2303" s="314"/>
      <c r="AB2303" s="314"/>
      <c r="AC2303" s="314"/>
      <c r="AD2303" s="314"/>
      <c r="AE2303" s="314"/>
      <c r="AF2303" s="314"/>
    </row>
    <row r="2304" spans="5:32" x14ac:dyDescent="0.35">
      <c r="E2304" s="314"/>
      <c r="F2304" s="314"/>
      <c r="G2304" s="314"/>
      <c r="H2304" s="314"/>
      <c r="I2304" s="314"/>
      <c r="J2304" s="314"/>
      <c r="K2304" s="314"/>
      <c r="L2304" s="314"/>
      <c r="M2304" s="314"/>
      <c r="N2304" s="314"/>
      <c r="O2304" s="314"/>
      <c r="P2304" s="314"/>
      <c r="Q2304" s="314"/>
      <c r="R2304" s="314"/>
      <c r="S2304" s="314"/>
      <c r="T2304" s="314"/>
      <c r="U2304" s="314"/>
      <c r="V2304" s="314"/>
      <c r="W2304" s="314"/>
      <c r="X2304" s="314"/>
      <c r="Y2304" s="314"/>
      <c r="Z2304" s="314"/>
      <c r="AA2304" s="314"/>
      <c r="AB2304" s="314"/>
      <c r="AC2304" s="314"/>
      <c r="AD2304" s="314"/>
      <c r="AE2304" s="314"/>
      <c r="AF2304" s="314"/>
    </row>
    <row r="2305" spans="5:32" x14ac:dyDescent="0.35">
      <c r="E2305" s="314"/>
      <c r="F2305" s="314"/>
      <c r="G2305" s="314"/>
      <c r="H2305" s="314"/>
      <c r="I2305" s="314"/>
      <c r="J2305" s="314"/>
      <c r="K2305" s="314"/>
      <c r="L2305" s="314"/>
      <c r="M2305" s="314"/>
      <c r="N2305" s="314"/>
      <c r="O2305" s="314"/>
      <c r="P2305" s="314"/>
      <c r="Q2305" s="314"/>
      <c r="R2305" s="314"/>
      <c r="S2305" s="314"/>
      <c r="T2305" s="314"/>
      <c r="U2305" s="314"/>
      <c r="V2305" s="314"/>
      <c r="W2305" s="314"/>
      <c r="X2305" s="314"/>
      <c r="Y2305" s="314"/>
      <c r="Z2305" s="314"/>
      <c r="AA2305" s="314"/>
      <c r="AB2305" s="314"/>
      <c r="AC2305" s="314"/>
      <c r="AD2305" s="314"/>
      <c r="AE2305" s="314"/>
      <c r="AF2305" s="314"/>
    </row>
    <row r="2306" spans="5:32" x14ac:dyDescent="0.35">
      <c r="E2306" s="314"/>
      <c r="F2306" s="314"/>
      <c r="G2306" s="314"/>
      <c r="H2306" s="314"/>
      <c r="I2306" s="314"/>
      <c r="J2306" s="314"/>
      <c r="K2306" s="314"/>
      <c r="L2306" s="314"/>
      <c r="M2306" s="314"/>
      <c r="N2306" s="314"/>
      <c r="O2306" s="314"/>
      <c r="P2306" s="314"/>
      <c r="Q2306" s="314"/>
      <c r="R2306" s="314"/>
      <c r="S2306" s="314"/>
      <c r="T2306" s="314"/>
      <c r="U2306" s="314"/>
      <c r="V2306" s="314"/>
      <c r="W2306" s="314"/>
      <c r="X2306" s="314"/>
      <c r="Y2306" s="314"/>
      <c r="Z2306" s="314"/>
      <c r="AA2306" s="314"/>
      <c r="AB2306" s="314"/>
      <c r="AC2306" s="314"/>
      <c r="AD2306" s="314"/>
      <c r="AE2306" s="314"/>
      <c r="AF2306" s="314"/>
    </row>
    <row r="2307" spans="5:32" x14ac:dyDescent="0.35">
      <c r="E2307" s="314"/>
      <c r="F2307" s="314"/>
      <c r="G2307" s="314"/>
      <c r="H2307" s="314"/>
      <c r="I2307" s="314"/>
      <c r="J2307" s="314"/>
      <c r="K2307" s="314"/>
      <c r="L2307" s="314"/>
      <c r="M2307" s="314"/>
      <c r="N2307" s="314"/>
      <c r="O2307" s="314"/>
      <c r="P2307" s="314"/>
      <c r="Q2307" s="314"/>
      <c r="R2307" s="314"/>
      <c r="S2307" s="314"/>
      <c r="T2307" s="314"/>
      <c r="U2307" s="314"/>
      <c r="V2307" s="314"/>
      <c r="W2307" s="314"/>
      <c r="X2307" s="314"/>
      <c r="Y2307" s="314"/>
      <c r="Z2307" s="314"/>
      <c r="AA2307" s="314"/>
      <c r="AB2307" s="314"/>
      <c r="AC2307" s="314"/>
      <c r="AD2307" s="314"/>
      <c r="AE2307" s="314"/>
      <c r="AF2307" s="314"/>
    </row>
    <row r="2308" spans="5:32" x14ac:dyDescent="0.35">
      <c r="E2308" s="314"/>
      <c r="F2308" s="314"/>
      <c r="G2308" s="314"/>
      <c r="H2308" s="314"/>
      <c r="I2308" s="314"/>
      <c r="J2308" s="314"/>
      <c r="K2308" s="314"/>
      <c r="L2308" s="314"/>
      <c r="M2308" s="314"/>
      <c r="N2308" s="314"/>
      <c r="O2308" s="314"/>
      <c r="P2308" s="314"/>
      <c r="Q2308" s="314"/>
      <c r="R2308" s="314"/>
      <c r="S2308" s="314"/>
      <c r="T2308" s="314"/>
      <c r="U2308" s="314"/>
      <c r="V2308" s="314"/>
      <c r="W2308" s="314"/>
      <c r="X2308" s="314"/>
      <c r="Y2308" s="314"/>
      <c r="Z2308" s="314"/>
      <c r="AA2308" s="314"/>
      <c r="AB2308" s="314"/>
      <c r="AC2308" s="314"/>
      <c r="AD2308" s="314"/>
      <c r="AE2308" s="314"/>
      <c r="AF2308" s="314"/>
    </row>
    <row r="2309" spans="5:32" x14ac:dyDescent="0.35">
      <c r="E2309" s="314"/>
      <c r="F2309" s="314"/>
      <c r="G2309" s="314"/>
      <c r="H2309" s="314"/>
      <c r="I2309" s="314"/>
      <c r="J2309" s="314"/>
      <c r="K2309" s="314"/>
      <c r="L2309" s="314"/>
      <c r="M2309" s="314"/>
      <c r="N2309" s="314"/>
      <c r="O2309" s="314"/>
      <c r="P2309" s="314"/>
      <c r="Q2309" s="314"/>
      <c r="R2309" s="314"/>
      <c r="S2309" s="314"/>
      <c r="T2309" s="314"/>
      <c r="U2309" s="314"/>
      <c r="V2309" s="314"/>
      <c r="W2309" s="314"/>
      <c r="X2309" s="314"/>
      <c r="Y2309" s="314"/>
      <c r="Z2309" s="314"/>
      <c r="AA2309" s="314"/>
      <c r="AB2309" s="314"/>
      <c r="AC2309" s="314"/>
      <c r="AD2309" s="314"/>
      <c r="AE2309" s="314"/>
      <c r="AF2309" s="314"/>
    </row>
    <row r="2310" spans="5:32" x14ac:dyDescent="0.35">
      <c r="E2310" s="314"/>
      <c r="F2310" s="314"/>
      <c r="G2310" s="314"/>
      <c r="H2310" s="314"/>
      <c r="I2310" s="314"/>
      <c r="J2310" s="314"/>
      <c r="K2310" s="314"/>
      <c r="L2310" s="314"/>
      <c r="M2310" s="314"/>
      <c r="N2310" s="314"/>
      <c r="O2310" s="314"/>
      <c r="P2310" s="314"/>
      <c r="Q2310" s="314"/>
      <c r="R2310" s="314"/>
      <c r="S2310" s="314"/>
      <c r="T2310" s="314"/>
      <c r="U2310" s="314"/>
      <c r="V2310" s="314"/>
      <c r="W2310" s="314"/>
      <c r="X2310" s="314"/>
      <c r="Y2310" s="314"/>
      <c r="Z2310" s="314"/>
      <c r="AA2310" s="314"/>
      <c r="AB2310" s="314"/>
      <c r="AC2310" s="314"/>
      <c r="AD2310" s="314"/>
      <c r="AE2310" s="314"/>
      <c r="AF2310" s="314"/>
    </row>
    <row r="2311" spans="5:32" x14ac:dyDescent="0.35">
      <c r="E2311" s="314"/>
      <c r="F2311" s="314"/>
      <c r="G2311" s="314"/>
      <c r="H2311" s="314"/>
      <c r="I2311" s="314"/>
      <c r="J2311" s="314"/>
      <c r="K2311" s="314"/>
      <c r="L2311" s="314"/>
      <c r="M2311" s="314"/>
      <c r="N2311" s="314"/>
      <c r="O2311" s="314"/>
      <c r="P2311" s="314"/>
      <c r="Q2311" s="314"/>
      <c r="R2311" s="314"/>
      <c r="S2311" s="314"/>
      <c r="T2311" s="314"/>
      <c r="U2311" s="314"/>
      <c r="V2311" s="314"/>
      <c r="W2311" s="314"/>
      <c r="X2311" s="314"/>
      <c r="Y2311" s="314"/>
      <c r="Z2311" s="314"/>
      <c r="AA2311" s="314"/>
      <c r="AB2311" s="314"/>
      <c r="AC2311" s="314"/>
      <c r="AD2311" s="314"/>
      <c r="AE2311" s="314"/>
      <c r="AF2311" s="314"/>
    </row>
    <row r="2312" spans="5:32" x14ac:dyDescent="0.35">
      <c r="E2312" s="314"/>
      <c r="F2312" s="314"/>
      <c r="G2312" s="314"/>
      <c r="H2312" s="314"/>
      <c r="I2312" s="314"/>
      <c r="J2312" s="314"/>
      <c r="K2312" s="314"/>
      <c r="L2312" s="314"/>
      <c r="M2312" s="314"/>
      <c r="N2312" s="314"/>
      <c r="O2312" s="314"/>
      <c r="P2312" s="314"/>
      <c r="Q2312" s="314"/>
      <c r="R2312" s="314"/>
      <c r="S2312" s="314"/>
      <c r="T2312" s="314"/>
      <c r="U2312" s="314"/>
      <c r="V2312" s="314"/>
      <c r="W2312" s="314"/>
      <c r="X2312" s="314"/>
      <c r="Y2312" s="314"/>
      <c r="Z2312" s="314"/>
      <c r="AA2312" s="314"/>
      <c r="AB2312" s="314"/>
      <c r="AC2312" s="314"/>
      <c r="AD2312" s="314"/>
      <c r="AE2312" s="314"/>
      <c r="AF2312" s="314"/>
    </row>
    <row r="2313" spans="5:32" x14ac:dyDescent="0.35">
      <c r="E2313" s="314"/>
      <c r="F2313" s="314"/>
      <c r="G2313" s="314"/>
      <c r="H2313" s="314"/>
      <c r="I2313" s="314"/>
      <c r="J2313" s="314"/>
      <c r="K2313" s="314"/>
      <c r="L2313" s="314"/>
      <c r="M2313" s="314"/>
      <c r="N2313" s="314"/>
      <c r="O2313" s="314"/>
      <c r="P2313" s="314"/>
      <c r="Q2313" s="314"/>
      <c r="R2313" s="314"/>
      <c r="S2313" s="314"/>
      <c r="T2313" s="314"/>
      <c r="U2313" s="314"/>
      <c r="V2313" s="314"/>
      <c r="W2313" s="314"/>
      <c r="X2313" s="314"/>
      <c r="Y2313" s="314"/>
      <c r="Z2313" s="314"/>
      <c r="AA2313" s="314"/>
      <c r="AB2313" s="314"/>
      <c r="AC2313" s="314"/>
      <c r="AD2313" s="314"/>
      <c r="AE2313" s="314"/>
      <c r="AF2313" s="314"/>
    </row>
    <row r="2314" spans="5:32" x14ac:dyDescent="0.35">
      <c r="E2314" s="314"/>
      <c r="F2314" s="314"/>
      <c r="G2314" s="314"/>
      <c r="H2314" s="314"/>
      <c r="I2314" s="314"/>
      <c r="J2314" s="314"/>
      <c r="K2314" s="314"/>
      <c r="L2314" s="314"/>
      <c r="M2314" s="314"/>
      <c r="N2314" s="314"/>
      <c r="O2314" s="314"/>
      <c r="P2314" s="314"/>
      <c r="Q2314" s="314"/>
      <c r="R2314" s="314"/>
      <c r="S2314" s="314"/>
      <c r="T2314" s="314"/>
      <c r="U2314" s="314"/>
      <c r="V2314" s="314"/>
      <c r="W2314" s="314"/>
      <c r="X2314" s="314"/>
      <c r="Y2314" s="314"/>
      <c r="Z2314" s="314"/>
      <c r="AA2314" s="314"/>
      <c r="AB2314" s="314"/>
      <c r="AC2314" s="314"/>
      <c r="AD2314" s="314"/>
      <c r="AE2314" s="314"/>
      <c r="AF2314" s="314"/>
    </row>
    <row r="2315" spans="5:32" x14ac:dyDescent="0.35">
      <c r="E2315" s="314"/>
      <c r="F2315" s="314"/>
      <c r="G2315" s="314"/>
      <c r="H2315" s="314"/>
      <c r="I2315" s="314"/>
      <c r="J2315" s="314"/>
      <c r="K2315" s="314"/>
      <c r="L2315" s="314"/>
      <c r="M2315" s="314"/>
      <c r="N2315" s="314"/>
      <c r="O2315" s="314"/>
      <c r="P2315" s="314"/>
      <c r="Q2315" s="314"/>
      <c r="R2315" s="314"/>
      <c r="S2315" s="314"/>
      <c r="T2315" s="314"/>
      <c r="U2315" s="314"/>
      <c r="V2315" s="314"/>
      <c r="W2315" s="314"/>
      <c r="X2315" s="314"/>
      <c r="Y2315" s="314"/>
      <c r="Z2315" s="314"/>
      <c r="AA2315" s="314"/>
      <c r="AB2315" s="314"/>
      <c r="AC2315" s="314"/>
      <c r="AD2315" s="314"/>
      <c r="AE2315" s="314"/>
      <c r="AF2315" s="314"/>
    </row>
    <row r="2316" spans="5:32" x14ac:dyDescent="0.35">
      <c r="E2316" s="314"/>
      <c r="F2316" s="314"/>
      <c r="G2316" s="314"/>
      <c r="H2316" s="314"/>
      <c r="I2316" s="314"/>
      <c r="J2316" s="314"/>
      <c r="K2316" s="314"/>
      <c r="L2316" s="314"/>
      <c r="M2316" s="314"/>
      <c r="N2316" s="314"/>
      <c r="O2316" s="314"/>
      <c r="P2316" s="314"/>
      <c r="Q2316" s="314"/>
      <c r="R2316" s="314"/>
      <c r="S2316" s="314"/>
      <c r="T2316" s="314"/>
      <c r="U2316" s="314"/>
      <c r="V2316" s="314"/>
      <c r="W2316" s="314"/>
      <c r="X2316" s="314"/>
      <c r="Y2316" s="314"/>
      <c r="Z2316" s="314"/>
      <c r="AA2316" s="314"/>
      <c r="AB2316" s="314"/>
      <c r="AC2316" s="314"/>
      <c r="AD2316" s="314"/>
      <c r="AE2316" s="314"/>
      <c r="AF2316" s="314"/>
    </row>
    <row r="2317" spans="5:32" x14ac:dyDescent="0.35">
      <c r="E2317" s="314"/>
      <c r="F2317" s="314"/>
      <c r="G2317" s="314"/>
      <c r="H2317" s="314"/>
      <c r="I2317" s="314"/>
      <c r="J2317" s="314"/>
      <c r="K2317" s="314"/>
      <c r="L2317" s="314"/>
      <c r="M2317" s="314"/>
      <c r="N2317" s="314"/>
      <c r="O2317" s="314"/>
      <c r="P2317" s="314"/>
      <c r="Q2317" s="314"/>
      <c r="R2317" s="314"/>
      <c r="S2317" s="314"/>
      <c r="T2317" s="314"/>
      <c r="U2317" s="314"/>
      <c r="V2317" s="314"/>
      <c r="W2317" s="314"/>
      <c r="X2317" s="314"/>
      <c r="Y2317" s="314"/>
      <c r="Z2317" s="314"/>
      <c r="AA2317" s="314"/>
      <c r="AB2317" s="314"/>
      <c r="AC2317" s="314"/>
      <c r="AD2317" s="314"/>
      <c r="AE2317" s="314"/>
      <c r="AF2317" s="314"/>
    </row>
    <row r="2318" spans="5:32" x14ac:dyDescent="0.35">
      <c r="E2318" s="314"/>
      <c r="F2318" s="314"/>
      <c r="G2318" s="314"/>
      <c r="H2318" s="314"/>
      <c r="I2318" s="314"/>
      <c r="J2318" s="314"/>
      <c r="K2318" s="314"/>
      <c r="L2318" s="314"/>
      <c r="M2318" s="314"/>
      <c r="N2318" s="314"/>
      <c r="O2318" s="314"/>
      <c r="P2318" s="314"/>
      <c r="Q2318" s="314"/>
      <c r="R2318" s="314"/>
      <c r="S2318" s="314"/>
      <c r="T2318" s="314"/>
      <c r="U2318" s="314"/>
      <c r="V2318" s="314"/>
      <c r="W2318" s="314"/>
      <c r="X2318" s="314"/>
      <c r="Y2318" s="314"/>
      <c r="Z2318" s="314"/>
      <c r="AA2318" s="314"/>
      <c r="AB2318" s="314"/>
      <c r="AC2318" s="314"/>
      <c r="AD2318" s="314"/>
      <c r="AE2318" s="314"/>
      <c r="AF2318" s="314"/>
    </row>
    <row r="2319" spans="5:32" x14ac:dyDescent="0.35">
      <c r="E2319" s="314"/>
      <c r="F2319" s="314"/>
      <c r="G2319" s="314"/>
      <c r="H2319" s="314"/>
      <c r="I2319" s="314"/>
      <c r="J2319" s="314"/>
      <c r="K2319" s="314"/>
      <c r="L2319" s="314"/>
      <c r="M2319" s="314"/>
      <c r="N2319" s="314"/>
      <c r="O2319" s="314"/>
      <c r="P2319" s="314"/>
      <c r="Q2319" s="314"/>
      <c r="R2319" s="314"/>
      <c r="S2319" s="314"/>
      <c r="T2319" s="314"/>
      <c r="U2319" s="314"/>
      <c r="V2319" s="314"/>
      <c r="W2319" s="314"/>
      <c r="X2319" s="314"/>
      <c r="Y2319" s="314"/>
      <c r="Z2319" s="314"/>
      <c r="AA2319" s="314"/>
      <c r="AB2319" s="314"/>
      <c r="AC2319" s="314"/>
      <c r="AD2319" s="314"/>
      <c r="AE2319" s="314"/>
      <c r="AF2319" s="314"/>
    </row>
    <row r="2320" spans="5:32" x14ac:dyDescent="0.35">
      <c r="E2320" s="314"/>
      <c r="F2320" s="314"/>
      <c r="G2320" s="314"/>
      <c r="H2320" s="314"/>
      <c r="I2320" s="314"/>
      <c r="J2320" s="314"/>
      <c r="K2320" s="314"/>
      <c r="L2320" s="314"/>
      <c r="M2320" s="314"/>
      <c r="N2320" s="314"/>
      <c r="O2320" s="314"/>
      <c r="P2320" s="314"/>
      <c r="Q2320" s="314"/>
      <c r="R2320" s="314"/>
      <c r="S2320" s="314"/>
      <c r="T2320" s="314"/>
      <c r="U2320" s="314"/>
      <c r="V2320" s="314"/>
      <c r="W2320" s="314"/>
      <c r="X2320" s="314"/>
      <c r="Y2320" s="314"/>
      <c r="Z2320" s="314"/>
      <c r="AA2320" s="314"/>
      <c r="AB2320" s="314"/>
      <c r="AC2320" s="314"/>
      <c r="AD2320" s="314"/>
      <c r="AE2320" s="314"/>
      <c r="AF2320" s="314"/>
    </row>
    <row r="2321" spans="5:32" x14ac:dyDescent="0.35">
      <c r="E2321" s="314"/>
      <c r="F2321" s="314"/>
      <c r="G2321" s="314"/>
      <c r="H2321" s="314"/>
      <c r="I2321" s="314"/>
      <c r="J2321" s="314"/>
      <c r="K2321" s="314"/>
      <c r="L2321" s="314"/>
      <c r="M2321" s="314"/>
      <c r="N2321" s="314"/>
      <c r="O2321" s="314"/>
      <c r="P2321" s="314"/>
      <c r="Q2321" s="314"/>
      <c r="R2321" s="314"/>
      <c r="S2321" s="314"/>
      <c r="T2321" s="314"/>
      <c r="U2321" s="314"/>
      <c r="V2321" s="314"/>
      <c r="W2321" s="314"/>
      <c r="X2321" s="314"/>
      <c r="Y2321" s="314"/>
      <c r="Z2321" s="314"/>
      <c r="AA2321" s="314"/>
      <c r="AB2321" s="314"/>
      <c r="AC2321" s="314"/>
      <c r="AD2321" s="314"/>
      <c r="AE2321" s="314"/>
      <c r="AF2321" s="314"/>
    </row>
    <row r="2322" spans="5:32" x14ac:dyDescent="0.35">
      <c r="E2322" s="314"/>
      <c r="F2322" s="314"/>
      <c r="G2322" s="314"/>
      <c r="H2322" s="314"/>
      <c r="I2322" s="314"/>
      <c r="J2322" s="314"/>
      <c r="K2322" s="314"/>
      <c r="L2322" s="314"/>
      <c r="M2322" s="314"/>
      <c r="N2322" s="314"/>
      <c r="O2322" s="314"/>
      <c r="P2322" s="314"/>
      <c r="Q2322" s="314"/>
      <c r="R2322" s="314"/>
      <c r="S2322" s="314"/>
      <c r="T2322" s="314"/>
      <c r="U2322" s="314"/>
      <c r="V2322" s="314"/>
      <c r="W2322" s="314"/>
      <c r="X2322" s="314"/>
      <c r="Y2322" s="314"/>
      <c r="Z2322" s="314"/>
      <c r="AA2322" s="314"/>
      <c r="AB2322" s="314"/>
      <c r="AC2322" s="314"/>
      <c r="AD2322" s="314"/>
      <c r="AE2322" s="314"/>
      <c r="AF2322" s="314"/>
    </row>
    <row r="2323" spans="5:32" x14ac:dyDescent="0.35">
      <c r="E2323" s="314"/>
      <c r="F2323" s="314"/>
      <c r="G2323" s="314"/>
      <c r="H2323" s="314"/>
      <c r="I2323" s="314"/>
      <c r="J2323" s="314"/>
      <c r="K2323" s="314"/>
      <c r="L2323" s="314"/>
      <c r="M2323" s="314"/>
      <c r="N2323" s="314"/>
      <c r="O2323" s="314"/>
      <c r="P2323" s="314"/>
      <c r="Q2323" s="314"/>
      <c r="R2323" s="314"/>
      <c r="S2323" s="314"/>
      <c r="T2323" s="314"/>
      <c r="U2323" s="314"/>
      <c r="V2323" s="314"/>
      <c r="W2323" s="314"/>
      <c r="X2323" s="314"/>
      <c r="Y2323" s="314"/>
      <c r="Z2323" s="314"/>
      <c r="AA2323" s="314"/>
      <c r="AB2323" s="314"/>
      <c r="AC2323" s="314"/>
      <c r="AD2323" s="314"/>
      <c r="AE2323" s="314"/>
      <c r="AF2323" s="314"/>
    </row>
    <row r="2324" spans="5:32" x14ac:dyDescent="0.35">
      <c r="E2324" s="314"/>
      <c r="F2324" s="314"/>
      <c r="G2324" s="314"/>
      <c r="H2324" s="314"/>
      <c r="I2324" s="314"/>
      <c r="J2324" s="314"/>
      <c r="K2324" s="314"/>
      <c r="L2324" s="314"/>
      <c r="M2324" s="314"/>
      <c r="N2324" s="314"/>
      <c r="O2324" s="314"/>
      <c r="P2324" s="314"/>
      <c r="Q2324" s="314"/>
      <c r="R2324" s="314"/>
      <c r="S2324" s="314"/>
      <c r="T2324" s="314"/>
      <c r="U2324" s="314"/>
      <c r="V2324" s="314"/>
      <c r="W2324" s="314"/>
      <c r="X2324" s="314"/>
      <c r="Y2324" s="314"/>
      <c r="Z2324" s="314"/>
      <c r="AA2324" s="314"/>
      <c r="AB2324" s="314"/>
      <c r="AC2324" s="314"/>
      <c r="AD2324" s="314"/>
      <c r="AE2324" s="314"/>
      <c r="AF2324" s="314"/>
    </row>
    <row r="2325" spans="5:32" x14ac:dyDescent="0.35">
      <c r="E2325" s="314"/>
      <c r="F2325" s="314"/>
      <c r="G2325" s="314"/>
      <c r="H2325" s="314"/>
      <c r="I2325" s="314"/>
      <c r="J2325" s="314"/>
      <c r="K2325" s="314"/>
      <c r="L2325" s="314"/>
      <c r="M2325" s="314"/>
      <c r="N2325" s="314"/>
      <c r="O2325" s="314"/>
      <c r="P2325" s="314"/>
      <c r="Q2325" s="314"/>
      <c r="R2325" s="314"/>
      <c r="S2325" s="314"/>
      <c r="T2325" s="314"/>
      <c r="U2325" s="314"/>
      <c r="V2325" s="314"/>
      <c r="W2325" s="314"/>
      <c r="X2325" s="314"/>
      <c r="Y2325" s="314"/>
      <c r="Z2325" s="314"/>
      <c r="AA2325" s="314"/>
      <c r="AB2325" s="314"/>
      <c r="AC2325" s="314"/>
      <c r="AD2325" s="314"/>
      <c r="AE2325" s="314"/>
      <c r="AF2325" s="314"/>
    </row>
    <row r="2326" spans="5:32" x14ac:dyDescent="0.35">
      <c r="E2326" s="314"/>
      <c r="F2326" s="314"/>
      <c r="G2326" s="314"/>
      <c r="H2326" s="314"/>
      <c r="I2326" s="314"/>
      <c r="J2326" s="314"/>
      <c r="K2326" s="314"/>
      <c r="L2326" s="314"/>
      <c r="M2326" s="314"/>
      <c r="N2326" s="314"/>
      <c r="O2326" s="314"/>
      <c r="P2326" s="314"/>
      <c r="Q2326" s="314"/>
      <c r="R2326" s="314"/>
      <c r="S2326" s="314"/>
      <c r="T2326" s="314"/>
      <c r="U2326" s="314"/>
      <c r="V2326" s="314"/>
      <c r="W2326" s="314"/>
      <c r="X2326" s="314"/>
      <c r="Y2326" s="314"/>
      <c r="Z2326" s="314"/>
      <c r="AA2326" s="314"/>
      <c r="AB2326" s="314"/>
      <c r="AC2326" s="314"/>
      <c r="AD2326" s="314"/>
      <c r="AE2326" s="314"/>
      <c r="AF2326" s="314"/>
    </row>
    <row r="2327" spans="5:32" x14ac:dyDescent="0.35">
      <c r="E2327" s="314"/>
      <c r="F2327" s="314"/>
      <c r="G2327" s="314"/>
      <c r="H2327" s="314"/>
      <c r="I2327" s="314"/>
      <c r="J2327" s="314"/>
      <c r="K2327" s="314"/>
      <c r="L2327" s="314"/>
      <c r="M2327" s="314"/>
      <c r="N2327" s="314"/>
      <c r="O2327" s="314"/>
      <c r="P2327" s="314"/>
      <c r="Q2327" s="314"/>
      <c r="R2327" s="314"/>
      <c r="S2327" s="314"/>
      <c r="T2327" s="314"/>
      <c r="U2327" s="314"/>
      <c r="V2327" s="314"/>
      <c r="W2327" s="314"/>
      <c r="X2327" s="314"/>
      <c r="Y2327" s="314"/>
      <c r="Z2327" s="314"/>
      <c r="AA2327" s="314"/>
      <c r="AB2327" s="314"/>
      <c r="AC2327" s="314"/>
      <c r="AD2327" s="314"/>
      <c r="AE2327" s="314"/>
      <c r="AF2327" s="314"/>
    </row>
    <row r="2328" spans="5:32" x14ac:dyDescent="0.35">
      <c r="E2328" s="314"/>
      <c r="F2328" s="314"/>
      <c r="G2328" s="314"/>
      <c r="H2328" s="314"/>
      <c r="I2328" s="314"/>
      <c r="J2328" s="314"/>
      <c r="K2328" s="314"/>
      <c r="L2328" s="314"/>
      <c r="M2328" s="314"/>
      <c r="N2328" s="314"/>
      <c r="O2328" s="314"/>
      <c r="P2328" s="314"/>
      <c r="Q2328" s="314"/>
      <c r="R2328" s="314"/>
      <c r="S2328" s="314"/>
      <c r="T2328" s="314"/>
      <c r="U2328" s="314"/>
      <c r="V2328" s="314"/>
      <c r="W2328" s="314"/>
      <c r="X2328" s="314"/>
      <c r="Y2328" s="314"/>
      <c r="Z2328" s="314"/>
      <c r="AA2328" s="314"/>
      <c r="AB2328" s="314"/>
      <c r="AC2328" s="314"/>
      <c r="AD2328" s="314"/>
      <c r="AE2328" s="314"/>
      <c r="AF2328" s="314"/>
    </row>
    <row r="2329" spans="5:32" x14ac:dyDescent="0.35">
      <c r="E2329" s="314"/>
      <c r="F2329" s="314"/>
      <c r="G2329" s="314"/>
      <c r="H2329" s="314"/>
      <c r="I2329" s="314"/>
      <c r="J2329" s="314"/>
      <c r="K2329" s="314"/>
      <c r="L2329" s="314"/>
      <c r="M2329" s="314"/>
      <c r="N2329" s="314"/>
      <c r="O2329" s="314"/>
      <c r="P2329" s="314"/>
      <c r="Q2329" s="314"/>
      <c r="R2329" s="314"/>
      <c r="S2329" s="314"/>
      <c r="T2329" s="314"/>
      <c r="U2329" s="314"/>
      <c r="V2329" s="314"/>
      <c r="W2329" s="314"/>
      <c r="X2329" s="314"/>
      <c r="Y2329" s="314"/>
      <c r="Z2329" s="314"/>
      <c r="AA2329" s="314"/>
      <c r="AB2329" s="314"/>
      <c r="AC2329" s="314"/>
      <c r="AD2329" s="314"/>
      <c r="AE2329" s="314"/>
      <c r="AF2329" s="314"/>
    </row>
    <row r="2330" spans="5:32" x14ac:dyDescent="0.35">
      <c r="E2330" s="314"/>
      <c r="F2330" s="314"/>
      <c r="G2330" s="314"/>
      <c r="H2330" s="314"/>
      <c r="I2330" s="314"/>
      <c r="J2330" s="314"/>
      <c r="K2330" s="314"/>
      <c r="L2330" s="314"/>
      <c r="M2330" s="314"/>
      <c r="N2330" s="314"/>
      <c r="O2330" s="314"/>
      <c r="P2330" s="314"/>
      <c r="Q2330" s="314"/>
      <c r="R2330" s="314"/>
      <c r="S2330" s="314"/>
      <c r="T2330" s="314"/>
      <c r="U2330" s="314"/>
      <c r="V2330" s="314"/>
      <c r="W2330" s="314"/>
      <c r="X2330" s="314"/>
      <c r="Y2330" s="314"/>
      <c r="Z2330" s="314"/>
      <c r="AA2330" s="314"/>
      <c r="AB2330" s="314"/>
      <c r="AC2330" s="314"/>
      <c r="AD2330" s="314"/>
      <c r="AE2330" s="314"/>
      <c r="AF2330" s="314"/>
    </row>
    <row r="2331" spans="5:32" x14ac:dyDescent="0.35">
      <c r="E2331" s="314"/>
      <c r="F2331" s="314"/>
      <c r="G2331" s="314"/>
      <c r="H2331" s="314"/>
      <c r="I2331" s="314"/>
      <c r="J2331" s="314"/>
      <c r="K2331" s="314"/>
      <c r="L2331" s="314"/>
      <c r="M2331" s="314"/>
      <c r="N2331" s="314"/>
      <c r="O2331" s="314"/>
      <c r="P2331" s="314"/>
      <c r="Q2331" s="314"/>
      <c r="R2331" s="314"/>
      <c r="S2331" s="314"/>
      <c r="T2331" s="314"/>
      <c r="U2331" s="314"/>
      <c r="V2331" s="314"/>
      <c r="W2331" s="314"/>
      <c r="X2331" s="314"/>
      <c r="Y2331" s="314"/>
      <c r="Z2331" s="314"/>
      <c r="AA2331" s="314"/>
      <c r="AB2331" s="314"/>
      <c r="AC2331" s="314"/>
      <c r="AD2331" s="314"/>
      <c r="AE2331" s="314"/>
      <c r="AF2331" s="314"/>
    </row>
    <row r="2332" spans="5:32" x14ac:dyDescent="0.35">
      <c r="E2332" s="314"/>
      <c r="F2332" s="314"/>
      <c r="G2332" s="314"/>
      <c r="H2332" s="314"/>
      <c r="I2332" s="314"/>
      <c r="J2332" s="314"/>
      <c r="K2332" s="314"/>
      <c r="L2332" s="314"/>
      <c r="M2332" s="314"/>
      <c r="N2332" s="314"/>
      <c r="O2332" s="314"/>
      <c r="P2332" s="314"/>
      <c r="Q2332" s="314"/>
      <c r="R2332" s="314"/>
      <c r="S2332" s="314"/>
      <c r="T2332" s="314"/>
      <c r="U2332" s="314"/>
      <c r="V2332" s="314"/>
      <c r="W2332" s="314"/>
      <c r="X2332" s="314"/>
      <c r="Y2332" s="314"/>
      <c r="Z2332" s="314"/>
      <c r="AA2332" s="314"/>
      <c r="AB2332" s="314"/>
      <c r="AC2332" s="314"/>
      <c r="AD2332" s="314"/>
      <c r="AE2332" s="314"/>
      <c r="AF2332" s="314"/>
    </row>
    <row r="2333" spans="5:32" x14ac:dyDescent="0.35">
      <c r="E2333" s="314"/>
      <c r="F2333" s="314"/>
      <c r="G2333" s="314"/>
      <c r="H2333" s="314"/>
      <c r="I2333" s="314"/>
      <c r="J2333" s="314"/>
      <c r="K2333" s="314"/>
      <c r="L2333" s="314"/>
      <c r="M2333" s="314"/>
      <c r="N2333" s="314"/>
      <c r="O2333" s="314"/>
      <c r="P2333" s="314"/>
      <c r="Q2333" s="314"/>
      <c r="R2333" s="314"/>
      <c r="S2333" s="314"/>
      <c r="T2333" s="314"/>
      <c r="U2333" s="314"/>
      <c r="V2333" s="314"/>
      <c r="W2333" s="314"/>
      <c r="X2333" s="314"/>
      <c r="Y2333" s="314"/>
      <c r="Z2333" s="314"/>
      <c r="AA2333" s="314"/>
      <c r="AB2333" s="314"/>
      <c r="AC2333" s="314"/>
      <c r="AD2333" s="314"/>
      <c r="AE2333" s="314"/>
      <c r="AF2333" s="314"/>
    </row>
    <row r="2334" spans="5:32" x14ac:dyDescent="0.35">
      <c r="E2334" s="314"/>
      <c r="F2334" s="314"/>
      <c r="G2334" s="314"/>
      <c r="H2334" s="314"/>
      <c r="I2334" s="314"/>
      <c r="J2334" s="314"/>
      <c r="K2334" s="314"/>
      <c r="L2334" s="314"/>
      <c r="M2334" s="314"/>
      <c r="N2334" s="314"/>
      <c r="O2334" s="314"/>
      <c r="P2334" s="314"/>
      <c r="Q2334" s="314"/>
      <c r="R2334" s="314"/>
      <c r="S2334" s="314"/>
      <c r="T2334" s="314"/>
      <c r="U2334" s="314"/>
      <c r="V2334" s="314"/>
      <c r="W2334" s="314"/>
      <c r="X2334" s="314"/>
      <c r="Y2334" s="314"/>
      <c r="Z2334" s="314"/>
      <c r="AA2334" s="314"/>
      <c r="AB2334" s="314"/>
      <c r="AC2334" s="314"/>
      <c r="AD2334" s="314"/>
      <c r="AE2334" s="314"/>
      <c r="AF2334" s="314"/>
    </row>
    <row r="2335" spans="5:32" x14ac:dyDescent="0.35">
      <c r="E2335" s="314"/>
      <c r="F2335" s="314"/>
      <c r="G2335" s="314"/>
      <c r="H2335" s="314"/>
      <c r="I2335" s="314"/>
      <c r="J2335" s="314"/>
      <c r="K2335" s="314"/>
      <c r="L2335" s="314"/>
      <c r="M2335" s="314"/>
      <c r="N2335" s="314"/>
      <c r="O2335" s="314"/>
      <c r="P2335" s="314"/>
      <c r="Q2335" s="314"/>
      <c r="R2335" s="314"/>
      <c r="S2335" s="314"/>
      <c r="T2335" s="314"/>
      <c r="U2335" s="314"/>
      <c r="V2335" s="314"/>
      <c r="W2335" s="314"/>
      <c r="X2335" s="314"/>
      <c r="Y2335" s="314"/>
      <c r="Z2335" s="314"/>
      <c r="AA2335" s="314"/>
      <c r="AB2335" s="314"/>
      <c r="AC2335" s="314"/>
      <c r="AD2335" s="314"/>
      <c r="AE2335" s="314"/>
      <c r="AF2335" s="314"/>
    </row>
    <row r="2336" spans="5:32" x14ac:dyDescent="0.35">
      <c r="E2336" s="314"/>
      <c r="F2336" s="314"/>
      <c r="G2336" s="314"/>
      <c r="H2336" s="314"/>
      <c r="I2336" s="314"/>
      <c r="J2336" s="314"/>
      <c r="K2336" s="314"/>
      <c r="L2336" s="314"/>
      <c r="M2336" s="314"/>
      <c r="N2336" s="314"/>
      <c r="O2336" s="314"/>
      <c r="P2336" s="314"/>
      <c r="Q2336" s="314"/>
      <c r="R2336" s="314"/>
      <c r="S2336" s="314"/>
      <c r="T2336" s="314"/>
      <c r="U2336" s="314"/>
      <c r="V2336" s="314"/>
      <c r="W2336" s="314"/>
      <c r="X2336" s="314"/>
      <c r="Y2336" s="314"/>
      <c r="Z2336" s="314"/>
      <c r="AA2336" s="314"/>
      <c r="AB2336" s="314"/>
      <c r="AC2336" s="314"/>
      <c r="AD2336" s="314"/>
      <c r="AE2336" s="314"/>
      <c r="AF2336" s="314"/>
    </row>
    <row r="2337" spans="5:32" x14ac:dyDescent="0.35">
      <c r="E2337" s="314"/>
      <c r="F2337" s="314"/>
      <c r="G2337" s="314"/>
      <c r="H2337" s="314"/>
      <c r="I2337" s="314"/>
      <c r="J2337" s="314"/>
      <c r="K2337" s="314"/>
      <c r="L2337" s="314"/>
      <c r="M2337" s="314"/>
      <c r="N2337" s="314"/>
      <c r="O2337" s="314"/>
      <c r="P2337" s="314"/>
      <c r="Q2337" s="314"/>
      <c r="R2337" s="314"/>
      <c r="S2337" s="314"/>
      <c r="T2337" s="314"/>
      <c r="U2337" s="314"/>
      <c r="V2337" s="314"/>
      <c r="W2337" s="314"/>
      <c r="X2337" s="314"/>
      <c r="Y2337" s="314"/>
      <c r="Z2337" s="314"/>
      <c r="AA2337" s="314"/>
      <c r="AB2337" s="314"/>
      <c r="AC2337" s="314"/>
      <c r="AD2337" s="314"/>
      <c r="AE2337" s="314"/>
      <c r="AF2337" s="314"/>
    </row>
    <row r="2338" spans="5:32" x14ac:dyDescent="0.35">
      <c r="E2338" s="314"/>
      <c r="F2338" s="314"/>
      <c r="G2338" s="314"/>
      <c r="H2338" s="314"/>
      <c r="I2338" s="314"/>
      <c r="J2338" s="314"/>
      <c r="K2338" s="314"/>
      <c r="L2338" s="314"/>
      <c r="M2338" s="314"/>
      <c r="N2338" s="314"/>
      <c r="O2338" s="314"/>
      <c r="P2338" s="314"/>
      <c r="Q2338" s="314"/>
      <c r="R2338" s="314"/>
      <c r="S2338" s="314"/>
      <c r="T2338" s="314"/>
      <c r="U2338" s="314"/>
      <c r="V2338" s="314"/>
      <c r="W2338" s="314"/>
      <c r="X2338" s="314"/>
      <c r="Y2338" s="314"/>
      <c r="Z2338" s="314"/>
      <c r="AA2338" s="314"/>
      <c r="AB2338" s="314"/>
      <c r="AC2338" s="314"/>
      <c r="AD2338" s="314"/>
      <c r="AE2338" s="314"/>
      <c r="AF2338" s="314"/>
    </row>
    <row r="2339" spans="5:32" x14ac:dyDescent="0.35">
      <c r="E2339" s="314"/>
      <c r="F2339" s="314"/>
      <c r="G2339" s="314"/>
      <c r="H2339" s="314"/>
      <c r="I2339" s="314"/>
      <c r="J2339" s="314"/>
      <c r="K2339" s="314"/>
      <c r="L2339" s="314"/>
      <c r="M2339" s="314"/>
      <c r="N2339" s="314"/>
      <c r="O2339" s="314"/>
      <c r="P2339" s="314"/>
      <c r="Q2339" s="314"/>
      <c r="R2339" s="314"/>
      <c r="S2339" s="314"/>
      <c r="T2339" s="314"/>
      <c r="U2339" s="314"/>
      <c r="V2339" s="314"/>
      <c r="W2339" s="314"/>
      <c r="X2339" s="314"/>
      <c r="Y2339" s="314"/>
      <c r="Z2339" s="314"/>
      <c r="AA2339" s="314"/>
      <c r="AB2339" s="314"/>
      <c r="AC2339" s="314"/>
      <c r="AD2339" s="314"/>
      <c r="AE2339" s="314"/>
      <c r="AF2339" s="314"/>
    </row>
    <row r="2340" spans="5:32" x14ac:dyDescent="0.35">
      <c r="E2340" s="314"/>
      <c r="F2340" s="314"/>
      <c r="G2340" s="314"/>
      <c r="H2340" s="314"/>
      <c r="I2340" s="314"/>
      <c r="J2340" s="314"/>
      <c r="K2340" s="314"/>
      <c r="L2340" s="314"/>
      <c r="M2340" s="314"/>
      <c r="N2340" s="314"/>
      <c r="O2340" s="314"/>
      <c r="P2340" s="314"/>
      <c r="Q2340" s="314"/>
      <c r="R2340" s="314"/>
      <c r="S2340" s="314"/>
      <c r="T2340" s="314"/>
      <c r="U2340" s="314"/>
      <c r="V2340" s="314"/>
      <c r="W2340" s="314"/>
      <c r="X2340" s="314"/>
      <c r="Y2340" s="314"/>
      <c r="Z2340" s="314"/>
      <c r="AA2340" s="314"/>
      <c r="AB2340" s="314"/>
      <c r="AC2340" s="314"/>
      <c r="AD2340" s="314"/>
      <c r="AE2340" s="314"/>
      <c r="AF2340" s="314"/>
    </row>
    <row r="2341" spans="5:32" x14ac:dyDescent="0.35">
      <c r="E2341" s="314"/>
      <c r="F2341" s="314"/>
      <c r="G2341" s="314"/>
      <c r="H2341" s="314"/>
      <c r="I2341" s="314"/>
      <c r="J2341" s="314"/>
      <c r="K2341" s="314"/>
      <c r="L2341" s="314"/>
      <c r="M2341" s="314"/>
      <c r="N2341" s="314"/>
      <c r="O2341" s="314"/>
      <c r="P2341" s="314"/>
      <c r="Q2341" s="314"/>
      <c r="R2341" s="314"/>
      <c r="S2341" s="314"/>
      <c r="T2341" s="314"/>
      <c r="U2341" s="314"/>
      <c r="V2341" s="314"/>
      <c r="W2341" s="314"/>
      <c r="X2341" s="314"/>
      <c r="Y2341" s="314"/>
      <c r="Z2341" s="314"/>
      <c r="AA2341" s="314"/>
      <c r="AB2341" s="314"/>
      <c r="AC2341" s="314"/>
      <c r="AD2341" s="314"/>
      <c r="AE2341" s="314"/>
      <c r="AF2341" s="314"/>
    </row>
    <row r="2342" spans="5:32" x14ac:dyDescent="0.35">
      <c r="E2342" s="314"/>
      <c r="F2342" s="314"/>
      <c r="G2342" s="314"/>
      <c r="H2342" s="314"/>
      <c r="I2342" s="314"/>
      <c r="J2342" s="314"/>
      <c r="K2342" s="314"/>
      <c r="L2342" s="314"/>
      <c r="M2342" s="314"/>
      <c r="N2342" s="314"/>
      <c r="O2342" s="314"/>
      <c r="P2342" s="314"/>
      <c r="Q2342" s="314"/>
      <c r="R2342" s="314"/>
      <c r="S2342" s="314"/>
      <c r="T2342" s="314"/>
      <c r="U2342" s="314"/>
      <c r="V2342" s="314"/>
      <c r="W2342" s="314"/>
      <c r="X2342" s="314"/>
      <c r="Y2342" s="314"/>
      <c r="Z2342" s="314"/>
      <c r="AA2342" s="314"/>
      <c r="AB2342" s="314"/>
      <c r="AC2342" s="314"/>
      <c r="AD2342" s="314"/>
      <c r="AE2342" s="314"/>
      <c r="AF2342" s="314"/>
    </row>
    <row r="2343" spans="5:32" x14ac:dyDescent="0.35">
      <c r="E2343" s="314"/>
      <c r="F2343" s="314"/>
      <c r="G2343" s="314"/>
      <c r="H2343" s="314"/>
      <c r="I2343" s="314"/>
      <c r="J2343" s="314"/>
      <c r="K2343" s="314"/>
      <c r="L2343" s="314"/>
      <c r="M2343" s="314"/>
      <c r="N2343" s="314"/>
      <c r="O2343" s="314"/>
      <c r="P2343" s="314"/>
      <c r="Q2343" s="314"/>
      <c r="R2343" s="314"/>
      <c r="S2343" s="314"/>
      <c r="T2343" s="314"/>
      <c r="U2343" s="314"/>
      <c r="V2343" s="314"/>
      <c r="W2343" s="314"/>
      <c r="X2343" s="314"/>
      <c r="Y2343" s="314"/>
      <c r="Z2343" s="314"/>
      <c r="AA2343" s="314"/>
      <c r="AB2343" s="314"/>
      <c r="AC2343" s="314"/>
      <c r="AD2343" s="314"/>
      <c r="AE2343" s="314"/>
      <c r="AF2343" s="314"/>
    </row>
    <row r="2344" spans="5:32" x14ac:dyDescent="0.35">
      <c r="E2344" s="314"/>
      <c r="F2344" s="314"/>
      <c r="G2344" s="314"/>
      <c r="H2344" s="314"/>
      <c r="I2344" s="314"/>
      <c r="J2344" s="314"/>
      <c r="K2344" s="314"/>
      <c r="L2344" s="314"/>
      <c r="M2344" s="314"/>
      <c r="N2344" s="314"/>
      <c r="O2344" s="314"/>
      <c r="P2344" s="314"/>
      <c r="Q2344" s="314"/>
      <c r="R2344" s="314"/>
      <c r="S2344" s="314"/>
      <c r="T2344" s="314"/>
      <c r="U2344" s="314"/>
      <c r="V2344" s="314"/>
      <c r="W2344" s="314"/>
      <c r="X2344" s="314"/>
      <c r="Y2344" s="314"/>
      <c r="Z2344" s="314"/>
      <c r="AA2344" s="314"/>
      <c r="AB2344" s="314"/>
      <c r="AC2344" s="314"/>
      <c r="AD2344" s="314"/>
      <c r="AE2344" s="314"/>
      <c r="AF2344" s="314"/>
    </row>
    <row r="2345" spans="5:32" x14ac:dyDescent="0.35">
      <c r="E2345" s="314"/>
      <c r="F2345" s="314"/>
      <c r="G2345" s="314"/>
      <c r="H2345" s="314"/>
      <c r="I2345" s="314"/>
      <c r="J2345" s="314"/>
      <c r="K2345" s="314"/>
      <c r="L2345" s="314"/>
      <c r="M2345" s="314"/>
      <c r="N2345" s="314"/>
      <c r="O2345" s="314"/>
      <c r="P2345" s="314"/>
      <c r="Q2345" s="314"/>
      <c r="R2345" s="314"/>
      <c r="S2345" s="314"/>
      <c r="T2345" s="314"/>
      <c r="U2345" s="314"/>
      <c r="V2345" s="314"/>
      <c r="W2345" s="314"/>
      <c r="X2345" s="314"/>
      <c r="Y2345" s="314"/>
      <c r="Z2345" s="314"/>
      <c r="AA2345" s="314"/>
      <c r="AB2345" s="314"/>
      <c r="AC2345" s="314"/>
      <c r="AD2345" s="314"/>
      <c r="AE2345" s="314"/>
      <c r="AF2345" s="314"/>
    </row>
    <row r="2346" spans="5:32" x14ac:dyDescent="0.35">
      <c r="E2346" s="314"/>
      <c r="F2346" s="314"/>
      <c r="G2346" s="314"/>
      <c r="H2346" s="314"/>
      <c r="I2346" s="314"/>
      <c r="J2346" s="314"/>
      <c r="K2346" s="314"/>
      <c r="L2346" s="314"/>
      <c r="M2346" s="314"/>
      <c r="N2346" s="314"/>
      <c r="O2346" s="314"/>
      <c r="P2346" s="314"/>
      <c r="Q2346" s="314"/>
      <c r="R2346" s="314"/>
      <c r="S2346" s="314"/>
      <c r="T2346" s="314"/>
      <c r="U2346" s="314"/>
      <c r="V2346" s="314"/>
      <c r="W2346" s="314"/>
      <c r="X2346" s="314"/>
      <c r="Y2346" s="314"/>
      <c r="Z2346" s="314"/>
      <c r="AA2346" s="314"/>
      <c r="AB2346" s="314"/>
      <c r="AC2346" s="314"/>
      <c r="AD2346" s="314"/>
      <c r="AE2346" s="314"/>
      <c r="AF2346" s="314"/>
    </row>
    <row r="2347" spans="5:32" x14ac:dyDescent="0.35">
      <c r="E2347" s="314"/>
      <c r="F2347" s="314"/>
      <c r="G2347" s="314"/>
      <c r="H2347" s="314"/>
      <c r="I2347" s="314"/>
      <c r="J2347" s="314"/>
      <c r="K2347" s="314"/>
      <c r="L2347" s="314"/>
      <c r="M2347" s="314"/>
      <c r="N2347" s="314"/>
      <c r="O2347" s="314"/>
      <c r="P2347" s="314"/>
      <c r="Q2347" s="314"/>
      <c r="R2347" s="314"/>
      <c r="S2347" s="314"/>
      <c r="T2347" s="314"/>
      <c r="U2347" s="314"/>
      <c r="V2347" s="314"/>
      <c r="W2347" s="314"/>
      <c r="X2347" s="314"/>
      <c r="Y2347" s="314"/>
      <c r="Z2347" s="314"/>
      <c r="AA2347" s="314"/>
      <c r="AB2347" s="314"/>
      <c r="AC2347" s="314"/>
      <c r="AD2347" s="314"/>
      <c r="AE2347" s="314"/>
      <c r="AF2347" s="314"/>
    </row>
    <row r="2348" spans="5:32" x14ac:dyDescent="0.35">
      <c r="E2348" s="314"/>
      <c r="F2348" s="314"/>
      <c r="G2348" s="314"/>
      <c r="H2348" s="314"/>
      <c r="I2348" s="314"/>
      <c r="J2348" s="314"/>
      <c r="K2348" s="314"/>
      <c r="L2348" s="314"/>
      <c r="M2348" s="314"/>
      <c r="N2348" s="314"/>
      <c r="O2348" s="314"/>
      <c r="P2348" s="314"/>
      <c r="Q2348" s="314"/>
      <c r="R2348" s="314"/>
      <c r="S2348" s="314"/>
      <c r="T2348" s="314"/>
      <c r="U2348" s="314"/>
      <c r="V2348" s="314"/>
      <c r="W2348" s="314"/>
      <c r="X2348" s="314"/>
      <c r="Y2348" s="314"/>
      <c r="Z2348" s="314"/>
      <c r="AA2348" s="314"/>
      <c r="AB2348" s="314"/>
      <c r="AC2348" s="314"/>
      <c r="AD2348" s="314"/>
      <c r="AE2348" s="314"/>
      <c r="AF2348" s="314"/>
    </row>
    <row r="2349" spans="5:32" x14ac:dyDescent="0.35">
      <c r="E2349" s="314"/>
      <c r="F2349" s="314"/>
      <c r="G2349" s="314"/>
      <c r="H2349" s="314"/>
      <c r="I2349" s="314"/>
      <c r="J2349" s="314"/>
      <c r="K2349" s="314"/>
      <c r="L2349" s="314"/>
      <c r="M2349" s="314"/>
      <c r="N2349" s="314"/>
      <c r="O2349" s="314"/>
      <c r="P2349" s="314"/>
      <c r="Q2349" s="314"/>
      <c r="R2349" s="314"/>
      <c r="S2349" s="314"/>
      <c r="T2349" s="314"/>
      <c r="U2349" s="314"/>
      <c r="V2349" s="314"/>
      <c r="W2349" s="314"/>
      <c r="X2349" s="314"/>
      <c r="Y2349" s="314"/>
      <c r="Z2349" s="314"/>
      <c r="AA2349" s="314"/>
      <c r="AB2349" s="314"/>
      <c r="AC2349" s="314"/>
      <c r="AD2349" s="314"/>
      <c r="AE2349" s="314"/>
      <c r="AF2349" s="314"/>
    </row>
    <row r="2350" spans="5:32" x14ac:dyDescent="0.35">
      <c r="E2350" s="314"/>
      <c r="F2350" s="314"/>
      <c r="G2350" s="314"/>
      <c r="H2350" s="314"/>
      <c r="I2350" s="314"/>
      <c r="J2350" s="314"/>
      <c r="K2350" s="314"/>
      <c r="L2350" s="314"/>
      <c r="M2350" s="314"/>
      <c r="N2350" s="314"/>
      <c r="O2350" s="314"/>
      <c r="P2350" s="314"/>
      <c r="Q2350" s="314"/>
      <c r="R2350" s="314"/>
      <c r="S2350" s="314"/>
      <c r="T2350" s="314"/>
      <c r="U2350" s="314"/>
      <c r="V2350" s="314"/>
      <c r="W2350" s="314"/>
      <c r="X2350" s="314"/>
      <c r="Y2350" s="314"/>
      <c r="Z2350" s="314"/>
      <c r="AA2350" s="314"/>
      <c r="AB2350" s="314"/>
      <c r="AC2350" s="314"/>
      <c r="AD2350" s="314"/>
      <c r="AE2350" s="314"/>
      <c r="AF2350" s="314"/>
    </row>
    <row r="2351" spans="5:32" x14ac:dyDescent="0.35">
      <c r="E2351" s="314"/>
      <c r="F2351" s="314"/>
      <c r="G2351" s="314"/>
      <c r="H2351" s="314"/>
      <c r="I2351" s="314"/>
      <c r="J2351" s="314"/>
      <c r="K2351" s="314"/>
      <c r="L2351" s="314"/>
      <c r="M2351" s="314"/>
      <c r="N2351" s="314"/>
      <c r="O2351" s="314"/>
      <c r="P2351" s="314"/>
      <c r="Q2351" s="314"/>
      <c r="R2351" s="314"/>
      <c r="S2351" s="314"/>
      <c r="T2351" s="314"/>
      <c r="U2351" s="314"/>
      <c r="V2351" s="314"/>
      <c r="W2351" s="314"/>
      <c r="X2351" s="314"/>
      <c r="Y2351" s="314"/>
      <c r="Z2351" s="314"/>
      <c r="AA2351" s="314"/>
      <c r="AB2351" s="314"/>
      <c r="AC2351" s="314"/>
      <c r="AD2351" s="314"/>
      <c r="AE2351" s="314"/>
      <c r="AF2351" s="314"/>
    </row>
    <row r="2352" spans="5:32" x14ac:dyDescent="0.35">
      <c r="E2352" s="314"/>
      <c r="F2352" s="314"/>
      <c r="G2352" s="314"/>
      <c r="H2352" s="314"/>
      <c r="I2352" s="314"/>
      <c r="J2352" s="314"/>
      <c r="K2352" s="314"/>
      <c r="L2352" s="314"/>
      <c r="M2352" s="314"/>
      <c r="N2352" s="314"/>
      <c r="O2352" s="314"/>
      <c r="P2352" s="314"/>
      <c r="Q2352" s="314"/>
      <c r="R2352" s="314"/>
      <c r="S2352" s="314"/>
      <c r="T2352" s="314"/>
      <c r="U2352" s="314"/>
      <c r="V2352" s="314"/>
      <c r="W2352" s="314"/>
      <c r="X2352" s="314"/>
      <c r="Y2352" s="314"/>
      <c r="Z2352" s="314"/>
      <c r="AA2352" s="314"/>
      <c r="AB2352" s="314"/>
      <c r="AC2352" s="314"/>
      <c r="AD2352" s="314"/>
      <c r="AE2352" s="314"/>
      <c r="AF2352" s="314"/>
    </row>
    <row r="2353" spans="5:32" x14ac:dyDescent="0.35">
      <c r="E2353" s="314"/>
      <c r="F2353" s="314"/>
      <c r="G2353" s="314"/>
      <c r="H2353" s="314"/>
      <c r="I2353" s="314"/>
      <c r="J2353" s="314"/>
      <c r="K2353" s="314"/>
      <c r="L2353" s="314"/>
      <c r="M2353" s="314"/>
      <c r="N2353" s="314"/>
      <c r="O2353" s="314"/>
      <c r="P2353" s="314"/>
      <c r="Q2353" s="314"/>
      <c r="R2353" s="314"/>
      <c r="S2353" s="314"/>
      <c r="T2353" s="314"/>
      <c r="U2353" s="314"/>
      <c r="V2353" s="314"/>
      <c r="W2353" s="314"/>
      <c r="X2353" s="314"/>
      <c r="Y2353" s="314"/>
      <c r="Z2353" s="314"/>
      <c r="AA2353" s="314"/>
      <c r="AB2353" s="314"/>
      <c r="AC2353" s="314"/>
      <c r="AD2353" s="314"/>
      <c r="AE2353" s="314"/>
      <c r="AF2353" s="314"/>
    </row>
    <row r="2354" spans="5:32" x14ac:dyDescent="0.35">
      <c r="E2354" s="314"/>
      <c r="F2354" s="314"/>
      <c r="G2354" s="314"/>
      <c r="H2354" s="314"/>
      <c r="I2354" s="314"/>
      <c r="J2354" s="314"/>
      <c r="K2354" s="314"/>
      <c r="L2354" s="314"/>
      <c r="M2354" s="314"/>
      <c r="N2354" s="314"/>
      <c r="O2354" s="314"/>
      <c r="P2354" s="314"/>
      <c r="Q2354" s="314"/>
      <c r="R2354" s="314"/>
      <c r="S2354" s="314"/>
      <c r="T2354" s="314"/>
      <c r="U2354" s="314"/>
      <c r="V2354" s="314"/>
      <c r="W2354" s="314"/>
      <c r="X2354" s="314"/>
      <c r="Y2354" s="314"/>
      <c r="Z2354" s="314"/>
      <c r="AA2354" s="314"/>
      <c r="AB2354" s="314"/>
      <c r="AC2354" s="314"/>
      <c r="AD2354" s="314"/>
      <c r="AE2354" s="314"/>
      <c r="AF2354" s="314"/>
    </row>
    <row r="2355" spans="5:32" x14ac:dyDescent="0.35">
      <c r="E2355" s="314"/>
      <c r="F2355" s="314"/>
      <c r="G2355" s="314"/>
      <c r="H2355" s="314"/>
      <c r="I2355" s="314"/>
      <c r="J2355" s="314"/>
      <c r="K2355" s="314"/>
      <c r="L2355" s="314"/>
      <c r="M2355" s="314"/>
      <c r="N2355" s="314"/>
      <c r="O2355" s="314"/>
      <c r="P2355" s="314"/>
      <c r="Q2355" s="314"/>
      <c r="R2355" s="314"/>
      <c r="S2355" s="314"/>
      <c r="T2355" s="314"/>
      <c r="U2355" s="314"/>
      <c r="V2355" s="314"/>
      <c r="W2355" s="314"/>
      <c r="X2355" s="314"/>
      <c r="Y2355" s="314"/>
      <c r="Z2355" s="314"/>
      <c r="AA2355" s="314"/>
      <c r="AB2355" s="314"/>
      <c r="AC2355" s="314"/>
      <c r="AD2355" s="314"/>
      <c r="AE2355" s="314"/>
      <c r="AF2355" s="314"/>
    </row>
    <row r="2356" spans="5:32" x14ac:dyDescent="0.35">
      <c r="E2356" s="314"/>
      <c r="F2356" s="314"/>
      <c r="G2356" s="314"/>
      <c r="H2356" s="314"/>
      <c r="I2356" s="314"/>
      <c r="J2356" s="314"/>
      <c r="K2356" s="314"/>
      <c r="L2356" s="314"/>
      <c r="M2356" s="314"/>
      <c r="N2356" s="314"/>
      <c r="O2356" s="314"/>
      <c r="P2356" s="314"/>
      <c r="Q2356" s="314"/>
      <c r="R2356" s="314"/>
      <c r="S2356" s="314"/>
      <c r="T2356" s="314"/>
      <c r="U2356" s="314"/>
      <c r="V2356" s="314"/>
      <c r="W2356" s="314"/>
      <c r="X2356" s="314"/>
      <c r="Y2356" s="314"/>
      <c r="Z2356" s="314"/>
      <c r="AA2356" s="314"/>
      <c r="AB2356" s="314"/>
      <c r="AC2356" s="314"/>
      <c r="AD2356" s="314"/>
      <c r="AE2356" s="314"/>
      <c r="AF2356" s="314"/>
    </row>
    <row r="2357" spans="5:32" x14ac:dyDescent="0.35">
      <c r="E2357" s="314"/>
      <c r="F2357" s="314"/>
      <c r="G2357" s="314"/>
      <c r="H2357" s="314"/>
      <c r="I2357" s="314"/>
      <c r="J2357" s="314"/>
      <c r="K2357" s="314"/>
      <c r="L2357" s="314"/>
      <c r="M2357" s="314"/>
      <c r="N2357" s="314"/>
      <c r="O2357" s="314"/>
      <c r="P2357" s="314"/>
      <c r="Q2357" s="314"/>
      <c r="R2357" s="314"/>
      <c r="S2357" s="314"/>
      <c r="T2357" s="314"/>
      <c r="U2357" s="314"/>
      <c r="V2357" s="314"/>
      <c r="W2357" s="314"/>
      <c r="X2357" s="314"/>
      <c r="Y2357" s="314"/>
      <c r="Z2357" s="314"/>
      <c r="AA2357" s="314"/>
      <c r="AB2357" s="314"/>
      <c r="AC2357" s="314"/>
      <c r="AD2357" s="314"/>
      <c r="AE2357" s="314"/>
      <c r="AF2357" s="314"/>
    </row>
    <row r="2358" spans="5:32" x14ac:dyDescent="0.35">
      <c r="E2358" s="314"/>
      <c r="F2358" s="314"/>
      <c r="G2358" s="314"/>
      <c r="H2358" s="314"/>
      <c r="I2358" s="314"/>
      <c r="J2358" s="314"/>
      <c r="K2358" s="314"/>
      <c r="L2358" s="314"/>
      <c r="M2358" s="314"/>
      <c r="N2358" s="314"/>
      <c r="O2358" s="314"/>
      <c r="P2358" s="314"/>
      <c r="Q2358" s="314"/>
      <c r="R2358" s="314"/>
      <c r="S2358" s="314"/>
      <c r="T2358" s="314"/>
      <c r="U2358" s="314"/>
      <c r="V2358" s="314"/>
      <c r="W2358" s="314"/>
      <c r="X2358" s="314"/>
      <c r="Y2358" s="314"/>
      <c r="Z2358" s="314"/>
      <c r="AA2358" s="314"/>
      <c r="AB2358" s="314"/>
      <c r="AC2358" s="314"/>
      <c r="AD2358" s="314"/>
      <c r="AE2358" s="314"/>
      <c r="AF2358" s="314"/>
    </row>
    <row r="2359" spans="5:32" x14ac:dyDescent="0.35">
      <c r="E2359" s="314"/>
      <c r="F2359" s="314"/>
      <c r="G2359" s="314"/>
      <c r="H2359" s="314"/>
      <c r="I2359" s="314"/>
      <c r="J2359" s="314"/>
      <c r="K2359" s="314"/>
      <c r="L2359" s="314"/>
      <c r="M2359" s="314"/>
      <c r="N2359" s="314"/>
      <c r="O2359" s="314"/>
      <c r="P2359" s="314"/>
      <c r="Q2359" s="314"/>
      <c r="R2359" s="314"/>
      <c r="S2359" s="314"/>
      <c r="T2359" s="314"/>
      <c r="U2359" s="314"/>
      <c r="V2359" s="314"/>
      <c r="W2359" s="314"/>
      <c r="X2359" s="314"/>
      <c r="Y2359" s="314"/>
      <c r="Z2359" s="314"/>
      <c r="AA2359" s="314"/>
      <c r="AB2359" s="314"/>
      <c r="AC2359" s="314"/>
      <c r="AD2359" s="314"/>
      <c r="AE2359" s="314"/>
      <c r="AF2359" s="314"/>
    </row>
    <row r="2360" spans="5:32" x14ac:dyDescent="0.35">
      <c r="E2360" s="314"/>
      <c r="F2360" s="314"/>
      <c r="G2360" s="314"/>
      <c r="H2360" s="314"/>
      <c r="I2360" s="314"/>
      <c r="J2360" s="314"/>
      <c r="K2360" s="314"/>
      <c r="L2360" s="314"/>
      <c r="M2360" s="314"/>
      <c r="N2360" s="314"/>
      <c r="O2360" s="314"/>
      <c r="P2360" s="314"/>
      <c r="Q2360" s="314"/>
      <c r="R2360" s="314"/>
      <c r="S2360" s="314"/>
      <c r="T2360" s="314"/>
      <c r="U2360" s="314"/>
      <c r="V2360" s="314"/>
      <c r="W2360" s="314"/>
      <c r="X2360" s="314"/>
      <c r="Y2360" s="314"/>
      <c r="Z2360" s="314"/>
      <c r="AA2360" s="314"/>
      <c r="AB2360" s="314"/>
      <c r="AC2360" s="314"/>
      <c r="AD2360" s="314"/>
      <c r="AE2360" s="314"/>
      <c r="AF2360" s="314"/>
    </row>
    <row r="2361" spans="5:32" x14ac:dyDescent="0.35">
      <c r="E2361" s="314"/>
      <c r="F2361" s="314"/>
      <c r="G2361" s="314"/>
      <c r="H2361" s="314"/>
      <c r="I2361" s="314"/>
      <c r="J2361" s="314"/>
      <c r="K2361" s="314"/>
      <c r="L2361" s="314"/>
      <c r="M2361" s="314"/>
      <c r="N2361" s="314"/>
      <c r="O2361" s="314"/>
      <c r="P2361" s="314"/>
      <c r="Q2361" s="314"/>
      <c r="R2361" s="314"/>
      <c r="S2361" s="314"/>
      <c r="T2361" s="314"/>
      <c r="U2361" s="314"/>
      <c r="V2361" s="314"/>
      <c r="W2361" s="314"/>
      <c r="X2361" s="314"/>
      <c r="Y2361" s="314"/>
      <c r="Z2361" s="314"/>
      <c r="AA2361" s="314"/>
      <c r="AB2361" s="314"/>
      <c r="AC2361" s="314"/>
      <c r="AD2361" s="314"/>
      <c r="AE2361" s="314"/>
      <c r="AF2361" s="314"/>
    </row>
    <row r="2362" spans="5:32" x14ac:dyDescent="0.35">
      <c r="E2362" s="314"/>
      <c r="F2362" s="314"/>
      <c r="G2362" s="314"/>
      <c r="H2362" s="314"/>
      <c r="I2362" s="314"/>
      <c r="J2362" s="314"/>
      <c r="K2362" s="314"/>
      <c r="L2362" s="314"/>
      <c r="M2362" s="314"/>
      <c r="N2362" s="314"/>
      <c r="O2362" s="314"/>
      <c r="P2362" s="314"/>
      <c r="Q2362" s="314"/>
      <c r="R2362" s="314"/>
      <c r="S2362" s="314"/>
      <c r="T2362" s="314"/>
      <c r="U2362" s="314"/>
      <c r="V2362" s="314"/>
      <c r="W2362" s="314"/>
      <c r="X2362" s="314"/>
      <c r="Y2362" s="314"/>
      <c r="Z2362" s="314"/>
      <c r="AA2362" s="314"/>
      <c r="AB2362" s="314"/>
      <c r="AC2362" s="314"/>
      <c r="AD2362" s="314"/>
      <c r="AE2362" s="314"/>
      <c r="AF2362" s="314"/>
    </row>
    <row r="2363" spans="5:32" x14ac:dyDescent="0.35">
      <c r="E2363" s="314"/>
      <c r="F2363" s="314"/>
      <c r="G2363" s="314"/>
      <c r="H2363" s="314"/>
      <c r="I2363" s="314"/>
      <c r="J2363" s="314"/>
      <c r="K2363" s="314"/>
      <c r="L2363" s="314"/>
      <c r="M2363" s="314"/>
      <c r="N2363" s="314"/>
      <c r="O2363" s="314"/>
      <c r="P2363" s="314"/>
      <c r="Q2363" s="314"/>
      <c r="R2363" s="314"/>
      <c r="S2363" s="314"/>
      <c r="T2363" s="314"/>
      <c r="U2363" s="314"/>
      <c r="V2363" s="314"/>
      <c r="W2363" s="314"/>
      <c r="X2363" s="314"/>
      <c r="Y2363" s="314"/>
      <c r="Z2363" s="314"/>
      <c r="AA2363" s="314"/>
      <c r="AB2363" s="314"/>
      <c r="AC2363" s="314"/>
      <c r="AD2363" s="314"/>
      <c r="AE2363" s="314"/>
      <c r="AF2363" s="314"/>
    </row>
    <row r="2364" spans="5:32" x14ac:dyDescent="0.35">
      <c r="E2364" s="314"/>
      <c r="F2364" s="314"/>
      <c r="G2364" s="314"/>
      <c r="H2364" s="314"/>
      <c r="I2364" s="314"/>
      <c r="J2364" s="314"/>
      <c r="K2364" s="314"/>
      <c r="L2364" s="314"/>
      <c r="M2364" s="314"/>
      <c r="N2364" s="314"/>
      <c r="O2364" s="314"/>
      <c r="P2364" s="314"/>
      <c r="Q2364" s="314"/>
      <c r="R2364" s="314"/>
      <c r="S2364" s="314"/>
      <c r="T2364" s="314"/>
      <c r="U2364" s="314"/>
      <c r="V2364" s="314"/>
      <c r="W2364" s="314"/>
      <c r="X2364" s="314"/>
      <c r="Y2364" s="314"/>
      <c r="Z2364" s="314"/>
      <c r="AA2364" s="314"/>
      <c r="AB2364" s="314"/>
      <c r="AC2364" s="314"/>
      <c r="AD2364" s="314"/>
      <c r="AE2364" s="314"/>
      <c r="AF2364" s="314"/>
    </row>
    <row r="2365" spans="5:32" x14ac:dyDescent="0.35">
      <c r="E2365" s="314"/>
      <c r="F2365" s="314"/>
      <c r="G2365" s="314"/>
      <c r="H2365" s="314"/>
      <c r="I2365" s="314"/>
      <c r="J2365" s="314"/>
      <c r="K2365" s="314"/>
      <c r="L2365" s="314"/>
      <c r="M2365" s="314"/>
      <c r="N2365" s="314"/>
      <c r="O2365" s="314"/>
      <c r="P2365" s="314"/>
      <c r="Q2365" s="314"/>
      <c r="R2365" s="314"/>
      <c r="S2365" s="314"/>
      <c r="T2365" s="314"/>
      <c r="U2365" s="314"/>
      <c r="V2365" s="314"/>
      <c r="W2365" s="314"/>
      <c r="X2365" s="314"/>
      <c r="Y2365" s="314"/>
      <c r="Z2365" s="314"/>
      <c r="AA2365" s="314"/>
      <c r="AB2365" s="314"/>
      <c r="AC2365" s="314"/>
      <c r="AD2365" s="314"/>
      <c r="AE2365" s="314"/>
      <c r="AF2365" s="314"/>
    </row>
    <row r="2366" spans="5:32" x14ac:dyDescent="0.35">
      <c r="E2366" s="314"/>
      <c r="F2366" s="314"/>
      <c r="G2366" s="314"/>
      <c r="H2366" s="314"/>
      <c r="I2366" s="314"/>
      <c r="J2366" s="314"/>
      <c r="K2366" s="314"/>
      <c r="L2366" s="314"/>
      <c r="M2366" s="314"/>
      <c r="N2366" s="314"/>
      <c r="O2366" s="314"/>
      <c r="P2366" s="314"/>
      <c r="Q2366" s="314"/>
      <c r="R2366" s="314"/>
      <c r="S2366" s="314"/>
      <c r="T2366" s="314"/>
      <c r="U2366" s="314"/>
      <c r="V2366" s="314"/>
      <c r="W2366" s="314"/>
      <c r="X2366" s="314"/>
      <c r="Y2366" s="314"/>
      <c r="Z2366" s="314"/>
      <c r="AA2366" s="314"/>
      <c r="AB2366" s="314"/>
      <c r="AC2366" s="314"/>
      <c r="AD2366" s="314"/>
      <c r="AE2366" s="314"/>
      <c r="AF2366" s="314"/>
    </row>
    <row r="2367" spans="5:32" x14ac:dyDescent="0.35">
      <c r="E2367" s="314"/>
      <c r="F2367" s="314"/>
      <c r="G2367" s="314"/>
      <c r="H2367" s="314"/>
      <c r="I2367" s="314"/>
      <c r="J2367" s="314"/>
      <c r="K2367" s="314"/>
      <c r="L2367" s="314"/>
      <c r="M2367" s="314"/>
      <c r="N2367" s="314"/>
      <c r="O2367" s="314"/>
      <c r="P2367" s="314"/>
      <c r="Q2367" s="314"/>
      <c r="R2367" s="314"/>
      <c r="S2367" s="314"/>
      <c r="T2367" s="314"/>
      <c r="U2367" s="314"/>
      <c r="V2367" s="314"/>
      <c r="W2367" s="314"/>
      <c r="X2367" s="314"/>
      <c r="Y2367" s="314"/>
      <c r="Z2367" s="314"/>
      <c r="AA2367" s="314"/>
      <c r="AB2367" s="314"/>
      <c r="AC2367" s="314"/>
      <c r="AD2367" s="314"/>
      <c r="AE2367" s="314"/>
      <c r="AF2367" s="314"/>
    </row>
    <row r="2368" spans="5:32" x14ac:dyDescent="0.35">
      <c r="E2368" s="314"/>
      <c r="F2368" s="314"/>
      <c r="G2368" s="314"/>
      <c r="H2368" s="314"/>
      <c r="I2368" s="314"/>
      <c r="J2368" s="314"/>
      <c r="K2368" s="314"/>
      <c r="L2368" s="314"/>
      <c r="M2368" s="314"/>
      <c r="N2368" s="314"/>
      <c r="O2368" s="314"/>
      <c r="P2368" s="314"/>
      <c r="Q2368" s="314"/>
      <c r="R2368" s="314"/>
      <c r="S2368" s="314"/>
      <c r="T2368" s="314"/>
      <c r="U2368" s="314"/>
      <c r="V2368" s="314"/>
      <c r="W2368" s="314"/>
      <c r="X2368" s="314"/>
      <c r="Y2368" s="314"/>
      <c r="Z2368" s="314"/>
      <c r="AA2368" s="314"/>
      <c r="AB2368" s="314"/>
      <c r="AC2368" s="314"/>
      <c r="AD2368" s="314"/>
      <c r="AE2368" s="314"/>
      <c r="AF2368" s="314"/>
    </row>
    <row r="2369" spans="5:32" x14ac:dyDescent="0.35">
      <c r="E2369" s="314"/>
      <c r="F2369" s="314"/>
      <c r="G2369" s="314"/>
      <c r="H2369" s="314"/>
      <c r="I2369" s="314"/>
      <c r="J2369" s="314"/>
      <c r="K2369" s="314"/>
      <c r="L2369" s="314"/>
      <c r="M2369" s="314"/>
      <c r="N2369" s="314"/>
      <c r="O2369" s="314"/>
      <c r="P2369" s="314"/>
      <c r="Q2369" s="314"/>
      <c r="R2369" s="314"/>
      <c r="S2369" s="314"/>
      <c r="T2369" s="314"/>
      <c r="U2369" s="314"/>
      <c r="V2369" s="314"/>
      <c r="W2369" s="314"/>
      <c r="X2369" s="314"/>
      <c r="Y2369" s="314"/>
      <c r="Z2369" s="314"/>
      <c r="AA2369" s="314"/>
      <c r="AB2369" s="314"/>
      <c r="AC2369" s="314"/>
      <c r="AD2369" s="314"/>
      <c r="AE2369" s="314"/>
      <c r="AF2369" s="314"/>
    </row>
    <row r="2370" spans="5:32" x14ac:dyDescent="0.35">
      <c r="E2370" s="314"/>
      <c r="F2370" s="314"/>
      <c r="G2370" s="314"/>
      <c r="H2370" s="314"/>
      <c r="I2370" s="314"/>
      <c r="J2370" s="314"/>
      <c r="K2370" s="314"/>
      <c r="L2370" s="314"/>
      <c r="M2370" s="314"/>
      <c r="N2370" s="314"/>
      <c r="O2370" s="314"/>
      <c r="P2370" s="314"/>
      <c r="Q2370" s="314"/>
      <c r="R2370" s="314"/>
      <c r="S2370" s="314"/>
      <c r="T2370" s="314"/>
      <c r="U2370" s="314"/>
      <c r="V2370" s="314"/>
      <c r="W2370" s="314"/>
      <c r="X2370" s="314"/>
      <c r="Y2370" s="314"/>
      <c r="Z2370" s="314"/>
      <c r="AA2370" s="314"/>
      <c r="AB2370" s="314"/>
      <c r="AC2370" s="314"/>
      <c r="AD2370" s="314"/>
      <c r="AE2370" s="314"/>
      <c r="AF2370" s="314"/>
    </row>
    <row r="2371" spans="5:32" x14ac:dyDescent="0.35">
      <c r="E2371" s="314"/>
      <c r="F2371" s="314"/>
      <c r="G2371" s="314"/>
      <c r="H2371" s="314"/>
      <c r="I2371" s="314"/>
      <c r="J2371" s="314"/>
      <c r="K2371" s="314"/>
      <c r="L2371" s="314"/>
      <c r="M2371" s="314"/>
      <c r="N2371" s="314"/>
      <c r="O2371" s="314"/>
      <c r="P2371" s="314"/>
      <c r="Q2371" s="314"/>
      <c r="R2371" s="314"/>
      <c r="S2371" s="314"/>
      <c r="T2371" s="314"/>
      <c r="U2371" s="314"/>
      <c r="V2371" s="314"/>
      <c r="W2371" s="314"/>
      <c r="X2371" s="314"/>
      <c r="Y2371" s="314"/>
      <c r="Z2371" s="314"/>
      <c r="AA2371" s="314"/>
      <c r="AB2371" s="314"/>
      <c r="AC2371" s="314"/>
      <c r="AD2371" s="314"/>
      <c r="AE2371" s="314"/>
      <c r="AF2371" s="314"/>
    </row>
    <row r="2372" spans="5:32" x14ac:dyDescent="0.35">
      <c r="E2372" s="314"/>
      <c r="F2372" s="314"/>
      <c r="G2372" s="314"/>
      <c r="H2372" s="314"/>
      <c r="I2372" s="314"/>
      <c r="J2372" s="314"/>
      <c r="K2372" s="314"/>
      <c r="L2372" s="314"/>
      <c r="M2372" s="314"/>
      <c r="N2372" s="314"/>
      <c r="O2372" s="314"/>
      <c r="P2372" s="314"/>
      <c r="Q2372" s="314"/>
      <c r="R2372" s="314"/>
      <c r="S2372" s="314"/>
      <c r="T2372" s="314"/>
      <c r="U2372" s="314"/>
      <c r="V2372" s="314"/>
      <c r="W2372" s="314"/>
      <c r="X2372" s="314"/>
      <c r="Y2372" s="314"/>
      <c r="Z2372" s="314"/>
      <c r="AA2372" s="314"/>
      <c r="AB2372" s="314"/>
      <c r="AC2372" s="314"/>
      <c r="AD2372" s="314"/>
      <c r="AE2372" s="314"/>
      <c r="AF2372" s="314"/>
    </row>
    <row r="2373" spans="5:32" x14ac:dyDescent="0.35">
      <c r="E2373" s="314"/>
      <c r="F2373" s="314"/>
      <c r="G2373" s="314"/>
      <c r="H2373" s="314"/>
      <c r="I2373" s="314"/>
      <c r="J2373" s="314"/>
      <c r="K2373" s="314"/>
      <c r="L2373" s="314"/>
      <c r="M2373" s="314"/>
      <c r="N2373" s="314"/>
      <c r="O2373" s="314"/>
      <c r="P2373" s="314"/>
      <c r="Q2373" s="314"/>
      <c r="R2373" s="314"/>
      <c r="S2373" s="314"/>
      <c r="T2373" s="314"/>
      <c r="U2373" s="314"/>
      <c r="V2373" s="314"/>
      <c r="W2373" s="314"/>
      <c r="X2373" s="314"/>
      <c r="Y2373" s="314"/>
      <c r="Z2373" s="314"/>
      <c r="AA2373" s="314"/>
      <c r="AB2373" s="314"/>
      <c r="AC2373" s="314"/>
      <c r="AD2373" s="314"/>
      <c r="AE2373" s="314"/>
      <c r="AF2373" s="314"/>
    </row>
    <row r="2374" spans="5:32" x14ac:dyDescent="0.35">
      <c r="E2374" s="314"/>
      <c r="F2374" s="314"/>
      <c r="G2374" s="314"/>
      <c r="H2374" s="314"/>
      <c r="I2374" s="314"/>
      <c r="J2374" s="314"/>
      <c r="K2374" s="314"/>
      <c r="L2374" s="314"/>
      <c r="M2374" s="314"/>
      <c r="N2374" s="314"/>
      <c r="O2374" s="314"/>
      <c r="P2374" s="314"/>
      <c r="Q2374" s="314"/>
      <c r="R2374" s="314"/>
      <c r="S2374" s="314"/>
      <c r="T2374" s="314"/>
      <c r="U2374" s="314"/>
      <c r="V2374" s="314"/>
      <c r="W2374" s="314"/>
      <c r="X2374" s="314"/>
      <c r="Y2374" s="314"/>
      <c r="Z2374" s="314"/>
      <c r="AA2374" s="314"/>
      <c r="AB2374" s="314"/>
      <c r="AC2374" s="314"/>
      <c r="AD2374" s="314"/>
      <c r="AE2374" s="314"/>
      <c r="AF2374" s="314"/>
    </row>
    <row r="2375" spans="5:32" x14ac:dyDescent="0.35">
      <c r="E2375" s="314"/>
      <c r="F2375" s="314"/>
      <c r="G2375" s="314"/>
      <c r="H2375" s="314"/>
      <c r="I2375" s="314"/>
      <c r="J2375" s="314"/>
      <c r="K2375" s="314"/>
      <c r="L2375" s="314"/>
      <c r="M2375" s="314"/>
      <c r="N2375" s="314"/>
      <c r="O2375" s="314"/>
      <c r="P2375" s="314"/>
      <c r="Q2375" s="314"/>
      <c r="R2375" s="314"/>
      <c r="S2375" s="314"/>
      <c r="T2375" s="314"/>
      <c r="U2375" s="314"/>
      <c r="V2375" s="314"/>
      <c r="W2375" s="314"/>
      <c r="X2375" s="314"/>
      <c r="Y2375" s="314"/>
      <c r="Z2375" s="314"/>
      <c r="AA2375" s="314"/>
      <c r="AB2375" s="314"/>
      <c r="AC2375" s="314"/>
      <c r="AD2375" s="314"/>
      <c r="AE2375" s="314"/>
      <c r="AF2375" s="314"/>
    </row>
    <row r="2376" spans="5:32" x14ac:dyDescent="0.35">
      <c r="E2376" s="314"/>
      <c r="F2376" s="314"/>
      <c r="G2376" s="314"/>
      <c r="H2376" s="314"/>
      <c r="I2376" s="314"/>
      <c r="J2376" s="314"/>
      <c r="K2376" s="314"/>
      <c r="L2376" s="314"/>
      <c r="M2376" s="314"/>
      <c r="N2376" s="314"/>
      <c r="O2376" s="314"/>
      <c r="P2376" s="314"/>
      <c r="Q2376" s="314"/>
      <c r="R2376" s="314"/>
      <c r="S2376" s="314"/>
      <c r="T2376" s="314"/>
      <c r="U2376" s="314"/>
      <c r="V2376" s="314"/>
      <c r="W2376" s="314"/>
      <c r="X2376" s="314"/>
      <c r="Y2376" s="314"/>
      <c r="Z2376" s="314"/>
      <c r="AA2376" s="314"/>
      <c r="AB2376" s="314"/>
      <c r="AC2376" s="314"/>
      <c r="AD2376" s="314"/>
      <c r="AE2376" s="314"/>
      <c r="AF2376" s="314"/>
    </row>
    <row r="2377" spans="5:32" x14ac:dyDescent="0.35">
      <c r="E2377" s="314"/>
      <c r="F2377" s="314"/>
      <c r="G2377" s="314"/>
      <c r="H2377" s="314"/>
      <c r="I2377" s="314"/>
      <c r="J2377" s="314"/>
      <c r="K2377" s="314"/>
      <c r="L2377" s="314"/>
      <c r="M2377" s="314"/>
      <c r="N2377" s="314"/>
      <c r="O2377" s="314"/>
      <c r="P2377" s="314"/>
      <c r="Q2377" s="314"/>
      <c r="R2377" s="314"/>
      <c r="S2377" s="314"/>
      <c r="T2377" s="314"/>
      <c r="U2377" s="314"/>
      <c r="V2377" s="314"/>
      <c r="W2377" s="314"/>
      <c r="X2377" s="314"/>
      <c r="Y2377" s="314"/>
      <c r="Z2377" s="314"/>
      <c r="AA2377" s="314"/>
      <c r="AB2377" s="314"/>
      <c r="AC2377" s="314"/>
      <c r="AD2377" s="314"/>
      <c r="AE2377" s="314"/>
      <c r="AF2377" s="314"/>
    </row>
    <row r="2378" spans="5:32" x14ac:dyDescent="0.35">
      <c r="E2378" s="314"/>
      <c r="F2378" s="314"/>
      <c r="G2378" s="314"/>
      <c r="H2378" s="314"/>
      <c r="I2378" s="314"/>
      <c r="J2378" s="314"/>
      <c r="K2378" s="314"/>
      <c r="L2378" s="314"/>
      <c r="M2378" s="314"/>
      <c r="N2378" s="314"/>
      <c r="O2378" s="314"/>
      <c r="P2378" s="314"/>
      <c r="Q2378" s="314"/>
      <c r="R2378" s="314"/>
      <c r="S2378" s="314"/>
      <c r="T2378" s="314"/>
      <c r="U2378" s="314"/>
      <c r="V2378" s="314"/>
      <c r="W2378" s="314"/>
      <c r="X2378" s="314"/>
      <c r="Y2378" s="314"/>
      <c r="Z2378" s="314"/>
      <c r="AA2378" s="314"/>
      <c r="AB2378" s="314"/>
      <c r="AC2378" s="314"/>
      <c r="AD2378" s="314"/>
      <c r="AE2378" s="314"/>
      <c r="AF2378" s="314"/>
    </row>
    <row r="2379" spans="5:32" x14ac:dyDescent="0.35">
      <c r="E2379" s="314"/>
      <c r="F2379" s="314"/>
      <c r="G2379" s="314"/>
      <c r="H2379" s="314"/>
      <c r="I2379" s="314"/>
      <c r="J2379" s="314"/>
      <c r="K2379" s="314"/>
      <c r="L2379" s="314"/>
      <c r="M2379" s="314"/>
      <c r="N2379" s="314"/>
      <c r="O2379" s="314"/>
      <c r="P2379" s="314"/>
      <c r="Q2379" s="314"/>
      <c r="R2379" s="314"/>
      <c r="S2379" s="314"/>
      <c r="T2379" s="314"/>
      <c r="U2379" s="314"/>
      <c r="V2379" s="314"/>
      <c r="W2379" s="314"/>
      <c r="X2379" s="314"/>
      <c r="Y2379" s="314"/>
      <c r="Z2379" s="314"/>
      <c r="AA2379" s="314"/>
      <c r="AB2379" s="314"/>
      <c r="AC2379" s="314"/>
      <c r="AD2379" s="314"/>
      <c r="AE2379" s="314"/>
      <c r="AF2379" s="314"/>
    </row>
    <row r="2380" spans="5:32" x14ac:dyDescent="0.35">
      <c r="E2380" s="314"/>
      <c r="F2380" s="314"/>
      <c r="G2380" s="314"/>
      <c r="H2380" s="314"/>
      <c r="I2380" s="314"/>
      <c r="J2380" s="314"/>
      <c r="K2380" s="314"/>
      <c r="L2380" s="314"/>
      <c r="M2380" s="314"/>
      <c r="N2380" s="314"/>
      <c r="O2380" s="314"/>
      <c r="P2380" s="314"/>
      <c r="Q2380" s="314"/>
      <c r="R2380" s="314"/>
      <c r="S2380" s="314"/>
      <c r="T2380" s="314"/>
      <c r="U2380" s="314"/>
      <c r="V2380" s="314"/>
      <c r="W2380" s="314"/>
      <c r="X2380" s="314"/>
      <c r="Y2380" s="314"/>
      <c r="Z2380" s="314"/>
      <c r="AA2380" s="314"/>
      <c r="AB2380" s="314"/>
      <c r="AC2380" s="314"/>
      <c r="AD2380" s="314"/>
      <c r="AE2380" s="314"/>
      <c r="AF2380" s="314"/>
    </row>
    <row r="2381" spans="5:32" x14ac:dyDescent="0.35">
      <c r="E2381" s="314"/>
      <c r="F2381" s="314"/>
      <c r="G2381" s="314"/>
      <c r="H2381" s="314"/>
      <c r="I2381" s="314"/>
      <c r="J2381" s="314"/>
      <c r="K2381" s="314"/>
      <c r="L2381" s="314"/>
      <c r="M2381" s="314"/>
      <c r="N2381" s="314"/>
      <c r="O2381" s="314"/>
      <c r="P2381" s="314"/>
      <c r="Q2381" s="314"/>
      <c r="R2381" s="314"/>
      <c r="S2381" s="314"/>
      <c r="T2381" s="314"/>
      <c r="U2381" s="314"/>
      <c r="V2381" s="314"/>
      <c r="W2381" s="314"/>
      <c r="X2381" s="314"/>
      <c r="Y2381" s="314"/>
      <c r="Z2381" s="314"/>
      <c r="AA2381" s="314"/>
      <c r="AB2381" s="314"/>
      <c r="AC2381" s="314"/>
      <c r="AD2381" s="314"/>
      <c r="AE2381" s="314"/>
      <c r="AF2381" s="314"/>
    </row>
    <row r="2382" spans="5:32" x14ac:dyDescent="0.35">
      <c r="E2382" s="314"/>
      <c r="F2382" s="314"/>
      <c r="G2382" s="314"/>
      <c r="H2382" s="314"/>
      <c r="I2382" s="314"/>
      <c r="J2382" s="314"/>
      <c r="K2382" s="314"/>
      <c r="L2382" s="314"/>
      <c r="M2382" s="314"/>
      <c r="N2382" s="314"/>
      <c r="O2382" s="314"/>
      <c r="P2382" s="314"/>
      <c r="Q2382" s="314"/>
      <c r="R2382" s="314"/>
      <c r="S2382" s="314"/>
      <c r="T2382" s="314"/>
      <c r="U2382" s="314"/>
      <c r="V2382" s="314"/>
      <c r="W2382" s="314"/>
      <c r="X2382" s="314"/>
      <c r="Y2382" s="314"/>
      <c r="Z2382" s="314"/>
      <c r="AA2382" s="314"/>
      <c r="AB2382" s="314"/>
      <c r="AC2382" s="314"/>
      <c r="AD2382" s="314"/>
      <c r="AE2382" s="314"/>
      <c r="AF2382" s="314"/>
    </row>
    <row r="2383" spans="5:32" x14ac:dyDescent="0.35">
      <c r="E2383" s="314"/>
      <c r="F2383" s="314"/>
      <c r="G2383" s="314"/>
      <c r="H2383" s="314"/>
      <c r="I2383" s="314"/>
      <c r="J2383" s="314"/>
      <c r="K2383" s="314"/>
      <c r="L2383" s="314"/>
      <c r="M2383" s="314"/>
      <c r="N2383" s="314"/>
      <c r="O2383" s="314"/>
      <c r="P2383" s="314"/>
      <c r="Q2383" s="314"/>
      <c r="R2383" s="314"/>
      <c r="S2383" s="314"/>
      <c r="T2383" s="314"/>
      <c r="U2383" s="314"/>
      <c r="V2383" s="314"/>
      <c r="W2383" s="314"/>
      <c r="X2383" s="314"/>
      <c r="Y2383" s="314"/>
      <c r="Z2383" s="314"/>
      <c r="AA2383" s="314"/>
      <c r="AB2383" s="314"/>
      <c r="AC2383" s="314"/>
      <c r="AD2383" s="314"/>
      <c r="AE2383" s="314"/>
      <c r="AF2383" s="314"/>
    </row>
    <row r="2384" spans="5:32" x14ac:dyDescent="0.35">
      <c r="E2384" s="314"/>
      <c r="F2384" s="314"/>
      <c r="G2384" s="314"/>
      <c r="H2384" s="314"/>
      <c r="I2384" s="314"/>
      <c r="J2384" s="314"/>
      <c r="K2384" s="314"/>
      <c r="L2384" s="314"/>
      <c r="M2384" s="314"/>
      <c r="N2384" s="314"/>
      <c r="O2384" s="314"/>
      <c r="P2384" s="314"/>
      <c r="Q2384" s="314"/>
      <c r="R2384" s="314"/>
      <c r="S2384" s="314"/>
      <c r="T2384" s="314"/>
      <c r="U2384" s="314"/>
      <c r="V2384" s="314"/>
      <c r="W2384" s="314"/>
      <c r="X2384" s="314"/>
      <c r="Y2384" s="314"/>
      <c r="Z2384" s="314"/>
      <c r="AA2384" s="314"/>
      <c r="AB2384" s="314"/>
      <c r="AC2384" s="314"/>
      <c r="AD2384" s="314"/>
      <c r="AE2384" s="314"/>
      <c r="AF2384" s="314"/>
    </row>
    <row r="2385" spans="5:32" x14ac:dyDescent="0.35">
      <c r="E2385" s="314"/>
      <c r="F2385" s="314"/>
      <c r="G2385" s="314"/>
      <c r="H2385" s="314"/>
      <c r="I2385" s="314"/>
      <c r="J2385" s="314"/>
      <c r="K2385" s="314"/>
      <c r="L2385" s="314"/>
      <c r="M2385" s="314"/>
      <c r="N2385" s="314"/>
      <c r="O2385" s="314"/>
      <c r="P2385" s="314"/>
      <c r="Q2385" s="314"/>
      <c r="R2385" s="314"/>
      <c r="S2385" s="314"/>
      <c r="T2385" s="314"/>
      <c r="U2385" s="314"/>
      <c r="V2385" s="314"/>
      <c r="W2385" s="314"/>
      <c r="X2385" s="314"/>
      <c r="Y2385" s="314"/>
      <c r="Z2385" s="314"/>
      <c r="AA2385" s="314"/>
      <c r="AB2385" s="314"/>
      <c r="AC2385" s="314"/>
      <c r="AD2385" s="314"/>
      <c r="AE2385" s="314"/>
      <c r="AF2385" s="314"/>
    </row>
    <row r="2386" spans="5:32" x14ac:dyDescent="0.35">
      <c r="E2386" s="314"/>
      <c r="F2386" s="314"/>
      <c r="G2386" s="314"/>
      <c r="H2386" s="314"/>
      <c r="I2386" s="314"/>
      <c r="J2386" s="314"/>
      <c r="K2386" s="314"/>
      <c r="L2386" s="314"/>
      <c r="M2386" s="314"/>
      <c r="N2386" s="314"/>
      <c r="O2386" s="314"/>
      <c r="P2386" s="314"/>
      <c r="Q2386" s="314"/>
      <c r="R2386" s="314"/>
      <c r="S2386" s="314"/>
      <c r="T2386" s="314"/>
      <c r="U2386" s="314"/>
      <c r="V2386" s="314"/>
      <c r="W2386" s="314"/>
      <c r="X2386" s="314"/>
      <c r="Y2386" s="314"/>
      <c r="Z2386" s="314"/>
      <c r="AA2386" s="314"/>
      <c r="AB2386" s="314"/>
      <c r="AC2386" s="314"/>
      <c r="AD2386" s="314"/>
      <c r="AE2386" s="314"/>
      <c r="AF2386" s="314"/>
    </row>
    <row r="2387" spans="5:32" x14ac:dyDescent="0.35">
      <c r="E2387" s="314"/>
      <c r="F2387" s="314"/>
      <c r="G2387" s="314"/>
      <c r="H2387" s="314"/>
      <c r="I2387" s="314"/>
      <c r="J2387" s="314"/>
      <c r="K2387" s="314"/>
      <c r="L2387" s="314"/>
      <c r="M2387" s="314"/>
      <c r="N2387" s="314"/>
      <c r="O2387" s="314"/>
      <c r="P2387" s="314"/>
      <c r="Q2387" s="314"/>
      <c r="R2387" s="314"/>
      <c r="S2387" s="314"/>
      <c r="T2387" s="314"/>
      <c r="U2387" s="314"/>
      <c r="V2387" s="314"/>
      <c r="W2387" s="314"/>
      <c r="X2387" s="314"/>
      <c r="Y2387" s="314"/>
      <c r="Z2387" s="314"/>
      <c r="AA2387" s="314"/>
      <c r="AB2387" s="314"/>
      <c r="AC2387" s="314"/>
      <c r="AD2387" s="314"/>
      <c r="AE2387" s="314"/>
      <c r="AF2387" s="314"/>
    </row>
    <row r="2388" spans="5:32" x14ac:dyDescent="0.35">
      <c r="E2388" s="314"/>
      <c r="F2388" s="314"/>
      <c r="G2388" s="314"/>
      <c r="H2388" s="314"/>
      <c r="I2388" s="314"/>
      <c r="J2388" s="314"/>
      <c r="K2388" s="314"/>
      <c r="L2388" s="314"/>
      <c r="M2388" s="314"/>
      <c r="N2388" s="314"/>
      <c r="O2388" s="314"/>
      <c r="P2388" s="314"/>
      <c r="Q2388" s="314"/>
      <c r="R2388" s="314"/>
      <c r="S2388" s="314"/>
      <c r="T2388" s="314"/>
      <c r="U2388" s="314"/>
      <c r="V2388" s="314"/>
      <c r="W2388" s="314"/>
      <c r="X2388" s="314"/>
      <c r="Y2388" s="314"/>
      <c r="Z2388" s="314"/>
      <c r="AA2388" s="314"/>
      <c r="AB2388" s="314"/>
      <c r="AC2388" s="314"/>
      <c r="AD2388" s="314"/>
      <c r="AE2388" s="314"/>
      <c r="AF2388" s="314"/>
    </row>
    <row r="2389" spans="5:32" x14ac:dyDescent="0.35">
      <c r="E2389" s="314"/>
      <c r="F2389" s="314"/>
      <c r="G2389" s="314"/>
      <c r="H2389" s="314"/>
      <c r="I2389" s="314"/>
      <c r="J2389" s="314"/>
      <c r="K2389" s="314"/>
      <c r="L2389" s="314"/>
      <c r="M2389" s="314"/>
      <c r="N2389" s="314"/>
      <c r="O2389" s="314"/>
      <c r="P2389" s="314"/>
      <c r="Q2389" s="314"/>
      <c r="R2389" s="314"/>
      <c r="S2389" s="314"/>
      <c r="T2389" s="314"/>
      <c r="U2389" s="314"/>
      <c r="V2389" s="314"/>
      <c r="W2389" s="314"/>
      <c r="X2389" s="314"/>
      <c r="Y2389" s="314"/>
      <c r="Z2389" s="314"/>
      <c r="AA2389" s="314"/>
      <c r="AB2389" s="314"/>
      <c r="AC2389" s="314"/>
      <c r="AD2389" s="314"/>
      <c r="AE2389" s="314"/>
      <c r="AF2389" s="314"/>
    </row>
    <row r="2390" spans="5:32" x14ac:dyDescent="0.35">
      <c r="E2390" s="314"/>
      <c r="F2390" s="314"/>
      <c r="G2390" s="314"/>
      <c r="H2390" s="314"/>
      <c r="I2390" s="314"/>
      <c r="J2390" s="314"/>
      <c r="K2390" s="314"/>
      <c r="L2390" s="314"/>
      <c r="M2390" s="314"/>
      <c r="N2390" s="314"/>
      <c r="O2390" s="314"/>
      <c r="P2390" s="314"/>
      <c r="Q2390" s="314"/>
      <c r="R2390" s="314"/>
      <c r="S2390" s="314"/>
      <c r="T2390" s="314"/>
      <c r="U2390" s="314"/>
      <c r="V2390" s="314"/>
      <c r="W2390" s="314"/>
      <c r="X2390" s="314"/>
      <c r="Y2390" s="314"/>
      <c r="Z2390" s="314"/>
      <c r="AA2390" s="314"/>
      <c r="AB2390" s="314"/>
      <c r="AC2390" s="314"/>
      <c r="AD2390" s="314"/>
      <c r="AE2390" s="314"/>
      <c r="AF2390" s="314"/>
    </row>
    <row r="2391" spans="5:32" x14ac:dyDescent="0.35">
      <c r="E2391" s="314"/>
      <c r="F2391" s="314"/>
      <c r="G2391" s="314"/>
      <c r="H2391" s="314"/>
      <c r="I2391" s="314"/>
      <c r="J2391" s="314"/>
      <c r="K2391" s="314"/>
      <c r="L2391" s="314"/>
      <c r="M2391" s="314"/>
      <c r="N2391" s="314"/>
      <c r="O2391" s="314"/>
      <c r="P2391" s="314"/>
      <c r="Q2391" s="314"/>
      <c r="R2391" s="314"/>
      <c r="S2391" s="314"/>
      <c r="T2391" s="314"/>
      <c r="U2391" s="314"/>
      <c r="V2391" s="314"/>
      <c r="W2391" s="314"/>
      <c r="X2391" s="314"/>
      <c r="Y2391" s="314"/>
      <c r="Z2391" s="314"/>
      <c r="AA2391" s="314"/>
      <c r="AB2391" s="314"/>
      <c r="AC2391" s="314"/>
      <c r="AD2391" s="314"/>
      <c r="AE2391" s="314"/>
      <c r="AF2391" s="314"/>
    </row>
    <row r="2392" spans="5:32" x14ac:dyDescent="0.35">
      <c r="E2392" s="314"/>
      <c r="F2392" s="314"/>
      <c r="G2392" s="314"/>
      <c r="H2392" s="314"/>
      <c r="I2392" s="314"/>
      <c r="J2392" s="314"/>
      <c r="K2392" s="314"/>
      <c r="L2392" s="314"/>
      <c r="M2392" s="314"/>
      <c r="N2392" s="314"/>
      <c r="O2392" s="314"/>
      <c r="P2392" s="314"/>
      <c r="Q2392" s="314"/>
      <c r="R2392" s="314"/>
      <c r="S2392" s="314"/>
      <c r="T2392" s="314"/>
      <c r="U2392" s="314"/>
      <c r="V2392" s="314"/>
      <c r="W2392" s="314"/>
      <c r="X2392" s="314"/>
      <c r="Y2392" s="314"/>
      <c r="Z2392" s="314"/>
      <c r="AA2392" s="314"/>
      <c r="AB2392" s="314"/>
      <c r="AC2392" s="314"/>
      <c r="AD2392" s="314"/>
      <c r="AE2392" s="314"/>
      <c r="AF2392" s="314"/>
    </row>
    <row r="2393" spans="5:32" x14ac:dyDescent="0.35">
      <c r="E2393" s="314"/>
      <c r="F2393" s="314"/>
      <c r="G2393" s="314"/>
      <c r="H2393" s="314"/>
      <c r="I2393" s="314"/>
      <c r="J2393" s="314"/>
      <c r="K2393" s="314"/>
      <c r="L2393" s="314"/>
      <c r="M2393" s="314"/>
      <c r="N2393" s="314"/>
      <c r="O2393" s="314"/>
      <c r="P2393" s="314"/>
      <c r="Q2393" s="314"/>
      <c r="R2393" s="314"/>
      <c r="S2393" s="314"/>
      <c r="T2393" s="314"/>
      <c r="U2393" s="314"/>
      <c r="V2393" s="314"/>
      <c r="W2393" s="314"/>
      <c r="X2393" s="314"/>
      <c r="Y2393" s="314"/>
      <c r="Z2393" s="314"/>
      <c r="AA2393" s="314"/>
      <c r="AB2393" s="314"/>
      <c r="AC2393" s="314"/>
      <c r="AD2393" s="314"/>
      <c r="AE2393" s="314"/>
      <c r="AF2393" s="314"/>
    </row>
    <row r="2394" spans="5:32" x14ac:dyDescent="0.35">
      <c r="E2394" s="314"/>
      <c r="F2394" s="314"/>
      <c r="G2394" s="314"/>
      <c r="H2394" s="314"/>
      <c r="I2394" s="314"/>
      <c r="J2394" s="314"/>
      <c r="K2394" s="314"/>
      <c r="L2394" s="314"/>
      <c r="M2394" s="314"/>
      <c r="N2394" s="314"/>
      <c r="O2394" s="314"/>
      <c r="P2394" s="314"/>
      <c r="Q2394" s="314"/>
      <c r="R2394" s="314"/>
      <c r="S2394" s="314"/>
      <c r="T2394" s="314"/>
      <c r="U2394" s="314"/>
      <c r="V2394" s="314"/>
      <c r="W2394" s="314"/>
      <c r="X2394" s="314"/>
      <c r="Y2394" s="314"/>
      <c r="Z2394" s="314"/>
      <c r="AA2394" s="314"/>
      <c r="AB2394" s="314"/>
      <c r="AC2394" s="314"/>
      <c r="AD2394" s="314"/>
      <c r="AE2394" s="314"/>
      <c r="AF2394" s="314"/>
    </row>
    <row r="2395" spans="5:32" x14ac:dyDescent="0.35">
      <c r="E2395" s="314"/>
      <c r="F2395" s="314"/>
      <c r="G2395" s="314"/>
      <c r="H2395" s="314"/>
      <c r="I2395" s="314"/>
      <c r="J2395" s="314"/>
      <c r="K2395" s="314"/>
      <c r="L2395" s="314"/>
      <c r="M2395" s="314"/>
      <c r="N2395" s="314"/>
      <c r="O2395" s="314"/>
      <c r="P2395" s="314"/>
      <c r="Q2395" s="314"/>
      <c r="R2395" s="314"/>
      <c r="S2395" s="314"/>
      <c r="T2395" s="314"/>
      <c r="U2395" s="314"/>
      <c r="V2395" s="314"/>
      <c r="W2395" s="314"/>
      <c r="X2395" s="314"/>
      <c r="Y2395" s="314"/>
      <c r="Z2395" s="314"/>
      <c r="AA2395" s="314"/>
      <c r="AB2395" s="314"/>
      <c r="AC2395" s="314"/>
      <c r="AD2395" s="314"/>
      <c r="AE2395" s="314"/>
      <c r="AF2395" s="314"/>
    </row>
    <row r="2396" spans="5:32" x14ac:dyDescent="0.35">
      <c r="E2396" s="314"/>
      <c r="F2396" s="314"/>
      <c r="G2396" s="314"/>
      <c r="H2396" s="314"/>
      <c r="I2396" s="314"/>
      <c r="J2396" s="314"/>
      <c r="K2396" s="314"/>
      <c r="L2396" s="314"/>
      <c r="M2396" s="314"/>
      <c r="N2396" s="314"/>
      <c r="O2396" s="314"/>
      <c r="P2396" s="314"/>
      <c r="Q2396" s="314"/>
      <c r="R2396" s="314"/>
      <c r="S2396" s="314"/>
      <c r="T2396" s="314"/>
      <c r="U2396" s="314"/>
      <c r="V2396" s="314"/>
      <c r="W2396" s="314"/>
      <c r="X2396" s="314"/>
      <c r="Y2396" s="314"/>
      <c r="Z2396" s="314"/>
      <c r="AA2396" s="314"/>
      <c r="AB2396" s="314"/>
      <c r="AC2396" s="314"/>
      <c r="AD2396" s="314"/>
      <c r="AE2396" s="314"/>
      <c r="AF2396" s="314"/>
    </row>
    <row r="2397" spans="5:32" x14ac:dyDescent="0.35">
      <c r="E2397" s="314"/>
      <c r="F2397" s="314"/>
      <c r="G2397" s="314"/>
      <c r="H2397" s="314"/>
      <c r="I2397" s="314"/>
      <c r="J2397" s="314"/>
      <c r="K2397" s="314"/>
      <c r="L2397" s="314"/>
      <c r="M2397" s="314"/>
      <c r="N2397" s="314"/>
      <c r="O2397" s="314"/>
      <c r="P2397" s="314"/>
      <c r="Q2397" s="314"/>
      <c r="R2397" s="314"/>
      <c r="S2397" s="314"/>
      <c r="T2397" s="314"/>
      <c r="U2397" s="314"/>
      <c r="V2397" s="314"/>
      <c r="W2397" s="314"/>
      <c r="X2397" s="314"/>
      <c r="Y2397" s="314"/>
      <c r="Z2397" s="314"/>
      <c r="AA2397" s="314"/>
      <c r="AB2397" s="314"/>
      <c r="AC2397" s="314"/>
      <c r="AD2397" s="314"/>
      <c r="AE2397" s="314"/>
      <c r="AF2397" s="314"/>
    </row>
    <row r="2398" spans="5:32" x14ac:dyDescent="0.35">
      <c r="E2398" s="314"/>
      <c r="F2398" s="314"/>
      <c r="G2398" s="314"/>
      <c r="H2398" s="314"/>
      <c r="I2398" s="314"/>
      <c r="J2398" s="314"/>
      <c r="K2398" s="314"/>
      <c r="L2398" s="314"/>
      <c r="M2398" s="314"/>
      <c r="N2398" s="314"/>
      <c r="O2398" s="314"/>
      <c r="P2398" s="314"/>
      <c r="Q2398" s="314"/>
      <c r="R2398" s="314"/>
      <c r="S2398" s="314"/>
      <c r="T2398" s="314"/>
      <c r="U2398" s="314"/>
      <c r="V2398" s="314"/>
      <c r="W2398" s="314"/>
      <c r="X2398" s="314"/>
      <c r="Y2398" s="314"/>
      <c r="Z2398" s="314"/>
      <c r="AA2398" s="314"/>
      <c r="AB2398" s="314"/>
      <c r="AC2398" s="314"/>
      <c r="AD2398" s="314"/>
      <c r="AE2398" s="314"/>
      <c r="AF2398" s="314"/>
    </row>
    <row r="2399" spans="5:32" x14ac:dyDescent="0.35">
      <c r="E2399" s="314"/>
      <c r="F2399" s="314"/>
      <c r="G2399" s="314"/>
      <c r="H2399" s="314"/>
      <c r="I2399" s="314"/>
      <c r="J2399" s="314"/>
      <c r="K2399" s="314"/>
      <c r="L2399" s="314"/>
      <c r="M2399" s="314"/>
      <c r="N2399" s="314"/>
      <c r="O2399" s="314"/>
      <c r="P2399" s="314"/>
      <c r="Q2399" s="314"/>
      <c r="R2399" s="314"/>
      <c r="S2399" s="314"/>
      <c r="T2399" s="314"/>
      <c r="U2399" s="314"/>
      <c r="V2399" s="314"/>
      <c r="W2399" s="314"/>
      <c r="X2399" s="314"/>
      <c r="Y2399" s="314"/>
      <c r="Z2399" s="314"/>
      <c r="AA2399" s="314"/>
      <c r="AB2399" s="314"/>
      <c r="AC2399" s="314"/>
      <c r="AD2399" s="314"/>
      <c r="AE2399" s="314"/>
      <c r="AF2399" s="314"/>
    </row>
    <row r="2400" spans="5:32" x14ac:dyDescent="0.35">
      <c r="E2400" s="314"/>
      <c r="F2400" s="314"/>
      <c r="G2400" s="314"/>
      <c r="H2400" s="314"/>
      <c r="I2400" s="314"/>
      <c r="J2400" s="314"/>
      <c r="K2400" s="314"/>
      <c r="L2400" s="314"/>
      <c r="M2400" s="314"/>
      <c r="N2400" s="314"/>
      <c r="O2400" s="314"/>
      <c r="P2400" s="314"/>
      <c r="Q2400" s="314"/>
      <c r="R2400" s="314"/>
      <c r="S2400" s="314"/>
      <c r="T2400" s="314"/>
      <c r="U2400" s="314"/>
      <c r="V2400" s="314"/>
      <c r="W2400" s="314"/>
      <c r="X2400" s="314"/>
      <c r="Y2400" s="314"/>
      <c r="Z2400" s="314"/>
      <c r="AA2400" s="314"/>
      <c r="AB2400" s="314"/>
      <c r="AC2400" s="314"/>
      <c r="AD2400" s="314"/>
      <c r="AE2400" s="314"/>
      <c r="AF2400" s="314"/>
    </row>
    <row r="2401" spans="5:32" x14ac:dyDescent="0.35">
      <c r="E2401" s="314"/>
      <c r="F2401" s="314"/>
      <c r="G2401" s="314"/>
      <c r="H2401" s="314"/>
      <c r="I2401" s="314"/>
      <c r="J2401" s="314"/>
      <c r="K2401" s="314"/>
      <c r="L2401" s="314"/>
      <c r="M2401" s="314"/>
      <c r="N2401" s="314"/>
      <c r="O2401" s="314"/>
      <c r="P2401" s="314"/>
      <c r="Q2401" s="314"/>
      <c r="R2401" s="314"/>
      <c r="S2401" s="314"/>
      <c r="T2401" s="314"/>
      <c r="U2401" s="314"/>
      <c r="V2401" s="314"/>
      <c r="W2401" s="314"/>
      <c r="X2401" s="314"/>
      <c r="Y2401" s="314"/>
      <c r="Z2401" s="314"/>
      <c r="AA2401" s="314"/>
      <c r="AB2401" s="314"/>
      <c r="AC2401" s="314"/>
      <c r="AD2401" s="314"/>
      <c r="AE2401" s="314"/>
      <c r="AF2401" s="314"/>
    </row>
    <row r="2402" spans="5:32" x14ac:dyDescent="0.35">
      <c r="E2402" s="314"/>
      <c r="F2402" s="314"/>
      <c r="G2402" s="314"/>
      <c r="H2402" s="314"/>
      <c r="I2402" s="314"/>
      <c r="J2402" s="314"/>
      <c r="K2402" s="314"/>
      <c r="L2402" s="314"/>
      <c r="M2402" s="314"/>
      <c r="N2402" s="314"/>
      <c r="O2402" s="314"/>
      <c r="P2402" s="314"/>
      <c r="Q2402" s="314"/>
      <c r="R2402" s="314"/>
      <c r="S2402" s="314"/>
      <c r="T2402" s="314"/>
      <c r="U2402" s="314"/>
      <c r="V2402" s="314"/>
      <c r="W2402" s="314"/>
      <c r="X2402" s="314"/>
      <c r="Y2402" s="314"/>
      <c r="Z2402" s="314"/>
      <c r="AA2402" s="314"/>
      <c r="AB2402" s="314"/>
      <c r="AC2402" s="314"/>
      <c r="AD2402" s="314"/>
      <c r="AE2402" s="314"/>
      <c r="AF2402" s="314"/>
    </row>
    <row r="2403" spans="5:32" x14ac:dyDescent="0.35">
      <c r="E2403" s="314"/>
      <c r="F2403" s="314"/>
      <c r="G2403" s="314"/>
      <c r="H2403" s="314"/>
      <c r="I2403" s="314"/>
      <c r="J2403" s="314"/>
      <c r="K2403" s="314"/>
      <c r="L2403" s="314"/>
      <c r="M2403" s="314"/>
      <c r="N2403" s="314"/>
      <c r="O2403" s="314"/>
      <c r="P2403" s="314"/>
      <c r="Q2403" s="314"/>
      <c r="R2403" s="314"/>
      <c r="S2403" s="314"/>
      <c r="T2403" s="314"/>
      <c r="U2403" s="314"/>
      <c r="V2403" s="314"/>
      <c r="W2403" s="314"/>
      <c r="X2403" s="314"/>
      <c r="Y2403" s="314"/>
      <c r="Z2403" s="314"/>
      <c r="AA2403" s="314"/>
      <c r="AB2403" s="314"/>
      <c r="AC2403" s="314"/>
      <c r="AD2403" s="314"/>
      <c r="AE2403" s="314"/>
      <c r="AF2403" s="314"/>
    </row>
    <row r="2404" spans="5:32" x14ac:dyDescent="0.35">
      <c r="E2404" s="314"/>
      <c r="F2404" s="314"/>
      <c r="G2404" s="314"/>
      <c r="H2404" s="314"/>
      <c r="I2404" s="314"/>
      <c r="J2404" s="314"/>
      <c r="K2404" s="314"/>
      <c r="L2404" s="314"/>
      <c r="M2404" s="314"/>
      <c r="N2404" s="314"/>
      <c r="O2404" s="314"/>
      <c r="P2404" s="314"/>
      <c r="Q2404" s="314"/>
      <c r="R2404" s="314"/>
      <c r="S2404" s="314"/>
      <c r="T2404" s="314"/>
      <c r="U2404" s="314"/>
      <c r="V2404" s="314"/>
      <c r="W2404" s="314"/>
      <c r="X2404" s="314"/>
      <c r="Y2404" s="314"/>
      <c r="Z2404" s="314"/>
      <c r="AA2404" s="314"/>
      <c r="AB2404" s="314"/>
      <c r="AC2404" s="314"/>
      <c r="AD2404" s="314"/>
      <c r="AE2404" s="314"/>
      <c r="AF2404" s="314"/>
    </row>
    <row r="2405" spans="5:32" x14ac:dyDescent="0.35">
      <c r="E2405" s="314"/>
      <c r="F2405" s="314"/>
      <c r="G2405" s="314"/>
      <c r="H2405" s="314"/>
      <c r="I2405" s="314"/>
      <c r="J2405" s="314"/>
      <c r="K2405" s="314"/>
      <c r="L2405" s="314"/>
      <c r="M2405" s="314"/>
      <c r="N2405" s="314"/>
      <c r="O2405" s="314"/>
      <c r="P2405" s="314"/>
      <c r="Q2405" s="314"/>
      <c r="R2405" s="314"/>
      <c r="S2405" s="314"/>
      <c r="T2405" s="314"/>
      <c r="U2405" s="314"/>
      <c r="V2405" s="314"/>
      <c r="W2405" s="314"/>
      <c r="X2405" s="314"/>
      <c r="Y2405" s="314"/>
      <c r="Z2405" s="314"/>
      <c r="AA2405" s="314"/>
      <c r="AB2405" s="314"/>
      <c r="AC2405" s="314"/>
      <c r="AD2405" s="314"/>
      <c r="AE2405" s="314"/>
      <c r="AF2405" s="314"/>
    </row>
    <row r="2406" spans="5:32" x14ac:dyDescent="0.35">
      <c r="E2406" s="314"/>
      <c r="F2406" s="314"/>
      <c r="G2406" s="314"/>
      <c r="H2406" s="314"/>
      <c r="I2406" s="314"/>
      <c r="J2406" s="314"/>
      <c r="K2406" s="314"/>
      <c r="L2406" s="314"/>
      <c r="M2406" s="314"/>
      <c r="N2406" s="314"/>
      <c r="O2406" s="314"/>
      <c r="P2406" s="314"/>
      <c r="Q2406" s="314"/>
      <c r="R2406" s="314"/>
      <c r="S2406" s="314"/>
      <c r="T2406" s="314"/>
      <c r="U2406" s="314"/>
      <c r="V2406" s="314"/>
      <c r="W2406" s="314"/>
      <c r="X2406" s="314"/>
      <c r="Y2406" s="314"/>
      <c r="Z2406" s="314"/>
      <c r="AA2406" s="314"/>
      <c r="AB2406" s="314"/>
      <c r="AC2406" s="314"/>
      <c r="AD2406" s="314"/>
      <c r="AE2406" s="314"/>
      <c r="AF2406" s="314"/>
    </row>
    <row r="2407" spans="5:32" x14ac:dyDescent="0.35">
      <c r="E2407" s="314"/>
      <c r="F2407" s="314"/>
      <c r="G2407" s="314"/>
      <c r="H2407" s="314"/>
      <c r="I2407" s="314"/>
      <c r="J2407" s="314"/>
      <c r="K2407" s="314"/>
      <c r="L2407" s="314"/>
      <c r="M2407" s="314"/>
      <c r="N2407" s="314"/>
      <c r="O2407" s="314"/>
      <c r="P2407" s="314"/>
      <c r="Q2407" s="314"/>
      <c r="R2407" s="314"/>
      <c r="S2407" s="314"/>
      <c r="T2407" s="314"/>
      <c r="U2407" s="314"/>
      <c r="V2407" s="314"/>
      <c r="W2407" s="314"/>
      <c r="X2407" s="314"/>
      <c r="Y2407" s="314"/>
      <c r="Z2407" s="314"/>
      <c r="AA2407" s="314"/>
      <c r="AB2407" s="314"/>
      <c r="AC2407" s="314"/>
      <c r="AD2407" s="314"/>
      <c r="AE2407" s="314"/>
      <c r="AF2407" s="314"/>
    </row>
    <row r="2408" spans="5:32" x14ac:dyDescent="0.35">
      <c r="E2408" s="314"/>
      <c r="F2408" s="314"/>
      <c r="G2408" s="314"/>
      <c r="H2408" s="314"/>
      <c r="I2408" s="314"/>
      <c r="J2408" s="314"/>
      <c r="K2408" s="314"/>
      <c r="L2408" s="314"/>
      <c r="M2408" s="314"/>
      <c r="N2408" s="314"/>
      <c r="O2408" s="314"/>
      <c r="P2408" s="314"/>
      <c r="Q2408" s="314"/>
      <c r="R2408" s="314"/>
      <c r="S2408" s="314"/>
      <c r="T2408" s="314"/>
      <c r="U2408" s="314"/>
      <c r="V2408" s="314"/>
      <c r="W2408" s="314"/>
      <c r="X2408" s="314"/>
      <c r="Y2408" s="314"/>
      <c r="Z2408" s="314"/>
      <c r="AA2408" s="314"/>
      <c r="AB2408" s="314"/>
      <c r="AC2408" s="314"/>
      <c r="AD2408" s="314"/>
      <c r="AE2408" s="314"/>
      <c r="AF2408" s="314"/>
    </row>
    <row r="2409" spans="5:32" x14ac:dyDescent="0.35">
      <c r="E2409" s="314"/>
      <c r="F2409" s="314"/>
      <c r="G2409" s="314"/>
      <c r="H2409" s="314"/>
      <c r="I2409" s="314"/>
      <c r="J2409" s="314"/>
      <c r="K2409" s="314"/>
      <c r="L2409" s="314"/>
      <c r="M2409" s="314"/>
      <c r="N2409" s="314"/>
      <c r="O2409" s="314"/>
      <c r="P2409" s="314"/>
      <c r="Q2409" s="314"/>
      <c r="R2409" s="314"/>
      <c r="S2409" s="314"/>
      <c r="T2409" s="314"/>
      <c r="U2409" s="314"/>
      <c r="V2409" s="314"/>
      <c r="W2409" s="314"/>
      <c r="X2409" s="314"/>
      <c r="Y2409" s="314"/>
      <c r="Z2409" s="314"/>
      <c r="AA2409" s="314"/>
      <c r="AB2409" s="314"/>
      <c r="AC2409" s="314"/>
      <c r="AD2409" s="314"/>
      <c r="AE2409" s="314"/>
      <c r="AF2409" s="314"/>
    </row>
    <row r="2410" spans="5:32" x14ac:dyDescent="0.35">
      <c r="E2410" s="314"/>
      <c r="F2410" s="314"/>
      <c r="G2410" s="314"/>
      <c r="H2410" s="314"/>
      <c r="I2410" s="314"/>
      <c r="J2410" s="314"/>
      <c r="K2410" s="314"/>
      <c r="L2410" s="314"/>
      <c r="M2410" s="314"/>
      <c r="N2410" s="314"/>
      <c r="O2410" s="314"/>
      <c r="P2410" s="314"/>
      <c r="Q2410" s="314"/>
      <c r="R2410" s="314"/>
      <c r="S2410" s="314"/>
      <c r="T2410" s="314"/>
      <c r="U2410" s="314"/>
      <c r="V2410" s="314"/>
      <c r="W2410" s="314"/>
      <c r="X2410" s="314"/>
      <c r="Y2410" s="314"/>
      <c r="Z2410" s="314"/>
      <c r="AA2410" s="314"/>
      <c r="AB2410" s="314"/>
      <c r="AC2410" s="314"/>
      <c r="AD2410" s="314"/>
      <c r="AE2410" s="314"/>
      <c r="AF2410" s="314"/>
    </row>
    <row r="2411" spans="5:32" x14ac:dyDescent="0.35">
      <c r="E2411" s="314"/>
      <c r="F2411" s="314"/>
      <c r="G2411" s="314"/>
      <c r="H2411" s="314"/>
      <c r="I2411" s="314"/>
      <c r="J2411" s="314"/>
      <c r="K2411" s="314"/>
      <c r="L2411" s="314"/>
      <c r="M2411" s="314"/>
      <c r="N2411" s="314"/>
      <c r="O2411" s="314"/>
      <c r="P2411" s="314"/>
      <c r="Q2411" s="314"/>
      <c r="R2411" s="314"/>
      <c r="S2411" s="314"/>
      <c r="T2411" s="314"/>
      <c r="U2411" s="314"/>
      <c r="V2411" s="314"/>
      <c r="W2411" s="314"/>
      <c r="X2411" s="314"/>
      <c r="Y2411" s="314"/>
      <c r="Z2411" s="314"/>
      <c r="AA2411" s="314"/>
      <c r="AB2411" s="314"/>
      <c r="AC2411" s="314"/>
      <c r="AD2411" s="314"/>
      <c r="AE2411" s="314"/>
      <c r="AF2411" s="314"/>
    </row>
    <row r="2412" spans="5:32" x14ac:dyDescent="0.35">
      <c r="E2412" s="314"/>
      <c r="F2412" s="314"/>
      <c r="G2412" s="314"/>
      <c r="H2412" s="314"/>
      <c r="I2412" s="314"/>
      <c r="J2412" s="314"/>
      <c r="K2412" s="314"/>
      <c r="L2412" s="314"/>
      <c r="M2412" s="314"/>
      <c r="N2412" s="314"/>
      <c r="O2412" s="314"/>
      <c r="P2412" s="314"/>
      <c r="Q2412" s="314"/>
      <c r="R2412" s="314"/>
      <c r="S2412" s="314"/>
      <c r="T2412" s="314"/>
      <c r="U2412" s="314"/>
      <c r="V2412" s="314"/>
      <c r="W2412" s="314"/>
      <c r="X2412" s="314"/>
      <c r="Y2412" s="314"/>
      <c r="Z2412" s="314"/>
      <c r="AA2412" s="314"/>
      <c r="AB2412" s="314"/>
      <c r="AC2412" s="314"/>
      <c r="AD2412" s="314"/>
      <c r="AE2412" s="314"/>
      <c r="AF2412" s="314"/>
    </row>
    <row r="2413" spans="5:32" x14ac:dyDescent="0.35">
      <c r="E2413" s="314"/>
      <c r="F2413" s="314"/>
      <c r="G2413" s="314"/>
      <c r="H2413" s="314"/>
      <c r="I2413" s="314"/>
      <c r="J2413" s="314"/>
      <c r="K2413" s="314"/>
      <c r="L2413" s="314"/>
      <c r="M2413" s="314"/>
      <c r="N2413" s="314"/>
      <c r="O2413" s="314"/>
      <c r="P2413" s="314"/>
      <c r="Q2413" s="314"/>
      <c r="R2413" s="314"/>
      <c r="S2413" s="314"/>
      <c r="T2413" s="314"/>
      <c r="U2413" s="314"/>
      <c r="V2413" s="314"/>
      <c r="W2413" s="314"/>
      <c r="X2413" s="314"/>
      <c r="Y2413" s="314"/>
      <c r="Z2413" s="314"/>
      <c r="AA2413" s="314"/>
      <c r="AB2413" s="314"/>
      <c r="AC2413" s="314"/>
      <c r="AD2413" s="314"/>
      <c r="AE2413" s="314"/>
      <c r="AF2413" s="314"/>
    </row>
    <row r="2414" spans="5:32" x14ac:dyDescent="0.35">
      <c r="E2414" s="314"/>
      <c r="F2414" s="314"/>
      <c r="G2414" s="314"/>
      <c r="H2414" s="314"/>
      <c r="I2414" s="314"/>
      <c r="J2414" s="314"/>
      <c r="K2414" s="314"/>
      <c r="L2414" s="314"/>
      <c r="M2414" s="314"/>
      <c r="N2414" s="314"/>
      <c r="O2414" s="314"/>
      <c r="P2414" s="314"/>
      <c r="Q2414" s="314"/>
      <c r="R2414" s="314"/>
      <c r="S2414" s="314"/>
      <c r="T2414" s="314"/>
      <c r="U2414" s="314"/>
      <c r="V2414" s="314"/>
      <c r="W2414" s="314"/>
      <c r="X2414" s="314"/>
      <c r="Y2414" s="314"/>
      <c r="Z2414" s="314"/>
      <c r="AA2414" s="314"/>
      <c r="AB2414" s="314"/>
      <c r="AC2414" s="314"/>
      <c r="AD2414" s="314"/>
      <c r="AE2414" s="314"/>
      <c r="AF2414" s="314"/>
    </row>
    <row r="2415" spans="5:32" x14ac:dyDescent="0.35">
      <c r="E2415" s="314"/>
      <c r="F2415" s="314"/>
      <c r="G2415" s="314"/>
      <c r="H2415" s="314"/>
      <c r="I2415" s="314"/>
      <c r="J2415" s="314"/>
      <c r="K2415" s="314"/>
      <c r="L2415" s="314"/>
      <c r="M2415" s="314"/>
      <c r="N2415" s="314"/>
      <c r="O2415" s="314"/>
      <c r="P2415" s="314"/>
      <c r="Q2415" s="314"/>
      <c r="R2415" s="314"/>
      <c r="S2415" s="314"/>
      <c r="T2415" s="314"/>
      <c r="U2415" s="314"/>
      <c r="V2415" s="314"/>
      <c r="W2415" s="314"/>
      <c r="X2415" s="314"/>
      <c r="Y2415" s="314"/>
      <c r="Z2415" s="314"/>
      <c r="AA2415" s="314"/>
      <c r="AB2415" s="314"/>
      <c r="AC2415" s="314"/>
      <c r="AD2415" s="314"/>
      <c r="AE2415" s="314"/>
      <c r="AF2415" s="314"/>
    </row>
    <row r="2416" spans="5:32" x14ac:dyDescent="0.35">
      <c r="E2416" s="314"/>
      <c r="F2416" s="314"/>
      <c r="G2416" s="314"/>
      <c r="H2416" s="314"/>
      <c r="I2416" s="314"/>
      <c r="J2416" s="314"/>
      <c r="K2416" s="314"/>
      <c r="L2416" s="314"/>
      <c r="M2416" s="314"/>
      <c r="N2416" s="314"/>
      <c r="O2416" s="314"/>
      <c r="P2416" s="314"/>
      <c r="Q2416" s="314"/>
      <c r="R2416" s="314"/>
      <c r="S2416" s="314"/>
      <c r="T2416" s="314"/>
      <c r="U2416" s="314"/>
      <c r="V2416" s="314"/>
      <c r="W2416" s="314"/>
      <c r="X2416" s="314"/>
      <c r="Y2416" s="314"/>
      <c r="Z2416" s="314"/>
      <c r="AA2416" s="314"/>
      <c r="AB2416" s="314"/>
      <c r="AC2416" s="314"/>
      <c r="AD2416" s="314"/>
      <c r="AE2416" s="314"/>
      <c r="AF2416" s="314"/>
    </row>
    <row r="2417" spans="5:32" x14ac:dyDescent="0.35">
      <c r="E2417" s="314"/>
      <c r="F2417" s="314"/>
      <c r="G2417" s="314"/>
      <c r="H2417" s="314"/>
      <c r="I2417" s="314"/>
      <c r="J2417" s="314"/>
      <c r="K2417" s="314"/>
      <c r="L2417" s="314"/>
      <c r="M2417" s="314"/>
      <c r="N2417" s="314"/>
      <c r="O2417" s="314"/>
      <c r="P2417" s="314"/>
      <c r="Q2417" s="314"/>
      <c r="R2417" s="314"/>
      <c r="S2417" s="314"/>
      <c r="T2417" s="314"/>
      <c r="U2417" s="314"/>
      <c r="V2417" s="314"/>
      <c r="W2417" s="314"/>
      <c r="X2417" s="314"/>
      <c r="Y2417" s="314"/>
      <c r="Z2417" s="314"/>
      <c r="AA2417" s="314"/>
      <c r="AB2417" s="314"/>
      <c r="AC2417" s="314"/>
      <c r="AD2417" s="314"/>
      <c r="AE2417" s="314"/>
      <c r="AF2417" s="314"/>
    </row>
    <row r="2418" spans="5:32" x14ac:dyDescent="0.35">
      <c r="E2418" s="314"/>
      <c r="F2418" s="314"/>
      <c r="G2418" s="314"/>
      <c r="H2418" s="314"/>
      <c r="I2418" s="314"/>
      <c r="J2418" s="314"/>
      <c r="K2418" s="314"/>
      <c r="L2418" s="314"/>
      <c r="M2418" s="314"/>
      <c r="N2418" s="314"/>
      <c r="O2418" s="314"/>
      <c r="P2418" s="314"/>
      <c r="Q2418" s="314"/>
      <c r="R2418" s="314"/>
      <c r="S2418" s="314"/>
      <c r="T2418" s="314"/>
      <c r="U2418" s="314"/>
      <c r="V2418" s="314"/>
      <c r="W2418" s="314"/>
      <c r="X2418" s="314"/>
      <c r="Y2418" s="314"/>
      <c r="Z2418" s="314"/>
      <c r="AA2418" s="314"/>
      <c r="AB2418" s="314"/>
      <c r="AC2418" s="314"/>
      <c r="AD2418" s="314"/>
      <c r="AE2418" s="314"/>
      <c r="AF2418" s="314"/>
    </row>
    <row r="2419" spans="5:32" x14ac:dyDescent="0.35">
      <c r="E2419" s="314"/>
      <c r="F2419" s="314"/>
      <c r="G2419" s="314"/>
      <c r="H2419" s="314"/>
      <c r="I2419" s="314"/>
      <c r="J2419" s="314"/>
      <c r="K2419" s="314"/>
      <c r="L2419" s="314"/>
      <c r="M2419" s="314"/>
      <c r="N2419" s="314"/>
      <c r="O2419" s="314"/>
      <c r="P2419" s="314"/>
      <c r="Q2419" s="314"/>
      <c r="R2419" s="314"/>
      <c r="S2419" s="314"/>
      <c r="T2419" s="314"/>
      <c r="U2419" s="314"/>
      <c r="V2419" s="314"/>
      <c r="W2419" s="314"/>
      <c r="X2419" s="314"/>
      <c r="Y2419" s="314"/>
      <c r="Z2419" s="314"/>
      <c r="AA2419" s="314"/>
      <c r="AB2419" s="314"/>
      <c r="AC2419" s="314"/>
      <c r="AD2419" s="314"/>
      <c r="AE2419" s="314"/>
      <c r="AF2419" s="314"/>
    </row>
    <row r="2420" spans="5:32" x14ac:dyDescent="0.35">
      <c r="E2420" s="314"/>
      <c r="F2420" s="314"/>
      <c r="G2420" s="314"/>
      <c r="H2420" s="314"/>
      <c r="I2420" s="314"/>
      <c r="J2420" s="314"/>
      <c r="K2420" s="314"/>
      <c r="L2420" s="314"/>
      <c r="M2420" s="314"/>
      <c r="N2420" s="314"/>
      <c r="O2420" s="314"/>
      <c r="P2420" s="314"/>
      <c r="Q2420" s="314"/>
      <c r="R2420" s="314"/>
      <c r="S2420" s="314"/>
      <c r="T2420" s="314"/>
      <c r="U2420" s="314"/>
      <c r="V2420" s="314"/>
      <c r="W2420" s="314"/>
      <c r="X2420" s="314"/>
      <c r="Y2420" s="314"/>
      <c r="Z2420" s="314"/>
      <c r="AA2420" s="314"/>
      <c r="AB2420" s="314"/>
      <c r="AC2420" s="314"/>
      <c r="AD2420" s="314"/>
      <c r="AE2420" s="314"/>
      <c r="AF2420" s="314"/>
    </row>
    <row r="2421" spans="5:32" x14ac:dyDescent="0.35">
      <c r="E2421" s="314"/>
      <c r="F2421" s="314"/>
      <c r="G2421" s="314"/>
      <c r="H2421" s="314"/>
      <c r="I2421" s="314"/>
      <c r="J2421" s="314"/>
      <c r="K2421" s="314"/>
      <c r="L2421" s="314"/>
      <c r="M2421" s="314"/>
      <c r="N2421" s="314"/>
      <c r="O2421" s="314"/>
      <c r="P2421" s="314"/>
      <c r="Q2421" s="314"/>
      <c r="R2421" s="314"/>
      <c r="S2421" s="314"/>
      <c r="T2421" s="314"/>
      <c r="U2421" s="314"/>
      <c r="V2421" s="314"/>
      <c r="W2421" s="314"/>
      <c r="X2421" s="314"/>
      <c r="Y2421" s="314"/>
      <c r="Z2421" s="314"/>
      <c r="AA2421" s="314"/>
      <c r="AB2421" s="314"/>
      <c r="AC2421" s="314"/>
      <c r="AD2421" s="314"/>
      <c r="AE2421" s="314"/>
      <c r="AF2421" s="314"/>
    </row>
    <row r="2422" spans="5:32" x14ac:dyDescent="0.35">
      <c r="E2422" s="314"/>
      <c r="F2422" s="314"/>
      <c r="G2422" s="314"/>
      <c r="H2422" s="314"/>
      <c r="I2422" s="314"/>
      <c r="J2422" s="314"/>
      <c r="K2422" s="314"/>
      <c r="L2422" s="314"/>
      <c r="M2422" s="314"/>
      <c r="N2422" s="314"/>
      <c r="O2422" s="314"/>
      <c r="P2422" s="314"/>
      <c r="Q2422" s="314"/>
      <c r="R2422" s="314"/>
      <c r="S2422" s="314"/>
      <c r="T2422" s="314"/>
      <c r="U2422" s="314"/>
      <c r="V2422" s="314"/>
      <c r="W2422" s="314"/>
      <c r="X2422" s="314"/>
      <c r="Y2422" s="314"/>
      <c r="Z2422" s="314"/>
      <c r="AA2422" s="314"/>
      <c r="AB2422" s="314"/>
      <c r="AC2422" s="314"/>
      <c r="AD2422" s="314"/>
      <c r="AE2422" s="314"/>
      <c r="AF2422" s="314"/>
    </row>
    <row r="2423" spans="5:32" x14ac:dyDescent="0.35">
      <c r="E2423" s="314"/>
      <c r="F2423" s="314"/>
      <c r="G2423" s="314"/>
      <c r="H2423" s="314"/>
      <c r="I2423" s="314"/>
      <c r="J2423" s="314"/>
      <c r="K2423" s="314"/>
      <c r="L2423" s="314"/>
      <c r="M2423" s="314"/>
      <c r="N2423" s="314"/>
      <c r="O2423" s="314"/>
      <c r="P2423" s="314"/>
      <c r="Q2423" s="314"/>
      <c r="R2423" s="314"/>
      <c r="S2423" s="314"/>
      <c r="T2423" s="314"/>
      <c r="U2423" s="314"/>
      <c r="V2423" s="314"/>
      <c r="W2423" s="314"/>
      <c r="X2423" s="314"/>
      <c r="Y2423" s="314"/>
      <c r="Z2423" s="314"/>
      <c r="AA2423" s="314"/>
      <c r="AB2423" s="314"/>
      <c r="AC2423" s="314"/>
      <c r="AD2423" s="314"/>
      <c r="AE2423" s="314"/>
      <c r="AF2423" s="314"/>
    </row>
    <row r="2424" spans="5:32" x14ac:dyDescent="0.35">
      <c r="E2424" s="314"/>
      <c r="F2424" s="314"/>
      <c r="G2424" s="314"/>
      <c r="H2424" s="314"/>
      <c r="I2424" s="314"/>
      <c r="J2424" s="314"/>
      <c r="K2424" s="314"/>
      <c r="L2424" s="314"/>
      <c r="M2424" s="314"/>
      <c r="N2424" s="314"/>
      <c r="O2424" s="314"/>
      <c r="P2424" s="314"/>
      <c r="Q2424" s="314"/>
      <c r="R2424" s="314"/>
      <c r="S2424" s="314"/>
      <c r="T2424" s="314"/>
      <c r="U2424" s="314"/>
      <c r="V2424" s="314"/>
      <c r="W2424" s="314"/>
      <c r="X2424" s="314"/>
      <c r="Y2424" s="314"/>
      <c r="Z2424" s="314"/>
      <c r="AA2424" s="314"/>
      <c r="AB2424" s="314"/>
      <c r="AC2424" s="314"/>
      <c r="AD2424" s="314"/>
      <c r="AE2424" s="314"/>
      <c r="AF2424" s="314"/>
    </row>
    <row r="2425" spans="5:32" x14ac:dyDescent="0.35">
      <c r="E2425" s="314"/>
      <c r="F2425" s="314"/>
      <c r="G2425" s="314"/>
      <c r="H2425" s="314"/>
      <c r="I2425" s="314"/>
      <c r="J2425" s="314"/>
      <c r="K2425" s="314"/>
      <c r="L2425" s="314"/>
      <c r="M2425" s="314"/>
      <c r="N2425" s="314"/>
      <c r="O2425" s="314"/>
      <c r="P2425" s="314"/>
      <c r="Q2425" s="314"/>
      <c r="R2425" s="314"/>
      <c r="S2425" s="314"/>
      <c r="T2425" s="314"/>
      <c r="U2425" s="314"/>
      <c r="V2425" s="314"/>
      <c r="W2425" s="314"/>
      <c r="X2425" s="314"/>
      <c r="Y2425" s="314"/>
      <c r="Z2425" s="314"/>
      <c r="AA2425" s="314"/>
      <c r="AB2425" s="314"/>
      <c r="AC2425" s="314"/>
      <c r="AD2425" s="314"/>
      <c r="AE2425" s="314"/>
      <c r="AF2425" s="314"/>
    </row>
    <row r="2426" spans="5:32" x14ac:dyDescent="0.35">
      <c r="E2426" s="314"/>
      <c r="F2426" s="314"/>
      <c r="G2426" s="314"/>
      <c r="H2426" s="314"/>
      <c r="I2426" s="314"/>
      <c r="J2426" s="314"/>
      <c r="K2426" s="314"/>
      <c r="L2426" s="314"/>
      <c r="M2426" s="314"/>
      <c r="N2426" s="314"/>
      <c r="O2426" s="314"/>
      <c r="P2426" s="314"/>
      <c r="Q2426" s="314"/>
      <c r="R2426" s="314"/>
      <c r="S2426" s="314"/>
      <c r="T2426" s="314"/>
      <c r="U2426" s="314"/>
      <c r="V2426" s="314"/>
      <c r="W2426" s="314"/>
      <c r="X2426" s="314"/>
      <c r="Y2426" s="314"/>
      <c r="Z2426" s="314"/>
      <c r="AA2426" s="314"/>
      <c r="AB2426" s="314"/>
      <c r="AC2426" s="314"/>
      <c r="AD2426" s="314"/>
      <c r="AE2426" s="314"/>
      <c r="AF2426" s="314"/>
    </row>
    <row r="2427" spans="5:32" x14ac:dyDescent="0.35">
      <c r="E2427" s="314"/>
      <c r="F2427" s="314"/>
      <c r="G2427" s="314"/>
      <c r="H2427" s="314"/>
      <c r="I2427" s="314"/>
      <c r="J2427" s="314"/>
      <c r="K2427" s="314"/>
      <c r="L2427" s="314"/>
      <c r="M2427" s="314"/>
      <c r="N2427" s="314"/>
      <c r="O2427" s="314"/>
      <c r="P2427" s="314"/>
      <c r="Q2427" s="314"/>
      <c r="R2427" s="314"/>
      <c r="S2427" s="314"/>
      <c r="T2427" s="314"/>
      <c r="U2427" s="314"/>
      <c r="V2427" s="314"/>
      <c r="W2427" s="314"/>
      <c r="X2427" s="314"/>
      <c r="Y2427" s="314"/>
      <c r="Z2427" s="314"/>
      <c r="AA2427" s="314"/>
      <c r="AB2427" s="314"/>
      <c r="AC2427" s="314"/>
      <c r="AD2427" s="314"/>
      <c r="AE2427" s="314"/>
      <c r="AF2427" s="314"/>
    </row>
    <row r="2428" spans="5:32" x14ac:dyDescent="0.35">
      <c r="E2428" s="314"/>
      <c r="F2428" s="314"/>
      <c r="G2428" s="314"/>
      <c r="H2428" s="314"/>
      <c r="I2428" s="314"/>
      <c r="J2428" s="314"/>
      <c r="K2428" s="314"/>
      <c r="L2428" s="314"/>
      <c r="M2428" s="314"/>
      <c r="N2428" s="314"/>
      <c r="O2428" s="314"/>
      <c r="P2428" s="314"/>
      <c r="Q2428" s="314"/>
      <c r="R2428" s="314"/>
      <c r="S2428" s="314"/>
      <c r="T2428" s="314"/>
      <c r="U2428" s="314"/>
      <c r="V2428" s="314"/>
      <c r="W2428" s="314"/>
      <c r="X2428" s="314"/>
      <c r="Y2428" s="314"/>
      <c r="Z2428" s="314"/>
      <c r="AA2428" s="314"/>
      <c r="AB2428" s="314"/>
      <c r="AC2428" s="314"/>
      <c r="AD2428" s="314"/>
      <c r="AE2428" s="314"/>
      <c r="AF2428" s="314"/>
    </row>
    <row r="2429" spans="5:32" x14ac:dyDescent="0.35">
      <c r="E2429" s="314"/>
      <c r="F2429" s="314"/>
      <c r="G2429" s="314"/>
      <c r="H2429" s="314"/>
      <c r="I2429" s="314"/>
      <c r="J2429" s="314"/>
      <c r="K2429" s="314"/>
      <c r="L2429" s="314"/>
      <c r="M2429" s="314"/>
      <c r="N2429" s="314"/>
      <c r="O2429" s="314"/>
      <c r="P2429" s="314"/>
      <c r="Q2429" s="314"/>
      <c r="R2429" s="314"/>
      <c r="S2429" s="314"/>
      <c r="T2429" s="314"/>
      <c r="U2429" s="314"/>
      <c r="V2429" s="314"/>
      <c r="W2429" s="314"/>
      <c r="X2429" s="314"/>
      <c r="Y2429" s="314"/>
      <c r="Z2429" s="314"/>
      <c r="AA2429" s="314"/>
      <c r="AB2429" s="314"/>
      <c r="AC2429" s="314"/>
      <c r="AD2429" s="314"/>
      <c r="AE2429" s="314"/>
      <c r="AF2429" s="314"/>
    </row>
    <row r="2430" spans="5:32" x14ac:dyDescent="0.35">
      <c r="E2430" s="314"/>
      <c r="F2430" s="314"/>
      <c r="G2430" s="314"/>
      <c r="H2430" s="314"/>
      <c r="I2430" s="314"/>
      <c r="J2430" s="314"/>
      <c r="K2430" s="314"/>
      <c r="L2430" s="314"/>
      <c r="M2430" s="314"/>
      <c r="N2430" s="314"/>
      <c r="O2430" s="314"/>
      <c r="P2430" s="314"/>
      <c r="Q2430" s="314"/>
      <c r="R2430" s="314"/>
      <c r="S2430" s="314"/>
      <c r="T2430" s="314"/>
      <c r="U2430" s="314"/>
      <c r="V2430" s="314"/>
      <c r="W2430" s="314"/>
      <c r="X2430" s="314"/>
      <c r="Y2430" s="314"/>
      <c r="Z2430" s="314"/>
      <c r="AA2430" s="314"/>
      <c r="AB2430" s="314"/>
      <c r="AC2430" s="314"/>
      <c r="AD2430" s="314"/>
      <c r="AE2430" s="314"/>
      <c r="AF2430" s="314"/>
    </row>
    <row r="2431" spans="5:32" x14ac:dyDescent="0.35">
      <c r="E2431" s="314"/>
      <c r="F2431" s="314"/>
      <c r="G2431" s="314"/>
      <c r="H2431" s="314"/>
      <c r="I2431" s="314"/>
      <c r="J2431" s="314"/>
      <c r="K2431" s="314"/>
      <c r="L2431" s="314"/>
      <c r="M2431" s="314"/>
      <c r="N2431" s="314"/>
      <c r="O2431" s="314"/>
      <c r="P2431" s="314"/>
      <c r="Q2431" s="314"/>
      <c r="R2431" s="314"/>
      <c r="S2431" s="314"/>
      <c r="T2431" s="314"/>
      <c r="U2431" s="314"/>
      <c r="V2431" s="314"/>
      <c r="W2431" s="314"/>
      <c r="X2431" s="314"/>
      <c r="Y2431" s="314"/>
      <c r="Z2431" s="314"/>
      <c r="AA2431" s="314"/>
      <c r="AB2431" s="314"/>
      <c r="AC2431" s="314"/>
      <c r="AD2431" s="314"/>
      <c r="AE2431" s="314"/>
      <c r="AF2431" s="314"/>
    </row>
    <row r="2432" spans="5:32" x14ac:dyDescent="0.35">
      <c r="E2432" s="314"/>
      <c r="F2432" s="314"/>
      <c r="G2432" s="314"/>
      <c r="H2432" s="314"/>
      <c r="I2432" s="314"/>
      <c r="J2432" s="314"/>
      <c r="K2432" s="314"/>
      <c r="L2432" s="314"/>
      <c r="M2432" s="314"/>
      <c r="N2432" s="314"/>
      <c r="O2432" s="314"/>
      <c r="P2432" s="314"/>
      <c r="Q2432" s="314"/>
      <c r="R2432" s="314"/>
      <c r="S2432" s="314"/>
      <c r="T2432" s="314"/>
      <c r="U2432" s="314"/>
      <c r="V2432" s="314"/>
      <c r="W2432" s="314"/>
      <c r="X2432" s="314"/>
      <c r="Y2432" s="314"/>
      <c r="Z2432" s="314"/>
      <c r="AA2432" s="314"/>
      <c r="AB2432" s="314"/>
      <c r="AC2432" s="314"/>
      <c r="AD2432" s="314"/>
      <c r="AE2432" s="314"/>
      <c r="AF2432" s="314"/>
    </row>
    <row r="2433" spans="5:32" x14ac:dyDescent="0.35">
      <c r="E2433" s="314"/>
      <c r="F2433" s="314"/>
      <c r="G2433" s="314"/>
      <c r="H2433" s="314"/>
      <c r="I2433" s="314"/>
      <c r="J2433" s="314"/>
      <c r="K2433" s="314"/>
      <c r="L2433" s="314"/>
      <c r="M2433" s="314"/>
      <c r="N2433" s="314"/>
      <c r="O2433" s="314"/>
      <c r="P2433" s="314"/>
      <c r="Q2433" s="314"/>
      <c r="R2433" s="314"/>
      <c r="S2433" s="314"/>
      <c r="T2433" s="314"/>
      <c r="U2433" s="314"/>
      <c r="V2433" s="314"/>
      <c r="W2433" s="314"/>
      <c r="X2433" s="314"/>
      <c r="Y2433" s="314"/>
      <c r="Z2433" s="314"/>
      <c r="AA2433" s="314"/>
      <c r="AB2433" s="314"/>
      <c r="AC2433" s="314"/>
      <c r="AD2433" s="314"/>
      <c r="AE2433" s="314"/>
      <c r="AF2433" s="314"/>
    </row>
    <row r="2434" spans="5:32" x14ac:dyDescent="0.35">
      <c r="E2434" s="314"/>
      <c r="F2434" s="314"/>
      <c r="G2434" s="314"/>
      <c r="H2434" s="314"/>
      <c r="I2434" s="314"/>
      <c r="J2434" s="314"/>
      <c r="K2434" s="314"/>
      <c r="L2434" s="314"/>
      <c r="M2434" s="314"/>
      <c r="N2434" s="314"/>
      <c r="O2434" s="314"/>
      <c r="P2434" s="314"/>
      <c r="Q2434" s="314"/>
      <c r="R2434" s="314"/>
      <c r="S2434" s="314"/>
      <c r="T2434" s="314"/>
      <c r="U2434" s="314"/>
      <c r="V2434" s="314"/>
      <c r="W2434" s="314"/>
      <c r="X2434" s="314"/>
      <c r="Y2434" s="314"/>
      <c r="Z2434" s="314"/>
      <c r="AA2434" s="314"/>
      <c r="AB2434" s="314"/>
      <c r="AC2434" s="314"/>
      <c r="AD2434" s="314"/>
      <c r="AE2434" s="314"/>
      <c r="AF2434" s="314"/>
    </row>
    <row r="2435" spans="5:32" x14ac:dyDescent="0.35">
      <c r="E2435" s="314"/>
      <c r="F2435" s="314"/>
      <c r="G2435" s="314"/>
      <c r="H2435" s="314"/>
      <c r="I2435" s="314"/>
      <c r="J2435" s="314"/>
      <c r="K2435" s="314"/>
      <c r="L2435" s="314"/>
      <c r="M2435" s="314"/>
      <c r="N2435" s="314"/>
      <c r="O2435" s="314"/>
      <c r="P2435" s="314"/>
      <c r="Q2435" s="314"/>
      <c r="R2435" s="314"/>
      <c r="S2435" s="314"/>
      <c r="T2435" s="314"/>
      <c r="U2435" s="314"/>
      <c r="V2435" s="314"/>
      <c r="W2435" s="314"/>
      <c r="X2435" s="314"/>
      <c r="Y2435" s="314"/>
      <c r="Z2435" s="314"/>
      <c r="AA2435" s="314"/>
      <c r="AB2435" s="314"/>
      <c r="AC2435" s="314"/>
      <c r="AD2435" s="314"/>
      <c r="AE2435" s="314"/>
      <c r="AF2435" s="314"/>
    </row>
    <row r="2436" spans="5:32" x14ac:dyDescent="0.35">
      <c r="E2436" s="314"/>
      <c r="F2436" s="314"/>
      <c r="G2436" s="314"/>
      <c r="H2436" s="314"/>
      <c r="I2436" s="314"/>
      <c r="J2436" s="314"/>
      <c r="K2436" s="314"/>
      <c r="L2436" s="314"/>
      <c r="M2436" s="314"/>
      <c r="N2436" s="314"/>
      <c r="O2436" s="314"/>
      <c r="P2436" s="314"/>
      <c r="Q2436" s="314"/>
      <c r="R2436" s="314"/>
      <c r="S2436" s="314"/>
      <c r="T2436" s="314"/>
      <c r="U2436" s="314"/>
      <c r="V2436" s="314"/>
      <c r="W2436" s="314"/>
      <c r="X2436" s="314"/>
      <c r="Y2436" s="314"/>
      <c r="Z2436" s="314"/>
      <c r="AA2436" s="314"/>
      <c r="AB2436" s="314"/>
      <c r="AC2436" s="314"/>
      <c r="AD2436" s="314"/>
      <c r="AE2436" s="314"/>
      <c r="AF2436" s="314"/>
    </row>
    <row r="2437" spans="5:32" x14ac:dyDescent="0.35">
      <c r="E2437" s="314"/>
      <c r="F2437" s="314"/>
      <c r="G2437" s="314"/>
      <c r="H2437" s="314"/>
      <c r="I2437" s="314"/>
      <c r="J2437" s="314"/>
      <c r="K2437" s="314"/>
      <c r="L2437" s="314"/>
      <c r="M2437" s="314"/>
      <c r="N2437" s="314"/>
      <c r="O2437" s="314"/>
      <c r="P2437" s="314"/>
      <c r="Q2437" s="314"/>
      <c r="R2437" s="314"/>
      <c r="S2437" s="314"/>
      <c r="T2437" s="314"/>
      <c r="U2437" s="314"/>
      <c r="V2437" s="314"/>
      <c r="W2437" s="314"/>
      <c r="X2437" s="314"/>
      <c r="Y2437" s="314"/>
      <c r="Z2437" s="314"/>
      <c r="AA2437" s="314"/>
      <c r="AB2437" s="314"/>
      <c r="AC2437" s="314"/>
      <c r="AD2437" s="314"/>
      <c r="AE2437" s="314"/>
      <c r="AF2437" s="314"/>
    </row>
    <row r="2438" spans="5:32" x14ac:dyDescent="0.35">
      <c r="E2438" s="314"/>
      <c r="F2438" s="314"/>
      <c r="G2438" s="314"/>
      <c r="H2438" s="314"/>
      <c r="I2438" s="314"/>
      <c r="J2438" s="314"/>
      <c r="K2438" s="314"/>
      <c r="L2438" s="314"/>
      <c r="M2438" s="314"/>
      <c r="N2438" s="314"/>
      <c r="O2438" s="314"/>
      <c r="P2438" s="314"/>
      <c r="Q2438" s="314"/>
      <c r="R2438" s="314"/>
      <c r="S2438" s="314"/>
      <c r="T2438" s="314"/>
      <c r="U2438" s="314"/>
      <c r="V2438" s="314"/>
      <c r="W2438" s="314"/>
      <c r="X2438" s="314"/>
      <c r="Y2438" s="314"/>
      <c r="Z2438" s="314"/>
      <c r="AA2438" s="314"/>
      <c r="AB2438" s="314"/>
      <c r="AC2438" s="314"/>
      <c r="AD2438" s="314"/>
      <c r="AE2438" s="314"/>
      <c r="AF2438" s="314"/>
    </row>
    <row r="2439" spans="5:32" x14ac:dyDescent="0.35">
      <c r="E2439" s="314"/>
      <c r="F2439" s="314"/>
      <c r="G2439" s="314"/>
      <c r="H2439" s="314"/>
      <c r="I2439" s="314"/>
      <c r="J2439" s="314"/>
      <c r="K2439" s="314"/>
      <c r="L2439" s="314"/>
      <c r="M2439" s="314"/>
      <c r="N2439" s="314"/>
      <c r="O2439" s="314"/>
      <c r="P2439" s="314"/>
      <c r="Q2439" s="314"/>
      <c r="R2439" s="314"/>
      <c r="S2439" s="314"/>
      <c r="T2439" s="314"/>
      <c r="U2439" s="314"/>
      <c r="V2439" s="314"/>
      <c r="W2439" s="314"/>
      <c r="X2439" s="314"/>
      <c r="Y2439" s="314"/>
      <c r="Z2439" s="314"/>
      <c r="AA2439" s="314"/>
      <c r="AB2439" s="314"/>
      <c r="AC2439" s="314"/>
      <c r="AD2439" s="314"/>
      <c r="AE2439" s="314"/>
      <c r="AF2439" s="314"/>
    </row>
    <row r="2440" spans="5:32" x14ac:dyDescent="0.35">
      <c r="E2440" s="314"/>
      <c r="F2440" s="314"/>
      <c r="G2440" s="314"/>
      <c r="H2440" s="314"/>
      <c r="I2440" s="314"/>
      <c r="J2440" s="314"/>
      <c r="K2440" s="314"/>
      <c r="L2440" s="314"/>
      <c r="M2440" s="314"/>
      <c r="N2440" s="314"/>
      <c r="O2440" s="314"/>
      <c r="P2440" s="314"/>
      <c r="Q2440" s="314"/>
      <c r="R2440" s="314"/>
      <c r="S2440" s="314"/>
      <c r="T2440" s="314"/>
      <c r="U2440" s="314"/>
      <c r="V2440" s="314"/>
      <c r="W2440" s="314"/>
      <c r="X2440" s="314"/>
      <c r="Y2440" s="314"/>
      <c r="Z2440" s="314"/>
      <c r="AA2440" s="314"/>
      <c r="AB2440" s="314"/>
      <c r="AC2440" s="314"/>
      <c r="AD2440" s="314"/>
      <c r="AE2440" s="314"/>
      <c r="AF2440" s="314"/>
    </row>
    <row r="2441" spans="5:32" x14ac:dyDescent="0.35">
      <c r="E2441" s="314"/>
      <c r="F2441" s="314"/>
      <c r="G2441" s="314"/>
      <c r="H2441" s="314"/>
      <c r="I2441" s="314"/>
      <c r="J2441" s="314"/>
      <c r="K2441" s="314"/>
      <c r="L2441" s="314"/>
      <c r="M2441" s="314"/>
      <c r="N2441" s="314"/>
      <c r="O2441" s="314"/>
      <c r="P2441" s="314"/>
      <c r="Q2441" s="314"/>
      <c r="R2441" s="314"/>
      <c r="S2441" s="314"/>
      <c r="T2441" s="314"/>
      <c r="U2441" s="314"/>
      <c r="V2441" s="314"/>
      <c r="W2441" s="314"/>
      <c r="X2441" s="314"/>
      <c r="Y2441" s="314"/>
      <c r="Z2441" s="314"/>
      <c r="AA2441" s="314"/>
      <c r="AB2441" s="314"/>
      <c r="AC2441" s="314"/>
      <c r="AD2441" s="314"/>
      <c r="AE2441" s="314"/>
      <c r="AF2441" s="314"/>
    </row>
    <row r="2442" spans="5:32" x14ac:dyDescent="0.35">
      <c r="E2442" s="314"/>
      <c r="F2442" s="314"/>
      <c r="G2442" s="314"/>
      <c r="H2442" s="314"/>
      <c r="I2442" s="314"/>
      <c r="J2442" s="314"/>
      <c r="K2442" s="314"/>
      <c r="L2442" s="314"/>
      <c r="M2442" s="314"/>
      <c r="N2442" s="314"/>
      <c r="O2442" s="314"/>
      <c r="P2442" s="314"/>
      <c r="Q2442" s="314"/>
      <c r="R2442" s="314"/>
      <c r="S2442" s="314"/>
      <c r="T2442" s="314"/>
      <c r="U2442" s="314"/>
      <c r="V2442" s="314"/>
      <c r="W2442" s="314"/>
      <c r="X2442" s="314"/>
      <c r="Y2442" s="314"/>
      <c r="Z2442" s="314"/>
      <c r="AA2442" s="314"/>
      <c r="AB2442" s="314"/>
      <c r="AC2442" s="314"/>
      <c r="AD2442" s="314"/>
      <c r="AE2442" s="314"/>
      <c r="AF2442" s="314"/>
    </row>
    <row r="2443" spans="5:32" x14ac:dyDescent="0.35">
      <c r="E2443" s="314"/>
      <c r="F2443" s="314"/>
      <c r="G2443" s="314"/>
      <c r="H2443" s="314"/>
      <c r="I2443" s="314"/>
      <c r="J2443" s="314"/>
      <c r="K2443" s="314"/>
      <c r="L2443" s="314"/>
      <c r="M2443" s="314"/>
      <c r="N2443" s="314"/>
      <c r="O2443" s="314"/>
      <c r="P2443" s="314"/>
      <c r="Q2443" s="314"/>
      <c r="R2443" s="314"/>
      <c r="S2443" s="314"/>
      <c r="T2443" s="314"/>
      <c r="U2443" s="314"/>
      <c r="V2443" s="314"/>
      <c r="W2443" s="314"/>
      <c r="X2443" s="314"/>
      <c r="Y2443" s="314"/>
      <c r="Z2443" s="314"/>
      <c r="AA2443" s="314"/>
      <c r="AB2443" s="314"/>
      <c r="AC2443" s="314"/>
      <c r="AD2443" s="314"/>
      <c r="AE2443" s="314"/>
      <c r="AF2443" s="314"/>
    </row>
    <row r="2444" spans="5:32" x14ac:dyDescent="0.35">
      <c r="E2444" s="314"/>
      <c r="F2444" s="314"/>
      <c r="G2444" s="314"/>
      <c r="H2444" s="314"/>
      <c r="I2444" s="314"/>
      <c r="J2444" s="314"/>
      <c r="K2444" s="314"/>
      <c r="L2444" s="314"/>
      <c r="M2444" s="314"/>
      <c r="N2444" s="314"/>
      <c r="O2444" s="314"/>
      <c r="P2444" s="314"/>
      <c r="Q2444" s="314"/>
      <c r="R2444" s="314"/>
      <c r="S2444" s="314"/>
      <c r="T2444" s="314"/>
      <c r="U2444" s="314"/>
      <c r="V2444" s="314"/>
      <c r="W2444" s="314"/>
      <c r="X2444" s="314"/>
      <c r="Y2444" s="314"/>
      <c r="Z2444" s="314"/>
      <c r="AA2444" s="314"/>
      <c r="AB2444" s="314"/>
      <c r="AC2444" s="314"/>
      <c r="AD2444" s="314"/>
      <c r="AE2444" s="314"/>
      <c r="AF2444" s="314"/>
    </row>
    <row r="2445" spans="5:32" x14ac:dyDescent="0.35">
      <c r="E2445" s="314"/>
      <c r="F2445" s="314"/>
      <c r="G2445" s="314"/>
      <c r="H2445" s="314"/>
      <c r="I2445" s="314"/>
      <c r="J2445" s="314"/>
      <c r="K2445" s="314"/>
      <c r="L2445" s="314"/>
      <c r="M2445" s="314"/>
      <c r="N2445" s="314"/>
      <c r="O2445" s="314"/>
      <c r="P2445" s="314"/>
      <c r="Q2445" s="314"/>
      <c r="R2445" s="314"/>
      <c r="S2445" s="314"/>
      <c r="T2445" s="314"/>
      <c r="U2445" s="314"/>
      <c r="V2445" s="314"/>
      <c r="W2445" s="314"/>
      <c r="X2445" s="314"/>
      <c r="Y2445" s="314"/>
      <c r="Z2445" s="314"/>
      <c r="AA2445" s="314"/>
      <c r="AB2445" s="314"/>
      <c r="AC2445" s="314"/>
      <c r="AD2445" s="314"/>
      <c r="AE2445" s="314"/>
      <c r="AF2445" s="314"/>
    </row>
    <row r="2446" spans="5:32" x14ac:dyDescent="0.35">
      <c r="E2446" s="314"/>
      <c r="F2446" s="314"/>
      <c r="G2446" s="314"/>
      <c r="H2446" s="314"/>
      <c r="I2446" s="314"/>
      <c r="J2446" s="314"/>
      <c r="K2446" s="314"/>
      <c r="L2446" s="314"/>
      <c r="M2446" s="314"/>
      <c r="N2446" s="314"/>
      <c r="O2446" s="314"/>
      <c r="P2446" s="314"/>
      <c r="Q2446" s="314"/>
      <c r="R2446" s="314"/>
      <c r="S2446" s="314"/>
      <c r="T2446" s="314"/>
      <c r="U2446" s="314"/>
      <c r="V2446" s="314"/>
      <c r="W2446" s="314"/>
      <c r="X2446" s="314"/>
      <c r="Y2446" s="314"/>
      <c r="Z2446" s="314"/>
      <c r="AA2446" s="314"/>
      <c r="AB2446" s="314"/>
      <c r="AC2446" s="314"/>
      <c r="AD2446" s="314"/>
      <c r="AE2446" s="314"/>
      <c r="AF2446" s="314"/>
    </row>
    <row r="2447" spans="5:32" x14ac:dyDescent="0.35">
      <c r="E2447" s="314"/>
      <c r="F2447" s="314"/>
      <c r="G2447" s="314"/>
      <c r="H2447" s="314"/>
      <c r="I2447" s="314"/>
      <c r="J2447" s="314"/>
      <c r="K2447" s="314"/>
      <c r="L2447" s="314"/>
      <c r="M2447" s="314"/>
      <c r="N2447" s="314"/>
      <c r="O2447" s="314"/>
      <c r="P2447" s="314"/>
      <c r="Q2447" s="314"/>
      <c r="R2447" s="314"/>
      <c r="S2447" s="314"/>
      <c r="T2447" s="314"/>
      <c r="U2447" s="314"/>
      <c r="V2447" s="314"/>
      <c r="W2447" s="314"/>
      <c r="X2447" s="314"/>
      <c r="Y2447" s="314"/>
      <c r="Z2447" s="314"/>
      <c r="AA2447" s="314"/>
      <c r="AB2447" s="314"/>
      <c r="AC2447" s="314"/>
      <c r="AD2447" s="314"/>
      <c r="AE2447" s="314"/>
      <c r="AF2447" s="314"/>
    </row>
    <row r="2448" spans="5:32" x14ac:dyDescent="0.35">
      <c r="E2448" s="314"/>
      <c r="F2448" s="314"/>
      <c r="G2448" s="314"/>
      <c r="H2448" s="314"/>
      <c r="I2448" s="314"/>
      <c r="J2448" s="314"/>
      <c r="K2448" s="314"/>
      <c r="L2448" s="314"/>
      <c r="M2448" s="314"/>
      <c r="N2448" s="314"/>
      <c r="O2448" s="314"/>
      <c r="P2448" s="314"/>
      <c r="Q2448" s="314"/>
      <c r="R2448" s="314"/>
      <c r="S2448" s="314"/>
      <c r="T2448" s="314"/>
      <c r="U2448" s="314"/>
      <c r="V2448" s="314"/>
      <c r="W2448" s="314"/>
      <c r="X2448" s="314"/>
      <c r="Y2448" s="314"/>
      <c r="Z2448" s="314"/>
      <c r="AA2448" s="314"/>
      <c r="AB2448" s="314"/>
      <c r="AC2448" s="314"/>
      <c r="AD2448" s="314"/>
      <c r="AE2448" s="314"/>
      <c r="AF2448" s="314"/>
    </row>
    <row r="2449" spans="5:32" x14ac:dyDescent="0.35">
      <c r="E2449" s="314"/>
      <c r="F2449" s="314"/>
      <c r="G2449" s="314"/>
      <c r="H2449" s="314"/>
      <c r="I2449" s="314"/>
      <c r="J2449" s="314"/>
      <c r="K2449" s="314"/>
      <c r="L2449" s="314"/>
      <c r="M2449" s="314"/>
      <c r="N2449" s="314"/>
      <c r="O2449" s="314"/>
      <c r="P2449" s="314"/>
      <c r="Q2449" s="314"/>
      <c r="R2449" s="314"/>
      <c r="S2449" s="314"/>
      <c r="T2449" s="314"/>
      <c r="U2449" s="314"/>
      <c r="V2449" s="314"/>
      <c r="W2449" s="314"/>
      <c r="X2449" s="314"/>
      <c r="Y2449" s="314"/>
      <c r="Z2449" s="314"/>
      <c r="AA2449" s="314"/>
      <c r="AB2449" s="314"/>
      <c r="AC2449" s="314"/>
      <c r="AD2449" s="314"/>
      <c r="AE2449" s="314"/>
      <c r="AF2449" s="314"/>
    </row>
    <row r="2450" spans="5:32" x14ac:dyDescent="0.35">
      <c r="E2450" s="314"/>
      <c r="F2450" s="314"/>
      <c r="G2450" s="314"/>
      <c r="H2450" s="314"/>
      <c r="I2450" s="314"/>
      <c r="J2450" s="314"/>
      <c r="K2450" s="314"/>
      <c r="L2450" s="314"/>
      <c r="M2450" s="314"/>
      <c r="N2450" s="314"/>
      <c r="O2450" s="314"/>
      <c r="P2450" s="314"/>
      <c r="Q2450" s="314"/>
      <c r="R2450" s="314"/>
      <c r="S2450" s="314"/>
      <c r="T2450" s="314"/>
      <c r="U2450" s="314"/>
      <c r="V2450" s="314"/>
      <c r="W2450" s="314"/>
      <c r="X2450" s="314"/>
      <c r="Y2450" s="314"/>
      <c r="Z2450" s="314"/>
      <c r="AA2450" s="314"/>
      <c r="AB2450" s="314"/>
      <c r="AC2450" s="314"/>
      <c r="AD2450" s="314"/>
      <c r="AE2450" s="314"/>
      <c r="AF2450" s="314"/>
    </row>
    <row r="2451" spans="5:32" x14ac:dyDescent="0.35">
      <c r="E2451" s="314"/>
      <c r="F2451" s="314"/>
      <c r="G2451" s="314"/>
      <c r="H2451" s="314"/>
      <c r="I2451" s="314"/>
      <c r="J2451" s="314"/>
      <c r="K2451" s="314"/>
      <c r="L2451" s="314"/>
      <c r="M2451" s="314"/>
      <c r="N2451" s="314"/>
      <c r="O2451" s="314"/>
      <c r="P2451" s="314"/>
      <c r="Q2451" s="314"/>
      <c r="R2451" s="314"/>
      <c r="S2451" s="314"/>
      <c r="T2451" s="314"/>
      <c r="U2451" s="314"/>
      <c r="V2451" s="314"/>
      <c r="W2451" s="314"/>
      <c r="X2451" s="314"/>
      <c r="Y2451" s="314"/>
      <c r="Z2451" s="314"/>
      <c r="AA2451" s="314"/>
      <c r="AB2451" s="314"/>
      <c r="AC2451" s="314"/>
      <c r="AD2451" s="314"/>
      <c r="AE2451" s="314"/>
      <c r="AF2451" s="314"/>
    </row>
    <row r="2452" spans="5:32" x14ac:dyDescent="0.35">
      <c r="E2452" s="314"/>
      <c r="F2452" s="314"/>
      <c r="G2452" s="314"/>
      <c r="H2452" s="314"/>
      <c r="I2452" s="314"/>
      <c r="J2452" s="314"/>
      <c r="K2452" s="314"/>
      <c r="L2452" s="314"/>
      <c r="M2452" s="314"/>
      <c r="N2452" s="314"/>
      <c r="O2452" s="314"/>
      <c r="P2452" s="314"/>
      <c r="Q2452" s="314"/>
      <c r="R2452" s="314"/>
      <c r="S2452" s="314"/>
      <c r="T2452" s="314"/>
      <c r="U2452" s="314"/>
      <c r="V2452" s="314"/>
      <c r="W2452" s="314"/>
      <c r="X2452" s="314"/>
      <c r="Y2452" s="314"/>
      <c r="Z2452" s="314"/>
      <c r="AA2452" s="314"/>
      <c r="AB2452" s="314"/>
      <c r="AC2452" s="314"/>
      <c r="AD2452" s="314"/>
      <c r="AE2452" s="314"/>
      <c r="AF2452" s="314"/>
    </row>
    <row r="2453" spans="5:32" x14ac:dyDescent="0.35">
      <c r="E2453" s="314"/>
      <c r="F2453" s="314"/>
      <c r="G2453" s="314"/>
      <c r="H2453" s="314"/>
      <c r="I2453" s="314"/>
      <c r="J2453" s="314"/>
      <c r="K2453" s="314"/>
      <c r="L2453" s="314"/>
      <c r="M2453" s="314"/>
      <c r="N2453" s="314"/>
      <c r="O2453" s="314"/>
      <c r="P2453" s="314"/>
      <c r="Q2453" s="314"/>
      <c r="R2453" s="314"/>
      <c r="S2453" s="314"/>
      <c r="T2453" s="314"/>
      <c r="U2453" s="314"/>
      <c r="V2453" s="314"/>
      <c r="W2453" s="314"/>
      <c r="X2453" s="314"/>
      <c r="Y2453" s="314"/>
      <c r="Z2453" s="314"/>
      <c r="AA2453" s="314"/>
      <c r="AB2453" s="314"/>
      <c r="AC2453" s="314"/>
      <c r="AD2453" s="314"/>
      <c r="AE2453" s="314"/>
      <c r="AF2453" s="314"/>
    </row>
    <row r="2454" spans="5:32" x14ac:dyDescent="0.35">
      <c r="E2454" s="314"/>
      <c r="F2454" s="314"/>
      <c r="G2454" s="314"/>
      <c r="H2454" s="314"/>
      <c r="I2454" s="314"/>
      <c r="J2454" s="314"/>
      <c r="K2454" s="314"/>
      <c r="L2454" s="314"/>
      <c r="M2454" s="314"/>
      <c r="N2454" s="314"/>
      <c r="O2454" s="314"/>
      <c r="P2454" s="314"/>
      <c r="Q2454" s="314"/>
      <c r="R2454" s="314"/>
      <c r="S2454" s="314"/>
      <c r="T2454" s="314"/>
      <c r="U2454" s="314"/>
      <c r="V2454" s="314"/>
      <c r="W2454" s="314"/>
      <c r="X2454" s="314"/>
      <c r="Y2454" s="314"/>
      <c r="Z2454" s="314"/>
      <c r="AA2454" s="314"/>
      <c r="AB2454" s="314"/>
      <c r="AC2454" s="314"/>
      <c r="AD2454" s="314"/>
      <c r="AE2454" s="314"/>
      <c r="AF2454" s="314"/>
    </row>
    <row r="2455" spans="5:32" x14ac:dyDescent="0.35">
      <c r="E2455" s="314"/>
      <c r="F2455" s="314"/>
      <c r="G2455" s="314"/>
      <c r="H2455" s="314"/>
      <c r="I2455" s="314"/>
      <c r="J2455" s="314"/>
      <c r="K2455" s="314"/>
      <c r="L2455" s="314"/>
      <c r="M2455" s="314"/>
      <c r="N2455" s="314"/>
      <c r="O2455" s="314"/>
      <c r="P2455" s="314"/>
      <c r="Q2455" s="314"/>
      <c r="R2455" s="314"/>
      <c r="S2455" s="314"/>
      <c r="T2455" s="314"/>
      <c r="U2455" s="314"/>
      <c r="V2455" s="314"/>
      <c r="W2455" s="314"/>
      <c r="X2455" s="314"/>
      <c r="Y2455" s="314"/>
      <c r="Z2455" s="314"/>
      <c r="AA2455" s="314"/>
      <c r="AB2455" s="314"/>
      <c r="AC2455" s="314"/>
      <c r="AD2455" s="314"/>
      <c r="AE2455" s="314"/>
      <c r="AF2455" s="314"/>
    </row>
    <row r="2456" spans="5:32" x14ac:dyDescent="0.35">
      <c r="E2456" s="314"/>
      <c r="F2456" s="314"/>
      <c r="G2456" s="314"/>
      <c r="H2456" s="314"/>
      <c r="I2456" s="314"/>
      <c r="J2456" s="314"/>
      <c r="K2456" s="314"/>
      <c r="L2456" s="314"/>
      <c r="M2456" s="314"/>
      <c r="N2456" s="314"/>
      <c r="O2456" s="314"/>
      <c r="P2456" s="314"/>
      <c r="Q2456" s="314"/>
      <c r="R2456" s="314"/>
      <c r="S2456" s="314"/>
      <c r="T2456" s="314"/>
      <c r="U2456" s="314"/>
      <c r="V2456" s="314"/>
      <c r="W2456" s="314"/>
      <c r="X2456" s="314"/>
      <c r="Y2456" s="314"/>
      <c r="Z2456" s="314"/>
      <c r="AA2456" s="314"/>
      <c r="AB2456" s="314"/>
      <c r="AC2456" s="314"/>
      <c r="AD2456" s="314"/>
      <c r="AE2456" s="314"/>
      <c r="AF2456" s="314"/>
    </row>
    <row r="2457" spans="5:32" x14ac:dyDescent="0.35">
      <c r="E2457" s="314"/>
      <c r="F2457" s="314"/>
      <c r="G2457" s="314"/>
      <c r="H2457" s="314"/>
      <c r="I2457" s="314"/>
      <c r="J2457" s="314"/>
      <c r="K2457" s="314"/>
      <c r="L2457" s="314"/>
      <c r="M2457" s="314"/>
      <c r="N2457" s="314"/>
      <c r="O2457" s="314"/>
      <c r="P2457" s="314"/>
      <c r="Q2457" s="314"/>
      <c r="R2457" s="314"/>
      <c r="S2457" s="314"/>
      <c r="T2457" s="314"/>
      <c r="U2457" s="314"/>
      <c r="V2457" s="314"/>
      <c r="W2457" s="314"/>
      <c r="X2457" s="314"/>
      <c r="Y2457" s="314"/>
      <c r="Z2457" s="314"/>
      <c r="AA2457" s="314"/>
      <c r="AB2457" s="314"/>
      <c r="AC2457" s="314"/>
      <c r="AD2457" s="314"/>
      <c r="AE2457" s="314"/>
      <c r="AF2457" s="314"/>
    </row>
    <row r="2458" spans="5:32" x14ac:dyDescent="0.35">
      <c r="E2458" s="314"/>
      <c r="F2458" s="314"/>
      <c r="G2458" s="314"/>
      <c r="H2458" s="314"/>
      <c r="I2458" s="314"/>
      <c r="J2458" s="314"/>
      <c r="K2458" s="314"/>
      <c r="L2458" s="314"/>
      <c r="M2458" s="314"/>
      <c r="N2458" s="314"/>
      <c r="O2458" s="314"/>
      <c r="P2458" s="314"/>
      <c r="Q2458" s="314"/>
      <c r="R2458" s="314"/>
      <c r="S2458" s="314"/>
      <c r="T2458" s="314"/>
      <c r="U2458" s="314"/>
      <c r="V2458" s="314"/>
      <c r="W2458" s="314"/>
      <c r="X2458" s="314"/>
      <c r="Y2458" s="314"/>
      <c r="Z2458" s="314"/>
      <c r="AA2458" s="314"/>
      <c r="AB2458" s="314"/>
      <c r="AC2458" s="314"/>
      <c r="AD2458" s="314"/>
      <c r="AE2458" s="314"/>
      <c r="AF2458" s="314"/>
    </row>
    <row r="2459" spans="5:32" x14ac:dyDescent="0.35">
      <c r="E2459" s="314"/>
      <c r="F2459" s="314"/>
      <c r="G2459" s="314"/>
      <c r="H2459" s="314"/>
      <c r="I2459" s="314"/>
      <c r="J2459" s="314"/>
      <c r="K2459" s="314"/>
      <c r="L2459" s="314"/>
      <c r="M2459" s="314"/>
      <c r="N2459" s="314"/>
      <c r="O2459" s="314"/>
      <c r="P2459" s="314"/>
      <c r="Q2459" s="314"/>
      <c r="R2459" s="314"/>
      <c r="S2459" s="314"/>
      <c r="T2459" s="314"/>
      <c r="U2459" s="314"/>
      <c r="V2459" s="314"/>
      <c r="W2459" s="314"/>
      <c r="X2459" s="314"/>
      <c r="Y2459" s="314"/>
      <c r="Z2459" s="314"/>
      <c r="AA2459" s="314"/>
      <c r="AB2459" s="314"/>
      <c r="AC2459" s="314"/>
      <c r="AD2459" s="314"/>
      <c r="AE2459" s="314"/>
      <c r="AF2459" s="314"/>
    </row>
    <row r="2460" spans="5:32" x14ac:dyDescent="0.35">
      <c r="E2460" s="314"/>
      <c r="F2460" s="314"/>
      <c r="G2460" s="314"/>
      <c r="H2460" s="314"/>
      <c r="I2460" s="314"/>
      <c r="J2460" s="314"/>
      <c r="K2460" s="314"/>
      <c r="L2460" s="314"/>
      <c r="M2460" s="314"/>
      <c r="N2460" s="314"/>
      <c r="O2460" s="314"/>
      <c r="P2460" s="314"/>
      <c r="Q2460" s="314"/>
      <c r="R2460" s="314"/>
      <c r="S2460" s="314"/>
      <c r="T2460" s="314"/>
      <c r="U2460" s="314"/>
      <c r="V2460" s="314"/>
      <c r="W2460" s="314"/>
      <c r="X2460" s="314"/>
      <c r="Y2460" s="314"/>
      <c r="Z2460" s="314"/>
      <c r="AA2460" s="314"/>
      <c r="AB2460" s="314"/>
      <c r="AC2460" s="314"/>
      <c r="AD2460" s="314"/>
      <c r="AE2460" s="314"/>
      <c r="AF2460" s="314"/>
    </row>
    <row r="2461" spans="5:32" x14ac:dyDescent="0.35">
      <c r="E2461" s="314"/>
      <c r="F2461" s="314"/>
      <c r="G2461" s="314"/>
      <c r="H2461" s="314"/>
      <c r="I2461" s="314"/>
      <c r="J2461" s="314"/>
      <c r="K2461" s="314"/>
      <c r="L2461" s="314"/>
      <c r="M2461" s="314"/>
      <c r="N2461" s="314"/>
      <c r="O2461" s="314"/>
      <c r="P2461" s="314"/>
      <c r="Q2461" s="314"/>
      <c r="R2461" s="314"/>
      <c r="S2461" s="314"/>
      <c r="T2461" s="314"/>
      <c r="U2461" s="314"/>
      <c r="V2461" s="314"/>
      <c r="W2461" s="314"/>
      <c r="X2461" s="314"/>
      <c r="Y2461" s="314"/>
      <c r="Z2461" s="314"/>
      <c r="AA2461" s="314"/>
      <c r="AB2461" s="314"/>
      <c r="AC2461" s="314"/>
      <c r="AD2461" s="314"/>
      <c r="AE2461" s="314"/>
      <c r="AF2461" s="314"/>
    </row>
    <row r="2462" spans="5:32" x14ac:dyDescent="0.35">
      <c r="E2462" s="314"/>
      <c r="F2462" s="314"/>
      <c r="G2462" s="314"/>
      <c r="H2462" s="314"/>
      <c r="I2462" s="314"/>
      <c r="J2462" s="314"/>
      <c r="K2462" s="314"/>
      <c r="L2462" s="314"/>
      <c r="M2462" s="314"/>
      <c r="N2462" s="314"/>
      <c r="O2462" s="314"/>
      <c r="P2462" s="314"/>
      <c r="Q2462" s="314"/>
      <c r="R2462" s="314"/>
      <c r="S2462" s="314"/>
      <c r="T2462" s="314"/>
      <c r="U2462" s="314"/>
      <c r="V2462" s="314"/>
      <c r="W2462" s="314"/>
      <c r="X2462" s="314"/>
      <c r="Y2462" s="314"/>
      <c r="Z2462" s="314"/>
      <c r="AA2462" s="314"/>
      <c r="AB2462" s="314"/>
      <c r="AC2462" s="314"/>
      <c r="AD2462" s="314"/>
      <c r="AE2462" s="314"/>
      <c r="AF2462" s="314"/>
    </row>
    <row r="2463" spans="5:32" x14ac:dyDescent="0.35">
      <c r="E2463" s="314"/>
      <c r="F2463" s="314"/>
      <c r="G2463" s="314"/>
      <c r="H2463" s="314"/>
      <c r="I2463" s="314"/>
      <c r="J2463" s="314"/>
      <c r="K2463" s="314"/>
      <c r="L2463" s="314"/>
      <c r="M2463" s="314"/>
      <c r="N2463" s="314"/>
      <c r="O2463" s="314"/>
      <c r="P2463" s="314"/>
      <c r="Q2463" s="314"/>
      <c r="R2463" s="314"/>
      <c r="S2463" s="314"/>
      <c r="T2463" s="314"/>
      <c r="U2463" s="314"/>
      <c r="V2463" s="314"/>
      <c r="W2463" s="314"/>
      <c r="X2463" s="314"/>
      <c r="Y2463" s="314"/>
      <c r="Z2463" s="314"/>
      <c r="AA2463" s="314"/>
      <c r="AB2463" s="314"/>
      <c r="AC2463" s="314"/>
      <c r="AD2463" s="314"/>
      <c r="AE2463" s="314"/>
      <c r="AF2463" s="314"/>
    </row>
    <row r="2464" spans="5:32" x14ac:dyDescent="0.35">
      <c r="E2464" s="314"/>
      <c r="F2464" s="314"/>
      <c r="G2464" s="314"/>
      <c r="H2464" s="314"/>
      <c r="I2464" s="314"/>
      <c r="J2464" s="314"/>
      <c r="K2464" s="314"/>
      <c r="L2464" s="314"/>
      <c r="M2464" s="314"/>
      <c r="N2464" s="314"/>
      <c r="O2464" s="314"/>
      <c r="P2464" s="314"/>
      <c r="Q2464" s="314"/>
      <c r="R2464" s="314"/>
      <c r="S2464" s="314"/>
      <c r="T2464" s="314"/>
      <c r="U2464" s="314"/>
      <c r="V2464" s="314"/>
      <c r="W2464" s="314"/>
      <c r="X2464" s="314"/>
      <c r="Y2464" s="314"/>
      <c r="Z2464" s="314"/>
      <c r="AA2464" s="314"/>
      <c r="AB2464" s="314"/>
      <c r="AC2464" s="314"/>
      <c r="AD2464" s="314"/>
      <c r="AE2464" s="314"/>
      <c r="AF2464" s="314"/>
    </row>
    <row r="2465" spans="5:32" x14ac:dyDescent="0.35">
      <c r="E2465" s="314"/>
      <c r="F2465" s="314"/>
      <c r="G2465" s="314"/>
      <c r="H2465" s="314"/>
      <c r="I2465" s="314"/>
      <c r="J2465" s="314"/>
      <c r="K2465" s="314"/>
      <c r="L2465" s="314"/>
      <c r="M2465" s="314"/>
      <c r="N2465" s="314"/>
      <c r="O2465" s="314"/>
      <c r="P2465" s="314"/>
      <c r="Q2465" s="314"/>
      <c r="R2465" s="314"/>
      <c r="S2465" s="314"/>
      <c r="T2465" s="314"/>
      <c r="U2465" s="314"/>
      <c r="V2465" s="314"/>
      <c r="W2465" s="314"/>
      <c r="X2465" s="314"/>
      <c r="Y2465" s="314"/>
      <c r="Z2465" s="314"/>
      <c r="AA2465" s="314"/>
      <c r="AB2465" s="314"/>
      <c r="AC2465" s="314"/>
      <c r="AD2465" s="314"/>
      <c r="AE2465" s="314"/>
      <c r="AF2465" s="314"/>
    </row>
    <row r="2466" spans="5:32" x14ac:dyDescent="0.35">
      <c r="E2466" s="314"/>
      <c r="F2466" s="314"/>
      <c r="G2466" s="314"/>
      <c r="H2466" s="314"/>
      <c r="I2466" s="314"/>
      <c r="J2466" s="314"/>
      <c r="K2466" s="314"/>
      <c r="L2466" s="314"/>
      <c r="M2466" s="314"/>
      <c r="N2466" s="314"/>
      <c r="O2466" s="314"/>
      <c r="P2466" s="314"/>
      <c r="Q2466" s="314"/>
      <c r="R2466" s="314"/>
      <c r="S2466" s="314"/>
      <c r="T2466" s="314"/>
      <c r="U2466" s="314"/>
      <c r="V2466" s="314"/>
      <c r="W2466" s="314"/>
      <c r="X2466" s="314"/>
      <c r="Y2466" s="314"/>
      <c r="Z2466" s="314"/>
      <c r="AA2466" s="314"/>
      <c r="AB2466" s="314"/>
      <c r="AC2466" s="314"/>
      <c r="AD2466" s="314"/>
      <c r="AE2466" s="314"/>
      <c r="AF2466" s="314"/>
    </row>
    <row r="2467" spans="5:32" x14ac:dyDescent="0.35">
      <c r="E2467" s="314"/>
      <c r="F2467" s="314"/>
      <c r="G2467" s="314"/>
      <c r="H2467" s="314"/>
      <c r="I2467" s="314"/>
      <c r="J2467" s="314"/>
      <c r="K2467" s="314"/>
      <c r="L2467" s="314"/>
      <c r="M2467" s="314"/>
      <c r="N2467" s="314"/>
      <c r="O2467" s="314"/>
      <c r="P2467" s="314"/>
      <c r="Q2467" s="314"/>
      <c r="R2467" s="314"/>
      <c r="S2467" s="314"/>
      <c r="T2467" s="314"/>
      <c r="U2467" s="314"/>
      <c r="V2467" s="314"/>
      <c r="W2467" s="314"/>
      <c r="X2467" s="314"/>
      <c r="Y2467" s="314"/>
      <c r="Z2467" s="314"/>
      <c r="AA2467" s="314"/>
      <c r="AB2467" s="314"/>
      <c r="AC2467" s="314"/>
      <c r="AD2467" s="314"/>
      <c r="AE2467" s="314"/>
      <c r="AF2467" s="314"/>
    </row>
    <row r="2468" spans="5:32" x14ac:dyDescent="0.35">
      <c r="E2468" s="314"/>
      <c r="F2468" s="314"/>
      <c r="G2468" s="314"/>
      <c r="H2468" s="314"/>
      <c r="I2468" s="314"/>
      <c r="J2468" s="314"/>
      <c r="K2468" s="314"/>
      <c r="L2468" s="314"/>
      <c r="M2468" s="314"/>
      <c r="N2468" s="314"/>
      <c r="O2468" s="314"/>
      <c r="P2468" s="314"/>
      <c r="Q2468" s="314"/>
      <c r="R2468" s="314"/>
      <c r="S2468" s="314"/>
      <c r="T2468" s="314"/>
      <c r="U2468" s="314"/>
      <c r="V2468" s="314"/>
      <c r="W2468" s="314"/>
      <c r="X2468" s="314"/>
      <c r="Y2468" s="314"/>
      <c r="Z2468" s="314"/>
      <c r="AA2468" s="314"/>
      <c r="AB2468" s="314"/>
      <c r="AC2468" s="314"/>
      <c r="AD2468" s="314"/>
      <c r="AE2468" s="314"/>
      <c r="AF2468" s="314"/>
    </row>
    <row r="2469" spans="5:32" x14ac:dyDescent="0.35">
      <c r="E2469" s="314"/>
      <c r="F2469" s="314"/>
      <c r="G2469" s="314"/>
      <c r="H2469" s="314"/>
      <c r="I2469" s="314"/>
      <c r="J2469" s="314"/>
      <c r="K2469" s="314"/>
      <c r="L2469" s="314"/>
      <c r="M2469" s="314"/>
      <c r="N2469" s="314"/>
      <c r="O2469" s="314"/>
      <c r="P2469" s="314"/>
      <c r="Q2469" s="314"/>
      <c r="R2469" s="314"/>
      <c r="S2469" s="314"/>
      <c r="T2469" s="314"/>
      <c r="U2469" s="314"/>
      <c r="V2469" s="314"/>
      <c r="W2469" s="314"/>
      <c r="X2469" s="314"/>
      <c r="Y2469" s="314"/>
      <c r="Z2469" s="314"/>
      <c r="AA2469" s="314"/>
      <c r="AB2469" s="314"/>
      <c r="AC2469" s="314"/>
      <c r="AD2469" s="314"/>
      <c r="AE2469" s="314"/>
      <c r="AF2469" s="314"/>
    </row>
    <row r="2470" spans="5:32" x14ac:dyDescent="0.35">
      <c r="E2470" s="314"/>
      <c r="F2470" s="314"/>
      <c r="G2470" s="314"/>
      <c r="H2470" s="314"/>
      <c r="I2470" s="314"/>
      <c r="J2470" s="314"/>
      <c r="K2470" s="314"/>
      <c r="L2470" s="314"/>
      <c r="M2470" s="314"/>
      <c r="N2470" s="314"/>
      <c r="O2470" s="314"/>
      <c r="P2470" s="314"/>
      <c r="Q2470" s="314"/>
      <c r="R2470" s="314"/>
      <c r="S2470" s="314"/>
      <c r="T2470" s="314"/>
      <c r="U2470" s="314"/>
      <c r="V2470" s="314"/>
      <c r="W2470" s="314"/>
      <c r="X2470" s="314"/>
      <c r="Y2470" s="314"/>
      <c r="Z2470" s="314"/>
      <c r="AA2470" s="314"/>
      <c r="AB2470" s="314"/>
      <c r="AC2470" s="314"/>
      <c r="AD2470" s="314"/>
      <c r="AE2470" s="314"/>
      <c r="AF2470" s="314"/>
    </row>
    <row r="2471" spans="5:32" x14ac:dyDescent="0.35">
      <c r="E2471" s="314"/>
      <c r="F2471" s="314"/>
      <c r="G2471" s="314"/>
      <c r="H2471" s="314"/>
      <c r="I2471" s="314"/>
      <c r="J2471" s="314"/>
      <c r="K2471" s="314"/>
      <c r="L2471" s="314"/>
      <c r="M2471" s="314"/>
      <c r="N2471" s="314"/>
      <c r="O2471" s="314"/>
      <c r="P2471" s="314"/>
      <c r="Q2471" s="314"/>
      <c r="R2471" s="314"/>
      <c r="S2471" s="314"/>
      <c r="T2471" s="314"/>
      <c r="U2471" s="314"/>
      <c r="V2471" s="314"/>
      <c r="W2471" s="314"/>
      <c r="X2471" s="314"/>
      <c r="Y2471" s="314"/>
      <c r="Z2471" s="314"/>
      <c r="AA2471" s="314"/>
      <c r="AB2471" s="314"/>
      <c r="AC2471" s="314"/>
      <c r="AD2471" s="314"/>
      <c r="AE2471" s="314"/>
      <c r="AF2471" s="314"/>
    </row>
    <row r="2472" spans="5:32" x14ac:dyDescent="0.35">
      <c r="E2472" s="314"/>
      <c r="F2472" s="314"/>
      <c r="G2472" s="314"/>
      <c r="H2472" s="314"/>
      <c r="I2472" s="314"/>
      <c r="J2472" s="314"/>
      <c r="K2472" s="314"/>
      <c r="L2472" s="314"/>
      <c r="M2472" s="314"/>
      <c r="N2472" s="314"/>
      <c r="O2472" s="314"/>
      <c r="P2472" s="314"/>
      <c r="Q2472" s="314"/>
      <c r="R2472" s="314"/>
      <c r="S2472" s="314"/>
      <c r="T2472" s="314"/>
      <c r="U2472" s="314"/>
      <c r="V2472" s="314"/>
      <c r="W2472" s="314"/>
      <c r="X2472" s="314"/>
      <c r="Y2472" s="314"/>
      <c r="Z2472" s="314"/>
      <c r="AA2472" s="314"/>
      <c r="AB2472" s="314"/>
      <c r="AC2472" s="314"/>
      <c r="AD2472" s="314"/>
      <c r="AE2472" s="314"/>
      <c r="AF2472" s="314"/>
    </row>
    <row r="2473" spans="5:32" x14ac:dyDescent="0.35">
      <c r="E2473" s="314"/>
      <c r="F2473" s="314"/>
      <c r="G2473" s="314"/>
      <c r="H2473" s="314"/>
      <c r="I2473" s="314"/>
      <c r="J2473" s="314"/>
      <c r="K2473" s="314"/>
      <c r="L2473" s="314"/>
      <c r="M2473" s="314"/>
      <c r="N2473" s="314"/>
      <c r="O2473" s="314"/>
      <c r="P2473" s="314"/>
      <c r="Q2473" s="314"/>
      <c r="R2473" s="314"/>
      <c r="S2473" s="314"/>
      <c r="T2473" s="314"/>
      <c r="U2473" s="314"/>
      <c r="V2473" s="314"/>
      <c r="W2473" s="314"/>
      <c r="X2473" s="314"/>
      <c r="Y2473" s="314"/>
      <c r="Z2473" s="314"/>
      <c r="AA2473" s="314"/>
      <c r="AB2473" s="314"/>
      <c r="AC2473" s="314"/>
      <c r="AD2473" s="314"/>
      <c r="AE2473" s="314"/>
      <c r="AF2473" s="314"/>
    </row>
    <row r="2474" spans="5:32" x14ac:dyDescent="0.35">
      <c r="E2474" s="314"/>
      <c r="F2474" s="314"/>
      <c r="G2474" s="314"/>
      <c r="H2474" s="314"/>
      <c r="I2474" s="314"/>
      <c r="J2474" s="314"/>
      <c r="K2474" s="314"/>
      <c r="L2474" s="314"/>
      <c r="M2474" s="314"/>
      <c r="N2474" s="314"/>
      <c r="O2474" s="314"/>
      <c r="P2474" s="314"/>
      <c r="Q2474" s="314"/>
      <c r="R2474" s="314"/>
      <c r="S2474" s="314"/>
      <c r="T2474" s="314"/>
      <c r="U2474" s="314"/>
      <c r="V2474" s="314"/>
      <c r="W2474" s="314"/>
      <c r="X2474" s="314"/>
      <c r="Y2474" s="314"/>
      <c r="Z2474" s="314"/>
      <c r="AA2474" s="314"/>
      <c r="AB2474" s="314"/>
      <c r="AC2474" s="314"/>
      <c r="AD2474" s="314"/>
      <c r="AE2474" s="314"/>
      <c r="AF2474" s="314"/>
    </row>
    <row r="2475" spans="5:32" x14ac:dyDescent="0.35">
      <c r="E2475" s="314"/>
      <c r="F2475" s="314"/>
      <c r="G2475" s="314"/>
      <c r="H2475" s="314"/>
      <c r="I2475" s="314"/>
      <c r="J2475" s="314"/>
      <c r="K2475" s="314"/>
      <c r="L2475" s="314"/>
      <c r="M2475" s="314"/>
      <c r="N2475" s="314"/>
      <c r="O2475" s="314"/>
      <c r="P2475" s="314"/>
      <c r="Q2475" s="314"/>
      <c r="R2475" s="314"/>
      <c r="S2475" s="314"/>
      <c r="T2475" s="314"/>
      <c r="U2475" s="314"/>
      <c r="V2475" s="314"/>
      <c r="W2475" s="314"/>
      <c r="X2475" s="314"/>
      <c r="Y2475" s="314"/>
      <c r="Z2475" s="314"/>
      <c r="AA2475" s="314"/>
      <c r="AB2475" s="314"/>
      <c r="AC2475" s="314"/>
      <c r="AD2475" s="314"/>
      <c r="AE2475" s="314"/>
      <c r="AF2475" s="314"/>
    </row>
    <row r="2476" spans="5:32" x14ac:dyDescent="0.35">
      <c r="E2476" s="314"/>
      <c r="F2476" s="314"/>
      <c r="G2476" s="314"/>
      <c r="H2476" s="314"/>
      <c r="I2476" s="314"/>
      <c r="J2476" s="314"/>
      <c r="K2476" s="314"/>
      <c r="L2476" s="314"/>
      <c r="M2476" s="314"/>
      <c r="N2476" s="314"/>
      <c r="O2476" s="314"/>
      <c r="P2476" s="314"/>
      <c r="Q2476" s="314"/>
      <c r="R2476" s="314"/>
      <c r="S2476" s="314"/>
      <c r="T2476" s="314"/>
      <c r="U2476" s="314"/>
      <c r="V2476" s="314"/>
      <c r="W2476" s="314"/>
      <c r="X2476" s="314"/>
      <c r="Y2476" s="314"/>
      <c r="Z2476" s="314"/>
      <c r="AA2476" s="314"/>
      <c r="AB2476" s="314"/>
      <c r="AC2476" s="314"/>
      <c r="AD2476" s="314"/>
      <c r="AE2476" s="314"/>
      <c r="AF2476" s="314"/>
    </row>
    <row r="2477" spans="5:32" x14ac:dyDescent="0.35">
      <c r="E2477" s="314"/>
      <c r="F2477" s="314"/>
      <c r="G2477" s="314"/>
      <c r="H2477" s="314"/>
      <c r="I2477" s="314"/>
      <c r="J2477" s="314"/>
      <c r="K2477" s="314"/>
      <c r="L2477" s="314"/>
      <c r="M2477" s="314"/>
      <c r="N2477" s="314"/>
      <c r="O2477" s="314"/>
      <c r="P2477" s="314"/>
      <c r="Q2477" s="314"/>
      <c r="R2477" s="314"/>
      <c r="S2477" s="314"/>
      <c r="T2477" s="314"/>
      <c r="U2477" s="314"/>
      <c r="V2477" s="314"/>
      <c r="W2477" s="314"/>
      <c r="X2477" s="314"/>
      <c r="Y2477" s="314"/>
      <c r="Z2477" s="314"/>
      <c r="AA2477" s="314"/>
      <c r="AB2477" s="314"/>
      <c r="AC2477" s="314"/>
      <c r="AD2477" s="314"/>
      <c r="AE2477" s="314"/>
      <c r="AF2477" s="314"/>
    </row>
    <row r="2478" spans="5:32" x14ac:dyDescent="0.35">
      <c r="E2478" s="314"/>
      <c r="F2478" s="314"/>
      <c r="G2478" s="314"/>
      <c r="H2478" s="314"/>
      <c r="I2478" s="314"/>
      <c r="J2478" s="314"/>
      <c r="K2478" s="314"/>
      <c r="L2478" s="314"/>
      <c r="M2478" s="314"/>
      <c r="N2478" s="314"/>
      <c r="O2478" s="314"/>
      <c r="P2478" s="314"/>
      <c r="Q2478" s="314"/>
      <c r="R2478" s="314"/>
      <c r="S2478" s="314"/>
      <c r="T2478" s="314"/>
      <c r="U2478" s="314"/>
      <c r="V2478" s="314"/>
      <c r="W2478" s="314"/>
      <c r="X2478" s="314"/>
      <c r="Y2478" s="314"/>
      <c r="Z2478" s="314"/>
      <c r="AA2478" s="314"/>
      <c r="AB2478" s="314"/>
      <c r="AC2478" s="314"/>
      <c r="AD2478" s="314"/>
      <c r="AE2478" s="314"/>
      <c r="AF2478" s="314"/>
    </row>
    <row r="2479" spans="5:32" x14ac:dyDescent="0.35">
      <c r="E2479" s="314"/>
      <c r="F2479" s="314"/>
      <c r="G2479" s="314"/>
      <c r="H2479" s="314"/>
      <c r="I2479" s="314"/>
      <c r="J2479" s="314"/>
      <c r="K2479" s="314"/>
      <c r="L2479" s="314"/>
      <c r="M2479" s="314"/>
      <c r="N2479" s="314"/>
      <c r="O2479" s="314"/>
      <c r="P2479" s="314"/>
      <c r="Q2479" s="314"/>
      <c r="R2479" s="314"/>
      <c r="S2479" s="314"/>
      <c r="T2479" s="314"/>
      <c r="U2479" s="314"/>
      <c r="V2479" s="314"/>
      <c r="W2479" s="314"/>
      <c r="X2479" s="314"/>
      <c r="Y2479" s="314"/>
      <c r="Z2479" s="314"/>
      <c r="AA2479" s="314"/>
      <c r="AB2479" s="314"/>
      <c r="AC2479" s="314"/>
      <c r="AD2479" s="314"/>
      <c r="AE2479" s="314"/>
      <c r="AF2479" s="314"/>
    </row>
    <row r="2480" spans="5:32" x14ac:dyDescent="0.35">
      <c r="E2480" s="314"/>
      <c r="F2480" s="314"/>
      <c r="G2480" s="314"/>
      <c r="H2480" s="314"/>
      <c r="I2480" s="314"/>
      <c r="J2480" s="314"/>
      <c r="K2480" s="314"/>
      <c r="L2480" s="314"/>
      <c r="M2480" s="314"/>
      <c r="N2480" s="314"/>
      <c r="O2480" s="314"/>
      <c r="P2480" s="314"/>
      <c r="Q2480" s="314"/>
      <c r="R2480" s="314"/>
      <c r="S2480" s="314"/>
      <c r="T2480" s="314"/>
      <c r="U2480" s="314"/>
      <c r="V2480" s="314"/>
      <c r="W2480" s="314"/>
      <c r="X2480" s="314"/>
      <c r="Y2480" s="314"/>
      <c r="Z2480" s="314"/>
      <c r="AA2480" s="314"/>
      <c r="AB2480" s="314"/>
      <c r="AC2480" s="314"/>
      <c r="AD2480" s="314"/>
      <c r="AE2480" s="314"/>
      <c r="AF2480" s="314"/>
    </row>
    <row r="2481" spans="5:32" x14ac:dyDescent="0.35">
      <c r="E2481" s="314"/>
      <c r="F2481" s="314"/>
      <c r="G2481" s="314"/>
      <c r="H2481" s="314"/>
      <c r="I2481" s="314"/>
      <c r="J2481" s="314"/>
      <c r="K2481" s="314"/>
      <c r="L2481" s="314"/>
      <c r="M2481" s="314"/>
      <c r="N2481" s="314"/>
      <c r="O2481" s="314"/>
      <c r="P2481" s="314"/>
      <c r="Q2481" s="314"/>
      <c r="R2481" s="314"/>
      <c r="S2481" s="314"/>
      <c r="T2481" s="314"/>
      <c r="U2481" s="314"/>
      <c r="V2481" s="314"/>
      <c r="W2481" s="314"/>
      <c r="X2481" s="314"/>
      <c r="Y2481" s="314"/>
      <c r="Z2481" s="314"/>
      <c r="AA2481" s="314"/>
      <c r="AB2481" s="314"/>
      <c r="AC2481" s="314"/>
      <c r="AD2481" s="314"/>
      <c r="AE2481" s="314"/>
      <c r="AF2481" s="314"/>
    </row>
    <row r="2482" spans="5:32" x14ac:dyDescent="0.35">
      <c r="E2482" s="314"/>
      <c r="F2482" s="314"/>
      <c r="G2482" s="314"/>
      <c r="H2482" s="314"/>
      <c r="I2482" s="314"/>
      <c r="J2482" s="314"/>
      <c r="K2482" s="314"/>
      <c r="L2482" s="314"/>
      <c r="M2482" s="314"/>
      <c r="N2482" s="314"/>
      <c r="O2482" s="314"/>
      <c r="P2482" s="314"/>
      <c r="Q2482" s="314"/>
      <c r="R2482" s="314"/>
      <c r="S2482" s="314"/>
      <c r="T2482" s="314"/>
      <c r="U2482" s="314"/>
      <c r="V2482" s="314"/>
      <c r="W2482" s="314"/>
      <c r="X2482" s="314"/>
      <c r="Y2482" s="314"/>
      <c r="Z2482" s="314"/>
      <c r="AA2482" s="314"/>
      <c r="AB2482" s="314"/>
      <c r="AC2482" s="314"/>
      <c r="AD2482" s="314"/>
      <c r="AE2482" s="314"/>
      <c r="AF2482" s="314"/>
    </row>
    <row r="2483" spans="5:32" x14ac:dyDescent="0.35">
      <c r="E2483" s="314"/>
      <c r="F2483" s="314"/>
      <c r="G2483" s="314"/>
      <c r="H2483" s="314"/>
      <c r="I2483" s="314"/>
      <c r="J2483" s="314"/>
      <c r="K2483" s="314"/>
      <c r="L2483" s="314"/>
      <c r="M2483" s="314"/>
      <c r="N2483" s="314"/>
      <c r="O2483" s="314"/>
      <c r="P2483" s="314"/>
      <c r="Q2483" s="314"/>
      <c r="R2483" s="314"/>
      <c r="S2483" s="314"/>
      <c r="T2483" s="314"/>
      <c r="U2483" s="314"/>
      <c r="V2483" s="314"/>
      <c r="W2483" s="314"/>
      <c r="X2483" s="314"/>
      <c r="Y2483" s="314"/>
      <c r="Z2483" s="314"/>
      <c r="AA2483" s="314"/>
      <c r="AB2483" s="314"/>
      <c r="AC2483" s="314"/>
      <c r="AD2483" s="314"/>
      <c r="AE2483" s="314"/>
      <c r="AF2483" s="314"/>
    </row>
    <row r="2484" spans="5:32" x14ac:dyDescent="0.35">
      <c r="E2484" s="314"/>
      <c r="F2484" s="314"/>
      <c r="G2484" s="314"/>
      <c r="H2484" s="314"/>
      <c r="I2484" s="314"/>
      <c r="J2484" s="314"/>
      <c r="K2484" s="314"/>
      <c r="L2484" s="314"/>
      <c r="M2484" s="314"/>
      <c r="N2484" s="314"/>
      <c r="O2484" s="314"/>
      <c r="P2484" s="314"/>
      <c r="Q2484" s="314"/>
      <c r="R2484" s="314"/>
      <c r="S2484" s="314"/>
      <c r="T2484" s="314"/>
      <c r="U2484" s="314"/>
      <c r="V2484" s="314"/>
      <c r="W2484" s="314"/>
      <c r="X2484" s="314"/>
      <c r="Y2484" s="314"/>
      <c r="Z2484" s="314"/>
      <c r="AA2484" s="314"/>
      <c r="AB2484" s="314"/>
      <c r="AC2484" s="314"/>
      <c r="AD2484" s="314"/>
      <c r="AE2484" s="314"/>
      <c r="AF2484" s="314"/>
    </row>
    <row r="2485" spans="5:32" x14ac:dyDescent="0.35">
      <c r="E2485" s="314"/>
      <c r="F2485" s="314"/>
      <c r="G2485" s="314"/>
      <c r="H2485" s="314"/>
      <c r="I2485" s="314"/>
      <c r="J2485" s="314"/>
      <c r="K2485" s="314"/>
      <c r="L2485" s="314"/>
      <c r="M2485" s="314"/>
      <c r="N2485" s="314"/>
      <c r="O2485" s="314"/>
      <c r="P2485" s="314"/>
      <c r="Q2485" s="314"/>
      <c r="R2485" s="314"/>
      <c r="S2485" s="314"/>
      <c r="T2485" s="314"/>
      <c r="U2485" s="314"/>
      <c r="V2485" s="314"/>
      <c r="W2485" s="314"/>
      <c r="X2485" s="314"/>
      <c r="Y2485" s="314"/>
      <c r="Z2485" s="314"/>
      <c r="AA2485" s="314"/>
      <c r="AB2485" s="314"/>
      <c r="AC2485" s="314"/>
      <c r="AD2485" s="314"/>
      <c r="AE2485" s="314"/>
      <c r="AF2485" s="314"/>
    </row>
    <row r="2486" spans="5:32" x14ac:dyDescent="0.35">
      <c r="E2486" s="314"/>
      <c r="F2486" s="314"/>
      <c r="G2486" s="314"/>
      <c r="H2486" s="314"/>
      <c r="I2486" s="314"/>
      <c r="J2486" s="314"/>
      <c r="K2486" s="314"/>
      <c r="L2486" s="314"/>
      <c r="M2486" s="314"/>
      <c r="N2486" s="314"/>
      <c r="O2486" s="314"/>
      <c r="P2486" s="314"/>
      <c r="Q2486" s="314"/>
      <c r="R2486" s="314"/>
      <c r="S2486" s="314"/>
      <c r="T2486" s="314"/>
      <c r="U2486" s="314"/>
      <c r="V2486" s="314"/>
      <c r="W2486" s="314"/>
      <c r="X2486" s="314"/>
      <c r="Y2486" s="314"/>
      <c r="Z2486" s="314"/>
      <c r="AA2486" s="314"/>
      <c r="AB2486" s="314"/>
      <c r="AC2486" s="314"/>
      <c r="AD2486" s="314"/>
      <c r="AE2486" s="314"/>
      <c r="AF2486" s="314"/>
    </row>
    <row r="2487" spans="5:32" x14ac:dyDescent="0.35">
      <c r="E2487" s="314"/>
      <c r="F2487" s="314"/>
      <c r="G2487" s="314"/>
      <c r="H2487" s="314"/>
      <c r="I2487" s="314"/>
      <c r="J2487" s="314"/>
      <c r="K2487" s="314"/>
      <c r="L2487" s="314"/>
      <c r="M2487" s="314"/>
      <c r="N2487" s="314"/>
      <c r="O2487" s="314"/>
      <c r="P2487" s="314"/>
      <c r="Q2487" s="314"/>
      <c r="R2487" s="314"/>
      <c r="S2487" s="314"/>
      <c r="T2487" s="314"/>
      <c r="U2487" s="314"/>
      <c r="V2487" s="314"/>
      <c r="W2487" s="314"/>
      <c r="X2487" s="314"/>
      <c r="Y2487" s="314"/>
      <c r="Z2487" s="314"/>
      <c r="AA2487" s="314"/>
      <c r="AB2487" s="314"/>
      <c r="AC2487" s="314"/>
      <c r="AD2487" s="314"/>
      <c r="AE2487" s="314"/>
      <c r="AF2487" s="314"/>
    </row>
    <row r="2488" spans="5:32" x14ac:dyDescent="0.35">
      <c r="E2488" s="314"/>
      <c r="F2488" s="314"/>
      <c r="G2488" s="314"/>
      <c r="H2488" s="314"/>
      <c r="I2488" s="314"/>
      <c r="J2488" s="314"/>
      <c r="K2488" s="314"/>
      <c r="L2488" s="314"/>
      <c r="M2488" s="314"/>
      <c r="N2488" s="314"/>
      <c r="O2488" s="314"/>
      <c r="P2488" s="314"/>
      <c r="Q2488" s="314"/>
      <c r="R2488" s="314"/>
      <c r="S2488" s="314"/>
      <c r="T2488" s="314"/>
      <c r="U2488" s="314"/>
      <c r="V2488" s="314"/>
      <c r="W2488" s="314"/>
      <c r="X2488" s="314"/>
      <c r="Y2488" s="314"/>
      <c r="Z2488" s="314"/>
      <c r="AA2488" s="314"/>
      <c r="AB2488" s="314"/>
      <c r="AC2488" s="314"/>
      <c r="AD2488" s="314"/>
      <c r="AE2488" s="314"/>
      <c r="AF2488" s="314"/>
    </row>
    <row r="2489" spans="5:32" x14ac:dyDescent="0.35">
      <c r="E2489" s="314"/>
      <c r="F2489" s="314"/>
      <c r="G2489" s="314"/>
      <c r="H2489" s="314"/>
      <c r="I2489" s="314"/>
      <c r="J2489" s="314"/>
      <c r="K2489" s="314"/>
      <c r="L2489" s="314"/>
      <c r="M2489" s="314"/>
      <c r="N2489" s="314"/>
      <c r="O2489" s="314"/>
      <c r="P2489" s="314"/>
      <c r="Q2489" s="314"/>
      <c r="R2489" s="314"/>
      <c r="S2489" s="314"/>
      <c r="T2489" s="314"/>
      <c r="U2489" s="314"/>
      <c r="V2489" s="314"/>
      <c r="W2489" s="314"/>
      <c r="X2489" s="314"/>
      <c r="Y2489" s="314"/>
      <c r="Z2489" s="314"/>
      <c r="AA2489" s="314"/>
      <c r="AB2489" s="314"/>
      <c r="AC2489" s="314"/>
      <c r="AD2489" s="314"/>
      <c r="AE2489" s="314"/>
      <c r="AF2489" s="314"/>
    </row>
    <row r="2490" spans="5:32" x14ac:dyDescent="0.35">
      <c r="E2490" s="314"/>
      <c r="F2490" s="314"/>
      <c r="G2490" s="314"/>
      <c r="H2490" s="314"/>
      <c r="I2490" s="314"/>
      <c r="J2490" s="314"/>
      <c r="K2490" s="314"/>
      <c r="L2490" s="314"/>
      <c r="M2490" s="314"/>
      <c r="N2490" s="314"/>
      <c r="O2490" s="314"/>
      <c r="P2490" s="314"/>
      <c r="Q2490" s="314"/>
      <c r="R2490" s="314"/>
      <c r="S2490" s="314"/>
      <c r="T2490" s="314"/>
      <c r="U2490" s="314"/>
      <c r="V2490" s="314"/>
      <c r="W2490" s="314"/>
      <c r="X2490" s="314"/>
      <c r="Y2490" s="314"/>
      <c r="Z2490" s="314"/>
      <c r="AA2490" s="314"/>
      <c r="AB2490" s="314"/>
      <c r="AC2490" s="314"/>
      <c r="AD2490" s="314"/>
      <c r="AE2490" s="314"/>
      <c r="AF2490" s="314"/>
    </row>
    <row r="2491" spans="5:32" x14ac:dyDescent="0.35">
      <c r="E2491" s="314"/>
      <c r="F2491" s="314"/>
      <c r="G2491" s="314"/>
      <c r="H2491" s="314"/>
      <c r="I2491" s="314"/>
      <c r="J2491" s="314"/>
      <c r="K2491" s="314"/>
      <c r="L2491" s="314"/>
      <c r="M2491" s="314"/>
      <c r="N2491" s="314"/>
      <c r="O2491" s="314"/>
      <c r="P2491" s="314"/>
      <c r="Q2491" s="314"/>
      <c r="R2491" s="314"/>
      <c r="S2491" s="314"/>
      <c r="T2491" s="314"/>
      <c r="U2491" s="314"/>
      <c r="V2491" s="314"/>
      <c r="W2491" s="314"/>
      <c r="X2491" s="314"/>
      <c r="Y2491" s="314"/>
      <c r="Z2491" s="314"/>
      <c r="AA2491" s="314"/>
      <c r="AB2491" s="314"/>
      <c r="AC2491" s="314"/>
      <c r="AD2491" s="314"/>
      <c r="AE2491" s="314"/>
      <c r="AF2491" s="314"/>
    </row>
    <row r="2492" spans="5:32" x14ac:dyDescent="0.35">
      <c r="E2492" s="314"/>
      <c r="F2492" s="314"/>
      <c r="G2492" s="314"/>
      <c r="H2492" s="314"/>
      <c r="I2492" s="314"/>
      <c r="J2492" s="314"/>
      <c r="K2492" s="314"/>
      <c r="L2492" s="314"/>
      <c r="M2492" s="314"/>
      <c r="N2492" s="314"/>
      <c r="O2492" s="314"/>
      <c r="P2492" s="314"/>
      <c r="Q2492" s="314"/>
      <c r="R2492" s="314"/>
      <c r="S2492" s="314"/>
      <c r="T2492" s="314"/>
      <c r="U2492" s="314"/>
      <c r="V2492" s="314"/>
      <c r="W2492" s="314"/>
      <c r="X2492" s="314"/>
      <c r="Y2492" s="314"/>
      <c r="Z2492" s="314"/>
      <c r="AA2492" s="314"/>
      <c r="AB2492" s="314"/>
      <c r="AC2492" s="314"/>
      <c r="AD2492" s="314"/>
      <c r="AE2492" s="314"/>
      <c r="AF2492" s="314"/>
    </row>
    <row r="2493" spans="5:32" x14ac:dyDescent="0.35">
      <c r="E2493" s="314"/>
      <c r="F2493" s="314"/>
      <c r="G2493" s="314"/>
      <c r="H2493" s="314"/>
      <c r="I2493" s="314"/>
      <c r="J2493" s="314"/>
      <c r="K2493" s="314"/>
      <c r="L2493" s="314"/>
      <c r="M2493" s="314"/>
      <c r="N2493" s="314"/>
      <c r="O2493" s="314"/>
      <c r="P2493" s="314"/>
      <c r="Q2493" s="314"/>
      <c r="R2493" s="314"/>
      <c r="S2493" s="314"/>
      <c r="T2493" s="314"/>
      <c r="U2493" s="314"/>
      <c r="V2493" s="314"/>
      <c r="W2493" s="314"/>
      <c r="X2493" s="314"/>
      <c r="Y2493" s="314"/>
      <c r="Z2493" s="314"/>
      <c r="AA2493" s="314"/>
      <c r="AB2493" s="314"/>
      <c r="AC2493" s="314"/>
      <c r="AD2493" s="314"/>
      <c r="AE2493" s="314"/>
      <c r="AF2493" s="314"/>
    </row>
    <row r="2494" spans="5:32" x14ac:dyDescent="0.35">
      <c r="E2494" s="314"/>
      <c r="F2494" s="314"/>
      <c r="G2494" s="314"/>
      <c r="H2494" s="314"/>
      <c r="I2494" s="314"/>
      <c r="J2494" s="314"/>
      <c r="K2494" s="314"/>
      <c r="L2494" s="314"/>
      <c r="M2494" s="314"/>
      <c r="N2494" s="314"/>
      <c r="O2494" s="314"/>
      <c r="P2494" s="314"/>
      <c r="Q2494" s="314"/>
      <c r="R2494" s="314"/>
      <c r="S2494" s="314"/>
      <c r="T2494" s="314"/>
      <c r="U2494" s="314"/>
      <c r="V2494" s="314"/>
      <c r="W2494" s="314"/>
      <c r="X2494" s="314"/>
      <c r="Y2494" s="314"/>
      <c r="Z2494" s="314"/>
      <c r="AA2494" s="314"/>
      <c r="AB2494" s="314"/>
      <c r="AC2494" s="314"/>
      <c r="AD2494" s="314"/>
      <c r="AE2494" s="314"/>
      <c r="AF2494" s="314"/>
    </row>
    <row r="2495" spans="5:32" x14ac:dyDescent="0.35">
      <c r="E2495" s="314"/>
      <c r="F2495" s="314"/>
      <c r="G2495" s="314"/>
      <c r="H2495" s="314"/>
      <c r="I2495" s="314"/>
      <c r="J2495" s="314"/>
      <c r="K2495" s="314"/>
      <c r="L2495" s="314"/>
      <c r="M2495" s="314"/>
      <c r="N2495" s="314"/>
      <c r="O2495" s="314"/>
      <c r="P2495" s="314"/>
      <c r="Q2495" s="314"/>
      <c r="R2495" s="314"/>
      <c r="S2495" s="314"/>
      <c r="T2495" s="314"/>
      <c r="U2495" s="314"/>
      <c r="V2495" s="314"/>
      <c r="W2495" s="314"/>
      <c r="X2495" s="314"/>
      <c r="Y2495" s="314"/>
      <c r="Z2495" s="314"/>
      <c r="AA2495" s="314"/>
      <c r="AB2495" s="314"/>
      <c r="AC2495" s="314"/>
      <c r="AD2495" s="314"/>
      <c r="AE2495" s="314"/>
      <c r="AF2495" s="314"/>
    </row>
    <row r="2496" spans="5:32" x14ac:dyDescent="0.35">
      <c r="E2496" s="314"/>
      <c r="F2496" s="314"/>
      <c r="G2496" s="314"/>
      <c r="H2496" s="314"/>
      <c r="I2496" s="314"/>
      <c r="J2496" s="314"/>
      <c r="K2496" s="314"/>
      <c r="L2496" s="314"/>
      <c r="M2496" s="314"/>
      <c r="N2496" s="314"/>
      <c r="O2496" s="314"/>
      <c r="P2496" s="314"/>
      <c r="Q2496" s="314"/>
      <c r="R2496" s="314"/>
      <c r="S2496" s="314"/>
      <c r="T2496" s="314"/>
      <c r="U2496" s="314"/>
      <c r="V2496" s="314"/>
      <c r="W2496" s="314"/>
      <c r="X2496" s="314"/>
      <c r="Y2496" s="314"/>
      <c r="Z2496" s="314"/>
      <c r="AA2496" s="314"/>
      <c r="AB2496" s="314"/>
      <c r="AC2496" s="314"/>
      <c r="AD2496" s="314"/>
      <c r="AE2496" s="314"/>
      <c r="AF2496" s="314"/>
    </row>
    <row r="2497" spans="5:32" x14ac:dyDescent="0.35">
      <c r="E2497" s="314"/>
      <c r="F2497" s="314"/>
      <c r="G2497" s="314"/>
      <c r="H2497" s="314"/>
      <c r="I2497" s="314"/>
      <c r="J2497" s="314"/>
      <c r="K2497" s="314"/>
      <c r="L2497" s="314"/>
      <c r="M2497" s="314"/>
      <c r="N2497" s="314"/>
      <c r="O2497" s="314"/>
      <c r="P2497" s="314"/>
      <c r="Q2497" s="314"/>
      <c r="R2497" s="314"/>
      <c r="S2497" s="314"/>
      <c r="T2497" s="314"/>
      <c r="U2497" s="314"/>
      <c r="V2497" s="314"/>
      <c r="W2497" s="314"/>
      <c r="X2497" s="314"/>
      <c r="Y2497" s="314"/>
      <c r="Z2497" s="314"/>
      <c r="AA2497" s="314"/>
      <c r="AB2497" s="314"/>
      <c r="AC2497" s="314"/>
      <c r="AD2497" s="314"/>
      <c r="AE2497" s="314"/>
      <c r="AF2497" s="314"/>
    </row>
    <row r="2498" spans="5:32" x14ac:dyDescent="0.35">
      <c r="E2498" s="314"/>
      <c r="F2498" s="314"/>
      <c r="G2498" s="314"/>
      <c r="H2498" s="314"/>
      <c r="I2498" s="314"/>
      <c r="J2498" s="314"/>
      <c r="K2498" s="314"/>
      <c r="L2498" s="314"/>
      <c r="M2498" s="314"/>
      <c r="N2498" s="314"/>
      <c r="O2498" s="314"/>
      <c r="P2498" s="314"/>
      <c r="Q2498" s="314"/>
      <c r="R2498" s="314"/>
      <c r="S2498" s="314"/>
      <c r="T2498" s="314"/>
      <c r="U2498" s="314"/>
      <c r="V2498" s="314"/>
      <c r="W2498" s="314"/>
      <c r="X2498" s="314"/>
      <c r="Y2498" s="314"/>
      <c r="Z2498" s="314"/>
      <c r="AA2498" s="314"/>
      <c r="AB2498" s="314"/>
      <c r="AC2498" s="314"/>
      <c r="AD2498" s="314"/>
      <c r="AE2498" s="314"/>
      <c r="AF2498" s="314"/>
    </row>
    <row r="2499" spans="5:32" x14ac:dyDescent="0.35">
      <c r="E2499" s="314"/>
      <c r="F2499" s="314"/>
      <c r="G2499" s="314"/>
      <c r="H2499" s="314"/>
      <c r="I2499" s="314"/>
      <c r="J2499" s="314"/>
      <c r="K2499" s="314"/>
      <c r="L2499" s="314"/>
      <c r="M2499" s="314"/>
      <c r="N2499" s="314"/>
      <c r="O2499" s="314"/>
      <c r="P2499" s="314"/>
      <c r="Q2499" s="314"/>
      <c r="R2499" s="314"/>
      <c r="S2499" s="314"/>
      <c r="T2499" s="314"/>
      <c r="U2499" s="314"/>
      <c r="V2499" s="314"/>
      <c r="W2499" s="314"/>
      <c r="X2499" s="314"/>
      <c r="Y2499" s="314"/>
      <c r="Z2499" s="314"/>
      <c r="AA2499" s="314"/>
      <c r="AB2499" s="314"/>
      <c r="AC2499" s="314"/>
      <c r="AD2499" s="314"/>
      <c r="AE2499" s="314"/>
      <c r="AF2499" s="314"/>
    </row>
    <row r="2500" spans="5:32" x14ac:dyDescent="0.35">
      <c r="E2500" s="314"/>
      <c r="F2500" s="314"/>
      <c r="G2500" s="314"/>
      <c r="H2500" s="314"/>
      <c r="I2500" s="314"/>
      <c r="J2500" s="314"/>
      <c r="K2500" s="314"/>
      <c r="L2500" s="314"/>
      <c r="M2500" s="314"/>
      <c r="N2500" s="314"/>
      <c r="O2500" s="314"/>
      <c r="P2500" s="314"/>
      <c r="Q2500" s="314"/>
      <c r="R2500" s="314"/>
      <c r="S2500" s="314"/>
      <c r="T2500" s="314"/>
      <c r="U2500" s="314"/>
      <c r="V2500" s="314"/>
      <c r="W2500" s="314"/>
      <c r="X2500" s="314"/>
      <c r="Y2500" s="314"/>
      <c r="Z2500" s="314"/>
      <c r="AA2500" s="314"/>
      <c r="AB2500" s="314"/>
      <c r="AC2500" s="314"/>
      <c r="AD2500" s="314"/>
      <c r="AE2500" s="314"/>
      <c r="AF2500" s="314"/>
    </row>
  </sheetData>
  <sheetProtection algorithmName="SHA-512" hashValue="tBXAeZ/JUYpV7KIR/ULYzTZL9fa3H0xIKC8q27aYgITEj9MeI6we5qUWuTlh86Le90aYPx2dBOjeTsdqpntDQg==" saltValue="z9ZQEwrjrXCFvOs/SXwnEA==" spinCount="100000" sheet="1" objects="1" scenarios="1"/>
  <mergeCells count="1">
    <mergeCell ref="B4:B7"/>
  </mergeCells>
  <phoneticPr fontId="16" type="noConversion"/>
  <conditionalFormatting sqref="E9:AF2509">
    <cfRule type="expression" dxfId="8" priority="1">
      <formula>ISERROR(E9)</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56787-CAD5-437D-9D5C-40EE8BFF4AB8}">
  <sheetPr codeName="Sheet24">
    <tabColor theme="7" tint="0.79998168889431442"/>
  </sheetPr>
  <dimension ref="A1:Z2500"/>
  <sheetViews>
    <sheetView showGridLines="0" zoomScaleNormal="100" workbookViewId="0"/>
  </sheetViews>
  <sheetFormatPr defaultRowHeight="14.5" x14ac:dyDescent="0.35"/>
  <cols>
    <col min="1" max="1" width="1.54296875" style="147" customWidth="1"/>
    <col min="2" max="2" width="32.54296875" style="146" customWidth="1"/>
    <col min="3" max="3" width="2.453125" style="147" customWidth="1"/>
    <col min="4" max="4" width="3.54296875" style="147" customWidth="1"/>
    <col min="5" max="5" width="71.7265625" customWidth="1"/>
    <col min="6" max="6" width="20.26953125" customWidth="1"/>
    <col min="7" max="7" width="15.1796875" customWidth="1"/>
    <col min="8" max="8" width="15.54296875" customWidth="1"/>
    <col min="9" max="9" width="24.1796875" customWidth="1"/>
    <col min="10" max="10" width="17.7265625" bestFit="1" customWidth="1"/>
    <col min="11" max="12" width="12.453125" customWidth="1"/>
    <col min="13" max="13" width="12" customWidth="1"/>
    <col min="14" max="14" width="14.453125" customWidth="1"/>
    <col min="15" max="15" width="11.453125" customWidth="1"/>
    <col min="16" max="16" width="9" bestFit="1" customWidth="1"/>
    <col min="17" max="17" width="12.453125" bestFit="1" customWidth="1"/>
    <col min="18" max="18" width="14.1796875" customWidth="1"/>
    <col min="19" max="19" width="12" customWidth="1"/>
    <col min="20" max="20" width="11.453125" customWidth="1"/>
    <col min="21" max="21" width="10.54296875" customWidth="1"/>
    <col min="22" max="22" width="9.1796875" customWidth="1"/>
    <col min="23" max="23" width="13.81640625" customWidth="1"/>
    <col min="24" max="24" width="17.1796875" bestFit="1" customWidth="1"/>
    <col min="25" max="25" width="18.26953125" bestFit="1" customWidth="1"/>
    <col min="26" max="26" width="20.453125" customWidth="1"/>
    <col min="28" max="28" width="18.54296875" customWidth="1"/>
    <col min="29" max="29" width="12.453125" customWidth="1"/>
    <col min="32" max="32" width="21.1796875" customWidth="1"/>
  </cols>
  <sheetData>
    <row r="1" spans="2:26" s="150" customFormat="1" ht="15.5" x14ac:dyDescent="0.35">
      <c r="B1" s="196" t="s">
        <v>263</v>
      </c>
      <c r="E1" s="200"/>
      <c r="F1" s="201"/>
      <c r="H1" s="200"/>
      <c r="I1" s="199"/>
      <c r="J1" s="199"/>
      <c r="Q1" s="299"/>
      <c r="R1" s="299"/>
      <c r="S1" s="299"/>
      <c r="T1" s="299"/>
      <c r="U1" s="299"/>
      <c r="V1" s="299"/>
      <c r="W1" s="299"/>
    </row>
    <row r="2" spans="2:26" s="153" customFormat="1" ht="14" x14ac:dyDescent="0.3">
      <c r="B2" s="197" t="s">
        <v>1099</v>
      </c>
      <c r="E2" s="202"/>
      <c r="F2" s="203"/>
      <c r="Q2" s="300"/>
      <c r="R2" s="300"/>
      <c r="S2" s="300"/>
      <c r="T2" s="300"/>
      <c r="U2" s="300"/>
      <c r="V2" s="300"/>
      <c r="W2" s="300"/>
    </row>
    <row r="3" spans="2:26" s="147" customFormat="1" ht="14" x14ac:dyDescent="0.3">
      <c r="B3" s="146"/>
      <c r="Q3" s="301"/>
      <c r="R3" s="301"/>
      <c r="S3" s="301"/>
      <c r="T3" s="301"/>
      <c r="U3" s="301"/>
      <c r="V3" s="301"/>
      <c r="W3" s="301"/>
    </row>
    <row r="4" spans="2:26" ht="15" thickBot="1" x14ac:dyDescent="0.4">
      <c r="B4" s="455" t="s">
        <v>1100</v>
      </c>
      <c r="E4" s="176"/>
      <c r="Q4" s="302"/>
      <c r="R4" s="302"/>
      <c r="S4" s="302"/>
      <c r="T4" s="302"/>
      <c r="U4" s="302"/>
      <c r="V4" s="302"/>
      <c r="W4" s="302"/>
    </row>
    <row r="5" spans="2:26" x14ac:dyDescent="0.35">
      <c r="B5" s="455"/>
      <c r="E5" s="147"/>
      <c r="Q5" s="302"/>
      <c r="R5" s="302"/>
      <c r="S5" s="302"/>
      <c r="T5" s="302"/>
      <c r="U5" s="302"/>
      <c r="V5" s="302"/>
      <c r="W5" s="302"/>
    </row>
    <row r="6" spans="2:26" x14ac:dyDescent="0.35">
      <c r="B6" s="455"/>
      <c r="E6" s="160" t="s">
        <v>1101</v>
      </c>
      <c r="Q6" s="302"/>
      <c r="R6" s="302"/>
      <c r="S6" s="302"/>
      <c r="T6" s="302"/>
      <c r="U6" s="302"/>
      <c r="V6" s="302"/>
      <c r="W6" s="302"/>
    </row>
    <row r="7" spans="2:26" x14ac:dyDescent="0.35">
      <c r="B7" s="455"/>
      <c r="Q7" s="302"/>
      <c r="R7" s="302"/>
      <c r="S7" s="302"/>
      <c r="T7" s="302"/>
      <c r="U7" s="302"/>
      <c r="V7" s="302"/>
      <c r="W7" s="302"/>
    </row>
    <row r="8" spans="2:26" ht="84.5" x14ac:dyDescent="0.35">
      <c r="B8" s="159" t="s">
        <v>1102</v>
      </c>
      <c r="E8" s="293" t="s">
        <v>294</v>
      </c>
      <c r="F8" s="293" t="s">
        <v>295</v>
      </c>
      <c r="G8" s="293" t="s">
        <v>296</v>
      </c>
      <c r="H8" s="293" t="s">
        <v>297</v>
      </c>
      <c r="I8" s="293" t="s">
        <v>298</v>
      </c>
      <c r="J8" s="293" t="s">
        <v>299</v>
      </c>
      <c r="K8" s="293" t="s">
        <v>300</v>
      </c>
      <c r="L8" s="293" t="s">
        <v>301</v>
      </c>
      <c r="M8" s="293" t="s">
        <v>302</v>
      </c>
      <c r="N8" s="293" t="s">
        <v>287</v>
      </c>
      <c r="O8" s="293" t="s">
        <v>303</v>
      </c>
      <c r="P8" s="293" t="s">
        <v>429</v>
      </c>
      <c r="Q8" s="306" t="s">
        <v>430</v>
      </c>
      <c r="R8" s="306" t="s">
        <v>431</v>
      </c>
      <c r="S8" s="306" t="s">
        <v>432</v>
      </c>
      <c r="T8" s="306" t="s">
        <v>433</v>
      </c>
      <c r="U8" s="306" t="s">
        <v>434</v>
      </c>
      <c r="V8" s="306" t="s">
        <v>435</v>
      </c>
      <c r="W8" s="306" t="s">
        <v>436</v>
      </c>
      <c r="X8" s="293" t="s">
        <v>291</v>
      </c>
      <c r="Y8" s="293" t="s">
        <v>292</v>
      </c>
      <c r="Z8" s="293" t="s">
        <v>293</v>
      </c>
    </row>
    <row r="9" spans="2:26" x14ac:dyDescent="0.35">
      <c r="B9" s="159"/>
      <c r="E9" s="314" t="e" cm="1" vm="1">
        <f t="array" ref="E9">_xlfn.LET(
_xlpm.TotalsV,
_xlfn.VSTACK(
IFERROR(Renewables_Electricity_Backend[], ""),
IFERROR(Renewables_Heat_Backend[], "")
),
_xlfn._xlws.FILTER(_xlpm.TotalsV,INDEX(_xlpm.TotalsV,,1)&lt;&gt;"")
)</f>
        <v>#VALUE!</v>
      </c>
      <c r="F9" s="314"/>
      <c r="G9" s="314"/>
      <c r="H9" s="314"/>
      <c r="I9" s="314"/>
      <c r="J9" s="314"/>
      <c r="K9" s="314"/>
      <c r="L9" s="314"/>
      <c r="M9" s="314"/>
      <c r="N9" s="314"/>
      <c r="O9" s="314"/>
      <c r="P9" s="314"/>
      <c r="Q9" s="314"/>
      <c r="R9" s="314"/>
      <c r="S9" s="314"/>
      <c r="T9" s="314"/>
      <c r="U9" s="314"/>
      <c r="V9" s="314"/>
      <c r="W9" s="314"/>
      <c r="X9" s="314"/>
      <c r="Y9" s="314"/>
      <c r="Z9" s="314"/>
    </row>
    <row r="10" spans="2:26" x14ac:dyDescent="0.35">
      <c r="B10" s="146" t="s">
        <v>1103</v>
      </c>
      <c r="E10" s="314"/>
      <c r="F10" s="314"/>
      <c r="G10" s="314"/>
      <c r="H10" s="314"/>
      <c r="I10" s="314"/>
      <c r="J10" s="314"/>
      <c r="K10" s="314"/>
      <c r="L10" s="314"/>
      <c r="M10" s="314"/>
      <c r="N10" s="314"/>
      <c r="O10" s="314"/>
      <c r="P10" s="314"/>
      <c r="Q10" s="314"/>
      <c r="R10" s="314"/>
      <c r="S10" s="314"/>
      <c r="T10" s="314"/>
      <c r="U10" s="314"/>
      <c r="V10" s="314"/>
      <c r="W10" s="314"/>
      <c r="X10" s="314"/>
      <c r="Y10" s="314"/>
      <c r="Z10" s="314"/>
    </row>
    <row r="11" spans="2:26" x14ac:dyDescent="0.35">
      <c r="B11" s="169" t="s">
        <v>1104</v>
      </c>
      <c r="E11" s="314"/>
      <c r="F11" s="314"/>
      <c r="G11" s="314"/>
      <c r="H11" s="314"/>
      <c r="I11" s="314"/>
      <c r="J11" s="314"/>
      <c r="K11" s="314"/>
      <c r="L11" s="314"/>
      <c r="M11" s="314"/>
      <c r="N11" s="314"/>
      <c r="O11" s="314"/>
      <c r="P11" s="314"/>
      <c r="Q11" s="314"/>
      <c r="R11" s="314"/>
      <c r="S11" s="314"/>
      <c r="T11" s="314"/>
      <c r="U11" s="314"/>
      <c r="V11" s="314"/>
      <c r="W11" s="314"/>
      <c r="X11" s="314"/>
      <c r="Y11" s="314"/>
      <c r="Z11" s="314"/>
    </row>
    <row r="12" spans="2:26" x14ac:dyDescent="0.35">
      <c r="B12" s="169" t="s">
        <v>1105</v>
      </c>
      <c r="E12" s="314"/>
      <c r="F12" s="314"/>
      <c r="G12" s="314"/>
      <c r="H12" s="314"/>
      <c r="I12" s="314"/>
      <c r="J12" s="314"/>
      <c r="K12" s="314"/>
      <c r="L12" s="314"/>
      <c r="M12" s="314"/>
      <c r="N12" s="314"/>
      <c r="O12" s="314"/>
      <c r="P12" s="314"/>
      <c r="Q12" s="314"/>
      <c r="R12" s="314"/>
      <c r="S12" s="314"/>
      <c r="T12" s="314"/>
      <c r="U12" s="314"/>
      <c r="V12" s="314"/>
      <c r="W12" s="314"/>
      <c r="X12" s="314"/>
      <c r="Y12" s="314"/>
      <c r="Z12" s="314"/>
    </row>
    <row r="13" spans="2:26" x14ac:dyDescent="0.35">
      <c r="B13" s="169" t="s">
        <v>1106</v>
      </c>
      <c r="E13" s="314"/>
      <c r="F13" s="314"/>
      <c r="G13" s="314"/>
      <c r="H13" s="314"/>
      <c r="I13" s="314"/>
      <c r="J13" s="314"/>
      <c r="K13" s="314"/>
      <c r="L13" s="314"/>
      <c r="M13" s="314"/>
      <c r="N13" s="314"/>
      <c r="O13" s="314"/>
      <c r="P13" s="314"/>
      <c r="Q13" s="314"/>
      <c r="R13" s="314"/>
      <c r="S13" s="314"/>
      <c r="T13" s="314"/>
      <c r="U13" s="314"/>
      <c r="V13" s="314"/>
      <c r="W13" s="314"/>
      <c r="X13" s="314"/>
      <c r="Y13" s="314"/>
      <c r="Z13" s="314"/>
    </row>
    <row r="14" spans="2:26" x14ac:dyDescent="0.35">
      <c r="B14" s="169" t="s">
        <v>1107</v>
      </c>
      <c r="E14" s="314"/>
      <c r="F14" s="314"/>
      <c r="G14" s="314"/>
      <c r="H14" s="314"/>
      <c r="I14" s="314"/>
      <c r="J14" s="314"/>
      <c r="K14" s="314"/>
      <c r="L14" s="314"/>
      <c r="M14" s="314"/>
      <c r="N14" s="314"/>
      <c r="O14" s="314"/>
      <c r="P14" s="314"/>
      <c r="Q14" s="314"/>
      <c r="R14" s="314"/>
      <c r="S14" s="314"/>
      <c r="T14" s="314"/>
      <c r="U14" s="314"/>
      <c r="V14" s="314"/>
      <c r="W14" s="314"/>
      <c r="X14" s="314"/>
      <c r="Y14" s="314"/>
      <c r="Z14" s="314"/>
    </row>
    <row r="15" spans="2:26" x14ac:dyDescent="0.35">
      <c r="B15" s="169" t="s">
        <v>1108</v>
      </c>
      <c r="E15" s="314"/>
      <c r="F15" s="314"/>
      <c r="G15" s="314"/>
      <c r="H15" s="314"/>
      <c r="I15" s="314"/>
      <c r="J15" s="314"/>
      <c r="K15" s="314"/>
      <c r="L15" s="314"/>
      <c r="M15" s="314"/>
      <c r="N15" s="314"/>
      <c r="O15" s="314"/>
      <c r="P15" s="314"/>
      <c r="Q15" s="314"/>
      <c r="R15" s="314"/>
      <c r="S15" s="314"/>
      <c r="T15" s="314"/>
      <c r="U15" s="314"/>
      <c r="V15" s="314"/>
      <c r="W15" s="314"/>
      <c r="X15" s="314"/>
      <c r="Y15" s="314"/>
      <c r="Z15" s="314"/>
    </row>
    <row r="16" spans="2:26" x14ac:dyDescent="0.35">
      <c r="B16" s="169" t="s">
        <v>1109</v>
      </c>
      <c r="E16" s="314"/>
      <c r="F16" s="314"/>
      <c r="G16" s="314"/>
      <c r="H16" s="314"/>
      <c r="I16" s="314"/>
      <c r="J16" s="314"/>
      <c r="K16" s="314"/>
      <c r="L16" s="314"/>
      <c r="M16" s="314"/>
      <c r="N16" s="314"/>
      <c r="O16" s="314"/>
      <c r="P16" s="314"/>
      <c r="Q16" s="314"/>
      <c r="R16" s="314"/>
      <c r="S16" s="314"/>
      <c r="T16" s="314"/>
      <c r="U16" s="314"/>
      <c r="V16" s="314"/>
      <c r="W16" s="314"/>
      <c r="X16" s="314"/>
      <c r="Y16" s="314"/>
      <c r="Z16" s="314"/>
    </row>
    <row r="17" spans="2:26" x14ac:dyDescent="0.35">
      <c r="B17" s="169" t="s">
        <v>1110</v>
      </c>
      <c r="E17" s="314"/>
      <c r="F17" s="314"/>
      <c r="G17" s="314"/>
      <c r="H17" s="314"/>
      <c r="I17" s="314"/>
      <c r="J17" s="314"/>
      <c r="K17" s="314"/>
      <c r="L17" s="314"/>
      <c r="M17" s="314"/>
      <c r="N17" s="314"/>
      <c r="O17" s="314"/>
      <c r="P17" s="314"/>
      <c r="Q17" s="314"/>
      <c r="R17" s="314"/>
      <c r="S17" s="314"/>
      <c r="T17" s="314"/>
      <c r="U17" s="314"/>
      <c r="V17" s="314"/>
      <c r="W17" s="314"/>
      <c r="X17" s="314"/>
      <c r="Y17" s="314"/>
      <c r="Z17" s="314"/>
    </row>
    <row r="18" spans="2:26" x14ac:dyDescent="0.35">
      <c r="B18" s="169" t="s">
        <v>1111</v>
      </c>
      <c r="E18" s="314"/>
      <c r="F18" s="314"/>
      <c r="G18" s="314"/>
      <c r="H18" s="314"/>
      <c r="I18" s="314"/>
      <c r="J18" s="314"/>
      <c r="K18" s="314"/>
      <c r="L18" s="314"/>
      <c r="M18" s="314"/>
      <c r="N18" s="314"/>
      <c r="O18" s="314"/>
      <c r="P18" s="314"/>
      <c r="Q18" s="314"/>
      <c r="R18" s="314"/>
      <c r="S18" s="314"/>
      <c r="T18" s="314"/>
      <c r="U18" s="314"/>
      <c r="V18" s="314"/>
      <c r="W18" s="314"/>
      <c r="X18" s="314"/>
      <c r="Y18" s="314"/>
      <c r="Z18" s="314"/>
    </row>
    <row r="19" spans="2:26" x14ac:dyDescent="0.35">
      <c r="B19" s="169" t="s">
        <v>1112</v>
      </c>
      <c r="E19" s="314"/>
      <c r="F19" s="314"/>
      <c r="G19" s="314"/>
      <c r="H19" s="314"/>
      <c r="I19" s="314"/>
      <c r="J19" s="314"/>
      <c r="K19" s="314"/>
      <c r="L19" s="314"/>
      <c r="M19" s="314"/>
      <c r="N19" s="314"/>
      <c r="O19" s="314"/>
      <c r="P19" s="314"/>
      <c r="Q19" s="314"/>
      <c r="R19" s="314"/>
      <c r="S19" s="314"/>
      <c r="T19" s="314"/>
      <c r="U19" s="314"/>
      <c r="V19" s="314"/>
      <c r="W19" s="314"/>
      <c r="X19" s="314"/>
      <c r="Y19" s="314"/>
      <c r="Z19" s="314"/>
    </row>
    <row r="20" spans="2:26" x14ac:dyDescent="0.35">
      <c r="B20" s="169" t="s">
        <v>1113</v>
      </c>
      <c r="E20" s="314"/>
      <c r="F20" s="314"/>
      <c r="G20" s="314"/>
      <c r="H20" s="314"/>
      <c r="I20" s="314"/>
      <c r="J20" s="314"/>
      <c r="K20" s="314"/>
      <c r="L20" s="314"/>
      <c r="M20" s="314"/>
      <c r="N20" s="314"/>
      <c r="O20" s="314"/>
      <c r="P20" s="314"/>
      <c r="Q20" s="314"/>
      <c r="R20" s="314"/>
      <c r="S20" s="314"/>
      <c r="T20" s="314"/>
      <c r="U20" s="314"/>
      <c r="V20" s="314"/>
      <c r="W20" s="314"/>
      <c r="X20" s="314"/>
      <c r="Y20" s="314"/>
      <c r="Z20" s="314"/>
    </row>
    <row r="21" spans="2:26" x14ac:dyDescent="0.35">
      <c r="B21" s="169" t="s">
        <v>1114</v>
      </c>
      <c r="E21" s="314"/>
      <c r="F21" s="314"/>
      <c r="G21" s="314"/>
      <c r="H21" s="314"/>
      <c r="I21" s="314"/>
      <c r="J21" s="314"/>
      <c r="K21" s="314"/>
      <c r="L21" s="314"/>
      <c r="M21" s="314"/>
      <c r="N21" s="314"/>
      <c r="O21" s="314"/>
      <c r="P21" s="314"/>
      <c r="Q21" s="314"/>
      <c r="R21" s="314"/>
      <c r="S21" s="314"/>
      <c r="T21" s="314"/>
      <c r="U21" s="314"/>
      <c r="V21" s="314"/>
      <c r="W21" s="314"/>
      <c r="X21" s="314"/>
      <c r="Y21" s="314"/>
      <c r="Z21" s="314"/>
    </row>
    <row r="22" spans="2:26" x14ac:dyDescent="0.35">
      <c r="B22" s="161" t="s">
        <v>1115</v>
      </c>
      <c r="E22" s="314"/>
      <c r="F22" s="314"/>
      <c r="G22" s="314"/>
      <c r="H22" s="314"/>
      <c r="I22" s="314"/>
      <c r="J22" s="314"/>
      <c r="K22" s="314"/>
      <c r="L22" s="314"/>
      <c r="M22" s="314"/>
      <c r="N22" s="314"/>
      <c r="O22" s="314"/>
      <c r="P22" s="314"/>
      <c r="Q22" s="314"/>
      <c r="R22" s="314"/>
      <c r="S22" s="314"/>
      <c r="T22" s="314"/>
      <c r="U22" s="314"/>
      <c r="V22" s="314"/>
      <c r="W22" s="314"/>
      <c r="X22" s="314"/>
      <c r="Y22" s="314"/>
      <c r="Z22" s="314"/>
    </row>
    <row r="23" spans="2:26" x14ac:dyDescent="0.35">
      <c r="B23" s="161" t="s">
        <v>1116</v>
      </c>
      <c r="E23" s="314"/>
      <c r="F23" s="314"/>
      <c r="G23" s="314"/>
      <c r="H23" s="314"/>
      <c r="I23" s="314"/>
      <c r="J23" s="314"/>
      <c r="K23" s="314"/>
      <c r="L23" s="314"/>
      <c r="M23" s="314"/>
      <c r="N23" s="314"/>
      <c r="O23" s="314"/>
      <c r="P23" s="314"/>
      <c r="Q23" s="314"/>
      <c r="R23" s="314"/>
      <c r="S23" s="314"/>
      <c r="T23" s="314"/>
      <c r="U23" s="314"/>
      <c r="V23" s="314"/>
      <c r="W23" s="314"/>
      <c r="X23" s="314"/>
      <c r="Y23" s="314"/>
      <c r="Z23" s="314"/>
    </row>
    <row r="24" spans="2:26" x14ac:dyDescent="0.35">
      <c r="B24" s="146" t="s">
        <v>1117</v>
      </c>
      <c r="E24" s="314"/>
      <c r="F24" s="314"/>
      <c r="G24" s="314"/>
      <c r="H24" s="314"/>
      <c r="I24" s="314"/>
      <c r="J24" s="314"/>
      <c r="K24" s="314"/>
      <c r="L24" s="314"/>
      <c r="M24" s="314"/>
      <c r="N24" s="314"/>
      <c r="O24" s="314"/>
      <c r="P24" s="314"/>
      <c r="Q24" s="314"/>
      <c r="R24" s="314"/>
      <c r="S24" s="314"/>
      <c r="T24" s="314"/>
      <c r="U24" s="314"/>
      <c r="V24" s="314"/>
      <c r="W24" s="314"/>
      <c r="X24" s="314"/>
      <c r="Y24" s="314"/>
      <c r="Z24" s="314"/>
    </row>
    <row r="25" spans="2:26" x14ac:dyDescent="0.35">
      <c r="E25" s="314"/>
      <c r="F25" s="314"/>
      <c r="G25" s="314"/>
      <c r="H25" s="314"/>
      <c r="I25" s="314"/>
      <c r="J25" s="314"/>
      <c r="K25" s="314"/>
      <c r="L25" s="314"/>
      <c r="M25" s="314"/>
      <c r="N25" s="314"/>
      <c r="O25" s="314"/>
      <c r="P25" s="314"/>
      <c r="Q25" s="314"/>
      <c r="R25" s="314"/>
      <c r="S25" s="314"/>
      <c r="T25" s="314"/>
      <c r="U25" s="314"/>
      <c r="V25" s="314"/>
      <c r="W25" s="314"/>
      <c r="X25" s="314"/>
      <c r="Y25" s="314"/>
      <c r="Z25" s="314"/>
    </row>
    <row r="26" spans="2:26" x14ac:dyDescent="0.35">
      <c r="B26" s="169" t="s">
        <v>1118</v>
      </c>
      <c r="E26" s="314"/>
      <c r="F26" s="314"/>
      <c r="G26" s="314"/>
      <c r="H26" s="314"/>
      <c r="I26" s="314"/>
      <c r="J26" s="314"/>
      <c r="K26" s="314"/>
      <c r="L26" s="314"/>
      <c r="M26" s="314"/>
      <c r="N26" s="314"/>
      <c r="O26" s="314"/>
      <c r="P26" s="314"/>
      <c r="Q26" s="314"/>
      <c r="R26" s="314"/>
      <c r="S26" s="314"/>
      <c r="T26" s="314"/>
      <c r="U26" s="314"/>
      <c r="V26" s="314"/>
      <c r="W26" s="314"/>
      <c r="X26" s="314"/>
      <c r="Y26" s="314"/>
      <c r="Z26" s="314"/>
    </row>
    <row r="27" spans="2:26" x14ac:dyDescent="0.35">
      <c r="B27" s="169" t="s">
        <v>1119</v>
      </c>
      <c r="E27" s="314"/>
      <c r="F27" s="314"/>
      <c r="G27" s="314"/>
      <c r="H27" s="314"/>
      <c r="I27" s="314"/>
      <c r="J27" s="314"/>
      <c r="K27" s="314"/>
      <c r="L27" s="314"/>
      <c r="M27" s="314"/>
      <c r="N27" s="314"/>
      <c r="O27" s="314"/>
      <c r="P27" s="314"/>
      <c r="Q27" s="314"/>
      <c r="R27" s="314"/>
      <c r="S27" s="314"/>
      <c r="T27" s="314"/>
      <c r="U27" s="314"/>
      <c r="V27" s="314"/>
      <c r="W27" s="314"/>
      <c r="X27" s="314"/>
      <c r="Y27" s="314"/>
      <c r="Z27" s="314"/>
    </row>
    <row r="28" spans="2:26" x14ac:dyDescent="0.35">
      <c r="B28" s="169" t="s">
        <v>1120</v>
      </c>
      <c r="E28" s="314"/>
      <c r="F28" s="314"/>
      <c r="G28" s="314"/>
      <c r="H28" s="314"/>
      <c r="I28" s="314"/>
      <c r="J28" s="314"/>
      <c r="K28" s="314"/>
      <c r="L28" s="314"/>
      <c r="M28" s="314"/>
      <c r="N28" s="314"/>
      <c r="O28" s="314"/>
      <c r="P28" s="314"/>
      <c r="Q28" s="314"/>
      <c r="R28" s="314"/>
      <c r="S28" s="314"/>
      <c r="T28" s="314"/>
      <c r="U28" s="314"/>
      <c r="V28" s="314"/>
      <c r="W28" s="314"/>
      <c r="X28" s="314"/>
      <c r="Y28" s="314"/>
      <c r="Z28" s="314"/>
    </row>
    <row r="29" spans="2:26" x14ac:dyDescent="0.35">
      <c r="B29" s="169"/>
      <c r="E29" s="314"/>
      <c r="F29" s="314"/>
      <c r="G29" s="314"/>
      <c r="H29" s="314"/>
      <c r="I29" s="314"/>
      <c r="J29" s="314"/>
      <c r="K29" s="314"/>
      <c r="L29" s="314"/>
      <c r="M29" s="314"/>
      <c r="N29" s="314"/>
      <c r="O29" s="314"/>
      <c r="P29" s="314"/>
      <c r="Q29" s="314"/>
      <c r="R29" s="314"/>
      <c r="S29" s="314"/>
      <c r="T29" s="314"/>
      <c r="U29" s="314"/>
      <c r="V29" s="314"/>
      <c r="W29" s="314"/>
      <c r="X29" s="314"/>
      <c r="Y29" s="314"/>
      <c r="Z29" s="314"/>
    </row>
    <row r="30" spans="2:26" x14ac:dyDescent="0.35">
      <c r="B30" s="169"/>
      <c r="E30" s="314"/>
      <c r="F30" s="314"/>
      <c r="G30" s="314"/>
      <c r="H30" s="314"/>
      <c r="I30" s="314"/>
      <c r="J30" s="314"/>
      <c r="K30" s="314"/>
      <c r="L30" s="314"/>
      <c r="M30" s="314"/>
      <c r="N30" s="314"/>
      <c r="O30" s="314"/>
      <c r="P30" s="314"/>
      <c r="Q30" s="314"/>
      <c r="R30" s="314"/>
      <c r="S30" s="314"/>
      <c r="T30" s="314"/>
      <c r="U30" s="314"/>
      <c r="V30" s="314"/>
      <c r="W30" s="314"/>
      <c r="X30" s="314"/>
      <c r="Y30" s="314"/>
      <c r="Z30" s="314"/>
    </row>
    <row r="31" spans="2:26" x14ac:dyDescent="0.35">
      <c r="B31" s="169"/>
      <c r="E31" s="314"/>
      <c r="F31" s="314"/>
      <c r="G31" s="314"/>
      <c r="H31" s="314"/>
      <c r="I31" s="314"/>
      <c r="J31" s="314"/>
      <c r="K31" s="314"/>
      <c r="L31" s="314"/>
      <c r="M31" s="314"/>
      <c r="N31" s="314"/>
      <c r="O31" s="314"/>
      <c r="P31" s="314"/>
      <c r="Q31" s="314"/>
      <c r="R31" s="314"/>
      <c r="S31" s="314"/>
      <c r="T31" s="314"/>
      <c r="U31" s="314"/>
      <c r="V31" s="314"/>
      <c r="W31" s="314"/>
      <c r="X31" s="314"/>
      <c r="Y31" s="314"/>
      <c r="Z31" s="314"/>
    </row>
    <row r="32" spans="2:26" x14ac:dyDescent="0.35">
      <c r="B32" s="169"/>
      <c r="E32" s="314"/>
      <c r="F32" s="314"/>
      <c r="G32" s="314"/>
      <c r="H32" s="314"/>
      <c r="I32" s="314"/>
      <c r="J32" s="314"/>
      <c r="K32" s="314"/>
      <c r="L32" s="314"/>
      <c r="M32" s="314"/>
      <c r="N32" s="314"/>
      <c r="O32" s="314"/>
      <c r="P32" s="314"/>
      <c r="Q32" s="314"/>
      <c r="R32" s="314"/>
      <c r="S32" s="314"/>
      <c r="T32" s="314"/>
      <c r="U32" s="314"/>
      <c r="V32" s="314"/>
      <c r="W32" s="314"/>
      <c r="X32" s="314"/>
      <c r="Y32" s="314"/>
      <c r="Z32" s="314"/>
    </row>
    <row r="33" spans="2:26" x14ac:dyDescent="0.35">
      <c r="B33" s="169"/>
      <c r="E33" s="314"/>
      <c r="F33" s="314"/>
      <c r="G33" s="314"/>
      <c r="H33" s="314"/>
      <c r="I33" s="314"/>
      <c r="J33" s="314"/>
      <c r="K33" s="314"/>
      <c r="L33" s="314"/>
      <c r="M33" s="314"/>
      <c r="N33" s="314"/>
      <c r="O33" s="314"/>
      <c r="P33" s="314"/>
      <c r="Q33" s="314"/>
      <c r="R33" s="314"/>
      <c r="S33" s="314"/>
      <c r="T33" s="314"/>
      <c r="U33" s="314"/>
      <c r="V33" s="314"/>
      <c r="W33" s="314"/>
      <c r="X33" s="314"/>
      <c r="Y33" s="314"/>
      <c r="Z33" s="314"/>
    </row>
    <row r="34" spans="2:26" x14ac:dyDescent="0.35">
      <c r="B34" s="169"/>
      <c r="E34" s="314"/>
      <c r="F34" s="314"/>
      <c r="G34" s="314"/>
      <c r="H34" s="314"/>
      <c r="I34" s="314"/>
      <c r="J34" s="314"/>
      <c r="K34" s="314"/>
      <c r="L34" s="314"/>
      <c r="M34" s="314"/>
      <c r="N34" s="314"/>
      <c r="O34" s="314"/>
      <c r="P34" s="314"/>
      <c r="Q34" s="314"/>
      <c r="R34" s="314"/>
      <c r="S34" s="314"/>
      <c r="T34" s="314"/>
      <c r="U34" s="314"/>
      <c r="V34" s="314"/>
      <c r="W34" s="314"/>
      <c r="X34" s="314"/>
      <c r="Y34" s="314"/>
      <c r="Z34" s="314"/>
    </row>
    <row r="35" spans="2:26" x14ac:dyDescent="0.35">
      <c r="B35" s="169"/>
      <c r="E35" s="314"/>
      <c r="F35" s="314"/>
      <c r="G35" s="314"/>
      <c r="H35" s="314"/>
      <c r="I35" s="314"/>
      <c r="J35" s="314"/>
      <c r="K35" s="314"/>
      <c r="L35" s="314"/>
      <c r="M35" s="314"/>
      <c r="N35" s="314"/>
      <c r="O35" s="314"/>
      <c r="P35" s="314"/>
      <c r="Q35" s="314"/>
      <c r="R35" s="314"/>
      <c r="S35" s="314"/>
      <c r="T35" s="314"/>
      <c r="U35" s="314"/>
      <c r="V35" s="314"/>
      <c r="W35" s="314"/>
      <c r="X35" s="314"/>
      <c r="Y35" s="314"/>
      <c r="Z35" s="314"/>
    </row>
    <row r="36" spans="2:26" x14ac:dyDescent="0.35">
      <c r="B36" s="169"/>
      <c r="E36" s="314"/>
      <c r="F36" s="314"/>
      <c r="G36" s="314"/>
      <c r="H36" s="314"/>
      <c r="I36" s="314"/>
      <c r="J36" s="314"/>
      <c r="K36" s="314"/>
      <c r="L36" s="314"/>
      <c r="M36" s="314"/>
      <c r="N36" s="314"/>
      <c r="O36" s="314"/>
      <c r="P36" s="314"/>
      <c r="Q36" s="314"/>
      <c r="R36" s="314"/>
      <c r="S36" s="314"/>
      <c r="T36" s="314"/>
      <c r="U36" s="314"/>
      <c r="V36" s="314"/>
      <c r="W36" s="314"/>
      <c r="X36" s="314"/>
      <c r="Y36" s="314"/>
      <c r="Z36" s="314"/>
    </row>
    <row r="37" spans="2:26" x14ac:dyDescent="0.35">
      <c r="B37" s="169"/>
      <c r="E37" s="314"/>
      <c r="F37" s="314"/>
      <c r="G37" s="314"/>
      <c r="H37" s="314"/>
      <c r="I37" s="314"/>
      <c r="J37" s="314"/>
      <c r="K37" s="314"/>
      <c r="L37" s="314"/>
      <c r="M37" s="314"/>
      <c r="N37" s="314"/>
      <c r="O37" s="314"/>
      <c r="P37" s="314"/>
      <c r="Q37" s="314"/>
      <c r="R37" s="314"/>
      <c r="S37" s="314"/>
      <c r="T37" s="314"/>
      <c r="U37" s="314"/>
      <c r="V37" s="314"/>
      <c r="W37" s="314"/>
      <c r="X37" s="314"/>
      <c r="Y37" s="314"/>
      <c r="Z37" s="314"/>
    </row>
    <row r="38" spans="2:26" x14ac:dyDescent="0.35">
      <c r="B38" s="161"/>
      <c r="E38" s="314"/>
      <c r="F38" s="314"/>
      <c r="G38" s="314"/>
      <c r="H38" s="314"/>
      <c r="I38" s="314"/>
      <c r="J38" s="314"/>
      <c r="K38" s="314"/>
      <c r="L38" s="314"/>
      <c r="M38" s="314"/>
      <c r="N38" s="314"/>
      <c r="O38" s="314"/>
      <c r="P38" s="314"/>
      <c r="Q38" s="314"/>
      <c r="R38" s="314"/>
      <c r="S38" s="314"/>
      <c r="T38" s="314"/>
      <c r="U38" s="314"/>
      <c r="V38" s="314"/>
      <c r="W38" s="314"/>
      <c r="X38" s="314"/>
      <c r="Y38" s="314"/>
      <c r="Z38" s="314"/>
    </row>
    <row r="39" spans="2:26" x14ac:dyDescent="0.35">
      <c r="E39" s="314"/>
      <c r="F39" s="314"/>
      <c r="G39" s="314"/>
      <c r="H39" s="314"/>
      <c r="I39" s="314"/>
      <c r="J39" s="314"/>
      <c r="K39" s="314"/>
      <c r="L39" s="314"/>
      <c r="M39" s="314"/>
      <c r="N39" s="314"/>
      <c r="O39" s="314"/>
      <c r="P39" s="314"/>
      <c r="Q39" s="314"/>
      <c r="R39" s="314"/>
      <c r="S39" s="314"/>
      <c r="T39" s="314"/>
      <c r="U39" s="314"/>
      <c r="V39" s="314"/>
      <c r="W39" s="314"/>
      <c r="X39" s="314"/>
      <c r="Y39" s="314"/>
      <c r="Z39" s="314"/>
    </row>
    <row r="40" spans="2:26" x14ac:dyDescent="0.35">
      <c r="E40" s="314"/>
      <c r="F40" s="314"/>
      <c r="G40" s="314"/>
      <c r="H40" s="314"/>
      <c r="I40" s="314"/>
      <c r="J40" s="314"/>
      <c r="K40" s="314"/>
      <c r="L40" s="314"/>
      <c r="M40" s="314"/>
      <c r="N40" s="314"/>
      <c r="O40" s="314"/>
      <c r="P40" s="314"/>
      <c r="Q40" s="314"/>
      <c r="R40" s="314"/>
      <c r="S40" s="314"/>
      <c r="T40" s="314"/>
      <c r="U40" s="314"/>
      <c r="V40" s="314"/>
      <c r="W40" s="314"/>
      <c r="X40" s="314"/>
      <c r="Y40" s="314"/>
      <c r="Z40" s="314"/>
    </row>
    <row r="41" spans="2:26" x14ac:dyDescent="0.35">
      <c r="E41" s="314"/>
      <c r="F41" s="314"/>
      <c r="G41" s="314"/>
      <c r="H41" s="314"/>
      <c r="I41" s="314"/>
      <c r="J41" s="314"/>
      <c r="K41" s="314"/>
      <c r="L41" s="314"/>
      <c r="M41" s="314"/>
      <c r="N41" s="314"/>
      <c r="O41" s="314"/>
      <c r="P41" s="314"/>
      <c r="Q41" s="314"/>
      <c r="R41" s="314"/>
      <c r="S41" s="314"/>
      <c r="T41" s="314"/>
      <c r="U41" s="314"/>
      <c r="V41" s="314"/>
      <c r="W41" s="314"/>
      <c r="X41" s="314"/>
      <c r="Y41" s="314"/>
      <c r="Z41" s="314"/>
    </row>
    <row r="42" spans="2:26" x14ac:dyDescent="0.35">
      <c r="E42" s="314"/>
      <c r="F42" s="314"/>
      <c r="G42" s="314"/>
      <c r="H42" s="314"/>
      <c r="I42" s="314"/>
      <c r="J42" s="314"/>
      <c r="K42" s="314"/>
      <c r="L42" s="314"/>
      <c r="M42" s="314"/>
      <c r="N42" s="314"/>
      <c r="O42" s="314"/>
      <c r="P42" s="314"/>
      <c r="Q42" s="314"/>
      <c r="R42" s="314"/>
      <c r="S42" s="314"/>
      <c r="T42" s="314"/>
      <c r="U42" s="314"/>
      <c r="V42" s="314"/>
      <c r="W42" s="314"/>
      <c r="X42" s="314"/>
      <c r="Y42" s="314"/>
      <c r="Z42" s="314"/>
    </row>
    <row r="43" spans="2:26" x14ac:dyDescent="0.35">
      <c r="E43" s="314"/>
      <c r="F43" s="314"/>
      <c r="G43" s="314"/>
      <c r="H43" s="314"/>
      <c r="I43" s="314"/>
      <c r="J43" s="314"/>
      <c r="K43" s="314"/>
      <c r="L43" s="314"/>
      <c r="M43" s="314"/>
      <c r="N43" s="314"/>
      <c r="O43" s="314"/>
      <c r="P43" s="314"/>
      <c r="Q43" s="314"/>
      <c r="R43" s="314"/>
      <c r="S43" s="314"/>
      <c r="T43" s="314"/>
      <c r="U43" s="314"/>
      <c r="V43" s="314"/>
      <c r="W43" s="314"/>
      <c r="X43" s="314"/>
      <c r="Y43" s="314"/>
      <c r="Z43" s="314"/>
    </row>
    <row r="44" spans="2:26" x14ac:dyDescent="0.35">
      <c r="E44" s="314"/>
      <c r="F44" s="314"/>
      <c r="G44" s="314"/>
      <c r="H44" s="314"/>
      <c r="I44" s="314"/>
      <c r="J44" s="314"/>
      <c r="K44" s="314"/>
      <c r="L44" s="314"/>
      <c r="M44" s="314"/>
      <c r="N44" s="314"/>
      <c r="O44" s="314"/>
      <c r="P44" s="314"/>
      <c r="Q44" s="314"/>
      <c r="R44" s="314"/>
      <c r="S44" s="314"/>
      <c r="T44" s="314"/>
      <c r="U44" s="314"/>
      <c r="V44" s="314"/>
      <c r="W44" s="314"/>
      <c r="X44" s="314"/>
      <c r="Y44" s="314"/>
      <c r="Z44" s="314"/>
    </row>
    <row r="45" spans="2:26" x14ac:dyDescent="0.35">
      <c r="E45" s="314"/>
      <c r="F45" s="314"/>
      <c r="G45" s="314"/>
      <c r="H45" s="314"/>
      <c r="I45" s="314"/>
      <c r="J45" s="314"/>
      <c r="K45" s="314"/>
      <c r="L45" s="314"/>
      <c r="M45" s="314"/>
      <c r="N45" s="314"/>
      <c r="O45" s="314"/>
      <c r="P45" s="314"/>
      <c r="Q45" s="314"/>
      <c r="R45" s="314"/>
      <c r="S45" s="314"/>
      <c r="T45" s="314"/>
      <c r="U45" s="314"/>
      <c r="V45" s="314"/>
      <c r="W45" s="314"/>
      <c r="X45" s="314"/>
      <c r="Y45" s="314"/>
      <c r="Z45" s="314"/>
    </row>
    <row r="46" spans="2:26" x14ac:dyDescent="0.35">
      <c r="E46" s="314"/>
      <c r="F46" s="314"/>
      <c r="G46" s="314"/>
      <c r="H46" s="314"/>
      <c r="I46" s="314"/>
      <c r="J46" s="314"/>
      <c r="K46" s="314"/>
      <c r="L46" s="314"/>
      <c r="M46" s="314"/>
      <c r="N46" s="314"/>
      <c r="O46" s="314"/>
      <c r="P46" s="314"/>
      <c r="Q46" s="314"/>
      <c r="R46" s="314"/>
      <c r="S46" s="314"/>
      <c r="T46" s="314"/>
      <c r="U46" s="314"/>
      <c r="V46" s="314"/>
      <c r="W46" s="314"/>
      <c r="X46" s="314"/>
      <c r="Y46" s="314"/>
      <c r="Z46" s="314"/>
    </row>
    <row r="47" spans="2:26" x14ac:dyDescent="0.35">
      <c r="E47" s="314"/>
      <c r="F47" s="314"/>
      <c r="G47" s="314"/>
      <c r="H47" s="314"/>
      <c r="I47" s="314"/>
      <c r="J47" s="314"/>
      <c r="K47" s="314"/>
      <c r="L47" s="314"/>
      <c r="M47" s="314"/>
      <c r="N47" s="314"/>
      <c r="O47" s="314"/>
      <c r="P47" s="314"/>
      <c r="Q47" s="314"/>
      <c r="R47" s="314"/>
      <c r="S47" s="314"/>
      <c r="T47" s="314"/>
      <c r="U47" s="314"/>
      <c r="V47" s="314"/>
      <c r="W47" s="314"/>
      <c r="X47" s="314"/>
      <c r="Y47" s="314"/>
      <c r="Z47" s="314"/>
    </row>
    <row r="48" spans="2:26" x14ac:dyDescent="0.35">
      <c r="E48" s="314"/>
      <c r="F48" s="314"/>
      <c r="G48" s="314"/>
      <c r="H48" s="314"/>
      <c r="I48" s="314"/>
      <c r="J48" s="314"/>
      <c r="K48" s="314"/>
      <c r="L48" s="314"/>
      <c r="M48" s="314"/>
      <c r="N48" s="314"/>
      <c r="O48" s="314"/>
      <c r="P48" s="314"/>
      <c r="Q48" s="314"/>
      <c r="R48" s="314"/>
      <c r="S48" s="314"/>
      <c r="T48" s="314"/>
      <c r="U48" s="314"/>
      <c r="V48" s="314"/>
      <c r="W48" s="314"/>
      <c r="X48" s="314"/>
      <c r="Y48" s="314"/>
      <c r="Z48" s="314"/>
    </row>
    <row r="49" spans="5:26" x14ac:dyDescent="0.35">
      <c r="E49" s="314"/>
      <c r="F49" s="314"/>
      <c r="G49" s="314"/>
      <c r="H49" s="314"/>
      <c r="I49" s="314"/>
      <c r="J49" s="314"/>
      <c r="K49" s="314"/>
      <c r="L49" s="314"/>
      <c r="M49" s="314"/>
      <c r="N49" s="314"/>
      <c r="O49" s="314"/>
      <c r="P49" s="314"/>
      <c r="Q49" s="314"/>
      <c r="R49" s="314"/>
      <c r="S49" s="314"/>
      <c r="T49" s="314"/>
      <c r="U49" s="314"/>
      <c r="V49" s="314"/>
      <c r="W49" s="314"/>
      <c r="X49" s="314"/>
      <c r="Y49" s="314"/>
      <c r="Z49" s="314"/>
    </row>
    <row r="50" spans="5:26" x14ac:dyDescent="0.35">
      <c r="E50" s="314"/>
      <c r="F50" s="314"/>
      <c r="G50" s="314"/>
      <c r="H50" s="314"/>
      <c r="I50" s="314"/>
      <c r="J50" s="314"/>
      <c r="K50" s="314"/>
      <c r="L50" s="314"/>
      <c r="M50" s="314"/>
      <c r="N50" s="314"/>
      <c r="O50" s="314"/>
      <c r="P50" s="314"/>
      <c r="Q50" s="314"/>
      <c r="R50" s="314"/>
      <c r="S50" s="314"/>
      <c r="T50" s="314"/>
      <c r="U50" s="314"/>
      <c r="V50" s="314"/>
      <c r="W50" s="314"/>
      <c r="X50" s="314"/>
      <c r="Y50" s="314"/>
      <c r="Z50" s="314"/>
    </row>
    <row r="51" spans="5:26" x14ac:dyDescent="0.35">
      <c r="E51" s="314"/>
      <c r="F51" s="314"/>
      <c r="G51" s="314"/>
      <c r="H51" s="314"/>
      <c r="I51" s="314"/>
      <c r="J51" s="314"/>
      <c r="K51" s="314"/>
      <c r="L51" s="314"/>
      <c r="M51" s="314"/>
      <c r="N51" s="314"/>
      <c r="O51" s="314"/>
      <c r="P51" s="314"/>
      <c r="Q51" s="314"/>
      <c r="R51" s="314"/>
      <c r="S51" s="314"/>
      <c r="T51" s="314"/>
      <c r="U51" s="314"/>
      <c r="V51" s="314"/>
      <c r="W51" s="314"/>
      <c r="X51" s="314"/>
      <c r="Y51" s="314"/>
      <c r="Z51" s="314"/>
    </row>
    <row r="52" spans="5:26" x14ac:dyDescent="0.35">
      <c r="E52" s="314"/>
      <c r="F52" s="314"/>
      <c r="G52" s="314"/>
      <c r="H52" s="314"/>
      <c r="I52" s="314"/>
      <c r="J52" s="314"/>
      <c r="K52" s="314"/>
      <c r="L52" s="314"/>
      <c r="M52" s="314"/>
      <c r="N52" s="314"/>
      <c r="O52" s="314"/>
      <c r="P52" s="314"/>
      <c r="Q52" s="314"/>
      <c r="R52" s="314"/>
      <c r="S52" s="314"/>
      <c r="T52" s="314"/>
      <c r="U52" s="314"/>
      <c r="V52" s="314"/>
      <c r="W52" s="314"/>
      <c r="X52" s="314"/>
      <c r="Y52" s="314"/>
      <c r="Z52" s="314"/>
    </row>
    <row r="53" spans="5:26" x14ac:dyDescent="0.35">
      <c r="E53" s="314"/>
      <c r="F53" s="314"/>
      <c r="G53" s="314"/>
      <c r="H53" s="314"/>
      <c r="I53" s="314"/>
      <c r="J53" s="314"/>
      <c r="K53" s="314"/>
      <c r="L53" s="314"/>
      <c r="M53" s="314"/>
      <c r="N53" s="314"/>
      <c r="O53" s="314"/>
      <c r="P53" s="314"/>
      <c r="Q53" s="314"/>
      <c r="R53" s="314"/>
      <c r="S53" s="314"/>
      <c r="T53" s="314"/>
      <c r="U53" s="314"/>
      <c r="V53" s="314"/>
      <c r="W53" s="314"/>
      <c r="X53" s="314"/>
      <c r="Y53" s="314"/>
      <c r="Z53" s="314"/>
    </row>
    <row r="54" spans="5:26" x14ac:dyDescent="0.35">
      <c r="E54" s="314"/>
      <c r="F54" s="314"/>
      <c r="G54" s="314"/>
      <c r="H54" s="314"/>
      <c r="I54" s="314"/>
      <c r="J54" s="314"/>
      <c r="K54" s="314"/>
      <c r="L54" s="314"/>
      <c r="M54" s="314"/>
      <c r="N54" s="314"/>
      <c r="O54" s="314"/>
      <c r="P54" s="314"/>
      <c r="Q54" s="314"/>
      <c r="R54" s="314"/>
      <c r="S54" s="314"/>
      <c r="T54" s="314"/>
      <c r="U54" s="314"/>
      <c r="V54" s="314"/>
      <c r="W54" s="314"/>
      <c r="X54" s="314"/>
      <c r="Y54" s="314"/>
      <c r="Z54" s="314"/>
    </row>
    <row r="55" spans="5:26" x14ac:dyDescent="0.35">
      <c r="E55" s="314"/>
      <c r="F55" s="314"/>
      <c r="G55" s="314"/>
      <c r="H55" s="314"/>
      <c r="I55" s="314"/>
      <c r="J55" s="314"/>
      <c r="K55" s="314"/>
      <c r="L55" s="314"/>
      <c r="M55" s="314"/>
      <c r="N55" s="314"/>
      <c r="O55" s="314"/>
      <c r="P55" s="314"/>
      <c r="Q55" s="314"/>
      <c r="R55" s="314"/>
      <c r="S55" s="314"/>
      <c r="T55" s="314"/>
      <c r="U55" s="314"/>
      <c r="V55" s="314"/>
      <c r="W55" s="314"/>
      <c r="X55" s="314"/>
      <c r="Y55" s="314"/>
      <c r="Z55" s="314"/>
    </row>
    <row r="56" spans="5:26" x14ac:dyDescent="0.35">
      <c r="E56" s="314"/>
      <c r="F56" s="314"/>
      <c r="G56" s="314"/>
      <c r="H56" s="314"/>
      <c r="I56" s="314"/>
      <c r="J56" s="314"/>
      <c r="K56" s="314"/>
      <c r="L56" s="314"/>
      <c r="M56" s="314"/>
      <c r="N56" s="314"/>
      <c r="O56" s="314"/>
      <c r="P56" s="314"/>
      <c r="Q56" s="314"/>
      <c r="R56" s="314"/>
      <c r="S56" s="314"/>
      <c r="T56" s="314"/>
      <c r="U56" s="314"/>
      <c r="V56" s="314"/>
      <c r="W56" s="314"/>
      <c r="X56" s="314"/>
      <c r="Y56" s="314"/>
      <c r="Z56" s="314"/>
    </row>
    <row r="57" spans="5:26" x14ac:dyDescent="0.35">
      <c r="E57" s="314"/>
      <c r="F57" s="314"/>
      <c r="G57" s="314"/>
      <c r="H57" s="314"/>
      <c r="I57" s="314"/>
      <c r="J57" s="314"/>
      <c r="K57" s="314"/>
      <c r="L57" s="314"/>
      <c r="M57" s="314"/>
      <c r="N57" s="314"/>
      <c r="O57" s="314"/>
      <c r="P57" s="314"/>
      <c r="Q57" s="314"/>
      <c r="R57" s="314"/>
      <c r="S57" s="314"/>
      <c r="T57" s="314"/>
      <c r="U57" s="314"/>
      <c r="V57" s="314"/>
      <c r="W57" s="314"/>
      <c r="X57" s="314"/>
      <c r="Y57" s="314"/>
      <c r="Z57" s="314"/>
    </row>
    <row r="58" spans="5:26" x14ac:dyDescent="0.35">
      <c r="E58" s="314"/>
      <c r="F58" s="314"/>
      <c r="G58" s="314"/>
      <c r="H58" s="314"/>
      <c r="I58" s="314"/>
      <c r="J58" s="314"/>
      <c r="K58" s="314"/>
      <c r="L58" s="314"/>
      <c r="M58" s="314"/>
      <c r="N58" s="314"/>
      <c r="O58" s="314"/>
      <c r="P58" s="314"/>
      <c r="Q58" s="314"/>
      <c r="R58" s="314"/>
      <c r="S58" s="314"/>
      <c r="T58" s="314"/>
      <c r="U58" s="314"/>
      <c r="V58" s="314"/>
      <c r="W58" s="314"/>
      <c r="X58" s="314"/>
      <c r="Y58" s="314"/>
      <c r="Z58" s="314"/>
    </row>
    <row r="59" spans="5:26" x14ac:dyDescent="0.35">
      <c r="E59" s="314"/>
      <c r="F59" s="314"/>
      <c r="G59" s="314"/>
      <c r="H59" s="314"/>
      <c r="I59" s="314"/>
      <c r="J59" s="314"/>
      <c r="K59" s="314"/>
      <c r="L59" s="314"/>
      <c r="M59" s="314"/>
      <c r="N59" s="314"/>
      <c r="O59" s="314"/>
      <c r="P59" s="314"/>
      <c r="Q59" s="314"/>
      <c r="R59" s="314"/>
      <c r="S59" s="314"/>
      <c r="T59" s="314"/>
      <c r="U59" s="314"/>
      <c r="V59" s="314"/>
      <c r="W59" s="314"/>
      <c r="X59" s="314"/>
      <c r="Y59" s="314"/>
      <c r="Z59" s="314"/>
    </row>
    <row r="60" spans="5:26" x14ac:dyDescent="0.35">
      <c r="E60" s="314"/>
      <c r="F60" s="314"/>
      <c r="G60" s="314"/>
      <c r="H60" s="314"/>
      <c r="I60" s="314"/>
      <c r="J60" s="314"/>
      <c r="K60" s="314"/>
      <c r="L60" s="314"/>
      <c r="M60" s="314"/>
      <c r="N60" s="314"/>
      <c r="O60" s="314"/>
      <c r="P60" s="314"/>
      <c r="Q60" s="314"/>
      <c r="R60" s="314"/>
      <c r="S60" s="314"/>
      <c r="T60" s="314"/>
      <c r="U60" s="314"/>
      <c r="V60" s="314"/>
      <c r="W60" s="314"/>
      <c r="X60" s="314"/>
      <c r="Y60" s="314"/>
      <c r="Z60" s="314"/>
    </row>
    <row r="61" spans="5:26" x14ac:dyDescent="0.35">
      <c r="E61" s="314"/>
      <c r="F61" s="314"/>
      <c r="G61" s="314"/>
      <c r="H61" s="314"/>
      <c r="I61" s="314"/>
      <c r="J61" s="314"/>
      <c r="K61" s="314"/>
      <c r="L61" s="314"/>
      <c r="M61" s="314"/>
      <c r="N61" s="314"/>
      <c r="O61" s="314"/>
      <c r="P61" s="314"/>
      <c r="Q61" s="314"/>
      <c r="R61" s="314"/>
      <c r="S61" s="314"/>
      <c r="T61" s="314"/>
      <c r="U61" s="314"/>
      <c r="V61" s="314"/>
      <c r="W61" s="314"/>
      <c r="X61" s="314"/>
      <c r="Y61" s="314"/>
      <c r="Z61" s="314"/>
    </row>
    <row r="62" spans="5:26" x14ac:dyDescent="0.35">
      <c r="E62" s="314"/>
      <c r="F62" s="314"/>
      <c r="G62" s="314"/>
      <c r="H62" s="314"/>
      <c r="I62" s="314"/>
      <c r="J62" s="314"/>
      <c r="K62" s="314"/>
      <c r="L62" s="314"/>
      <c r="M62" s="314"/>
      <c r="N62" s="314"/>
      <c r="O62" s="314"/>
      <c r="P62" s="314"/>
      <c r="Q62" s="314"/>
      <c r="R62" s="314"/>
      <c r="S62" s="314"/>
      <c r="T62" s="314"/>
      <c r="U62" s="314"/>
      <c r="V62" s="314"/>
      <c r="W62" s="314"/>
      <c r="X62" s="314"/>
      <c r="Y62" s="314"/>
      <c r="Z62" s="314"/>
    </row>
    <row r="63" spans="5:26" x14ac:dyDescent="0.35">
      <c r="E63" s="314"/>
      <c r="F63" s="314"/>
      <c r="G63" s="314"/>
      <c r="H63" s="314"/>
      <c r="I63" s="314"/>
      <c r="J63" s="314"/>
      <c r="K63" s="314"/>
      <c r="L63" s="314"/>
      <c r="M63" s="314"/>
      <c r="N63" s="314"/>
      <c r="O63" s="314"/>
      <c r="P63" s="314"/>
      <c r="Q63" s="314"/>
      <c r="R63" s="314"/>
      <c r="S63" s="314"/>
      <c r="T63" s="314"/>
      <c r="U63" s="314"/>
      <c r="V63" s="314"/>
      <c r="W63" s="314"/>
      <c r="X63" s="314"/>
      <c r="Y63" s="314"/>
      <c r="Z63" s="314"/>
    </row>
    <row r="64" spans="5:26" x14ac:dyDescent="0.35">
      <c r="E64" s="314"/>
      <c r="F64" s="314"/>
      <c r="G64" s="314"/>
      <c r="H64" s="314"/>
      <c r="I64" s="314"/>
      <c r="J64" s="314"/>
      <c r="K64" s="314"/>
      <c r="L64" s="314"/>
      <c r="M64" s="314"/>
      <c r="N64" s="314"/>
      <c r="O64" s="314"/>
      <c r="P64" s="314"/>
      <c r="Q64" s="314"/>
      <c r="R64" s="314"/>
      <c r="S64" s="314"/>
      <c r="T64" s="314"/>
      <c r="U64" s="314"/>
      <c r="V64" s="314"/>
      <c r="W64" s="314"/>
      <c r="X64" s="314"/>
      <c r="Y64" s="314"/>
      <c r="Z64" s="314"/>
    </row>
    <row r="65" spans="5:26" x14ac:dyDescent="0.35">
      <c r="E65" s="314"/>
      <c r="F65" s="314"/>
      <c r="G65" s="314"/>
      <c r="H65" s="314"/>
      <c r="I65" s="314"/>
      <c r="J65" s="314"/>
      <c r="K65" s="314"/>
      <c r="L65" s="314"/>
      <c r="M65" s="314"/>
      <c r="N65" s="314"/>
      <c r="O65" s="314"/>
      <c r="P65" s="314"/>
      <c r="Q65" s="314"/>
      <c r="R65" s="314"/>
      <c r="S65" s="314"/>
      <c r="T65" s="314"/>
      <c r="U65" s="314"/>
      <c r="V65" s="314"/>
      <c r="W65" s="314"/>
      <c r="X65" s="314"/>
      <c r="Y65" s="314"/>
      <c r="Z65" s="314"/>
    </row>
    <row r="66" spans="5:26" x14ac:dyDescent="0.35">
      <c r="E66" s="314"/>
      <c r="F66" s="314"/>
      <c r="G66" s="314"/>
      <c r="H66" s="314"/>
      <c r="I66" s="314"/>
      <c r="J66" s="314"/>
      <c r="K66" s="314"/>
      <c r="L66" s="314"/>
      <c r="M66" s="314"/>
      <c r="N66" s="314"/>
      <c r="O66" s="314"/>
      <c r="P66" s="314"/>
      <c r="Q66" s="314"/>
      <c r="R66" s="314"/>
      <c r="S66" s="314"/>
      <c r="T66" s="314"/>
      <c r="U66" s="314"/>
      <c r="V66" s="314"/>
      <c r="W66" s="314"/>
      <c r="X66" s="314"/>
      <c r="Y66" s="314"/>
      <c r="Z66" s="314"/>
    </row>
    <row r="67" spans="5:26" x14ac:dyDescent="0.35">
      <c r="E67" s="314"/>
      <c r="F67" s="314"/>
      <c r="G67" s="314"/>
      <c r="H67" s="314"/>
      <c r="I67" s="314"/>
      <c r="J67" s="314"/>
      <c r="K67" s="314"/>
      <c r="L67" s="314"/>
      <c r="M67" s="314"/>
      <c r="N67" s="314"/>
      <c r="O67" s="314"/>
      <c r="P67" s="314"/>
      <c r="Q67" s="314"/>
      <c r="R67" s="314"/>
      <c r="S67" s="314"/>
      <c r="T67" s="314"/>
      <c r="U67" s="314"/>
      <c r="V67" s="314"/>
      <c r="W67" s="314"/>
      <c r="X67" s="314"/>
      <c r="Y67" s="314"/>
      <c r="Z67" s="314"/>
    </row>
    <row r="68" spans="5:26" x14ac:dyDescent="0.35">
      <c r="E68" s="314"/>
      <c r="F68" s="314"/>
      <c r="G68" s="314"/>
      <c r="H68" s="314"/>
      <c r="I68" s="314"/>
      <c r="J68" s="314"/>
      <c r="K68" s="314"/>
      <c r="L68" s="314"/>
      <c r="M68" s="314"/>
      <c r="N68" s="314"/>
      <c r="O68" s="314"/>
      <c r="P68" s="314"/>
      <c r="Q68" s="314"/>
      <c r="R68" s="314"/>
      <c r="S68" s="314"/>
      <c r="T68" s="314"/>
      <c r="U68" s="314"/>
      <c r="V68" s="314"/>
      <c r="W68" s="314"/>
      <c r="X68" s="314"/>
      <c r="Y68" s="314"/>
      <c r="Z68" s="314"/>
    </row>
    <row r="69" spans="5:26" x14ac:dyDescent="0.35">
      <c r="E69" s="314"/>
      <c r="F69" s="314"/>
      <c r="G69" s="314"/>
      <c r="H69" s="314"/>
      <c r="I69" s="314"/>
      <c r="J69" s="314"/>
      <c r="K69" s="314"/>
      <c r="L69" s="314"/>
      <c r="M69" s="314"/>
      <c r="N69" s="314"/>
      <c r="O69" s="314"/>
      <c r="P69" s="314"/>
      <c r="Q69" s="314"/>
      <c r="R69" s="314"/>
      <c r="S69" s="314"/>
      <c r="T69" s="314"/>
      <c r="U69" s="314"/>
      <c r="V69" s="314"/>
      <c r="W69" s="314"/>
      <c r="X69" s="314"/>
      <c r="Y69" s="314"/>
      <c r="Z69" s="314"/>
    </row>
    <row r="70" spans="5:26" x14ac:dyDescent="0.35">
      <c r="E70" s="314"/>
      <c r="F70" s="314"/>
      <c r="G70" s="314"/>
      <c r="H70" s="314"/>
      <c r="I70" s="314"/>
      <c r="J70" s="314"/>
      <c r="K70" s="314"/>
      <c r="L70" s="314"/>
      <c r="M70" s="314"/>
      <c r="N70" s="314"/>
      <c r="O70" s="314"/>
      <c r="P70" s="314"/>
      <c r="Q70" s="314"/>
      <c r="R70" s="314"/>
      <c r="S70" s="314"/>
      <c r="T70" s="314"/>
      <c r="U70" s="314"/>
      <c r="V70" s="314"/>
      <c r="W70" s="314"/>
      <c r="X70" s="314"/>
      <c r="Y70" s="314"/>
      <c r="Z70" s="314"/>
    </row>
    <row r="71" spans="5:26" x14ac:dyDescent="0.35">
      <c r="E71" s="314"/>
      <c r="F71" s="314"/>
      <c r="G71" s="314"/>
      <c r="H71" s="314"/>
      <c r="I71" s="314"/>
      <c r="J71" s="314"/>
      <c r="K71" s="314"/>
      <c r="L71" s="314"/>
      <c r="M71" s="314"/>
      <c r="N71" s="314"/>
      <c r="O71" s="314"/>
      <c r="P71" s="314"/>
      <c r="Q71" s="314"/>
      <c r="R71" s="314"/>
      <c r="S71" s="314"/>
      <c r="T71" s="314"/>
      <c r="U71" s="314"/>
      <c r="V71" s="314"/>
      <c r="W71" s="314"/>
      <c r="X71" s="314"/>
      <c r="Y71" s="314"/>
      <c r="Z71" s="314"/>
    </row>
    <row r="72" spans="5:26" x14ac:dyDescent="0.35">
      <c r="E72" s="314"/>
      <c r="F72" s="314"/>
      <c r="G72" s="314"/>
      <c r="H72" s="314"/>
      <c r="I72" s="314"/>
      <c r="J72" s="314"/>
      <c r="K72" s="314"/>
      <c r="L72" s="314"/>
      <c r="M72" s="314"/>
      <c r="N72" s="314"/>
      <c r="O72" s="314"/>
      <c r="P72" s="314"/>
      <c r="Q72" s="314"/>
      <c r="R72" s="314"/>
      <c r="S72" s="314"/>
      <c r="T72" s="314"/>
      <c r="U72" s="314"/>
      <c r="V72" s="314"/>
      <c r="W72" s="314"/>
      <c r="X72" s="314"/>
      <c r="Y72" s="314"/>
      <c r="Z72" s="314"/>
    </row>
    <row r="73" spans="5:26" x14ac:dyDescent="0.35">
      <c r="E73" s="314"/>
      <c r="F73" s="314"/>
      <c r="G73" s="314"/>
      <c r="H73" s="314"/>
      <c r="I73" s="314"/>
      <c r="J73" s="314"/>
      <c r="K73" s="314"/>
      <c r="L73" s="314"/>
      <c r="M73" s="314"/>
      <c r="N73" s="314"/>
      <c r="O73" s="314"/>
      <c r="P73" s="314"/>
      <c r="Q73" s="314"/>
      <c r="R73" s="314"/>
      <c r="S73" s="314"/>
      <c r="T73" s="314"/>
      <c r="U73" s="314"/>
      <c r="V73" s="314"/>
      <c r="W73" s="314"/>
      <c r="X73" s="314"/>
      <c r="Y73" s="314"/>
      <c r="Z73" s="314"/>
    </row>
    <row r="74" spans="5:26" x14ac:dyDescent="0.35">
      <c r="E74" s="314"/>
      <c r="F74" s="314"/>
      <c r="G74" s="314"/>
      <c r="H74" s="314"/>
      <c r="I74" s="314"/>
      <c r="J74" s="314"/>
      <c r="K74" s="314"/>
      <c r="L74" s="314"/>
      <c r="M74" s="314"/>
      <c r="N74" s="314"/>
      <c r="O74" s="314"/>
      <c r="P74" s="314"/>
      <c r="Q74" s="314"/>
      <c r="R74" s="314"/>
      <c r="S74" s="314"/>
      <c r="T74" s="314"/>
      <c r="U74" s="314"/>
      <c r="V74" s="314"/>
      <c r="W74" s="314"/>
      <c r="X74" s="314"/>
      <c r="Y74" s="314"/>
      <c r="Z74" s="314"/>
    </row>
    <row r="75" spans="5:26" x14ac:dyDescent="0.35">
      <c r="E75" s="314"/>
      <c r="F75" s="314"/>
      <c r="G75" s="314"/>
      <c r="H75" s="314"/>
      <c r="I75" s="314"/>
      <c r="J75" s="314"/>
      <c r="K75" s="314"/>
      <c r="L75" s="314"/>
      <c r="M75" s="314"/>
      <c r="N75" s="314"/>
      <c r="O75" s="314"/>
      <c r="P75" s="314"/>
      <c r="Q75" s="314"/>
      <c r="R75" s="314"/>
      <c r="S75" s="314"/>
      <c r="T75" s="314"/>
      <c r="U75" s="314"/>
      <c r="V75" s="314"/>
      <c r="W75" s="314"/>
      <c r="X75" s="314"/>
      <c r="Y75" s="314"/>
      <c r="Z75" s="314"/>
    </row>
    <row r="76" spans="5:26" x14ac:dyDescent="0.35">
      <c r="E76" s="314"/>
      <c r="F76" s="314"/>
      <c r="G76" s="314"/>
      <c r="H76" s="314"/>
      <c r="I76" s="314"/>
      <c r="J76" s="314"/>
      <c r="K76" s="314"/>
      <c r="L76" s="314"/>
      <c r="M76" s="314"/>
      <c r="N76" s="314"/>
      <c r="O76" s="314"/>
      <c r="P76" s="314"/>
      <c r="Q76" s="314"/>
      <c r="R76" s="314"/>
      <c r="S76" s="314"/>
      <c r="T76" s="314"/>
      <c r="U76" s="314"/>
      <c r="V76" s="314"/>
      <c r="W76" s="314"/>
      <c r="X76" s="314"/>
      <c r="Y76" s="314"/>
      <c r="Z76" s="314"/>
    </row>
    <row r="77" spans="5:26" x14ac:dyDescent="0.35">
      <c r="E77" s="314"/>
      <c r="F77" s="314"/>
      <c r="G77" s="314"/>
      <c r="H77" s="314"/>
      <c r="I77" s="314"/>
      <c r="J77" s="314"/>
      <c r="K77" s="314"/>
      <c r="L77" s="314"/>
      <c r="M77" s="314"/>
      <c r="N77" s="314"/>
      <c r="O77" s="314"/>
      <c r="P77" s="314"/>
      <c r="Q77" s="314"/>
      <c r="R77" s="314"/>
      <c r="S77" s="314"/>
      <c r="T77" s="314"/>
      <c r="U77" s="314"/>
      <c r="V77" s="314"/>
      <c r="W77" s="314"/>
      <c r="X77" s="314"/>
      <c r="Y77" s="314"/>
      <c r="Z77" s="314"/>
    </row>
    <row r="78" spans="5:26" x14ac:dyDescent="0.35">
      <c r="E78" s="314"/>
      <c r="F78" s="314"/>
      <c r="G78" s="314"/>
      <c r="H78" s="314"/>
      <c r="I78" s="314"/>
      <c r="J78" s="314"/>
      <c r="K78" s="314"/>
      <c r="L78" s="314"/>
      <c r="M78" s="314"/>
      <c r="N78" s="314"/>
      <c r="O78" s="314"/>
      <c r="P78" s="314"/>
      <c r="Q78" s="314"/>
      <c r="R78" s="314"/>
      <c r="S78" s="314"/>
      <c r="T78" s="314"/>
      <c r="U78" s="314"/>
      <c r="V78" s="314"/>
      <c r="W78" s="314"/>
      <c r="X78" s="314"/>
      <c r="Y78" s="314"/>
      <c r="Z78" s="314"/>
    </row>
    <row r="79" spans="5:26" x14ac:dyDescent="0.35">
      <c r="E79" s="314"/>
      <c r="F79" s="314"/>
      <c r="G79" s="314"/>
      <c r="H79" s="314"/>
      <c r="I79" s="314"/>
      <c r="J79" s="314"/>
      <c r="K79" s="314"/>
      <c r="L79" s="314"/>
      <c r="M79" s="314"/>
      <c r="N79" s="314"/>
      <c r="O79" s="314"/>
      <c r="P79" s="314"/>
      <c r="Q79" s="314"/>
      <c r="R79" s="314"/>
      <c r="S79" s="314"/>
      <c r="T79" s="314"/>
      <c r="U79" s="314"/>
      <c r="V79" s="314"/>
      <c r="W79" s="314"/>
      <c r="X79" s="314"/>
      <c r="Y79" s="314"/>
      <c r="Z79" s="314"/>
    </row>
    <row r="80" spans="5:26" x14ac:dyDescent="0.35">
      <c r="E80" s="314"/>
      <c r="F80" s="314"/>
      <c r="G80" s="314"/>
      <c r="H80" s="314"/>
      <c r="I80" s="314"/>
      <c r="J80" s="314"/>
      <c r="K80" s="314"/>
      <c r="L80" s="314"/>
      <c r="M80" s="314"/>
      <c r="N80" s="314"/>
      <c r="O80" s="314"/>
      <c r="P80" s="314"/>
      <c r="Q80" s="314"/>
      <c r="R80" s="314"/>
      <c r="S80" s="314"/>
      <c r="T80" s="314"/>
      <c r="U80" s="314"/>
      <c r="V80" s="314"/>
      <c r="W80" s="314"/>
      <c r="X80" s="314"/>
      <c r="Y80" s="314"/>
      <c r="Z80" s="314"/>
    </row>
    <row r="81" spans="5:26" x14ac:dyDescent="0.35">
      <c r="E81" s="314"/>
      <c r="F81" s="314"/>
      <c r="G81" s="314"/>
      <c r="H81" s="314"/>
      <c r="I81" s="314"/>
      <c r="J81" s="314"/>
      <c r="K81" s="314"/>
      <c r="L81" s="314"/>
      <c r="M81" s="314"/>
      <c r="N81" s="314"/>
      <c r="O81" s="314"/>
      <c r="P81" s="314"/>
      <c r="Q81" s="314"/>
      <c r="R81" s="314"/>
      <c r="S81" s="314"/>
      <c r="T81" s="314"/>
      <c r="U81" s="314"/>
      <c r="V81" s="314"/>
      <c r="W81" s="314"/>
      <c r="X81" s="314"/>
      <c r="Y81" s="314"/>
      <c r="Z81" s="314"/>
    </row>
    <row r="82" spans="5:26" x14ac:dyDescent="0.35">
      <c r="E82" s="314"/>
      <c r="F82" s="314"/>
      <c r="G82" s="314"/>
      <c r="H82" s="314"/>
      <c r="I82" s="314"/>
      <c r="J82" s="314"/>
      <c r="K82" s="314"/>
      <c r="L82" s="314"/>
      <c r="M82" s="314"/>
      <c r="N82" s="314"/>
      <c r="O82" s="314"/>
      <c r="P82" s="314"/>
      <c r="Q82" s="314"/>
      <c r="R82" s="314"/>
      <c r="S82" s="314"/>
      <c r="T82" s="314"/>
      <c r="U82" s="314"/>
      <c r="V82" s="314"/>
      <c r="W82" s="314"/>
      <c r="X82" s="314"/>
      <c r="Y82" s="314"/>
      <c r="Z82" s="314"/>
    </row>
    <row r="83" spans="5:26" x14ac:dyDescent="0.35">
      <c r="E83" s="314"/>
      <c r="F83" s="314"/>
      <c r="G83" s="314"/>
      <c r="H83" s="314"/>
      <c r="I83" s="314"/>
      <c r="J83" s="314"/>
      <c r="K83" s="314"/>
      <c r="L83" s="314"/>
      <c r="M83" s="314"/>
      <c r="N83" s="314"/>
      <c r="O83" s="314"/>
      <c r="P83" s="314"/>
      <c r="Q83" s="314"/>
      <c r="R83" s="314"/>
      <c r="S83" s="314"/>
      <c r="T83" s="314"/>
      <c r="U83" s="314"/>
      <c r="V83" s="314"/>
      <c r="W83" s="314"/>
      <c r="X83" s="314"/>
      <c r="Y83" s="314"/>
      <c r="Z83" s="314"/>
    </row>
    <row r="84" spans="5:26" x14ac:dyDescent="0.35">
      <c r="E84" s="314"/>
      <c r="F84" s="314"/>
      <c r="G84" s="314"/>
      <c r="H84" s="314"/>
      <c r="I84" s="314"/>
      <c r="J84" s="314"/>
      <c r="K84" s="314"/>
      <c r="L84" s="314"/>
      <c r="M84" s="314"/>
      <c r="N84" s="314"/>
      <c r="O84" s="314"/>
      <c r="P84" s="314"/>
      <c r="Q84" s="314"/>
      <c r="R84" s="314"/>
      <c r="S84" s="314"/>
      <c r="T84" s="314"/>
      <c r="U84" s="314"/>
      <c r="V84" s="314"/>
      <c r="W84" s="314"/>
      <c r="X84" s="314"/>
      <c r="Y84" s="314"/>
      <c r="Z84" s="314"/>
    </row>
    <row r="85" spans="5:26" x14ac:dyDescent="0.35">
      <c r="E85" s="314"/>
      <c r="F85" s="314"/>
      <c r="G85" s="314"/>
      <c r="H85" s="314"/>
      <c r="I85" s="314"/>
      <c r="J85" s="314"/>
      <c r="K85" s="314"/>
      <c r="L85" s="314"/>
      <c r="M85" s="314"/>
      <c r="N85" s="314"/>
      <c r="O85" s="314"/>
      <c r="P85" s="314"/>
      <c r="Q85" s="314"/>
      <c r="R85" s="314"/>
      <c r="S85" s="314"/>
      <c r="T85" s="314"/>
      <c r="U85" s="314"/>
      <c r="V85" s="314"/>
      <c r="W85" s="314"/>
      <c r="X85" s="314"/>
      <c r="Y85" s="314"/>
      <c r="Z85" s="314"/>
    </row>
    <row r="86" spans="5:26" x14ac:dyDescent="0.35">
      <c r="E86" s="314"/>
      <c r="F86" s="314"/>
      <c r="G86" s="314"/>
      <c r="H86" s="314"/>
      <c r="I86" s="314"/>
      <c r="J86" s="314"/>
      <c r="K86" s="314"/>
      <c r="L86" s="314"/>
      <c r="M86" s="314"/>
      <c r="N86" s="314"/>
      <c r="O86" s="314"/>
      <c r="P86" s="314"/>
      <c r="Q86" s="314"/>
      <c r="R86" s="314"/>
      <c r="S86" s="314"/>
      <c r="T86" s="314"/>
      <c r="U86" s="314"/>
      <c r="V86" s="314"/>
      <c r="W86" s="314"/>
      <c r="X86" s="314"/>
      <c r="Y86" s="314"/>
      <c r="Z86" s="314"/>
    </row>
    <row r="87" spans="5:26" x14ac:dyDescent="0.35">
      <c r="E87" s="314"/>
      <c r="F87" s="314"/>
      <c r="G87" s="314"/>
      <c r="H87" s="314"/>
      <c r="I87" s="314"/>
      <c r="J87" s="314"/>
      <c r="K87" s="314"/>
      <c r="L87" s="314"/>
      <c r="M87" s="314"/>
      <c r="N87" s="314"/>
      <c r="O87" s="314"/>
      <c r="P87" s="314"/>
      <c r="Q87" s="314"/>
      <c r="R87" s="314"/>
      <c r="S87" s="314"/>
      <c r="T87" s="314"/>
      <c r="U87" s="314"/>
      <c r="V87" s="314"/>
      <c r="W87" s="314"/>
      <c r="X87" s="314"/>
      <c r="Y87" s="314"/>
      <c r="Z87" s="314"/>
    </row>
    <row r="88" spans="5:26" x14ac:dyDescent="0.35">
      <c r="E88" s="314"/>
      <c r="F88" s="314"/>
      <c r="G88" s="314"/>
      <c r="H88" s="314"/>
      <c r="I88" s="314"/>
      <c r="J88" s="314"/>
      <c r="K88" s="314"/>
      <c r="L88" s="314"/>
      <c r="M88" s="314"/>
      <c r="N88" s="314"/>
      <c r="O88" s="314"/>
      <c r="P88" s="314"/>
      <c r="Q88" s="314"/>
      <c r="R88" s="314"/>
      <c r="S88" s="314"/>
      <c r="T88" s="314"/>
      <c r="U88" s="314"/>
      <c r="V88" s="314"/>
      <c r="W88" s="314"/>
      <c r="X88" s="314"/>
      <c r="Y88" s="314"/>
      <c r="Z88" s="314"/>
    </row>
    <row r="89" spans="5:26" x14ac:dyDescent="0.35">
      <c r="E89" s="314"/>
      <c r="F89" s="314"/>
      <c r="G89" s="314"/>
      <c r="H89" s="314"/>
      <c r="I89" s="314"/>
      <c r="J89" s="314"/>
      <c r="K89" s="314"/>
      <c r="L89" s="314"/>
      <c r="M89" s="314"/>
      <c r="N89" s="314"/>
      <c r="O89" s="314"/>
      <c r="P89" s="314"/>
      <c r="Q89" s="314"/>
      <c r="R89" s="314"/>
      <c r="S89" s="314"/>
      <c r="T89" s="314"/>
      <c r="U89" s="314"/>
      <c r="V89" s="314"/>
      <c r="W89" s="314"/>
      <c r="X89" s="314"/>
      <c r="Y89" s="314"/>
      <c r="Z89" s="314"/>
    </row>
    <row r="90" spans="5:26" x14ac:dyDescent="0.35">
      <c r="E90" s="314"/>
      <c r="F90" s="314"/>
      <c r="G90" s="314"/>
      <c r="H90" s="314"/>
      <c r="I90" s="314"/>
      <c r="J90" s="314"/>
      <c r="K90" s="314"/>
      <c r="L90" s="314"/>
      <c r="M90" s="314"/>
      <c r="N90" s="314"/>
      <c r="O90" s="314"/>
      <c r="P90" s="314"/>
      <c r="Q90" s="314"/>
      <c r="R90" s="314"/>
      <c r="S90" s="314"/>
      <c r="T90" s="314"/>
      <c r="U90" s="314"/>
      <c r="V90" s="314"/>
      <c r="W90" s="314"/>
      <c r="X90" s="314"/>
      <c r="Y90" s="314"/>
      <c r="Z90" s="314"/>
    </row>
    <row r="91" spans="5:26" x14ac:dyDescent="0.35">
      <c r="E91" s="314"/>
      <c r="F91" s="314"/>
      <c r="G91" s="314"/>
      <c r="H91" s="314"/>
      <c r="I91" s="314"/>
      <c r="J91" s="314"/>
      <c r="K91" s="314"/>
      <c r="L91" s="314"/>
      <c r="M91" s="314"/>
      <c r="N91" s="314"/>
      <c r="O91" s="314"/>
      <c r="P91" s="314"/>
      <c r="Q91" s="314"/>
      <c r="R91" s="314"/>
      <c r="S91" s="314"/>
      <c r="T91" s="314"/>
      <c r="U91" s="314"/>
      <c r="V91" s="314"/>
      <c r="W91" s="314"/>
      <c r="X91" s="314"/>
      <c r="Y91" s="314"/>
      <c r="Z91" s="314"/>
    </row>
    <row r="92" spans="5:26" x14ac:dyDescent="0.35">
      <c r="E92" s="314"/>
      <c r="F92" s="314"/>
      <c r="G92" s="314"/>
      <c r="H92" s="314"/>
      <c r="I92" s="314"/>
      <c r="J92" s="314"/>
      <c r="K92" s="314"/>
      <c r="L92" s="314"/>
      <c r="M92" s="314"/>
      <c r="N92" s="314"/>
      <c r="O92" s="314"/>
      <c r="P92" s="314"/>
      <c r="Q92" s="314"/>
      <c r="R92" s="314"/>
      <c r="S92" s="314"/>
      <c r="T92" s="314"/>
      <c r="U92" s="314"/>
      <c r="V92" s="314"/>
      <c r="W92" s="314"/>
      <c r="X92" s="314"/>
      <c r="Y92" s="314"/>
      <c r="Z92" s="314"/>
    </row>
    <row r="93" spans="5:26" x14ac:dyDescent="0.35">
      <c r="E93" s="314"/>
      <c r="F93" s="314"/>
      <c r="G93" s="314"/>
      <c r="H93" s="314"/>
      <c r="I93" s="314"/>
      <c r="J93" s="314"/>
      <c r="K93" s="314"/>
      <c r="L93" s="314"/>
      <c r="M93" s="314"/>
      <c r="N93" s="314"/>
      <c r="O93" s="314"/>
      <c r="P93" s="314"/>
      <c r="Q93" s="314"/>
      <c r="R93" s="314"/>
      <c r="S93" s="314"/>
      <c r="T93" s="314"/>
      <c r="U93" s="314"/>
      <c r="V93" s="314"/>
      <c r="W93" s="314"/>
      <c r="X93" s="314"/>
      <c r="Y93" s="314"/>
      <c r="Z93" s="314"/>
    </row>
    <row r="94" spans="5:26" x14ac:dyDescent="0.35">
      <c r="E94" s="314"/>
      <c r="F94" s="314"/>
      <c r="G94" s="314"/>
      <c r="H94" s="314"/>
      <c r="I94" s="314"/>
      <c r="J94" s="314"/>
      <c r="K94" s="314"/>
      <c r="L94" s="314"/>
      <c r="M94" s="314"/>
      <c r="N94" s="314"/>
      <c r="O94" s="314"/>
      <c r="P94" s="314"/>
      <c r="Q94" s="314"/>
      <c r="R94" s="314"/>
      <c r="S94" s="314"/>
      <c r="T94" s="314"/>
      <c r="U94" s="314"/>
      <c r="V94" s="314"/>
      <c r="W94" s="314"/>
      <c r="X94" s="314"/>
      <c r="Y94" s="314"/>
      <c r="Z94" s="314"/>
    </row>
    <row r="95" spans="5:26" x14ac:dyDescent="0.35">
      <c r="E95" s="314"/>
      <c r="F95" s="314"/>
      <c r="G95" s="314"/>
      <c r="H95" s="314"/>
      <c r="I95" s="314"/>
      <c r="J95" s="314"/>
      <c r="K95" s="314"/>
      <c r="L95" s="314"/>
      <c r="M95" s="314"/>
      <c r="N95" s="314"/>
      <c r="O95" s="314"/>
      <c r="P95" s="314"/>
      <c r="Q95" s="314"/>
      <c r="R95" s="314"/>
      <c r="S95" s="314"/>
      <c r="T95" s="314"/>
      <c r="U95" s="314"/>
      <c r="V95" s="314"/>
      <c r="W95" s="314"/>
      <c r="X95" s="314"/>
      <c r="Y95" s="314"/>
      <c r="Z95" s="314"/>
    </row>
    <row r="96" spans="5:26" x14ac:dyDescent="0.35">
      <c r="E96" s="314"/>
      <c r="F96" s="314"/>
      <c r="G96" s="314"/>
      <c r="H96" s="314"/>
      <c r="I96" s="314"/>
      <c r="J96" s="314"/>
      <c r="K96" s="314"/>
      <c r="L96" s="314"/>
      <c r="M96" s="314"/>
      <c r="N96" s="314"/>
      <c r="O96" s="314"/>
      <c r="P96" s="314"/>
      <c r="Q96" s="314"/>
      <c r="R96" s="314"/>
      <c r="S96" s="314"/>
      <c r="T96" s="314"/>
      <c r="U96" s="314"/>
      <c r="V96" s="314"/>
      <c r="W96" s="314"/>
      <c r="X96" s="314"/>
      <c r="Y96" s="314"/>
      <c r="Z96" s="314"/>
    </row>
    <row r="97" spans="5:26" x14ac:dyDescent="0.35">
      <c r="E97" s="314"/>
      <c r="F97" s="314"/>
      <c r="G97" s="314"/>
      <c r="H97" s="314"/>
      <c r="I97" s="314"/>
      <c r="J97" s="314"/>
      <c r="K97" s="314"/>
      <c r="L97" s="314"/>
      <c r="M97" s="314"/>
      <c r="N97" s="314"/>
      <c r="O97" s="314"/>
      <c r="P97" s="314"/>
      <c r="Q97" s="314"/>
      <c r="R97" s="314"/>
      <c r="S97" s="314"/>
      <c r="T97" s="314"/>
      <c r="U97" s="314"/>
      <c r="V97" s="314"/>
      <c r="W97" s="314"/>
      <c r="X97" s="314"/>
      <c r="Y97" s="314"/>
      <c r="Z97" s="314"/>
    </row>
    <row r="98" spans="5:26" x14ac:dyDescent="0.35">
      <c r="E98" s="314"/>
      <c r="F98" s="314"/>
      <c r="G98" s="314"/>
      <c r="H98" s="314"/>
      <c r="I98" s="314"/>
      <c r="J98" s="314"/>
      <c r="K98" s="314"/>
      <c r="L98" s="314"/>
      <c r="M98" s="314"/>
      <c r="N98" s="314"/>
      <c r="O98" s="314"/>
      <c r="P98" s="314"/>
      <c r="Q98" s="314"/>
      <c r="R98" s="314"/>
      <c r="S98" s="314"/>
      <c r="T98" s="314"/>
      <c r="U98" s="314"/>
      <c r="V98" s="314"/>
      <c r="W98" s="314"/>
      <c r="X98" s="314"/>
      <c r="Y98" s="314"/>
      <c r="Z98" s="314"/>
    </row>
    <row r="99" spans="5:26" x14ac:dyDescent="0.35">
      <c r="E99" s="314"/>
      <c r="F99" s="314"/>
      <c r="G99" s="314"/>
      <c r="H99" s="314"/>
      <c r="I99" s="314"/>
      <c r="J99" s="314"/>
      <c r="K99" s="314"/>
      <c r="L99" s="314"/>
      <c r="M99" s="314"/>
      <c r="N99" s="314"/>
      <c r="O99" s="314"/>
      <c r="P99" s="314"/>
      <c r="Q99" s="314"/>
      <c r="R99" s="314"/>
      <c r="S99" s="314"/>
      <c r="T99" s="314"/>
      <c r="U99" s="314"/>
      <c r="V99" s="314"/>
      <c r="W99" s="314"/>
      <c r="X99" s="314"/>
      <c r="Y99" s="314"/>
      <c r="Z99" s="314"/>
    </row>
    <row r="100" spans="5:26" x14ac:dyDescent="0.35">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row>
    <row r="101" spans="5:26" x14ac:dyDescent="0.35">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row>
    <row r="102" spans="5:26" x14ac:dyDescent="0.35">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row>
    <row r="103" spans="5:26" x14ac:dyDescent="0.35">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row>
    <row r="104" spans="5:26" x14ac:dyDescent="0.35">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row>
    <row r="105" spans="5:26" x14ac:dyDescent="0.35">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row>
    <row r="106" spans="5:26" x14ac:dyDescent="0.35">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row>
    <row r="107" spans="5:26" x14ac:dyDescent="0.35">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row>
    <row r="108" spans="5:26" x14ac:dyDescent="0.35">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row>
    <row r="109" spans="5:26" x14ac:dyDescent="0.35">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row>
    <row r="110" spans="5:26" x14ac:dyDescent="0.35">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row>
    <row r="111" spans="5:26" x14ac:dyDescent="0.35">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row>
    <row r="112" spans="5:26" x14ac:dyDescent="0.35">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row>
    <row r="113" spans="5:26" x14ac:dyDescent="0.35">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row>
    <row r="114" spans="5:26" x14ac:dyDescent="0.35">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row>
    <row r="115" spans="5:26" x14ac:dyDescent="0.35">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row>
    <row r="116" spans="5:26" x14ac:dyDescent="0.35">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row>
    <row r="117" spans="5:26" x14ac:dyDescent="0.35">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row>
    <row r="118" spans="5:26" x14ac:dyDescent="0.35">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row>
    <row r="119" spans="5:26" x14ac:dyDescent="0.35">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row>
    <row r="120" spans="5:26" x14ac:dyDescent="0.35">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row>
    <row r="121" spans="5:26" x14ac:dyDescent="0.35">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row>
    <row r="122" spans="5:26" x14ac:dyDescent="0.35">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row>
    <row r="123" spans="5:26" x14ac:dyDescent="0.35">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row>
    <row r="124" spans="5:26" x14ac:dyDescent="0.35">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row>
    <row r="125" spans="5:26" x14ac:dyDescent="0.35">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row>
    <row r="126" spans="5:26" x14ac:dyDescent="0.35">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row>
    <row r="127" spans="5:26" x14ac:dyDescent="0.35">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row>
    <row r="128" spans="5:26" x14ac:dyDescent="0.35">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row>
    <row r="129" spans="5:26" x14ac:dyDescent="0.35">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row>
    <row r="130" spans="5:26" x14ac:dyDescent="0.35">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row>
    <row r="131" spans="5:26" x14ac:dyDescent="0.35">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row>
    <row r="132" spans="5:26" x14ac:dyDescent="0.35">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row>
    <row r="133" spans="5:26" x14ac:dyDescent="0.35">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row>
    <row r="134" spans="5:26" x14ac:dyDescent="0.35">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row>
    <row r="135" spans="5:26" x14ac:dyDescent="0.35">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row>
    <row r="136" spans="5:26" x14ac:dyDescent="0.35">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row>
    <row r="137" spans="5:26" x14ac:dyDescent="0.35">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row>
    <row r="138" spans="5:26" x14ac:dyDescent="0.35">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row>
    <row r="139" spans="5:26" x14ac:dyDescent="0.35">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row>
    <row r="140" spans="5:26" x14ac:dyDescent="0.35">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row>
    <row r="141" spans="5:26" x14ac:dyDescent="0.35">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row>
    <row r="142" spans="5:26" x14ac:dyDescent="0.35">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row>
    <row r="143" spans="5:26" x14ac:dyDescent="0.35">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row>
    <row r="144" spans="5:26" x14ac:dyDescent="0.35">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row>
    <row r="145" spans="5:26" x14ac:dyDescent="0.35">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row>
    <row r="146" spans="5:26" x14ac:dyDescent="0.35">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row>
    <row r="147" spans="5:26" x14ac:dyDescent="0.35">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row>
    <row r="148" spans="5:26" x14ac:dyDescent="0.35">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row>
    <row r="149" spans="5:26" x14ac:dyDescent="0.35">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row>
    <row r="150" spans="5:26" x14ac:dyDescent="0.35">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row>
    <row r="151" spans="5:26" x14ac:dyDescent="0.35">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row>
    <row r="152" spans="5:26" x14ac:dyDescent="0.35">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row>
    <row r="153" spans="5:26" x14ac:dyDescent="0.35">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row>
    <row r="154" spans="5:26" x14ac:dyDescent="0.35">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row>
    <row r="155" spans="5:26" x14ac:dyDescent="0.35">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row>
    <row r="156" spans="5:26" x14ac:dyDescent="0.35">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row>
    <row r="157" spans="5:26" x14ac:dyDescent="0.35">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row>
    <row r="158" spans="5:26" x14ac:dyDescent="0.35">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row>
    <row r="159" spans="5:26" x14ac:dyDescent="0.35">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row>
    <row r="160" spans="5:26" x14ac:dyDescent="0.35">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row>
    <row r="161" spans="5:26" x14ac:dyDescent="0.35">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row>
    <row r="162" spans="5:26" x14ac:dyDescent="0.35">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row>
    <row r="163" spans="5:26" x14ac:dyDescent="0.35">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row>
    <row r="164" spans="5:26" x14ac:dyDescent="0.35">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row>
    <row r="165" spans="5:26" x14ac:dyDescent="0.35">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row>
    <row r="166" spans="5:26" x14ac:dyDescent="0.35">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row>
    <row r="167" spans="5:26" x14ac:dyDescent="0.35">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row>
    <row r="168" spans="5:26" x14ac:dyDescent="0.35">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row>
    <row r="169" spans="5:26" x14ac:dyDescent="0.35">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row>
    <row r="170" spans="5:26" x14ac:dyDescent="0.35">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row>
    <row r="171" spans="5:26" x14ac:dyDescent="0.35">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row>
    <row r="172" spans="5:26" x14ac:dyDescent="0.35">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row>
    <row r="173" spans="5:26" x14ac:dyDescent="0.35">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row>
    <row r="174" spans="5:26" x14ac:dyDescent="0.35">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row>
    <row r="175" spans="5:26" x14ac:dyDescent="0.35">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row>
    <row r="176" spans="5:26" x14ac:dyDescent="0.35">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row>
    <row r="177" spans="5:26" x14ac:dyDescent="0.35">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row>
    <row r="178" spans="5:26" x14ac:dyDescent="0.35">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row>
    <row r="179" spans="5:26" x14ac:dyDescent="0.35">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row>
    <row r="180" spans="5:26" x14ac:dyDescent="0.35">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row>
    <row r="181" spans="5:26" x14ac:dyDescent="0.35">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row>
    <row r="182" spans="5:26" x14ac:dyDescent="0.35">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row>
    <row r="183" spans="5:26" x14ac:dyDescent="0.35">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row>
    <row r="184" spans="5:26" x14ac:dyDescent="0.35">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row>
    <row r="185" spans="5:26" x14ac:dyDescent="0.35">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row>
    <row r="186" spans="5:26" x14ac:dyDescent="0.35">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row>
    <row r="187" spans="5:26" x14ac:dyDescent="0.35">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row>
    <row r="188" spans="5:26" x14ac:dyDescent="0.35">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row>
    <row r="189" spans="5:26" x14ac:dyDescent="0.35">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row>
    <row r="190" spans="5:26" x14ac:dyDescent="0.35">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row>
    <row r="191" spans="5:26" x14ac:dyDescent="0.35">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row>
    <row r="192" spans="5:26" x14ac:dyDescent="0.35">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row>
    <row r="193" spans="5:26" x14ac:dyDescent="0.35">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row>
    <row r="194" spans="5:26" x14ac:dyDescent="0.35">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row>
    <row r="195" spans="5:26" x14ac:dyDescent="0.35">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row>
    <row r="196" spans="5:26" x14ac:dyDescent="0.35">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row>
    <row r="197" spans="5:26" x14ac:dyDescent="0.35">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row>
    <row r="198" spans="5:26" x14ac:dyDescent="0.35">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row>
    <row r="199" spans="5:26" x14ac:dyDescent="0.35">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row>
    <row r="200" spans="5:26" x14ac:dyDescent="0.35">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row>
    <row r="201" spans="5:26" x14ac:dyDescent="0.35">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row>
    <row r="202" spans="5:26" x14ac:dyDescent="0.35">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row>
    <row r="203" spans="5:26" x14ac:dyDescent="0.35">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row>
    <row r="204" spans="5:26" x14ac:dyDescent="0.35">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row>
    <row r="205" spans="5:26" x14ac:dyDescent="0.35">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row>
    <row r="206" spans="5:26" x14ac:dyDescent="0.35">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row>
    <row r="207" spans="5:26" x14ac:dyDescent="0.35">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row>
    <row r="208" spans="5:26" x14ac:dyDescent="0.35">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row>
    <row r="209" spans="5:26" x14ac:dyDescent="0.35">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row>
    <row r="210" spans="5:26" x14ac:dyDescent="0.35">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row>
    <row r="211" spans="5:26" x14ac:dyDescent="0.35">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row>
    <row r="212" spans="5:26" x14ac:dyDescent="0.35">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row>
    <row r="213" spans="5:26" x14ac:dyDescent="0.35">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row>
    <row r="214" spans="5:26" x14ac:dyDescent="0.35">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row>
    <row r="215" spans="5:26" x14ac:dyDescent="0.35">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row>
    <row r="216" spans="5:26" x14ac:dyDescent="0.35">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row>
    <row r="217" spans="5:26" x14ac:dyDescent="0.35">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row>
    <row r="218" spans="5:26" x14ac:dyDescent="0.35">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row>
    <row r="219" spans="5:26" x14ac:dyDescent="0.35">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row>
    <row r="220" spans="5:26" x14ac:dyDescent="0.35">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row>
    <row r="221" spans="5:26" x14ac:dyDescent="0.35">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row>
    <row r="222" spans="5:26" x14ac:dyDescent="0.35">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row>
    <row r="223" spans="5:26" x14ac:dyDescent="0.35">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row>
    <row r="224" spans="5:26" x14ac:dyDescent="0.35">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row>
    <row r="225" spans="5:26" x14ac:dyDescent="0.35">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row>
    <row r="226" spans="5:26" x14ac:dyDescent="0.35">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row>
    <row r="227" spans="5:26" x14ac:dyDescent="0.35">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row>
    <row r="228" spans="5:26" x14ac:dyDescent="0.35">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row>
    <row r="229" spans="5:26" x14ac:dyDescent="0.35">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row>
    <row r="230" spans="5:26" x14ac:dyDescent="0.35">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row>
    <row r="231" spans="5:26" x14ac:dyDescent="0.35">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row>
    <row r="232" spans="5:26" x14ac:dyDescent="0.35">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row>
    <row r="233" spans="5:26" x14ac:dyDescent="0.35">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row>
    <row r="234" spans="5:26" x14ac:dyDescent="0.35">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row>
    <row r="235" spans="5:26" x14ac:dyDescent="0.35">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row>
    <row r="236" spans="5:26" x14ac:dyDescent="0.35">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row>
    <row r="237" spans="5:26" x14ac:dyDescent="0.35">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row>
    <row r="238" spans="5:26" x14ac:dyDescent="0.35">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row>
    <row r="239" spans="5:26" x14ac:dyDescent="0.35">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row>
    <row r="240" spans="5:26" x14ac:dyDescent="0.35">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row>
    <row r="241" spans="5:26" x14ac:dyDescent="0.35">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row>
    <row r="242" spans="5:26" x14ac:dyDescent="0.35">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row>
    <row r="243" spans="5:26" x14ac:dyDescent="0.35">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row>
    <row r="244" spans="5:26" x14ac:dyDescent="0.35">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row>
    <row r="245" spans="5:26" x14ac:dyDescent="0.35">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row>
    <row r="246" spans="5:26" x14ac:dyDescent="0.35">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row>
    <row r="247" spans="5:26" x14ac:dyDescent="0.35">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row>
    <row r="248" spans="5:26" x14ac:dyDescent="0.35">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row>
    <row r="249" spans="5:26" x14ac:dyDescent="0.35">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row>
    <row r="250" spans="5:26" x14ac:dyDescent="0.35">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row>
    <row r="251" spans="5:26" x14ac:dyDescent="0.35">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row>
    <row r="252" spans="5:26" x14ac:dyDescent="0.35">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row>
    <row r="253" spans="5:26" x14ac:dyDescent="0.35">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row>
    <row r="254" spans="5:26" x14ac:dyDescent="0.35">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row>
    <row r="255" spans="5:26" x14ac:dyDescent="0.35">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row>
    <row r="256" spans="5:26" x14ac:dyDescent="0.35">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row>
    <row r="257" spans="5:26" x14ac:dyDescent="0.35">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row>
    <row r="258" spans="5:26" x14ac:dyDescent="0.35">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row>
    <row r="259" spans="5:26" x14ac:dyDescent="0.35">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row>
    <row r="260" spans="5:26" x14ac:dyDescent="0.35">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row>
    <row r="261" spans="5:26" x14ac:dyDescent="0.35">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row>
    <row r="262" spans="5:26" x14ac:dyDescent="0.35">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row>
    <row r="263" spans="5:26" x14ac:dyDescent="0.35">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row>
    <row r="264" spans="5:26" x14ac:dyDescent="0.35">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row>
    <row r="265" spans="5:26" x14ac:dyDescent="0.35">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row>
    <row r="266" spans="5:26" x14ac:dyDescent="0.35">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row>
    <row r="267" spans="5:26" x14ac:dyDescent="0.35">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row>
    <row r="268" spans="5:26" x14ac:dyDescent="0.35">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row>
    <row r="269" spans="5:26" x14ac:dyDescent="0.35">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row>
    <row r="270" spans="5:26" x14ac:dyDescent="0.35">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row>
    <row r="271" spans="5:26" x14ac:dyDescent="0.35">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row>
    <row r="272" spans="5:26" x14ac:dyDescent="0.35">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row>
    <row r="273" spans="5:26" x14ac:dyDescent="0.35">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row>
    <row r="274" spans="5:26" x14ac:dyDescent="0.35">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row>
    <row r="275" spans="5:26" x14ac:dyDescent="0.35">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row>
    <row r="276" spans="5:26" x14ac:dyDescent="0.35">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row>
    <row r="277" spans="5:26" x14ac:dyDescent="0.35">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row>
    <row r="278" spans="5:26" x14ac:dyDescent="0.35">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row>
    <row r="279" spans="5:26" x14ac:dyDescent="0.35">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row>
    <row r="280" spans="5:26" x14ac:dyDescent="0.35">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row>
    <row r="281" spans="5:26" x14ac:dyDescent="0.35">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row>
    <row r="282" spans="5:26" x14ac:dyDescent="0.35">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row>
    <row r="283" spans="5:26" x14ac:dyDescent="0.35">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row>
    <row r="284" spans="5:26" x14ac:dyDescent="0.35">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row>
    <row r="285" spans="5:26" x14ac:dyDescent="0.35">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row>
    <row r="286" spans="5:26" x14ac:dyDescent="0.35">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row>
    <row r="287" spans="5:26" x14ac:dyDescent="0.35">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row>
    <row r="288" spans="5:26" x14ac:dyDescent="0.35">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row>
    <row r="289" spans="5:26" x14ac:dyDescent="0.35">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row>
    <row r="290" spans="5:26" x14ac:dyDescent="0.35">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row>
    <row r="291" spans="5:26" x14ac:dyDescent="0.35">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row>
    <row r="292" spans="5:26" x14ac:dyDescent="0.35">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row>
    <row r="293" spans="5:26" x14ac:dyDescent="0.35">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row>
    <row r="294" spans="5:26" x14ac:dyDescent="0.35">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row>
    <row r="295" spans="5:26" x14ac:dyDescent="0.35">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row>
    <row r="296" spans="5:26" x14ac:dyDescent="0.35">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row>
    <row r="297" spans="5:26" x14ac:dyDescent="0.35">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row>
    <row r="298" spans="5:26" x14ac:dyDescent="0.35">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row>
    <row r="299" spans="5:26" x14ac:dyDescent="0.35">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row>
    <row r="300" spans="5:26" x14ac:dyDescent="0.35">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row>
    <row r="301" spans="5:26" x14ac:dyDescent="0.35">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row>
    <row r="302" spans="5:26" x14ac:dyDescent="0.35">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row>
    <row r="303" spans="5:26" x14ac:dyDescent="0.35">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row>
    <row r="304" spans="5:26" x14ac:dyDescent="0.35">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row>
    <row r="305" spans="5:26" x14ac:dyDescent="0.35">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row>
    <row r="306" spans="5:26" x14ac:dyDescent="0.35">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row>
    <row r="307" spans="5:26" x14ac:dyDescent="0.35">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row>
    <row r="308" spans="5:26" x14ac:dyDescent="0.35">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row>
    <row r="309" spans="5:26" x14ac:dyDescent="0.35">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row>
    <row r="310" spans="5:26" x14ac:dyDescent="0.35">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row>
    <row r="311" spans="5:26" x14ac:dyDescent="0.35">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row>
    <row r="312" spans="5:26" x14ac:dyDescent="0.35">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row>
    <row r="313" spans="5:26" x14ac:dyDescent="0.35">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row>
    <row r="314" spans="5:26" x14ac:dyDescent="0.35">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row>
    <row r="315" spans="5:26" x14ac:dyDescent="0.35">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row>
    <row r="316" spans="5:26" x14ac:dyDescent="0.35">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row>
    <row r="317" spans="5:26" x14ac:dyDescent="0.35">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row>
    <row r="318" spans="5:26" x14ac:dyDescent="0.35">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row>
    <row r="319" spans="5:26" x14ac:dyDescent="0.35">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row>
    <row r="320" spans="5:26" x14ac:dyDescent="0.35">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row>
    <row r="321" spans="5:26" x14ac:dyDescent="0.35">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row>
    <row r="322" spans="5:26" x14ac:dyDescent="0.35">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row>
    <row r="323" spans="5:26" x14ac:dyDescent="0.35">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row>
    <row r="324" spans="5:26" x14ac:dyDescent="0.35">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row>
    <row r="325" spans="5:26" x14ac:dyDescent="0.35">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row>
    <row r="326" spans="5:26" x14ac:dyDescent="0.35">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row>
    <row r="327" spans="5:26" x14ac:dyDescent="0.35">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row>
    <row r="328" spans="5:26" x14ac:dyDescent="0.35">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row>
    <row r="329" spans="5:26" x14ac:dyDescent="0.35">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row>
    <row r="330" spans="5:26" x14ac:dyDescent="0.35">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row>
    <row r="331" spans="5:26" x14ac:dyDescent="0.35">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row>
    <row r="332" spans="5:26" x14ac:dyDescent="0.35">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row>
    <row r="333" spans="5:26" x14ac:dyDescent="0.35">
      <c r="E333" s="314"/>
      <c r="F333" s="314"/>
      <c r="G333" s="314"/>
      <c r="H333" s="314"/>
      <c r="I333" s="314"/>
      <c r="J333" s="314"/>
      <c r="K333" s="314"/>
      <c r="L333" s="314"/>
      <c r="M333" s="314"/>
      <c r="N333" s="314"/>
      <c r="O333" s="314"/>
      <c r="P333" s="314"/>
      <c r="Q333" s="314"/>
      <c r="R333" s="314"/>
      <c r="S333" s="314"/>
      <c r="T333" s="314"/>
      <c r="U333" s="314"/>
      <c r="V333" s="314"/>
      <c r="W333" s="314"/>
      <c r="X333" s="314"/>
      <c r="Y333" s="314"/>
      <c r="Z333" s="314"/>
    </row>
    <row r="334" spans="5:26" x14ac:dyDescent="0.35">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row>
    <row r="335" spans="5:26" x14ac:dyDescent="0.35">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row>
    <row r="336" spans="5:26" x14ac:dyDescent="0.35">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row>
    <row r="337" spans="5:26" x14ac:dyDescent="0.35">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row>
    <row r="338" spans="5:26" x14ac:dyDescent="0.35">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row>
    <row r="339" spans="5:26" x14ac:dyDescent="0.35">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row>
    <row r="340" spans="5:26" x14ac:dyDescent="0.35">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row>
    <row r="341" spans="5:26" x14ac:dyDescent="0.35">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row>
    <row r="342" spans="5:26" x14ac:dyDescent="0.35">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row>
    <row r="343" spans="5:26" x14ac:dyDescent="0.35">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row>
    <row r="344" spans="5:26" x14ac:dyDescent="0.35">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row>
    <row r="345" spans="5:26" x14ac:dyDescent="0.35">
      <c r="E345" s="314"/>
      <c r="F345" s="314"/>
      <c r="G345" s="314"/>
      <c r="H345" s="314"/>
      <c r="I345" s="314"/>
      <c r="J345" s="314"/>
      <c r="K345" s="314"/>
      <c r="L345" s="314"/>
      <c r="M345" s="314"/>
      <c r="N345" s="314"/>
      <c r="O345" s="314"/>
      <c r="P345" s="314"/>
      <c r="Q345" s="314"/>
      <c r="R345" s="314"/>
      <c r="S345" s="314"/>
      <c r="T345" s="314"/>
      <c r="U345" s="314"/>
      <c r="V345" s="314"/>
      <c r="W345" s="314"/>
      <c r="X345" s="314"/>
      <c r="Y345" s="314"/>
      <c r="Z345" s="314"/>
    </row>
    <row r="346" spans="5:26" x14ac:dyDescent="0.35">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row>
    <row r="347" spans="5:26" x14ac:dyDescent="0.35">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row>
    <row r="348" spans="5:26" x14ac:dyDescent="0.35">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row>
    <row r="349" spans="5:26" x14ac:dyDescent="0.35">
      <c r="E349" s="314"/>
      <c r="F349" s="314"/>
      <c r="G349" s="314"/>
      <c r="H349" s="314"/>
      <c r="I349" s="314"/>
      <c r="J349" s="314"/>
      <c r="K349" s="314"/>
      <c r="L349" s="314"/>
      <c r="M349" s="314"/>
      <c r="N349" s="314"/>
      <c r="O349" s="314"/>
      <c r="P349" s="314"/>
      <c r="Q349" s="314"/>
      <c r="R349" s="314"/>
      <c r="S349" s="314"/>
      <c r="T349" s="314"/>
      <c r="U349" s="314"/>
      <c r="V349" s="314"/>
      <c r="W349" s="314"/>
      <c r="X349" s="314"/>
      <c r="Y349" s="314"/>
      <c r="Z349" s="314"/>
    </row>
    <row r="350" spans="5:26" x14ac:dyDescent="0.35">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row>
    <row r="351" spans="5:26" x14ac:dyDescent="0.35">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row>
    <row r="352" spans="5:26" x14ac:dyDescent="0.35">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row>
    <row r="353" spans="5:26" x14ac:dyDescent="0.35">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row>
    <row r="354" spans="5:26" x14ac:dyDescent="0.35">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row>
    <row r="355" spans="5:26" x14ac:dyDescent="0.35">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row>
    <row r="356" spans="5:26" x14ac:dyDescent="0.35">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row>
    <row r="357" spans="5:26" x14ac:dyDescent="0.35">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row>
    <row r="358" spans="5:26" x14ac:dyDescent="0.35">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row>
    <row r="359" spans="5:26" x14ac:dyDescent="0.35">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row>
    <row r="360" spans="5:26" x14ac:dyDescent="0.35">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row>
    <row r="361" spans="5:26" x14ac:dyDescent="0.35">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row>
    <row r="362" spans="5:26" x14ac:dyDescent="0.35">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row>
    <row r="363" spans="5:26" x14ac:dyDescent="0.35">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row>
    <row r="364" spans="5:26" x14ac:dyDescent="0.35">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row>
    <row r="365" spans="5:26" x14ac:dyDescent="0.35">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row>
    <row r="366" spans="5:26" x14ac:dyDescent="0.35">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row>
    <row r="367" spans="5:26" x14ac:dyDescent="0.35">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row>
    <row r="368" spans="5:26" x14ac:dyDescent="0.35">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row>
    <row r="369" spans="5:26" x14ac:dyDescent="0.35">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row>
    <row r="370" spans="5:26" x14ac:dyDescent="0.35">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row>
    <row r="371" spans="5:26" x14ac:dyDescent="0.35">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row>
    <row r="372" spans="5:26" x14ac:dyDescent="0.35">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row>
    <row r="373" spans="5:26" x14ac:dyDescent="0.35">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row>
    <row r="374" spans="5:26" x14ac:dyDescent="0.35">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row>
    <row r="375" spans="5:26" x14ac:dyDescent="0.35">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row>
    <row r="376" spans="5:26" x14ac:dyDescent="0.35">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row>
    <row r="377" spans="5:26" x14ac:dyDescent="0.35">
      <c r="E377" s="314"/>
      <c r="F377" s="314"/>
      <c r="G377" s="314"/>
      <c r="H377" s="314"/>
      <c r="I377" s="314"/>
      <c r="J377" s="314"/>
      <c r="K377" s="314"/>
      <c r="L377" s="314"/>
      <c r="M377" s="314"/>
      <c r="N377" s="314"/>
      <c r="O377" s="314"/>
      <c r="P377" s="314"/>
      <c r="Q377" s="314"/>
      <c r="R377" s="314"/>
      <c r="S377" s="314"/>
      <c r="T377" s="314"/>
      <c r="U377" s="314"/>
      <c r="V377" s="314"/>
      <c r="W377" s="314"/>
      <c r="X377" s="314"/>
      <c r="Y377" s="314"/>
      <c r="Z377" s="314"/>
    </row>
    <row r="378" spans="5:26" x14ac:dyDescent="0.35">
      <c r="E378" s="314"/>
      <c r="F378" s="314"/>
      <c r="G378" s="314"/>
      <c r="H378" s="314"/>
      <c r="I378" s="314"/>
      <c r="J378" s="314"/>
      <c r="K378" s="314"/>
      <c r="L378" s="314"/>
      <c r="M378" s="314"/>
      <c r="N378" s="314"/>
      <c r="O378" s="314"/>
      <c r="P378" s="314"/>
      <c r="Q378" s="314"/>
      <c r="R378" s="314"/>
      <c r="S378" s="314"/>
      <c r="T378" s="314"/>
      <c r="U378" s="314"/>
      <c r="V378" s="314"/>
      <c r="W378" s="314"/>
      <c r="X378" s="314"/>
      <c r="Y378" s="314"/>
      <c r="Z378" s="314"/>
    </row>
    <row r="379" spans="5:26" x14ac:dyDescent="0.35">
      <c r="E379" s="314"/>
      <c r="F379" s="314"/>
      <c r="G379" s="314"/>
      <c r="H379" s="314"/>
      <c r="I379" s="314"/>
      <c r="J379" s="314"/>
      <c r="K379" s="314"/>
      <c r="L379" s="314"/>
      <c r="M379" s="314"/>
      <c r="N379" s="314"/>
      <c r="O379" s="314"/>
      <c r="P379" s="314"/>
      <c r="Q379" s="314"/>
      <c r="R379" s="314"/>
      <c r="S379" s="314"/>
      <c r="T379" s="314"/>
      <c r="U379" s="314"/>
      <c r="V379" s="314"/>
      <c r="W379" s="314"/>
      <c r="X379" s="314"/>
      <c r="Y379" s="314"/>
      <c r="Z379" s="314"/>
    </row>
    <row r="380" spans="5:26" x14ac:dyDescent="0.35">
      <c r="E380" s="314"/>
      <c r="F380" s="314"/>
      <c r="G380" s="314"/>
      <c r="H380" s="314"/>
      <c r="I380" s="314"/>
      <c r="J380" s="314"/>
      <c r="K380" s="314"/>
      <c r="L380" s="314"/>
      <c r="M380" s="314"/>
      <c r="N380" s="314"/>
      <c r="O380" s="314"/>
      <c r="P380" s="314"/>
      <c r="Q380" s="314"/>
      <c r="R380" s="314"/>
      <c r="S380" s="314"/>
      <c r="T380" s="314"/>
      <c r="U380" s="314"/>
      <c r="V380" s="314"/>
      <c r="W380" s="314"/>
      <c r="X380" s="314"/>
      <c r="Y380" s="314"/>
      <c r="Z380" s="314"/>
    </row>
    <row r="381" spans="5:26" x14ac:dyDescent="0.35">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row>
    <row r="382" spans="5:26" x14ac:dyDescent="0.35">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row>
    <row r="383" spans="5:26" x14ac:dyDescent="0.35">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row>
    <row r="384" spans="5:26" x14ac:dyDescent="0.35">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row>
    <row r="385" spans="5:26" x14ac:dyDescent="0.35">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row>
    <row r="386" spans="5:26" x14ac:dyDescent="0.35">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row>
    <row r="387" spans="5:26" x14ac:dyDescent="0.35">
      <c r="E387" s="314"/>
      <c r="F387" s="314"/>
      <c r="G387" s="314"/>
      <c r="H387" s="314"/>
      <c r="I387" s="314"/>
      <c r="J387" s="314"/>
      <c r="K387" s="314"/>
      <c r="L387" s="314"/>
      <c r="M387" s="314"/>
      <c r="N387" s="314"/>
      <c r="O387" s="314"/>
      <c r="P387" s="314"/>
      <c r="Q387" s="314"/>
      <c r="R387" s="314"/>
      <c r="S387" s="314"/>
      <c r="T387" s="314"/>
      <c r="U387" s="314"/>
      <c r="V387" s="314"/>
      <c r="W387" s="314"/>
      <c r="X387" s="314"/>
      <c r="Y387" s="314"/>
      <c r="Z387" s="314"/>
    </row>
    <row r="388" spans="5:26" x14ac:dyDescent="0.35">
      <c r="E388" s="314"/>
      <c r="F388" s="314"/>
      <c r="G388" s="314"/>
      <c r="H388" s="314"/>
      <c r="I388" s="314"/>
      <c r="J388" s="314"/>
      <c r="K388" s="314"/>
      <c r="L388" s="314"/>
      <c r="M388" s="314"/>
      <c r="N388" s="314"/>
      <c r="O388" s="314"/>
      <c r="P388" s="314"/>
      <c r="Q388" s="314"/>
      <c r="R388" s="314"/>
      <c r="S388" s="314"/>
      <c r="T388" s="314"/>
      <c r="U388" s="314"/>
      <c r="V388" s="314"/>
      <c r="W388" s="314"/>
      <c r="X388" s="314"/>
      <c r="Y388" s="314"/>
      <c r="Z388" s="314"/>
    </row>
    <row r="389" spans="5:26" x14ac:dyDescent="0.35">
      <c r="E389" s="314"/>
      <c r="F389" s="314"/>
      <c r="G389" s="314"/>
      <c r="H389" s="314"/>
      <c r="I389" s="314"/>
      <c r="J389" s="314"/>
      <c r="K389" s="314"/>
      <c r="L389" s="314"/>
      <c r="M389" s="314"/>
      <c r="N389" s="314"/>
      <c r="O389" s="314"/>
      <c r="P389" s="314"/>
      <c r="Q389" s="314"/>
      <c r="R389" s="314"/>
      <c r="S389" s="314"/>
      <c r="T389" s="314"/>
      <c r="U389" s="314"/>
      <c r="V389" s="314"/>
      <c r="W389" s="314"/>
      <c r="X389" s="314"/>
      <c r="Y389" s="314"/>
      <c r="Z389" s="314"/>
    </row>
    <row r="390" spans="5:26" x14ac:dyDescent="0.35">
      <c r="E390" s="314"/>
      <c r="F390" s="314"/>
      <c r="G390" s="314"/>
      <c r="H390" s="314"/>
      <c r="I390" s="314"/>
      <c r="J390" s="314"/>
      <c r="K390" s="314"/>
      <c r="L390" s="314"/>
      <c r="M390" s="314"/>
      <c r="N390" s="314"/>
      <c r="O390" s="314"/>
      <c r="P390" s="314"/>
      <c r="Q390" s="314"/>
      <c r="R390" s="314"/>
      <c r="S390" s="314"/>
      <c r="T390" s="314"/>
      <c r="U390" s="314"/>
      <c r="V390" s="314"/>
      <c r="W390" s="314"/>
      <c r="X390" s="314"/>
      <c r="Y390" s="314"/>
      <c r="Z390" s="314"/>
    </row>
    <row r="391" spans="5:26" x14ac:dyDescent="0.35">
      <c r="E391" s="314"/>
      <c r="F391" s="314"/>
      <c r="G391" s="314"/>
      <c r="H391" s="314"/>
      <c r="I391" s="314"/>
      <c r="J391" s="314"/>
      <c r="K391" s="314"/>
      <c r="L391" s="314"/>
      <c r="M391" s="314"/>
      <c r="N391" s="314"/>
      <c r="O391" s="314"/>
      <c r="P391" s="314"/>
      <c r="Q391" s="314"/>
      <c r="R391" s="314"/>
      <c r="S391" s="314"/>
      <c r="T391" s="314"/>
      <c r="U391" s="314"/>
      <c r="V391" s="314"/>
      <c r="W391" s="314"/>
      <c r="X391" s="314"/>
      <c r="Y391" s="314"/>
      <c r="Z391" s="314"/>
    </row>
    <row r="392" spans="5:26" x14ac:dyDescent="0.35">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row>
    <row r="393" spans="5:26" x14ac:dyDescent="0.35">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row>
    <row r="394" spans="5:26" x14ac:dyDescent="0.35">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row>
    <row r="395" spans="5:26" x14ac:dyDescent="0.35">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row>
    <row r="396" spans="5:26" x14ac:dyDescent="0.35">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row>
    <row r="397" spans="5:26" x14ac:dyDescent="0.35">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row>
    <row r="398" spans="5:26" x14ac:dyDescent="0.35">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row>
    <row r="399" spans="5:26" x14ac:dyDescent="0.35">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row>
    <row r="400" spans="5:26" x14ac:dyDescent="0.35">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row>
    <row r="401" spans="5:26" x14ac:dyDescent="0.35">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row>
    <row r="402" spans="5:26" x14ac:dyDescent="0.35">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row>
    <row r="403" spans="5:26" x14ac:dyDescent="0.35">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row>
    <row r="404" spans="5:26" x14ac:dyDescent="0.35">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row>
    <row r="405" spans="5:26" x14ac:dyDescent="0.35">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row>
    <row r="406" spans="5:26" x14ac:dyDescent="0.35">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row>
    <row r="407" spans="5:26" x14ac:dyDescent="0.35">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row>
    <row r="408" spans="5:26" x14ac:dyDescent="0.35">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row>
    <row r="409" spans="5:26" x14ac:dyDescent="0.35">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row>
    <row r="410" spans="5:26" x14ac:dyDescent="0.35">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row>
    <row r="411" spans="5:26" x14ac:dyDescent="0.35">
      <c r="E411" s="314"/>
      <c r="F411" s="314"/>
      <c r="G411" s="314"/>
      <c r="H411" s="314"/>
      <c r="I411" s="314"/>
      <c r="J411" s="314"/>
      <c r="K411" s="314"/>
      <c r="L411" s="314"/>
      <c r="M411" s="314"/>
      <c r="N411" s="314"/>
      <c r="O411" s="314"/>
      <c r="P411" s="314"/>
      <c r="Q411" s="314"/>
      <c r="R411" s="314"/>
      <c r="S411" s="314"/>
      <c r="T411" s="314"/>
      <c r="U411" s="314"/>
      <c r="V411" s="314"/>
      <c r="W411" s="314"/>
      <c r="X411" s="314"/>
      <c r="Y411" s="314"/>
      <c r="Z411" s="314"/>
    </row>
    <row r="412" spans="5:26" x14ac:dyDescent="0.35">
      <c r="E412" s="314"/>
      <c r="F412" s="314"/>
      <c r="G412" s="314"/>
      <c r="H412" s="314"/>
      <c r="I412" s="314"/>
      <c r="J412" s="314"/>
      <c r="K412" s="314"/>
      <c r="L412" s="314"/>
      <c r="M412" s="314"/>
      <c r="N412" s="314"/>
      <c r="O412" s="314"/>
      <c r="P412" s="314"/>
      <c r="Q412" s="314"/>
      <c r="R412" s="314"/>
      <c r="S412" s="314"/>
      <c r="T412" s="314"/>
      <c r="U412" s="314"/>
      <c r="V412" s="314"/>
      <c r="W412" s="314"/>
      <c r="X412" s="314"/>
      <c r="Y412" s="314"/>
      <c r="Z412" s="314"/>
    </row>
    <row r="413" spans="5:26" x14ac:dyDescent="0.35">
      <c r="E413" s="314"/>
      <c r="F413" s="314"/>
      <c r="G413" s="314"/>
      <c r="H413" s="314"/>
      <c r="I413" s="314"/>
      <c r="J413" s="314"/>
      <c r="K413" s="314"/>
      <c r="L413" s="314"/>
      <c r="M413" s="314"/>
      <c r="N413" s="314"/>
      <c r="O413" s="314"/>
      <c r="P413" s="314"/>
      <c r="Q413" s="314"/>
      <c r="R413" s="314"/>
      <c r="S413" s="314"/>
      <c r="T413" s="314"/>
      <c r="U413" s="314"/>
      <c r="V413" s="314"/>
      <c r="W413" s="314"/>
      <c r="X413" s="314"/>
      <c r="Y413" s="314"/>
      <c r="Z413" s="314"/>
    </row>
    <row r="414" spans="5:26" x14ac:dyDescent="0.35">
      <c r="E414" s="314"/>
      <c r="F414" s="314"/>
      <c r="G414" s="314"/>
      <c r="H414" s="314"/>
      <c r="I414" s="314"/>
      <c r="J414" s="314"/>
      <c r="K414" s="314"/>
      <c r="L414" s="314"/>
      <c r="M414" s="314"/>
      <c r="N414" s="314"/>
      <c r="O414" s="314"/>
      <c r="P414" s="314"/>
      <c r="Q414" s="314"/>
      <c r="R414" s="314"/>
      <c r="S414" s="314"/>
      <c r="T414" s="314"/>
      <c r="U414" s="314"/>
      <c r="V414" s="314"/>
      <c r="W414" s="314"/>
      <c r="X414" s="314"/>
      <c r="Y414" s="314"/>
      <c r="Z414" s="314"/>
    </row>
    <row r="415" spans="5:26" x14ac:dyDescent="0.35">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row>
    <row r="416" spans="5:26" x14ac:dyDescent="0.35">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row>
    <row r="417" spans="5:26" x14ac:dyDescent="0.35">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row>
    <row r="418" spans="5:26" x14ac:dyDescent="0.35">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row>
    <row r="419" spans="5:26" x14ac:dyDescent="0.35">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row>
    <row r="420" spans="5:26" x14ac:dyDescent="0.35">
      <c r="E420" s="314"/>
      <c r="F420" s="314"/>
      <c r="G420" s="314"/>
      <c r="H420" s="314"/>
      <c r="I420" s="314"/>
      <c r="J420" s="314"/>
      <c r="K420" s="314"/>
      <c r="L420" s="314"/>
      <c r="M420" s="314"/>
      <c r="N420" s="314"/>
      <c r="O420" s="314"/>
      <c r="P420" s="314"/>
      <c r="Q420" s="314"/>
      <c r="R420" s="314"/>
      <c r="S420" s="314"/>
      <c r="T420" s="314"/>
      <c r="U420" s="314"/>
      <c r="V420" s="314"/>
      <c r="W420" s="314"/>
      <c r="X420" s="314"/>
      <c r="Y420" s="314"/>
      <c r="Z420" s="314"/>
    </row>
    <row r="421" spans="5:26" x14ac:dyDescent="0.35">
      <c r="E421" s="314"/>
      <c r="F421" s="314"/>
      <c r="G421" s="314"/>
      <c r="H421" s="314"/>
      <c r="I421" s="314"/>
      <c r="J421" s="314"/>
      <c r="K421" s="314"/>
      <c r="L421" s="314"/>
      <c r="M421" s="314"/>
      <c r="N421" s="314"/>
      <c r="O421" s="314"/>
      <c r="P421" s="314"/>
      <c r="Q421" s="314"/>
      <c r="R421" s="314"/>
      <c r="S421" s="314"/>
      <c r="T421" s="314"/>
      <c r="U421" s="314"/>
      <c r="V421" s="314"/>
      <c r="W421" s="314"/>
      <c r="X421" s="314"/>
      <c r="Y421" s="314"/>
      <c r="Z421" s="314"/>
    </row>
    <row r="422" spans="5:26" x14ac:dyDescent="0.35">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row>
    <row r="423" spans="5:26" x14ac:dyDescent="0.35">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row>
    <row r="424" spans="5:26" x14ac:dyDescent="0.35">
      <c r="E424" s="314"/>
      <c r="F424" s="314"/>
      <c r="G424" s="314"/>
      <c r="H424" s="314"/>
      <c r="I424" s="314"/>
      <c r="J424" s="314"/>
      <c r="K424" s="314"/>
      <c r="L424" s="314"/>
      <c r="M424" s="314"/>
      <c r="N424" s="314"/>
      <c r="O424" s="314"/>
      <c r="P424" s="314"/>
      <c r="Q424" s="314"/>
      <c r="R424" s="314"/>
      <c r="S424" s="314"/>
      <c r="T424" s="314"/>
      <c r="U424" s="314"/>
      <c r="V424" s="314"/>
      <c r="W424" s="314"/>
      <c r="X424" s="314"/>
      <c r="Y424" s="314"/>
      <c r="Z424" s="314"/>
    </row>
    <row r="425" spans="5:26" x14ac:dyDescent="0.35">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row>
    <row r="426" spans="5:26" x14ac:dyDescent="0.35">
      <c r="E426" s="314"/>
      <c r="F426" s="314"/>
      <c r="G426" s="314"/>
      <c r="H426" s="314"/>
      <c r="I426" s="314"/>
      <c r="J426" s="314"/>
      <c r="K426" s="314"/>
      <c r="L426" s="314"/>
      <c r="M426" s="314"/>
      <c r="N426" s="314"/>
      <c r="O426" s="314"/>
      <c r="P426" s="314"/>
      <c r="Q426" s="314"/>
      <c r="R426" s="314"/>
      <c r="S426" s="314"/>
      <c r="T426" s="314"/>
      <c r="U426" s="314"/>
      <c r="V426" s="314"/>
      <c r="W426" s="314"/>
      <c r="X426" s="314"/>
      <c r="Y426" s="314"/>
      <c r="Z426" s="314"/>
    </row>
    <row r="427" spans="5:26" x14ac:dyDescent="0.35">
      <c r="E427" s="314"/>
      <c r="F427" s="314"/>
      <c r="G427" s="314"/>
      <c r="H427" s="314"/>
      <c r="I427" s="314"/>
      <c r="J427" s="314"/>
      <c r="K427" s="314"/>
      <c r="L427" s="314"/>
      <c r="M427" s="314"/>
      <c r="N427" s="314"/>
      <c r="O427" s="314"/>
      <c r="P427" s="314"/>
      <c r="Q427" s="314"/>
      <c r="R427" s="314"/>
      <c r="S427" s="314"/>
      <c r="T427" s="314"/>
      <c r="U427" s="314"/>
      <c r="V427" s="314"/>
      <c r="W427" s="314"/>
      <c r="X427" s="314"/>
      <c r="Y427" s="314"/>
      <c r="Z427" s="314"/>
    </row>
    <row r="428" spans="5:26" x14ac:dyDescent="0.35">
      <c r="E428" s="314"/>
      <c r="F428" s="314"/>
      <c r="G428" s="314"/>
      <c r="H428" s="314"/>
      <c r="I428" s="314"/>
      <c r="J428" s="314"/>
      <c r="K428" s="314"/>
      <c r="L428" s="314"/>
      <c r="M428" s="314"/>
      <c r="N428" s="314"/>
      <c r="O428" s="314"/>
      <c r="P428" s="314"/>
      <c r="Q428" s="314"/>
      <c r="R428" s="314"/>
      <c r="S428" s="314"/>
      <c r="T428" s="314"/>
      <c r="U428" s="314"/>
      <c r="V428" s="314"/>
      <c r="W428" s="314"/>
      <c r="X428" s="314"/>
      <c r="Y428" s="314"/>
      <c r="Z428" s="314"/>
    </row>
    <row r="429" spans="5:26" x14ac:dyDescent="0.35">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row>
    <row r="430" spans="5:26" ht="14.15" customHeight="1" x14ac:dyDescent="0.35">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row>
    <row r="431" spans="5:26" x14ac:dyDescent="0.35">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row>
    <row r="432" spans="5:26" ht="14.15" customHeight="1" x14ac:dyDescent="0.35">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row>
    <row r="433" spans="5:26" ht="14.15" customHeight="1" x14ac:dyDescent="0.35">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row>
    <row r="434" spans="5:26" ht="14.15" customHeight="1" x14ac:dyDescent="0.35">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row>
    <row r="435" spans="5:26" ht="14.15" customHeight="1" x14ac:dyDescent="0.35">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row>
    <row r="436" spans="5:26" ht="14.15" customHeight="1" x14ac:dyDescent="0.35">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row>
    <row r="437" spans="5:26" ht="14.15" customHeight="1" x14ac:dyDescent="0.35">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row>
    <row r="438" spans="5:26" ht="14.15" customHeight="1" x14ac:dyDescent="0.35">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row>
    <row r="439" spans="5:26" ht="14.15" customHeight="1" x14ac:dyDescent="0.35">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row>
    <row r="440" spans="5:26" ht="14.15" customHeight="1" x14ac:dyDescent="0.35">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row>
    <row r="441" spans="5:26" ht="14.15" customHeight="1" x14ac:dyDescent="0.35">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row>
    <row r="442" spans="5:26" ht="14.15" customHeight="1" x14ac:dyDescent="0.35">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row>
    <row r="443" spans="5:26" ht="14.15" customHeight="1" x14ac:dyDescent="0.35">
      <c r="E443" s="314"/>
      <c r="F443" s="314"/>
      <c r="G443" s="314"/>
      <c r="H443" s="314"/>
      <c r="I443" s="314"/>
      <c r="J443" s="314"/>
      <c r="K443" s="314"/>
      <c r="L443" s="314"/>
      <c r="M443" s="314"/>
      <c r="N443" s="314"/>
      <c r="O443" s="314"/>
      <c r="P443" s="314"/>
      <c r="Q443" s="314"/>
      <c r="R443" s="314"/>
      <c r="S443" s="314"/>
      <c r="T443" s="314"/>
      <c r="U443" s="314"/>
      <c r="V443" s="314"/>
      <c r="W443" s="314"/>
      <c r="X443" s="314"/>
      <c r="Y443" s="314"/>
      <c r="Z443" s="314"/>
    </row>
    <row r="444" spans="5:26" ht="14.15" customHeight="1" x14ac:dyDescent="0.35">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row>
    <row r="445" spans="5:26" ht="14.15" customHeight="1" x14ac:dyDescent="0.35">
      <c r="E445" s="314"/>
      <c r="F445" s="314"/>
      <c r="G445" s="314"/>
      <c r="H445" s="314"/>
      <c r="I445" s="314"/>
      <c r="J445" s="314"/>
      <c r="K445" s="314"/>
      <c r="L445" s="314"/>
      <c r="M445" s="314"/>
      <c r="N445" s="314"/>
      <c r="O445" s="314"/>
      <c r="P445" s="314"/>
      <c r="Q445" s="314"/>
      <c r="R445" s="314"/>
      <c r="S445" s="314"/>
      <c r="T445" s="314"/>
      <c r="U445" s="314"/>
      <c r="V445" s="314"/>
      <c r="W445" s="314"/>
      <c r="X445" s="314"/>
      <c r="Y445" s="314"/>
      <c r="Z445" s="314"/>
    </row>
    <row r="446" spans="5:26" ht="14.15" customHeight="1" x14ac:dyDescent="0.35">
      <c r="E446" s="314"/>
      <c r="F446" s="314"/>
      <c r="G446" s="314"/>
      <c r="H446" s="314"/>
      <c r="I446" s="314"/>
      <c r="J446" s="314"/>
      <c r="K446" s="314"/>
      <c r="L446" s="314"/>
      <c r="M446" s="314"/>
      <c r="N446" s="314"/>
      <c r="O446" s="314"/>
      <c r="P446" s="314"/>
      <c r="Q446" s="314"/>
      <c r="R446" s="314"/>
      <c r="S446" s="314"/>
      <c r="T446" s="314"/>
      <c r="U446" s="314"/>
      <c r="V446" s="314"/>
      <c r="W446" s="314"/>
      <c r="X446" s="314"/>
      <c r="Y446" s="314"/>
      <c r="Z446" s="314"/>
    </row>
    <row r="447" spans="5:26" ht="14.15" customHeight="1" x14ac:dyDescent="0.35">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row>
    <row r="448" spans="5:26" ht="14.15" customHeight="1" x14ac:dyDescent="0.35">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row>
    <row r="449" spans="5:26" ht="14.15" customHeight="1" x14ac:dyDescent="0.35">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row>
    <row r="450" spans="5:26" ht="14.15" customHeight="1" x14ac:dyDescent="0.35">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row>
    <row r="451" spans="5:26" ht="14.15" customHeight="1" x14ac:dyDescent="0.35">
      <c r="E451" s="314"/>
      <c r="F451" s="314"/>
      <c r="G451" s="314"/>
      <c r="H451" s="314"/>
      <c r="I451" s="314"/>
      <c r="J451" s="314"/>
      <c r="K451" s="314"/>
      <c r="L451" s="314"/>
      <c r="M451" s="314"/>
      <c r="N451" s="314"/>
      <c r="O451" s="314"/>
      <c r="P451" s="314"/>
      <c r="Q451" s="314"/>
      <c r="R451" s="314"/>
      <c r="S451" s="314"/>
      <c r="T451" s="314"/>
      <c r="U451" s="314"/>
      <c r="V451" s="314"/>
      <c r="W451" s="314"/>
      <c r="X451" s="314"/>
      <c r="Y451" s="314"/>
      <c r="Z451" s="314"/>
    </row>
    <row r="452" spans="5:26" ht="14.15" customHeight="1" x14ac:dyDescent="0.35">
      <c r="E452" s="314"/>
      <c r="F452" s="314"/>
      <c r="G452" s="314"/>
      <c r="H452" s="314"/>
      <c r="I452" s="314"/>
      <c r="J452" s="314"/>
      <c r="K452" s="314"/>
      <c r="L452" s="314"/>
      <c r="M452" s="314"/>
      <c r="N452" s="314"/>
      <c r="O452" s="314"/>
      <c r="P452" s="314"/>
      <c r="Q452" s="314"/>
      <c r="R452" s="314"/>
      <c r="S452" s="314"/>
      <c r="T452" s="314"/>
      <c r="U452" s="314"/>
      <c r="V452" s="314"/>
      <c r="W452" s="314"/>
      <c r="X452" s="314"/>
      <c r="Y452" s="314"/>
      <c r="Z452" s="314"/>
    </row>
    <row r="453" spans="5:26" ht="14.15" customHeight="1" x14ac:dyDescent="0.35">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row>
    <row r="454" spans="5:26" ht="14.15" customHeight="1" x14ac:dyDescent="0.35">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row>
    <row r="455" spans="5:26" ht="14.15" customHeight="1" x14ac:dyDescent="0.35">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row>
    <row r="456" spans="5:26" ht="14.15" customHeight="1" x14ac:dyDescent="0.35">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row>
    <row r="457" spans="5:26" ht="14.15" customHeight="1" x14ac:dyDescent="0.35">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row>
    <row r="458" spans="5:26" ht="14.15" customHeight="1" x14ac:dyDescent="0.35">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row>
    <row r="459" spans="5:26" ht="14.15" customHeight="1" x14ac:dyDescent="0.35">
      <c r="E459" s="314"/>
      <c r="F459" s="314"/>
      <c r="G459" s="314"/>
      <c r="H459" s="314"/>
      <c r="I459" s="314"/>
      <c r="J459" s="314"/>
      <c r="K459" s="314"/>
      <c r="L459" s="314"/>
      <c r="M459" s="314"/>
      <c r="N459" s="314"/>
      <c r="O459" s="314"/>
      <c r="P459" s="314"/>
      <c r="Q459" s="314"/>
      <c r="R459" s="314"/>
      <c r="S459" s="314"/>
      <c r="T459" s="314"/>
      <c r="U459" s="314"/>
      <c r="V459" s="314"/>
      <c r="W459" s="314"/>
      <c r="X459" s="314"/>
      <c r="Y459" s="314"/>
      <c r="Z459" s="314"/>
    </row>
    <row r="460" spans="5:26" ht="14.15" customHeight="1" x14ac:dyDescent="0.35">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row>
    <row r="461" spans="5:26" ht="14.15" customHeight="1" x14ac:dyDescent="0.35">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row>
    <row r="462" spans="5:26" ht="14.15" customHeight="1" x14ac:dyDescent="0.35">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row>
    <row r="463" spans="5:26" ht="14.15" customHeight="1" x14ac:dyDescent="0.35">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row>
    <row r="464" spans="5:26" ht="14.15" customHeight="1" x14ac:dyDescent="0.35">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row>
    <row r="465" spans="5:26" ht="14.15" customHeight="1" x14ac:dyDescent="0.35">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row>
    <row r="466" spans="5:26" ht="14.15" customHeight="1" x14ac:dyDescent="0.35">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row>
    <row r="467" spans="5:26" ht="14.15" customHeight="1" x14ac:dyDescent="0.35">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row>
    <row r="468" spans="5:26" ht="14.15" customHeight="1" x14ac:dyDescent="0.35">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row>
    <row r="469" spans="5:26" ht="14.15" customHeight="1" x14ac:dyDescent="0.35">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row>
    <row r="470" spans="5:26" ht="14.15" customHeight="1" x14ac:dyDescent="0.35">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row>
    <row r="471" spans="5:26" ht="14.15" customHeight="1" x14ac:dyDescent="0.35">
      <c r="E471" s="314"/>
      <c r="F471" s="314"/>
      <c r="G471" s="314"/>
      <c r="H471" s="314"/>
      <c r="I471" s="314"/>
      <c r="J471" s="314"/>
      <c r="K471" s="314"/>
      <c r="L471" s="314"/>
      <c r="M471" s="314"/>
      <c r="N471" s="314"/>
      <c r="O471" s="314"/>
      <c r="P471" s="314"/>
      <c r="Q471" s="314"/>
      <c r="R471" s="314"/>
      <c r="S471" s="314"/>
      <c r="T471" s="314"/>
      <c r="U471" s="314"/>
      <c r="V471" s="314"/>
      <c r="W471" s="314"/>
      <c r="X471" s="314"/>
      <c r="Y471" s="314"/>
      <c r="Z471" s="314"/>
    </row>
    <row r="472" spans="5:26" ht="14.15" customHeight="1" x14ac:dyDescent="0.35">
      <c r="E472" s="314"/>
      <c r="F472" s="314"/>
      <c r="G472" s="314"/>
      <c r="H472" s="314"/>
      <c r="I472" s="314"/>
      <c r="J472" s="314"/>
      <c r="K472" s="314"/>
      <c r="L472" s="314"/>
      <c r="M472" s="314"/>
      <c r="N472" s="314"/>
      <c r="O472" s="314"/>
      <c r="P472" s="314"/>
      <c r="Q472" s="314"/>
      <c r="R472" s="314"/>
      <c r="S472" s="314"/>
      <c r="T472" s="314"/>
      <c r="U472" s="314"/>
      <c r="V472" s="314"/>
      <c r="W472" s="314"/>
      <c r="X472" s="314"/>
      <c r="Y472" s="314"/>
      <c r="Z472" s="314"/>
    </row>
    <row r="473" spans="5:26" ht="14.15" customHeight="1" x14ac:dyDescent="0.35">
      <c r="E473" s="314"/>
      <c r="F473" s="314"/>
      <c r="G473" s="314"/>
      <c r="H473" s="314"/>
      <c r="I473" s="314"/>
      <c r="J473" s="314"/>
      <c r="K473" s="314"/>
      <c r="L473" s="314"/>
      <c r="M473" s="314"/>
      <c r="N473" s="314"/>
      <c r="O473" s="314"/>
      <c r="P473" s="314"/>
      <c r="Q473" s="314"/>
      <c r="R473" s="314"/>
      <c r="S473" s="314"/>
      <c r="T473" s="314"/>
      <c r="U473" s="314"/>
      <c r="V473" s="314"/>
      <c r="W473" s="314"/>
      <c r="X473" s="314"/>
      <c r="Y473" s="314"/>
      <c r="Z473" s="314"/>
    </row>
    <row r="474" spans="5:26" ht="14.15" customHeight="1" x14ac:dyDescent="0.35">
      <c r="E474" s="314"/>
      <c r="F474" s="314"/>
      <c r="G474" s="314"/>
      <c r="H474" s="314"/>
      <c r="I474" s="314"/>
      <c r="J474" s="314"/>
      <c r="K474" s="314"/>
      <c r="L474" s="314"/>
      <c r="M474" s="314"/>
      <c r="N474" s="314"/>
      <c r="O474" s="314"/>
      <c r="P474" s="314"/>
      <c r="Q474" s="314"/>
      <c r="R474" s="314"/>
      <c r="S474" s="314"/>
      <c r="T474" s="314"/>
      <c r="U474" s="314"/>
      <c r="V474" s="314"/>
      <c r="W474" s="314"/>
      <c r="X474" s="314"/>
      <c r="Y474" s="314"/>
      <c r="Z474" s="314"/>
    </row>
    <row r="475" spans="5:26" ht="14.15" customHeight="1" x14ac:dyDescent="0.35">
      <c r="E475" s="314"/>
      <c r="F475" s="314"/>
      <c r="G475" s="314"/>
      <c r="H475" s="314"/>
      <c r="I475" s="314"/>
      <c r="J475" s="314"/>
      <c r="K475" s="314"/>
      <c r="L475" s="314"/>
      <c r="M475" s="314"/>
      <c r="N475" s="314"/>
      <c r="O475" s="314"/>
      <c r="P475" s="314"/>
      <c r="Q475" s="314"/>
      <c r="R475" s="314"/>
      <c r="S475" s="314"/>
      <c r="T475" s="314"/>
      <c r="U475" s="314"/>
      <c r="V475" s="314"/>
      <c r="W475" s="314"/>
      <c r="X475" s="314"/>
      <c r="Y475" s="314"/>
      <c r="Z475" s="314"/>
    </row>
    <row r="476" spans="5:26" ht="14.15" customHeight="1" x14ac:dyDescent="0.35">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row>
    <row r="477" spans="5:26" ht="14.15" customHeight="1" x14ac:dyDescent="0.35">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row>
    <row r="478" spans="5:26" ht="14.15" customHeight="1" x14ac:dyDescent="0.35">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row>
    <row r="479" spans="5:26" ht="14.15" customHeight="1" x14ac:dyDescent="0.35">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row>
    <row r="480" spans="5:26" ht="14.15" customHeight="1" x14ac:dyDescent="0.35">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row>
    <row r="481" spans="5:26" ht="14.15" customHeight="1" x14ac:dyDescent="0.35">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row>
    <row r="482" spans="5:26" ht="14.15" customHeight="1" x14ac:dyDescent="0.35">
      <c r="E482" s="314"/>
      <c r="F482" s="314"/>
      <c r="G482" s="314"/>
      <c r="H482" s="314"/>
      <c r="I482" s="314"/>
      <c r="J482" s="314"/>
      <c r="K482" s="314"/>
      <c r="L482" s="314"/>
      <c r="M482" s="314"/>
      <c r="N482" s="314"/>
      <c r="O482" s="314"/>
      <c r="P482" s="314"/>
      <c r="Q482" s="314"/>
      <c r="R482" s="314"/>
      <c r="S482" s="314"/>
      <c r="T482" s="314"/>
      <c r="U482" s="314"/>
      <c r="V482" s="314"/>
      <c r="W482" s="314"/>
      <c r="X482" s="314"/>
      <c r="Y482" s="314"/>
      <c r="Z482" s="314"/>
    </row>
    <row r="483" spans="5:26" ht="14.15" customHeight="1" x14ac:dyDescent="0.35">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row>
    <row r="484" spans="5:26" ht="14.15" customHeight="1" x14ac:dyDescent="0.35">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row>
    <row r="485" spans="5:26" ht="14.15" customHeight="1" x14ac:dyDescent="0.35">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row>
    <row r="486" spans="5:26" ht="14.15" customHeight="1" x14ac:dyDescent="0.35">
      <c r="E486" s="314"/>
      <c r="F486" s="314"/>
      <c r="G486" s="314"/>
      <c r="H486" s="314"/>
      <c r="I486" s="314"/>
      <c r="J486" s="314"/>
      <c r="K486" s="314"/>
      <c r="L486" s="314"/>
      <c r="M486" s="314"/>
      <c r="N486" s="314"/>
      <c r="O486" s="314"/>
      <c r="P486" s="314"/>
      <c r="Q486" s="314"/>
      <c r="R486" s="314"/>
      <c r="S486" s="314"/>
      <c r="T486" s="314"/>
      <c r="U486" s="314"/>
      <c r="V486" s="314"/>
      <c r="W486" s="314"/>
      <c r="X486" s="314"/>
      <c r="Y486" s="314"/>
      <c r="Z486" s="314"/>
    </row>
    <row r="487" spans="5:26" ht="14.15" customHeight="1" x14ac:dyDescent="0.35">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row>
    <row r="488" spans="5:26" ht="14.15" customHeight="1" x14ac:dyDescent="0.35">
      <c r="E488" s="314"/>
      <c r="F488" s="314"/>
      <c r="G488" s="314"/>
      <c r="H488" s="314"/>
      <c r="I488" s="314"/>
      <c r="J488" s="314"/>
      <c r="K488" s="314"/>
      <c r="L488" s="314"/>
      <c r="M488" s="314"/>
      <c r="N488" s="314"/>
      <c r="O488" s="314"/>
      <c r="P488" s="314"/>
      <c r="Q488" s="314"/>
      <c r="R488" s="314"/>
      <c r="S488" s="314"/>
      <c r="T488" s="314"/>
      <c r="U488" s="314"/>
      <c r="V488" s="314"/>
      <c r="W488" s="314"/>
      <c r="X488" s="314"/>
      <c r="Y488" s="314"/>
      <c r="Z488" s="314"/>
    </row>
    <row r="489" spans="5:26" ht="14.15" customHeight="1" x14ac:dyDescent="0.35">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row>
    <row r="490" spans="5:26" ht="14.15" customHeight="1" x14ac:dyDescent="0.35">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row>
    <row r="491" spans="5:26" ht="14.15" customHeight="1" x14ac:dyDescent="0.35">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row>
    <row r="492" spans="5:26" ht="14.15" customHeight="1" x14ac:dyDescent="0.35">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row>
    <row r="493" spans="5:26" ht="14.15" customHeight="1" x14ac:dyDescent="0.35">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row>
    <row r="494" spans="5:26" ht="14.15" customHeight="1" x14ac:dyDescent="0.35">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row>
    <row r="495" spans="5:26" ht="14.15" customHeight="1" x14ac:dyDescent="0.35">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row>
    <row r="496" spans="5:26" ht="14.15" customHeight="1" x14ac:dyDescent="0.35">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row>
    <row r="497" spans="5:26" ht="14.15" customHeight="1" x14ac:dyDescent="0.35">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row>
    <row r="498" spans="5:26" ht="14.15" customHeight="1" x14ac:dyDescent="0.35">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row>
    <row r="499" spans="5:26" ht="14.15" customHeight="1" x14ac:dyDescent="0.35">
      <c r="E499" s="314"/>
      <c r="F499" s="314"/>
      <c r="G499" s="314"/>
      <c r="H499" s="314"/>
      <c r="I499" s="314"/>
      <c r="J499" s="314"/>
      <c r="K499" s="314"/>
      <c r="L499" s="314"/>
      <c r="M499" s="314"/>
      <c r="N499" s="314"/>
      <c r="O499" s="314"/>
      <c r="P499" s="314"/>
      <c r="Q499" s="314"/>
      <c r="R499" s="314"/>
      <c r="S499" s="314"/>
      <c r="T499" s="314"/>
      <c r="U499" s="314"/>
      <c r="V499" s="314"/>
      <c r="W499" s="314"/>
      <c r="X499" s="314"/>
      <c r="Y499" s="314"/>
      <c r="Z499" s="314"/>
    </row>
    <row r="500" spans="5:26" ht="14.15" customHeight="1" x14ac:dyDescent="0.35">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row>
    <row r="501" spans="5:26" ht="14.15" customHeight="1" x14ac:dyDescent="0.35">
      <c r="E501" s="314"/>
      <c r="F501" s="314"/>
      <c r="G501" s="314"/>
      <c r="H501" s="314"/>
      <c r="I501" s="314"/>
      <c r="J501" s="314"/>
      <c r="K501" s="314"/>
      <c r="L501" s="314"/>
      <c r="M501" s="314"/>
      <c r="N501" s="314"/>
      <c r="O501" s="314"/>
      <c r="P501" s="314"/>
      <c r="Q501" s="314"/>
      <c r="R501" s="314"/>
      <c r="S501" s="314"/>
      <c r="T501" s="314"/>
      <c r="U501" s="314"/>
      <c r="V501" s="314"/>
      <c r="W501" s="314"/>
      <c r="X501" s="314"/>
      <c r="Y501" s="314"/>
      <c r="Z501" s="314"/>
    </row>
    <row r="502" spans="5:26" ht="14.15" customHeight="1" x14ac:dyDescent="0.35">
      <c r="E502" s="314"/>
      <c r="F502" s="314"/>
      <c r="G502" s="314"/>
      <c r="H502" s="314"/>
      <c r="I502" s="314"/>
      <c r="J502" s="314"/>
      <c r="K502" s="314"/>
      <c r="L502" s="314"/>
      <c r="M502" s="314"/>
      <c r="N502" s="314"/>
      <c r="O502" s="314"/>
      <c r="P502" s="314"/>
      <c r="Q502" s="314"/>
      <c r="R502" s="314"/>
      <c r="S502" s="314"/>
      <c r="T502" s="314"/>
      <c r="U502" s="314"/>
      <c r="V502" s="314"/>
      <c r="W502" s="314"/>
      <c r="X502" s="314"/>
      <c r="Y502" s="314"/>
      <c r="Z502" s="314"/>
    </row>
    <row r="503" spans="5:26" ht="14.15" customHeight="1" x14ac:dyDescent="0.35">
      <c r="E503" s="314"/>
      <c r="F503" s="314"/>
      <c r="G503" s="314"/>
      <c r="H503" s="314"/>
      <c r="I503" s="314"/>
      <c r="J503" s="314"/>
      <c r="K503" s="314"/>
      <c r="L503" s="314"/>
      <c r="M503" s="314"/>
      <c r="N503" s="314"/>
      <c r="O503" s="314"/>
      <c r="P503" s="314"/>
      <c r="Q503" s="314"/>
      <c r="R503" s="314"/>
      <c r="S503" s="314"/>
      <c r="T503" s="314"/>
      <c r="U503" s="314"/>
      <c r="V503" s="314"/>
      <c r="W503" s="314"/>
      <c r="X503" s="314"/>
      <c r="Y503" s="314"/>
      <c r="Z503" s="314"/>
    </row>
    <row r="504" spans="5:26" ht="14.15" customHeight="1" x14ac:dyDescent="0.35">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row>
    <row r="505" spans="5:26" ht="14.15" customHeight="1" x14ac:dyDescent="0.35">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row>
    <row r="506" spans="5:26" ht="14.15" customHeight="1" x14ac:dyDescent="0.35">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row>
    <row r="507" spans="5:26" ht="14.15" customHeight="1" x14ac:dyDescent="0.35">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row>
    <row r="508" spans="5:26" ht="14.15" customHeight="1" x14ac:dyDescent="0.35">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row>
    <row r="509" spans="5:26" ht="14.15" customHeight="1" x14ac:dyDescent="0.35">
      <c r="E509" s="314"/>
      <c r="F509" s="314"/>
      <c r="G509" s="314"/>
      <c r="H509" s="314"/>
      <c r="I509" s="314"/>
      <c r="J509" s="314"/>
      <c r="K509" s="314"/>
      <c r="L509" s="314"/>
      <c r="M509" s="314"/>
      <c r="N509" s="314"/>
      <c r="O509" s="314"/>
      <c r="P509" s="314"/>
      <c r="Q509" s="314"/>
      <c r="R509" s="314"/>
      <c r="S509" s="314"/>
      <c r="T509" s="314"/>
      <c r="U509" s="314"/>
      <c r="V509" s="314"/>
      <c r="W509" s="314"/>
      <c r="X509" s="314"/>
      <c r="Y509" s="314"/>
      <c r="Z509" s="314"/>
    </row>
    <row r="510" spans="5:26" ht="14.15" customHeight="1" x14ac:dyDescent="0.35">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row>
    <row r="511" spans="5:26" ht="14.15" customHeight="1" x14ac:dyDescent="0.35">
      <c r="E511" s="314"/>
      <c r="F511" s="314"/>
      <c r="G511" s="314"/>
      <c r="H511" s="314"/>
      <c r="I511" s="314"/>
      <c r="J511" s="314"/>
      <c r="K511" s="314"/>
      <c r="L511" s="314"/>
      <c r="M511" s="314"/>
      <c r="N511" s="314"/>
      <c r="O511" s="314"/>
      <c r="P511" s="314"/>
      <c r="Q511" s="314"/>
      <c r="R511" s="314"/>
      <c r="S511" s="314"/>
      <c r="T511" s="314"/>
      <c r="U511" s="314"/>
      <c r="V511" s="314"/>
      <c r="W511" s="314"/>
      <c r="X511" s="314"/>
      <c r="Y511" s="314"/>
      <c r="Z511" s="314"/>
    </row>
    <row r="512" spans="5:26" ht="14.15" customHeight="1" x14ac:dyDescent="0.35">
      <c r="E512" s="314"/>
      <c r="F512" s="314"/>
      <c r="G512" s="314"/>
      <c r="H512" s="314"/>
      <c r="I512" s="314"/>
      <c r="J512" s="314"/>
      <c r="K512" s="314"/>
      <c r="L512" s="314"/>
      <c r="M512" s="314"/>
      <c r="N512" s="314"/>
      <c r="O512" s="314"/>
      <c r="P512" s="314"/>
      <c r="Q512" s="314"/>
      <c r="R512" s="314"/>
      <c r="S512" s="314"/>
      <c r="T512" s="314"/>
      <c r="U512" s="314"/>
      <c r="V512" s="314"/>
      <c r="W512" s="314"/>
      <c r="X512" s="314"/>
      <c r="Y512" s="314"/>
      <c r="Z512" s="314"/>
    </row>
    <row r="513" spans="5:26" ht="14.15" customHeight="1" x14ac:dyDescent="0.35">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row>
    <row r="514" spans="5:26" ht="14.15" customHeight="1" x14ac:dyDescent="0.35">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row>
    <row r="515" spans="5:26" ht="14.15" customHeight="1" x14ac:dyDescent="0.35">
      <c r="E515" s="314"/>
      <c r="F515" s="314"/>
      <c r="G515" s="314"/>
      <c r="H515" s="314"/>
      <c r="I515" s="314"/>
      <c r="J515" s="314"/>
      <c r="K515" s="314"/>
      <c r="L515" s="314"/>
      <c r="M515" s="314"/>
      <c r="N515" s="314"/>
      <c r="O515" s="314"/>
      <c r="P515" s="314"/>
      <c r="Q515" s="314"/>
      <c r="R515" s="314"/>
      <c r="S515" s="314"/>
      <c r="T515" s="314"/>
      <c r="U515" s="314"/>
      <c r="V515" s="314"/>
      <c r="W515" s="314"/>
      <c r="X515" s="314"/>
      <c r="Y515" s="314"/>
      <c r="Z515" s="314"/>
    </row>
    <row r="516" spans="5:26" ht="14.15" customHeight="1" x14ac:dyDescent="0.35">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row>
    <row r="517" spans="5:26" ht="14.15" customHeight="1" x14ac:dyDescent="0.35">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row>
    <row r="518" spans="5:26" ht="14.15" customHeight="1" x14ac:dyDescent="0.35">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row>
    <row r="519" spans="5:26" ht="14.15" customHeight="1" x14ac:dyDescent="0.35">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row>
    <row r="520" spans="5:26" ht="14.15" customHeight="1" x14ac:dyDescent="0.35">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row>
    <row r="521" spans="5:26" ht="14.15" customHeight="1" x14ac:dyDescent="0.35">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row>
    <row r="522" spans="5:26" ht="14.15" customHeight="1" x14ac:dyDescent="0.35">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row>
    <row r="523" spans="5:26" ht="14.15" customHeight="1" x14ac:dyDescent="0.35">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row>
    <row r="524" spans="5:26" ht="14.15" customHeight="1" x14ac:dyDescent="0.35">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row>
    <row r="525" spans="5:26" ht="14.15" customHeight="1" x14ac:dyDescent="0.35">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row>
    <row r="526" spans="5:26" ht="14.15" customHeight="1" x14ac:dyDescent="0.35">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row>
    <row r="527" spans="5:26" ht="14.15" customHeight="1" x14ac:dyDescent="0.35">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row>
    <row r="528" spans="5:26" ht="14.15" customHeight="1" x14ac:dyDescent="0.35">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row>
    <row r="529" spans="5:26" ht="14.15" customHeight="1" x14ac:dyDescent="0.35">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row>
    <row r="530" spans="5:26" ht="14.15" customHeight="1" x14ac:dyDescent="0.35">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row>
    <row r="531" spans="5:26" ht="14.15" customHeight="1" x14ac:dyDescent="0.35">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row>
    <row r="532" spans="5:26" ht="14.15" customHeight="1" x14ac:dyDescent="0.35">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row>
    <row r="533" spans="5:26" ht="14.15" customHeight="1" x14ac:dyDescent="0.35">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row>
    <row r="534" spans="5:26" ht="14.15" customHeight="1" x14ac:dyDescent="0.35">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row>
    <row r="535" spans="5:26" ht="14.15" customHeight="1" x14ac:dyDescent="0.35">
      <c r="E535" s="314"/>
      <c r="F535" s="314"/>
      <c r="G535" s="314"/>
      <c r="H535" s="314"/>
      <c r="I535" s="314"/>
      <c r="J535" s="314"/>
      <c r="K535" s="314"/>
      <c r="L535" s="314"/>
      <c r="M535" s="314"/>
      <c r="N535" s="314"/>
      <c r="O535" s="314"/>
      <c r="P535" s="314"/>
      <c r="Q535" s="314"/>
      <c r="R535" s="314"/>
      <c r="S535" s="314"/>
      <c r="T535" s="314"/>
      <c r="U535" s="314"/>
      <c r="V535" s="314"/>
      <c r="W535" s="314"/>
      <c r="X535" s="314"/>
      <c r="Y535" s="314"/>
      <c r="Z535" s="314"/>
    </row>
    <row r="536" spans="5:26" ht="14.15" customHeight="1" x14ac:dyDescent="0.35">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row>
    <row r="537" spans="5:26" ht="14.15" customHeight="1" x14ac:dyDescent="0.35">
      <c r="E537" s="314"/>
      <c r="F537" s="314"/>
      <c r="G537" s="314"/>
      <c r="H537" s="314"/>
      <c r="I537" s="314"/>
      <c r="J537" s="314"/>
      <c r="K537" s="314"/>
      <c r="L537" s="314"/>
      <c r="M537" s="314"/>
      <c r="N537" s="314"/>
      <c r="O537" s="314"/>
      <c r="P537" s="314"/>
      <c r="Q537" s="314"/>
      <c r="R537" s="314"/>
      <c r="S537" s="314"/>
      <c r="T537" s="314"/>
      <c r="U537" s="314"/>
      <c r="V537" s="314"/>
      <c r="W537" s="314"/>
      <c r="X537" s="314"/>
      <c r="Y537" s="314"/>
      <c r="Z537" s="314"/>
    </row>
    <row r="538" spans="5:26" ht="14.15" customHeight="1" x14ac:dyDescent="0.35">
      <c r="E538" s="314"/>
      <c r="F538" s="314"/>
      <c r="G538" s="314"/>
      <c r="H538" s="314"/>
      <c r="I538" s="314"/>
      <c r="J538" s="314"/>
      <c r="K538" s="314"/>
      <c r="L538" s="314"/>
      <c r="M538" s="314"/>
      <c r="N538" s="314"/>
      <c r="O538" s="314"/>
      <c r="P538" s="314"/>
      <c r="Q538" s="314"/>
      <c r="R538" s="314"/>
      <c r="S538" s="314"/>
      <c r="T538" s="314"/>
      <c r="U538" s="314"/>
      <c r="V538" s="314"/>
      <c r="W538" s="314"/>
      <c r="X538" s="314"/>
      <c r="Y538" s="314"/>
      <c r="Z538" s="314"/>
    </row>
    <row r="539" spans="5:26" ht="14.15" customHeight="1" x14ac:dyDescent="0.35">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row>
    <row r="540" spans="5:26" ht="14.15" customHeight="1" x14ac:dyDescent="0.35">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row>
    <row r="541" spans="5:26" ht="14.15" customHeight="1" x14ac:dyDescent="0.35">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row>
    <row r="542" spans="5:26" ht="14.15" customHeight="1" x14ac:dyDescent="0.35">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row>
    <row r="543" spans="5:26" ht="14.15" customHeight="1" x14ac:dyDescent="0.35">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row>
    <row r="544" spans="5:26" ht="14.15" customHeight="1" x14ac:dyDescent="0.35">
      <c r="E544" s="314"/>
      <c r="F544" s="314"/>
      <c r="G544" s="314"/>
      <c r="H544" s="314"/>
      <c r="I544" s="314"/>
      <c r="J544" s="314"/>
      <c r="K544" s="314"/>
      <c r="L544" s="314"/>
      <c r="M544" s="314"/>
      <c r="N544" s="314"/>
      <c r="O544" s="314"/>
      <c r="P544" s="314"/>
      <c r="Q544" s="314"/>
      <c r="R544" s="314"/>
      <c r="S544" s="314"/>
      <c r="T544" s="314"/>
      <c r="U544" s="314"/>
      <c r="V544" s="314"/>
      <c r="W544" s="314"/>
      <c r="X544" s="314"/>
      <c r="Y544" s="314"/>
      <c r="Z544" s="314"/>
    </row>
    <row r="545" spans="5:26" ht="14.15" customHeight="1" x14ac:dyDescent="0.35">
      <c r="E545" s="314"/>
      <c r="F545" s="314"/>
      <c r="G545" s="314"/>
      <c r="H545" s="314"/>
      <c r="I545" s="314"/>
      <c r="J545" s="314"/>
      <c r="K545" s="314"/>
      <c r="L545" s="314"/>
      <c r="M545" s="314"/>
      <c r="N545" s="314"/>
      <c r="O545" s="314"/>
      <c r="P545" s="314"/>
      <c r="Q545" s="314"/>
      <c r="R545" s="314"/>
      <c r="S545" s="314"/>
      <c r="T545" s="314"/>
      <c r="U545" s="314"/>
      <c r="V545" s="314"/>
      <c r="W545" s="314"/>
      <c r="X545" s="314"/>
      <c r="Y545" s="314"/>
      <c r="Z545" s="314"/>
    </row>
    <row r="546" spans="5:26" ht="14.15" customHeight="1" x14ac:dyDescent="0.35">
      <c r="E546" s="314"/>
      <c r="F546" s="314"/>
      <c r="G546" s="314"/>
      <c r="H546" s="314"/>
      <c r="I546" s="314"/>
      <c r="J546" s="314"/>
      <c r="K546" s="314"/>
      <c r="L546" s="314"/>
      <c r="M546" s="314"/>
      <c r="N546" s="314"/>
      <c r="O546" s="314"/>
      <c r="P546" s="314"/>
      <c r="Q546" s="314"/>
      <c r="R546" s="314"/>
      <c r="S546" s="314"/>
      <c r="T546" s="314"/>
      <c r="U546" s="314"/>
      <c r="V546" s="314"/>
      <c r="W546" s="314"/>
      <c r="X546" s="314"/>
      <c r="Y546" s="314"/>
      <c r="Z546" s="314"/>
    </row>
    <row r="547" spans="5:26" ht="14.15" customHeight="1" x14ac:dyDescent="0.35">
      <c r="E547" s="314"/>
      <c r="F547" s="314"/>
      <c r="G547" s="314"/>
      <c r="H547" s="314"/>
      <c r="I547" s="314"/>
      <c r="J547" s="314"/>
      <c r="K547" s="314"/>
      <c r="L547" s="314"/>
      <c r="M547" s="314"/>
      <c r="N547" s="314"/>
      <c r="O547" s="314"/>
      <c r="P547" s="314"/>
      <c r="Q547" s="314"/>
      <c r="R547" s="314"/>
      <c r="S547" s="314"/>
      <c r="T547" s="314"/>
      <c r="U547" s="314"/>
      <c r="V547" s="314"/>
      <c r="W547" s="314"/>
      <c r="X547" s="314"/>
      <c r="Y547" s="314"/>
      <c r="Z547" s="314"/>
    </row>
    <row r="548" spans="5:26" ht="14.15" customHeight="1" x14ac:dyDescent="0.35">
      <c r="E548" s="314"/>
      <c r="F548" s="314"/>
      <c r="G548" s="314"/>
      <c r="H548" s="314"/>
      <c r="I548" s="314"/>
      <c r="J548" s="314"/>
      <c r="K548" s="314"/>
      <c r="L548" s="314"/>
      <c r="M548" s="314"/>
      <c r="N548" s="314"/>
      <c r="O548" s="314"/>
      <c r="P548" s="314"/>
      <c r="Q548" s="314"/>
      <c r="R548" s="314"/>
      <c r="S548" s="314"/>
      <c r="T548" s="314"/>
      <c r="U548" s="314"/>
      <c r="V548" s="314"/>
      <c r="W548" s="314"/>
      <c r="X548" s="314"/>
      <c r="Y548" s="314"/>
      <c r="Z548" s="314"/>
    </row>
    <row r="549" spans="5:26" ht="14.15" customHeight="1" x14ac:dyDescent="0.35">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row>
    <row r="550" spans="5:26" ht="14.15" customHeight="1" x14ac:dyDescent="0.35">
      <c r="E550" s="314"/>
      <c r="F550" s="314"/>
      <c r="G550" s="314"/>
      <c r="H550" s="314"/>
      <c r="I550" s="314"/>
      <c r="J550" s="314"/>
      <c r="K550" s="314"/>
      <c r="L550" s="314"/>
      <c r="M550" s="314"/>
      <c r="N550" s="314"/>
      <c r="O550" s="314"/>
      <c r="P550" s="314"/>
      <c r="Q550" s="314"/>
      <c r="R550" s="314"/>
      <c r="S550" s="314"/>
      <c r="T550" s="314"/>
      <c r="U550" s="314"/>
      <c r="V550" s="314"/>
      <c r="W550" s="314"/>
      <c r="X550" s="314"/>
      <c r="Y550" s="314"/>
      <c r="Z550" s="314"/>
    </row>
    <row r="551" spans="5:26" ht="14.15" customHeight="1" x14ac:dyDescent="0.35">
      <c r="E551" s="314"/>
      <c r="F551" s="314"/>
      <c r="G551" s="314"/>
      <c r="H551" s="314"/>
      <c r="I551" s="314"/>
      <c r="J551" s="314"/>
      <c r="K551" s="314"/>
      <c r="L551" s="314"/>
      <c r="M551" s="314"/>
      <c r="N551" s="314"/>
      <c r="O551" s="314"/>
      <c r="P551" s="314"/>
      <c r="Q551" s="314"/>
      <c r="R551" s="314"/>
      <c r="S551" s="314"/>
      <c r="T551" s="314"/>
      <c r="U551" s="314"/>
      <c r="V551" s="314"/>
      <c r="W551" s="314"/>
      <c r="X551" s="314"/>
      <c r="Y551" s="314"/>
      <c r="Z551" s="314"/>
    </row>
    <row r="552" spans="5:26" ht="14.15" customHeight="1" x14ac:dyDescent="0.35">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row>
    <row r="553" spans="5:26" ht="14.15" customHeight="1" x14ac:dyDescent="0.35">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row>
    <row r="554" spans="5:26" ht="14.15" customHeight="1" x14ac:dyDescent="0.35">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row>
    <row r="555" spans="5:26" ht="14.15" customHeight="1" x14ac:dyDescent="0.35">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row>
    <row r="556" spans="5:26" ht="14.15" customHeight="1" x14ac:dyDescent="0.35">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row>
    <row r="557" spans="5:26" ht="14.15" customHeight="1" x14ac:dyDescent="0.35">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row>
    <row r="558" spans="5:26" ht="14.15" customHeight="1" x14ac:dyDescent="0.35">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row>
    <row r="559" spans="5:26" ht="14.15" customHeight="1" x14ac:dyDescent="0.35">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row>
    <row r="560" spans="5:26" ht="14.15" customHeight="1" x14ac:dyDescent="0.35">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row>
    <row r="561" spans="5:26" ht="14.15" customHeight="1" x14ac:dyDescent="0.35">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row>
    <row r="562" spans="5:26" ht="14.15" customHeight="1" x14ac:dyDescent="0.35">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row>
    <row r="563" spans="5:26" ht="14.15" customHeight="1" x14ac:dyDescent="0.35">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row>
    <row r="564" spans="5:26" ht="14.15" customHeight="1" x14ac:dyDescent="0.35">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row>
    <row r="565" spans="5:26" ht="14.15" customHeight="1" x14ac:dyDescent="0.35">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row>
    <row r="566" spans="5:26" ht="14.15" customHeight="1" x14ac:dyDescent="0.35">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row>
    <row r="567" spans="5:26" ht="14.15" customHeight="1" x14ac:dyDescent="0.35">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row>
    <row r="568" spans="5:26" ht="14.15" customHeight="1" x14ac:dyDescent="0.35">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row>
    <row r="569" spans="5:26" ht="14.15" customHeight="1" x14ac:dyDescent="0.35">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row>
    <row r="570" spans="5:26" ht="14.15" customHeight="1" x14ac:dyDescent="0.35">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row>
    <row r="571" spans="5:26" ht="14.15" customHeight="1" x14ac:dyDescent="0.35">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row>
    <row r="572" spans="5:26" ht="14.15" customHeight="1" x14ac:dyDescent="0.35">
      <c r="E572" s="314"/>
      <c r="F572" s="314"/>
      <c r="G572" s="314"/>
      <c r="H572" s="314"/>
      <c r="I572" s="314"/>
      <c r="J572" s="314"/>
      <c r="K572" s="314"/>
      <c r="L572" s="314"/>
      <c r="M572" s="314"/>
      <c r="N572" s="314"/>
      <c r="O572" s="314"/>
      <c r="P572" s="314"/>
      <c r="Q572" s="314"/>
      <c r="R572" s="314"/>
      <c r="S572" s="314"/>
      <c r="T572" s="314"/>
      <c r="U572" s="314"/>
      <c r="V572" s="314"/>
      <c r="W572" s="314"/>
      <c r="X572" s="314"/>
      <c r="Y572" s="314"/>
      <c r="Z572" s="314"/>
    </row>
    <row r="573" spans="5:26" ht="14.15" customHeight="1" x14ac:dyDescent="0.35">
      <c r="E573" s="314"/>
      <c r="F573" s="314"/>
      <c r="G573" s="314"/>
      <c r="H573" s="314"/>
      <c r="I573" s="314"/>
      <c r="J573" s="314"/>
      <c r="K573" s="314"/>
      <c r="L573" s="314"/>
      <c r="M573" s="314"/>
      <c r="N573" s="314"/>
      <c r="O573" s="314"/>
      <c r="P573" s="314"/>
      <c r="Q573" s="314"/>
      <c r="R573" s="314"/>
      <c r="S573" s="314"/>
      <c r="T573" s="314"/>
      <c r="U573" s="314"/>
      <c r="V573" s="314"/>
      <c r="W573" s="314"/>
      <c r="X573" s="314"/>
      <c r="Y573" s="314"/>
      <c r="Z573" s="314"/>
    </row>
    <row r="574" spans="5:26" ht="14.15" customHeight="1" x14ac:dyDescent="0.35">
      <c r="E574" s="314"/>
      <c r="F574" s="314"/>
      <c r="G574" s="314"/>
      <c r="H574" s="314"/>
      <c r="I574" s="314"/>
      <c r="J574" s="314"/>
      <c r="K574" s="314"/>
      <c r="L574" s="314"/>
      <c r="M574" s="314"/>
      <c r="N574" s="314"/>
      <c r="O574" s="314"/>
      <c r="P574" s="314"/>
      <c r="Q574" s="314"/>
      <c r="R574" s="314"/>
      <c r="S574" s="314"/>
      <c r="T574" s="314"/>
      <c r="U574" s="314"/>
      <c r="V574" s="314"/>
      <c r="W574" s="314"/>
      <c r="X574" s="314"/>
      <c r="Y574" s="314"/>
      <c r="Z574" s="314"/>
    </row>
    <row r="575" spans="5:26" ht="14.15" customHeight="1" x14ac:dyDescent="0.35">
      <c r="E575" s="314"/>
      <c r="F575" s="314"/>
      <c r="G575" s="314"/>
      <c r="H575" s="314"/>
      <c r="I575" s="314"/>
      <c r="J575" s="314"/>
      <c r="K575" s="314"/>
      <c r="L575" s="314"/>
      <c r="M575" s="314"/>
      <c r="N575" s="314"/>
      <c r="O575" s="314"/>
      <c r="P575" s="314"/>
      <c r="Q575" s="314"/>
      <c r="R575" s="314"/>
      <c r="S575" s="314"/>
      <c r="T575" s="314"/>
      <c r="U575" s="314"/>
      <c r="V575" s="314"/>
      <c r="W575" s="314"/>
      <c r="X575" s="314"/>
      <c r="Y575" s="314"/>
      <c r="Z575" s="314"/>
    </row>
    <row r="576" spans="5:26" ht="14.15" customHeight="1" x14ac:dyDescent="0.35">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row>
    <row r="577" spans="5:26" ht="14.15" customHeight="1" x14ac:dyDescent="0.35">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row>
    <row r="578" spans="5:26" ht="14.15" customHeight="1" x14ac:dyDescent="0.35">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row>
    <row r="579" spans="5:26" ht="14.15" customHeight="1" x14ac:dyDescent="0.35">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row>
    <row r="580" spans="5:26" ht="14.15" customHeight="1" x14ac:dyDescent="0.35">
      <c r="E580" s="314"/>
      <c r="F580" s="314"/>
      <c r="G580" s="314"/>
      <c r="H580" s="314"/>
      <c r="I580" s="314"/>
      <c r="J580" s="314"/>
      <c r="K580" s="314"/>
      <c r="L580" s="314"/>
      <c r="M580" s="314"/>
      <c r="N580" s="314"/>
      <c r="O580" s="314"/>
      <c r="P580" s="314"/>
      <c r="Q580" s="314"/>
      <c r="R580" s="314"/>
      <c r="S580" s="314"/>
      <c r="T580" s="314"/>
      <c r="U580" s="314"/>
      <c r="V580" s="314"/>
      <c r="W580" s="314"/>
      <c r="X580" s="314"/>
      <c r="Y580" s="314"/>
      <c r="Z580" s="314"/>
    </row>
    <row r="581" spans="5:26" ht="14.15" customHeight="1" x14ac:dyDescent="0.35">
      <c r="E581" s="314"/>
      <c r="F581" s="314"/>
      <c r="G581" s="314"/>
      <c r="H581" s="314"/>
      <c r="I581" s="314"/>
      <c r="J581" s="314"/>
      <c r="K581" s="314"/>
      <c r="L581" s="314"/>
      <c r="M581" s="314"/>
      <c r="N581" s="314"/>
      <c r="O581" s="314"/>
      <c r="P581" s="314"/>
      <c r="Q581" s="314"/>
      <c r="R581" s="314"/>
      <c r="S581" s="314"/>
      <c r="T581" s="314"/>
      <c r="U581" s="314"/>
      <c r="V581" s="314"/>
      <c r="W581" s="314"/>
      <c r="X581" s="314"/>
      <c r="Y581" s="314"/>
      <c r="Z581" s="314"/>
    </row>
    <row r="582" spans="5:26" ht="14.15" customHeight="1" x14ac:dyDescent="0.35">
      <c r="E582" s="314"/>
      <c r="F582" s="314"/>
      <c r="G582" s="314"/>
      <c r="H582" s="314"/>
      <c r="I582" s="314"/>
      <c r="J582" s="314"/>
      <c r="K582" s="314"/>
      <c r="L582" s="314"/>
      <c r="M582" s="314"/>
      <c r="N582" s="314"/>
      <c r="O582" s="314"/>
      <c r="P582" s="314"/>
      <c r="Q582" s="314"/>
      <c r="R582" s="314"/>
      <c r="S582" s="314"/>
      <c r="T582" s="314"/>
      <c r="U582" s="314"/>
      <c r="V582" s="314"/>
      <c r="W582" s="314"/>
      <c r="X582" s="314"/>
      <c r="Y582" s="314"/>
      <c r="Z582" s="314"/>
    </row>
    <row r="583" spans="5:26" ht="14.15" customHeight="1" x14ac:dyDescent="0.35">
      <c r="E583" s="314"/>
      <c r="F583" s="314"/>
      <c r="G583" s="314"/>
      <c r="H583" s="314"/>
      <c r="I583" s="314"/>
      <c r="J583" s="314"/>
      <c r="K583" s="314"/>
      <c r="L583" s="314"/>
      <c r="M583" s="314"/>
      <c r="N583" s="314"/>
      <c r="O583" s="314"/>
      <c r="P583" s="314"/>
      <c r="Q583" s="314"/>
      <c r="R583" s="314"/>
      <c r="S583" s="314"/>
      <c r="T583" s="314"/>
      <c r="U583" s="314"/>
      <c r="V583" s="314"/>
      <c r="W583" s="314"/>
      <c r="X583" s="314"/>
      <c r="Y583" s="314"/>
      <c r="Z583" s="314"/>
    </row>
    <row r="584" spans="5:26" ht="14.15" customHeight="1" x14ac:dyDescent="0.35">
      <c r="E584" s="314"/>
      <c r="F584" s="314"/>
      <c r="G584" s="314"/>
      <c r="H584" s="314"/>
      <c r="I584" s="314"/>
      <c r="J584" s="314"/>
      <c r="K584" s="314"/>
      <c r="L584" s="314"/>
      <c r="M584" s="314"/>
      <c r="N584" s="314"/>
      <c r="O584" s="314"/>
      <c r="P584" s="314"/>
      <c r="Q584" s="314"/>
      <c r="R584" s="314"/>
      <c r="S584" s="314"/>
      <c r="T584" s="314"/>
      <c r="U584" s="314"/>
      <c r="V584" s="314"/>
      <c r="W584" s="314"/>
      <c r="X584" s="314"/>
      <c r="Y584" s="314"/>
      <c r="Z584" s="314"/>
    </row>
    <row r="585" spans="5:26" ht="14.15" customHeight="1" x14ac:dyDescent="0.35">
      <c r="E585" s="314"/>
      <c r="F585" s="314"/>
      <c r="G585" s="314"/>
      <c r="H585" s="314"/>
      <c r="I585" s="314"/>
      <c r="J585" s="314"/>
      <c r="K585" s="314"/>
      <c r="L585" s="314"/>
      <c r="M585" s="314"/>
      <c r="N585" s="314"/>
      <c r="O585" s="314"/>
      <c r="P585" s="314"/>
      <c r="Q585" s="314"/>
      <c r="R585" s="314"/>
      <c r="S585" s="314"/>
      <c r="T585" s="314"/>
      <c r="U585" s="314"/>
      <c r="V585" s="314"/>
      <c r="W585" s="314"/>
      <c r="X585" s="314"/>
      <c r="Y585" s="314"/>
      <c r="Z585" s="314"/>
    </row>
    <row r="586" spans="5:26" ht="14.15" customHeight="1" x14ac:dyDescent="0.35">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row>
    <row r="587" spans="5:26" ht="14.15" customHeight="1" x14ac:dyDescent="0.35">
      <c r="E587" s="314"/>
      <c r="F587" s="314"/>
      <c r="G587" s="314"/>
      <c r="H587" s="314"/>
      <c r="I587" s="314"/>
      <c r="J587" s="314"/>
      <c r="K587" s="314"/>
      <c r="L587" s="314"/>
      <c r="M587" s="314"/>
      <c r="N587" s="314"/>
      <c r="O587" s="314"/>
      <c r="P587" s="314"/>
      <c r="Q587" s="314"/>
      <c r="R587" s="314"/>
      <c r="S587" s="314"/>
      <c r="T587" s="314"/>
      <c r="U587" s="314"/>
      <c r="V587" s="314"/>
      <c r="W587" s="314"/>
      <c r="X587" s="314"/>
      <c r="Y587" s="314"/>
      <c r="Z587" s="314"/>
    </row>
    <row r="588" spans="5:26" ht="14.15" customHeight="1" x14ac:dyDescent="0.35">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row>
    <row r="589" spans="5:26" ht="14.15" customHeight="1" x14ac:dyDescent="0.35">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row>
    <row r="590" spans="5:26" ht="14.15" customHeight="1" x14ac:dyDescent="0.35">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row>
    <row r="591" spans="5:26" ht="14.15" customHeight="1" x14ac:dyDescent="0.35">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row>
    <row r="592" spans="5:26" ht="14.15" customHeight="1" x14ac:dyDescent="0.35">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row>
    <row r="593" spans="5:26" ht="14.15" customHeight="1" x14ac:dyDescent="0.35">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row>
    <row r="594" spans="5:26" ht="14.15" customHeight="1" x14ac:dyDescent="0.35">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row>
    <row r="595" spans="5:26" ht="14.15" customHeight="1" x14ac:dyDescent="0.35">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row>
    <row r="596" spans="5:26" ht="14.15" customHeight="1" x14ac:dyDescent="0.35">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row>
    <row r="597" spans="5:26" ht="14.15" customHeight="1" x14ac:dyDescent="0.35">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row>
    <row r="598" spans="5:26" ht="14.15" customHeight="1" x14ac:dyDescent="0.35">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row>
    <row r="599" spans="5:26" ht="14.15" customHeight="1" x14ac:dyDescent="0.35">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row>
    <row r="600" spans="5:26" ht="14.15" customHeight="1" x14ac:dyDescent="0.35">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row>
    <row r="601" spans="5:26" ht="14.15" customHeight="1" x14ac:dyDescent="0.35">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row>
    <row r="602" spans="5:26" ht="14.15" customHeight="1" x14ac:dyDescent="0.35">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row>
    <row r="603" spans="5:26" ht="14.15" customHeight="1" x14ac:dyDescent="0.35">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row>
    <row r="604" spans="5:26" ht="14.15" customHeight="1" x14ac:dyDescent="0.35">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row>
    <row r="605" spans="5:26" ht="14.15" customHeight="1" x14ac:dyDescent="0.35">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row>
    <row r="606" spans="5:26" ht="14.15" customHeight="1" x14ac:dyDescent="0.35">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row>
    <row r="607" spans="5:26" ht="14.15" customHeight="1" x14ac:dyDescent="0.35">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row>
    <row r="608" spans="5:26" ht="14.15" customHeight="1" x14ac:dyDescent="0.35">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row>
    <row r="609" spans="5:26" ht="14.15" customHeight="1" x14ac:dyDescent="0.35">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row>
    <row r="610" spans="5:26" ht="14.15" customHeight="1" x14ac:dyDescent="0.35">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row>
    <row r="611" spans="5:26" ht="14.15" customHeight="1" x14ac:dyDescent="0.35">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row>
    <row r="612" spans="5:26" ht="14.15" customHeight="1" x14ac:dyDescent="0.35">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row>
    <row r="613" spans="5:26" ht="14.15" customHeight="1" x14ac:dyDescent="0.35">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row>
    <row r="614" spans="5:26" ht="14.15" customHeight="1" x14ac:dyDescent="0.35">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row>
    <row r="615" spans="5:26" ht="14.15" customHeight="1" x14ac:dyDescent="0.35">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row>
    <row r="616" spans="5:26" ht="14.15" customHeight="1" x14ac:dyDescent="0.35">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row>
    <row r="617" spans="5:26" ht="14.15" customHeight="1" x14ac:dyDescent="0.35">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row>
    <row r="618" spans="5:26" ht="14.15" customHeight="1" x14ac:dyDescent="0.35">
      <c r="E618" s="314"/>
      <c r="F618" s="314"/>
      <c r="G618" s="314"/>
      <c r="H618" s="314"/>
      <c r="I618" s="314"/>
      <c r="J618" s="314"/>
      <c r="K618" s="314"/>
      <c r="L618" s="314"/>
      <c r="M618" s="314"/>
      <c r="N618" s="314"/>
      <c r="O618" s="314"/>
      <c r="P618" s="314"/>
      <c r="Q618" s="314"/>
      <c r="R618" s="314"/>
      <c r="S618" s="314"/>
      <c r="T618" s="314"/>
      <c r="U618" s="314"/>
      <c r="V618" s="314"/>
      <c r="W618" s="314"/>
      <c r="X618" s="314"/>
      <c r="Y618" s="314"/>
      <c r="Z618" s="314"/>
    </row>
    <row r="619" spans="5:26" ht="14.15" customHeight="1" x14ac:dyDescent="0.35">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row>
    <row r="620" spans="5:26" ht="14.15" customHeight="1" x14ac:dyDescent="0.35">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row>
    <row r="621" spans="5:26" ht="14.15" customHeight="1" x14ac:dyDescent="0.35">
      <c r="E621" s="314"/>
      <c r="F621" s="314"/>
      <c r="G621" s="314"/>
      <c r="H621" s="314"/>
      <c r="I621" s="314"/>
      <c r="J621" s="314"/>
      <c r="K621" s="314"/>
      <c r="L621" s="314"/>
      <c r="M621" s="314"/>
      <c r="N621" s="314"/>
      <c r="O621" s="314"/>
      <c r="P621" s="314"/>
      <c r="Q621" s="314"/>
      <c r="R621" s="314"/>
      <c r="S621" s="314"/>
      <c r="T621" s="314"/>
      <c r="U621" s="314"/>
      <c r="V621" s="314"/>
      <c r="W621" s="314"/>
      <c r="X621" s="314"/>
      <c r="Y621" s="314"/>
      <c r="Z621" s="314"/>
    </row>
    <row r="622" spans="5:26" ht="14.15" customHeight="1" x14ac:dyDescent="0.35">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row>
    <row r="623" spans="5:26" ht="14.15" customHeight="1" x14ac:dyDescent="0.35">
      <c r="E623" s="314"/>
      <c r="F623" s="314"/>
      <c r="G623" s="314"/>
      <c r="H623" s="314"/>
      <c r="I623" s="314"/>
      <c r="J623" s="314"/>
      <c r="K623" s="314"/>
      <c r="L623" s="314"/>
      <c r="M623" s="314"/>
      <c r="N623" s="314"/>
      <c r="O623" s="314"/>
      <c r="P623" s="314"/>
      <c r="Q623" s="314"/>
      <c r="R623" s="314"/>
      <c r="S623" s="314"/>
      <c r="T623" s="314"/>
      <c r="U623" s="314"/>
      <c r="V623" s="314"/>
      <c r="W623" s="314"/>
      <c r="X623" s="314"/>
      <c r="Y623" s="314"/>
      <c r="Z623" s="314"/>
    </row>
    <row r="624" spans="5:26" ht="14.15" customHeight="1" x14ac:dyDescent="0.35">
      <c r="E624" s="314"/>
      <c r="F624" s="314"/>
      <c r="G624" s="314"/>
      <c r="H624" s="314"/>
      <c r="I624" s="314"/>
      <c r="J624" s="314"/>
      <c r="K624" s="314"/>
      <c r="L624" s="314"/>
      <c r="M624" s="314"/>
      <c r="N624" s="314"/>
      <c r="O624" s="314"/>
      <c r="P624" s="314"/>
      <c r="Q624" s="314"/>
      <c r="R624" s="314"/>
      <c r="S624" s="314"/>
      <c r="T624" s="314"/>
      <c r="U624" s="314"/>
      <c r="V624" s="314"/>
      <c r="W624" s="314"/>
      <c r="X624" s="314"/>
      <c r="Y624" s="314"/>
      <c r="Z624" s="314"/>
    </row>
    <row r="625" spans="5:26" ht="14.15" customHeight="1" x14ac:dyDescent="0.35">
      <c r="E625" s="314"/>
      <c r="F625" s="314"/>
      <c r="G625" s="314"/>
      <c r="H625" s="314"/>
      <c r="I625" s="314"/>
      <c r="J625" s="314"/>
      <c r="K625" s="314"/>
      <c r="L625" s="314"/>
      <c r="M625" s="314"/>
      <c r="N625" s="314"/>
      <c r="O625" s="314"/>
      <c r="P625" s="314"/>
      <c r="Q625" s="314"/>
      <c r="R625" s="314"/>
      <c r="S625" s="314"/>
      <c r="T625" s="314"/>
      <c r="U625" s="314"/>
      <c r="V625" s="314"/>
      <c r="W625" s="314"/>
      <c r="X625" s="314"/>
      <c r="Y625" s="314"/>
      <c r="Z625" s="314"/>
    </row>
    <row r="626" spans="5:26" ht="14.15" customHeight="1" x14ac:dyDescent="0.35">
      <c r="E626" s="314"/>
      <c r="F626" s="314"/>
      <c r="G626" s="314"/>
      <c r="H626" s="314"/>
      <c r="I626" s="314"/>
      <c r="J626" s="314"/>
      <c r="K626" s="314"/>
      <c r="L626" s="314"/>
      <c r="M626" s="314"/>
      <c r="N626" s="314"/>
      <c r="O626" s="314"/>
      <c r="P626" s="314"/>
      <c r="Q626" s="314"/>
      <c r="R626" s="314"/>
      <c r="S626" s="314"/>
      <c r="T626" s="314"/>
      <c r="U626" s="314"/>
      <c r="V626" s="314"/>
      <c r="W626" s="314"/>
      <c r="X626" s="314"/>
      <c r="Y626" s="314"/>
      <c r="Z626" s="314"/>
    </row>
    <row r="627" spans="5:26" ht="14.15" customHeight="1" x14ac:dyDescent="0.35">
      <c r="E627" s="314"/>
      <c r="F627" s="314"/>
      <c r="G627" s="314"/>
      <c r="H627" s="314"/>
      <c r="I627" s="314"/>
      <c r="J627" s="314"/>
      <c r="K627" s="314"/>
      <c r="L627" s="314"/>
      <c r="M627" s="314"/>
      <c r="N627" s="314"/>
      <c r="O627" s="314"/>
      <c r="P627" s="314"/>
      <c r="Q627" s="314"/>
      <c r="R627" s="314"/>
      <c r="S627" s="314"/>
      <c r="T627" s="314"/>
      <c r="U627" s="314"/>
      <c r="V627" s="314"/>
      <c r="W627" s="314"/>
      <c r="X627" s="314"/>
      <c r="Y627" s="314"/>
      <c r="Z627" s="314"/>
    </row>
    <row r="628" spans="5:26" ht="14.15" customHeight="1" x14ac:dyDescent="0.35">
      <c r="E628" s="314"/>
      <c r="F628" s="314"/>
      <c r="G628" s="314"/>
      <c r="H628" s="314"/>
      <c r="I628" s="314"/>
      <c r="J628" s="314"/>
      <c r="K628" s="314"/>
      <c r="L628" s="314"/>
      <c r="M628" s="314"/>
      <c r="N628" s="314"/>
      <c r="O628" s="314"/>
      <c r="P628" s="314"/>
      <c r="Q628" s="314"/>
      <c r="R628" s="314"/>
      <c r="S628" s="314"/>
      <c r="T628" s="314"/>
      <c r="U628" s="314"/>
      <c r="V628" s="314"/>
      <c r="W628" s="314"/>
      <c r="X628" s="314"/>
      <c r="Y628" s="314"/>
      <c r="Z628" s="314"/>
    </row>
    <row r="629" spans="5:26" ht="14.15" customHeight="1" x14ac:dyDescent="0.35">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row>
    <row r="630" spans="5:26" ht="14.15" customHeight="1" x14ac:dyDescent="0.35">
      <c r="E630" s="314"/>
      <c r="F630" s="314"/>
      <c r="G630" s="314"/>
      <c r="H630" s="314"/>
      <c r="I630" s="314"/>
      <c r="J630" s="314"/>
      <c r="K630" s="314"/>
      <c r="L630" s="314"/>
      <c r="M630" s="314"/>
      <c r="N630" s="314"/>
      <c r="O630" s="314"/>
      <c r="P630" s="314"/>
      <c r="Q630" s="314"/>
      <c r="R630" s="314"/>
      <c r="S630" s="314"/>
      <c r="T630" s="314"/>
      <c r="U630" s="314"/>
      <c r="V630" s="314"/>
      <c r="W630" s="314"/>
      <c r="X630" s="314"/>
      <c r="Y630" s="314"/>
      <c r="Z630" s="314"/>
    </row>
    <row r="631" spans="5:26" ht="14.15" customHeight="1" x14ac:dyDescent="0.35">
      <c r="E631" s="314"/>
      <c r="F631" s="314"/>
      <c r="G631" s="314"/>
      <c r="H631" s="314"/>
      <c r="I631" s="314"/>
      <c r="J631" s="314"/>
      <c r="K631" s="314"/>
      <c r="L631" s="314"/>
      <c r="M631" s="314"/>
      <c r="N631" s="314"/>
      <c r="O631" s="314"/>
      <c r="P631" s="314"/>
      <c r="Q631" s="314"/>
      <c r="R631" s="314"/>
      <c r="S631" s="314"/>
      <c r="T631" s="314"/>
      <c r="U631" s="314"/>
      <c r="V631" s="314"/>
      <c r="W631" s="314"/>
      <c r="X631" s="314"/>
      <c r="Y631" s="314"/>
      <c r="Z631" s="314"/>
    </row>
    <row r="632" spans="5:26" ht="14.15" customHeight="1" x14ac:dyDescent="0.35">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row>
    <row r="633" spans="5:26" ht="14.15" customHeight="1" x14ac:dyDescent="0.35">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row>
    <row r="634" spans="5:26" ht="14.15" customHeight="1" x14ac:dyDescent="0.35">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row>
    <row r="635" spans="5:26" ht="14.15" customHeight="1" x14ac:dyDescent="0.35">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row>
    <row r="636" spans="5:26" ht="14.15" customHeight="1" x14ac:dyDescent="0.35">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row>
    <row r="637" spans="5:26" ht="14.15" customHeight="1" x14ac:dyDescent="0.35">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row>
    <row r="638" spans="5:26" ht="14.15" customHeight="1" x14ac:dyDescent="0.35">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row>
    <row r="639" spans="5:26" ht="14.15" customHeight="1" x14ac:dyDescent="0.35">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row>
    <row r="640" spans="5:26" ht="14.15" customHeight="1" x14ac:dyDescent="0.35">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row>
    <row r="641" spans="5:26" ht="14.15" customHeight="1" x14ac:dyDescent="0.35">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row>
    <row r="642" spans="5:26" ht="14.15" customHeight="1" x14ac:dyDescent="0.35">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row>
    <row r="643" spans="5:26" ht="14.15" customHeight="1" x14ac:dyDescent="0.35">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row>
    <row r="644" spans="5:26" ht="14.15" customHeight="1" x14ac:dyDescent="0.35">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row>
    <row r="645" spans="5:26" ht="14.15" customHeight="1" x14ac:dyDescent="0.35">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row>
    <row r="646" spans="5:26" ht="14.15" customHeight="1" x14ac:dyDescent="0.35">
      <c r="E646" s="314"/>
      <c r="F646" s="314"/>
      <c r="G646" s="314"/>
      <c r="H646" s="314"/>
      <c r="I646" s="314"/>
      <c r="J646" s="314"/>
      <c r="K646" s="314"/>
      <c r="L646" s="314"/>
      <c r="M646" s="314"/>
      <c r="N646" s="314"/>
      <c r="O646" s="314"/>
      <c r="P646" s="314"/>
      <c r="Q646" s="314"/>
      <c r="R646" s="314"/>
      <c r="S646" s="314"/>
      <c r="T646" s="314"/>
      <c r="U646" s="314"/>
      <c r="V646" s="314"/>
      <c r="W646" s="314"/>
      <c r="X646" s="314"/>
      <c r="Y646" s="314"/>
      <c r="Z646" s="314"/>
    </row>
    <row r="647" spans="5:26" ht="14.15" customHeight="1" x14ac:dyDescent="0.35">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row>
    <row r="648" spans="5:26" ht="14.15" customHeight="1" x14ac:dyDescent="0.35">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row>
    <row r="649" spans="5:26" ht="14.15" customHeight="1" x14ac:dyDescent="0.35">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row>
    <row r="650" spans="5:26" ht="14.15" customHeight="1" x14ac:dyDescent="0.35">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row>
    <row r="651" spans="5:26" ht="14.15" customHeight="1" x14ac:dyDescent="0.35">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row>
    <row r="652" spans="5:26" ht="14.15" customHeight="1" x14ac:dyDescent="0.35">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row>
    <row r="653" spans="5:26" ht="14.15" customHeight="1" x14ac:dyDescent="0.35">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row>
    <row r="654" spans="5:26" ht="14.15" customHeight="1" x14ac:dyDescent="0.35">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row>
    <row r="655" spans="5:26" ht="14.15" customHeight="1" x14ac:dyDescent="0.35">
      <c r="E655" s="314"/>
      <c r="F655" s="314"/>
      <c r="G655" s="314"/>
      <c r="H655" s="314"/>
      <c r="I655" s="314"/>
      <c r="J655" s="314"/>
      <c r="K655" s="314"/>
      <c r="L655" s="314"/>
      <c r="M655" s="314"/>
      <c r="N655" s="314"/>
      <c r="O655" s="314"/>
      <c r="P655" s="314"/>
      <c r="Q655" s="314"/>
      <c r="R655" s="314"/>
      <c r="S655" s="314"/>
      <c r="T655" s="314"/>
      <c r="U655" s="314"/>
      <c r="V655" s="314"/>
      <c r="W655" s="314"/>
      <c r="X655" s="314"/>
      <c r="Y655" s="314"/>
      <c r="Z655" s="314"/>
    </row>
    <row r="656" spans="5:26" ht="14.15" customHeight="1" x14ac:dyDescent="0.35">
      <c r="E656" s="314"/>
      <c r="F656" s="314"/>
      <c r="G656" s="314"/>
      <c r="H656" s="314"/>
      <c r="I656" s="314"/>
      <c r="J656" s="314"/>
      <c r="K656" s="314"/>
      <c r="L656" s="314"/>
      <c r="M656" s="314"/>
      <c r="N656" s="314"/>
      <c r="O656" s="314"/>
      <c r="P656" s="314"/>
      <c r="Q656" s="314"/>
      <c r="R656" s="314"/>
      <c r="S656" s="314"/>
      <c r="T656" s="314"/>
      <c r="U656" s="314"/>
      <c r="V656" s="314"/>
      <c r="W656" s="314"/>
      <c r="X656" s="314"/>
      <c r="Y656" s="314"/>
      <c r="Z656" s="314"/>
    </row>
    <row r="657" spans="5:26" ht="14.15" customHeight="1" x14ac:dyDescent="0.35">
      <c r="E657" s="314"/>
      <c r="F657" s="314"/>
      <c r="G657" s="314"/>
      <c r="H657" s="314"/>
      <c r="I657" s="314"/>
      <c r="J657" s="314"/>
      <c r="K657" s="314"/>
      <c r="L657" s="314"/>
      <c r="M657" s="314"/>
      <c r="N657" s="314"/>
      <c r="O657" s="314"/>
      <c r="P657" s="314"/>
      <c r="Q657" s="314"/>
      <c r="R657" s="314"/>
      <c r="S657" s="314"/>
      <c r="T657" s="314"/>
      <c r="U657" s="314"/>
      <c r="V657" s="314"/>
      <c r="W657" s="314"/>
      <c r="X657" s="314"/>
      <c r="Y657" s="314"/>
      <c r="Z657" s="314"/>
    </row>
    <row r="658" spans="5:26" ht="14.15" customHeight="1" x14ac:dyDescent="0.35">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row>
    <row r="659" spans="5:26" ht="14.15" customHeight="1" x14ac:dyDescent="0.35">
      <c r="E659" s="314"/>
      <c r="F659" s="314"/>
      <c r="G659" s="314"/>
      <c r="H659" s="314"/>
      <c r="I659" s="314"/>
      <c r="J659" s="314"/>
      <c r="K659" s="314"/>
      <c r="L659" s="314"/>
      <c r="M659" s="314"/>
      <c r="N659" s="314"/>
      <c r="O659" s="314"/>
      <c r="P659" s="314"/>
      <c r="Q659" s="314"/>
      <c r="R659" s="314"/>
      <c r="S659" s="314"/>
      <c r="T659" s="314"/>
      <c r="U659" s="314"/>
      <c r="V659" s="314"/>
      <c r="W659" s="314"/>
      <c r="X659" s="314"/>
      <c r="Y659" s="314"/>
      <c r="Z659" s="314"/>
    </row>
    <row r="660" spans="5:26" ht="14.15" customHeight="1" x14ac:dyDescent="0.35">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row>
    <row r="661" spans="5:26" ht="14.15" customHeight="1" x14ac:dyDescent="0.35">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row>
    <row r="662" spans="5:26" ht="14.15" customHeight="1" x14ac:dyDescent="0.35">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row>
    <row r="663" spans="5:26" ht="14.15" customHeight="1" x14ac:dyDescent="0.35">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row>
    <row r="664" spans="5:26" ht="14.15" customHeight="1" x14ac:dyDescent="0.35">
      <c r="E664" s="314"/>
      <c r="F664" s="314"/>
      <c r="G664" s="314"/>
      <c r="H664" s="314"/>
      <c r="I664" s="314"/>
      <c r="J664" s="314"/>
      <c r="K664" s="314"/>
      <c r="L664" s="314"/>
      <c r="M664" s="314"/>
      <c r="N664" s="314"/>
      <c r="O664" s="314"/>
      <c r="P664" s="314"/>
      <c r="Q664" s="314"/>
      <c r="R664" s="314"/>
      <c r="S664" s="314"/>
      <c r="T664" s="314"/>
      <c r="U664" s="314"/>
      <c r="V664" s="314"/>
      <c r="W664" s="314"/>
      <c r="X664" s="314"/>
      <c r="Y664" s="314"/>
      <c r="Z664" s="314"/>
    </row>
    <row r="665" spans="5:26" ht="14.15" customHeight="1" x14ac:dyDescent="0.35">
      <c r="E665" s="314"/>
      <c r="F665" s="314"/>
      <c r="G665" s="314"/>
      <c r="H665" s="314"/>
      <c r="I665" s="314"/>
      <c r="J665" s="314"/>
      <c r="K665" s="314"/>
      <c r="L665" s="314"/>
      <c r="M665" s="314"/>
      <c r="N665" s="314"/>
      <c r="O665" s="314"/>
      <c r="P665" s="314"/>
      <c r="Q665" s="314"/>
      <c r="R665" s="314"/>
      <c r="S665" s="314"/>
      <c r="T665" s="314"/>
      <c r="U665" s="314"/>
      <c r="V665" s="314"/>
      <c r="W665" s="314"/>
      <c r="X665" s="314"/>
      <c r="Y665" s="314"/>
      <c r="Z665" s="314"/>
    </row>
    <row r="666" spans="5:26" ht="14.15" customHeight="1" x14ac:dyDescent="0.35">
      <c r="E666" s="314"/>
      <c r="F666" s="314"/>
      <c r="G666" s="314"/>
      <c r="H666" s="314"/>
      <c r="I666" s="314"/>
      <c r="J666" s="314"/>
      <c r="K666" s="314"/>
      <c r="L666" s="314"/>
      <c r="M666" s="314"/>
      <c r="N666" s="314"/>
      <c r="O666" s="314"/>
      <c r="P666" s="314"/>
      <c r="Q666" s="314"/>
      <c r="R666" s="314"/>
      <c r="S666" s="314"/>
      <c r="T666" s="314"/>
      <c r="U666" s="314"/>
      <c r="V666" s="314"/>
      <c r="W666" s="314"/>
      <c r="X666" s="314"/>
      <c r="Y666" s="314"/>
      <c r="Z666" s="314"/>
    </row>
    <row r="667" spans="5:26" ht="14.15" customHeight="1" x14ac:dyDescent="0.35">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row>
    <row r="668" spans="5:26" ht="14.15" customHeight="1" x14ac:dyDescent="0.35">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row>
    <row r="669" spans="5:26" ht="14.15" customHeight="1" x14ac:dyDescent="0.35">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row>
    <row r="670" spans="5:26" ht="14.15" customHeight="1" x14ac:dyDescent="0.35">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row>
    <row r="671" spans="5:26" ht="14.15" customHeight="1" x14ac:dyDescent="0.35">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row>
    <row r="672" spans="5:26" ht="14.15" customHeight="1" x14ac:dyDescent="0.35">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row>
    <row r="673" spans="5:26" ht="14.15" customHeight="1" x14ac:dyDescent="0.35">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row>
    <row r="674" spans="5:26" ht="14.15" customHeight="1" x14ac:dyDescent="0.35">
      <c r="E674" s="314"/>
      <c r="F674" s="314"/>
      <c r="G674" s="314"/>
      <c r="H674" s="314"/>
      <c r="I674" s="314"/>
      <c r="J674" s="314"/>
      <c r="K674" s="314"/>
      <c r="L674" s="314"/>
      <c r="M674" s="314"/>
      <c r="N674" s="314"/>
      <c r="O674" s="314"/>
      <c r="P674" s="314"/>
      <c r="Q674" s="314"/>
      <c r="R674" s="314"/>
      <c r="S674" s="314"/>
      <c r="T674" s="314"/>
      <c r="U674" s="314"/>
      <c r="V674" s="314"/>
      <c r="W674" s="314"/>
      <c r="X674" s="314"/>
      <c r="Y674" s="314"/>
      <c r="Z674" s="314"/>
    </row>
    <row r="675" spans="5:26" ht="14.15" customHeight="1" x14ac:dyDescent="0.35">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row>
    <row r="676" spans="5:26" ht="14.15" customHeight="1" x14ac:dyDescent="0.35">
      <c r="E676" s="314"/>
      <c r="F676" s="314"/>
      <c r="G676" s="314"/>
      <c r="H676" s="314"/>
      <c r="I676" s="314"/>
      <c r="J676" s="314"/>
      <c r="K676" s="314"/>
      <c r="L676" s="314"/>
      <c r="M676" s="314"/>
      <c r="N676" s="314"/>
      <c r="O676" s="314"/>
      <c r="P676" s="314"/>
      <c r="Q676" s="314"/>
      <c r="R676" s="314"/>
      <c r="S676" s="314"/>
      <c r="T676" s="314"/>
      <c r="U676" s="314"/>
      <c r="V676" s="314"/>
      <c r="W676" s="314"/>
      <c r="X676" s="314"/>
      <c r="Y676" s="314"/>
      <c r="Z676" s="314"/>
    </row>
    <row r="677" spans="5:26" ht="14.15" customHeight="1" x14ac:dyDescent="0.35">
      <c r="E677" s="314"/>
      <c r="F677" s="314"/>
      <c r="G677" s="314"/>
      <c r="H677" s="314"/>
      <c r="I677" s="314"/>
      <c r="J677" s="314"/>
      <c r="K677" s="314"/>
      <c r="L677" s="314"/>
      <c r="M677" s="314"/>
      <c r="N677" s="314"/>
      <c r="O677" s="314"/>
      <c r="P677" s="314"/>
      <c r="Q677" s="314"/>
      <c r="R677" s="314"/>
      <c r="S677" s="314"/>
      <c r="T677" s="314"/>
      <c r="U677" s="314"/>
      <c r="V677" s="314"/>
      <c r="W677" s="314"/>
      <c r="X677" s="314"/>
      <c r="Y677" s="314"/>
      <c r="Z677" s="314"/>
    </row>
    <row r="678" spans="5:26" ht="14.15" customHeight="1" x14ac:dyDescent="0.35">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row>
    <row r="679" spans="5:26" ht="14.15" customHeight="1" x14ac:dyDescent="0.35">
      <c r="E679" s="314"/>
      <c r="F679" s="314"/>
      <c r="G679" s="314"/>
      <c r="H679" s="314"/>
      <c r="I679" s="314"/>
      <c r="J679" s="314"/>
      <c r="K679" s="314"/>
      <c r="L679" s="314"/>
      <c r="M679" s="314"/>
      <c r="N679" s="314"/>
      <c r="O679" s="314"/>
      <c r="P679" s="314"/>
      <c r="Q679" s="314"/>
      <c r="R679" s="314"/>
      <c r="S679" s="314"/>
      <c r="T679" s="314"/>
      <c r="U679" s="314"/>
      <c r="V679" s="314"/>
      <c r="W679" s="314"/>
      <c r="X679" s="314"/>
      <c r="Y679" s="314"/>
      <c r="Z679" s="314"/>
    </row>
    <row r="680" spans="5:26" ht="14.15" customHeight="1" x14ac:dyDescent="0.35">
      <c r="E680" s="314"/>
      <c r="F680" s="314"/>
      <c r="G680" s="314"/>
      <c r="H680" s="314"/>
      <c r="I680" s="314"/>
      <c r="J680" s="314"/>
      <c r="K680" s="314"/>
      <c r="L680" s="314"/>
      <c r="M680" s="314"/>
      <c r="N680" s="314"/>
      <c r="O680" s="314"/>
      <c r="P680" s="314"/>
      <c r="Q680" s="314"/>
      <c r="R680" s="314"/>
      <c r="S680" s="314"/>
      <c r="T680" s="314"/>
      <c r="U680" s="314"/>
      <c r="V680" s="314"/>
      <c r="W680" s="314"/>
      <c r="X680" s="314"/>
      <c r="Y680" s="314"/>
      <c r="Z680" s="314"/>
    </row>
    <row r="681" spans="5:26" ht="14.15" customHeight="1" x14ac:dyDescent="0.35">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row>
    <row r="682" spans="5:26" ht="14.15" customHeight="1" x14ac:dyDescent="0.35">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row>
    <row r="683" spans="5:26" ht="14.15" customHeight="1" x14ac:dyDescent="0.35">
      <c r="E683" s="314"/>
      <c r="F683" s="314"/>
      <c r="G683" s="314"/>
      <c r="H683" s="314"/>
      <c r="I683" s="314"/>
      <c r="J683" s="314"/>
      <c r="K683" s="314"/>
      <c r="L683" s="314"/>
      <c r="M683" s="314"/>
      <c r="N683" s="314"/>
      <c r="O683" s="314"/>
      <c r="P683" s="314"/>
      <c r="Q683" s="314"/>
      <c r="R683" s="314"/>
      <c r="S683" s="314"/>
      <c r="T683" s="314"/>
      <c r="U683" s="314"/>
      <c r="V683" s="314"/>
      <c r="W683" s="314"/>
      <c r="X683" s="314"/>
      <c r="Y683" s="314"/>
      <c r="Z683" s="314"/>
    </row>
    <row r="684" spans="5:26" ht="14.15" customHeight="1" x14ac:dyDescent="0.35">
      <c r="E684" s="314"/>
      <c r="F684" s="314"/>
      <c r="G684" s="314"/>
      <c r="H684" s="314"/>
      <c r="I684" s="314"/>
      <c r="J684" s="314"/>
      <c r="K684" s="314"/>
      <c r="L684" s="314"/>
      <c r="M684" s="314"/>
      <c r="N684" s="314"/>
      <c r="O684" s="314"/>
      <c r="P684" s="314"/>
      <c r="Q684" s="314"/>
      <c r="R684" s="314"/>
      <c r="S684" s="314"/>
      <c r="T684" s="314"/>
      <c r="U684" s="314"/>
      <c r="V684" s="314"/>
      <c r="W684" s="314"/>
      <c r="X684" s="314"/>
      <c r="Y684" s="314"/>
      <c r="Z684" s="314"/>
    </row>
    <row r="685" spans="5:26" ht="14.15" customHeight="1" x14ac:dyDescent="0.35">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row>
    <row r="686" spans="5:26" ht="14.15" customHeight="1" x14ac:dyDescent="0.35">
      <c r="E686" s="314"/>
      <c r="F686" s="314"/>
      <c r="G686" s="314"/>
      <c r="H686" s="314"/>
      <c r="I686" s="314"/>
      <c r="J686" s="314"/>
      <c r="K686" s="314"/>
      <c r="L686" s="314"/>
      <c r="M686" s="314"/>
      <c r="N686" s="314"/>
      <c r="O686" s="314"/>
      <c r="P686" s="314"/>
      <c r="Q686" s="314"/>
      <c r="R686" s="314"/>
      <c r="S686" s="314"/>
      <c r="T686" s="314"/>
      <c r="U686" s="314"/>
      <c r="V686" s="314"/>
      <c r="W686" s="314"/>
      <c r="X686" s="314"/>
      <c r="Y686" s="314"/>
      <c r="Z686" s="314"/>
    </row>
    <row r="687" spans="5:26" ht="14.15" customHeight="1" x14ac:dyDescent="0.35">
      <c r="E687" s="314"/>
      <c r="F687" s="314"/>
      <c r="G687" s="314"/>
      <c r="H687" s="314"/>
      <c r="I687" s="314"/>
      <c r="J687" s="314"/>
      <c r="K687" s="314"/>
      <c r="L687" s="314"/>
      <c r="M687" s="314"/>
      <c r="N687" s="314"/>
      <c r="O687" s="314"/>
      <c r="P687" s="314"/>
      <c r="Q687" s="314"/>
      <c r="R687" s="314"/>
      <c r="S687" s="314"/>
      <c r="T687" s="314"/>
      <c r="U687" s="314"/>
      <c r="V687" s="314"/>
      <c r="W687" s="314"/>
      <c r="X687" s="314"/>
      <c r="Y687" s="314"/>
      <c r="Z687" s="314"/>
    </row>
    <row r="688" spans="5:26" ht="14.15" customHeight="1" x14ac:dyDescent="0.35">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row>
    <row r="689" spans="2:26" s="147" customFormat="1" ht="14.15" customHeight="1" x14ac:dyDescent="0.35">
      <c r="B689" s="146"/>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row>
    <row r="690" spans="2:26" s="147" customFormat="1" ht="14.15" customHeight="1" x14ac:dyDescent="0.35">
      <c r="B690" s="146"/>
      <c r="E690" s="314"/>
      <c r="F690" s="314"/>
      <c r="G690" s="314"/>
      <c r="H690" s="314"/>
      <c r="I690" s="314"/>
      <c r="J690" s="314"/>
      <c r="K690" s="314"/>
      <c r="L690" s="314"/>
      <c r="M690" s="314"/>
      <c r="N690" s="314"/>
      <c r="O690" s="314"/>
      <c r="P690" s="314"/>
      <c r="Q690" s="314"/>
      <c r="R690" s="314"/>
      <c r="S690" s="314"/>
      <c r="T690" s="314"/>
      <c r="U690" s="314"/>
      <c r="V690" s="314"/>
      <c r="W690" s="314"/>
      <c r="X690" s="314"/>
      <c r="Y690" s="314"/>
      <c r="Z690" s="314"/>
    </row>
    <row r="691" spans="2:26" s="147" customFormat="1" ht="14.15" customHeight="1" x14ac:dyDescent="0.35">
      <c r="B691" s="146"/>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row>
    <row r="692" spans="2:26" s="147" customFormat="1" ht="14.15" customHeight="1" x14ac:dyDescent="0.35">
      <c r="B692" s="146"/>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row>
    <row r="693" spans="2:26" s="147" customFormat="1" ht="14.15" customHeight="1" x14ac:dyDescent="0.35">
      <c r="B693" s="146"/>
      <c r="E693" s="314"/>
      <c r="F693" s="314"/>
      <c r="G693" s="314"/>
      <c r="H693" s="314"/>
      <c r="I693" s="314"/>
      <c r="J693" s="314"/>
      <c r="K693" s="314"/>
      <c r="L693" s="314"/>
      <c r="M693" s="314"/>
      <c r="N693" s="314"/>
      <c r="O693" s="314"/>
      <c r="P693" s="314"/>
      <c r="Q693" s="314"/>
      <c r="R693" s="314"/>
      <c r="S693" s="314"/>
      <c r="T693" s="314"/>
      <c r="U693" s="314"/>
      <c r="V693" s="314"/>
      <c r="W693" s="314"/>
      <c r="X693" s="314"/>
      <c r="Y693" s="314"/>
      <c r="Z693" s="314"/>
    </row>
    <row r="694" spans="2:26" s="147" customFormat="1" ht="14.15" customHeight="1" x14ac:dyDescent="0.35">
      <c r="B694" s="146"/>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row>
    <row r="695" spans="2:26" s="147" customFormat="1" ht="14.15" customHeight="1" x14ac:dyDescent="0.35">
      <c r="B695" s="146"/>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row>
    <row r="696" spans="2:26" s="147" customFormat="1" ht="14.15" customHeight="1" x14ac:dyDescent="0.35">
      <c r="B696" s="146"/>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row>
    <row r="697" spans="2:26" s="147" customFormat="1" ht="14.15" customHeight="1" x14ac:dyDescent="0.35">
      <c r="B697" s="146"/>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row>
    <row r="698" spans="2:26" s="147" customFormat="1" ht="14.15" customHeight="1" x14ac:dyDescent="0.35">
      <c r="B698" s="146"/>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row>
    <row r="699" spans="2:26" s="147" customFormat="1" ht="14.15" customHeight="1" x14ac:dyDescent="0.35">
      <c r="B699" s="146"/>
      <c r="E699" s="314"/>
      <c r="F699" s="314"/>
      <c r="G699" s="314"/>
      <c r="H699" s="314"/>
      <c r="I699" s="314"/>
      <c r="J699" s="314"/>
      <c r="K699" s="314"/>
      <c r="L699" s="314"/>
      <c r="M699" s="314"/>
      <c r="N699" s="314"/>
      <c r="O699" s="314"/>
      <c r="P699" s="314"/>
      <c r="Q699" s="314"/>
      <c r="R699" s="314"/>
      <c r="S699" s="314"/>
      <c r="T699" s="314"/>
      <c r="U699" s="314"/>
      <c r="V699" s="314"/>
      <c r="W699" s="314"/>
      <c r="X699" s="314"/>
      <c r="Y699" s="314"/>
      <c r="Z699" s="314"/>
    </row>
    <row r="700" spans="2:26" s="147" customFormat="1" ht="14.15" customHeight="1" x14ac:dyDescent="0.35">
      <c r="B700" s="146"/>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row>
    <row r="701" spans="2:26" s="147" customFormat="1" ht="14.15" customHeight="1" x14ac:dyDescent="0.35">
      <c r="B701" s="146"/>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row>
    <row r="702" spans="2:26" s="147" customFormat="1" ht="14.15" customHeight="1" x14ac:dyDescent="0.35">
      <c r="B702" s="146"/>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row>
    <row r="703" spans="2:26" s="147" customFormat="1" ht="14.15" customHeight="1" x14ac:dyDescent="0.35">
      <c r="B703" s="146"/>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row>
    <row r="704" spans="2:26" s="147" customFormat="1" ht="14.15" customHeight="1" x14ac:dyDescent="0.35">
      <c r="B704" s="146"/>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row>
    <row r="705" spans="2:26" s="147" customFormat="1" ht="14.15" customHeight="1" x14ac:dyDescent="0.35">
      <c r="B705" s="146"/>
      <c r="E705" s="314"/>
      <c r="F705" s="314"/>
      <c r="G705" s="314"/>
      <c r="H705" s="314"/>
      <c r="I705" s="314"/>
      <c r="J705" s="314"/>
      <c r="K705" s="314"/>
      <c r="L705" s="314"/>
      <c r="M705" s="314"/>
      <c r="N705" s="314"/>
      <c r="O705" s="314"/>
      <c r="P705" s="314"/>
      <c r="Q705" s="314"/>
      <c r="R705" s="314"/>
      <c r="S705" s="314"/>
      <c r="T705" s="314"/>
      <c r="U705" s="314"/>
      <c r="V705" s="314"/>
      <c r="W705" s="314"/>
      <c r="X705" s="314"/>
      <c r="Y705" s="314"/>
      <c r="Z705" s="314"/>
    </row>
    <row r="706" spans="2:26" s="147" customFormat="1" ht="14.15" customHeight="1" x14ac:dyDescent="0.35">
      <c r="B706" s="146"/>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row>
    <row r="707" spans="2:26" s="147" customFormat="1" ht="14.15" customHeight="1" x14ac:dyDescent="0.35">
      <c r="B707" s="146"/>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row>
    <row r="708" spans="2:26" s="147" customFormat="1" ht="14.15" customHeight="1" x14ac:dyDescent="0.35">
      <c r="B708" s="146"/>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row>
    <row r="709" spans="2:26" s="147" customFormat="1" ht="14.15" customHeight="1" x14ac:dyDescent="0.35">
      <c r="B709" s="146"/>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row>
    <row r="710" spans="2:26" s="147" customFormat="1" ht="14.15" customHeight="1" x14ac:dyDescent="0.35">
      <c r="B710" s="146"/>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row>
    <row r="711" spans="2:26" s="147" customFormat="1" ht="14.15" customHeight="1" x14ac:dyDescent="0.35">
      <c r="B711" s="146"/>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row>
    <row r="712" spans="2:26" s="147" customFormat="1" ht="14.15" customHeight="1" x14ac:dyDescent="0.35">
      <c r="B712" s="146"/>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row>
    <row r="713" spans="2:26" s="147" customFormat="1" ht="14.15" customHeight="1" x14ac:dyDescent="0.35">
      <c r="B713" s="146"/>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row>
    <row r="714" spans="2:26" s="147" customFormat="1" ht="14.15" customHeight="1" x14ac:dyDescent="0.35">
      <c r="B714" s="146"/>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row>
    <row r="715" spans="2:26" s="147" customFormat="1" ht="14.15" customHeight="1" x14ac:dyDescent="0.35">
      <c r="B715" s="146"/>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row>
    <row r="716" spans="2:26" s="147" customFormat="1" ht="14.15" customHeight="1" x14ac:dyDescent="0.35">
      <c r="B716" s="146"/>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row>
    <row r="717" spans="2:26" s="147" customFormat="1" ht="14.15" customHeight="1" x14ac:dyDescent="0.35">
      <c r="B717" s="146"/>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row>
    <row r="718" spans="2:26" s="147" customFormat="1" ht="14.15" customHeight="1" x14ac:dyDescent="0.35">
      <c r="B718" s="146"/>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row>
    <row r="719" spans="2:26" s="147" customFormat="1" ht="14.15" customHeight="1" x14ac:dyDescent="0.35">
      <c r="B719" s="146"/>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row>
    <row r="720" spans="2:26" s="147" customFormat="1" ht="14.15" customHeight="1" x14ac:dyDescent="0.35">
      <c r="B720" s="146"/>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row>
    <row r="721" spans="2:26" s="147" customFormat="1" ht="14.15" customHeight="1" x14ac:dyDescent="0.35">
      <c r="B721" s="146"/>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row>
    <row r="722" spans="2:26" s="147" customFormat="1" ht="14.15" customHeight="1" x14ac:dyDescent="0.35">
      <c r="B722" s="146"/>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row>
    <row r="723" spans="2:26" s="147" customFormat="1" ht="14.15" customHeight="1" x14ac:dyDescent="0.35">
      <c r="B723" s="146"/>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row>
    <row r="724" spans="2:26" s="147" customFormat="1" ht="14.15" customHeight="1" x14ac:dyDescent="0.35">
      <c r="B724" s="146"/>
      <c r="E724" s="314"/>
      <c r="F724" s="314"/>
      <c r="G724" s="314"/>
      <c r="H724" s="314"/>
      <c r="I724" s="314"/>
      <c r="J724" s="314"/>
      <c r="K724" s="314"/>
      <c r="L724" s="314"/>
      <c r="M724" s="314"/>
      <c r="N724" s="314"/>
      <c r="O724" s="314"/>
      <c r="P724" s="314"/>
      <c r="Q724" s="314"/>
      <c r="R724" s="314"/>
      <c r="S724" s="314"/>
      <c r="T724" s="314"/>
      <c r="U724" s="314"/>
      <c r="V724" s="314"/>
      <c r="W724" s="314"/>
      <c r="X724" s="314"/>
      <c r="Y724" s="314"/>
      <c r="Z724" s="314"/>
    </row>
    <row r="725" spans="2:26" s="147" customFormat="1" ht="14.15" customHeight="1" x14ac:dyDescent="0.35">
      <c r="B725" s="146"/>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row>
    <row r="726" spans="2:26" s="147" customFormat="1" ht="14.15" customHeight="1" x14ac:dyDescent="0.35">
      <c r="B726" s="146"/>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row>
    <row r="727" spans="2:26" s="147" customFormat="1" ht="14.15" customHeight="1" x14ac:dyDescent="0.35">
      <c r="B727" s="146"/>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row>
    <row r="728" spans="2:26" s="147" customFormat="1" ht="14.15" customHeight="1" x14ac:dyDescent="0.35">
      <c r="B728" s="146"/>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row>
    <row r="729" spans="2:26" s="147" customFormat="1" ht="14.15" customHeight="1" x14ac:dyDescent="0.35">
      <c r="B729" s="146"/>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row>
    <row r="730" spans="2:26" s="147" customFormat="1" ht="14.15" customHeight="1" x14ac:dyDescent="0.35">
      <c r="B730" s="146"/>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row>
    <row r="731" spans="2:26" s="147" customFormat="1" ht="14.15" customHeight="1" x14ac:dyDescent="0.35">
      <c r="B731" s="146"/>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row>
    <row r="732" spans="2:26" s="147" customFormat="1" ht="14.15" customHeight="1" x14ac:dyDescent="0.35">
      <c r="B732" s="146"/>
      <c r="E732" s="314"/>
      <c r="F732" s="314"/>
      <c r="G732" s="314"/>
      <c r="H732" s="314"/>
      <c r="I732" s="314"/>
      <c r="J732" s="314"/>
      <c r="K732" s="314"/>
      <c r="L732" s="314"/>
      <c r="M732" s="314"/>
      <c r="N732" s="314"/>
      <c r="O732" s="314"/>
      <c r="P732" s="314"/>
      <c r="Q732" s="314"/>
      <c r="R732" s="314"/>
      <c r="S732" s="314"/>
      <c r="T732" s="314"/>
      <c r="U732" s="314"/>
      <c r="V732" s="314"/>
      <c r="W732" s="314"/>
      <c r="X732" s="314"/>
      <c r="Y732" s="314"/>
      <c r="Z732" s="314"/>
    </row>
    <row r="733" spans="2:26" s="147" customFormat="1" ht="14.15" customHeight="1" x14ac:dyDescent="0.35">
      <c r="B733" s="146"/>
      <c r="E733" s="314"/>
      <c r="F733" s="314"/>
      <c r="G733" s="314"/>
      <c r="H733" s="314"/>
      <c r="I733" s="314"/>
      <c r="J733" s="314"/>
      <c r="K733" s="314"/>
      <c r="L733" s="314"/>
      <c r="M733" s="314"/>
      <c r="N733" s="314"/>
      <c r="O733" s="314"/>
      <c r="P733" s="314"/>
      <c r="Q733" s="314"/>
      <c r="R733" s="314"/>
      <c r="S733" s="314"/>
      <c r="T733" s="314"/>
      <c r="U733" s="314"/>
      <c r="V733" s="314"/>
      <c r="W733" s="314"/>
      <c r="X733" s="314"/>
      <c r="Y733" s="314"/>
      <c r="Z733" s="314"/>
    </row>
    <row r="734" spans="2:26" s="147" customFormat="1" ht="14.15" customHeight="1" x14ac:dyDescent="0.35">
      <c r="B734" s="146"/>
      <c r="E734" s="314"/>
      <c r="F734" s="314"/>
      <c r="G734" s="314"/>
      <c r="H734" s="314"/>
      <c r="I734" s="314"/>
      <c r="J734" s="314"/>
      <c r="K734" s="314"/>
      <c r="L734" s="314"/>
      <c r="M734" s="314"/>
      <c r="N734" s="314"/>
      <c r="O734" s="314"/>
      <c r="P734" s="314"/>
      <c r="Q734" s="314"/>
      <c r="R734" s="314"/>
      <c r="S734" s="314"/>
      <c r="T734" s="314"/>
      <c r="U734" s="314"/>
      <c r="V734" s="314"/>
      <c r="W734" s="314"/>
      <c r="X734" s="314"/>
      <c r="Y734" s="314"/>
      <c r="Z734" s="314"/>
    </row>
    <row r="735" spans="2:26" s="147" customFormat="1" ht="14.15" customHeight="1" x14ac:dyDescent="0.35">
      <c r="B735" s="146"/>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row>
    <row r="736" spans="2:26" s="147" customFormat="1" ht="14.15" customHeight="1" x14ac:dyDescent="0.35">
      <c r="B736" s="146"/>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row>
    <row r="737" spans="2:26" s="147" customFormat="1" ht="14.15" customHeight="1" x14ac:dyDescent="0.35">
      <c r="B737" s="146"/>
      <c r="E737" s="314"/>
      <c r="F737" s="314"/>
      <c r="G737" s="314"/>
      <c r="H737" s="314"/>
      <c r="I737" s="314"/>
      <c r="J737" s="314"/>
      <c r="K737" s="314"/>
      <c r="L737" s="314"/>
      <c r="M737" s="314"/>
      <c r="N737" s="314"/>
      <c r="O737" s="314"/>
      <c r="P737" s="314"/>
      <c r="Q737" s="314"/>
      <c r="R737" s="314"/>
      <c r="S737" s="314"/>
      <c r="T737" s="314"/>
      <c r="U737" s="314"/>
      <c r="V737" s="314"/>
      <c r="W737" s="314"/>
      <c r="X737" s="314"/>
      <c r="Y737" s="314"/>
      <c r="Z737" s="314"/>
    </row>
    <row r="738" spans="2:26" s="147" customFormat="1" ht="14.15" customHeight="1" x14ac:dyDescent="0.35">
      <c r="B738" s="146"/>
      <c r="E738" s="314"/>
      <c r="F738" s="314"/>
      <c r="G738" s="314"/>
      <c r="H738" s="314"/>
      <c r="I738" s="314"/>
      <c r="J738" s="314"/>
      <c r="K738" s="314"/>
      <c r="L738" s="314"/>
      <c r="M738" s="314"/>
      <c r="N738" s="314"/>
      <c r="O738" s="314"/>
      <c r="P738" s="314"/>
      <c r="Q738" s="314"/>
      <c r="R738" s="314"/>
      <c r="S738" s="314"/>
      <c r="T738" s="314"/>
      <c r="U738" s="314"/>
      <c r="V738" s="314"/>
      <c r="W738" s="314"/>
      <c r="X738" s="314"/>
      <c r="Y738" s="314"/>
      <c r="Z738" s="314"/>
    </row>
    <row r="739" spans="2:26" s="147" customFormat="1" ht="14.15" customHeight="1" x14ac:dyDescent="0.35">
      <c r="B739" s="146"/>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row>
    <row r="740" spans="2:26" s="147" customFormat="1" ht="14.15" customHeight="1" x14ac:dyDescent="0.35">
      <c r="B740" s="146"/>
      <c r="E740" s="314"/>
      <c r="F740" s="314"/>
      <c r="G740" s="314"/>
      <c r="H740" s="314"/>
      <c r="I740" s="314"/>
      <c r="J740" s="314"/>
      <c r="K740" s="314"/>
      <c r="L740" s="314"/>
      <c r="M740" s="314"/>
      <c r="N740" s="314"/>
      <c r="O740" s="314"/>
      <c r="P740" s="314"/>
      <c r="Q740" s="314"/>
      <c r="R740" s="314"/>
      <c r="S740" s="314"/>
      <c r="T740" s="314"/>
      <c r="U740" s="314"/>
      <c r="V740" s="314"/>
      <c r="W740" s="314"/>
      <c r="X740" s="314"/>
      <c r="Y740" s="314"/>
      <c r="Z740" s="314"/>
    </row>
    <row r="741" spans="2:26" s="147" customFormat="1" ht="14.15" customHeight="1" x14ac:dyDescent="0.35">
      <c r="B741" s="146"/>
      <c r="E741" s="314"/>
      <c r="F741" s="314"/>
      <c r="G741" s="314"/>
      <c r="H741" s="314"/>
      <c r="I741" s="314"/>
      <c r="J741" s="314"/>
      <c r="K741" s="314"/>
      <c r="L741" s="314"/>
      <c r="M741" s="314"/>
      <c r="N741" s="314"/>
      <c r="O741" s="314"/>
      <c r="P741" s="314"/>
      <c r="Q741" s="314"/>
      <c r="R741" s="314"/>
      <c r="S741" s="314"/>
      <c r="T741" s="314"/>
      <c r="U741" s="314"/>
      <c r="V741" s="314"/>
      <c r="W741" s="314"/>
      <c r="X741" s="314"/>
      <c r="Y741" s="314"/>
      <c r="Z741" s="314"/>
    </row>
    <row r="742" spans="2:26" s="147" customFormat="1" ht="14.15" customHeight="1" x14ac:dyDescent="0.35">
      <c r="B742" s="146"/>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row>
    <row r="743" spans="2:26" s="147" customFormat="1" ht="14.15" customHeight="1" x14ac:dyDescent="0.35">
      <c r="B743" s="146"/>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row>
    <row r="744" spans="2:26" s="147" customFormat="1" ht="14.15" customHeight="1" x14ac:dyDescent="0.35">
      <c r="B744" s="146"/>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row>
    <row r="745" spans="2:26" s="147" customFormat="1" ht="14.15" customHeight="1" x14ac:dyDescent="0.35">
      <c r="B745" s="146"/>
      <c r="E745" s="314"/>
      <c r="F745" s="314"/>
      <c r="G745" s="314"/>
      <c r="H745" s="314"/>
      <c r="I745" s="314"/>
      <c r="J745" s="314"/>
      <c r="K745" s="314"/>
      <c r="L745" s="314"/>
      <c r="M745" s="314"/>
      <c r="N745" s="314"/>
      <c r="O745" s="314"/>
      <c r="P745" s="314"/>
      <c r="Q745" s="314"/>
      <c r="R745" s="314"/>
      <c r="S745" s="314"/>
      <c r="T745" s="314"/>
      <c r="U745" s="314"/>
      <c r="V745" s="314"/>
      <c r="W745" s="314"/>
      <c r="X745" s="314"/>
      <c r="Y745" s="314"/>
      <c r="Z745" s="314"/>
    </row>
    <row r="746" spans="2:26" s="147" customFormat="1" ht="14.15" customHeight="1" x14ac:dyDescent="0.35">
      <c r="B746" s="146"/>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row>
    <row r="747" spans="2:26" s="147" customFormat="1" ht="14.15" customHeight="1" x14ac:dyDescent="0.35">
      <c r="B747" s="146"/>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row>
    <row r="748" spans="2:26" s="147" customFormat="1" ht="14.15" customHeight="1" x14ac:dyDescent="0.35">
      <c r="B748" s="146"/>
      <c r="E748" s="314"/>
      <c r="F748" s="314"/>
      <c r="G748" s="314"/>
      <c r="H748" s="314"/>
      <c r="I748" s="314"/>
      <c r="J748" s="314"/>
      <c r="K748" s="314"/>
      <c r="L748" s="314"/>
      <c r="M748" s="314"/>
      <c r="N748" s="314"/>
      <c r="O748" s="314"/>
      <c r="P748" s="314"/>
      <c r="Q748" s="314"/>
      <c r="R748" s="314"/>
      <c r="S748" s="314"/>
      <c r="T748" s="314"/>
      <c r="U748" s="314"/>
      <c r="V748" s="314"/>
      <c r="W748" s="314"/>
      <c r="X748" s="314"/>
      <c r="Y748" s="314"/>
      <c r="Z748" s="314"/>
    </row>
    <row r="749" spans="2:26" s="147" customFormat="1" ht="14.15" customHeight="1" x14ac:dyDescent="0.35">
      <c r="B749" s="146"/>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row>
    <row r="750" spans="2:26" s="147" customFormat="1" ht="14.15" customHeight="1" x14ac:dyDescent="0.35">
      <c r="B750" s="146"/>
      <c r="E750" s="314"/>
      <c r="F750" s="314"/>
      <c r="G750" s="314"/>
      <c r="H750" s="314"/>
      <c r="I750" s="314"/>
      <c r="J750" s="314"/>
      <c r="K750" s="314"/>
      <c r="L750" s="314"/>
      <c r="M750" s="314"/>
      <c r="N750" s="314"/>
      <c r="O750" s="314"/>
      <c r="P750" s="314"/>
      <c r="Q750" s="314"/>
      <c r="R750" s="314"/>
      <c r="S750" s="314"/>
      <c r="T750" s="314"/>
      <c r="U750" s="314"/>
      <c r="V750" s="314"/>
      <c r="W750" s="314"/>
      <c r="X750" s="314"/>
      <c r="Y750" s="314"/>
      <c r="Z750" s="314"/>
    </row>
    <row r="751" spans="2:26" s="147" customFormat="1" ht="14.15" customHeight="1" x14ac:dyDescent="0.35">
      <c r="B751" s="146"/>
      <c r="E751" s="314"/>
      <c r="F751" s="314"/>
      <c r="G751" s="314"/>
      <c r="H751" s="314"/>
      <c r="I751" s="314"/>
      <c r="J751" s="314"/>
      <c r="K751" s="314"/>
      <c r="L751" s="314"/>
      <c r="M751" s="314"/>
      <c r="N751" s="314"/>
      <c r="O751" s="314"/>
      <c r="P751" s="314"/>
      <c r="Q751" s="314"/>
      <c r="R751" s="314"/>
      <c r="S751" s="314"/>
      <c r="T751" s="314"/>
      <c r="U751" s="314"/>
      <c r="V751" s="314"/>
      <c r="W751" s="314"/>
      <c r="X751" s="314"/>
      <c r="Y751" s="314"/>
      <c r="Z751" s="314"/>
    </row>
    <row r="752" spans="2:26" s="147" customFormat="1" ht="14.15" customHeight="1" x14ac:dyDescent="0.35">
      <c r="B752" s="146"/>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row>
    <row r="753" spans="2:26" s="147" customFormat="1" ht="14.15" customHeight="1" x14ac:dyDescent="0.35">
      <c r="B753" s="146"/>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row>
    <row r="754" spans="2:26" s="147" customFormat="1" ht="14.15" customHeight="1" x14ac:dyDescent="0.35">
      <c r="B754" s="146"/>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row>
    <row r="755" spans="2:26" s="147" customFormat="1" ht="14.15" customHeight="1" x14ac:dyDescent="0.35">
      <c r="B755" s="146"/>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row>
    <row r="756" spans="2:26" s="147" customFormat="1" ht="14.15" customHeight="1" x14ac:dyDescent="0.35">
      <c r="B756" s="146"/>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row>
    <row r="757" spans="2:26" s="147" customFormat="1" ht="14.15" customHeight="1" x14ac:dyDescent="0.35">
      <c r="B757" s="146"/>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row>
    <row r="758" spans="2:26" s="147" customFormat="1" ht="14.15" customHeight="1" x14ac:dyDescent="0.35">
      <c r="B758" s="146"/>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row>
    <row r="759" spans="2:26" s="147" customFormat="1" ht="14.15" customHeight="1" x14ac:dyDescent="0.35">
      <c r="B759" s="146"/>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row>
    <row r="760" spans="2:26" s="147" customFormat="1" ht="14.15" customHeight="1" x14ac:dyDescent="0.35">
      <c r="B760" s="146"/>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row>
    <row r="761" spans="2:26" s="147" customFormat="1" ht="14.15" customHeight="1" x14ac:dyDescent="0.35">
      <c r="B761" s="146"/>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row>
    <row r="762" spans="2:26" s="147" customFormat="1" ht="14.15" customHeight="1" x14ac:dyDescent="0.35">
      <c r="B762" s="146"/>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row>
    <row r="763" spans="2:26" s="147" customFormat="1" ht="14.15" customHeight="1" x14ac:dyDescent="0.35">
      <c r="B763" s="146"/>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row>
    <row r="764" spans="2:26" s="147" customFormat="1" ht="14.15" customHeight="1" x14ac:dyDescent="0.35">
      <c r="B764" s="146"/>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row>
    <row r="765" spans="2:26" s="147" customFormat="1" ht="14.15" customHeight="1" x14ac:dyDescent="0.35">
      <c r="B765" s="146"/>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row>
    <row r="766" spans="2:26" s="147" customFormat="1" ht="14.15" customHeight="1" x14ac:dyDescent="0.35">
      <c r="B766" s="146"/>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row>
    <row r="767" spans="2:26" s="147" customFormat="1" ht="14.15" customHeight="1" x14ac:dyDescent="0.35">
      <c r="B767" s="146"/>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row>
    <row r="768" spans="2:26" s="147" customFormat="1" ht="14.15" customHeight="1" x14ac:dyDescent="0.35">
      <c r="B768" s="146"/>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row>
    <row r="769" spans="2:26" s="147" customFormat="1" ht="14.15" customHeight="1" x14ac:dyDescent="0.35">
      <c r="B769" s="146"/>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row>
    <row r="770" spans="2:26" s="147" customFormat="1" ht="14.15" customHeight="1" x14ac:dyDescent="0.35">
      <c r="B770" s="146"/>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row>
    <row r="771" spans="2:26" s="147" customFormat="1" ht="14.15" customHeight="1" x14ac:dyDescent="0.35">
      <c r="B771" s="146"/>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row>
    <row r="772" spans="2:26" s="147" customFormat="1" ht="14.15" customHeight="1" x14ac:dyDescent="0.35">
      <c r="B772" s="146"/>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row>
    <row r="773" spans="2:26" s="147" customFormat="1" ht="14.15" customHeight="1" x14ac:dyDescent="0.35">
      <c r="B773" s="146"/>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row>
    <row r="774" spans="2:26" s="147" customFormat="1" ht="14.15" customHeight="1" x14ac:dyDescent="0.35">
      <c r="B774" s="146"/>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row>
    <row r="775" spans="2:26" s="147" customFormat="1" ht="14.15" customHeight="1" x14ac:dyDescent="0.35">
      <c r="B775" s="146"/>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row>
    <row r="776" spans="2:26" s="147" customFormat="1" ht="14.15" customHeight="1" x14ac:dyDescent="0.35">
      <c r="B776" s="146"/>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row>
    <row r="777" spans="2:26" s="147" customFormat="1" ht="14.15" customHeight="1" x14ac:dyDescent="0.35">
      <c r="B777" s="146"/>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row>
    <row r="778" spans="2:26" s="147" customFormat="1" ht="14.15" customHeight="1" x14ac:dyDescent="0.35">
      <c r="B778" s="146"/>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row>
    <row r="779" spans="2:26" s="147" customFormat="1" ht="14.15" customHeight="1" x14ac:dyDescent="0.35">
      <c r="B779" s="146"/>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row>
    <row r="780" spans="2:26" s="147" customFormat="1" ht="14.15" customHeight="1" x14ac:dyDescent="0.35">
      <c r="B780" s="146"/>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row>
    <row r="781" spans="2:26" s="147" customFormat="1" ht="14.15" customHeight="1" x14ac:dyDescent="0.35">
      <c r="B781" s="146"/>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row>
    <row r="782" spans="2:26" s="147" customFormat="1" ht="14.15" customHeight="1" x14ac:dyDescent="0.35">
      <c r="B782" s="146"/>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row>
    <row r="783" spans="2:26" s="147" customFormat="1" ht="14.15" customHeight="1" x14ac:dyDescent="0.35">
      <c r="B783" s="146"/>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row>
    <row r="784" spans="2:26" s="147" customFormat="1" ht="14.15" customHeight="1" x14ac:dyDescent="0.35">
      <c r="B784" s="146"/>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row>
    <row r="785" spans="2:26" s="147" customFormat="1" ht="14.15" customHeight="1" x14ac:dyDescent="0.35">
      <c r="B785" s="146"/>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row>
    <row r="786" spans="2:26" s="147" customFormat="1" ht="14.15" customHeight="1" x14ac:dyDescent="0.35">
      <c r="B786" s="146"/>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row>
    <row r="787" spans="2:26" s="147" customFormat="1" ht="14.15" customHeight="1" x14ac:dyDescent="0.35">
      <c r="B787" s="146"/>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row>
    <row r="788" spans="2:26" s="147" customFormat="1" ht="14.15" customHeight="1" x14ac:dyDescent="0.35">
      <c r="B788" s="146"/>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row>
    <row r="789" spans="2:26" s="147" customFormat="1" ht="14.15" customHeight="1" x14ac:dyDescent="0.35">
      <c r="B789" s="146"/>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row>
    <row r="790" spans="2:26" s="147" customFormat="1" ht="14.15" customHeight="1" x14ac:dyDescent="0.35">
      <c r="B790" s="146"/>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row>
    <row r="791" spans="2:26" s="147" customFormat="1" ht="14.15" customHeight="1" x14ac:dyDescent="0.35">
      <c r="B791" s="146"/>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row>
    <row r="792" spans="2:26" s="147" customFormat="1" ht="14.15" customHeight="1" x14ac:dyDescent="0.35">
      <c r="B792" s="146"/>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row>
    <row r="793" spans="2:26" s="147" customFormat="1" ht="14.15" customHeight="1" x14ac:dyDescent="0.35">
      <c r="B793" s="146"/>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row>
    <row r="794" spans="2:26" s="147" customFormat="1" ht="14.15" customHeight="1" x14ac:dyDescent="0.35">
      <c r="B794" s="146"/>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row>
    <row r="795" spans="2:26" s="147" customFormat="1" ht="14.15" customHeight="1" x14ac:dyDescent="0.35">
      <c r="B795" s="146"/>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row>
    <row r="796" spans="2:26" s="147" customFormat="1" ht="14.15" customHeight="1" x14ac:dyDescent="0.35">
      <c r="B796" s="146"/>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row>
    <row r="797" spans="2:26" s="147" customFormat="1" ht="14.15" customHeight="1" x14ac:dyDescent="0.35">
      <c r="B797" s="146"/>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row>
    <row r="798" spans="2:26" s="147" customFormat="1" ht="14.15" customHeight="1" x14ac:dyDescent="0.35">
      <c r="B798" s="146"/>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row>
    <row r="799" spans="2:26" s="147" customFormat="1" ht="14.15" customHeight="1" x14ac:dyDescent="0.35">
      <c r="B799" s="146"/>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row>
    <row r="800" spans="2:26" s="147" customFormat="1" ht="14.15" customHeight="1" x14ac:dyDescent="0.35">
      <c r="B800" s="146"/>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row>
    <row r="801" spans="2:26" s="147" customFormat="1" ht="14.15" customHeight="1" x14ac:dyDescent="0.35">
      <c r="B801" s="146"/>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row>
    <row r="802" spans="2:26" s="147" customFormat="1" ht="14.15" customHeight="1" x14ac:dyDescent="0.35">
      <c r="B802" s="146"/>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row>
    <row r="803" spans="2:26" s="147" customFormat="1" ht="14.15" customHeight="1" x14ac:dyDescent="0.35">
      <c r="B803" s="146"/>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row>
    <row r="804" spans="2:26" s="147" customFormat="1" ht="14.15" customHeight="1" x14ac:dyDescent="0.35">
      <c r="B804" s="146"/>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row>
    <row r="805" spans="2:26" s="147" customFormat="1" ht="14.15" customHeight="1" x14ac:dyDescent="0.35">
      <c r="B805" s="146"/>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row>
    <row r="806" spans="2:26" s="147" customFormat="1" ht="14.15" customHeight="1" x14ac:dyDescent="0.35">
      <c r="B806" s="146"/>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row>
    <row r="807" spans="2:26" s="147" customFormat="1" ht="14.15" customHeight="1" x14ac:dyDescent="0.35">
      <c r="B807" s="146"/>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row>
    <row r="808" spans="2:26" s="147" customFormat="1" ht="14.15" customHeight="1" x14ac:dyDescent="0.35">
      <c r="B808" s="146"/>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row>
    <row r="809" spans="2:26" s="147" customFormat="1" ht="14.15" customHeight="1" x14ac:dyDescent="0.35">
      <c r="B809" s="146"/>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row>
    <row r="810" spans="2:26" s="147" customFormat="1" ht="14.15" customHeight="1" x14ac:dyDescent="0.35">
      <c r="B810" s="146"/>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row>
    <row r="811" spans="2:26" s="147" customFormat="1" ht="14.15" customHeight="1" x14ac:dyDescent="0.35">
      <c r="B811" s="146"/>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row>
    <row r="812" spans="2:26" s="147" customFormat="1" ht="14.15" customHeight="1" x14ac:dyDescent="0.35">
      <c r="B812" s="146"/>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row>
    <row r="813" spans="2:26" s="147" customFormat="1" ht="14.15" customHeight="1" x14ac:dyDescent="0.35">
      <c r="B813" s="146"/>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row>
    <row r="814" spans="2:26" s="147" customFormat="1" ht="14.15" customHeight="1" x14ac:dyDescent="0.35">
      <c r="B814" s="146"/>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row>
    <row r="815" spans="2:26" s="147" customFormat="1" ht="14.15" customHeight="1" x14ac:dyDescent="0.35">
      <c r="B815" s="146"/>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row>
    <row r="816" spans="2:26" s="147" customFormat="1" ht="14.15" customHeight="1" x14ac:dyDescent="0.35">
      <c r="B816" s="146"/>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row>
    <row r="817" spans="2:26" s="147" customFormat="1" ht="14.15" customHeight="1" x14ac:dyDescent="0.35">
      <c r="B817" s="146"/>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row>
    <row r="818" spans="2:26" s="147" customFormat="1" ht="14.15" customHeight="1" x14ac:dyDescent="0.35">
      <c r="B818" s="146"/>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row>
    <row r="819" spans="2:26" s="147" customFormat="1" ht="14.15" customHeight="1" x14ac:dyDescent="0.35">
      <c r="B819" s="146"/>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row>
    <row r="820" spans="2:26" s="147" customFormat="1" ht="14.15" customHeight="1" x14ac:dyDescent="0.35">
      <c r="B820" s="146"/>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row>
    <row r="821" spans="2:26" s="147" customFormat="1" ht="14.15" customHeight="1" x14ac:dyDescent="0.35">
      <c r="B821" s="146"/>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row>
    <row r="822" spans="2:26" s="147" customFormat="1" ht="14.15" customHeight="1" x14ac:dyDescent="0.35">
      <c r="B822" s="146"/>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row>
    <row r="823" spans="2:26" s="147" customFormat="1" ht="14.15" customHeight="1" x14ac:dyDescent="0.35">
      <c r="B823" s="146"/>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row>
    <row r="824" spans="2:26" s="147" customFormat="1" ht="14.15" customHeight="1" x14ac:dyDescent="0.35">
      <c r="B824" s="146"/>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row>
    <row r="825" spans="2:26" s="147" customFormat="1" ht="14.15" customHeight="1" x14ac:dyDescent="0.35">
      <c r="B825" s="146"/>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row>
    <row r="826" spans="2:26" s="147" customFormat="1" ht="14.15" customHeight="1" x14ac:dyDescent="0.35">
      <c r="B826" s="146"/>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row>
    <row r="827" spans="2:26" s="147" customFormat="1" ht="14.15" customHeight="1" x14ac:dyDescent="0.35">
      <c r="B827" s="146"/>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row>
    <row r="828" spans="2:26" s="147" customFormat="1" ht="14.15" customHeight="1" x14ac:dyDescent="0.35">
      <c r="B828" s="146"/>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row>
    <row r="829" spans="2:26" s="147" customFormat="1" ht="14.15" customHeight="1" x14ac:dyDescent="0.35">
      <c r="B829" s="146"/>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row>
    <row r="830" spans="2:26" s="147" customFormat="1" ht="14.15" customHeight="1" x14ac:dyDescent="0.35">
      <c r="B830" s="146"/>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row>
    <row r="831" spans="2:26" s="147" customFormat="1" ht="14.15" customHeight="1" x14ac:dyDescent="0.35">
      <c r="B831" s="146"/>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row>
    <row r="832" spans="2:26" s="147" customFormat="1" ht="14.15" customHeight="1" x14ac:dyDescent="0.35">
      <c r="B832" s="146"/>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row>
    <row r="833" spans="2:26" s="147" customFormat="1" ht="14.15" customHeight="1" x14ac:dyDescent="0.35">
      <c r="B833" s="146"/>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row>
    <row r="834" spans="2:26" s="147" customFormat="1" ht="14.15" customHeight="1" x14ac:dyDescent="0.35">
      <c r="B834" s="146"/>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row>
    <row r="835" spans="2:26" s="147" customFormat="1" ht="14.15" customHeight="1" x14ac:dyDescent="0.35">
      <c r="B835" s="146"/>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row>
    <row r="836" spans="2:26" s="147" customFormat="1" ht="14.15" customHeight="1" x14ac:dyDescent="0.35">
      <c r="B836" s="146"/>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row>
    <row r="837" spans="2:26" s="147" customFormat="1" ht="14.15" customHeight="1" x14ac:dyDescent="0.35">
      <c r="B837" s="146"/>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row>
    <row r="838" spans="2:26" s="147" customFormat="1" ht="14.15" customHeight="1" x14ac:dyDescent="0.35">
      <c r="B838" s="146"/>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row>
    <row r="839" spans="2:26" s="147" customFormat="1" ht="14.15" customHeight="1" x14ac:dyDescent="0.35">
      <c r="B839" s="146"/>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row>
    <row r="840" spans="2:26" s="147" customFormat="1" ht="14.15" customHeight="1" x14ac:dyDescent="0.35">
      <c r="B840" s="146"/>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row>
    <row r="841" spans="2:26" s="147" customFormat="1" ht="14.15" customHeight="1" x14ac:dyDescent="0.35">
      <c r="B841" s="146"/>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row>
    <row r="842" spans="2:26" s="147" customFormat="1" ht="14.15" customHeight="1" x14ac:dyDescent="0.35">
      <c r="B842" s="146"/>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row>
    <row r="843" spans="2:26" s="147" customFormat="1" ht="14.15" customHeight="1" x14ac:dyDescent="0.35">
      <c r="B843" s="146"/>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row>
    <row r="844" spans="2:26" s="147" customFormat="1" ht="14.15" customHeight="1" x14ac:dyDescent="0.35">
      <c r="B844" s="146"/>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row>
    <row r="845" spans="2:26" s="147" customFormat="1" ht="14.15" customHeight="1" x14ac:dyDescent="0.35">
      <c r="B845" s="146"/>
      <c r="E845" s="314"/>
      <c r="F845" s="314"/>
      <c r="G845" s="314"/>
      <c r="H845" s="314"/>
      <c r="I845" s="314"/>
      <c r="J845" s="314"/>
      <c r="K845" s="314"/>
      <c r="L845" s="314"/>
      <c r="M845" s="314"/>
      <c r="N845" s="314"/>
      <c r="O845" s="314"/>
      <c r="P845" s="314"/>
      <c r="Q845" s="314"/>
      <c r="R845" s="314"/>
      <c r="S845" s="314"/>
      <c r="T845" s="314"/>
      <c r="U845" s="314"/>
      <c r="V845" s="314"/>
      <c r="W845" s="314"/>
      <c r="X845" s="314"/>
      <c r="Y845" s="314"/>
      <c r="Z845" s="314"/>
    </row>
    <row r="846" spans="2:26" s="147" customFormat="1" ht="14.15" customHeight="1" x14ac:dyDescent="0.35">
      <c r="B846" s="146"/>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row>
    <row r="847" spans="2:26" s="147" customFormat="1" ht="14.15" customHeight="1" x14ac:dyDescent="0.35">
      <c r="B847" s="146"/>
      <c r="E847" s="314"/>
      <c r="F847" s="314"/>
      <c r="G847" s="314"/>
      <c r="H847" s="314"/>
      <c r="I847" s="314"/>
      <c r="J847" s="314"/>
      <c r="K847" s="314"/>
      <c r="L847" s="314"/>
      <c r="M847" s="314"/>
      <c r="N847" s="314"/>
      <c r="O847" s="314"/>
      <c r="P847" s="314"/>
      <c r="Q847" s="314"/>
      <c r="R847" s="314"/>
      <c r="S847" s="314"/>
      <c r="T847" s="314"/>
      <c r="U847" s="314"/>
      <c r="V847" s="314"/>
      <c r="W847" s="314"/>
      <c r="X847" s="314"/>
      <c r="Y847" s="314"/>
      <c r="Z847" s="314"/>
    </row>
    <row r="848" spans="2:26" s="147" customFormat="1" ht="14.15" customHeight="1" x14ac:dyDescent="0.35">
      <c r="B848" s="146"/>
      <c r="E848" s="314"/>
      <c r="F848" s="314"/>
      <c r="G848" s="314"/>
      <c r="H848" s="314"/>
      <c r="I848" s="314"/>
      <c r="J848" s="314"/>
      <c r="K848" s="314"/>
      <c r="L848" s="314"/>
      <c r="M848" s="314"/>
      <c r="N848" s="314"/>
      <c r="O848" s="314"/>
      <c r="P848" s="314"/>
      <c r="Q848" s="314"/>
      <c r="R848" s="314"/>
      <c r="S848" s="314"/>
      <c r="T848" s="314"/>
      <c r="U848" s="314"/>
      <c r="V848" s="314"/>
      <c r="W848" s="314"/>
      <c r="X848" s="314"/>
      <c r="Y848" s="314"/>
      <c r="Z848" s="314"/>
    </row>
    <row r="849" spans="2:26" s="147" customFormat="1" ht="14.15" customHeight="1" x14ac:dyDescent="0.35">
      <c r="B849" s="146"/>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row>
    <row r="850" spans="2:26" s="147" customFormat="1" ht="14.15" customHeight="1" x14ac:dyDescent="0.35">
      <c r="B850" s="146"/>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row>
    <row r="851" spans="2:26" s="147" customFormat="1" ht="14.15" customHeight="1" x14ac:dyDescent="0.35">
      <c r="B851" s="146"/>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row>
    <row r="852" spans="2:26" s="147" customFormat="1" ht="14.15" customHeight="1" x14ac:dyDescent="0.35">
      <c r="B852" s="146"/>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row>
    <row r="853" spans="2:26" s="147" customFormat="1" ht="14.15" customHeight="1" x14ac:dyDescent="0.35">
      <c r="B853" s="146"/>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row>
    <row r="854" spans="2:26" s="147" customFormat="1" ht="14.15" customHeight="1" x14ac:dyDescent="0.35">
      <c r="B854" s="146"/>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row>
    <row r="855" spans="2:26" s="147" customFormat="1" ht="14.15" customHeight="1" x14ac:dyDescent="0.35">
      <c r="B855" s="146"/>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row>
    <row r="856" spans="2:26" s="147" customFormat="1" ht="14.15" customHeight="1" x14ac:dyDescent="0.35">
      <c r="B856" s="146"/>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row>
    <row r="857" spans="2:26" s="147" customFormat="1" ht="14.15" customHeight="1" x14ac:dyDescent="0.35">
      <c r="B857" s="146"/>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row>
    <row r="858" spans="2:26" s="147" customFormat="1" ht="14.15" customHeight="1" x14ac:dyDescent="0.35">
      <c r="B858" s="146"/>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row>
    <row r="859" spans="2:26" s="147" customFormat="1" ht="14.15" customHeight="1" x14ac:dyDescent="0.35">
      <c r="B859" s="146"/>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row>
    <row r="860" spans="2:26" s="147" customFormat="1" ht="14.15" customHeight="1" x14ac:dyDescent="0.35">
      <c r="B860" s="146"/>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row>
    <row r="861" spans="2:26" s="147" customFormat="1" ht="14.15" customHeight="1" x14ac:dyDescent="0.35">
      <c r="B861" s="146"/>
      <c r="E861" s="314"/>
      <c r="F861" s="314"/>
      <c r="G861" s="314"/>
      <c r="H861" s="314"/>
      <c r="I861" s="314"/>
      <c r="J861" s="314"/>
      <c r="K861" s="314"/>
      <c r="L861" s="314"/>
      <c r="M861" s="314"/>
      <c r="N861" s="314"/>
      <c r="O861" s="314"/>
      <c r="P861" s="314"/>
      <c r="Q861" s="314"/>
      <c r="R861" s="314"/>
      <c r="S861" s="314"/>
      <c r="T861" s="314"/>
      <c r="U861" s="314"/>
      <c r="V861" s="314"/>
      <c r="W861" s="314"/>
      <c r="X861" s="314"/>
      <c r="Y861" s="314"/>
      <c r="Z861" s="314"/>
    </row>
    <row r="862" spans="2:26" s="147" customFormat="1" ht="14.15" customHeight="1" x14ac:dyDescent="0.35">
      <c r="B862" s="146"/>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row>
    <row r="863" spans="2:26" s="147" customFormat="1" ht="14.15" customHeight="1" x14ac:dyDescent="0.35">
      <c r="B863" s="146"/>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row>
    <row r="864" spans="2:26" s="147" customFormat="1" ht="14.15" customHeight="1" x14ac:dyDescent="0.35">
      <c r="B864" s="146"/>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row>
    <row r="865" spans="2:26" s="147" customFormat="1" ht="14.15" customHeight="1" x14ac:dyDescent="0.35">
      <c r="B865" s="146"/>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row>
    <row r="866" spans="2:26" s="147" customFormat="1" ht="14.15" customHeight="1" x14ac:dyDescent="0.35">
      <c r="B866" s="146"/>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row>
    <row r="867" spans="2:26" s="147" customFormat="1" ht="14.15" customHeight="1" x14ac:dyDescent="0.35">
      <c r="B867" s="146"/>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row>
    <row r="868" spans="2:26" s="147" customFormat="1" ht="14.15" customHeight="1" x14ac:dyDescent="0.35">
      <c r="B868" s="146"/>
      <c r="E868" s="314"/>
      <c r="F868" s="314"/>
      <c r="G868" s="314"/>
      <c r="H868" s="314"/>
      <c r="I868" s="314"/>
      <c r="J868" s="314"/>
      <c r="K868" s="314"/>
      <c r="L868" s="314"/>
      <c r="M868" s="314"/>
      <c r="N868" s="314"/>
      <c r="O868" s="314"/>
      <c r="P868" s="314"/>
      <c r="Q868" s="314"/>
      <c r="R868" s="314"/>
      <c r="S868" s="314"/>
      <c r="T868" s="314"/>
      <c r="U868" s="314"/>
      <c r="V868" s="314"/>
      <c r="W868" s="314"/>
      <c r="X868" s="314"/>
      <c r="Y868" s="314"/>
      <c r="Z868" s="314"/>
    </row>
    <row r="869" spans="2:26" s="147" customFormat="1" ht="14.15" customHeight="1" x14ac:dyDescent="0.35">
      <c r="B869" s="146"/>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row>
    <row r="870" spans="2:26" s="147" customFormat="1" ht="14.15" customHeight="1" x14ac:dyDescent="0.35">
      <c r="B870" s="146"/>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row>
    <row r="871" spans="2:26" s="147" customFormat="1" ht="14.15" customHeight="1" x14ac:dyDescent="0.35">
      <c r="B871" s="146"/>
      <c r="E871" s="314"/>
      <c r="F871" s="314"/>
      <c r="G871" s="314"/>
      <c r="H871" s="314"/>
      <c r="I871" s="314"/>
      <c r="J871" s="314"/>
      <c r="K871" s="314"/>
      <c r="L871" s="314"/>
      <c r="M871" s="314"/>
      <c r="N871" s="314"/>
      <c r="O871" s="314"/>
      <c r="P871" s="314"/>
      <c r="Q871" s="314"/>
      <c r="R871" s="314"/>
      <c r="S871" s="314"/>
      <c r="T871" s="314"/>
      <c r="U871" s="314"/>
      <c r="V871" s="314"/>
      <c r="W871" s="314"/>
      <c r="X871" s="314"/>
      <c r="Y871" s="314"/>
      <c r="Z871" s="314"/>
    </row>
    <row r="872" spans="2:26" s="147" customFormat="1" ht="14.15" customHeight="1" x14ac:dyDescent="0.35">
      <c r="B872" s="146"/>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row>
    <row r="873" spans="2:26" s="147" customFormat="1" ht="14.15" customHeight="1" x14ac:dyDescent="0.35">
      <c r="B873" s="146"/>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row>
    <row r="874" spans="2:26" s="147" customFormat="1" ht="14.15" customHeight="1" x14ac:dyDescent="0.35">
      <c r="B874" s="146"/>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row>
    <row r="875" spans="2:26" s="147" customFormat="1" ht="14.15" customHeight="1" x14ac:dyDescent="0.35">
      <c r="B875" s="146"/>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row>
    <row r="876" spans="2:26" s="147" customFormat="1" ht="14.15" customHeight="1" x14ac:dyDescent="0.35">
      <c r="B876" s="146"/>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row>
    <row r="877" spans="2:26" s="147" customFormat="1" ht="14.15" customHeight="1" x14ac:dyDescent="0.35">
      <c r="B877" s="146"/>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row>
    <row r="878" spans="2:26" s="147" customFormat="1" ht="14.15" customHeight="1" x14ac:dyDescent="0.35">
      <c r="B878" s="146"/>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row>
    <row r="879" spans="2:26" s="147" customFormat="1" ht="14.15" customHeight="1" x14ac:dyDescent="0.35">
      <c r="B879" s="146"/>
      <c r="E879" s="314"/>
      <c r="F879" s="314"/>
      <c r="G879" s="314"/>
      <c r="H879" s="314"/>
      <c r="I879" s="314"/>
      <c r="J879" s="314"/>
      <c r="K879" s="314"/>
      <c r="L879" s="314"/>
      <c r="M879" s="314"/>
      <c r="N879" s="314"/>
      <c r="O879" s="314"/>
      <c r="P879" s="314"/>
      <c r="Q879" s="314"/>
      <c r="R879" s="314"/>
      <c r="S879" s="314"/>
      <c r="T879" s="314"/>
      <c r="U879" s="314"/>
      <c r="V879" s="314"/>
      <c r="W879" s="314"/>
      <c r="X879" s="314"/>
      <c r="Y879" s="314"/>
      <c r="Z879" s="314"/>
    </row>
    <row r="880" spans="2:26" s="147" customFormat="1" ht="14.15" customHeight="1" x14ac:dyDescent="0.35">
      <c r="B880" s="146"/>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row>
    <row r="881" spans="2:26" s="147" customFormat="1" ht="14.15" customHeight="1" x14ac:dyDescent="0.35">
      <c r="B881" s="146"/>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row>
    <row r="882" spans="2:26" s="147" customFormat="1" ht="14.15" customHeight="1" x14ac:dyDescent="0.35">
      <c r="B882" s="146"/>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row>
    <row r="883" spans="2:26" s="147" customFormat="1" ht="14.15" customHeight="1" x14ac:dyDescent="0.35">
      <c r="B883" s="146"/>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row>
    <row r="884" spans="2:26" s="147" customFormat="1" ht="14.15" customHeight="1" x14ac:dyDescent="0.35">
      <c r="B884" s="146"/>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row>
    <row r="885" spans="2:26" s="147" customFormat="1" ht="14.15" customHeight="1" x14ac:dyDescent="0.35">
      <c r="B885" s="146"/>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row>
    <row r="886" spans="2:26" s="147" customFormat="1" ht="14.15" customHeight="1" x14ac:dyDescent="0.35">
      <c r="B886" s="146"/>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row>
    <row r="887" spans="2:26" s="147" customFormat="1" ht="14.15" customHeight="1" x14ac:dyDescent="0.35">
      <c r="B887" s="146"/>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row>
    <row r="888" spans="2:26" s="147" customFormat="1" ht="14.15" customHeight="1" x14ac:dyDescent="0.35">
      <c r="B888" s="146"/>
      <c r="E888" s="314"/>
      <c r="F888" s="314"/>
      <c r="G888" s="314"/>
      <c r="H888" s="314"/>
      <c r="I888" s="314"/>
      <c r="J888" s="314"/>
      <c r="K888" s="314"/>
      <c r="L888" s="314"/>
      <c r="M888" s="314"/>
      <c r="N888" s="314"/>
      <c r="O888" s="314"/>
      <c r="P888" s="314"/>
      <c r="Q888" s="314"/>
      <c r="R888" s="314"/>
      <c r="S888" s="314"/>
      <c r="T888" s="314"/>
      <c r="U888" s="314"/>
      <c r="V888" s="314"/>
      <c r="W888" s="314"/>
      <c r="X888" s="314"/>
      <c r="Y888" s="314"/>
      <c r="Z888" s="314"/>
    </row>
    <row r="889" spans="2:26" s="147" customFormat="1" ht="14.15" customHeight="1" x14ac:dyDescent="0.35">
      <c r="B889" s="146"/>
      <c r="E889" s="314"/>
      <c r="F889" s="314"/>
      <c r="G889" s="314"/>
      <c r="H889" s="314"/>
      <c r="I889" s="314"/>
      <c r="J889" s="314"/>
      <c r="K889" s="314"/>
      <c r="L889" s="314"/>
      <c r="M889" s="314"/>
      <c r="N889" s="314"/>
      <c r="O889" s="314"/>
      <c r="P889" s="314"/>
      <c r="Q889" s="314"/>
      <c r="R889" s="314"/>
      <c r="S889" s="314"/>
      <c r="T889" s="314"/>
      <c r="U889" s="314"/>
      <c r="V889" s="314"/>
      <c r="W889" s="314"/>
      <c r="X889" s="314"/>
      <c r="Y889" s="314"/>
      <c r="Z889" s="314"/>
    </row>
    <row r="890" spans="2:26" s="147" customFormat="1" ht="14.15" customHeight="1" x14ac:dyDescent="0.35">
      <c r="B890" s="146"/>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row>
    <row r="891" spans="2:26" s="147" customFormat="1" ht="14.15" customHeight="1" x14ac:dyDescent="0.35">
      <c r="B891" s="146"/>
      <c r="E891" s="314"/>
      <c r="F891" s="314"/>
      <c r="G891" s="314"/>
      <c r="H891" s="314"/>
      <c r="I891" s="314"/>
      <c r="J891" s="314"/>
      <c r="K891" s="314"/>
      <c r="L891" s="314"/>
      <c r="M891" s="314"/>
      <c r="N891" s="314"/>
      <c r="O891" s="314"/>
      <c r="P891" s="314"/>
      <c r="Q891" s="314"/>
      <c r="R891" s="314"/>
      <c r="S891" s="314"/>
      <c r="T891" s="314"/>
      <c r="U891" s="314"/>
      <c r="V891" s="314"/>
      <c r="W891" s="314"/>
      <c r="X891" s="314"/>
      <c r="Y891" s="314"/>
      <c r="Z891" s="314"/>
    </row>
    <row r="892" spans="2:26" s="147" customFormat="1" ht="14.15" customHeight="1" x14ac:dyDescent="0.35">
      <c r="B892" s="146"/>
      <c r="E892" s="314"/>
      <c r="F892" s="314"/>
      <c r="G892" s="314"/>
      <c r="H892" s="314"/>
      <c r="I892" s="314"/>
      <c r="J892" s="314"/>
      <c r="K892" s="314"/>
      <c r="L892" s="314"/>
      <c r="M892" s="314"/>
      <c r="N892" s="314"/>
      <c r="O892" s="314"/>
      <c r="P892" s="314"/>
      <c r="Q892" s="314"/>
      <c r="R892" s="314"/>
      <c r="S892" s="314"/>
      <c r="T892" s="314"/>
      <c r="U892" s="314"/>
      <c r="V892" s="314"/>
      <c r="W892" s="314"/>
      <c r="X892" s="314"/>
      <c r="Y892" s="314"/>
      <c r="Z892" s="314"/>
    </row>
    <row r="893" spans="2:26" s="147" customFormat="1" ht="14.15" customHeight="1" x14ac:dyDescent="0.35">
      <c r="B893" s="146"/>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row>
    <row r="894" spans="2:26" s="147" customFormat="1" ht="14.15" customHeight="1" x14ac:dyDescent="0.35">
      <c r="B894" s="146"/>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row>
    <row r="895" spans="2:26" s="147" customFormat="1" ht="14.15" customHeight="1" x14ac:dyDescent="0.35">
      <c r="B895" s="146"/>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row>
    <row r="896" spans="2:26" s="147" customFormat="1" ht="14.15" customHeight="1" x14ac:dyDescent="0.35">
      <c r="B896" s="146"/>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row>
    <row r="897" spans="2:26" s="147" customFormat="1" ht="14.15" customHeight="1" x14ac:dyDescent="0.35">
      <c r="B897" s="146"/>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row>
    <row r="898" spans="2:26" s="147" customFormat="1" ht="14.15" customHeight="1" x14ac:dyDescent="0.35">
      <c r="B898" s="146"/>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row>
    <row r="899" spans="2:26" s="147" customFormat="1" ht="14.15" customHeight="1" x14ac:dyDescent="0.35">
      <c r="B899" s="146"/>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row>
    <row r="900" spans="2:26" s="147" customFormat="1" ht="14.15" customHeight="1" x14ac:dyDescent="0.35">
      <c r="B900" s="146"/>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row>
    <row r="901" spans="2:26" s="147" customFormat="1" ht="14.15" customHeight="1" x14ac:dyDescent="0.35">
      <c r="B901" s="146"/>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row>
    <row r="902" spans="2:26" s="147" customFormat="1" ht="14.15" customHeight="1" x14ac:dyDescent="0.35">
      <c r="B902" s="146"/>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row>
    <row r="903" spans="2:26" s="147" customFormat="1" ht="14.15" customHeight="1" x14ac:dyDescent="0.35">
      <c r="B903" s="146"/>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row>
    <row r="904" spans="2:26" s="147" customFormat="1" ht="14.15" customHeight="1" x14ac:dyDescent="0.35">
      <c r="B904" s="146"/>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row>
    <row r="905" spans="2:26" s="147" customFormat="1" ht="14.15" customHeight="1" x14ac:dyDescent="0.35">
      <c r="B905" s="146"/>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row>
    <row r="906" spans="2:26" s="147" customFormat="1" ht="14.15" customHeight="1" x14ac:dyDescent="0.35">
      <c r="B906" s="146"/>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row>
    <row r="907" spans="2:26" s="147" customFormat="1" ht="14.15" customHeight="1" x14ac:dyDescent="0.35">
      <c r="B907" s="146"/>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row>
    <row r="908" spans="2:26" s="147" customFormat="1" ht="14.15" customHeight="1" x14ac:dyDescent="0.35">
      <c r="B908" s="146"/>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row>
    <row r="909" spans="2:26" s="147" customFormat="1" ht="14.15" customHeight="1" x14ac:dyDescent="0.35">
      <c r="B909" s="146"/>
      <c r="E909" s="314"/>
      <c r="F909" s="314"/>
      <c r="G909" s="314"/>
      <c r="H909" s="314"/>
      <c r="I909" s="314"/>
      <c r="J909" s="314"/>
      <c r="K909" s="314"/>
      <c r="L909" s="314"/>
      <c r="M909" s="314"/>
      <c r="N909" s="314"/>
      <c r="O909" s="314"/>
      <c r="P909" s="314"/>
      <c r="Q909" s="314"/>
      <c r="R909" s="314"/>
      <c r="S909" s="314"/>
      <c r="T909" s="314"/>
      <c r="U909" s="314"/>
      <c r="V909" s="314"/>
      <c r="W909" s="314"/>
      <c r="X909" s="314"/>
      <c r="Y909" s="314"/>
      <c r="Z909" s="314"/>
    </row>
    <row r="910" spans="2:26" s="147" customFormat="1" ht="14.15" customHeight="1" x14ac:dyDescent="0.35">
      <c r="B910" s="146"/>
      <c r="E910" s="314"/>
      <c r="F910" s="314"/>
      <c r="G910" s="314"/>
      <c r="H910" s="314"/>
      <c r="I910" s="314"/>
      <c r="J910" s="314"/>
      <c r="K910" s="314"/>
      <c r="L910" s="314"/>
      <c r="M910" s="314"/>
      <c r="N910" s="314"/>
      <c r="O910" s="314"/>
      <c r="P910" s="314"/>
      <c r="Q910" s="314"/>
      <c r="R910" s="314"/>
      <c r="S910" s="314"/>
      <c r="T910" s="314"/>
      <c r="U910" s="314"/>
      <c r="V910" s="314"/>
      <c r="W910" s="314"/>
      <c r="X910" s="314"/>
      <c r="Y910" s="314"/>
      <c r="Z910" s="314"/>
    </row>
    <row r="911" spans="2:26" s="147" customFormat="1" ht="14.15" customHeight="1" x14ac:dyDescent="0.35">
      <c r="B911" s="146"/>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row>
    <row r="912" spans="2:26" s="147" customFormat="1" ht="14.15" customHeight="1" x14ac:dyDescent="0.35">
      <c r="B912" s="146"/>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row>
    <row r="913" spans="2:26" s="147" customFormat="1" ht="14.15" customHeight="1" x14ac:dyDescent="0.35">
      <c r="B913" s="146"/>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row>
    <row r="914" spans="2:26" s="147" customFormat="1" ht="14.15" customHeight="1" x14ac:dyDescent="0.35">
      <c r="B914" s="146"/>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row>
    <row r="915" spans="2:26" s="147" customFormat="1" ht="14.15" customHeight="1" x14ac:dyDescent="0.35">
      <c r="B915" s="146"/>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row>
    <row r="916" spans="2:26" s="147" customFormat="1" ht="14.15" customHeight="1" x14ac:dyDescent="0.35">
      <c r="B916" s="146"/>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row>
    <row r="917" spans="2:26" s="147" customFormat="1" ht="14.15" customHeight="1" x14ac:dyDescent="0.35">
      <c r="B917" s="146"/>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row>
    <row r="918" spans="2:26" s="147" customFormat="1" ht="14.15" customHeight="1" x14ac:dyDescent="0.35">
      <c r="B918" s="146"/>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row>
    <row r="919" spans="2:26" s="147" customFormat="1" ht="14.15" customHeight="1" x14ac:dyDescent="0.35">
      <c r="B919" s="146"/>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row>
    <row r="920" spans="2:26" s="147" customFormat="1" ht="14.15" customHeight="1" x14ac:dyDescent="0.35">
      <c r="B920" s="146"/>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row>
    <row r="921" spans="2:26" s="147" customFormat="1" ht="14.15" customHeight="1" x14ac:dyDescent="0.35">
      <c r="B921" s="146"/>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row>
    <row r="922" spans="2:26" s="147" customFormat="1" ht="14.15" customHeight="1" x14ac:dyDescent="0.35">
      <c r="B922" s="146"/>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row>
    <row r="923" spans="2:26" s="147" customFormat="1" ht="14.15" customHeight="1" x14ac:dyDescent="0.35">
      <c r="B923" s="146"/>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row>
    <row r="924" spans="2:26" s="147" customFormat="1" ht="14.15" customHeight="1" x14ac:dyDescent="0.35">
      <c r="B924" s="146"/>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row>
    <row r="925" spans="2:26" s="147" customFormat="1" ht="14.15" customHeight="1" x14ac:dyDescent="0.35">
      <c r="B925" s="146"/>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row>
    <row r="926" spans="2:26" s="147" customFormat="1" ht="14.15" customHeight="1" x14ac:dyDescent="0.35">
      <c r="B926" s="146"/>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row>
    <row r="927" spans="2:26" s="147" customFormat="1" ht="14.15" customHeight="1" x14ac:dyDescent="0.35">
      <c r="B927" s="146"/>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row>
    <row r="928" spans="2:26" s="147" customFormat="1" ht="14.15" customHeight="1" x14ac:dyDescent="0.35">
      <c r="B928" s="146"/>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row>
    <row r="929" spans="2:26" s="147" customFormat="1" ht="14.15" customHeight="1" x14ac:dyDescent="0.35">
      <c r="B929" s="146"/>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row>
    <row r="930" spans="2:26" s="147" customFormat="1" ht="14.15" customHeight="1" x14ac:dyDescent="0.35">
      <c r="B930" s="146"/>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row>
    <row r="931" spans="2:26" s="147" customFormat="1" ht="14.15" customHeight="1" x14ac:dyDescent="0.35">
      <c r="B931" s="146"/>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row>
    <row r="932" spans="2:26" s="147" customFormat="1" ht="14.15" customHeight="1" x14ac:dyDescent="0.35">
      <c r="B932" s="146"/>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row>
    <row r="933" spans="2:26" s="147" customFormat="1" ht="14.15" customHeight="1" x14ac:dyDescent="0.35">
      <c r="B933" s="146"/>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row>
    <row r="934" spans="2:26" s="147" customFormat="1" ht="14.15" customHeight="1" x14ac:dyDescent="0.35">
      <c r="B934" s="146"/>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row>
    <row r="935" spans="2:26" s="147" customFormat="1" ht="14.15" customHeight="1" x14ac:dyDescent="0.35">
      <c r="B935" s="146"/>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row>
    <row r="936" spans="2:26" s="147" customFormat="1" ht="14.15" customHeight="1" x14ac:dyDescent="0.35">
      <c r="B936" s="146"/>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row>
    <row r="937" spans="2:26" s="147" customFormat="1" ht="14.15" customHeight="1" x14ac:dyDescent="0.35">
      <c r="B937" s="146"/>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row>
    <row r="938" spans="2:26" s="147" customFormat="1" ht="14.15" customHeight="1" x14ac:dyDescent="0.35">
      <c r="B938" s="146"/>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row>
    <row r="939" spans="2:26" s="147" customFormat="1" ht="14.15" customHeight="1" x14ac:dyDescent="0.35">
      <c r="B939" s="146"/>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row>
    <row r="940" spans="2:26" s="147" customFormat="1" ht="14.15" customHeight="1" x14ac:dyDescent="0.35">
      <c r="B940" s="146"/>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row>
    <row r="941" spans="2:26" s="147" customFormat="1" ht="14.15" customHeight="1" x14ac:dyDescent="0.35">
      <c r="B941" s="146"/>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row>
    <row r="942" spans="2:26" s="147" customFormat="1" ht="14.15" customHeight="1" x14ac:dyDescent="0.35">
      <c r="B942" s="146"/>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row>
    <row r="943" spans="2:26" s="147" customFormat="1" ht="14.15" customHeight="1" x14ac:dyDescent="0.35">
      <c r="B943" s="146"/>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row>
    <row r="944" spans="2:26" s="147" customFormat="1" ht="14.15" customHeight="1" x14ac:dyDescent="0.35">
      <c r="B944" s="146"/>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row>
    <row r="945" spans="2:26" s="147" customFormat="1" ht="14.15" customHeight="1" x14ac:dyDescent="0.35">
      <c r="B945" s="146"/>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row>
    <row r="946" spans="2:26" s="147" customFormat="1" ht="14.15" customHeight="1" x14ac:dyDescent="0.35">
      <c r="B946" s="146"/>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row>
    <row r="947" spans="2:26" s="147" customFormat="1" ht="14.15" customHeight="1" x14ac:dyDescent="0.35">
      <c r="B947" s="146"/>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row>
    <row r="948" spans="2:26" s="147" customFormat="1" ht="14.15" customHeight="1" x14ac:dyDescent="0.35">
      <c r="B948" s="146"/>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row>
    <row r="949" spans="2:26" s="147" customFormat="1" ht="14.15" customHeight="1" x14ac:dyDescent="0.35">
      <c r="B949" s="146"/>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row>
    <row r="950" spans="2:26" s="147" customFormat="1" ht="14.15" customHeight="1" x14ac:dyDescent="0.35">
      <c r="B950" s="146"/>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row>
    <row r="951" spans="2:26" s="147" customFormat="1" ht="14.15" customHeight="1" x14ac:dyDescent="0.35">
      <c r="B951" s="146"/>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row>
    <row r="952" spans="2:26" s="147" customFormat="1" ht="14.15" customHeight="1" x14ac:dyDescent="0.35">
      <c r="B952" s="146"/>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row>
    <row r="953" spans="2:26" s="147" customFormat="1" ht="14.15" customHeight="1" x14ac:dyDescent="0.35">
      <c r="B953" s="146"/>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row>
    <row r="954" spans="2:26" s="147" customFormat="1" ht="14.15" customHeight="1" x14ac:dyDescent="0.35">
      <c r="B954" s="146"/>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row>
    <row r="955" spans="2:26" s="147" customFormat="1" ht="14.15" customHeight="1" x14ac:dyDescent="0.35">
      <c r="B955" s="146"/>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row>
    <row r="956" spans="2:26" s="147" customFormat="1" ht="14.15" customHeight="1" x14ac:dyDescent="0.35">
      <c r="B956" s="146"/>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row>
    <row r="957" spans="2:26" s="147" customFormat="1" ht="14.15" customHeight="1" x14ac:dyDescent="0.35">
      <c r="B957" s="146"/>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row>
    <row r="958" spans="2:26" s="147" customFormat="1" ht="14.15" customHeight="1" x14ac:dyDescent="0.35">
      <c r="B958" s="146"/>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row>
    <row r="959" spans="2:26" s="147" customFormat="1" ht="14.15" customHeight="1" x14ac:dyDescent="0.35">
      <c r="B959" s="146"/>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row>
    <row r="960" spans="2:26" s="147" customFormat="1" ht="14.15" customHeight="1" x14ac:dyDescent="0.35">
      <c r="B960" s="146"/>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row>
    <row r="961" spans="2:26" s="147" customFormat="1" ht="14.15" customHeight="1" x14ac:dyDescent="0.35">
      <c r="B961" s="146"/>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row>
    <row r="962" spans="2:26" s="147" customFormat="1" ht="14.15" customHeight="1" x14ac:dyDescent="0.35">
      <c r="B962" s="146"/>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row>
    <row r="963" spans="2:26" s="147" customFormat="1" ht="14.15" customHeight="1" x14ac:dyDescent="0.35">
      <c r="B963" s="146"/>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row>
    <row r="964" spans="2:26" s="147" customFormat="1" ht="14.15" customHeight="1" x14ac:dyDescent="0.35">
      <c r="B964" s="146"/>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row>
    <row r="965" spans="2:26" s="147" customFormat="1" ht="14.15" customHeight="1" x14ac:dyDescent="0.35">
      <c r="B965" s="146"/>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row>
    <row r="966" spans="2:26" s="147" customFormat="1" ht="14.15" customHeight="1" x14ac:dyDescent="0.35">
      <c r="B966" s="146"/>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row>
    <row r="967" spans="2:26" s="147" customFormat="1" ht="14.15" customHeight="1" x14ac:dyDescent="0.35">
      <c r="B967" s="146"/>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row>
    <row r="968" spans="2:26" s="147" customFormat="1" ht="14.15" customHeight="1" x14ac:dyDescent="0.35">
      <c r="B968" s="146"/>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row>
    <row r="969" spans="2:26" s="147" customFormat="1" ht="14.15" customHeight="1" x14ac:dyDescent="0.35">
      <c r="B969" s="146"/>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row>
    <row r="970" spans="2:26" s="147" customFormat="1" ht="14.15" customHeight="1" x14ac:dyDescent="0.35">
      <c r="B970" s="146"/>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row>
    <row r="971" spans="2:26" s="147" customFormat="1" ht="14.15" customHeight="1" x14ac:dyDescent="0.35">
      <c r="B971" s="146"/>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row>
    <row r="972" spans="2:26" s="147" customFormat="1" ht="14.15" customHeight="1" x14ac:dyDescent="0.35">
      <c r="B972" s="146"/>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row>
    <row r="973" spans="2:26" s="147" customFormat="1" ht="14.15" customHeight="1" x14ac:dyDescent="0.35">
      <c r="B973" s="146"/>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row>
    <row r="974" spans="2:26" s="147" customFormat="1" ht="14.15" customHeight="1" x14ac:dyDescent="0.35">
      <c r="B974" s="146"/>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row>
    <row r="975" spans="2:26" s="147" customFormat="1" ht="14.15" customHeight="1" x14ac:dyDescent="0.35">
      <c r="B975" s="146"/>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row>
    <row r="976" spans="2:26" s="147" customFormat="1" ht="14.15" customHeight="1" x14ac:dyDescent="0.35">
      <c r="B976" s="146"/>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row>
    <row r="977" spans="2:26" s="147" customFormat="1" ht="14.15" customHeight="1" x14ac:dyDescent="0.35">
      <c r="B977" s="146"/>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row>
    <row r="978" spans="2:26" s="147" customFormat="1" ht="14.15" customHeight="1" x14ac:dyDescent="0.35">
      <c r="B978" s="146"/>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row>
    <row r="979" spans="2:26" s="147" customFormat="1" ht="14.15" customHeight="1" x14ac:dyDescent="0.35">
      <c r="B979" s="146"/>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row>
    <row r="980" spans="2:26" s="147" customFormat="1" ht="14.15" customHeight="1" x14ac:dyDescent="0.35">
      <c r="B980" s="146"/>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row>
    <row r="981" spans="2:26" s="147" customFormat="1" ht="14.15" customHeight="1" x14ac:dyDescent="0.35">
      <c r="B981" s="146"/>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row>
    <row r="982" spans="2:26" s="147" customFormat="1" ht="14.15" customHeight="1" x14ac:dyDescent="0.35">
      <c r="B982" s="146"/>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row>
    <row r="983" spans="2:26" s="147" customFormat="1" ht="14.15" customHeight="1" x14ac:dyDescent="0.35">
      <c r="B983" s="146"/>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row>
    <row r="984" spans="2:26" s="147" customFormat="1" ht="14.15" customHeight="1" x14ac:dyDescent="0.35">
      <c r="B984" s="146"/>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row>
    <row r="985" spans="2:26" s="147" customFormat="1" ht="14.15" customHeight="1" x14ac:dyDescent="0.35">
      <c r="B985" s="146"/>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row>
    <row r="986" spans="2:26" s="147" customFormat="1" ht="14.15" customHeight="1" x14ac:dyDescent="0.35">
      <c r="B986" s="146"/>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row>
    <row r="987" spans="2:26" s="147" customFormat="1" ht="14.15" customHeight="1" x14ac:dyDescent="0.35">
      <c r="B987" s="146"/>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row>
    <row r="988" spans="2:26" s="147" customFormat="1" ht="14.15" customHeight="1" x14ac:dyDescent="0.35">
      <c r="B988" s="146"/>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row>
    <row r="989" spans="2:26" s="147" customFormat="1" ht="14.15" customHeight="1" x14ac:dyDescent="0.35">
      <c r="B989" s="146"/>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row>
    <row r="990" spans="2:26" s="147" customFormat="1" ht="14.15" customHeight="1" x14ac:dyDescent="0.35">
      <c r="B990" s="146"/>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row>
    <row r="991" spans="2:26" s="147" customFormat="1" ht="14.15" customHeight="1" x14ac:dyDescent="0.35">
      <c r="B991" s="146"/>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row>
    <row r="992" spans="2:26" s="147" customFormat="1" ht="14.15" customHeight="1" x14ac:dyDescent="0.35">
      <c r="B992" s="146"/>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row>
    <row r="993" spans="2:26" s="147" customFormat="1" ht="14.15" customHeight="1" x14ac:dyDescent="0.35">
      <c r="B993" s="146"/>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row>
    <row r="994" spans="2:26" s="147" customFormat="1" ht="14.15" customHeight="1" x14ac:dyDescent="0.35">
      <c r="B994" s="146"/>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row>
    <row r="995" spans="2:26" s="147" customFormat="1" ht="14.15" customHeight="1" x14ac:dyDescent="0.35">
      <c r="B995" s="146"/>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row>
    <row r="996" spans="2:26" s="147" customFormat="1" ht="14.15" customHeight="1" x14ac:dyDescent="0.35">
      <c r="B996" s="146"/>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row>
    <row r="997" spans="2:26" s="147" customFormat="1" ht="14.15" customHeight="1" x14ac:dyDescent="0.35">
      <c r="B997" s="146"/>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row>
    <row r="998" spans="2:26" s="147" customFormat="1" ht="14.15" customHeight="1" x14ac:dyDescent="0.35">
      <c r="B998" s="146"/>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row>
    <row r="999" spans="2:26" s="147" customFormat="1" ht="14.15" customHeight="1" x14ac:dyDescent="0.35">
      <c r="B999" s="146"/>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row>
    <row r="1000" spans="2:26" s="147" customFormat="1" ht="14.15" customHeight="1" x14ac:dyDescent="0.35">
      <c r="B1000" s="146"/>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row>
    <row r="1001" spans="2:26" s="147" customFormat="1" ht="14.15" customHeight="1" x14ac:dyDescent="0.35">
      <c r="B1001" s="146"/>
      <c r="E1001" s="314"/>
      <c r="F1001" s="314"/>
      <c r="G1001" s="314"/>
      <c r="H1001" s="314"/>
      <c r="I1001" s="314"/>
      <c r="J1001" s="314"/>
      <c r="K1001" s="314"/>
      <c r="L1001" s="314"/>
      <c r="M1001" s="314"/>
      <c r="N1001" s="314"/>
      <c r="O1001" s="314"/>
      <c r="P1001" s="314"/>
      <c r="Q1001" s="314"/>
      <c r="R1001" s="314"/>
      <c r="S1001" s="314"/>
      <c r="T1001" s="314"/>
      <c r="U1001" s="314"/>
      <c r="V1001" s="314"/>
      <c r="W1001" s="314"/>
      <c r="X1001" s="314"/>
      <c r="Y1001" s="314"/>
      <c r="Z1001" s="314"/>
    </row>
    <row r="1002" spans="2:26" s="147" customFormat="1" ht="14.15" customHeight="1" x14ac:dyDescent="0.35">
      <c r="B1002" s="146"/>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row>
    <row r="1003" spans="2:26" s="147" customFormat="1" ht="14.15" customHeight="1" x14ac:dyDescent="0.35">
      <c r="B1003" s="146"/>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row>
    <row r="1004" spans="2:26" s="147" customFormat="1" ht="14.15" customHeight="1" x14ac:dyDescent="0.35">
      <c r="B1004" s="146"/>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row>
    <row r="1005" spans="2:26" s="147" customFormat="1" ht="14.15" customHeight="1" x14ac:dyDescent="0.35">
      <c r="B1005" s="146"/>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row>
    <row r="1006" spans="2:26" s="147" customFormat="1" ht="14.15" customHeight="1" x14ac:dyDescent="0.35">
      <c r="B1006" s="146"/>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row>
    <row r="1007" spans="2:26" s="147" customFormat="1" ht="14.15" customHeight="1" x14ac:dyDescent="0.35">
      <c r="B1007" s="146"/>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row>
    <row r="1008" spans="2:26" s="147" customFormat="1" ht="14.15" customHeight="1" x14ac:dyDescent="0.35">
      <c r="B1008" s="146"/>
      <c r="E1008" s="314"/>
      <c r="F1008" s="314"/>
      <c r="G1008" s="314"/>
      <c r="H1008" s="314"/>
      <c r="I1008" s="314"/>
      <c r="J1008" s="314"/>
      <c r="K1008" s="314"/>
      <c r="L1008" s="314"/>
      <c r="M1008" s="314"/>
      <c r="N1008" s="314"/>
      <c r="O1008" s="314"/>
      <c r="P1008" s="314"/>
      <c r="Q1008" s="314"/>
      <c r="R1008" s="314"/>
      <c r="S1008" s="314"/>
      <c r="T1008" s="314"/>
      <c r="U1008" s="314"/>
      <c r="V1008" s="314"/>
      <c r="W1008" s="314"/>
      <c r="X1008" s="314"/>
      <c r="Y1008" s="314"/>
      <c r="Z1008" s="314"/>
    </row>
    <row r="1009" spans="2:26" s="147" customFormat="1" ht="14.15" customHeight="1" x14ac:dyDescent="0.35">
      <c r="B1009" s="146"/>
      <c r="E1009" s="314"/>
      <c r="F1009" s="314"/>
      <c r="G1009" s="314"/>
      <c r="H1009" s="314"/>
      <c r="I1009" s="314"/>
      <c r="J1009" s="314"/>
      <c r="K1009" s="314"/>
      <c r="L1009" s="314"/>
      <c r="M1009" s="314"/>
      <c r="N1009" s="314"/>
      <c r="O1009" s="314"/>
      <c r="P1009" s="314"/>
      <c r="Q1009" s="314"/>
      <c r="R1009" s="314"/>
      <c r="S1009" s="314"/>
      <c r="T1009" s="314"/>
      <c r="U1009" s="314"/>
      <c r="V1009" s="314"/>
      <c r="W1009" s="314"/>
      <c r="X1009" s="314"/>
      <c r="Y1009" s="314"/>
      <c r="Z1009" s="314"/>
    </row>
    <row r="1010" spans="2:26" s="147" customFormat="1" ht="14.15" customHeight="1" x14ac:dyDescent="0.35">
      <c r="B1010" s="146"/>
      <c r="E1010" s="314"/>
      <c r="F1010" s="314"/>
      <c r="G1010" s="314"/>
      <c r="H1010" s="314"/>
      <c r="I1010" s="314"/>
      <c r="J1010" s="314"/>
      <c r="K1010" s="314"/>
      <c r="L1010" s="314"/>
      <c r="M1010" s="314"/>
      <c r="N1010" s="314"/>
      <c r="O1010" s="314"/>
      <c r="P1010" s="314"/>
      <c r="Q1010" s="314"/>
      <c r="R1010" s="314"/>
      <c r="S1010" s="314"/>
      <c r="T1010" s="314"/>
      <c r="U1010" s="314"/>
      <c r="V1010" s="314"/>
      <c r="W1010" s="314"/>
      <c r="X1010" s="314"/>
      <c r="Y1010" s="314"/>
      <c r="Z1010" s="314"/>
    </row>
    <row r="1011" spans="2:26" s="147" customFormat="1" ht="14.15" customHeight="1" x14ac:dyDescent="0.35">
      <c r="B1011" s="146"/>
      <c r="E1011" s="314"/>
      <c r="F1011" s="314"/>
      <c r="G1011" s="314"/>
      <c r="H1011" s="314"/>
      <c r="I1011" s="314"/>
      <c r="J1011" s="314"/>
      <c r="K1011" s="314"/>
      <c r="L1011" s="314"/>
      <c r="M1011" s="314"/>
      <c r="N1011" s="314"/>
      <c r="O1011" s="314"/>
      <c r="P1011" s="314"/>
      <c r="Q1011" s="314"/>
      <c r="R1011" s="314"/>
      <c r="S1011" s="314"/>
      <c r="T1011" s="314"/>
      <c r="U1011" s="314"/>
      <c r="V1011" s="314"/>
      <c r="W1011" s="314"/>
      <c r="X1011" s="314"/>
      <c r="Y1011" s="314"/>
      <c r="Z1011" s="314"/>
    </row>
    <row r="1012" spans="2:26" s="147" customFormat="1" ht="14.15" customHeight="1" x14ac:dyDescent="0.35">
      <c r="B1012" s="146"/>
      <c r="E1012" s="314"/>
      <c r="F1012" s="314"/>
      <c r="G1012" s="314"/>
      <c r="H1012" s="314"/>
      <c r="I1012" s="314"/>
      <c r="J1012" s="314"/>
      <c r="K1012" s="314"/>
      <c r="L1012" s="314"/>
      <c r="M1012" s="314"/>
      <c r="N1012" s="314"/>
      <c r="O1012" s="314"/>
      <c r="P1012" s="314"/>
      <c r="Q1012" s="314"/>
      <c r="R1012" s="314"/>
      <c r="S1012" s="314"/>
      <c r="T1012" s="314"/>
      <c r="U1012" s="314"/>
      <c r="V1012" s="314"/>
      <c r="W1012" s="314"/>
      <c r="X1012" s="314"/>
      <c r="Y1012" s="314"/>
      <c r="Z1012" s="314"/>
    </row>
    <row r="1013" spans="2:26" s="147" customFormat="1" ht="14.15" customHeight="1" x14ac:dyDescent="0.35">
      <c r="B1013" s="146"/>
      <c r="E1013" s="314"/>
      <c r="F1013" s="314"/>
      <c r="G1013" s="314"/>
      <c r="H1013" s="314"/>
      <c r="I1013" s="314"/>
      <c r="J1013" s="314"/>
      <c r="K1013" s="314"/>
      <c r="L1013" s="314"/>
      <c r="M1013" s="314"/>
      <c r="N1013" s="314"/>
      <c r="O1013" s="314"/>
      <c r="P1013" s="314"/>
      <c r="Q1013" s="314"/>
      <c r="R1013" s="314"/>
      <c r="S1013" s="314"/>
      <c r="T1013" s="314"/>
      <c r="U1013" s="314"/>
      <c r="V1013" s="314"/>
      <c r="W1013" s="314"/>
      <c r="X1013" s="314"/>
      <c r="Y1013" s="314"/>
      <c r="Z1013" s="314"/>
    </row>
    <row r="1014" spans="2:26" s="147" customFormat="1" ht="14.15" customHeight="1" x14ac:dyDescent="0.35">
      <c r="B1014" s="146"/>
      <c r="E1014" s="314"/>
      <c r="F1014" s="314"/>
      <c r="G1014" s="314"/>
      <c r="H1014" s="314"/>
      <c r="I1014" s="314"/>
      <c r="J1014" s="314"/>
      <c r="K1014" s="314"/>
      <c r="L1014" s="314"/>
      <c r="M1014" s="314"/>
      <c r="N1014" s="314"/>
      <c r="O1014" s="314"/>
      <c r="P1014" s="314"/>
      <c r="Q1014" s="314"/>
      <c r="R1014" s="314"/>
      <c r="S1014" s="314"/>
      <c r="T1014" s="314"/>
      <c r="U1014" s="314"/>
      <c r="V1014" s="314"/>
      <c r="W1014" s="314"/>
      <c r="X1014" s="314"/>
      <c r="Y1014" s="314"/>
      <c r="Z1014" s="314"/>
    </row>
    <row r="1015" spans="2:26" s="147" customFormat="1" ht="14.15" customHeight="1" x14ac:dyDescent="0.35">
      <c r="B1015" s="146"/>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row>
    <row r="1016" spans="2:26" s="147" customFormat="1" ht="14.15" customHeight="1" x14ac:dyDescent="0.35">
      <c r="B1016" s="146"/>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row>
    <row r="1017" spans="2:26" s="147" customFormat="1" ht="14.15" customHeight="1" x14ac:dyDescent="0.35">
      <c r="B1017" s="146"/>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row>
    <row r="1018" spans="2:26" s="147" customFormat="1" ht="14.15" customHeight="1" x14ac:dyDescent="0.35">
      <c r="B1018" s="146"/>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row>
    <row r="1019" spans="2:26" s="147" customFormat="1" ht="14.15" customHeight="1" x14ac:dyDescent="0.35">
      <c r="B1019" s="146"/>
      <c r="E1019" s="314"/>
      <c r="F1019" s="314"/>
      <c r="G1019" s="314"/>
      <c r="H1019" s="314"/>
      <c r="I1019" s="314"/>
      <c r="J1019" s="314"/>
      <c r="K1019" s="314"/>
      <c r="L1019" s="314"/>
      <c r="M1019" s="314"/>
      <c r="N1019" s="314"/>
      <c r="O1019" s="314"/>
      <c r="P1019" s="314"/>
      <c r="Q1019" s="314"/>
      <c r="R1019" s="314"/>
      <c r="S1019" s="314"/>
      <c r="T1019" s="314"/>
      <c r="U1019" s="314"/>
      <c r="V1019" s="314"/>
      <c r="W1019" s="314"/>
      <c r="X1019" s="314"/>
      <c r="Y1019" s="314"/>
      <c r="Z1019" s="314"/>
    </row>
    <row r="1020" spans="2:26" s="147" customFormat="1" ht="14.15" customHeight="1" x14ac:dyDescent="0.35">
      <c r="B1020" s="146"/>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row>
    <row r="1021" spans="2:26" s="147" customFormat="1" ht="14.15" customHeight="1" x14ac:dyDescent="0.35">
      <c r="B1021" s="146"/>
      <c r="E1021" s="314"/>
      <c r="F1021" s="314"/>
      <c r="G1021" s="314"/>
      <c r="H1021" s="314"/>
      <c r="I1021" s="314"/>
      <c r="J1021" s="314"/>
      <c r="K1021" s="314"/>
      <c r="L1021" s="314"/>
      <c r="M1021" s="314"/>
      <c r="N1021" s="314"/>
      <c r="O1021" s="314"/>
      <c r="P1021" s="314"/>
      <c r="Q1021" s="314"/>
      <c r="R1021" s="314"/>
      <c r="S1021" s="314"/>
      <c r="T1021" s="314"/>
      <c r="U1021" s="314"/>
      <c r="V1021" s="314"/>
      <c r="W1021" s="314"/>
      <c r="X1021" s="314"/>
      <c r="Y1021" s="314"/>
      <c r="Z1021" s="314"/>
    </row>
    <row r="1022" spans="2:26" s="147" customFormat="1" ht="14.15" customHeight="1" x14ac:dyDescent="0.35">
      <c r="B1022" s="146"/>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row>
    <row r="1023" spans="2:26" s="147" customFormat="1" ht="14.15" customHeight="1" x14ac:dyDescent="0.35">
      <c r="B1023" s="146"/>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row>
    <row r="1024" spans="2:26" s="147" customFormat="1" ht="14.15" customHeight="1" x14ac:dyDescent="0.35">
      <c r="B1024" s="146"/>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row>
    <row r="1025" spans="2:26" s="147" customFormat="1" ht="14.15" customHeight="1" x14ac:dyDescent="0.35">
      <c r="B1025" s="146"/>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row>
    <row r="1026" spans="2:26" s="147" customFormat="1" ht="14.15" customHeight="1" x14ac:dyDescent="0.35">
      <c r="B1026" s="146"/>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row>
    <row r="1027" spans="2:26" s="147" customFormat="1" ht="14.15" customHeight="1" x14ac:dyDescent="0.35">
      <c r="B1027" s="146"/>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row>
    <row r="1028" spans="2:26" s="147" customFormat="1" ht="14.15" customHeight="1" x14ac:dyDescent="0.35">
      <c r="B1028" s="146"/>
      <c r="E1028" s="314"/>
      <c r="F1028" s="314"/>
      <c r="G1028" s="314"/>
      <c r="H1028" s="314"/>
      <c r="I1028" s="314"/>
      <c r="J1028" s="314"/>
      <c r="K1028" s="314"/>
      <c r="L1028" s="314"/>
      <c r="M1028" s="314"/>
      <c r="N1028" s="314"/>
      <c r="O1028" s="314"/>
      <c r="P1028" s="314"/>
      <c r="Q1028" s="314"/>
      <c r="R1028" s="314"/>
      <c r="S1028" s="314"/>
      <c r="T1028" s="314"/>
      <c r="U1028" s="314"/>
      <c r="V1028" s="314"/>
      <c r="W1028" s="314"/>
      <c r="X1028" s="314"/>
      <c r="Y1028" s="314"/>
      <c r="Z1028" s="314"/>
    </row>
    <row r="1029" spans="2:26" s="147" customFormat="1" ht="14.15" customHeight="1" x14ac:dyDescent="0.35">
      <c r="B1029" s="146"/>
      <c r="E1029" s="314"/>
      <c r="F1029" s="314"/>
      <c r="G1029" s="314"/>
      <c r="H1029" s="314"/>
      <c r="I1029" s="314"/>
      <c r="J1029" s="314"/>
      <c r="K1029" s="314"/>
      <c r="L1029" s="314"/>
      <c r="M1029" s="314"/>
      <c r="N1029" s="314"/>
      <c r="O1029" s="314"/>
      <c r="P1029" s="314"/>
      <c r="Q1029" s="314"/>
      <c r="R1029" s="314"/>
      <c r="S1029" s="314"/>
      <c r="T1029" s="314"/>
      <c r="U1029" s="314"/>
      <c r="V1029" s="314"/>
      <c r="W1029" s="314"/>
      <c r="X1029" s="314"/>
      <c r="Y1029" s="314"/>
      <c r="Z1029" s="314"/>
    </row>
    <row r="1030" spans="2:26" s="147" customFormat="1" ht="14.15" customHeight="1" x14ac:dyDescent="0.35">
      <c r="B1030" s="146"/>
      <c r="E1030" s="314"/>
      <c r="F1030" s="314"/>
      <c r="G1030" s="314"/>
      <c r="H1030" s="314"/>
      <c r="I1030" s="314"/>
      <c r="J1030" s="314"/>
      <c r="K1030" s="314"/>
      <c r="L1030" s="314"/>
      <c r="M1030" s="314"/>
      <c r="N1030" s="314"/>
      <c r="O1030" s="314"/>
      <c r="P1030" s="314"/>
      <c r="Q1030" s="314"/>
      <c r="R1030" s="314"/>
      <c r="S1030" s="314"/>
      <c r="T1030" s="314"/>
      <c r="U1030" s="314"/>
      <c r="V1030" s="314"/>
      <c r="W1030" s="314"/>
      <c r="X1030" s="314"/>
      <c r="Y1030" s="314"/>
      <c r="Z1030" s="314"/>
    </row>
    <row r="1031" spans="2:26" s="147" customFormat="1" ht="14.15" customHeight="1" x14ac:dyDescent="0.35">
      <c r="B1031" s="146"/>
      <c r="E1031" s="314"/>
      <c r="F1031" s="314"/>
      <c r="G1031" s="314"/>
      <c r="H1031" s="314"/>
      <c r="I1031" s="314"/>
      <c r="J1031" s="314"/>
      <c r="K1031" s="314"/>
      <c r="L1031" s="314"/>
      <c r="M1031" s="314"/>
      <c r="N1031" s="314"/>
      <c r="O1031" s="314"/>
      <c r="P1031" s="314"/>
      <c r="Q1031" s="314"/>
      <c r="R1031" s="314"/>
      <c r="S1031" s="314"/>
      <c r="T1031" s="314"/>
      <c r="U1031" s="314"/>
      <c r="V1031" s="314"/>
      <c r="W1031" s="314"/>
      <c r="X1031" s="314"/>
      <c r="Y1031" s="314"/>
      <c r="Z1031" s="314"/>
    </row>
    <row r="1032" spans="2:26" s="147" customFormat="1" ht="14.15" customHeight="1" x14ac:dyDescent="0.35">
      <c r="B1032" s="146"/>
      <c r="E1032" s="314"/>
      <c r="F1032" s="314"/>
      <c r="G1032" s="314"/>
      <c r="H1032" s="314"/>
      <c r="I1032" s="314"/>
      <c r="J1032" s="314"/>
      <c r="K1032" s="314"/>
      <c r="L1032" s="314"/>
      <c r="M1032" s="314"/>
      <c r="N1032" s="314"/>
      <c r="O1032" s="314"/>
      <c r="P1032" s="314"/>
      <c r="Q1032" s="314"/>
      <c r="R1032" s="314"/>
      <c r="S1032" s="314"/>
      <c r="T1032" s="314"/>
      <c r="U1032" s="314"/>
      <c r="V1032" s="314"/>
      <c r="W1032" s="314"/>
      <c r="X1032" s="314"/>
      <c r="Y1032" s="314"/>
      <c r="Z1032" s="314"/>
    </row>
    <row r="1033" spans="2:26" s="147" customFormat="1" ht="14.15" customHeight="1" x14ac:dyDescent="0.35">
      <c r="B1033" s="146"/>
      <c r="E1033" s="314"/>
      <c r="F1033" s="314"/>
      <c r="G1033" s="314"/>
      <c r="H1033" s="314"/>
      <c r="I1033" s="314"/>
      <c r="J1033" s="314"/>
      <c r="K1033" s="314"/>
      <c r="L1033" s="314"/>
      <c r="M1033" s="314"/>
      <c r="N1033" s="314"/>
      <c r="O1033" s="314"/>
      <c r="P1033" s="314"/>
      <c r="Q1033" s="314"/>
      <c r="R1033" s="314"/>
      <c r="S1033" s="314"/>
      <c r="T1033" s="314"/>
      <c r="U1033" s="314"/>
      <c r="V1033" s="314"/>
      <c r="W1033" s="314"/>
      <c r="X1033" s="314"/>
      <c r="Y1033" s="314"/>
      <c r="Z1033" s="314"/>
    </row>
    <row r="1034" spans="2:26" s="147" customFormat="1" ht="14.15" customHeight="1" x14ac:dyDescent="0.35">
      <c r="B1034" s="146"/>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row>
    <row r="1035" spans="2:26" s="147" customFormat="1" ht="14.15" customHeight="1" x14ac:dyDescent="0.35">
      <c r="B1035" s="146"/>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row>
    <row r="1036" spans="2:26" s="147" customFormat="1" ht="14.15" customHeight="1" x14ac:dyDescent="0.35">
      <c r="B1036" s="146"/>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row>
    <row r="1037" spans="2:26" s="147" customFormat="1" ht="14.15" customHeight="1" x14ac:dyDescent="0.35">
      <c r="B1037" s="146"/>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row>
    <row r="1038" spans="2:26" s="147" customFormat="1" ht="14.15" customHeight="1" x14ac:dyDescent="0.35">
      <c r="B1038" s="146"/>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row>
    <row r="1039" spans="2:26" s="147" customFormat="1" ht="14.15" customHeight="1" x14ac:dyDescent="0.35">
      <c r="B1039" s="146"/>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row>
    <row r="1040" spans="2:26" s="147" customFormat="1" ht="14.15" customHeight="1" x14ac:dyDescent="0.35">
      <c r="B1040" s="146"/>
      <c r="E1040" s="314"/>
      <c r="F1040" s="314"/>
      <c r="G1040" s="314"/>
      <c r="H1040" s="314"/>
      <c r="I1040" s="314"/>
      <c r="J1040" s="314"/>
      <c r="K1040" s="314"/>
      <c r="L1040" s="314"/>
      <c r="M1040" s="314"/>
      <c r="N1040" s="314"/>
      <c r="O1040" s="314"/>
      <c r="P1040" s="314"/>
      <c r="Q1040" s="314"/>
      <c r="R1040" s="314"/>
      <c r="S1040" s="314"/>
      <c r="T1040" s="314"/>
      <c r="U1040" s="314"/>
      <c r="V1040" s="314"/>
      <c r="W1040" s="314"/>
      <c r="X1040" s="314"/>
      <c r="Y1040" s="314"/>
      <c r="Z1040" s="314"/>
    </row>
    <row r="1041" spans="2:26" s="147" customFormat="1" ht="14.15" customHeight="1" x14ac:dyDescent="0.35">
      <c r="B1041" s="146"/>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row>
    <row r="1042" spans="2:26" s="147" customFormat="1" ht="14.15" customHeight="1" x14ac:dyDescent="0.35">
      <c r="B1042" s="146"/>
      <c r="E1042" s="314"/>
      <c r="F1042" s="314"/>
      <c r="G1042" s="314"/>
      <c r="H1042" s="314"/>
      <c r="I1042" s="314"/>
      <c r="J1042" s="314"/>
      <c r="K1042" s="314"/>
      <c r="L1042" s="314"/>
      <c r="M1042" s="314"/>
      <c r="N1042" s="314"/>
      <c r="O1042" s="314"/>
      <c r="P1042" s="314"/>
      <c r="Q1042" s="314"/>
      <c r="R1042" s="314"/>
      <c r="S1042" s="314"/>
      <c r="T1042" s="314"/>
      <c r="U1042" s="314"/>
      <c r="V1042" s="314"/>
      <c r="W1042" s="314"/>
      <c r="X1042" s="314"/>
      <c r="Y1042" s="314"/>
      <c r="Z1042" s="314"/>
    </row>
    <row r="1043" spans="2:26" s="147" customFormat="1" ht="14.15" customHeight="1" x14ac:dyDescent="0.35">
      <c r="B1043" s="146"/>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row>
    <row r="1044" spans="2:26" s="147" customFormat="1" ht="14.15" customHeight="1" x14ac:dyDescent="0.35">
      <c r="B1044" s="146"/>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row>
    <row r="1045" spans="2:26" s="147" customFormat="1" ht="14.15" customHeight="1" x14ac:dyDescent="0.35">
      <c r="B1045" s="146"/>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row>
    <row r="1046" spans="2:26" s="147" customFormat="1" ht="14.15" customHeight="1" x14ac:dyDescent="0.35">
      <c r="B1046" s="146"/>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row>
    <row r="1047" spans="2:26" s="147" customFormat="1" ht="14.15" customHeight="1" x14ac:dyDescent="0.35">
      <c r="B1047" s="146"/>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row>
    <row r="1048" spans="2:26" s="147" customFormat="1" ht="14.15" customHeight="1" x14ac:dyDescent="0.35">
      <c r="B1048" s="146"/>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row>
    <row r="1049" spans="2:26" s="147" customFormat="1" ht="14.15" customHeight="1" x14ac:dyDescent="0.35">
      <c r="B1049" s="146"/>
      <c r="E1049" s="314"/>
      <c r="F1049" s="314"/>
      <c r="G1049" s="314"/>
      <c r="H1049" s="314"/>
      <c r="I1049" s="314"/>
      <c r="J1049" s="314"/>
      <c r="K1049" s="314"/>
      <c r="L1049" s="314"/>
      <c r="M1049" s="314"/>
      <c r="N1049" s="314"/>
      <c r="O1049" s="314"/>
      <c r="P1049" s="314"/>
      <c r="Q1049" s="314"/>
      <c r="R1049" s="314"/>
      <c r="S1049" s="314"/>
      <c r="T1049" s="314"/>
      <c r="U1049" s="314"/>
      <c r="V1049" s="314"/>
      <c r="W1049" s="314"/>
      <c r="X1049" s="314"/>
      <c r="Y1049" s="314"/>
      <c r="Z1049" s="314"/>
    </row>
    <row r="1050" spans="2:26" s="147" customFormat="1" ht="14.15" customHeight="1" x14ac:dyDescent="0.35">
      <c r="B1050" s="146"/>
      <c r="E1050" s="314"/>
      <c r="F1050" s="314"/>
      <c r="G1050" s="314"/>
      <c r="H1050" s="314"/>
      <c r="I1050" s="314"/>
      <c r="J1050" s="314"/>
      <c r="K1050" s="314"/>
      <c r="L1050" s="314"/>
      <c r="M1050" s="314"/>
      <c r="N1050" s="314"/>
      <c r="O1050" s="314"/>
      <c r="P1050" s="314"/>
      <c r="Q1050" s="314"/>
      <c r="R1050" s="314"/>
      <c r="S1050" s="314"/>
      <c r="T1050" s="314"/>
      <c r="U1050" s="314"/>
      <c r="V1050" s="314"/>
      <c r="W1050" s="314"/>
      <c r="X1050" s="314"/>
      <c r="Y1050" s="314"/>
      <c r="Z1050" s="314"/>
    </row>
    <row r="1051" spans="2:26" s="147" customFormat="1" ht="14.15" customHeight="1" x14ac:dyDescent="0.35">
      <c r="B1051" s="146"/>
      <c r="E1051" s="314"/>
      <c r="F1051" s="314"/>
      <c r="G1051" s="314"/>
      <c r="H1051" s="314"/>
      <c r="I1051" s="314"/>
      <c r="J1051" s="314"/>
      <c r="K1051" s="314"/>
      <c r="L1051" s="314"/>
      <c r="M1051" s="314"/>
      <c r="N1051" s="314"/>
      <c r="O1051" s="314"/>
      <c r="P1051" s="314"/>
      <c r="Q1051" s="314"/>
      <c r="R1051" s="314"/>
      <c r="S1051" s="314"/>
      <c r="T1051" s="314"/>
      <c r="U1051" s="314"/>
      <c r="V1051" s="314"/>
      <c r="W1051" s="314"/>
      <c r="X1051" s="314"/>
      <c r="Y1051" s="314"/>
      <c r="Z1051" s="314"/>
    </row>
    <row r="1052" spans="2:26" s="147" customFormat="1" ht="14.15" customHeight="1" x14ac:dyDescent="0.35">
      <c r="B1052" s="146"/>
      <c r="E1052" s="314"/>
      <c r="F1052" s="314"/>
      <c r="G1052" s="314"/>
      <c r="H1052" s="314"/>
      <c r="I1052" s="314"/>
      <c r="J1052" s="314"/>
      <c r="K1052" s="314"/>
      <c r="L1052" s="314"/>
      <c r="M1052" s="314"/>
      <c r="N1052" s="314"/>
      <c r="O1052" s="314"/>
      <c r="P1052" s="314"/>
      <c r="Q1052" s="314"/>
      <c r="R1052" s="314"/>
      <c r="S1052" s="314"/>
      <c r="T1052" s="314"/>
      <c r="U1052" s="314"/>
      <c r="V1052" s="314"/>
      <c r="W1052" s="314"/>
      <c r="X1052" s="314"/>
      <c r="Y1052" s="314"/>
      <c r="Z1052" s="314"/>
    </row>
    <row r="1053" spans="2:26" s="147" customFormat="1" ht="14.15" customHeight="1" x14ac:dyDescent="0.35">
      <c r="B1053" s="146"/>
      <c r="E1053" s="314"/>
      <c r="F1053" s="314"/>
      <c r="G1053" s="314"/>
      <c r="H1053" s="314"/>
      <c r="I1053" s="314"/>
      <c r="J1053" s="314"/>
      <c r="K1053" s="314"/>
      <c r="L1053" s="314"/>
      <c r="M1053" s="314"/>
      <c r="N1053" s="314"/>
      <c r="O1053" s="314"/>
      <c r="P1053" s="314"/>
      <c r="Q1053" s="314"/>
      <c r="R1053" s="314"/>
      <c r="S1053" s="314"/>
      <c r="T1053" s="314"/>
      <c r="U1053" s="314"/>
      <c r="V1053" s="314"/>
      <c r="W1053" s="314"/>
      <c r="X1053" s="314"/>
      <c r="Y1053" s="314"/>
      <c r="Z1053" s="314"/>
    </row>
    <row r="1054" spans="2:26" s="147" customFormat="1" ht="14.15" customHeight="1" x14ac:dyDescent="0.35">
      <c r="B1054" s="146"/>
      <c r="E1054" s="314"/>
      <c r="F1054" s="314"/>
      <c r="G1054" s="314"/>
      <c r="H1054" s="314"/>
      <c r="I1054" s="314"/>
      <c r="J1054" s="314"/>
      <c r="K1054" s="314"/>
      <c r="L1054" s="314"/>
      <c r="M1054" s="314"/>
      <c r="N1054" s="314"/>
      <c r="O1054" s="314"/>
      <c r="P1054" s="314"/>
      <c r="Q1054" s="314"/>
      <c r="R1054" s="314"/>
      <c r="S1054" s="314"/>
      <c r="T1054" s="314"/>
      <c r="U1054" s="314"/>
      <c r="V1054" s="314"/>
      <c r="W1054" s="314"/>
      <c r="X1054" s="314"/>
      <c r="Y1054" s="314"/>
      <c r="Z1054" s="314"/>
    </row>
    <row r="1055" spans="2:26" s="147" customFormat="1" ht="14.15" customHeight="1" x14ac:dyDescent="0.35">
      <c r="B1055" s="146"/>
      <c r="E1055" s="314"/>
      <c r="F1055" s="314"/>
      <c r="G1055" s="314"/>
      <c r="H1055" s="314"/>
      <c r="I1055" s="314"/>
      <c r="J1055" s="314"/>
      <c r="K1055" s="314"/>
      <c r="L1055" s="314"/>
      <c r="M1055" s="314"/>
      <c r="N1055" s="314"/>
      <c r="O1055" s="314"/>
      <c r="P1055" s="314"/>
      <c r="Q1055" s="314"/>
      <c r="R1055" s="314"/>
      <c r="S1055" s="314"/>
      <c r="T1055" s="314"/>
      <c r="U1055" s="314"/>
      <c r="V1055" s="314"/>
      <c r="W1055" s="314"/>
      <c r="X1055" s="314"/>
      <c r="Y1055" s="314"/>
      <c r="Z1055" s="314"/>
    </row>
    <row r="1056" spans="2:26" s="147" customFormat="1" ht="14.15" customHeight="1" x14ac:dyDescent="0.35">
      <c r="B1056" s="146"/>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row>
    <row r="1057" spans="2:26" s="147" customFormat="1" ht="14.15" customHeight="1" x14ac:dyDescent="0.35">
      <c r="B1057" s="146"/>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row>
    <row r="1058" spans="2:26" s="147" customFormat="1" ht="14.15" customHeight="1" x14ac:dyDescent="0.35">
      <c r="B1058" s="146"/>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row>
    <row r="1059" spans="2:26" s="147" customFormat="1" ht="14.15" customHeight="1" x14ac:dyDescent="0.35">
      <c r="B1059" s="146"/>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row>
    <row r="1060" spans="2:26" s="147" customFormat="1" ht="14.15" customHeight="1" x14ac:dyDescent="0.35">
      <c r="B1060" s="146"/>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row>
    <row r="1061" spans="2:26" s="147" customFormat="1" ht="14.15" customHeight="1" x14ac:dyDescent="0.35">
      <c r="B1061" s="146"/>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row>
    <row r="1062" spans="2:26" s="147" customFormat="1" ht="14.15" customHeight="1" x14ac:dyDescent="0.35">
      <c r="B1062" s="146"/>
      <c r="E1062" s="314"/>
      <c r="F1062" s="314"/>
      <c r="G1062" s="314"/>
      <c r="H1062" s="314"/>
      <c r="I1062" s="314"/>
      <c r="J1062" s="314"/>
      <c r="K1062" s="314"/>
      <c r="L1062" s="314"/>
      <c r="M1062" s="314"/>
      <c r="N1062" s="314"/>
      <c r="O1062" s="314"/>
      <c r="P1062" s="314"/>
      <c r="Q1062" s="314"/>
      <c r="R1062" s="314"/>
      <c r="S1062" s="314"/>
      <c r="T1062" s="314"/>
      <c r="U1062" s="314"/>
      <c r="V1062" s="314"/>
      <c r="W1062" s="314"/>
      <c r="X1062" s="314"/>
      <c r="Y1062" s="314"/>
      <c r="Z1062" s="314"/>
    </row>
    <row r="1063" spans="2:26" s="147" customFormat="1" ht="14.15" customHeight="1" x14ac:dyDescent="0.35">
      <c r="B1063" s="146"/>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row>
    <row r="1064" spans="2:26" s="147" customFormat="1" ht="14.15" customHeight="1" x14ac:dyDescent="0.35">
      <c r="B1064" s="146"/>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row>
    <row r="1065" spans="2:26" s="147" customFormat="1" ht="14.15" customHeight="1" x14ac:dyDescent="0.35">
      <c r="B1065" s="146"/>
      <c r="E1065" s="314"/>
      <c r="F1065" s="314"/>
      <c r="G1065" s="314"/>
      <c r="H1065" s="314"/>
      <c r="I1065" s="314"/>
      <c r="J1065" s="314"/>
      <c r="K1065" s="314"/>
      <c r="L1065" s="314"/>
      <c r="M1065" s="314"/>
      <c r="N1065" s="314"/>
      <c r="O1065" s="314"/>
      <c r="P1065" s="314"/>
      <c r="Q1065" s="314"/>
      <c r="R1065" s="314"/>
      <c r="S1065" s="314"/>
      <c r="T1065" s="314"/>
      <c r="U1065" s="314"/>
      <c r="V1065" s="314"/>
      <c r="W1065" s="314"/>
      <c r="X1065" s="314"/>
      <c r="Y1065" s="314"/>
      <c r="Z1065" s="314"/>
    </row>
    <row r="1066" spans="2:26" s="147" customFormat="1" ht="14.15" customHeight="1" x14ac:dyDescent="0.35">
      <c r="B1066" s="146"/>
      <c r="E1066" s="314"/>
      <c r="F1066" s="314"/>
      <c r="G1066" s="314"/>
      <c r="H1066" s="314"/>
      <c r="I1066" s="314"/>
      <c r="J1066" s="314"/>
      <c r="K1066" s="314"/>
      <c r="L1066" s="314"/>
      <c r="M1066" s="314"/>
      <c r="N1066" s="314"/>
      <c r="O1066" s="314"/>
      <c r="P1066" s="314"/>
      <c r="Q1066" s="314"/>
      <c r="R1066" s="314"/>
      <c r="S1066" s="314"/>
      <c r="T1066" s="314"/>
      <c r="U1066" s="314"/>
      <c r="V1066" s="314"/>
      <c r="W1066" s="314"/>
      <c r="X1066" s="314"/>
      <c r="Y1066" s="314"/>
      <c r="Z1066" s="314"/>
    </row>
    <row r="1067" spans="2:26" s="147" customFormat="1" ht="14.15" customHeight="1" x14ac:dyDescent="0.35">
      <c r="B1067" s="146"/>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row>
    <row r="1068" spans="2:26" s="147" customFormat="1" ht="14.15" customHeight="1" x14ac:dyDescent="0.35">
      <c r="B1068" s="146"/>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row>
    <row r="1069" spans="2:26" s="147" customFormat="1" ht="14.15" customHeight="1" x14ac:dyDescent="0.35">
      <c r="B1069" s="146"/>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row>
    <row r="1070" spans="2:26" s="147" customFormat="1" ht="14.15" customHeight="1" x14ac:dyDescent="0.35">
      <c r="B1070" s="146"/>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row>
    <row r="1071" spans="2:26" s="147" customFormat="1" ht="14.15" customHeight="1" x14ac:dyDescent="0.35">
      <c r="B1071" s="146"/>
      <c r="E1071" s="314"/>
      <c r="F1071" s="314"/>
      <c r="G1071" s="314"/>
      <c r="H1071" s="314"/>
      <c r="I1071" s="314"/>
      <c r="J1071" s="314"/>
      <c r="K1071" s="314"/>
      <c r="L1071" s="314"/>
      <c r="M1071" s="314"/>
      <c r="N1071" s="314"/>
      <c r="O1071" s="314"/>
      <c r="P1071" s="314"/>
      <c r="Q1071" s="314"/>
      <c r="R1071" s="314"/>
      <c r="S1071" s="314"/>
      <c r="T1071" s="314"/>
      <c r="U1071" s="314"/>
      <c r="V1071" s="314"/>
      <c r="W1071" s="314"/>
      <c r="X1071" s="314"/>
      <c r="Y1071" s="314"/>
      <c r="Z1071" s="314"/>
    </row>
    <row r="1072" spans="2:26" s="147" customFormat="1" ht="14.15" customHeight="1" x14ac:dyDescent="0.35">
      <c r="B1072" s="146"/>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row>
    <row r="1073" spans="2:26" s="147" customFormat="1" ht="14.15" customHeight="1" x14ac:dyDescent="0.35">
      <c r="B1073" s="146"/>
      <c r="E1073" s="314"/>
      <c r="F1073" s="314"/>
      <c r="G1073" s="314"/>
      <c r="H1073" s="314"/>
      <c r="I1073" s="314"/>
      <c r="J1073" s="314"/>
      <c r="K1073" s="314"/>
      <c r="L1073" s="314"/>
      <c r="M1073" s="314"/>
      <c r="N1073" s="314"/>
      <c r="O1073" s="314"/>
      <c r="P1073" s="314"/>
      <c r="Q1073" s="314"/>
      <c r="R1073" s="314"/>
      <c r="S1073" s="314"/>
      <c r="T1073" s="314"/>
      <c r="U1073" s="314"/>
      <c r="V1073" s="314"/>
      <c r="W1073" s="314"/>
      <c r="X1073" s="314"/>
      <c r="Y1073" s="314"/>
      <c r="Z1073" s="314"/>
    </row>
    <row r="1074" spans="2:26" s="147" customFormat="1" ht="14.15" customHeight="1" x14ac:dyDescent="0.35">
      <c r="B1074" s="146"/>
      <c r="E1074" s="314"/>
      <c r="F1074" s="314"/>
      <c r="G1074" s="314"/>
      <c r="H1074" s="314"/>
      <c r="I1074" s="314"/>
      <c r="J1074" s="314"/>
      <c r="K1074" s="314"/>
      <c r="L1074" s="314"/>
      <c r="M1074" s="314"/>
      <c r="N1074" s="314"/>
      <c r="O1074" s="314"/>
      <c r="P1074" s="314"/>
      <c r="Q1074" s="314"/>
      <c r="R1074" s="314"/>
      <c r="S1074" s="314"/>
      <c r="T1074" s="314"/>
      <c r="U1074" s="314"/>
      <c r="V1074" s="314"/>
      <c r="W1074" s="314"/>
      <c r="X1074" s="314"/>
      <c r="Y1074" s="314"/>
      <c r="Z1074" s="314"/>
    </row>
    <row r="1075" spans="2:26" s="147" customFormat="1" ht="14.15" customHeight="1" x14ac:dyDescent="0.35">
      <c r="B1075" s="146"/>
      <c r="E1075" s="314"/>
      <c r="F1075" s="314"/>
      <c r="G1075" s="314"/>
      <c r="H1075" s="314"/>
      <c r="I1075" s="314"/>
      <c r="J1075" s="314"/>
      <c r="K1075" s="314"/>
      <c r="L1075" s="314"/>
      <c r="M1075" s="314"/>
      <c r="N1075" s="314"/>
      <c r="O1075" s="314"/>
      <c r="P1075" s="314"/>
      <c r="Q1075" s="314"/>
      <c r="R1075" s="314"/>
      <c r="S1075" s="314"/>
      <c r="T1075" s="314"/>
      <c r="U1075" s="314"/>
      <c r="V1075" s="314"/>
      <c r="W1075" s="314"/>
      <c r="X1075" s="314"/>
      <c r="Y1075" s="314"/>
      <c r="Z1075" s="314"/>
    </row>
    <row r="1076" spans="2:26" s="147" customFormat="1" ht="14.15" customHeight="1" x14ac:dyDescent="0.35">
      <c r="B1076" s="146"/>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row>
    <row r="1077" spans="2:26" s="147" customFormat="1" ht="14.15" customHeight="1" x14ac:dyDescent="0.35">
      <c r="B1077" s="146"/>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row>
    <row r="1078" spans="2:26" s="147" customFormat="1" ht="14.15" customHeight="1" x14ac:dyDescent="0.35">
      <c r="B1078" s="146"/>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row>
    <row r="1079" spans="2:26" s="147" customFormat="1" ht="14.15" customHeight="1" x14ac:dyDescent="0.35">
      <c r="B1079" s="146"/>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row>
    <row r="1080" spans="2:26" s="147" customFormat="1" ht="14.15" customHeight="1" x14ac:dyDescent="0.35">
      <c r="B1080" s="146"/>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row>
    <row r="1081" spans="2:26" s="147" customFormat="1" ht="14.15" customHeight="1" x14ac:dyDescent="0.35">
      <c r="B1081" s="146"/>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row>
    <row r="1082" spans="2:26" s="147" customFormat="1" ht="14.15" customHeight="1" x14ac:dyDescent="0.35">
      <c r="B1082" s="146"/>
      <c r="E1082" s="314"/>
      <c r="F1082" s="314"/>
      <c r="G1082" s="314"/>
      <c r="H1082" s="314"/>
      <c r="I1082" s="314"/>
      <c r="J1082" s="314"/>
      <c r="K1082" s="314"/>
      <c r="L1082" s="314"/>
      <c r="M1082" s="314"/>
      <c r="N1082" s="314"/>
      <c r="O1082" s="314"/>
      <c r="P1082" s="314"/>
      <c r="Q1082" s="314"/>
      <c r="R1082" s="314"/>
      <c r="S1082" s="314"/>
      <c r="T1082" s="314"/>
      <c r="U1082" s="314"/>
      <c r="V1082" s="314"/>
      <c r="W1082" s="314"/>
      <c r="X1082" s="314"/>
      <c r="Y1082" s="314"/>
      <c r="Z1082" s="314"/>
    </row>
    <row r="1083" spans="2:26" s="147" customFormat="1" ht="14.15" customHeight="1" x14ac:dyDescent="0.35">
      <c r="B1083" s="146"/>
      <c r="E1083" s="314"/>
      <c r="F1083" s="314"/>
      <c r="G1083" s="314"/>
      <c r="H1083" s="314"/>
      <c r="I1083" s="314"/>
      <c r="J1083" s="314"/>
      <c r="K1083" s="314"/>
      <c r="L1083" s="314"/>
      <c r="M1083" s="314"/>
      <c r="N1083" s="314"/>
      <c r="O1083" s="314"/>
      <c r="P1083" s="314"/>
      <c r="Q1083" s="314"/>
      <c r="R1083" s="314"/>
      <c r="S1083" s="314"/>
      <c r="T1083" s="314"/>
      <c r="U1083" s="314"/>
      <c r="V1083" s="314"/>
      <c r="W1083" s="314"/>
      <c r="X1083" s="314"/>
      <c r="Y1083" s="314"/>
      <c r="Z1083" s="314"/>
    </row>
    <row r="1084" spans="2:26" s="147" customFormat="1" ht="14.15" customHeight="1" x14ac:dyDescent="0.35">
      <c r="B1084" s="146"/>
      <c r="E1084" s="314"/>
      <c r="F1084" s="314"/>
      <c r="G1084" s="314"/>
      <c r="H1084" s="314"/>
      <c r="I1084" s="314"/>
      <c r="J1084" s="314"/>
      <c r="K1084" s="314"/>
      <c r="L1084" s="314"/>
      <c r="M1084" s="314"/>
      <c r="N1084" s="314"/>
      <c r="O1084" s="314"/>
      <c r="P1084" s="314"/>
      <c r="Q1084" s="314"/>
      <c r="R1084" s="314"/>
      <c r="S1084" s="314"/>
      <c r="T1084" s="314"/>
      <c r="U1084" s="314"/>
      <c r="V1084" s="314"/>
      <c r="W1084" s="314"/>
      <c r="X1084" s="314"/>
      <c r="Y1084" s="314"/>
      <c r="Z1084" s="314"/>
    </row>
    <row r="1085" spans="2:26" s="147" customFormat="1" ht="14.15" customHeight="1" x14ac:dyDescent="0.35">
      <c r="B1085" s="146"/>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4"/>
      <c r="Z1085" s="314"/>
    </row>
    <row r="1086" spans="2:26" s="147" customFormat="1" ht="14.15" customHeight="1" x14ac:dyDescent="0.35">
      <c r="B1086" s="146"/>
      <c r="E1086" s="314"/>
      <c r="F1086" s="314"/>
      <c r="G1086" s="314"/>
      <c r="H1086" s="314"/>
      <c r="I1086" s="314"/>
      <c r="J1086" s="314"/>
      <c r="K1086" s="314"/>
      <c r="L1086" s="314"/>
      <c r="M1086" s="314"/>
      <c r="N1086" s="314"/>
      <c r="O1086" s="314"/>
      <c r="P1086" s="314"/>
      <c r="Q1086" s="314"/>
      <c r="R1086" s="314"/>
      <c r="S1086" s="314"/>
      <c r="T1086" s="314"/>
      <c r="U1086" s="314"/>
      <c r="V1086" s="314"/>
      <c r="W1086" s="314"/>
      <c r="X1086" s="314"/>
      <c r="Y1086" s="314"/>
      <c r="Z1086" s="314"/>
    </row>
    <row r="1087" spans="2:26" s="147" customFormat="1" ht="14.15" customHeight="1" x14ac:dyDescent="0.35">
      <c r="B1087" s="146"/>
      <c r="E1087" s="314"/>
      <c r="F1087" s="314"/>
      <c r="G1087" s="314"/>
      <c r="H1087" s="314"/>
      <c r="I1087" s="314"/>
      <c r="J1087" s="314"/>
      <c r="K1087" s="314"/>
      <c r="L1087" s="314"/>
      <c r="M1087" s="314"/>
      <c r="N1087" s="314"/>
      <c r="O1087" s="314"/>
      <c r="P1087" s="314"/>
      <c r="Q1087" s="314"/>
      <c r="R1087" s="314"/>
      <c r="S1087" s="314"/>
      <c r="T1087" s="314"/>
      <c r="U1087" s="314"/>
      <c r="V1087" s="314"/>
      <c r="W1087" s="314"/>
      <c r="X1087" s="314"/>
      <c r="Y1087" s="314"/>
      <c r="Z1087" s="314"/>
    </row>
    <row r="1088" spans="2:26" s="147" customFormat="1" ht="14.15" customHeight="1" x14ac:dyDescent="0.35">
      <c r="B1088" s="146"/>
      <c r="E1088" s="314"/>
      <c r="F1088" s="314"/>
      <c r="G1088" s="314"/>
      <c r="H1088" s="314"/>
      <c r="I1088" s="314"/>
      <c r="J1088" s="314"/>
      <c r="K1088" s="314"/>
      <c r="L1088" s="314"/>
      <c r="M1088" s="314"/>
      <c r="N1088" s="314"/>
      <c r="O1088" s="314"/>
      <c r="P1088" s="314"/>
      <c r="Q1088" s="314"/>
      <c r="R1088" s="314"/>
      <c r="S1088" s="314"/>
      <c r="T1088" s="314"/>
      <c r="U1088" s="314"/>
      <c r="V1088" s="314"/>
      <c r="W1088" s="314"/>
      <c r="X1088" s="314"/>
      <c r="Y1088" s="314"/>
      <c r="Z1088" s="314"/>
    </row>
    <row r="1089" spans="2:26" s="147" customFormat="1" ht="14.15" customHeight="1" x14ac:dyDescent="0.35">
      <c r="B1089" s="146"/>
      <c r="E1089" s="314"/>
      <c r="F1089" s="314"/>
      <c r="G1089" s="314"/>
      <c r="H1089" s="314"/>
      <c r="I1089" s="314"/>
      <c r="J1089" s="314"/>
      <c r="K1089" s="314"/>
      <c r="L1089" s="314"/>
      <c r="M1089" s="314"/>
      <c r="N1089" s="314"/>
      <c r="O1089" s="314"/>
      <c r="P1089" s="314"/>
      <c r="Q1089" s="314"/>
      <c r="R1089" s="314"/>
      <c r="S1089" s="314"/>
      <c r="T1089" s="314"/>
      <c r="U1089" s="314"/>
      <c r="V1089" s="314"/>
      <c r="W1089" s="314"/>
      <c r="X1089" s="314"/>
      <c r="Y1089" s="314"/>
      <c r="Z1089" s="314"/>
    </row>
    <row r="1090" spans="2:26" s="147" customFormat="1" ht="14.15" customHeight="1" x14ac:dyDescent="0.35">
      <c r="B1090" s="146"/>
      <c r="E1090" s="314"/>
      <c r="F1090" s="314"/>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row>
    <row r="1091" spans="2:26" s="147" customFormat="1" ht="14.15" customHeight="1" x14ac:dyDescent="0.35">
      <c r="B1091" s="146"/>
      <c r="E1091" s="314"/>
      <c r="F1091" s="314"/>
      <c r="G1091" s="314"/>
      <c r="H1091" s="314"/>
      <c r="I1091" s="314"/>
      <c r="J1091" s="314"/>
      <c r="K1091" s="314"/>
      <c r="L1091" s="314"/>
      <c r="M1091" s="314"/>
      <c r="N1091" s="314"/>
      <c r="O1091" s="314"/>
      <c r="P1091" s="314"/>
      <c r="Q1091" s="314"/>
      <c r="R1091" s="314"/>
      <c r="S1091" s="314"/>
      <c r="T1091" s="314"/>
      <c r="U1091" s="314"/>
      <c r="V1091" s="314"/>
      <c r="W1091" s="314"/>
      <c r="X1091" s="314"/>
      <c r="Y1091" s="314"/>
      <c r="Z1091" s="314"/>
    </row>
    <row r="1092" spans="2:26" s="147" customFormat="1" ht="14.15" customHeight="1" x14ac:dyDescent="0.35">
      <c r="B1092" s="146"/>
      <c r="E1092" s="314"/>
      <c r="F1092" s="314"/>
      <c r="G1092" s="314"/>
      <c r="H1092" s="314"/>
      <c r="I1092" s="314"/>
      <c r="J1092" s="314"/>
      <c r="K1092" s="314"/>
      <c r="L1092" s="314"/>
      <c r="M1092" s="314"/>
      <c r="N1092" s="314"/>
      <c r="O1092" s="314"/>
      <c r="P1092" s="314"/>
      <c r="Q1092" s="314"/>
      <c r="R1092" s="314"/>
      <c r="S1092" s="314"/>
      <c r="T1092" s="314"/>
      <c r="U1092" s="314"/>
      <c r="V1092" s="314"/>
      <c r="W1092" s="314"/>
      <c r="X1092" s="314"/>
      <c r="Y1092" s="314"/>
      <c r="Z1092" s="314"/>
    </row>
    <row r="1093" spans="2:26" s="147" customFormat="1" ht="14.15" customHeight="1" x14ac:dyDescent="0.35">
      <c r="B1093" s="146"/>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row>
    <row r="1094" spans="2:26" s="147" customFormat="1" ht="14.15" customHeight="1" x14ac:dyDescent="0.35">
      <c r="B1094" s="146"/>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row>
    <row r="1095" spans="2:26" s="147" customFormat="1" ht="14.15" customHeight="1" x14ac:dyDescent="0.35">
      <c r="B1095" s="146"/>
      <c r="E1095" s="314"/>
      <c r="F1095" s="314"/>
      <c r="G1095" s="314"/>
      <c r="H1095" s="314"/>
      <c r="I1095" s="314"/>
      <c r="J1095" s="314"/>
      <c r="K1095" s="314"/>
      <c r="L1095" s="314"/>
      <c r="M1095" s="314"/>
      <c r="N1095" s="314"/>
      <c r="O1095" s="314"/>
      <c r="P1095" s="314"/>
      <c r="Q1095" s="314"/>
      <c r="R1095" s="314"/>
      <c r="S1095" s="314"/>
      <c r="T1095" s="314"/>
      <c r="U1095" s="314"/>
      <c r="V1095" s="314"/>
      <c r="W1095" s="314"/>
      <c r="X1095" s="314"/>
      <c r="Y1095" s="314"/>
      <c r="Z1095" s="314"/>
    </row>
    <row r="1096" spans="2:26" s="147" customFormat="1" ht="14.15" customHeight="1" x14ac:dyDescent="0.35">
      <c r="B1096" s="146"/>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row>
    <row r="1097" spans="2:26" s="147" customFormat="1" ht="14.15" customHeight="1" x14ac:dyDescent="0.35">
      <c r="B1097" s="146"/>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row>
    <row r="1098" spans="2:26" s="147" customFormat="1" ht="14.15" customHeight="1" x14ac:dyDescent="0.35">
      <c r="B1098" s="146"/>
      <c r="E1098" s="314"/>
      <c r="F1098" s="314"/>
      <c r="G1098" s="314"/>
      <c r="H1098" s="314"/>
      <c r="I1098" s="314"/>
      <c r="J1098" s="314"/>
      <c r="K1098" s="314"/>
      <c r="L1098" s="314"/>
      <c r="M1098" s="314"/>
      <c r="N1098" s="314"/>
      <c r="O1098" s="314"/>
      <c r="P1098" s="314"/>
      <c r="Q1098" s="314"/>
      <c r="R1098" s="314"/>
      <c r="S1098" s="314"/>
      <c r="T1098" s="314"/>
      <c r="U1098" s="314"/>
      <c r="V1098" s="314"/>
      <c r="W1098" s="314"/>
      <c r="X1098" s="314"/>
      <c r="Y1098" s="314"/>
      <c r="Z1098" s="314"/>
    </row>
    <row r="1099" spans="2:26" s="147" customFormat="1" ht="14.15" customHeight="1" x14ac:dyDescent="0.35">
      <c r="B1099" s="146"/>
      <c r="E1099" s="314"/>
      <c r="F1099" s="314"/>
      <c r="G1099" s="314"/>
      <c r="H1099" s="314"/>
      <c r="I1099" s="314"/>
      <c r="J1099" s="314"/>
      <c r="K1099" s="314"/>
      <c r="L1099" s="314"/>
      <c r="M1099" s="314"/>
      <c r="N1099" s="314"/>
      <c r="O1099" s="314"/>
      <c r="P1099" s="314"/>
      <c r="Q1099" s="314"/>
      <c r="R1099" s="314"/>
      <c r="S1099" s="314"/>
      <c r="T1099" s="314"/>
      <c r="U1099" s="314"/>
      <c r="V1099" s="314"/>
      <c r="W1099" s="314"/>
      <c r="X1099" s="314"/>
      <c r="Y1099" s="314"/>
      <c r="Z1099" s="314"/>
    </row>
    <row r="1100" spans="2:26" s="147" customFormat="1" ht="14.15" customHeight="1" x14ac:dyDescent="0.35">
      <c r="B1100" s="146"/>
      <c r="E1100" s="314"/>
      <c r="F1100" s="314"/>
      <c r="G1100" s="314"/>
      <c r="H1100" s="314"/>
      <c r="I1100" s="314"/>
      <c r="J1100" s="314"/>
      <c r="K1100" s="314"/>
      <c r="L1100" s="314"/>
      <c r="M1100" s="314"/>
      <c r="N1100" s="314"/>
      <c r="O1100" s="314"/>
      <c r="P1100" s="314"/>
      <c r="Q1100" s="314"/>
      <c r="R1100" s="314"/>
      <c r="S1100" s="314"/>
      <c r="T1100" s="314"/>
      <c r="U1100" s="314"/>
      <c r="V1100" s="314"/>
      <c r="W1100" s="314"/>
      <c r="X1100" s="314"/>
      <c r="Y1100" s="314"/>
      <c r="Z1100" s="314"/>
    </row>
    <row r="1101" spans="2:26" s="147" customFormat="1" ht="14.15" customHeight="1" x14ac:dyDescent="0.35">
      <c r="B1101" s="146"/>
      <c r="E1101" s="314"/>
      <c r="F1101" s="314"/>
      <c r="G1101" s="314"/>
      <c r="H1101" s="314"/>
      <c r="I1101" s="314"/>
      <c r="J1101" s="314"/>
      <c r="K1101" s="314"/>
      <c r="L1101" s="314"/>
      <c r="M1101" s="314"/>
      <c r="N1101" s="314"/>
      <c r="O1101" s="314"/>
      <c r="P1101" s="314"/>
      <c r="Q1101" s="314"/>
      <c r="R1101" s="314"/>
      <c r="S1101" s="314"/>
      <c r="T1101" s="314"/>
      <c r="U1101" s="314"/>
      <c r="V1101" s="314"/>
      <c r="W1101" s="314"/>
      <c r="X1101" s="314"/>
      <c r="Y1101" s="314"/>
      <c r="Z1101" s="314"/>
    </row>
    <row r="1102" spans="2:26" s="147" customFormat="1" ht="14.15" customHeight="1" x14ac:dyDescent="0.35">
      <c r="B1102" s="146"/>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row>
    <row r="1103" spans="2:26" s="147" customFormat="1" ht="14.15" customHeight="1" x14ac:dyDescent="0.35">
      <c r="B1103" s="146"/>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row>
    <row r="1104" spans="2:26" s="147" customFormat="1" ht="14.15" customHeight="1" x14ac:dyDescent="0.35">
      <c r="B1104" s="146"/>
      <c r="E1104" s="314"/>
      <c r="F1104" s="314"/>
      <c r="G1104" s="314"/>
      <c r="H1104" s="314"/>
      <c r="I1104" s="314"/>
      <c r="J1104" s="314"/>
      <c r="K1104" s="314"/>
      <c r="L1104" s="314"/>
      <c r="M1104" s="314"/>
      <c r="N1104" s="314"/>
      <c r="O1104" s="314"/>
      <c r="P1104" s="314"/>
      <c r="Q1104" s="314"/>
      <c r="R1104" s="314"/>
      <c r="S1104" s="314"/>
      <c r="T1104" s="314"/>
      <c r="U1104" s="314"/>
      <c r="V1104" s="314"/>
      <c r="W1104" s="314"/>
      <c r="X1104" s="314"/>
      <c r="Y1104" s="314"/>
      <c r="Z1104" s="314"/>
    </row>
    <row r="1105" spans="2:26" s="147" customFormat="1" ht="14.15" customHeight="1" x14ac:dyDescent="0.35">
      <c r="B1105" s="146"/>
      <c r="E1105" s="314"/>
      <c r="F1105" s="314"/>
      <c r="G1105" s="314"/>
      <c r="H1105" s="314"/>
      <c r="I1105" s="314"/>
      <c r="J1105" s="314"/>
      <c r="K1105" s="314"/>
      <c r="L1105" s="314"/>
      <c r="M1105" s="314"/>
      <c r="N1105" s="314"/>
      <c r="O1105" s="314"/>
      <c r="P1105" s="314"/>
      <c r="Q1105" s="314"/>
      <c r="R1105" s="314"/>
      <c r="S1105" s="314"/>
      <c r="T1105" s="314"/>
      <c r="U1105" s="314"/>
      <c r="V1105" s="314"/>
      <c r="W1105" s="314"/>
      <c r="X1105" s="314"/>
      <c r="Y1105" s="314"/>
      <c r="Z1105" s="314"/>
    </row>
    <row r="1106" spans="2:26" s="147" customFormat="1" ht="14.15" customHeight="1" x14ac:dyDescent="0.35">
      <c r="B1106" s="146"/>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row>
    <row r="1107" spans="2:26" s="147" customFormat="1" ht="14.15" customHeight="1" x14ac:dyDescent="0.35">
      <c r="B1107" s="146"/>
      <c r="E1107" s="314"/>
      <c r="F1107" s="314"/>
      <c r="G1107" s="314"/>
      <c r="H1107" s="314"/>
      <c r="I1107" s="314"/>
      <c r="J1107" s="314"/>
      <c r="K1107" s="314"/>
      <c r="L1107" s="314"/>
      <c r="M1107" s="314"/>
      <c r="N1107" s="314"/>
      <c r="O1107" s="314"/>
      <c r="P1107" s="314"/>
      <c r="Q1107" s="314"/>
      <c r="R1107" s="314"/>
      <c r="S1107" s="314"/>
      <c r="T1107" s="314"/>
      <c r="U1107" s="314"/>
      <c r="V1107" s="314"/>
      <c r="W1107" s="314"/>
      <c r="X1107" s="314"/>
      <c r="Y1107" s="314"/>
      <c r="Z1107" s="314"/>
    </row>
    <row r="1108" spans="2:26" s="147" customFormat="1" ht="14.15" customHeight="1" x14ac:dyDescent="0.35">
      <c r="B1108" s="146"/>
      <c r="E1108" s="314"/>
      <c r="F1108" s="314"/>
      <c r="G1108" s="314"/>
      <c r="H1108" s="314"/>
      <c r="I1108" s="314"/>
      <c r="J1108" s="314"/>
      <c r="K1108" s="314"/>
      <c r="L1108" s="314"/>
      <c r="M1108" s="314"/>
      <c r="N1108" s="314"/>
      <c r="O1108" s="314"/>
      <c r="P1108" s="314"/>
      <c r="Q1108" s="314"/>
      <c r="R1108" s="314"/>
      <c r="S1108" s="314"/>
      <c r="T1108" s="314"/>
      <c r="U1108" s="314"/>
      <c r="V1108" s="314"/>
      <c r="W1108" s="314"/>
      <c r="X1108" s="314"/>
      <c r="Y1108" s="314"/>
      <c r="Z1108" s="314"/>
    </row>
    <row r="1109" spans="2:26" s="147" customFormat="1" ht="14.15" customHeight="1" x14ac:dyDescent="0.35">
      <c r="B1109" s="146"/>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row>
    <row r="1110" spans="2:26" s="147" customFormat="1" ht="14.15" customHeight="1" x14ac:dyDescent="0.35">
      <c r="B1110" s="146"/>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row>
    <row r="1111" spans="2:26" s="147" customFormat="1" ht="14.15" customHeight="1" x14ac:dyDescent="0.35">
      <c r="B1111" s="146"/>
      <c r="E1111" s="314"/>
      <c r="F1111" s="314"/>
      <c r="G1111" s="314"/>
      <c r="H1111" s="314"/>
      <c r="I1111" s="314"/>
      <c r="J1111" s="314"/>
      <c r="K1111" s="314"/>
      <c r="L1111" s="314"/>
      <c r="M1111" s="314"/>
      <c r="N1111" s="314"/>
      <c r="O1111" s="314"/>
      <c r="P1111" s="314"/>
      <c r="Q1111" s="314"/>
      <c r="R1111" s="314"/>
      <c r="S1111" s="314"/>
      <c r="T1111" s="314"/>
      <c r="U1111" s="314"/>
      <c r="V1111" s="314"/>
      <c r="W1111" s="314"/>
      <c r="X1111" s="314"/>
      <c r="Y1111" s="314"/>
      <c r="Z1111" s="314"/>
    </row>
    <row r="1112" spans="2:26" s="147" customFormat="1" ht="14.15" customHeight="1" x14ac:dyDescent="0.35">
      <c r="B1112" s="146"/>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row>
    <row r="1113" spans="2:26" s="147" customFormat="1" ht="14.15" customHeight="1" x14ac:dyDescent="0.35">
      <c r="B1113" s="146"/>
      <c r="E1113" s="314"/>
      <c r="F1113" s="314"/>
      <c r="G1113" s="314"/>
      <c r="H1113" s="314"/>
      <c r="I1113" s="314"/>
      <c r="J1113" s="314"/>
      <c r="K1113" s="314"/>
      <c r="L1113" s="314"/>
      <c r="M1113" s="314"/>
      <c r="N1113" s="314"/>
      <c r="O1113" s="314"/>
      <c r="P1113" s="314"/>
      <c r="Q1113" s="314"/>
      <c r="R1113" s="314"/>
      <c r="S1113" s="314"/>
      <c r="T1113" s="314"/>
      <c r="U1113" s="314"/>
      <c r="V1113" s="314"/>
      <c r="W1113" s="314"/>
      <c r="X1113" s="314"/>
      <c r="Y1113" s="314"/>
      <c r="Z1113" s="314"/>
    </row>
    <row r="1114" spans="2:26" s="147" customFormat="1" ht="14.15" customHeight="1" x14ac:dyDescent="0.35">
      <c r="B1114" s="146"/>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row>
    <row r="1115" spans="2:26" s="147" customFormat="1" ht="14.15" customHeight="1" x14ac:dyDescent="0.35">
      <c r="B1115" s="146"/>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row>
    <row r="1116" spans="2:26" s="147" customFormat="1" ht="14.15" customHeight="1" x14ac:dyDescent="0.35">
      <c r="B1116" s="146"/>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row>
    <row r="1117" spans="2:26" s="147" customFormat="1" ht="14.15" customHeight="1" x14ac:dyDescent="0.35">
      <c r="B1117" s="146"/>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row>
    <row r="1118" spans="2:26" s="147" customFormat="1" ht="14.15" customHeight="1" x14ac:dyDescent="0.35">
      <c r="B1118" s="146"/>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row>
    <row r="1119" spans="2:26" s="147" customFormat="1" ht="14.15" customHeight="1" x14ac:dyDescent="0.35">
      <c r="B1119" s="146"/>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row>
    <row r="1120" spans="2:26" s="147" customFormat="1" ht="14.15" customHeight="1" x14ac:dyDescent="0.35">
      <c r="B1120" s="146"/>
      <c r="E1120" s="314"/>
      <c r="F1120" s="314"/>
      <c r="G1120" s="314"/>
      <c r="H1120" s="314"/>
      <c r="I1120" s="314"/>
      <c r="J1120" s="314"/>
      <c r="K1120" s="314"/>
      <c r="L1120" s="314"/>
      <c r="M1120" s="314"/>
      <c r="N1120" s="314"/>
      <c r="O1120" s="314"/>
      <c r="P1120" s="314"/>
      <c r="Q1120" s="314"/>
      <c r="R1120" s="314"/>
      <c r="S1120" s="314"/>
      <c r="T1120" s="314"/>
      <c r="U1120" s="314"/>
      <c r="V1120" s="314"/>
      <c r="W1120" s="314"/>
      <c r="X1120" s="314"/>
      <c r="Y1120" s="314"/>
      <c r="Z1120" s="314"/>
    </row>
    <row r="1121" spans="2:26" s="147" customFormat="1" ht="14.15" customHeight="1" x14ac:dyDescent="0.35">
      <c r="B1121" s="146"/>
      <c r="E1121" s="314"/>
      <c r="F1121" s="314"/>
      <c r="G1121" s="314"/>
      <c r="H1121" s="314"/>
      <c r="I1121" s="314"/>
      <c r="J1121" s="314"/>
      <c r="K1121" s="314"/>
      <c r="L1121" s="314"/>
      <c r="M1121" s="314"/>
      <c r="N1121" s="314"/>
      <c r="O1121" s="314"/>
      <c r="P1121" s="314"/>
      <c r="Q1121" s="314"/>
      <c r="R1121" s="314"/>
      <c r="S1121" s="314"/>
      <c r="T1121" s="314"/>
      <c r="U1121" s="314"/>
      <c r="V1121" s="314"/>
      <c r="W1121" s="314"/>
      <c r="X1121" s="314"/>
      <c r="Y1121" s="314"/>
      <c r="Z1121" s="314"/>
    </row>
    <row r="1122" spans="2:26" s="147" customFormat="1" ht="14.15" customHeight="1" x14ac:dyDescent="0.35">
      <c r="B1122" s="146"/>
      <c r="E1122" s="314"/>
      <c r="F1122" s="314"/>
      <c r="G1122" s="314"/>
      <c r="H1122" s="314"/>
      <c r="I1122" s="314"/>
      <c r="J1122" s="314"/>
      <c r="K1122" s="314"/>
      <c r="L1122" s="314"/>
      <c r="M1122" s="314"/>
      <c r="N1122" s="314"/>
      <c r="O1122" s="314"/>
      <c r="P1122" s="314"/>
      <c r="Q1122" s="314"/>
      <c r="R1122" s="314"/>
      <c r="S1122" s="314"/>
      <c r="T1122" s="314"/>
      <c r="U1122" s="314"/>
      <c r="V1122" s="314"/>
      <c r="W1122" s="314"/>
      <c r="X1122" s="314"/>
      <c r="Y1122" s="314"/>
      <c r="Z1122" s="314"/>
    </row>
    <row r="1123" spans="2:26" s="147" customFormat="1" ht="14.15" customHeight="1" x14ac:dyDescent="0.35">
      <c r="B1123" s="146"/>
      <c r="E1123" s="314"/>
      <c r="F1123" s="314"/>
      <c r="G1123" s="314"/>
      <c r="H1123" s="314"/>
      <c r="I1123" s="314"/>
      <c r="J1123" s="314"/>
      <c r="K1123" s="314"/>
      <c r="L1123" s="314"/>
      <c r="M1123" s="314"/>
      <c r="N1123" s="314"/>
      <c r="O1123" s="314"/>
      <c r="P1123" s="314"/>
      <c r="Q1123" s="314"/>
      <c r="R1123" s="314"/>
      <c r="S1123" s="314"/>
      <c r="T1123" s="314"/>
      <c r="U1123" s="314"/>
      <c r="V1123" s="314"/>
      <c r="W1123" s="314"/>
      <c r="X1123" s="314"/>
      <c r="Y1123" s="314"/>
      <c r="Z1123" s="314"/>
    </row>
    <row r="1124" spans="2:26" s="147" customFormat="1" ht="14.15" customHeight="1" x14ac:dyDescent="0.35">
      <c r="B1124" s="146"/>
      <c r="E1124" s="314"/>
      <c r="F1124" s="314"/>
      <c r="G1124" s="314"/>
      <c r="H1124" s="314"/>
      <c r="I1124" s="314"/>
      <c r="J1124" s="314"/>
      <c r="K1124" s="314"/>
      <c r="L1124" s="314"/>
      <c r="M1124" s="314"/>
      <c r="N1124" s="314"/>
      <c r="O1124" s="314"/>
      <c r="P1124" s="314"/>
      <c r="Q1124" s="314"/>
      <c r="R1124" s="314"/>
      <c r="S1124" s="314"/>
      <c r="T1124" s="314"/>
      <c r="U1124" s="314"/>
      <c r="V1124" s="314"/>
      <c r="W1124" s="314"/>
      <c r="X1124" s="314"/>
      <c r="Y1124" s="314"/>
      <c r="Z1124" s="314"/>
    </row>
    <row r="1125" spans="2:26" s="147" customFormat="1" ht="14.15" customHeight="1" x14ac:dyDescent="0.35">
      <c r="B1125" s="146"/>
      <c r="E1125" s="314"/>
      <c r="F1125" s="314"/>
      <c r="G1125" s="314"/>
      <c r="H1125" s="314"/>
      <c r="I1125" s="314"/>
      <c r="J1125" s="314"/>
      <c r="K1125" s="314"/>
      <c r="L1125" s="314"/>
      <c r="M1125" s="314"/>
      <c r="N1125" s="314"/>
      <c r="O1125" s="314"/>
      <c r="P1125" s="314"/>
      <c r="Q1125" s="314"/>
      <c r="R1125" s="314"/>
      <c r="S1125" s="314"/>
      <c r="T1125" s="314"/>
      <c r="U1125" s="314"/>
      <c r="V1125" s="314"/>
      <c r="W1125" s="314"/>
      <c r="X1125" s="314"/>
      <c r="Y1125" s="314"/>
      <c r="Z1125" s="314"/>
    </row>
    <row r="1126" spans="2:26" s="147" customFormat="1" ht="14.15" customHeight="1" x14ac:dyDescent="0.35">
      <c r="B1126" s="146"/>
      <c r="E1126" s="314"/>
      <c r="F1126" s="314"/>
      <c r="G1126" s="314"/>
      <c r="H1126" s="314"/>
      <c r="I1126" s="314"/>
      <c r="J1126" s="314"/>
      <c r="K1126" s="314"/>
      <c r="L1126" s="314"/>
      <c r="M1126" s="314"/>
      <c r="N1126" s="314"/>
      <c r="O1126" s="314"/>
      <c r="P1126" s="314"/>
      <c r="Q1126" s="314"/>
      <c r="R1126" s="314"/>
      <c r="S1126" s="314"/>
      <c r="T1126" s="314"/>
      <c r="U1126" s="314"/>
      <c r="V1126" s="314"/>
      <c r="W1126" s="314"/>
      <c r="X1126" s="314"/>
      <c r="Y1126" s="314"/>
      <c r="Z1126" s="314"/>
    </row>
    <row r="1127" spans="2:26" s="147" customFormat="1" ht="14.15" customHeight="1" x14ac:dyDescent="0.35">
      <c r="B1127" s="146"/>
      <c r="E1127" s="314"/>
      <c r="F1127" s="314"/>
      <c r="G1127" s="314"/>
      <c r="H1127" s="314"/>
      <c r="I1127" s="314"/>
      <c r="J1127" s="314"/>
      <c r="K1127" s="314"/>
      <c r="L1127" s="314"/>
      <c r="M1127" s="314"/>
      <c r="N1127" s="314"/>
      <c r="O1127" s="314"/>
      <c r="P1127" s="314"/>
      <c r="Q1127" s="314"/>
      <c r="R1127" s="314"/>
      <c r="S1127" s="314"/>
      <c r="T1127" s="314"/>
      <c r="U1127" s="314"/>
      <c r="V1127" s="314"/>
      <c r="W1127" s="314"/>
      <c r="X1127" s="314"/>
      <c r="Y1127" s="314"/>
      <c r="Z1127" s="314"/>
    </row>
    <row r="1128" spans="2:26" s="147" customFormat="1" ht="14.15" customHeight="1" x14ac:dyDescent="0.35">
      <c r="B1128" s="146"/>
      <c r="E1128" s="314"/>
      <c r="F1128" s="314"/>
      <c r="G1128" s="314"/>
      <c r="H1128" s="314"/>
      <c r="I1128" s="314"/>
      <c r="J1128" s="314"/>
      <c r="K1128" s="314"/>
      <c r="L1128" s="314"/>
      <c r="M1128" s="314"/>
      <c r="N1128" s="314"/>
      <c r="O1128" s="314"/>
      <c r="P1128" s="314"/>
      <c r="Q1128" s="314"/>
      <c r="R1128" s="314"/>
      <c r="S1128" s="314"/>
      <c r="T1128" s="314"/>
      <c r="U1128" s="314"/>
      <c r="V1128" s="314"/>
      <c r="W1128" s="314"/>
      <c r="X1128" s="314"/>
      <c r="Y1128" s="314"/>
      <c r="Z1128" s="314"/>
    </row>
    <row r="1129" spans="2:26" s="147" customFormat="1" ht="14.15" customHeight="1" x14ac:dyDescent="0.35">
      <c r="B1129" s="146"/>
      <c r="E1129" s="314"/>
      <c r="F1129" s="314"/>
      <c r="G1129" s="314"/>
      <c r="H1129" s="314"/>
      <c r="I1129" s="314"/>
      <c r="J1129" s="314"/>
      <c r="K1129" s="314"/>
      <c r="L1129" s="314"/>
      <c r="M1129" s="314"/>
      <c r="N1129" s="314"/>
      <c r="O1129" s="314"/>
      <c r="P1129" s="314"/>
      <c r="Q1129" s="314"/>
      <c r="R1129" s="314"/>
      <c r="S1129" s="314"/>
      <c r="T1129" s="314"/>
      <c r="U1129" s="314"/>
      <c r="V1129" s="314"/>
      <c r="W1129" s="314"/>
      <c r="X1129" s="314"/>
      <c r="Y1129" s="314"/>
      <c r="Z1129" s="314"/>
    </row>
    <row r="1130" spans="2:26" s="147" customFormat="1" ht="14.15" customHeight="1" x14ac:dyDescent="0.35">
      <c r="B1130" s="146"/>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row>
    <row r="1131" spans="2:26" s="147" customFormat="1" ht="14.15" customHeight="1" x14ac:dyDescent="0.35">
      <c r="B1131" s="146"/>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row>
    <row r="1132" spans="2:26" s="147" customFormat="1" ht="14.15" customHeight="1" x14ac:dyDescent="0.35">
      <c r="B1132" s="146"/>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row>
    <row r="1133" spans="2:26" s="147" customFormat="1" ht="14.15" customHeight="1" x14ac:dyDescent="0.35">
      <c r="B1133" s="146"/>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row>
    <row r="1134" spans="2:26" s="147" customFormat="1" ht="14.15" customHeight="1" x14ac:dyDescent="0.35">
      <c r="B1134" s="146"/>
      <c r="E1134" s="314"/>
      <c r="F1134" s="314"/>
      <c r="G1134" s="314"/>
      <c r="H1134" s="314"/>
      <c r="I1134" s="314"/>
      <c r="J1134" s="314"/>
      <c r="K1134" s="314"/>
      <c r="L1134" s="314"/>
      <c r="M1134" s="314"/>
      <c r="N1134" s="314"/>
      <c r="O1134" s="314"/>
      <c r="P1134" s="314"/>
      <c r="Q1134" s="314"/>
      <c r="R1134" s="314"/>
      <c r="S1134" s="314"/>
      <c r="T1134" s="314"/>
      <c r="U1134" s="314"/>
      <c r="V1134" s="314"/>
      <c r="W1134" s="314"/>
      <c r="X1134" s="314"/>
      <c r="Y1134" s="314"/>
      <c r="Z1134" s="314"/>
    </row>
    <row r="1135" spans="2:26" s="147" customFormat="1" ht="14.15" customHeight="1" x14ac:dyDescent="0.35">
      <c r="B1135" s="146"/>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row>
    <row r="1136" spans="2:26" s="147" customFormat="1" ht="14.15" customHeight="1" x14ac:dyDescent="0.35">
      <c r="B1136" s="146"/>
      <c r="E1136" s="314"/>
      <c r="F1136" s="314"/>
      <c r="G1136" s="314"/>
      <c r="H1136" s="314"/>
      <c r="I1136" s="314"/>
      <c r="J1136" s="314"/>
      <c r="K1136" s="314"/>
      <c r="L1136" s="314"/>
      <c r="M1136" s="314"/>
      <c r="N1136" s="314"/>
      <c r="O1136" s="314"/>
      <c r="P1136" s="314"/>
      <c r="Q1136" s="314"/>
      <c r="R1136" s="314"/>
      <c r="S1136" s="314"/>
      <c r="T1136" s="314"/>
      <c r="U1136" s="314"/>
      <c r="V1136" s="314"/>
      <c r="W1136" s="314"/>
      <c r="X1136" s="314"/>
      <c r="Y1136" s="314"/>
      <c r="Z1136" s="314"/>
    </row>
    <row r="1137" spans="2:26" s="147" customFormat="1" ht="14.15" customHeight="1" x14ac:dyDescent="0.35">
      <c r="B1137" s="146"/>
      <c r="E1137" s="314"/>
      <c r="F1137" s="314"/>
      <c r="G1137" s="314"/>
      <c r="H1137" s="314"/>
      <c r="I1137" s="314"/>
      <c r="J1137" s="314"/>
      <c r="K1137" s="314"/>
      <c r="L1137" s="314"/>
      <c r="M1137" s="314"/>
      <c r="N1137" s="314"/>
      <c r="O1137" s="314"/>
      <c r="P1137" s="314"/>
      <c r="Q1137" s="314"/>
      <c r="R1137" s="314"/>
      <c r="S1137" s="314"/>
      <c r="T1137" s="314"/>
      <c r="U1137" s="314"/>
      <c r="V1137" s="314"/>
      <c r="W1137" s="314"/>
      <c r="X1137" s="314"/>
      <c r="Y1137" s="314"/>
      <c r="Z1137" s="314"/>
    </row>
    <row r="1138" spans="2:26" s="147" customFormat="1" ht="14.15" customHeight="1" x14ac:dyDescent="0.35">
      <c r="B1138" s="146"/>
      <c r="E1138" s="314"/>
      <c r="F1138" s="314"/>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row>
    <row r="1139" spans="2:26" s="147" customFormat="1" ht="14.15" customHeight="1" x14ac:dyDescent="0.35">
      <c r="B1139" s="146"/>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row>
    <row r="1140" spans="2:26" s="147" customFormat="1" ht="14.15" customHeight="1" x14ac:dyDescent="0.35">
      <c r="B1140" s="146"/>
      <c r="E1140" s="314"/>
      <c r="F1140" s="314"/>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row>
    <row r="1141" spans="2:26" s="147" customFormat="1" ht="14.15" customHeight="1" x14ac:dyDescent="0.35">
      <c r="B1141" s="146"/>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row>
    <row r="1142" spans="2:26" s="147" customFormat="1" ht="14.15" customHeight="1" x14ac:dyDescent="0.35">
      <c r="B1142" s="146"/>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row>
    <row r="1143" spans="2:26" s="147" customFormat="1" ht="14.15" customHeight="1" x14ac:dyDescent="0.35">
      <c r="B1143" s="146"/>
      <c r="E1143" s="314"/>
      <c r="F1143" s="314"/>
      <c r="G1143" s="314"/>
      <c r="H1143" s="314"/>
      <c r="I1143" s="314"/>
      <c r="J1143" s="314"/>
      <c r="K1143" s="314"/>
      <c r="L1143" s="314"/>
      <c r="M1143" s="314"/>
      <c r="N1143" s="314"/>
      <c r="O1143" s="314"/>
      <c r="P1143" s="314"/>
      <c r="Q1143" s="314"/>
      <c r="R1143" s="314"/>
      <c r="S1143" s="314"/>
      <c r="T1143" s="314"/>
      <c r="U1143" s="314"/>
      <c r="V1143" s="314"/>
      <c r="W1143" s="314"/>
      <c r="X1143" s="314"/>
      <c r="Y1143" s="314"/>
      <c r="Z1143" s="314"/>
    </row>
    <row r="1144" spans="2:26" s="147" customFormat="1" ht="14.15" customHeight="1" x14ac:dyDescent="0.35">
      <c r="B1144" s="146"/>
      <c r="E1144" s="314"/>
      <c r="F1144" s="314"/>
      <c r="G1144" s="314"/>
      <c r="H1144" s="314"/>
      <c r="I1144" s="314"/>
      <c r="J1144" s="314"/>
      <c r="K1144" s="314"/>
      <c r="L1144" s="314"/>
      <c r="M1144" s="314"/>
      <c r="N1144" s="314"/>
      <c r="O1144" s="314"/>
      <c r="P1144" s="314"/>
      <c r="Q1144" s="314"/>
      <c r="R1144" s="314"/>
      <c r="S1144" s="314"/>
      <c r="T1144" s="314"/>
      <c r="U1144" s="314"/>
      <c r="V1144" s="314"/>
      <c r="W1144" s="314"/>
      <c r="X1144" s="314"/>
      <c r="Y1144" s="314"/>
      <c r="Z1144" s="314"/>
    </row>
    <row r="1145" spans="2:26" s="147" customFormat="1" ht="14.15" customHeight="1" x14ac:dyDescent="0.35">
      <c r="B1145" s="146"/>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row>
    <row r="1146" spans="2:26" s="147" customFormat="1" ht="14.15" customHeight="1" x14ac:dyDescent="0.35">
      <c r="B1146" s="146"/>
      <c r="E1146" s="314"/>
      <c r="F1146" s="314"/>
      <c r="G1146" s="314"/>
      <c r="H1146" s="314"/>
      <c r="I1146" s="314"/>
      <c r="J1146" s="314"/>
      <c r="K1146" s="314"/>
      <c r="L1146" s="314"/>
      <c r="M1146" s="314"/>
      <c r="N1146" s="314"/>
      <c r="O1146" s="314"/>
      <c r="P1146" s="314"/>
      <c r="Q1146" s="314"/>
      <c r="R1146" s="314"/>
      <c r="S1146" s="314"/>
      <c r="T1146" s="314"/>
      <c r="U1146" s="314"/>
      <c r="V1146" s="314"/>
      <c r="W1146" s="314"/>
      <c r="X1146" s="314"/>
      <c r="Y1146" s="314"/>
      <c r="Z1146" s="314"/>
    </row>
    <row r="1147" spans="2:26" s="147" customFormat="1" ht="14.15" customHeight="1" x14ac:dyDescent="0.35">
      <c r="B1147" s="146"/>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row>
    <row r="1148" spans="2:26" s="147" customFormat="1" ht="14.15" customHeight="1" x14ac:dyDescent="0.35">
      <c r="B1148" s="146"/>
      <c r="E1148" s="314"/>
      <c r="F1148" s="314"/>
      <c r="G1148" s="314"/>
      <c r="H1148" s="314"/>
      <c r="I1148" s="314"/>
      <c r="J1148" s="314"/>
      <c r="K1148" s="314"/>
      <c r="L1148" s="314"/>
      <c r="M1148" s="314"/>
      <c r="N1148" s="314"/>
      <c r="O1148" s="314"/>
      <c r="P1148" s="314"/>
      <c r="Q1148" s="314"/>
      <c r="R1148" s="314"/>
      <c r="S1148" s="314"/>
      <c r="T1148" s="314"/>
      <c r="U1148" s="314"/>
      <c r="V1148" s="314"/>
      <c r="W1148" s="314"/>
      <c r="X1148" s="314"/>
      <c r="Y1148" s="314"/>
      <c r="Z1148" s="314"/>
    </row>
    <row r="1149" spans="2:26" s="147" customFormat="1" ht="14.15" customHeight="1" x14ac:dyDescent="0.35">
      <c r="B1149" s="146"/>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row>
    <row r="1150" spans="2:26" s="147" customFormat="1" ht="14.15" customHeight="1" x14ac:dyDescent="0.35">
      <c r="B1150" s="146"/>
      <c r="E1150" s="314"/>
      <c r="F1150" s="314"/>
      <c r="G1150" s="314"/>
      <c r="H1150" s="314"/>
      <c r="I1150" s="314"/>
      <c r="J1150" s="314"/>
      <c r="K1150" s="314"/>
      <c r="L1150" s="314"/>
      <c r="M1150" s="314"/>
      <c r="N1150" s="314"/>
      <c r="O1150" s="314"/>
      <c r="P1150" s="314"/>
      <c r="Q1150" s="314"/>
      <c r="R1150" s="314"/>
      <c r="S1150" s="314"/>
      <c r="T1150" s="314"/>
      <c r="U1150" s="314"/>
      <c r="V1150" s="314"/>
      <c r="W1150" s="314"/>
      <c r="X1150" s="314"/>
      <c r="Y1150" s="314"/>
      <c r="Z1150" s="314"/>
    </row>
    <row r="1151" spans="2:26" s="147" customFormat="1" ht="14.15" customHeight="1" x14ac:dyDescent="0.35">
      <c r="B1151" s="146"/>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row>
    <row r="1152" spans="2:26" s="147" customFormat="1" ht="14.15" customHeight="1" x14ac:dyDescent="0.35">
      <c r="B1152" s="146"/>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row>
    <row r="1153" spans="2:26" s="147" customFormat="1" ht="14.15" customHeight="1" x14ac:dyDescent="0.35">
      <c r="B1153" s="146"/>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row>
    <row r="1154" spans="2:26" s="147" customFormat="1" ht="14.15" customHeight="1" x14ac:dyDescent="0.35">
      <c r="B1154" s="146"/>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row>
    <row r="1155" spans="2:26" s="147" customFormat="1" ht="14.15" customHeight="1" x14ac:dyDescent="0.35">
      <c r="B1155" s="146"/>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row>
    <row r="1156" spans="2:26" s="147" customFormat="1" ht="14.15" customHeight="1" x14ac:dyDescent="0.35">
      <c r="B1156" s="146"/>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row>
    <row r="1157" spans="2:26" s="147" customFormat="1" ht="14.15" customHeight="1" x14ac:dyDescent="0.35">
      <c r="B1157" s="146"/>
      <c r="E1157" s="314"/>
      <c r="F1157" s="314"/>
      <c r="G1157" s="314"/>
      <c r="H1157" s="314"/>
      <c r="I1157" s="314"/>
      <c r="J1157" s="314"/>
      <c r="K1157" s="314"/>
      <c r="L1157" s="314"/>
      <c r="M1157" s="314"/>
      <c r="N1157" s="314"/>
      <c r="O1157" s="314"/>
      <c r="P1157" s="314"/>
      <c r="Q1157" s="314"/>
      <c r="R1157" s="314"/>
      <c r="S1157" s="314"/>
      <c r="T1157" s="314"/>
      <c r="U1157" s="314"/>
      <c r="V1157" s="314"/>
      <c r="W1157" s="314"/>
      <c r="X1157" s="314"/>
      <c r="Y1157" s="314"/>
      <c r="Z1157" s="314"/>
    </row>
    <row r="1158" spans="2:26" s="147" customFormat="1" ht="14.15" customHeight="1" x14ac:dyDescent="0.35">
      <c r="B1158" s="146"/>
      <c r="E1158" s="314"/>
      <c r="F1158" s="314"/>
      <c r="G1158" s="314"/>
      <c r="H1158" s="314"/>
      <c r="I1158" s="314"/>
      <c r="J1158" s="314"/>
      <c r="K1158" s="314"/>
      <c r="L1158" s="314"/>
      <c r="M1158" s="314"/>
      <c r="N1158" s="314"/>
      <c r="O1158" s="314"/>
      <c r="P1158" s="314"/>
      <c r="Q1158" s="314"/>
      <c r="R1158" s="314"/>
      <c r="S1158" s="314"/>
      <c r="T1158" s="314"/>
      <c r="U1158" s="314"/>
      <c r="V1158" s="314"/>
      <c r="W1158" s="314"/>
      <c r="X1158" s="314"/>
      <c r="Y1158" s="314"/>
      <c r="Z1158" s="314"/>
    </row>
    <row r="1159" spans="2:26" s="147" customFormat="1" ht="14.15" customHeight="1" x14ac:dyDescent="0.35">
      <c r="B1159" s="146"/>
      <c r="E1159" s="314"/>
      <c r="F1159" s="314"/>
      <c r="G1159" s="314"/>
      <c r="H1159" s="314"/>
      <c r="I1159" s="314"/>
      <c r="J1159" s="314"/>
      <c r="K1159" s="314"/>
      <c r="L1159" s="314"/>
      <c r="M1159" s="314"/>
      <c r="N1159" s="314"/>
      <c r="O1159" s="314"/>
      <c r="P1159" s="314"/>
      <c r="Q1159" s="314"/>
      <c r="R1159" s="314"/>
      <c r="S1159" s="314"/>
      <c r="T1159" s="314"/>
      <c r="U1159" s="314"/>
      <c r="V1159" s="314"/>
      <c r="W1159" s="314"/>
      <c r="X1159" s="314"/>
      <c r="Y1159" s="314"/>
      <c r="Z1159" s="314"/>
    </row>
    <row r="1160" spans="2:26" s="147" customFormat="1" ht="14.15" customHeight="1" x14ac:dyDescent="0.35">
      <c r="B1160" s="146"/>
      <c r="E1160" s="314"/>
      <c r="F1160" s="314"/>
      <c r="G1160" s="314"/>
      <c r="H1160" s="314"/>
      <c r="I1160" s="314"/>
      <c r="J1160" s="314"/>
      <c r="K1160" s="314"/>
      <c r="L1160" s="314"/>
      <c r="M1160" s="314"/>
      <c r="N1160" s="314"/>
      <c r="O1160" s="314"/>
      <c r="P1160" s="314"/>
      <c r="Q1160" s="314"/>
      <c r="R1160" s="314"/>
      <c r="S1160" s="314"/>
      <c r="T1160" s="314"/>
      <c r="U1160" s="314"/>
      <c r="V1160" s="314"/>
      <c r="W1160" s="314"/>
      <c r="X1160" s="314"/>
      <c r="Y1160" s="314"/>
      <c r="Z1160" s="314"/>
    </row>
    <row r="1161" spans="2:26" s="147" customFormat="1" ht="14.15" customHeight="1" x14ac:dyDescent="0.35">
      <c r="B1161" s="146"/>
      <c r="E1161" s="314"/>
      <c r="F1161" s="314"/>
      <c r="G1161" s="314"/>
      <c r="H1161" s="314"/>
      <c r="I1161" s="314"/>
      <c r="J1161" s="314"/>
      <c r="K1161" s="314"/>
      <c r="L1161" s="314"/>
      <c r="M1161" s="314"/>
      <c r="N1161" s="314"/>
      <c r="O1161" s="314"/>
      <c r="P1161" s="314"/>
      <c r="Q1161" s="314"/>
      <c r="R1161" s="314"/>
      <c r="S1161" s="314"/>
      <c r="T1161" s="314"/>
      <c r="U1161" s="314"/>
      <c r="V1161" s="314"/>
      <c r="W1161" s="314"/>
      <c r="X1161" s="314"/>
      <c r="Y1161" s="314"/>
      <c r="Z1161" s="314"/>
    </row>
    <row r="1162" spans="2:26" s="147" customFormat="1" ht="14.15" customHeight="1" x14ac:dyDescent="0.35">
      <c r="B1162" s="146"/>
      <c r="E1162" s="314"/>
      <c r="F1162" s="314"/>
      <c r="G1162" s="314"/>
      <c r="H1162" s="314"/>
      <c r="I1162" s="314"/>
      <c r="J1162" s="314"/>
      <c r="K1162" s="314"/>
      <c r="L1162" s="314"/>
      <c r="M1162" s="314"/>
      <c r="N1162" s="314"/>
      <c r="O1162" s="314"/>
      <c r="P1162" s="314"/>
      <c r="Q1162" s="314"/>
      <c r="R1162" s="314"/>
      <c r="S1162" s="314"/>
      <c r="T1162" s="314"/>
      <c r="U1162" s="314"/>
      <c r="V1162" s="314"/>
      <c r="W1162" s="314"/>
      <c r="X1162" s="314"/>
      <c r="Y1162" s="314"/>
      <c r="Z1162" s="314"/>
    </row>
    <row r="1163" spans="2:26" s="147" customFormat="1" ht="14.15" customHeight="1" x14ac:dyDescent="0.35">
      <c r="B1163" s="146"/>
      <c r="E1163" s="314"/>
      <c r="F1163" s="314"/>
      <c r="G1163" s="314"/>
      <c r="H1163" s="314"/>
      <c r="I1163" s="314"/>
      <c r="J1163" s="314"/>
      <c r="K1163" s="314"/>
      <c r="L1163" s="314"/>
      <c r="M1163" s="314"/>
      <c r="N1163" s="314"/>
      <c r="O1163" s="314"/>
      <c r="P1163" s="314"/>
      <c r="Q1163" s="314"/>
      <c r="R1163" s="314"/>
      <c r="S1163" s="314"/>
      <c r="T1163" s="314"/>
      <c r="U1163" s="314"/>
      <c r="V1163" s="314"/>
      <c r="W1163" s="314"/>
      <c r="X1163" s="314"/>
      <c r="Y1163" s="314"/>
      <c r="Z1163" s="314"/>
    </row>
    <row r="1164" spans="2:26" s="147" customFormat="1" ht="14.15" customHeight="1" x14ac:dyDescent="0.35">
      <c r="B1164" s="146"/>
      <c r="E1164" s="314"/>
      <c r="F1164" s="314"/>
      <c r="G1164" s="314"/>
      <c r="H1164" s="314"/>
      <c r="I1164" s="314"/>
      <c r="J1164" s="314"/>
      <c r="K1164" s="314"/>
      <c r="L1164" s="314"/>
      <c r="M1164" s="314"/>
      <c r="N1164" s="314"/>
      <c r="O1164" s="314"/>
      <c r="P1164" s="314"/>
      <c r="Q1164" s="314"/>
      <c r="R1164" s="314"/>
      <c r="S1164" s="314"/>
      <c r="T1164" s="314"/>
      <c r="U1164" s="314"/>
      <c r="V1164" s="314"/>
      <c r="W1164" s="314"/>
      <c r="X1164" s="314"/>
      <c r="Y1164" s="314"/>
      <c r="Z1164" s="314"/>
    </row>
    <row r="1165" spans="2:26" s="147" customFormat="1" ht="14.15" customHeight="1" x14ac:dyDescent="0.35">
      <c r="B1165" s="146"/>
      <c r="E1165" s="314"/>
      <c r="F1165" s="314"/>
      <c r="G1165" s="314"/>
      <c r="H1165" s="314"/>
      <c r="I1165" s="314"/>
      <c r="J1165" s="314"/>
      <c r="K1165" s="314"/>
      <c r="L1165" s="314"/>
      <c r="M1165" s="314"/>
      <c r="N1165" s="314"/>
      <c r="O1165" s="314"/>
      <c r="P1165" s="314"/>
      <c r="Q1165" s="314"/>
      <c r="R1165" s="314"/>
      <c r="S1165" s="314"/>
      <c r="T1165" s="314"/>
      <c r="U1165" s="314"/>
      <c r="V1165" s="314"/>
      <c r="W1165" s="314"/>
      <c r="X1165" s="314"/>
      <c r="Y1165" s="314"/>
      <c r="Z1165" s="314"/>
    </row>
    <row r="1166" spans="2:26" s="147" customFormat="1" ht="14.15" customHeight="1" x14ac:dyDescent="0.35">
      <c r="B1166" s="146"/>
      <c r="E1166" s="314"/>
      <c r="F1166" s="314"/>
      <c r="G1166" s="314"/>
      <c r="H1166" s="314"/>
      <c r="I1166" s="314"/>
      <c r="J1166" s="314"/>
      <c r="K1166" s="314"/>
      <c r="L1166" s="314"/>
      <c r="M1166" s="314"/>
      <c r="N1166" s="314"/>
      <c r="O1166" s="314"/>
      <c r="P1166" s="314"/>
      <c r="Q1166" s="314"/>
      <c r="R1166" s="314"/>
      <c r="S1166" s="314"/>
      <c r="T1166" s="314"/>
      <c r="U1166" s="314"/>
      <c r="V1166" s="314"/>
      <c r="W1166" s="314"/>
      <c r="X1166" s="314"/>
      <c r="Y1166" s="314"/>
      <c r="Z1166" s="314"/>
    </row>
    <row r="1167" spans="2:26" s="147" customFormat="1" ht="14.15" customHeight="1" x14ac:dyDescent="0.35">
      <c r="B1167" s="146"/>
      <c r="E1167" s="314"/>
      <c r="F1167" s="314"/>
      <c r="G1167" s="314"/>
      <c r="H1167" s="314"/>
      <c r="I1167" s="314"/>
      <c r="J1167" s="314"/>
      <c r="K1167" s="314"/>
      <c r="L1167" s="314"/>
      <c r="M1167" s="314"/>
      <c r="N1167" s="314"/>
      <c r="O1167" s="314"/>
      <c r="P1167" s="314"/>
      <c r="Q1167" s="314"/>
      <c r="R1167" s="314"/>
      <c r="S1167" s="314"/>
      <c r="T1167" s="314"/>
      <c r="U1167" s="314"/>
      <c r="V1167" s="314"/>
      <c r="W1167" s="314"/>
      <c r="X1167" s="314"/>
      <c r="Y1167" s="314"/>
      <c r="Z1167" s="314"/>
    </row>
    <row r="1168" spans="2:26" s="147" customFormat="1" ht="14.15" customHeight="1" x14ac:dyDescent="0.35">
      <c r="B1168" s="146"/>
      <c r="E1168" s="314"/>
      <c r="F1168" s="314"/>
      <c r="G1168" s="314"/>
      <c r="H1168" s="314"/>
      <c r="I1168" s="314"/>
      <c r="J1168" s="314"/>
      <c r="K1168" s="314"/>
      <c r="L1168" s="314"/>
      <c r="M1168" s="314"/>
      <c r="N1168" s="314"/>
      <c r="O1168" s="314"/>
      <c r="P1168" s="314"/>
      <c r="Q1168" s="314"/>
      <c r="R1168" s="314"/>
      <c r="S1168" s="314"/>
      <c r="T1168" s="314"/>
      <c r="U1168" s="314"/>
      <c r="V1168" s="314"/>
      <c r="W1168" s="314"/>
      <c r="X1168" s="314"/>
      <c r="Y1168" s="314"/>
      <c r="Z1168" s="314"/>
    </row>
    <row r="1169" spans="2:26" s="147" customFormat="1" ht="14.15" customHeight="1" x14ac:dyDescent="0.35">
      <c r="B1169" s="146"/>
      <c r="E1169" s="314"/>
      <c r="F1169" s="314"/>
      <c r="G1169" s="314"/>
      <c r="H1169" s="314"/>
      <c r="I1169" s="314"/>
      <c r="J1169" s="314"/>
      <c r="K1169" s="314"/>
      <c r="L1169" s="314"/>
      <c r="M1169" s="314"/>
      <c r="N1169" s="314"/>
      <c r="O1169" s="314"/>
      <c r="P1169" s="314"/>
      <c r="Q1169" s="314"/>
      <c r="R1169" s="314"/>
      <c r="S1169" s="314"/>
      <c r="T1169" s="314"/>
      <c r="U1169" s="314"/>
      <c r="V1169" s="314"/>
      <c r="W1169" s="314"/>
      <c r="X1169" s="314"/>
      <c r="Y1169" s="314"/>
      <c r="Z1169" s="314"/>
    </row>
    <row r="1170" spans="2:26" s="147" customFormat="1" ht="14.15" customHeight="1" x14ac:dyDescent="0.35">
      <c r="B1170" s="146"/>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row>
    <row r="1171" spans="2:26" s="147" customFormat="1" ht="14.15" customHeight="1" x14ac:dyDescent="0.35">
      <c r="B1171" s="146"/>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row>
    <row r="1172" spans="2:26" s="147" customFormat="1" ht="14.15" customHeight="1" x14ac:dyDescent="0.35">
      <c r="B1172" s="146"/>
      <c r="E1172" s="314"/>
      <c r="F1172" s="314"/>
      <c r="G1172" s="314"/>
      <c r="H1172" s="314"/>
      <c r="I1172" s="314"/>
      <c r="J1172" s="314"/>
      <c r="K1172" s="314"/>
      <c r="L1172" s="314"/>
      <c r="M1172" s="314"/>
      <c r="N1172" s="314"/>
      <c r="O1172" s="314"/>
      <c r="P1172" s="314"/>
      <c r="Q1172" s="314"/>
      <c r="R1172" s="314"/>
      <c r="S1172" s="314"/>
      <c r="T1172" s="314"/>
      <c r="U1172" s="314"/>
      <c r="V1172" s="314"/>
      <c r="W1172" s="314"/>
      <c r="X1172" s="314"/>
      <c r="Y1172" s="314"/>
      <c r="Z1172" s="314"/>
    </row>
    <row r="1173" spans="2:26" s="147" customFormat="1" ht="14.15" customHeight="1" x14ac:dyDescent="0.35">
      <c r="B1173" s="146"/>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row>
    <row r="1174" spans="2:26" s="147" customFormat="1" ht="14.15" customHeight="1" x14ac:dyDescent="0.35">
      <c r="B1174" s="146"/>
      <c r="E1174" s="314"/>
      <c r="F1174" s="314"/>
      <c r="G1174" s="314"/>
      <c r="H1174" s="314"/>
      <c r="I1174" s="314"/>
      <c r="J1174" s="314"/>
      <c r="K1174" s="314"/>
      <c r="L1174" s="314"/>
      <c r="M1174" s="314"/>
      <c r="N1174" s="314"/>
      <c r="O1174" s="314"/>
      <c r="P1174" s="314"/>
      <c r="Q1174" s="314"/>
      <c r="R1174" s="314"/>
      <c r="S1174" s="314"/>
      <c r="T1174" s="314"/>
      <c r="U1174" s="314"/>
      <c r="V1174" s="314"/>
      <c r="W1174" s="314"/>
      <c r="X1174" s="314"/>
      <c r="Y1174" s="314"/>
      <c r="Z1174" s="314"/>
    </row>
    <row r="1175" spans="2:26" s="147" customFormat="1" ht="14.15" customHeight="1" x14ac:dyDescent="0.35">
      <c r="B1175" s="146"/>
      <c r="E1175" s="314"/>
      <c r="F1175" s="314"/>
      <c r="G1175" s="314"/>
      <c r="H1175" s="314"/>
      <c r="I1175" s="314"/>
      <c r="J1175" s="314"/>
      <c r="K1175" s="314"/>
      <c r="L1175" s="314"/>
      <c r="M1175" s="314"/>
      <c r="N1175" s="314"/>
      <c r="O1175" s="314"/>
      <c r="P1175" s="314"/>
      <c r="Q1175" s="314"/>
      <c r="R1175" s="314"/>
      <c r="S1175" s="314"/>
      <c r="T1175" s="314"/>
      <c r="U1175" s="314"/>
      <c r="V1175" s="314"/>
      <c r="W1175" s="314"/>
      <c r="X1175" s="314"/>
      <c r="Y1175" s="314"/>
      <c r="Z1175" s="314"/>
    </row>
    <row r="1176" spans="2:26" s="147" customFormat="1" ht="14.15" customHeight="1" x14ac:dyDescent="0.35">
      <c r="B1176" s="146"/>
      <c r="E1176" s="314"/>
      <c r="F1176" s="314"/>
      <c r="G1176" s="314"/>
      <c r="H1176" s="314"/>
      <c r="I1176" s="314"/>
      <c r="J1176" s="314"/>
      <c r="K1176" s="314"/>
      <c r="L1176" s="314"/>
      <c r="M1176" s="314"/>
      <c r="N1176" s="314"/>
      <c r="O1176" s="314"/>
      <c r="P1176" s="314"/>
      <c r="Q1176" s="314"/>
      <c r="R1176" s="314"/>
      <c r="S1176" s="314"/>
      <c r="T1176" s="314"/>
      <c r="U1176" s="314"/>
      <c r="V1176" s="314"/>
      <c r="W1176" s="314"/>
      <c r="X1176" s="314"/>
      <c r="Y1176" s="314"/>
      <c r="Z1176" s="314"/>
    </row>
    <row r="1177" spans="2:26" s="147" customFormat="1" ht="14.15" customHeight="1" x14ac:dyDescent="0.35">
      <c r="B1177" s="146"/>
      <c r="E1177" s="314"/>
      <c r="F1177" s="314"/>
      <c r="G1177" s="314"/>
      <c r="H1177" s="314"/>
      <c r="I1177" s="314"/>
      <c r="J1177" s="314"/>
      <c r="K1177" s="314"/>
      <c r="L1177" s="314"/>
      <c r="M1177" s="314"/>
      <c r="N1177" s="314"/>
      <c r="O1177" s="314"/>
      <c r="P1177" s="314"/>
      <c r="Q1177" s="314"/>
      <c r="R1177" s="314"/>
      <c r="S1177" s="314"/>
      <c r="T1177" s="314"/>
      <c r="U1177" s="314"/>
      <c r="V1177" s="314"/>
      <c r="W1177" s="314"/>
      <c r="X1177" s="314"/>
      <c r="Y1177" s="314"/>
      <c r="Z1177" s="314"/>
    </row>
    <row r="1178" spans="2:26" s="147" customFormat="1" ht="14.15" customHeight="1" x14ac:dyDescent="0.35">
      <c r="B1178" s="146"/>
      <c r="E1178" s="314"/>
      <c r="F1178" s="314"/>
      <c r="G1178" s="314"/>
      <c r="H1178" s="314"/>
      <c r="I1178" s="314"/>
      <c r="J1178" s="314"/>
      <c r="K1178" s="314"/>
      <c r="L1178" s="314"/>
      <c r="M1178" s="314"/>
      <c r="N1178" s="314"/>
      <c r="O1178" s="314"/>
      <c r="P1178" s="314"/>
      <c r="Q1178" s="314"/>
      <c r="R1178" s="314"/>
      <c r="S1178" s="314"/>
      <c r="T1178" s="314"/>
      <c r="U1178" s="314"/>
      <c r="V1178" s="314"/>
      <c r="W1178" s="314"/>
      <c r="X1178" s="314"/>
      <c r="Y1178" s="314"/>
      <c r="Z1178" s="314"/>
    </row>
    <row r="1179" spans="2:26" s="147" customFormat="1" ht="14.15" customHeight="1" x14ac:dyDescent="0.35">
      <c r="B1179" s="146"/>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row>
    <row r="1180" spans="2:26" s="147" customFormat="1" ht="14.15" customHeight="1" x14ac:dyDescent="0.35">
      <c r="B1180" s="146"/>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row>
    <row r="1181" spans="2:26" s="147" customFormat="1" ht="14.15" customHeight="1" x14ac:dyDescent="0.35">
      <c r="B1181" s="146"/>
      <c r="E1181" s="314"/>
      <c r="F1181" s="314"/>
      <c r="G1181" s="314"/>
      <c r="H1181" s="314"/>
      <c r="I1181" s="314"/>
      <c r="J1181" s="314"/>
      <c r="K1181" s="314"/>
      <c r="L1181" s="314"/>
      <c r="M1181" s="314"/>
      <c r="N1181" s="314"/>
      <c r="O1181" s="314"/>
      <c r="P1181" s="314"/>
      <c r="Q1181" s="314"/>
      <c r="R1181" s="314"/>
      <c r="S1181" s="314"/>
      <c r="T1181" s="314"/>
      <c r="U1181" s="314"/>
      <c r="V1181" s="314"/>
      <c r="W1181" s="314"/>
      <c r="X1181" s="314"/>
      <c r="Y1181" s="314"/>
      <c r="Z1181" s="314"/>
    </row>
    <row r="1182" spans="2:26" s="147" customFormat="1" ht="14.15" customHeight="1" x14ac:dyDescent="0.35">
      <c r="B1182" s="146"/>
      <c r="E1182" s="314"/>
      <c r="F1182" s="314"/>
      <c r="G1182" s="314"/>
      <c r="H1182" s="314"/>
      <c r="I1182" s="314"/>
      <c r="J1182" s="314"/>
      <c r="K1182" s="314"/>
      <c r="L1182" s="314"/>
      <c r="M1182" s="314"/>
      <c r="N1182" s="314"/>
      <c r="O1182" s="314"/>
      <c r="P1182" s="314"/>
      <c r="Q1182" s="314"/>
      <c r="R1182" s="314"/>
      <c r="S1182" s="314"/>
      <c r="T1182" s="314"/>
      <c r="U1182" s="314"/>
      <c r="V1182" s="314"/>
      <c r="W1182" s="314"/>
      <c r="X1182" s="314"/>
      <c r="Y1182" s="314"/>
      <c r="Z1182" s="314"/>
    </row>
    <row r="1183" spans="2:26" s="147" customFormat="1" ht="14.15" customHeight="1" x14ac:dyDescent="0.35">
      <c r="B1183" s="146"/>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4"/>
      <c r="Z1183" s="314"/>
    </row>
    <row r="1184" spans="2:26" s="147" customFormat="1" ht="14.15" customHeight="1" x14ac:dyDescent="0.35">
      <c r="B1184" s="146"/>
      <c r="E1184" s="314"/>
      <c r="F1184" s="314"/>
      <c r="G1184" s="314"/>
      <c r="H1184" s="314"/>
      <c r="I1184" s="314"/>
      <c r="J1184" s="314"/>
      <c r="K1184" s="314"/>
      <c r="L1184" s="314"/>
      <c r="M1184" s="314"/>
      <c r="N1184" s="314"/>
      <c r="O1184" s="314"/>
      <c r="P1184" s="314"/>
      <c r="Q1184" s="314"/>
      <c r="R1184" s="314"/>
      <c r="S1184" s="314"/>
      <c r="T1184" s="314"/>
      <c r="U1184" s="314"/>
      <c r="V1184" s="314"/>
      <c r="W1184" s="314"/>
      <c r="X1184" s="314"/>
      <c r="Y1184" s="314"/>
      <c r="Z1184" s="314"/>
    </row>
    <row r="1185" spans="2:26" s="147" customFormat="1" ht="14.15" customHeight="1" x14ac:dyDescent="0.35">
      <c r="B1185" s="146"/>
      <c r="E1185" s="314"/>
      <c r="F1185" s="314"/>
      <c r="G1185" s="314"/>
      <c r="H1185" s="314"/>
      <c r="I1185" s="314"/>
      <c r="J1185" s="314"/>
      <c r="K1185" s="314"/>
      <c r="L1185" s="314"/>
      <c r="M1185" s="314"/>
      <c r="N1185" s="314"/>
      <c r="O1185" s="314"/>
      <c r="P1185" s="314"/>
      <c r="Q1185" s="314"/>
      <c r="R1185" s="314"/>
      <c r="S1185" s="314"/>
      <c r="T1185" s="314"/>
      <c r="U1185" s="314"/>
      <c r="V1185" s="314"/>
      <c r="W1185" s="314"/>
      <c r="X1185" s="314"/>
      <c r="Y1185" s="314"/>
      <c r="Z1185" s="314"/>
    </row>
    <row r="1186" spans="2:26" s="147" customFormat="1" ht="14.15" customHeight="1" x14ac:dyDescent="0.35">
      <c r="B1186" s="146"/>
      <c r="E1186" s="314"/>
      <c r="F1186" s="314"/>
      <c r="G1186" s="314"/>
      <c r="H1186" s="314"/>
      <c r="I1186" s="314"/>
      <c r="J1186" s="314"/>
      <c r="K1186" s="314"/>
      <c r="L1186" s="314"/>
      <c r="M1186" s="314"/>
      <c r="N1186" s="314"/>
      <c r="O1186" s="314"/>
      <c r="P1186" s="314"/>
      <c r="Q1186" s="314"/>
      <c r="R1186" s="314"/>
      <c r="S1186" s="314"/>
      <c r="T1186" s="314"/>
      <c r="U1186" s="314"/>
      <c r="V1186" s="314"/>
      <c r="W1186" s="314"/>
      <c r="X1186" s="314"/>
      <c r="Y1186" s="314"/>
      <c r="Z1186" s="314"/>
    </row>
    <row r="1187" spans="2:26" s="147" customFormat="1" ht="14.15" customHeight="1" x14ac:dyDescent="0.35">
      <c r="B1187" s="146"/>
      <c r="E1187" s="314"/>
      <c r="F1187" s="314"/>
      <c r="G1187" s="314"/>
      <c r="H1187" s="314"/>
      <c r="I1187" s="314"/>
      <c r="J1187" s="314"/>
      <c r="K1187" s="314"/>
      <c r="L1187" s="314"/>
      <c r="M1187" s="314"/>
      <c r="N1187" s="314"/>
      <c r="O1187" s="314"/>
      <c r="P1187" s="314"/>
      <c r="Q1187" s="314"/>
      <c r="R1187" s="314"/>
      <c r="S1187" s="314"/>
      <c r="T1187" s="314"/>
      <c r="U1187" s="314"/>
      <c r="V1187" s="314"/>
      <c r="W1187" s="314"/>
      <c r="X1187" s="314"/>
      <c r="Y1187" s="314"/>
      <c r="Z1187" s="314"/>
    </row>
    <row r="1188" spans="2:26" s="147" customFormat="1" ht="14.15" customHeight="1" x14ac:dyDescent="0.35">
      <c r="B1188" s="146"/>
      <c r="E1188" s="314"/>
      <c r="F1188" s="314"/>
      <c r="G1188" s="314"/>
      <c r="H1188" s="314"/>
      <c r="I1188" s="314"/>
      <c r="J1188" s="314"/>
      <c r="K1188" s="314"/>
      <c r="L1188" s="314"/>
      <c r="M1188" s="314"/>
      <c r="N1188" s="314"/>
      <c r="O1188" s="314"/>
      <c r="P1188" s="314"/>
      <c r="Q1188" s="314"/>
      <c r="R1188" s="314"/>
      <c r="S1188" s="314"/>
      <c r="T1188" s="314"/>
      <c r="U1188" s="314"/>
      <c r="V1188" s="314"/>
      <c r="W1188" s="314"/>
      <c r="X1188" s="314"/>
      <c r="Y1188" s="314"/>
      <c r="Z1188" s="314"/>
    </row>
    <row r="1189" spans="2:26" s="147" customFormat="1" ht="14.15" customHeight="1" x14ac:dyDescent="0.35">
      <c r="B1189" s="146"/>
      <c r="E1189" s="314"/>
      <c r="F1189" s="314"/>
      <c r="G1189" s="314"/>
      <c r="H1189" s="314"/>
      <c r="I1189" s="314"/>
      <c r="J1189" s="314"/>
      <c r="K1189" s="314"/>
      <c r="L1189" s="314"/>
      <c r="M1189" s="314"/>
      <c r="N1189" s="314"/>
      <c r="O1189" s="314"/>
      <c r="P1189" s="314"/>
      <c r="Q1189" s="314"/>
      <c r="R1189" s="314"/>
      <c r="S1189" s="314"/>
      <c r="T1189" s="314"/>
      <c r="U1189" s="314"/>
      <c r="V1189" s="314"/>
      <c r="W1189" s="314"/>
      <c r="X1189" s="314"/>
      <c r="Y1189" s="314"/>
      <c r="Z1189" s="314"/>
    </row>
    <row r="1190" spans="2:26" s="147" customFormat="1" ht="14.15" customHeight="1" x14ac:dyDescent="0.35">
      <c r="B1190" s="146"/>
      <c r="E1190" s="314"/>
      <c r="F1190" s="314"/>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row>
    <row r="1191" spans="2:26" s="147" customFormat="1" ht="14.15" customHeight="1" x14ac:dyDescent="0.35">
      <c r="B1191" s="146"/>
      <c r="E1191" s="314"/>
      <c r="F1191" s="314"/>
      <c r="G1191" s="314"/>
      <c r="H1191" s="314"/>
      <c r="I1191" s="314"/>
      <c r="J1191" s="314"/>
      <c r="K1191" s="314"/>
      <c r="L1191" s="314"/>
      <c r="M1191" s="314"/>
      <c r="N1191" s="314"/>
      <c r="O1191" s="314"/>
      <c r="P1191" s="314"/>
      <c r="Q1191" s="314"/>
      <c r="R1191" s="314"/>
      <c r="S1191" s="314"/>
      <c r="T1191" s="314"/>
      <c r="U1191" s="314"/>
      <c r="V1191" s="314"/>
      <c r="W1191" s="314"/>
      <c r="X1191" s="314"/>
      <c r="Y1191" s="314"/>
      <c r="Z1191" s="314"/>
    </row>
    <row r="1192" spans="2:26" s="147" customFormat="1" ht="14.15" customHeight="1" x14ac:dyDescent="0.35">
      <c r="B1192" s="146"/>
      <c r="E1192" s="314"/>
      <c r="F1192" s="314"/>
      <c r="G1192" s="314"/>
      <c r="H1192" s="314"/>
      <c r="I1192" s="314"/>
      <c r="J1192" s="314"/>
      <c r="K1192" s="314"/>
      <c r="L1192" s="314"/>
      <c r="M1192" s="314"/>
      <c r="N1192" s="314"/>
      <c r="O1192" s="314"/>
      <c r="P1192" s="314"/>
      <c r="Q1192" s="314"/>
      <c r="R1192" s="314"/>
      <c r="S1192" s="314"/>
      <c r="T1192" s="314"/>
      <c r="U1192" s="314"/>
      <c r="V1192" s="314"/>
      <c r="W1192" s="314"/>
      <c r="X1192" s="314"/>
      <c r="Y1192" s="314"/>
      <c r="Z1192" s="314"/>
    </row>
    <row r="1193" spans="2:26" s="147" customFormat="1" ht="14.15" customHeight="1" x14ac:dyDescent="0.35">
      <c r="B1193" s="146"/>
      <c r="E1193" s="314"/>
      <c r="F1193" s="314"/>
      <c r="G1193" s="314"/>
      <c r="H1193" s="314"/>
      <c r="I1193" s="314"/>
      <c r="J1193" s="314"/>
      <c r="K1193" s="314"/>
      <c r="L1193" s="314"/>
      <c r="M1193" s="314"/>
      <c r="N1193" s="314"/>
      <c r="O1193" s="314"/>
      <c r="P1193" s="314"/>
      <c r="Q1193" s="314"/>
      <c r="R1193" s="314"/>
      <c r="S1193" s="314"/>
      <c r="T1193" s="314"/>
      <c r="U1193" s="314"/>
      <c r="V1193" s="314"/>
      <c r="W1193" s="314"/>
      <c r="X1193" s="314"/>
      <c r="Y1193" s="314"/>
      <c r="Z1193" s="314"/>
    </row>
    <row r="1194" spans="2:26" s="147" customFormat="1" ht="14.15" customHeight="1" x14ac:dyDescent="0.35">
      <c r="B1194" s="146"/>
      <c r="E1194" s="314"/>
      <c r="F1194" s="314"/>
      <c r="G1194" s="314"/>
      <c r="H1194" s="314"/>
      <c r="I1194" s="314"/>
      <c r="J1194" s="314"/>
      <c r="K1194" s="314"/>
      <c r="L1194" s="314"/>
      <c r="M1194" s="314"/>
      <c r="N1194" s="314"/>
      <c r="O1194" s="314"/>
      <c r="P1194" s="314"/>
      <c r="Q1194" s="314"/>
      <c r="R1194" s="314"/>
      <c r="S1194" s="314"/>
      <c r="T1194" s="314"/>
      <c r="U1194" s="314"/>
      <c r="V1194" s="314"/>
      <c r="W1194" s="314"/>
      <c r="X1194" s="314"/>
      <c r="Y1194" s="314"/>
      <c r="Z1194" s="314"/>
    </row>
    <row r="1195" spans="2:26" s="147" customFormat="1" ht="14.15" customHeight="1" x14ac:dyDescent="0.35">
      <c r="B1195" s="146"/>
      <c r="E1195" s="314"/>
      <c r="F1195" s="314"/>
      <c r="G1195" s="314"/>
      <c r="H1195" s="314"/>
      <c r="I1195" s="314"/>
      <c r="J1195" s="314"/>
      <c r="K1195" s="314"/>
      <c r="L1195" s="314"/>
      <c r="M1195" s="314"/>
      <c r="N1195" s="314"/>
      <c r="O1195" s="314"/>
      <c r="P1195" s="314"/>
      <c r="Q1195" s="314"/>
      <c r="R1195" s="314"/>
      <c r="S1195" s="314"/>
      <c r="T1195" s="314"/>
      <c r="U1195" s="314"/>
      <c r="V1195" s="314"/>
      <c r="W1195" s="314"/>
      <c r="X1195" s="314"/>
      <c r="Y1195" s="314"/>
      <c r="Z1195" s="314"/>
    </row>
    <row r="1196" spans="2:26" s="147" customFormat="1" ht="14.15" customHeight="1" x14ac:dyDescent="0.35">
      <c r="B1196" s="146"/>
      <c r="E1196" s="314"/>
      <c r="F1196" s="314"/>
      <c r="G1196" s="314"/>
      <c r="H1196" s="314"/>
      <c r="I1196" s="314"/>
      <c r="J1196" s="314"/>
      <c r="K1196" s="314"/>
      <c r="L1196" s="314"/>
      <c r="M1196" s="314"/>
      <c r="N1196" s="314"/>
      <c r="O1196" s="314"/>
      <c r="P1196" s="314"/>
      <c r="Q1196" s="314"/>
      <c r="R1196" s="314"/>
      <c r="S1196" s="314"/>
      <c r="T1196" s="314"/>
      <c r="U1196" s="314"/>
      <c r="V1196" s="314"/>
      <c r="W1196" s="314"/>
      <c r="X1196" s="314"/>
      <c r="Y1196" s="314"/>
      <c r="Z1196" s="314"/>
    </row>
    <row r="1197" spans="2:26" s="147" customFormat="1" ht="14.15" customHeight="1" x14ac:dyDescent="0.35">
      <c r="B1197" s="146"/>
      <c r="E1197" s="314"/>
      <c r="F1197" s="314"/>
      <c r="G1197" s="314"/>
      <c r="H1197" s="314"/>
      <c r="I1197" s="314"/>
      <c r="J1197" s="314"/>
      <c r="K1197" s="314"/>
      <c r="L1197" s="314"/>
      <c r="M1197" s="314"/>
      <c r="N1197" s="314"/>
      <c r="O1197" s="314"/>
      <c r="P1197" s="314"/>
      <c r="Q1197" s="314"/>
      <c r="R1197" s="314"/>
      <c r="S1197" s="314"/>
      <c r="T1197" s="314"/>
      <c r="U1197" s="314"/>
      <c r="V1197" s="314"/>
      <c r="W1197" s="314"/>
      <c r="X1197" s="314"/>
      <c r="Y1197" s="314"/>
      <c r="Z1197" s="314"/>
    </row>
    <row r="1198" spans="2:26" s="147" customFormat="1" ht="14.15" customHeight="1" x14ac:dyDescent="0.35">
      <c r="B1198" s="146"/>
      <c r="E1198" s="314"/>
      <c r="F1198" s="314"/>
      <c r="G1198" s="314"/>
      <c r="H1198" s="314"/>
      <c r="I1198" s="314"/>
      <c r="J1198" s="314"/>
      <c r="K1198" s="314"/>
      <c r="L1198" s="314"/>
      <c r="M1198" s="314"/>
      <c r="N1198" s="314"/>
      <c r="O1198" s="314"/>
      <c r="P1198" s="314"/>
      <c r="Q1198" s="314"/>
      <c r="R1198" s="314"/>
      <c r="S1198" s="314"/>
      <c r="T1198" s="314"/>
      <c r="U1198" s="314"/>
      <c r="V1198" s="314"/>
      <c r="W1198" s="314"/>
      <c r="X1198" s="314"/>
      <c r="Y1198" s="314"/>
      <c r="Z1198" s="314"/>
    </row>
    <row r="1199" spans="2:26" s="147" customFormat="1" ht="14.15" customHeight="1" x14ac:dyDescent="0.35">
      <c r="B1199" s="146"/>
      <c r="E1199" s="314"/>
      <c r="F1199" s="314"/>
      <c r="G1199" s="314"/>
      <c r="H1199" s="314"/>
      <c r="I1199" s="314"/>
      <c r="J1199" s="314"/>
      <c r="K1199" s="314"/>
      <c r="L1199" s="314"/>
      <c r="M1199" s="314"/>
      <c r="N1199" s="314"/>
      <c r="O1199" s="314"/>
      <c r="P1199" s="314"/>
      <c r="Q1199" s="314"/>
      <c r="R1199" s="314"/>
      <c r="S1199" s="314"/>
      <c r="T1199" s="314"/>
      <c r="U1199" s="314"/>
      <c r="V1199" s="314"/>
      <c r="W1199" s="314"/>
      <c r="X1199" s="314"/>
      <c r="Y1199" s="314"/>
      <c r="Z1199" s="314"/>
    </row>
    <row r="1200" spans="2:26" s="147" customFormat="1" ht="14.15" customHeight="1" x14ac:dyDescent="0.35">
      <c r="B1200" s="146"/>
      <c r="E1200" s="314"/>
      <c r="F1200" s="314"/>
      <c r="G1200" s="314"/>
      <c r="H1200" s="314"/>
      <c r="I1200" s="314"/>
      <c r="J1200" s="314"/>
      <c r="K1200" s="314"/>
      <c r="L1200" s="314"/>
      <c r="M1200" s="314"/>
      <c r="N1200" s="314"/>
      <c r="O1200" s="314"/>
      <c r="P1200" s="314"/>
      <c r="Q1200" s="314"/>
      <c r="R1200" s="314"/>
      <c r="S1200" s="314"/>
      <c r="T1200" s="314"/>
      <c r="U1200" s="314"/>
      <c r="V1200" s="314"/>
      <c r="W1200" s="314"/>
      <c r="X1200" s="314"/>
      <c r="Y1200" s="314"/>
      <c r="Z1200" s="314"/>
    </row>
    <row r="1201" spans="2:26" s="147" customFormat="1" ht="14.15" customHeight="1" x14ac:dyDescent="0.35">
      <c r="B1201" s="146"/>
      <c r="E1201" s="314"/>
      <c r="F1201" s="314"/>
      <c r="G1201" s="314"/>
      <c r="H1201" s="314"/>
      <c r="I1201" s="314"/>
      <c r="J1201" s="314"/>
      <c r="K1201" s="314"/>
      <c r="L1201" s="314"/>
      <c r="M1201" s="314"/>
      <c r="N1201" s="314"/>
      <c r="O1201" s="314"/>
      <c r="P1201" s="314"/>
      <c r="Q1201" s="314"/>
      <c r="R1201" s="314"/>
      <c r="S1201" s="314"/>
      <c r="T1201" s="314"/>
      <c r="U1201" s="314"/>
      <c r="V1201" s="314"/>
      <c r="W1201" s="314"/>
      <c r="X1201" s="314"/>
      <c r="Y1201" s="314"/>
      <c r="Z1201" s="314"/>
    </row>
    <row r="1202" spans="2:26" s="147" customFormat="1" ht="14.15" customHeight="1" x14ac:dyDescent="0.35">
      <c r="B1202" s="146"/>
      <c r="E1202" s="314"/>
      <c r="F1202" s="314"/>
      <c r="G1202" s="314"/>
      <c r="H1202" s="314"/>
      <c r="I1202" s="314"/>
      <c r="J1202" s="314"/>
      <c r="K1202" s="314"/>
      <c r="L1202" s="314"/>
      <c r="M1202" s="314"/>
      <c r="N1202" s="314"/>
      <c r="O1202" s="314"/>
      <c r="P1202" s="314"/>
      <c r="Q1202" s="314"/>
      <c r="R1202" s="314"/>
      <c r="S1202" s="314"/>
      <c r="T1202" s="314"/>
      <c r="U1202" s="314"/>
      <c r="V1202" s="314"/>
      <c r="W1202" s="314"/>
      <c r="X1202" s="314"/>
      <c r="Y1202" s="314"/>
      <c r="Z1202" s="314"/>
    </row>
    <row r="1203" spans="2:26" s="147" customFormat="1" ht="14.15" customHeight="1" x14ac:dyDescent="0.35">
      <c r="B1203" s="146"/>
      <c r="E1203" s="314"/>
      <c r="F1203" s="314"/>
      <c r="G1203" s="314"/>
      <c r="H1203" s="314"/>
      <c r="I1203" s="314"/>
      <c r="J1203" s="314"/>
      <c r="K1203" s="314"/>
      <c r="L1203" s="314"/>
      <c r="M1203" s="314"/>
      <c r="N1203" s="314"/>
      <c r="O1203" s="314"/>
      <c r="P1203" s="314"/>
      <c r="Q1203" s="314"/>
      <c r="R1203" s="314"/>
      <c r="S1203" s="314"/>
      <c r="T1203" s="314"/>
      <c r="U1203" s="314"/>
      <c r="V1203" s="314"/>
      <c r="W1203" s="314"/>
      <c r="X1203" s="314"/>
      <c r="Y1203" s="314"/>
      <c r="Z1203" s="314"/>
    </row>
    <row r="1204" spans="2:26" s="147" customFormat="1" ht="14.15" customHeight="1" x14ac:dyDescent="0.35">
      <c r="B1204" s="146"/>
      <c r="E1204" s="314"/>
      <c r="F1204" s="314"/>
      <c r="G1204" s="314"/>
      <c r="H1204" s="314"/>
      <c r="I1204" s="314"/>
      <c r="J1204" s="314"/>
      <c r="K1204" s="314"/>
      <c r="L1204" s="314"/>
      <c r="M1204" s="314"/>
      <c r="N1204" s="314"/>
      <c r="O1204" s="314"/>
      <c r="P1204" s="314"/>
      <c r="Q1204" s="314"/>
      <c r="R1204" s="314"/>
      <c r="S1204" s="314"/>
      <c r="T1204" s="314"/>
      <c r="U1204" s="314"/>
      <c r="V1204" s="314"/>
      <c r="W1204" s="314"/>
      <c r="X1204" s="314"/>
      <c r="Y1204" s="314"/>
      <c r="Z1204" s="314"/>
    </row>
    <row r="1205" spans="2:26" s="147" customFormat="1" ht="14.15" customHeight="1" x14ac:dyDescent="0.35">
      <c r="B1205" s="146"/>
      <c r="E1205" s="314"/>
      <c r="F1205" s="314"/>
      <c r="G1205" s="314"/>
      <c r="H1205" s="314"/>
      <c r="I1205" s="314"/>
      <c r="J1205" s="314"/>
      <c r="K1205" s="314"/>
      <c r="L1205" s="314"/>
      <c r="M1205" s="314"/>
      <c r="N1205" s="314"/>
      <c r="O1205" s="314"/>
      <c r="P1205" s="314"/>
      <c r="Q1205" s="314"/>
      <c r="R1205" s="314"/>
      <c r="S1205" s="314"/>
      <c r="T1205" s="314"/>
      <c r="U1205" s="314"/>
      <c r="V1205" s="314"/>
      <c r="W1205" s="314"/>
      <c r="X1205" s="314"/>
      <c r="Y1205" s="314"/>
      <c r="Z1205" s="314"/>
    </row>
    <row r="1206" spans="2:26" s="147" customFormat="1" ht="14.15" customHeight="1" x14ac:dyDescent="0.35">
      <c r="B1206" s="146"/>
      <c r="E1206" s="314"/>
      <c r="F1206" s="314"/>
      <c r="G1206" s="314"/>
      <c r="H1206" s="314"/>
      <c r="I1206" s="314"/>
      <c r="J1206" s="314"/>
      <c r="K1206" s="314"/>
      <c r="L1206" s="314"/>
      <c r="M1206" s="314"/>
      <c r="N1206" s="314"/>
      <c r="O1206" s="314"/>
      <c r="P1206" s="314"/>
      <c r="Q1206" s="314"/>
      <c r="R1206" s="314"/>
      <c r="S1206" s="314"/>
      <c r="T1206" s="314"/>
      <c r="U1206" s="314"/>
      <c r="V1206" s="314"/>
      <c r="W1206" s="314"/>
      <c r="X1206" s="314"/>
      <c r="Y1206" s="314"/>
      <c r="Z1206" s="314"/>
    </row>
    <row r="1207" spans="2:26" s="147" customFormat="1" ht="14.15" customHeight="1" x14ac:dyDescent="0.35">
      <c r="B1207" s="146"/>
      <c r="E1207" s="314"/>
      <c r="F1207" s="314"/>
      <c r="G1207" s="314"/>
      <c r="H1207" s="314"/>
      <c r="I1207" s="314"/>
      <c r="J1207" s="314"/>
      <c r="K1207" s="314"/>
      <c r="L1207" s="314"/>
      <c r="M1207" s="314"/>
      <c r="N1207" s="314"/>
      <c r="O1207" s="314"/>
      <c r="P1207" s="314"/>
      <c r="Q1207" s="314"/>
      <c r="R1207" s="314"/>
      <c r="S1207" s="314"/>
      <c r="T1207" s="314"/>
      <c r="U1207" s="314"/>
      <c r="V1207" s="314"/>
      <c r="W1207" s="314"/>
      <c r="X1207" s="314"/>
      <c r="Y1207" s="314"/>
      <c r="Z1207" s="314"/>
    </row>
    <row r="1208" spans="2:26" s="147" customFormat="1" ht="14.15" customHeight="1" x14ac:dyDescent="0.35">
      <c r="B1208" s="146"/>
      <c r="E1208" s="314"/>
      <c r="F1208" s="314"/>
      <c r="G1208" s="314"/>
      <c r="H1208" s="314"/>
      <c r="I1208" s="314"/>
      <c r="J1208" s="314"/>
      <c r="K1208" s="314"/>
      <c r="L1208" s="314"/>
      <c r="M1208" s="314"/>
      <c r="N1208" s="314"/>
      <c r="O1208" s="314"/>
      <c r="P1208" s="314"/>
      <c r="Q1208" s="314"/>
      <c r="R1208" s="314"/>
      <c r="S1208" s="314"/>
      <c r="T1208" s="314"/>
      <c r="U1208" s="314"/>
      <c r="V1208" s="314"/>
      <c r="W1208" s="314"/>
      <c r="X1208" s="314"/>
      <c r="Y1208" s="314"/>
      <c r="Z1208" s="314"/>
    </row>
    <row r="1209" spans="2:26" s="147" customFormat="1" ht="14.15" customHeight="1" x14ac:dyDescent="0.35">
      <c r="B1209" s="146"/>
      <c r="E1209" s="314"/>
      <c r="F1209" s="314"/>
      <c r="G1209" s="314"/>
      <c r="H1209" s="314"/>
      <c r="I1209" s="314"/>
      <c r="J1209" s="314"/>
      <c r="K1209" s="314"/>
      <c r="L1209" s="314"/>
      <c r="M1209" s="314"/>
      <c r="N1209" s="314"/>
      <c r="O1209" s="314"/>
      <c r="P1209" s="314"/>
      <c r="Q1209" s="314"/>
      <c r="R1209" s="314"/>
      <c r="S1209" s="314"/>
      <c r="T1209" s="314"/>
      <c r="U1209" s="314"/>
      <c r="V1209" s="314"/>
      <c r="W1209" s="314"/>
      <c r="X1209" s="314"/>
      <c r="Y1209" s="314"/>
      <c r="Z1209" s="314"/>
    </row>
    <row r="1210" spans="2:26" s="147" customFormat="1" ht="14.15" customHeight="1" x14ac:dyDescent="0.35">
      <c r="B1210" s="146"/>
      <c r="E1210" s="314"/>
      <c r="F1210" s="314"/>
      <c r="G1210" s="314"/>
      <c r="H1210" s="314"/>
      <c r="I1210" s="314"/>
      <c r="J1210" s="314"/>
      <c r="K1210" s="314"/>
      <c r="L1210" s="314"/>
      <c r="M1210" s="314"/>
      <c r="N1210" s="314"/>
      <c r="O1210" s="314"/>
      <c r="P1210" s="314"/>
      <c r="Q1210" s="314"/>
      <c r="R1210" s="314"/>
      <c r="S1210" s="314"/>
      <c r="T1210" s="314"/>
      <c r="U1210" s="314"/>
      <c r="V1210" s="314"/>
      <c r="W1210" s="314"/>
      <c r="X1210" s="314"/>
      <c r="Y1210" s="314"/>
      <c r="Z1210" s="314"/>
    </row>
    <row r="1211" spans="2:26" s="147" customFormat="1" ht="14.15" customHeight="1" x14ac:dyDescent="0.35">
      <c r="B1211" s="146"/>
      <c r="E1211" s="314"/>
      <c r="F1211" s="314"/>
      <c r="G1211" s="314"/>
      <c r="H1211" s="314"/>
      <c r="I1211" s="314"/>
      <c r="J1211" s="314"/>
      <c r="K1211" s="314"/>
      <c r="L1211" s="314"/>
      <c r="M1211" s="314"/>
      <c r="N1211" s="314"/>
      <c r="O1211" s="314"/>
      <c r="P1211" s="314"/>
      <c r="Q1211" s="314"/>
      <c r="R1211" s="314"/>
      <c r="S1211" s="314"/>
      <c r="T1211" s="314"/>
      <c r="U1211" s="314"/>
      <c r="V1211" s="314"/>
      <c r="W1211" s="314"/>
      <c r="X1211" s="314"/>
      <c r="Y1211" s="314"/>
      <c r="Z1211" s="314"/>
    </row>
    <row r="1212" spans="2:26" s="147" customFormat="1" ht="14.15" customHeight="1" x14ac:dyDescent="0.35">
      <c r="B1212" s="146"/>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314"/>
      <c r="Z1212" s="314"/>
    </row>
    <row r="1213" spans="2:26" s="147" customFormat="1" ht="14.15" customHeight="1" x14ac:dyDescent="0.35">
      <c r="B1213" s="146"/>
      <c r="E1213" s="314"/>
      <c r="F1213" s="314"/>
      <c r="G1213" s="314"/>
      <c r="H1213" s="314"/>
      <c r="I1213" s="314"/>
      <c r="J1213" s="314"/>
      <c r="K1213" s="314"/>
      <c r="L1213" s="314"/>
      <c r="M1213" s="314"/>
      <c r="N1213" s="314"/>
      <c r="O1213" s="314"/>
      <c r="P1213" s="314"/>
      <c r="Q1213" s="314"/>
      <c r="R1213" s="314"/>
      <c r="S1213" s="314"/>
      <c r="T1213" s="314"/>
      <c r="U1213" s="314"/>
      <c r="V1213" s="314"/>
      <c r="W1213" s="314"/>
      <c r="X1213" s="314"/>
      <c r="Y1213" s="314"/>
      <c r="Z1213" s="314"/>
    </row>
    <row r="1214" spans="2:26" s="147" customFormat="1" ht="14.15" customHeight="1" x14ac:dyDescent="0.35">
      <c r="B1214" s="146"/>
      <c r="E1214" s="314"/>
      <c r="F1214" s="314"/>
      <c r="G1214" s="314"/>
      <c r="H1214" s="314"/>
      <c r="I1214" s="314"/>
      <c r="J1214" s="314"/>
      <c r="K1214" s="314"/>
      <c r="L1214" s="314"/>
      <c r="M1214" s="314"/>
      <c r="N1214" s="314"/>
      <c r="O1214" s="314"/>
      <c r="P1214" s="314"/>
      <c r="Q1214" s="314"/>
      <c r="R1214" s="314"/>
      <c r="S1214" s="314"/>
      <c r="T1214" s="314"/>
      <c r="U1214" s="314"/>
      <c r="V1214" s="314"/>
      <c r="W1214" s="314"/>
      <c r="X1214" s="314"/>
      <c r="Y1214" s="314"/>
      <c r="Z1214" s="314"/>
    </row>
    <row r="1215" spans="2:26" s="147" customFormat="1" ht="14.15" customHeight="1" x14ac:dyDescent="0.35">
      <c r="B1215" s="146"/>
      <c r="E1215" s="314"/>
      <c r="F1215" s="314"/>
      <c r="G1215" s="314"/>
      <c r="H1215" s="314"/>
      <c r="I1215" s="314"/>
      <c r="J1215" s="314"/>
      <c r="K1215" s="314"/>
      <c r="L1215" s="314"/>
      <c r="M1215" s="314"/>
      <c r="N1215" s="314"/>
      <c r="O1215" s="314"/>
      <c r="P1215" s="314"/>
      <c r="Q1215" s="314"/>
      <c r="R1215" s="314"/>
      <c r="S1215" s="314"/>
      <c r="T1215" s="314"/>
      <c r="U1215" s="314"/>
      <c r="V1215" s="314"/>
      <c r="W1215" s="314"/>
      <c r="X1215" s="314"/>
      <c r="Y1215" s="314"/>
      <c r="Z1215" s="314"/>
    </row>
    <row r="1216" spans="2:26" s="147" customFormat="1" ht="14.15" customHeight="1" x14ac:dyDescent="0.35">
      <c r="B1216" s="146"/>
      <c r="E1216" s="314"/>
      <c r="F1216" s="314"/>
      <c r="G1216" s="314"/>
      <c r="H1216" s="314"/>
      <c r="I1216" s="314"/>
      <c r="J1216" s="314"/>
      <c r="K1216" s="314"/>
      <c r="L1216" s="314"/>
      <c r="M1216" s="314"/>
      <c r="N1216" s="314"/>
      <c r="O1216" s="314"/>
      <c r="P1216" s="314"/>
      <c r="Q1216" s="314"/>
      <c r="R1216" s="314"/>
      <c r="S1216" s="314"/>
      <c r="T1216" s="314"/>
      <c r="U1216" s="314"/>
      <c r="V1216" s="314"/>
      <c r="W1216" s="314"/>
      <c r="X1216" s="314"/>
      <c r="Y1216" s="314"/>
      <c r="Z1216" s="314"/>
    </row>
    <row r="1217" spans="2:26" s="147" customFormat="1" ht="14.15" customHeight="1" x14ac:dyDescent="0.35">
      <c r="B1217" s="146"/>
      <c r="E1217" s="314"/>
      <c r="F1217" s="314"/>
      <c r="G1217" s="314"/>
      <c r="H1217" s="314"/>
      <c r="I1217" s="314"/>
      <c r="J1217" s="314"/>
      <c r="K1217" s="314"/>
      <c r="L1217" s="314"/>
      <c r="M1217" s="314"/>
      <c r="N1217" s="314"/>
      <c r="O1217" s="314"/>
      <c r="P1217" s="314"/>
      <c r="Q1217" s="314"/>
      <c r="R1217" s="314"/>
      <c r="S1217" s="314"/>
      <c r="T1217" s="314"/>
      <c r="U1217" s="314"/>
      <c r="V1217" s="314"/>
      <c r="W1217" s="314"/>
      <c r="X1217" s="314"/>
      <c r="Y1217" s="314"/>
      <c r="Z1217" s="314"/>
    </row>
    <row r="1218" spans="2:26" s="147" customFormat="1" ht="14.15" customHeight="1" x14ac:dyDescent="0.35">
      <c r="B1218" s="146"/>
      <c r="E1218" s="314"/>
      <c r="F1218" s="314"/>
      <c r="G1218" s="314"/>
      <c r="H1218" s="314"/>
      <c r="I1218" s="314"/>
      <c r="J1218" s="314"/>
      <c r="K1218" s="314"/>
      <c r="L1218" s="314"/>
      <c r="M1218" s="314"/>
      <c r="N1218" s="314"/>
      <c r="O1218" s="314"/>
      <c r="P1218" s="314"/>
      <c r="Q1218" s="314"/>
      <c r="R1218" s="314"/>
      <c r="S1218" s="314"/>
      <c r="T1218" s="314"/>
      <c r="U1218" s="314"/>
      <c r="V1218" s="314"/>
      <c r="W1218" s="314"/>
      <c r="X1218" s="314"/>
      <c r="Y1218" s="314"/>
      <c r="Z1218" s="314"/>
    </row>
    <row r="1219" spans="2:26" s="147" customFormat="1" ht="14.15" customHeight="1" x14ac:dyDescent="0.35">
      <c r="B1219" s="146"/>
      <c r="E1219" s="314"/>
      <c r="F1219" s="314"/>
      <c r="G1219" s="314"/>
      <c r="H1219" s="314"/>
      <c r="I1219" s="314"/>
      <c r="J1219" s="314"/>
      <c r="K1219" s="314"/>
      <c r="L1219" s="314"/>
      <c r="M1219" s="314"/>
      <c r="N1219" s="314"/>
      <c r="O1219" s="314"/>
      <c r="P1219" s="314"/>
      <c r="Q1219" s="314"/>
      <c r="R1219" s="314"/>
      <c r="S1219" s="314"/>
      <c r="T1219" s="314"/>
      <c r="U1219" s="314"/>
      <c r="V1219" s="314"/>
      <c r="W1219" s="314"/>
      <c r="X1219" s="314"/>
      <c r="Y1219" s="314"/>
      <c r="Z1219" s="314"/>
    </row>
    <row r="1220" spans="2:26" s="147" customFormat="1" ht="14.15" customHeight="1" x14ac:dyDescent="0.35">
      <c r="B1220" s="146"/>
      <c r="E1220" s="314"/>
      <c r="F1220" s="314"/>
      <c r="G1220" s="314"/>
      <c r="H1220" s="314"/>
      <c r="I1220" s="314"/>
      <c r="J1220" s="314"/>
      <c r="K1220" s="314"/>
      <c r="L1220" s="314"/>
      <c r="M1220" s="314"/>
      <c r="N1220" s="314"/>
      <c r="O1220" s="314"/>
      <c r="P1220" s="314"/>
      <c r="Q1220" s="314"/>
      <c r="R1220" s="314"/>
      <c r="S1220" s="314"/>
      <c r="T1220" s="314"/>
      <c r="U1220" s="314"/>
      <c r="V1220" s="314"/>
      <c r="W1220" s="314"/>
      <c r="X1220" s="314"/>
      <c r="Y1220" s="314"/>
      <c r="Z1220" s="314"/>
    </row>
    <row r="1221" spans="2:26" s="147" customFormat="1" ht="14.15" customHeight="1" x14ac:dyDescent="0.35">
      <c r="B1221" s="146"/>
      <c r="E1221" s="314"/>
      <c r="F1221" s="314"/>
      <c r="G1221" s="314"/>
      <c r="H1221" s="314"/>
      <c r="I1221" s="314"/>
      <c r="J1221" s="314"/>
      <c r="K1221" s="314"/>
      <c r="L1221" s="314"/>
      <c r="M1221" s="314"/>
      <c r="N1221" s="314"/>
      <c r="O1221" s="314"/>
      <c r="P1221" s="314"/>
      <c r="Q1221" s="314"/>
      <c r="R1221" s="314"/>
      <c r="S1221" s="314"/>
      <c r="T1221" s="314"/>
      <c r="U1221" s="314"/>
      <c r="V1221" s="314"/>
      <c r="W1221" s="314"/>
      <c r="X1221" s="314"/>
      <c r="Y1221" s="314"/>
      <c r="Z1221" s="314"/>
    </row>
    <row r="1222" spans="2:26" s="147" customFormat="1" ht="14.15" customHeight="1" x14ac:dyDescent="0.35">
      <c r="B1222" s="146"/>
      <c r="E1222" s="314"/>
      <c r="F1222" s="314"/>
      <c r="G1222" s="314"/>
      <c r="H1222" s="314"/>
      <c r="I1222" s="314"/>
      <c r="J1222" s="314"/>
      <c r="K1222" s="314"/>
      <c r="L1222" s="314"/>
      <c r="M1222" s="314"/>
      <c r="N1222" s="314"/>
      <c r="O1222" s="314"/>
      <c r="P1222" s="314"/>
      <c r="Q1222" s="314"/>
      <c r="R1222" s="314"/>
      <c r="S1222" s="314"/>
      <c r="T1222" s="314"/>
      <c r="U1222" s="314"/>
      <c r="V1222" s="314"/>
      <c r="W1222" s="314"/>
      <c r="X1222" s="314"/>
      <c r="Y1222" s="314"/>
      <c r="Z1222" s="314"/>
    </row>
    <row r="1223" spans="2:26" s="147" customFormat="1" ht="14.15" customHeight="1" x14ac:dyDescent="0.35">
      <c r="B1223" s="146"/>
      <c r="E1223" s="314"/>
      <c r="F1223" s="314"/>
      <c r="G1223" s="314"/>
      <c r="H1223" s="314"/>
      <c r="I1223" s="314"/>
      <c r="J1223" s="314"/>
      <c r="K1223" s="314"/>
      <c r="L1223" s="314"/>
      <c r="M1223" s="314"/>
      <c r="N1223" s="314"/>
      <c r="O1223" s="314"/>
      <c r="P1223" s="314"/>
      <c r="Q1223" s="314"/>
      <c r="R1223" s="314"/>
      <c r="S1223" s="314"/>
      <c r="T1223" s="314"/>
      <c r="U1223" s="314"/>
      <c r="V1223" s="314"/>
      <c r="W1223" s="314"/>
      <c r="X1223" s="314"/>
      <c r="Y1223" s="314"/>
      <c r="Z1223" s="314"/>
    </row>
    <row r="1224" spans="2:26" s="147" customFormat="1" ht="14.15" customHeight="1" x14ac:dyDescent="0.35">
      <c r="B1224" s="146"/>
      <c r="E1224" s="314"/>
      <c r="F1224" s="314"/>
      <c r="G1224" s="314"/>
      <c r="H1224" s="314"/>
      <c r="I1224" s="314"/>
      <c r="J1224" s="314"/>
      <c r="K1224" s="314"/>
      <c r="L1224" s="314"/>
      <c r="M1224" s="314"/>
      <c r="N1224" s="314"/>
      <c r="O1224" s="314"/>
      <c r="P1224" s="314"/>
      <c r="Q1224" s="314"/>
      <c r="R1224" s="314"/>
      <c r="S1224" s="314"/>
      <c r="T1224" s="314"/>
      <c r="U1224" s="314"/>
      <c r="V1224" s="314"/>
      <c r="W1224" s="314"/>
      <c r="X1224" s="314"/>
      <c r="Y1224" s="314"/>
      <c r="Z1224" s="314"/>
    </row>
    <row r="1225" spans="2:26" s="147" customFormat="1" ht="14.15" customHeight="1" x14ac:dyDescent="0.35">
      <c r="B1225" s="146"/>
      <c r="E1225" s="314"/>
      <c r="F1225" s="314"/>
      <c r="G1225" s="314"/>
      <c r="H1225" s="314"/>
      <c r="I1225" s="314"/>
      <c r="J1225" s="314"/>
      <c r="K1225" s="314"/>
      <c r="L1225" s="314"/>
      <c r="M1225" s="314"/>
      <c r="N1225" s="314"/>
      <c r="O1225" s="314"/>
      <c r="P1225" s="314"/>
      <c r="Q1225" s="314"/>
      <c r="R1225" s="314"/>
      <c r="S1225" s="314"/>
      <c r="T1225" s="314"/>
      <c r="U1225" s="314"/>
      <c r="V1225" s="314"/>
      <c r="W1225" s="314"/>
      <c r="X1225" s="314"/>
      <c r="Y1225" s="314"/>
      <c r="Z1225" s="314"/>
    </row>
    <row r="1226" spans="2:26" s="147" customFormat="1" ht="14.15" customHeight="1" x14ac:dyDescent="0.35">
      <c r="B1226" s="146"/>
      <c r="E1226" s="314"/>
      <c r="F1226" s="314"/>
      <c r="G1226" s="314"/>
      <c r="H1226" s="314"/>
      <c r="I1226" s="314"/>
      <c r="J1226" s="314"/>
      <c r="K1226" s="314"/>
      <c r="L1226" s="314"/>
      <c r="M1226" s="314"/>
      <c r="N1226" s="314"/>
      <c r="O1226" s="314"/>
      <c r="P1226" s="314"/>
      <c r="Q1226" s="314"/>
      <c r="R1226" s="314"/>
      <c r="S1226" s="314"/>
      <c r="T1226" s="314"/>
      <c r="U1226" s="314"/>
      <c r="V1226" s="314"/>
      <c r="W1226" s="314"/>
      <c r="X1226" s="314"/>
      <c r="Y1226" s="314"/>
      <c r="Z1226" s="314"/>
    </row>
    <row r="1227" spans="2:26" s="147" customFormat="1" ht="14.15" customHeight="1" x14ac:dyDescent="0.35">
      <c r="B1227" s="146"/>
      <c r="E1227" s="314"/>
      <c r="F1227" s="314"/>
      <c r="G1227" s="314"/>
      <c r="H1227" s="314"/>
      <c r="I1227" s="314"/>
      <c r="J1227" s="314"/>
      <c r="K1227" s="314"/>
      <c r="L1227" s="314"/>
      <c r="M1227" s="314"/>
      <c r="N1227" s="314"/>
      <c r="O1227" s="314"/>
      <c r="P1227" s="314"/>
      <c r="Q1227" s="314"/>
      <c r="R1227" s="314"/>
      <c r="S1227" s="314"/>
      <c r="T1227" s="314"/>
      <c r="U1227" s="314"/>
      <c r="V1227" s="314"/>
      <c r="W1227" s="314"/>
      <c r="X1227" s="314"/>
      <c r="Y1227" s="314"/>
      <c r="Z1227" s="314"/>
    </row>
    <row r="1228" spans="2:26" s="147" customFormat="1" ht="14.15" customHeight="1" x14ac:dyDescent="0.35">
      <c r="B1228" s="146"/>
      <c r="E1228" s="314"/>
      <c r="F1228" s="314"/>
      <c r="G1228" s="314"/>
      <c r="H1228" s="314"/>
      <c r="I1228" s="314"/>
      <c r="J1228" s="314"/>
      <c r="K1228" s="314"/>
      <c r="L1228" s="314"/>
      <c r="M1228" s="314"/>
      <c r="N1228" s="314"/>
      <c r="O1228" s="314"/>
      <c r="P1228" s="314"/>
      <c r="Q1228" s="314"/>
      <c r="R1228" s="314"/>
      <c r="S1228" s="314"/>
      <c r="T1228" s="314"/>
      <c r="U1228" s="314"/>
      <c r="V1228" s="314"/>
      <c r="W1228" s="314"/>
      <c r="X1228" s="314"/>
      <c r="Y1228" s="314"/>
      <c r="Z1228" s="314"/>
    </row>
    <row r="1229" spans="2:26" s="147" customFormat="1" ht="14.15" customHeight="1" x14ac:dyDescent="0.35">
      <c r="B1229" s="146"/>
      <c r="E1229" s="314"/>
      <c r="F1229" s="314"/>
      <c r="G1229" s="314"/>
      <c r="H1229" s="314"/>
      <c r="I1229" s="314"/>
      <c r="J1229" s="314"/>
      <c r="K1229" s="314"/>
      <c r="L1229" s="314"/>
      <c r="M1229" s="314"/>
      <c r="N1229" s="314"/>
      <c r="O1229" s="314"/>
      <c r="P1229" s="314"/>
      <c r="Q1229" s="314"/>
      <c r="R1229" s="314"/>
      <c r="S1229" s="314"/>
      <c r="T1229" s="314"/>
      <c r="U1229" s="314"/>
      <c r="V1229" s="314"/>
      <c r="W1229" s="314"/>
      <c r="X1229" s="314"/>
      <c r="Y1229" s="314"/>
      <c r="Z1229" s="314"/>
    </row>
    <row r="1230" spans="2:26" s="147" customFormat="1" ht="14.15" customHeight="1" x14ac:dyDescent="0.35">
      <c r="B1230" s="146"/>
      <c r="E1230" s="314"/>
      <c r="F1230" s="314"/>
      <c r="G1230" s="314"/>
      <c r="H1230" s="314"/>
      <c r="I1230" s="314"/>
      <c r="J1230" s="314"/>
      <c r="K1230" s="314"/>
      <c r="L1230" s="314"/>
      <c r="M1230" s="314"/>
      <c r="N1230" s="314"/>
      <c r="O1230" s="314"/>
      <c r="P1230" s="314"/>
      <c r="Q1230" s="314"/>
      <c r="R1230" s="314"/>
      <c r="S1230" s="314"/>
      <c r="T1230" s="314"/>
      <c r="U1230" s="314"/>
      <c r="V1230" s="314"/>
      <c r="W1230" s="314"/>
      <c r="X1230" s="314"/>
      <c r="Y1230" s="314"/>
      <c r="Z1230" s="314"/>
    </row>
    <row r="1231" spans="2:26" s="147" customFormat="1" ht="14.15" customHeight="1" x14ac:dyDescent="0.35">
      <c r="B1231" s="146"/>
      <c r="E1231" s="314"/>
      <c r="F1231" s="314"/>
      <c r="G1231" s="314"/>
      <c r="H1231" s="314"/>
      <c r="I1231" s="314"/>
      <c r="J1231" s="314"/>
      <c r="K1231" s="314"/>
      <c r="L1231" s="314"/>
      <c r="M1231" s="314"/>
      <c r="N1231" s="314"/>
      <c r="O1231" s="314"/>
      <c r="P1231" s="314"/>
      <c r="Q1231" s="314"/>
      <c r="R1231" s="314"/>
      <c r="S1231" s="314"/>
      <c r="T1231" s="314"/>
      <c r="U1231" s="314"/>
      <c r="V1231" s="314"/>
      <c r="W1231" s="314"/>
      <c r="X1231" s="314"/>
      <c r="Y1231" s="314"/>
      <c r="Z1231" s="314"/>
    </row>
    <row r="1232" spans="2:26" s="147" customFormat="1" ht="14.15" customHeight="1" x14ac:dyDescent="0.35">
      <c r="B1232" s="146"/>
      <c r="E1232" s="314"/>
      <c r="F1232" s="314"/>
      <c r="G1232" s="314"/>
      <c r="H1232" s="314"/>
      <c r="I1232" s="314"/>
      <c r="J1232" s="314"/>
      <c r="K1232" s="314"/>
      <c r="L1232" s="314"/>
      <c r="M1232" s="314"/>
      <c r="N1232" s="314"/>
      <c r="O1232" s="314"/>
      <c r="P1232" s="314"/>
      <c r="Q1232" s="314"/>
      <c r="R1232" s="314"/>
      <c r="S1232" s="314"/>
      <c r="T1232" s="314"/>
      <c r="U1232" s="314"/>
      <c r="V1232" s="314"/>
      <c r="W1232" s="314"/>
      <c r="X1232" s="314"/>
      <c r="Y1232" s="314"/>
      <c r="Z1232" s="314"/>
    </row>
    <row r="1233" spans="2:26" s="147" customFormat="1" ht="14.15" customHeight="1" x14ac:dyDescent="0.35">
      <c r="B1233" s="146"/>
      <c r="E1233" s="314"/>
      <c r="F1233" s="314"/>
      <c r="G1233" s="314"/>
      <c r="H1233" s="314"/>
      <c r="I1233" s="314"/>
      <c r="J1233" s="314"/>
      <c r="K1233" s="314"/>
      <c r="L1233" s="314"/>
      <c r="M1233" s="314"/>
      <c r="N1233" s="314"/>
      <c r="O1233" s="314"/>
      <c r="P1233" s="314"/>
      <c r="Q1233" s="314"/>
      <c r="R1233" s="314"/>
      <c r="S1233" s="314"/>
      <c r="T1233" s="314"/>
      <c r="U1233" s="314"/>
      <c r="V1233" s="314"/>
      <c r="W1233" s="314"/>
      <c r="X1233" s="314"/>
      <c r="Y1233" s="314"/>
      <c r="Z1233" s="314"/>
    </row>
    <row r="1234" spans="2:26" s="147" customFormat="1" ht="14.15" customHeight="1" x14ac:dyDescent="0.35">
      <c r="B1234" s="146"/>
      <c r="E1234" s="314"/>
      <c r="F1234" s="314"/>
      <c r="G1234" s="314"/>
      <c r="H1234" s="314"/>
      <c r="I1234" s="314"/>
      <c r="J1234" s="314"/>
      <c r="K1234" s="314"/>
      <c r="L1234" s="314"/>
      <c r="M1234" s="314"/>
      <c r="N1234" s="314"/>
      <c r="O1234" s="314"/>
      <c r="P1234" s="314"/>
      <c r="Q1234" s="314"/>
      <c r="R1234" s="314"/>
      <c r="S1234" s="314"/>
      <c r="T1234" s="314"/>
      <c r="U1234" s="314"/>
      <c r="V1234" s="314"/>
      <c r="W1234" s="314"/>
      <c r="X1234" s="314"/>
      <c r="Y1234" s="314"/>
      <c r="Z1234" s="314"/>
    </row>
    <row r="1235" spans="2:26" s="147" customFormat="1" ht="14.15" customHeight="1" x14ac:dyDescent="0.35">
      <c r="B1235" s="146"/>
      <c r="E1235" s="314"/>
      <c r="F1235" s="314"/>
      <c r="G1235" s="314"/>
      <c r="H1235" s="314"/>
      <c r="I1235" s="314"/>
      <c r="J1235" s="314"/>
      <c r="K1235" s="314"/>
      <c r="L1235" s="314"/>
      <c r="M1235" s="314"/>
      <c r="N1235" s="314"/>
      <c r="O1235" s="314"/>
      <c r="P1235" s="314"/>
      <c r="Q1235" s="314"/>
      <c r="R1235" s="314"/>
      <c r="S1235" s="314"/>
      <c r="T1235" s="314"/>
      <c r="U1235" s="314"/>
      <c r="V1235" s="314"/>
      <c r="W1235" s="314"/>
      <c r="X1235" s="314"/>
      <c r="Y1235" s="314"/>
      <c r="Z1235" s="314"/>
    </row>
    <row r="1236" spans="2:26" s="147" customFormat="1" ht="14.15" customHeight="1" x14ac:dyDescent="0.35">
      <c r="B1236" s="146"/>
      <c r="E1236" s="314"/>
      <c r="F1236" s="314"/>
      <c r="G1236" s="314"/>
      <c r="H1236" s="314"/>
      <c r="I1236" s="314"/>
      <c r="J1236" s="314"/>
      <c r="K1236" s="314"/>
      <c r="L1236" s="314"/>
      <c r="M1236" s="314"/>
      <c r="N1236" s="314"/>
      <c r="O1236" s="314"/>
      <c r="P1236" s="314"/>
      <c r="Q1236" s="314"/>
      <c r="R1236" s="314"/>
      <c r="S1236" s="314"/>
      <c r="T1236" s="314"/>
      <c r="U1236" s="314"/>
      <c r="V1236" s="314"/>
      <c r="W1236" s="314"/>
      <c r="X1236" s="314"/>
      <c r="Y1236" s="314"/>
      <c r="Z1236" s="314"/>
    </row>
    <row r="1237" spans="2:26" s="147" customFormat="1" ht="14.15" customHeight="1" x14ac:dyDescent="0.35">
      <c r="B1237" s="146"/>
      <c r="E1237" s="314"/>
      <c r="F1237" s="314"/>
      <c r="G1237" s="314"/>
      <c r="H1237" s="314"/>
      <c r="I1237" s="314"/>
      <c r="J1237" s="314"/>
      <c r="K1237" s="314"/>
      <c r="L1237" s="314"/>
      <c r="M1237" s="314"/>
      <c r="N1237" s="314"/>
      <c r="O1237" s="314"/>
      <c r="P1237" s="314"/>
      <c r="Q1237" s="314"/>
      <c r="R1237" s="314"/>
      <c r="S1237" s="314"/>
      <c r="T1237" s="314"/>
      <c r="U1237" s="314"/>
      <c r="V1237" s="314"/>
      <c r="W1237" s="314"/>
      <c r="X1237" s="314"/>
      <c r="Y1237" s="314"/>
      <c r="Z1237" s="314"/>
    </row>
    <row r="1238" spans="2:26" s="147" customFormat="1" ht="14.15" customHeight="1" x14ac:dyDescent="0.35">
      <c r="B1238" s="146"/>
      <c r="E1238" s="314"/>
      <c r="F1238" s="314"/>
      <c r="G1238" s="314"/>
      <c r="H1238" s="314"/>
      <c r="I1238" s="314"/>
      <c r="J1238" s="314"/>
      <c r="K1238" s="314"/>
      <c r="L1238" s="314"/>
      <c r="M1238" s="314"/>
      <c r="N1238" s="314"/>
      <c r="O1238" s="314"/>
      <c r="P1238" s="314"/>
      <c r="Q1238" s="314"/>
      <c r="R1238" s="314"/>
      <c r="S1238" s="314"/>
      <c r="T1238" s="314"/>
      <c r="U1238" s="314"/>
      <c r="V1238" s="314"/>
      <c r="W1238" s="314"/>
      <c r="X1238" s="314"/>
      <c r="Y1238" s="314"/>
      <c r="Z1238" s="314"/>
    </row>
    <row r="1239" spans="2:26" s="147" customFormat="1" ht="14.15" customHeight="1" x14ac:dyDescent="0.35">
      <c r="B1239" s="146"/>
      <c r="E1239" s="314"/>
      <c r="F1239" s="314"/>
      <c r="G1239" s="314"/>
      <c r="H1239" s="314"/>
      <c r="I1239" s="314"/>
      <c r="J1239" s="314"/>
      <c r="K1239" s="314"/>
      <c r="L1239" s="314"/>
      <c r="M1239" s="314"/>
      <c r="N1239" s="314"/>
      <c r="O1239" s="314"/>
      <c r="P1239" s="314"/>
      <c r="Q1239" s="314"/>
      <c r="R1239" s="314"/>
      <c r="S1239" s="314"/>
      <c r="T1239" s="314"/>
      <c r="U1239" s="314"/>
      <c r="V1239" s="314"/>
      <c r="W1239" s="314"/>
      <c r="X1239" s="314"/>
      <c r="Y1239" s="314"/>
      <c r="Z1239" s="314"/>
    </row>
    <row r="1240" spans="2:26" s="147" customFormat="1" ht="14.15" customHeight="1" x14ac:dyDescent="0.35">
      <c r="B1240" s="146"/>
      <c r="E1240" s="314"/>
      <c r="F1240" s="314"/>
      <c r="G1240" s="314"/>
      <c r="H1240" s="314"/>
      <c r="I1240" s="314"/>
      <c r="J1240" s="314"/>
      <c r="K1240" s="314"/>
      <c r="L1240" s="314"/>
      <c r="M1240" s="314"/>
      <c r="N1240" s="314"/>
      <c r="O1240" s="314"/>
      <c r="P1240" s="314"/>
      <c r="Q1240" s="314"/>
      <c r="R1240" s="314"/>
      <c r="S1240" s="314"/>
      <c r="T1240" s="314"/>
      <c r="U1240" s="314"/>
      <c r="V1240" s="314"/>
      <c r="W1240" s="314"/>
      <c r="X1240" s="314"/>
      <c r="Y1240" s="314"/>
      <c r="Z1240" s="314"/>
    </row>
    <row r="1241" spans="2:26" s="147" customFormat="1" ht="14.15" customHeight="1" x14ac:dyDescent="0.35">
      <c r="B1241" s="146"/>
      <c r="E1241" s="314"/>
      <c r="F1241" s="314"/>
      <c r="G1241" s="314"/>
      <c r="H1241" s="314"/>
      <c r="I1241" s="314"/>
      <c r="J1241" s="314"/>
      <c r="K1241" s="314"/>
      <c r="L1241" s="314"/>
      <c r="M1241" s="314"/>
      <c r="N1241" s="314"/>
      <c r="O1241" s="314"/>
      <c r="P1241" s="314"/>
      <c r="Q1241" s="314"/>
      <c r="R1241" s="314"/>
      <c r="S1241" s="314"/>
      <c r="T1241" s="314"/>
      <c r="U1241" s="314"/>
      <c r="V1241" s="314"/>
      <c r="W1241" s="314"/>
      <c r="X1241" s="314"/>
      <c r="Y1241" s="314"/>
      <c r="Z1241" s="314"/>
    </row>
    <row r="1242" spans="2:26" s="147" customFormat="1" ht="14.15" customHeight="1" x14ac:dyDescent="0.35">
      <c r="B1242" s="146"/>
      <c r="E1242" s="314"/>
      <c r="F1242" s="314"/>
      <c r="G1242" s="314"/>
      <c r="H1242" s="314"/>
      <c r="I1242" s="314"/>
      <c r="J1242" s="314"/>
      <c r="K1242" s="314"/>
      <c r="L1242" s="314"/>
      <c r="M1242" s="314"/>
      <c r="N1242" s="314"/>
      <c r="O1242" s="314"/>
      <c r="P1242" s="314"/>
      <c r="Q1242" s="314"/>
      <c r="R1242" s="314"/>
      <c r="S1242" s="314"/>
      <c r="T1242" s="314"/>
      <c r="U1242" s="314"/>
      <c r="V1242" s="314"/>
      <c r="W1242" s="314"/>
      <c r="X1242" s="314"/>
      <c r="Y1242" s="314"/>
      <c r="Z1242" s="314"/>
    </row>
    <row r="1243" spans="2:26" s="147" customFormat="1" ht="14.15" customHeight="1" x14ac:dyDescent="0.35">
      <c r="B1243" s="146"/>
      <c r="E1243" s="314"/>
      <c r="F1243" s="314"/>
      <c r="G1243" s="314"/>
      <c r="H1243" s="314"/>
      <c r="I1243" s="314"/>
      <c r="J1243" s="314"/>
      <c r="K1243" s="314"/>
      <c r="L1243" s="314"/>
      <c r="M1243" s="314"/>
      <c r="N1243" s="314"/>
      <c r="O1243" s="314"/>
      <c r="P1243" s="314"/>
      <c r="Q1243" s="314"/>
      <c r="R1243" s="314"/>
      <c r="S1243" s="314"/>
      <c r="T1243" s="314"/>
      <c r="U1243" s="314"/>
      <c r="V1243" s="314"/>
      <c r="W1243" s="314"/>
      <c r="X1243" s="314"/>
      <c r="Y1243" s="314"/>
      <c r="Z1243" s="314"/>
    </row>
    <row r="1244" spans="2:26" s="147" customFormat="1" ht="14.15" customHeight="1" x14ac:dyDescent="0.35">
      <c r="B1244" s="146"/>
      <c r="E1244" s="314"/>
      <c r="F1244" s="314"/>
      <c r="G1244" s="314"/>
      <c r="H1244" s="314"/>
      <c r="I1244" s="314"/>
      <c r="J1244" s="314"/>
      <c r="K1244" s="314"/>
      <c r="L1244" s="314"/>
      <c r="M1244" s="314"/>
      <c r="N1244" s="314"/>
      <c r="O1244" s="314"/>
      <c r="P1244" s="314"/>
      <c r="Q1244" s="314"/>
      <c r="R1244" s="314"/>
      <c r="S1244" s="314"/>
      <c r="T1244" s="314"/>
      <c r="U1244" s="314"/>
      <c r="V1244" s="314"/>
      <c r="W1244" s="314"/>
      <c r="X1244" s="314"/>
      <c r="Y1244" s="314"/>
      <c r="Z1244" s="314"/>
    </row>
    <row r="1245" spans="2:26" s="147" customFormat="1" ht="14.15" customHeight="1" x14ac:dyDescent="0.35">
      <c r="B1245" s="146"/>
      <c r="E1245" s="314"/>
      <c r="F1245" s="314"/>
      <c r="G1245" s="314"/>
      <c r="H1245" s="314"/>
      <c r="I1245" s="314"/>
      <c r="J1245" s="314"/>
      <c r="K1245" s="314"/>
      <c r="L1245" s="314"/>
      <c r="M1245" s="314"/>
      <c r="N1245" s="314"/>
      <c r="O1245" s="314"/>
      <c r="P1245" s="314"/>
      <c r="Q1245" s="314"/>
      <c r="R1245" s="314"/>
      <c r="S1245" s="314"/>
      <c r="T1245" s="314"/>
      <c r="U1245" s="314"/>
      <c r="V1245" s="314"/>
      <c r="W1245" s="314"/>
      <c r="X1245" s="314"/>
      <c r="Y1245" s="314"/>
      <c r="Z1245" s="314"/>
    </row>
    <row r="1246" spans="2:26" s="147" customFormat="1" ht="14.15" customHeight="1" x14ac:dyDescent="0.35">
      <c r="B1246" s="146"/>
      <c r="E1246" s="314"/>
      <c r="F1246" s="314"/>
      <c r="G1246" s="314"/>
      <c r="H1246" s="314"/>
      <c r="I1246" s="314"/>
      <c r="J1246" s="314"/>
      <c r="K1246" s="314"/>
      <c r="L1246" s="314"/>
      <c r="M1246" s="314"/>
      <c r="N1246" s="314"/>
      <c r="O1246" s="314"/>
      <c r="P1246" s="314"/>
      <c r="Q1246" s="314"/>
      <c r="R1246" s="314"/>
      <c r="S1246" s="314"/>
      <c r="T1246" s="314"/>
      <c r="U1246" s="314"/>
      <c r="V1246" s="314"/>
      <c r="W1246" s="314"/>
      <c r="X1246" s="314"/>
      <c r="Y1246" s="314"/>
      <c r="Z1246" s="314"/>
    </row>
    <row r="1247" spans="2:26" s="147" customFormat="1" ht="14.15" customHeight="1" x14ac:dyDescent="0.35">
      <c r="B1247" s="146"/>
      <c r="E1247" s="314"/>
      <c r="F1247" s="314"/>
      <c r="G1247" s="314"/>
      <c r="H1247" s="314"/>
      <c r="I1247" s="314"/>
      <c r="J1247" s="314"/>
      <c r="K1247" s="314"/>
      <c r="L1247" s="314"/>
      <c r="M1247" s="314"/>
      <c r="N1247" s="314"/>
      <c r="O1247" s="314"/>
      <c r="P1247" s="314"/>
      <c r="Q1247" s="314"/>
      <c r="R1247" s="314"/>
      <c r="S1247" s="314"/>
      <c r="T1247" s="314"/>
      <c r="U1247" s="314"/>
      <c r="V1247" s="314"/>
      <c r="W1247" s="314"/>
      <c r="X1247" s="314"/>
      <c r="Y1247" s="314"/>
      <c r="Z1247" s="314"/>
    </row>
    <row r="1248" spans="2:26" s="147" customFormat="1" ht="14.15" customHeight="1" x14ac:dyDescent="0.35">
      <c r="B1248" s="146"/>
      <c r="E1248" s="314"/>
      <c r="F1248" s="314"/>
      <c r="G1248" s="314"/>
      <c r="H1248" s="314"/>
      <c r="I1248" s="314"/>
      <c r="J1248" s="314"/>
      <c r="K1248" s="314"/>
      <c r="L1248" s="314"/>
      <c r="M1248" s="314"/>
      <c r="N1248" s="314"/>
      <c r="O1248" s="314"/>
      <c r="P1248" s="314"/>
      <c r="Q1248" s="314"/>
      <c r="R1248" s="314"/>
      <c r="S1248" s="314"/>
      <c r="T1248" s="314"/>
      <c r="U1248" s="314"/>
      <c r="V1248" s="314"/>
      <c r="W1248" s="314"/>
      <c r="X1248" s="314"/>
      <c r="Y1248" s="314"/>
      <c r="Z1248" s="314"/>
    </row>
    <row r="1249" spans="2:26" s="147" customFormat="1" ht="14.15" customHeight="1" x14ac:dyDescent="0.35">
      <c r="B1249" s="146"/>
      <c r="E1249" s="314"/>
      <c r="F1249" s="314"/>
      <c r="G1249" s="314"/>
      <c r="H1249" s="314"/>
      <c r="I1249" s="314"/>
      <c r="J1249" s="314"/>
      <c r="K1249" s="314"/>
      <c r="L1249" s="314"/>
      <c r="M1249" s="314"/>
      <c r="N1249" s="314"/>
      <c r="O1249" s="314"/>
      <c r="P1249" s="314"/>
      <c r="Q1249" s="314"/>
      <c r="R1249" s="314"/>
      <c r="S1249" s="314"/>
      <c r="T1249" s="314"/>
      <c r="U1249" s="314"/>
      <c r="V1249" s="314"/>
      <c r="W1249" s="314"/>
      <c r="X1249" s="314"/>
      <c r="Y1249" s="314"/>
      <c r="Z1249" s="314"/>
    </row>
    <row r="1250" spans="2:26" s="147" customFormat="1" ht="14.15" customHeight="1" x14ac:dyDescent="0.35">
      <c r="B1250" s="146"/>
      <c r="E1250" s="314"/>
      <c r="F1250" s="314"/>
      <c r="G1250" s="314"/>
      <c r="H1250" s="314"/>
      <c r="I1250" s="314"/>
      <c r="J1250" s="314"/>
      <c r="K1250" s="314"/>
      <c r="L1250" s="314"/>
      <c r="M1250" s="314"/>
      <c r="N1250" s="314"/>
      <c r="O1250" s="314"/>
      <c r="P1250" s="314"/>
      <c r="Q1250" s="314"/>
      <c r="R1250" s="314"/>
      <c r="S1250" s="314"/>
      <c r="T1250" s="314"/>
      <c r="U1250" s="314"/>
      <c r="V1250" s="314"/>
      <c r="W1250" s="314"/>
      <c r="X1250" s="314"/>
      <c r="Y1250" s="314"/>
      <c r="Z1250" s="314"/>
    </row>
    <row r="1251" spans="2:26" s="147" customFormat="1" ht="14.15" customHeight="1" x14ac:dyDescent="0.35">
      <c r="B1251" s="146"/>
      <c r="E1251" s="314"/>
      <c r="F1251" s="314"/>
      <c r="G1251" s="314"/>
      <c r="H1251" s="314"/>
      <c r="I1251" s="314"/>
      <c r="J1251" s="314"/>
      <c r="K1251" s="314"/>
      <c r="L1251" s="314"/>
      <c r="M1251" s="314"/>
      <c r="N1251" s="314"/>
      <c r="O1251" s="314"/>
      <c r="P1251" s="314"/>
      <c r="Q1251" s="314"/>
      <c r="R1251" s="314"/>
      <c r="S1251" s="314"/>
      <c r="T1251" s="314"/>
      <c r="U1251" s="314"/>
      <c r="V1251" s="314"/>
      <c r="W1251" s="314"/>
      <c r="X1251" s="314"/>
      <c r="Y1251" s="314"/>
      <c r="Z1251" s="314"/>
    </row>
    <row r="1252" spans="2:26" s="147" customFormat="1" ht="14.15" customHeight="1" x14ac:dyDescent="0.35">
      <c r="B1252" s="146"/>
      <c r="E1252" s="314"/>
      <c r="F1252" s="314"/>
      <c r="G1252" s="314"/>
      <c r="H1252" s="314"/>
      <c r="I1252" s="314"/>
      <c r="J1252" s="314"/>
      <c r="K1252" s="314"/>
      <c r="L1252" s="314"/>
      <c r="M1252" s="314"/>
      <c r="N1252" s="314"/>
      <c r="O1252" s="314"/>
      <c r="P1252" s="314"/>
      <c r="Q1252" s="314"/>
      <c r="R1252" s="314"/>
      <c r="S1252" s="314"/>
      <c r="T1252" s="314"/>
      <c r="U1252" s="314"/>
      <c r="V1252" s="314"/>
      <c r="W1252" s="314"/>
      <c r="X1252" s="314"/>
      <c r="Y1252" s="314"/>
      <c r="Z1252" s="314"/>
    </row>
    <row r="1253" spans="2:26" s="147" customFormat="1" ht="14.15" customHeight="1" x14ac:dyDescent="0.35">
      <c r="B1253" s="146"/>
      <c r="E1253" s="314"/>
      <c r="F1253" s="314"/>
      <c r="G1253" s="314"/>
      <c r="H1253" s="314"/>
      <c r="I1253" s="314"/>
      <c r="J1253" s="314"/>
      <c r="K1253" s="314"/>
      <c r="L1253" s="314"/>
      <c r="M1253" s="314"/>
      <c r="N1253" s="314"/>
      <c r="O1253" s="314"/>
      <c r="P1253" s="314"/>
      <c r="Q1253" s="314"/>
      <c r="R1253" s="314"/>
      <c r="S1253" s="314"/>
      <c r="T1253" s="314"/>
      <c r="U1253" s="314"/>
      <c r="V1253" s="314"/>
      <c r="W1253" s="314"/>
      <c r="X1253" s="314"/>
      <c r="Y1253" s="314"/>
      <c r="Z1253" s="314"/>
    </row>
    <row r="1254" spans="2:26" s="147" customFormat="1" ht="14.15" customHeight="1" x14ac:dyDescent="0.35">
      <c r="B1254" s="146"/>
      <c r="E1254" s="314"/>
      <c r="F1254" s="314"/>
      <c r="G1254" s="314"/>
      <c r="H1254" s="314"/>
      <c r="I1254" s="314"/>
      <c r="J1254" s="314"/>
      <c r="K1254" s="314"/>
      <c r="L1254" s="314"/>
      <c r="M1254" s="314"/>
      <c r="N1254" s="314"/>
      <c r="O1254" s="314"/>
      <c r="P1254" s="314"/>
      <c r="Q1254" s="314"/>
      <c r="R1254" s="314"/>
      <c r="S1254" s="314"/>
      <c r="T1254" s="314"/>
      <c r="U1254" s="314"/>
      <c r="V1254" s="314"/>
      <c r="W1254" s="314"/>
      <c r="X1254" s="314"/>
      <c r="Y1254" s="314"/>
      <c r="Z1254" s="314"/>
    </row>
    <row r="1255" spans="2:26" s="147" customFormat="1" ht="14.15" customHeight="1" x14ac:dyDescent="0.35">
      <c r="B1255" s="146"/>
      <c r="E1255" s="314"/>
      <c r="F1255" s="314"/>
      <c r="G1255" s="314"/>
      <c r="H1255" s="314"/>
      <c r="I1255" s="314"/>
      <c r="J1255" s="314"/>
      <c r="K1255" s="314"/>
      <c r="L1255" s="314"/>
      <c r="M1255" s="314"/>
      <c r="N1255" s="314"/>
      <c r="O1255" s="314"/>
      <c r="P1255" s="314"/>
      <c r="Q1255" s="314"/>
      <c r="R1255" s="314"/>
      <c r="S1255" s="314"/>
      <c r="T1255" s="314"/>
      <c r="U1255" s="314"/>
      <c r="V1255" s="314"/>
      <c r="W1255" s="314"/>
      <c r="X1255" s="314"/>
      <c r="Y1255" s="314"/>
      <c r="Z1255" s="314"/>
    </row>
    <row r="1256" spans="2:26" s="147" customFormat="1" ht="14.15" customHeight="1" x14ac:dyDescent="0.35">
      <c r="B1256" s="146"/>
      <c r="E1256" s="314"/>
      <c r="F1256" s="314"/>
      <c r="G1256" s="314"/>
      <c r="H1256" s="314"/>
      <c r="I1256" s="314"/>
      <c r="J1256" s="314"/>
      <c r="K1256" s="314"/>
      <c r="L1256" s="314"/>
      <c r="M1256" s="314"/>
      <c r="N1256" s="314"/>
      <c r="O1256" s="314"/>
      <c r="P1256" s="314"/>
      <c r="Q1256" s="314"/>
      <c r="R1256" s="314"/>
      <c r="S1256" s="314"/>
      <c r="T1256" s="314"/>
      <c r="U1256" s="314"/>
      <c r="V1256" s="314"/>
      <c r="W1256" s="314"/>
      <c r="X1256" s="314"/>
      <c r="Y1256" s="314"/>
      <c r="Z1256" s="314"/>
    </row>
    <row r="1257" spans="2:26" s="147" customFormat="1" ht="14.15" customHeight="1" x14ac:dyDescent="0.35">
      <c r="B1257" s="146"/>
      <c r="E1257" s="314"/>
      <c r="F1257" s="314"/>
      <c r="G1257" s="314"/>
      <c r="H1257" s="314"/>
      <c r="I1257" s="314"/>
      <c r="J1257" s="314"/>
      <c r="K1257" s="314"/>
      <c r="L1257" s="314"/>
      <c r="M1257" s="314"/>
      <c r="N1257" s="314"/>
      <c r="O1257" s="314"/>
      <c r="P1257" s="314"/>
      <c r="Q1257" s="314"/>
      <c r="R1257" s="314"/>
      <c r="S1257" s="314"/>
      <c r="T1257" s="314"/>
      <c r="U1257" s="314"/>
      <c r="V1257" s="314"/>
      <c r="W1257" s="314"/>
      <c r="X1257" s="314"/>
      <c r="Y1257" s="314"/>
      <c r="Z1257" s="314"/>
    </row>
    <row r="1258" spans="2:26" s="147" customFormat="1" ht="14.15" customHeight="1" x14ac:dyDescent="0.35">
      <c r="B1258" s="146"/>
      <c r="E1258" s="314"/>
      <c r="F1258" s="314"/>
      <c r="G1258" s="314"/>
      <c r="H1258" s="314"/>
      <c r="I1258" s="314"/>
      <c r="J1258" s="314"/>
      <c r="K1258" s="314"/>
      <c r="L1258" s="314"/>
      <c r="M1258" s="314"/>
      <c r="N1258" s="314"/>
      <c r="O1258" s="314"/>
      <c r="P1258" s="314"/>
      <c r="Q1258" s="314"/>
      <c r="R1258" s="314"/>
      <c r="S1258" s="314"/>
      <c r="T1258" s="314"/>
      <c r="U1258" s="314"/>
      <c r="V1258" s="314"/>
      <c r="W1258" s="314"/>
      <c r="X1258" s="314"/>
      <c r="Y1258" s="314"/>
      <c r="Z1258" s="314"/>
    </row>
    <row r="1259" spans="2:26" s="147" customFormat="1" ht="14.15" customHeight="1" x14ac:dyDescent="0.35">
      <c r="B1259" s="146"/>
      <c r="E1259" s="314"/>
      <c r="F1259" s="314"/>
      <c r="G1259" s="314"/>
      <c r="H1259" s="314"/>
      <c r="I1259" s="314"/>
      <c r="J1259" s="314"/>
      <c r="K1259" s="314"/>
      <c r="L1259" s="314"/>
      <c r="M1259" s="314"/>
      <c r="N1259" s="314"/>
      <c r="O1259" s="314"/>
      <c r="P1259" s="314"/>
      <c r="Q1259" s="314"/>
      <c r="R1259" s="314"/>
      <c r="S1259" s="314"/>
      <c r="T1259" s="314"/>
      <c r="U1259" s="314"/>
      <c r="V1259" s="314"/>
      <c r="W1259" s="314"/>
      <c r="X1259" s="314"/>
      <c r="Y1259" s="314"/>
      <c r="Z1259" s="314"/>
    </row>
    <row r="1260" spans="2:26" s="147" customFormat="1" ht="14.15" customHeight="1" x14ac:dyDescent="0.35">
      <c r="B1260" s="146"/>
      <c r="E1260" s="314"/>
      <c r="F1260" s="314"/>
      <c r="G1260" s="314"/>
      <c r="H1260" s="314"/>
      <c r="I1260" s="314"/>
      <c r="J1260" s="314"/>
      <c r="K1260" s="314"/>
      <c r="L1260" s="314"/>
      <c r="M1260" s="314"/>
      <c r="N1260" s="314"/>
      <c r="O1260" s="314"/>
      <c r="P1260" s="314"/>
      <c r="Q1260" s="314"/>
      <c r="R1260" s="314"/>
      <c r="S1260" s="314"/>
      <c r="T1260" s="314"/>
      <c r="U1260" s="314"/>
      <c r="V1260" s="314"/>
      <c r="W1260" s="314"/>
      <c r="X1260" s="314"/>
      <c r="Y1260" s="314"/>
      <c r="Z1260" s="314"/>
    </row>
    <row r="1261" spans="2:26" s="147" customFormat="1" ht="14.15" customHeight="1" x14ac:dyDescent="0.35">
      <c r="B1261" s="146"/>
      <c r="E1261" s="314"/>
      <c r="F1261" s="314"/>
      <c r="G1261" s="314"/>
      <c r="H1261" s="314"/>
      <c r="I1261" s="314"/>
      <c r="J1261" s="314"/>
      <c r="K1261" s="314"/>
      <c r="L1261" s="314"/>
      <c r="M1261" s="314"/>
      <c r="N1261" s="314"/>
      <c r="O1261" s="314"/>
      <c r="P1261" s="314"/>
      <c r="Q1261" s="314"/>
      <c r="R1261" s="314"/>
      <c r="S1261" s="314"/>
      <c r="T1261" s="314"/>
      <c r="U1261" s="314"/>
      <c r="V1261" s="314"/>
      <c r="W1261" s="314"/>
      <c r="X1261" s="314"/>
      <c r="Y1261" s="314"/>
      <c r="Z1261" s="314"/>
    </row>
    <row r="1262" spans="2:26" s="147" customFormat="1" ht="14.15" customHeight="1" x14ac:dyDescent="0.35">
      <c r="B1262" s="146"/>
      <c r="E1262" s="314"/>
      <c r="F1262" s="314"/>
      <c r="G1262" s="314"/>
      <c r="H1262" s="314"/>
      <c r="I1262" s="314"/>
      <c r="J1262" s="314"/>
      <c r="K1262" s="314"/>
      <c r="L1262" s="314"/>
      <c r="M1262" s="314"/>
      <c r="N1262" s="314"/>
      <c r="O1262" s="314"/>
      <c r="P1262" s="314"/>
      <c r="Q1262" s="314"/>
      <c r="R1262" s="314"/>
      <c r="S1262" s="314"/>
      <c r="T1262" s="314"/>
      <c r="U1262" s="314"/>
      <c r="V1262" s="314"/>
      <c r="W1262" s="314"/>
      <c r="X1262" s="314"/>
      <c r="Y1262" s="314"/>
      <c r="Z1262" s="314"/>
    </row>
    <row r="1263" spans="2:26" s="147" customFormat="1" ht="14.15" customHeight="1" x14ac:dyDescent="0.35">
      <c r="B1263" s="146"/>
      <c r="E1263" s="314"/>
      <c r="F1263" s="314"/>
      <c r="G1263" s="314"/>
      <c r="H1263" s="314"/>
      <c r="I1263" s="314"/>
      <c r="J1263" s="314"/>
      <c r="K1263" s="314"/>
      <c r="L1263" s="314"/>
      <c r="M1263" s="314"/>
      <c r="N1263" s="314"/>
      <c r="O1263" s="314"/>
      <c r="P1263" s="314"/>
      <c r="Q1263" s="314"/>
      <c r="R1263" s="314"/>
      <c r="S1263" s="314"/>
      <c r="T1263" s="314"/>
      <c r="U1263" s="314"/>
      <c r="V1263" s="314"/>
      <c r="W1263" s="314"/>
      <c r="X1263" s="314"/>
      <c r="Y1263" s="314"/>
      <c r="Z1263" s="314"/>
    </row>
    <row r="1264" spans="2:26" s="147" customFormat="1" ht="14.15" customHeight="1" x14ac:dyDescent="0.35">
      <c r="B1264" s="146"/>
      <c r="E1264" s="314"/>
      <c r="F1264" s="314"/>
      <c r="G1264" s="314"/>
      <c r="H1264" s="314"/>
      <c r="I1264" s="314"/>
      <c r="J1264" s="314"/>
      <c r="K1264" s="314"/>
      <c r="L1264" s="314"/>
      <c r="M1264" s="314"/>
      <c r="N1264" s="314"/>
      <c r="O1264" s="314"/>
      <c r="P1264" s="314"/>
      <c r="Q1264" s="314"/>
      <c r="R1264" s="314"/>
      <c r="S1264" s="314"/>
      <c r="T1264" s="314"/>
      <c r="U1264" s="314"/>
      <c r="V1264" s="314"/>
      <c r="W1264" s="314"/>
      <c r="X1264" s="314"/>
      <c r="Y1264" s="314"/>
      <c r="Z1264" s="314"/>
    </row>
    <row r="1265" spans="2:26" s="147" customFormat="1" ht="14.15" customHeight="1" x14ac:dyDescent="0.35">
      <c r="B1265" s="146"/>
      <c r="E1265" s="314"/>
      <c r="F1265" s="314"/>
      <c r="G1265" s="314"/>
      <c r="H1265" s="314"/>
      <c r="I1265" s="314"/>
      <c r="J1265" s="314"/>
      <c r="K1265" s="314"/>
      <c r="L1265" s="314"/>
      <c r="M1265" s="314"/>
      <c r="N1265" s="314"/>
      <c r="O1265" s="314"/>
      <c r="P1265" s="314"/>
      <c r="Q1265" s="314"/>
      <c r="R1265" s="314"/>
      <c r="S1265" s="314"/>
      <c r="T1265" s="314"/>
      <c r="U1265" s="314"/>
      <c r="V1265" s="314"/>
      <c r="W1265" s="314"/>
      <c r="X1265" s="314"/>
      <c r="Y1265" s="314"/>
      <c r="Z1265" s="314"/>
    </row>
    <row r="1266" spans="2:26" s="147" customFormat="1" ht="14.15" customHeight="1" x14ac:dyDescent="0.35">
      <c r="B1266" s="146"/>
      <c r="E1266" s="314"/>
      <c r="F1266" s="314"/>
      <c r="G1266" s="314"/>
      <c r="H1266" s="314"/>
      <c r="I1266" s="314"/>
      <c r="J1266" s="314"/>
      <c r="K1266" s="314"/>
      <c r="L1266" s="314"/>
      <c r="M1266" s="314"/>
      <c r="N1266" s="314"/>
      <c r="O1266" s="314"/>
      <c r="P1266" s="314"/>
      <c r="Q1266" s="314"/>
      <c r="R1266" s="314"/>
      <c r="S1266" s="314"/>
      <c r="T1266" s="314"/>
      <c r="U1266" s="314"/>
      <c r="V1266" s="314"/>
      <c r="W1266" s="314"/>
      <c r="X1266" s="314"/>
      <c r="Y1266" s="314"/>
      <c r="Z1266" s="314"/>
    </row>
    <row r="1267" spans="2:26" s="147" customFormat="1" ht="14.15" customHeight="1" x14ac:dyDescent="0.35">
      <c r="B1267" s="146"/>
      <c r="E1267" s="314"/>
      <c r="F1267" s="314"/>
      <c r="G1267" s="314"/>
      <c r="H1267" s="314"/>
      <c r="I1267" s="314"/>
      <c r="J1267" s="314"/>
      <c r="K1267" s="314"/>
      <c r="L1267" s="314"/>
      <c r="M1267" s="314"/>
      <c r="N1267" s="314"/>
      <c r="O1267" s="314"/>
      <c r="P1267" s="314"/>
      <c r="Q1267" s="314"/>
      <c r="R1267" s="314"/>
      <c r="S1267" s="314"/>
      <c r="T1267" s="314"/>
      <c r="U1267" s="314"/>
      <c r="V1267" s="314"/>
      <c r="W1267" s="314"/>
      <c r="X1267" s="314"/>
      <c r="Y1267" s="314"/>
      <c r="Z1267" s="314"/>
    </row>
    <row r="1268" spans="2:26" s="147" customFormat="1" ht="14.15" customHeight="1" x14ac:dyDescent="0.35">
      <c r="B1268" s="146"/>
      <c r="E1268" s="314"/>
      <c r="F1268" s="314"/>
      <c r="G1268" s="314"/>
      <c r="H1268" s="314"/>
      <c r="I1268" s="314"/>
      <c r="J1268" s="314"/>
      <c r="K1268" s="314"/>
      <c r="L1268" s="314"/>
      <c r="M1268" s="314"/>
      <c r="N1268" s="314"/>
      <c r="O1268" s="314"/>
      <c r="P1268" s="314"/>
      <c r="Q1268" s="314"/>
      <c r="R1268" s="314"/>
      <c r="S1268" s="314"/>
      <c r="T1268" s="314"/>
      <c r="U1268" s="314"/>
      <c r="V1268" s="314"/>
      <c r="W1268" s="314"/>
      <c r="X1268" s="314"/>
      <c r="Y1268" s="314"/>
      <c r="Z1268" s="314"/>
    </row>
    <row r="1269" spans="2:26" s="147" customFormat="1" ht="14.15" customHeight="1" x14ac:dyDescent="0.35">
      <c r="B1269" s="146"/>
      <c r="E1269" s="314"/>
      <c r="F1269" s="314"/>
      <c r="G1269" s="314"/>
      <c r="H1269" s="314"/>
      <c r="I1269" s="314"/>
      <c r="J1269" s="314"/>
      <c r="K1269" s="314"/>
      <c r="L1269" s="314"/>
      <c r="M1269" s="314"/>
      <c r="N1269" s="314"/>
      <c r="O1269" s="314"/>
      <c r="P1269" s="314"/>
      <c r="Q1269" s="314"/>
      <c r="R1269" s="314"/>
      <c r="S1269" s="314"/>
      <c r="T1269" s="314"/>
      <c r="U1269" s="314"/>
      <c r="V1269" s="314"/>
      <c r="W1269" s="314"/>
      <c r="X1269" s="314"/>
      <c r="Y1269" s="314"/>
      <c r="Z1269" s="314"/>
    </row>
    <row r="1270" spans="2:26" s="147" customFormat="1" ht="14.15" customHeight="1" x14ac:dyDescent="0.35">
      <c r="B1270" s="146"/>
      <c r="E1270" s="314"/>
      <c r="F1270" s="314"/>
      <c r="G1270" s="314"/>
      <c r="H1270" s="314"/>
      <c r="I1270" s="314"/>
      <c r="J1270" s="314"/>
      <c r="K1270" s="314"/>
      <c r="L1270" s="314"/>
      <c r="M1270" s="314"/>
      <c r="N1270" s="314"/>
      <c r="O1270" s="314"/>
      <c r="P1270" s="314"/>
      <c r="Q1270" s="314"/>
      <c r="R1270" s="314"/>
      <c r="S1270" s="314"/>
      <c r="T1270" s="314"/>
      <c r="U1270" s="314"/>
      <c r="V1270" s="314"/>
      <c r="W1270" s="314"/>
      <c r="X1270" s="314"/>
      <c r="Y1270" s="314"/>
      <c r="Z1270" s="314"/>
    </row>
    <row r="1271" spans="2:26" s="147" customFormat="1" ht="14.15" customHeight="1" x14ac:dyDescent="0.35">
      <c r="B1271" s="146"/>
      <c r="E1271" s="314"/>
      <c r="F1271" s="314"/>
      <c r="G1271" s="314"/>
      <c r="H1271" s="314"/>
      <c r="I1271" s="314"/>
      <c r="J1271" s="314"/>
      <c r="K1271" s="314"/>
      <c r="L1271" s="314"/>
      <c r="M1271" s="314"/>
      <c r="N1271" s="314"/>
      <c r="O1271" s="314"/>
      <c r="P1271" s="314"/>
      <c r="Q1271" s="314"/>
      <c r="R1271" s="314"/>
      <c r="S1271" s="314"/>
      <c r="T1271" s="314"/>
      <c r="U1271" s="314"/>
      <c r="V1271" s="314"/>
      <c r="W1271" s="314"/>
      <c r="X1271" s="314"/>
      <c r="Y1271" s="314"/>
      <c r="Z1271" s="314"/>
    </row>
    <row r="1272" spans="2:26" s="147" customFormat="1" ht="14.15" customHeight="1" x14ac:dyDescent="0.35">
      <c r="B1272" s="146"/>
      <c r="E1272" s="314"/>
      <c r="F1272" s="314"/>
      <c r="G1272" s="314"/>
      <c r="H1272" s="314"/>
      <c r="I1272" s="314"/>
      <c r="J1272" s="314"/>
      <c r="K1272" s="314"/>
      <c r="L1272" s="314"/>
      <c r="M1272" s="314"/>
      <c r="N1272" s="314"/>
      <c r="O1272" s="314"/>
      <c r="P1272" s="314"/>
      <c r="Q1272" s="314"/>
      <c r="R1272" s="314"/>
      <c r="S1272" s="314"/>
      <c r="T1272" s="314"/>
      <c r="U1272" s="314"/>
      <c r="V1272" s="314"/>
      <c r="W1272" s="314"/>
      <c r="X1272" s="314"/>
      <c r="Y1272" s="314"/>
      <c r="Z1272" s="314"/>
    </row>
    <row r="1273" spans="2:26" s="147" customFormat="1" ht="14.15" customHeight="1" x14ac:dyDescent="0.35">
      <c r="B1273" s="146"/>
      <c r="E1273" s="314"/>
      <c r="F1273" s="314"/>
      <c r="G1273" s="314"/>
      <c r="H1273" s="314"/>
      <c r="I1273" s="314"/>
      <c r="J1273" s="314"/>
      <c r="K1273" s="314"/>
      <c r="L1273" s="314"/>
      <c r="M1273" s="314"/>
      <c r="N1273" s="314"/>
      <c r="O1273" s="314"/>
      <c r="P1273" s="314"/>
      <c r="Q1273" s="314"/>
      <c r="R1273" s="314"/>
      <c r="S1273" s="314"/>
      <c r="T1273" s="314"/>
      <c r="U1273" s="314"/>
      <c r="V1273" s="314"/>
      <c r="W1273" s="314"/>
      <c r="X1273" s="314"/>
      <c r="Y1273" s="314"/>
      <c r="Z1273" s="314"/>
    </row>
    <row r="1274" spans="2:26" s="147" customFormat="1" ht="14.15" customHeight="1" x14ac:dyDescent="0.35">
      <c r="B1274" s="146"/>
      <c r="E1274" s="314"/>
      <c r="F1274" s="314"/>
      <c r="G1274" s="314"/>
      <c r="H1274" s="314"/>
      <c r="I1274" s="314"/>
      <c r="J1274" s="314"/>
      <c r="K1274" s="314"/>
      <c r="L1274" s="314"/>
      <c r="M1274" s="314"/>
      <c r="N1274" s="314"/>
      <c r="O1274" s="314"/>
      <c r="P1274" s="314"/>
      <c r="Q1274" s="314"/>
      <c r="R1274" s="314"/>
      <c r="S1274" s="314"/>
      <c r="T1274" s="314"/>
      <c r="U1274" s="314"/>
      <c r="V1274" s="314"/>
      <c r="W1274" s="314"/>
      <c r="X1274" s="314"/>
      <c r="Y1274" s="314"/>
      <c r="Z1274" s="314"/>
    </row>
    <row r="1275" spans="2:26" s="147" customFormat="1" ht="14.15" customHeight="1" x14ac:dyDescent="0.35">
      <c r="B1275" s="146"/>
      <c r="E1275" s="314"/>
      <c r="F1275" s="314"/>
      <c r="G1275" s="314"/>
      <c r="H1275" s="314"/>
      <c r="I1275" s="314"/>
      <c r="J1275" s="314"/>
      <c r="K1275" s="314"/>
      <c r="L1275" s="314"/>
      <c r="M1275" s="314"/>
      <c r="N1275" s="314"/>
      <c r="O1275" s="314"/>
      <c r="P1275" s="314"/>
      <c r="Q1275" s="314"/>
      <c r="R1275" s="314"/>
      <c r="S1275" s="314"/>
      <c r="T1275" s="314"/>
      <c r="U1275" s="314"/>
      <c r="V1275" s="314"/>
      <c r="W1275" s="314"/>
      <c r="X1275" s="314"/>
      <c r="Y1275" s="314"/>
      <c r="Z1275" s="314"/>
    </row>
    <row r="1276" spans="2:26" s="147" customFormat="1" ht="14.15" customHeight="1" x14ac:dyDescent="0.35">
      <c r="B1276" s="146"/>
      <c r="E1276" s="314"/>
      <c r="F1276" s="314"/>
      <c r="G1276" s="314"/>
      <c r="H1276" s="314"/>
      <c r="I1276" s="314"/>
      <c r="J1276" s="314"/>
      <c r="K1276" s="314"/>
      <c r="L1276" s="314"/>
      <c r="M1276" s="314"/>
      <c r="N1276" s="314"/>
      <c r="O1276" s="314"/>
      <c r="P1276" s="314"/>
      <c r="Q1276" s="314"/>
      <c r="R1276" s="314"/>
      <c r="S1276" s="314"/>
      <c r="T1276" s="314"/>
      <c r="U1276" s="314"/>
      <c r="V1276" s="314"/>
      <c r="W1276" s="314"/>
      <c r="X1276" s="314"/>
      <c r="Y1276" s="314"/>
      <c r="Z1276" s="314"/>
    </row>
    <row r="1277" spans="2:26" s="147" customFormat="1" ht="14.15" customHeight="1" x14ac:dyDescent="0.35">
      <c r="B1277" s="146"/>
      <c r="E1277" s="314"/>
      <c r="F1277" s="314"/>
      <c r="G1277" s="314"/>
      <c r="H1277" s="314"/>
      <c r="I1277" s="314"/>
      <c r="J1277" s="314"/>
      <c r="K1277" s="314"/>
      <c r="L1277" s="314"/>
      <c r="M1277" s="314"/>
      <c r="N1277" s="314"/>
      <c r="O1277" s="314"/>
      <c r="P1277" s="314"/>
      <c r="Q1277" s="314"/>
      <c r="R1277" s="314"/>
      <c r="S1277" s="314"/>
      <c r="T1277" s="314"/>
      <c r="U1277" s="314"/>
      <c r="V1277" s="314"/>
      <c r="W1277" s="314"/>
      <c r="X1277" s="314"/>
      <c r="Y1277" s="314"/>
      <c r="Z1277" s="314"/>
    </row>
    <row r="1278" spans="2:26" s="147" customFormat="1" ht="14.15" customHeight="1" x14ac:dyDescent="0.35">
      <c r="B1278" s="146"/>
      <c r="E1278" s="314"/>
      <c r="F1278" s="314"/>
      <c r="G1278" s="314"/>
      <c r="H1278" s="314"/>
      <c r="I1278" s="314"/>
      <c r="J1278" s="314"/>
      <c r="K1278" s="314"/>
      <c r="L1278" s="314"/>
      <c r="M1278" s="314"/>
      <c r="N1278" s="314"/>
      <c r="O1278" s="314"/>
      <c r="P1278" s="314"/>
      <c r="Q1278" s="314"/>
      <c r="R1278" s="314"/>
      <c r="S1278" s="314"/>
      <c r="T1278" s="314"/>
      <c r="U1278" s="314"/>
      <c r="V1278" s="314"/>
      <c r="W1278" s="314"/>
      <c r="X1278" s="314"/>
      <c r="Y1278" s="314"/>
      <c r="Z1278" s="314"/>
    </row>
    <row r="1279" spans="2:26" s="147" customFormat="1" ht="14.15" customHeight="1" x14ac:dyDescent="0.35">
      <c r="B1279" s="146"/>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4"/>
      <c r="Z1279" s="314"/>
    </row>
    <row r="1280" spans="2:26" s="147" customFormat="1" ht="14.15" customHeight="1" x14ac:dyDescent="0.35">
      <c r="B1280" s="146"/>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row>
    <row r="1281" spans="2:26" s="147" customFormat="1" ht="14.15" customHeight="1" x14ac:dyDescent="0.35">
      <c r="B1281" s="146"/>
      <c r="E1281" s="314"/>
      <c r="F1281" s="314"/>
      <c r="G1281" s="314"/>
      <c r="H1281" s="314"/>
      <c r="I1281" s="314"/>
      <c r="J1281" s="314"/>
      <c r="K1281" s="314"/>
      <c r="L1281" s="314"/>
      <c r="M1281" s="314"/>
      <c r="N1281" s="314"/>
      <c r="O1281" s="314"/>
      <c r="P1281" s="314"/>
      <c r="Q1281" s="314"/>
      <c r="R1281" s="314"/>
      <c r="S1281" s="314"/>
      <c r="T1281" s="314"/>
      <c r="U1281" s="314"/>
      <c r="V1281" s="314"/>
      <c r="W1281" s="314"/>
      <c r="X1281" s="314"/>
      <c r="Y1281" s="314"/>
      <c r="Z1281" s="314"/>
    </row>
    <row r="1282" spans="2:26" s="147" customFormat="1" ht="14.15" customHeight="1" x14ac:dyDescent="0.35">
      <c r="B1282" s="146"/>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row>
    <row r="1283" spans="2:26" s="147" customFormat="1" ht="14.15" customHeight="1" x14ac:dyDescent="0.35">
      <c r="B1283" s="146"/>
      <c r="E1283" s="314"/>
      <c r="F1283" s="314"/>
      <c r="G1283" s="314"/>
      <c r="H1283" s="314"/>
      <c r="I1283" s="314"/>
      <c r="J1283" s="314"/>
      <c r="K1283" s="314"/>
      <c r="L1283" s="314"/>
      <c r="M1283" s="314"/>
      <c r="N1283" s="314"/>
      <c r="O1283" s="314"/>
      <c r="P1283" s="314"/>
      <c r="Q1283" s="314"/>
      <c r="R1283" s="314"/>
      <c r="S1283" s="314"/>
      <c r="T1283" s="314"/>
      <c r="U1283" s="314"/>
      <c r="V1283" s="314"/>
      <c r="W1283" s="314"/>
      <c r="X1283" s="314"/>
      <c r="Y1283" s="314"/>
      <c r="Z1283" s="314"/>
    </row>
    <row r="1284" spans="2:26" s="147" customFormat="1" ht="14.15" customHeight="1" x14ac:dyDescent="0.35">
      <c r="B1284" s="146"/>
      <c r="E1284" s="314"/>
      <c r="F1284" s="314"/>
      <c r="G1284" s="314"/>
      <c r="H1284" s="314"/>
      <c r="I1284" s="314"/>
      <c r="J1284" s="314"/>
      <c r="K1284" s="314"/>
      <c r="L1284" s="314"/>
      <c r="M1284" s="314"/>
      <c r="N1284" s="314"/>
      <c r="O1284" s="314"/>
      <c r="P1284" s="314"/>
      <c r="Q1284" s="314"/>
      <c r="R1284" s="314"/>
      <c r="S1284" s="314"/>
      <c r="T1284" s="314"/>
      <c r="U1284" s="314"/>
      <c r="V1284" s="314"/>
      <c r="W1284" s="314"/>
      <c r="X1284" s="314"/>
      <c r="Y1284" s="314"/>
      <c r="Z1284" s="314"/>
    </row>
    <row r="1285" spans="2:26" s="147" customFormat="1" ht="14.15" customHeight="1" x14ac:dyDescent="0.35">
      <c r="B1285" s="146"/>
      <c r="E1285" s="314"/>
      <c r="F1285" s="314"/>
      <c r="G1285" s="314"/>
      <c r="H1285" s="314"/>
      <c r="I1285" s="314"/>
      <c r="J1285" s="314"/>
      <c r="K1285" s="314"/>
      <c r="L1285" s="314"/>
      <c r="M1285" s="314"/>
      <c r="N1285" s="314"/>
      <c r="O1285" s="314"/>
      <c r="P1285" s="314"/>
      <c r="Q1285" s="314"/>
      <c r="R1285" s="314"/>
      <c r="S1285" s="314"/>
      <c r="T1285" s="314"/>
      <c r="U1285" s="314"/>
      <c r="V1285" s="314"/>
      <c r="W1285" s="314"/>
      <c r="X1285" s="314"/>
      <c r="Y1285" s="314"/>
      <c r="Z1285" s="314"/>
    </row>
    <row r="1286" spans="2:26" s="147" customFormat="1" ht="14.15" customHeight="1" x14ac:dyDescent="0.35">
      <c r="B1286" s="146"/>
      <c r="E1286" s="314"/>
      <c r="F1286" s="314"/>
      <c r="G1286" s="314"/>
      <c r="H1286" s="314"/>
      <c r="I1286" s="314"/>
      <c r="J1286" s="314"/>
      <c r="K1286" s="314"/>
      <c r="L1286" s="314"/>
      <c r="M1286" s="314"/>
      <c r="N1286" s="314"/>
      <c r="O1286" s="314"/>
      <c r="P1286" s="314"/>
      <c r="Q1286" s="314"/>
      <c r="R1286" s="314"/>
      <c r="S1286" s="314"/>
      <c r="T1286" s="314"/>
      <c r="U1286" s="314"/>
      <c r="V1286" s="314"/>
      <c r="W1286" s="314"/>
      <c r="X1286" s="314"/>
      <c r="Y1286" s="314"/>
      <c r="Z1286" s="314"/>
    </row>
    <row r="1287" spans="2:26" s="147" customFormat="1" ht="14.15" customHeight="1" x14ac:dyDescent="0.35">
      <c r="B1287" s="146"/>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row>
    <row r="1288" spans="2:26" s="147" customFormat="1" ht="14.15" customHeight="1" x14ac:dyDescent="0.35">
      <c r="B1288" s="146"/>
      <c r="E1288" s="314"/>
      <c r="F1288" s="314"/>
      <c r="G1288" s="314"/>
      <c r="H1288" s="314"/>
      <c r="I1288" s="314"/>
      <c r="J1288" s="314"/>
      <c r="K1288" s="314"/>
      <c r="L1288" s="314"/>
      <c r="M1288" s="314"/>
      <c r="N1288" s="314"/>
      <c r="O1288" s="314"/>
      <c r="P1288" s="314"/>
      <c r="Q1288" s="314"/>
      <c r="R1288" s="314"/>
      <c r="S1288" s="314"/>
      <c r="T1288" s="314"/>
      <c r="U1288" s="314"/>
      <c r="V1288" s="314"/>
      <c r="W1288" s="314"/>
      <c r="X1288" s="314"/>
      <c r="Y1288" s="314"/>
      <c r="Z1288" s="314"/>
    </row>
    <row r="1289" spans="2:26" s="147" customFormat="1" ht="14.15" customHeight="1" x14ac:dyDescent="0.35">
      <c r="B1289" s="146"/>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row>
    <row r="1290" spans="2:26" s="147" customFormat="1" ht="14.15" customHeight="1" x14ac:dyDescent="0.35">
      <c r="B1290" s="146"/>
      <c r="E1290" s="314"/>
      <c r="F1290" s="314"/>
      <c r="G1290" s="314"/>
      <c r="H1290" s="314"/>
      <c r="I1290" s="314"/>
      <c r="J1290" s="314"/>
      <c r="K1290" s="314"/>
      <c r="L1290" s="314"/>
      <c r="M1290" s="314"/>
      <c r="N1290" s="314"/>
      <c r="O1290" s="314"/>
      <c r="P1290" s="314"/>
      <c r="Q1290" s="314"/>
      <c r="R1290" s="314"/>
      <c r="S1290" s="314"/>
      <c r="T1290" s="314"/>
      <c r="U1290" s="314"/>
      <c r="V1290" s="314"/>
      <c r="W1290" s="314"/>
      <c r="X1290" s="314"/>
      <c r="Y1290" s="314"/>
      <c r="Z1290" s="314"/>
    </row>
    <row r="1291" spans="2:26" s="147" customFormat="1" ht="14.15" customHeight="1" x14ac:dyDescent="0.35">
      <c r="B1291" s="146"/>
      <c r="E1291" s="314"/>
      <c r="F1291" s="314"/>
      <c r="G1291" s="314"/>
      <c r="H1291" s="314"/>
      <c r="I1291" s="314"/>
      <c r="J1291" s="314"/>
      <c r="K1291" s="314"/>
      <c r="L1291" s="314"/>
      <c r="M1291" s="314"/>
      <c r="N1291" s="314"/>
      <c r="O1291" s="314"/>
      <c r="P1291" s="314"/>
      <c r="Q1291" s="314"/>
      <c r="R1291" s="314"/>
      <c r="S1291" s="314"/>
      <c r="T1291" s="314"/>
      <c r="U1291" s="314"/>
      <c r="V1291" s="314"/>
      <c r="W1291" s="314"/>
      <c r="X1291" s="314"/>
      <c r="Y1291" s="314"/>
      <c r="Z1291" s="314"/>
    </row>
    <row r="1292" spans="2:26" s="147" customFormat="1" ht="14.15" customHeight="1" x14ac:dyDescent="0.35">
      <c r="B1292" s="146"/>
      <c r="E1292" s="314"/>
      <c r="F1292" s="314"/>
      <c r="G1292" s="314"/>
      <c r="H1292" s="314"/>
      <c r="I1292" s="314"/>
      <c r="J1292" s="314"/>
      <c r="K1292" s="314"/>
      <c r="L1292" s="314"/>
      <c r="M1292" s="314"/>
      <c r="N1292" s="314"/>
      <c r="O1292" s="314"/>
      <c r="P1292" s="314"/>
      <c r="Q1292" s="314"/>
      <c r="R1292" s="314"/>
      <c r="S1292" s="314"/>
      <c r="T1292" s="314"/>
      <c r="U1292" s="314"/>
      <c r="V1292" s="314"/>
      <c r="W1292" s="314"/>
      <c r="X1292" s="314"/>
      <c r="Y1292" s="314"/>
      <c r="Z1292" s="314"/>
    </row>
    <row r="1293" spans="2:26" s="147" customFormat="1" ht="14.15" customHeight="1" x14ac:dyDescent="0.35">
      <c r="B1293" s="146"/>
      <c r="E1293" s="314"/>
      <c r="F1293" s="314"/>
      <c r="G1293" s="314"/>
      <c r="H1293" s="314"/>
      <c r="I1293" s="314"/>
      <c r="J1293" s="314"/>
      <c r="K1293" s="314"/>
      <c r="L1293" s="314"/>
      <c r="M1293" s="314"/>
      <c r="N1293" s="314"/>
      <c r="O1293" s="314"/>
      <c r="P1293" s="314"/>
      <c r="Q1293" s="314"/>
      <c r="R1293" s="314"/>
      <c r="S1293" s="314"/>
      <c r="T1293" s="314"/>
      <c r="U1293" s="314"/>
      <c r="V1293" s="314"/>
      <c r="W1293" s="314"/>
      <c r="X1293" s="314"/>
      <c r="Y1293" s="314"/>
      <c r="Z1293" s="314"/>
    </row>
    <row r="1294" spans="2:26" s="147" customFormat="1" ht="14.15" customHeight="1" x14ac:dyDescent="0.35">
      <c r="B1294" s="146"/>
      <c r="E1294" s="314"/>
      <c r="F1294" s="314"/>
      <c r="G1294" s="314"/>
      <c r="H1294" s="314"/>
      <c r="I1294" s="314"/>
      <c r="J1294" s="314"/>
      <c r="K1294" s="314"/>
      <c r="L1294" s="314"/>
      <c r="M1294" s="314"/>
      <c r="N1294" s="314"/>
      <c r="O1294" s="314"/>
      <c r="P1294" s="314"/>
      <c r="Q1294" s="314"/>
      <c r="R1294" s="314"/>
      <c r="S1294" s="314"/>
      <c r="T1294" s="314"/>
      <c r="U1294" s="314"/>
      <c r="V1294" s="314"/>
      <c r="W1294" s="314"/>
      <c r="X1294" s="314"/>
      <c r="Y1294" s="314"/>
      <c r="Z1294" s="314"/>
    </row>
    <row r="1295" spans="2:26" s="147" customFormat="1" ht="14.15" customHeight="1" x14ac:dyDescent="0.35">
      <c r="B1295" s="146"/>
      <c r="E1295" s="314"/>
      <c r="F1295" s="314"/>
      <c r="G1295" s="314"/>
      <c r="H1295" s="314"/>
      <c r="I1295" s="314"/>
      <c r="J1295" s="314"/>
      <c r="K1295" s="314"/>
      <c r="L1295" s="314"/>
      <c r="M1295" s="314"/>
      <c r="N1295" s="314"/>
      <c r="O1295" s="314"/>
      <c r="P1295" s="314"/>
      <c r="Q1295" s="314"/>
      <c r="R1295" s="314"/>
      <c r="S1295" s="314"/>
      <c r="T1295" s="314"/>
      <c r="U1295" s="314"/>
      <c r="V1295" s="314"/>
      <c r="W1295" s="314"/>
      <c r="X1295" s="314"/>
      <c r="Y1295" s="314"/>
      <c r="Z1295" s="314"/>
    </row>
    <row r="1296" spans="2:26" s="147" customFormat="1" ht="14.15" customHeight="1" x14ac:dyDescent="0.35">
      <c r="B1296" s="146"/>
      <c r="E1296" s="314"/>
      <c r="F1296" s="314"/>
      <c r="G1296" s="314"/>
      <c r="H1296" s="314"/>
      <c r="I1296" s="314"/>
      <c r="J1296" s="314"/>
      <c r="K1296" s="314"/>
      <c r="L1296" s="314"/>
      <c r="M1296" s="314"/>
      <c r="N1296" s="314"/>
      <c r="O1296" s="314"/>
      <c r="P1296" s="314"/>
      <c r="Q1296" s="314"/>
      <c r="R1296" s="314"/>
      <c r="S1296" s="314"/>
      <c r="T1296" s="314"/>
      <c r="U1296" s="314"/>
      <c r="V1296" s="314"/>
      <c r="W1296" s="314"/>
      <c r="X1296" s="314"/>
      <c r="Y1296" s="314"/>
      <c r="Z1296" s="314"/>
    </row>
    <row r="1297" spans="2:26" s="147" customFormat="1" ht="14.15" customHeight="1" x14ac:dyDescent="0.35">
      <c r="B1297" s="146"/>
      <c r="E1297" s="314"/>
      <c r="F1297" s="314"/>
      <c r="G1297" s="314"/>
      <c r="H1297" s="314"/>
      <c r="I1297" s="314"/>
      <c r="J1297" s="314"/>
      <c r="K1297" s="314"/>
      <c r="L1297" s="314"/>
      <c r="M1297" s="314"/>
      <c r="N1297" s="314"/>
      <c r="O1297" s="314"/>
      <c r="P1297" s="314"/>
      <c r="Q1297" s="314"/>
      <c r="R1297" s="314"/>
      <c r="S1297" s="314"/>
      <c r="T1297" s="314"/>
      <c r="U1297" s="314"/>
      <c r="V1297" s="314"/>
      <c r="W1297" s="314"/>
      <c r="X1297" s="314"/>
      <c r="Y1297" s="314"/>
      <c r="Z1297" s="314"/>
    </row>
    <row r="1298" spans="2:26" s="147" customFormat="1" ht="14.15" customHeight="1" x14ac:dyDescent="0.35">
      <c r="B1298" s="146"/>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row>
    <row r="1299" spans="2:26" s="147" customFormat="1" ht="14.15" customHeight="1" x14ac:dyDescent="0.35">
      <c r="B1299" s="146"/>
      <c r="E1299" s="314"/>
      <c r="F1299" s="314"/>
      <c r="G1299" s="314"/>
      <c r="H1299" s="314"/>
      <c r="I1299" s="314"/>
      <c r="J1299" s="314"/>
      <c r="K1299" s="314"/>
      <c r="L1299" s="314"/>
      <c r="M1299" s="314"/>
      <c r="N1299" s="314"/>
      <c r="O1299" s="314"/>
      <c r="P1299" s="314"/>
      <c r="Q1299" s="314"/>
      <c r="R1299" s="314"/>
      <c r="S1299" s="314"/>
      <c r="T1299" s="314"/>
      <c r="U1299" s="314"/>
      <c r="V1299" s="314"/>
      <c r="W1299" s="314"/>
      <c r="X1299" s="314"/>
      <c r="Y1299" s="314"/>
      <c r="Z1299" s="314"/>
    </row>
    <row r="1300" spans="2:26" s="147" customFormat="1" ht="14.15" customHeight="1" x14ac:dyDescent="0.35">
      <c r="B1300" s="146"/>
      <c r="E1300" s="314"/>
      <c r="F1300" s="314"/>
      <c r="G1300" s="314"/>
      <c r="H1300" s="314"/>
      <c r="I1300" s="314"/>
      <c r="J1300" s="314"/>
      <c r="K1300" s="314"/>
      <c r="L1300" s="314"/>
      <c r="M1300" s="314"/>
      <c r="N1300" s="314"/>
      <c r="O1300" s="314"/>
      <c r="P1300" s="314"/>
      <c r="Q1300" s="314"/>
      <c r="R1300" s="314"/>
      <c r="S1300" s="314"/>
      <c r="T1300" s="314"/>
      <c r="U1300" s="314"/>
      <c r="V1300" s="314"/>
      <c r="W1300" s="314"/>
      <c r="X1300" s="314"/>
      <c r="Y1300" s="314"/>
      <c r="Z1300" s="314"/>
    </row>
    <row r="1301" spans="2:26" s="147" customFormat="1" ht="14.15" customHeight="1" x14ac:dyDescent="0.35">
      <c r="B1301" s="146"/>
      <c r="E1301" s="314"/>
      <c r="F1301" s="314"/>
      <c r="G1301" s="314"/>
      <c r="H1301" s="314"/>
      <c r="I1301" s="314"/>
      <c r="J1301" s="314"/>
      <c r="K1301" s="314"/>
      <c r="L1301" s="314"/>
      <c r="M1301" s="314"/>
      <c r="N1301" s="314"/>
      <c r="O1301" s="314"/>
      <c r="P1301" s="314"/>
      <c r="Q1301" s="314"/>
      <c r="R1301" s="314"/>
      <c r="S1301" s="314"/>
      <c r="T1301" s="314"/>
      <c r="U1301" s="314"/>
      <c r="V1301" s="314"/>
      <c r="W1301" s="314"/>
      <c r="X1301" s="314"/>
      <c r="Y1301" s="314"/>
      <c r="Z1301" s="314"/>
    </row>
    <row r="1302" spans="2:26" s="147" customFormat="1" ht="14.15" customHeight="1" x14ac:dyDescent="0.35">
      <c r="B1302" s="146"/>
      <c r="E1302" s="314"/>
      <c r="F1302" s="314"/>
      <c r="G1302" s="314"/>
      <c r="H1302" s="314"/>
      <c r="I1302" s="314"/>
      <c r="J1302" s="314"/>
      <c r="K1302" s="314"/>
      <c r="L1302" s="314"/>
      <c r="M1302" s="314"/>
      <c r="N1302" s="314"/>
      <c r="O1302" s="314"/>
      <c r="P1302" s="314"/>
      <c r="Q1302" s="314"/>
      <c r="R1302" s="314"/>
      <c r="S1302" s="314"/>
      <c r="T1302" s="314"/>
      <c r="U1302" s="314"/>
      <c r="V1302" s="314"/>
      <c r="W1302" s="314"/>
      <c r="X1302" s="314"/>
      <c r="Y1302" s="314"/>
      <c r="Z1302" s="314"/>
    </row>
    <row r="1303" spans="2:26" s="147" customFormat="1" ht="14.15" customHeight="1" x14ac:dyDescent="0.35">
      <c r="B1303" s="146"/>
      <c r="E1303" s="314"/>
      <c r="F1303" s="314"/>
      <c r="G1303" s="314"/>
      <c r="H1303" s="314"/>
      <c r="I1303" s="314"/>
      <c r="J1303" s="314"/>
      <c r="K1303" s="314"/>
      <c r="L1303" s="314"/>
      <c r="M1303" s="314"/>
      <c r="N1303" s="314"/>
      <c r="O1303" s="314"/>
      <c r="P1303" s="314"/>
      <c r="Q1303" s="314"/>
      <c r="R1303" s="314"/>
      <c r="S1303" s="314"/>
      <c r="T1303" s="314"/>
      <c r="U1303" s="314"/>
      <c r="V1303" s="314"/>
      <c r="W1303" s="314"/>
      <c r="X1303" s="314"/>
      <c r="Y1303" s="314"/>
      <c r="Z1303" s="314"/>
    </row>
    <row r="1304" spans="2:26" s="147" customFormat="1" ht="14.15" customHeight="1" x14ac:dyDescent="0.35">
      <c r="B1304" s="146"/>
      <c r="E1304" s="314"/>
      <c r="F1304" s="314"/>
      <c r="G1304" s="314"/>
      <c r="H1304" s="314"/>
      <c r="I1304" s="314"/>
      <c r="J1304" s="314"/>
      <c r="K1304" s="314"/>
      <c r="L1304" s="314"/>
      <c r="M1304" s="314"/>
      <c r="N1304" s="314"/>
      <c r="O1304" s="314"/>
      <c r="P1304" s="314"/>
      <c r="Q1304" s="314"/>
      <c r="R1304" s="314"/>
      <c r="S1304" s="314"/>
      <c r="T1304" s="314"/>
      <c r="U1304" s="314"/>
      <c r="V1304" s="314"/>
      <c r="W1304" s="314"/>
      <c r="X1304" s="314"/>
      <c r="Y1304" s="314"/>
      <c r="Z1304" s="314"/>
    </row>
    <row r="1305" spans="2:26" s="147" customFormat="1" ht="14.15" customHeight="1" x14ac:dyDescent="0.35">
      <c r="B1305" s="146"/>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row>
    <row r="1306" spans="2:26" s="147" customFormat="1" ht="14.15" customHeight="1" x14ac:dyDescent="0.35">
      <c r="B1306" s="146"/>
      <c r="E1306" s="314"/>
      <c r="F1306" s="314"/>
      <c r="G1306" s="314"/>
      <c r="H1306" s="314"/>
      <c r="I1306" s="314"/>
      <c r="J1306" s="314"/>
      <c r="K1306" s="314"/>
      <c r="L1306" s="314"/>
      <c r="M1306" s="314"/>
      <c r="N1306" s="314"/>
      <c r="O1306" s="314"/>
      <c r="P1306" s="314"/>
      <c r="Q1306" s="314"/>
      <c r="R1306" s="314"/>
      <c r="S1306" s="314"/>
      <c r="T1306" s="314"/>
      <c r="U1306" s="314"/>
      <c r="V1306" s="314"/>
      <c r="W1306" s="314"/>
      <c r="X1306" s="314"/>
      <c r="Y1306" s="314"/>
      <c r="Z1306" s="314"/>
    </row>
    <row r="1307" spans="2:26" s="147" customFormat="1" ht="14.15" customHeight="1" x14ac:dyDescent="0.35">
      <c r="B1307" s="146"/>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row>
    <row r="1308" spans="2:26" s="147" customFormat="1" ht="14.15" customHeight="1" x14ac:dyDescent="0.35">
      <c r="B1308" s="146"/>
      <c r="E1308" s="314"/>
      <c r="F1308" s="314"/>
      <c r="G1308" s="314"/>
      <c r="H1308" s="314"/>
      <c r="I1308" s="314"/>
      <c r="J1308" s="314"/>
      <c r="K1308" s="314"/>
      <c r="L1308" s="314"/>
      <c r="M1308" s="314"/>
      <c r="N1308" s="314"/>
      <c r="O1308" s="314"/>
      <c r="P1308" s="314"/>
      <c r="Q1308" s="314"/>
      <c r="R1308" s="314"/>
      <c r="S1308" s="314"/>
      <c r="T1308" s="314"/>
      <c r="U1308" s="314"/>
      <c r="V1308" s="314"/>
      <c r="W1308" s="314"/>
      <c r="X1308" s="314"/>
      <c r="Y1308" s="314"/>
      <c r="Z1308" s="314"/>
    </row>
    <row r="1309" spans="2:26" s="147" customFormat="1" ht="14.15" customHeight="1" x14ac:dyDescent="0.35">
      <c r="B1309" s="146"/>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row>
    <row r="1310" spans="2:26" s="147" customFormat="1" ht="14.15" customHeight="1" x14ac:dyDescent="0.35">
      <c r="B1310" s="146"/>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row>
    <row r="1311" spans="2:26" s="147" customFormat="1" ht="14.15" customHeight="1" x14ac:dyDescent="0.35">
      <c r="B1311" s="146"/>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row>
    <row r="1312" spans="2:26" s="147" customFormat="1" ht="14.15" customHeight="1" x14ac:dyDescent="0.35">
      <c r="B1312" s="146"/>
      <c r="E1312" s="314"/>
      <c r="F1312" s="314"/>
      <c r="G1312" s="314"/>
      <c r="H1312" s="314"/>
      <c r="I1312" s="314"/>
      <c r="J1312" s="314"/>
      <c r="K1312" s="314"/>
      <c r="L1312" s="314"/>
      <c r="M1312" s="314"/>
      <c r="N1312" s="314"/>
      <c r="O1312" s="314"/>
      <c r="P1312" s="314"/>
      <c r="Q1312" s="314"/>
      <c r="R1312" s="314"/>
      <c r="S1312" s="314"/>
      <c r="T1312" s="314"/>
      <c r="U1312" s="314"/>
      <c r="V1312" s="314"/>
      <c r="W1312" s="314"/>
      <c r="X1312" s="314"/>
      <c r="Y1312" s="314"/>
      <c r="Z1312" s="314"/>
    </row>
    <row r="1313" spans="2:26" s="147" customFormat="1" ht="14.15" customHeight="1" x14ac:dyDescent="0.35">
      <c r="B1313" s="146"/>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row>
    <row r="1314" spans="2:26" s="147" customFormat="1" ht="14.15" customHeight="1" x14ac:dyDescent="0.35">
      <c r="B1314" s="146"/>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row>
    <row r="1315" spans="2:26" s="147" customFormat="1" ht="14.15" customHeight="1" x14ac:dyDescent="0.35">
      <c r="B1315" s="146"/>
      <c r="E1315" s="314"/>
      <c r="F1315" s="314"/>
      <c r="G1315" s="314"/>
      <c r="H1315" s="314"/>
      <c r="I1315" s="314"/>
      <c r="J1315" s="314"/>
      <c r="K1315" s="314"/>
      <c r="L1315" s="314"/>
      <c r="M1315" s="314"/>
      <c r="N1315" s="314"/>
      <c r="O1315" s="314"/>
      <c r="P1315" s="314"/>
      <c r="Q1315" s="314"/>
      <c r="R1315" s="314"/>
      <c r="S1315" s="314"/>
      <c r="T1315" s="314"/>
      <c r="U1315" s="314"/>
      <c r="V1315" s="314"/>
      <c r="W1315" s="314"/>
      <c r="X1315" s="314"/>
      <c r="Y1315" s="314"/>
      <c r="Z1315" s="314"/>
    </row>
    <row r="1316" spans="2:26" s="147" customFormat="1" ht="14.15" customHeight="1" x14ac:dyDescent="0.35">
      <c r="B1316" s="146"/>
      <c r="E1316" s="314"/>
      <c r="F1316" s="314"/>
      <c r="G1316" s="314"/>
      <c r="H1316" s="314"/>
      <c r="I1316" s="314"/>
      <c r="J1316" s="314"/>
      <c r="K1316" s="314"/>
      <c r="L1316" s="314"/>
      <c r="M1316" s="314"/>
      <c r="N1316" s="314"/>
      <c r="O1316" s="314"/>
      <c r="P1316" s="314"/>
      <c r="Q1316" s="314"/>
      <c r="R1316" s="314"/>
      <c r="S1316" s="314"/>
      <c r="T1316" s="314"/>
      <c r="U1316" s="314"/>
      <c r="V1316" s="314"/>
      <c r="W1316" s="314"/>
      <c r="X1316" s="314"/>
      <c r="Y1316" s="314"/>
      <c r="Z1316" s="314"/>
    </row>
    <row r="1317" spans="2:26" s="147" customFormat="1" ht="14.15" customHeight="1" x14ac:dyDescent="0.35">
      <c r="B1317" s="146"/>
      <c r="E1317" s="314"/>
      <c r="F1317" s="314"/>
      <c r="G1317" s="314"/>
      <c r="H1317" s="314"/>
      <c r="I1317" s="314"/>
      <c r="J1317" s="314"/>
      <c r="K1317" s="314"/>
      <c r="L1317" s="314"/>
      <c r="M1317" s="314"/>
      <c r="N1317" s="314"/>
      <c r="O1317" s="314"/>
      <c r="P1317" s="314"/>
      <c r="Q1317" s="314"/>
      <c r="R1317" s="314"/>
      <c r="S1317" s="314"/>
      <c r="T1317" s="314"/>
      <c r="U1317" s="314"/>
      <c r="V1317" s="314"/>
      <c r="W1317" s="314"/>
      <c r="X1317" s="314"/>
      <c r="Y1317" s="314"/>
      <c r="Z1317" s="314"/>
    </row>
    <row r="1318" spans="2:26" s="147" customFormat="1" ht="14.15" customHeight="1" x14ac:dyDescent="0.35">
      <c r="B1318" s="146"/>
      <c r="E1318" s="314"/>
      <c r="F1318" s="314"/>
      <c r="G1318" s="314"/>
      <c r="H1318" s="314"/>
      <c r="I1318" s="314"/>
      <c r="J1318" s="314"/>
      <c r="K1318" s="314"/>
      <c r="L1318" s="314"/>
      <c r="M1318" s="314"/>
      <c r="N1318" s="314"/>
      <c r="O1318" s="314"/>
      <c r="P1318" s="314"/>
      <c r="Q1318" s="314"/>
      <c r="R1318" s="314"/>
      <c r="S1318" s="314"/>
      <c r="T1318" s="314"/>
      <c r="U1318" s="314"/>
      <c r="V1318" s="314"/>
      <c r="W1318" s="314"/>
      <c r="X1318" s="314"/>
      <c r="Y1318" s="314"/>
      <c r="Z1318" s="314"/>
    </row>
    <row r="1319" spans="2:26" s="147" customFormat="1" ht="14.15" customHeight="1" x14ac:dyDescent="0.35">
      <c r="B1319" s="146"/>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row>
    <row r="1320" spans="2:26" s="147" customFormat="1" ht="14.15" customHeight="1" x14ac:dyDescent="0.35">
      <c r="B1320" s="146"/>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row>
    <row r="1321" spans="2:26" s="147" customFormat="1" ht="14.15" customHeight="1" x14ac:dyDescent="0.35">
      <c r="B1321" s="146"/>
      <c r="E1321" s="314"/>
      <c r="F1321" s="314"/>
      <c r="G1321" s="314"/>
      <c r="H1321" s="314"/>
      <c r="I1321" s="314"/>
      <c r="J1321" s="314"/>
      <c r="K1321" s="314"/>
      <c r="L1321" s="314"/>
      <c r="M1321" s="314"/>
      <c r="N1321" s="314"/>
      <c r="O1321" s="314"/>
      <c r="P1321" s="314"/>
      <c r="Q1321" s="314"/>
      <c r="R1321" s="314"/>
      <c r="S1321" s="314"/>
      <c r="T1321" s="314"/>
      <c r="U1321" s="314"/>
      <c r="V1321" s="314"/>
      <c r="W1321" s="314"/>
      <c r="X1321" s="314"/>
      <c r="Y1321" s="314"/>
      <c r="Z1321" s="314"/>
    </row>
    <row r="1322" spans="2:26" s="147" customFormat="1" ht="14.15" customHeight="1" x14ac:dyDescent="0.35">
      <c r="B1322" s="146"/>
      <c r="E1322" s="314"/>
      <c r="F1322" s="314"/>
      <c r="G1322" s="314"/>
      <c r="H1322" s="314"/>
      <c r="I1322" s="314"/>
      <c r="J1322" s="314"/>
      <c r="K1322" s="314"/>
      <c r="L1322" s="314"/>
      <c r="M1322" s="314"/>
      <c r="N1322" s="314"/>
      <c r="O1322" s="314"/>
      <c r="P1322" s="314"/>
      <c r="Q1322" s="314"/>
      <c r="R1322" s="314"/>
      <c r="S1322" s="314"/>
      <c r="T1322" s="314"/>
      <c r="U1322" s="314"/>
      <c r="V1322" s="314"/>
      <c r="W1322" s="314"/>
      <c r="X1322" s="314"/>
      <c r="Y1322" s="314"/>
      <c r="Z1322" s="314"/>
    </row>
    <row r="1323" spans="2:26" s="147" customFormat="1" ht="14.15" customHeight="1" x14ac:dyDescent="0.35">
      <c r="B1323" s="146"/>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row>
    <row r="1324" spans="2:26" s="147" customFormat="1" ht="14.15" customHeight="1" x14ac:dyDescent="0.35">
      <c r="B1324" s="146"/>
      <c r="E1324" s="314"/>
      <c r="F1324" s="314"/>
      <c r="G1324" s="314"/>
      <c r="H1324" s="314"/>
      <c r="I1324" s="314"/>
      <c r="J1324" s="314"/>
      <c r="K1324" s="314"/>
      <c r="L1324" s="314"/>
      <c r="M1324" s="314"/>
      <c r="N1324" s="314"/>
      <c r="O1324" s="314"/>
      <c r="P1324" s="314"/>
      <c r="Q1324" s="314"/>
      <c r="R1324" s="314"/>
      <c r="S1324" s="314"/>
      <c r="T1324" s="314"/>
      <c r="U1324" s="314"/>
      <c r="V1324" s="314"/>
      <c r="W1324" s="314"/>
      <c r="X1324" s="314"/>
      <c r="Y1324" s="314"/>
      <c r="Z1324" s="314"/>
    </row>
    <row r="1325" spans="2:26" s="147" customFormat="1" ht="14.15" customHeight="1" x14ac:dyDescent="0.35">
      <c r="B1325" s="146"/>
      <c r="E1325" s="314"/>
      <c r="F1325" s="314"/>
      <c r="G1325" s="314"/>
      <c r="H1325" s="314"/>
      <c r="I1325" s="314"/>
      <c r="J1325" s="314"/>
      <c r="K1325" s="314"/>
      <c r="L1325" s="314"/>
      <c r="M1325" s="314"/>
      <c r="N1325" s="314"/>
      <c r="O1325" s="314"/>
      <c r="P1325" s="314"/>
      <c r="Q1325" s="314"/>
      <c r="R1325" s="314"/>
      <c r="S1325" s="314"/>
      <c r="T1325" s="314"/>
      <c r="U1325" s="314"/>
      <c r="V1325" s="314"/>
      <c r="W1325" s="314"/>
      <c r="X1325" s="314"/>
      <c r="Y1325" s="314"/>
      <c r="Z1325" s="314"/>
    </row>
    <row r="1326" spans="2:26" s="147" customFormat="1" ht="14.15" customHeight="1" x14ac:dyDescent="0.35">
      <c r="B1326" s="146"/>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row>
    <row r="1327" spans="2:26" s="147" customFormat="1" ht="14.15" customHeight="1" x14ac:dyDescent="0.35">
      <c r="B1327" s="146"/>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row>
    <row r="1328" spans="2:26" s="147" customFormat="1" ht="14.15" customHeight="1" x14ac:dyDescent="0.35">
      <c r="B1328" s="146"/>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row>
    <row r="1329" spans="2:26" s="147" customFormat="1" ht="14.15" customHeight="1" x14ac:dyDescent="0.35">
      <c r="B1329" s="146"/>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row>
    <row r="1330" spans="2:26" s="147" customFormat="1" ht="14.15" customHeight="1" x14ac:dyDescent="0.35">
      <c r="B1330" s="146"/>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row>
    <row r="1331" spans="2:26" s="147" customFormat="1" ht="14.15" customHeight="1" x14ac:dyDescent="0.35">
      <c r="B1331" s="146"/>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row>
    <row r="1332" spans="2:26" s="147" customFormat="1" ht="14.15" customHeight="1" x14ac:dyDescent="0.35">
      <c r="B1332" s="146"/>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row>
    <row r="1333" spans="2:26" s="147" customFormat="1" ht="14.15" customHeight="1" x14ac:dyDescent="0.35">
      <c r="B1333" s="146"/>
      <c r="E1333" s="314"/>
      <c r="F1333" s="314"/>
      <c r="G1333" s="314"/>
      <c r="H1333" s="314"/>
      <c r="I1333" s="314"/>
      <c r="J1333" s="314"/>
      <c r="K1333" s="314"/>
      <c r="L1333" s="314"/>
      <c r="M1333" s="314"/>
      <c r="N1333" s="314"/>
      <c r="O1333" s="314"/>
      <c r="P1333" s="314"/>
      <c r="Q1333" s="314"/>
      <c r="R1333" s="314"/>
      <c r="S1333" s="314"/>
      <c r="T1333" s="314"/>
      <c r="U1333" s="314"/>
      <c r="V1333" s="314"/>
      <c r="W1333" s="314"/>
      <c r="X1333" s="314"/>
      <c r="Y1333" s="314"/>
      <c r="Z1333" s="314"/>
    </row>
    <row r="1334" spans="2:26" s="147" customFormat="1" ht="14.15" customHeight="1" x14ac:dyDescent="0.35">
      <c r="B1334" s="146"/>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row>
    <row r="1335" spans="2:26" s="147" customFormat="1" ht="14.15" customHeight="1" x14ac:dyDescent="0.35">
      <c r="B1335" s="146"/>
      <c r="E1335" s="314"/>
      <c r="F1335" s="314"/>
      <c r="G1335" s="314"/>
      <c r="H1335" s="314"/>
      <c r="I1335" s="314"/>
      <c r="J1335" s="314"/>
      <c r="K1335" s="314"/>
      <c r="L1335" s="314"/>
      <c r="M1335" s="314"/>
      <c r="N1335" s="314"/>
      <c r="O1335" s="314"/>
      <c r="P1335" s="314"/>
      <c r="Q1335" s="314"/>
      <c r="R1335" s="314"/>
      <c r="S1335" s="314"/>
      <c r="T1335" s="314"/>
      <c r="U1335" s="314"/>
      <c r="V1335" s="314"/>
      <c r="W1335" s="314"/>
      <c r="X1335" s="314"/>
      <c r="Y1335" s="314"/>
      <c r="Z1335" s="314"/>
    </row>
    <row r="1336" spans="2:26" s="147" customFormat="1" ht="14.15" customHeight="1" x14ac:dyDescent="0.35">
      <c r="B1336" s="146"/>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row>
    <row r="1337" spans="2:26" s="147" customFormat="1" ht="14.15" customHeight="1" x14ac:dyDescent="0.35">
      <c r="B1337" s="146"/>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row>
    <row r="1338" spans="2:26" s="147" customFormat="1" ht="14.15" customHeight="1" x14ac:dyDescent="0.35">
      <c r="B1338" s="146"/>
      <c r="E1338" s="314"/>
      <c r="F1338" s="314"/>
      <c r="G1338" s="314"/>
      <c r="H1338" s="314"/>
      <c r="I1338" s="314"/>
      <c r="J1338" s="314"/>
      <c r="K1338" s="314"/>
      <c r="L1338" s="314"/>
      <c r="M1338" s="314"/>
      <c r="N1338" s="314"/>
      <c r="O1338" s="314"/>
      <c r="P1338" s="314"/>
      <c r="Q1338" s="314"/>
      <c r="R1338" s="314"/>
      <c r="S1338" s="314"/>
      <c r="T1338" s="314"/>
      <c r="U1338" s="314"/>
      <c r="V1338" s="314"/>
      <c r="W1338" s="314"/>
      <c r="X1338" s="314"/>
      <c r="Y1338" s="314"/>
      <c r="Z1338" s="314"/>
    </row>
    <row r="1339" spans="2:26" s="147" customFormat="1" ht="14.15" customHeight="1" x14ac:dyDescent="0.35">
      <c r="B1339" s="146"/>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row>
    <row r="1340" spans="2:26" s="147" customFormat="1" ht="14.15" customHeight="1" x14ac:dyDescent="0.35">
      <c r="B1340" s="146"/>
      <c r="E1340" s="314"/>
      <c r="F1340" s="314"/>
      <c r="G1340" s="314"/>
      <c r="H1340" s="314"/>
      <c r="I1340" s="314"/>
      <c r="J1340" s="314"/>
      <c r="K1340" s="314"/>
      <c r="L1340" s="314"/>
      <c r="M1340" s="314"/>
      <c r="N1340" s="314"/>
      <c r="O1340" s="314"/>
      <c r="P1340" s="314"/>
      <c r="Q1340" s="314"/>
      <c r="R1340" s="314"/>
      <c r="S1340" s="314"/>
      <c r="T1340" s="314"/>
      <c r="U1340" s="314"/>
      <c r="V1340" s="314"/>
      <c r="W1340" s="314"/>
      <c r="X1340" s="314"/>
      <c r="Y1340" s="314"/>
      <c r="Z1340" s="314"/>
    </row>
    <row r="1341" spans="2:26" s="147" customFormat="1" ht="14.15" customHeight="1" x14ac:dyDescent="0.35">
      <c r="B1341" s="146"/>
      <c r="E1341" s="314"/>
      <c r="F1341" s="314"/>
      <c r="G1341" s="314"/>
      <c r="H1341" s="314"/>
      <c r="I1341" s="314"/>
      <c r="J1341" s="314"/>
      <c r="K1341" s="314"/>
      <c r="L1341" s="314"/>
      <c r="M1341" s="314"/>
      <c r="N1341" s="314"/>
      <c r="O1341" s="314"/>
      <c r="P1341" s="314"/>
      <c r="Q1341" s="314"/>
      <c r="R1341" s="314"/>
      <c r="S1341" s="314"/>
      <c r="T1341" s="314"/>
      <c r="U1341" s="314"/>
      <c r="V1341" s="314"/>
      <c r="W1341" s="314"/>
      <c r="X1341" s="314"/>
      <c r="Y1341" s="314"/>
      <c r="Z1341" s="314"/>
    </row>
    <row r="1342" spans="2:26" s="147" customFormat="1" ht="14.15" customHeight="1" x14ac:dyDescent="0.35">
      <c r="B1342" s="146"/>
      <c r="E1342" s="314"/>
      <c r="F1342" s="314"/>
      <c r="G1342" s="314"/>
      <c r="H1342" s="314"/>
      <c r="I1342" s="314"/>
      <c r="J1342" s="314"/>
      <c r="K1342" s="314"/>
      <c r="L1342" s="314"/>
      <c r="M1342" s="314"/>
      <c r="N1342" s="314"/>
      <c r="O1342" s="314"/>
      <c r="P1342" s="314"/>
      <c r="Q1342" s="314"/>
      <c r="R1342" s="314"/>
      <c r="S1342" s="314"/>
      <c r="T1342" s="314"/>
      <c r="U1342" s="314"/>
      <c r="V1342" s="314"/>
      <c r="W1342" s="314"/>
      <c r="X1342" s="314"/>
      <c r="Y1342" s="314"/>
      <c r="Z1342" s="314"/>
    </row>
    <row r="1343" spans="2:26" s="147" customFormat="1" ht="14.15" customHeight="1" x14ac:dyDescent="0.35">
      <c r="B1343" s="146"/>
      <c r="E1343" s="314"/>
      <c r="F1343" s="314"/>
      <c r="G1343" s="314"/>
      <c r="H1343" s="314"/>
      <c r="I1343" s="314"/>
      <c r="J1343" s="314"/>
      <c r="K1343" s="314"/>
      <c r="L1343" s="314"/>
      <c r="M1343" s="314"/>
      <c r="N1343" s="314"/>
      <c r="O1343" s="314"/>
      <c r="P1343" s="314"/>
      <c r="Q1343" s="314"/>
      <c r="R1343" s="314"/>
      <c r="S1343" s="314"/>
      <c r="T1343" s="314"/>
      <c r="U1343" s="314"/>
      <c r="V1343" s="314"/>
      <c r="W1343" s="314"/>
      <c r="X1343" s="314"/>
      <c r="Y1343" s="314"/>
      <c r="Z1343" s="314"/>
    </row>
    <row r="1344" spans="2:26" s="147" customFormat="1" ht="14.15" customHeight="1" x14ac:dyDescent="0.35">
      <c r="B1344" s="146"/>
      <c r="E1344" s="314"/>
      <c r="F1344" s="314"/>
      <c r="G1344" s="314"/>
      <c r="H1344" s="314"/>
      <c r="I1344" s="314"/>
      <c r="J1344" s="314"/>
      <c r="K1344" s="314"/>
      <c r="L1344" s="314"/>
      <c r="M1344" s="314"/>
      <c r="N1344" s="314"/>
      <c r="O1344" s="314"/>
      <c r="P1344" s="314"/>
      <c r="Q1344" s="314"/>
      <c r="R1344" s="314"/>
      <c r="S1344" s="314"/>
      <c r="T1344" s="314"/>
      <c r="U1344" s="314"/>
      <c r="V1344" s="314"/>
      <c r="W1344" s="314"/>
      <c r="X1344" s="314"/>
      <c r="Y1344" s="314"/>
      <c r="Z1344" s="314"/>
    </row>
    <row r="1345" spans="2:26" s="147" customFormat="1" ht="14.15" customHeight="1" x14ac:dyDescent="0.35">
      <c r="B1345" s="146"/>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row>
    <row r="1346" spans="2:26" s="147" customFormat="1" ht="14.15" customHeight="1" x14ac:dyDescent="0.35">
      <c r="B1346" s="146"/>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row>
    <row r="1347" spans="2:26" s="147" customFormat="1" ht="14.15" customHeight="1" x14ac:dyDescent="0.35">
      <c r="B1347" s="146"/>
      <c r="E1347" s="314"/>
      <c r="F1347" s="314"/>
      <c r="G1347" s="314"/>
      <c r="H1347" s="314"/>
      <c r="I1347" s="314"/>
      <c r="J1347" s="314"/>
      <c r="K1347" s="314"/>
      <c r="L1347" s="314"/>
      <c r="M1347" s="314"/>
      <c r="N1347" s="314"/>
      <c r="O1347" s="314"/>
      <c r="P1347" s="314"/>
      <c r="Q1347" s="314"/>
      <c r="R1347" s="314"/>
      <c r="S1347" s="314"/>
      <c r="T1347" s="314"/>
      <c r="U1347" s="314"/>
      <c r="V1347" s="314"/>
      <c r="W1347" s="314"/>
      <c r="X1347" s="314"/>
      <c r="Y1347" s="314"/>
      <c r="Z1347" s="314"/>
    </row>
    <row r="1348" spans="2:26" s="147" customFormat="1" ht="14.15" customHeight="1" x14ac:dyDescent="0.35">
      <c r="B1348" s="146"/>
      <c r="E1348" s="314"/>
      <c r="F1348" s="314"/>
      <c r="G1348" s="314"/>
      <c r="H1348" s="314"/>
      <c r="I1348" s="314"/>
      <c r="J1348" s="314"/>
      <c r="K1348" s="314"/>
      <c r="L1348" s="314"/>
      <c r="M1348" s="314"/>
      <c r="N1348" s="314"/>
      <c r="O1348" s="314"/>
      <c r="P1348" s="314"/>
      <c r="Q1348" s="314"/>
      <c r="R1348" s="314"/>
      <c r="S1348" s="314"/>
      <c r="T1348" s="314"/>
      <c r="U1348" s="314"/>
      <c r="V1348" s="314"/>
      <c r="W1348" s="314"/>
      <c r="X1348" s="314"/>
      <c r="Y1348" s="314"/>
      <c r="Z1348" s="314"/>
    </row>
    <row r="1349" spans="2:26" s="147" customFormat="1" ht="14.15" customHeight="1" x14ac:dyDescent="0.35">
      <c r="B1349" s="146"/>
      <c r="E1349" s="314"/>
      <c r="F1349" s="314"/>
      <c r="G1349" s="314"/>
      <c r="H1349" s="314"/>
      <c r="I1349" s="314"/>
      <c r="J1349" s="314"/>
      <c r="K1349" s="314"/>
      <c r="L1349" s="314"/>
      <c r="M1349" s="314"/>
      <c r="N1349" s="314"/>
      <c r="O1349" s="314"/>
      <c r="P1349" s="314"/>
      <c r="Q1349" s="314"/>
      <c r="R1349" s="314"/>
      <c r="S1349" s="314"/>
      <c r="T1349" s="314"/>
      <c r="U1349" s="314"/>
      <c r="V1349" s="314"/>
      <c r="W1349" s="314"/>
      <c r="X1349" s="314"/>
      <c r="Y1349" s="314"/>
      <c r="Z1349" s="314"/>
    </row>
    <row r="1350" spans="2:26" s="147" customFormat="1" ht="14.15" customHeight="1" x14ac:dyDescent="0.35">
      <c r="B1350" s="146"/>
      <c r="E1350" s="314"/>
      <c r="F1350" s="314"/>
      <c r="G1350" s="314"/>
      <c r="H1350" s="314"/>
      <c r="I1350" s="314"/>
      <c r="J1350" s="314"/>
      <c r="K1350" s="314"/>
      <c r="L1350" s="314"/>
      <c r="M1350" s="314"/>
      <c r="N1350" s="314"/>
      <c r="O1350" s="314"/>
      <c r="P1350" s="314"/>
      <c r="Q1350" s="314"/>
      <c r="R1350" s="314"/>
      <c r="S1350" s="314"/>
      <c r="T1350" s="314"/>
      <c r="U1350" s="314"/>
      <c r="V1350" s="314"/>
      <c r="W1350" s="314"/>
      <c r="X1350" s="314"/>
      <c r="Y1350" s="314"/>
      <c r="Z1350" s="314"/>
    </row>
    <row r="1351" spans="2:26" s="147" customFormat="1" ht="14.15" customHeight="1" x14ac:dyDescent="0.35">
      <c r="B1351" s="146"/>
      <c r="E1351" s="314"/>
      <c r="F1351" s="314"/>
      <c r="G1351" s="314"/>
      <c r="H1351" s="314"/>
      <c r="I1351" s="314"/>
      <c r="J1351" s="314"/>
      <c r="K1351" s="314"/>
      <c r="L1351" s="314"/>
      <c r="M1351" s="314"/>
      <c r="N1351" s="314"/>
      <c r="O1351" s="314"/>
      <c r="P1351" s="314"/>
      <c r="Q1351" s="314"/>
      <c r="R1351" s="314"/>
      <c r="S1351" s="314"/>
      <c r="T1351" s="314"/>
      <c r="U1351" s="314"/>
      <c r="V1351" s="314"/>
      <c r="W1351" s="314"/>
      <c r="X1351" s="314"/>
      <c r="Y1351" s="314"/>
      <c r="Z1351" s="314"/>
    </row>
    <row r="1352" spans="2:26" s="147" customFormat="1" ht="14.15" customHeight="1" x14ac:dyDescent="0.35">
      <c r="B1352" s="146"/>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row>
    <row r="1353" spans="2:26" s="147" customFormat="1" ht="14.15" customHeight="1" x14ac:dyDescent="0.35">
      <c r="B1353" s="146"/>
      <c r="E1353" s="314"/>
      <c r="F1353" s="314"/>
      <c r="G1353" s="314"/>
      <c r="H1353" s="314"/>
      <c r="I1353" s="314"/>
      <c r="J1353" s="314"/>
      <c r="K1353" s="314"/>
      <c r="L1353" s="314"/>
      <c r="M1353" s="314"/>
      <c r="N1353" s="314"/>
      <c r="O1353" s="314"/>
      <c r="P1353" s="314"/>
      <c r="Q1353" s="314"/>
      <c r="R1353" s="314"/>
      <c r="S1353" s="314"/>
      <c r="T1353" s="314"/>
      <c r="U1353" s="314"/>
      <c r="V1353" s="314"/>
      <c r="W1353" s="314"/>
      <c r="X1353" s="314"/>
      <c r="Y1353" s="314"/>
      <c r="Z1353" s="314"/>
    </row>
    <row r="1354" spans="2:26" s="147" customFormat="1" ht="14.15" customHeight="1" x14ac:dyDescent="0.35">
      <c r="B1354" s="146"/>
      <c r="E1354" s="314"/>
      <c r="F1354" s="314"/>
      <c r="G1354" s="314"/>
      <c r="H1354" s="314"/>
      <c r="I1354" s="314"/>
      <c r="J1354" s="314"/>
      <c r="K1354" s="314"/>
      <c r="L1354" s="314"/>
      <c r="M1354" s="314"/>
      <c r="N1354" s="314"/>
      <c r="O1354" s="314"/>
      <c r="P1354" s="314"/>
      <c r="Q1354" s="314"/>
      <c r="R1354" s="314"/>
      <c r="S1354" s="314"/>
      <c r="T1354" s="314"/>
      <c r="U1354" s="314"/>
      <c r="V1354" s="314"/>
      <c r="W1354" s="314"/>
      <c r="X1354" s="314"/>
      <c r="Y1354" s="314"/>
      <c r="Z1354" s="314"/>
    </row>
    <row r="1355" spans="2:26" s="147" customFormat="1" ht="14.15" customHeight="1" x14ac:dyDescent="0.35">
      <c r="B1355" s="146"/>
      <c r="E1355" s="314"/>
      <c r="F1355" s="314"/>
      <c r="G1355" s="314"/>
      <c r="H1355" s="314"/>
      <c r="I1355" s="314"/>
      <c r="J1355" s="314"/>
      <c r="K1355" s="314"/>
      <c r="L1355" s="314"/>
      <c r="M1355" s="314"/>
      <c r="N1355" s="314"/>
      <c r="O1355" s="314"/>
      <c r="P1355" s="314"/>
      <c r="Q1355" s="314"/>
      <c r="R1355" s="314"/>
      <c r="S1355" s="314"/>
      <c r="T1355" s="314"/>
      <c r="U1355" s="314"/>
      <c r="V1355" s="314"/>
      <c r="W1355" s="314"/>
      <c r="X1355" s="314"/>
      <c r="Y1355" s="314"/>
      <c r="Z1355" s="314"/>
    </row>
    <row r="1356" spans="2:26" s="147" customFormat="1" ht="14.15" customHeight="1" x14ac:dyDescent="0.35">
      <c r="B1356" s="146"/>
      <c r="E1356" s="314"/>
      <c r="F1356" s="314"/>
      <c r="G1356" s="314"/>
      <c r="H1356" s="314"/>
      <c r="I1356" s="314"/>
      <c r="J1356" s="314"/>
      <c r="K1356" s="314"/>
      <c r="L1356" s="314"/>
      <c r="M1356" s="314"/>
      <c r="N1356" s="314"/>
      <c r="O1356" s="314"/>
      <c r="P1356" s="314"/>
      <c r="Q1356" s="314"/>
      <c r="R1356" s="314"/>
      <c r="S1356" s="314"/>
      <c r="T1356" s="314"/>
      <c r="U1356" s="314"/>
      <c r="V1356" s="314"/>
      <c r="W1356" s="314"/>
      <c r="X1356" s="314"/>
      <c r="Y1356" s="314"/>
      <c r="Z1356" s="314"/>
    </row>
    <row r="1357" spans="2:26" s="147" customFormat="1" ht="14.15" customHeight="1" x14ac:dyDescent="0.35">
      <c r="B1357" s="146"/>
      <c r="E1357" s="314"/>
      <c r="F1357" s="314"/>
      <c r="G1357" s="314"/>
      <c r="H1357" s="314"/>
      <c r="I1357" s="314"/>
      <c r="J1357" s="314"/>
      <c r="K1357" s="314"/>
      <c r="L1357" s="314"/>
      <c r="M1357" s="314"/>
      <c r="N1357" s="314"/>
      <c r="O1357" s="314"/>
      <c r="P1357" s="314"/>
      <c r="Q1357" s="314"/>
      <c r="R1357" s="314"/>
      <c r="S1357" s="314"/>
      <c r="T1357" s="314"/>
      <c r="U1357" s="314"/>
      <c r="V1357" s="314"/>
      <c r="W1357" s="314"/>
      <c r="X1357" s="314"/>
      <c r="Y1357" s="314"/>
      <c r="Z1357" s="314"/>
    </row>
    <row r="1358" spans="2:26" s="147" customFormat="1" ht="14.15" customHeight="1" x14ac:dyDescent="0.35">
      <c r="B1358" s="146"/>
      <c r="E1358" s="314"/>
      <c r="F1358" s="314"/>
      <c r="G1358" s="314"/>
      <c r="H1358" s="314"/>
      <c r="I1358" s="314"/>
      <c r="J1358" s="314"/>
      <c r="K1358" s="314"/>
      <c r="L1358" s="314"/>
      <c r="M1358" s="314"/>
      <c r="N1358" s="314"/>
      <c r="O1358" s="314"/>
      <c r="P1358" s="314"/>
      <c r="Q1358" s="314"/>
      <c r="R1358" s="314"/>
      <c r="S1358" s="314"/>
      <c r="T1358" s="314"/>
      <c r="U1358" s="314"/>
      <c r="V1358" s="314"/>
      <c r="W1358" s="314"/>
      <c r="X1358" s="314"/>
      <c r="Y1358" s="314"/>
      <c r="Z1358" s="314"/>
    </row>
    <row r="1359" spans="2:26" s="147" customFormat="1" ht="14.15" customHeight="1" x14ac:dyDescent="0.35">
      <c r="B1359" s="146"/>
      <c r="E1359" s="314"/>
      <c r="F1359" s="314"/>
      <c r="G1359" s="314"/>
      <c r="H1359" s="314"/>
      <c r="I1359" s="314"/>
      <c r="J1359" s="314"/>
      <c r="K1359" s="314"/>
      <c r="L1359" s="314"/>
      <c r="M1359" s="314"/>
      <c r="N1359" s="314"/>
      <c r="O1359" s="314"/>
      <c r="P1359" s="314"/>
      <c r="Q1359" s="314"/>
      <c r="R1359" s="314"/>
      <c r="S1359" s="314"/>
      <c r="T1359" s="314"/>
      <c r="U1359" s="314"/>
      <c r="V1359" s="314"/>
      <c r="W1359" s="314"/>
      <c r="X1359" s="314"/>
      <c r="Y1359" s="314"/>
      <c r="Z1359" s="314"/>
    </row>
    <row r="1360" spans="2:26" s="147" customFormat="1" ht="14.15" customHeight="1" x14ac:dyDescent="0.35">
      <c r="B1360" s="146"/>
      <c r="E1360" s="314"/>
      <c r="F1360" s="314"/>
      <c r="G1360" s="314"/>
      <c r="H1360" s="314"/>
      <c r="I1360" s="314"/>
      <c r="J1360" s="314"/>
      <c r="K1360" s="314"/>
      <c r="L1360" s="314"/>
      <c r="M1360" s="314"/>
      <c r="N1360" s="314"/>
      <c r="O1360" s="314"/>
      <c r="P1360" s="314"/>
      <c r="Q1360" s="314"/>
      <c r="R1360" s="314"/>
      <c r="S1360" s="314"/>
      <c r="T1360" s="314"/>
      <c r="U1360" s="314"/>
      <c r="V1360" s="314"/>
      <c r="W1360" s="314"/>
      <c r="X1360" s="314"/>
      <c r="Y1360" s="314"/>
      <c r="Z1360" s="314"/>
    </row>
    <row r="1361" spans="2:26" s="147" customFormat="1" ht="14.15" customHeight="1" x14ac:dyDescent="0.35">
      <c r="B1361" s="146"/>
      <c r="E1361" s="314"/>
      <c r="F1361" s="314"/>
      <c r="G1361" s="314"/>
      <c r="H1361" s="314"/>
      <c r="I1361" s="314"/>
      <c r="J1361" s="314"/>
      <c r="K1361" s="314"/>
      <c r="L1361" s="314"/>
      <c r="M1361" s="314"/>
      <c r="N1361" s="314"/>
      <c r="O1361" s="314"/>
      <c r="P1361" s="314"/>
      <c r="Q1361" s="314"/>
      <c r="R1361" s="314"/>
      <c r="S1361" s="314"/>
      <c r="T1361" s="314"/>
      <c r="U1361" s="314"/>
      <c r="V1361" s="314"/>
      <c r="W1361" s="314"/>
      <c r="X1361" s="314"/>
      <c r="Y1361" s="314"/>
      <c r="Z1361" s="314"/>
    </row>
    <row r="1362" spans="2:26" s="147" customFormat="1" ht="14.15" customHeight="1" x14ac:dyDescent="0.35">
      <c r="B1362" s="146"/>
      <c r="E1362" s="314"/>
      <c r="F1362" s="314"/>
      <c r="G1362" s="314"/>
      <c r="H1362" s="314"/>
      <c r="I1362" s="314"/>
      <c r="J1362" s="314"/>
      <c r="K1362" s="314"/>
      <c r="L1362" s="314"/>
      <c r="M1362" s="314"/>
      <c r="N1362" s="314"/>
      <c r="O1362" s="314"/>
      <c r="P1362" s="314"/>
      <c r="Q1362" s="314"/>
      <c r="R1362" s="314"/>
      <c r="S1362" s="314"/>
      <c r="T1362" s="314"/>
      <c r="U1362" s="314"/>
      <c r="V1362" s="314"/>
      <c r="W1362" s="314"/>
      <c r="X1362" s="314"/>
      <c r="Y1362" s="314"/>
      <c r="Z1362" s="314"/>
    </row>
    <row r="1363" spans="2:26" s="147" customFormat="1" ht="14.15" customHeight="1" x14ac:dyDescent="0.35">
      <c r="B1363" s="146"/>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row>
    <row r="1364" spans="2:26" s="147" customFormat="1" ht="14.15" customHeight="1" x14ac:dyDescent="0.35">
      <c r="B1364" s="146"/>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row>
    <row r="1365" spans="2:26" s="147" customFormat="1" ht="14.15" customHeight="1" x14ac:dyDescent="0.35">
      <c r="B1365" s="146"/>
      <c r="E1365" s="314"/>
      <c r="F1365" s="314"/>
      <c r="G1365" s="314"/>
      <c r="H1365" s="314"/>
      <c r="I1365" s="314"/>
      <c r="J1365" s="314"/>
      <c r="K1365" s="314"/>
      <c r="L1365" s="314"/>
      <c r="M1365" s="314"/>
      <c r="N1365" s="314"/>
      <c r="O1365" s="314"/>
      <c r="P1365" s="314"/>
      <c r="Q1365" s="314"/>
      <c r="R1365" s="314"/>
      <c r="S1365" s="314"/>
      <c r="T1365" s="314"/>
      <c r="U1365" s="314"/>
      <c r="V1365" s="314"/>
      <c r="W1365" s="314"/>
      <c r="X1365" s="314"/>
      <c r="Y1365" s="314"/>
      <c r="Z1365" s="314"/>
    </row>
    <row r="1366" spans="2:26" s="147" customFormat="1" ht="14.15" customHeight="1" x14ac:dyDescent="0.35">
      <c r="B1366" s="146"/>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row>
    <row r="1367" spans="2:26" s="147" customFormat="1" ht="14.15" customHeight="1" x14ac:dyDescent="0.35">
      <c r="B1367" s="146"/>
      <c r="E1367" s="314"/>
      <c r="F1367" s="314"/>
      <c r="G1367" s="314"/>
      <c r="H1367" s="314"/>
      <c r="I1367" s="314"/>
      <c r="J1367" s="314"/>
      <c r="K1367" s="314"/>
      <c r="L1367" s="314"/>
      <c r="M1367" s="314"/>
      <c r="N1367" s="314"/>
      <c r="O1367" s="314"/>
      <c r="P1367" s="314"/>
      <c r="Q1367" s="314"/>
      <c r="R1367" s="314"/>
      <c r="S1367" s="314"/>
      <c r="T1367" s="314"/>
      <c r="U1367" s="314"/>
      <c r="V1367" s="314"/>
      <c r="W1367" s="314"/>
      <c r="X1367" s="314"/>
      <c r="Y1367" s="314"/>
      <c r="Z1367" s="314"/>
    </row>
    <row r="1368" spans="2:26" s="147" customFormat="1" ht="14.15" customHeight="1" x14ac:dyDescent="0.35">
      <c r="B1368" s="146"/>
      <c r="E1368" s="314"/>
      <c r="F1368" s="314"/>
      <c r="G1368" s="314"/>
      <c r="H1368" s="314"/>
      <c r="I1368" s="314"/>
      <c r="J1368" s="314"/>
      <c r="K1368" s="314"/>
      <c r="L1368" s="314"/>
      <c r="M1368" s="314"/>
      <c r="N1368" s="314"/>
      <c r="O1368" s="314"/>
      <c r="P1368" s="314"/>
      <c r="Q1368" s="314"/>
      <c r="R1368" s="314"/>
      <c r="S1368" s="314"/>
      <c r="T1368" s="314"/>
      <c r="U1368" s="314"/>
      <c r="V1368" s="314"/>
      <c r="W1368" s="314"/>
      <c r="X1368" s="314"/>
      <c r="Y1368" s="314"/>
      <c r="Z1368" s="314"/>
    </row>
    <row r="1369" spans="2:26" s="147" customFormat="1" ht="14.15" customHeight="1" x14ac:dyDescent="0.35">
      <c r="B1369" s="146"/>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row>
    <row r="1370" spans="2:26" s="147" customFormat="1" ht="14.15" customHeight="1" x14ac:dyDescent="0.35">
      <c r="B1370" s="146"/>
      <c r="E1370" s="314"/>
      <c r="F1370" s="314"/>
      <c r="G1370" s="314"/>
      <c r="H1370" s="314"/>
      <c r="I1370" s="314"/>
      <c r="J1370" s="314"/>
      <c r="K1370" s="314"/>
      <c r="L1370" s="314"/>
      <c r="M1370" s="314"/>
      <c r="N1370" s="314"/>
      <c r="O1370" s="314"/>
      <c r="P1370" s="314"/>
      <c r="Q1370" s="314"/>
      <c r="R1370" s="314"/>
      <c r="S1370" s="314"/>
      <c r="T1370" s="314"/>
      <c r="U1370" s="314"/>
      <c r="V1370" s="314"/>
      <c r="W1370" s="314"/>
      <c r="X1370" s="314"/>
      <c r="Y1370" s="314"/>
      <c r="Z1370" s="314"/>
    </row>
    <row r="1371" spans="2:26" s="147" customFormat="1" ht="14.15" customHeight="1" x14ac:dyDescent="0.35">
      <c r="B1371" s="146"/>
      <c r="E1371" s="314"/>
      <c r="F1371" s="314"/>
      <c r="G1371" s="314"/>
      <c r="H1371" s="314"/>
      <c r="I1371" s="314"/>
      <c r="J1371" s="314"/>
      <c r="K1371" s="314"/>
      <c r="L1371" s="314"/>
      <c r="M1371" s="314"/>
      <c r="N1371" s="314"/>
      <c r="O1371" s="314"/>
      <c r="P1371" s="314"/>
      <c r="Q1371" s="314"/>
      <c r="R1371" s="314"/>
      <c r="S1371" s="314"/>
      <c r="T1371" s="314"/>
      <c r="U1371" s="314"/>
      <c r="V1371" s="314"/>
      <c r="W1371" s="314"/>
      <c r="X1371" s="314"/>
      <c r="Y1371" s="314"/>
      <c r="Z1371" s="314"/>
    </row>
    <row r="1372" spans="2:26" s="147" customFormat="1" ht="14.15" customHeight="1" x14ac:dyDescent="0.35">
      <c r="B1372" s="146"/>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row>
    <row r="1373" spans="2:26" s="147" customFormat="1" ht="14.15" customHeight="1" x14ac:dyDescent="0.35">
      <c r="B1373" s="146"/>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row>
    <row r="1374" spans="2:26" s="147" customFormat="1" ht="14.15" customHeight="1" x14ac:dyDescent="0.35">
      <c r="B1374" s="146"/>
      <c r="E1374" s="314"/>
      <c r="F1374" s="314"/>
      <c r="G1374" s="314"/>
      <c r="H1374" s="314"/>
      <c r="I1374" s="314"/>
      <c r="J1374" s="314"/>
      <c r="K1374" s="314"/>
      <c r="L1374" s="314"/>
      <c r="M1374" s="314"/>
      <c r="N1374" s="314"/>
      <c r="O1374" s="314"/>
      <c r="P1374" s="314"/>
      <c r="Q1374" s="314"/>
      <c r="R1374" s="314"/>
      <c r="S1374" s="314"/>
      <c r="T1374" s="314"/>
      <c r="U1374" s="314"/>
      <c r="V1374" s="314"/>
      <c r="W1374" s="314"/>
      <c r="X1374" s="314"/>
      <c r="Y1374" s="314"/>
      <c r="Z1374" s="314"/>
    </row>
    <row r="1375" spans="2:26" s="147" customFormat="1" ht="14.15" customHeight="1" x14ac:dyDescent="0.35">
      <c r="B1375" s="146"/>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4"/>
      <c r="Z1375" s="314"/>
    </row>
    <row r="1376" spans="2:26" s="147" customFormat="1" ht="14.15" customHeight="1" x14ac:dyDescent="0.35">
      <c r="B1376" s="146"/>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row>
    <row r="1377" spans="2:26" s="147" customFormat="1" ht="14.15" customHeight="1" x14ac:dyDescent="0.35">
      <c r="B1377" s="146"/>
      <c r="E1377" s="314"/>
      <c r="F1377" s="314"/>
      <c r="G1377" s="314"/>
      <c r="H1377" s="314"/>
      <c r="I1377" s="314"/>
      <c r="J1377" s="314"/>
      <c r="K1377" s="314"/>
      <c r="L1377" s="314"/>
      <c r="M1377" s="314"/>
      <c r="N1377" s="314"/>
      <c r="O1377" s="314"/>
      <c r="P1377" s="314"/>
      <c r="Q1377" s="314"/>
      <c r="R1377" s="314"/>
      <c r="S1377" s="314"/>
      <c r="T1377" s="314"/>
      <c r="U1377" s="314"/>
      <c r="V1377" s="314"/>
      <c r="W1377" s="314"/>
      <c r="X1377" s="314"/>
      <c r="Y1377" s="314"/>
      <c r="Z1377" s="314"/>
    </row>
    <row r="1378" spans="2:26" s="147" customFormat="1" ht="14.15" customHeight="1" x14ac:dyDescent="0.35">
      <c r="B1378" s="146"/>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row>
    <row r="1379" spans="2:26" s="147" customFormat="1" ht="14.15" customHeight="1" x14ac:dyDescent="0.35">
      <c r="B1379" s="146"/>
      <c r="E1379" s="314"/>
      <c r="F1379" s="314"/>
      <c r="G1379" s="314"/>
      <c r="H1379" s="314"/>
      <c r="I1379" s="314"/>
      <c r="J1379" s="314"/>
      <c r="K1379" s="314"/>
      <c r="L1379" s="314"/>
      <c r="M1379" s="314"/>
      <c r="N1379" s="314"/>
      <c r="O1379" s="314"/>
      <c r="P1379" s="314"/>
      <c r="Q1379" s="314"/>
      <c r="R1379" s="314"/>
      <c r="S1379" s="314"/>
      <c r="T1379" s="314"/>
      <c r="U1379" s="314"/>
      <c r="V1379" s="314"/>
      <c r="W1379" s="314"/>
      <c r="X1379" s="314"/>
      <c r="Y1379" s="314"/>
      <c r="Z1379" s="314"/>
    </row>
    <row r="1380" spans="2:26" s="147" customFormat="1" ht="14.15" customHeight="1" x14ac:dyDescent="0.35">
      <c r="B1380" s="146"/>
      <c r="E1380" s="314"/>
      <c r="F1380" s="314"/>
      <c r="G1380" s="314"/>
      <c r="H1380" s="314"/>
      <c r="I1380" s="314"/>
      <c r="J1380" s="314"/>
      <c r="K1380" s="314"/>
      <c r="L1380" s="314"/>
      <c r="M1380" s="314"/>
      <c r="N1380" s="314"/>
      <c r="O1380" s="314"/>
      <c r="P1380" s="314"/>
      <c r="Q1380" s="314"/>
      <c r="R1380" s="314"/>
      <c r="S1380" s="314"/>
      <c r="T1380" s="314"/>
      <c r="U1380" s="314"/>
      <c r="V1380" s="314"/>
      <c r="W1380" s="314"/>
      <c r="X1380" s="314"/>
      <c r="Y1380" s="314"/>
      <c r="Z1380" s="314"/>
    </row>
    <row r="1381" spans="2:26" s="147" customFormat="1" ht="14.15" customHeight="1" x14ac:dyDescent="0.35">
      <c r="B1381" s="146"/>
      <c r="E1381" s="314"/>
      <c r="F1381" s="314"/>
      <c r="G1381" s="314"/>
      <c r="H1381" s="314"/>
      <c r="I1381" s="314"/>
      <c r="J1381" s="314"/>
      <c r="K1381" s="314"/>
      <c r="L1381" s="314"/>
      <c r="M1381" s="314"/>
      <c r="N1381" s="314"/>
      <c r="O1381" s="314"/>
      <c r="P1381" s="314"/>
      <c r="Q1381" s="314"/>
      <c r="R1381" s="314"/>
      <c r="S1381" s="314"/>
      <c r="T1381" s="314"/>
      <c r="U1381" s="314"/>
      <c r="V1381" s="314"/>
      <c r="W1381" s="314"/>
      <c r="X1381" s="314"/>
      <c r="Y1381" s="314"/>
      <c r="Z1381" s="314"/>
    </row>
    <row r="1382" spans="2:26" s="147" customFormat="1" ht="14.15" customHeight="1" x14ac:dyDescent="0.35">
      <c r="B1382" s="146"/>
      <c r="E1382" s="314"/>
      <c r="F1382" s="314"/>
      <c r="G1382" s="314"/>
      <c r="H1382" s="314"/>
      <c r="I1382" s="314"/>
      <c r="J1382" s="314"/>
      <c r="K1382" s="314"/>
      <c r="L1382" s="314"/>
      <c r="M1382" s="314"/>
      <c r="N1382" s="314"/>
      <c r="O1382" s="314"/>
      <c r="P1382" s="314"/>
      <c r="Q1382" s="314"/>
      <c r="R1382" s="314"/>
      <c r="S1382" s="314"/>
      <c r="T1382" s="314"/>
      <c r="U1382" s="314"/>
      <c r="V1382" s="314"/>
      <c r="W1382" s="314"/>
      <c r="X1382" s="314"/>
      <c r="Y1382" s="314"/>
      <c r="Z1382" s="314"/>
    </row>
    <row r="1383" spans="2:26" s="147" customFormat="1" ht="14.15" customHeight="1" x14ac:dyDescent="0.35">
      <c r="B1383" s="146"/>
      <c r="E1383" s="314"/>
      <c r="F1383" s="314"/>
      <c r="G1383" s="314"/>
      <c r="H1383" s="314"/>
      <c r="I1383" s="314"/>
      <c r="J1383" s="314"/>
      <c r="K1383" s="314"/>
      <c r="L1383" s="314"/>
      <c r="M1383" s="314"/>
      <c r="N1383" s="314"/>
      <c r="O1383" s="314"/>
      <c r="P1383" s="314"/>
      <c r="Q1383" s="314"/>
      <c r="R1383" s="314"/>
      <c r="S1383" s="314"/>
      <c r="T1383" s="314"/>
      <c r="U1383" s="314"/>
      <c r="V1383" s="314"/>
      <c r="W1383" s="314"/>
      <c r="X1383" s="314"/>
      <c r="Y1383" s="314"/>
      <c r="Z1383" s="314"/>
    </row>
    <row r="1384" spans="2:26" s="147" customFormat="1" ht="14.15" customHeight="1" x14ac:dyDescent="0.35">
      <c r="B1384" s="146"/>
      <c r="E1384" s="314"/>
      <c r="F1384" s="314"/>
      <c r="G1384" s="314"/>
      <c r="H1384" s="314"/>
      <c r="I1384" s="314"/>
      <c r="J1384" s="314"/>
      <c r="K1384" s="314"/>
      <c r="L1384" s="314"/>
      <c r="M1384" s="314"/>
      <c r="N1384" s="314"/>
      <c r="O1384" s="314"/>
      <c r="P1384" s="314"/>
      <c r="Q1384" s="314"/>
      <c r="R1384" s="314"/>
      <c r="S1384" s="314"/>
      <c r="T1384" s="314"/>
      <c r="U1384" s="314"/>
      <c r="V1384" s="314"/>
      <c r="W1384" s="314"/>
      <c r="X1384" s="314"/>
      <c r="Y1384" s="314"/>
      <c r="Z1384" s="314"/>
    </row>
    <row r="1385" spans="2:26" s="147" customFormat="1" ht="14.15" customHeight="1" x14ac:dyDescent="0.35">
      <c r="B1385" s="146"/>
      <c r="E1385" s="314"/>
      <c r="F1385" s="314"/>
      <c r="G1385" s="314"/>
      <c r="H1385" s="314"/>
      <c r="I1385" s="314"/>
      <c r="J1385" s="314"/>
      <c r="K1385" s="314"/>
      <c r="L1385" s="314"/>
      <c r="M1385" s="314"/>
      <c r="N1385" s="314"/>
      <c r="O1385" s="314"/>
      <c r="P1385" s="314"/>
      <c r="Q1385" s="314"/>
      <c r="R1385" s="314"/>
      <c r="S1385" s="314"/>
      <c r="T1385" s="314"/>
      <c r="U1385" s="314"/>
      <c r="V1385" s="314"/>
      <c r="W1385" s="314"/>
      <c r="X1385" s="314"/>
      <c r="Y1385" s="314"/>
      <c r="Z1385" s="314"/>
    </row>
    <row r="1386" spans="2:26" s="147" customFormat="1" ht="14.15" customHeight="1" x14ac:dyDescent="0.35">
      <c r="B1386" s="146"/>
      <c r="E1386" s="314"/>
      <c r="F1386" s="314"/>
      <c r="G1386" s="314"/>
      <c r="H1386" s="314"/>
      <c r="I1386" s="314"/>
      <c r="J1386" s="314"/>
      <c r="K1386" s="314"/>
      <c r="L1386" s="314"/>
      <c r="M1386" s="314"/>
      <c r="N1386" s="314"/>
      <c r="O1386" s="314"/>
      <c r="P1386" s="314"/>
      <c r="Q1386" s="314"/>
      <c r="R1386" s="314"/>
      <c r="S1386" s="314"/>
      <c r="T1386" s="314"/>
      <c r="U1386" s="314"/>
      <c r="V1386" s="314"/>
      <c r="W1386" s="314"/>
      <c r="X1386" s="314"/>
      <c r="Y1386" s="314"/>
      <c r="Z1386" s="314"/>
    </row>
    <row r="1387" spans="2:26" s="147" customFormat="1" ht="14.15" customHeight="1" x14ac:dyDescent="0.35">
      <c r="B1387" s="146"/>
      <c r="E1387" s="314"/>
      <c r="F1387" s="314"/>
      <c r="G1387" s="314"/>
      <c r="H1387" s="314"/>
      <c r="I1387" s="314"/>
      <c r="J1387" s="314"/>
      <c r="K1387" s="314"/>
      <c r="L1387" s="314"/>
      <c r="M1387" s="314"/>
      <c r="N1387" s="314"/>
      <c r="O1387" s="314"/>
      <c r="P1387" s="314"/>
      <c r="Q1387" s="314"/>
      <c r="R1387" s="314"/>
      <c r="S1387" s="314"/>
      <c r="T1387" s="314"/>
      <c r="U1387" s="314"/>
      <c r="V1387" s="314"/>
      <c r="W1387" s="314"/>
      <c r="X1387" s="314"/>
      <c r="Y1387" s="314"/>
      <c r="Z1387" s="314"/>
    </row>
    <row r="1388" spans="2:26" s="147" customFormat="1" ht="14.15" customHeight="1" x14ac:dyDescent="0.35">
      <c r="B1388" s="146"/>
      <c r="E1388" s="314"/>
      <c r="F1388" s="314"/>
      <c r="G1388" s="314"/>
      <c r="H1388" s="314"/>
      <c r="I1388" s="314"/>
      <c r="J1388" s="314"/>
      <c r="K1388" s="314"/>
      <c r="L1388" s="314"/>
      <c r="M1388" s="314"/>
      <c r="N1388" s="314"/>
      <c r="O1388" s="314"/>
      <c r="P1388" s="314"/>
      <c r="Q1388" s="314"/>
      <c r="R1388" s="314"/>
      <c r="S1388" s="314"/>
      <c r="T1388" s="314"/>
      <c r="U1388" s="314"/>
      <c r="V1388" s="314"/>
      <c r="W1388" s="314"/>
      <c r="X1388" s="314"/>
      <c r="Y1388" s="314"/>
      <c r="Z1388" s="314"/>
    </row>
    <row r="1389" spans="2:26" s="147" customFormat="1" ht="14.15" customHeight="1" x14ac:dyDescent="0.35">
      <c r="B1389" s="146"/>
      <c r="E1389" s="314"/>
      <c r="F1389" s="314"/>
      <c r="G1389" s="314"/>
      <c r="H1389" s="314"/>
      <c r="I1389" s="314"/>
      <c r="J1389" s="314"/>
      <c r="K1389" s="314"/>
      <c r="L1389" s="314"/>
      <c r="M1389" s="314"/>
      <c r="N1389" s="314"/>
      <c r="O1389" s="314"/>
      <c r="P1389" s="314"/>
      <c r="Q1389" s="314"/>
      <c r="R1389" s="314"/>
      <c r="S1389" s="314"/>
      <c r="T1389" s="314"/>
      <c r="U1389" s="314"/>
      <c r="V1389" s="314"/>
      <c r="W1389" s="314"/>
      <c r="X1389" s="314"/>
      <c r="Y1389" s="314"/>
      <c r="Z1389" s="314"/>
    </row>
    <row r="1390" spans="2:26" s="147" customFormat="1" ht="14.15" customHeight="1" x14ac:dyDescent="0.35">
      <c r="B1390" s="146"/>
      <c r="E1390" s="314"/>
      <c r="F1390" s="314"/>
      <c r="G1390" s="314"/>
      <c r="H1390" s="314"/>
      <c r="I1390" s="314"/>
      <c r="J1390" s="314"/>
      <c r="K1390" s="314"/>
      <c r="L1390" s="314"/>
      <c r="M1390" s="314"/>
      <c r="N1390" s="314"/>
      <c r="O1390" s="314"/>
      <c r="P1390" s="314"/>
      <c r="Q1390" s="314"/>
      <c r="R1390" s="314"/>
      <c r="S1390" s="314"/>
      <c r="T1390" s="314"/>
      <c r="U1390" s="314"/>
      <c r="V1390" s="314"/>
      <c r="W1390" s="314"/>
      <c r="X1390" s="314"/>
      <c r="Y1390" s="314"/>
      <c r="Z1390" s="314"/>
    </row>
    <row r="1391" spans="2:26" s="147" customFormat="1" ht="14.15" customHeight="1" x14ac:dyDescent="0.35">
      <c r="B1391" s="146"/>
      <c r="E1391" s="314"/>
      <c r="F1391" s="314"/>
      <c r="G1391" s="314"/>
      <c r="H1391" s="314"/>
      <c r="I1391" s="314"/>
      <c r="J1391" s="314"/>
      <c r="K1391" s="314"/>
      <c r="L1391" s="314"/>
      <c r="M1391" s="314"/>
      <c r="N1391" s="314"/>
      <c r="O1391" s="314"/>
      <c r="P1391" s="314"/>
      <c r="Q1391" s="314"/>
      <c r="R1391" s="314"/>
      <c r="S1391" s="314"/>
      <c r="T1391" s="314"/>
      <c r="U1391" s="314"/>
      <c r="V1391" s="314"/>
      <c r="W1391" s="314"/>
      <c r="X1391" s="314"/>
      <c r="Y1391" s="314"/>
      <c r="Z1391" s="314"/>
    </row>
    <row r="1392" spans="2:26" s="147" customFormat="1" ht="14.15" customHeight="1" x14ac:dyDescent="0.35">
      <c r="B1392" s="146"/>
      <c r="E1392" s="314"/>
      <c r="F1392" s="314"/>
      <c r="G1392" s="314"/>
      <c r="H1392" s="314"/>
      <c r="I1392" s="314"/>
      <c r="J1392" s="314"/>
      <c r="K1392" s="314"/>
      <c r="L1392" s="314"/>
      <c r="M1392" s="314"/>
      <c r="N1392" s="314"/>
      <c r="O1392" s="314"/>
      <c r="P1392" s="314"/>
      <c r="Q1392" s="314"/>
      <c r="R1392" s="314"/>
      <c r="S1392" s="314"/>
      <c r="T1392" s="314"/>
      <c r="U1392" s="314"/>
      <c r="V1392" s="314"/>
      <c r="W1392" s="314"/>
      <c r="X1392" s="314"/>
      <c r="Y1392" s="314"/>
      <c r="Z1392" s="314"/>
    </row>
    <row r="1393" spans="2:26" s="147" customFormat="1" ht="14.15" customHeight="1" x14ac:dyDescent="0.35">
      <c r="B1393" s="146"/>
      <c r="E1393" s="314"/>
      <c r="F1393" s="314"/>
      <c r="G1393" s="314"/>
      <c r="H1393" s="314"/>
      <c r="I1393" s="314"/>
      <c r="J1393" s="314"/>
      <c r="K1393" s="314"/>
      <c r="L1393" s="314"/>
      <c r="M1393" s="314"/>
      <c r="N1393" s="314"/>
      <c r="O1393" s="314"/>
      <c r="P1393" s="314"/>
      <c r="Q1393" s="314"/>
      <c r="R1393" s="314"/>
      <c r="S1393" s="314"/>
      <c r="T1393" s="314"/>
      <c r="U1393" s="314"/>
      <c r="V1393" s="314"/>
      <c r="W1393" s="314"/>
      <c r="X1393" s="314"/>
      <c r="Y1393" s="314"/>
      <c r="Z1393" s="314"/>
    </row>
    <row r="1394" spans="2:26" s="147" customFormat="1" ht="14.15" customHeight="1" x14ac:dyDescent="0.35">
      <c r="B1394" s="146"/>
      <c r="E1394" s="314"/>
      <c r="F1394" s="314"/>
      <c r="G1394" s="314"/>
      <c r="H1394" s="314"/>
      <c r="I1394" s="314"/>
      <c r="J1394" s="314"/>
      <c r="K1394" s="314"/>
      <c r="L1394" s="314"/>
      <c r="M1394" s="314"/>
      <c r="N1394" s="314"/>
      <c r="O1394" s="314"/>
      <c r="P1394" s="314"/>
      <c r="Q1394" s="314"/>
      <c r="R1394" s="314"/>
      <c r="S1394" s="314"/>
      <c r="T1394" s="314"/>
      <c r="U1394" s="314"/>
      <c r="V1394" s="314"/>
      <c r="W1394" s="314"/>
      <c r="X1394" s="314"/>
      <c r="Y1394" s="314"/>
      <c r="Z1394" s="314"/>
    </row>
    <row r="1395" spans="2:26" s="147" customFormat="1" ht="14.15" customHeight="1" x14ac:dyDescent="0.35">
      <c r="B1395" s="146"/>
      <c r="E1395" s="314"/>
      <c r="F1395" s="314"/>
      <c r="G1395" s="314"/>
      <c r="H1395" s="314"/>
      <c r="I1395" s="314"/>
      <c r="J1395" s="314"/>
      <c r="K1395" s="314"/>
      <c r="L1395" s="314"/>
      <c r="M1395" s="314"/>
      <c r="N1395" s="314"/>
      <c r="O1395" s="314"/>
      <c r="P1395" s="314"/>
      <c r="Q1395" s="314"/>
      <c r="R1395" s="314"/>
      <c r="S1395" s="314"/>
      <c r="T1395" s="314"/>
      <c r="U1395" s="314"/>
      <c r="V1395" s="314"/>
      <c r="W1395" s="314"/>
      <c r="X1395" s="314"/>
      <c r="Y1395" s="314"/>
      <c r="Z1395" s="314"/>
    </row>
    <row r="1396" spans="2:26" s="147" customFormat="1" ht="14.15" customHeight="1" x14ac:dyDescent="0.35">
      <c r="B1396" s="146"/>
      <c r="E1396" s="314"/>
      <c r="F1396" s="314"/>
      <c r="G1396" s="314"/>
      <c r="H1396" s="314"/>
      <c r="I1396" s="314"/>
      <c r="J1396" s="314"/>
      <c r="K1396" s="314"/>
      <c r="L1396" s="314"/>
      <c r="M1396" s="314"/>
      <c r="N1396" s="314"/>
      <c r="O1396" s="314"/>
      <c r="P1396" s="314"/>
      <c r="Q1396" s="314"/>
      <c r="R1396" s="314"/>
      <c r="S1396" s="314"/>
      <c r="T1396" s="314"/>
      <c r="U1396" s="314"/>
      <c r="V1396" s="314"/>
      <c r="W1396" s="314"/>
      <c r="X1396" s="314"/>
      <c r="Y1396" s="314"/>
      <c r="Z1396" s="314"/>
    </row>
    <row r="1397" spans="2:26" s="147" customFormat="1" ht="14.15" customHeight="1" x14ac:dyDescent="0.35">
      <c r="B1397" s="146"/>
      <c r="E1397" s="314"/>
      <c r="F1397" s="314"/>
      <c r="G1397" s="314"/>
      <c r="H1397" s="314"/>
      <c r="I1397" s="314"/>
      <c r="J1397" s="314"/>
      <c r="K1397" s="314"/>
      <c r="L1397" s="314"/>
      <c r="M1397" s="314"/>
      <c r="N1397" s="314"/>
      <c r="O1397" s="314"/>
      <c r="P1397" s="314"/>
      <c r="Q1397" s="314"/>
      <c r="R1397" s="314"/>
      <c r="S1397" s="314"/>
      <c r="T1397" s="314"/>
      <c r="U1397" s="314"/>
      <c r="V1397" s="314"/>
      <c r="W1397" s="314"/>
      <c r="X1397" s="314"/>
      <c r="Y1397" s="314"/>
      <c r="Z1397" s="314"/>
    </row>
    <row r="1398" spans="2:26" s="147" customFormat="1" ht="14.15" customHeight="1" x14ac:dyDescent="0.35">
      <c r="B1398" s="146"/>
      <c r="E1398" s="314"/>
      <c r="F1398" s="314"/>
      <c r="G1398" s="314"/>
      <c r="H1398" s="314"/>
      <c r="I1398" s="314"/>
      <c r="J1398" s="314"/>
      <c r="K1398" s="314"/>
      <c r="L1398" s="314"/>
      <c r="M1398" s="314"/>
      <c r="N1398" s="314"/>
      <c r="O1398" s="314"/>
      <c r="P1398" s="314"/>
      <c r="Q1398" s="314"/>
      <c r="R1398" s="314"/>
      <c r="S1398" s="314"/>
      <c r="T1398" s="314"/>
      <c r="U1398" s="314"/>
      <c r="V1398" s="314"/>
      <c r="W1398" s="314"/>
      <c r="X1398" s="314"/>
      <c r="Y1398" s="314"/>
      <c r="Z1398" s="314"/>
    </row>
    <row r="1399" spans="2:26" s="147" customFormat="1" ht="14.15" customHeight="1" x14ac:dyDescent="0.35">
      <c r="B1399" s="146"/>
      <c r="E1399" s="314"/>
      <c r="F1399" s="314"/>
      <c r="G1399" s="314"/>
      <c r="H1399" s="314"/>
      <c r="I1399" s="314"/>
      <c r="J1399" s="314"/>
      <c r="K1399" s="314"/>
      <c r="L1399" s="314"/>
      <c r="M1399" s="314"/>
      <c r="N1399" s="314"/>
      <c r="O1399" s="314"/>
      <c r="P1399" s="314"/>
      <c r="Q1399" s="314"/>
      <c r="R1399" s="314"/>
      <c r="S1399" s="314"/>
      <c r="T1399" s="314"/>
      <c r="U1399" s="314"/>
      <c r="V1399" s="314"/>
      <c r="W1399" s="314"/>
      <c r="X1399" s="314"/>
      <c r="Y1399" s="314"/>
      <c r="Z1399" s="314"/>
    </row>
    <row r="1400" spans="2:26" s="147" customFormat="1" ht="14.15" customHeight="1" x14ac:dyDescent="0.35">
      <c r="B1400" s="146"/>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row>
    <row r="1401" spans="2:26" s="147" customFormat="1" ht="14.15" customHeight="1" x14ac:dyDescent="0.35">
      <c r="B1401" s="146"/>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row>
    <row r="1402" spans="2:26" s="147" customFormat="1" ht="14.15" customHeight="1" x14ac:dyDescent="0.35">
      <c r="B1402" s="146"/>
      <c r="E1402" s="314"/>
      <c r="F1402" s="314"/>
      <c r="G1402" s="314"/>
      <c r="H1402" s="314"/>
      <c r="I1402" s="314"/>
      <c r="J1402" s="314"/>
      <c r="K1402" s="314"/>
      <c r="L1402" s="314"/>
      <c r="M1402" s="314"/>
      <c r="N1402" s="314"/>
      <c r="O1402" s="314"/>
      <c r="P1402" s="314"/>
      <c r="Q1402" s="314"/>
      <c r="R1402" s="314"/>
      <c r="S1402" s="314"/>
      <c r="T1402" s="314"/>
      <c r="U1402" s="314"/>
      <c r="V1402" s="314"/>
      <c r="W1402" s="314"/>
      <c r="X1402" s="314"/>
      <c r="Y1402" s="314"/>
      <c r="Z1402" s="314"/>
    </row>
    <row r="1403" spans="2:26" s="147" customFormat="1" ht="14.15" customHeight="1" x14ac:dyDescent="0.35">
      <c r="B1403" s="146"/>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row>
    <row r="1404" spans="2:26" s="147" customFormat="1" ht="14.15" customHeight="1" x14ac:dyDescent="0.35">
      <c r="B1404" s="146"/>
      <c r="E1404" s="314"/>
      <c r="F1404" s="314"/>
      <c r="G1404" s="314"/>
      <c r="H1404" s="314"/>
      <c r="I1404" s="314"/>
      <c r="J1404" s="314"/>
      <c r="K1404" s="314"/>
      <c r="L1404" s="314"/>
      <c r="M1404" s="314"/>
      <c r="N1404" s="314"/>
      <c r="O1404" s="314"/>
      <c r="P1404" s="314"/>
      <c r="Q1404" s="314"/>
      <c r="R1404" s="314"/>
      <c r="S1404" s="314"/>
      <c r="T1404" s="314"/>
      <c r="U1404" s="314"/>
      <c r="V1404" s="314"/>
      <c r="W1404" s="314"/>
      <c r="X1404" s="314"/>
      <c r="Y1404" s="314"/>
      <c r="Z1404" s="314"/>
    </row>
    <row r="1405" spans="2:26" s="147" customFormat="1" ht="14.15" customHeight="1" x14ac:dyDescent="0.35">
      <c r="B1405" s="146"/>
      <c r="E1405" s="314"/>
      <c r="F1405" s="314"/>
      <c r="G1405" s="314"/>
      <c r="H1405" s="314"/>
      <c r="I1405" s="314"/>
      <c r="J1405" s="314"/>
      <c r="K1405" s="314"/>
      <c r="L1405" s="314"/>
      <c r="M1405" s="314"/>
      <c r="N1405" s="314"/>
      <c r="O1405" s="314"/>
      <c r="P1405" s="314"/>
      <c r="Q1405" s="314"/>
      <c r="R1405" s="314"/>
      <c r="S1405" s="314"/>
      <c r="T1405" s="314"/>
      <c r="U1405" s="314"/>
      <c r="V1405" s="314"/>
      <c r="W1405" s="314"/>
      <c r="X1405" s="314"/>
      <c r="Y1405" s="314"/>
      <c r="Z1405" s="314"/>
    </row>
    <row r="1406" spans="2:26" s="147" customFormat="1" ht="14.15" customHeight="1" x14ac:dyDescent="0.35">
      <c r="B1406" s="146"/>
      <c r="E1406" s="314"/>
      <c r="F1406" s="314"/>
      <c r="G1406" s="314"/>
      <c r="H1406" s="314"/>
      <c r="I1406" s="314"/>
      <c r="J1406" s="314"/>
      <c r="K1406" s="314"/>
      <c r="L1406" s="314"/>
      <c r="M1406" s="314"/>
      <c r="N1406" s="314"/>
      <c r="O1406" s="314"/>
      <c r="P1406" s="314"/>
      <c r="Q1406" s="314"/>
      <c r="R1406" s="314"/>
      <c r="S1406" s="314"/>
      <c r="T1406" s="314"/>
      <c r="U1406" s="314"/>
      <c r="V1406" s="314"/>
      <c r="W1406" s="314"/>
      <c r="X1406" s="314"/>
      <c r="Y1406" s="314"/>
      <c r="Z1406" s="314"/>
    </row>
    <row r="1407" spans="2:26" s="147" customFormat="1" ht="14.15" customHeight="1" x14ac:dyDescent="0.35">
      <c r="B1407" s="146"/>
      <c r="E1407" s="314"/>
      <c r="F1407" s="314"/>
      <c r="G1407" s="314"/>
      <c r="H1407" s="314"/>
      <c r="I1407" s="314"/>
      <c r="J1407" s="314"/>
      <c r="K1407" s="314"/>
      <c r="L1407" s="314"/>
      <c r="M1407" s="314"/>
      <c r="N1407" s="314"/>
      <c r="O1407" s="314"/>
      <c r="P1407" s="314"/>
      <c r="Q1407" s="314"/>
      <c r="R1407" s="314"/>
      <c r="S1407" s="314"/>
      <c r="T1407" s="314"/>
      <c r="U1407" s="314"/>
      <c r="V1407" s="314"/>
      <c r="W1407" s="314"/>
      <c r="X1407" s="314"/>
      <c r="Y1407" s="314"/>
      <c r="Z1407" s="314"/>
    </row>
    <row r="1408" spans="2:26" s="147" customFormat="1" ht="14.15" customHeight="1" x14ac:dyDescent="0.35">
      <c r="B1408" s="146"/>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row>
    <row r="1409" spans="2:26" s="147" customFormat="1" ht="14.15" customHeight="1" x14ac:dyDescent="0.35">
      <c r="B1409" s="146"/>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row>
    <row r="1410" spans="2:26" s="147" customFormat="1" ht="14.15" customHeight="1" x14ac:dyDescent="0.35">
      <c r="B1410" s="146"/>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row>
    <row r="1411" spans="2:26" s="147" customFormat="1" ht="14.15" customHeight="1" x14ac:dyDescent="0.35">
      <c r="B1411" s="146"/>
      <c r="E1411" s="314"/>
      <c r="F1411" s="314"/>
      <c r="G1411" s="314"/>
      <c r="H1411" s="314"/>
      <c r="I1411" s="314"/>
      <c r="J1411" s="314"/>
      <c r="K1411" s="314"/>
      <c r="L1411" s="314"/>
      <c r="M1411" s="314"/>
      <c r="N1411" s="314"/>
      <c r="O1411" s="314"/>
      <c r="P1411" s="314"/>
      <c r="Q1411" s="314"/>
      <c r="R1411" s="314"/>
      <c r="S1411" s="314"/>
      <c r="T1411" s="314"/>
      <c r="U1411" s="314"/>
      <c r="V1411" s="314"/>
      <c r="W1411" s="314"/>
      <c r="X1411" s="314"/>
      <c r="Y1411" s="314"/>
      <c r="Z1411" s="314"/>
    </row>
    <row r="1412" spans="2:26" s="147" customFormat="1" ht="14.15" customHeight="1" x14ac:dyDescent="0.35">
      <c r="B1412" s="146"/>
      <c r="E1412" s="314"/>
      <c r="F1412" s="314"/>
      <c r="G1412" s="314"/>
      <c r="H1412" s="314"/>
      <c r="I1412" s="314"/>
      <c r="J1412" s="314"/>
      <c r="K1412" s="314"/>
      <c r="L1412" s="314"/>
      <c r="M1412" s="314"/>
      <c r="N1412" s="314"/>
      <c r="O1412" s="314"/>
      <c r="P1412" s="314"/>
      <c r="Q1412" s="314"/>
      <c r="R1412" s="314"/>
      <c r="S1412" s="314"/>
      <c r="T1412" s="314"/>
      <c r="U1412" s="314"/>
      <c r="V1412" s="314"/>
      <c r="W1412" s="314"/>
      <c r="X1412" s="314"/>
      <c r="Y1412" s="314"/>
      <c r="Z1412" s="314"/>
    </row>
    <row r="1413" spans="2:26" s="147" customFormat="1" ht="14.15" customHeight="1" x14ac:dyDescent="0.35">
      <c r="B1413" s="146"/>
      <c r="E1413" s="314"/>
      <c r="F1413" s="314"/>
      <c r="G1413" s="314"/>
      <c r="H1413" s="314"/>
      <c r="I1413" s="314"/>
      <c r="J1413" s="314"/>
      <c r="K1413" s="314"/>
      <c r="L1413" s="314"/>
      <c r="M1413" s="314"/>
      <c r="N1413" s="314"/>
      <c r="O1413" s="314"/>
      <c r="P1413" s="314"/>
      <c r="Q1413" s="314"/>
      <c r="R1413" s="314"/>
      <c r="S1413" s="314"/>
      <c r="T1413" s="314"/>
      <c r="U1413" s="314"/>
      <c r="V1413" s="314"/>
      <c r="W1413" s="314"/>
      <c r="X1413" s="314"/>
      <c r="Y1413" s="314"/>
      <c r="Z1413" s="314"/>
    </row>
    <row r="1414" spans="2:26" s="147" customFormat="1" ht="14.15" customHeight="1" x14ac:dyDescent="0.35">
      <c r="B1414" s="146"/>
      <c r="E1414" s="314"/>
      <c r="F1414" s="314"/>
      <c r="G1414" s="314"/>
      <c r="H1414" s="314"/>
      <c r="I1414" s="314"/>
      <c r="J1414" s="314"/>
      <c r="K1414" s="314"/>
      <c r="L1414" s="314"/>
      <c r="M1414" s="314"/>
      <c r="N1414" s="314"/>
      <c r="O1414" s="314"/>
      <c r="P1414" s="314"/>
      <c r="Q1414" s="314"/>
      <c r="R1414" s="314"/>
      <c r="S1414" s="314"/>
      <c r="T1414" s="314"/>
      <c r="U1414" s="314"/>
      <c r="V1414" s="314"/>
      <c r="W1414" s="314"/>
      <c r="X1414" s="314"/>
      <c r="Y1414" s="314"/>
      <c r="Z1414" s="314"/>
    </row>
    <row r="1415" spans="2:26" s="147" customFormat="1" ht="14.15" customHeight="1" x14ac:dyDescent="0.35">
      <c r="B1415" s="146"/>
      <c r="E1415" s="314"/>
      <c r="F1415" s="314"/>
      <c r="G1415" s="314"/>
      <c r="H1415" s="314"/>
      <c r="I1415" s="314"/>
      <c r="J1415" s="314"/>
      <c r="K1415" s="314"/>
      <c r="L1415" s="314"/>
      <c r="M1415" s="314"/>
      <c r="N1415" s="314"/>
      <c r="O1415" s="314"/>
      <c r="P1415" s="314"/>
      <c r="Q1415" s="314"/>
      <c r="R1415" s="314"/>
      <c r="S1415" s="314"/>
      <c r="T1415" s="314"/>
      <c r="U1415" s="314"/>
      <c r="V1415" s="314"/>
      <c r="W1415" s="314"/>
      <c r="X1415" s="314"/>
      <c r="Y1415" s="314"/>
      <c r="Z1415" s="314"/>
    </row>
    <row r="1416" spans="2:26" s="147" customFormat="1" ht="14.15" customHeight="1" x14ac:dyDescent="0.35">
      <c r="B1416" s="146"/>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row>
    <row r="1417" spans="2:26" s="147" customFormat="1" ht="14.15" customHeight="1" x14ac:dyDescent="0.35">
      <c r="B1417" s="146"/>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row>
    <row r="1418" spans="2:26" s="147" customFormat="1" ht="14.15" customHeight="1" x14ac:dyDescent="0.35">
      <c r="B1418" s="146"/>
      <c r="E1418" s="314"/>
      <c r="F1418" s="314"/>
      <c r="G1418" s="314"/>
      <c r="H1418" s="314"/>
      <c r="I1418" s="314"/>
      <c r="J1418" s="314"/>
      <c r="K1418" s="314"/>
      <c r="L1418" s="314"/>
      <c r="M1418" s="314"/>
      <c r="N1418" s="314"/>
      <c r="O1418" s="314"/>
      <c r="P1418" s="314"/>
      <c r="Q1418" s="314"/>
      <c r="R1418" s="314"/>
      <c r="S1418" s="314"/>
      <c r="T1418" s="314"/>
      <c r="U1418" s="314"/>
      <c r="V1418" s="314"/>
      <c r="W1418" s="314"/>
      <c r="X1418" s="314"/>
      <c r="Y1418" s="314"/>
      <c r="Z1418" s="314"/>
    </row>
    <row r="1419" spans="2:26" s="147" customFormat="1" ht="14.15" customHeight="1" x14ac:dyDescent="0.35">
      <c r="B1419" s="146"/>
      <c r="E1419" s="314"/>
      <c r="F1419" s="314"/>
      <c r="G1419" s="314"/>
      <c r="H1419" s="314"/>
      <c r="I1419" s="314"/>
      <c r="J1419" s="314"/>
      <c r="K1419" s="314"/>
      <c r="L1419" s="314"/>
      <c r="M1419" s="314"/>
      <c r="N1419" s="314"/>
      <c r="O1419" s="314"/>
      <c r="P1419" s="314"/>
      <c r="Q1419" s="314"/>
      <c r="R1419" s="314"/>
      <c r="S1419" s="314"/>
      <c r="T1419" s="314"/>
      <c r="U1419" s="314"/>
      <c r="V1419" s="314"/>
      <c r="W1419" s="314"/>
      <c r="X1419" s="314"/>
      <c r="Y1419" s="314"/>
      <c r="Z1419" s="314"/>
    </row>
    <row r="1420" spans="2:26" s="147" customFormat="1" ht="14.15" customHeight="1" x14ac:dyDescent="0.35">
      <c r="B1420" s="146"/>
      <c r="E1420" s="314"/>
      <c r="F1420" s="314"/>
      <c r="G1420" s="314"/>
      <c r="H1420" s="314"/>
      <c r="I1420" s="314"/>
      <c r="J1420" s="314"/>
      <c r="K1420" s="314"/>
      <c r="L1420" s="314"/>
      <c r="M1420" s="314"/>
      <c r="N1420" s="314"/>
      <c r="O1420" s="314"/>
      <c r="P1420" s="314"/>
      <c r="Q1420" s="314"/>
      <c r="R1420" s="314"/>
      <c r="S1420" s="314"/>
      <c r="T1420" s="314"/>
      <c r="U1420" s="314"/>
      <c r="V1420" s="314"/>
      <c r="W1420" s="314"/>
      <c r="X1420" s="314"/>
      <c r="Y1420" s="314"/>
      <c r="Z1420" s="314"/>
    </row>
    <row r="1421" spans="2:26" s="147" customFormat="1" ht="14.15" customHeight="1" x14ac:dyDescent="0.35">
      <c r="B1421" s="146"/>
      <c r="E1421" s="314"/>
      <c r="F1421" s="314"/>
      <c r="G1421" s="314"/>
      <c r="H1421" s="314"/>
      <c r="I1421" s="314"/>
      <c r="J1421" s="314"/>
      <c r="K1421" s="314"/>
      <c r="L1421" s="314"/>
      <c r="M1421" s="314"/>
      <c r="N1421" s="314"/>
      <c r="O1421" s="314"/>
      <c r="P1421" s="314"/>
      <c r="Q1421" s="314"/>
      <c r="R1421" s="314"/>
      <c r="S1421" s="314"/>
      <c r="T1421" s="314"/>
      <c r="U1421" s="314"/>
      <c r="V1421" s="314"/>
      <c r="W1421" s="314"/>
      <c r="X1421" s="314"/>
      <c r="Y1421" s="314"/>
      <c r="Z1421" s="314"/>
    </row>
    <row r="1422" spans="2:26" s="147" customFormat="1" ht="14.15" customHeight="1" x14ac:dyDescent="0.35">
      <c r="B1422" s="146"/>
      <c r="E1422" s="314"/>
      <c r="F1422" s="314"/>
      <c r="G1422" s="314"/>
      <c r="H1422" s="314"/>
      <c r="I1422" s="314"/>
      <c r="J1422" s="314"/>
      <c r="K1422" s="314"/>
      <c r="L1422" s="314"/>
      <c r="M1422" s="314"/>
      <c r="N1422" s="314"/>
      <c r="O1422" s="314"/>
      <c r="P1422" s="314"/>
      <c r="Q1422" s="314"/>
      <c r="R1422" s="314"/>
      <c r="S1422" s="314"/>
      <c r="T1422" s="314"/>
      <c r="U1422" s="314"/>
      <c r="V1422" s="314"/>
      <c r="W1422" s="314"/>
      <c r="X1422" s="314"/>
      <c r="Y1422" s="314"/>
      <c r="Z1422" s="314"/>
    </row>
    <row r="1423" spans="2:26" s="147" customFormat="1" ht="14.15" customHeight="1" x14ac:dyDescent="0.35">
      <c r="B1423" s="146"/>
      <c r="E1423" s="314"/>
      <c r="F1423" s="314"/>
      <c r="G1423" s="314"/>
      <c r="H1423" s="314"/>
      <c r="I1423" s="314"/>
      <c r="J1423" s="314"/>
      <c r="K1423" s="314"/>
      <c r="L1423" s="314"/>
      <c r="M1423" s="314"/>
      <c r="N1423" s="314"/>
      <c r="O1423" s="314"/>
      <c r="P1423" s="314"/>
      <c r="Q1423" s="314"/>
      <c r="R1423" s="314"/>
      <c r="S1423" s="314"/>
      <c r="T1423" s="314"/>
      <c r="U1423" s="314"/>
      <c r="V1423" s="314"/>
      <c r="W1423" s="314"/>
      <c r="X1423" s="314"/>
      <c r="Y1423" s="314"/>
      <c r="Z1423" s="314"/>
    </row>
    <row r="1424" spans="2:26" s="147" customFormat="1" ht="14.15" customHeight="1" x14ac:dyDescent="0.35">
      <c r="B1424" s="146"/>
      <c r="E1424" s="314"/>
      <c r="F1424" s="314"/>
      <c r="G1424" s="314"/>
      <c r="H1424" s="314"/>
      <c r="I1424" s="314"/>
      <c r="J1424" s="314"/>
      <c r="K1424" s="314"/>
      <c r="L1424" s="314"/>
      <c r="M1424" s="314"/>
      <c r="N1424" s="314"/>
      <c r="O1424" s="314"/>
      <c r="P1424" s="314"/>
      <c r="Q1424" s="314"/>
      <c r="R1424" s="314"/>
      <c r="S1424" s="314"/>
      <c r="T1424" s="314"/>
      <c r="U1424" s="314"/>
      <c r="V1424" s="314"/>
      <c r="W1424" s="314"/>
      <c r="X1424" s="314"/>
      <c r="Y1424" s="314"/>
      <c r="Z1424" s="314"/>
    </row>
    <row r="1425" spans="2:26" s="147" customFormat="1" ht="14.15" customHeight="1" x14ac:dyDescent="0.35">
      <c r="B1425" s="146"/>
      <c r="E1425" s="314"/>
      <c r="F1425" s="314"/>
      <c r="G1425" s="314"/>
      <c r="H1425" s="314"/>
      <c r="I1425" s="314"/>
      <c r="J1425" s="314"/>
      <c r="K1425" s="314"/>
      <c r="L1425" s="314"/>
      <c r="M1425" s="314"/>
      <c r="N1425" s="314"/>
      <c r="O1425" s="314"/>
      <c r="P1425" s="314"/>
      <c r="Q1425" s="314"/>
      <c r="R1425" s="314"/>
      <c r="S1425" s="314"/>
      <c r="T1425" s="314"/>
      <c r="U1425" s="314"/>
      <c r="V1425" s="314"/>
      <c r="W1425" s="314"/>
      <c r="X1425" s="314"/>
      <c r="Y1425" s="314"/>
      <c r="Z1425" s="314"/>
    </row>
    <row r="1426" spans="2:26" s="147" customFormat="1" ht="14.15" customHeight="1" x14ac:dyDescent="0.35">
      <c r="B1426" s="146"/>
      <c r="E1426" s="314"/>
      <c r="F1426" s="314"/>
      <c r="G1426" s="314"/>
      <c r="H1426" s="314"/>
      <c r="I1426" s="314"/>
      <c r="J1426" s="314"/>
      <c r="K1426" s="314"/>
      <c r="L1426" s="314"/>
      <c r="M1426" s="314"/>
      <c r="N1426" s="314"/>
      <c r="O1426" s="314"/>
      <c r="P1426" s="314"/>
      <c r="Q1426" s="314"/>
      <c r="R1426" s="314"/>
      <c r="S1426" s="314"/>
      <c r="T1426" s="314"/>
      <c r="U1426" s="314"/>
      <c r="V1426" s="314"/>
      <c r="W1426" s="314"/>
      <c r="X1426" s="314"/>
      <c r="Y1426" s="314"/>
      <c r="Z1426" s="314"/>
    </row>
    <row r="1427" spans="2:26" s="147" customFormat="1" ht="14.15" customHeight="1" x14ac:dyDescent="0.35">
      <c r="B1427" s="146"/>
      <c r="E1427" s="314"/>
      <c r="F1427" s="314"/>
      <c r="G1427" s="314"/>
      <c r="H1427" s="314"/>
      <c r="I1427" s="314"/>
      <c r="J1427" s="314"/>
      <c r="K1427" s="314"/>
      <c r="L1427" s="314"/>
      <c r="M1427" s="314"/>
      <c r="N1427" s="314"/>
      <c r="O1427" s="314"/>
      <c r="P1427" s="314"/>
      <c r="Q1427" s="314"/>
      <c r="R1427" s="314"/>
      <c r="S1427" s="314"/>
      <c r="T1427" s="314"/>
      <c r="U1427" s="314"/>
      <c r="V1427" s="314"/>
      <c r="W1427" s="314"/>
      <c r="X1427" s="314"/>
      <c r="Y1427" s="314"/>
      <c r="Z1427" s="314"/>
    </row>
    <row r="1428" spans="2:26" s="147" customFormat="1" ht="14.15" customHeight="1" x14ac:dyDescent="0.35">
      <c r="B1428" s="146"/>
      <c r="E1428" s="314"/>
      <c r="F1428" s="314"/>
      <c r="G1428" s="314"/>
      <c r="H1428" s="314"/>
      <c r="I1428" s="314"/>
      <c r="J1428" s="314"/>
      <c r="K1428" s="314"/>
      <c r="L1428" s="314"/>
      <c r="M1428" s="314"/>
      <c r="N1428" s="314"/>
      <c r="O1428" s="314"/>
      <c r="P1428" s="314"/>
      <c r="Q1428" s="314"/>
      <c r="R1428" s="314"/>
      <c r="S1428" s="314"/>
      <c r="T1428" s="314"/>
      <c r="U1428" s="314"/>
      <c r="V1428" s="314"/>
      <c r="W1428" s="314"/>
      <c r="X1428" s="314"/>
      <c r="Y1428" s="314"/>
      <c r="Z1428" s="314"/>
    </row>
    <row r="1429" spans="2:26" s="147" customFormat="1" ht="14.15" customHeight="1" x14ac:dyDescent="0.35">
      <c r="B1429" s="146"/>
      <c r="E1429" s="314"/>
      <c r="F1429" s="314"/>
      <c r="G1429" s="314"/>
      <c r="H1429" s="314"/>
      <c r="I1429" s="314"/>
      <c r="J1429" s="314"/>
      <c r="K1429" s="314"/>
      <c r="L1429" s="314"/>
      <c r="M1429" s="314"/>
      <c r="N1429" s="314"/>
      <c r="O1429" s="314"/>
      <c r="P1429" s="314"/>
      <c r="Q1429" s="314"/>
      <c r="R1429" s="314"/>
      <c r="S1429" s="314"/>
      <c r="T1429" s="314"/>
      <c r="U1429" s="314"/>
      <c r="V1429" s="314"/>
      <c r="W1429" s="314"/>
      <c r="X1429" s="314"/>
      <c r="Y1429" s="314"/>
      <c r="Z1429" s="314"/>
    </row>
    <row r="1430" spans="2:26" s="147" customFormat="1" ht="14.15" customHeight="1" x14ac:dyDescent="0.35">
      <c r="B1430" s="146"/>
      <c r="E1430" s="314"/>
      <c r="F1430" s="314"/>
      <c r="G1430" s="314"/>
      <c r="H1430" s="314"/>
      <c r="I1430" s="314"/>
      <c r="J1430" s="314"/>
      <c r="K1430" s="314"/>
      <c r="L1430" s="314"/>
      <c r="M1430" s="314"/>
      <c r="N1430" s="314"/>
      <c r="O1430" s="314"/>
      <c r="P1430" s="314"/>
      <c r="Q1430" s="314"/>
      <c r="R1430" s="314"/>
      <c r="S1430" s="314"/>
      <c r="T1430" s="314"/>
      <c r="U1430" s="314"/>
      <c r="V1430" s="314"/>
      <c r="W1430" s="314"/>
      <c r="X1430" s="314"/>
      <c r="Y1430" s="314"/>
      <c r="Z1430" s="314"/>
    </row>
    <row r="1431" spans="2:26" s="147" customFormat="1" ht="14.15" customHeight="1" x14ac:dyDescent="0.35">
      <c r="B1431" s="146"/>
      <c r="E1431" s="314"/>
      <c r="F1431" s="314"/>
      <c r="G1431" s="314"/>
      <c r="H1431" s="314"/>
      <c r="I1431" s="314"/>
      <c r="J1431" s="314"/>
      <c r="K1431" s="314"/>
      <c r="L1431" s="314"/>
      <c r="M1431" s="314"/>
      <c r="N1431" s="314"/>
      <c r="O1431" s="314"/>
      <c r="P1431" s="314"/>
      <c r="Q1431" s="314"/>
      <c r="R1431" s="314"/>
      <c r="S1431" s="314"/>
      <c r="T1431" s="314"/>
      <c r="U1431" s="314"/>
      <c r="V1431" s="314"/>
      <c r="W1431" s="314"/>
      <c r="X1431" s="314"/>
      <c r="Y1431" s="314"/>
      <c r="Z1431" s="314"/>
    </row>
    <row r="1432" spans="2:26" s="147" customFormat="1" ht="14.15" customHeight="1" x14ac:dyDescent="0.35">
      <c r="B1432" s="146"/>
      <c r="E1432" s="314"/>
      <c r="F1432" s="314"/>
      <c r="G1432" s="314"/>
      <c r="H1432" s="314"/>
      <c r="I1432" s="314"/>
      <c r="J1432" s="314"/>
      <c r="K1432" s="314"/>
      <c r="L1432" s="314"/>
      <c r="M1432" s="314"/>
      <c r="N1432" s="314"/>
      <c r="O1432" s="314"/>
      <c r="P1432" s="314"/>
      <c r="Q1432" s="314"/>
      <c r="R1432" s="314"/>
      <c r="S1432" s="314"/>
      <c r="T1432" s="314"/>
      <c r="U1432" s="314"/>
      <c r="V1432" s="314"/>
      <c r="W1432" s="314"/>
      <c r="X1432" s="314"/>
      <c r="Y1432" s="314"/>
      <c r="Z1432" s="314"/>
    </row>
    <row r="1433" spans="2:26" s="147" customFormat="1" ht="14.15" customHeight="1" x14ac:dyDescent="0.35">
      <c r="B1433" s="146"/>
      <c r="E1433" s="314"/>
      <c r="F1433" s="314"/>
      <c r="G1433" s="314"/>
      <c r="H1433" s="314"/>
      <c r="I1433" s="314"/>
      <c r="J1433" s="314"/>
      <c r="K1433" s="314"/>
      <c r="L1433" s="314"/>
      <c r="M1433" s="314"/>
      <c r="N1433" s="314"/>
      <c r="O1433" s="314"/>
      <c r="P1433" s="314"/>
      <c r="Q1433" s="314"/>
      <c r="R1433" s="314"/>
      <c r="S1433" s="314"/>
      <c r="T1433" s="314"/>
      <c r="U1433" s="314"/>
      <c r="V1433" s="314"/>
      <c r="W1433" s="314"/>
      <c r="X1433" s="314"/>
      <c r="Y1433" s="314"/>
      <c r="Z1433" s="314"/>
    </row>
    <row r="1434" spans="2:26" s="147" customFormat="1" ht="14.15" customHeight="1" x14ac:dyDescent="0.35">
      <c r="B1434" s="146"/>
      <c r="E1434" s="314"/>
      <c r="F1434" s="314"/>
      <c r="G1434" s="314"/>
      <c r="H1434" s="314"/>
      <c r="I1434" s="314"/>
      <c r="J1434" s="314"/>
      <c r="K1434" s="314"/>
      <c r="L1434" s="314"/>
      <c r="M1434" s="314"/>
      <c r="N1434" s="314"/>
      <c r="O1434" s="314"/>
      <c r="P1434" s="314"/>
      <c r="Q1434" s="314"/>
      <c r="R1434" s="314"/>
      <c r="S1434" s="314"/>
      <c r="T1434" s="314"/>
      <c r="U1434" s="314"/>
      <c r="V1434" s="314"/>
      <c r="W1434" s="314"/>
      <c r="X1434" s="314"/>
      <c r="Y1434" s="314"/>
      <c r="Z1434" s="314"/>
    </row>
    <row r="1435" spans="2:26" s="147" customFormat="1" ht="14.15" customHeight="1" x14ac:dyDescent="0.35">
      <c r="B1435" s="146"/>
      <c r="E1435" s="314"/>
      <c r="F1435" s="314"/>
      <c r="G1435" s="314"/>
      <c r="H1435" s="314"/>
      <c r="I1435" s="314"/>
      <c r="J1435" s="314"/>
      <c r="K1435" s="314"/>
      <c r="L1435" s="314"/>
      <c r="M1435" s="314"/>
      <c r="N1435" s="314"/>
      <c r="O1435" s="314"/>
      <c r="P1435" s="314"/>
      <c r="Q1435" s="314"/>
      <c r="R1435" s="314"/>
      <c r="S1435" s="314"/>
      <c r="T1435" s="314"/>
      <c r="U1435" s="314"/>
      <c r="V1435" s="314"/>
      <c r="W1435" s="314"/>
      <c r="X1435" s="314"/>
      <c r="Y1435" s="314"/>
      <c r="Z1435" s="314"/>
    </row>
    <row r="1436" spans="2:26" s="147" customFormat="1" ht="14.15" customHeight="1" x14ac:dyDescent="0.35">
      <c r="B1436" s="146"/>
      <c r="E1436" s="314"/>
      <c r="F1436" s="314"/>
      <c r="G1436" s="314"/>
      <c r="H1436" s="314"/>
      <c r="I1436" s="314"/>
      <c r="J1436" s="314"/>
      <c r="K1436" s="314"/>
      <c r="L1436" s="314"/>
      <c r="M1436" s="314"/>
      <c r="N1436" s="314"/>
      <c r="O1436" s="314"/>
      <c r="P1436" s="314"/>
      <c r="Q1436" s="314"/>
      <c r="R1436" s="314"/>
      <c r="S1436" s="314"/>
      <c r="T1436" s="314"/>
      <c r="U1436" s="314"/>
      <c r="V1436" s="314"/>
      <c r="W1436" s="314"/>
      <c r="X1436" s="314"/>
      <c r="Y1436" s="314"/>
      <c r="Z1436" s="314"/>
    </row>
    <row r="1437" spans="2:26" s="147" customFormat="1" ht="14.15" customHeight="1" x14ac:dyDescent="0.35">
      <c r="B1437" s="146"/>
      <c r="E1437" s="314"/>
      <c r="F1437" s="314"/>
      <c r="G1437" s="314"/>
      <c r="H1437" s="314"/>
      <c r="I1437" s="314"/>
      <c r="J1437" s="314"/>
      <c r="K1437" s="314"/>
      <c r="L1437" s="314"/>
      <c r="M1437" s="314"/>
      <c r="N1437" s="314"/>
      <c r="O1437" s="314"/>
      <c r="P1437" s="314"/>
      <c r="Q1437" s="314"/>
      <c r="R1437" s="314"/>
      <c r="S1437" s="314"/>
      <c r="T1437" s="314"/>
      <c r="U1437" s="314"/>
      <c r="V1437" s="314"/>
      <c r="W1437" s="314"/>
      <c r="X1437" s="314"/>
      <c r="Y1437" s="314"/>
      <c r="Z1437" s="314"/>
    </row>
    <row r="1438" spans="2:26" s="147" customFormat="1" ht="14.15" customHeight="1" x14ac:dyDescent="0.35">
      <c r="B1438" s="146"/>
      <c r="E1438" s="314"/>
      <c r="F1438" s="314"/>
      <c r="G1438" s="314"/>
      <c r="H1438" s="314"/>
      <c r="I1438" s="314"/>
      <c r="J1438" s="314"/>
      <c r="K1438" s="314"/>
      <c r="L1438" s="314"/>
      <c r="M1438" s="314"/>
      <c r="N1438" s="314"/>
      <c r="O1438" s="314"/>
      <c r="P1438" s="314"/>
      <c r="Q1438" s="314"/>
      <c r="R1438" s="314"/>
      <c r="S1438" s="314"/>
      <c r="T1438" s="314"/>
      <c r="U1438" s="314"/>
      <c r="V1438" s="314"/>
      <c r="W1438" s="314"/>
      <c r="X1438" s="314"/>
      <c r="Y1438" s="314"/>
      <c r="Z1438" s="314"/>
    </row>
    <row r="1439" spans="2:26" s="147" customFormat="1" ht="14.15" customHeight="1" x14ac:dyDescent="0.35">
      <c r="B1439" s="146"/>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row>
    <row r="1440" spans="2:26" s="147" customFormat="1" ht="14.15" customHeight="1" x14ac:dyDescent="0.35">
      <c r="B1440" s="146"/>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row>
    <row r="1441" spans="2:26" s="147" customFormat="1" ht="14.15" customHeight="1" x14ac:dyDescent="0.35">
      <c r="B1441" s="146"/>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row>
    <row r="1442" spans="2:26" s="147" customFormat="1" ht="14.15" customHeight="1" x14ac:dyDescent="0.35">
      <c r="B1442" s="146"/>
      <c r="E1442" s="314"/>
      <c r="F1442" s="314"/>
      <c r="G1442" s="314"/>
      <c r="H1442" s="314"/>
      <c r="I1442" s="314"/>
      <c r="J1442" s="314"/>
      <c r="K1442" s="314"/>
      <c r="L1442" s="314"/>
      <c r="M1442" s="314"/>
      <c r="N1442" s="314"/>
      <c r="O1442" s="314"/>
      <c r="P1442" s="314"/>
      <c r="Q1442" s="314"/>
      <c r="R1442" s="314"/>
      <c r="S1442" s="314"/>
      <c r="T1442" s="314"/>
      <c r="U1442" s="314"/>
      <c r="V1442" s="314"/>
      <c r="W1442" s="314"/>
      <c r="X1442" s="314"/>
      <c r="Y1442" s="314"/>
      <c r="Z1442" s="314"/>
    </row>
    <row r="1443" spans="2:26" s="147" customFormat="1" ht="14.15" customHeight="1" x14ac:dyDescent="0.35">
      <c r="B1443" s="146"/>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row>
    <row r="1444" spans="2:26" s="147" customFormat="1" ht="14.15" customHeight="1" x14ac:dyDescent="0.35">
      <c r="B1444" s="146"/>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4"/>
      <c r="Z1444" s="314"/>
    </row>
    <row r="1445" spans="2:26" s="147" customFormat="1" ht="14.15" customHeight="1" x14ac:dyDescent="0.35">
      <c r="B1445" s="146"/>
      <c r="E1445" s="314"/>
      <c r="F1445" s="314"/>
      <c r="G1445" s="314"/>
      <c r="H1445" s="314"/>
      <c r="I1445" s="314"/>
      <c r="J1445" s="314"/>
      <c r="K1445" s="314"/>
      <c r="L1445" s="314"/>
      <c r="M1445" s="314"/>
      <c r="N1445" s="314"/>
      <c r="O1445" s="314"/>
      <c r="P1445" s="314"/>
      <c r="Q1445" s="314"/>
      <c r="R1445" s="314"/>
      <c r="S1445" s="314"/>
      <c r="T1445" s="314"/>
      <c r="U1445" s="314"/>
      <c r="V1445" s="314"/>
      <c r="W1445" s="314"/>
      <c r="X1445" s="314"/>
      <c r="Y1445" s="314"/>
      <c r="Z1445" s="314"/>
    </row>
    <row r="1446" spans="2:26" s="147" customFormat="1" ht="14.15" customHeight="1" x14ac:dyDescent="0.35">
      <c r="B1446" s="146"/>
      <c r="E1446" s="314"/>
      <c r="F1446" s="314"/>
      <c r="G1446" s="314"/>
      <c r="H1446" s="314"/>
      <c r="I1446" s="314"/>
      <c r="J1446" s="314"/>
      <c r="K1446" s="314"/>
      <c r="L1446" s="314"/>
      <c r="M1446" s="314"/>
      <c r="N1446" s="314"/>
      <c r="O1446" s="314"/>
      <c r="P1446" s="314"/>
      <c r="Q1446" s="314"/>
      <c r="R1446" s="314"/>
      <c r="S1446" s="314"/>
      <c r="T1446" s="314"/>
      <c r="U1446" s="314"/>
      <c r="V1446" s="314"/>
      <c r="W1446" s="314"/>
      <c r="X1446" s="314"/>
      <c r="Y1446" s="314"/>
      <c r="Z1446" s="314"/>
    </row>
    <row r="1447" spans="2:26" s="147" customFormat="1" ht="14.15" customHeight="1" x14ac:dyDescent="0.35">
      <c r="B1447" s="146"/>
      <c r="E1447" s="314"/>
      <c r="F1447" s="314"/>
      <c r="G1447" s="314"/>
      <c r="H1447" s="314"/>
      <c r="I1447" s="314"/>
      <c r="J1447" s="314"/>
      <c r="K1447" s="314"/>
      <c r="L1447" s="314"/>
      <c r="M1447" s="314"/>
      <c r="N1447" s="314"/>
      <c r="O1447" s="314"/>
      <c r="P1447" s="314"/>
      <c r="Q1447" s="314"/>
      <c r="R1447" s="314"/>
      <c r="S1447" s="314"/>
      <c r="T1447" s="314"/>
      <c r="U1447" s="314"/>
      <c r="V1447" s="314"/>
      <c r="W1447" s="314"/>
      <c r="X1447" s="314"/>
      <c r="Y1447" s="314"/>
      <c r="Z1447" s="314"/>
    </row>
    <row r="1448" spans="2:26" s="147" customFormat="1" ht="14.15" customHeight="1" x14ac:dyDescent="0.35">
      <c r="B1448" s="146"/>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row>
    <row r="1449" spans="2:26" s="147" customFormat="1" ht="14.15" customHeight="1" x14ac:dyDescent="0.35">
      <c r="B1449" s="146"/>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row>
    <row r="1450" spans="2:26" s="147" customFormat="1" ht="14.15" customHeight="1" x14ac:dyDescent="0.35">
      <c r="B1450" s="146"/>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row>
    <row r="1451" spans="2:26" s="147" customFormat="1" ht="14.15" customHeight="1" x14ac:dyDescent="0.35">
      <c r="B1451" s="146"/>
      <c r="E1451" s="314"/>
      <c r="F1451" s="314"/>
      <c r="G1451" s="314"/>
      <c r="H1451" s="314"/>
      <c r="I1451" s="314"/>
      <c r="J1451" s="314"/>
      <c r="K1451" s="314"/>
      <c r="L1451" s="314"/>
      <c r="M1451" s="314"/>
      <c r="N1451" s="314"/>
      <c r="O1451" s="314"/>
      <c r="P1451" s="314"/>
      <c r="Q1451" s="314"/>
      <c r="R1451" s="314"/>
      <c r="S1451" s="314"/>
      <c r="T1451" s="314"/>
      <c r="U1451" s="314"/>
      <c r="V1451" s="314"/>
      <c r="W1451" s="314"/>
      <c r="X1451" s="314"/>
      <c r="Y1451" s="314"/>
      <c r="Z1451" s="314"/>
    </row>
    <row r="1452" spans="2:26" s="147" customFormat="1" ht="14.15" customHeight="1" x14ac:dyDescent="0.35">
      <c r="B1452" s="146"/>
      <c r="E1452" s="314"/>
      <c r="F1452" s="314"/>
      <c r="G1452" s="314"/>
      <c r="H1452" s="314"/>
      <c r="I1452" s="314"/>
      <c r="J1452" s="314"/>
      <c r="K1452" s="314"/>
      <c r="L1452" s="314"/>
      <c r="M1452" s="314"/>
      <c r="N1452" s="314"/>
      <c r="O1452" s="314"/>
      <c r="P1452" s="314"/>
      <c r="Q1452" s="314"/>
      <c r="R1452" s="314"/>
      <c r="S1452" s="314"/>
      <c r="T1452" s="314"/>
      <c r="U1452" s="314"/>
      <c r="V1452" s="314"/>
      <c r="W1452" s="314"/>
      <c r="X1452" s="314"/>
      <c r="Y1452" s="314"/>
      <c r="Z1452" s="314"/>
    </row>
    <row r="1453" spans="2:26" s="147" customFormat="1" ht="14.15" customHeight="1" x14ac:dyDescent="0.35">
      <c r="B1453" s="146"/>
      <c r="E1453" s="314"/>
      <c r="F1453" s="314"/>
      <c r="G1453" s="314"/>
      <c r="H1453" s="314"/>
      <c r="I1453" s="314"/>
      <c r="J1453" s="314"/>
      <c r="K1453" s="314"/>
      <c r="L1453" s="314"/>
      <c r="M1453" s="314"/>
      <c r="N1453" s="314"/>
      <c r="O1453" s="314"/>
      <c r="P1453" s="314"/>
      <c r="Q1453" s="314"/>
      <c r="R1453" s="314"/>
      <c r="S1453" s="314"/>
      <c r="T1453" s="314"/>
      <c r="U1453" s="314"/>
      <c r="V1453" s="314"/>
      <c r="W1453" s="314"/>
      <c r="X1453" s="314"/>
      <c r="Y1453" s="314"/>
      <c r="Z1453" s="314"/>
    </row>
    <row r="1454" spans="2:26" s="147" customFormat="1" ht="14.15" customHeight="1" x14ac:dyDescent="0.35">
      <c r="B1454" s="146"/>
      <c r="E1454" s="314"/>
      <c r="F1454" s="314"/>
      <c r="G1454" s="314"/>
      <c r="H1454" s="314"/>
      <c r="I1454" s="314"/>
      <c r="J1454" s="314"/>
      <c r="K1454" s="314"/>
      <c r="L1454" s="314"/>
      <c r="M1454" s="314"/>
      <c r="N1454" s="314"/>
      <c r="O1454" s="314"/>
      <c r="P1454" s="314"/>
      <c r="Q1454" s="314"/>
      <c r="R1454" s="314"/>
      <c r="S1454" s="314"/>
      <c r="T1454" s="314"/>
      <c r="U1454" s="314"/>
      <c r="V1454" s="314"/>
      <c r="W1454" s="314"/>
      <c r="X1454" s="314"/>
      <c r="Y1454" s="314"/>
      <c r="Z1454" s="314"/>
    </row>
    <row r="1455" spans="2:26" s="147" customFormat="1" ht="14.15" customHeight="1" x14ac:dyDescent="0.35">
      <c r="B1455" s="146"/>
      <c r="E1455" s="314"/>
      <c r="F1455" s="314"/>
      <c r="G1455" s="314"/>
      <c r="H1455" s="314"/>
      <c r="I1455" s="314"/>
      <c r="J1455" s="314"/>
      <c r="K1455" s="314"/>
      <c r="L1455" s="314"/>
      <c r="M1455" s="314"/>
      <c r="N1455" s="314"/>
      <c r="O1455" s="314"/>
      <c r="P1455" s="314"/>
      <c r="Q1455" s="314"/>
      <c r="R1455" s="314"/>
      <c r="S1455" s="314"/>
      <c r="T1455" s="314"/>
      <c r="U1455" s="314"/>
      <c r="V1455" s="314"/>
      <c r="W1455" s="314"/>
      <c r="X1455" s="314"/>
      <c r="Y1455" s="314"/>
      <c r="Z1455" s="314"/>
    </row>
    <row r="1456" spans="2:26" s="147" customFormat="1" ht="14.15" customHeight="1" x14ac:dyDescent="0.35">
      <c r="B1456" s="146"/>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row>
    <row r="1457" spans="2:26" s="147" customFormat="1" ht="14.15" customHeight="1" x14ac:dyDescent="0.35">
      <c r="B1457" s="146"/>
      <c r="E1457" s="314"/>
      <c r="F1457" s="314"/>
      <c r="G1457" s="314"/>
      <c r="H1457" s="314"/>
      <c r="I1457" s="314"/>
      <c r="J1457" s="314"/>
      <c r="K1457" s="314"/>
      <c r="L1457" s="314"/>
      <c r="M1457" s="314"/>
      <c r="N1457" s="314"/>
      <c r="O1457" s="314"/>
      <c r="P1457" s="314"/>
      <c r="Q1457" s="314"/>
      <c r="R1457" s="314"/>
      <c r="S1457" s="314"/>
      <c r="T1457" s="314"/>
      <c r="U1457" s="314"/>
      <c r="V1457" s="314"/>
      <c r="W1457" s="314"/>
      <c r="X1457" s="314"/>
      <c r="Y1457" s="314"/>
      <c r="Z1457" s="314"/>
    </row>
    <row r="1458" spans="2:26" s="147" customFormat="1" ht="14.15" customHeight="1" x14ac:dyDescent="0.35">
      <c r="B1458" s="146"/>
      <c r="E1458" s="314"/>
      <c r="F1458" s="314"/>
      <c r="G1458" s="314"/>
      <c r="H1458" s="314"/>
      <c r="I1458" s="314"/>
      <c r="J1458" s="314"/>
      <c r="K1458" s="314"/>
      <c r="L1458" s="314"/>
      <c r="M1458" s="314"/>
      <c r="N1458" s="314"/>
      <c r="O1458" s="314"/>
      <c r="P1458" s="314"/>
      <c r="Q1458" s="314"/>
      <c r="R1458" s="314"/>
      <c r="S1458" s="314"/>
      <c r="T1458" s="314"/>
      <c r="U1458" s="314"/>
      <c r="V1458" s="314"/>
      <c r="W1458" s="314"/>
      <c r="X1458" s="314"/>
      <c r="Y1458" s="314"/>
      <c r="Z1458" s="314"/>
    </row>
    <row r="1459" spans="2:26" s="147" customFormat="1" ht="14.15" customHeight="1" x14ac:dyDescent="0.35">
      <c r="B1459" s="146"/>
      <c r="E1459" s="314"/>
      <c r="F1459" s="314"/>
      <c r="G1459" s="314"/>
      <c r="H1459" s="314"/>
      <c r="I1459" s="314"/>
      <c r="J1459" s="314"/>
      <c r="K1459" s="314"/>
      <c r="L1459" s="314"/>
      <c r="M1459" s="314"/>
      <c r="N1459" s="314"/>
      <c r="O1459" s="314"/>
      <c r="P1459" s="314"/>
      <c r="Q1459" s="314"/>
      <c r="R1459" s="314"/>
      <c r="S1459" s="314"/>
      <c r="T1459" s="314"/>
      <c r="U1459" s="314"/>
      <c r="V1459" s="314"/>
      <c r="W1459" s="314"/>
      <c r="X1459" s="314"/>
      <c r="Y1459" s="314"/>
      <c r="Z1459" s="314"/>
    </row>
    <row r="1460" spans="2:26" s="147" customFormat="1" ht="14.15" customHeight="1" x14ac:dyDescent="0.35">
      <c r="B1460" s="146"/>
      <c r="E1460" s="314"/>
      <c r="F1460" s="314"/>
      <c r="G1460" s="314"/>
      <c r="H1460" s="314"/>
      <c r="I1460" s="314"/>
      <c r="J1460" s="314"/>
      <c r="K1460" s="314"/>
      <c r="L1460" s="314"/>
      <c r="M1460" s="314"/>
      <c r="N1460" s="314"/>
      <c r="O1460" s="314"/>
      <c r="P1460" s="314"/>
      <c r="Q1460" s="314"/>
      <c r="R1460" s="314"/>
      <c r="S1460" s="314"/>
      <c r="T1460" s="314"/>
      <c r="U1460" s="314"/>
      <c r="V1460" s="314"/>
      <c r="W1460" s="314"/>
      <c r="X1460" s="314"/>
      <c r="Y1460" s="314"/>
      <c r="Z1460" s="314"/>
    </row>
    <row r="1461" spans="2:26" s="147" customFormat="1" ht="14.15" customHeight="1" x14ac:dyDescent="0.35">
      <c r="B1461" s="146"/>
      <c r="E1461" s="314"/>
      <c r="F1461" s="314"/>
      <c r="G1461" s="314"/>
      <c r="H1461" s="314"/>
      <c r="I1461" s="314"/>
      <c r="J1461" s="314"/>
      <c r="K1461" s="314"/>
      <c r="L1461" s="314"/>
      <c r="M1461" s="314"/>
      <c r="N1461" s="314"/>
      <c r="O1461" s="314"/>
      <c r="P1461" s="314"/>
      <c r="Q1461" s="314"/>
      <c r="R1461" s="314"/>
      <c r="S1461" s="314"/>
      <c r="T1461" s="314"/>
      <c r="U1461" s="314"/>
      <c r="V1461" s="314"/>
      <c r="W1461" s="314"/>
      <c r="X1461" s="314"/>
      <c r="Y1461" s="314"/>
      <c r="Z1461" s="314"/>
    </row>
    <row r="1462" spans="2:26" s="147" customFormat="1" ht="14.15" customHeight="1" x14ac:dyDescent="0.35">
      <c r="B1462" s="146"/>
      <c r="E1462" s="314"/>
      <c r="F1462" s="314"/>
      <c r="G1462" s="314"/>
      <c r="H1462" s="314"/>
      <c r="I1462" s="314"/>
      <c r="J1462" s="314"/>
      <c r="K1462" s="314"/>
      <c r="L1462" s="314"/>
      <c r="M1462" s="314"/>
      <c r="N1462" s="314"/>
      <c r="O1462" s="314"/>
      <c r="P1462" s="314"/>
      <c r="Q1462" s="314"/>
      <c r="R1462" s="314"/>
      <c r="S1462" s="314"/>
      <c r="T1462" s="314"/>
      <c r="U1462" s="314"/>
      <c r="V1462" s="314"/>
      <c r="W1462" s="314"/>
      <c r="X1462" s="314"/>
      <c r="Y1462" s="314"/>
      <c r="Z1462" s="314"/>
    </row>
    <row r="1463" spans="2:26" s="147" customFormat="1" ht="14.15" customHeight="1" x14ac:dyDescent="0.35">
      <c r="B1463" s="146"/>
      <c r="E1463" s="314"/>
      <c r="F1463" s="314"/>
      <c r="G1463" s="314"/>
      <c r="H1463" s="314"/>
      <c r="I1463" s="314"/>
      <c r="J1463" s="314"/>
      <c r="K1463" s="314"/>
      <c r="L1463" s="314"/>
      <c r="M1463" s="314"/>
      <c r="N1463" s="314"/>
      <c r="O1463" s="314"/>
      <c r="P1463" s="314"/>
      <c r="Q1463" s="314"/>
      <c r="R1463" s="314"/>
      <c r="S1463" s="314"/>
      <c r="T1463" s="314"/>
      <c r="U1463" s="314"/>
      <c r="V1463" s="314"/>
      <c r="W1463" s="314"/>
      <c r="X1463" s="314"/>
      <c r="Y1463" s="314"/>
      <c r="Z1463" s="314"/>
    </row>
    <row r="1464" spans="2:26" s="147" customFormat="1" ht="14.15" customHeight="1" x14ac:dyDescent="0.35">
      <c r="B1464" s="146"/>
      <c r="E1464" s="314"/>
      <c r="F1464" s="314"/>
      <c r="G1464" s="314"/>
      <c r="H1464" s="314"/>
      <c r="I1464" s="314"/>
      <c r="J1464" s="314"/>
      <c r="K1464" s="314"/>
      <c r="L1464" s="314"/>
      <c r="M1464" s="314"/>
      <c r="N1464" s="314"/>
      <c r="O1464" s="314"/>
      <c r="P1464" s="314"/>
      <c r="Q1464" s="314"/>
      <c r="R1464" s="314"/>
      <c r="S1464" s="314"/>
      <c r="T1464" s="314"/>
      <c r="U1464" s="314"/>
      <c r="V1464" s="314"/>
      <c r="W1464" s="314"/>
      <c r="X1464" s="314"/>
      <c r="Y1464" s="314"/>
      <c r="Z1464" s="314"/>
    </row>
    <row r="1465" spans="2:26" s="147" customFormat="1" ht="14.15" customHeight="1" x14ac:dyDescent="0.35">
      <c r="B1465" s="146"/>
      <c r="E1465" s="314"/>
      <c r="F1465" s="314"/>
      <c r="G1465" s="314"/>
      <c r="H1465" s="314"/>
      <c r="I1465" s="314"/>
      <c r="J1465" s="314"/>
      <c r="K1465" s="314"/>
      <c r="L1465" s="314"/>
      <c r="M1465" s="314"/>
      <c r="N1465" s="314"/>
      <c r="O1465" s="314"/>
      <c r="P1465" s="314"/>
      <c r="Q1465" s="314"/>
      <c r="R1465" s="314"/>
      <c r="S1465" s="314"/>
      <c r="T1465" s="314"/>
      <c r="U1465" s="314"/>
      <c r="V1465" s="314"/>
      <c r="W1465" s="314"/>
      <c r="X1465" s="314"/>
      <c r="Y1465" s="314"/>
      <c r="Z1465" s="314"/>
    </row>
    <row r="1466" spans="2:26" s="147" customFormat="1" ht="14.15" customHeight="1" x14ac:dyDescent="0.35">
      <c r="B1466" s="146"/>
      <c r="E1466" s="314"/>
      <c r="F1466" s="314"/>
      <c r="G1466" s="314"/>
      <c r="H1466" s="314"/>
      <c r="I1466" s="314"/>
      <c r="J1466" s="314"/>
      <c r="K1466" s="314"/>
      <c r="L1466" s="314"/>
      <c r="M1466" s="314"/>
      <c r="N1466" s="314"/>
      <c r="O1466" s="314"/>
      <c r="P1466" s="314"/>
      <c r="Q1466" s="314"/>
      <c r="R1466" s="314"/>
      <c r="S1466" s="314"/>
      <c r="T1466" s="314"/>
      <c r="U1466" s="314"/>
      <c r="V1466" s="314"/>
      <c r="W1466" s="314"/>
      <c r="X1466" s="314"/>
      <c r="Y1466" s="314"/>
      <c r="Z1466" s="314"/>
    </row>
    <row r="1467" spans="2:26" s="147" customFormat="1" ht="14.15" customHeight="1" x14ac:dyDescent="0.35">
      <c r="B1467" s="146"/>
      <c r="E1467" s="314"/>
      <c r="F1467" s="314"/>
      <c r="G1467" s="314"/>
      <c r="H1467" s="314"/>
      <c r="I1467" s="314"/>
      <c r="J1467" s="314"/>
      <c r="K1467" s="314"/>
      <c r="L1467" s="314"/>
      <c r="M1467" s="314"/>
      <c r="N1467" s="314"/>
      <c r="O1467" s="314"/>
      <c r="P1467" s="314"/>
      <c r="Q1467" s="314"/>
      <c r="R1467" s="314"/>
      <c r="S1467" s="314"/>
      <c r="T1467" s="314"/>
      <c r="U1467" s="314"/>
      <c r="V1467" s="314"/>
      <c r="W1467" s="314"/>
      <c r="X1467" s="314"/>
      <c r="Y1467" s="314"/>
      <c r="Z1467" s="314"/>
    </row>
    <row r="1468" spans="2:26" s="147" customFormat="1" ht="14.15" customHeight="1" x14ac:dyDescent="0.35">
      <c r="B1468" s="146"/>
      <c r="E1468" s="314"/>
      <c r="F1468" s="314"/>
      <c r="G1468" s="314"/>
      <c r="H1468" s="314"/>
      <c r="I1468" s="314"/>
      <c r="J1468" s="314"/>
      <c r="K1468" s="314"/>
      <c r="L1468" s="314"/>
      <c r="M1468" s="314"/>
      <c r="N1468" s="314"/>
      <c r="O1468" s="314"/>
      <c r="P1468" s="314"/>
      <c r="Q1468" s="314"/>
      <c r="R1468" s="314"/>
      <c r="S1468" s="314"/>
      <c r="T1468" s="314"/>
      <c r="U1468" s="314"/>
      <c r="V1468" s="314"/>
      <c r="W1468" s="314"/>
      <c r="X1468" s="314"/>
      <c r="Y1468" s="314"/>
      <c r="Z1468" s="314"/>
    </row>
    <row r="1469" spans="2:26" s="147" customFormat="1" ht="14.15" customHeight="1" x14ac:dyDescent="0.35">
      <c r="B1469" s="146"/>
      <c r="E1469" s="314"/>
      <c r="F1469" s="314"/>
      <c r="G1469" s="314"/>
      <c r="H1469" s="314"/>
      <c r="I1469" s="314"/>
      <c r="J1469" s="314"/>
      <c r="K1469" s="314"/>
      <c r="L1469" s="314"/>
      <c r="M1469" s="314"/>
      <c r="N1469" s="314"/>
      <c r="O1469" s="314"/>
      <c r="P1469" s="314"/>
      <c r="Q1469" s="314"/>
      <c r="R1469" s="314"/>
      <c r="S1469" s="314"/>
      <c r="T1469" s="314"/>
      <c r="U1469" s="314"/>
      <c r="V1469" s="314"/>
      <c r="W1469" s="314"/>
      <c r="X1469" s="314"/>
      <c r="Y1469" s="314"/>
      <c r="Z1469" s="314"/>
    </row>
    <row r="1470" spans="2:26" s="147" customFormat="1" ht="14.15" customHeight="1" x14ac:dyDescent="0.35">
      <c r="B1470" s="146"/>
      <c r="E1470" s="314"/>
      <c r="F1470" s="314"/>
      <c r="G1470" s="314"/>
      <c r="H1470" s="314"/>
      <c r="I1470" s="314"/>
      <c r="J1470" s="314"/>
      <c r="K1470" s="314"/>
      <c r="L1470" s="314"/>
      <c r="M1470" s="314"/>
      <c r="N1470" s="314"/>
      <c r="O1470" s="314"/>
      <c r="P1470" s="314"/>
      <c r="Q1470" s="314"/>
      <c r="R1470" s="314"/>
      <c r="S1470" s="314"/>
      <c r="T1470" s="314"/>
      <c r="U1470" s="314"/>
      <c r="V1470" s="314"/>
      <c r="W1470" s="314"/>
      <c r="X1470" s="314"/>
      <c r="Y1470" s="314"/>
      <c r="Z1470" s="314"/>
    </row>
    <row r="1471" spans="2:26" s="147" customFormat="1" ht="14.15" customHeight="1" x14ac:dyDescent="0.35">
      <c r="B1471" s="146"/>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row>
    <row r="1472" spans="2:26" s="147" customFormat="1" ht="14.15" customHeight="1" x14ac:dyDescent="0.35">
      <c r="B1472" s="146"/>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row>
    <row r="1473" spans="2:26" s="147" customFormat="1" ht="14.15" customHeight="1" x14ac:dyDescent="0.35">
      <c r="B1473" s="146"/>
      <c r="E1473" s="314"/>
      <c r="F1473" s="314"/>
      <c r="G1473" s="314"/>
      <c r="H1473" s="314"/>
      <c r="I1473" s="314"/>
      <c r="J1473" s="314"/>
      <c r="K1473" s="314"/>
      <c r="L1473" s="314"/>
      <c r="M1473" s="314"/>
      <c r="N1473" s="314"/>
      <c r="O1473" s="314"/>
      <c r="P1473" s="314"/>
      <c r="Q1473" s="314"/>
      <c r="R1473" s="314"/>
      <c r="S1473" s="314"/>
      <c r="T1473" s="314"/>
      <c r="U1473" s="314"/>
      <c r="V1473" s="314"/>
      <c r="W1473" s="314"/>
      <c r="X1473" s="314"/>
      <c r="Y1473" s="314"/>
      <c r="Z1473" s="314"/>
    </row>
    <row r="1474" spans="2:26" s="147" customFormat="1" ht="14.15" customHeight="1" x14ac:dyDescent="0.35">
      <c r="B1474" s="146"/>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row>
    <row r="1475" spans="2:26" s="147" customFormat="1" ht="14.15" customHeight="1" x14ac:dyDescent="0.35">
      <c r="B1475" s="146"/>
      <c r="E1475" s="314"/>
      <c r="F1475" s="314"/>
      <c r="G1475" s="314"/>
      <c r="H1475" s="314"/>
      <c r="I1475" s="314"/>
      <c r="J1475" s="314"/>
      <c r="K1475" s="314"/>
      <c r="L1475" s="314"/>
      <c r="M1475" s="314"/>
      <c r="N1475" s="314"/>
      <c r="O1475" s="314"/>
      <c r="P1475" s="314"/>
      <c r="Q1475" s="314"/>
      <c r="R1475" s="314"/>
      <c r="S1475" s="314"/>
      <c r="T1475" s="314"/>
      <c r="U1475" s="314"/>
      <c r="V1475" s="314"/>
      <c r="W1475" s="314"/>
      <c r="X1475" s="314"/>
      <c r="Y1475" s="314"/>
      <c r="Z1475" s="314"/>
    </row>
    <row r="1476" spans="2:26" s="147" customFormat="1" ht="14.15" customHeight="1" x14ac:dyDescent="0.35">
      <c r="B1476" s="146"/>
      <c r="E1476" s="314"/>
      <c r="F1476" s="314"/>
      <c r="G1476" s="314"/>
      <c r="H1476" s="314"/>
      <c r="I1476" s="314"/>
      <c r="J1476" s="314"/>
      <c r="K1476" s="314"/>
      <c r="L1476" s="314"/>
      <c r="M1476" s="314"/>
      <c r="N1476" s="314"/>
      <c r="O1476" s="314"/>
      <c r="P1476" s="314"/>
      <c r="Q1476" s="314"/>
      <c r="R1476" s="314"/>
      <c r="S1476" s="314"/>
      <c r="T1476" s="314"/>
      <c r="U1476" s="314"/>
      <c r="V1476" s="314"/>
      <c r="W1476" s="314"/>
      <c r="X1476" s="314"/>
      <c r="Y1476" s="314"/>
      <c r="Z1476" s="314"/>
    </row>
    <row r="1477" spans="2:26" s="147" customFormat="1" ht="14.15" customHeight="1" x14ac:dyDescent="0.35">
      <c r="B1477" s="146"/>
      <c r="E1477" s="314"/>
      <c r="F1477" s="314"/>
      <c r="G1477" s="314"/>
      <c r="H1477" s="314"/>
      <c r="I1477" s="314"/>
      <c r="J1477" s="314"/>
      <c r="K1477" s="314"/>
      <c r="L1477" s="314"/>
      <c r="M1477" s="314"/>
      <c r="N1477" s="314"/>
      <c r="O1477" s="314"/>
      <c r="P1477" s="314"/>
      <c r="Q1477" s="314"/>
      <c r="R1477" s="314"/>
      <c r="S1477" s="314"/>
      <c r="T1477" s="314"/>
      <c r="U1477" s="314"/>
      <c r="V1477" s="314"/>
      <c r="W1477" s="314"/>
      <c r="X1477" s="314"/>
      <c r="Y1477" s="314"/>
      <c r="Z1477" s="314"/>
    </row>
    <row r="1478" spans="2:26" s="147" customFormat="1" ht="14.15" customHeight="1" x14ac:dyDescent="0.35">
      <c r="B1478" s="146"/>
      <c r="E1478" s="314"/>
      <c r="F1478" s="314"/>
      <c r="G1478" s="314"/>
      <c r="H1478" s="314"/>
      <c r="I1478" s="314"/>
      <c r="J1478" s="314"/>
      <c r="K1478" s="314"/>
      <c r="L1478" s="314"/>
      <c r="M1478" s="314"/>
      <c r="N1478" s="314"/>
      <c r="O1478" s="314"/>
      <c r="P1478" s="314"/>
      <c r="Q1478" s="314"/>
      <c r="R1478" s="314"/>
      <c r="S1478" s="314"/>
      <c r="T1478" s="314"/>
      <c r="U1478" s="314"/>
      <c r="V1478" s="314"/>
      <c r="W1478" s="314"/>
      <c r="X1478" s="314"/>
      <c r="Y1478" s="314"/>
      <c r="Z1478" s="314"/>
    </row>
    <row r="1479" spans="2:26" s="147" customFormat="1" ht="14.15" customHeight="1" x14ac:dyDescent="0.35">
      <c r="B1479" s="146"/>
      <c r="E1479" s="314"/>
      <c r="F1479" s="314"/>
      <c r="G1479" s="314"/>
      <c r="H1479" s="314"/>
      <c r="I1479" s="314"/>
      <c r="J1479" s="314"/>
      <c r="K1479" s="314"/>
      <c r="L1479" s="314"/>
      <c r="M1479" s="314"/>
      <c r="N1479" s="314"/>
      <c r="O1479" s="314"/>
      <c r="P1479" s="314"/>
      <c r="Q1479" s="314"/>
      <c r="R1479" s="314"/>
      <c r="S1479" s="314"/>
      <c r="T1479" s="314"/>
      <c r="U1479" s="314"/>
      <c r="V1479" s="314"/>
      <c r="W1479" s="314"/>
      <c r="X1479" s="314"/>
      <c r="Y1479" s="314"/>
      <c r="Z1479" s="314"/>
    </row>
    <row r="1480" spans="2:26" s="147" customFormat="1" ht="14.15" customHeight="1" x14ac:dyDescent="0.35">
      <c r="B1480" s="146"/>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row>
    <row r="1481" spans="2:26" s="147" customFormat="1" ht="14.15" customHeight="1" x14ac:dyDescent="0.35">
      <c r="B1481" s="146"/>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row>
    <row r="1482" spans="2:26" s="147" customFormat="1" ht="14.15" customHeight="1" x14ac:dyDescent="0.35">
      <c r="B1482" s="146"/>
      <c r="E1482" s="314"/>
      <c r="F1482" s="314"/>
      <c r="G1482" s="314"/>
      <c r="H1482" s="314"/>
      <c r="I1482" s="314"/>
      <c r="J1482" s="314"/>
      <c r="K1482" s="314"/>
      <c r="L1482" s="314"/>
      <c r="M1482" s="314"/>
      <c r="N1482" s="314"/>
      <c r="O1482" s="314"/>
      <c r="P1482" s="314"/>
      <c r="Q1482" s="314"/>
      <c r="R1482" s="314"/>
      <c r="S1482" s="314"/>
      <c r="T1482" s="314"/>
      <c r="U1482" s="314"/>
      <c r="V1482" s="314"/>
      <c r="W1482" s="314"/>
      <c r="X1482" s="314"/>
      <c r="Y1482" s="314"/>
      <c r="Z1482" s="314"/>
    </row>
    <row r="1483" spans="2:26" s="147" customFormat="1" ht="14.15" customHeight="1" x14ac:dyDescent="0.35">
      <c r="B1483" s="146"/>
      <c r="E1483" s="314"/>
      <c r="F1483" s="314"/>
      <c r="G1483" s="314"/>
      <c r="H1483" s="314"/>
      <c r="I1483" s="314"/>
      <c r="J1483" s="314"/>
      <c r="K1483" s="314"/>
      <c r="L1483" s="314"/>
      <c r="M1483" s="314"/>
      <c r="N1483" s="314"/>
      <c r="O1483" s="314"/>
      <c r="P1483" s="314"/>
      <c r="Q1483" s="314"/>
      <c r="R1483" s="314"/>
      <c r="S1483" s="314"/>
      <c r="T1483" s="314"/>
      <c r="U1483" s="314"/>
      <c r="V1483" s="314"/>
      <c r="W1483" s="314"/>
      <c r="X1483" s="314"/>
      <c r="Y1483" s="314"/>
      <c r="Z1483" s="314"/>
    </row>
    <row r="1484" spans="2:26" s="147" customFormat="1" ht="14.15" customHeight="1" x14ac:dyDescent="0.35">
      <c r="B1484" s="146"/>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row>
    <row r="1485" spans="2:26" s="147" customFormat="1" ht="14.15" customHeight="1" x14ac:dyDescent="0.35">
      <c r="B1485" s="146"/>
      <c r="E1485" s="314"/>
      <c r="F1485" s="314"/>
      <c r="G1485" s="314"/>
      <c r="H1485" s="314"/>
      <c r="I1485" s="314"/>
      <c r="J1485" s="314"/>
      <c r="K1485" s="314"/>
      <c r="L1485" s="314"/>
      <c r="M1485" s="314"/>
      <c r="N1485" s="314"/>
      <c r="O1485" s="314"/>
      <c r="P1485" s="314"/>
      <c r="Q1485" s="314"/>
      <c r="R1485" s="314"/>
      <c r="S1485" s="314"/>
      <c r="T1485" s="314"/>
      <c r="U1485" s="314"/>
      <c r="V1485" s="314"/>
      <c r="W1485" s="314"/>
      <c r="X1485" s="314"/>
      <c r="Y1485" s="314"/>
      <c r="Z1485" s="314"/>
    </row>
    <row r="1486" spans="2:26" s="147" customFormat="1" ht="14.15" customHeight="1" x14ac:dyDescent="0.35">
      <c r="B1486" s="146"/>
      <c r="E1486" s="314"/>
      <c r="F1486" s="314"/>
      <c r="G1486" s="314"/>
      <c r="H1486" s="314"/>
      <c r="I1486" s="314"/>
      <c r="J1486" s="314"/>
      <c r="K1486" s="314"/>
      <c r="L1486" s="314"/>
      <c r="M1486" s="314"/>
      <c r="N1486" s="314"/>
      <c r="O1486" s="314"/>
      <c r="P1486" s="314"/>
      <c r="Q1486" s="314"/>
      <c r="R1486" s="314"/>
      <c r="S1486" s="314"/>
      <c r="T1486" s="314"/>
      <c r="U1486" s="314"/>
      <c r="V1486" s="314"/>
      <c r="W1486" s="314"/>
      <c r="X1486" s="314"/>
      <c r="Y1486" s="314"/>
      <c r="Z1486" s="314"/>
    </row>
    <row r="1487" spans="2:26" s="147" customFormat="1" ht="14.15" customHeight="1" x14ac:dyDescent="0.35">
      <c r="B1487" s="146"/>
      <c r="E1487" s="314"/>
      <c r="F1487" s="314"/>
      <c r="G1487" s="314"/>
      <c r="H1487" s="314"/>
      <c r="I1487" s="314"/>
      <c r="J1487" s="314"/>
      <c r="K1487" s="314"/>
      <c r="L1487" s="314"/>
      <c r="M1487" s="314"/>
      <c r="N1487" s="314"/>
      <c r="O1487" s="314"/>
      <c r="P1487" s="314"/>
      <c r="Q1487" s="314"/>
      <c r="R1487" s="314"/>
      <c r="S1487" s="314"/>
      <c r="T1487" s="314"/>
      <c r="U1487" s="314"/>
      <c r="V1487" s="314"/>
      <c r="W1487" s="314"/>
      <c r="X1487" s="314"/>
      <c r="Y1487" s="314"/>
      <c r="Z1487" s="314"/>
    </row>
    <row r="1488" spans="2:26" s="147" customFormat="1" ht="14.15" customHeight="1" x14ac:dyDescent="0.35">
      <c r="B1488" s="146"/>
      <c r="E1488" s="314"/>
      <c r="F1488" s="314"/>
      <c r="G1488" s="314"/>
      <c r="H1488" s="314"/>
      <c r="I1488" s="314"/>
      <c r="J1488" s="314"/>
      <c r="K1488" s="314"/>
      <c r="L1488" s="314"/>
      <c r="M1488" s="314"/>
      <c r="N1488" s="314"/>
      <c r="O1488" s="314"/>
      <c r="P1488" s="314"/>
      <c r="Q1488" s="314"/>
      <c r="R1488" s="314"/>
      <c r="S1488" s="314"/>
      <c r="T1488" s="314"/>
      <c r="U1488" s="314"/>
      <c r="V1488" s="314"/>
      <c r="W1488" s="314"/>
      <c r="X1488" s="314"/>
      <c r="Y1488" s="314"/>
      <c r="Z1488" s="314"/>
    </row>
    <row r="1489" spans="2:26" s="147" customFormat="1" ht="14.15" customHeight="1" x14ac:dyDescent="0.35">
      <c r="B1489" s="146"/>
      <c r="E1489" s="314"/>
      <c r="F1489" s="314"/>
      <c r="G1489" s="314"/>
      <c r="H1489" s="314"/>
      <c r="I1489" s="314"/>
      <c r="J1489" s="314"/>
      <c r="K1489" s="314"/>
      <c r="L1489" s="314"/>
      <c r="M1489" s="314"/>
      <c r="N1489" s="314"/>
      <c r="O1489" s="314"/>
      <c r="P1489" s="314"/>
      <c r="Q1489" s="314"/>
      <c r="R1489" s="314"/>
      <c r="S1489" s="314"/>
      <c r="T1489" s="314"/>
      <c r="U1489" s="314"/>
      <c r="V1489" s="314"/>
      <c r="W1489" s="314"/>
      <c r="X1489" s="314"/>
      <c r="Y1489" s="314"/>
      <c r="Z1489" s="314"/>
    </row>
    <row r="1490" spans="2:26" s="147" customFormat="1" ht="14.15" customHeight="1" x14ac:dyDescent="0.35">
      <c r="B1490" s="146"/>
      <c r="E1490" s="314"/>
      <c r="F1490" s="314"/>
      <c r="G1490" s="314"/>
      <c r="H1490" s="314"/>
      <c r="I1490" s="314"/>
      <c r="J1490" s="314"/>
      <c r="K1490" s="314"/>
      <c r="L1490" s="314"/>
      <c r="M1490" s="314"/>
      <c r="N1490" s="314"/>
      <c r="O1490" s="314"/>
      <c r="P1490" s="314"/>
      <c r="Q1490" s="314"/>
      <c r="R1490" s="314"/>
      <c r="S1490" s="314"/>
      <c r="T1490" s="314"/>
      <c r="U1490" s="314"/>
      <c r="V1490" s="314"/>
      <c r="W1490" s="314"/>
      <c r="X1490" s="314"/>
      <c r="Y1490" s="314"/>
      <c r="Z1490" s="314"/>
    </row>
    <row r="1491" spans="2:26" s="147" customFormat="1" ht="14.15" customHeight="1" x14ac:dyDescent="0.35">
      <c r="B1491" s="146"/>
      <c r="E1491" s="314"/>
      <c r="F1491" s="314"/>
      <c r="G1491" s="314"/>
      <c r="H1491" s="314"/>
      <c r="I1491" s="314"/>
      <c r="J1491" s="314"/>
      <c r="K1491" s="314"/>
      <c r="L1491" s="314"/>
      <c r="M1491" s="314"/>
      <c r="N1491" s="314"/>
      <c r="O1491" s="314"/>
      <c r="P1491" s="314"/>
      <c r="Q1491" s="314"/>
      <c r="R1491" s="314"/>
      <c r="S1491" s="314"/>
      <c r="T1491" s="314"/>
      <c r="U1491" s="314"/>
      <c r="V1491" s="314"/>
      <c r="W1491" s="314"/>
      <c r="X1491" s="314"/>
      <c r="Y1491" s="314"/>
      <c r="Z1491" s="314"/>
    </row>
    <row r="1492" spans="2:26" s="147" customFormat="1" ht="14.15" customHeight="1" x14ac:dyDescent="0.35">
      <c r="B1492" s="146"/>
      <c r="E1492" s="314"/>
      <c r="F1492" s="314"/>
      <c r="G1492" s="314"/>
      <c r="H1492" s="314"/>
      <c r="I1492" s="314"/>
      <c r="J1492" s="314"/>
      <c r="K1492" s="314"/>
      <c r="L1492" s="314"/>
      <c r="M1492" s="314"/>
      <c r="N1492" s="314"/>
      <c r="O1492" s="314"/>
      <c r="P1492" s="314"/>
      <c r="Q1492" s="314"/>
      <c r="R1492" s="314"/>
      <c r="S1492" s="314"/>
      <c r="T1492" s="314"/>
      <c r="U1492" s="314"/>
      <c r="V1492" s="314"/>
      <c r="W1492" s="314"/>
      <c r="X1492" s="314"/>
      <c r="Y1492" s="314"/>
      <c r="Z1492" s="314"/>
    </row>
    <row r="1493" spans="2:26" s="147" customFormat="1" ht="14.15" customHeight="1" x14ac:dyDescent="0.35">
      <c r="B1493" s="146"/>
      <c r="E1493" s="314"/>
      <c r="F1493" s="314"/>
      <c r="G1493" s="314"/>
      <c r="H1493" s="314"/>
      <c r="I1493" s="314"/>
      <c r="J1493" s="314"/>
      <c r="K1493" s="314"/>
      <c r="L1493" s="314"/>
      <c r="M1493" s="314"/>
      <c r="N1493" s="314"/>
      <c r="O1493" s="314"/>
      <c r="P1493" s="314"/>
      <c r="Q1493" s="314"/>
      <c r="R1493" s="314"/>
      <c r="S1493" s="314"/>
      <c r="T1493" s="314"/>
      <c r="U1493" s="314"/>
      <c r="V1493" s="314"/>
      <c r="W1493" s="314"/>
      <c r="X1493" s="314"/>
      <c r="Y1493" s="314"/>
      <c r="Z1493" s="314"/>
    </row>
    <row r="1494" spans="2:26" s="147" customFormat="1" ht="14.15" customHeight="1" x14ac:dyDescent="0.35">
      <c r="B1494" s="146"/>
      <c r="E1494" s="314"/>
      <c r="F1494" s="314"/>
      <c r="G1494" s="314"/>
      <c r="H1494" s="314"/>
      <c r="I1494" s="314"/>
      <c r="J1494" s="314"/>
      <c r="K1494" s="314"/>
      <c r="L1494" s="314"/>
      <c r="M1494" s="314"/>
      <c r="N1494" s="314"/>
      <c r="O1494" s="314"/>
      <c r="P1494" s="314"/>
      <c r="Q1494" s="314"/>
      <c r="R1494" s="314"/>
      <c r="S1494" s="314"/>
      <c r="T1494" s="314"/>
      <c r="U1494" s="314"/>
      <c r="V1494" s="314"/>
      <c r="W1494" s="314"/>
      <c r="X1494" s="314"/>
      <c r="Y1494" s="314"/>
      <c r="Z1494" s="314"/>
    </row>
    <row r="1495" spans="2:26" s="147" customFormat="1" ht="14.15" customHeight="1" x14ac:dyDescent="0.35">
      <c r="B1495" s="146"/>
      <c r="E1495" s="314"/>
      <c r="F1495" s="314"/>
      <c r="G1495" s="314"/>
      <c r="H1495" s="314"/>
      <c r="I1495" s="314"/>
      <c r="J1495" s="314"/>
      <c r="K1495" s="314"/>
      <c r="L1495" s="314"/>
      <c r="M1495" s="314"/>
      <c r="N1495" s="314"/>
      <c r="O1495" s="314"/>
      <c r="P1495" s="314"/>
      <c r="Q1495" s="314"/>
      <c r="R1495" s="314"/>
      <c r="S1495" s="314"/>
      <c r="T1495" s="314"/>
      <c r="U1495" s="314"/>
      <c r="V1495" s="314"/>
      <c r="W1495" s="314"/>
      <c r="X1495" s="314"/>
      <c r="Y1495" s="314"/>
      <c r="Z1495" s="314"/>
    </row>
    <row r="1496" spans="2:26" s="147" customFormat="1" ht="14.15" customHeight="1" x14ac:dyDescent="0.35">
      <c r="B1496" s="146"/>
      <c r="E1496" s="314"/>
      <c r="F1496" s="314"/>
      <c r="G1496" s="314"/>
      <c r="H1496" s="314"/>
      <c r="I1496" s="314"/>
      <c r="J1496" s="314"/>
      <c r="K1496" s="314"/>
      <c r="L1496" s="314"/>
      <c r="M1496" s="314"/>
      <c r="N1496" s="314"/>
      <c r="O1496" s="314"/>
      <c r="P1496" s="314"/>
      <c r="Q1496" s="314"/>
      <c r="R1496" s="314"/>
      <c r="S1496" s="314"/>
      <c r="T1496" s="314"/>
      <c r="U1496" s="314"/>
      <c r="V1496" s="314"/>
      <c r="W1496" s="314"/>
      <c r="X1496" s="314"/>
      <c r="Y1496" s="314"/>
      <c r="Z1496" s="314"/>
    </row>
    <row r="1497" spans="2:26" s="147" customFormat="1" ht="14.15" customHeight="1" x14ac:dyDescent="0.35">
      <c r="B1497" s="146"/>
      <c r="E1497" s="314"/>
      <c r="F1497" s="314"/>
      <c r="G1497" s="314"/>
      <c r="H1497" s="314"/>
      <c r="I1497" s="314"/>
      <c r="J1497" s="314"/>
      <c r="K1497" s="314"/>
      <c r="L1497" s="314"/>
      <c r="M1497" s="314"/>
      <c r="N1497" s="314"/>
      <c r="O1497" s="314"/>
      <c r="P1497" s="314"/>
      <c r="Q1497" s="314"/>
      <c r="R1497" s="314"/>
      <c r="S1497" s="314"/>
      <c r="T1497" s="314"/>
      <c r="U1497" s="314"/>
      <c r="V1497" s="314"/>
      <c r="W1497" s="314"/>
      <c r="X1497" s="314"/>
      <c r="Y1497" s="314"/>
      <c r="Z1497" s="314"/>
    </row>
    <row r="1498" spans="2:26" s="147" customFormat="1" ht="14.15" customHeight="1" x14ac:dyDescent="0.35">
      <c r="B1498" s="146"/>
      <c r="E1498" s="314"/>
      <c r="F1498" s="314"/>
      <c r="G1498" s="314"/>
      <c r="H1498" s="314"/>
      <c r="I1498" s="314"/>
      <c r="J1498" s="314"/>
      <c r="K1498" s="314"/>
      <c r="L1498" s="314"/>
      <c r="M1498" s="314"/>
      <c r="N1498" s="314"/>
      <c r="O1498" s="314"/>
      <c r="P1498" s="314"/>
      <c r="Q1498" s="314"/>
      <c r="R1498" s="314"/>
      <c r="S1498" s="314"/>
      <c r="T1498" s="314"/>
      <c r="U1498" s="314"/>
      <c r="V1498" s="314"/>
      <c r="W1498" s="314"/>
      <c r="X1498" s="314"/>
      <c r="Y1498" s="314"/>
      <c r="Z1498" s="314"/>
    </row>
    <row r="1499" spans="2:26" s="147" customFormat="1" ht="14.15" customHeight="1" x14ac:dyDescent="0.35">
      <c r="B1499" s="146"/>
      <c r="E1499" s="314"/>
      <c r="F1499" s="314"/>
      <c r="G1499" s="314"/>
      <c r="H1499" s="314"/>
      <c r="I1499" s="314"/>
      <c r="J1499" s="314"/>
      <c r="K1499" s="314"/>
      <c r="L1499" s="314"/>
      <c r="M1499" s="314"/>
      <c r="N1499" s="314"/>
      <c r="O1499" s="314"/>
      <c r="P1499" s="314"/>
      <c r="Q1499" s="314"/>
      <c r="R1499" s="314"/>
      <c r="S1499" s="314"/>
      <c r="T1499" s="314"/>
      <c r="U1499" s="314"/>
      <c r="V1499" s="314"/>
      <c r="W1499" s="314"/>
      <c r="X1499" s="314"/>
      <c r="Y1499" s="314"/>
      <c r="Z1499" s="314"/>
    </row>
    <row r="1500" spans="2:26" s="147" customFormat="1" ht="14.15" customHeight="1" x14ac:dyDescent="0.35">
      <c r="B1500" s="146"/>
      <c r="E1500" s="314"/>
      <c r="F1500" s="314"/>
      <c r="G1500" s="314"/>
      <c r="H1500" s="314"/>
      <c r="I1500" s="314"/>
      <c r="J1500" s="314"/>
      <c r="K1500" s="314"/>
      <c r="L1500" s="314"/>
      <c r="M1500" s="314"/>
      <c r="N1500" s="314"/>
      <c r="O1500" s="314"/>
      <c r="P1500" s="314"/>
      <c r="Q1500" s="314"/>
      <c r="R1500" s="314"/>
      <c r="S1500" s="314"/>
      <c r="T1500" s="314"/>
      <c r="U1500" s="314"/>
      <c r="V1500" s="314"/>
      <c r="W1500" s="314"/>
      <c r="X1500" s="314"/>
      <c r="Y1500" s="314"/>
      <c r="Z1500" s="314"/>
    </row>
    <row r="1501" spans="2:26" s="147" customFormat="1" ht="14.15" customHeight="1" x14ac:dyDescent="0.35">
      <c r="B1501" s="146"/>
      <c r="E1501" s="314"/>
      <c r="F1501" s="314"/>
      <c r="G1501" s="314"/>
      <c r="H1501" s="314"/>
      <c r="I1501" s="314"/>
      <c r="J1501" s="314"/>
      <c r="K1501" s="314"/>
      <c r="L1501" s="314"/>
      <c r="M1501" s="314"/>
      <c r="N1501" s="314"/>
      <c r="O1501" s="314"/>
      <c r="P1501" s="314"/>
      <c r="Q1501" s="314"/>
      <c r="R1501" s="314"/>
      <c r="S1501" s="314"/>
      <c r="T1501" s="314"/>
      <c r="U1501" s="314"/>
      <c r="V1501" s="314"/>
      <c r="W1501" s="314"/>
      <c r="X1501" s="314"/>
      <c r="Y1501" s="314"/>
      <c r="Z1501" s="314"/>
    </row>
    <row r="1502" spans="2:26" s="147" customFormat="1" ht="14.15" customHeight="1" x14ac:dyDescent="0.35">
      <c r="B1502" s="146"/>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row>
    <row r="1503" spans="2:26" s="147" customFormat="1" ht="14.15" customHeight="1" x14ac:dyDescent="0.35">
      <c r="B1503" s="146"/>
      <c r="E1503" s="314"/>
      <c r="F1503" s="314"/>
      <c r="G1503" s="314"/>
      <c r="H1503" s="314"/>
      <c r="I1503" s="314"/>
      <c r="J1503" s="314"/>
      <c r="K1503" s="314"/>
      <c r="L1503" s="314"/>
      <c r="M1503" s="314"/>
      <c r="N1503" s="314"/>
      <c r="O1503" s="314"/>
      <c r="P1503" s="314"/>
      <c r="Q1503" s="314"/>
      <c r="R1503" s="314"/>
      <c r="S1503" s="314"/>
      <c r="T1503" s="314"/>
      <c r="U1503" s="314"/>
      <c r="V1503" s="314"/>
      <c r="W1503" s="314"/>
      <c r="X1503" s="314"/>
      <c r="Y1503" s="314"/>
      <c r="Z1503" s="314"/>
    </row>
    <row r="1504" spans="2:26" s="147" customFormat="1" ht="14.15" customHeight="1" x14ac:dyDescent="0.35">
      <c r="B1504" s="146"/>
      <c r="E1504" s="314"/>
      <c r="F1504" s="314"/>
      <c r="G1504" s="314"/>
      <c r="H1504" s="314"/>
      <c r="I1504" s="314"/>
      <c r="J1504" s="314"/>
      <c r="K1504" s="314"/>
      <c r="L1504" s="314"/>
      <c r="M1504" s="314"/>
      <c r="N1504" s="314"/>
      <c r="O1504" s="314"/>
      <c r="P1504" s="314"/>
      <c r="Q1504" s="314"/>
      <c r="R1504" s="314"/>
      <c r="S1504" s="314"/>
      <c r="T1504" s="314"/>
      <c r="U1504" s="314"/>
      <c r="V1504" s="314"/>
      <c r="W1504" s="314"/>
      <c r="X1504" s="314"/>
      <c r="Y1504" s="314"/>
      <c r="Z1504" s="314"/>
    </row>
    <row r="1505" spans="2:26" s="147" customFormat="1" ht="14.15" customHeight="1" x14ac:dyDescent="0.35">
      <c r="B1505" s="146"/>
      <c r="E1505" s="314"/>
      <c r="F1505" s="314"/>
      <c r="G1505" s="314"/>
      <c r="H1505" s="314"/>
      <c r="I1505" s="314"/>
      <c r="J1505" s="314"/>
      <c r="K1505" s="314"/>
      <c r="L1505" s="314"/>
      <c r="M1505" s="314"/>
      <c r="N1505" s="314"/>
      <c r="O1505" s="314"/>
      <c r="P1505" s="314"/>
      <c r="Q1505" s="314"/>
      <c r="R1505" s="314"/>
      <c r="S1505" s="314"/>
      <c r="T1505" s="314"/>
      <c r="U1505" s="314"/>
      <c r="V1505" s="314"/>
      <c r="W1505" s="314"/>
      <c r="X1505" s="314"/>
      <c r="Y1505" s="314"/>
      <c r="Z1505" s="314"/>
    </row>
    <row r="1506" spans="2:26" s="147" customFormat="1" ht="14.15" customHeight="1" x14ac:dyDescent="0.35">
      <c r="B1506" s="146"/>
      <c r="E1506" s="314"/>
      <c r="F1506" s="314"/>
      <c r="G1506" s="314"/>
      <c r="H1506" s="314"/>
      <c r="I1506" s="314"/>
      <c r="J1506" s="314"/>
      <c r="K1506" s="314"/>
      <c r="L1506" s="314"/>
      <c r="M1506" s="314"/>
      <c r="N1506" s="314"/>
      <c r="O1506" s="314"/>
      <c r="P1506" s="314"/>
      <c r="Q1506" s="314"/>
      <c r="R1506" s="314"/>
      <c r="S1506" s="314"/>
      <c r="T1506" s="314"/>
      <c r="U1506" s="314"/>
      <c r="V1506" s="314"/>
      <c r="W1506" s="314"/>
      <c r="X1506" s="314"/>
      <c r="Y1506" s="314"/>
      <c r="Z1506" s="314"/>
    </row>
    <row r="1507" spans="2:26" s="147" customFormat="1" ht="14.15" customHeight="1" x14ac:dyDescent="0.35">
      <c r="B1507" s="146"/>
      <c r="E1507" s="314"/>
      <c r="F1507" s="314"/>
      <c r="G1507" s="314"/>
      <c r="H1507" s="314"/>
      <c r="I1507" s="314"/>
      <c r="J1507" s="314"/>
      <c r="K1507" s="314"/>
      <c r="L1507" s="314"/>
      <c r="M1507" s="314"/>
      <c r="N1507" s="314"/>
      <c r="O1507" s="314"/>
      <c r="P1507" s="314"/>
      <c r="Q1507" s="314"/>
      <c r="R1507" s="314"/>
      <c r="S1507" s="314"/>
      <c r="T1507" s="314"/>
      <c r="U1507" s="314"/>
      <c r="V1507" s="314"/>
      <c r="W1507" s="314"/>
      <c r="X1507" s="314"/>
      <c r="Y1507" s="314"/>
      <c r="Z1507" s="314"/>
    </row>
    <row r="1508" spans="2:26" s="147" customFormat="1" ht="14.15" customHeight="1" x14ac:dyDescent="0.35">
      <c r="B1508" s="146"/>
      <c r="E1508" s="314"/>
      <c r="F1508" s="314"/>
      <c r="G1508" s="314"/>
      <c r="H1508" s="314"/>
      <c r="I1508" s="314"/>
      <c r="J1508" s="314"/>
      <c r="K1508" s="314"/>
      <c r="L1508" s="314"/>
      <c r="M1508" s="314"/>
      <c r="N1508" s="314"/>
      <c r="O1508" s="314"/>
      <c r="P1508" s="314"/>
      <c r="Q1508" s="314"/>
      <c r="R1508" s="314"/>
      <c r="S1508" s="314"/>
      <c r="T1508" s="314"/>
      <c r="U1508" s="314"/>
      <c r="V1508" s="314"/>
      <c r="W1508" s="314"/>
      <c r="X1508" s="314"/>
      <c r="Y1508" s="314"/>
      <c r="Z1508" s="314"/>
    </row>
    <row r="1509" spans="2:26" s="147" customFormat="1" ht="14.15" customHeight="1" x14ac:dyDescent="0.35">
      <c r="B1509" s="146"/>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row>
    <row r="1510" spans="2:26" s="147" customFormat="1" ht="14.15" customHeight="1" x14ac:dyDescent="0.35">
      <c r="B1510" s="146"/>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row>
    <row r="1511" spans="2:26" s="147" customFormat="1" ht="14.15" customHeight="1" x14ac:dyDescent="0.35">
      <c r="B1511" s="146"/>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row>
    <row r="1512" spans="2:26" s="147" customFormat="1" ht="14.15" customHeight="1" x14ac:dyDescent="0.35">
      <c r="B1512" s="146"/>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row>
    <row r="1513" spans="2:26" s="147" customFormat="1" ht="14.15" customHeight="1" x14ac:dyDescent="0.35">
      <c r="B1513" s="146"/>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row>
    <row r="1514" spans="2:26" s="147" customFormat="1" ht="14.15" customHeight="1" x14ac:dyDescent="0.35">
      <c r="B1514" s="146"/>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row>
    <row r="1515" spans="2:26" s="147" customFormat="1" ht="14.15" customHeight="1" x14ac:dyDescent="0.35">
      <c r="B1515" s="146"/>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row>
    <row r="1516" spans="2:26" s="147" customFormat="1" ht="14.15" customHeight="1" x14ac:dyDescent="0.35">
      <c r="B1516" s="146"/>
      <c r="E1516" s="314"/>
      <c r="F1516" s="314"/>
      <c r="G1516" s="314"/>
      <c r="H1516" s="314"/>
      <c r="I1516" s="314"/>
      <c r="J1516" s="314"/>
      <c r="K1516" s="314"/>
      <c r="L1516" s="314"/>
      <c r="M1516" s="314"/>
      <c r="N1516" s="314"/>
      <c r="O1516" s="314"/>
      <c r="P1516" s="314"/>
      <c r="Q1516" s="314"/>
      <c r="R1516" s="314"/>
      <c r="S1516" s="314"/>
      <c r="T1516" s="314"/>
      <c r="U1516" s="314"/>
      <c r="V1516" s="314"/>
      <c r="W1516" s="314"/>
      <c r="X1516" s="314"/>
      <c r="Y1516" s="314"/>
      <c r="Z1516" s="314"/>
    </row>
    <row r="1517" spans="2:26" s="147" customFormat="1" ht="14.15" customHeight="1" x14ac:dyDescent="0.35">
      <c r="B1517" s="146"/>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row>
    <row r="1518" spans="2:26" s="147" customFormat="1" ht="14.15" customHeight="1" x14ac:dyDescent="0.35">
      <c r="B1518" s="146"/>
      <c r="E1518" s="314"/>
      <c r="F1518" s="314"/>
      <c r="G1518" s="314"/>
      <c r="H1518" s="314"/>
      <c r="I1518" s="314"/>
      <c r="J1518" s="314"/>
      <c r="K1518" s="314"/>
      <c r="L1518" s="314"/>
      <c r="M1518" s="314"/>
      <c r="N1518" s="314"/>
      <c r="O1518" s="314"/>
      <c r="P1518" s="314"/>
      <c r="Q1518" s="314"/>
      <c r="R1518" s="314"/>
      <c r="S1518" s="314"/>
      <c r="T1518" s="314"/>
      <c r="U1518" s="314"/>
      <c r="V1518" s="314"/>
      <c r="W1518" s="314"/>
      <c r="X1518" s="314"/>
      <c r="Y1518" s="314"/>
      <c r="Z1518" s="314"/>
    </row>
    <row r="1519" spans="2:26" s="147" customFormat="1" ht="14.15" customHeight="1" x14ac:dyDescent="0.35">
      <c r="B1519" s="146"/>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row>
    <row r="1520" spans="2:26" s="147" customFormat="1" ht="14.15" customHeight="1" x14ac:dyDescent="0.35">
      <c r="B1520" s="146"/>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row>
    <row r="1521" spans="2:26" s="147" customFormat="1" ht="14.15" customHeight="1" x14ac:dyDescent="0.35">
      <c r="B1521" s="146"/>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row>
    <row r="1522" spans="2:26" s="147" customFormat="1" ht="14.15" customHeight="1" x14ac:dyDescent="0.35">
      <c r="B1522" s="146"/>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row>
    <row r="1523" spans="2:26" s="147" customFormat="1" ht="14.15" customHeight="1" x14ac:dyDescent="0.35">
      <c r="B1523" s="146"/>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row>
    <row r="1524" spans="2:26" s="147" customFormat="1" ht="14.15" customHeight="1" x14ac:dyDescent="0.35">
      <c r="B1524" s="146"/>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row>
    <row r="1525" spans="2:26" s="147" customFormat="1" ht="14.15" customHeight="1" x14ac:dyDescent="0.35">
      <c r="B1525" s="146"/>
      <c r="E1525" s="314"/>
      <c r="F1525" s="314"/>
      <c r="G1525" s="314"/>
      <c r="H1525" s="314"/>
      <c r="I1525" s="314"/>
      <c r="J1525" s="314"/>
      <c r="K1525" s="314"/>
      <c r="L1525" s="314"/>
      <c r="M1525" s="314"/>
      <c r="N1525" s="314"/>
      <c r="O1525" s="314"/>
      <c r="P1525" s="314"/>
      <c r="Q1525" s="314"/>
      <c r="R1525" s="314"/>
      <c r="S1525" s="314"/>
      <c r="T1525" s="314"/>
      <c r="U1525" s="314"/>
      <c r="V1525" s="314"/>
      <c r="W1525" s="314"/>
      <c r="X1525" s="314"/>
      <c r="Y1525" s="314"/>
      <c r="Z1525" s="314"/>
    </row>
    <row r="1526" spans="2:26" s="147" customFormat="1" ht="14.15" customHeight="1" x14ac:dyDescent="0.35">
      <c r="B1526" s="146"/>
      <c r="E1526" s="314"/>
      <c r="F1526" s="314"/>
      <c r="G1526" s="314"/>
      <c r="H1526" s="314"/>
      <c r="I1526" s="314"/>
      <c r="J1526" s="314"/>
      <c r="K1526" s="314"/>
      <c r="L1526" s="314"/>
      <c r="M1526" s="314"/>
      <c r="N1526" s="314"/>
      <c r="O1526" s="314"/>
      <c r="P1526" s="314"/>
      <c r="Q1526" s="314"/>
      <c r="R1526" s="314"/>
      <c r="S1526" s="314"/>
      <c r="T1526" s="314"/>
      <c r="U1526" s="314"/>
      <c r="V1526" s="314"/>
      <c r="W1526" s="314"/>
      <c r="X1526" s="314"/>
      <c r="Y1526" s="314"/>
      <c r="Z1526" s="314"/>
    </row>
    <row r="1527" spans="2:26" s="147" customFormat="1" ht="14.15" customHeight="1" x14ac:dyDescent="0.35">
      <c r="B1527" s="146"/>
      <c r="E1527" s="314"/>
      <c r="F1527" s="314"/>
      <c r="G1527" s="314"/>
      <c r="H1527" s="314"/>
      <c r="I1527" s="314"/>
      <c r="J1527" s="314"/>
      <c r="K1527" s="314"/>
      <c r="L1527" s="314"/>
      <c r="M1527" s="314"/>
      <c r="N1527" s="314"/>
      <c r="O1527" s="314"/>
      <c r="P1527" s="314"/>
      <c r="Q1527" s="314"/>
      <c r="R1527" s="314"/>
      <c r="S1527" s="314"/>
      <c r="T1527" s="314"/>
      <c r="U1527" s="314"/>
      <c r="V1527" s="314"/>
      <c r="W1527" s="314"/>
      <c r="X1527" s="314"/>
      <c r="Y1527" s="314"/>
      <c r="Z1527" s="314"/>
    </row>
    <row r="1528" spans="2:26" s="147" customFormat="1" ht="14.15" customHeight="1" x14ac:dyDescent="0.35">
      <c r="B1528" s="146"/>
      <c r="E1528" s="314"/>
      <c r="F1528" s="314"/>
      <c r="G1528" s="314"/>
      <c r="H1528" s="314"/>
      <c r="I1528" s="314"/>
      <c r="J1528" s="314"/>
      <c r="K1528" s="314"/>
      <c r="L1528" s="314"/>
      <c r="M1528" s="314"/>
      <c r="N1528" s="314"/>
      <c r="O1528" s="314"/>
      <c r="P1528" s="314"/>
      <c r="Q1528" s="314"/>
      <c r="R1528" s="314"/>
      <c r="S1528" s="314"/>
      <c r="T1528" s="314"/>
      <c r="U1528" s="314"/>
      <c r="V1528" s="314"/>
      <c r="W1528" s="314"/>
      <c r="X1528" s="314"/>
      <c r="Y1528" s="314"/>
      <c r="Z1528" s="314"/>
    </row>
    <row r="1529" spans="2:26" s="147" customFormat="1" ht="14.15" customHeight="1" x14ac:dyDescent="0.35">
      <c r="B1529" s="146"/>
      <c r="E1529" s="314"/>
      <c r="F1529" s="314"/>
      <c r="G1529" s="314"/>
      <c r="H1529" s="314"/>
      <c r="I1529" s="314"/>
      <c r="J1529" s="314"/>
      <c r="K1529" s="314"/>
      <c r="L1529" s="314"/>
      <c r="M1529" s="314"/>
      <c r="N1529" s="314"/>
      <c r="O1529" s="314"/>
      <c r="P1529" s="314"/>
      <c r="Q1529" s="314"/>
      <c r="R1529" s="314"/>
      <c r="S1529" s="314"/>
      <c r="T1529" s="314"/>
      <c r="U1529" s="314"/>
      <c r="V1529" s="314"/>
      <c r="W1529" s="314"/>
      <c r="X1529" s="314"/>
      <c r="Y1529" s="314"/>
      <c r="Z1529" s="314"/>
    </row>
    <row r="1530" spans="2:26" s="147" customFormat="1" ht="14.15" customHeight="1" x14ac:dyDescent="0.35">
      <c r="B1530" s="146"/>
      <c r="E1530" s="314"/>
      <c r="F1530" s="314"/>
      <c r="G1530" s="314"/>
      <c r="H1530" s="314"/>
      <c r="I1530" s="314"/>
      <c r="J1530" s="314"/>
      <c r="K1530" s="314"/>
      <c r="L1530" s="314"/>
      <c r="M1530" s="314"/>
      <c r="N1530" s="314"/>
      <c r="O1530" s="314"/>
      <c r="P1530" s="314"/>
      <c r="Q1530" s="314"/>
      <c r="R1530" s="314"/>
      <c r="S1530" s="314"/>
      <c r="T1530" s="314"/>
      <c r="U1530" s="314"/>
      <c r="V1530" s="314"/>
      <c r="W1530" s="314"/>
      <c r="X1530" s="314"/>
      <c r="Y1530" s="314"/>
      <c r="Z1530" s="314"/>
    </row>
    <row r="1531" spans="2:26" s="147" customFormat="1" ht="14.15" customHeight="1" x14ac:dyDescent="0.35">
      <c r="B1531" s="146"/>
      <c r="E1531" s="314"/>
      <c r="F1531" s="314"/>
      <c r="G1531" s="314"/>
      <c r="H1531" s="314"/>
      <c r="I1531" s="314"/>
      <c r="J1531" s="314"/>
      <c r="K1531" s="314"/>
      <c r="L1531" s="314"/>
      <c r="M1531" s="314"/>
      <c r="N1531" s="314"/>
      <c r="O1531" s="314"/>
      <c r="P1531" s="314"/>
      <c r="Q1531" s="314"/>
      <c r="R1531" s="314"/>
      <c r="S1531" s="314"/>
      <c r="T1531" s="314"/>
      <c r="U1531" s="314"/>
      <c r="V1531" s="314"/>
      <c r="W1531" s="314"/>
      <c r="X1531" s="314"/>
      <c r="Y1531" s="314"/>
      <c r="Z1531" s="314"/>
    </row>
    <row r="1532" spans="2:26" s="147" customFormat="1" ht="14.15" customHeight="1" x14ac:dyDescent="0.35">
      <c r="B1532" s="146"/>
      <c r="E1532" s="314"/>
      <c r="F1532" s="314"/>
      <c r="G1532" s="314"/>
      <c r="H1532" s="314"/>
      <c r="I1532" s="314"/>
      <c r="J1532" s="314"/>
      <c r="K1532" s="314"/>
      <c r="L1532" s="314"/>
      <c r="M1532" s="314"/>
      <c r="N1532" s="314"/>
      <c r="O1532" s="314"/>
      <c r="P1532" s="314"/>
      <c r="Q1532" s="314"/>
      <c r="R1532" s="314"/>
      <c r="S1532" s="314"/>
      <c r="T1532" s="314"/>
      <c r="U1532" s="314"/>
      <c r="V1532" s="314"/>
      <c r="W1532" s="314"/>
      <c r="X1532" s="314"/>
      <c r="Y1532" s="314"/>
      <c r="Z1532" s="314"/>
    </row>
    <row r="1533" spans="2:26" s="147" customFormat="1" ht="14.15" customHeight="1" x14ac:dyDescent="0.35">
      <c r="B1533" s="146"/>
      <c r="E1533" s="314"/>
      <c r="F1533" s="314"/>
      <c r="G1533" s="314"/>
      <c r="H1533" s="314"/>
      <c r="I1533" s="314"/>
      <c r="J1533" s="314"/>
      <c r="K1533" s="314"/>
      <c r="L1533" s="314"/>
      <c r="M1533" s="314"/>
      <c r="N1533" s="314"/>
      <c r="O1533" s="314"/>
      <c r="P1533" s="314"/>
      <c r="Q1533" s="314"/>
      <c r="R1533" s="314"/>
      <c r="S1533" s="314"/>
      <c r="T1533" s="314"/>
      <c r="U1533" s="314"/>
      <c r="V1533" s="314"/>
      <c r="W1533" s="314"/>
      <c r="X1533" s="314"/>
      <c r="Y1533" s="314"/>
      <c r="Z1533" s="314"/>
    </row>
    <row r="1534" spans="2:26" s="147" customFormat="1" ht="14.15" customHeight="1" x14ac:dyDescent="0.35">
      <c r="B1534" s="146"/>
      <c r="E1534" s="314"/>
      <c r="F1534" s="314"/>
      <c r="G1534" s="314"/>
      <c r="H1534" s="314"/>
      <c r="I1534" s="314"/>
      <c r="J1534" s="314"/>
      <c r="K1534" s="314"/>
      <c r="L1534" s="314"/>
      <c r="M1534" s="314"/>
      <c r="N1534" s="314"/>
      <c r="O1534" s="314"/>
      <c r="P1534" s="314"/>
      <c r="Q1534" s="314"/>
      <c r="R1534" s="314"/>
      <c r="S1534" s="314"/>
      <c r="T1534" s="314"/>
      <c r="U1534" s="314"/>
      <c r="V1534" s="314"/>
      <c r="W1534" s="314"/>
      <c r="X1534" s="314"/>
      <c r="Y1534" s="314"/>
      <c r="Z1534" s="314"/>
    </row>
    <row r="1535" spans="2:26" s="147" customFormat="1" ht="14.15" customHeight="1" x14ac:dyDescent="0.35">
      <c r="B1535" s="146"/>
      <c r="E1535" s="314"/>
      <c r="F1535" s="314"/>
      <c r="G1535" s="314"/>
      <c r="H1535" s="314"/>
      <c r="I1535" s="314"/>
      <c r="J1535" s="314"/>
      <c r="K1535" s="314"/>
      <c r="L1535" s="314"/>
      <c r="M1535" s="314"/>
      <c r="N1535" s="314"/>
      <c r="O1535" s="314"/>
      <c r="P1535" s="314"/>
      <c r="Q1535" s="314"/>
      <c r="R1535" s="314"/>
      <c r="S1535" s="314"/>
      <c r="T1535" s="314"/>
      <c r="U1535" s="314"/>
      <c r="V1535" s="314"/>
      <c r="W1535" s="314"/>
      <c r="X1535" s="314"/>
      <c r="Y1535" s="314"/>
      <c r="Z1535" s="314"/>
    </row>
    <row r="1536" spans="2:26" s="147" customFormat="1" ht="14.15" customHeight="1" x14ac:dyDescent="0.35">
      <c r="B1536" s="146"/>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row>
    <row r="1537" spans="2:26" s="147" customFormat="1" ht="14.15" customHeight="1" x14ac:dyDescent="0.35">
      <c r="B1537" s="146"/>
      <c r="E1537" s="314"/>
      <c r="F1537" s="314"/>
      <c r="G1537" s="314"/>
      <c r="H1537" s="314"/>
      <c r="I1537" s="314"/>
      <c r="J1537" s="314"/>
      <c r="K1537" s="314"/>
      <c r="L1537" s="314"/>
      <c r="M1537" s="314"/>
      <c r="N1537" s="314"/>
      <c r="O1537" s="314"/>
      <c r="P1537" s="314"/>
      <c r="Q1537" s="314"/>
      <c r="R1537" s="314"/>
      <c r="S1537" s="314"/>
      <c r="T1537" s="314"/>
      <c r="U1537" s="314"/>
      <c r="V1537" s="314"/>
      <c r="W1537" s="314"/>
      <c r="X1537" s="314"/>
      <c r="Y1537" s="314"/>
      <c r="Z1537" s="314"/>
    </row>
    <row r="1538" spans="2:26" s="147" customFormat="1" ht="14.15" customHeight="1" x14ac:dyDescent="0.35">
      <c r="B1538" s="146"/>
      <c r="E1538" s="314"/>
      <c r="F1538" s="314"/>
      <c r="G1538" s="314"/>
      <c r="H1538" s="314"/>
      <c r="I1538" s="314"/>
      <c r="J1538" s="314"/>
      <c r="K1538" s="314"/>
      <c r="L1538" s="314"/>
      <c r="M1538" s="314"/>
      <c r="N1538" s="314"/>
      <c r="O1538" s="314"/>
      <c r="P1538" s="314"/>
      <c r="Q1538" s="314"/>
      <c r="R1538" s="314"/>
      <c r="S1538" s="314"/>
      <c r="T1538" s="314"/>
      <c r="U1538" s="314"/>
      <c r="V1538" s="314"/>
      <c r="W1538" s="314"/>
      <c r="X1538" s="314"/>
      <c r="Y1538" s="314"/>
      <c r="Z1538" s="314"/>
    </row>
    <row r="1539" spans="2:26" s="147" customFormat="1" ht="14.15" customHeight="1" x14ac:dyDescent="0.35">
      <c r="B1539" s="146"/>
      <c r="E1539" s="314"/>
      <c r="F1539" s="314"/>
      <c r="G1539" s="314"/>
      <c r="H1539" s="314"/>
      <c r="I1539" s="314"/>
      <c r="J1539" s="314"/>
      <c r="K1539" s="314"/>
      <c r="L1539" s="314"/>
      <c r="M1539" s="314"/>
      <c r="N1539" s="314"/>
      <c r="O1539" s="314"/>
      <c r="P1539" s="314"/>
      <c r="Q1539" s="314"/>
      <c r="R1539" s="314"/>
      <c r="S1539" s="314"/>
      <c r="T1539" s="314"/>
      <c r="U1539" s="314"/>
      <c r="V1539" s="314"/>
      <c r="W1539" s="314"/>
      <c r="X1539" s="314"/>
      <c r="Y1539" s="314"/>
      <c r="Z1539" s="314"/>
    </row>
    <row r="1540" spans="2:26" s="147" customFormat="1" ht="14.15" customHeight="1" x14ac:dyDescent="0.35">
      <c r="B1540" s="146"/>
      <c r="E1540" s="314"/>
      <c r="F1540" s="314"/>
      <c r="G1540" s="314"/>
      <c r="H1540" s="314"/>
      <c r="I1540" s="314"/>
      <c r="J1540" s="314"/>
      <c r="K1540" s="314"/>
      <c r="L1540" s="314"/>
      <c r="M1540" s="314"/>
      <c r="N1540" s="314"/>
      <c r="O1540" s="314"/>
      <c r="P1540" s="314"/>
      <c r="Q1540" s="314"/>
      <c r="R1540" s="314"/>
      <c r="S1540" s="314"/>
      <c r="T1540" s="314"/>
      <c r="U1540" s="314"/>
      <c r="V1540" s="314"/>
      <c r="W1540" s="314"/>
      <c r="X1540" s="314"/>
      <c r="Y1540" s="314"/>
      <c r="Z1540" s="314"/>
    </row>
    <row r="1541" spans="2:26" s="147" customFormat="1" ht="14.15" customHeight="1" x14ac:dyDescent="0.35">
      <c r="B1541" s="146"/>
      <c r="E1541" s="314"/>
      <c r="F1541" s="314"/>
      <c r="G1541" s="314"/>
      <c r="H1541" s="314"/>
      <c r="I1541" s="314"/>
      <c r="J1541" s="314"/>
      <c r="K1541" s="314"/>
      <c r="L1541" s="314"/>
      <c r="M1541" s="314"/>
      <c r="N1541" s="314"/>
      <c r="O1541" s="314"/>
      <c r="P1541" s="314"/>
      <c r="Q1541" s="314"/>
      <c r="R1541" s="314"/>
      <c r="S1541" s="314"/>
      <c r="T1541" s="314"/>
      <c r="U1541" s="314"/>
      <c r="V1541" s="314"/>
      <c r="W1541" s="314"/>
      <c r="X1541" s="314"/>
      <c r="Y1541" s="314"/>
      <c r="Z1541" s="314"/>
    </row>
    <row r="1542" spans="2:26" s="147" customFormat="1" ht="14.15" customHeight="1" x14ac:dyDescent="0.35">
      <c r="B1542" s="146"/>
      <c r="E1542" s="314"/>
      <c r="F1542" s="314"/>
      <c r="G1542" s="314"/>
      <c r="H1542" s="314"/>
      <c r="I1542" s="314"/>
      <c r="J1542" s="314"/>
      <c r="K1542" s="314"/>
      <c r="L1542" s="314"/>
      <c r="M1542" s="314"/>
      <c r="N1542" s="314"/>
      <c r="O1542" s="314"/>
      <c r="P1542" s="314"/>
      <c r="Q1542" s="314"/>
      <c r="R1542" s="314"/>
      <c r="S1542" s="314"/>
      <c r="T1542" s="314"/>
      <c r="U1542" s="314"/>
      <c r="V1542" s="314"/>
      <c r="W1542" s="314"/>
      <c r="X1542" s="314"/>
      <c r="Y1542" s="314"/>
      <c r="Z1542" s="314"/>
    </row>
    <row r="1543" spans="2:26" s="147" customFormat="1" ht="14.15" customHeight="1" x14ac:dyDescent="0.35">
      <c r="B1543" s="146"/>
      <c r="E1543" s="314"/>
      <c r="F1543" s="314"/>
      <c r="G1543" s="314"/>
      <c r="H1543" s="314"/>
      <c r="I1543" s="314"/>
      <c r="J1543" s="314"/>
      <c r="K1543" s="314"/>
      <c r="L1543" s="314"/>
      <c r="M1543" s="314"/>
      <c r="N1543" s="314"/>
      <c r="O1543" s="314"/>
      <c r="P1543" s="314"/>
      <c r="Q1543" s="314"/>
      <c r="R1543" s="314"/>
      <c r="S1543" s="314"/>
      <c r="T1543" s="314"/>
      <c r="U1543" s="314"/>
      <c r="V1543" s="314"/>
      <c r="W1543" s="314"/>
      <c r="X1543" s="314"/>
      <c r="Y1543" s="314"/>
      <c r="Z1543" s="314"/>
    </row>
    <row r="1544" spans="2:26" s="147" customFormat="1" ht="14.15" customHeight="1" x14ac:dyDescent="0.35">
      <c r="B1544" s="146"/>
      <c r="E1544" s="314"/>
      <c r="F1544" s="314"/>
      <c r="G1544" s="314"/>
      <c r="H1544" s="314"/>
      <c r="I1544" s="314"/>
      <c r="J1544" s="314"/>
      <c r="K1544" s="314"/>
      <c r="L1544" s="314"/>
      <c r="M1544" s="314"/>
      <c r="N1544" s="314"/>
      <c r="O1544" s="314"/>
      <c r="P1544" s="314"/>
      <c r="Q1544" s="314"/>
      <c r="R1544" s="314"/>
      <c r="S1544" s="314"/>
      <c r="T1544" s="314"/>
      <c r="U1544" s="314"/>
      <c r="V1544" s="314"/>
      <c r="W1544" s="314"/>
      <c r="X1544" s="314"/>
      <c r="Y1544" s="314"/>
      <c r="Z1544" s="314"/>
    </row>
    <row r="1545" spans="2:26" s="147" customFormat="1" ht="14.15" customHeight="1" x14ac:dyDescent="0.35">
      <c r="B1545" s="146"/>
      <c r="E1545" s="314"/>
      <c r="F1545" s="314"/>
      <c r="G1545" s="314"/>
      <c r="H1545" s="314"/>
      <c r="I1545" s="314"/>
      <c r="J1545" s="314"/>
      <c r="K1545" s="314"/>
      <c r="L1545" s="314"/>
      <c r="M1545" s="314"/>
      <c r="N1545" s="314"/>
      <c r="O1545" s="314"/>
      <c r="P1545" s="314"/>
      <c r="Q1545" s="314"/>
      <c r="R1545" s="314"/>
      <c r="S1545" s="314"/>
      <c r="T1545" s="314"/>
      <c r="U1545" s="314"/>
      <c r="V1545" s="314"/>
      <c r="W1545" s="314"/>
      <c r="X1545" s="314"/>
      <c r="Y1545" s="314"/>
      <c r="Z1545" s="314"/>
    </row>
    <row r="1546" spans="2:26" s="147" customFormat="1" ht="14.15" customHeight="1" x14ac:dyDescent="0.35">
      <c r="B1546" s="146"/>
      <c r="E1546" s="314"/>
      <c r="F1546" s="314"/>
      <c r="G1546" s="314"/>
      <c r="H1546" s="314"/>
      <c r="I1546" s="314"/>
      <c r="J1546" s="314"/>
      <c r="K1546" s="314"/>
      <c r="L1546" s="314"/>
      <c r="M1546" s="314"/>
      <c r="N1546" s="314"/>
      <c r="O1546" s="314"/>
      <c r="P1546" s="314"/>
      <c r="Q1546" s="314"/>
      <c r="R1546" s="314"/>
      <c r="S1546" s="314"/>
      <c r="T1546" s="314"/>
      <c r="U1546" s="314"/>
      <c r="V1546" s="314"/>
      <c r="W1546" s="314"/>
      <c r="X1546" s="314"/>
      <c r="Y1546" s="314"/>
      <c r="Z1546" s="314"/>
    </row>
    <row r="1547" spans="2:26" s="147" customFormat="1" ht="14.15" customHeight="1" x14ac:dyDescent="0.35">
      <c r="B1547" s="146"/>
      <c r="E1547" s="314"/>
      <c r="F1547" s="314"/>
      <c r="G1547" s="314"/>
      <c r="H1547" s="314"/>
      <c r="I1547" s="314"/>
      <c r="J1547" s="314"/>
      <c r="K1547" s="314"/>
      <c r="L1547" s="314"/>
      <c r="M1547" s="314"/>
      <c r="N1547" s="314"/>
      <c r="O1547" s="314"/>
      <c r="P1547" s="314"/>
      <c r="Q1547" s="314"/>
      <c r="R1547" s="314"/>
      <c r="S1547" s="314"/>
      <c r="T1547" s="314"/>
      <c r="U1547" s="314"/>
      <c r="V1547" s="314"/>
      <c r="W1547" s="314"/>
      <c r="X1547" s="314"/>
      <c r="Y1547" s="314"/>
      <c r="Z1547" s="314"/>
    </row>
    <row r="1548" spans="2:26" s="147" customFormat="1" ht="14.15" customHeight="1" x14ac:dyDescent="0.35">
      <c r="B1548" s="146"/>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row>
    <row r="1549" spans="2:26" s="147" customFormat="1" ht="14.15" customHeight="1" x14ac:dyDescent="0.35">
      <c r="B1549" s="146"/>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row>
    <row r="1550" spans="2:26" s="147" customFormat="1" ht="14.15" customHeight="1" x14ac:dyDescent="0.35">
      <c r="B1550" s="146"/>
      <c r="E1550" s="314"/>
      <c r="F1550" s="314"/>
      <c r="G1550" s="314"/>
      <c r="H1550" s="314"/>
      <c r="I1550" s="314"/>
      <c r="J1550" s="314"/>
      <c r="K1550" s="314"/>
      <c r="L1550" s="314"/>
      <c r="M1550" s="314"/>
      <c r="N1550" s="314"/>
      <c r="O1550" s="314"/>
      <c r="P1550" s="314"/>
      <c r="Q1550" s="314"/>
      <c r="R1550" s="314"/>
      <c r="S1550" s="314"/>
      <c r="T1550" s="314"/>
      <c r="U1550" s="314"/>
      <c r="V1550" s="314"/>
      <c r="W1550" s="314"/>
      <c r="X1550" s="314"/>
      <c r="Y1550" s="314"/>
      <c r="Z1550" s="314"/>
    </row>
    <row r="1551" spans="2:26" s="147" customFormat="1" ht="14.15" customHeight="1" x14ac:dyDescent="0.35">
      <c r="B1551" s="146"/>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row>
    <row r="1552" spans="2:26" s="147" customFormat="1" ht="14.15" customHeight="1" x14ac:dyDescent="0.35">
      <c r="B1552" s="146"/>
      <c r="E1552" s="314"/>
      <c r="F1552" s="314"/>
      <c r="G1552" s="314"/>
      <c r="H1552" s="314"/>
      <c r="I1552" s="314"/>
      <c r="J1552" s="314"/>
      <c r="K1552" s="314"/>
      <c r="L1552" s="314"/>
      <c r="M1552" s="314"/>
      <c r="N1552" s="314"/>
      <c r="O1552" s="314"/>
      <c r="P1552" s="314"/>
      <c r="Q1552" s="314"/>
      <c r="R1552" s="314"/>
      <c r="S1552" s="314"/>
      <c r="T1552" s="314"/>
      <c r="U1552" s="314"/>
      <c r="V1552" s="314"/>
      <c r="W1552" s="314"/>
      <c r="X1552" s="314"/>
      <c r="Y1552" s="314"/>
      <c r="Z1552" s="314"/>
    </row>
    <row r="1553" spans="2:26" s="147" customFormat="1" ht="14.15" customHeight="1" x14ac:dyDescent="0.35">
      <c r="B1553" s="146"/>
      <c r="E1553" s="314"/>
      <c r="F1553" s="314"/>
      <c r="G1553" s="314"/>
      <c r="H1553" s="314"/>
      <c r="I1553" s="314"/>
      <c r="J1553" s="314"/>
      <c r="K1553" s="314"/>
      <c r="L1553" s="314"/>
      <c r="M1553" s="314"/>
      <c r="N1553" s="314"/>
      <c r="O1553" s="314"/>
      <c r="P1553" s="314"/>
      <c r="Q1553" s="314"/>
      <c r="R1553" s="314"/>
      <c r="S1553" s="314"/>
      <c r="T1553" s="314"/>
      <c r="U1553" s="314"/>
      <c r="V1553" s="314"/>
      <c r="W1553" s="314"/>
      <c r="X1553" s="314"/>
      <c r="Y1553" s="314"/>
      <c r="Z1553" s="314"/>
    </row>
    <row r="1554" spans="2:26" s="147" customFormat="1" ht="14.15" customHeight="1" x14ac:dyDescent="0.35">
      <c r="B1554" s="146"/>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314"/>
    </row>
    <row r="1555" spans="2:26" s="147" customFormat="1" ht="14.15" customHeight="1" x14ac:dyDescent="0.35">
      <c r="B1555" s="146"/>
      <c r="E1555" s="314"/>
      <c r="F1555" s="314"/>
      <c r="G1555" s="314"/>
      <c r="H1555" s="314"/>
      <c r="I1555" s="314"/>
      <c r="J1555" s="314"/>
      <c r="K1555" s="314"/>
      <c r="L1555" s="314"/>
      <c r="M1555" s="314"/>
      <c r="N1555" s="314"/>
      <c r="O1555" s="314"/>
      <c r="P1555" s="314"/>
      <c r="Q1555" s="314"/>
      <c r="R1555" s="314"/>
      <c r="S1555" s="314"/>
      <c r="T1555" s="314"/>
      <c r="U1555" s="314"/>
      <c r="V1555" s="314"/>
      <c r="W1555" s="314"/>
      <c r="X1555" s="314"/>
      <c r="Y1555" s="314"/>
      <c r="Z1555" s="314"/>
    </row>
    <row r="1556" spans="2:26" s="147" customFormat="1" ht="14.15" customHeight="1" x14ac:dyDescent="0.35">
      <c r="B1556" s="146"/>
      <c r="E1556" s="314"/>
      <c r="F1556" s="314"/>
      <c r="G1556" s="314"/>
      <c r="H1556" s="314"/>
      <c r="I1556" s="314"/>
      <c r="J1556" s="314"/>
      <c r="K1556" s="314"/>
      <c r="L1556" s="314"/>
      <c r="M1556" s="314"/>
      <c r="N1556" s="314"/>
      <c r="O1556" s="314"/>
      <c r="P1556" s="314"/>
      <c r="Q1556" s="314"/>
      <c r="R1556" s="314"/>
      <c r="S1556" s="314"/>
      <c r="T1556" s="314"/>
      <c r="U1556" s="314"/>
      <c r="V1556" s="314"/>
      <c r="W1556" s="314"/>
      <c r="X1556" s="314"/>
      <c r="Y1556" s="314"/>
      <c r="Z1556" s="314"/>
    </row>
    <row r="1557" spans="2:26" s="147" customFormat="1" ht="14.15" customHeight="1" x14ac:dyDescent="0.35">
      <c r="B1557" s="146"/>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row>
    <row r="1558" spans="2:26" s="147" customFormat="1" ht="14.15" customHeight="1" x14ac:dyDescent="0.35">
      <c r="B1558" s="146"/>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row>
    <row r="1559" spans="2:26" s="147" customFormat="1" ht="14.15" customHeight="1" x14ac:dyDescent="0.35">
      <c r="B1559" s="146"/>
      <c r="E1559" s="314"/>
      <c r="F1559" s="314"/>
      <c r="G1559" s="314"/>
      <c r="H1559" s="314"/>
      <c r="I1559" s="314"/>
      <c r="J1559" s="314"/>
      <c r="K1559" s="314"/>
      <c r="L1559" s="314"/>
      <c r="M1559" s="314"/>
      <c r="N1559" s="314"/>
      <c r="O1559" s="314"/>
      <c r="P1559" s="314"/>
      <c r="Q1559" s="314"/>
      <c r="R1559" s="314"/>
      <c r="S1559" s="314"/>
      <c r="T1559" s="314"/>
      <c r="U1559" s="314"/>
      <c r="V1559" s="314"/>
      <c r="W1559" s="314"/>
      <c r="X1559" s="314"/>
      <c r="Y1559" s="314"/>
      <c r="Z1559" s="314"/>
    </row>
    <row r="1560" spans="2:26" s="147" customFormat="1" ht="14.15" customHeight="1" x14ac:dyDescent="0.35">
      <c r="B1560" s="146"/>
      <c r="E1560" s="314"/>
      <c r="F1560" s="314"/>
      <c r="G1560" s="314"/>
      <c r="H1560" s="314"/>
      <c r="I1560" s="314"/>
      <c r="J1560" s="314"/>
      <c r="K1560" s="314"/>
      <c r="L1560" s="314"/>
      <c r="M1560" s="314"/>
      <c r="N1560" s="314"/>
      <c r="O1560" s="314"/>
      <c r="P1560" s="314"/>
      <c r="Q1560" s="314"/>
      <c r="R1560" s="314"/>
      <c r="S1560" s="314"/>
      <c r="T1560" s="314"/>
      <c r="U1560" s="314"/>
      <c r="V1560" s="314"/>
      <c r="W1560" s="314"/>
      <c r="X1560" s="314"/>
      <c r="Y1560" s="314"/>
      <c r="Z1560" s="314"/>
    </row>
    <row r="1561" spans="2:26" s="147" customFormat="1" ht="14.15" customHeight="1" x14ac:dyDescent="0.35">
      <c r="B1561" s="146"/>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row>
    <row r="1562" spans="2:26" s="147" customFormat="1" ht="14.15" customHeight="1" x14ac:dyDescent="0.35">
      <c r="B1562" s="146"/>
      <c r="E1562" s="314"/>
      <c r="F1562" s="314"/>
      <c r="G1562" s="314"/>
      <c r="H1562" s="314"/>
      <c r="I1562" s="314"/>
      <c r="J1562" s="314"/>
      <c r="K1562" s="314"/>
      <c r="L1562" s="314"/>
      <c r="M1562" s="314"/>
      <c r="N1562" s="314"/>
      <c r="O1562" s="314"/>
      <c r="P1562" s="314"/>
      <c r="Q1562" s="314"/>
      <c r="R1562" s="314"/>
      <c r="S1562" s="314"/>
      <c r="T1562" s="314"/>
      <c r="U1562" s="314"/>
      <c r="V1562" s="314"/>
      <c r="W1562" s="314"/>
      <c r="X1562" s="314"/>
      <c r="Y1562" s="314"/>
      <c r="Z1562" s="314"/>
    </row>
    <row r="1563" spans="2:26" x14ac:dyDescent="0.35">
      <c r="E1563" s="314"/>
      <c r="F1563" s="314"/>
      <c r="G1563" s="314"/>
      <c r="H1563" s="314"/>
      <c r="I1563" s="314"/>
      <c r="J1563" s="314"/>
      <c r="K1563" s="314"/>
      <c r="L1563" s="314"/>
      <c r="M1563" s="314"/>
      <c r="N1563" s="314"/>
      <c r="O1563" s="314"/>
      <c r="P1563" s="314"/>
      <c r="Q1563" s="314"/>
      <c r="R1563" s="314"/>
      <c r="S1563" s="314"/>
      <c r="T1563" s="314"/>
      <c r="U1563" s="314"/>
      <c r="V1563" s="314"/>
      <c r="W1563" s="314"/>
      <c r="X1563" s="314"/>
      <c r="Y1563" s="314"/>
      <c r="Z1563" s="314"/>
    </row>
    <row r="1564" spans="2:26" x14ac:dyDescent="0.35">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row>
    <row r="1565" spans="2:26" x14ac:dyDescent="0.35">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row>
    <row r="1566" spans="2:26" x14ac:dyDescent="0.35">
      <c r="E1566" s="314"/>
      <c r="F1566" s="314"/>
      <c r="G1566" s="314"/>
      <c r="H1566" s="314"/>
      <c r="I1566" s="314"/>
      <c r="J1566" s="314"/>
      <c r="K1566" s="314"/>
      <c r="L1566" s="314"/>
      <c r="M1566" s="314"/>
      <c r="N1566" s="314"/>
      <c r="O1566" s="314"/>
      <c r="P1566" s="314"/>
      <c r="Q1566" s="314"/>
      <c r="R1566" s="314"/>
      <c r="S1566" s="314"/>
      <c r="T1566" s="314"/>
      <c r="U1566" s="314"/>
      <c r="V1566" s="314"/>
      <c r="W1566" s="314"/>
      <c r="X1566" s="314"/>
      <c r="Y1566" s="314"/>
      <c r="Z1566" s="314"/>
    </row>
    <row r="1567" spans="2:26" x14ac:dyDescent="0.35">
      <c r="E1567" s="314"/>
      <c r="F1567" s="314"/>
      <c r="G1567" s="314"/>
      <c r="H1567" s="314"/>
      <c r="I1567" s="314"/>
      <c r="J1567" s="314"/>
      <c r="K1567" s="314"/>
      <c r="L1567" s="314"/>
      <c r="M1567" s="314"/>
      <c r="N1567" s="314"/>
      <c r="O1567" s="314"/>
      <c r="P1567" s="314"/>
      <c r="Q1567" s="314"/>
      <c r="R1567" s="314"/>
      <c r="S1567" s="314"/>
      <c r="T1567" s="314"/>
      <c r="U1567" s="314"/>
      <c r="V1567" s="314"/>
      <c r="W1567" s="314"/>
      <c r="X1567" s="314"/>
      <c r="Y1567" s="314"/>
      <c r="Z1567" s="314"/>
    </row>
    <row r="1568" spans="2:26" x14ac:dyDescent="0.35">
      <c r="E1568" s="314"/>
      <c r="F1568" s="314"/>
      <c r="G1568" s="314"/>
      <c r="H1568" s="314"/>
      <c r="I1568" s="314"/>
      <c r="J1568" s="314"/>
      <c r="K1568" s="314"/>
      <c r="L1568" s="314"/>
      <c r="M1568" s="314"/>
      <c r="N1568" s="314"/>
      <c r="O1568" s="314"/>
      <c r="P1568" s="314"/>
      <c r="Q1568" s="314"/>
      <c r="R1568" s="314"/>
      <c r="S1568" s="314"/>
      <c r="T1568" s="314"/>
      <c r="U1568" s="314"/>
      <c r="V1568" s="314"/>
      <c r="W1568" s="314"/>
      <c r="X1568" s="314"/>
      <c r="Y1568" s="314"/>
      <c r="Z1568" s="314"/>
    </row>
    <row r="1569" spans="5:26" x14ac:dyDescent="0.35">
      <c r="E1569" s="314"/>
      <c r="F1569" s="314"/>
      <c r="G1569" s="314"/>
      <c r="H1569" s="314"/>
      <c r="I1569" s="314"/>
      <c r="J1569" s="314"/>
      <c r="K1569" s="314"/>
      <c r="L1569" s="314"/>
      <c r="M1569" s="314"/>
      <c r="N1569" s="314"/>
      <c r="O1569" s="314"/>
      <c r="P1569" s="314"/>
      <c r="Q1569" s="314"/>
      <c r="R1569" s="314"/>
      <c r="S1569" s="314"/>
      <c r="T1569" s="314"/>
      <c r="U1569" s="314"/>
      <c r="V1569" s="314"/>
      <c r="W1569" s="314"/>
      <c r="X1569" s="314"/>
      <c r="Y1569" s="314"/>
      <c r="Z1569" s="314"/>
    </row>
    <row r="1570" spans="5:26" x14ac:dyDescent="0.35">
      <c r="E1570" s="314"/>
      <c r="F1570" s="314"/>
      <c r="G1570" s="314"/>
      <c r="H1570" s="314"/>
      <c r="I1570" s="314"/>
      <c r="J1570" s="314"/>
      <c r="K1570" s="314"/>
      <c r="L1570" s="314"/>
      <c r="M1570" s="314"/>
      <c r="N1570" s="314"/>
      <c r="O1570" s="314"/>
      <c r="P1570" s="314"/>
      <c r="Q1570" s="314"/>
      <c r="R1570" s="314"/>
      <c r="S1570" s="314"/>
      <c r="T1570" s="314"/>
      <c r="U1570" s="314"/>
      <c r="V1570" s="314"/>
      <c r="W1570" s="314"/>
      <c r="X1570" s="314"/>
      <c r="Y1570" s="314"/>
      <c r="Z1570" s="314"/>
    </row>
    <row r="1571" spans="5:26" x14ac:dyDescent="0.35">
      <c r="E1571" s="314"/>
      <c r="F1571" s="314"/>
      <c r="G1571" s="314"/>
      <c r="H1571" s="314"/>
      <c r="I1571" s="314"/>
      <c r="J1571" s="314"/>
      <c r="K1571" s="314"/>
      <c r="L1571" s="314"/>
      <c r="M1571" s="314"/>
      <c r="N1571" s="314"/>
      <c r="O1571" s="314"/>
      <c r="P1571" s="314"/>
      <c r="Q1571" s="314"/>
      <c r="R1571" s="314"/>
      <c r="S1571" s="314"/>
      <c r="T1571" s="314"/>
      <c r="U1571" s="314"/>
      <c r="V1571" s="314"/>
      <c r="W1571" s="314"/>
      <c r="X1571" s="314"/>
      <c r="Y1571" s="314"/>
      <c r="Z1571" s="314"/>
    </row>
    <row r="1572" spans="5:26" x14ac:dyDescent="0.35">
      <c r="E1572" s="314"/>
      <c r="F1572" s="314"/>
      <c r="G1572" s="314"/>
      <c r="H1572" s="314"/>
      <c r="I1572" s="314"/>
      <c r="J1572" s="314"/>
      <c r="K1572" s="314"/>
      <c r="L1572" s="314"/>
      <c r="M1572" s="314"/>
      <c r="N1572" s="314"/>
      <c r="O1572" s="314"/>
      <c r="P1572" s="314"/>
      <c r="Q1572" s="314"/>
      <c r="R1572" s="314"/>
      <c r="S1572" s="314"/>
      <c r="T1572" s="314"/>
      <c r="U1572" s="314"/>
      <c r="V1572" s="314"/>
      <c r="W1572" s="314"/>
      <c r="X1572" s="314"/>
      <c r="Y1572" s="314"/>
      <c r="Z1572" s="314"/>
    </row>
    <row r="1573" spans="5:26" x14ac:dyDescent="0.35">
      <c r="E1573" s="314"/>
      <c r="F1573" s="314"/>
      <c r="G1573" s="314"/>
      <c r="H1573" s="314"/>
      <c r="I1573" s="314"/>
      <c r="J1573" s="314"/>
      <c r="K1573" s="314"/>
      <c r="L1573" s="314"/>
      <c r="M1573" s="314"/>
      <c r="N1573" s="314"/>
      <c r="O1573" s="314"/>
      <c r="P1573" s="314"/>
      <c r="Q1573" s="314"/>
      <c r="R1573" s="314"/>
      <c r="S1573" s="314"/>
      <c r="T1573" s="314"/>
      <c r="U1573" s="314"/>
      <c r="V1573" s="314"/>
      <c r="W1573" s="314"/>
      <c r="X1573" s="314"/>
      <c r="Y1573" s="314"/>
      <c r="Z1573" s="314"/>
    </row>
    <row r="1574" spans="5:26" x14ac:dyDescent="0.35">
      <c r="E1574" s="314"/>
      <c r="F1574" s="314"/>
      <c r="G1574" s="314"/>
      <c r="H1574" s="314"/>
      <c r="I1574" s="314"/>
      <c r="J1574" s="314"/>
      <c r="K1574" s="314"/>
      <c r="L1574" s="314"/>
      <c r="M1574" s="314"/>
      <c r="N1574" s="314"/>
      <c r="O1574" s="314"/>
      <c r="P1574" s="314"/>
      <c r="Q1574" s="314"/>
      <c r="R1574" s="314"/>
      <c r="S1574" s="314"/>
      <c r="T1574" s="314"/>
      <c r="U1574" s="314"/>
      <c r="V1574" s="314"/>
      <c r="W1574" s="314"/>
      <c r="X1574" s="314"/>
      <c r="Y1574" s="314"/>
      <c r="Z1574" s="314"/>
    </row>
    <row r="1575" spans="5:26" x14ac:dyDescent="0.35">
      <c r="E1575" s="314"/>
      <c r="F1575" s="314"/>
      <c r="G1575" s="314"/>
      <c r="H1575" s="314"/>
      <c r="I1575" s="314"/>
      <c r="J1575" s="314"/>
      <c r="K1575" s="314"/>
      <c r="L1575" s="314"/>
      <c r="M1575" s="314"/>
      <c r="N1575" s="314"/>
      <c r="O1575" s="314"/>
      <c r="P1575" s="314"/>
      <c r="Q1575" s="314"/>
      <c r="R1575" s="314"/>
      <c r="S1575" s="314"/>
      <c r="T1575" s="314"/>
      <c r="U1575" s="314"/>
      <c r="V1575" s="314"/>
      <c r="W1575" s="314"/>
      <c r="X1575" s="314"/>
      <c r="Y1575" s="314"/>
      <c r="Z1575" s="314"/>
    </row>
    <row r="1576" spans="5:26" x14ac:dyDescent="0.35">
      <c r="E1576" s="314"/>
      <c r="F1576" s="314"/>
      <c r="G1576" s="314"/>
      <c r="H1576" s="314"/>
      <c r="I1576" s="314"/>
      <c r="J1576" s="314"/>
      <c r="K1576" s="314"/>
      <c r="L1576" s="314"/>
      <c r="M1576" s="314"/>
      <c r="N1576" s="314"/>
      <c r="O1576" s="314"/>
      <c r="P1576" s="314"/>
      <c r="Q1576" s="314"/>
      <c r="R1576" s="314"/>
      <c r="S1576" s="314"/>
      <c r="T1576" s="314"/>
      <c r="U1576" s="314"/>
      <c r="V1576" s="314"/>
      <c r="W1576" s="314"/>
      <c r="X1576" s="314"/>
      <c r="Y1576" s="314"/>
      <c r="Z1576" s="314"/>
    </row>
    <row r="1577" spans="5:26" x14ac:dyDescent="0.35">
      <c r="E1577" s="314"/>
      <c r="F1577" s="314"/>
      <c r="G1577" s="314"/>
      <c r="H1577" s="314"/>
      <c r="I1577" s="314"/>
      <c r="J1577" s="314"/>
      <c r="K1577" s="314"/>
      <c r="L1577" s="314"/>
      <c r="M1577" s="314"/>
      <c r="N1577" s="314"/>
      <c r="O1577" s="314"/>
      <c r="P1577" s="314"/>
      <c r="Q1577" s="314"/>
      <c r="R1577" s="314"/>
      <c r="S1577" s="314"/>
      <c r="T1577" s="314"/>
      <c r="U1577" s="314"/>
      <c r="V1577" s="314"/>
      <c r="W1577" s="314"/>
      <c r="X1577" s="314"/>
      <c r="Y1577" s="314"/>
      <c r="Z1577" s="314"/>
    </row>
    <row r="1578" spans="5:26" x14ac:dyDescent="0.35">
      <c r="E1578" s="314"/>
      <c r="F1578" s="314"/>
      <c r="G1578" s="314"/>
      <c r="H1578" s="314"/>
      <c r="I1578" s="314"/>
      <c r="J1578" s="314"/>
      <c r="K1578" s="314"/>
      <c r="L1578" s="314"/>
      <c r="M1578" s="314"/>
      <c r="N1578" s="314"/>
      <c r="O1578" s="314"/>
      <c r="P1578" s="314"/>
      <c r="Q1578" s="314"/>
      <c r="R1578" s="314"/>
      <c r="S1578" s="314"/>
      <c r="T1578" s="314"/>
      <c r="U1578" s="314"/>
      <c r="V1578" s="314"/>
      <c r="W1578" s="314"/>
      <c r="X1578" s="314"/>
      <c r="Y1578" s="314"/>
      <c r="Z1578" s="314"/>
    </row>
    <row r="1579" spans="5:26" x14ac:dyDescent="0.35">
      <c r="E1579" s="314"/>
      <c r="F1579" s="314"/>
      <c r="G1579" s="314"/>
      <c r="H1579" s="314"/>
      <c r="I1579" s="314"/>
      <c r="J1579" s="314"/>
      <c r="K1579" s="314"/>
      <c r="L1579" s="314"/>
      <c r="M1579" s="314"/>
      <c r="N1579" s="314"/>
      <c r="O1579" s="314"/>
      <c r="P1579" s="314"/>
      <c r="Q1579" s="314"/>
      <c r="R1579" s="314"/>
      <c r="S1579" s="314"/>
      <c r="T1579" s="314"/>
      <c r="U1579" s="314"/>
      <c r="V1579" s="314"/>
      <c r="W1579" s="314"/>
      <c r="X1579" s="314"/>
      <c r="Y1579" s="314"/>
      <c r="Z1579" s="314"/>
    </row>
    <row r="1580" spans="5:26" x14ac:dyDescent="0.35">
      <c r="E1580" s="314"/>
      <c r="F1580" s="314"/>
      <c r="G1580" s="314"/>
      <c r="H1580" s="314"/>
      <c r="I1580" s="314"/>
      <c r="J1580" s="314"/>
      <c r="K1580" s="314"/>
      <c r="L1580" s="314"/>
      <c r="M1580" s="314"/>
      <c r="N1580" s="314"/>
      <c r="O1580" s="314"/>
      <c r="P1580" s="314"/>
      <c r="Q1580" s="314"/>
      <c r="R1580" s="314"/>
      <c r="S1580" s="314"/>
      <c r="T1580" s="314"/>
      <c r="U1580" s="314"/>
      <c r="V1580" s="314"/>
      <c r="W1580" s="314"/>
      <c r="X1580" s="314"/>
      <c r="Y1580" s="314"/>
      <c r="Z1580" s="314"/>
    </row>
    <row r="1581" spans="5:26" x14ac:dyDescent="0.35">
      <c r="E1581" s="314"/>
      <c r="F1581" s="314"/>
      <c r="G1581" s="314"/>
      <c r="H1581" s="314"/>
      <c r="I1581" s="314"/>
      <c r="J1581" s="314"/>
      <c r="K1581" s="314"/>
      <c r="L1581" s="314"/>
      <c r="M1581" s="314"/>
      <c r="N1581" s="314"/>
      <c r="O1581" s="314"/>
      <c r="P1581" s="314"/>
      <c r="Q1581" s="314"/>
      <c r="R1581" s="314"/>
      <c r="S1581" s="314"/>
      <c r="T1581" s="314"/>
      <c r="U1581" s="314"/>
      <c r="V1581" s="314"/>
      <c r="W1581" s="314"/>
      <c r="X1581" s="314"/>
      <c r="Y1581" s="314"/>
      <c r="Z1581" s="314"/>
    </row>
    <row r="1582" spans="5:26" x14ac:dyDescent="0.35">
      <c r="E1582" s="314"/>
      <c r="F1582" s="314"/>
      <c r="G1582" s="314"/>
      <c r="H1582" s="314"/>
      <c r="I1582" s="314"/>
      <c r="J1582" s="314"/>
      <c r="K1582" s="314"/>
      <c r="L1582" s="314"/>
      <c r="M1582" s="314"/>
      <c r="N1582" s="314"/>
      <c r="O1582" s="314"/>
      <c r="P1582" s="314"/>
      <c r="Q1582" s="314"/>
      <c r="R1582" s="314"/>
      <c r="S1582" s="314"/>
      <c r="T1582" s="314"/>
      <c r="U1582" s="314"/>
      <c r="V1582" s="314"/>
      <c r="W1582" s="314"/>
      <c r="X1582" s="314"/>
      <c r="Y1582" s="314"/>
      <c r="Z1582" s="314"/>
    </row>
    <row r="1583" spans="5:26" x14ac:dyDescent="0.35">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row>
    <row r="1584" spans="5:26" x14ac:dyDescent="0.35">
      <c r="E1584" s="314"/>
      <c r="F1584" s="314"/>
      <c r="G1584" s="314"/>
      <c r="H1584" s="314"/>
      <c r="I1584" s="314"/>
      <c r="J1584" s="314"/>
      <c r="K1584" s="314"/>
      <c r="L1584" s="314"/>
      <c r="M1584" s="314"/>
      <c r="N1584" s="314"/>
      <c r="O1584" s="314"/>
      <c r="P1584" s="314"/>
      <c r="Q1584" s="314"/>
      <c r="R1584" s="314"/>
      <c r="S1584" s="314"/>
      <c r="T1584" s="314"/>
      <c r="U1584" s="314"/>
      <c r="V1584" s="314"/>
      <c r="W1584" s="314"/>
      <c r="X1584" s="314"/>
      <c r="Y1584" s="314"/>
      <c r="Z1584" s="314"/>
    </row>
    <row r="1585" spans="5:26" x14ac:dyDescent="0.35">
      <c r="E1585" s="314"/>
      <c r="F1585" s="314"/>
      <c r="G1585" s="314"/>
      <c r="H1585" s="314"/>
      <c r="I1585" s="314"/>
      <c r="J1585" s="314"/>
      <c r="K1585" s="314"/>
      <c r="L1585" s="314"/>
      <c r="M1585" s="314"/>
      <c r="N1585" s="314"/>
      <c r="O1585" s="314"/>
      <c r="P1585" s="314"/>
      <c r="Q1585" s="314"/>
      <c r="R1585" s="314"/>
      <c r="S1585" s="314"/>
      <c r="T1585" s="314"/>
      <c r="U1585" s="314"/>
      <c r="V1585" s="314"/>
      <c r="W1585" s="314"/>
      <c r="X1585" s="314"/>
      <c r="Y1585" s="314"/>
      <c r="Z1585" s="314"/>
    </row>
    <row r="1586" spans="5:26" x14ac:dyDescent="0.35">
      <c r="E1586" s="314"/>
      <c r="F1586" s="314"/>
      <c r="G1586" s="314"/>
      <c r="H1586" s="314"/>
      <c r="I1586" s="314"/>
      <c r="J1586" s="314"/>
      <c r="K1586" s="314"/>
      <c r="L1586" s="314"/>
      <c r="M1586" s="314"/>
      <c r="N1586" s="314"/>
      <c r="O1586" s="314"/>
      <c r="P1586" s="314"/>
      <c r="Q1586" s="314"/>
      <c r="R1586" s="314"/>
      <c r="S1586" s="314"/>
      <c r="T1586" s="314"/>
      <c r="U1586" s="314"/>
      <c r="V1586" s="314"/>
      <c r="W1586" s="314"/>
      <c r="X1586" s="314"/>
      <c r="Y1586" s="314"/>
      <c r="Z1586" s="314"/>
    </row>
    <row r="1587" spans="5:26" x14ac:dyDescent="0.35">
      <c r="E1587" s="314"/>
      <c r="F1587" s="314"/>
      <c r="G1587" s="314"/>
      <c r="H1587" s="314"/>
      <c r="I1587" s="314"/>
      <c r="J1587" s="314"/>
      <c r="K1587" s="314"/>
      <c r="L1587" s="314"/>
      <c r="M1587" s="314"/>
      <c r="N1587" s="314"/>
      <c r="O1587" s="314"/>
      <c r="P1587" s="314"/>
      <c r="Q1587" s="314"/>
      <c r="R1587" s="314"/>
      <c r="S1587" s="314"/>
      <c r="T1587" s="314"/>
      <c r="U1587" s="314"/>
      <c r="V1587" s="314"/>
      <c r="W1587" s="314"/>
      <c r="X1587" s="314"/>
      <c r="Y1587" s="314"/>
      <c r="Z1587" s="314"/>
    </row>
    <row r="1588" spans="5:26" x14ac:dyDescent="0.35">
      <c r="E1588" s="314"/>
      <c r="F1588" s="314"/>
      <c r="G1588" s="314"/>
      <c r="H1588" s="314"/>
      <c r="I1588" s="314"/>
      <c r="J1588" s="314"/>
      <c r="K1588" s="314"/>
      <c r="L1588" s="314"/>
      <c r="M1588" s="314"/>
      <c r="N1588" s="314"/>
      <c r="O1588" s="314"/>
      <c r="P1588" s="314"/>
      <c r="Q1588" s="314"/>
      <c r="R1588" s="314"/>
      <c r="S1588" s="314"/>
      <c r="T1588" s="314"/>
      <c r="U1588" s="314"/>
      <c r="V1588" s="314"/>
      <c r="W1588" s="314"/>
      <c r="X1588" s="314"/>
      <c r="Y1588" s="314"/>
      <c r="Z1588" s="314"/>
    </row>
    <row r="1589" spans="5:26" x14ac:dyDescent="0.35">
      <c r="E1589" s="314"/>
      <c r="F1589" s="314"/>
      <c r="G1589" s="314"/>
      <c r="H1589" s="314"/>
      <c r="I1589" s="314"/>
      <c r="J1589" s="314"/>
      <c r="K1589" s="314"/>
      <c r="L1589" s="314"/>
      <c r="M1589" s="314"/>
      <c r="N1589" s="314"/>
      <c r="O1589" s="314"/>
      <c r="P1589" s="314"/>
      <c r="Q1589" s="314"/>
      <c r="R1589" s="314"/>
      <c r="S1589" s="314"/>
      <c r="T1589" s="314"/>
      <c r="U1589" s="314"/>
      <c r="V1589" s="314"/>
      <c r="W1589" s="314"/>
      <c r="X1589" s="314"/>
      <c r="Y1589" s="314"/>
      <c r="Z1589" s="314"/>
    </row>
    <row r="1590" spans="5:26" x14ac:dyDescent="0.35">
      <c r="E1590" s="314"/>
      <c r="F1590" s="314"/>
      <c r="G1590" s="314"/>
      <c r="H1590" s="314"/>
      <c r="I1590" s="314"/>
      <c r="J1590" s="314"/>
      <c r="K1590" s="314"/>
      <c r="L1590" s="314"/>
      <c r="M1590" s="314"/>
      <c r="N1590" s="314"/>
      <c r="O1590" s="314"/>
      <c r="P1590" s="314"/>
      <c r="Q1590" s="314"/>
      <c r="R1590" s="314"/>
      <c r="S1590" s="314"/>
      <c r="T1590" s="314"/>
      <c r="U1590" s="314"/>
      <c r="V1590" s="314"/>
      <c r="W1590" s="314"/>
      <c r="X1590" s="314"/>
      <c r="Y1590" s="314"/>
      <c r="Z1590" s="314"/>
    </row>
    <row r="1591" spans="5:26" x14ac:dyDescent="0.35">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row>
    <row r="1592" spans="5:26" x14ac:dyDescent="0.35">
      <c r="E1592" s="314"/>
      <c r="F1592" s="314"/>
      <c r="G1592" s="314"/>
      <c r="H1592" s="314"/>
      <c r="I1592" s="314"/>
      <c r="J1592" s="314"/>
      <c r="K1592" s="314"/>
      <c r="L1592" s="314"/>
      <c r="M1592" s="314"/>
      <c r="N1592" s="314"/>
      <c r="O1592" s="314"/>
      <c r="P1592" s="314"/>
      <c r="Q1592" s="314"/>
      <c r="R1592" s="314"/>
      <c r="S1592" s="314"/>
      <c r="T1592" s="314"/>
      <c r="U1592" s="314"/>
      <c r="V1592" s="314"/>
      <c r="W1592" s="314"/>
      <c r="X1592" s="314"/>
      <c r="Y1592" s="314"/>
      <c r="Z1592" s="314"/>
    </row>
    <row r="1593" spans="5:26" x14ac:dyDescent="0.35">
      <c r="E1593" s="314"/>
      <c r="F1593" s="314"/>
      <c r="G1593" s="314"/>
      <c r="H1593" s="314"/>
      <c r="I1593" s="314"/>
      <c r="J1593" s="314"/>
      <c r="K1593" s="314"/>
      <c r="L1593" s="314"/>
      <c r="M1593" s="314"/>
      <c r="N1593" s="314"/>
      <c r="O1593" s="314"/>
      <c r="P1593" s="314"/>
      <c r="Q1593" s="314"/>
      <c r="R1593" s="314"/>
      <c r="S1593" s="314"/>
      <c r="T1593" s="314"/>
      <c r="U1593" s="314"/>
      <c r="V1593" s="314"/>
      <c r="W1593" s="314"/>
      <c r="X1593" s="314"/>
      <c r="Y1593" s="314"/>
      <c r="Z1593" s="314"/>
    </row>
    <row r="1594" spans="5:26" x14ac:dyDescent="0.35">
      <c r="E1594" s="314"/>
      <c r="F1594" s="314"/>
      <c r="G1594" s="314"/>
      <c r="H1594" s="314"/>
      <c r="I1594" s="314"/>
      <c r="J1594" s="314"/>
      <c r="K1594" s="314"/>
      <c r="L1594" s="314"/>
      <c r="M1594" s="314"/>
      <c r="N1594" s="314"/>
      <c r="O1594" s="314"/>
      <c r="P1594" s="314"/>
      <c r="Q1594" s="314"/>
      <c r="R1594" s="314"/>
      <c r="S1594" s="314"/>
      <c r="T1594" s="314"/>
      <c r="U1594" s="314"/>
      <c r="V1594" s="314"/>
      <c r="W1594" s="314"/>
      <c r="X1594" s="314"/>
      <c r="Y1594" s="314"/>
      <c r="Z1594" s="314"/>
    </row>
    <row r="1595" spans="5:26" x14ac:dyDescent="0.35">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row>
    <row r="1596" spans="5:26" x14ac:dyDescent="0.35">
      <c r="E1596" s="314"/>
      <c r="F1596" s="314"/>
      <c r="G1596" s="314"/>
      <c r="H1596" s="314"/>
      <c r="I1596" s="314"/>
      <c r="J1596" s="314"/>
      <c r="K1596" s="314"/>
      <c r="L1596" s="314"/>
      <c r="M1596" s="314"/>
      <c r="N1596" s="314"/>
      <c r="O1596" s="314"/>
      <c r="P1596" s="314"/>
      <c r="Q1596" s="314"/>
      <c r="R1596" s="314"/>
      <c r="S1596" s="314"/>
      <c r="T1596" s="314"/>
      <c r="U1596" s="314"/>
      <c r="V1596" s="314"/>
      <c r="W1596" s="314"/>
      <c r="X1596" s="314"/>
      <c r="Y1596" s="314"/>
      <c r="Z1596" s="314"/>
    </row>
    <row r="1597" spans="5:26" x14ac:dyDescent="0.35">
      <c r="E1597" s="314"/>
      <c r="F1597" s="314"/>
      <c r="G1597" s="314"/>
      <c r="H1597" s="314"/>
      <c r="I1597" s="314"/>
      <c r="J1597" s="314"/>
      <c r="K1597" s="314"/>
      <c r="L1597" s="314"/>
      <c r="M1597" s="314"/>
      <c r="N1597" s="314"/>
      <c r="O1597" s="314"/>
      <c r="P1597" s="314"/>
      <c r="Q1597" s="314"/>
      <c r="R1597" s="314"/>
      <c r="S1597" s="314"/>
      <c r="T1597" s="314"/>
      <c r="U1597" s="314"/>
      <c r="V1597" s="314"/>
      <c r="W1597" s="314"/>
      <c r="X1597" s="314"/>
      <c r="Y1597" s="314"/>
      <c r="Z1597" s="314"/>
    </row>
    <row r="1598" spans="5:26" x14ac:dyDescent="0.35">
      <c r="E1598" s="314"/>
      <c r="F1598" s="314"/>
      <c r="G1598" s="314"/>
      <c r="H1598" s="314"/>
      <c r="I1598" s="314"/>
      <c r="J1598" s="314"/>
      <c r="K1598" s="314"/>
      <c r="L1598" s="314"/>
      <c r="M1598" s="314"/>
      <c r="N1598" s="314"/>
      <c r="O1598" s="314"/>
      <c r="P1598" s="314"/>
      <c r="Q1598" s="314"/>
      <c r="R1598" s="314"/>
      <c r="S1598" s="314"/>
      <c r="T1598" s="314"/>
      <c r="U1598" s="314"/>
      <c r="V1598" s="314"/>
      <c r="W1598" s="314"/>
      <c r="X1598" s="314"/>
      <c r="Y1598" s="314"/>
      <c r="Z1598" s="314"/>
    </row>
    <row r="1599" spans="5:26" x14ac:dyDescent="0.35">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row>
    <row r="1600" spans="5:26" x14ac:dyDescent="0.35">
      <c r="E1600" s="314"/>
      <c r="F1600" s="314"/>
      <c r="G1600" s="314"/>
      <c r="H1600" s="314"/>
      <c r="I1600" s="314"/>
      <c r="J1600" s="314"/>
      <c r="K1600" s="314"/>
      <c r="L1600" s="314"/>
      <c r="M1600" s="314"/>
      <c r="N1600" s="314"/>
      <c r="O1600" s="314"/>
      <c r="P1600" s="314"/>
      <c r="Q1600" s="314"/>
      <c r="R1600" s="314"/>
      <c r="S1600" s="314"/>
      <c r="T1600" s="314"/>
      <c r="U1600" s="314"/>
      <c r="V1600" s="314"/>
      <c r="W1600" s="314"/>
      <c r="X1600" s="314"/>
      <c r="Y1600" s="314"/>
      <c r="Z1600" s="314"/>
    </row>
    <row r="1601" spans="5:26" x14ac:dyDescent="0.35">
      <c r="E1601" s="314"/>
      <c r="F1601" s="314"/>
      <c r="G1601" s="314"/>
      <c r="H1601" s="314"/>
      <c r="I1601" s="314"/>
      <c r="J1601" s="314"/>
      <c r="K1601" s="314"/>
      <c r="L1601" s="314"/>
      <c r="M1601" s="314"/>
      <c r="N1601" s="314"/>
      <c r="O1601" s="314"/>
      <c r="P1601" s="314"/>
      <c r="Q1601" s="314"/>
      <c r="R1601" s="314"/>
      <c r="S1601" s="314"/>
      <c r="T1601" s="314"/>
      <c r="U1601" s="314"/>
      <c r="V1601" s="314"/>
      <c r="W1601" s="314"/>
      <c r="X1601" s="314"/>
      <c r="Y1601" s="314"/>
      <c r="Z1601" s="314"/>
    </row>
    <row r="1602" spans="5:26" x14ac:dyDescent="0.35">
      <c r="E1602" s="314"/>
      <c r="F1602" s="314"/>
      <c r="G1602" s="314"/>
      <c r="H1602" s="314"/>
      <c r="I1602" s="314"/>
      <c r="J1602" s="314"/>
      <c r="K1602" s="314"/>
      <c r="L1602" s="314"/>
      <c r="M1602" s="314"/>
      <c r="N1602" s="314"/>
      <c r="O1602" s="314"/>
      <c r="P1602" s="314"/>
      <c r="Q1602" s="314"/>
      <c r="R1602" s="314"/>
      <c r="S1602" s="314"/>
      <c r="T1602" s="314"/>
      <c r="U1602" s="314"/>
      <c r="V1602" s="314"/>
      <c r="W1602" s="314"/>
      <c r="X1602" s="314"/>
      <c r="Y1602" s="314"/>
      <c r="Z1602" s="314"/>
    </row>
    <row r="1603" spans="5:26" x14ac:dyDescent="0.35">
      <c r="E1603" s="314"/>
      <c r="F1603" s="314"/>
      <c r="G1603" s="314"/>
      <c r="H1603" s="314"/>
      <c r="I1603" s="314"/>
      <c r="J1603" s="314"/>
      <c r="K1603" s="314"/>
      <c r="L1603" s="314"/>
      <c r="M1603" s="314"/>
      <c r="N1603" s="314"/>
      <c r="O1603" s="314"/>
      <c r="P1603" s="314"/>
      <c r="Q1603" s="314"/>
      <c r="R1603" s="314"/>
      <c r="S1603" s="314"/>
      <c r="T1603" s="314"/>
      <c r="U1603" s="314"/>
      <c r="V1603" s="314"/>
      <c r="W1603" s="314"/>
      <c r="X1603" s="314"/>
      <c r="Y1603" s="314"/>
      <c r="Z1603" s="314"/>
    </row>
    <row r="1604" spans="5:26" x14ac:dyDescent="0.35">
      <c r="E1604" s="314"/>
      <c r="F1604" s="314"/>
      <c r="G1604" s="314"/>
      <c r="H1604" s="314"/>
      <c r="I1604" s="314"/>
      <c r="J1604" s="314"/>
      <c r="K1604" s="314"/>
      <c r="L1604" s="314"/>
      <c r="M1604" s="314"/>
      <c r="N1604" s="314"/>
      <c r="O1604" s="314"/>
      <c r="P1604" s="314"/>
      <c r="Q1604" s="314"/>
      <c r="R1604" s="314"/>
      <c r="S1604" s="314"/>
      <c r="T1604" s="314"/>
      <c r="U1604" s="314"/>
      <c r="V1604" s="314"/>
      <c r="W1604" s="314"/>
      <c r="X1604" s="314"/>
      <c r="Y1604" s="314"/>
      <c r="Z1604" s="314"/>
    </row>
    <row r="1605" spans="5:26" x14ac:dyDescent="0.35">
      <c r="E1605" s="314"/>
      <c r="F1605" s="314"/>
      <c r="G1605" s="314"/>
      <c r="H1605" s="314"/>
      <c r="I1605" s="314"/>
      <c r="J1605" s="314"/>
      <c r="K1605" s="314"/>
      <c r="L1605" s="314"/>
      <c r="M1605" s="314"/>
      <c r="N1605" s="314"/>
      <c r="O1605" s="314"/>
      <c r="P1605" s="314"/>
      <c r="Q1605" s="314"/>
      <c r="R1605" s="314"/>
      <c r="S1605" s="314"/>
      <c r="T1605" s="314"/>
      <c r="U1605" s="314"/>
      <c r="V1605" s="314"/>
      <c r="W1605" s="314"/>
      <c r="X1605" s="314"/>
      <c r="Y1605" s="314"/>
      <c r="Z1605" s="314"/>
    </row>
    <row r="1606" spans="5:26" x14ac:dyDescent="0.35">
      <c r="E1606" s="314"/>
      <c r="F1606" s="314"/>
      <c r="G1606" s="314"/>
      <c r="H1606" s="314"/>
      <c r="I1606" s="314"/>
      <c r="J1606" s="314"/>
      <c r="K1606" s="314"/>
      <c r="L1606" s="314"/>
      <c r="M1606" s="314"/>
      <c r="N1606" s="314"/>
      <c r="O1606" s="314"/>
      <c r="P1606" s="314"/>
      <c r="Q1606" s="314"/>
      <c r="R1606" s="314"/>
      <c r="S1606" s="314"/>
      <c r="T1606" s="314"/>
      <c r="U1606" s="314"/>
      <c r="V1606" s="314"/>
      <c r="W1606" s="314"/>
      <c r="X1606" s="314"/>
      <c r="Y1606" s="314"/>
      <c r="Z1606" s="314"/>
    </row>
    <row r="1607" spans="5:26" x14ac:dyDescent="0.35">
      <c r="E1607" s="314"/>
      <c r="F1607" s="314"/>
      <c r="G1607" s="314"/>
      <c r="H1607" s="314"/>
      <c r="I1607" s="314"/>
      <c r="J1607" s="314"/>
      <c r="K1607" s="314"/>
      <c r="L1607" s="314"/>
      <c r="M1607" s="314"/>
      <c r="N1607" s="314"/>
      <c r="O1607" s="314"/>
      <c r="P1607" s="314"/>
      <c r="Q1607" s="314"/>
      <c r="R1607" s="314"/>
      <c r="S1607" s="314"/>
      <c r="T1607" s="314"/>
      <c r="U1607" s="314"/>
      <c r="V1607" s="314"/>
      <c r="W1607" s="314"/>
      <c r="X1607" s="314"/>
      <c r="Y1607" s="314"/>
      <c r="Z1607" s="314"/>
    </row>
    <row r="1608" spans="5:26" x14ac:dyDescent="0.35">
      <c r="E1608" s="314"/>
      <c r="F1608" s="314"/>
      <c r="G1608" s="314"/>
      <c r="H1608" s="314"/>
      <c r="I1608" s="314"/>
      <c r="J1608" s="314"/>
      <c r="K1608" s="314"/>
      <c r="L1608" s="314"/>
      <c r="M1608" s="314"/>
      <c r="N1608" s="314"/>
      <c r="O1608" s="314"/>
      <c r="P1608" s="314"/>
      <c r="Q1608" s="314"/>
      <c r="R1608" s="314"/>
      <c r="S1608" s="314"/>
      <c r="T1608" s="314"/>
      <c r="U1608" s="314"/>
      <c r="V1608" s="314"/>
      <c r="W1608" s="314"/>
      <c r="X1608" s="314"/>
      <c r="Y1608" s="314"/>
      <c r="Z1608" s="314"/>
    </row>
    <row r="1609" spans="5:26" x14ac:dyDescent="0.35">
      <c r="E1609" s="314"/>
      <c r="F1609" s="314"/>
      <c r="G1609" s="314"/>
      <c r="H1609" s="314"/>
      <c r="I1609" s="314"/>
      <c r="J1609" s="314"/>
      <c r="K1609" s="314"/>
      <c r="L1609" s="314"/>
      <c r="M1609" s="314"/>
      <c r="N1609" s="314"/>
      <c r="O1609" s="314"/>
      <c r="P1609" s="314"/>
      <c r="Q1609" s="314"/>
      <c r="R1609" s="314"/>
      <c r="S1609" s="314"/>
      <c r="T1609" s="314"/>
      <c r="U1609" s="314"/>
      <c r="V1609" s="314"/>
      <c r="W1609" s="314"/>
      <c r="X1609" s="314"/>
      <c r="Y1609" s="314"/>
      <c r="Z1609" s="314"/>
    </row>
    <row r="1610" spans="5:26" x14ac:dyDescent="0.35">
      <c r="E1610" s="314"/>
      <c r="F1610" s="314"/>
      <c r="G1610" s="314"/>
      <c r="H1610" s="314"/>
      <c r="I1610" s="314"/>
      <c r="J1610" s="314"/>
      <c r="K1610" s="314"/>
      <c r="L1610" s="314"/>
      <c r="M1610" s="314"/>
      <c r="N1610" s="314"/>
      <c r="O1610" s="314"/>
      <c r="P1610" s="314"/>
      <c r="Q1610" s="314"/>
      <c r="R1610" s="314"/>
      <c r="S1610" s="314"/>
      <c r="T1610" s="314"/>
      <c r="U1610" s="314"/>
      <c r="V1610" s="314"/>
      <c r="W1610" s="314"/>
      <c r="X1610" s="314"/>
      <c r="Y1610" s="314"/>
      <c r="Z1610" s="314"/>
    </row>
    <row r="1611" spans="5:26" x14ac:dyDescent="0.35">
      <c r="E1611" s="314"/>
      <c r="F1611" s="314"/>
      <c r="G1611" s="314"/>
      <c r="H1611" s="314"/>
      <c r="I1611" s="314"/>
      <c r="J1611" s="314"/>
      <c r="K1611" s="314"/>
      <c r="L1611" s="314"/>
      <c r="M1611" s="314"/>
      <c r="N1611" s="314"/>
      <c r="O1611" s="314"/>
      <c r="P1611" s="314"/>
      <c r="Q1611" s="314"/>
      <c r="R1611" s="314"/>
      <c r="S1611" s="314"/>
      <c r="T1611" s="314"/>
      <c r="U1611" s="314"/>
      <c r="V1611" s="314"/>
      <c r="W1611" s="314"/>
      <c r="X1611" s="314"/>
      <c r="Y1611" s="314"/>
      <c r="Z1611" s="314"/>
    </row>
    <row r="1612" spans="5:26" x14ac:dyDescent="0.35">
      <c r="E1612" s="314"/>
      <c r="F1612" s="314"/>
      <c r="G1612" s="314"/>
      <c r="H1612" s="314"/>
      <c r="I1612" s="314"/>
      <c r="J1612" s="314"/>
      <c r="K1612" s="314"/>
      <c r="L1612" s="314"/>
      <c r="M1612" s="314"/>
      <c r="N1612" s="314"/>
      <c r="O1612" s="314"/>
      <c r="P1612" s="314"/>
      <c r="Q1612" s="314"/>
      <c r="R1612" s="314"/>
      <c r="S1612" s="314"/>
      <c r="T1612" s="314"/>
      <c r="U1612" s="314"/>
      <c r="V1612" s="314"/>
      <c r="W1612" s="314"/>
      <c r="X1612" s="314"/>
      <c r="Y1612" s="314"/>
      <c r="Z1612" s="314"/>
    </row>
    <row r="1613" spans="5:26" x14ac:dyDescent="0.35">
      <c r="E1613" s="314"/>
      <c r="F1613" s="314"/>
      <c r="G1613" s="314"/>
      <c r="H1613" s="314"/>
      <c r="I1613" s="314"/>
      <c r="J1613" s="314"/>
      <c r="K1613" s="314"/>
      <c r="L1613" s="314"/>
      <c r="M1613" s="314"/>
      <c r="N1613" s="314"/>
      <c r="O1613" s="314"/>
      <c r="P1613" s="314"/>
      <c r="Q1613" s="314"/>
      <c r="R1613" s="314"/>
      <c r="S1613" s="314"/>
      <c r="T1613" s="314"/>
      <c r="U1613" s="314"/>
      <c r="V1613" s="314"/>
      <c r="W1613" s="314"/>
      <c r="X1613" s="314"/>
      <c r="Y1613" s="314"/>
      <c r="Z1613" s="314"/>
    </row>
    <row r="1614" spans="5:26" x14ac:dyDescent="0.35">
      <c r="E1614" s="314"/>
      <c r="F1614" s="314"/>
      <c r="G1614" s="314"/>
      <c r="H1614" s="314"/>
      <c r="I1614" s="314"/>
      <c r="J1614" s="314"/>
      <c r="K1614" s="314"/>
      <c r="L1614" s="314"/>
      <c r="M1614" s="314"/>
      <c r="N1614" s="314"/>
      <c r="O1614" s="314"/>
      <c r="P1614" s="314"/>
      <c r="Q1614" s="314"/>
      <c r="R1614" s="314"/>
      <c r="S1614" s="314"/>
      <c r="T1614" s="314"/>
      <c r="U1614" s="314"/>
      <c r="V1614" s="314"/>
      <c r="W1614" s="314"/>
      <c r="X1614" s="314"/>
      <c r="Y1614" s="314"/>
      <c r="Z1614" s="314"/>
    </row>
    <row r="1615" spans="5:26" x14ac:dyDescent="0.35">
      <c r="E1615" s="314"/>
      <c r="F1615" s="314"/>
      <c r="G1615" s="314"/>
      <c r="H1615" s="314"/>
      <c r="I1615" s="314"/>
      <c r="J1615" s="314"/>
      <c r="K1615" s="314"/>
      <c r="L1615" s="314"/>
      <c r="M1615" s="314"/>
      <c r="N1615" s="314"/>
      <c r="O1615" s="314"/>
      <c r="P1615" s="314"/>
      <c r="Q1615" s="314"/>
      <c r="R1615" s="314"/>
      <c r="S1615" s="314"/>
      <c r="T1615" s="314"/>
      <c r="U1615" s="314"/>
      <c r="V1615" s="314"/>
      <c r="W1615" s="314"/>
      <c r="X1615" s="314"/>
      <c r="Y1615" s="314"/>
      <c r="Z1615" s="314"/>
    </row>
    <row r="1616" spans="5:26" x14ac:dyDescent="0.35">
      <c r="E1616" s="314"/>
      <c r="F1616" s="314"/>
      <c r="G1616" s="314"/>
      <c r="H1616" s="314"/>
      <c r="I1616" s="314"/>
      <c r="J1616" s="314"/>
      <c r="K1616" s="314"/>
      <c r="L1616" s="314"/>
      <c r="M1616" s="314"/>
      <c r="N1616" s="314"/>
      <c r="O1616" s="314"/>
      <c r="P1616" s="314"/>
      <c r="Q1616" s="314"/>
      <c r="R1616" s="314"/>
      <c r="S1616" s="314"/>
      <c r="T1616" s="314"/>
      <c r="U1616" s="314"/>
      <c r="V1616" s="314"/>
      <c r="W1616" s="314"/>
      <c r="X1616" s="314"/>
      <c r="Y1616" s="314"/>
      <c r="Z1616" s="314"/>
    </row>
    <row r="1617" spans="5:26" x14ac:dyDescent="0.35">
      <c r="E1617" s="314"/>
      <c r="F1617" s="314"/>
      <c r="G1617" s="314"/>
      <c r="H1617" s="314"/>
      <c r="I1617" s="314"/>
      <c r="J1617" s="314"/>
      <c r="K1617" s="314"/>
      <c r="L1617" s="314"/>
      <c r="M1617" s="314"/>
      <c r="N1617" s="314"/>
      <c r="O1617" s="314"/>
      <c r="P1617" s="314"/>
      <c r="Q1617" s="314"/>
      <c r="R1617" s="314"/>
      <c r="S1617" s="314"/>
      <c r="T1617" s="314"/>
      <c r="U1617" s="314"/>
      <c r="V1617" s="314"/>
      <c r="W1617" s="314"/>
      <c r="X1617" s="314"/>
      <c r="Y1617" s="314"/>
      <c r="Z1617" s="314"/>
    </row>
    <row r="1618" spans="5:26" x14ac:dyDescent="0.35">
      <c r="E1618" s="314"/>
      <c r="F1618" s="314"/>
      <c r="G1618" s="314"/>
      <c r="H1618" s="314"/>
      <c r="I1618" s="314"/>
      <c r="J1618" s="314"/>
      <c r="K1618" s="314"/>
      <c r="L1618" s="314"/>
      <c r="M1618" s="314"/>
      <c r="N1618" s="314"/>
      <c r="O1618" s="314"/>
      <c r="P1618" s="314"/>
      <c r="Q1618" s="314"/>
      <c r="R1618" s="314"/>
      <c r="S1618" s="314"/>
      <c r="T1618" s="314"/>
      <c r="U1618" s="314"/>
      <c r="V1618" s="314"/>
      <c r="W1618" s="314"/>
      <c r="X1618" s="314"/>
      <c r="Y1618" s="314"/>
      <c r="Z1618" s="314"/>
    </row>
    <row r="1619" spans="5:26" x14ac:dyDescent="0.35">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row>
    <row r="1620" spans="5:26" x14ac:dyDescent="0.35">
      <c r="E1620" s="314"/>
      <c r="F1620" s="314"/>
      <c r="G1620" s="314"/>
      <c r="H1620" s="314"/>
      <c r="I1620" s="314"/>
      <c r="J1620" s="314"/>
      <c r="K1620" s="314"/>
      <c r="L1620" s="314"/>
      <c r="M1620" s="314"/>
      <c r="N1620" s="314"/>
      <c r="O1620" s="314"/>
      <c r="P1620" s="314"/>
      <c r="Q1620" s="314"/>
      <c r="R1620" s="314"/>
      <c r="S1620" s="314"/>
      <c r="T1620" s="314"/>
      <c r="U1620" s="314"/>
      <c r="V1620" s="314"/>
      <c r="W1620" s="314"/>
      <c r="X1620" s="314"/>
      <c r="Y1620" s="314"/>
      <c r="Z1620" s="314"/>
    </row>
    <row r="1621" spans="5:26" x14ac:dyDescent="0.35">
      <c r="E1621" s="314"/>
      <c r="F1621" s="314"/>
      <c r="G1621" s="314"/>
      <c r="H1621" s="314"/>
      <c r="I1621" s="314"/>
      <c r="J1621" s="314"/>
      <c r="K1621" s="314"/>
      <c r="L1621" s="314"/>
      <c r="M1621" s="314"/>
      <c r="N1621" s="314"/>
      <c r="O1621" s="314"/>
      <c r="P1621" s="314"/>
      <c r="Q1621" s="314"/>
      <c r="R1621" s="314"/>
      <c r="S1621" s="314"/>
      <c r="T1621" s="314"/>
      <c r="U1621" s="314"/>
      <c r="V1621" s="314"/>
      <c r="W1621" s="314"/>
      <c r="X1621" s="314"/>
      <c r="Y1621" s="314"/>
      <c r="Z1621" s="314"/>
    </row>
    <row r="1622" spans="5:26" x14ac:dyDescent="0.35">
      <c r="E1622" s="314"/>
      <c r="F1622" s="314"/>
      <c r="G1622" s="314"/>
      <c r="H1622" s="314"/>
      <c r="I1622" s="314"/>
      <c r="J1622" s="314"/>
      <c r="K1622" s="314"/>
      <c r="L1622" s="314"/>
      <c r="M1622" s="314"/>
      <c r="N1622" s="314"/>
      <c r="O1622" s="314"/>
      <c r="P1622" s="314"/>
      <c r="Q1622" s="314"/>
      <c r="R1622" s="314"/>
      <c r="S1622" s="314"/>
      <c r="T1622" s="314"/>
      <c r="U1622" s="314"/>
      <c r="V1622" s="314"/>
      <c r="W1622" s="314"/>
      <c r="X1622" s="314"/>
      <c r="Y1622" s="314"/>
      <c r="Z1622" s="314"/>
    </row>
    <row r="1623" spans="5:26" x14ac:dyDescent="0.35">
      <c r="E1623" s="314"/>
      <c r="F1623" s="314"/>
      <c r="G1623" s="314"/>
      <c r="H1623" s="314"/>
      <c r="I1623" s="314"/>
      <c r="J1623" s="314"/>
      <c r="K1623" s="314"/>
      <c r="L1623" s="314"/>
      <c r="M1623" s="314"/>
      <c r="N1623" s="314"/>
      <c r="O1623" s="314"/>
      <c r="P1623" s="314"/>
      <c r="Q1623" s="314"/>
      <c r="R1623" s="314"/>
      <c r="S1623" s="314"/>
      <c r="T1623" s="314"/>
      <c r="U1623" s="314"/>
      <c r="V1623" s="314"/>
      <c r="W1623" s="314"/>
      <c r="X1623" s="314"/>
      <c r="Y1623" s="314"/>
      <c r="Z1623" s="314"/>
    </row>
    <row r="1624" spans="5:26" x14ac:dyDescent="0.35">
      <c r="E1624" s="314"/>
      <c r="F1624" s="314"/>
      <c r="G1624" s="314"/>
      <c r="H1624" s="314"/>
      <c r="I1624" s="314"/>
      <c r="J1624" s="314"/>
      <c r="K1624" s="314"/>
      <c r="L1624" s="314"/>
      <c r="M1624" s="314"/>
      <c r="N1624" s="314"/>
      <c r="O1624" s="314"/>
      <c r="P1624" s="314"/>
      <c r="Q1624" s="314"/>
      <c r="R1624" s="314"/>
      <c r="S1624" s="314"/>
      <c r="T1624" s="314"/>
      <c r="U1624" s="314"/>
      <c r="V1624" s="314"/>
      <c r="W1624" s="314"/>
      <c r="X1624" s="314"/>
      <c r="Y1624" s="314"/>
      <c r="Z1624" s="314"/>
    </row>
    <row r="1625" spans="5:26" x14ac:dyDescent="0.35">
      <c r="E1625" s="314"/>
      <c r="F1625" s="314"/>
      <c r="G1625" s="314"/>
      <c r="H1625" s="314"/>
      <c r="I1625" s="314"/>
      <c r="J1625" s="314"/>
      <c r="K1625" s="314"/>
      <c r="L1625" s="314"/>
      <c r="M1625" s="314"/>
      <c r="N1625" s="314"/>
      <c r="O1625" s="314"/>
      <c r="P1625" s="314"/>
      <c r="Q1625" s="314"/>
      <c r="R1625" s="314"/>
      <c r="S1625" s="314"/>
      <c r="T1625" s="314"/>
      <c r="U1625" s="314"/>
      <c r="V1625" s="314"/>
      <c r="W1625" s="314"/>
      <c r="X1625" s="314"/>
      <c r="Y1625" s="314"/>
      <c r="Z1625" s="314"/>
    </row>
    <row r="1626" spans="5:26" x14ac:dyDescent="0.35">
      <c r="E1626" s="314"/>
      <c r="F1626" s="314"/>
      <c r="G1626" s="314"/>
      <c r="H1626" s="314"/>
      <c r="I1626" s="314"/>
      <c r="J1626" s="314"/>
      <c r="K1626" s="314"/>
      <c r="L1626" s="314"/>
      <c r="M1626" s="314"/>
      <c r="N1626" s="314"/>
      <c r="O1626" s="314"/>
      <c r="P1626" s="314"/>
      <c r="Q1626" s="314"/>
      <c r="R1626" s="314"/>
      <c r="S1626" s="314"/>
      <c r="T1626" s="314"/>
      <c r="U1626" s="314"/>
      <c r="V1626" s="314"/>
      <c r="W1626" s="314"/>
      <c r="X1626" s="314"/>
      <c r="Y1626" s="314"/>
      <c r="Z1626" s="314"/>
    </row>
    <row r="1627" spans="5:26" x14ac:dyDescent="0.35">
      <c r="E1627" s="314"/>
      <c r="F1627" s="314"/>
      <c r="G1627" s="314"/>
      <c r="H1627" s="314"/>
      <c r="I1627" s="314"/>
      <c r="J1627" s="314"/>
      <c r="K1627" s="314"/>
      <c r="L1627" s="314"/>
      <c r="M1627" s="314"/>
      <c r="N1627" s="314"/>
      <c r="O1627" s="314"/>
      <c r="P1627" s="314"/>
      <c r="Q1627" s="314"/>
      <c r="R1627" s="314"/>
      <c r="S1627" s="314"/>
      <c r="T1627" s="314"/>
      <c r="U1627" s="314"/>
      <c r="V1627" s="314"/>
      <c r="W1627" s="314"/>
      <c r="X1627" s="314"/>
      <c r="Y1627" s="314"/>
      <c r="Z1627" s="314"/>
    </row>
    <row r="1628" spans="5:26" x14ac:dyDescent="0.35">
      <c r="E1628" s="314"/>
      <c r="F1628" s="314"/>
      <c r="G1628" s="314"/>
      <c r="H1628" s="314"/>
      <c r="I1628" s="314"/>
      <c r="J1628" s="314"/>
      <c r="K1628" s="314"/>
      <c r="L1628" s="314"/>
      <c r="M1628" s="314"/>
      <c r="N1628" s="314"/>
      <c r="O1628" s="314"/>
      <c r="P1628" s="314"/>
      <c r="Q1628" s="314"/>
      <c r="R1628" s="314"/>
      <c r="S1628" s="314"/>
      <c r="T1628" s="314"/>
      <c r="U1628" s="314"/>
      <c r="V1628" s="314"/>
      <c r="W1628" s="314"/>
      <c r="X1628" s="314"/>
      <c r="Y1628" s="314"/>
      <c r="Z1628" s="314"/>
    </row>
    <row r="1629" spans="5:26" x14ac:dyDescent="0.35">
      <c r="E1629" s="314"/>
      <c r="F1629" s="314"/>
      <c r="G1629" s="314"/>
      <c r="H1629" s="314"/>
      <c r="I1629" s="314"/>
      <c r="J1629" s="314"/>
      <c r="K1629" s="314"/>
      <c r="L1629" s="314"/>
      <c r="M1629" s="314"/>
      <c r="N1629" s="314"/>
      <c r="O1629" s="314"/>
      <c r="P1629" s="314"/>
      <c r="Q1629" s="314"/>
      <c r="R1629" s="314"/>
      <c r="S1629" s="314"/>
      <c r="T1629" s="314"/>
      <c r="U1629" s="314"/>
      <c r="V1629" s="314"/>
      <c r="W1629" s="314"/>
      <c r="X1629" s="314"/>
      <c r="Y1629" s="314"/>
      <c r="Z1629" s="314"/>
    </row>
    <row r="1630" spans="5:26" x14ac:dyDescent="0.35">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row>
    <row r="1631" spans="5:26" x14ac:dyDescent="0.35">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row>
    <row r="1632" spans="5:26" x14ac:dyDescent="0.35">
      <c r="E1632" s="314"/>
      <c r="F1632" s="314"/>
      <c r="G1632" s="314"/>
      <c r="H1632" s="314"/>
      <c r="I1632" s="314"/>
      <c r="J1632" s="314"/>
      <c r="K1632" s="314"/>
      <c r="L1632" s="314"/>
      <c r="M1632" s="314"/>
      <c r="N1632" s="314"/>
      <c r="O1632" s="314"/>
      <c r="P1632" s="314"/>
      <c r="Q1632" s="314"/>
      <c r="R1632" s="314"/>
      <c r="S1632" s="314"/>
      <c r="T1632" s="314"/>
      <c r="U1632" s="314"/>
      <c r="V1632" s="314"/>
      <c r="W1632" s="314"/>
      <c r="X1632" s="314"/>
      <c r="Y1632" s="314"/>
      <c r="Z1632" s="314"/>
    </row>
    <row r="1633" spans="5:26" x14ac:dyDescent="0.35">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row>
    <row r="1634" spans="5:26" x14ac:dyDescent="0.35">
      <c r="E1634" s="314"/>
      <c r="F1634" s="314"/>
      <c r="G1634" s="314"/>
      <c r="H1634" s="314"/>
      <c r="I1634" s="314"/>
      <c r="J1634" s="314"/>
      <c r="K1634" s="314"/>
      <c r="L1634" s="314"/>
      <c r="M1634" s="314"/>
      <c r="N1634" s="314"/>
      <c r="O1634" s="314"/>
      <c r="P1634" s="314"/>
      <c r="Q1634" s="314"/>
      <c r="R1634" s="314"/>
      <c r="S1634" s="314"/>
      <c r="T1634" s="314"/>
      <c r="U1634" s="314"/>
      <c r="V1634" s="314"/>
      <c r="W1634" s="314"/>
      <c r="X1634" s="314"/>
      <c r="Y1634" s="314"/>
      <c r="Z1634" s="314"/>
    </row>
    <row r="1635" spans="5:26" x14ac:dyDescent="0.35">
      <c r="E1635" s="314"/>
      <c r="F1635" s="314"/>
      <c r="G1635" s="314"/>
      <c r="H1635" s="314"/>
      <c r="I1635" s="314"/>
      <c r="J1635" s="314"/>
      <c r="K1635" s="314"/>
      <c r="L1635" s="314"/>
      <c r="M1635" s="314"/>
      <c r="N1635" s="314"/>
      <c r="O1635" s="314"/>
      <c r="P1635" s="314"/>
      <c r="Q1635" s="314"/>
      <c r="R1635" s="314"/>
      <c r="S1635" s="314"/>
      <c r="T1635" s="314"/>
      <c r="U1635" s="314"/>
      <c r="V1635" s="314"/>
      <c r="W1635" s="314"/>
      <c r="X1635" s="314"/>
      <c r="Y1635" s="314"/>
      <c r="Z1635" s="314"/>
    </row>
    <row r="1636" spans="5:26" x14ac:dyDescent="0.35">
      <c r="E1636" s="314"/>
      <c r="F1636" s="314"/>
      <c r="G1636" s="314"/>
      <c r="H1636" s="314"/>
      <c r="I1636" s="314"/>
      <c r="J1636" s="314"/>
      <c r="K1636" s="314"/>
      <c r="L1636" s="314"/>
      <c r="M1636" s="314"/>
      <c r="N1636" s="314"/>
      <c r="O1636" s="314"/>
      <c r="P1636" s="314"/>
      <c r="Q1636" s="314"/>
      <c r="R1636" s="314"/>
      <c r="S1636" s="314"/>
      <c r="T1636" s="314"/>
      <c r="U1636" s="314"/>
      <c r="V1636" s="314"/>
      <c r="W1636" s="314"/>
      <c r="X1636" s="314"/>
      <c r="Y1636" s="314"/>
      <c r="Z1636" s="314"/>
    </row>
    <row r="1637" spans="5:26" x14ac:dyDescent="0.35">
      <c r="E1637" s="314"/>
      <c r="F1637" s="314"/>
      <c r="G1637" s="314"/>
      <c r="H1637" s="314"/>
      <c r="I1637" s="314"/>
      <c r="J1637" s="314"/>
      <c r="K1637" s="314"/>
      <c r="L1637" s="314"/>
      <c r="M1637" s="314"/>
      <c r="N1637" s="314"/>
      <c r="O1637" s="314"/>
      <c r="P1637" s="314"/>
      <c r="Q1637" s="314"/>
      <c r="R1637" s="314"/>
      <c r="S1637" s="314"/>
      <c r="T1637" s="314"/>
      <c r="U1637" s="314"/>
      <c r="V1637" s="314"/>
      <c r="W1637" s="314"/>
      <c r="X1637" s="314"/>
      <c r="Y1637" s="314"/>
      <c r="Z1637" s="314"/>
    </row>
    <row r="1638" spans="5:26" x14ac:dyDescent="0.35">
      <c r="E1638" s="314"/>
      <c r="F1638" s="314"/>
      <c r="G1638" s="314"/>
      <c r="H1638" s="314"/>
      <c r="I1638" s="314"/>
      <c r="J1638" s="314"/>
      <c r="K1638" s="314"/>
      <c r="L1638" s="314"/>
      <c r="M1638" s="314"/>
      <c r="N1638" s="314"/>
      <c r="O1638" s="314"/>
      <c r="P1638" s="314"/>
      <c r="Q1638" s="314"/>
      <c r="R1638" s="314"/>
      <c r="S1638" s="314"/>
      <c r="T1638" s="314"/>
      <c r="U1638" s="314"/>
      <c r="V1638" s="314"/>
      <c r="W1638" s="314"/>
      <c r="X1638" s="314"/>
      <c r="Y1638" s="314"/>
      <c r="Z1638" s="314"/>
    </row>
    <row r="1639" spans="5:26" x14ac:dyDescent="0.35">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row>
    <row r="1640" spans="5:26" x14ac:dyDescent="0.35">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row>
    <row r="1641" spans="5:26" x14ac:dyDescent="0.35">
      <c r="E1641" s="314"/>
      <c r="F1641" s="314"/>
      <c r="G1641" s="314"/>
      <c r="H1641" s="314"/>
      <c r="I1641" s="314"/>
      <c r="J1641" s="314"/>
      <c r="K1641" s="314"/>
      <c r="L1641" s="314"/>
      <c r="M1641" s="314"/>
      <c r="N1641" s="314"/>
      <c r="O1641" s="314"/>
      <c r="P1641" s="314"/>
      <c r="Q1641" s="314"/>
      <c r="R1641" s="314"/>
      <c r="S1641" s="314"/>
      <c r="T1641" s="314"/>
      <c r="U1641" s="314"/>
      <c r="V1641" s="314"/>
      <c r="W1641" s="314"/>
      <c r="X1641" s="314"/>
      <c r="Y1641" s="314"/>
      <c r="Z1641" s="314"/>
    </row>
    <row r="1642" spans="5:26" x14ac:dyDescent="0.35">
      <c r="E1642" s="314"/>
      <c r="F1642" s="314"/>
      <c r="G1642" s="314"/>
      <c r="H1642" s="314"/>
      <c r="I1642" s="314"/>
      <c r="J1642" s="314"/>
      <c r="K1642" s="314"/>
      <c r="L1642" s="314"/>
      <c r="M1642" s="314"/>
      <c r="N1642" s="314"/>
      <c r="O1642" s="314"/>
      <c r="P1642" s="314"/>
      <c r="Q1642" s="314"/>
      <c r="R1642" s="314"/>
      <c r="S1642" s="314"/>
      <c r="T1642" s="314"/>
      <c r="U1642" s="314"/>
      <c r="V1642" s="314"/>
      <c r="W1642" s="314"/>
      <c r="X1642" s="314"/>
      <c r="Y1642" s="314"/>
      <c r="Z1642" s="314"/>
    </row>
    <row r="1643" spans="5:26" x14ac:dyDescent="0.35">
      <c r="E1643" s="314"/>
      <c r="F1643" s="314"/>
      <c r="G1643" s="314"/>
      <c r="H1643" s="314"/>
      <c r="I1643" s="314"/>
      <c r="J1643" s="314"/>
      <c r="K1643" s="314"/>
      <c r="L1643" s="314"/>
      <c r="M1643" s="314"/>
      <c r="N1643" s="314"/>
      <c r="O1643" s="314"/>
      <c r="P1643" s="314"/>
      <c r="Q1643" s="314"/>
      <c r="R1643" s="314"/>
      <c r="S1643" s="314"/>
      <c r="T1643" s="314"/>
      <c r="U1643" s="314"/>
      <c r="V1643" s="314"/>
      <c r="W1643" s="314"/>
      <c r="X1643" s="314"/>
      <c r="Y1643" s="314"/>
      <c r="Z1643" s="314"/>
    </row>
    <row r="1644" spans="5:26" x14ac:dyDescent="0.35">
      <c r="E1644" s="314"/>
      <c r="F1644" s="314"/>
      <c r="G1644" s="314"/>
      <c r="H1644" s="314"/>
      <c r="I1644" s="314"/>
      <c r="J1644" s="314"/>
      <c r="K1644" s="314"/>
      <c r="L1644" s="314"/>
      <c r="M1644" s="314"/>
      <c r="N1644" s="314"/>
      <c r="O1644" s="314"/>
      <c r="P1644" s="314"/>
      <c r="Q1644" s="314"/>
      <c r="R1644" s="314"/>
      <c r="S1644" s="314"/>
      <c r="T1644" s="314"/>
      <c r="U1644" s="314"/>
      <c r="V1644" s="314"/>
      <c r="W1644" s="314"/>
      <c r="X1644" s="314"/>
      <c r="Y1644" s="314"/>
      <c r="Z1644" s="314"/>
    </row>
    <row r="1645" spans="5:26" x14ac:dyDescent="0.35">
      <c r="E1645" s="314"/>
      <c r="F1645" s="314"/>
      <c r="G1645" s="314"/>
      <c r="H1645" s="314"/>
      <c r="I1645" s="314"/>
      <c r="J1645" s="314"/>
      <c r="K1645" s="314"/>
      <c r="L1645" s="314"/>
      <c r="M1645" s="314"/>
      <c r="N1645" s="314"/>
      <c r="O1645" s="314"/>
      <c r="P1645" s="314"/>
      <c r="Q1645" s="314"/>
      <c r="R1645" s="314"/>
      <c r="S1645" s="314"/>
      <c r="T1645" s="314"/>
      <c r="U1645" s="314"/>
      <c r="V1645" s="314"/>
      <c r="W1645" s="314"/>
      <c r="X1645" s="314"/>
      <c r="Y1645" s="314"/>
      <c r="Z1645" s="314"/>
    </row>
    <row r="1646" spans="5:26" x14ac:dyDescent="0.35">
      <c r="E1646" s="314"/>
      <c r="F1646" s="314"/>
      <c r="G1646" s="314"/>
      <c r="H1646" s="314"/>
      <c r="I1646" s="314"/>
      <c r="J1646" s="314"/>
      <c r="K1646" s="314"/>
      <c r="L1646" s="314"/>
      <c r="M1646" s="314"/>
      <c r="N1646" s="314"/>
      <c r="O1646" s="314"/>
      <c r="P1646" s="314"/>
      <c r="Q1646" s="314"/>
      <c r="R1646" s="314"/>
      <c r="S1646" s="314"/>
      <c r="T1646" s="314"/>
      <c r="U1646" s="314"/>
      <c r="V1646" s="314"/>
      <c r="W1646" s="314"/>
      <c r="X1646" s="314"/>
      <c r="Y1646" s="314"/>
      <c r="Z1646" s="314"/>
    </row>
    <row r="1647" spans="5:26" x14ac:dyDescent="0.35">
      <c r="E1647" s="314"/>
      <c r="F1647" s="314"/>
      <c r="G1647" s="314"/>
      <c r="H1647" s="314"/>
      <c r="I1647" s="314"/>
      <c r="J1647" s="314"/>
      <c r="K1647" s="314"/>
      <c r="L1647" s="314"/>
      <c r="M1647" s="314"/>
      <c r="N1647" s="314"/>
      <c r="O1647" s="314"/>
      <c r="P1647" s="314"/>
      <c r="Q1647" s="314"/>
      <c r="R1647" s="314"/>
      <c r="S1647" s="314"/>
      <c r="T1647" s="314"/>
      <c r="U1647" s="314"/>
      <c r="V1647" s="314"/>
      <c r="W1647" s="314"/>
      <c r="X1647" s="314"/>
      <c r="Y1647" s="314"/>
      <c r="Z1647" s="314"/>
    </row>
    <row r="1648" spans="5:26" x14ac:dyDescent="0.35">
      <c r="E1648" s="314"/>
      <c r="F1648" s="314"/>
      <c r="G1648" s="314"/>
      <c r="H1648" s="314"/>
      <c r="I1648" s="314"/>
      <c r="J1648" s="314"/>
      <c r="K1648" s="314"/>
      <c r="L1648" s="314"/>
      <c r="M1648" s="314"/>
      <c r="N1648" s="314"/>
      <c r="O1648" s="314"/>
      <c r="P1648" s="314"/>
      <c r="Q1648" s="314"/>
      <c r="R1648" s="314"/>
      <c r="S1648" s="314"/>
      <c r="T1648" s="314"/>
      <c r="U1648" s="314"/>
      <c r="V1648" s="314"/>
      <c r="W1648" s="314"/>
      <c r="X1648" s="314"/>
      <c r="Y1648" s="314"/>
      <c r="Z1648" s="314"/>
    </row>
    <row r="1649" spans="5:26" x14ac:dyDescent="0.35">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row>
    <row r="1650" spans="5:26" x14ac:dyDescent="0.35">
      <c r="E1650" s="314"/>
      <c r="F1650" s="314"/>
      <c r="G1650" s="314"/>
      <c r="H1650" s="314"/>
      <c r="I1650" s="314"/>
      <c r="J1650" s="314"/>
      <c r="K1650" s="314"/>
      <c r="L1650" s="314"/>
      <c r="M1650" s="314"/>
      <c r="N1650" s="314"/>
      <c r="O1650" s="314"/>
      <c r="P1650" s="314"/>
      <c r="Q1650" s="314"/>
      <c r="R1650" s="314"/>
      <c r="S1650" s="314"/>
      <c r="T1650" s="314"/>
      <c r="U1650" s="314"/>
      <c r="V1650" s="314"/>
      <c r="W1650" s="314"/>
      <c r="X1650" s="314"/>
      <c r="Y1650" s="314"/>
      <c r="Z1650" s="314"/>
    </row>
    <row r="1651" spans="5:26" x14ac:dyDescent="0.35">
      <c r="E1651" s="314"/>
      <c r="F1651" s="314"/>
      <c r="G1651" s="314"/>
      <c r="H1651" s="314"/>
      <c r="I1651" s="314"/>
      <c r="J1651" s="314"/>
      <c r="K1651" s="314"/>
      <c r="L1651" s="314"/>
      <c r="M1651" s="314"/>
      <c r="N1651" s="314"/>
      <c r="O1651" s="314"/>
      <c r="P1651" s="314"/>
      <c r="Q1651" s="314"/>
      <c r="R1651" s="314"/>
      <c r="S1651" s="314"/>
      <c r="T1651" s="314"/>
      <c r="U1651" s="314"/>
      <c r="V1651" s="314"/>
      <c r="W1651" s="314"/>
      <c r="X1651" s="314"/>
      <c r="Y1651" s="314"/>
      <c r="Z1651" s="314"/>
    </row>
    <row r="1652" spans="5:26" x14ac:dyDescent="0.35">
      <c r="E1652" s="314"/>
      <c r="F1652" s="314"/>
      <c r="G1652" s="314"/>
      <c r="H1652" s="314"/>
      <c r="I1652" s="314"/>
      <c r="J1652" s="314"/>
      <c r="K1652" s="314"/>
      <c r="L1652" s="314"/>
      <c r="M1652" s="314"/>
      <c r="N1652" s="314"/>
      <c r="O1652" s="314"/>
      <c r="P1652" s="314"/>
      <c r="Q1652" s="314"/>
      <c r="R1652" s="314"/>
      <c r="S1652" s="314"/>
      <c r="T1652" s="314"/>
      <c r="U1652" s="314"/>
      <c r="V1652" s="314"/>
      <c r="W1652" s="314"/>
      <c r="X1652" s="314"/>
      <c r="Y1652" s="314"/>
      <c r="Z1652" s="314"/>
    </row>
    <row r="1653" spans="5:26" x14ac:dyDescent="0.35">
      <c r="E1653" s="314"/>
      <c r="F1653" s="314"/>
      <c r="G1653" s="314"/>
      <c r="H1653" s="314"/>
      <c r="I1653" s="314"/>
      <c r="J1653" s="314"/>
      <c r="K1653" s="314"/>
      <c r="L1653" s="314"/>
      <c r="M1653" s="314"/>
      <c r="N1653" s="314"/>
      <c r="O1653" s="314"/>
      <c r="P1653" s="314"/>
      <c r="Q1653" s="314"/>
      <c r="R1653" s="314"/>
      <c r="S1653" s="314"/>
      <c r="T1653" s="314"/>
      <c r="U1653" s="314"/>
      <c r="V1653" s="314"/>
      <c r="W1653" s="314"/>
      <c r="X1653" s="314"/>
      <c r="Y1653" s="314"/>
      <c r="Z1653" s="314"/>
    </row>
    <row r="1654" spans="5:26" x14ac:dyDescent="0.35">
      <c r="E1654" s="314"/>
      <c r="F1654" s="314"/>
      <c r="G1654" s="314"/>
      <c r="H1654" s="314"/>
      <c r="I1654" s="314"/>
      <c r="J1654" s="314"/>
      <c r="K1654" s="314"/>
      <c r="L1654" s="314"/>
      <c r="M1654" s="314"/>
      <c r="N1654" s="314"/>
      <c r="O1654" s="314"/>
      <c r="P1654" s="314"/>
      <c r="Q1654" s="314"/>
      <c r="R1654" s="314"/>
      <c r="S1654" s="314"/>
      <c r="T1654" s="314"/>
      <c r="U1654" s="314"/>
      <c r="V1654" s="314"/>
      <c r="W1654" s="314"/>
      <c r="X1654" s="314"/>
      <c r="Y1654" s="314"/>
      <c r="Z1654" s="314"/>
    </row>
    <row r="1655" spans="5:26" x14ac:dyDescent="0.35">
      <c r="E1655" s="314"/>
      <c r="F1655" s="314"/>
      <c r="G1655" s="314"/>
      <c r="H1655" s="314"/>
      <c r="I1655" s="314"/>
      <c r="J1655" s="314"/>
      <c r="K1655" s="314"/>
      <c r="L1655" s="314"/>
      <c r="M1655" s="314"/>
      <c r="N1655" s="314"/>
      <c r="O1655" s="314"/>
      <c r="P1655" s="314"/>
      <c r="Q1655" s="314"/>
      <c r="R1655" s="314"/>
      <c r="S1655" s="314"/>
      <c r="T1655" s="314"/>
      <c r="U1655" s="314"/>
      <c r="V1655" s="314"/>
      <c r="W1655" s="314"/>
      <c r="X1655" s="314"/>
      <c r="Y1655" s="314"/>
      <c r="Z1655" s="314"/>
    </row>
    <row r="1656" spans="5:26" x14ac:dyDescent="0.35">
      <c r="E1656" s="314"/>
      <c r="F1656" s="314"/>
      <c r="G1656" s="314"/>
      <c r="H1656" s="314"/>
      <c r="I1656" s="314"/>
      <c r="J1656" s="314"/>
      <c r="K1656" s="314"/>
      <c r="L1656" s="314"/>
      <c r="M1656" s="314"/>
      <c r="N1656" s="314"/>
      <c r="O1656" s="314"/>
      <c r="P1656" s="314"/>
      <c r="Q1656" s="314"/>
      <c r="R1656" s="314"/>
      <c r="S1656" s="314"/>
      <c r="T1656" s="314"/>
      <c r="U1656" s="314"/>
      <c r="V1656" s="314"/>
      <c r="W1656" s="314"/>
      <c r="X1656" s="314"/>
      <c r="Y1656" s="314"/>
      <c r="Z1656" s="314"/>
    </row>
    <row r="1657" spans="5:26" x14ac:dyDescent="0.35">
      <c r="E1657" s="314"/>
      <c r="F1657" s="314"/>
      <c r="G1657" s="314"/>
      <c r="H1657" s="314"/>
      <c r="I1657" s="314"/>
      <c r="J1657" s="314"/>
      <c r="K1657" s="314"/>
      <c r="L1657" s="314"/>
      <c r="M1657" s="314"/>
      <c r="N1657" s="314"/>
      <c r="O1657" s="314"/>
      <c r="P1657" s="314"/>
      <c r="Q1657" s="314"/>
      <c r="R1657" s="314"/>
      <c r="S1657" s="314"/>
      <c r="T1657" s="314"/>
      <c r="U1657" s="314"/>
      <c r="V1657" s="314"/>
      <c r="W1657" s="314"/>
      <c r="X1657" s="314"/>
      <c r="Y1657" s="314"/>
      <c r="Z1657" s="314"/>
    </row>
    <row r="1658" spans="5:26" x14ac:dyDescent="0.35">
      <c r="E1658" s="314"/>
      <c r="F1658" s="314"/>
      <c r="G1658" s="314"/>
      <c r="H1658" s="314"/>
      <c r="I1658" s="314"/>
      <c r="J1658" s="314"/>
      <c r="K1658" s="314"/>
      <c r="L1658" s="314"/>
      <c r="M1658" s="314"/>
      <c r="N1658" s="314"/>
      <c r="O1658" s="314"/>
      <c r="P1658" s="314"/>
      <c r="Q1658" s="314"/>
      <c r="R1658" s="314"/>
      <c r="S1658" s="314"/>
      <c r="T1658" s="314"/>
      <c r="U1658" s="314"/>
      <c r="V1658" s="314"/>
      <c r="W1658" s="314"/>
      <c r="X1658" s="314"/>
      <c r="Y1658" s="314"/>
      <c r="Z1658" s="314"/>
    </row>
    <row r="1659" spans="5:26" x14ac:dyDescent="0.35">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row>
    <row r="1660" spans="5:26" x14ac:dyDescent="0.35">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row>
    <row r="1661" spans="5:26" x14ac:dyDescent="0.35">
      <c r="E1661" s="314"/>
      <c r="F1661" s="314"/>
      <c r="G1661" s="314"/>
      <c r="H1661" s="314"/>
      <c r="I1661" s="314"/>
      <c r="J1661" s="314"/>
      <c r="K1661" s="314"/>
      <c r="L1661" s="314"/>
      <c r="M1661" s="314"/>
      <c r="N1661" s="314"/>
      <c r="O1661" s="314"/>
      <c r="P1661" s="314"/>
      <c r="Q1661" s="314"/>
      <c r="R1661" s="314"/>
      <c r="S1661" s="314"/>
      <c r="T1661" s="314"/>
      <c r="U1661" s="314"/>
      <c r="V1661" s="314"/>
      <c r="W1661" s="314"/>
      <c r="X1661" s="314"/>
      <c r="Y1661" s="314"/>
      <c r="Z1661" s="314"/>
    </row>
    <row r="1662" spans="5:26" x14ac:dyDescent="0.35">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row>
    <row r="1663" spans="5:26" x14ac:dyDescent="0.35">
      <c r="E1663" s="314"/>
      <c r="F1663" s="314"/>
      <c r="G1663" s="314"/>
      <c r="H1663" s="314"/>
      <c r="I1663" s="314"/>
      <c r="J1663" s="314"/>
      <c r="K1663" s="314"/>
      <c r="L1663" s="314"/>
      <c r="M1663" s="314"/>
      <c r="N1663" s="314"/>
      <c r="O1663" s="314"/>
      <c r="P1663" s="314"/>
      <c r="Q1663" s="314"/>
      <c r="R1663" s="314"/>
      <c r="S1663" s="314"/>
      <c r="T1663" s="314"/>
      <c r="U1663" s="314"/>
      <c r="V1663" s="314"/>
      <c r="W1663" s="314"/>
      <c r="X1663" s="314"/>
      <c r="Y1663" s="314"/>
      <c r="Z1663" s="314"/>
    </row>
    <row r="1664" spans="5:26" x14ac:dyDescent="0.35">
      <c r="E1664" s="314"/>
      <c r="F1664" s="314"/>
      <c r="G1664" s="314"/>
      <c r="H1664" s="314"/>
      <c r="I1664" s="314"/>
      <c r="J1664" s="314"/>
      <c r="K1664" s="314"/>
      <c r="L1664" s="314"/>
      <c r="M1664" s="314"/>
      <c r="N1664" s="314"/>
      <c r="O1664" s="314"/>
      <c r="P1664" s="314"/>
      <c r="Q1664" s="314"/>
      <c r="R1664" s="314"/>
      <c r="S1664" s="314"/>
      <c r="T1664" s="314"/>
      <c r="U1664" s="314"/>
      <c r="V1664" s="314"/>
      <c r="W1664" s="314"/>
      <c r="X1664" s="314"/>
      <c r="Y1664" s="314"/>
      <c r="Z1664" s="314"/>
    </row>
    <row r="1665" spans="5:26" x14ac:dyDescent="0.35">
      <c r="E1665" s="314"/>
      <c r="F1665" s="314"/>
      <c r="G1665" s="314"/>
      <c r="H1665" s="314"/>
      <c r="I1665" s="314"/>
      <c r="J1665" s="314"/>
      <c r="K1665" s="314"/>
      <c r="L1665" s="314"/>
      <c r="M1665" s="314"/>
      <c r="N1665" s="314"/>
      <c r="O1665" s="314"/>
      <c r="P1665" s="314"/>
      <c r="Q1665" s="314"/>
      <c r="R1665" s="314"/>
      <c r="S1665" s="314"/>
      <c r="T1665" s="314"/>
      <c r="U1665" s="314"/>
      <c r="V1665" s="314"/>
      <c r="W1665" s="314"/>
      <c r="X1665" s="314"/>
      <c r="Y1665" s="314"/>
      <c r="Z1665" s="314"/>
    </row>
    <row r="1666" spans="5:26" x14ac:dyDescent="0.35">
      <c r="E1666" s="314"/>
      <c r="F1666" s="314"/>
      <c r="G1666" s="314"/>
      <c r="H1666" s="314"/>
      <c r="I1666" s="314"/>
      <c r="J1666" s="314"/>
      <c r="K1666" s="314"/>
      <c r="L1666" s="314"/>
      <c r="M1666" s="314"/>
      <c r="N1666" s="314"/>
      <c r="O1666" s="314"/>
      <c r="P1666" s="314"/>
      <c r="Q1666" s="314"/>
      <c r="R1666" s="314"/>
      <c r="S1666" s="314"/>
      <c r="T1666" s="314"/>
      <c r="U1666" s="314"/>
      <c r="V1666" s="314"/>
      <c r="W1666" s="314"/>
      <c r="X1666" s="314"/>
      <c r="Y1666" s="314"/>
      <c r="Z1666" s="314"/>
    </row>
    <row r="1667" spans="5:26" x14ac:dyDescent="0.35">
      <c r="E1667" s="314"/>
      <c r="F1667" s="314"/>
      <c r="G1667" s="314"/>
      <c r="H1667" s="314"/>
      <c r="I1667" s="314"/>
      <c r="J1667" s="314"/>
      <c r="K1667" s="314"/>
      <c r="L1667" s="314"/>
      <c r="M1667" s="314"/>
      <c r="N1667" s="314"/>
      <c r="O1667" s="314"/>
      <c r="P1667" s="314"/>
      <c r="Q1667" s="314"/>
      <c r="R1667" s="314"/>
      <c r="S1667" s="314"/>
      <c r="T1667" s="314"/>
      <c r="U1667" s="314"/>
      <c r="V1667" s="314"/>
      <c r="W1667" s="314"/>
      <c r="X1667" s="314"/>
      <c r="Y1667" s="314"/>
      <c r="Z1667" s="314"/>
    </row>
    <row r="1668" spans="5:26" x14ac:dyDescent="0.35">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row>
    <row r="1669" spans="5:26" x14ac:dyDescent="0.35">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row>
    <row r="1670" spans="5:26" x14ac:dyDescent="0.35">
      <c r="E1670" s="314"/>
      <c r="F1670" s="314"/>
      <c r="G1670" s="314"/>
      <c r="H1670" s="314"/>
      <c r="I1670" s="314"/>
      <c r="J1670" s="314"/>
      <c r="K1670" s="314"/>
      <c r="L1670" s="314"/>
      <c r="M1670" s="314"/>
      <c r="N1670" s="314"/>
      <c r="O1670" s="314"/>
      <c r="P1670" s="314"/>
      <c r="Q1670" s="314"/>
      <c r="R1670" s="314"/>
      <c r="S1670" s="314"/>
      <c r="T1670" s="314"/>
      <c r="U1670" s="314"/>
      <c r="V1670" s="314"/>
      <c r="W1670" s="314"/>
      <c r="X1670" s="314"/>
      <c r="Y1670" s="314"/>
      <c r="Z1670" s="314"/>
    </row>
    <row r="1671" spans="5:26" x14ac:dyDescent="0.35">
      <c r="E1671" s="314"/>
      <c r="F1671" s="314"/>
      <c r="G1671" s="314"/>
      <c r="H1671" s="314"/>
      <c r="I1671" s="314"/>
      <c r="J1671" s="314"/>
      <c r="K1671" s="314"/>
      <c r="L1671" s="314"/>
      <c r="M1671" s="314"/>
      <c r="N1671" s="314"/>
      <c r="O1671" s="314"/>
      <c r="P1671" s="314"/>
      <c r="Q1671" s="314"/>
      <c r="R1671" s="314"/>
      <c r="S1671" s="314"/>
      <c r="T1671" s="314"/>
      <c r="U1671" s="314"/>
      <c r="V1671" s="314"/>
      <c r="W1671" s="314"/>
      <c r="X1671" s="314"/>
      <c r="Y1671" s="314"/>
      <c r="Z1671" s="314"/>
    </row>
    <row r="1672" spans="5:26" x14ac:dyDescent="0.35">
      <c r="E1672" s="314"/>
      <c r="F1672" s="314"/>
      <c r="G1672" s="314"/>
      <c r="H1672" s="314"/>
      <c r="I1672" s="314"/>
      <c r="J1672" s="314"/>
      <c r="K1672" s="314"/>
      <c r="L1672" s="314"/>
      <c r="M1672" s="314"/>
      <c r="N1672" s="314"/>
      <c r="O1672" s="314"/>
      <c r="P1672" s="314"/>
      <c r="Q1672" s="314"/>
      <c r="R1672" s="314"/>
      <c r="S1672" s="314"/>
      <c r="T1672" s="314"/>
      <c r="U1672" s="314"/>
      <c r="V1672" s="314"/>
      <c r="W1672" s="314"/>
      <c r="X1672" s="314"/>
      <c r="Y1672" s="314"/>
      <c r="Z1672" s="314"/>
    </row>
    <row r="1673" spans="5:26" x14ac:dyDescent="0.35">
      <c r="E1673" s="314"/>
      <c r="F1673" s="314"/>
      <c r="G1673" s="314"/>
      <c r="H1673" s="314"/>
      <c r="I1673" s="314"/>
      <c r="J1673" s="314"/>
      <c r="K1673" s="314"/>
      <c r="L1673" s="314"/>
      <c r="M1673" s="314"/>
      <c r="N1673" s="314"/>
      <c r="O1673" s="314"/>
      <c r="P1673" s="314"/>
      <c r="Q1673" s="314"/>
      <c r="R1673" s="314"/>
      <c r="S1673" s="314"/>
      <c r="T1673" s="314"/>
      <c r="U1673" s="314"/>
      <c r="V1673" s="314"/>
      <c r="W1673" s="314"/>
      <c r="X1673" s="314"/>
      <c r="Y1673" s="314"/>
      <c r="Z1673" s="314"/>
    </row>
    <row r="1674" spans="5:26" x14ac:dyDescent="0.35">
      <c r="E1674" s="314"/>
      <c r="F1674" s="314"/>
      <c r="G1674" s="314"/>
      <c r="H1674" s="314"/>
      <c r="I1674" s="314"/>
      <c r="J1674" s="314"/>
      <c r="K1674" s="314"/>
      <c r="L1674" s="314"/>
      <c r="M1674" s="314"/>
      <c r="N1674" s="314"/>
      <c r="O1674" s="314"/>
      <c r="P1674" s="314"/>
      <c r="Q1674" s="314"/>
      <c r="R1674" s="314"/>
      <c r="S1674" s="314"/>
      <c r="T1674" s="314"/>
      <c r="U1674" s="314"/>
      <c r="V1674" s="314"/>
      <c r="W1674" s="314"/>
      <c r="X1674" s="314"/>
      <c r="Y1674" s="314"/>
      <c r="Z1674" s="314"/>
    </row>
    <row r="1675" spans="5:26" x14ac:dyDescent="0.35">
      <c r="E1675" s="314"/>
      <c r="F1675" s="314"/>
      <c r="G1675" s="314"/>
      <c r="H1675" s="314"/>
      <c r="I1675" s="314"/>
      <c r="J1675" s="314"/>
      <c r="K1675" s="314"/>
      <c r="L1675" s="314"/>
      <c r="M1675" s="314"/>
      <c r="N1675" s="314"/>
      <c r="O1675" s="314"/>
      <c r="P1675" s="314"/>
      <c r="Q1675" s="314"/>
      <c r="R1675" s="314"/>
      <c r="S1675" s="314"/>
      <c r="T1675" s="314"/>
      <c r="U1675" s="314"/>
      <c r="V1675" s="314"/>
      <c r="W1675" s="314"/>
      <c r="X1675" s="314"/>
      <c r="Y1675" s="314"/>
      <c r="Z1675" s="314"/>
    </row>
    <row r="1676" spans="5:26" x14ac:dyDescent="0.35">
      <c r="E1676" s="314"/>
      <c r="F1676" s="314"/>
      <c r="G1676" s="314"/>
      <c r="H1676" s="314"/>
      <c r="I1676" s="314"/>
      <c r="J1676" s="314"/>
      <c r="K1676" s="314"/>
      <c r="L1676" s="314"/>
      <c r="M1676" s="314"/>
      <c r="N1676" s="314"/>
      <c r="O1676" s="314"/>
      <c r="P1676" s="314"/>
      <c r="Q1676" s="314"/>
      <c r="R1676" s="314"/>
      <c r="S1676" s="314"/>
      <c r="T1676" s="314"/>
      <c r="U1676" s="314"/>
      <c r="V1676" s="314"/>
      <c r="W1676" s="314"/>
      <c r="X1676" s="314"/>
      <c r="Y1676" s="314"/>
      <c r="Z1676" s="314"/>
    </row>
    <row r="1677" spans="5:26" x14ac:dyDescent="0.35">
      <c r="E1677" s="314"/>
      <c r="F1677" s="314"/>
      <c r="G1677" s="314"/>
      <c r="H1677" s="314"/>
      <c r="I1677" s="314"/>
      <c r="J1677" s="314"/>
      <c r="K1677" s="314"/>
      <c r="L1677" s="314"/>
      <c r="M1677" s="314"/>
      <c r="N1677" s="314"/>
      <c r="O1677" s="314"/>
      <c r="P1677" s="314"/>
      <c r="Q1677" s="314"/>
      <c r="R1677" s="314"/>
      <c r="S1677" s="314"/>
      <c r="T1677" s="314"/>
      <c r="U1677" s="314"/>
      <c r="V1677" s="314"/>
      <c r="W1677" s="314"/>
      <c r="X1677" s="314"/>
      <c r="Y1677" s="314"/>
      <c r="Z1677" s="314"/>
    </row>
    <row r="1678" spans="5:26" x14ac:dyDescent="0.35">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row>
    <row r="1679" spans="5:26" x14ac:dyDescent="0.35">
      <c r="E1679" s="314"/>
      <c r="F1679" s="314"/>
      <c r="G1679" s="314"/>
      <c r="H1679" s="314"/>
      <c r="I1679" s="314"/>
      <c r="J1679" s="314"/>
      <c r="K1679" s="314"/>
      <c r="L1679" s="314"/>
      <c r="M1679" s="314"/>
      <c r="N1679" s="314"/>
      <c r="O1679" s="314"/>
      <c r="P1679" s="314"/>
      <c r="Q1679" s="314"/>
      <c r="R1679" s="314"/>
      <c r="S1679" s="314"/>
      <c r="T1679" s="314"/>
      <c r="U1679" s="314"/>
      <c r="V1679" s="314"/>
      <c r="W1679" s="314"/>
      <c r="X1679" s="314"/>
      <c r="Y1679" s="314"/>
      <c r="Z1679" s="314"/>
    </row>
    <row r="1680" spans="5:26" x14ac:dyDescent="0.35">
      <c r="E1680" s="314"/>
      <c r="F1680" s="314"/>
      <c r="G1680" s="314"/>
      <c r="H1680" s="314"/>
      <c r="I1680" s="314"/>
      <c r="J1680" s="314"/>
      <c r="K1680" s="314"/>
      <c r="L1680" s="314"/>
      <c r="M1680" s="314"/>
      <c r="N1680" s="314"/>
      <c r="O1680" s="314"/>
      <c r="P1680" s="314"/>
      <c r="Q1680" s="314"/>
      <c r="R1680" s="314"/>
      <c r="S1680" s="314"/>
      <c r="T1680" s="314"/>
      <c r="U1680" s="314"/>
      <c r="V1680" s="314"/>
      <c r="W1680" s="314"/>
      <c r="X1680" s="314"/>
      <c r="Y1680" s="314"/>
      <c r="Z1680" s="314"/>
    </row>
    <row r="1681" spans="5:26" x14ac:dyDescent="0.35">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row>
    <row r="1682" spans="5:26" x14ac:dyDescent="0.35">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row>
    <row r="1683" spans="5:26" x14ac:dyDescent="0.35">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row>
    <row r="1684" spans="5:26" x14ac:dyDescent="0.35">
      <c r="E1684" s="314"/>
      <c r="F1684" s="314"/>
      <c r="G1684" s="314"/>
      <c r="H1684" s="314"/>
      <c r="I1684" s="314"/>
      <c r="J1684" s="314"/>
      <c r="K1684" s="314"/>
      <c r="L1684" s="314"/>
      <c r="M1684" s="314"/>
      <c r="N1684" s="314"/>
      <c r="O1684" s="314"/>
      <c r="P1684" s="314"/>
      <c r="Q1684" s="314"/>
      <c r="R1684" s="314"/>
      <c r="S1684" s="314"/>
      <c r="T1684" s="314"/>
      <c r="U1684" s="314"/>
      <c r="V1684" s="314"/>
      <c r="W1684" s="314"/>
      <c r="X1684" s="314"/>
      <c r="Y1684" s="314"/>
      <c r="Z1684" s="314"/>
    </row>
    <row r="1685" spans="5:26" x14ac:dyDescent="0.35">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row>
    <row r="1686" spans="5:26" x14ac:dyDescent="0.35">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row>
    <row r="1687" spans="5:26" x14ac:dyDescent="0.35">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row>
    <row r="1688" spans="5:26" x14ac:dyDescent="0.35">
      <c r="E1688" s="314"/>
      <c r="F1688" s="314"/>
      <c r="G1688" s="314"/>
      <c r="H1688" s="314"/>
      <c r="I1688" s="314"/>
      <c r="J1688" s="314"/>
      <c r="K1688" s="314"/>
      <c r="L1688" s="314"/>
      <c r="M1688" s="314"/>
      <c r="N1688" s="314"/>
      <c r="O1688" s="314"/>
      <c r="P1688" s="314"/>
      <c r="Q1688" s="314"/>
      <c r="R1688" s="314"/>
      <c r="S1688" s="314"/>
      <c r="T1688" s="314"/>
      <c r="U1688" s="314"/>
      <c r="V1688" s="314"/>
      <c r="W1688" s="314"/>
      <c r="X1688" s="314"/>
      <c r="Y1688" s="314"/>
      <c r="Z1688" s="314"/>
    </row>
    <row r="1689" spans="5:26" x14ac:dyDescent="0.35">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row>
    <row r="1690" spans="5:26" x14ac:dyDescent="0.35">
      <c r="E1690" s="314"/>
      <c r="F1690" s="314"/>
      <c r="G1690" s="314"/>
      <c r="H1690" s="314"/>
      <c r="I1690" s="314"/>
      <c r="J1690" s="314"/>
      <c r="K1690" s="314"/>
      <c r="L1690" s="314"/>
      <c r="M1690" s="314"/>
      <c r="N1690" s="314"/>
      <c r="O1690" s="314"/>
      <c r="P1690" s="314"/>
      <c r="Q1690" s="314"/>
      <c r="R1690" s="314"/>
      <c r="S1690" s="314"/>
      <c r="T1690" s="314"/>
      <c r="U1690" s="314"/>
      <c r="V1690" s="314"/>
      <c r="W1690" s="314"/>
      <c r="X1690" s="314"/>
      <c r="Y1690" s="314"/>
      <c r="Z1690" s="314"/>
    </row>
    <row r="1691" spans="5:26" x14ac:dyDescent="0.35">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row>
    <row r="1692" spans="5:26" x14ac:dyDescent="0.35">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row>
    <row r="1693" spans="5:26" x14ac:dyDescent="0.35">
      <c r="E1693" s="314"/>
      <c r="F1693" s="314"/>
      <c r="G1693" s="314"/>
      <c r="H1693" s="314"/>
      <c r="I1693" s="314"/>
      <c r="J1693" s="314"/>
      <c r="K1693" s="314"/>
      <c r="L1693" s="314"/>
      <c r="M1693" s="314"/>
      <c r="N1693" s="314"/>
      <c r="O1693" s="314"/>
      <c r="P1693" s="314"/>
      <c r="Q1693" s="314"/>
      <c r="R1693" s="314"/>
      <c r="S1693" s="314"/>
      <c r="T1693" s="314"/>
      <c r="U1693" s="314"/>
      <c r="V1693" s="314"/>
      <c r="W1693" s="314"/>
      <c r="X1693" s="314"/>
      <c r="Y1693" s="314"/>
      <c r="Z1693" s="314"/>
    </row>
    <row r="1694" spans="5:26" x14ac:dyDescent="0.35">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row>
    <row r="1695" spans="5:26" x14ac:dyDescent="0.35">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row>
    <row r="1696" spans="5:26" x14ac:dyDescent="0.35">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row>
    <row r="1697" spans="5:26" x14ac:dyDescent="0.35">
      <c r="E1697" s="314"/>
      <c r="F1697" s="314"/>
      <c r="G1697" s="314"/>
      <c r="H1697" s="314"/>
      <c r="I1697" s="314"/>
      <c r="J1697" s="314"/>
      <c r="K1697" s="314"/>
      <c r="L1697" s="314"/>
      <c r="M1697" s="314"/>
      <c r="N1697" s="314"/>
      <c r="O1697" s="314"/>
      <c r="P1697" s="314"/>
      <c r="Q1697" s="314"/>
      <c r="R1697" s="314"/>
      <c r="S1697" s="314"/>
      <c r="T1697" s="314"/>
      <c r="U1697" s="314"/>
      <c r="V1697" s="314"/>
      <c r="W1697" s="314"/>
      <c r="X1697" s="314"/>
      <c r="Y1697" s="314"/>
      <c r="Z1697" s="314"/>
    </row>
    <row r="1698" spans="5:26" x14ac:dyDescent="0.35">
      <c r="E1698" s="314"/>
      <c r="F1698" s="314"/>
      <c r="G1698" s="314"/>
      <c r="H1698" s="314"/>
      <c r="I1698" s="314"/>
      <c r="J1698" s="314"/>
      <c r="K1698" s="314"/>
      <c r="L1698" s="314"/>
      <c r="M1698" s="314"/>
      <c r="N1698" s="314"/>
      <c r="O1698" s="314"/>
      <c r="P1698" s="314"/>
      <c r="Q1698" s="314"/>
      <c r="R1698" s="314"/>
      <c r="S1698" s="314"/>
      <c r="T1698" s="314"/>
      <c r="U1698" s="314"/>
      <c r="V1698" s="314"/>
      <c r="W1698" s="314"/>
      <c r="X1698" s="314"/>
      <c r="Y1698" s="314"/>
      <c r="Z1698" s="314"/>
    </row>
    <row r="1699" spans="5:26" x14ac:dyDescent="0.35">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row>
    <row r="1700" spans="5:26" x14ac:dyDescent="0.35">
      <c r="E1700" s="314"/>
      <c r="F1700" s="314"/>
      <c r="G1700" s="314"/>
      <c r="H1700" s="314"/>
      <c r="I1700" s="314"/>
      <c r="J1700" s="314"/>
      <c r="K1700" s="314"/>
      <c r="L1700" s="314"/>
      <c r="M1700" s="314"/>
      <c r="N1700" s="314"/>
      <c r="O1700" s="314"/>
      <c r="P1700" s="314"/>
      <c r="Q1700" s="314"/>
      <c r="R1700" s="314"/>
      <c r="S1700" s="314"/>
      <c r="T1700" s="314"/>
      <c r="U1700" s="314"/>
      <c r="V1700" s="314"/>
      <c r="W1700" s="314"/>
      <c r="X1700" s="314"/>
      <c r="Y1700" s="314"/>
      <c r="Z1700" s="314"/>
    </row>
    <row r="1701" spans="5:26" x14ac:dyDescent="0.35">
      <c r="E1701" s="314"/>
      <c r="F1701" s="314"/>
      <c r="G1701" s="314"/>
      <c r="H1701" s="314"/>
      <c r="I1701" s="314"/>
      <c r="J1701" s="314"/>
      <c r="K1701" s="314"/>
      <c r="L1701" s="314"/>
      <c r="M1701" s="314"/>
      <c r="N1701" s="314"/>
      <c r="O1701" s="314"/>
      <c r="P1701" s="314"/>
      <c r="Q1701" s="314"/>
      <c r="R1701" s="314"/>
      <c r="S1701" s="314"/>
      <c r="T1701" s="314"/>
      <c r="U1701" s="314"/>
      <c r="V1701" s="314"/>
      <c r="W1701" s="314"/>
      <c r="X1701" s="314"/>
      <c r="Y1701" s="314"/>
      <c r="Z1701" s="314"/>
    </row>
    <row r="1702" spans="5:26" x14ac:dyDescent="0.35">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row>
    <row r="1703" spans="5:26" x14ac:dyDescent="0.35">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row>
    <row r="1704" spans="5:26" x14ac:dyDescent="0.35">
      <c r="E1704" s="314"/>
      <c r="F1704" s="314"/>
      <c r="G1704" s="314"/>
      <c r="H1704" s="314"/>
      <c r="I1704" s="314"/>
      <c r="J1704" s="314"/>
      <c r="K1704" s="314"/>
      <c r="L1704" s="314"/>
      <c r="M1704" s="314"/>
      <c r="N1704" s="314"/>
      <c r="O1704" s="314"/>
      <c r="P1704" s="314"/>
      <c r="Q1704" s="314"/>
      <c r="R1704" s="314"/>
      <c r="S1704" s="314"/>
      <c r="T1704" s="314"/>
      <c r="U1704" s="314"/>
      <c r="V1704" s="314"/>
      <c r="W1704" s="314"/>
      <c r="X1704" s="314"/>
      <c r="Y1704" s="314"/>
      <c r="Z1704" s="314"/>
    </row>
    <row r="1705" spans="5:26" x14ac:dyDescent="0.35">
      <c r="E1705" s="314"/>
      <c r="F1705" s="314"/>
      <c r="G1705" s="314"/>
      <c r="H1705" s="314"/>
      <c r="I1705" s="314"/>
      <c r="J1705" s="314"/>
      <c r="K1705" s="314"/>
      <c r="L1705" s="314"/>
      <c r="M1705" s="314"/>
      <c r="N1705" s="314"/>
      <c r="O1705" s="314"/>
      <c r="P1705" s="314"/>
      <c r="Q1705" s="314"/>
      <c r="R1705" s="314"/>
      <c r="S1705" s="314"/>
      <c r="T1705" s="314"/>
      <c r="U1705" s="314"/>
      <c r="V1705" s="314"/>
      <c r="W1705" s="314"/>
      <c r="X1705" s="314"/>
      <c r="Y1705" s="314"/>
      <c r="Z1705" s="314"/>
    </row>
    <row r="1706" spans="5:26" x14ac:dyDescent="0.35">
      <c r="E1706" s="314"/>
      <c r="F1706" s="314"/>
      <c r="G1706" s="314"/>
      <c r="H1706" s="314"/>
      <c r="I1706" s="314"/>
      <c r="J1706" s="314"/>
      <c r="K1706" s="314"/>
      <c r="L1706" s="314"/>
      <c r="M1706" s="314"/>
      <c r="N1706" s="314"/>
      <c r="O1706" s="314"/>
      <c r="P1706" s="314"/>
      <c r="Q1706" s="314"/>
      <c r="R1706" s="314"/>
      <c r="S1706" s="314"/>
      <c r="T1706" s="314"/>
      <c r="U1706" s="314"/>
      <c r="V1706" s="314"/>
      <c r="W1706" s="314"/>
      <c r="X1706" s="314"/>
      <c r="Y1706" s="314"/>
      <c r="Z1706" s="314"/>
    </row>
    <row r="1707" spans="5:26" x14ac:dyDescent="0.35">
      <c r="E1707" s="314"/>
      <c r="F1707" s="314"/>
      <c r="G1707" s="314"/>
      <c r="H1707" s="314"/>
      <c r="I1707" s="314"/>
      <c r="J1707" s="314"/>
      <c r="K1707" s="314"/>
      <c r="L1707" s="314"/>
      <c r="M1707" s="314"/>
      <c r="N1707" s="314"/>
      <c r="O1707" s="314"/>
      <c r="P1707" s="314"/>
      <c r="Q1707" s="314"/>
      <c r="R1707" s="314"/>
      <c r="S1707" s="314"/>
      <c r="T1707" s="314"/>
      <c r="U1707" s="314"/>
      <c r="V1707" s="314"/>
      <c r="W1707" s="314"/>
      <c r="X1707" s="314"/>
      <c r="Y1707" s="314"/>
      <c r="Z1707" s="314"/>
    </row>
    <row r="1708" spans="5:26" x14ac:dyDescent="0.35">
      <c r="E1708" s="314"/>
      <c r="F1708" s="314"/>
      <c r="G1708" s="314"/>
      <c r="H1708" s="314"/>
      <c r="I1708" s="314"/>
      <c r="J1708" s="314"/>
      <c r="K1708" s="314"/>
      <c r="L1708" s="314"/>
      <c r="M1708" s="314"/>
      <c r="N1708" s="314"/>
      <c r="O1708" s="314"/>
      <c r="P1708" s="314"/>
      <c r="Q1708" s="314"/>
      <c r="R1708" s="314"/>
      <c r="S1708" s="314"/>
      <c r="T1708" s="314"/>
      <c r="U1708" s="314"/>
      <c r="V1708" s="314"/>
      <c r="W1708" s="314"/>
      <c r="X1708" s="314"/>
      <c r="Y1708" s="314"/>
      <c r="Z1708" s="314"/>
    </row>
    <row r="1709" spans="5:26" x14ac:dyDescent="0.35">
      <c r="E1709" s="314"/>
      <c r="F1709" s="314"/>
      <c r="G1709" s="314"/>
      <c r="H1709" s="314"/>
      <c r="I1709" s="314"/>
      <c r="J1709" s="314"/>
      <c r="K1709" s="314"/>
      <c r="L1709" s="314"/>
      <c r="M1709" s="314"/>
      <c r="N1709" s="314"/>
      <c r="O1709" s="314"/>
      <c r="P1709" s="314"/>
      <c r="Q1709" s="314"/>
      <c r="R1709" s="314"/>
      <c r="S1709" s="314"/>
      <c r="T1709" s="314"/>
      <c r="U1709" s="314"/>
      <c r="V1709" s="314"/>
      <c r="W1709" s="314"/>
      <c r="X1709" s="314"/>
      <c r="Y1709" s="314"/>
      <c r="Z1709" s="314"/>
    </row>
    <row r="1710" spans="5:26" x14ac:dyDescent="0.35">
      <c r="E1710" s="314"/>
      <c r="F1710" s="314"/>
      <c r="G1710" s="314"/>
      <c r="H1710" s="314"/>
      <c r="I1710" s="314"/>
      <c r="J1710" s="314"/>
      <c r="K1710" s="314"/>
      <c r="L1710" s="314"/>
      <c r="M1710" s="314"/>
      <c r="N1710" s="314"/>
      <c r="O1710" s="314"/>
      <c r="P1710" s="314"/>
      <c r="Q1710" s="314"/>
      <c r="R1710" s="314"/>
      <c r="S1710" s="314"/>
      <c r="T1710" s="314"/>
      <c r="U1710" s="314"/>
      <c r="V1710" s="314"/>
      <c r="W1710" s="314"/>
      <c r="X1710" s="314"/>
      <c r="Y1710" s="314"/>
      <c r="Z1710" s="314"/>
    </row>
    <row r="1711" spans="5:26" x14ac:dyDescent="0.35">
      <c r="E1711" s="314"/>
      <c r="F1711" s="314"/>
      <c r="G1711" s="314"/>
      <c r="H1711" s="314"/>
      <c r="I1711" s="314"/>
      <c r="J1711" s="314"/>
      <c r="K1711" s="314"/>
      <c r="L1711" s="314"/>
      <c r="M1711" s="314"/>
      <c r="N1711" s="314"/>
      <c r="O1711" s="314"/>
      <c r="P1711" s="314"/>
      <c r="Q1711" s="314"/>
      <c r="R1711" s="314"/>
      <c r="S1711" s="314"/>
      <c r="T1711" s="314"/>
      <c r="U1711" s="314"/>
      <c r="V1711" s="314"/>
      <c r="W1711" s="314"/>
      <c r="X1711" s="314"/>
      <c r="Y1711" s="314"/>
      <c r="Z1711" s="314"/>
    </row>
    <row r="1712" spans="5:26" x14ac:dyDescent="0.35">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row>
    <row r="1713" spans="5:26" x14ac:dyDescent="0.35">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row>
    <row r="1714" spans="5:26" x14ac:dyDescent="0.35">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row>
    <row r="1715" spans="5:26" x14ac:dyDescent="0.35">
      <c r="E1715" s="314"/>
      <c r="F1715" s="314"/>
      <c r="G1715" s="314"/>
      <c r="H1715" s="314"/>
      <c r="I1715" s="314"/>
      <c r="J1715" s="314"/>
      <c r="K1715" s="314"/>
      <c r="L1715" s="314"/>
      <c r="M1715" s="314"/>
      <c r="N1715" s="314"/>
      <c r="O1715" s="314"/>
      <c r="P1715" s="314"/>
      <c r="Q1715" s="314"/>
      <c r="R1715" s="314"/>
      <c r="S1715" s="314"/>
      <c r="T1715" s="314"/>
      <c r="U1715" s="314"/>
      <c r="V1715" s="314"/>
      <c r="W1715" s="314"/>
      <c r="X1715" s="314"/>
      <c r="Y1715" s="314"/>
      <c r="Z1715" s="314"/>
    </row>
    <row r="1716" spans="5:26" x14ac:dyDescent="0.35">
      <c r="E1716" s="314"/>
      <c r="F1716" s="314"/>
      <c r="G1716" s="314"/>
      <c r="H1716" s="314"/>
      <c r="I1716" s="314"/>
      <c r="J1716" s="314"/>
      <c r="K1716" s="314"/>
      <c r="L1716" s="314"/>
      <c r="M1716" s="314"/>
      <c r="N1716" s="314"/>
      <c r="O1716" s="314"/>
      <c r="P1716" s="314"/>
      <c r="Q1716" s="314"/>
      <c r="R1716" s="314"/>
      <c r="S1716" s="314"/>
      <c r="T1716" s="314"/>
      <c r="U1716" s="314"/>
      <c r="V1716" s="314"/>
      <c r="W1716" s="314"/>
      <c r="X1716" s="314"/>
      <c r="Y1716" s="314"/>
      <c r="Z1716" s="314"/>
    </row>
    <row r="1717" spans="5:26" x14ac:dyDescent="0.35">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row>
    <row r="1718" spans="5:26" x14ac:dyDescent="0.35">
      <c r="E1718" s="314"/>
      <c r="F1718" s="314"/>
      <c r="G1718" s="314"/>
      <c r="H1718" s="314"/>
      <c r="I1718" s="314"/>
      <c r="J1718" s="314"/>
      <c r="K1718" s="314"/>
      <c r="L1718" s="314"/>
      <c r="M1718" s="314"/>
      <c r="N1718" s="314"/>
      <c r="O1718" s="314"/>
      <c r="P1718" s="314"/>
      <c r="Q1718" s="314"/>
      <c r="R1718" s="314"/>
      <c r="S1718" s="314"/>
      <c r="T1718" s="314"/>
      <c r="U1718" s="314"/>
      <c r="V1718" s="314"/>
      <c r="W1718" s="314"/>
      <c r="X1718" s="314"/>
      <c r="Y1718" s="314"/>
      <c r="Z1718" s="314"/>
    </row>
    <row r="1719" spans="5:26" x14ac:dyDescent="0.35">
      <c r="E1719" s="314"/>
      <c r="F1719" s="314"/>
      <c r="G1719" s="314"/>
      <c r="H1719" s="314"/>
      <c r="I1719" s="314"/>
      <c r="J1719" s="314"/>
      <c r="K1719" s="314"/>
      <c r="L1719" s="314"/>
      <c r="M1719" s="314"/>
      <c r="N1719" s="314"/>
      <c r="O1719" s="314"/>
      <c r="P1719" s="314"/>
      <c r="Q1719" s="314"/>
      <c r="R1719" s="314"/>
      <c r="S1719" s="314"/>
      <c r="T1719" s="314"/>
      <c r="U1719" s="314"/>
      <c r="V1719" s="314"/>
      <c r="W1719" s="314"/>
      <c r="X1719" s="314"/>
      <c r="Y1719" s="314"/>
      <c r="Z1719" s="314"/>
    </row>
    <row r="1720" spans="5:26" x14ac:dyDescent="0.35">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row>
    <row r="1721" spans="5:26" x14ac:dyDescent="0.35">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row>
    <row r="1722" spans="5:26" x14ac:dyDescent="0.35">
      <c r="E1722" s="314"/>
      <c r="F1722" s="314"/>
      <c r="G1722" s="314"/>
      <c r="H1722" s="314"/>
      <c r="I1722" s="314"/>
      <c r="J1722" s="314"/>
      <c r="K1722" s="314"/>
      <c r="L1722" s="314"/>
      <c r="M1722" s="314"/>
      <c r="N1722" s="314"/>
      <c r="O1722" s="314"/>
      <c r="P1722" s="314"/>
      <c r="Q1722" s="314"/>
      <c r="R1722" s="314"/>
      <c r="S1722" s="314"/>
      <c r="T1722" s="314"/>
      <c r="U1722" s="314"/>
      <c r="V1722" s="314"/>
      <c r="W1722" s="314"/>
      <c r="X1722" s="314"/>
      <c r="Y1722" s="314"/>
      <c r="Z1722" s="314"/>
    </row>
    <row r="1723" spans="5:26" x14ac:dyDescent="0.35">
      <c r="E1723" s="314"/>
      <c r="F1723" s="314"/>
      <c r="G1723" s="314"/>
      <c r="H1723" s="314"/>
      <c r="I1723" s="314"/>
      <c r="J1723" s="314"/>
      <c r="K1723" s="314"/>
      <c r="L1723" s="314"/>
      <c r="M1723" s="314"/>
      <c r="N1723" s="314"/>
      <c r="O1723" s="314"/>
      <c r="P1723" s="314"/>
      <c r="Q1723" s="314"/>
      <c r="R1723" s="314"/>
      <c r="S1723" s="314"/>
      <c r="T1723" s="314"/>
      <c r="U1723" s="314"/>
      <c r="V1723" s="314"/>
      <c r="W1723" s="314"/>
      <c r="X1723" s="314"/>
      <c r="Y1723" s="314"/>
      <c r="Z1723" s="314"/>
    </row>
    <row r="1724" spans="5:26" x14ac:dyDescent="0.35">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row>
    <row r="1725" spans="5:26" x14ac:dyDescent="0.35">
      <c r="E1725" s="314"/>
      <c r="F1725" s="314"/>
      <c r="G1725" s="314"/>
      <c r="H1725" s="314"/>
      <c r="I1725" s="314"/>
      <c r="J1725" s="314"/>
      <c r="K1725" s="314"/>
      <c r="L1725" s="314"/>
      <c r="M1725" s="314"/>
      <c r="N1725" s="314"/>
      <c r="O1725" s="314"/>
      <c r="P1725" s="314"/>
      <c r="Q1725" s="314"/>
      <c r="R1725" s="314"/>
      <c r="S1725" s="314"/>
      <c r="T1725" s="314"/>
      <c r="U1725" s="314"/>
      <c r="V1725" s="314"/>
      <c r="W1725" s="314"/>
      <c r="X1725" s="314"/>
      <c r="Y1725" s="314"/>
      <c r="Z1725" s="314"/>
    </row>
    <row r="1726" spans="5:26" x14ac:dyDescent="0.35">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row>
    <row r="1727" spans="5:26" x14ac:dyDescent="0.35">
      <c r="E1727" s="314"/>
      <c r="F1727" s="314"/>
      <c r="G1727" s="314"/>
      <c r="H1727" s="314"/>
      <c r="I1727" s="314"/>
      <c r="J1727" s="314"/>
      <c r="K1727" s="314"/>
      <c r="L1727" s="314"/>
      <c r="M1727" s="314"/>
      <c r="N1727" s="314"/>
      <c r="O1727" s="314"/>
      <c r="P1727" s="314"/>
      <c r="Q1727" s="314"/>
      <c r="R1727" s="314"/>
      <c r="S1727" s="314"/>
      <c r="T1727" s="314"/>
      <c r="U1727" s="314"/>
      <c r="V1727" s="314"/>
      <c r="W1727" s="314"/>
      <c r="X1727" s="314"/>
      <c r="Y1727" s="314"/>
      <c r="Z1727" s="314"/>
    </row>
    <row r="1728" spans="5:26" x14ac:dyDescent="0.35">
      <c r="E1728" s="314"/>
      <c r="F1728" s="314"/>
      <c r="G1728" s="314"/>
      <c r="H1728" s="314"/>
      <c r="I1728" s="314"/>
      <c r="J1728" s="314"/>
      <c r="K1728" s="314"/>
      <c r="L1728" s="314"/>
      <c r="M1728" s="314"/>
      <c r="N1728" s="314"/>
      <c r="O1728" s="314"/>
      <c r="P1728" s="314"/>
      <c r="Q1728" s="314"/>
      <c r="R1728" s="314"/>
      <c r="S1728" s="314"/>
      <c r="T1728" s="314"/>
      <c r="U1728" s="314"/>
      <c r="V1728" s="314"/>
      <c r="W1728" s="314"/>
      <c r="X1728" s="314"/>
      <c r="Y1728" s="314"/>
      <c r="Z1728" s="314"/>
    </row>
    <row r="1729" spans="5:26" x14ac:dyDescent="0.35">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row>
    <row r="1730" spans="5:26" x14ac:dyDescent="0.35">
      <c r="E1730" s="314"/>
      <c r="F1730" s="314"/>
      <c r="G1730" s="314"/>
      <c r="H1730" s="314"/>
      <c r="I1730" s="314"/>
      <c r="J1730" s="314"/>
      <c r="K1730" s="314"/>
      <c r="L1730" s="314"/>
      <c r="M1730" s="314"/>
      <c r="N1730" s="314"/>
      <c r="O1730" s="314"/>
      <c r="P1730" s="314"/>
      <c r="Q1730" s="314"/>
      <c r="R1730" s="314"/>
      <c r="S1730" s="314"/>
      <c r="T1730" s="314"/>
      <c r="U1730" s="314"/>
      <c r="V1730" s="314"/>
      <c r="W1730" s="314"/>
      <c r="X1730" s="314"/>
      <c r="Y1730" s="314"/>
      <c r="Z1730" s="314"/>
    </row>
    <row r="1731" spans="5:26" x14ac:dyDescent="0.35">
      <c r="E1731" s="314"/>
      <c r="F1731" s="314"/>
      <c r="G1731" s="314"/>
      <c r="H1731" s="314"/>
      <c r="I1731" s="314"/>
      <c r="J1731" s="314"/>
      <c r="K1731" s="314"/>
      <c r="L1731" s="314"/>
      <c r="M1731" s="314"/>
      <c r="N1731" s="314"/>
      <c r="O1731" s="314"/>
      <c r="P1731" s="314"/>
      <c r="Q1731" s="314"/>
      <c r="R1731" s="314"/>
      <c r="S1731" s="314"/>
      <c r="T1731" s="314"/>
      <c r="U1731" s="314"/>
      <c r="V1731" s="314"/>
      <c r="W1731" s="314"/>
      <c r="X1731" s="314"/>
      <c r="Y1731" s="314"/>
      <c r="Z1731" s="314"/>
    </row>
    <row r="1732" spans="5:26" x14ac:dyDescent="0.35">
      <c r="E1732" s="314"/>
      <c r="F1732" s="314"/>
      <c r="G1732" s="314"/>
      <c r="H1732" s="314"/>
      <c r="I1732" s="314"/>
      <c r="J1732" s="314"/>
      <c r="K1732" s="314"/>
      <c r="L1732" s="314"/>
      <c r="M1732" s="314"/>
      <c r="N1732" s="314"/>
      <c r="O1732" s="314"/>
      <c r="P1732" s="314"/>
      <c r="Q1732" s="314"/>
      <c r="R1732" s="314"/>
      <c r="S1732" s="314"/>
      <c r="T1732" s="314"/>
      <c r="U1732" s="314"/>
      <c r="V1732" s="314"/>
      <c r="W1732" s="314"/>
      <c r="X1732" s="314"/>
      <c r="Y1732" s="314"/>
      <c r="Z1732" s="314"/>
    </row>
    <row r="1733" spans="5:26" x14ac:dyDescent="0.35">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row>
    <row r="1734" spans="5:26" x14ac:dyDescent="0.35">
      <c r="E1734" s="314"/>
      <c r="F1734" s="314"/>
      <c r="G1734" s="314"/>
      <c r="H1734" s="314"/>
      <c r="I1734" s="314"/>
      <c r="J1734" s="314"/>
      <c r="K1734" s="314"/>
      <c r="L1734" s="314"/>
      <c r="M1734" s="314"/>
      <c r="N1734" s="314"/>
      <c r="O1734" s="314"/>
      <c r="P1734" s="314"/>
      <c r="Q1734" s="314"/>
      <c r="R1734" s="314"/>
      <c r="S1734" s="314"/>
      <c r="T1734" s="314"/>
      <c r="U1734" s="314"/>
      <c r="V1734" s="314"/>
      <c r="W1734" s="314"/>
      <c r="X1734" s="314"/>
      <c r="Y1734" s="314"/>
      <c r="Z1734" s="314"/>
    </row>
    <row r="1735" spans="5:26" x14ac:dyDescent="0.35">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row>
    <row r="1736" spans="5:26" x14ac:dyDescent="0.35">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row>
    <row r="1737" spans="5:26" x14ac:dyDescent="0.35">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row>
    <row r="1738" spans="5:26" x14ac:dyDescent="0.35">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row>
    <row r="1739" spans="5:26" x14ac:dyDescent="0.35">
      <c r="E1739" s="314"/>
      <c r="F1739" s="314"/>
      <c r="G1739" s="314"/>
      <c r="H1739" s="314"/>
      <c r="I1739" s="314"/>
      <c r="J1739" s="314"/>
      <c r="K1739" s="314"/>
      <c r="L1739" s="314"/>
      <c r="M1739" s="314"/>
      <c r="N1739" s="314"/>
      <c r="O1739" s="314"/>
      <c r="P1739" s="314"/>
      <c r="Q1739" s="314"/>
      <c r="R1739" s="314"/>
      <c r="S1739" s="314"/>
      <c r="T1739" s="314"/>
      <c r="U1739" s="314"/>
      <c r="V1739" s="314"/>
      <c r="W1739" s="314"/>
      <c r="X1739" s="314"/>
      <c r="Y1739" s="314"/>
      <c r="Z1739" s="314"/>
    </row>
    <row r="1740" spans="5:26" x14ac:dyDescent="0.35">
      <c r="E1740" s="314"/>
      <c r="F1740" s="314"/>
      <c r="G1740" s="314"/>
      <c r="H1740" s="314"/>
      <c r="I1740" s="314"/>
      <c r="J1740" s="314"/>
      <c r="K1740" s="314"/>
      <c r="L1740" s="314"/>
      <c r="M1740" s="314"/>
      <c r="N1740" s="314"/>
      <c r="O1740" s="314"/>
      <c r="P1740" s="314"/>
      <c r="Q1740" s="314"/>
      <c r="R1740" s="314"/>
      <c r="S1740" s="314"/>
      <c r="T1740" s="314"/>
      <c r="U1740" s="314"/>
      <c r="V1740" s="314"/>
      <c r="W1740" s="314"/>
      <c r="X1740" s="314"/>
      <c r="Y1740" s="314"/>
      <c r="Z1740" s="314"/>
    </row>
    <row r="1741" spans="5:26" x14ac:dyDescent="0.35">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row>
    <row r="1742" spans="5:26" x14ac:dyDescent="0.35">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row>
    <row r="1743" spans="5:26" x14ac:dyDescent="0.35">
      <c r="E1743" s="314"/>
      <c r="F1743" s="314"/>
      <c r="G1743" s="314"/>
      <c r="H1743" s="314"/>
      <c r="I1743" s="314"/>
      <c r="J1743" s="314"/>
      <c r="K1743" s="314"/>
      <c r="L1743" s="314"/>
      <c r="M1743" s="314"/>
      <c r="N1743" s="314"/>
      <c r="O1743" s="314"/>
      <c r="P1743" s="314"/>
      <c r="Q1743" s="314"/>
      <c r="R1743" s="314"/>
      <c r="S1743" s="314"/>
      <c r="T1743" s="314"/>
      <c r="U1743" s="314"/>
      <c r="V1743" s="314"/>
      <c r="W1743" s="314"/>
      <c r="X1743" s="314"/>
      <c r="Y1743" s="314"/>
      <c r="Z1743" s="314"/>
    </row>
    <row r="1744" spans="5:26" x14ac:dyDescent="0.35">
      <c r="E1744" s="314"/>
      <c r="F1744" s="314"/>
      <c r="G1744" s="314"/>
      <c r="H1744" s="314"/>
      <c r="I1744" s="314"/>
      <c r="J1744" s="314"/>
      <c r="K1744" s="314"/>
      <c r="L1744" s="314"/>
      <c r="M1744" s="314"/>
      <c r="N1744" s="314"/>
      <c r="O1744" s="314"/>
      <c r="P1744" s="314"/>
      <c r="Q1744" s="314"/>
      <c r="R1744" s="314"/>
      <c r="S1744" s="314"/>
      <c r="T1744" s="314"/>
      <c r="U1744" s="314"/>
      <c r="V1744" s="314"/>
      <c r="W1744" s="314"/>
      <c r="X1744" s="314"/>
      <c r="Y1744" s="314"/>
      <c r="Z1744" s="314"/>
    </row>
    <row r="1745" spans="5:26" x14ac:dyDescent="0.35">
      <c r="E1745" s="314"/>
      <c r="F1745" s="314"/>
      <c r="G1745" s="314"/>
      <c r="H1745" s="314"/>
      <c r="I1745" s="314"/>
      <c r="J1745" s="314"/>
      <c r="K1745" s="314"/>
      <c r="L1745" s="314"/>
      <c r="M1745" s="314"/>
      <c r="N1745" s="314"/>
      <c r="O1745" s="314"/>
      <c r="P1745" s="314"/>
      <c r="Q1745" s="314"/>
      <c r="R1745" s="314"/>
      <c r="S1745" s="314"/>
      <c r="T1745" s="314"/>
      <c r="U1745" s="314"/>
      <c r="V1745" s="314"/>
      <c r="W1745" s="314"/>
      <c r="X1745" s="314"/>
      <c r="Y1745" s="314"/>
      <c r="Z1745" s="314"/>
    </row>
    <row r="1746" spans="5:26" x14ac:dyDescent="0.35">
      <c r="E1746" s="314"/>
      <c r="F1746" s="314"/>
      <c r="G1746" s="314"/>
      <c r="H1746" s="314"/>
      <c r="I1746" s="314"/>
      <c r="J1746" s="314"/>
      <c r="K1746" s="314"/>
      <c r="L1746" s="314"/>
      <c r="M1746" s="314"/>
      <c r="N1746" s="314"/>
      <c r="O1746" s="314"/>
      <c r="P1746" s="314"/>
      <c r="Q1746" s="314"/>
      <c r="R1746" s="314"/>
      <c r="S1746" s="314"/>
      <c r="T1746" s="314"/>
      <c r="U1746" s="314"/>
      <c r="V1746" s="314"/>
      <c r="W1746" s="314"/>
      <c r="X1746" s="314"/>
      <c r="Y1746" s="314"/>
      <c r="Z1746" s="314"/>
    </row>
    <row r="1747" spans="5:26" x14ac:dyDescent="0.35">
      <c r="E1747" s="314"/>
      <c r="F1747" s="314"/>
      <c r="G1747" s="314"/>
      <c r="H1747" s="314"/>
      <c r="I1747" s="314"/>
      <c r="J1747" s="314"/>
      <c r="K1747" s="314"/>
      <c r="L1747" s="314"/>
      <c r="M1747" s="314"/>
      <c r="N1747" s="314"/>
      <c r="O1747" s="314"/>
      <c r="P1747" s="314"/>
      <c r="Q1747" s="314"/>
      <c r="R1747" s="314"/>
      <c r="S1747" s="314"/>
      <c r="T1747" s="314"/>
      <c r="U1747" s="314"/>
      <c r="V1747" s="314"/>
      <c r="W1747" s="314"/>
      <c r="X1747" s="314"/>
      <c r="Y1747" s="314"/>
      <c r="Z1747" s="314"/>
    </row>
    <row r="1748" spans="5:26" x14ac:dyDescent="0.35">
      <c r="E1748" s="314"/>
      <c r="F1748" s="314"/>
      <c r="G1748" s="314"/>
      <c r="H1748" s="314"/>
      <c r="I1748" s="314"/>
      <c r="J1748" s="314"/>
      <c r="K1748" s="314"/>
      <c r="L1748" s="314"/>
      <c r="M1748" s="314"/>
      <c r="N1748" s="314"/>
      <c r="O1748" s="314"/>
      <c r="P1748" s="314"/>
      <c r="Q1748" s="314"/>
      <c r="R1748" s="314"/>
      <c r="S1748" s="314"/>
      <c r="T1748" s="314"/>
      <c r="U1748" s="314"/>
      <c r="V1748" s="314"/>
      <c r="W1748" s="314"/>
      <c r="X1748" s="314"/>
      <c r="Y1748" s="314"/>
      <c r="Z1748" s="314"/>
    </row>
    <row r="1749" spans="5:26" x14ac:dyDescent="0.35">
      <c r="E1749" s="314"/>
      <c r="F1749" s="314"/>
      <c r="G1749" s="314"/>
      <c r="H1749" s="314"/>
      <c r="I1749" s="314"/>
      <c r="J1749" s="314"/>
      <c r="K1749" s="314"/>
      <c r="L1749" s="314"/>
      <c r="M1749" s="314"/>
      <c r="N1749" s="314"/>
      <c r="O1749" s="314"/>
      <c r="P1749" s="314"/>
      <c r="Q1749" s="314"/>
      <c r="R1749" s="314"/>
      <c r="S1749" s="314"/>
      <c r="T1749" s="314"/>
      <c r="U1749" s="314"/>
      <c r="V1749" s="314"/>
      <c r="W1749" s="314"/>
      <c r="X1749" s="314"/>
      <c r="Y1749" s="314"/>
      <c r="Z1749" s="314"/>
    </row>
    <row r="1750" spans="5:26" x14ac:dyDescent="0.35">
      <c r="E1750" s="314"/>
      <c r="F1750" s="314"/>
      <c r="G1750" s="314"/>
      <c r="H1750" s="314"/>
      <c r="I1750" s="314"/>
      <c r="J1750" s="314"/>
      <c r="K1750" s="314"/>
      <c r="L1750" s="314"/>
      <c r="M1750" s="314"/>
      <c r="N1750" s="314"/>
      <c r="O1750" s="314"/>
      <c r="P1750" s="314"/>
      <c r="Q1750" s="314"/>
      <c r="R1750" s="314"/>
      <c r="S1750" s="314"/>
      <c r="T1750" s="314"/>
      <c r="U1750" s="314"/>
      <c r="V1750" s="314"/>
      <c r="W1750" s="314"/>
      <c r="X1750" s="314"/>
      <c r="Y1750" s="314"/>
      <c r="Z1750" s="314"/>
    </row>
    <row r="1751" spans="5:26" x14ac:dyDescent="0.35">
      <c r="E1751" s="314"/>
      <c r="F1751" s="314"/>
      <c r="G1751" s="314"/>
      <c r="H1751" s="314"/>
      <c r="I1751" s="314"/>
      <c r="J1751" s="314"/>
      <c r="K1751" s="314"/>
      <c r="L1751" s="314"/>
      <c r="M1751" s="314"/>
      <c r="N1751" s="314"/>
      <c r="O1751" s="314"/>
      <c r="P1751" s="314"/>
      <c r="Q1751" s="314"/>
      <c r="R1751" s="314"/>
      <c r="S1751" s="314"/>
      <c r="T1751" s="314"/>
      <c r="U1751" s="314"/>
      <c r="V1751" s="314"/>
      <c r="W1751" s="314"/>
      <c r="X1751" s="314"/>
      <c r="Y1751" s="314"/>
      <c r="Z1751" s="314"/>
    </row>
    <row r="1752" spans="5:26" x14ac:dyDescent="0.35">
      <c r="E1752" s="314"/>
      <c r="F1752" s="314"/>
      <c r="G1752" s="314"/>
      <c r="H1752" s="314"/>
      <c r="I1752" s="314"/>
      <c r="J1752" s="314"/>
      <c r="K1752" s="314"/>
      <c r="L1752" s="314"/>
      <c r="M1752" s="314"/>
      <c r="N1752" s="314"/>
      <c r="O1752" s="314"/>
      <c r="P1752" s="314"/>
      <c r="Q1752" s="314"/>
      <c r="R1752" s="314"/>
      <c r="S1752" s="314"/>
      <c r="T1752" s="314"/>
      <c r="U1752" s="314"/>
      <c r="V1752" s="314"/>
      <c r="W1752" s="314"/>
      <c r="X1752" s="314"/>
      <c r="Y1752" s="314"/>
      <c r="Z1752" s="314"/>
    </row>
    <row r="1753" spans="5:26" x14ac:dyDescent="0.35">
      <c r="E1753" s="314"/>
      <c r="F1753" s="314"/>
      <c r="G1753" s="314"/>
      <c r="H1753" s="314"/>
      <c r="I1753" s="314"/>
      <c r="J1753" s="314"/>
      <c r="K1753" s="314"/>
      <c r="L1753" s="314"/>
      <c r="M1753" s="314"/>
      <c r="N1753" s="314"/>
      <c r="O1753" s="314"/>
      <c r="P1753" s="314"/>
      <c r="Q1753" s="314"/>
      <c r="R1753" s="314"/>
      <c r="S1753" s="314"/>
      <c r="T1753" s="314"/>
      <c r="U1753" s="314"/>
      <c r="V1753" s="314"/>
      <c r="W1753" s="314"/>
      <c r="X1753" s="314"/>
      <c r="Y1753" s="314"/>
      <c r="Z1753" s="314"/>
    </row>
    <row r="1754" spans="5:26" x14ac:dyDescent="0.35">
      <c r="E1754" s="314"/>
      <c r="F1754" s="314"/>
      <c r="G1754" s="314"/>
      <c r="H1754" s="314"/>
      <c r="I1754" s="314"/>
      <c r="J1754" s="314"/>
      <c r="K1754" s="314"/>
      <c r="L1754" s="314"/>
      <c r="M1754" s="314"/>
      <c r="N1754" s="314"/>
      <c r="O1754" s="314"/>
      <c r="P1754" s="314"/>
      <c r="Q1754" s="314"/>
      <c r="R1754" s="314"/>
      <c r="S1754" s="314"/>
      <c r="T1754" s="314"/>
      <c r="U1754" s="314"/>
      <c r="V1754" s="314"/>
      <c r="W1754" s="314"/>
      <c r="X1754" s="314"/>
      <c r="Y1754" s="314"/>
      <c r="Z1754" s="314"/>
    </row>
    <row r="1755" spans="5:26" x14ac:dyDescent="0.35">
      <c r="E1755" s="314"/>
      <c r="F1755" s="314"/>
      <c r="G1755" s="314"/>
      <c r="H1755" s="314"/>
      <c r="I1755" s="314"/>
      <c r="J1755" s="314"/>
      <c r="K1755" s="314"/>
      <c r="L1755" s="314"/>
      <c r="M1755" s="314"/>
      <c r="N1755" s="314"/>
      <c r="O1755" s="314"/>
      <c r="P1755" s="314"/>
      <c r="Q1755" s="314"/>
      <c r="R1755" s="314"/>
      <c r="S1755" s="314"/>
      <c r="T1755" s="314"/>
      <c r="U1755" s="314"/>
      <c r="V1755" s="314"/>
      <c r="W1755" s="314"/>
      <c r="X1755" s="314"/>
      <c r="Y1755" s="314"/>
      <c r="Z1755" s="314"/>
    </row>
    <row r="1756" spans="5:26" x14ac:dyDescent="0.35">
      <c r="E1756" s="314"/>
      <c r="F1756" s="314"/>
      <c r="G1756" s="314"/>
      <c r="H1756" s="314"/>
      <c r="I1756" s="314"/>
      <c r="J1756" s="314"/>
      <c r="K1756" s="314"/>
      <c r="L1756" s="314"/>
      <c r="M1756" s="314"/>
      <c r="N1756" s="314"/>
      <c r="O1756" s="314"/>
      <c r="P1756" s="314"/>
      <c r="Q1756" s="314"/>
      <c r="R1756" s="314"/>
      <c r="S1756" s="314"/>
      <c r="T1756" s="314"/>
      <c r="U1756" s="314"/>
      <c r="V1756" s="314"/>
      <c r="W1756" s="314"/>
      <c r="X1756" s="314"/>
      <c r="Y1756" s="314"/>
      <c r="Z1756" s="314"/>
    </row>
    <row r="1757" spans="5:26" x14ac:dyDescent="0.35">
      <c r="E1757" s="314"/>
      <c r="F1757" s="314"/>
      <c r="G1757" s="314"/>
      <c r="H1757" s="314"/>
      <c r="I1757" s="314"/>
      <c r="J1757" s="314"/>
      <c r="K1757" s="314"/>
      <c r="L1757" s="314"/>
      <c r="M1757" s="314"/>
      <c r="N1757" s="314"/>
      <c r="O1757" s="314"/>
      <c r="P1757" s="314"/>
      <c r="Q1757" s="314"/>
      <c r="R1757" s="314"/>
      <c r="S1757" s="314"/>
      <c r="T1757" s="314"/>
      <c r="U1757" s="314"/>
      <c r="V1757" s="314"/>
      <c r="W1757" s="314"/>
      <c r="X1757" s="314"/>
      <c r="Y1757" s="314"/>
      <c r="Z1757" s="314"/>
    </row>
    <row r="1758" spans="5:26" x14ac:dyDescent="0.35">
      <c r="E1758" s="314"/>
      <c r="F1758" s="314"/>
      <c r="G1758" s="314"/>
      <c r="H1758" s="314"/>
      <c r="I1758" s="314"/>
      <c r="J1758" s="314"/>
      <c r="K1758" s="314"/>
      <c r="L1758" s="314"/>
      <c r="M1758" s="314"/>
      <c r="N1758" s="314"/>
      <c r="O1758" s="314"/>
      <c r="P1758" s="314"/>
      <c r="Q1758" s="314"/>
      <c r="R1758" s="314"/>
      <c r="S1758" s="314"/>
      <c r="T1758" s="314"/>
      <c r="U1758" s="314"/>
      <c r="V1758" s="314"/>
      <c r="W1758" s="314"/>
      <c r="X1758" s="314"/>
      <c r="Y1758" s="314"/>
      <c r="Z1758" s="314"/>
    </row>
    <row r="1759" spans="5:26" x14ac:dyDescent="0.35">
      <c r="E1759" s="314"/>
      <c r="F1759" s="314"/>
      <c r="G1759" s="314"/>
      <c r="H1759" s="314"/>
      <c r="I1759" s="314"/>
      <c r="J1759" s="314"/>
      <c r="K1759" s="314"/>
      <c r="L1759" s="314"/>
      <c r="M1759" s="314"/>
      <c r="N1759" s="314"/>
      <c r="O1759" s="314"/>
      <c r="P1759" s="314"/>
      <c r="Q1759" s="314"/>
      <c r="R1759" s="314"/>
      <c r="S1759" s="314"/>
      <c r="T1759" s="314"/>
      <c r="U1759" s="314"/>
      <c r="V1759" s="314"/>
      <c r="W1759" s="314"/>
      <c r="X1759" s="314"/>
      <c r="Y1759" s="314"/>
      <c r="Z1759" s="314"/>
    </row>
    <row r="1760" spans="5:26" x14ac:dyDescent="0.35">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row>
    <row r="1761" spans="5:26" x14ac:dyDescent="0.35">
      <c r="E1761" s="314"/>
      <c r="F1761" s="314"/>
      <c r="G1761" s="314"/>
      <c r="H1761" s="314"/>
      <c r="I1761" s="314"/>
      <c r="J1761" s="314"/>
      <c r="K1761" s="314"/>
      <c r="L1761" s="314"/>
      <c r="M1761" s="314"/>
      <c r="N1761" s="314"/>
      <c r="O1761" s="314"/>
      <c r="P1761" s="314"/>
      <c r="Q1761" s="314"/>
      <c r="R1761" s="314"/>
      <c r="S1761" s="314"/>
      <c r="T1761" s="314"/>
      <c r="U1761" s="314"/>
      <c r="V1761" s="314"/>
      <c r="W1761" s="314"/>
      <c r="X1761" s="314"/>
      <c r="Y1761" s="314"/>
      <c r="Z1761" s="314"/>
    </row>
    <row r="1762" spans="5:26" x14ac:dyDescent="0.35">
      <c r="E1762" s="314"/>
      <c r="F1762" s="314"/>
      <c r="G1762" s="314"/>
      <c r="H1762" s="314"/>
      <c r="I1762" s="314"/>
      <c r="J1762" s="314"/>
      <c r="K1762" s="314"/>
      <c r="L1762" s="314"/>
      <c r="M1762" s="314"/>
      <c r="N1762" s="314"/>
      <c r="O1762" s="314"/>
      <c r="P1762" s="314"/>
      <c r="Q1762" s="314"/>
      <c r="R1762" s="314"/>
      <c r="S1762" s="314"/>
      <c r="T1762" s="314"/>
      <c r="U1762" s="314"/>
      <c r="V1762" s="314"/>
      <c r="W1762" s="314"/>
      <c r="X1762" s="314"/>
      <c r="Y1762" s="314"/>
      <c r="Z1762" s="314"/>
    </row>
    <row r="1763" spans="5:26" x14ac:dyDescent="0.35">
      <c r="E1763" s="314"/>
      <c r="F1763" s="314"/>
      <c r="G1763" s="314"/>
      <c r="H1763" s="314"/>
      <c r="I1763" s="314"/>
      <c r="J1763" s="314"/>
      <c r="K1763" s="314"/>
      <c r="L1763" s="314"/>
      <c r="M1763" s="314"/>
      <c r="N1763" s="314"/>
      <c r="O1763" s="314"/>
      <c r="P1763" s="314"/>
      <c r="Q1763" s="314"/>
      <c r="R1763" s="314"/>
      <c r="S1763" s="314"/>
      <c r="T1763" s="314"/>
      <c r="U1763" s="314"/>
      <c r="V1763" s="314"/>
      <c r="W1763" s="314"/>
      <c r="X1763" s="314"/>
      <c r="Y1763" s="314"/>
      <c r="Z1763" s="314"/>
    </row>
    <row r="1764" spans="5:26" x14ac:dyDescent="0.35">
      <c r="E1764" s="314"/>
      <c r="F1764" s="314"/>
      <c r="G1764" s="314"/>
      <c r="H1764" s="314"/>
      <c r="I1764" s="314"/>
      <c r="J1764" s="314"/>
      <c r="K1764" s="314"/>
      <c r="L1764" s="314"/>
      <c r="M1764" s="314"/>
      <c r="N1764" s="314"/>
      <c r="O1764" s="314"/>
      <c r="P1764" s="314"/>
      <c r="Q1764" s="314"/>
      <c r="R1764" s="314"/>
      <c r="S1764" s="314"/>
      <c r="T1764" s="314"/>
      <c r="U1764" s="314"/>
      <c r="V1764" s="314"/>
      <c r="W1764" s="314"/>
      <c r="X1764" s="314"/>
      <c r="Y1764" s="314"/>
      <c r="Z1764" s="314"/>
    </row>
    <row r="1765" spans="5:26" x14ac:dyDescent="0.35">
      <c r="E1765" s="314"/>
      <c r="F1765" s="314"/>
      <c r="G1765" s="314"/>
      <c r="H1765" s="314"/>
      <c r="I1765" s="314"/>
      <c r="J1765" s="314"/>
      <c r="K1765" s="314"/>
      <c r="L1765" s="314"/>
      <c r="M1765" s="314"/>
      <c r="N1765" s="314"/>
      <c r="O1765" s="314"/>
      <c r="P1765" s="314"/>
      <c r="Q1765" s="314"/>
      <c r="R1765" s="314"/>
      <c r="S1765" s="314"/>
      <c r="T1765" s="314"/>
      <c r="U1765" s="314"/>
      <c r="V1765" s="314"/>
      <c r="W1765" s="314"/>
      <c r="X1765" s="314"/>
      <c r="Y1765" s="314"/>
      <c r="Z1765" s="314"/>
    </row>
    <row r="1766" spans="5:26" x14ac:dyDescent="0.35">
      <c r="E1766" s="314"/>
      <c r="F1766" s="314"/>
      <c r="G1766" s="314"/>
      <c r="H1766" s="314"/>
      <c r="I1766" s="314"/>
      <c r="J1766" s="314"/>
      <c r="K1766" s="314"/>
      <c r="L1766" s="314"/>
      <c r="M1766" s="314"/>
      <c r="N1766" s="314"/>
      <c r="O1766" s="314"/>
      <c r="P1766" s="314"/>
      <c r="Q1766" s="314"/>
      <c r="R1766" s="314"/>
      <c r="S1766" s="314"/>
      <c r="T1766" s="314"/>
      <c r="U1766" s="314"/>
      <c r="V1766" s="314"/>
      <c r="W1766" s="314"/>
      <c r="X1766" s="314"/>
      <c r="Y1766" s="314"/>
      <c r="Z1766" s="314"/>
    </row>
    <row r="1767" spans="5:26" x14ac:dyDescent="0.35">
      <c r="E1767" s="314"/>
      <c r="F1767" s="314"/>
      <c r="G1767" s="314"/>
      <c r="H1767" s="314"/>
      <c r="I1767" s="314"/>
      <c r="J1767" s="314"/>
      <c r="K1767" s="314"/>
      <c r="L1767" s="314"/>
      <c r="M1767" s="314"/>
      <c r="N1767" s="314"/>
      <c r="O1767" s="314"/>
      <c r="P1767" s="314"/>
      <c r="Q1767" s="314"/>
      <c r="R1767" s="314"/>
      <c r="S1767" s="314"/>
      <c r="T1767" s="314"/>
      <c r="U1767" s="314"/>
      <c r="V1767" s="314"/>
      <c r="W1767" s="314"/>
      <c r="X1767" s="314"/>
      <c r="Y1767" s="314"/>
      <c r="Z1767" s="314"/>
    </row>
    <row r="1768" spans="5:26" x14ac:dyDescent="0.35">
      <c r="E1768" s="314"/>
      <c r="F1768" s="314"/>
      <c r="G1768" s="314"/>
      <c r="H1768" s="314"/>
      <c r="I1768" s="314"/>
      <c r="J1768" s="314"/>
      <c r="K1768" s="314"/>
      <c r="L1768" s="314"/>
      <c r="M1768" s="314"/>
      <c r="N1768" s="314"/>
      <c r="O1768" s="314"/>
      <c r="P1768" s="314"/>
      <c r="Q1768" s="314"/>
      <c r="R1768" s="314"/>
      <c r="S1768" s="314"/>
      <c r="T1768" s="314"/>
      <c r="U1768" s="314"/>
      <c r="V1768" s="314"/>
      <c r="W1768" s="314"/>
      <c r="X1768" s="314"/>
      <c r="Y1768" s="314"/>
      <c r="Z1768" s="314"/>
    </row>
    <row r="1769" spans="5:26" x14ac:dyDescent="0.35">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row>
    <row r="1770" spans="5:26" x14ac:dyDescent="0.35">
      <c r="E1770" s="314"/>
      <c r="F1770" s="314"/>
      <c r="G1770" s="314"/>
      <c r="H1770" s="314"/>
      <c r="I1770" s="314"/>
      <c r="J1770" s="314"/>
      <c r="K1770" s="314"/>
      <c r="L1770" s="314"/>
      <c r="M1770" s="314"/>
      <c r="N1770" s="314"/>
      <c r="O1770" s="314"/>
      <c r="P1770" s="314"/>
      <c r="Q1770" s="314"/>
      <c r="R1770" s="314"/>
      <c r="S1770" s="314"/>
      <c r="T1770" s="314"/>
      <c r="U1770" s="314"/>
      <c r="V1770" s="314"/>
      <c r="W1770" s="314"/>
      <c r="X1770" s="314"/>
      <c r="Y1770" s="314"/>
      <c r="Z1770" s="314"/>
    </row>
    <row r="1771" spans="5:26" x14ac:dyDescent="0.35">
      <c r="E1771" s="314"/>
      <c r="F1771" s="314"/>
      <c r="G1771" s="314"/>
      <c r="H1771" s="314"/>
      <c r="I1771" s="314"/>
      <c r="J1771" s="314"/>
      <c r="K1771" s="314"/>
      <c r="L1771" s="314"/>
      <c r="M1771" s="314"/>
      <c r="N1771" s="314"/>
      <c r="O1771" s="314"/>
      <c r="P1771" s="314"/>
      <c r="Q1771" s="314"/>
      <c r="R1771" s="314"/>
      <c r="S1771" s="314"/>
      <c r="T1771" s="314"/>
      <c r="U1771" s="314"/>
      <c r="V1771" s="314"/>
      <c r="W1771" s="314"/>
      <c r="X1771" s="314"/>
      <c r="Y1771" s="314"/>
      <c r="Z1771" s="314"/>
    </row>
    <row r="1772" spans="5:26" x14ac:dyDescent="0.35">
      <c r="E1772" s="314"/>
      <c r="F1772" s="314"/>
      <c r="G1772" s="314"/>
      <c r="H1772" s="314"/>
      <c r="I1772" s="314"/>
      <c r="J1772" s="314"/>
      <c r="K1772" s="314"/>
      <c r="L1772" s="314"/>
      <c r="M1772" s="314"/>
      <c r="N1772" s="314"/>
      <c r="O1772" s="314"/>
      <c r="P1772" s="314"/>
      <c r="Q1772" s="314"/>
      <c r="R1772" s="314"/>
      <c r="S1772" s="314"/>
      <c r="T1772" s="314"/>
      <c r="U1772" s="314"/>
      <c r="V1772" s="314"/>
      <c r="W1772" s="314"/>
      <c r="X1772" s="314"/>
      <c r="Y1772" s="314"/>
      <c r="Z1772" s="314"/>
    </row>
    <row r="1773" spans="5:26" x14ac:dyDescent="0.35">
      <c r="E1773" s="314"/>
      <c r="F1773" s="314"/>
      <c r="G1773" s="314"/>
      <c r="H1773" s="314"/>
      <c r="I1773" s="314"/>
      <c r="J1773" s="314"/>
      <c r="K1773" s="314"/>
      <c r="L1773" s="314"/>
      <c r="M1773" s="314"/>
      <c r="N1773" s="314"/>
      <c r="O1773" s="314"/>
      <c r="P1773" s="314"/>
      <c r="Q1773" s="314"/>
      <c r="R1773" s="314"/>
      <c r="S1773" s="314"/>
      <c r="T1773" s="314"/>
      <c r="U1773" s="314"/>
      <c r="V1773" s="314"/>
      <c r="W1773" s="314"/>
      <c r="X1773" s="314"/>
      <c r="Y1773" s="314"/>
      <c r="Z1773" s="314"/>
    </row>
    <row r="1774" spans="5:26" x14ac:dyDescent="0.35">
      <c r="E1774" s="314"/>
      <c r="F1774" s="314"/>
      <c r="G1774" s="314"/>
      <c r="H1774" s="314"/>
      <c r="I1774" s="314"/>
      <c r="J1774" s="314"/>
      <c r="K1774" s="314"/>
      <c r="L1774" s="314"/>
      <c r="M1774" s="314"/>
      <c r="N1774" s="314"/>
      <c r="O1774" s="314"/>
      <c r="P1774" s="314"/>
      <c r="Q1774" s="314"/>
      <c r="R1774" s="314"/>
      <c r="S1774" s="314"/>
      <c r="T1774" s="314"/>
      <c r="U1774" s="314"/>
      <c r="V1774" s="314"/>
      <c r="W1774" s="314"/>
      <c r="X1774" s="314"/>
      <c r="Y1774" s="314"/>
      <c r="Z1774" s="314"/>
    </row>
    <row r="1775" spans="5:26" x14ac:dyDescent="0.35">
      <c r="E1775" s="314"/>
      <c r="F1775" s="314"/>
      <c r="G1775" s="314"/>
      <c r="H1775" s="314"/>
      <c r="I1775" s="314"/>
      <c r="J1775" s="314"/>
      <c r="K1775" s="314"/>
      <c r="L1775" s="314"/>
      <c r="M1775" s="314"/>
      <c r="N1775" s="314"/>
      <c r="O1775" s="314"/>
      <c r="P1775" s="314"/>
      <c r="Q1775" s="314"/>
      <c r="R1775" s="314"/>
      <c r="S1775" s="314"/>
      <c r="T1775" s="314"/>
      <c r="U1775" s="314"/>
      <c r="V1775" s="314"/>
      <c r="W1775" s="314"/>
      <c r="X1775" s="314"/>
      <c r="Y1775" s="314"/>
      <c r="Z1775" s="314"/>
    </row>
    <row r="1776" spans="5:26" x14ac:dyDescent="0.35">
      <c r="E1776" s="314"/>
      <c r="F1776" s="314"/>
      <c r="G1776" s="314"/>
      <c r="H1776" s="314"/>
      <c r="I1776" s="314"/>
      <c r="J1776" s="314"/>
      <c r="K1776" s="314"/>
      <c r="L1776" s="314"/>
      <c r="M1776" s="314"/>
      <c r="N1776" s="314"/>
      <c r="O1776" s="314"/>
      <c r="P1776" s="314"/>
      <c r="Q1776" s="314"/>
      <c r="R1776" s="314"/>
      <c r="S1776" s="314"/>
      <c r="T1776" s="314"/>
      <c r="U1776" s="314"/>
      <c r="V1776" s="314"/>
      <c r="W1776" s="314"/>
      <c r="X1776" s="314"/>
      <c r="Y1776" s="314"/>
      <c r="Z1776" s="314"/>
    </row>
    <row r="1777" spans="5:26" x14ac:dyDescent="0.35">
      <c r="E1777" s="314"/>
      <c r="F1777" s="314"/>
      <c r="G1777" s="314"/>
      <c r="H1777" s="314"/>
      <c r="I1777" s="314"/>
      <c r="J1777" s="314"/>
      <c r="K1777" s="314"/>
      <c r="L1777" s="314"/>
      <c r="M1777" s="314"/>
      <c r="N1777" s="314"/>
      <c r="O1777" s="314"/>
      <c r="P1777" s="314"/>
      <c r="Q1777" s="314"/>
      <c r="R1777" s="314"/>
      <c r="S1777" s="314"/>
      <c r="T1777" s="314"/>
      <c r="U1777" s="314"/>
      <c r="V1777" s="314"/>
      <c r="W1777" s="314"/>
      <c r="X1777" s="314"/>
      <c r="Y1777" s="314"/>
      <c r="Z1777" s="314"/>
    </row>
    <row r="1778" spans="5:26" x14ac:dyDescent="0.35">
      <c r="E1778" s="314"/>
      <c r="F1778" s="314"/>
      <c r="G1778" s="314"/>
      <c r="H1778" s="314"/>
      <c r="I1778" s="314"/>
      <c r="J1778" s="314"/>
      <c r="K1778" s="314"/>
      <c r="L1778" s="314"/>
      <c r="M1778" s="314"/>
      <c r="N1778" s="314"/>
      <c r="O1778" s="314"/>
      <c r="P1778" s="314"/>
      <c r="Q1778" s="314"/>
      <c r="R1778" s="314"/>
      <c r="S1778" s="314"/>
      <c r="T1778" s="314"/>
      <c r="U1778" s="314"/>
      <c r="V1778" s="314"/>
      <c r="W1778" s="314"/>
      <c r="X1778" s="314"/>
      <c r="Y1778" s="314"/>
      <c r="Z1778" s="314"/>
    </row>
    <row r="1779" spans="5:26" x14ac:dyDescent="0.35">
      <c r="E1779" s="314"/>
      <c r="F1779" s="314"/>
      <c r="G1779" s="314"/>
      <c r="H1779" s="314"/>
      <c r="I1779" s="314"/>
      <c r="J1779" s="314"/>
      <c r="K1779" s="314"/>
      <c r="L1779" s="314"/>
      <c r="M1779" s="314"/>
      <c r="N1779" s="314"/>
      <c r="O1779" s="314"/>
      <c r="P1779" s="314"/>
      <c r="Q1779" s="314"/>
      <c r="R1779" s="314"/>
      <c r="S1779" s="314"/>
      <c r="T1779" s="314"/>
      <c r="U1779" s="314"/>
      <c r="V1779" s="314"/>
      <c r="W1779" s="314"/>
      <c r="X1779" s="314"/>
      <c r="Y1779" s="314"/>
      <c r="Z1779" s="314"/>
    </row>
    <row r="1780" spans="5:26" x14ac:dyDescent="0.35">
      <c r="E1780" s="314"/>
      <c r="F1780" s="314"/>
      <c r="G1780" s="314"/>
      <c r="H1780" s="314"/>
      <c r="I1780" s="314"/>
      <c r="J1780" s="314"/>
      <c r="K1780" s="314"/>
      <c r="L1780" s="314"/>
      <c r="M1780" s="314"/>
      <c r="N1780" s="314"/>
      <c r="O1780" s="314"/>
      <c r="P1780" s="314"/>
      <c r="Q1780" s="314"/>
      <c r="R1780" s="314"/>
      <c r="S1780" s="314"/>
      <c r="T1780" s="314"/>
      <c r="U1780" s="314"/>
      <c r="V1780" s="314"/>
      <c r="W1780" s="314"/>
      <c r="X1780" s="314"/>
      <c r="Y1780" s="314"/>
      <c r="Z1780" s="314"/>
    </row>
    <row r="1781" spans="5:26" x14ac:dyDescent="0.35">
      <c r="E1781" s="314"/>
      <c r="F1781" s="314"/>
      <c r="G1781" s="314"/>
      <c r="H1781" s="314"/>
      <c r="I1781" s="314"/>
      <c r="J1781" s="314"/>
      <c r="K1781" s="314"/>
      <c r="L1781" s="314"/>
      <c r="M1781" s="314"/>
      <c r="N1781" s="314"/>
      <c r="O1781" s="314"/>
      <c r="P1781" s="314"/>
      <c r="Q1781" s="314"/>
      <c r="R1781" s="314"/>
      <c r="S1781" s="314"/>
      <c r="T1781" s="314"/>
      <c r="U1781" s="314"/>
      <c r="V1781" s="314"/>
      <c r="W1781" s="314"/>
      <c r="X1781" s="314"/>
      <c r="Y1781" s="314"/>
      <c r="Z1781" s="314"/>
    </row>
    <row r="1782" spans="5:26" x14ac:dyDescent="0.35">
      <c r="E1782" s="314"/>
      <c r="F1782" s="314"/>
      <c r="G1782" s="314"/>
      <c r="H1782" s="314"/>
      <c r="I1782" s="314"/>
      <c r="J1782" s="314"/>
      <c r="K1782" s="314"/>
      <c r="L1782" s="314"/>
      <c r="M1782" s="314"/>
      <c r="N1782" s="314"/>
      <c r="O1782" s="314"/>
      <c r="P1782" s="314"/>
      <c r="Q1782" s="314"/>
      <c r="R1782" s="314"/>
      <c r="S1782" s="314"/>
      <c r="T1782" s="314"/>
      <c r="U1782" s="314"/>
      <c r="V1782" s="314"/>
      <c r="W1782" s="314"/>
      <c r="X1782" s="314"/>
      <c r="Y1782" s="314"/>
      <c r="Z1782" s="314"/>
    </row>
    <row r="1783" spans="5:26" x14ac:dyDescent="0.35">
      <c r="E1783" s="314"/>
      <c r="F1783" s="314"/>
      <c r="G1783" s="314"/>
      <c r="H1783" s="314"/>
      <c r="I1783" s="314"/>
      <c r="J1783" s="314"/>
      <c r="K1783" s="314"/>
      <c r="L1783" s="314"/>
      <c r="M1783" s="314"/>
      <c r="N1783" s="314"/>
      <c r="O1783" s="314"/>
      <c r="P1783" s="314"/>
      <c r="Q1783" s="314"/>
      <c r="R1783" s="314"/>
      <c r="S1783" s="314"/>
      <c r="T1783" s="314"/>
      <c r="U1783" s="314"/>
      <c r="V1783" s="314"/>
      <c r="W1783" s="314"/>
      <c r="X1783" s="314"/>
      <c r="Y1783" s="314"/>
      <c r="Z1783" s="314"/>
    </row>
    <row r="1784" spans="5:26" x14ac:dyDescent="0.35">
      <c r="E1784" s="314"/>
      <c r="F1784" s="314"/>
      <c r="G1784" s="314"/>
      <c r="H1784" s="314"/>
      <c r="I1784" s="314"/>
      <c r="J1784" s="314"/>
      <c r="K1784" s="314"/>
      <c r="L1784" s="314"/>
      <c r="M1784" s="314"/>
      <c r="N1784" s="314"/>
      <c r="O1784" s="314"/>
      <c r="P1784" s="314"/>
      <c r="Q1784" s="314"/>
      <c r="R1784" s="314"/>
      <c r="S1784" s="314"/>
      <c r="T1784" s="314"/>
      <c r="U1784" s="314"/>
      <c r="V1784" s="314"/>
      <c r="W1784" s="314"/>
      <c r="X1784" s="314"/>
      <c r="Y1784" s="314"/>
      <c r="Z1784" s="314"/>
    </row>
    <row r="1785" spans="5:26" x14ac:dyDescent="0.35">
      <c r="E1785" s="314"/>
      <c r="F1785" s="314"/>
      <c r="G1785" s="314"/>
      <c r="H1785" s="314"/>
      <c r="I1785" s="314"/>
      <c r="J1785" s="314"/>
      <c r="K1785" s="314"/>
      <c r="L1785" s="314"/>
      <c r="M1785" s="314"/>
      <c r="N1785" s="314"/>
      <c r="O1785" s="314"/>
      <c r="P1785" s="314"/>
      <c r="Q1785" s="314"/>
      <c r="R1785" s="314"/>
      <c r="S1785" s="314"/>
      <c r="T1785" s="314"/>
      <c r="U1785" s="314"/>
      <c r="V1785" s="314"/>
      <c r="W1785" s="314"/>
      <c r="X1785" s="314"/>
      <c r="Y1785" s="314"/>
      <c r="Z1785" s="314"/>
    </row>
    <row r="1786" spans="5:26" x14ac:dyDescent="0.35">
      <c r="E1786" s="314"/>
      <c r="F1786" s="314"/>
      <c r="G1786" s="314"/>
      <c r="H1786" s="314"/>
      <c r="I1786" s="314"/>
      <c r="J1786" s="314"/>
      <c r="K1786" s="314"/>
      <c r="L1786" s="314"/>
      <c r="M1786" s="314"/>
      <c r="N1786" s="314"/>
      <c r="O1786" s="314"/>
      <c r="P1786" s="314"/>
      <c r="Q1786" s="314"/>
      <c r="R1786" s="314"/>
      <c r="S1786" s="314"/>
      <c r="T1786" s="314"/>
      <c r="U1786" s="314"/>
      <c r="V1786" s="314"/>
      <c r="W1786" s="314"/>
      <c r="X1786" s="314"/>
      <c r="Y1786" s="314"/>
      <c r="Z1786" s="314"/>
    </row>
    <row r="1787" spans="5:26" x14ac:dyDescent="0.35">
      <c r="E1787" s="314"/>
      <c r="F1787" s="314"/>
      <c r="G1787" s="314"/>
      <c r="H1787" s="314"/>
      <c r="I1787" s="314"/>
      <c r="J1787" s="314"/>
      <c r="K1787" s="314"/>
      <c r="L1787" s="314"/>
      <c r="M1787" s="314"/>
      <c r="N1787" s="314"/>
      <c r="O1787" s="314"/>
      <c r="P1787" s="314"/>
      <c r="Q1787" s="314"/>
      <c r="R1787" s="314"/>
      <c r="S1787" s="314"/>
      <c r="T1787" s="314"/>
      <c r="U1787" s="314"/>
      <c r="V1787" s="314"/>
      <c r="W1787" s="314"/>
      <c r="X1787" s="314"/>
      <c r="Y1787" s="314"/>
      <c r="Z1787" s="314"/>
    </row>
    <row r="1788" spans="5:26" x14ac:dyDescent="0.35">
      <c r="E1788" s="314"/>
      <c r="F1788" s="314"/>
      <c r="G1788" s="314"/>
      <c r="H1788" s="314"/>
      <c r="I1788" s="314"/>
      <c r="J1788" s="314"/>
      <c r="K1788" s="314"/>
      <c r="L1788" s="314"/>
      <c r="M1788" s="314"/>
      <c r="N1788" s="314"/>
      <c r="O1788" s="314"/>
      <c r="P1788" s="314"/>
      <c r="Q1788" s="314"/>
      <c r="R1788" s="314"/>
      <c r="S1788" s="314"/>
      <c r="T1788" s="314"/>
      <c r="U1788" s="314"/>
      <c r="V1788" s="314"/>
      <c r="W1788" s="314"/>
      <c r="X1788" s="314"/>
      <c r="Y1788" s="314"/>
      <c r="Z1788" s="314"/>
    </row>
    <row r="1789" spans="5:26" x14ac:dyDescent="0.35">
      <c r="E1789" s="314"/>
      <c r="F1789" s="314"/>
      <c r="G1789" s="314"/>
      <c r="H1789" s="314"/>
      <c r="I1789" s="314"/>
      <c r="J1789" s="314"/>
      <c r="K1789" s="314"/>
      <c r="L1789" s="314"/>
      <c r="M1789" s="314"/>
      <c r="N1789" s="314"/>
      <c r="O1789" s="314"/>
      <c r="P1789" s="314"/>
      <c r="Q1789" s="314"/>
      <c r="R1789" s="314"/>
      <c r="S1789" s="314"/>
      <c r="T1789" s="314"/>
      <c r="U1789" s="314"/>
      <c r="V1789" s="314"/>
      <c r="W1789" s="314"/>
      <c r="X1789" s="314"/>
      <c r="Y1789" s="314"/>
      <c r="Z1789" s="314"/>
    </row>
    <row r="1790" spans="5:26" x14ac:dyDescent="0.35">
      <c r="E1790" s="314"/>
      <c r="F1790" s="314"/>
      <c r="G1790" s="314"/>
      <c r="H1790" s="314"/>
      <c r="I1790" s="314"/>
      <c r="J1790" s="314"/>
      <c r="K1790" s="314"/>
      <c r="L1790" s="314"/>
      <c r="M1790" s="314"/>
      <c r="N1790" s="314"/>
      <c r="O1790" s="314"/>
      <c r="P1790" s="314"/>
      <c r="Q1790" s="314"/>
      <c r="R1790" s="314"/>
      <c r="S1790" s="314"/>
      <c r="T1790" s="314"/>
      <c r="U1790" s="314"/>
      <c r="V1790" s="314"/>
      <c r="W1790" s="314"/>
      <c r="X1790" s="314"/>
      <c r="Y1790" s="314"/>
      <c r="Z1790" s="314"/>
    </row>
    <row r="1791" spans="5:26" x14ac:dyDescent="0.35">
      <c r="E1791" s="314"/>
      <c r="F1791" s="314"/>
      <c r="G1791" s="314"/>
      <c r="H1791" s="314"/>
      <c r="I1791" s="314"/>
      <c r="J1791" s="314"/>
      <c r="K1791" s="314"/>
      <c r="L1791" s="314"/>
      <c r="M1791" s="314"/>
      <c r="N1791" s="314"/>
      <c r="O1791" s="314"/>
      <c r="P1791" s="314"/>
      <c r="Q1791" s="314"/>
      <c r="R1791" s="314"/>
      <c r="S1791" s="314"/>
      <c r="T1791" s="314"/>
      <c r="U1791" s="314"/>
      <c r="V1791" s="314"/>
      <c r="W1791" s="314"/>
      <c r="X1791" s="314"/>
      <c r="Y1791" s="314"/>
      <c r="Z1791" s="314"/>
    </row>
    <row r="1792" spans="5:26" x14ac:dyDescent="0.35">
      <c r="E1792" s="314"/>
      <c r="F1792" s="314"/>
      <c r="G1792" s="314"/>
      <c r="H1792" s="314"/>
      <c r="I1792" s="314"/>
      <c r="J1792" s="314"/>
      <c r="K1792" s="314"/>
      <c r="L1792" s="314"/>
      <c r="M1792" s="314"/>
      <c r="N1792" s="314"/>
      <c r="O1792" s="314"/>
      <c r="P1792" s="314"/>
      <c r="Q1792" s="314"/>
      <c r="R1792" s="314"/>
      <c r="S1792" s="314"/>
      <c r="T1792" s="314"/>
      <c r="U1792" s="314"/>
      <c r="V1792" s="314"/>
      <c r="W1792" s="314"/>
      <c r="X1792" s="314"/>
      <c r="Y1792" s="314"/>
      <c r="Z1792" s="314"/>
    </row>
    <row r="1793" spans="5:26" x14ac:dyDescent="0.35">
      <c r="E1793" s="314"/>
      <c r="F1793" s="314"/>
      <c r="G1793" s="314"/>
      <c r="H1793" s="314"/>
      <c r="I1793" s="314"/>
      <c r="J1793" s="314"/>
      <c r="K1793" s="314"/>
      <c r="L1793" s="314"/>
      <c r="M1793" s="314"/>
      <c r="N1793" s="314"/>
      <c r="O1793" s="314"/>
      <c r="P1793" s="314"/>
      <c r="Q1793" s="314"/>
      <c r="R1793" s="314"/>
      <c r="S1793" s="314"/>
      <c r="T1793" s="314"/>
      <c r="U1793" s="314"/>
      <c r="V1793" s="314"/>
      <c r="W1793" s="314"/>
      <c r="X1793" s="314"/>
      <c r="Y1793" s="314"/>
      <c r="Z1793" s="314"/>
    </row>
    <row r="1794" spans="5:26" x14ac:dyDescent="0.35">
      <c r="E1794" s="314"/>
      <c r="F1794" s="314"/>
      <c r="G1794" s="314"/>
      <c r="H1794" s="314"/>
      <c r="I1794" s="314"/>
      <c r="J1794" s="314"/>
      <c r="K1794" s="314"/>
      <c r="L1794" s="314"/>
      <c r="M1794" s="314"/>
      <c r="N1794" s="314"/>
      <c r="O1794" s="314"/>
      <c r="P1794" s="314"/>
      <c r="Q1794" s="314"/>
      <c r="R1794" s="314"/>
      <c r="S1794" s="314"/>
      <c r="T1794" s="314"/>
      <c r="U1794" s="314"/>
      <c r="V1794" s="314"/>
      <c r="W1794" s="314"/>
      <c r="X1794" s="314"/>
      <c r="Y1794" s="314"/>
      <c r="Z1794" s="314"/>
    </row>
    <row r="1795" spans="5:26" x14ac:dyDescent="0.35">
      <c r="E1795" s="314"/>
      <c r="F1795" s="314"/>
      <c r="G1795" s="314"/>
      <c r="H1795" s="314"/>
      <c r="I1795" s="314"/>
      <c r="J1795" s="314"/>
      <c r="K1795" s="314"/>
      <c r="L1795" s="314"/>
      <c r="M1795" s="314"/>
      <c r="N1795" s="314"/>
      <c r="O1795" s="314"/>
      <c r="P1795" s="314"/>
      <c r="Q1795" s="314"/>
      <c r="R1795" s="314"/>
      <c r="S1795" s="314"/>
      <c r="T1795" s="314"/>
      <c r="U1795" s="314"/>
      <c r="V1795" s="314"/>
      <c r="W1795" s="314"/>
      <c r="X1795" s="314"/>
      <c r="Y1795" s="314"/>
      <c r="Z1795" s="314"/>
    </row>
    <row r="1796" spans="5:26" x14ac:dyDescent="0.35">
      <c r="E1796" s="314"/>
      <c r="F1796" s="314"/>
      <c r="G1796" s="314"/>
      <c r="H1796" s="314"/>
      <c r="I1796" s="314"/>
      <c r="J1796" s="314"/>
      <c r="K1796" s="314"/>
      <c r="L1796" s="314"/>
      <c r="M1796" s="314"/>
      <c r="N1796" s="314"/>
      <c r="O1796" s="314"/>
      <c r="P1796" s="314"/>
      <c r="Q1796" s="314"/>
      <c r="R1796" s="314"/>
      <c r="S1796" s="314"/>
      <c r="T1796" s="314"/>
      <c r="U1796" s="314"/>
      <c r="V1796" s="314"/>
      <c r="W1796" s="314"/>
      <c r="X1796" s="314"/>
      <c r="Y1796" s="314"/>
      <c r="Z1796" s="314"/>
    </row>
    <row r="1797" spans="5:26" x14ac:dyDescent="0.35">
      <c r="E1797" s="314"/>
      <c r="F1797" s="314"/>
      <c r="G1797" s="314"/>
      <c r="H1797" s="314"/>
      <c r="I1797" s="314"/>
      <c r="J1797" s="314"/>
      <c r="K1797" s="314"/>
      <c r="L1797" s="314"/>
      <c r="M1797" s="314"/>
      <c r="N1797" s="314"/>
      <c r="O1797" s="314"/>
      <c r="P1797" s="314"/>
      <c r="Q1797" s="314"/>
      <c r="R1797" s="314"/>
      <c r="S1797" s="314"/>
      <c r="T1797" s="314"/>
      <c r="U1797" s="314"/>
      <c r="V1797" s="314"/>
      <c r="W1797" s="314"/>
      <c r="X1797" s="314"/>
      <c r="Y1797" s="314"/>
      <c r="Z1797" s="314"/>
    </row>
    <row r="1798" spans="5:26" x14ac:dyDescent="0.35">
      <c r="E1798" s="314"/>
      <c r="F1798" s="314"/>
      <c r="G1798" s="314"/>
      <c r="H1798" s="314"/>
      <c r="I1798" s="314"/>
      <c r="J1798" s="314"/>
      <c r="K1798" s="314"/>
      <c r="L1798" s="314"/>
      <c r="M1798" s="314"/>
      <c r="N1798" s="314"/>
      <c r="O1798" s="314"/>
      <c r="P1798" s="314"/>
      <c r="Q1798" s="314"/>
      <c r="R1798" s="314"/>
      <c r="S1798" s="314"/>
      <c r="T1798" s="314"/>
      <c r="U1798" s="314"/>
      <c r="V1798" s="314"/>
      <c r="W1798" s="314"/>
      <c r="X1798" s="314"/>
      <c r="Y1798" s="314"/>
      <c r="Z1798" s="314"/>
    </row>
    <row r="1799" spans="5:26" x14ac:dyDescent="0.35">
      <c r="E1799" s="314"/>
      <c r="F1799" s="314"/>
      <c r="G1799" s="314"/>
      <c r="H1799" s="314"/>
      <c r="I1799" s="314"/>
      <c r="J1799" s="314"/>
      <c r="K1799" s="314"/>
      <c r="L1799" s="314"/>
      <c r="M1799" s="314"/>
      <c r="N1799" s="314"/>
      <c r="O1799" s="314"/>
      <c r="P1799" s="314"/>
      <c r="Q1799" s="314"/>
      <c r="R1799" s="314"/>
      <c r="S1799" s="314"/>
      <c r="T1799" s="314"/>
      <c r="U1799" s="314"/>
      <c r="V1799" s="314"/>
      <c r="W1799" s="314"/>
      <c r="X1799" s="314"/>
      <c r="Y1799" s="314"/>
      <c r="Z1799" s="314"/>
    </row>
    <row r="1800" spans="5:26" x14ac:dyDescent="0.35">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row>
    <row r="1801" spans="5:26" x14ac:dyDescent="0.35">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row>
    <row r="1802" spans="5:26" x14ac:dyDescent="0.35">
      <c r="E1802" s="314"/>
      <c r="F1802" s="314"/>
      <c r="G1802" s="314"/>
      <c r="H1802" s="314"/>
      <c r="I1802" s="314"/>
      <c r="J1802" s="314"/>
      <c r="K1802" s="314"/>
      <c r="L1802" s="314"/>
      <c r="M1802" s="314"/>
      <c r="N1802" s="314"/>
      <c r="O1802" s="314"/>
      <c r="P1802" s="314"/>
      <c r="Q1802" s="314"/>
      <c r="R1802" s="314"/>
      <c r="S1802" s="314"/>
      <c r="T1802" s="314"/>
      <c r="U1802" s="314"/>
      <c r="V1802" s="314"/>
      <c r="W1802" s="314"/>
      <c r="X1802" s="314"/>
      <c r="Y1802" s="314"/>
      <c r="Z1802" s="314"/>
    </row>
    <row r="1803" spans="5:26" x14ac:dyDescent="0.35">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row>
    <row r="1804" spans="5:26" x14ac:dyDescent="0.35">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row>
    <row r="1805" spans="5:26" x14ac:dyDescent="0.35">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row>
    <row r="1806" spans="5:26" x14ac:dyDescent="0.35">
      <c r="E1806" s="314"/>
      <c r="F1806" s="314"/>
      <c r="G1806" s="314"/>
      <c r="H1806" s="314"/>
      <c r="I1806" s="314"/>
      <c r="J1806" s="314"/>
      <c r="K1806" s="314"/>
      <c r="L1806" s="314"/>
      <c r="M1806" s="314"/>
      <c r="N1806" s="314"/>
      <c r="O1806" s="314"/>
      <c r="P1806" s="314"/>
      <c r="Q1806" s="314"/>
      <c r="R1806" s="314"/>
      <c r="S1806" s="314"/>
      <c r="T1806" s="314"/>
      <c r="U1806" s="314"/>
      <c r="V1806" s="314"/>
      <c r="W1806" s="314"/>
      <c r="X1806" s="314"/>
      <c r="Y1806" s="314"/>
      <c r="Z1806" s="314"/>
    </row>
    <row r="1807" spans="5:26" x14ac:dyDescent="0.35">
      <c r="E1807" s="314"/>
      <c r="F1807" s="314"/>
      <c r="G1807" s="314"/>
      <c r="H1807" s="314"/>
      <c r="I1807" s="314"/>
      <c r="J1807" s="314"/>
      <c r="K1807" s="314"/>
      <c r="L1807" s="314"/>
      <c r="M1807" s="314"/>
      <c r="N1807" s="314"/>
      <c r="O1807" s="314"/>
      <c r="P1807" s="314"/>
      <c r="Q1807" s="314"/>
      <c r="R1807" s="314"/>
      <c r="S1807" s="314"/>
      <c r="T1807" s="314"/>
      <c r="U1807" s="314"/>
      <c r="V1807" s="314"/>
      <c r="W1807" s="314"/>
      <c r="X1807" s="314"/>
      <c r="Y1807" s="314"/>
      <c r="Z1807" s="314"/>
    </row>
    <row r="1808" spans="5:26" x14ac:dyDescent="0.35">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row>
    <row r="1809" spans="5:26" x14ac:dyDescent="0.35">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row>
    <row r="1810" spans="5:26" x14ac:dyDescent="0.35">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row>
    <row r="1811" spans="5:26" x14ac:dyDescent="0.35">
      <c r="E1811" s="314"/>
      <c r="F1811" s="314"/>
      <c r="G1811" s="314"/>
      <c r="H1811" s="314"/>
      <c r="I1811" s="314"/>
      <c r="J1811" s="314"/>
      <c r="K1811" s="314"/>
      <c r="L1811" s="314"/>
      <c r="M1811" s="314"/>
      <c r="N1811" s="314"/>
      <c r="O1811" s="314"/>
      <c r="P1811" s="314"/>
      <c r="Q1811" s="314"/>
      <c r="R1811" s="314"/>
      <c r="S1811" s="314"/>
      <c r="T1811" s="314"/>
      <c r="U1811" s="314"/>
      <c r="V1811" s="314"/>
      <c r="W1811" s="314"/>
      <c r="X1811" s="314"/>
      <c r="Y1811" s="314"/>
      <c r="Z1811" s="314"/>
    </row>
    <row r="1812" spans="5:26" x14ac:dyDescent="0.35">
      <c r="E1812" s="314"/>
      <c r="F1812" s="314"/>
      <c r="G1812" s="314"/>
      <c r="H1812" s="314"/>
      <c r="I1812" s="314"/>
      <c r="J1812" s="314"/>
      <c r="K1812" s="314"/>
      <c r="L1812" s="314"/>
      <c r="M1812" s="314"/>
      <c r="N1812" s="314"/>
      <c r="O1812" s="314"/>
      <c r="P1812" s="314"/>
      <c r="Q1812" s="314"/>
      <c r="R1812" s="314"/>
      <c r="S1812" s="314"/>
      <c r="T1812" s="314"/>
      <c r="U1812" s="314"/>
      <c r="V1812" s="314"/>
      <c r="W1812" s="314"/>
      <c r="X1812" s="314"/>
      <c r="Y1812" s="314"/>
      <c r="Z1812" s="314"/>
    </row>
    <row r="1813" spans="5:26" x14ac:dyDescent="0.35">
      <c r="E1813" s="314"/>
      <c r="F1813" s="314"/>
      <c r="G1813" s="314"/>
      <c r="H1813" s="314"/>
      <c r="I1813" s="314"/>
      <c r="J1813" s="314"/>
      <c r="K1813" s="314"/>
      <c r="L1813" s="314"/>
      <c r="M1813" s="314"/>
      <c r="N1813" s="314"/>
      <c r="O1813" s="314"/>
      <c r="P1813" s="314"/>
      <c r="Q1813" s="314"/>
      <c r="R1813" s="314"/>
      <c r="S1813" s="314"/>
      <c r="T1813" s="314"/>
      <c r="U1813" s="314"/>
      <c r="V1813" s="314"/>
      <c r="W1813" s="314"/>
      <c r="X1813" s="314"/>
      <c r="Y1813" s="314"/>
      <c r="Z1813" s="314"/>
    </row>
    <row r="1814" spans="5:26" x14ac:dyDescent="0.35">
      <c r="E1814" s="314"/>
      <c r="F1814" s="314"/>
      <c r="G1814" s="314"/>
      <c r="H1814" s="314"/>
      <c r="I1814" s="314"/>
      <c r="J1814" s="314"/>
      <c r="K1814" s="314"/>
      <c r="L1814" s="314"/>
      <c r="M1814" s="314"/>
      <c r="N1814" s="314"/>
      <c r="O1814" s="314"/>
      <c r="P1814" s="314"/>
      <c r="Q1814" s="314"/>
      <c r="R1814" s="314"/>
      <c r="S1814" s="314"/>
      <c r="T1814" s="314"/>
      <c r="U1814" s="314"/>
      <c r="V1814" s="314"/>
      <c r="W1814" s="314"/>
      <c r="X1814" s="314"/>
      <c r="Y1814" s="314"/>
      <c r="Z1814" s="314"/>
    </row>
    <row r="1815" spans="5:26" x14ac:dyDescent="0.35">
      <c r="E1815" s="314"/>
      <c r="F1815" s="314"/>
      <c r="G1815" s="314"/>
      <c r="H1815" s="314"/>
      <c r="I1815" s="314"/>
      <c r="J1815" s="314"/>
      <c r="K1815" s="314"/>
      <c r="L1815" s="314"/>
      <c r="M1815" s="314"/>
      <c r="N1815" s="314"/>
      <c r="O1815" s="314"/>
      <c r="P1815" s="314"/>
      <c r="Q1815" s="314"/>
      <c r="R1815" s="314"/>
      <c r="S1815" s="314"/>
      <c r="T1815" s="314"/>
      <c r="U1815" s="314"/>
      <c r="V1815" s="314"/>
      <c r="W1815" s="314"/>
      <c r="X1815" s="314"/>
      <c r="Y1815" s="314"/>
      <c r="Z1815" s="314"/>
    </row>
    <row r="1816" spans="5:26" x14ac:dyDescent="0.35">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row>
    <row r="1817" spans="5:26" x14ac:dyDescent="0.35">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row>
    <row r="1818" spans="5:26" x14ac:dyDescent="0.35">
      <c r="E1818" s="314"/>
      <c r="F1818" s="314"/>
      <c r="G1818" s="314"/>
      <c r="H1818" s="314"/>
      <c r="I1818" s="314"/>
      <c r="J1818" s="314"/>
      <c r="K1818" s="314"/>
      <c r="L1818" s="314"/>
      <c r="M1818" s="314"/>
      <c r="N1818" s="314"/>
      <c r="O1818" s="314"/>
      <c r="P1818" s="314"/>
      <c r="Q1818" s="314"/>
      <c r="R1818" s="314"/>
      <c r="S1818" s="314"/>
      <c r="T1818" s="314"/>
      <c r="U1818" s="314"/>
      <c r="V1818" s="314"/>
      <c r="W1818" s="314"/>
      <c r="X1818" s="314"/>
      <c r="Y1818" s="314"/>
      <c r="Z1818" s="314"/>
    </row>
    <row r="1819" spans="5:26" x14ac:dyDescent="0.35">
      <c r="E1819" s="314"/>
      <c r="F1819" s="314"/>
      <c r="G1819" s="314"/>
      <c r="H1819" s="314"/>
      <c r="I1819" s="314"/>
      <c r="J1819" s="314"/>
      <c r="K1819" s="314"/>
      <c r="L1819" s="314"/>
      <c r="M1819" s="314"/>
      <c r="N1819" s="314"/>
      <c r="O1819" s="314"/>
      <c r="P1819" s="314"/>
      <c r="Q1819" s="314"/>
      <c r="R1819" s="314"/>
      <c r="S1819" s="314"/>
      <c r="T1819" s="314"/>
      <c r="U1819" s="314"/>
      <c r="V1819" s="314"/>
      <c r="W1819" s="314"/>
      <c r="X1819" s="314"/>
      <c r="Y1819" s="314"/>
      <c r="Z1819" s="314"/>
    </row>
    <row r="1820" spans="5:26" x14ac:dyDescent="0.35">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row>
    <row r="1821" spans="5:26" x14ac:dyDescent="0.35">
      <c r="E1821" s="314"/>
      <c r="F1821" s="314"/>
      <c r="G1821" s="314"/>
      <c r="H1821" s="314"/>
      <c r="I1821" s="314"/>
      <c r="J1821" s="314"/>
      <c r="K1821" s="314"/>
      <c r="L1821" s="314"/>
      <c r="M1821" s="314"/>
      <c r="N1821" s="314"/>
      <c r="O1821" s="314"/>
      <c r="P1821" s="314"/>
      <c r="Q1821" s="314"/>
      <c r="R1821" s="314"/>
      <c r="S1821" s="314"/>
      <c r="T1821" s="314"/>
      <c r="U1821" s="314"/>
      <c r="V1821" s="314"/>
      <c r="W1821" s="314"/>
      <c r="X1821" s="314"/>
      <c r="Y1821" s="314"/>
      <c r="Z1821" s="314"/>
    </row>
    <row r="1822" spans="5:26" x14ac:dyDescent="0.35">
      <c r="E1822" s="314"/>
      <c r="F1822" s="314"/>
      <c r="G1822" s="314"/>
      <c r="H1822" s="314"/>
      <c r="I1822" s="314"/>
      <c r="J1822" s="314"/>
      <c r="K1822" s="314"/>
      <c r="L1822" s="314"/>
      <c r="M1822" s="314"/>
      <c r="N1822" s="314"/>
      <c r="O1822" s="314"/>
      <c r="P1822" s="314"/>
      <c r="Q1822" s="314"/>
      <c r="R1822" s="314"/>
      <c r="S1822" s="314"/>
      <c r="T1822" s="314"/>
      <c r="U1822" s="314"/>
      <c r="V1822" s="314"/>
      <c r="W1822" s="314"/>
      <c r="X1822" s="314"/>
      <c r="Y1822" s="314"/>
      <c r="Z1822" s="314"/>
    </row>
    <row r="1823" spans="5:26" x14ac:dyDescent="0.35">
      <c r="E1823" s="314"/>
      <c r="F1823" s="314"/>
      <c r="G1823" s="314"/>
      <c r="H1823" s="314"/>
      <c r="I1823" s="314"/>
      <c r="J1823" s="314"/>
      <c r="K1823" s="314"/>
      <c r="L1823" s="314"/>
      <c r="M1823" s="314"/>
      <c r="N1823" s="314"/>
      <c r="O1823" s="314"/>
      <c r="P1823" s="314"/>
      <c r="Q1823" s="314"/>
      <c r="R1823" s="314"/>
      <c r="S1823" s="314"/>
      <c r="T1823" s="314"/>
      <c r="U1823" s="314"/>
      <c r="V1823" s="314"/>
      <c r="W1823" s="314"/>
      <c r="X1823" s="314"/>
      <c r="Y1823" s="314"/>
      <c r="Z1823" s="314"/>
    </row>
    <row r="1824" spans="5:26" x14ac:dyDescent="0.35">
      <c r="E1824" s="314"/>
      <c r="F1824" s="314"/>
      <c r="G1824" s="314"/>
      <c r="H1824" s="314"/>
      <c r="I1824" s="314"/>
      <c r="J1824" s="314"/>
      <c r="K1824" s="314"/>
      <c r="L1824" s="314"/>
      <c r="M1824" s="314"/>
      <c r="N1824" s="314"/>
      <c r="O1824" s="314"/>
      <c r="P1824" s="314"/>
      <c r="Q1824" s="314"/>
      <c r="R1824" s="314"/>
      <c r="S1824" s="314"/>
      <c r="T1824" s="314"/>
      <c r="U1824" s="314"/>
      <c r="V1824" s="314"/>
      <c r="W1824" s="314"/>
      <c r="X1824" s="314"/>
      <c r="Y1824" s="314"/>
      <c r="Z1824" s="314"/>
    </row>
    <row r="1825" spans="5:26" x14ac:dyDescent="0.35">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row>
    <row r="1826" spans="5:26" x14ac:dyDescent="0.35">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row>
    <row r="1827" spans="5:26" x14ac:dyDescent="0.35">
      <c r="E1827" s="314"/>
      <c r="F1827" s="314"/>
      <c r="G1827" s="314"/>
      <c r="H1827" s="314"/>
      <c r="I1827" s="314"/>
      <c r="J1827" s="314"/>
      <c r="K1827" s="314"/>
      <c r="L1827" s="314"/>
      <c r="M1827" s="314"/>
      <c r="N1827" s="314"/>
      <c r="O1827" s="314"/>
      <c r="P1827" s="314"/>
      <c r="Q1827" s="314"/>
      <c r="R1827" s="314"/>
      <c r="S1827" s="314"/>
      <c r="T1827" s="314"/>
      <c r="U1827" s="314"/>
      <c r="V1827" s="314"/>
      <c r="W1827" s="314"/>
      <c r="X1827" s="314"/>
      <c r="Y1827" s="314"/>
      <c r="Z1827" s="314"/>
    </row>
    <row r="1828" spans="5:26" x14ac:dyDescent="0.35">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row>
    <row r="1829" spans="5:26" x14ac:dyDescent="0.35">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row>
    <row r="1830" spans="5:26" x14ac:dyDescent="0.35">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row>
    <row r="1831" spans="5:26" x14ac:dyDescent="0.35">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row>
    <row r="1832" spans="5:26" x14ac:dyDescent="0.35">
      <c r="E1832" s="314"/>
      <c r="F1832" s="314"/>
      <c r="G1832" s="314"/>
      <c r="H1832" s="314"/>
      <c r="I1832" s="314"/>
      <c r="J1832" s="314"/>
      <c r="K1832" s="314"/>
      <c r="L1832" s="314"/>
      <c r="M1832" s="314"/>
      <c r="N1832" s="314"/>
      <c r="O1832" s="314"/>
      <c r="P1832" s="314"/>
      <c r="Q1832" s="314"/>
      <c r="R1832" s="314"/>
      <c r="S1832" s="314"/>
      <c r="T1832" s="314"/>
      <c r="U1832" s="314"/>
      <c r="V1832" s="314"/>
      <c r="W1832" s="314"/>
      <c r="X1832" s="314"/>
      <c r="Y1832" s="314"/>
      <c r="Z1832" s="314"/>
    </row>
    <row r="1833" spans="5:26" x14ac:dyDescent="0.35">
      <c r="E1833" s="314"/>
      <c r="F1833" s="314"/>
      <c r="G1833" s="314"/>
      <c r="H1833" s="314"/>
      <c r="I1833" s="314"/>
      <c r="J1833" s="314"/>
      <c r="K1833" s="314"/>
      <c r="L1833" s="314"/>
      <c r="M1833" s="314"/>
      <c r="N1833" s="314"/>
      <c r="O1833" s="314"/>
      <c r="P1833" s="314"/>
      <c r="Q1833" s="314"/>
      <c r="R1833" s="314"/>
      <c r="S1833" s="314"/>
      <c r="T1833" s="314"/>
      <c r="U1833" s="314"/>
      <c r="V1833" s="314"/>
      <c r="W1833" s="314"/>
      <c r="X1833" s="314"/>
      <c r="Y1833" s="314"/>
      <c r="Z1833" s="314"/>
    </row>
    <row r="1834" spans="5:26" x14ac:dyDescent="0.35">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row>
    <row r="1835" spans="5:26" x14ac:dyDescent="0.35">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row>
    <row r="1836" spans="5:26" x14ac:dyDescent="0.35">
      <c r="E1836" s="314"/>
      <c r="F1836" s="314"/>
      <c r="G1836" s="314"/>
      <c r="H1836" s="314"/>
      <c r="I1836" s="314"/>
      <c r="J1836" s="314"/>
      <c r="K1836" s="314"/>
      <c r="L1836" s="314"/>
      <c r="M1836" s="314"/>
      <c r="N1836" s="314"/>
      <c r="O1836" s="314"/>
      <c r="P1836" s="314"/>
      <c r="Q1836" s="314"/>
      <c r="R1836" s="314"/>
      <c r="S1836" s="314"/>
      <c r="T1836" s="314"/>
      <c r="U1836" s="314"/>
      <c r="V1836" s="314"/>
      <c r="W1836" s="314"/>
      <c r="X1836" s="314"/>
      <c r="Y1836" s="314"/>
      <c r="Z1836" s="314"/>
    </row>
    <row r="1837" spans="5:26" x14ac:dyDescent="0.35">
      <c r="E1837" s="314"/>
      <c r="F1837" s="314"/>
      <c r="G1837" s="314"/>
      <c r="H1837" s="314"/>
      <c r="I1837" s="314"/>
      <c r="J1837" s="314"/>
      <c r="K1837" s="314"/>
      <c r="L1837" s="314"/>
      <c r="M1837" s="314"/>
      <c r="N1837" s="314"/>
      <c r="O1837" s="314"/>
      <c r="P1837" s="314"/>
      <c r="Q1837" s="314"/>
      <c r="R1837" s="314"/>
      <c r="S1837" s="314"/>
      <c r="T1837" s="314"/>
      <c r="U1837" s="314"/>
      <c r="V1837" s="314"/>
      <c r="W1837" s="314"/>
      <c r="X1837" s="314"/>
      <c r="Y1837" s="314"/>
      <c r="Z1837" s="314"/>
    </row>
    <row r="1838" spans="5:26" x14ac:dyDescent="0.35">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row>
    <row r="1839" spans="5:26" x14ac:dyDescent="0.35">
      <c r="E1839" s="314"/>
      <c r="F1839" s="314"/>
      <c r="G1839" s="314"/>
      <c r="H1839" s="314"/>
      <c r="I1839" s="314"/>
      <c r="J1839" s="314"/>
      <c r="K1839" s="314"/>
      <c r="L1839" s="314"/>
      <c r="M1839" s="314"/>
      <c r="N1839" s="314"/>
      <c r="O1839" s="314"/>
      <c r="P1839" s="314"/>
      <c r="Q1839" s="314"/>
      <c r="R1839" s="314"/>
      <c r="S1839" s="314"/>
      <c r="T1839" s="314"/>
      <c r="U1839" s="314"/>
      <c r="V1839" s="314"/>
      <c r="W1839" s="314"/>
      <c r="X1839" s="314"/>
      <c r="Y1839" s="314"/>
      <c r="Z1839" s="314"/>
    </row>
    <row r="1840" spans="5:26" x14ac:dyDescent="0.35">
      <c r="E1840" s="314"/>
      <c r="F1840" s="314"/>
      <c r="G1840" s="314"/>
      <c r="H1840" s="314"/>
      <c r="I1840" s="314"/>
      <c r="J1840" s="314"/>
      <c r="K1840" s="314"/>
      <c r="L1840" s="314"/>
      <c r="M1840" s="314"/>
      <c r="N1840" s="314"/>
      <c r="O1840" s="314"/>
      <c r="P1840" s="314"/>
      <c r="Q1840" s="314"/>
      <c r="R1840" s="314"/>
      <c r="S1840" s="314"/>
      <c r="T1840" s="314"/>
      <c r="U1840" s="314"/>
      <c r="V1840" s="314"/>
      <c r="W1840" s="314"/>
      <c r="X1840" s="314"/>
      <c r="Y1840" s="314"/>
      <c r="Z1840" s="314"/>
    </row>
    <row r="1841" spans="5:26" x14ac:dyDescent="0.35">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row>
    <row r="1842" spans="5:26" x14ac:dyDescent="0.35">
      <c r="E1842" s="314"/>
      <c r="F1842" s="314"/>
      <c r="G1842" s="314"/>
      <c r="H1842" s="314"/>
      <c r="I1842" s="314"/>
      <c r="J1842" s="314"/>
      <c r="K1842" s="314"/>
      <c r="L1842" s="314"/>
      <c r="M1842" s="314"/>
      <c r="N1842" s="314"/>
      <c r="O1842" s="314"/>
      <c r="P1842" s="314"/>
      <c r="Q1842" s="314"/>
      <c r="R1842" s="314"/>
      <c r="S1842" s="314"/>
      <c r="T1842" s="314"/>
      <c r="U1842" s="314"/>
      <c r="V1842" s="314"/>
      <c r="W1842" s="314"/>
      <c r="X1842" s="314"/>
      <c r="Y1842" s="314"/>
      <c r="Z1842" s="314"/>
    </row>
    <row r="1843" spans="5:26" x14ac:dyDescent="0.35">
      <c r="E1843" s="314"/>
      <c r="F1843" s="314"/>
      <c r="G1843" s="314"/>
      <c r="H1843" s="314"/>
      <c r="I1843" s="314"/>
      <c r="J1843" s="314"/>
      <c r="K1843" s="314"/>
      <c r="L1843" s="314"/>
      <c r="M1843" s="314"/>
      <c r="N1843" s="314"/>
      <c r="O1843" s="314"/>
      <c r="P1843" s="314"/>
      <c r="Q1843" s="314"/>
      <c r="R1843" s="314"/>
      <c r="S1843" s="314"/>
      <c r="T1843" s="314"/>
      <c r="U1843" s="314"/>
      <c r="V1843" s="314"/>
      <c r="W1843" s="314"/>
      <c r="X1843" s="314"/>
      <c r="Y1843" s="314"/>
      <c r="Z1843" s="314"/>
    </row>
    <row r="1844" spans="5:26" x14ac:dyDescent="0.35">
      <c r="E1844" s="314"/>
      <c r="F1844" s="314"/>
      <c r="G1844" s="314"/>
      <c r="H1844" s="314"/>
      <c r="I1844" s="314"/>
      <c r="J1844" s="314"/>
      <c r="K1844" s="314"/>
      <c r="L1844" s="314"/>
      <c r="M1844" s="314"/>
      <c r="N1844" s="314"/>
      <c r="O1844" s="314"/>
      <c r="P1844" s="314"/>
      <c r="Q1844" s="314"/>
      <c r="R1844" s="314"/>
      <c r="S1844" s="314"/>
      <c r="T1844" s="314"/>
      <c r="U1844" s="314"/>
      <c r="V1844" s="314"/>
      <c r="W1844" s="314"/>
      <c r="X1844" s="314"/>
      <c r="Y1844" s="314"/>
      <c r="Z1844" s="314"/>
    </row>
    <row r="1845" spans="5:26" x14ac:dyDescent="0.35">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row>
    <row r="1846" spans="5:26" x14ac:dyDescent="0.35">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row>
    <row r="1847" spans="5:26" x14ac:dyDescent="0.35">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row>
    <row r="1848" spans="5:26" x14ac:dyDescent="0.35">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row>
    <row r="1849" spans="5:26" x14ac:dyDescent="0.35">
      <c r="E1849" s="314"/>
      <c r="F1849" s="314"/>
      <c r="G1849" s="314"/>
      <c r="H1849" s="314"/>
      <c r="I1849" s="314"/>
      <c r="J1849" s="314"/>
      <c r="K1849" s="314"/>
      <c r="L1849" s="314"/>
      <c r="M1849" s="314"/>
      <c r="N1849" s="314"/>
      <c r="O1849" s="314"/>
      <c r="P1849" s="314"/>
      <c r="Q1849" s="314"/>
      <c r="R1849" s="314"/>
      <c r="S1849" s="314"/>
      <c r="T1849" s="314"/>
      <c r="U1849" s="314"/>
      <c r="V1849" s="314"/>
      <c r="W1849" s="314"/>
      <c r="X1849" s="314"/>
      <c r="Y1849" s="314"/>
      <c r="Z1849" s="314"/>
    </row>
    <row r="1850" spans="5:26" x14ac:dyDescent="0.35">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row>
    <row r="1851" spans="5:26" x14ac:dyDescent="0.35">
      <c r="E1851" s="314"/>
      <c r="F1851" s="314"/>
      <c r="G1851" s="314"/>
      <c r="H1851" s="314"/>
      <c r="I1851" s="314"/>
      <c r="J1851" s="314"/>
      <c r="K1851" s="314"/>
      <c r="L1851" s="314"/>
      <c r="M1851" s="314"/>
      <c r="N1851" s="314"/>
      <c r="O1851" s="314"/>
      <c r="P1851" s="314"/>
      <c r="Q1851" s="314"/>
      <c r="R1851" s="314"/>
      <c r="S1851" s="314"/>
      <c r="T1851" s="314"/>
      <c r="U1851" s="314"/>
      <c r="V1851" s="314"/>
      <c r="W1851" s="314"/>
      <c r="X1851" s="314"/>
      <c r="Y1851" s="314"/>
      <c r="Z1851" s="314"/>
    </row>
    <row r="1852" spans="5:26" x14ac:dyDescent="0.35">
      <c r="E1852" s="314"/>
      <c r="F1852" s="314"/>
      <c r="G1852" s="314"/>
      <c r="H1852" s="314"/>
      <c r="I1852" s="314"/>
      <c r="J1852" s="314"/>
      <c r="K1852" s="314"/>
      <c r="L1852" s="314"/>
      <c r="M1852" s="314"/>
      <c r="N1852" s="314"/>
      <c r="O1852" s="314"/>
      <c r="P1852" s="314"/>
      <c r="Q1852" s="314"/>
      <c r="R1852" s="314"/>
      <c r="S1852" s="314"/>
      <c r="T1852" s="314"/>
      <c r="U1852" s="314"/>
      <c r="V1852" s="314"/>
      <c r="W1852" s="314"/>
      <c r="X1852" s="314"/>
      <c r="Y1852" s="314"/>
      <c r="Z1852" s="314"/>
    </row>
    <row r="1853" spans="5:26" x14ac:dyDescent="0.35">
      <c r="E1853" s="314"/>
      <c r="F1853" s="314"/>
      <c r="G1853" s="314"/>
      <c r="H1853" s="314"/>
      <c r="I1853" s="314"/>
      <c r="J1853" s="314"/>
      <c r="K1853" s="314"/>
      <c r="L1853" s="314"/>
      <c r="M1853" s="314"/>
      <c r="N1853" s="314"/>
      <c r="O1853" s="314"/>
      <c r="P1853" s="314"/>
      <c r="Q1853" s="314"/>
      <c r="R1853" s="314"/>
      <c r="S1853" s="314"/>
      <c r="T1853" s="314"/>
      <c r="U1853" s="314"/>
      <c r="V1853" s="314"/>
      <c r="W1853" s="314"/>
      <c r="X1853" s="314"/>
      <c r="Y1853" s="314"/>
      <c r="Z1853" s="314"/>
    </row>
    <row r="1854" spans="5:26" x14ac:dyDescent="0.35">
      <c r="E1854" s="314"/>
      <c r="F1854" s="314"/>
      <c r="G1854" s="314"/>
      <c r="H1854" s="314"/>
      <c r="I1854" s="314"/>
      <c r="J1854" s="314"/>
      <c r="K1854" s="314"/>
      <c r="L1854" s="314"/>
      <c r="M1854" s="314"/>
      <c r="N1854" s="314"/>
      <c r="O1854" s="314"/>
      <c r="P1854" s="314"/>
      <c r="Q1854" s="314"/>
      <c r="R1854" s="314"/>
      <c r="S1854" s="314"/>
      <c r="T1854" s="314"/>
      <c r="U1854" s="314"/>
      <c r="V1854" s="314"/>
      <c r="W1854" s="314"/>
      <c r="X1854" s="314"/>
      <c r="Y1854" s="314"/>
      <c r="Z1854" s="314"/>
    </row>
    <row r="1855" spans="5:26" x14ac:dyDescent="0.35">
      <c r="E1855" s="314"/>
      <c r="F1855" s="314"/>
      <c r="G1855" s="314"/>
      <c r="H1855" s="314"/>
      <c r="I1855" s="314"/>
      <c r="J1855" s="314"/>
      <c r="K1855" s="314"/>
      <c r="L1855" s="314"/>
      <c r="M1855" s="314"/>
      <c r="N1855" s="314"/>
      <c r="O1855" s="314"/>
      <c r="P1855" s="314"/>
      <c r="Q1855" s="314"/>
      <c r="R1855" s="314"/>
      <c r="S1855" s="314"/>
      <c r="T1855" s="314"/>
      <c r="U1855" s="314"/>
      <c r="V1855" s="314"/>
      <c r="W1855" s="314"/>
      <c r="X1855" s="314"/>
      <c r="Y1855" s="314"/>
      <c r="Z1855" s="314"/>
    </row>
    <row r="1856" spans="5:26" x14ac:dyDescent="0.35">
      <c r="E1856" s="314"/>
      <c r="F1856" s="314"/>
      <c r="G1856" s="314"/>
      <c r="H1856" s="314"/>
      <c r="I1856" s="314"/>
      <c r="J1856" s="314"/>
      <c r="K1856" s="314"/>
      <c r="L1856" s="314"/>
      <c r="M1856" s="314"/>
      <c r="N1856" s="314"/>
      <c r="O1856" s="314"/>
      <c r="P1856" s="314"/>
      <c r="Q1856" s="314"/>
      <c r="R1856" s="314"/>
      <c r="S1856" s="314"/>
      <c r="T1856" s="314"/>
      <c r="U1856" s="314"/>
      <c r="V1856" s="314"/>
      <c r="W1856" s="314"/>
      <c r="X1856" s="314"/>
      <c r="Y1856" s="314"/>
      <c r="Z1856" s="314"/>
    </row>
    <row r="1857" spans="5:26" x14ac:dyDescent="0.35">
      <c r="E1857" s="314"/>
      <c r="F1857" s="314"/>
      <c r="G1857" s="314"/>
      <c r="H1857" s="314"/>
      <c r="I1857" s="314"/>
      <c r="J1857" s="314"/>
      <c r="K1857" s="314"/>
      <c r="L1857" s="314"/>
      <c r="M1857" s="314"/>
      <c r="N1857" s="314"/>
      <c r="O1857" s="314"/>
      <c r="P1857" s="314"/>
      <c r="Q1857" s="314"/>
      <c r="R1857" s="314"/>
      <c r="S1857" s="314"/>
      <c r="T1857" s="314"/>
      <c r="U1857" s="314"/>
      <c r="V1857" s="314"/>
      <c r="W1857" s="314"/>
      <c r="X1857" s="314"/>
      <c r="Y1857" s="314"/>
      <c r="Z1857" s="314"/>
    </row>
    <row r="1858" spans="5:26" x14ac:dyDescent="0.35">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row>
    <row r="1859" spans="5:26" x14ac:dyDescent="0.35">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row>
    <row r="1860" spans="5:26" x14ac:dyDescent="0.35">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row>
    <row r="1861" spans="5:26" x14ac:dyDescent="0.35">
      <c r="E1861" s="314"/>
      <c r="F1861" s="314"/>
      <c r="G1861" s="314"/>
      <c r="H1861" s="314"/>
      <c r="I1861" s="314"/>
      <c r="J1861" s="314"/>
      <c r="K1861" s="314"/>
      <c r="L1861" s="314"/>
      <c r="M1861" s="314"/>
      <c r="N1861" s="314"/>
      <c r="O1861" s="314"/>
      <c r="P1861" s="314"/>
      <c r="Q1861" s="314"/>
      <c r="R1861" s="314"/>
      <c r="S1861" s="314"/>
      <c r="T1861" s="314"/>
      <c r="U1861" s="314"/>
      <c r="V1861" s="314"/>
      <c r="W1861" s="314"/>
      <c r="X1861" s="314"/>
      <c r="Y1861" s="314"/>
      <c r="Z1861" s="314"/>
    </row>
    <row r="1862" spans="5:26" x14ac:dyDescent="0.35">
      <c r="E1862" s="314"/>
      <c r="F1862" s="314"/>
      <c r="G1862" s="314"/>
      <c r="H1862" s="314"/>
      <c r="I1862" s="314"/>
      <c r="J1862" s="314"/>
      <c r="K1862" s="314"/>
      <c r="L1862" s="314"/>
      <c r="M1862" s="314"/>
      <c r="N1862" s="314"/>
      <c r="O1862" s="314"/>
      <c r="P1862" s="314"/>
      <c r="Q1862" s="314"/>
      <c r="R1862" s="314"/>
      <c r="S1862" s="314"/>
      <c r="T1862" s="314"/>
      <c r="U1862" s="314"/>
      <c r="V1862" s="314"/>
      <c r="W1862" s="314"/>
      <c r="X1862" s="314"/>
      <c r="Y1862" s="314"/>
      <c r="Z1862" s="314"/>
    </row>
    <row r="1863" spans="5:26" x14ac:dyDescent="0.35">
      <c r="E1863" s="314"/>
      <c r="F1863" s="314"/>
      <c r="G1863" s="314"/>
      <c r="H1863" s="314"/>
      <c r="I1863" s="314"/>
      <c r="J1863" s="314"/>
      <c r="K1863" s="314"/>
      <c r="L1863" s="314"/>
      <c r="M1863" s="314"/>
      <c r="N1863" s="314"/>
      <c r="O1863" s="314"/>
      <c r="P1863" s="314"/>
      <c r="Q1863" s="314"/>
      <c r="R1863" s="314"/>
      <c r="S1863" s="314"/>
      <c r="T1863" s="314"/>
      <c r="U1863" s="314"/>
      <c r="V1863" s="314"/>
      <c r="W1863" s="314"/>
      <c r="X1863" s="314"/>
      <c r="Y1863" s="314"/>
      <c r="Z1863" s="314"/>
    </row>
    <row r="1864" spans="5:26" x14ac:dyDescent="0.35">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row>
    <row r="1865" spans="5:26" x14ac:dyDescent="0.35">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row>
    <row r="1866" spans="5:26" x14ac:dyDescent="0.35">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row>
    <row r="1867" spans="5:26" x14ac:dyDescent="0.35">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row>
    <row r="1868" spans="5:26" x14ac:dyDescent="0.35">
      <c r="E1868" s="314"/>
      <c r="F1868" s="314"/>
      <c r="G1868" s="314"/>
      <c r="H1868" s="314"/>
      <c r="I1868" s="314"/>
      <c r="J1868" s="314"/>
      <c r="K1868" s="314"/>
      <c r="L1868" s="314"/>
      <c r="M1868" s="314"/>
      <c r="N1868" s="314"/>
      <c r="O1868" s="314"/>
      <c r="P1868" s="314"/>
      <c r="Q1868" s="314"/>
      <c r="R1868" s="314"/>
      <c r="S1868" s="314"/>
      <c r="T1868" s="314"/>
      <c r="U1868" s="314"/>
      <c r="V1868" s="314"/>
      <c r="W1868" s="314"/>
      <c r="X1868" s="314"/>
      <c r="Y1868" s="314"/>
      <c r="Z1868" s="314"/>
    </row>
    <row r="1869" spans="5:26" x14ac:dyDescent="0.35">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row>
    <row r="1870" spans="5:26" x14ac:dyDescent="0.35">
      <c r="E1870" s="314"/>
      <c r="F1870" s="314"/>
      <c r="G1870" s="314"/>
      <c r="H1870" s="314"/>
      <c r="I1870" s="314"/>
      <c r="J1870" s="314"/>
      <c r="K1870" s="314"/>
      <c r="L1870" s="314"/>
      <c r="M1870" s="314"/>
      <c r="N1870" s="314"/>
      <c r="O1870" s="314"/>
      <c r="P1870" s="314"/>
      <c r="Q1870" s="314"/>
      <c r="R1870" s="314"/>
      <c r="S1870" s="314"/>
      <c r="T1870" s="314"/>
      <c r="U1870" s="314"/>
      <c r="V1870" s="314"/>
      <c r="W1870" s="314"/>
      <c r="X1870" s="314"/>
      <c r="Y1870" s="314"/>
      <c r="Z1870" s="314"/>
    </row>
    <row r="1871" spans="5:26" x14ac:dyDescent="0.35">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row>
    <row r="1872" spans="5:26" x14ac:dyDescent="0.35">
      <c r="E1872" s="314"/>
      <c r="F1872" s="314"/>
      <c r="G1872" s="314"/>
      <c r="H1872" s="314"/>
      <c r="I1872" s="314"/>
      <c r="J1872" s="314"/>
      <c r="K1872" s="314"/>
      <c r="L1872" s="314"/>
      <c r="M1872" s="314"/>
      <c r="N1872" s="314"/>
      <c r="O1872" s="314"/>
      <c r="P1872" s="314"/>
      <c r="Q1872" s="314"/>
      <c r="R1872" s="314"/>
      <c r="S1872" s="314"/>
      <c r="T1872" s="314"/>
      <c r="U1872" s="314"/>
      <c r="V1872" s="314"/>
      <c r="W1872" s="314"/>
      <c r="X1872" s="314"/>
      <c r="Y1872" s="314"/>
      <c r="Z1872" s="314"/>
    </row>
    <row r="1873" spans="5:26" x14ac:dyDescent="0.35">
      <c r="E1873" s="314"/>
      <c r="F1873" s="314"/>
      <c r="G1873" s="314"/>
      <c r="H1873" s="314"/>
      <c r="I1873" s="314"/>
      <c r="J1873" s="314"/>
      <c r="K1873" s="314"/>
      <c r="L1873" s="314"/>
      <c r="M1873" s="314"/>
      <c r="N1873" s="314"/>
      <c r="O1873" s="314"/>
      <c r="P1873" s="314"/>
      <c r="Q1873" s="314"/>
      <c r="R1873" s="314"/>
      <c r="S1873" s="314"/>
      <c r="T1873" s="314"/>
      <c r="U1873" s="314"/>
      <c r="V1873" s="314"/>
      <c r="W1873" s="314"/>
      <c r="X1873" s="314"/>
      <c r="Y1873" s="314"/>
      <c r="Z1873" s="314"/>
    </row>
    <row r="1874" spans="5:26" x14ac:dyDescent="0.35">
      <c r="E1874" s="314"/>
      <c r="F1874" s="314"/>
      <c r="G1874" s="314"/>
      <c r="H1874" s="314"/>
      <c r="I1874" s="314"/>
      <c r="J1874" s="314"/>
      <c r="K1874" s="314"/>
      <c r="L1874" s="314"/>
      <c r="M1874" s="314"/>
      <c r="N1874" s="314"/>
      <c r="O1874" s="314"/>
      <c r="P1874" s="314"/>
      <c r="Q1874" s="314"/>
      <c r="R1874" s="314"/>
      <c r="S1874" s="314"/>
      <c r="T1874" s="314"/>
      <c r="U1874" s="314"/>
      <c r="V1874" s="314"/>
      <c r="W1874" s="314"/>
      <c r="X1874" s="314"/>
      <c r="Y1874" s="314"/>
      <c r="Z1874" s="314"/>
    </row>
    <row r="1875" spans="5:26" x14ac:dyDescent="0.35">
      <c r="E1875" s="314"/>
      <c r="F1875" s="314"/>
      <c r="G1875" s="314"/>
      <c r="H1875" s="314"/>
      <c r="I1875" s="314"/>
      <c r="J1875" s="314"/>
      <c r="K1875" s="314"/>
      <c r="L1875" s="314"/>
      <c r="M1875" s="314"/>
      <c r="N1875" s="314"/>
      <c r="O1875" s="314"/>
      <c r="P1875" s="314"/>
      <c r="Q1875" s="314"/>
      <c r="R1875" s="314"/>
      <c r="S1875" s="314"/>
      <c r="T1875" s="314"/>
      <c r="U1875" s="314"/>
      <c r="V1875" s="314"/>
      <c r="W1875" s="314"/>
      <c r="X1875" s="314"/>
      <c r="Y1875" s="314"/>
      <c r="Z1875" s="314"/>
    </row>
    <row r="1876" spans="5:26" x14ac:dyDescent="0.35">
      <c r="E1876" s="314"/>
      <c r="F1876" s="314"/>
      <c r="G1876" s="314"/>
      <c r="H1876" s="314"/>
      <c r="I1876" s="314"/>
      <c r="J1876" s="314"/>
      <c r="K1876" s="314"/>
      <c r="L1876" s="314"/>
      <c r="M1876" s="314"/>
      <c r="N1876" s="314"/>
      <c r="O1876" s="314"/>
      <c r="P1876" s="314"/>
      <c r="Q1876" s="314"/>
      <c r="R1876" s="314"/>
      <c r="S1876" s="314"/>
      <c r="T1876" s="314"/>
      <c r="U1876" s="314"/>
      <c r="V1876" s="314"/>
      <c r="W1876" s="314"/>
      <c r="X1876" s="314"/>
      <c r="Y1876" s="314"/>
      <c r="Z1876" s="314"/>
    </row>
    <row r="1877" spans="5:26" x14ac:dyDescent="0.35">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row>
    <row r="1878" spans="5:26" x14ac:dyDescent="0.35">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row>
    <row r="1879" spans="5:26" x14ac:dyDescent="0.35">
      <c r="E1879" s="314"/>
      <c r="F1879" s="314"/>
      <c r="G1879" s="314"/>
      <c r="H1879" s="314"/>
      <c r="I1879" s="314"/>
      <c r="J1879" s="314"/>
      <c r="K1879" s="314"/>
      <c r="L1879" s="314"/>
      <c r="M1879" s="314"/>
      <c r="N1879" s="314"/>
      <c r="O1879" s="314"/>
      <c r="P1879" s="314"/>
      <c r="Q1879" s="314"/>
      <c r="R1879" s="314"/>
      <c r="S1879" s="314"/>
      <c r="T1879" s="314"/>
      <c r="U1879" s="314"/>
      <c r="V1879" s="314"/>
      <c r="W1879" s="314"/>
      <c r="X1879" s="314"/>
      <c r="Y1879" s="314"/>
      <c r="Z1879" s="314"/>
    </row>
    <row r="1880" spans="5:26" x14ac:dyDescent="0.35">
      <c r="E1880" s="314"/>
      <c r="F1880" s="314"/>
      <c r="G1880" s="314"/>
      <c r="H1880" s="314"/>
      <c r="I1880" s="314"/>
      <c r="J1880" s="314"/>
      <c r="K1880" s="314"/>
      <c r="L1880" s="314"/>
      <c r="M1880" s="314"/>
      <c r="N1880" s="314"/>
      <c r="O1880" s="314"/>
      <c r="P1880" s="314"/>
      <c r="Q1880" s="314"/>
      <c r="R1880" s="314"/>
      <c r="S1880" s="314"/>
      <c r="T1880" s="314"/>
      <c r="U1880" s="314"/>
      <c r="V1880" s="314"/>
      <c r="W1880" s="314"/>
      <c r="X1880" s="314"/>
      <c r="Y1880" s="314"/>
      <c r="Z1880" s="314"/>
    </row>
    <row r="1881" spans="5:26" x14ac:dyDescent="0.35">
      <c r="E1881" s="314"/>
      <c r="F1881" s="314"/>
      <c r="G1881" s="314"/>
      <c r="H1881" s="314"/>
      <c r="I1881" s="314"/>
      <c r="J1881" s="314"/>
      <c r="K1881" s="314"/>
      <c r="L1881" s="314"/>
      <c r="M1881" s="314"/>
      <c r="N1881" s="314"/>
      <c r="O1881" s="314"/>
      <c r="P1881" s="314"/>
      <c r="Q1881" s="314"/>
      <c r="R1881" s="314"/>
      <c r="S1881" s="314"/>
      <c r="T1881" s="314"/>
      <c r="U1881" s="314"/>
      <c r="V1881" s="314"/>
      <c r="W1881" s="314"/>
      <c r="X1881" s="314"/>
      <c r="Y1881" s="314"/>
      <c r="Z1881" s="314"/>
    </row>
    <row r="1882" spans="5:26" x14ac:dyDescent="0.35">
      <c r="E1882" s="314"/>
      <c r="F1882" s="314"/>
      <c r="G1882" s="314"/>
      <c r="H1882" s="314"/>
      <c r="I1882" s="314"/>
      <c r="J1882" s="314"/>
      <c r="K1882" s="314"/>
      <c r="L1882" s="314"/>
      <c r="M1882" s="314"/>
      <c r="N1882" s="314"/>
      <c r="O1882" s="314"/>
      <c r="P1882" s="314"/>
      <c r="Q1882" s="314"/>
      <c r="R1882" s="314"/>
      <c r="S1882" s="314"/>
      <c r="T1882" s="314"/>
      <c r="U1882" s="314"/>
      <c r="V1882" s="314"/>
      <c r="W1882" s="314"/>
      <c r="X1882" s="314"/>
      <c r="Y1882" s="314"/>
      <c r="Z1882" s="314"/>
    </row>
    <row r="1883" spans="5:26" x14ac:dyDescent="0.35">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row>
    <row r="1884" spans="5:26" x14ac:dyDescent="0.35">
      <c r="E1884" s="314"/>
      <c r="F1884" s="314"/>
      <c r="G1884" s="314"/>
      <c r="H1884" s="314"/>
      <c r="I1884" s="314"/>
      <c r="J1884" s="314"/>
      <c r="K1884" s="314"/>
      <c r="L1884" s="314"/>
      <c r="M1884" s="314"/>
      <c r="N1884" s="314"/>
      <c r="O1884" s="314"/>
      <c r="P1884" s="314"/>
      <c r="Q1884" s="314"/>
      <c r="R1884" s="314"/>
      <c r="S1884" s="314"/>
      <c r="T1884" s="314"/>
      <c r="U1884" s="314"/>
      <c r="V1884" s="314"/>
      <c r="W1884" s="314"/>
      <c r="X1884" s="314"/>
      <c r="Y1884" s="314"/>
      <c r="Z1884" s="314"/>
    </row>
    <row r="1885" spans="5:26" x14ac:dyDescent="0.35">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row>
    <row r="1886" spans="5:26" x14ac:dyDescent="0.35">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row>
    <row r="1887" spans="5:26" x14ac:dyDescent="0.35">
      <c r="E1887" s="314"/>
      <c r="F1887" s="314"/>
      <c r="G1887" s="314"/>
      <c r="H1887" s="314"/>
      <c r="I1887" s="314"/>
      <c r="J1887" s="314"/>
      <c r="K1887" s="314"/>
      <c r="L1887" s="314"/>
      <c r="M1887" s="314"/>
      <c r="N1887" s="314"/>
      <c r="O1887" s="314"/>
      <c r="P1887" s="314"/>
      <c r="Q1887" s="314"/>
      <c r="R1887" s="314"/>
      <c r="S1887" s="314"/>
      <c r="T1887" s="314"/>
      <c r="U1887" s="314"/>
      <c r="V1887" s="314"/>
      <c r="W1887" s="314"/>
      <c r="X1887" s="314"/>
      <c r="Y1887" s="314"/>
      <c r="Z1887" s="314"/>
    </row>
    <row r="1888" spans="5:26" x14ac:dyDescent="0.35">
      <c r="E1888" s="314"/>
      <c r="F1888" s="314"/>
      <c r="G1888" s="314"/>
      <c r="H1888" s="314"/>
      <c r="I1888" s="314"/>
      <c r="J1888" s="314"/>
      <c r="K1888" s="314"/>
      <c r="L1888" s="314"/>
      <c r="M1888" s="314"/>
      <c r="N1888" s="314"/>
      <c r="O1888" s="314"/>
      <c r="P1888" s="314"/>
      <c r="Q1888" s="314"/>
      <c r="R1888" s="314"/>
      <c r="S1888" s="314"/>
      <c r="T1888" s="314"/>
      <c r="U1888" s="314"/>
      <c r="V1888" s="314"/>
      <c r="W1888" s="314"/>
      <c r="X1888" s="314"/>
      <c r="Y1888" s="314"/>
      <c r="Z1888" s="314"/>
    </row>
    <row r="1889" spans="5:26" x14ac:dyDescent="0.35">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row>
    <row r="1890" spans="5:26" x14ac:dyDescent="0.35">
      <c r="E1890" s="314"/>
      <c r="F1890" s="314"/>
      <c r="G1890" s="314"/>
      <c r="H1890" s="314"/>
      <c r="I1890" s="314"/>
      <c r="J1890" s="314"/>
      <c r="K1890" s="314"/>
      <c r="L1890" s="314"/>
      <c r="M1890" s="314"/>
      <c r="N1890" s="314"/>
      <c r="O1890" s="314"/>
      <c r="P1890" s="314"/>
      <c r="Q1890" s="314"/>
      <c r="R1890" s="314"/>
      <c r="S1890" s="314"/>
      <c r="T1890" s="314"/>
      <c r="U1890" s="314"/>
      <c r="V1890" s="314"/>
      <c r="W1890" s="314"/>
      <c r="X1890" s="314"/>
      <c r="Y1890" s="314"/>
      <c r="Z1890" s="314"/>
    </row>
    <row r="1891" spans="5:26" x14ac:dyDescent="0.35">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row>
    <row r="1892" spans="5:26" x14ac:dyDescent="0.35">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row>
    <row r="1893" spans="5:26" x14ac:dyDescent="0.35">
      <c r="E1893" s="314"/>
      <c r="F1893" s="314"/>
      <c r="G1893" s="314"/>
      <c r="H1893" s="314"/>
      <c r="I1893" s="314"/>
      <c r="J1893" s="314"/>
      <c r="K1893" s="314"/>
      <c r="L1893" s="314"/>
      <c r="M1893" s="314"/>
      <c r="N1893" s="314"/>
      <c r="O1893" s="314"/>
      <c r="P1893" s="314"/>
      <c r="Q1893" s="314"/>
      <c r="R1893" s="314"/>
      <c r="S1893" s="314"/>
      <c r="T1893" s="314"/>
      <c r="U1893" s="314"/>
      <c r="V1893" s="314"/>
      <c r="W1893" s="314"/>
      <c r="X1893" s="314"/>
      <c r="Y1893" s="314"/>
      <c r="Z1893" s="314"/>
    </row>
    <row r="1894" spans="5:26" x14ac:dyDescent="0.35">
      <c r="E1894" s="314"/>
      <c r="F1894" s="314"/>
      <c r="G1894" s="314"/>
      <c r="H1894" s="314"/>
      <c r="I1894" s="314"/>
      <c r="J1894" s="314"/>
      <c r="K1894" s="314"/>
      <c r="L1894" s="314"/>
      <c r="M1894" s="314"/>
      <c r="N1894" s="314"/>
      <c r="O1894" s="314"/>
      <c r="P1894" s="314"/>
      <c r="Q1894" s="314"/>
      <c r="R1894" s="314"/>
      <c r="S1894" s="314"/>
      <c r="T1894" s="314"/>
      <c r="U1894" s="314"/>
      <c r="V1894" s="314"/>
      <c r="W1894" s="314"/>
      <c r="X1894" s="314"/>
      <c r="Y1894" s="314"/>
      <c r="Z1894" s="314"/>
    </row>
    <row r="1895" spans="5:26" x14ac:dyDescent="0.35">
      <c r="E1895" s="314"/>
      <c r="F1895" s="314"/>
      <c r="G1895" s="314"/>
      <c r="H1895" s="314"/>
      <c r="I1895" s="314"/>
      <c r="J1895" s="314"/>
      <c r="K1895" s="314"/>
      <c r="L1895" s="314"/>
      <c r="M1895" s="314"/>
      <c r="N1895" s="314"/>
      <c r="O1895" s="314"/>
      <c r="P1895" s="314"/>
      <c r="Q1895" s="314"/>
      <c r="R1895" s="314"/>
      <c r="S1895" s="314"/>
      <c r="T1895" s="314"/>
      <c r="U1895" s="314"/>
      <c r="V1895" s="314"/>
      <c r="W1895" s="314"/>
      <c r="X1895" s="314"/>
      <c r="Y1895" s="314"/>
      <c r="Z1895" s="314"/>
    </row>
    <row r="1896" spans="5:26" x14ac:dyDescent="0.35">
      <c r="E1896" s="314"/>
      <c r="F1896" s="314"/>
      <c r="G1896" s="314"/>
      <c r="H1896" s="314"/>
      <c r="I1896" s="314"/>
      <c r="J1896" s="314"/>
      <c r="K1896" s="314"/>
      <c r="L1896" s="314"/>
      <c r="M1896" s="314"/>
      <c r="N1896" s="314"/>
      <c r="O1896" s="314"/>
      <c r="P1896" s="314"/>
      <c r="Q1896" s="314"/>
      <c r="R1896" s="314"/>
      <c r="S1896" s="314"/>
      <c r="T1896" s="314"/>
      <c r="U1896" s="314"/>
      <c r="V1896" s="314"/>
      <c r="W1896" s="314"/>
      <c r="X1896" s="314"/>
      <c r="Y1896" s="314"/>
      <c r="Z1896" s="314"/>
    </row>
    <row r="1897" spans="5:26" x14ac:dyDescent="0.35">
      <c r="E1897" s="314"/>
      <c r="F1897" s="314"/>
      <c r="G1897" s="314"/>
      <c r="H1897" s="314"/>
      <c r="I1897" s="314"/>
      <c r="J1897" s="314"/>
      <c r="K1897" s="314"/>
      <c r="L1897" s="314"/>
      <c r="M1897" s="314"/>
      <c r="N1897" s="314"/>
      <c r="O1897" s="314"/>
      <c r="P1897" s="314"/>
      <c r="Q1897" s="314"/>
      <c r="R1897" s="314"/>
      <c r="S1897" s="314"/>
      <c r="T1897" s="314"/>
      <c r="U1897" s="314"/>
      <c r="V1897" s="314"/>
      <c r="W1897" s="314"/>
      <c r="X1897" s="314"/>
      <c r="Y1897" s="314"/>
      <c r="Z1897" s="314"/>
    </row>
    <row r="1898" spans="5:26" x14ac:dyDescent="0.35">
      <c r="E1898" s="314"/>
      <c r="F1898" s="314"/>
      <c r="G1898" s="314"/>
      <c r="H1898" s="314"/>
      <c r="I1898" s="314"/>
      <c r="J1898" s="314"/>
      <c r="K1898" s="314"/>
      <c r="L1898" s="314"/>
      <c r="M1898" s="314"/>
      <c r="N1898" s="314"/>
      <c r="O1898" s="314"/>
      <c r="P1898" s="314"/>
      <c r="Q1898" s="314"/>
      <c r="R1898" s="314"/>
      <c r="S1898" s="314"/>
      <c r="T1898" s="314"/>
      <c r="U1898" s="314"/>
      <c r="V1898" s="314"/>
      <c r="W1898" s="314"/>
      <c r="X1898" s="314"/>
      <c r="Y1898" s="314"/>
      <c r="Z1898" s="314"/>
    </row>
    <row r="1899" spans="5:26" x14ac:dyDescent="0.35">
      <c r="E1899" s="314"/>
      <c r="F1899" s="314"/>
      <c r="G1899" s="314"/>
      <c r="H1899" s="314"/>
      <c r="I1899" s="314"/>
      <c r="J1899" s="314"/>
      <c r="K1899" s="314"/>
      <c r="L1899" s="314"/>
      <c r="M1899" s="314"/>
      <c r="N1899" s="314"/>
      <c r="O1899" s="314"/>
      <c r="P1899" s="314"/>
      <c r="Q1899" s="314"/>
      <c r="R1899" s="314"/>
      <c r="S1899" s="314"/>
      <c r="T1899" s="314"/>
      <c r="U1899" s="314"/>
      <c r="V1899" s="314"/>
      <c r="W1899" s="314"/>
      <c r="X1899" s="314"/>
      <c r="Y1899" s="314"/>
      <c r="Z1899" s="314"/>
    </row>
    <row r="1900" spans="5:26" x14ac:dyDescent="0.35">
      <c r="E1900" s="314"/>
      <c r="F1900" s="314"/>
      <c r="G1900" s="314"/>
      <c r="H1900" s="314"/>
      <c r="I1900" s="314"/>
      <c r="J1900" s="314"/>
      <c r="K1900" s="314"/>
      <c r="L1900" s="314"/>
      <c r="M1900" s="314"/>
      <c r="N1900" s="314"/>
      <c r="O1900" s="314"/>
      <c r="P1900" s="314"/>
      <c r="Q1900" s="314"/>
      <c r="R1900" s="314"/>
      <c r="S1900" s="314"/>
      <c r="T1900" s="314"/>
      <c r="U1900" s="314"/>
      <c r="V1900" s="314"/>
      <c r="W1900" s="314"/>
      <c r="X1900" s="314"/>
      <c r="Y1900" s="314"/>
      <c r="Z1900" s="314"/>
    </row>
    <row r="1901" spans="5:26" x14ac:dyDescent="0.35">
      <c r="E1901" s="314"/>
      <c r="F1901" s="314"/>
      <c r="G1901" s="314"/>
      <c r="H1901" s="314"/>
      <c r="I1901" s="314"/>
      <c r="J1901" s="314"/>
      <c r="K1901" s="314"/>
      <c r="L1901" s="314"/>
      <c r="M1901" s="314"/>
      <c r="N1901" s="314"/>
      <c r="O1901" s="314"/>
      <c r="P1901" s="314"/>
      <c r="Q1901" s="314"/>
      <c r="R1901" s="314"/>
      <c r="S1901" s="314"/>
      <c r="T1901" s="314"/>
      <c r="U1901" s="314"/>
      <c r="V1901" s="314"/>
      <c r="W1901" s="314"/>
      <c r="X1901" s="314"/>
      <c r="Y1901" s="314"/>
      <c r="Z1901" s="314"/>
    </row>
    <row r="1902" spans="5:26" x14ac:dyDescent="0.35">
      <c r="E1902" s="314"/>
      <c r="F1902" s="314"/>
      <c r="G1902" s="314"/>
      <c r="H1902" s="314"/>
      <c r="I1902" s="314"/>
      <c r="J1902" s="314"/>
      <c r="K1902" s="314"/>
      <c r="L1902" s="314"/>
      <c r="M1902" s="314"/>
      <c r="N1902" s="314"/>
      <c r="O1902" s="314"/>
      <c r="P1902" s="314"/>
      <c r="Q1902" s="314"/>
      <c r="R1902" s="314"/>
      <c r="S1902" s="314"/>
      <c r="T1902" s="314"/>
      <c r="U1902" s="314"/>
      <c r="V1902" s="314"/>
      <c r="W1902" s="314"/>
      <c r="X1902" s="314"/>
      <c r="Y1902" s="314"/>
      <c r="Z1902" s="314"/>
    </row>
    <row r="1903" spans="5:26" x14ac:dyDescent="0.35">
      <c r="E1903" s="314"/>
      <c r="F1903" s="314"/>
      <c r="G1903" s="314"/>
      <c r="H1903" s="314"/>
      <c r="I1903" s="314"/>
      <c r="J1903" s="314"/>
      <c r="K1903" s="314"/>
      <c r="L1903" s="314"/>
      <c r="M1903" s="314"/>
      <c r="N1903" s="314"/>
      <c r="O1903" s="314"/>
      <c r="P1903" s="314"/>
      <c r="Q1903" s="314"/>
      <c r="R1903" s="314"/>
      <c r="S1903" s="314"/>
      <c r="T1903" s="314"/>
      <c r="U1903" s="314"/>
      <c r="V1903" s="314"/>
      <c r="W1903" s="314"/>
      <c r="X1903" s="314"/>
      <c r="Y1903" s="314"/>
      <c r="Z1903" s="314"/>
    </row>
    <row r="1904" spans="5:26" x14ac:dyDescent="0.35">
      <c r="E1904" s="314"/>
      <c r="F1904" s="314"/>
      <c r="G1904" s="314"/>
      <c r="H1904" s="314"/>
      <c r="I1904" s="314"/>
      <c r="J1904" s="314"/>
      <c r="K1904" s="314"/>
      <c r="L1904" s="314"/>
      <c r="M1904" s="314"/>
      <c r="N1904" s="314"/>
      <c r="O1904" s="314"/>
      <c r="P1904" s="314"/>
      <c r="Q1904" s="314"/>
      <c r="R1904" s="314"/>
      <c r="S1904" s="314"/>
      <c r="T1904" s="314"/>
      <c r="U1904" s="314"/>
      <c r="V1904" s="314"/>
      <c r="W1904" s="314"/>
      <c r="X1904" s="314"/>
      <c r="Y1904" s="314"/>
      <c r="Z1904" s="314"/>
    </row>
    <row r="1905" spans="5:26" x14ac:dyDescent="0.35">
      <c r="E1905" s="314"/>
      <c r="F1905" s="314"/>
      <c r="G1905" s="314"/>
      <c r="H1905" s="314"/>
      <c r="I1905" s="314"/>
      <c r="J1905" s="314"/>
      <c r="K1905" s="314"/>
      <c r="L1905" s="314"/>
      <c r="M1905" s="314"/>
      <c r="N1905" s="314"/>
      <c r="O1905" s="314"/>
      <c r="P1905" s="314"/>
      <c r="Q1905" s="314"/>
      <c r="R1905" s="314"/>
      <c r="S1905" s="314"/>
      <c r="T1905" s="314"/>
      <c r="U1905" s="314"/>
      <c r="V1905" s="314"/>
      <c r="W1905" s="314"/>
      <c r="X1905" s="314"/>
      <c r="Y1905" s="314"/>
      <c r="Z1905" s="314"/>
    </row>
    <row r="1906" spans="5:26" x14ac:dyDescent="0.35">
      <c r="E1906" s="314"/>
      <c r="F1906" s="314"/>
      <c r="G1906" s="314"/>
      <c r="H1906" s="314"/>
      <c r="I1906" s="314"/>
      <c r="J1906" s="314"/>
      <c r="K1906" s="314"/>
      <c r="L1906" s="314"/>
      <c r="M1906" s="314"/>
      <c r="N1906" s="314"/>
      <c r="O1906" s="314"/>
      <c r="P1906" s="314"/>
      <c r="Q1906" s="314"/>
      <c r="R1906" s="314"/>
      <c r="S1906" s="314"/>
      <c r="T1906" s="314"/>
      <c r="U1906" s="314"/>
      <c r="V1906" s="314"/>
      <c r="W1906" s="314"/>
      <c r="X1906" s="314"/>
      <c r="Y1906" s="314"/>
      <c r="Z1906" s="314"/>
    </row>
    <row r="1907" spans="5:26" x14ac:dyDescent="0.35">
      <c r="E1907" s="314"/>
      <c r="F1907" s="314"/>
      <c r="G1907" s="314"/>
      <c r="H1907" s="314"/>
      <c r="I1907" s="314"/>
      <c r="J1907" s="314"/>
      <c r="K1907" s="314"/>
      <c r="L1907" s="314"/>
      <c r="M1907" s="314"/>
      <c r="N1907" s="314"/>
      <c r="O1907" s="314"/>
      <c r="P1907" s="314"/>
      <c r="Q1907" s="314"/>
      <c r="R1907" s="314"/>
      <c r="S1907" s="314"/>
      <c r="T1907" s="314"/>
      <c r="U1907" s="314"/>
      <c r="V1907" s="314"/>
      <c r="W1907" s="314"/>
      <c r="X1907" s="314"/>
      <c r="Y1907" s="314"/>
      <c r="Z1907" s="314"/>
    </row>
    <row r="1908" spans="5:26" x14ac:dyDescent="0.35">
      <c r="E1908" s="314"/>
      <c r="F1908" s="314"/>
      <c r="G1908" s="314"/>
      <c r="H1908" s="314"/>
      <c r="I1908" s="314"/>
      <c r="J1908" s="314"/>
      <c r="K1908" s="314"/>
      <c r="L1908" s="314"/>
      <c r="M1908" s="314"/>
      <c r="N1908" s="314"/>
      <c r="O1908" s="314"/>
      <c r="P1908" s="314"/>
      <c r="Q1908" s="314"/>
      <c r="R1908" s="314"/>
      <c r="S1908" s="314"/>
      <c r="T1908" s="314"/>
      <c r="U1908" s="314"/>
      <c r="V1908" s="314"/>
      <c r="W1908" s="314"/>
      <c r="X1908" s="314"/>
      <c r="Y1908" s="314"/>
      <c r="Z1908" s="314"/>
    </row>
    <row r="1909" spans="5:26" x14ac:dyDescent="0.35">
      <c r="E1909" s="314"/>
      <c r="F1909" s="314"/>
      <c r="G1909" s="314"/>
      <c r="H1909" s="314"/>
      <c r="I1909" s="314"/>
      <c r="J1909" s="314"/>
      <c r="K1909" s="314"/>
      <c r="L1909" s="314"/>
      <c r="M1909" s="314"/>
      <c r="N1909" s="314"/>
      <c r="O1909" s="314"/>
      <c r="P1909" s="314"/>
      <c r="Q1909" s="314"/>
      <c r="R1909" s="314"/>
      <c r="S1909" s="314"/>
      <c r="T1909" s="314"/>
      <c r="U1909" s="314"/>
      <c r="V1909" s="314"/>
      <c r="W1909" s="314"/>
      <c r="X1909" s="314"/>
      <c r="Y1909" s="314"/>
      <c r="Z1909" s="314"/>
    </row>
    <row r="1910" spans="5:26" x14ac:dyDescent="0.35">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row>
    <row r="1911" spans="5:26" x14ac:dyDescent="0.35">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row>
    <row r="1912" spans="5:26" x14ac:dyDescent="0.35">
      <c r="E1912" s="314"/>
      <c r="F1912" s="314"/>
      <c r="G1912" s="314"/>
      <c r="H1912" s="314"/>
      <c r="I1912" s="314"/>
      <c r="J1912" s="314"/>
      <c r="K1912" s="314"/>
      <c r="L1912" s="314"/>
      <c r="M1912" s="314"/>
      <c r="N1912" s="314"/>
      <c r="O1912" s="314"/>
      <c r="P1912" s="314"/>
      <c r="Q1912" s="314"/>
      <c r="R1912" s="314"/>
      <c r="S1912" s="314"/>
      <c r="T1912" s="314"/>
      <c r="U1912" s="314"/>
      <c r="V1912" s="314"/>
      <c r="W1912" s="314"/>
      <c r="X1912" s="314"/>
      <c r="Y1912" s="314"/>
      <c r="Z1912" s="314"/>
    </row>
    <row r="1913" spans="5:26" x14ac:dyDescent="0.35">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row>
    <row r="1914" spans="5:26" x14ac:dyDescent="0.35">
      <c r="E1914" s="314"/>
      <c r="F1914" s="314"/>
      <c r="G1914" s="314"/>
      <c r="H1914" s="314"/>
      <c r="I1914" s="314"/>
      <c r="J1914" s="314"/>
      <c r="K1914" s="314"/>
      <c r="L1914" s="314"/>
      <c r="M1914" s="314"/>
      <c r="N1914" s="314"/>
      <c r="O1914" s="314"/>
      <c r="P1914" s="314"/>
      <c r="Q1914" s="314"/>
      <c r="R1914" s="314"/>
      <c r="S1914" s="314"/>
      <c r="T1914" s="314"/>
      <c r="U1914" s="314"/>
      <c r="V1914" s="314"/>
      <c r="W1914" s="314"/>
      <c r="X1914" s="314"/>
      <c r="Y1914" s="314"/>
      <c r="Z1914" s="314"/>
    </row>
    <row r="1915" spans="5:26" x14ac:dyDescent="0.35">
      <c r="E1915" s="314"/>
      <c r="F1915" s="314"/>
      <c r="G1915" s="314"/>
      <c r="H1915" s="314"/>
      <c r="I1915" s="314"/>
      <c r="J1915" s="314"/>
      <c r="K1915" s="314"/>
      <c r="L1915" s="314"/>
      <c r="M1915" s="314"/>
      <c r="N1915" s="314"/>
      <c r="O1915" s="314"/>
      <c r="P1915" s="314"/>
      <c r="Q1915" s="314"/>
      <c r="R1915" s="314"/>
      <c r="S1915" s="314"/>
      <c r="T1915" s="314"/>
      <c r="U1915" s="314"/>
      <c r="V1915" s="314"/>
      <c r="W1915" s="314"/>
      <c r="X1915" s="314"/>
      <c r="Y1915" s="314"/>
      <c r="Z1915" s="314"/>
    </row>
    <row r="1916" spans="5:26" x14ac:dyDescent="0.35">
      <c r="E1916" s="314"/>
      <c r="F1916" s="314"/>
      <c r="G1916" s="314"/>
      <c r="H1916" s="314"/>
      <c r="I1916" s="314"/>
      <c r="J1916" s="314"/>
      <c r="K1916" s="314"/>
      <c r="L1916" s="314"/>
      <c r="M1916" s="314"/>
      <c r="N1916" s="314"/>
      <c r="O1916" s="314"/>
      <c r="P1916" s="314"/>
      <c r="Q1916" s="314"/>
      <c r="R1916" s="314"/>
      <c r="S1916" s="314"/>
      <c r="T1916" s="314"/>
      <c r="U1916" s="314"/>
      <c r="V1916" s="314"/>
      <c r="W1916" s="314"/>
      <c r="X1916" s="314"/>
      <c r="Y1916" s="314"/>
      <c r="Z1916" s="314"/>
    </row>
    <row r="1917" spans="5:26" x14ac:dyDescent="0.35">
      <c r="E1917" s="314"/>
      <c r="F1917" s="314"/>
      <c r="G1917" s="314"/>
      <c r="H1917" s="314"/>
      <c r="I1917" s="314"/>
      <c r="J1917" s="314"/>
      <c r="K1917" s="314"/>
      <c r="L1917" s="314"/>
      <c r="M1917" s="314"/>
      <c r="N1917" s="314"/>
      <c r="O1917" s="314"/>
      <c r="P1917" s="314"/>
      <c r="Q1917" s="314"/>
      <c r="R1917" s="314"/>
      <c r="S1917" s="314"/>
      <c r="T1917" s="314"/>
      <c r="U1917" s="314"/>
      <c r="V1917" s="314"/>
      <c r="W1917" s="314"/>
      <c r="X1917" s="314"/>
      <c r="Y1917" s="314"/>
      <c r="Z1917" s="314"/>
    </row>
    <row r="1918" spans="5:26" x14ac:dyDescent="0.35">
      <c r="E1918" s="314"/>
      <c r="F1918" s="314"/>
      <c r="G1918" s="314"/>
      <c r="H1918" s="314"/>
      <c r="I1918" s="314"/>
      <c r="J1918" s="314"/>
      <c r="K1918" s="314"/>
      <c r="L1918" s="314"/>
      <c r="M1918" s="314"/>
      <c r="N1918" s="314"/>
      <c r="O1918" s="314"/>
      <c r="P1918" s="314"/>
      <c r="Q1918" s="314"/>
      <c r="R1918" s="314"/>
      <c r="S1918" s="314"/>
      <c r="T1918" s="314"/>
      <c r="U1918" s="314"/>
      <c r="V1918" s="314"/>
      <c r="W1918" s="314"/>
      <c r="X1918" s="314"/>
      <c r="Y1918" s="314"/>
      <c r="Z1918" s="314"/>
    </row>
    <row r="1919" spans="5:26" x14ac:dyDescent="0.35">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row>
    <row r="1920" spans="5:26" x14ac:dyDescent="0.35">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row>
    <row r="1921" spans="5:26" x14ac:dyDescent="0.35">
      <c r="E1921" s="314"/>
      <c r="F1921" s="314"/>
      <c r="G1921" s="314"/>
      <c r="H1921" s="314"/>
      <c r="I1921" s="314"/>
      <c r="J1921" s="314"/>
      <c r="K1921" s="314"/>
      <c r="L1921" s="314"/>
      <c r="M1921" s="314"/>
      <c r="N1921" s="314"/>
      <c r="O1921" s="314"/>
      <c r="P1921" s="314"/>
      <c r="Q1921" s="314"/>
      <c r="R1921" s="314"/>
      <c r="S1921" s="314"/>
      <c r="T1921" s="314"/>
      <c r="U1921" s="314"/>
      <c r="V1921" s="314"/>
      <c r="W1921" s="314"/>
      <c r="X1921" s="314"/>
      <c r="Y1921" s="314"/>
      <c r="Z1921" s="314"/>
    </row>
    <row r="1922" spans="5:26" x14ac:dyDescent="0.35">
      <c r="E1922" s="314"/>
      <c r="F1922" s="314"/>
      <c r="G1922" s="314"/>
      <c r="H1922" s="314"/>
      <c r="I1922" s="314"/>
      <c r="J1922" s="314"/>
      <c r="K1922" s="314"/>
      <c r="L1922" s="314"/>
      <c r="M1922" s="314"/>
      <c r="N1922" s="314"/>
      <c r="O1922" s="314"/>
      <c r="P1922" s="314"/>
      <c r="Q1922" s="314"/>
      <c r="R1922" s="314"/>
      <c r="S1922" s="314"/>
      <c r="T1922" s="314"/>
      <c r="U1922" s="314"/>
      <c r="V1922" s="314"/>
      <c r="W1922" s="314"/>
      <c r="X1922" s="314"/>
      <c r="Y1922" s="314"/>
      <c r="Z1922" s="314"/>
    </row>
    <row r="1923" spans="5:26" x14ac:dyDescent="0.35">
      <c r="E1923" s="314"/>
      <c r="F1923" s="314"/>
      <c r="G1923" s="314"/>
      <c r="H1923" s="314"/>
      <c r="I1923" s="314"/>
      <c r="J1923" s="314"/>
      <c r="K1923" s="314"/>
      <c r="L1923" s="314"/>
      <c r="M1923" s="314"/>
      <c r="N1923" s="314"/>
      <c r="O1923" s="314"/>
      <c r="P1923" s="314"/>
      <c r="Q1923" s="314"/>
      <c r="R1923" s="314"/>
      <c r="S1923" s="314"/>
      <c r="T1923" s="314"/>
      <c r="U1923" s="314"/>
      <c r="V1923" s="314"/>
      <c r="W1923" s="314"/>
      <c r="X1923" s="314"/>
      <c r="Y1923" s="314"/>
      <c r="Z1923" s="314"/>
    </row>
    <row r="1924" spans="5:26" x14ac:dyDescent="0.35">
      <c r="E1924" s="314"/>
      <c r="F1924" s="314"/>
      <c r="G1924" s="314"/>
      <c r="H1924" s="314"/>
      <c r="I1924" s="314"/>
      <c r="J1924" s="314"/>
      <c r="K1924" s="314"/>
      <c r="L1924" s="314"/>
      <c r="M1924" s="314"/>
      <c r="N1924" s="314"/>
      <c r="O1924" s="314"/>
      <c r="P1924" s="314"/>
      <c r="Q1924" s="314"/>
      <c r="R1924" s="314"/>
      <c r="S1924" s="314"/>
      <c r="T1924" s="314"/>
      <c r="U1924" s="314"/>
      <c r="V1924" s="314"/>
      <c r="W1924" s="314"/>
      <c r="X1924" s="314"/>
      <c r="Y1924" s="314"/>
      <c r="Z1924" s="314"/>
    </row>
    <row r="1925" spans="5:26" x14ac:dyDescent="0.35">
      <c r="E1925" s="314"/>
      <c r="F1925" s="314"/>
      <c r="G1925" s="314"/>
      <c r="H1925" s="314"/>
      <c r="I1925" s="314"/>
      <c r="J1925" s="314"/>
      <c r="K1925" s="314"/>
      <c r="L1925" s="314"/>
      <c r="M1925" s="314"/>
      <c r="N1925" s="314"/>
      <c r="O1925" s="314"/>
      <c r="P1925" s="314"/>
      <c r="Q1925" s="314"/>
      <c r="R1925" s="314"/>
      <c r="S1925" s="314"/>
      <c r="T1925" s="314"/>
      <c r="U1925" s="314"/>
      <c r="V1925" s="314"/>
      <c r="W1925" s="314"/>
      <c r="X1925" s="314"/>
      <c r="Y1925" s="314"/>
      <c r="Z1925" s="314"/>
    </row>
    <row r="1926" spans="5:26" x14ac:dyDescent="0.35">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row>
    <row r="1927" spans="5:26" x14ac:dyDescent="0.35">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row>
    <row r="1928" spans="5:26" x14ac:dyDescent="0.35">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row>
    <row r="1929" spans="5:26" x14ac:dyDescent="0.35">
      <c r="E1929" s="314"/>
      <c r="F1929" s="314"/>
      <c r="G1929" s="314"/>
      <c r="H1929" s="314"/>
      <c r="I1929" s="314"/>
      <c r="J1929" s="314"/>
      <c r="K1929" s="314"/>
      <c r="L1929" s="314"/>
      <c r="M1929" s="314"/>
      <c r="N1929" s="314"/>
      <c r="O1929" s="314"/>
      <c r="P1929" s="314"/>
      <c r="Q1929" s="314"/>
      <c r="R1929" s="314"/>
      <c r="S1929" s="314"/>
      <c r="T1929" s="314"/>
      <c r="U1929" s="314"/>
      <c r="V1929" s="314"/>
      <c r="W1929" s="314"/>
      <c r="X1929" s="314"/>
      <c r="Y1929" s="314"/>
      <c r="Z1929" s="314"/>
    </row>
    <row r="1930" spans="5:26" x14ac:dyDescent="0.35">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row>
    <row r="1931" spans="5:26" x14ac:dyDescent="0.35">
      <c r="E1931" s="314"/>
      <c r="F1931" s="314"/>
      <c r="G1931" s="314"/>
      <c r="H1931" s="314"/>
      <c r="I1931" s="314"/>
      <c r="J1931" s="314"/>
      <c r="K1931" s="314"/>
      <c r="L1931" s="314"/>
      <c r="M1931" s="314"/>
      <c r="N1931" s="314"/>
      <c r="O1931" s="314"/>
      <c r="P1931" s="314"/>
      <c r="Q1931" s="314"/>
      <c r="R1931" s="314"/>
      <c r="S1931" s="314"/>
      <c r="T1931" s="314"/>
      <c r="U1931" s="314"/>
      <c r="V1931" s="314"/>
      <c r="W1931" s="314"/>
      <c r="X1931" s="314"/>
      <c r="Y1931" s="314"/>
      <c r="Z1931" s="314"/>
    </row>
    <row r="1932" spans="5:26" x14ac:dyDescent="0.35">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row>
    <row r="1933" spans="5:26" x14ac:dyDescent="0.35">
      <c r="E1933" s="314"/>
      <c r="F1933" s="314"/>
      <c r="G1933" s="314"/>
      <c r="H1933" s="314"/>
      <c r="I1933" s="314"/>
      <c r="J1933" s="314"/>
      <c r="K1933" s="314"/>
      <c r="L1933" s="314"/>
      <c r="M1933" s="314"/>
      <c r="N1933" s="314"/>
      <c r="O1933" s="314"/>
      <c r="P1933" s="314"/>
      <c r="Q1933" s="314"/>
      <c r="R1933" s="314"/>
      <c r="S1933" s="314"/>
      <c r="T1933" s="314"/>
      <c r="U1933" s="314"/>
      <c r="V1933" s="314"/>
      <c r="W1933" s="314"/>
      <c r="X1933" s="314"/>
      <c r="Y1933" s="314"/>
      <c r="Z1933" s="314"/>
    </row>
    <row r="1934" spans="5:26" x14ac:dyDescent="0.35">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row>
    <row r="1935" spans="5:26" x14ac:dyDescent="0.35">
      <c r="E1935" s="314"/>
      <c r="F1935" s="314"/>
      <c r="G1935" s="314"/>
      <c r="H1935" s="314"/>
      <c r="I1935" s="314"/>
      <c r="J1935" s="314"/>
      <c r="K1935" s="314"/>
      <c r="L1935" s="314"/>
      <c r="M1935" s="314"/>
      <c r="N1935" s="314"/>
      <c r="O1935" s="314"/>
      <c r="P1935" s="314"/>
      <c r="Q1935" s="314"/>
      <c r="R1935" s="314"/>
      <c r="S1935" s="314"/>
      <c r="T1935" s="314"/>
      <c r="U1935" s="314"/>
      <c r="V1935" s="314"/>
      <c r="W1935" s="314"/>
      <c r="X1935" s="314"/>
      <c r="Y1935" s="314"/>
      <c r="Z1935" s="314"/>
    </row>
    <row r="1936" spans="5:26" x14ac:dyDescent="0.35">
      <c r="E1936" s="314"/>
      <c r="F1936" s="314"/>
      <c r="G1936" s="314"/>
      <c r="H1936" s="314"/>
      <c r="I1936" s="314"/>
      <c r="J1936" s="314"/>
      <c r="K1936" s="314"/>
      <c r="L1936" s="314"/>
      <c r="M1936" s="314"/>
      <c r="N1936" s="314"/>
      <c r="O1936" s="314"/>
      <c r="P1936" s="314"/>
      <c r="Q1936" s="314"/>
      <c r="R1936" s="314"/>
      <c r="S1936" s="314"/>
      <c r="T1936" s="314"/>
      <c r="U1936" s="314"/>
      <c r="V1936" s="314"/>
      <c r="W1936" s="314"/>
      <c r="X1936" s="314"/>
      <c r="Y1936" s="314"/>
      <c r="Z1936" s="314"/>
    </row>
    <row r="1937" spans="5:26" x14ac:dyDescent="0.35">
      <c r="E1937" s="314"/>
      <c r="F1937" s="314"/>
      <c r="G1937" s="314"/>
      <c r="H1937" s="314"/>
      <c r="I1937" s="314"/>
      <c r="J1937" s="314"/>
      <c r="K1937" s="314"/>
      <c r="L1937" s="314"/>
      <c r="M1937" s="314"/>
      <c r="N1937" s="314"/>
      <c r="O1937" s="314"/>
      <c r="P1937" s="314"/>
      <c r="Q1937" s="314"/>
      <c r="R1937" s="314"/>
      <c r="S1937" s="314"/>
      <c r="T1937" s="314"/>
      <c r="U1937" s="314"/>
      <c r="V1937" s="314"/>
      <c r="W1937" s="314"/>
      <c r="X1937" s="314"/>
      <c r="Y1937" s="314"/>
      <c r="Z1937" s="314"/>
    </row>
    <row r="1938" spans="5:26" x14ac:dyDescent="0.35">
      <c r="E1938" s="314"/>
      <c r="F1938" s="314"/>
      <c r="G1938" s="314"/>
      <c r="H1938" s="314"/>
      <c r="I1938" s="314"/>
      <c r="J1938" s="314"/>
      <c r="K1938" s="314"/>
      <c r="L1938" s="314"/>
      <c r="M1938" s="314"/>
      <c r="N1938" s="314"/>
      <c r="O1938" s="314"/>
      <c r="P1938" s="314"/>
      <c r="Q1938" s="314"/>
      <c r="R1938" s="314"/>
      <c r="S1938" s="314"/>
      <c r="T1938" s="314"/>
      <c r="U1938" s="314"/>
      <c r="V1938" s="314"/>
      <c r="W1938" s="314"/>
      <c r="X1938" s="314"/>
      <c r="Y1938" s="314"/>
      <c r="Z1938" s="314"/>
    </row>
    <row r="1939" spans="5:26" x14ac:dyDescent="0.35">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row>
    <row r="1940" spans="5:26" x14ac:dyDescent="0.35">
      <c r="E1940" s="314"/>
      <c r="F1940" s="314"/>
      <c r="G1940" s="314"/>
      <c r="H1940" s="314"/>
      <c r="I1940" s="314"/>
      <c r="J1940" s="314"/>
      <c r="K1940" s="314"/>
      <c r="L1940" s="314"/>
      <c r="M1940" s="314"/>
      <c r="N1940" s="314"/>
      <c r="O1940" s="314"/>
      <c r="P1940" s="314"/>
      <c r="Q1940" s="314"/>
      <c r="R1940" s="314"/>
      <c r="S1940" s="314"/>
      <c r="T1940" s="314"/>
      <c r="U1940" s="314"/>
      <c r="V1940" s="314"/>
      <c r="W1940" s="314"/>
      <c r="X1940" s="314"/>
      <c r="Y1940" s="314"/>
      <c r="Z1940" s="314"/>
    </row>
    <row r="1941" spans="5:26" x14ac:dyDescent="0.35">
      <c r="E1941" s="314"/>
      <c r="F1941" s="314"/>
      <c r="G1941" s="314"/>
      <c r="H1941" s="314"/>
      <c r="I1941" s="314"/>
      <c r="J1941" s="314"/>
      <c r="K1941" s="314"/>
      <c r="L1941" s="314"/>
      <c r="M1941" s="314"/>
      <c r="N1941" s="314"/>
      <c r="O1941" s="314"/>
      <c r="P1941" s="314"/>
      <c r="Q1941" s="314"/>
      <c r="R1941" s="314"/>
      <c r="S1941" s="314"/>
      <c r="T1941" s="314"/>
      <c r="U1941" s="314"/>
      <c r="V1941" s="314"/>
      <c r="W1941" s="314"/>
      <c r="X1941" s="314"/>
      <c r="Y1941" s="314"/>
      <c r="Z1941" s="314"/>
    </row>
    <row r="1942" spans="5:26" x14ac:dyDescent="0.35">
      <c r="E1942" s="314"/>
      <c r="F1942" s="314"/>
      <c r="G1942" s="314"/>
      <c r="H1942" s="314"/>
      <c r="I1942" s="314"/>
      <c r="J1942" s="314"/>
      <c r="K1942" s="314"/>
      <c r="L1942" s="314"/>
      <c r="M1942" s="314"/>
      <c r="N1942" s="314"/>
      <c r="O1942" s="314"/>
      <c r="P1942" s="314"/>
      <c r="Q1942" s="314"/>
      <c r="R1942" s="314"/>
      <c r="S1942" s="314"/>
      <c r="T1942" s="314"/>
      <c r="U1942" s="314"/>
      <c r="V1942" s="314"/>
      <c r="W1942" s="314"/>
      <c r="X1942" s="314"/>
      <c r="Y1942" s="314"/>
      <c r="Z1942" s="314"/>
    </row>
    <row r="1943" spans="5:26" x14ac:dyDescent="0.35">
      <c r="E1943" s="314"/>
      <c r="F1943" s="314"/>
      <c r="G1943" s="314"/>
      <c r="H1943" s="314"/>
      <c r="I1943" s="314"/>
      <c r="J1943" s="314"/>
      <c r="K1943" s="314"/>
      <c r="L1943" s="314"/>
      <c r="M1943" s="314"/>
      <c r="N1943" s="314"/>
      <c r="O1943" s="314"/>
      <c r="P1943" s="314"/>
      <c r="Q1943" s="314"/>
      <c r="R1943" s="314"/>
      <c r="S1943" s="314"/>
      <c r="T1943" s="314"/>
      <c r="U1943" s="314"/>
      <c r="V1943" s="314"/>
      <c r="W1943" s="314"/>
      <c r="X1943" s="314"/>
      <c r="Y1943" s="314"/>
      <c r="Z1943" s="314"/>
    </row>
    <row r="1944" spans="5:26" x14ac:dyDescent="0.35">
      <c r="E1944" s="314"/>
      <c r="F1944" s="314"/>
      <c r="G1944" s="314"/>
      <c r="H1944" s="314"/>
      <c r="I1944" s="314"/>
      <c r="J1944" s="314"/>
      <c r="K1944" s="314"/>
      <c r="L1944" s="314"/>
      <c r="M1944" s="314"/>
      <c r="N1944" s="314"/>
      <c r="O1944" s="314"/>
      <c r="P1944" s="314"/>
      <c r="Q1944" s="314"/>
      <c r="R1944" s="314"/>
      <c r="S1944" s="314"/>
      <c r="T1944" s="314"/>
      <c r="U1944" s="314"/>
      <c r="V1944" s="314"/>
      <c r="W1944" s="314"/>
      <c r="X1944" s="314"/>
      <c r="Y1944" s="314"/>
      <c r="Z1944" s="314"/>
    </row>
    <row r="1945" spans="5:26" x14ac:dyDescent="0.35">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row>
    <row r="1946" spans="5:26" x14ac:dyDescent="0.35">
      <c r="E1946" s="314"/>
      <c r="F1946" s="314"/>
      <c r="G1946" s="314"/>
      <c r="H1946" s="314"/>
      <c r="I1946" s="314"/>
      <c r="J1946" s="314"/>
      <c r="K1946" s="314"/>
      <c r="L1946" s="314"/>
      <c r="M1946" s="314"/>
      <c r="N1946" s="314"/>
      <c r="O1946" s="314"/>
      <c r="P1946" s="314"/>
      <c r="Q1946" s="314"/>
      <c r="R1946" s="314"/>
      <c r="S1946" s="314"/>
      <c r="T1946" s="314"/>
      <c r="U1946" s="314"/>
      <c r="V1946" s="314"/>
      <c r="W1946" s="314"/>
      <c r="X1946" s="314"/>
      <c r="Y1946" s="314"/>
      <c r="Z1946" s="314"/>
    </row>
    <row r="1947" spans="5:26" x14ac:dyDescent="0.35">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row>
    <row r="1948" spans="5:26" x14ac:dyDescent="0.35">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row>
    <row r="1949" spans="5:26" x14ac:dyDescent="0.35">
      <c r="E1949" s="314"/>
      <c r="F1949" s="314"/>
      <c r="G1949" s="314"/>
      <c r="H1949" s="314"/>
      <c r="I1949" s="314"/>
      <c r="J1949" s="314"/>
      <c r="K1949" s="314"/>
      <c r="L1949" s="314"/>
      <c r="M1949" s="314"/>
      <c r="N1949" s="314"/>
      <c r="O1949" s="314"/>
      <c r="P1949" s="314"/>
      <c r="Q1949" s="314"/>
      <c r="R1949" s="314"/>
      <c r="S1949" s="314"/>
      <c r="T1949" s="314"/>
      <c r="U1949" s="314"/>
      <c r="V1949" s="314"/>
      <c r="W1949" s="314"/>
      <c r="X1949" s="314"/>
      <c r="Y1949" s="314"/>
      <c r="Z1949" s="314"/>
    </row>
    <row r="1950" spans="5:26" x14ac:dyDescent="0.35">
      <c r="E1950" s="314"/>
      <c r="F1950" s="314"/>
      <c r="G1950" s="314"/>
      <c r="H1950" s="314"/>
      <c r="I1950" s="314"/>
      <c r="J1950" s="314"/>
      <c r="K1950" s="314"/>
      <c r="L1950" s="314"/>
      <c r="M1950" s="314"/>
      <c r="N1950" s="314"/>
      <c r="O1950" s="314"/>
      <c r="P1950" s="314"/>
      <c r="Q1950" s="314"/>
      <c r="R1950" s="314"/>
      <c r="S1950" s="314"/>
      <c r="T1950" s="314"/>
      <c r="U1950" s="314"/>
      <c r="V1950" s="314"/>
      <c r="W1950" s="314"/>
      <c r="X1950" s="314"/>
      <c r="Y1950" s="314"/>
      <c r="Z1950" s="314"/>
    </row>
    <row r="1951" spans="5:26" x14ac:dyDescent="0.35">
      <c r="E1951" s="314"/>
      <c r="F1951" s="314"/>
      <c r="G1951" s="314"/>
      <c r="H1951" s="314"/>
      <c r="I1951" s="314"/>
      <c r="J1951" s="314"/>
      <c r="K1951" s="314"/>
      <c r="L1951" s="314"/>
      <c r="M1951" s="314"/>
      <c r="N1951" s="314"/>
      <c r="O1951" s="314"/>
      <c r="P1951" s="314"/>
      <c r="Q1951" s="314"/>
      <c r="R1951" s="314"/>
      <c r="S1951" s="314"/>
      <c r="T1951" s="314"/>
      <c r="U1951" s="314"/>
      <c r="V1951" s="314"/>
      <c r="W1951" s="314"/>
      <c r="X1951" s="314"/>
      <c r="Y1951" s="314"/>
      <c r="Z1951" s="314"/>
    </row>
    <row r="1952" spans="5:26" x14ac:dyDescent="0.35">
      <c r="E1952" s="314"/>
      <c r="F1952" s="314"/>
      <c r="G1952" s="314"/>
      <c r="H1952" s="314"/>
      <c r="I1952" s="314"/>
      <c r="J1952" s="314"/>
      <c r="K1952" s="314"/>
      <c r="L1952" s="314"/>
      <c r="M1952" s="314"/>
      <c r="N1952" s="314"/>
      <c r="O1952" s="314"/>
      <c r="P1952" s="314"/>
      <c r="Q1952" s="314"/>
      <c r="R1952" s="314"/>
      <c r="S1952" s="314"/>
      <c r="T1952" s="314"/>
      <c r="U1952" s="314"/>
      <c r="V1952" s="314"/>
      <c r="W1952" s="314"/>
      <c r="X1952" s="314"/>
      <c r="Y1952" s="314"/>
      <c r="Z1952" s="314"/>
    </row>
    <row r="1953" spans="5:26" x14ac:dyDescent="0.35">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row>
    <row r="1954" spans="5:26" x14ac:dyDescent="0.35">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row>
    <row r="1955" spans="5:26" x14ac:dyDescent="0.35">
      <c r="E1955" s="314"/>
      <c r="F1955" s="314"/>
      <c r="G1955" s="314"/>
      <c r="H1955" s="314"/>
      <c r="I1955" s="314"/>
      <c r="J1955" s="314"/>
      <c r="K1955" s="314"/>
      <c r="L1955" s="314"/>
      <c r="M1955" s="314"/>
      <c r="N1955" s="314"/>
      <c r="O1955" s="314"/>
      <c r="P1955" s="314"/>
      <c r="Q1955" s="314"/>
      <c r="R1955" s="314"/>
      <c r="S1955" s="314"/>
      <c r="T1955" s="314"/>
      <c r="U1955" s="314"/>
      <c r="V1955" s="314"/>
      <c r="W1955" s="314"/>
      <c r="X1955" s="314"/>
      <c r="Y1955" s="314"/>
      <c r="Z1955" s="314"/>
    </row>
    <row r="1956" spans="5:26" x14ac:dyDescent="0.35">
      <c r="E1956" s="314"/>
      <c r="F1956" s="314"/>
      <c r="G1956" s="314"/>
      <c r="H1956" s="314"/>
      <c r="I1956" s="314"/>
      <c r="J1956" s="314"/>
      <c r="K1956" s="314"/>
      <c r="L1956" s="314"/>
      <c r="M1956" s="314"/>
      <c r="N1956" s="314"/>
      <c r="O1956" s="314"/>
      <c r="P1956" s="314"/>
      <c r="Q1956" s="314"/>
      <c r="R1956" s="314"/>
      <c r="S1956" s="314"/>
      <c r="T1956" s="314"/>
      <c r="U1956" s="314"/>
      <c r="V1956" s="314"/>
      <c r="W1956" s="314"/>
      <c r="X1956" s="314"/>
      <c r="Y1956" s="314"/>
      <c r="Z1956" s="314"/>
    </row>
    <row r="1957" spans="5:26" x14ac:dyDescent="0.35">
      <c r="E1957" s="314"/>
      <c r="F1957" s="314"/>
      <c r="G1957" s="314"/>
      <c r="H1957" s="314"/>
      <c r="I1957" s="314"/>
      <c r="J1957" s="314"/>
      <c r="K1957" s="314"/>
      <c r="L1957" s="314"/>
      <c r="M1957" s="314"/>
      <c r="N1957" s="314"/>
      <c r="O1957" s="314"/>
      <c r="P1957" s="314"/>
      <c r="Q1957" s="314"/>
      <c r="R1957" s="314"/>
      <c r="S1957" s="314"/>
      <c r="T1957" s="314"/>
      <c r="U1957" s="314"/>
      <c r="V1957" s="314"/>
      <c r="W1957" s="314"/>
      <c r="X1957" s="314"/>
      <c r="Y1957" s="314"/>
      <c r="Z1957" s="314"/>
    </row>
    <row r="1958" spans="5:26" x14ac:dyDescent="0.35">
      <c r="E1958" s="314"/>
      <c r="F1958" s="314"/>
      <c r="G1958" s="314"/>
      <c r="H1958" s="314"/>
      <c r="I1958" s="314"/>
      <c r="J1958" s="314"/>
      <c r="K1958" s="314"/>
      <c r="L1958" s="314"/>
      <c r="M1958" s="314"/>
      <c r="N1958" s="314"/>
      <c r="O1958" s="314"/>
      <c r="P1958" s="314"/>
      <c r="Q1958" s="314"/>
      <c r="R1958" s="314"/>
      <c r="S1958" s="314"/>
      <c r="T1958" s="314"/>
      <c r="U1958" s="314"/>
      <c r="V1958" s="314"/>
      <c r="W1958" s="314"/>
      <c r="X1958" s="314"/>
      <c r="Y1958" s="314"/>
      <c r="Z1958" s="314"/>
    </row>
    <row r="1959" spans="5:26" x14ac:dyDescent="0.35">
      <c r="E1959" s="314"/>
      <c r="F1959" s="314"/>
      <c r="G1959" s="314"/>
      <c r="H1959" s="314"/>
      <c r="I1959" s="314"/>
      <c r="J1959" s="314"/>
      <c r="K1959" s="314"/>
      <c r="L1959" s="314"/>
      <c r="M1959" s="314"/>
      <c r="N1959" s="314"/>
      <c r="O1959" s="314"/>
      <c r="P1959" s="314"/>
      <c r="Q1959" s="314"/>
      <c r="R1959" s="314"/>
      <c r="S1959" s="314"/>
      <c r="T1959" s="314"/>
      <c r="U1959" s="314"/>
      <c r="V1959" s="314"/>
      <c r="W1959" s="314"/>
      <c r="X1959" s="314"/>
      <c r="Y1959" s="314"/>
      <c r="Z1959" s="314"/>
    </row>
    <row r="1960" spans="5:26" x14ac:dyDescent="0.35">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row>
    <row r="1961" spans="5:26" x14ac:dyDescent="0.35">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row>
    <row r="1962" spans="5:26" x14ac:dyDescent="0.35">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row>
    <row r="1963" spans="5:26" x14ac:dyDescent="0.35">
      <c r="E1963" s="314"/>
      <c r="F1963" s="314"/>
      <c r="G1963" s="314"/>
      <c r="H1963" s="314"/>
      <c r="I1963" s="314"/>
      <c r="J1963" s="314"/>
      <c r="K1963" s="314"/>
      <c r="L1963" s="314"/>
      <c r="M1963" s="314"/>
      <c r="N1963" s="314"/>
      <c r="O1963" s="314"/>
      <c r="P1963" s="314"/>
      <c r="Q1963" s="314"/>
      <c r="R1963" s="314"/>
      <c r="S1963" s="314"/>
      <c r="T1963" s="314"/>
      <c r="U1963" s="314"/>
      <c r="V1963" s="314"/>
      <c r="W1963" s="314"/>
      <c r="X1963" s="314"/>
      <c r="Y1963" s="314"/>
      <c r="Z1963" s="314"/>
    </row>
    <row r="1964" spans="5:26" x14ac:dyDescent="0.35">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row>
    <row r="1965" spans="5:26" x14ac:dyDescent="0.35">
      <c r="E1965" s="314"/>
      <c r="F1965" s="314"/>
      <c r="G1965" s="314"/>
      <c r="H1965" s="314"/>
      <c r="I1965" s="314"/>
      <c r="J1965" s="314"/>
      <c r="K1965" s="314"/>
      <c r="L1965" s="314"/>
      <c r="M1965" s="314"/>
      <c r="N1965" s="314"/>
      <c r="O1965" s="314"/>
      <c r="P1965" s="314"/>
      <c r="Q1965" s="314"/>
      <c r="R1965" s="314"/>
      <c r="S1965" s="314"/>
      <c r="T1965" s="314"/>
      <c r="U1965" s="314"/>
      <c r="V1965" s="314"/>
      <c r="W1965" s="314"/>
      <c r="X1965" s="314"/>
      <c r="Y1965" s="314"/>
      <c r="Z1965" s="314"/>
    </row>
    <row r="1966" spans="5:26" x14ac:dyDescent="0.35">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row>
    <row r="1967" spans="5:26" x14ac:dyDescent="0.35">
      <c r="E1967" s="314"/>
      <c r="F1967" s="314"/>
      <c r="G1967" s="314"/>
      <c r="H1967" s="314"/>
      <c r="I1967" s="314"/>
      <c r="J1967" s="314"/>
      <c r="K1967" s="314"/>
      <c r="L1967" s="314"/>
      <c r="M1967" s="314"/>
      <c r="N1967" s="314"/>
      <c r="O1967" s="314"/>
      <c r="P1967" s="314"/>
      <c r="Q1967" s="314"/>
      <c r="R1967" s="314"/>
      <c r="S1967" s="314"/>
      <c r="T1967" s="314"/>
      <c r="U1967" s="314"/>
      <c r="V1967" s="314"/>
      <c r="W1967" s="314"/>
      <c r="X1967" s="314"/>
      <c r="Y1967" s="314"/>
      <c r="Z1967" s="314"/>
    </row>
    <row r="1968" spans="5:26" x14ac:dyDescent="0.35">
      <c r="E1968" s="314"/>
      <c r="F1968" s="314"/>
      <c r="G1968" s="314"/>
      <c r="H1968" s="314"/>
      <c r="I1968" s="314"/>
      <c r="J1968" s="314"/>
      <c r="K1968" s="314"/>
      <c r="L1968" s="314"/>
      <c r="M1968" s="314"/>
      <c r="N1968" s="314"/>
      <c r="O1968" s="314"/>
      <c r="P1968" s="314"/>
      <c r="Q1968" s="314"/>
      <c r="R1968" s="314"/>
      <c r="S1968" s="314"/>
      <c r="T1968" s="314"/>
      <c r="U1968" s="314"/>
      <c r="V1968" s="314"/>
      <c r="W1968" s="314"/>
      <c r="X1968" s="314"/>
      <c r="Y1968" s="314"/>
      <c r="Z1968" s="314"/>
    </row>
    <row r="1969" spans="5:26" x14ac:dyDescent="0.35">
      <c r="E1969" s="314"/>
      <c r="F1969" s="314"/>
      <c r="G1969" s="314"/>
      <c r="H1969" s="314"/>
      <c r="I1969" s="314"/>
      <c r="J1969" s="314"/>
      <c r="K1969" s="314"/>
      <c r="L1969" s="314"/>
      <c r="M1969" s="314"/>
      <c r="N1969" s="314"/>
      <c r="O1969" s="314"/>
      <c r="P1969" s="314"/>
      <c r="Q1969" s="314"/>
      <c r="R1969" s="314"/>
      <c r="S1969" s="314"/>
      <c r="T1969" s="314"/>
      <c r="U1969" s="314"/>
      <c r="V1969" s="314"/>
      <c r="W1969" s="314"/>
      <c r="X1969" s="314"/>
      <c r="Y1969" s="314"/>
      <c r="Z1969" s="314"/>
    </row>
    <row r="1970" spans="5:26" x14ac:dyDescent="0.35">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row>
    <row r="1971" spans="5:26" x14ac:dyDescent="0.35">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row>
    <row r="1972" spans="5:26" x14ac:dyDescent="0.35">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row>
    <row r="1973" spans="5:26" x14ac:dyDescent="0.35">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row>
    <row r="1974" spans="5:26" x14ac:dyDescent="0.35">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row>
    <row r="1975" spans="5:26" x14ac:dyDescent="0.35">
      <c r="E1975" s="314"/>
      <c r="F1975" s="314"/>
      <c r="G1975" s="314"/>
      <c r="H1975" s="314"/>
      <c r="I1975" s="314"/>
      <c r="J1975" s="314"/>
      <c r="K1975" s="314"/>
      <c r="L1975" s="314"/>
      <c r="M1975" s="314"/>
      <c r="N1975" s="314"/>
      <c r="O1975" s="314"/>
      <c r="P1975" s="314"/>
      <c r="Q1975" s="314"/>
      <c r="R1975" s="314"/>
      <c r="S1975" s="314"/>
      <c r="T1975" s="314"/>
      <c r="U1975" s="314"/>
      <c r="V1975" s="314"/>
      <c r="W1975" s="314"/>
      <c r="X1975" s="314"/>
      <c r="Y1975" s="314"/>
      <c r="Z1975" s="314"/>
    </row>
    <row r="1976" spans="5:26" x14ac:dyDescent="0.35">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row>
    <row r="1977" spans="5:26" x14ac:dyDescent="0.35">
      <c r="E1977" s="314"/>
      <c r="F1977" s="314"/>
      <c r="G1977" s="314"/>
      <c r="H1977" s="314"/>
      <c r="I1977" s="314"/>
      <c r="J1977" s="314"/>
      <c r="K1977" s="314"/>
      <c r="L1977" s="314"/>
      <c r="M1977" s="314"/>
      <c r="N1977" s="314"/>
      <c r="O1977" s="314"/>
      <c r="P1977" s="314"/>
      <c r="Q1977" s="314"/>
      <c r="R1977" s="314"/>
      <c r="S1977" s="314"/>
      <c r="T1977" s="314"/>
      <c r="U1977" s="314"/>
      <c r="V1977" s="314"/>
      <c r="W1977" s="314"/>
      <c r="X1977" s="314"/>
      <c r="Y1977" s="314"/>
      <c r="Z1977" s="314"/>
    </row>
    <row r="1978" spans="5:26" x14ac:dyDescent="0.35">
      <c r="E1978" s="314"/>
      <c r="F1978" s="314"/>
      <c r="G1978" s="314"/>
      <c r="H1978" s="314"/>
      <c r="I1978" s="314"/>
      <c r="J1978" s="314"/>
      <c r="K1978" s="314"/>
      <c r="L1978" s="314"/>
      <c r="M1978" s="314"/>
      <c r="N1978" s="314"/>
      <c r="O1978" s="314"/>
      <c r="P1978" s="314"/>
      <c r="Q1978" s="314"/>
      <c r="R1978" s="314"/>
      <c r="S1978" s="314"/>
      <c r="T1978" s="314"/>
      <c r="U1978" s="314"/>
      <c r="V1978" s="314"/>
      <c r="W1978" s="314"/>
      <c r="X1978" s="314"/>
      <c r="Y1978" s="314"/>
      <c r="Z1978" s="314"/>
    </row>
    <row r="1979" spans="5:26" x14ac:dyDescent="0.35">
      <c r="E1979" s="314"/>
      <c r="F1979" s="314"/>
      <c r="G1979" s="314"/>
      <c r="H1979" s="314"/>
      <c r="I1979" s="314"/>
      <c r="J1979" s="314"/>
      <c r="K1979" s="314"/>
      <c r="L1979" s="314"/>
      <c r="M1979" s="314"/>
      <c r="N1979" s="314"/>
      <c r="O1979" s="314"/>
      <c r="P1979" s="314"/>
      <c r="Q1979" s="314"/>
      <c r="R1979" s="314"/>
      <c r="S1979" s="314"/>
      <c r="T1979" s="314"/>
      <c r="U1979" s="314"/>
      <c r="V1979" s="314"/>
      <c r="W1979" s="314"/>
      <c r="X1979" s="314"/>
      <c r="Y1979" s="314"/>
      <c r="Z1979" s="314"/>
    </row>
    <row r="1980" spans="5:26" x14ac:dyDescent="0.35">
      <c r="E1980" s="314"/>
      <c r="F1980" s="314"/>
      <c r="G1980" s="314"/>
      <c r="H1980" s="314"/>
      <c r="I1980" s="314"/>
      <c r="J1980" s="314"/>
      <c r="K1980" s="314"/>
      <c r="L1980" s="314"/>
      <c r="M1980" s="314"/>
      <c r="N1980" s="314"/>
      <c r="O1980" s="314"/>
      <c r="P1980" s="314"/>
      <c r="Q1980" s="314"/>
      <c r="R1980" s="314"/>
      <c r="S1980" s="314"/>
      <c r="T1980" s="314"/>
      <c r="U1980" s="314"/>
      <c r="V1980" s="314"/>
      <c r="W1980" s="314"/>
      <c r="X1980" s="314"/>
      <c r="Y1980" s="314"/>
      <c r="Z1980" s="314"/>
    </row>
    <row r="1981" spans="5:26" x14ac:dyDescent="0.35">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row>
    <row r="1982" spans="5:26" x14ac:dyDescent="0.35">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row>
    <row r="1983" spans="5:26" x14ac:dyDescent="0.35">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row>
    <row r="1984" spans="5:26" x14ac:dyDescent="0.35">
      <c r="E1984" s="314"/>
      <c r="F1984" s="314"/>
      <c r="G1984" s="314"/>
      <c r="H1984" s="314"/>
      <c r="I1984" s="314"/>
      <c r="J1984" s="314"/>
      <c r="K1984" s="314"/>
      <c r="L1984" s="314"/>
      <c r="M1984" s="314"/>
      <c r="N1984" s="314"/>
      <c r="O1984" s="314"/>
      <c r="P1984" s="314"/>
      <c r="Q1984" s="314"/>
      <c r="R1984" s="314"/>
      <c r="S1984" s="314"/>
      <c r="T1984" s="314"/>
      <c r="U1984" s="314"/>
      <c r="V1984" s="314"/>
      <c r="W1984" s="314"/>
      <c r="X1984" s="314"/>
      <c r="Y1984" s="314"/>
      <c r="Z1984" s="314"/>
    </row>
    <row r="1985" spans="5:26" x14ac:dyDescent="0.35">
      <c r="E1985" s="314"/>
      <c r="F1985" s="314"/>
      <c r="G1985" s="314"/>
      <c r="H1985" s="314"/>
      <c r="I1985" s="314"/>
      <c r="J1985" s="314"/>
      <c r="K1985" s="314"/>
      <c r="L1985" s="314"/>
      <c r="M1985" s="314"/>
      <c r="N1985" s="314"/>
      <c r="O1985" s="314"/>
      <c r="P1985" s="314"/>
      <c r="Q1985" s="314"/>
      <c r="R1985" s="314"/>
      <c r="S1985" s="314"/>
      <c r="T1985" s="314"/>
      <c r="U1985" s="314"/>
      <c r="V1985" s="314"/>
      <c r="W1985" s="314"/>
      <c r="X1985" s="314"/>
      <c r="Y1985" s="314"/>
      <c r="Z1985" s="314"/>
    </row>
    <row r="1986" spans="5:26" x14ac:dyDescent="0.35">
      <c r="E1986" s="314"/>
      <c r="F1986" s="314"/>
      <c r="G1986" s="314"/>
      <c r="H1986" s="314"/>
      <c r="I1986" s="314"/>
      <c r="J1986" s="314"/>
      <c r="K1986" s="314"/>
      <c r="L1986" s="314"/>
      <c r="M1986" s="314"/>
      <c r="N1986" s="314"/>
      <c r="O1986" s="314"/>
      <c r="P1986" s="314"/>
      <c r="Q1986" s="314"/>
      <c r="R1986" s="314"/>
      <c r="S1986" s="314"/>
      <c r="T1986" s="314"/>
      <c r="U1986" s="314"/>
      <c r="V1986" s="314"/>
      <c r="W1986" s="314"/>
      <c r="X1986" s="314"/>
      <c r="Y1986" s="314"/>
      <c r="Z1986" s="314"/>
    </row>
    <row r="1987" spans="5:26" x14ac:dyDescent="0.35">
      <c r="E1987" s="314"/>
      <c r="F1987" s="314"/>
      <c r="G1987" s="314"/>
      <c r="H1987" s="314"/>
      <c r="I1987" s="314"/>
      <c r="J1987" s="314"/>
      <c r="K1987" s="314"/>
      <c r="L1987" s="314"/>
      <c r="M1987" s="314"/>
      <c r="N1987" s="314"/>
      <c r="O1987" s="314"/>
      <c r="P1987" s="314"/>
      <c r="Q1987" s="314"/>
      <c r="R1987" s="314"/>
      <c r="S1987" s="314"/>
      <c r="T1987" s="314"/>
      <c r="U1987" s="314"/>
      <c r="V1987" s="314"/>
      <c r="W1987" s="314"/>
      <c r="X1987" s="314"/>
      <c r="Y1987" s="314"/>
      <c r="Z1987" s="314"/>
    </row>
    <row r="1988" spans="5:26" x14ac:dyDescent="0.35">
      <c r="E1988" s="314"/>
      <c r="F1988" s="314"/>
      <c r="G1988" s="314"/>
      <c r="H1988" s="314"/>
      <c r="I1988" s="314"/>
      <c r="J1988" s="314"/>
      <c r="K1988" s="314"/>
      <c r="L1988" s="314"/>
      <c r="M1988" s="314"/>
      <c r="N1988" s="314"/>
      <c r="O1988" s="314"/>
      <c r="P1988" s="314"/>
      <c r="Q1988" s="314"/>
      <c r="R1988" s="314"/>
      <c r="S1988" s="314"/>
      <c r="T1988" s="314"/>
      <c r="U1988" s="314"/>
      <c r="V1988" s="314"/>
      <c r="W1988" s="314"/>
      <c r="X1988" s="314"/>
      <c r="Y1988" s="314"/>
      <c r="Z1988" s="314"/>
    </row>
    <row r="1989" spans="5:26" x14ac:dyDescent="0.35">
      <c r="E1989" s="314"/>
      <c r="F1989" s="314"/>
      <c r="G1989" s="314"/>
      <c r="H1989" s="314"/>
      <c r="I1989" s="314"/>
      <c r="J1989" s="314"/>
      <c r="K1989" s="314"/>
      <c r="L1989" s="314"/>
      <c r="M1989" s="314"/>
      <c r="N1989" s="314"/>
      <c r="O1989" s="314"/>
      <c r="P1989" s="314"/>
      <c r="Q1989" s="314"/>
      <c r="R1989" s="314"/>
      <c r="S1989" s="314"/>
      <c r="T1989" s="314"/>
      <c r="U1989" s="314"/>
      <c r="V1989" s="314"/>
      <c r="W1989" s="314"/>
      <c r="X1989" s="314"/>
      <c r="Y1989" s="314"/>
      <c r="Z1989" s="314"/>
    </row>
    <row r="1990" spans="5:26" x14ac:dyDescent="0.35">
      <c r="E1990" s="314"/>
      <c r="F1990" s="314"/>
      <c r="G1990" s="314"/>
      <c r="H1990" s="314"/>
      <c r="I1990" s="314"/>
      <c r="J1990" s="314"/>
      <c r="K1990" s="314"/>
      <c r="L1990" s="314"/>
      <c r="M1990" s="314"/>
      <c r="N1990" s="314"/>
      <c r="O1990" s="314"/>
      <c r="P1990" s="314"/>
      <c r="Q1990" s="314"/>
      <c r="R1990" s="314"/>
      <c r="S1990" s="314"/>
      <c r="T1990" s="314"/>
      <c r="U1990" s="314"/>
      <c r="V1990" s="314"/>
      <c r="W1990" s="314"/>
      <c r="X1990" s="314"/>
      <c r="Y1990" s="314"/>
      <c r="Z1990" s="314"/>
    </row>
    <row r="1991" spans="5:26" x14ac:dyDescent="0.35">
      <c r="E1991" s="314"/>
      <c r="F1991" s="314"/>
      <c r="G1991" s="314"/>
      <c r="H1991" s="314"/>
      <c r="I1991" s="314"/>
      <c r="J1991" s="314"/>
      <c r="K1991" s="314"/>
      <c r="L1991" s="314"/>
      <c r="M1991" s="314"/>
      <c r="N1991" s="314"/>
      <c r="O1991" s="314"/>
      <c r="P1991" s="314"/>
      <c r="Q1991" s="314"/>
      <c r="R1991" s="314"/>
      <c r="S1991" s="314"/>
      <c r="T1991" s="314"/>
      <c r="U1991" s="314"/>
      <c r="V1991" s="314"/>
      <c r="W1991" s="314"/>
      <c r="X1991" s="314"/>
      <c r="Y1991" s="314"/>
      <c r="Z1991" s="314"/>
    </row>
    <row r="1992" spans="5:26" x14ac:dyDescent="0.35">
      <c r="E1992" s="314"/>
      <c r="F1992" s="314"/>
      <c r="G1992" s="314"/>
      <c r="H1992" s="314"/>
      <c r="I1992" s="314"/>
      <c r="J1992" s="314"/>
      <c r="K1992" s="314"/>
      <c r="L1992" s="314"/>
      <c r="M1992" s="314"/>
      <c r="N1992" s="314"/>
      <c r="O1992" s="314"/>
      <c r="P1992" s="314"/>
      <c r="Q1992" s="314"/>
      <c r="R1992" s="314"/>
      <c r="S1992" s="314"/>
      <c r="T1992" s="314"/>
      <c r="U1992" s="314"/>
      <c r="V1992" s="314"/>
      <c r="W1992" s="314"/>
      <c r="X1992" s="314"/>
      <c r="Y1992" s="314"/>
      <c r="Z1992" s="314"/>
    </row>
    <row r="1993" spans="5:26" x14ac:dyDescent="0.35">
      <c r="E1993" s="314"/>
      <c r="F1993" s="314"/>
      <c r="G1993" s="314"/>
      <c r="H1993" s="314"/>
      <c r="I1993" s="314"/>
      <c r="J1993" s="314"/>
      <c r="K1993" s="314"/>
      <c r="L1993" s="314"/>
      <c r="M1993" s="314"/>
      <c r="N1993" s="314"/>
      <c r="O1993" s="314"/>
      <c r="P1993" s="314"/>
      <c r="Q1993" s="314"/>
      <c r="R1993" s="314"/>
      <c r="S1993" s="314"/>
      <c r="T1993" s="314"/>
      <c r="U1993" s="314"/>
      <c r="V1993" s="314"/>
      <c r="W1993" s="314"/>
      <c r="X1993" s="314"/>
      <c r="Y1993" s="314"/>
      <c r="Z1993" s="314"/>
    </row>
    <row r="1994" spans="5:26" x14ac:dyDescent="0.35">
      <c r="E1994" s="314"/>
      <c r="F1994" s="314"/>
      <c r="G1994" s="314"/>
      <c r="H1994" s="314"/>
      <c r="I1994" s="314"/>
      <c r="J1994" s="314"/>
      <c r="K1994" s="314"/>
      <c r="L1994" s="314"/>
      <c r="M1994" s="314"/>
      <c r="N1994" s="314"/>
      <c r="O1994" s="314"/>
      <c r="P1994" s="314"/>
      <c r="Q1994" s="314"/>
      <c r="R1994" s="314"/>
      <c r="S1994" s="314"/>
      <c r="T1994" s="314"/>
      <c r="U1994" s="314"/>
      <c r="V1994" s="314"/>
      <c r="W1994" s="314"/>
      <c r="X1994" s="314"/>
      <c r="Y1994" s="314"/>
      <c r="Z1994" s="314"/>
    </row>
    <row r="1995" spans="5:26" x14ac:dyDescent="0.35">
      <c r="E1995" s="314"/>
      <c r="F1995" s="314"/>
      <c r="G1995" s="314"/>
      <c r="H1995" s="314"/>
      <c r="I1995" s="314"/>
      <c r="J1995" s="314"/>
      <c r="K1995" s="314"/>
      <c r="L1995" s="314"/>
      <c r="M1995" s="314"/>
      <c r="N1995" s="314"/>
      <c r="O1995" s="314"/>
      <c r="P1995" s="314"/>
      <c r="Q1995" s="314"/>
      <c r="R1995" s="314"/>
      <c r="S1995" s="314"/>
      <c r="T1995" s="314"/>
      <c r="U1995" s="314"/>
      <c r="V1995" s="314"/>
      <c r="W1995" s="314"/>
      <c r="X1995" s="314"/>
      <c r="Y1995" s="314"/>
      <c r="Z1995" s="314"/>
    </row>
    <row r="1996" spans="5:26" x14ac:dyDescent="0.35">
      <c r="E1996" s="314"/>
      <c r="F1996" s="314"/>
      <c r="G1996" s="314"/>
      <c r="H1996" s="314"/>
      <c r="I1996" s="314"/>
      <c r="J1996" s="314"/>
      <c r="K1996" s="314"/>
      <c r="L1996" s="314"/>
      <c r="M1996" s="314"/>
      <c r="N1996" s="314"/>
      <c r="O1996" s="314"/>
      <c r="P1996" s="314"/>
      <c r="Q1996" s="314"/>
      <c r="R1996" s="314"/>
      <c r="S1996" s="314"/>
      <c r="T1996" s="314"/>
      <c r="U1996" s="314"/>
      <c r="V1996" s="314"/>
      <c r="W1996" s="314"/>
      <c r="X1996" s="314"/>
      <c r="Y1996" s="314"/>
      <c r="Z1996" s="314"/>
    </row>
    <row r="1997" spans="5:26" x14ac:dyDescent="0.35">
      <c r="E1997" s="314"/>
      <c r="F1997" s="314"/>
      <c r="G1997" s="314"/>
      <c r="H1997" s="314"/>
      <c r="I1997" s="314"/>
      <c r="J1997" s="314"/>
      <c r="K1997" s="314"/>
      <c r="L1997" s="314"/>
      <c r="M1997" s="314"/>
      <c r="N1997" s="314"/>
      <c r="O1997" s="314"/>
      <c r="P1997" s="314"/>
      <c r="Q1997" s="314"/>
      <c r="R1997" s="314"/>
      <c r="S1997" s="314"/>
      <c r="T1997" s="314"/>
      <c r="U1997" s="314"/>
      <c r="V1997" s="314"/>
      <c r="W1997" s="314"/>
      <c r="X1997" s="314"/>
      <c r="Y1997" s="314"/>
      <c r="Z1997" s="314"/>
    </row>
    <row r="1998" spans="5:26" x14ac:dyDescent="0.35">
      <c r="E1998" s="314"/>
      <c r="F1998" s="314"/>
      <c r="G1998" s="314"/>
      <c r="H1998" s="314"/>
      <c r="I1998" s="314"/>
      <c r="J1998" s="314"/>
      <c r="K1998" s="314"/>
      <c r="L1998" s="314"/>
      <c r="M1998" s="314"/>
      <c r="N1998" s="314"/>
      <c r="O1998" s="314"/>
      <c r="P1998" s="314"/>
      <c r="Q1998" s="314"/>
      <c r="R1998" s="314"/>
      <c r="S1998" s="314"/>
      <c r="T1998" s="314"/>
      <c r="U1998" s="314"/>
      <c r="V1998" s="314"/>
      <c r="W1998" s="314"/>
      <c r="X1998" s="314"/>
      <c r="Y1998" s="314"/>
      <c r="Z1998" s="314"/>
    </row>
    <row r="1999" spans="5:26" x14ac:dyDescent="0.35">
      <c r="E1999" s="314"/>
      <c r="F1999" s="314"/>
      <c r="G1999" s="314"/>
      <c r="H1999" s="314"/>
      <c r="I1999" s="314"/>
      <c r="J1999" s="314"/>
      <c r="K1999" s="314"/>
      <c r="L1999" s="314"/>
      <c r="M1999" s="314"/>
      <c r="N1999" s="314"/>
      <c r="O1999" s="314"/>
      <c r="P1999" s="314"/>
      <c r="Q1999" s="314"/>
      <c r="R1999" s="314"/>
      <c r="S1999" s="314"/>
      <c r="T1999" s="314"/>
      <c r="U1999" s="314"/>
      <c r="V1999" s="314"/>
      <c r="W1999" s="314"/>
      <c r="X1999" s="314"/>
      <c r="Y1999" s="314"/>
      <c r="Z1999" s="314"/>
    </row>
    <row r="2000" spans="5:26" x14ac:dyDescent="0.35">
      <c r="E2000" s="314"/>
      <c r="F2000" s="314"/>
      <c r="G2000" s="314"/>
      <c r="H2000" s="314"/>
      <c r="I2000" s="314"/>
      <c r="J2000" s="314"/>
      <c r="K2000" s="314"/>
      <c r="L2000" s="314"/>
      <c r="M2000" s="314"/>
      <c r="N2000" s="314"/>
      <c r="O2000" s="314"/>
      <c r="P2000" s="314"/>
      <c r="Q2000" s="314"/>
      <c r="R2000" s="314"/>
      <c r="S2000" s="314"/>
      <c r="T2000" s="314"/>
      <c r="U2000" s="314"/>
      <c r="V2000" s="314"/>
      <c r="W2000" s="314"/>
      <c r="X2000" s="314"/>
      <c r="Y2000" s="314"/>
      <c r="Z2000" s="314"/>
    </row>
    <row r="2001" spans="5:26" x14ac:dyDescent="0.35">
      <c r="E2001" s="314"/>
      <c r="F2001" s="314"/>
      <c r="G2001" s="314"/>
      <c r="H2001" s="314"/>
      <c r="I2001" s="314"/>
      <c r="J2001" s="314"/>
      <c r="K2001" s="314"/>
      <c r="L2001" s="314"/>
      <c r="M2001" s="314"/>
      <c r="N2001" s="314"/>
      <c r="O2001" s="314"/>
      <c r="P2001" s="314"/>
      <c r="Q2001" s="314"/>
      <c r="R2001" s="314"/>
      <c r="S2001" s="314"/>
      <c r="T2001" s="314"/>
      <c r="U2001" s="314"/>
      <c r="V2001" s="314"/>
      <c r="W2001" s="314"/>
      <c r="X2001" s="314"/>
      <c r="Y2001" s="314"/>
      <c r="Z2001" s="314"/>
    </row>
    <row r="2002" spans="5:26" x14ac:dyDescent="0.35">
      <c r="E2002" s="314"/>
      <c r="F2002" s="314"/>
      <c r="G2002" s="314"/>
      <c r="H2002" s="314"/>
      <c r="I2002" s="314"/>
      <c r="J2002" s="314"/>
      <c r="K2002" s="314"/>
      <c r="L2002" s="314"/>
      <c r="M2002" s="314"/>
      <c r="N2002" s="314"/>
      <c r="O2002" s="314"/>
      <c r="P2002" s="314"/>
      <c r="Q2002" s="314"/>
      <c r="R2002" s="314"/>
      <c r="S2002" s="314"/>
      <c r="T2002" s="314"/>
      <c r="U2002" s="314"/>
      <c r="V2002" s="314"/>
      <c r="W2002" s="314"/>
      <c r="X2002" s="314"/>
      <c r="Y2002" s="314"/>
      <c r="Z2002" s="314"/>
    </row>
    <row r="2003" spans="5:26" x14ac:dyDescent="0.35">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c r="Y2003" s="314"/>
      <c r="Z2003" s="314"/>
    </row>
    <row r="2004" spans="5:26" x14ac:dyDescent="0.35">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row>
    <row r="2005" spans="5:26" x14ac:dyDescent="0.35">
      <c r="E2005" s="314"/>
      <c r="F2005" s="314"/>
      <c r="G2005" s="314"/>
      <c r="H2005" s="314"/>
      <c r="I2005" s="314"/>
      <c r="J2005" s="314"/>
      <c r="K2005" s="314"/>
      <c r="L2005" s="314"/>
      <c r="M2005" s="314"/>
      <c r="N2005" s="314"/>
      <c r="O2005" s="314"/>
      <c r="P2005" s="314"/>
      <c r="Q2005" s="314"/>
      <c r="R2005" s="314"/>
      <c r="S2005" s="314"/>
      <c r="T2005" s="314"/>
      <c r="U2005" s="314"/>
      <c r="V2005" s="314"/>
      <c r="W2005" s="314"/>
      <c r="X2005" s="314"/>
      <c r="Y2005" s="314"/>
      <c r="Z2005" s="314"/>
    </row>
    <row r="2006" spans="5:26" x14ac:dyDescent="0.35">
      <c r="E2006" s="314"/>
      <c r="F2006" s="314"/>
      <c r="G2006" s="314"/>
      <c r="H2006" s="314"/>
      <c r="I2006" s="314"/>
      <c r="J2006" s="314"/>
      <c r="K2006" s="314"/>
      <c r="L2006" s="314"/>
      <c r="M2006" s="314"/>
      <c r="N2006" s="314"/>
      <c r="O2006" s="314"/>
      <c r="P2006" s="314"/>
      <c r="Q2006" s="314"/>
      <c r="R2006" s="314"/>
      <c r="S2006" s="314"/>
      <c r="T2006" s="314"/>
      <c r="U2006" s="314"/>
      <c r="V2006" s="314"/>
      <c r="W2006" s="314"/>
      <c r="X2006" s="314"/>
      <c r="Y2006" s="314"/>
      <c r="Z2006" s="314"/>
    </row>
    <row r="2007" spans="5:26" x14ac:dyDescent="0.35">
      <c r="E2007" s="314"/>
      <c r="F2007" s="314"/>
      <c r="G2007" s="314"/>
      <c r="H2007" s="314"/>
      <c r="I2007" s="314"/>
      <c r="J2007" s="314"/>
      <c r="K2007" s="314"/>
      <c r="L2007" s="314"/>
      <c r="M2007" s="314"/>
      <c r="N2007" s="314"/>
      <c r="O2007" s="314"/>
      <c r="P2007" s="314"/>
      <c r="Q2007" s="314"/>
      <c r="R2007" s="314"/>
      <c r="S2007" s="314"/>
      <c r="T2007" s="314"/>
      <c r="U2007" s="314"/>
      <c r="V2007" s="314"/>
      <c r="W2007" s="314"/>
      <c r="X2007" s="314"/>
      <c r="Y2007" s="314"/>
      <c r="Z2007" s="314"/>
    </row>
    <row r="2008" spans="5:26" x14ac:dyDescent="0.35">
      <c r="E2008" s="314"/>
      <c r="F2008" s="314"/>
      <c r="G2008" s="314"/>
      <c r="H2008" s="314"/>
      <c r="I2008" s="314"/>
      <c r="J2008" s="314"/>
      <c r="K2008" s="314"/>
      <c r="L2008" s="314"/>
      <c r="M2008" s="314"/>
      <c r="N2008" s="314"/>
      <c r="O2008" s="314"/>
      <c r="P2008" s="314"/>
      <c r="Q2008" s="314"/>
      <c r="R2008" s="314"/>
      <c r="S2008" s="314"/>
      <c r="T2008" s="314"/>
      <c r="U2008" s="314"/>
      <c r="V2008" s="314"/>
      <c r="W2008" s="314"/>
      <c r="X2008" s="314"/>
      <c r="Y2008" s="314"/>
      <c r="Z2008" s="314"/>
    </row>
    <row r="2009" spans="5:26" x14ac:dyDescent="0.35">
      <c r="E2009" s="314"/>
      <c r="F2009" s="314"/>
      <c r="G2009" s="314"/>
      <c r="H2009" s="314"/>
      <c r="I2009" s="314"/>
      <c r="J2009" s="314"/>
      <c r="K2009" s="314"/>
      <c r="L2009" s="314"/>
      <c r="M2009" s="314"/>
      <c r="N2009" s="314"/>
      <c r="O2009" s="314"/>
      <c r="P2009" s="314"/>
      <c r="Q2009" s="314"/>
      <c r="R2009" s="314"/>
      <c r="S2009" s="314"/>
      <c r="T2009" s="314"/>
      <c r="U2009" s="314"/>
      <c r="V2009" s="314"/>
      <c r="W2009" s="314"/>
      <c r="X2009" s="314"/>
      <c r="Y2009" s="314"/>
      <c r="Z2009" s="314"/>
    </row>
    <row r="2010" spans="5:26" x14ac:dyDescent="0.35">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row>
    <row r="2011" spans="5:26" x14ac:dyDescent="0.35">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row>
    <row r="2012" spans="5:26" x14ac:dyDescent="0.35">
      <c r="E2012" s="314"/>
      <c r="F2012" s="314"/>
      <c r="G2012" s="314"/>
      <c r="H2012" s="314"/>
      <c r="I2012" s="314"/>
      <c r="J2012" s="314"/>
      <c r="K2012" s="314"/>
      <c r="L2012" s="314"/>
      <c r="M2012" s="314"/>
      <c r="N2012" s="314"/>
      <c r="O2012" s="314"/>
      <c r="P2012" s="314"/>
      <c r="Q2012" s="314"/>
      <c r="R2012" s="314"/>
      <c r="S2012" s="314"/>
      <c r="T2012" s="314"/>
      <c r="U2012" s="314"/>
      <c r="V2012" s="314"/>
      <c r="W2012" s="314"/>
      <c r="X2012" s="314"/>
      <c r="Y2012" s="314"/>
      <c r="Z2012" s="314"/>
    </row>
    <row r="2013" spans="5:26" x14ac:dyDescent="0.35">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row>
    <row r="2014" spans="5:26" x14ac:dyDescent="0.35">
      <c r="E2014" s="314"/>
      <c r="F2014" s="314"/>
      <c r="G2014" s="314"/>
      <c r="H2014" s="314"/>
      <c r="I2014" s="314"/>
      <c r="J2014" s="314"/>
      <c r="K2014" s="314"/>
      <c r="L2014" s="314"/>
      <c r="M2014" s="314"/>
      <c r="N2014" s="314"/>
      <c r="O2014" s="314"/>
      <c r="P2014" s="314"/>
      <c r="Q2014" s="314"/>
      <c r="R2014" s="314"/>
      <c r="S2014" s="314"/>
      <c r="T2014" s="314"/>
      <c r="U2014" s="314"/>
      <c r="V2014" s="314"/>
      <c r="W2014" s="314"/>
      <c r="X2014" s="314"/>
      <c r="Y2014" s="314"/>
      <c r="Z2014" s="314"/>
    </row>
    <row r="2015" spans="5:26" x14ac:dyDescent="0.35">
      <c r="E2015" s="314"/>
      <c r="F2015" s="314"/>
      <c r="G2015" s="314"/>
      <c r="H2015" s="314"/>
      <c r="I2015" s="314"/>
      <c r="J2015" s="314"/>
      <c r="K2015" s="314"/>
      <c r="L2015" s="314"/>
      <c r="M2015" s="314"/>
      <c r="N2015" s="314"/>
      <c r="O2015" s="314"/>
      <c r="P2015" s="314"/>
      <c r="Q2015" s="314"/>
      <c r="R2015" s="314"/>
      <c r="S2015" s="314"/>
      <c r="T2015" s="314"/>
      <c r="U2015" s="314"/>
      <c r="V2015" s="314"/>
      <c r="W2015" s="314"/>
      <c r="X2015" s="314"/>
      <c r="Y2015" s="314"/>
      <c r="Z2015" s="314"/>
    </row>
    <row r="2016" spans="5:26" x14ac:dyDescent="0.35">
      <c r="E2016" s="314"/>
      <c r="F2016" s="314"/>
      <c r="G2016" s="314"/>
      <c r="H2016" s="314"/>
      <c r="I2016" s="314"/>
      <c r="J2016" s="314"/>
      <c r="K2016" s="314"/>
      <c r="L2016" s="314"/>
      <c r="M2016" s="314"/>
      <c r="N2016" s="314"/>
      <c r="O2016" s="314"/>
      <c r="P2016" s="314"/>
      <c r="Q2016" s="314"/>
      <c r="R2016" s="314"/>
      <c r="S2016" s="314"/>
      <c r="T2016" s="314"/>
      <c r="U2016" s="314"/>
      <c r="V2016" s="314"/>
      <c r="W2016" s="314"/>
      <c r="X2016" s="314"/>
      <c r="Y2016" s="314"/>
      <c r="Z2016" s="314"/>
    </row>
    <row r="2017" spans="5:26" x14ac:dyDescent="0.35">
      <c r="E2017" s="314"/>
      <c r="F2017" s="314"/>
      <c r="G2017" s="314"/>
      <c r="H2017" s="314"/>
      <c r="I2017" s="314"/>
      <c r="J2017" s="314"/>
      <c r="K2017" s="314"/>
      <c r="L2017" s="314"/>
      <c r="M2017" s="314"/>
      <c r="N2017" s="314"/>
      <c r="O2017" s="314"/>
      <c r="P2017" s="314"/>
      <c r="Q2017" s="314"/>
      <c r="R2017" s="314"/>
      <c r="S2017" s="314"/>
      <c r="T2017" s="314"/>
      <c r="U2017" s="314"/>
      <c r="V2017" s="314"/>
      <c r="W2017" s="314"/>
      <c r="X2017" s="314"/>
      <c r="Y2017" s="314"/>
      <c r="Z2017" s="314"/>
    </row>
    <row r="2018" spans="5:26" x14ac:dyDescent="0.35">
      <c r="E2018" s="314"/>
      <c r="F2018" s="314"/>
      <c r="G2018" s="314"/>
      <c r="H2018" s="314"/>
      <c r="I2018" s="314"/>
      <c r="J2018" s="314"/>
      <c r="K2018" s="314"/>
      <c r="L2018" s="314"/>
      <c r="M2018" s="314"/>
      <c r="N2018" s="314"/>
      <c r="O2018" s="314"/>
      <c r="P2018" s="314"/>
      <c r="Q2018" s="314"/>
      <c r="R2018" s="314"/>
      <c r="S2018" s="314"/>
      <c r="T2018" s="314"/>
      <c r="U2018" s="314"/>
      <c r="V2018" s="314"/>
      <c r="W2018" s="314"/>
      <c r="X2018" s="314"/>
      <c r="Y2018" s="314"/>
      <c r="Z2018" s="314"/>
    </row>
    <row r="2019" spans="5:26" x14ac:dyDescent="0.35">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row>
    <row r="2020" spans="5:26" x14ac:dyDescent="0.35">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row>
    <row r="2021" spans="5:26" x14ac:dyDescent="0.35">
      <c r="E2021" s="314"/>
      <c r="F2021" s="314"/>
      <c r="G2021" s="314"/>
      <c r="H2021" s="314"/>
      <c r="I2021" s="314"/>
      <c r="J2021" s="314"/>
      <c r="K2021" s="314"/>
      <c r="L2021" s="314"/>
      <c r="M2021" s="314"/>
      <c r="N2021" s="314"/>
      <c r="O2021" s="314"/>
      <c r="P2021" s="314"/>
      <c r="Q2021" s="314"/>
      <c r="R2021" s="314"/>
      <c r="S2021" s="314"/>
      <c r="T2021" s="314"/>
      <c r="U2021" s="314"/>
      <c r="V2021" s="314"/>
      <c r="W2021" s="314"/>
      <c r="X2021" s="314"/>
      <c r="Y2021" s="314"/>
      <c r="Z2021" s="314"/>
    </row>
    <row r="2022" spans="5:26" x14ac:dyDescent="0.35">
      <c r="E2022" s="314"/>
      <c r="F2022" s="314"/>
      <c r="G2022" s="314"/>
      <c r="H2022" s="314"/>
      <c r="I2022" s="314"/>
      <c r="J2022" s="314"/>
      <c r="K2022" s="314"/>
      <c r="L2022" s="314"/>
      <c r="M2022" s="314"/>
      <c r="N2022" s="314"/>
      <c r="O2022" s="314"/>
      <c r="P2022" s="314"/>
      <c r="Q2022" s="314"/>
      <c r="R2022" s="314"/>
      <c r="S2022" s="314"/>
      <c r="T2022" s="314"/>
      <c r="U2022" s="314"/>
      <c r="V2022" s="314"/>
      <c r="W2022" s="314"/>
      <c r="X2022" s="314"/>
      <c r="Y2022" s="314"/>
      <c r="Z2022" s="314"/>
    </row>
    <row r="2023" spans="5:26" x14ac:dyDescent="0.35">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row>
    <row r="2024" spans="5:26" x14ac:dyDescent="0.35">
      <c r="E2024" s="314"/>
      <c r="F2024" s="314"/>
      <c r="G2024" s="314"/>
      <c r="H2024" s="314"/>
      <c r="I2024" s="314"/>
      <c r="J2024" s="314"/>
      <c r="K2024" s="314"/>
      <c r="L2024" s="314"/>
      <c r="M2024" s="314"/>
      <c r="N2024" s="314"/>
      <c r="O2024" s="314"/>
      <c r="P2024" s="314"/>
      <c r="Q2024" s="314"/>
      <c r="R2024" s="314"/>
      <c r="S2024" s="314"/>
      <c r="T2024" s="314"/>
      <c r="U2024" s="314"/>
      <c r="V2024" s="314"/>
      <c r="W2024" s="314"/>
      <c r="X2024" s="314"/>
      <c r="Y2024" s="314"/>
      <c r="Z2024" s="314"/>
    </row>
    <row r="2025" spans="5:26" x14ac:dyDescent="0.35">
      <c r="E2025" s="314"/>
      <c r="F2025" s="314"/>
      <c r="G2025" s="314"/>
      <c r="H2025" s="314"/>
      <c r="I2025" s="314"/>
      <c r="J2025" s="314"/>
      <c r="K2025" s="314"/>
      <c r="L2025" s="314"/>
      <c r="M2025" s="314"/>
      <c r="N2025" s="314"/>
      <c r="O2025" s="314"/>
      <c r="P2025" s="314"/>
      <c r="Q2025" s="314"/>
      <c r="R2025" s="314"/>
      <c r="S2025" s="314"/>
      <c r="T2025" s="314"/>
      <c r="U2025" s="314"/>
      <c r="V2025" s="314"/>
      <c r="W2025" s="314"/>
      <c r="X2025" s="314"/>
      <c r="Y2025" s="314"/>
      <c r="Z2025" s="314"/>
    </row>
    <row r="2026" spans="5:26" x14ac:dyDescent="0.35">
      <c r="E2026" s="314"/>
      <c r="F2026" s="314"/>
      <c r="G2026" s="314"/>
      <c r="H2026" s="314"/>
      <c r="I2026" s="314"/>
      <c r="J2026" s="314"/>
      <c r="K2026" s="314"/>
      <c r="L2026" s="314"/>
      <c r="M2026" s="314"/>
      <c r="N2026" s="314"/>
      <c r="O2026" s="314"/>
      <c r="P2026" s="314"/>
      <c r="Q2026" s="314"/>
      <c r="R2026" s="314"/>
      <c r="S2026" s="314"/>
      <c r="T2026" s="314"/>
      <c r="U2026" s="314"/>
      <c r="V2026" s="314"/>
      <c r="W2026" s="314"/>
      <c r="X2026" s="314"/>
      <c r="Y2026" s="314"/>
      <c r="Z2026" s="314"/>
    </row>
    <row r="2027" spans="5:26" x14ac:dyDescent="0.35">
      <c r="E2027" s="314"/>
      <c r="F2027" s="314"/>
      <c r="G2027" s="314"/>
      <c r="H2027" s="314"/>
      <c r="I2027" s="314"/>
      <c r="J2027" s="314"/>
      <c r="K2027" s="314"/>
      <c r="L2027" s="314"/>
      <c r="M2027" s="314"/>
      <c r="N2027" s="314"/>
      <c r="O2027" s="314"/>
      <c r="P2027" s="314"/>
      <c r="Q2027" s="314"/>
      <c r="R2027" s="314"/>
      <c r="S2027" s="314"/>
      <c r="T2027" s="314"/>
      <c r="U2027" s="314"/>
      <c r="V2027" s="314"/>
      <c r="W2027" s="314"/>
      <c r="X2027" s="314"/>
      <c r="Y2027" s="314"/>
      <c r="Z2027" s="314"/>
    </row>
    <row r="2028" spans="5:26" x14ac:dyDescent="0.35">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row>
    <row r="2029" spans="5:26" x14ac:dyDescent="0.35">
      <c r="E2029" s="314"/>
      <c r="F2029" s="314"/>
      <c r="G2029" s="314"/>
      <c r="H2029" s="314"/>
      <c r="I2029" s="314"/>
      <c r="J2029" s="314"/>
      <c r="K2029" s="314"/>
      <c r="L2029" s="314"/>
      <c r="M2029" s="314"/>
      <c r="N2029" s="314"/>
      <c r="O2029" s="314"/>
      <c r="P2029" s="314"/>
      <c r="Q2029" s="314"/>
      <c r="R2029" s="314"/>
      <c r="S2029" s="314"/>
      <c r="T2029" s="314"/>
      <c r="U2029" s="314"/>
      <c r="V2029" s="314"/>
      <c r="W2029" s="314"/>
      <c r="X2029" s="314"/>
      <c r="Y2029" s="314"/>
      <c r="Z2029" s="314"/>
    </row>
    <row r="2030" spans="5:26" x14ac:dyDescent="0.35">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row>
    <row r="2031" spans="5:26" x14ac:dyDescent="0.35">
      <c r="E2031" s="314"/>
      <c r="F2031" s="314"/>
      <c r="G2031" s="314"/>
      <c r="H2031" s="314"/>
      <c r="I2031" s="314"/>
      <c r="J2031" s="314"/>
      <c r="K2031" s="314"/>
      <c r="L2031" s="314"/>
      <c r="M2031" s="314"/>
      <c r="N2031" s="314"/>
      <c r="O2031" s="314"/>
      <c r="P2031" s="314"/>
      <c r="Q2031" s="314"/>
      <c r="R2031" s="314"/>
      <c r="S2031" s="314"/>
      <c r="T2031" s="314"/>
      <c r="U2031" s="314"/>
      <c r="V2031" s="314"/>
      <c r="W2031" s="314"/>
      <c r="X2031" s="314"/>
      <c r="Y2031" s="314"/>
      <c r="Z2031" s="314"/>
    </row>
    <row r="2032" spans="5:26" x14ac:dyDescent="0.35">
      <c r="E2032" s="314"/>
      <c r="F2032" s="314"/>
      <c r="G2032" s="314"/>
      <c r="H2032" s="314"/>
      <c r="I2032" s="314"/>
      <c r="J2032" s="314"/>
      <c r="K2032" s="314"/>
      <c r="L2032" s="314"/>
      <c r="M2032" s="314"/>
      <c r="N2032" s="314"/>
      <c r="O2032" s="314"/>
      <c r="P2032" s="314"/>
      <c r="Q2032" s="314"/>
      <c r="R2032" s="314"/>
      <c r="S2032" s="314"/>
      <c r="T2032" s="314"/>
      <c r="U2032" s="314"/>
      <c r="V2032" s="314"/>
      <c r="W2032" s="314"/>
      <c r="X2032" s="314"/>
      <c r="Y2032" s="314"/>
      <c r="Z2032" s="314"/>
    </row>
    <row r="2033" spans="5:26" x14ac:dyDescent="0.35">
      <c r="E2033" s="314"/>
      <c r="F2033" s="314"/>
      <c r="G2033" s="314"/>
      <c r="H2033" s="314"/>
      <c r="I2033" s="314"/>
      <c r="J2033" s="314"/>
      <c r="K2033" s="314"/>
      <c r="L2033" s="314"/>
      <c r="M2033" s="314"/>
      <c r="N2033" s="314"/>
      <c r="O2033" s="314"/>
      <c r="P2033" s="314"/>
      <c r="Q2033" s="314"/>
      <c r="R2033" s="314"/>
      <c r="S2033" s="314"/>
      <c r="T2033" s="314"/>
      <c r="U2033" s="314"/>
      <c r="V2033" s="314"/>
      <c r="W2033" s="314"/>
      <c r="X2033" s="314"/>
      <c r="Y2033" s="314"/>
      <c r="Z2033" s="314"/>
    </row>
    <row r="2034" spans="5:26" x14ac:dyDescent="0.35">
      <c r="E2034" s="314"/>
      <c r="F2034" s="314"/>
      <c r="G2034" s="314"/>
      <c r="H2034" s="314"/>
      <c r="I2034" s="314"/>
      <c r="J2034" s="314"/>
      <c r="K2034" s="314"/>
      <c r="L2034" s="314"/>
      <c r="M2034" s="314"/>
      <c r="N2034" s="314"/>
      <c r="O2034" s="314"/>
      <c r="P2034" s="314"/>
      <c r="Q2034" s="314"/>
      <c r="R2034" s="314"/>
      <c r="S2034" s="314"/>
      <c r="T2034" s="314"/>
      <c r="U2034" s="314"/>
      <c r="V2034" s="314"/>
      <c r="W2034" s="314"/>
      <c r="X2034" s="314"/>
      <c r="Y2034" s="314"/>
      <c r="Z2034" s="314"/>
    </row>
    <row r="2035" spans="5:26" x14ac:dyDescent="0.35">
      <c r="E2035" s="314"/>
      <c r="F2035" s="314"/>
      <c r="G2035" s="314"/>
      <c r="H2035" s="314"/>
      <c r="I2035" s="314"/>
      <c r="J2035" s="314"/>
      <c r="K2035" s="314"/>
      <c r="L2035" s="314"/>
      <c r="M2035" s="314"/>
      <c r="N2035" s="314"/>
      <c r="O2035" s="314"/>
      <c r="P2035" s="314"/>
      <c r="Q2035" s="314"/>
      <c r="R2035" s="314"/>
      <c r="S2035" s="314"/>
      <c r="T2035" s="314"/>
      <c r="U2035" s="314"/>
      <c r="V2035" s="314"/>
      <c r="W2035" s="314"/>
      <c r="X2035" s="314"/>
      <c r="Y2035" s="314"/>
      <c r="Z2035" s="314"/>
    </row>
    <row r="2036" spans="5:26" x14ac:dyDescent="0.35">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row>
    <row r="2037" spans="5:26" x14ac:dyDescent="0.35">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row>
    <row r="2038" spans="5:26" x14ac:dyDescent="0.35">
      <c r="E2038" s="314"/>
      <c r="F2038" s="314"/>
      <c r="G2038" s="314"/>
      <c r="H2038" s="314"/>
      <c r="I2038" s="314"/>
      <c r="J2038" s="314"/>
      <c r="K2038" s="314"/>
      <c r="L2038" s="314"/>
      <c r="M2038" s="314"/>
      <c r="N2038" s="314"/>
      <c r="O2038" s="314"/>
      <c r="P2038" s="314"/>
      <c r="Q2038" s="314"/>
      <c r="R2038" s="314"/>
      <c r="S2038" s="314"/>
      <c r="T2038" s="314"/>
      <c r="U2038" s="314"/>
      <c r="V2038" s="314"/>
      <c r="W2038" s="314"/>
      <c r="X2038" s="314"/>
      <c r="Y2038" s="314"/>
      <c r="Z2038" s="314"/>
    </row>
    <row r="2039" spans="5:26" x14ac:dyDescent="0.35">
      <c r="E2039" s="314"/>
      <c r="F2039" s="314"/>
      <c r="G2039" s="314"/>
      <c r="H2039" s="314"/>
      <c r="I2039" s="314"/>
      <c r="J2039" s="314"/>
      <c r="K2039" s="314"/>
      <c r="L2039" s="314"/>
      <c r="M2039" s="314"/>
      <c r="N2039" s="314"/>
      <c r="O2039" s="314"/>
      <c r="P2039" s="314"/>
      <c r="Q2039" s="314"/>
      <c r="R2039" s="314"/>
      <c r="S2039" s="314"/>
      <c r="T2039" s="314"/>
      <c r="U2039" s="314"/>
      <c r="V2039" s="314"/>
      <c r="W2039" s="314"/>
      <c r="X2039" s="314"/>
      <c r="Y2039" s="314"/>
      <c r="Z2039" s="314"/>
    </row>
    <row r="2040" spans="5:26" x14ac:dyDescent="0.35">
      <c r="E2040" s="314"/>
      <c r="F2040" s="314"/>
      <c r="G2040" s="314"/>
      <c r="H2040" s="314"/>
      <c r="I2040" s="314"/>
      <c r="J2040" s="314"/>
      <c r="K2040" s="314"/>
      <c r="L2040" s="314"/>
      <c r="M2040" s="314"/>
      <c r="N2040" s="314"/>
      <c r="O2040" s="314"/>
      <c r="P2040" s="314"/>
      <c r="Q2040" s="314"/>
      <c r="R2040" s="314"/>
      <c r="S2040" s="314"/>
      <c r="T2040" s="314"/>
      <c r="U2040" s="314"/>
      <c r="V2040" s="314"/>
      <c r="W2040" s="314"/>
      <c r="X2040" s="314"/>
      <c r="Y2040" s="314"/>
      <c r="Z2040" s="314"/>
    </row>
    <row r="2041" spans="5:26" x14ac:dyDescent="0.35">
      <c r="E2041" s="314"/>
      <c r="F2041" s="314"/>
      <c r="G2041" s="314"/>
      <c r="H2041" s="314"/>
      <c r="I2041" s="314"/>
      <c r="J2041" s="314"/>
      <c r="K2041" s="314"/>
      <c r="L2041" s="314"/>
      <c r="M2041" s="314"/>
      <c r="N2041" s="314"/>
      <c r="O2041" s="314"/>
      <c r="P2041" s="314"/>
      <c r="Q2041" s="314"/>
      <c r="R2041" s="314"/>
      <c r="S2041" s="314"/>
      <c r="T2041" s="314"/>
      <c r="U2041" s="314"/>
      <c r="V2041" s="314"/>
      <c r="W2041" s="314"/>
      <c r="X2041" s="314"/>
      <c r="Y2041" s="314"/>
      <c r="Z2041" s="314"/>
    </row>
    <row r="2042" spans="5:26" x14ac:dyDescent="0.35">
      <c r="E2042" s="314"/>
      <c r="F2042" s="314"/>
      <c r="G2042" s="314"/>
      <c r="H2042" s="314"/>
      <c r="I2042" s="314"/>
      <c r="J2042" s="314"/>
      <c r="K2042" s="314"/>
      <c r="L2042" s="314"/>
      <c r="M2042" s="314"/>
      <c r="N2042" s="314"/>
      <c r="O2042" s="314"/>
      <c r="P2042" s="314"/>
      <c r="Q2042" s="314"/>
      <c r="R2042" s="314"/>
      <c r="S2042" s="314"/>
      <c r="T2042" s="314"/>
      <c r="U2042" s="314"/>
      <c r="V2042" s="314"/>
      <c r="W2042" s="314"/>
      <c r="X2042" s="314"/>
      <c r="Y2042" s="314"/>
      <c r="Z2042" s="314"/>
    </row>
    <row r="2043" spans="5:26" x14ac:dyDescent="0.35">
      <c r="E2043" s="314"/>
      <c r="F2043" s="314"/>
      <c r="G2043" s="314"/>
      <c r="H2043" s="314"/>
      <c r="I2043" s="314"/>
      <c r="J2043" s="314"/>
      <c r="K2043" s="314"/>
      <c r="L2043" s="314"/>
      <c r="M2043" s="314"/>
      <c r="N2043" s="314"/>
      <c r="O2043" s="314"/>
      <c r="P2043" s="314"/>
      <c r="Q2043" s="314"/>
      <c r="R2043" s="314"/>
      <c r="S2043" s="314"/>
      <c r="T2043" s="314"/>
      <c r="U2043" s="314"/>
      <c r="V2043" s="314"/>
      <c r="W2043" s="314"/>
      <c r="X2043" s="314"/>
      <c r="Y2043" s="314"/>
      <c r="Z2043" s="314"/>
    </row>
    <row r="2044" spans="5:26" x14ac:dyDescent="0.35">
      <c r="E2044" s="314"/>
      <c r="F2044" s="314"/>
      <c r="G2044" s="314"/>
      <c r="H2044" s="314"/>
      <c r="I2044" s="314"/>
      <c r="J2044" s="314"/>
      <c r="K2044" s="314"/>
      <c r="L2044" s="314"/>
      <c r="M2044" s="314"/>
      <c r="N2044" s="314"/>
      <c r="O2044" s="314"/>
      <c r="P2044" s="314"/>
      <c r="Q2044" s="314"/>
      <c r="R2044" s="314"/>
      <c r="S2044" s="314"/>
      <c r="T2044" s="314"/>
      <c r="U2044" s="314"/>
      <c r="V2044" s="314"/>
      <c r="W2044" s="314"/>
      <c r="X2044" s="314"/>
      <c r="Y2044" s="314"/>
      <c r="Z2044" s="314"/>
    </row>
    <row r="2045" spans="5:26" x14ac:dyDescent="0.35">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row>
    <row r="2046" spans="5:26" x14ac:dyDescent="0.35">
      <c r="E2046" s="314"/>
      <c r="F2046" s="314"/>
      <c r="G2046" s="314"/>
      <c r="H2046" s="314"/>
      <c r="I2046" s="314"/>
      <c r="J2046" s="314"/>
      <c r="K2046" s="314"/>
      <c r="L2046" s="314"/>
      <c r="M2046" s="314"/>
      <c r="N2046" s="314"/>
      <c r="O2046" s="314"/>
      <c r="P2046" s="314"/>
      <c r="Q2046" s="314"/>
      <c r="R2046" s="314"/>
      <c r="S2046" s="314"/>
      <c r="T2046" s="314"/>
      <c r="U2046" s="314"/>
      <c r="V2046" s="314"/>
      <c r="W2046" s="314"/>
      <c r="X2046" s="314"/>
      <c r="Y2046" s="314"/>
      <c r="Z2046" s="314"/>
    </row>
    <row r="2047" spans="5:26" x14ac:dyDescent="0.35">
      <c r="E2047" s="314"/>
      <c r="F2047" s="314"/>
      <c r="G2047" s="314"/>
      <c r="H2047" s="314"/>
      <c r="I2047" s="314"/>
      <c r="J2047" s="314"/>
      <c r="K2047" s="314"/>
      <c r="L2047" s="314"/>
      <c r="M2047" s="314"/>
      <c r="N2047" s="314"/>
      <c r="O2047" s="314"/>
      <c r="P2047" s="314"/>
      <c r="Q2047" s="314"/>
      <c r="R2047" s="314"/>
      <c r="S2047" s="314"/>
      <c r="T2047" s="314"/>
      <c r="U2047" s="314"/>
      <c r="V2047" s="314"/>
      <c r="W2047" s="314"/>
      <c r="X2047" s="314"/>
      <c r="Y2047" s="314"/>
      <c r="Z2047" s="314"/>
    </row>
    <row r="2048" spans="5:26" x14ac:dyDescent="0.35">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row>
    <row r="2049" spans="5:26" x14ac:dyDescent="0.35">
      <c r="E2049" s="314"/>
      <c r="F2049" s="314"/>
      <c r="G2049" s="314"/>
      <c r="H2049" s="314"/>
      <c r="I2049" s="314"/>
      <c r="J2049" s="314"/>
      <c r="K2049" s="314"/>
      <c r="L2049" s="314"/>
      <c r="M2049" s="314"/>
      <c r="N2049" s="314"/>
      <c r="O2049" s="314"/>
      <c r="P2049" s="314"/>
      <c r="Q2049" s="314"/>
      <c r="R2049" s="314"/>
      <c r="S2049" s="314"/>
      <c r="T2049" s="314"/>
      <c r="U2049" s="314"/>
      <c r="V2049" s="314"/>
      <c r="W2049" s="314"/>
      <c r="X2049" s="314"/>
      <c r="Y2049" s="314"/>
      <c r="Z2049" s="314"/>
    </row>
    <row r="2050" spans="5:26" x14ac:dyDescent="0.35">
      <c r="E2050" s="314"/>
      <c r="F2050" s="314"/>
      <c r="G2050" s="314"/>
      <c r="H2050" s="314"/>
      <c r="I2050" s="314"/>
      <c r="J2050" s="314"/>
      <c r="K2050" s="314"/>
      <c r="L2050" s="314"/>
      <c r="M2050" s="314"/>
      <c r="N2050" s="314"/>
      <c r="O2050" s="314"/>
      <c r="P2050" s="314"/>
      <c r="Q2050" s="314"/>
      <c r="R2050" s="314"/>
      <c r="S2050" s="314"/>
      <c r="T2050" s="314"/>
      <c r="U2050" s="314"/>
      <c r="V2050" s="314"/>
      <c r="W2050" s="314"/>
      <c r="X2050" s="314"/>
      <c r="Y2050" s="314"/>
      <c r="Z2050" s="314"/>
    </row>
    <row r="2051" spans="5:26" x14ac:dyDescent="0.35">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row>
    <row r="2052" spans="5:26" x14ac:dyDescent="0.35">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row>
    <row r="2053" spans="5:26" x14ac:dyDescent="0.35">
      <c r="E2053" s="314"/>
      <c r="F2053" s="314"/>
      <c r="G2053" s="314"/>
      <c r="H2053" s="314"/>
      <c r="I2053" s="314"/>
      <c r="J2053" s="314"/>
      <c r="K2053" s="314"/>
      <c r="L2053" s="314"/>
      <c r="M2053" s="314"/>
      <c r="N2053" s="314"/>
      <c r="O2053" s="314"/>
      <c r="P2053" s="314"/>
      <c r="Q2053" s="314"/>
      <c r="R2053" s="314"/>
      <c r="S2053" s="314"/>
      <c r="T2053" s="314"/>
      <c r="U2053" s="314"/>
      <c r="V2053" s="314"/>
      <c r="W2053" s="314"/>
      <c r="X2053" s="314"/>
      <c r="Y2053" s="314"/>
      <c r="Z2053" s="314"/>
    </row>
    <row r="2054" spans="5:26" x14ac:dyDescent="0.35">
      <c r="E2054" s="314"/>
      <c r="F2054" s="314"/>
      <c r="G2054" s="314"/>
      <c r="H2054" s="314"/>
      <c r="I2054" s="314"/>
      <c r="J2054" s="314"/>
      <c r="K2054" s="314"/>
      <c r="L2054" s="314"/>
      <c r="M2054" s="314"/>
      <c r="N2054" s="314"/>
      <c r="O2054" s="314"/>
      <c r="P2054" s="314"/>
      <c r="Q2054" s="314"/>
      <c r="R2054" s="314"/>
      <c r="S2054" s="314"/>
      <c r="T2054" s="314"/>
      <c r="U2054" s="314"/>
      <c r="V2054" s="314"/>
      <c r="W2054" s="314"/>
      <c r="X2054" s="314"/>
      <c r="Y2054" s="314"/>
      <c r="Z2054" s="314"/>
    </row>
    <row r="2055" spans="5:26" x14ac:dyDescent="0.35">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row>
    <row r="2056" spans="5:26" x14ac:dyDescent="0.35">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row>
    <row r="2057" spans="5:26" x14ac:dyDescent="0.35">
      <c r="E2057" s="314"/>
      <c r="F2057" s="314"/>
      <c r="G2057" s="314"/>
      <c r="H2057" s="314"/>
      <c r="I2057" s="314"/>
      <c r="J2057" s="314"/>
      <c r="K2057" s="314"/>
      <c r="L2057" s="314"/>
      <c r="M2057" s="314"/>
      <c r="N2057" s="314"/>
      <c r="O2057" s="314"/>
      <c r="P2057" s="314"/>
      <c r="Q2057" s="314"/>
      <c r="R2057" s="314"/>
      <c r="S2057" s="314"/>
      <c r="T2057" s="314"/>
      <c r="U2057" s="314"/>
      <c r="V2057" s="314"/>
      <c r="W2057" s="314"/>
      <c r="X2057" s="314"/>
      <c r="Y2057" s="314"/>
      <c r="Z2057" s="314"/>
    </row>
    <row r="2058" spans="5:26" x14ac:dyDescent="0.35">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row>
    <row r="2059" spans="5:26" x14ac:dyDescent="0.35">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row>
    <row r="2060" spans="5:26" x14ac:dyDescent="0.35">
      <c r="E2060" s="314"/>
      <c r="F2060" s="314"/>
      <c r="G2060" s="314"/>
      <c r="H2060" s="314"/>
      <c r="I2060" s="314"/>
      <c r="J2060" s="314"/>
      <c r="K2060" s="314"/>
      <c r="L2060" s="314"/>
      <c r="M2060" s="314"/>
      <c r="N2060" s="314"/>
      <c r="O2060" s="314"/>
      <c r="P2060" s="314"/>
      <c r="Q2060" s="314"/>
      <c r="R2060" s="314"/>
      <c r="S2060" s="314"/>
      <c r="T2060" s="314"/>
      <c r="U2060" s="314"/>
      <c r="V2060" s="314"/>
      <c r="W2060" s="314"/>
      <c r="X2060" s="314"/>
      <c r="Y2060" s="314"/>
      <c r="Z2060" s="314"/>
    </row>
    <row r="2061" spans="5:26" x14ac:dyDescent="0.35">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row>
    <row r="2062" spans="5:26" x14ac:dyDescent="0.35">
      <c r="E2062" s="314"/>
      <c r="F2062" s="314"/>
      <c r="G2062" s="314"/>
      <c r="H2062" s="314"/>
      <c r="I2062" s="314"/>
      <c r="J2062" s="314"/>
      <c r="K2062" s="314"/>
      <c r="L2062" s="314"/>
      <c r="M2062" s="314"/>
      <c r="N2062" s="314"/>
      <c r="O2062" s="314"/>
      <c r="P2062" s="314"/>
      <c r="Q2062" s="314"/>
      <c r="R2062" s="314"/>
      <c r="S2062" s="314"/>
      <c r="T2062" s="314"/>
      <c r="U2062" s="314"/>
      <c r="V2062" s="314"/>
      <c r="W2062" s="314"/>
      <c r="X2062" s="314"/>
      <c r="Y2062" s="314"/>
      <c r="Z2062" s="314"/>
    </row>
    <row r="2063" spans="5:26" x14ac:dyDescent="0.35">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row>
    <row r="2064" spans="5:26" x14ac:dyDescent="0.35">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row>
    <row r="2065" spans="5:26" x14ac:dyDescent="0.35">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row>
    <row r="2066" spans="5:26" x14ac:dyDescent="0.35">
      <c r="E2066" s="314"/>
      <c r="F2066" s="314"/>
      <c r="G2066" s="314"/>
      <c r="H2066" s="314"/>
      <c r="I2066" s="314"/>
      <c r="J2066" s="314"/>
      <c r="K2066" s="314"/>
      <c r="L2066" s="314"/>
      <c r="M2066" s="314"/>
      <c r="N2066" s="314"/>
      <c r="O2066" s="314"/>
      <c r="P2066" s="314"/>
      <c r="Q2066" s="314"/>
      <c r="R2066" s="314"/>
      <c r="S2066" s="314"/>
      <c r="T2066" s="314"/>
      <c r="U2066" s="314"/>
      <c r="V2066" s="314"/>
      <c r="W2066" s="314"/>
      <c r="X2066" s="314"/>
      <c r="Y2066" s="314"/>
      <c r="Z2066" s="314"/>
    </row>
    <row r="2067" spans="5:26" x14ac:dyDescent="0.35">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row>
    <row r="2068" spans="5:26" x14ac:dyDescent="0.35">
      <c r="E2068" s="314"/>
      <c r="F2068" s="314"/>
      <c r="G2068" s="314"/>
      <c r="H2068" s="314"/>
      <c r="I2068" s="314"/>
      <c r="J2068" s="314"/>
      <c r="K2068" s="314"/>
      <c r="L2068" s="314"/>
      <c r="M2068" s="314"/>
      <c r="N2068" s="314"/>
      <c r="O2068" s="314"/>
      <c r="P2068" s="314"/>
      <c r="Q2068" s="314"/>
      <c r="R2068" s="314"/>
      <c r="S2068" s="314"/>
      <c r="T2068" s="314"/>
      <c r="U2068" s="314"/>
      <c r="V2068" s="314"/>
      <c r="W2068" s="314"/>
      <c r="X2068" s="314"/>
      <c r="Y2068" s="314"/>
      <c r="Z2068" s="314"/>
    </row>
    <row r="2069" spans="5:26" x14ac:dyDescent="0.35">
      <c r="E2069" s="314"/>
      <c r="F2069" s="314"/>
      <c r="G2069" s="314"/>
      <c r="H2069" s="314"/>
      <c r="I2069" s="314"/>
      <c r="J2069" s="314"/>
      <c r="K2069" s="314"/>
      <c r="L2069" s="314"/>
      <c r="M2069" s="314"/>
      <c r="N2069" s="314"/>
      <c r="O2069" s="314"/>
      <c r="P2069" s="314"/>
      <c r="Q2069" s="314"/>
      <c r="R2069" s="314"/>
      <c r="S2069" s="314"/>
      <c r="T2069" s="314"/>
      <c r="U2069" s="314"/>
      <c r="V2069" s="314"/>
      <c r="W2069" s="314"/>
      <c r="X2069" s="314"/>
      <c r="Y2069" s="314"/>
      <c r="Z2069" s="314"/>
    </row>
    <row r="2070" spans="5:26" x14ac:dyDescent="0.35">
      <c r="E2070" s="314"/>
      <c r="F2070" s="314"/>
      <c r="G2070" s="314"/>
      <c r="H2070" s="314"/>
      <c r="I2070" s="314"/>
      <c r="J2070" s="314"/>
      <c r="K2070" s="314"/>
      <c r="L2070" s="314"/>
      <c r="M2070" s="314"/>
      <c r="N2070" s="314"/>
      <c r="O2070" s="314"/>
      <c r="P2070" s="314"/>
      <c r="Q2070" s="314"/>
      <c r="R2070" s="314"/>
      <c r="S2070" s="314"/>
      <c r="T2070" s="314"/>
      <c r="U2070" s="314"/>
      <c r="V2070" s="314"/>
      <c r="W2070" s="314"/>
      <c r="X2070" s="314"/>
      <c r="Y2070" s="314"/>
      <c r="Z2070" s="314"/>
    </row>
    <row r="2071" spans="5:26" x14ac:dyDescent="0.35">
      <c r="E2071" s="314"/>
      <c r="F2071" s="314"/>
      <c r="G2071" s="314"/>
      <c r="H2071" s="314"/>
      <c r="I2071" s="314"/>
      <c r="J2071" s="314"/>
      <c r="K2071" s="314"/>
      <c r="L2071" s="314"/>
      <c r="M2071" s="314"/>
      <c r="N2071" s="314"/>
      <c r="O2071" s="314"/>
      <c r="P2071" s="314"/>
      <c r="Q2071" s="314"/>
      <c r="R2071" s="314"/>
      <c r="S2071" s="314"/>
      <c r="T2071" s="314"/>
      <c r="U2071" s="314"/>
      <c r="V2071" s="314"/>
      <c r="W2071" s="314"/>
      <c r="X2071" s="314"/>
      <c r="Y2071" s="314"/>
      <c r="Z2071" s="314"/>
    </row>
    <row r="2072" spans="5:26" x14ac:dyDescent="0.35">
      <c r="E2072" s="314"/>
      <c r="F2072" s="314"/>
      <c r="G2072" s="314"/>
      <c r="H2072" s="314"/>
      <c r="I2072" s="314"/>
      <c r="J2072" s="314"/>
      <c r="K2072" s="314"/>
      <c r="L2072" s="314"/>
      <c r="M2072" s="314"/>
      <c r="N2072" s="314"/>
      <c r="O2072" s="314"/>
      <c r="P2072" s="314"/>
      <c r="Q2072" s="314"/>
      <c r="R2072" s="314"/>
      <c r="S2072" s="314"/>
      <c r="T2072" s="314"/>
      <c r="U2072" s="314"/>
      <c r="V2072" s="314"/>
      <c r="W2072" s="314"/>
      <c r="X2072" s="314"/>
      <c r="Y2072" s="314"/>
      <c r="Z2072" s="314"/>
    </row>
    <row r="2073" spans="5:26" x14ac:dyDescent="0.35">
      <c r="E2073" s="314"/>
      <c r="F2073" s="314"/>
      <c r="G2073" s="314"/>
      <c r="H2073" s="314"/>
      <c r="I2073" s="314"/>
      <c r="J2073" s="314"/>
      <c r="K2073" s="314"/>
      <c r="L2073" s="314"/>
      <c r="M2073" s="314"/>
      <c r="N2073" s="314"/>
      <c r="O2073" s="314"/>
      <c r="P2073" s="314"/>
      <c r="Q2073" s="314"/>
      <c r="R2073" s="314"/>
      <c r="S2073" s="314"/>
      <c r="T2073" s="314"/>
      <c r="U2073" s="314"/>
      <c r="V2073" s="314"/>
      <c r="W2073" s="314"/>
      <c r="X2073" s="314"/>
      <c r="Y2073" s="314"/>
      <c r="Z2073" s="314"/>
    </row>
    <row r="2074" spans="5:26" x14ac:dyDescent="0.35">
      <c r="E2074" s="314"/>
      <c r="F2074" s="314"/>
      <c r="G2074" s="314"/>
      <c r="H2074" s="314"/>
      <c r="I2074" s="314"/>
      <c r="J2074" s="314"/>
      <c r="K2074" s="314"/>
      <c r="L2074" s="314"/>
      <c r="M2074" s="314"/>
      <c r="N2074" s="314"/>
      <c r="O2074" s="314"/>
      <c r="P2074" s="314"/>
      <c r="Q2074" s="314"/>
      <c r="R2074" s="314"/>
      <c r="S2074" s="314"/>
      <c r="T2074" s="314"/>
      <c r="U2074" s="314"/>
      <c r="V2074" s="314"/>
      <c r="W2074" s="314"/>
      <c r="X2074" s="314"/>
      <c r="Y2074" s="314"/>
      <c r="Z2074" s="314"/>
    </row>
    <row r="2075" spans="5:26" x14ac:dyDescent="0.35">
      <c r="E2075" s="314"/>
      <c r="F2075" s="314"/>
      <c r="G2075" s="314"/>
      <c r="H2075" s="314"/>
      <c r="I2075" s="314"/>
      <c r="J2075" s="314"/>
      <c r="K2075" s="314"/>
      <c r="L2075" s="314"/>
      <c r="M2075" s="314"/>
      <c r="N2075" s="314"/>
      <c r="O2075" s="314"/>
      <c r="P2075" s="314"/>
      <c r="Q2075" s="314"/>
      <c r="R2075" s="314"/>
      <c r="S2075" s="314"/>
      <c r="T2075" s="314"/>
      <c r="U2075" s="314"/>
      <c r="V2075" s="314"/>
      <c r="W2075" s="314"/>
      <c r="X2075" s="314"/>
      <c r="Y2075" s="314"/>
      <c r="Z2075" s="314"/>
    </row>
    <row r="2076" spans="5:26" x14ac:dyDescent="0.35">
      <c r="E2076" s="314"/>
      <c r="F2076" s="314"/>
      <c r="G2076" s="314"/>
      <c r="H2076" s="314"/>
      <c r="I2076" s="314"/>
      <c r="J2076" s="314"/>
      <c r="K2076" s="314"/>
      <c r="L2076" s="314"/>
      <c r="M2076" s="314"/>
      <c r="N2076" s="314"/>
      <c r="O2076" s="314"/>
      <c r="P2076" s="314"/>
      <c r="Q2076" s="314"/>
      <c r="R2076" s="314"/>
      <c r="S2076" s="314"/>
      <c r="T2076" s="314"/>
      <c r="U2076" s="314"/>
      <c r="V2076" s="314"/>
      <c r="W2076" s="314"/>
      <c r="X2076" s="314"/>
      <c r="Y2076" s="314"/>
      <c r="Z2076" s="314"/>
    </row>
    <row r="2077" spans="5:26" x14ac:dyDescent="0.35">
      <c r="E2077" s="314"/>
      <c r="F2077" s="314"/>
      <c r="G2077" s="314"/>
      <c r="H2077" s="314"/>
      <c r="I2077" s="314"/>
      <c r="J2077" s="314"/>
      <c r="K2077" s="314"/>
      <c r="L2077" s="314"/>
      <c r="M2077" s="314"/>
      <c r="N2077" s="314"/>
      <c r="O2077" s="314"/>
      <c r="P2077" s="314"/>
      <c r="Q2077" s="314"/>
      <c r="R2077" s="314"/>
      <c r="S2077" s="314"/>
      <c r="T2077" s="314"/>
      <c r="U2077" s="314"/>
      <c r="V2077" s="314"/>
      <c r="W2077" s="314"/>
      <c r="X2077" s="314"/>
      <c r="Y2077" s="314"/>
      <c r="Z2077" s="314"/>
    </row>
    <row r="2078" spans="5:26" x14ac:dyDescent="0.35">
      <c r="E2078" s="314"/>
      <c r="F2078" s="314"/>
      <c r="G2078" s="314"/>
      <c r="H2078" s="314"/>
      <c r="I2078" s="314"/>
      <c r="J2078" s="314"/>
      <c r="K2078" s="314"/>
      <c r="L2078" s="314"/>
      <c r="M2078" s="314"/>
      <c r="N2078" s="314"/>
      <c r="O2078" s="314"/>
      <c r="P2078" s="314"/>
      <c r="Q2078" s="314"/>
      <c r="R2078" s="314"/>
      <c r="S2078" s="314"/>
      <c r="T2078" s="314"/>
      <c r="U2078" s="314"/>
      <c r="V2078" s="314"/>
      <c r="W2078" s="314"/>
      <c r="X2078" s="314"/>
      <c r="Y2078" s="314"/>
      <c r="Z2078" s="314"/>
    </row>
    <row r="2079" spans="5:26" x14ac:dyDescent="0.35">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row>
    <row r="2080" spans="5:26" x14ac:dyDescent="0.35">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row>
    <row r="2081" spans="5:26" x14ac:dyDescent="0.35">
      <c r="E2081" s="314"/>
      <c r="F2081" s="314"/>
      <c r="G2081" s="314"/>
      <c r="H2081" s="314"/>
      <c r="I2081" s="314"/>
      <c r="J2081" s="314"/>
      <c r="K2081" s="314"/>
      <c r="L2081" s="314"/>
      <c r="M2081" s="314"/>
      <c r="N2081" s="314"/>
      <c r="O2081" s="314"/>
      <c r="P2081" s="314"/>
      <c r="Q2081" s="314"/>
      <c r="R2081" s="314"/>
      <c r="S2081" s="314"/>
      <c r="T2081" s="314"/>
      <c r="U2081" s="314"/>
      <c r="V2081" s="314"/>
      <c r="W2081" s="314"/>
      <c r="X2081" s="314"/>
      <c r="Y2081" s="314"/>
      <c r="Z2081" s="314"/>
    </row>
    <row r="2082" spans="5:26" x14ac:dyDescent="0.35">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row>
    <row r="2083" spans="5:26" x14ac:dyDescent="0.35">
      <c r="E2083" s="314"/>
      <c r="F2083" s="314"/>
      <c r="G2083" s="314"/>
      <c r="H2083" s="314"/>
      <c r="I2083" s="314"/>
      <c r="J2083" s="314"/>
      <c r="K2083" s="314"/>
      <c r="L2083" s="314"/>
      <c r="M2083" s="314"/>
      <c r="N2083" s="314"/>
      <c r="O2083" s="314"/>
      <c r="P2083" s="314"/>
      <c r="Q2083" s="314"/>
      <c r="R2083" s="314"/>
      <c r="S2083" s="314"/>
      <c r="T2083" s="314"/>
      <c r="U2083" s="314"/>
      <c r="V2083" s="314"/>
      <c r="W2083" s="314"/>
      <c r="X2083" s="314"/>
      <c r="Y2083" s="314"/>
      <c r="Z2083" s="314"/>
    </row>
    <row r="2084" spans="5:26" x14ac:dyDescent="0.35">
      <c r="E2084" s="314"/>
      <c r="F2084" s="314"/>
      <c r="G2084" s="314"/>
      <c r="H2084" s="314"/>
      <c r="I2084" s="314"/>
      <c r="J2084" s="314"/>
      <c r="K2084" s="314"/>
      <c r="L2084" s="314"/>
      <c r="M2084" s="314"/>
      <c r="N2084" s="314"/>
      <c r="O2084" s="314"/>
      <c r="P2084" s="314"/>
      <c r="Q2084" s="314"/>
      <c r="R2084" s="314"/>
      <c r="S2084" s="314"/>
      <c r="T2084" s="314"/>
      <c r="U2084" s="314"/>
      <c r="V2084" s="314"/>
      <c r="W2084" s="314"/>
      <c r="X2084" s="314"/>
      <c r="Y2084" s="314"/>
      <c r="Z2084" s="314"/>
    </row>
    <row r="2085" spans="5:26" x14ac:dyDescent="0.35">
      <c r="E2085" s="314"/>
      <c r="F2085" s="314"/>
      <c r="G2085" s="314"/>
      <c r="H2085" s="314"/>
      <c r="I2085" s="314"/>
      <c r="J2085" s="314"/>
      <c r="K2085" s="314"/>
      <c r="L2085" s="314"/>
      <c r="M2085" s="314"/>
      <c r="N2085" s="314"/>
      <c r="O2085" s="314"/>
      <c r="P2085" s="314"/>
      <c r="Q2085" s="314"/>
      <c r="R2085" s="314"/>
      <c r="S2085" s="314"/>
      <c r="T2085" s="314"/>
      <c r="U2085" s="314"/>
      <c r="V2085" s="314"/>
      <c r="W2085" s="314"/>
      <c r="X2085" s="314"/>
      <c r="Y2085" s="314"/>
      <c r="Z2085" s="314"/>
    </row>
    <row r="2086" spans="5:26" x14ac:dyDescent="0.35">
      <c r="E2086" s="314"/>
      <c r="F2086" s="314"/>
      <c r="G2086" s="314"/>
      <c r="H2086" s="314"/>
      <c r="I2086" s="314"/>
      <c r="J2086" s="314"/>
      <c r="K2086" s="314"/>
      <c r="L2086" s="314"/>
      <c r="M2086" s="314"/>
      <c r="N2086" s="314"/>
      <c r="O2086" s="314"/>
      <c r="P2086" s="314"/>
      <c r="Q2086" s="314"/>
      <c r="R2086" s="314"/>
      <c r="S2086" s="314"/>
      <c r="T2086" s="314"/>
      <c r="U2086" s="314"/>
      <c r="V2086" s="314"/>
      <c r="W2086" s="314"/>
      <c r="X2086" s="314"/>
      <c r="Y2086" s="314"/>
      <c r="Z2086" s="314"/>
    </row>
    <row r="2087" spans="5:26" x14ac:dyDescent="0.35">
      <c r="E2087" s="314"/>
      <c r="F2087" s="314"/>
      <c r="G2087" s="314"/>
      <c r="H2087" s="314"/>
      <c r="I2087" s="314"/>
      <c r="J2087" s="314"/>
      <c r="K2087" s="314"/>
      <c r="L2087" s="314"/>
      <c r="M2087" s="314"/>
      <c r="N2087" s="314"/>
      <c r="O2087" s="314"/>
      <c r="P2087" s="314"/>
      <c r="Q2087" s="314"/>
      <c r="R2087" s="314"/>
      <c r="S2087" s="314"/>
      <c r="T2087" s="314"/>
      <c r="U2087" s="314"/>
      <c r="V2087" s="314"/>
      <c r="W2087" s="314"/>
      <c r="X2087" s="314"/>
      <c r="Y2087" s="314"/>
      <c r="Z2087" s="314"/>
    </row>
    <row r="2088" spans="5:26" x14ac:dyDescent="0.35">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row>
    <row r="2089" spans="5:26" x14ac:dyDescent="0.35">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row>
    <row r="2090" spans="5:26" x14ac:dyDescent="0.35">
      <c r="E2090" s="314"/>
      <c r="F2090" s="314"/>
      <c r="G2090" s="314"/>
      <c r="H2090" s="314"/>
      <c r="I2090" s="314"/>
      <c r="J2090" s="314"/>
      <c r="K2090" s="314"/>
      <c r="L2090" s="314"/>
      <c r="M2090" s="314"/>
      <c r="N2090" s="314"/>
      <c r="O2090" s="314"/>
      <c r="P2090" s="314"/>
      <c r="Q2090" s="314"/>
      <c r="R2090" s="314"/>
      <c r="S2090" s="314"/>
      <c r="T2090" s="314"/>
      <c r="U2090" s="314"/>
      <c r="V2090" s="314"/>
      <c r="W2090" s="314"/>
      <c r="X2090" s="314"/>
      <c r="Y2090" s="314"/>
      <c r="Z2090" s="314"/>
    </row>
    <row r="2091" spans="5:26" x14ac:dyDescent="0.35">
      <c r="E2091" s="314"/>
      <c r="F2091" s="314"/>
      <c r="G2091" s="314"/>
      <c r="H2091" s="314"/>
      <c r="I2091" s="314"/>
      <c r="J2091" s="314"/>
      <c r="K2091" s="314"/>
      <c r="L2091" s="314"/>
      <c r="M2091" s="314"/>
      <c r="N2091" s="314"/>
      <c r="O2091" s="314"/>
      <c r="P2091" s="314"/>
      <c r="Q2091" s="314"/>
      <c r="R2091" s="314"/>
      <c r="S2091" s="314"/>
      <c r="T2091" s="314"/>
      <c r="U2091" s="314"/>
      <c r="V2091" s="314"/>
      <c r="W2091" s="314"/>
      <c r="X2091" s="314"/>
      <c r="Y2091" s="314"/>
      <c r="Z2091" s="314"/>
    </row>
    <row r="2092" spans="5:26" x14ac:dyDescent="0.35">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row>
    <row r="2093" spans="5:26" x14ac:dyDescent="0.35">
      <c r="E2093" s="314"/>
      <c r="F2093" s="314"/>
      <c r="G2093" s="314"/>
      <c r="H2093" s="314"/>
      <c r="I2093" s="314"/>
      <c r="J2093" s="314"/>
      <c r="K2093" s="314"/>
      <c r="L2093" s="314"/>
      <c r="M2093" s="314"/>
      <c r="N2093" s="314"/>
      <c r="O2093" s="314"/>
      <c r="P2093" s="314"/>
      <c r="Q2093" s="314"/>
      <c r="R2093" s="314"/>
      <c r="S2093" s="314"/>
      <c r="T2093" s="314"/>
      <c r="U2093" s="314"/>
      <c r="V2093" s="314"/>
      <c r="W2093" s="314"/>
      <c r="X2093" s="314"/>
      <c r="Y2093" s="314"/>
      <c r="Z2093" s="314"/>
    </row>
    <row r="2094" spans="5:26" x14ac:dyDescent="0.35">
      <c r="E2094" s="314"/>
      <c r="F2094" s="314"/>
      <c r="G2094" s="314"/>
      <c r="H2094" s="314"/>
      <c r="I2094" s="314"/>
      <c r="J2094" s="314"/>
      <c r="K2094" s="314"/>
      <c r="L2094" s="314"/>
      <c r="M2094" s="314"/>
      <c r="N2094" s="314"/>
      <c r="O2094" s="314"/>
      <c r="P2094" s="314"/>
      <c r="Q2094" s="314"/>
      <c r="R2094" s="314"/>
      <c r="S2094" s="314"/>
      <c r="T2094" s="314"/>
      <c r="U2094" s="314"/>
      <c r="V2094" s="314"/>
      <c r="W2094" s="314"/>
      <c r="X2094" s="314"/>
      <c r="Y2094" s="314"/>
      <c r="Z2094" s="314"/>
    </row>
    <row r="2095" spans="5:26" x14ac:dyDescent="0.35">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row>
    <row r="2096" spans="5:26" x14ac:dyDescent="0.35">
      <c r="E2096" s="314"/>
      <c r="F2096" s="314"/>
      <c r="G2096" s="314"/>
      <c r="H2096" s="314"/>
      <c r="I2096" s="314"/>
      <c r="J2096" s="314"/>
      <c r="K2096" s="314"/>
      <c r="L2096" s="314"/>
      <c r="M2096" s="314"/>
      <c r="N2096" s="314"/>
      <c r="O2096" s="314"/>
      <c r="P2096" s="314"/>
      <c r="Q2096" s="314"/>
      <c r="R2096" s="314"/>
      <c r="S2096" s="314"/>
      <c r="T2096" s="314"/>
      <c r="U2096" s="314"/>
      <c r="V2096" s="314"/>
      <c r="W2096" s="314"/>
      <c r="X2096" s="314"/>
      <c r="Y2096" s="314"/>
      <c r="Z2096" s="314"/>
    </row>
    <row r="2097" spans="5:26" x14ac:dyDescent="0.35">
      <c r="E2097" s="314"/>
      <c r="F2097" s="314"/>
      <c r="G2097" s="314"/>
      <c r="H2097" s="314"/>
      <c r="I2097" s="314"/>
      <c r="J2097" s="314"/>
      <c r="K2097" s="314"/>
      <c r="L2097" s="314"/>
      <c r="M2097" s="314"/>
      <c r="N2097" s="314"/>
      <c r="O2097" s="314"/>
      <c r="P2097" s="314"/>
      <c r="Q2097" s="314"/>
      <c r="R2097" s="314"/>
      <c r="S2097" s="314"/>
      <c r="T2097" s="314"/>
      <c r="U2097" s="314"/>
      <c r="V2097" s="314"/>
      <c r="W2097" s="314"/>
      <c r="X2097" s="314"/>
      <c r="Y2097" s="314"/>
      <c r="Z2097" s="314"/>
    </row>
    <row r="2098" spans="5:26" x14ac:dyDescent="0.35">
      <c r="E2098" s="314"/>
      <c r="F2098" s="314"/>
      <c r="G2098" s="314"/>
      <c r="H2098" s="314"/>
      <c r="I2098" s="314"/>
      <c r="J2098" s="314"/>
      <c r="K2098" s="314"/>
      <c r="L2098" s="314"/>
      <c r="M2098" s="314"/>
      <c r="N2098" s="314"/>
      <c r="O2098" s="314"/>
      <c r="P2098" s="314"/>
      <c r="Q2098" s="314"/>
      <c r="R2098" s="314"/>
      <c r="S2098" s="314"/>
      <c r="T2098" s="314"/>
      <c r="U2098" s="314"/>
      <c r="V2098" s="314"/>
      <c r="W2098" s="314"/>
      <c r="X2098" s="314"/>
      <c r="Y2098" s="314"/>
      <c r="Z2098" s="314"/>
    </row>
    <row r="2099" spans="5:26" x14ac:dyDescent="0.35">
      <c r="E2099" s="314"/>
      <c r="F2099" s="314"/>
      <c r="G2099" s="314"/>
      <c r="H2099" s="314"/>
      <c r="I2099" s="314"/>
      <c r="J2099" s="314"/>
      <c r="K2099" s="314"/>
      <c r="L2099" s="314"/>
      <c r="M2099" s="314"/>
      <c r="N2099" s="314"/>
      <c r="O2099" s="314"/>
      <c r="P2099" s="314"/>
      <c r="Q2099" s="314"/>
      <c r="R2099" s="314"/>
      <c r="S2099" s="314"/>
      <c r="T2099" s="314"/>
      <c r="U2099" s="314"/>
      <c r="V2099" s="314"/>
      <c r="W2099" s="314"/>
      <c r="X2099" s="314"/>
      <c r="Y2099" s="314"/>
      <c r="Z2099" s="314"/>
    </row>
    <row r="2100" spans="5:26" x14ac:dyDescent="0.35">
      <c r="E2100" s="314"/>
      <c r="F2100" s="314"/>
      <c r="G2100" s="314"/>
      <c r="H2100" s="314"/>
      <c r="I2100" s="314"/>
      <c r="J2100" s="314"/>
      <c r="K2100" s="314"/>
      <c r="L2100" s="314"/>
      <c r="M2100" s="314"/>
      <c r="N2100" s="314"/>
      <c r="O2100" s="314"/>
      <c r="P2100" s="314"/>
      <c r="Q2100" s="314"/>
      <c r="R2100" s="314"/>
      <c r="S2100" s="314"/>
      <c r="T2100" s="314"/>
      <c r="U2100" s="314"/>
      <c r="V2100" s="314"/>
      <c r="W2100" s="314"/>
      <c r="X2100" s="314"/>
      <c r="Y2100" s="314"/>
      <c r="Z2100" s="314"/>
    </row>
    <row r="2101" spans="5:26" x14ac:dyDescent="0.35">
      <c r="E2101" s="314"/>
      <c r="F2101" s="314"/>
      <c r="G2101" s="314"/>
      <c r="H2101" s="314"/>
      <c r="I2101" s="314"/>
      <c r="J2101" s="314"/>
      <c r="K2101" s="314"/>
      <c r="L2101" s="314"/>
      <c r="M2101" s="314"/>
      <c r="N2101" s="314"/>
      <c r="O2101" s="314"/>
      <c r="P2101" s="314"/>
      <c r="Q2101" s="314"/>
      <c r="R2101" s="314"/>
      <c r="S2101" s="314"/>
      <c r="T2101" s="314"/>
      <c r="U2101" s="314"/>
      <c r="V2101" s="314"/>
      <c r="W2101" s="314"/>
      <c r="X2101" s="314"/>
      <c r="Y2101" s="314"/>
      <c r="Z2101" s="314"/>
    </row>
    <row r="2102" spans="5:26" x14ac:dyDescent="0.35">
      <c r="E2102" s="314"/>
      <c r="F2102" s="314"/>
      <c r="G2102" s="314"/>
      <c r="H2102" s="314"/>
      <c r="I2102" s="314"/>
      <c r="J2102" s="314"/>
      <c r="K2102" s="314"/>
      <c r="L2102" s="314"/>
      <c r="M2102" s="314"/>
      <c r="N2102" s="314"/>
      <c r="O2102" s="314"/>
      <c r="P2102" s="314"/>
      <c r="Q2102" s="314"/>
      <c r="R2102" s="314"/>
      <c r="S2102" s="314"/>
      <c r="T2102" s="314"/>
      <c r="U2102" s="314"/>
      <c r="V2102" s="314"/>
      <c r="W2102" s="314"/>
      <c r="X2102" s="314"/>
      <c r="Y2102" s="314"/>
      <c r="Z2102" s="314"/>
    </row>
    <row r="2103" spans="5:26" x14ac:dyDescent="0.35">
      <c r="E2103" s="314"/>
      <c r="F2103" s="314"/>
      <c r="G2103" s="314"/>
      <c r="H2103" s="314"/>
      <c r="I2103" s="314"/>
      <c r="J2103" s="314"/>
      <c r="K2103" s="314"/>
      <c r="L2103" s="314"/>
      <c r="M2103" s="314"/>
      <c r="N2103" s="314"/>
      <c r="O2103" s="314"/>
      <c r="P2103" s="314"/>
      <c r="Q2103" s="314"/>
      <c r="R2103" s="314"/>
      <c r="S2103" s="314"/>
      <c r="T2103" s="314"/>
      <c r="U2103" s="314"/>
      <c r="V2103" s="314"/>
      <c r="W2103" s="314"/>
      <c r="X2103" s="314"/>
      <c r="Y2103" s="314"/>
      <c r="Z2103" s="314"/>
    </row>
    <row r="2104" spans="5:26" x14ac:dyDescent="0.35">
      <c r="E2104" s="314"/>
      <c r="F2104" s="314"/>
      <c r="G2104" s="314"/>
      <c r="H2104" s="314"/>
      <c r="I2104" s="314"/>
      <c r="J2104" s="314"/>
      <c r="K2104" s="314"/>
      <c r="L2104" s="314"/>
      <c r="M2104" s="314"/>
      <c r="N2104" s="314"/>
      <c r="O2104" s="314"/>
      <c r="P2104" s="314"/>
      <c r="Q2104" s="314"/>
      <c r="R2104" s="314"/>
      <c r="S2104" s="314"/>
      <c r="T2104" s="314"/>
      <c r="U2104" s="314"/>
      <c r="V2104" s="314"/>
      <c r="W2104" s="314"/>
      <c r="X2104" s="314"/>
      <c r="Y2104" s="314"/>
      <c r="Z2104" s="314"/>
    </row>
    <row r="2105" spans="5:26" x14ac:dyDescent="0.35">
      <c r="E2105" s="314"/>
      <c r="F2105" s="314"/>
      <c r="G2105" s="314"/>
      <c r="H2105" s="314"/>
      <c r="I2105" s="314"/>
      <c r="J2105" s="314"/>
      <c r="K2105" s="314"/>
      <c r="L2105" s="314"/>
      <c r="M2105" s="314"/>
      <c r="N2105" s="314"/>
      <c r="O2105" s="314"/>
      <c r="P2105" s="314"/>
      <c r="Q2105" s="314"/>
      <c r="R2105" s="314"/>
      <c r="S2105" s="314"/>
      <c r="T2105" s="314"/>
      <c r="U2105" s="314"/>
      <c r="V2105" s="314"/>
      <c r="W2105" s="314"/>
      <c r="X2105" s="314"/>
      <c r="Y2105" s="314"/>
      <c r="Z2105" s="314"/>
    </row>
    <row r="2106" spans="5:26" x14ac:dyDescent="0.35">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row>
    <row r="2107" spans="5:26" x14ac:dyDescent="0.35">
      <c r="E2107" s="314"/>
      <c r="F2107" s="314"/>
      <c r="G2107" s="314"/>
      <c r="H2107" s="314"/>
      <c r="I2107" s="314"/>
      <c r="J2107" s="314"/>
      <c r="K2107" s="314"/>
      <c r="L2107" s="314"/>
      <c r="M2107" s="314"/>
      <c r="N2107" s="314"/>
      <c r="O2107" s="314"/>
      <c r="P2107" s="314"/>
      <c r="Q2107" s="314"/>
      <c r="R2107" s="314"/>
      <c r="S2107" s="314"/>
      <c r="T2107" s="314"/>
      <c r="U2107" s="314"/>
      <c r="V2107" s="314"/>
      <c r="W2107" s="314"/>
      <c r="X2107" s="314"/>
      <c r="Y2107" s="314"/>
      <c r="Z2107" s="314"/>
    </row>
    <row r="2108" spans="5:26" x14ac:dyDescent="0.35">
      <c r="E2108" s="314"/>
      <c r="F2108" s="314"/>
      <c r="G2108" s="314"/>
      <c r="H2108" s="314"/>
      <c r="I2108" s="314"/>
      <c r="J2108" s="314"/>
      <c r="K2108" s="314"/>
      <c r="L2108" s="314"/>
      <c r="M2108" s="314"/>
      <c r="N2108" s="314"/>
      <c r="O2108" s="314"/>
      <c r="P2108" s="314"/>
      <c r="Q2108" s="314"/>
      <c r="R2108" s="314"/>
      <c r="S2108" s="314"/>
      <c r="T2108" s="314"/>
      <c r="U2108" s="314"/>
      <c r="V2108" s="314"/>
      <c r="W2108" s="314"/>
      <c r="X2108" s="314"/>
      <c r="Y2108" s="314"/>
      <c r="Z2108" s="314"/>
    </row>
    <row r="2109" spans="5:26" x14ac:dyDescent="0.35">
      <c r="E2109" s="314"/>
      <c r="F2109" s="314"/>
      <c r="G2109" s="314"/>
      <c r="H2109" s="314"/>
      <c r="I2109" s="314"/>
      <c r="J2109" s="314"/>
      <c r="K2109" s="314"/>
      <c r="L2109" s="314"/>
      <c r="M2109" s="314"/>
      <c r="N2109" s="314"/>
      <c r="O2109" s="314"/>
      <c r="P2109" s="314"/>
      <c r="Q2109" s="314"/>
      <c r="R2109" s="314"/>
      <c r="S2109" s="314"/>
      <c r="T2109" s="314"/>
      <c r="U2109" s="314"/>
      <c r="V2109" s="314"/>
      <c r="W2109" s="314"/>
      <c r="X2109" s="314"/>
      <c r="Y2109" s="314"/>
      <c r="Z2109" s="314"/>
    </row>
    <row r="2110" spans="5:26" x14ac:dyDescent="0.35">
      <c r="E2110" s="314"/>
      <c r="F2110" s="314"/>
      <c r="G2110" s="314"/>
      <c r="H2110" s="314"/>
      <c r="I2110" s="314"/>
      <c r="J2110" s="314"/>
      <c r="K2110" s="314"/>
      <c r="L2110" s="314"/>
      <c r="M2110" s="314"/>
      <c r="N2110" s="314"/>
      <c r="O2110" s="314"/>
      <c r="P2110" s="314"/>
      <c r="Q2110" s="314"/>
      <c r="R2110" s="314"/>
      <c r="S2110" s="314"/>
      <c r="T2110" s="314"/>
      <c r="U2110" s="314"/>
      <c r="V2110" s="314"/>
      <c r="W2110" s="314"/>
      <c r="X2110" s="314"/>
      <c r="Y2110" s="314"/>
      <c r="Z2110" s="314"/>
    </row>
    <row r="2111" spans="5:26" x14ac:dyDescent="0.35">
      <c r="E2111" s="314"/>
      <c r="F2111" s="314"/>
      <c r="G2111" s="314"/>
      <c r="H2111" s="314"/>
      <c r="I2111" s="314"/>
      <c r="J2111" s="314"/>
      <c r="K2111" s="314"/>
      <c r="L2111" s="314"/>
      <c r="M2111" s="314"/>
      <c r="N2111" s="314"/>
      <c r="O2111" s="314"/>
      <c r="P2111" s="314"/>
      <c r="Q2111" s="314"/>
      <c r="R2111" s="314"/>
      <c r="S2111" s="314"/>
      <c r="T2111" s="314"/>
      <c r="U2111" s="314"/>
      <c r="V2111" s="314"/>
      <c r="W2111" s="314"/>
      <c r="X2111" s="314"/>
      <c r="Y2111" s="314"/>
      <c r="Z2111" s="314"/>
    </row>
    <row r="2112" spans="5:26" x14ac:dyDescent="0.35">
      <c r="E2112" s="314"/>
      <c r="F2112" s="314"/>
      <c r="G2112" s="314"/>
      <c r="H2112" s="314"/>
      <c r="I2112" s="314"/>
      <c r="J2112" s="314"/>
      <c r="K2112" s="314"/>
      <c r="L2112" s="314"/>
      <c r="M2112" s="314"/>
      <c r="N2112" s="314"/>
      <c r="O2112" s="314"/>
      <c r="P2112" s="314"/>
      <c r="Q2112" s="314"/>
      <c r="R2112" s="314"/>
      <c r="S2112" s="314"/>
      <c r="T2112" s="314"/>
      <c r="U2112" s="314"/>
      <c r="V2112" s="314"/>
      <c r="W2112" s="314"/>
      <c r="X2112" s="314"/>
      <c r="Y2112" s="314"/>
      <c r="Z2112" s="314"/>
    </row>
    <row r="2113" spans="5:26" x14ac:dyDescent="0.35">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row>
    <row r="2114" spans="5:26" x14ac:dyDescent="0.35">
      <c r="E2114" s="314"/>
      <c r="F2114" s="314"/>
      <c r="G2114" s="314"/>
      <c r="H2114" s="314"/>
      <c r="I2114" s="314"/>
      <c r="J2114" s="314"/>
      <c r="K2114" s="314"/>
      <c r="L2114" s="314"/>
      <c r="M2114" s="314"/>
      <c r="N2114" s="314"/>
      <c r="O2114" s="314"/>
      <c r="P2114" s="314"/>
      <c r="Q2114" s="314"/>
      <c r="R2114" s="314"/>
      <c r="S2114" s="314"/>
      <c r="T2114" s="314"/>
      <c r="U2114" s="314"/>
      <c r="V2114" s="314"/>
      <c r="W2114" s="314"/>
      <c r="X2114" s="314"/>
      <c r="Y2114" s="314"/>
      <c r="Z2114" s="314"/>
    </row>
    <row r="2115" spans="5:26" x14ac:dyDescent="0.35">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row>
    <row r="2116" spans="5:26" x14ac:dyDescent="0.35">
      <c r="E2116" s="314"/>
      <c r="F2116" s="314"/>
      <c r="G2116" s="314"/>
      <c r="H2116" s="314"/>
      <c r="I2116" s="314"/>
      <c r="J2116" s="314"/>
      <c r="K2116" s="314"/>
      <c r="L2116" s="314"/>
      <c r="M2116" s="314"/>
      <c r="N2116" s="314"/>
      <c r="O2116" s="314"/>
      <c r="P2116" s="314"/>
      <c r="Q2116" s="314"/>
      <c r="R2116" s="314"/>
      <c r="S2116" s="314"/>
      <c r="T2116" s="314"/>
      <c r="U2116" s="314"/>
      <c r="V2116" s="314"/>
      <c r="W2116" s="314"/>
      <c r="X2116" s="314"/>
      <c r="Y2116" s="314"/>
      <c r="Z2116" s="314"/>
    </row>
    <row r="2117" spans="5:26" x14ac:dyDescent="0.35">
      <c r="E2117" s="314"/>
      <c r="F2117" s="314"/>
      <c r="G2117" s="314"/>
      <c r="H2117" s="314"/>
      <c r="I2117" s="314"/>
      <c r="J2117" s="314"/>
      <c r="K2117" s="314"/>
      <c r="L2117" s="314"/>
      <c r="M2117" s="314"/>
      <c r="N2117" s="314"/>
      <c r="O2117" s="314"/>
      <c r="P2117" s="314"/>
      <c r="Q2117" s="314"/>
      <c r="R2117" s="314"/>
      <c r="S2117" s="314"/>
      <c r="T2117" s="314"/>
      <c r="U2117" s="314"/>
      <c r="V2117" s="314"/>
      <c r="W2117" s="314"/>
      <c r="X2117" s="314"/>
      <c r="Y2117" s="314"/>
      <c r="Z2117" s="314"/>
    </row>
    <row r="2118" spans="5:26" x14ac:dyDescent="0.35">
      <c r="E2118" s="314"/>
      <c r="F2118" s="314"/>
      <c r="G2118" s="314"/>
      <c r="H2118" s="314"/>
      <c r="I2118" s="314"/>
      <c r="J2118" s="314"/>
      <c r="K2118" s="314"/>
      <c r="L2118" s="314"/>
      <c r="M2118" s="314"/>
      <c r="N2118" s="314"/>
      <c r="O2118" s="314"/>
      <c r="P2118" s="314"/>
      <c r="Q2118" s="314"/>
      <c r="R2118" s="314"/>
      <c r="S2118" s="314"/>
      <c r="T2118" s="314"/>
      <c r="U2118" s="314"/>
      <c r="V2118" s="314"/>
      <c r="W2118" s="314"/>
      <c r="X2118" s="314"/>
      <c r="Y2118" s="314"/>
      <c r="Z2118" s="314"/>
    </row>
    <row r="2119" spans="5:26" x14ac:dyDescent="0.35">
      <c r="E2119" s="314"/>
      <c r="F2119" s="314"/>
      <c r="G2119" s="314"/>
      <c r="H2119" s="314"/>
      <c r="I2119" s="314"/>
      <c r="J2119" s="314"/>
      <c r="K2119" s="314"/>
      <c r="L2119" s="314"/>
      <c r="M2119" s="314"/>
      <c r="N2119" s="314"/>
      <c r="O2119" s="314"/>
      <c r="P2119" s="314"/>
      <c r="Q2119" s="314"/>
      <c r="R2119" s="314"/>
      <c r="S2119" s="314"/>
      <c r="T2119" s="314"/>
      <c r="U2119" s="314"/>
      <c r="V2119" s="314"/>
      <c r="W2119" s="314"/>
      <c r="X2119" s="314"/>
      <c r="Y2119" s="314"/>
      <c r="Z2119" s="314"/>
    </row>
    <row r="2120" spans="5:26" x14ac:dyDescent="0.35">
      <c r="E2120" s="314"/>
      <c r="F2120" s="314"/>
      <c r="G2120" s="314"/>
      <c r="H2120" s="314"/>
      <c r="I2120" s="314"/>
      <c r="J2120" s="314"/>
      <c r="K2120" s="314"/>
      <c r="L2120" s="314"/>
      <c r="M2120" s="314"/>
      <c r="N2120" s="314"/>
      <c r="O2120" s="314"/>
      <c r="P2120" s="314"/>
      <c r="Q2120" s="314"/>
      <c r="R2120" s="314"/>
      <c r="S2120" s="314"/>
      <c r="T2120" s="314"/>
      <c r="U2120" s="314"/>
      <c r="V2120" s="314"/>
      <c r="W2120" s="314"/>
      <c r="X2120" s="314"/>
      <c r="Y2120" s="314"/>
      <c r="Z2120" s="314"/>
    </row>
    <row r="2121" spans="5:26" x14ac:dyDescent="0.35">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row>
    <row r="2122" spans="5:26" x14ac:dyDescent="0.35">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row>
    <row r="2123" spans="5:26" x14ac:dyDescent="0.35">
      <c r="E2123" s="314"/>
      <c r="F2123" s="314"/>
      <c r="G2123" s="314"/>
      <c r="H2123" s="314"/>
      <c r="I2123" s="314"/>
      <c r="J2123" s="314"/>
      <c r="K2123" s="314"/>
      <c r="L2123" s="314"/>
      <c r="M2123" s="314"/>
      <c r="N2123" s="314"/>
      <c r="O2123" s="314"/>
      <c r="P2123" s="314"/>
      <c r="Q2123" s="314"/>
      <c r="R2123" s="314"/>
      <c r="S2123" s="314"/>
      <c r="T2123" s="314"/>
      <c r="U2123" s="314"/>
      <c r="V2123" s="314"/>
      <c r="W2123" s="314"/>
      <c r="X2123" s="314"/>
      <c r="Y2123" s="314"/>
      <c r="Z2123" s="314"/>
    </row>
    <row r="2124" spans="5:26" x14ac:dyDescent="0.35">
      <c r="E2124" s="314"/>
      <c r="F2124" s="314"/>
      <c r="G2124" s="314"/>
      <c r="H2124" s="314"/>
      <c r="I2124" s="314"/>
      <c r="J2124" s="314"/>
      <c r="K2124" s="314"/>
      <c r="L2124" s="314"/>
      <c r="M2124" s="314"/>
      <c r="N2124" s="314"/>
      <c r="O2124" s="314"/>
      <c r="P2124" s="314"/>
      <c r="Q2124" s="314"/>
      <c r="R2124" s="314"/>
      <c r="S2124" s="314"/>
      <c r="T2124" s="314"/>
      <c r="U2124" s="314"/>
      <c r="V2124" s="314"/>
      <c r="W2124" s="314"/>
      <c r="X2124" s="314"/>
      <c r="Y2124" s="314"/>
      <c r="Z2124" s="314"/>
    </row>
    <row r="2125" spans="5:26" x14ac:dyDescent="0.35">
      <c r="E2125" s="314"/>
      <c r="F2125" s="314"/>
      <c r="G2125" s="314"/>
      <c r="H2125" s="314"/>
      <c r="I2125" s="314"/>
      <c r="J2125" s="314"/>
      <c r="K2125" s="314"/>
      <c r="L2125" s="314"/>
      <c r="M2125" s="314"/>
      <c r="N2125" s="314"/>
      <c r="O2125" s="314"/>
      <c r="P2125" s="314"/>
      <c r="Q2125" s="314"/>
      <c r="R2125" s="314"/>
      <c r="S2125" s="314"/>
      <c r="T2125" s="314"/>
      <c r="U2125" s="314"/>
      <c r="V2125" s="314"/>
      <c r="W2125" s="314"/>
      <c r="X2125" s="314"/>
      <c r="Y2125" s="314"/>
      <c r="Z2125" s="314"/>
    </row>
    <row r="2126" spans="5:26" x14ac:dyDescent="0.35">
      <c r="E2126" s="314"/>
      <c r="F2126" s="314"/>
      <c r="G2126" s="314"/>
      <c r="H2126" s="314"/>
      <c r="I2126" s="314"/>
      <c r="J2126" s="314"/>
      <c r="K2126" s="314"/>
      <c r="L2126" s="314"/>
      <c r="M2126" s="314"/>
      <c r="N2126" s="314"/>
      <c r="O2126" s="314"/>
      <c r="P2126" s="314"/>
      <c r="Q2126" s="314"/>
      <c r="R2126" s="314"/>
      <c r="S2126" s="314"/>
      <c r="T2126" s="314"/>
      <c r="U2126" s="314"/>
      <c r="V2126" s="314"/>
      <c r="W2126" s="314"/>
      <c r="X2126" s="314"/>
      <c r="Y2126" s="314"/>
      <c r="Z2126" s="314"/>
    </row>
    <row r="2127" spans="5:26" x14ac:dyDescent="0.35">
      <c r="E2127" s="314"/>
      <c r="F2127" s="314"/>
      <c r="G2127" s="314"/>
      <c r="H2127" s="314"/>
      <c r="I2127" s="314"/>
      <c r="J2127" s="314"/>
      <c r="K2127" s="314"/>
      <c r="L2127" s="314"/>
      <c r="M2127" s="314"/>
      <c r="N2127" s="314"/>
      <c r="O2127" s="314"/>
      <c r="P2127" s="314"/>
      <c r="Q2127" s="314"/>
      <c r="R2127" s="314"/>
      <c r="S2127" s="314"/>
      <c r="T2127" s="314"/>
      <c r="U2127" s="314"/>
      <c r="V2127" s="314"/>
      <c r="W2127" s="314"/>
      <c r="X2127" s="314"/>
      <c r="Y2127" s="314"/>
      <c r="Z2127" s="314"/>
    </row>
    <row r="2128" spans="5:26" x14ac:dyDescent="0.35">
      <c r="E2128" s="314"/>
      <c r="F2128" s="314"/>
      <c r="G2128" s="314"/>
      <c r="H2128" s="314"/>
      <c r="I2128" s="314"/>
      <c r="J2128" s="314"/>
      <c r="K2128" s="314"/>
      <c r="L2128" s="314"/>
      <c r="M2128" s="314"/>
      <c r="N2128" s="314"/>
      <c r="O2128" s="314"/>
      <c r="P2128" s="314"/>
      <c r="Q2128" s="314"/>
      <c r="R2128" s="314"/>
      <c r="S2128" s="314"/>
      <c r="T2128" s="314"/>
      <c r="U2128" s="314"/>
      <c r="V2128" s="314"/>
      <c r="W2128" s="314"/>
      <c r="X2128" s="314"/>
      <c r="Y2128" s="314"/>
      <c r="Z2128" s="314"/>
    </row>
    <row r="2129" spans="5:26" x14ac:dyDescent="0.35">
      <c r="E2129" s="314"/>
      <c r="F2129" s="314"/>
      <c r="G2129" s="314"/>
      <c r="H2129" s="314"/>
      <c r="I2129" s="314"/>
      <c r="J2129" s="314"/>
      <c r="K2129" s="314"/>
      <c r="L2129" s="314"/>
      <c r="M2129" s="314"/>
      <c r="N2129" s="314"/>
      <c r="O2129" s="314"/>
      <c r="P2129" s="314"/>
      <c r="Q2129" s="314"/>
      <c r="R2129" s="314"/>
      <c r="S2129" s="314"/>
      <c r="T2129" s="314"/>
      <c r="U2129" s="314"/>
      <c r="V2129" s="314"/>
      <c r="W2129" s="314"/>
      <c r="X2129" s="314"/>
      <c r="Y2129" s="314"/>
      <c r="Z2129" s="314"/>
    </row>
    <row r="2130" spans="5:26" x14ac:dyDescent="0.35">
      <c r="E2130" s="314"/>
      <c r="F2130" s="314"/>
      <c r="G2130" s="314"/>
      <c r="H2130" s="314"/>
      <c r="I2130" s="314"/>
      <c r="J2130" s="314"/>
      <c r="K2130" s="314"/>
      <c r="L2130" s="314"/>
      <c r="M2130" s="314"/>
      <c r="N2130" s="314"/>
      <c r="O2130" s="314"/>
      <c r="P2130" s="314"/>
      <c r="Q2130" s="314"/>
      <c r="R2130" s="314"/>
      <c r="S2130" s="314"/>
      <c r="T2130" s="314"/>
      <c r="U2130" s="314"/>
      <c r="V2130" s="314"/>
      <c r="W2130" s="314"/>
      <c r="X2130" s="314"/>
      <c r="Y2130" s="314"/>
      <c r="Z2130" s="314"/>
    </row>
    <row r="2131" spans="5:26" x14ac:dyDescent="0.35">
      <c r="E2131" s="314"/>
      <c r="F2131" s="314"/>
      <c r="G2131" s="314"/>
      <c r="H2131" s="314"/>
      <c r="I2131" s="314"/>
      <c r="J2131" s="314"/>
      <c r="K2131" s="314"/>
      <c r="L2131" s="314"/>
      <c r="M2131" s="314"/>
      <c r="N2131" s="314"/>
      <c r="O2131" s="314"/>
      <c r="P2131" s="314"/>
      <c r="Q2131" s="314"/>
      <c r="R2131" s="314"/>
      <c r="S2131" s="314"/>
      <c r="T2131" s="314"/>
      <c r="U2131" s="314"/>
      <c r="V2131" s="314"/>
      <c r="W2131" s="314"/>
      <c r="X2131" s="314"/>
      <c r="Y2131" s="314"/>
      <c r="Z2131" s="314"/>
    </row>
    <row r="2132" spans="5:26" x14ac:dyDescent="0.35">
      <c r="E2132" s="314"/>
      <c r="F2132" s="314"/>
      <c r="G2132" s="314"/>
      <c r="H2132" s="314"/>
      <c r="I2132" s="314"/>
      <c r="J2132" s="314"/>
      <c r="K2132" s="314"/>
      <c r="L2132" s="314"/>
      <c r="M2132" s="314"/>
      <c r="N2132" s="314"/>
      <c r="O2132" s="314"/>
      <c r="P2132" s="314"/>
      <c r="Q2132" s="314"/>
      <c r="R2132" s="314"/>
      <c r="S2132" s="314"/>
      <c r="T2132" s="314"/>
      <c r="U2132" s="314"/>
      <c r="V2132" s="314"/>
      <c r="W2132" s="314"/>
      <c r="X2132" s="314"/>
      <c r="Y2132" s="314"/>
      <c r="Z2132" s="314"/>
    </row>
    <row r="2133" spans="5:26" x14ac:dyDescent="0.35">
      <c r="E2133" s="314"/>
      <c r="F2133" s="314"/>
      <c r="G2133" s="314"/>
      <c r="H2133" s="314"/>
      <c r="I2133" s="314"/>
      <c r="J2133" s="314"/>
      <c r="K2133" s="314"/>
      <c r="L2133" s="314"/>
      <c r="M2133" s="314"/>
      <c r="N2133" s="314"/>
      <c r="O2133" s="314"/>
      <c r="P2133" s="314"/>
      <c r="Q2133" s="314"/>
      <c r="R2133" s="314"/>
      <c r="S2133" s="314"/>
      <c r="T2133" s="314"/>
      <c r="U2133" s="314"/>
      <c r="V2133" s="314"/>
      <c r="W2133" s="314"/>
      <c r="X2133" s="314"/>
      <c r="Y2133" s="314"/>
      <c r="Z2133" s="314"/>
    </row>
    <row r="2134" spans="5:26" x14ac:dyDescent="0.35">
      <c r="E2134" s="314"/>
      <c r="F2134" s="314"/>
      <c r="G2134" s="314"/>
      <c r="H2134" s="314"/>
      <c r="I2134" s="314"/>
      <c r="J2134" s="314"/>
      <c r="K2134" s="314"/>
      <c r="L2134" s="314"/>
      <c r="M2134" s="314"/>
      <c r="N2134" s="314"/>
      <c r="O2134" s="314"/>
      <c r="P2134" s="314"/>
      <c r="Q2134" s="314"/>
      <c r="R2134" s="314"/>
      <c r="S2134" s="314"/>
      <c r="T2134" s="314"/>
      <c r="U2134" s="314"/>
      <c r="V2134" s="314"/>
      <c r="W2134" s="314"/>
      <c r="X2134" s="314"/>
      <c r="Y2134" s="314"/>
      <c r="Z2134" s="314"/>
    </row>
    <row r="2135" spans="5:26" x14ac:dyDescent="0.35">
      <c r="E2135" s="314"/>
      <c r="F2135" s="314"/>
      <c r="G2135" s="314"/>
      <c r="H2135" s="314"/>
      <c r="I2135" s="314"/>
      <c r="J2135" s="314"/>
      <c r="K2135" s="314"/>
      <c r="L2135" s="314"/>
      <c r="M2135" s="314"/>
      <c r="N2135" s="314"/>
      <c r="O2135" s="314"/>
      <c r="P2135" s="314"/>
      <c r="Q2135" s="314"/>
      <c r="R2135" s="314"/>
      <c r="S2135" s="314"/>
      <c r="T2135" s="314"/>
      <c r="U2135" s="314"/>
      <c r="V2135" s="314"/>
      <c r="W2135" s="314"/>
      <c r="X2135" s="314"/>
      <c r="Y2135" s="314"/>
      <c r="Z2135" s="314"/>
    </row>
    <row r="2136" spans="5:26" x14ac:dyDescent="0.35">
      <c r="E2136" s="314"/>
      <c r="F2136" s="314"/>
      <c r="G2136" s="314"/>
      <c r="H2136" s="314"/>
      <c r="I2136" s="314"/>
      <c r="J2136" s="314"/>
      <c r="K2136" s="314"/>
      <c r="L2136" s="314"/>
      <c r="M2136" s="314"/>
      <c r="N2136" s="314"/>
      <c r="O2136" s="314"/>
      <c r="P2136" s="314"/>
      <c r="Q2136" s="314"/>
      <c r="R2136" s="314"/>
      <c r="S2136" s="314"/>
      <c r="T2136" s="314"/>
      <c r="U2136" s="314"/>
      <c r="V2136" s="314"/>
      <c r="W2136" s="314"/>
      <c r="X2136" s="314"/>
      <c r="Y2136" s="314"/>
      <c r="Z2136" s="314"/>
    </row>
    <row r="2137" spans="5:26" x14ac:dyDescent="0.35">
      <c r="E2137" s="314"/>
      <c r="F2137" s="314"/>
      <c r="G2137" s="314"/>
      <c r="H2137" s="314"/>
      <c r="I2137" s="314"/>
      <c r="J2137" s="314"/>
      <c r="K2137" s="314"/>
      <c r="L2137" s="314"/>
      <c r="M2137" s="314"/>
      <c r="N2137" s="314"/>
      <c r="O2137" s="314"/>
      <c r="P2137" s="314"/>
      <c r="Q2137" s="314"/>
      <c r="R2137" s="314"/>
      <c r="S2137" s="314"/>
      <c r="T2137" s="314"/>
      <c r="U2137" s="314"/>
      <c r="V2137" s="314"/>
      <c r="W2137" s="314"/>
      <c r="X2137" s="314"/>
      <c r="Y2137" s="314"/>
      <c r="Z2137" s="314"/>
    </row>
    <row r="2138" spans="5:26" x14ac:dyDescent="0.35">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row>
    <row r="2139" spans="5:26" x14ac:dyDescent="0.35">
      <c r="E2139" s="314"/>
      <c r="F2139" s="314"/>
      <c r="G2139" s="314"/>
      <c r="H2139" s="314"/>
      <c r="I2139" s="314"/>
      <c r="J2139" s="314"/>
      <c r="K2139" s="314"/>
      <c r="L2139" s="314"/>
      <c r="M2139" s="314"/>
      <c r="N2139" s="314"/>
      <c r="O2139" s="314"/>
      <c r="P2139" s="314"/>
      <c r="Q2139" s="314"/>
      <c r="R2139" s="314"/>
      <c r="S2139" s="314"/>
      <c r="T2139" s="314"/>
      <c r="U2139" s="314"/>
      <c r="V2139" s="314"/>
      <c r="W2139" s="314"/>
      <c r="X2139" s="314"/>
      <c r="Y2139" s="314"/>
      <c r="Z2139" s="314"/>
    </row>
    <row r="2140" spans="5:26" x14ac:dyDescent="0.35">
      <c r="E2140" s="314"/>
      <c r="F2140" s="314"/>
      <c r="G2140" s="314"/>
      <c r="H2140" s="314"/>
      <c r="I2140" s="314"/>
      <c r="J2140" s="314"/>
      <c r="K2140" s="314"/>
      <c r="L2140" s="314"/>
      <c r="M2140" s="314"/>
      <c r="N2140" s="314"/>
      <c r="O2140" s="314"/>
      <c r="P2140" s="314"/>
      <c r="Q2140" s="314"/>
      <c r="R2140" s="314"/>
      <c r="S2140" s="314"/>
      <c r="T2140" s="314"/>
      <c r="U2140" s="314"/>
      <c r="V2140" s="314"/>
      <c r="W2140" s="314"/>
      <c r="X2140" s="314"/>
      <c r="Y2140" s="314"/>
      <c r="Z2140" s="314"/>
    </row>
    <row r="2141" spans="5:26" x14ac:dyDescent="0.35">
      <c r="E2141" s="314"/>
      <c r="F2141" s="314"/>
      <c r="G2141" s="314"/>
      <c r="H2141" s="314"/>
      <c r="I2141" s="314"/>
      <c r="J2141" s="314"/>
      <c r="K2141" s="314"/>
      <c r="L2141" s="314"/>
      <c r="M2141" s="314"/>
      <c r="N2141" s="314"/>
      <c r="O2141" s="314"/>
      <c r="P2141" s="314"/>
      <c r="Q2141" s="314"/>
      <c r="R2141" s="314"/>
      <c r="S2141" s="314"/>
      <c r="T2141" s="314"/>
      <c r="U2141" s="314"/>
      <c r="V2141" s="314"/>
      <c r="W2141" s="314"/>
      <c r="X2141" s="314"/>
      <c r="Y2141" s="314"/>
      <c r="Z2141" s="314"/>
    </row>
    <row r="2142" spans="5:26" x14ac:dyDescent="0.35">
      <c r="E2142" s="314"/>
      <c r="F2142" s="314"/>
      <c r="G2142" s="314"/>
      <c r="H2142" s="314"/>
      <c r="I2142" s="314"/>
      <c r="J2142" s="314"/>
      <c r="K2142" s="314"/>
      <c r="L2142" s="314"/>
      <c r="M2142" s="314"/>
      <c r="N2142" s="314"/>
      <c r="O2142" s="314"/>
      <c r="P2142" s="314"/>
      <c r="Q2142" s="314"/>
      <c r="R2142" s="314"/>
      <c r="S2142" s="314"/>
      <c r="T2142" s="314"/>
      <c r="U2142" s="314"/>
      <c r="V2142" s="314"/>
      <c r="W2142" s="314"/>
      <c r="X2142" s="314"/>
      <c r="Y2142" s="314"/>
      <c r="Z2142" s="314"/>
    </row>
    <row r="2143" spans="5:26" x14ac:dyDescent="0.35">
      <c r="E2143" s="314"/>
      <c r="F2143" s="314"/>
      <c r="G2143" s="314"/>
      <c r="H2143" s="314"/>
      <c r="I2143" s="314"/>
      <c r="J2143" s="314"/>
      <c r="K2143" s="314"/>
      <c r="L2143" s="314"/>
      <c r="M2143" s="314"/>
      <c r="N2143" s="314"/>
      <c r="O2143" s="314"/>
      <c r="P2143" s="314"/>
      <c r="Q2143" s="314"/>
      <c r="R2143" s="314"/>
      <c r="S2143" s="314"/>
      <c r="T2143" s="314"/>
      <c r="U2143" s="314"/>
      <c r="V2143" s="314"/>
      <c r="W2143" s="314"/>
      <c r="X2143" s="314"/>
      <c r="Y2143" s="314"/>
      <c r="Z2143" s="314"/>
    </row>
    <row r="2144" spans="5:26" x14ac:dyDescent="0.35">
      <c r="E2144" s="314"/>
      <c r="F2144" s="314"/>
      <c r="G2144" s="314"/>
      <c r="H2144" s="314"/>
      <c r="I2144" s="314"/>
      <c r="J2144" s="314"/>
      <c r="K2144" s="314"/>
      <c r="L2144" s="314"/>
      <c r="M2144" s="314"/>
      <c r="N2144" s="314"/>
      <c r="O2144" s="314"/>
      <c r="P2144" s="314"/>
      <c r="Q2144" s="314"/>
      <c r="R2144" s="314"/>
      <c r="S2144" s="314"/>
      <c r="T2144" s="314"/>
      <c r="U2144" s="314"/>
      <c r="V2144" s="314"/>
      <c r="W2144" s="314"/>
      <c r="X2144" s="314"/>
      <c r="Y2144" s="314"/>
      <c r="Z2144" s="314"/>
    </row>
    <row r="2145" spans="5:26" x14ac:dyDescent="0.35">
      <c r="E2145" s="314"/>
      <c r="F2145" s="314"/>
      <c r="G2145" s="314"/>
      <c r="H2145" s="314"/>
      <c r="I2145" s="314"/>
      <c r="J2145" s="314"/>
      <c r="K2145" s="314"/>
      <c r="L2145" s="314"/>
      <c r="M2145" s="314"/>
      <c r="N2145" s="314"/>
      <c r="O2145" s="314"/>
      <c r="P2145" s="314"/>
      <c r="Q2145" s="314"/>
      <c r="R2145" s="314"/>
      <c r="S2145" s="314"/>
      <c r="T2145" s="314"/>
      <c r="U2145" s="314"/>
      <c r="V2145" s="314"/>
      <c r="W2145" s="314"/>
      <c r="X2145" s="314"/>
      <c r="Y2145" s="314"/>
      <c r="Z2145" s="314"/>
    </row>
    <row r="2146" spans="5:26" x14ac:dyDescent="0.35">
      <c r="E2146" s="314"/>
      <c r="F2146" s="314"/>
      <c r="G2146" s="314"/>
      <c r="H2146" s="314"/>
      <c r="I2146" s="314"/>
      <c r="J2146" s="314"/>
      <c r="K2146" s="314"/>
      <c r="L2146" s="314"/>
      <c r="M2146" s="314"/>
      <c r="N2146" s="314"/>
      <c r="O2146" s="314"/>
      <c r="P2146" s="314"/>
      <c r="Q2146" s="314"/>
      <c r="R2146" s="314"/>
      <c r="S2146" s="314"/>
      <c r="T2146" s="314"/>
      <c r="U2146" s="314"/>
      <c r="V2146" s="314"/>
      <c r="W2146" s="314"/>
      <c r="X2146" s="314"/>
      <c r="Y2146" s="314"/>
      <c r="Z2146" s="314"/>
    </row>
    <row r="2147" spans="5:26" x14ac:dyDescent="0.35">
      <c r="E2147" s="314"/>
      <c r="F2147" s="314"/>
      <c r="G2147" s="314"/>
      <c r="H2147" s="314"/>
      <c r="I2147" s="314"/>
      <c r="J2147" s="314"/>
      <c r="K2147" s="314"/>
      <c r="L2147" s="314"/>
      <c r="M2147" s="314"/>
      <c r="N2147" s="314"/>
      <c r="O2147" s="314"/>
      <c r="P2147" s="314"/>
      <c r="Q2147" s="314"/>
      <c r="R2147" s="314"/>
      <c r="S2147" s="314"/>
      <c r="T2147" s="314"/>
      <c r="U2147" s="314"/>
      <c r="V2147" s="314"/>
      <c r="W2147" s="314"/>
      <c r="X2147" s="314"/>
      <c r="Y2147" s="314"/>
      <c r="Z2147" s="314"/>
    </row>
    <row r="2148" spans="5:26" x14ac:dyDescent="0.35">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row>
    <row r="2149" spans="5:26" x14ac:dyDescent="0.35">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row>
    <row r="2150" spans="5:26" x14ac:dyDescent="0.35">
      <c r="E2150" s="314"/>
      <c r="F2150" s="314"/>
      <c r="G2150" s="314"/>
      <c r="H2150" s="314"/>
      <c r="I2150" s="314"/>
      <c r="J2150" s="314"/>
      <c r="K2150" s="314"/>
      <c r="L2150" s="314"/>
      <c r="M2150" s="314"/>
      <c r="N2150" s="314"/>
      <c r="O2150" s="314"/>
      <c r="P2150" s="314"/>
      <c r="Q2150" s="314"/>
      <c r="R2150" s="314"/>
      <c r="S2150" s="314"/>
      <c r="T2150" s="314"/>
      <c r="U2150" s="314"/>
      <c r="V2150" s="314"/>
      <c r="W2150" s="314"/>
      <c r="X2150" s="314"/>
      <c r="Y2150" s="314"/>
      <c r="Z2150" s="314"/>
    </row>
    <row r="2151" spans="5:26" x14ac:dyDescent="0.35">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row>
    <row r="2152" spans="5:26" x14ac:dyDescent="0.35">
      <c r="E2152" s="314"/>
      <c r="F2152" s="314"/>
      <c r="G2152" s="314"/>
      <c r="H2152" s="314"/>
      <c r="I2152" s="314"/>
      <c r="J2152" s="314"/>
      <c r="K2152" s="314"/>
      <c r="L2152" s="314"/>
      <c r="M2152" s="314"/>
      <c r="N2152" s="314"/>
      <c r="O2152" s="314"/>
      <c r="P2152" s="314"/>
      <c r="Q2152" s="314"/>
      <c r="R2152" s="314"/>
      <c r="S2152" s="314"/>
      <c r="T2152" s="314"/>
      <c r="U2152" s="314"/>
      <c r="V2152" s="314"/>
      <c r="W2152" s="314"/>
      <c r="X2152" s="314"/>
      <c r="Y2152" s="314"/>
      <c r="Z2152" s="314"/>
    </row>
    <row r="2153" spans="5:26" x14ac:dyDescent="0.35">
      <c r="E2153" s="314"/>
      <c r="F2153" s="314"/>
      <c r="G2153" s="314"/>
      <c r="H2153" s="314"/>
      <c r="I2153" s="314"/>
      <c r="J2153" s="314"/>
      <c r="K2153" s="314"/>
      <c r="L2153" s="314"/>
      <c r="M2153" s="314"/>
      <c r="N2153" s="314"/>
      <c r="O2153" s="314"/>
      <c r="P2153" s="314"/>
      <c r="Q2153" s="314"/>
      <c r="R2153" s="314"/>
      <c r="S2153" s="314"/>
      <c r="T2153" s="314"/>
      <c r="U2153" s="314"/>
      <c r="V2153" s="314"/>
      <c r="W2153" s="314"/>
      <c r="X2153" s="314"/>
      <c r="Y2153" s="314"/>
      <c r="Z2153" s="314"/>
    </row>
    <row r="2154" spans="5:26" x14ac:dyDescent="0.35">
      <c r="E2154" s="314"/>
      <c r="F2154" s="314"/>
      <c r="G2154" s="314"/>
      <c r="H2154" s="314"/>
      <c r="I2154" s="314"/>
      <c r="J2154" s="314"/>
      <c r="K2154" s="314"/>
      <c r="L2154" s="314"/>
      <c r="M2154" s="314"/>
      <c r="N2154" s="314"/>
      <c r="O2154" s="314"/>
      <c r="P2154" s="314"/>
      <c r="Q2154" s="314"/>
      <c r="R2154" s="314"/>
      <c r="S2154" s="314"/>
      <c r="T2154" s="314"/>
      <c r="U2154" s="314"/>
      <c r="V2154" s="314"/>
      <c r="W2154" s="314"/>
      <c r="X2154" s="314"/>
      <c r="Y2154" s="314"/>
      <c r="Z2154" s="314"/>
    </row>
    <row r="2155" spans="5:26" x14ac:dyDescent="0.35">
      <c r="E2155" s="314"/>
      <c r="F2155" s="314"/>
      <c r="G2155" s="314"/>
      <c r="H2155" s="314"/>
      <c r="I2155" s="314"/>
      <c r="J2155" s="314"/>
      <c r="K2155" s="314"/>
      <c r="L2155" s="314"/>
      <c r="M2155" s="314"/>
      <c r="N2155" s="314"/>
      <c r="O2155" s="314"/>
      <c r="P2155" s="314"/>
      <c r="Q2155" s="314"/>
      <c r="R2155" s="314"/>
      <c r="S2155" s="314"/>
      <c r="T2155" s="314"/>
      <c r="U2155" s="314"/>
      <c r="V2155" s="314"/>
      <c r="W2155" s="314"/>
      <c r="X2155" s="314"/>
      <c r="Y2155" s="314"/>
      <c r="Z2155" s="314"/>
    </row>
    <row r="2156" spans="5:26" x14ac:dyDescent="0.35">
      <c r="E2156" s="314"/>
      <c r="F2156" s="314"/>
      <c r="G2156" s="314"/>
      <c r="H2156" s="314"/>
      <c r="I2156" s="314"/>
      <c r="J2156" s="314"/>
      <c r="K2156" s="314"/>
      <c r="L2156" s="314"/>
      <c r="M2156" s="314"/>
      <c r="N2156" s="314"/>
      <c r="O2156" s="314"/>
      <c r="P2156" s="314"/>
      <c r="Q2156" s="314"/>
      <c r="R2156" s="314"/>
      <c r="S2156" s="314"/>
      <c r="T2156" s="314"/>
      <c r="U2156" s="314"/>
      <c r="V2156" s="314"/>
      <c r="W2156" s="314"/>
      <c r="X2156" s="314"/>
      <c r="Y2156" s="314"/>
      <c r="Z2156" s="314"/>
    </row>
    <row r="2157" spans="5:26" x14ac:dyDescent="0.35">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row>
    <row r="2158" spans="5:26" x14ac:dyDescent="0.35">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row>
    <row r="2159" spans="5:26" x14ac:dyDescent="0.35">
      <c r="E2159" s="314"/>
      <c r="F2159" s="314"/>
      <c r="G2159" s="314"/>
      <c r="H2159" s="314"/>
      <c r="I2159" s="314"/>
      <c r="J2159" s="314"/>
      <c r="K2159" s="314"/>
      <c r="L2159" s="314"/>
      <c r="M2159" s="314"/>
      <c r="N2159" s="314"/>
      <c r="O2159" s="314"/>
      <c r="P2159" s="314"/>
      <c r="Q2159" s="314"/>
      <c r="R2159" s="314"/>
      <c r="S2159" s="314"/>
      <c r="T2159" s="314"/>
      <c r="U2159" s="314"/>
      <c r="V2159" s="314"/>
      <c r="W2159" s="314"/>
      <c r="X2159" s="314"/>
      <c r="Y2159" s="314"/>
      <c r="Z2159" s="314"/>
    </row>
    <row r="2160" spans="5:26" x14ac:dyDescent="0.35">
      <c r="E2160" s="314"/>
      <c r="F2160" s="314"/>
      <c r="G2160" s="314"/>
      <c r="H2160" s="314"/>
      <c r="I2160" s="314"/>
      <c r="J2160" s="314"/>
      <c r="K2160" s="314"/>
      <c r="L2160" s="314"/>
      <c r="M2160" s="314"/>
      <c r="N2160" s="314"/>
      <c r="O2160" s="314"/>
      <c r="P2160" s="314"/>
      <c r="Q2160" s="314"/>
      <c r="R2160" s="314"/>
      <c r="S2160" s="314"/>
      <c r="T2160" s="314"/>
      <c r="U2160" s="314"/>
      <c r="V2160" s="314"/>
      <c r="W2160" s="314"/>
      <c r="X2160" s="314"/>
      <c r="Y2160" s="314"/>
      <c r="Z2160" s="314"/>
    </row>
    <row r="2161" spans="5:26" x14ac:dyDescent="0.35">
      <c r="E2161" s="314"/>
      <c r="F2161" s="314"/>
      <c r="G2161" s="314"/>
      <c r="H2161" s="314"/>
      <c r="I2161" s="314"/>
      <c r="J2161" s="314"/>
      <c r="K2161" s="314"/>
      <c r="L2161" s="314"/>
      <c r="M2161" s="314"/>
      <c r="N2161" s="314"/>
      <c r="O2161" s="314"/>
      <c r="P2161" s="314"/>
      <c r="Q2161" s="314"/>
      <c r="R2161" s="314"/>
      <c r="S2161" s="314"/>
      <c r="T2161" s="314"/>
      <c r="U2161" s="314"/>
      <c r="V2161" s="314"/>
      <c r="W2161" s="314"/>
      <c r="X2161" s="314"/>
      <c r="Y2161" s="314"/>
      <c r="Z2161" s="314"/>
    </row>
    <row r="2162" spans="5:26" x14ac:dyDescent="0.35">
      <c r="E2162" s="314"/>
      <c r="F2162" s="314"/>
      <c r="G2162" s="314"/>
      <c r="H2162" s="314"/>
      <c r="I2162" s="314"/>
      <c r="J2162" s="314"/>
      <c r="K2162" s="314"/>
      <c r="L2162" s="314"/>
      <c r="M2162" s="314"/>
      <c r="N2162" s="314"/>
      <c r="O2162" s="314"/>
      <c r="P2162" s="314"/>
      <c r="Q2162" s="314"/>
      <c r="R2162" s="314"/>
      <c r="S2162" s="314"/>
      <c r="T2162" s="314"/>
      <c r="U2162" s="314"/>
      <c r="V2162" s="314"/>
      <c r="W2162" s="314"/>
      <c r="X2162" s="314"/>
      <c r="Y2162" s="314"/>
      <c r="Z2162" s="314"/>
    </row>
    <row r="2163" spans="5:26" x14ac:dyDescent="0.35">
      <c r="E2163" s="314"/>
      <c r="F2163" s="314"/>
      <c r="G2163" s="314"/>
      <c r="H2163" s="314"/>
      <c r="I2163" s="314"/>
      <c r="J2163" s="314"/>
      <c r="K2163" s="314"/>
      <c r="L2163" s="314"/>
      <c r="M2163" s="314"/>
      <c r="N2163" s="314"/>
      <c r="O2163" s="314"/>
      <c r="P2163" s="314"/>
      <c r="Q2163" s="314"/>
      <c r="R2163" s="314"/>
      <c r="S2163" s="314"/>
      <c r="T2163" s="314"/>
      <c r="U2163" s="314"/>
      <c r="V2163" s="314"/>
      <c r="W2163" s="314"/>
      <c r="X2163" s="314"/>
      <c r="Y2163" s="314"/>
      <c r="Z2163" s="314"/>
    </row>
    <row r="2164" spans="5:26" x14ac:dyDescent="0.35">
      <c r="E2164" s="314"/>
      <c r="F2164" s="314"/>
      <c r="G2164" s="314"/>
      <c r="H2164" s="314"/>
      <c r="I2164" s="314"/>
      <c r="J2164" s="314"/>
      <c r="K2164" s="314"/>
      <c r="L2164" s="314"/>
      <c r="M2164" s="314"/>
      <c r="N2164" s="314"/>
      <c r="O2164" s="314"/>
      <c r="P2164" s="314"/>
      <c r="Q2164" s="314"/>
      <c r="R2164" s="314"/>
      <c r="S2164" s="314"/>
      <c r="T2164" s="314"/>
      <c r="U2164" s="314"/>
      <c r="V2164" s="314"/>
      <c r="W2164" s="314"/>
      <c r="X2164" s="314"/>
      <c r="Y2164" s="314"/>
      <c r="Z2164" s="314"/>
    </row>
    <row r="2165" spans="5:26" x14ac:dyDescent="0.35">
      <c r="E2165" s="314"/>
      <c r="F2165" s="314"/>
      <c r="G2165" s="314"/>
      <c r="H2165" s="314"/>
      <c r="I2165" s="314"/>
      <c r="J2165" s="314"/>
      <c r="K2165" s="314"/>
      <c r="L2165" s="314"/>
      <c r="M2165" s="314"/>
      <c r="N2165" s="314"/>
      <c r="O2165" s="314"/>
      <c r="P2165" s="314"/>
      <c r="Q2165" s="314"/>
      <c r="R2165" s="314"/>
      <c r="S2165" s="314"/>
      <c r="T2165" s="314"/>
      <c r="U2165" s="314"/>
      <c r="V2165" s="314"/>
      <c r="W2165" s="314"/>
      <c r="X2165" s="314"/>
      <c r="Y2165" s="314"/>
      <c r="Z2165" s="314"/>
    </row>
    <row r="2166" spans="5:26" x14ac:dyDescent="0.35">
      <c r="E2166" s="314"/>
      <c r="F2166" s="314"/>
      <c r="G2166" s="314"/>
      <c r="H2166" s="314"/>
      <c r="I2166" s="314"/>
      <c r="J2166" s="314"/>
      <c r="K2166" s="314"/>
      <c r="L2166" s="314"/>
      <c r="M2166" s="314"/>
      <c r="N2166" s="314"/>
      <c r="O2166" s="314"/>
      <c r="P2166" s="314"/>
      <c r="Q2166" s="314"/>
      <c r="R2166" s="314"/>
      <c r="S2166" s="314"/>
      <c r="T2166" s="314"/>
      <c r="U2166" s="314"/>
      <c r="V2166" s="314"/>
      <c r="W2166" s="314"/>
      <c r="X2166" s="314"/>
      <c r="Y2166" s="314"/>
      <c r="Z2166" s="314"/>
    </row>
    <row r="2167" spans="5:26" x14ac:dyDescent="0.35">
      <c r="E2167" s="314"/>
      <c r="F2167" s="314"/>
      <c r="G2167" s="314"/>
      <c r="H2167" s="314"/>
      <c r="I2167" s="314"/>
      <c r="J2167" s="314"/>
      <c r="K2167" s="314"/>
      <c r="L2167" s="314"/>
      <c r="M2167" s="314"/>
      <c r="N2167" s="314"/>
      <c r="O2167" s="314"/>
      <c r="P2167" s="314"/>
      <c r="Q2167" s="314"/>
      <c r="R2167" s="314"/>
      <c r="S2167" s="314"/>
      <c r="T2167" s="314"/>
      <c r="U2167" s="314"/>
      <c r="V2167" s="314"/>
      <c r="W2167" s="314"/>
      <c r="X2167" s="314"/>
      <c r="Y2167" s="314"/>
      <c r="Z2167" s="314"/>
    </row>
    <row r="2168" spans="5:26" x14ac:dyDescent="0.35">
      <c r="E2168" s="314"/>
      <c r="F2168" s="314"/>
      <c r="G2168" s="314"/>
      <c r="H2168" s="314"/>
      <c r="I2168" s="314"/>
      <c r="J2168" s="314"/>
      <c r="K2168" s="314"/>
      <c r="L2168" s="314"/>
      <c r="M2168" s="314"/>
      <c r="N2168" s="314"/>
      <c r="O2168" s="314"/>
      <c r="P2168" s="314"/>
      <c r="Q2168" s="314"/>
      <c r="R2168" s="314"/>
      <c r="S2168" s="314"/>
      <c r="T2168" s="314"/>
      <c r="U2168" s="314"/>
      <c r="V2168" s="314"/>
      <c r="W2168" s="314"/>
      <c r="X2168" s="314"/>
      <c r="Y2168" s="314"/>
      <c r="Z2168" s="314"/>
    </row>
    <row r="2169" spans="5:26" x14ac:dyDescent="0.35">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row>
    <row r="2170" spans="5:26" x14ac:dyDescent="0.35">
      <c r="E2170" s="314"/>
      <c r="F2170" s="314"/>
      <c r="G2170" s="314"/>
      <c r="H2170" s="314"/>
      <c r="I2170" s="314"/>
      <c r="J2170" s="314"/>
      <c r="K2170" s="314"/>
      <c r="L2170" s="314"/>
      <c r="M2170" s="314"/>
      <c r="N2170" s="314"/>
      <c r="O2170" s="314"/>
      <c r="P2170" s="314"/>
      <c r="Q2170" s="314"/>
      <c r="R2170" s="314"/>
      <c r="S2170" s="314"/>
      <c r="T2170" s="314"/>
      <c r="U2170" s="314"/>
      <c r="V2170" s="314"/>
      <c r="W2170" s="314"/>
      <c r="X2170" s="314"/>
      <c r="Y2170" s="314"/>
      <c r="Z2170" s="314"/>
    </row>
    <row r="2171" spans="5:26" x14ac:dyDescent="0.35">
      <c r="E2171" s="314"/>
      <c r="F2171" s="314"/>
      <c r="G2171" s="314"/>
      <c r="H2171" s="314"/>
      <c r="I2171" s="314"/>
      <c r="J2171" s="314"/>
      <c r="K2171" s="314"/>
      <c r="L2171" s="314"/>
      <c r="M2171" s="314"/>
      <c r="N2171" s="314"/>
      <c r="O2171" s="314"/>
      <c r="P2171" s="314"/>
      <c r="Q2171" s="314"/>
      <c r="R2171" s="314"/>
      <c r="S2171" s="314"/>
      <c r="T2171" s="314"/>
      <c r="U2171" s="314"/>
      <c r="V2171" s="314"/>
      <c r="W2171" s="314"/>
      <c r="X2171" s="314"/>
      <c r="Y2171" s="314"/>
      <c r="Z2171" s="314"/>
    </row>
    <row r="2172" spans="5:26" x14ac:dyDescent="0.35">
      <c r="E2172" s="314"/>
      <c r="F2172" s="314"/>
      <c r="G2172" s="314"/>
      <c r="H2172" s="314"/>
      <c r="I2172" s="314"/>
      <c r="J2172" s="314"/>
      <c r="K2172" s="314"/>
      <c r="L2172" s="314"/>
      <c r="M2172" s="314"/>
      <c r="N2172" s="314"/>
      <c r="O2172" s="314"/>
      <c r="P2172" s="314"/>
      <c r="Q2172" s="314"/>
      <c r="R2172" s="314"/>
      <c r="S2172" s="314"/>
      <c r="T2172" s="314"/>
      <c r="U2172" s="314"/>
      <c r="V2172" s="314"/>
      <c r="W2172" s="314"/>
      <c r="X2172" s="314"/>
      <c r="Y2172" s="314"/>
      <c r="Z2172" s="314"/>
    </row>
    <row r="2173" spans="5:26" x14ac:dyDescent="0.35">
      <c r="E2173" s="314"/>
      <c r="F2173" s="314"/>
      <c r="G2173" s="314"/>
      <c r="H2173" s="314"/>
      <c r="I2173" s="314"/>
      <c r="J2173" s="314"/>
      <c r="K2173" s="314"/>
      <c r="L2173" s="314"/>
      <c r="M2173" s="314"/>
      <c r="N2173" s="314"/>
      <c r="O2173" s="314"/>
      <c r="P2173" s="314"/>
      <c r="Q2173" s="314"/>
      <c r="R2173" s="314"/>
      <c r="S2173" s="314"/>
      <c r="T2173" s="314"/>
      <c r="U2173" s="314"/>
      <c r="V2173" s="314"/>
      <c r="W2173" s="314"/>
      <c r="X2173" s="314"/>
      <c r="Y2173" s="314"/>
      <c r="Z2173" s="314"/>
    </row>
    <row r="2174" spans="5:26" x14ac:dyDescent="0.35">
      <c r="E2174" s="314"/>
      <c r="F2174" s="314"/>
      <c r="G2174" s="314"/>
      <c r="H2174" s="314"/>
      <c r="I2174" s="314"/>
      <c r="J2174" s="314"/>
      <c r="K2174" s="314"/>
      <c r="L2174" s="314"/>
      <c r="M2174" s="314"/>
      <c r="N2174" s="314"/>
      <c r="O2174" s="314"/>
      <c r="P2174" s="314"/>
      <c r="Q2174" s="314"/>
      <c r="R2174" s="314"/>
      <c r="S2174" s="314"/>
      <c r="T2174" s="314"/>
      <c r="U2174" s="314"/>
      <c r="V2174" s="314"/>
      <c r="W2174" s="314"/>
      <c r="X2174" s="314"/>
      <c r="Y2174" s="314"/>
      <c r="Z2174" s="314"/>
    </row>
    <row r="2175" spans="5:26" x14ac:dyDescent="0.35">
      <c r="E2175" s="314"/>
      <c r="F2175" s="314"/>
      <c r="G2175" s="314"/>
      <c r="H2175" s="314"/>
      <c r="I2175" s="314"/>
      <c r="J2175" s="314"/>
      <c r="K2175" s="314"/>
      <c r="L2175" s="314"/>
      <c r="M2175" s="314"/>
      <c r="N2175" s="314"/>
      <c r="O2175" s="314"/>
      <c r="P2175" s="314"/>
      <c r="Q2175" s="314"/>
      <c r="R2175" s="314"/>
      <c r="S2175" s="314"/>
      <c r="T2175" s="314"/>
      <c r="U2175" s="314"/>
      <c r="V2175" s="314"/>
      <c r="W2175" s="314"/>
      <c r="X2175" s="314"/>
      <c r="Y2175" s="314"/>
      <c r="Z2175" s="314"/>
    </row>
    <row r="2176" spans="5:26" x14ac:dyDescent="0.35">
      <c r="E2176" s="314"/>
      <c r="F2176" s="314"/>
      <c r="G2176" s="314"/>
      <c r="H2176" s="314"/>
      <c r="I2176" s="314"/>
      <c r="J2176" s="314"/>
      <c r="K2176" s="314"/>
      <c r="L2176" s="314"/>
      <c r="M2176" s="314"/>
      <c r="N2176" s="314"/>
      <c r="O2176" s="314"/>
      <c r="P2176" s="314"/>
      <c r="Q2176" s="314"/>
      <c r="R2176" s="314"/>
      <c r="S2176" s="314"/>
      <c r="T2176" s="314"/>
      <c r="U2176" s="314"/>
      <c r="V2176" s="314"/>
      <c r="W2176" s="314"/>
      <c r="X2176" s="314"/>
      <c r="Y2176" s="314"/>
      <c r="Z2176" s="314"/>
    </row>
    <row r="2177" spans="5:26" x14ac:dyDescent="0.35">
      <c r="E2177" s="314"/>
      <c r="F2177" s="314"/>
      <c r="G2177" s="314"/>
      <c r="H2177" s="314"/>
      <c r="I2177" s="314"/>
      <c r="J2177" s="314"/>
      <c r="K2177" s="314"/>
      <c r="L2177" s="314"/>
      <c r="M2177" s="314"/>
      <c r="N2177" s="314"/>
      <c r="O2177" s="314"/>
      <c r="P2177" s="314"/>
      <c r="Q2177" s="314"/>
      <c r="R2177" s="314"/>
      <c r="S2177" s="314"/>
      <c r="T2177" s="314"/>
      <c r="U2177" s="314"/>
      <c r="V2177" s="314"/>
      <c r="W2177" s="314"/>
      <c r="X2177" s="314"/>
      <c r="Y2177" s="314"/>
      <c r="Z2177" s="314"/>
    </row>
    <row r="2178" spans="5:26" x14ac:dyDescent="0.35">
      <c r="E2178" s="314"/>
      <c r="F2178" s="314"/>
      <c r="G2178" s="314"/>
      <c r="H2178" s="314"/>
      <c r="I2178" s="314"/>
      <c r="J2178" s="314"/>
      <c r="K2178" s="314"/>
      <c r="L2178" s="314"/>
      <c r="M2178" s="314"/>
      <c r="N2178" s="314"/>
      <c r="O2178" s="314"/>
      <c r="P2178" s="314"/>
      <c r="Q2178" s="314"/>
      <c r="R2178" s="314"/>
      <c r="S2178" s="314"/>
      <c r="T2178" s="314"/>
      <c r="U2178" s="314"/>
      <c r="V2178" s="314"/>
      <c r="W2178" s="314"/>
      <c r="X2178" s="314"/>
      <c r="Y2178" s="314"/>
      <c r="Z2178" s="314"/>
    </row>
    <row r="2179" spans="5:26" x14ac:dyDescent="0.35">
      <c r="E2179" s="314"/>
      <c r="F2179" s="314"/>
      <c r="G2179" s="314"/>
      <c r="H2179" s="314"/>
      <c r="I2179" s="314"/>
      <c r="J2179" s="314"/>
      <c r="K2179" s="314"/>
      <c r="L2179" s="314"/>
      <c r="M2179" s="314"/>
      <c r="N2179" s="314"/>
      <c r="O2179" s="314"/>
      <c r="P2179" s="314"/>
      <c r="Q2179" s="314"/>
      <c r="R2179" s="314"/>
      <c r="S2179" s="314"/>
      <c r="T2179" s="314"/>
      <c r="U2179" s="314"/>
      <c r="V2179" s="314"/>
      <c r="W2179" s="314"/>
      <c r="X2179" s="314"/>
      <c r="Y2179" s="314"/>
      <c r="Z2179" s="314"/>
    </row>
    <row r="2180" spans="5:26" x14ac:dyDescent="0.35">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row>
    <row r="2181" spans="5:26" x14ac:dyDescent="0.35">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row>
    <row r="2182" spans="5:26" x14ac:dyDescent="0.35">
      <c r="E2182" s="314"/>
      <c r="F2182" s="314"/>
      <c r="G2182" s="314"/>
      <c r="H2182" s="314"/>
      <c r="I2182" s="314"/>
      <c r="J2182" s="314"/>
      <c r="K2182" s="314"/>
      <c r="L2182" s="314"/>
      <c r="M2182" s="314"/>
      <c r="N2182" s="314"/>
      <c r="O2182" s="314"/>
      <c r="P2182" s="314"/>
      <c r="Q2182" s="314"/>
      <c r="R2182" s="314"/>
      <c r="S2182" s="314"/>
      <c r="T2182" s="314"/>
      <c r="U2182" s="314"/>
      <c r="V2182" s="314"/>
      <c r="W2182" s="314"/>
      <c r="X2182" s="314"/>
      <c r="Y2182" s="314"/>
      <c r="Z2182" s="314"/>
    </row>
    <row r="2183" spans="5:26" x14ac:dyDescent="0.35">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row>
    <row r="2184" spans="5:26" x14ac:dyDescent="0.35">
      <c r="E2184" s="314"/>
      <c r="F2184" s="314"/>
      <c r="G2184" s="314"/>
      <c r="H2184" s="314"/>
      <c r="I2184" s="314"/>
      <c r="J2184" s="314"/>
      <c r="K2184" s="314"/>
      <c r="L2184" s="314"/>
      <c r="M2184" s="314"/>
      <c r="N2184" s="314"/>
      <c r="O2184" s="314"/>
      <c r="P2184" s="314"/>
      <c r="Q2184" s="314"/>
      <c r="R2184" s="314"/>
      <c r="S2184" s="314"/>
      <c r="T2184" s="314"/>
      <c r="U2184" s="314"/>
      <c r="V2184" s="314"/>
      <c r="W2184" s="314"/>
      <c r="X2184" s="314"/>
      <c r="Y2184" s="314"/>
      <c r="Z2184" s="314"/>
    </row>
    <row r="2185" spans="5:26" x14ac:dyDescent="0.35">
      <c r="E2185" s="314"/>
      <c r="F2185" s="314"/>
      <c r="G2185" s="314"/>
      <c r="H2185" s="314"/>
      <c r="I2185" s="314"/>
      <c r="J2185" s="314"/>
      <c r="K2185" s="314"/>
      <c r="L2185" s="314"/>
      <c r="M2185" s="314"/>
      <c r="N2185" s="314"/>
      <c r="O2185" s="314"/>
      <c r="P2185" s="314"/>
      <c r="Q2185" s="314"/>
      <c r="R2185" s="314"/>
      <c r="S2185" s="314"/>
      <c r="T2185" s="314"/>
      <c r="U2185" s="314"/>
      <c r="V2185" s="314"/>
      <c r="W2185" s="314"/>
      <c r="X2185" s="314"/>
      <c r="Y2185" s="314"/>
      <c r="Z2185" s="314"/>
    </row>
    <row r="2186" spans="5:26" x14ac:dyDescent="0.35">
      <c r="E2186" s="314"/>
      <c r="F2186" s="314"/>
      <c r="G2186" s="314"/>
      <c r="H2186" s="314"/>
      <c r="I2186" s="314"/>
      <c r="J2186" s="314"/>
      <c r="K2186" s="314"/>
      <c r="L2186" s="314"/>
      <c r="M2186" s="314"/>
      <c r="N2186" s="314"/>
      <c r="O2186" s="314"/>
      <c r="P2186" s="314"/>
      <c r="Q2186" s="314"/>
      <c r="R2186" s="314"/>
      <c r="S2186" s="314"/>
      <c r="T2186" s="314"/>
      <c r="U2186" s="314"/>
      <c r="V2186" s="314"/>
      <c r="W2186" s="314"/>
      <c r="X2186" s="314"/>
      <c r="Y2186" s="314"/>
      <c r="Z2186" s="314"/>
    </row>
    <row r="2187" spans="5:26" x14ac:dyDescent="0.35">
      <c r="E2187" s="314"/>
      <c r="F2187" s="314"/>
      <c r="G2187" s="314"/>
      <c r="H2187" s="314"/>
      <c r="I2187" s="314"/>
      <c r="J2187" s="314"/>
      <c r="K2187" s="314"/>
      <c r="L2187" s="314"/>
      <c r="M2187" s="314"/>
      <c r="N2187" s="314"/>
      <c r="O2187" s="314"/>
      <c r="P2187" s="314"/>
      <c r="Q2187" s="314"/>
      <c r="R2187" s="314"/>
      <c r="S2187" s="314"/>
      <c r="T2187" s="314"/>
      <c r="U2187" s="314"/>
      <c r="V2187" s="314"/>
      <c r="W2187" s="314"/>
      <c r="X2187" s="314"/>
      <c r="Y2187" s="314"/>
      <c r="Z2187" s="314"/>
    </row>
    <row r="2188" spans="5:26" x14ac:dyDescent="0.35">
      <c r="E2188" s="314"/>
      <c r="F2188" s="314"/>
      <c r="G2188" s="314"/>
      <c r="H2188" s="314"/>
      <c r="I2188" s="314"/>
      <c r="J2188" s="314"/>
      <c r="K2188" s="314"/>
      <c r="L2188" s="314"/>
      <c r="M2188" s="314"/>
      <c r="N2188" s="314"/>
      <c r="O2188" s="314"/>
      <c r="P2188" s="314"/>
      <c r="Q2188" s="314"/>
      <c r="R2188" s="314"/>
      <c r="S2188" s="314"/>
      <c r="T2188" s="314"/>
      <c r="U2188" s="314"/>
      <c r="V2188" s="314"/>
      <c r="W2188" s="314"/>
      <c r="X2188" s="314"/>
      <c r="Y2188" s="314"/>
      <c r="Z2188" s="314"/>
    </row>
    <row r="2189" spans="5:26" x14ac:dyDescent="0.35">
      <c r="E2189" s="314"/>
      <c r="F2189" s="314"/>
      <c r="G2189" s="314"/>
      <c r="H2189" s="314"/>
      <c r="I2189" s="314"/>
      <c r="J2189" s="314"/>
      <c r="K2189" s="314"/>
      <c r="L2189" s="314"/>
      <c r="M2189" s="314"/>
      <c r="N2189" s="314"/>
      <c r="O2189" s="314"/>
      <c r="P2189" s="314"/>
      <c r="Q2189" s="314"/>
      <c r="R2189" s="314"/>
      <c r="S2189" s="314"/>
      <c r="T2189" s="314"/>
      <c r="U2189" s="314"/>
      <c r="V2189" s="314"/>
      <c r="W2189" s="314"/>
      <c r="X2189" s="314"/>
      <c r="Y2189" s="314"/>
      <c r="Z2189" s="314"/>
    </row>
    <row r="2190" spans="5:26" x14ac:dyDescent="0.35">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row>
    <row r="2191" spans="5:26" x14ac:dyDescent="0.35">
      <c r="E2191" s="314"/>
      <c r="F2191" s="314"/>
      <c r="G2191" s="314"/>
      <c r="H2191" s="314"/>
      <c r="I2191" s="314"/>
      <c r="J2191" s="314"/>
      <c r="K2191" s="314"/>
      <c r="L2191" s="314"/>
      <c r="M2191" s="314"/>
      <c r="N2191" s="314"/>
      <c r="O2191" s="314"/>
      <c r="P2191" s="314"/>
      <c r="Q2191" s="314"/>
      <c r="R2191" s="314"/>
      <c r="S2191" s="314"/>
      <c r="T2191" s="314"/>
      <c r="U2191" s="314"/>
      <c r="V2191" s="314"/>
      <c r="W2191" s="314"/>
      <c r="X2191" s="314"/>
      <c r="Y2191" s="314"/>
      <c r="Z2191" s="314"/>
    </row>
    <row r="2192" spans="5:26" x14ac:dyDescent="0.35">
      <c r="E2192" s="314"/>
      <c r="F2192" s="314"/>
      <c r="G2192" s="314"/>
      <c r="H2192" s="314"/>
      <c r="I2192" s="314"/>
      <c r="J2192" s="314"/>
      <c r="K2192" s="314"/>
      <c r="L2192" s="314"/>
      <c r="M2192" s="314"/>
      <c r="N2192" s="314"/>
      <c r="O2192" s="314"/>
      <c r="P2192" s="314"/>
      <c r="Q2192" s="314"/>
      <c r="R2192" s="314"/>
      <c r="S2192" s="314"/>
      <c r="T2192" s="314"/>
      <c r="U2192" s="314"/>
      <c r="V2192" s="314"/>
      <c r="W2192" s="314"/>
      <c r="X2192" s="314"/>
      <c r="Y2192" s="314"/>
      <c r="Z2192" s="314"/>
    </row>
    <row r="2193" spans="5:26" x14ac:dyDescent="0.35">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row>
    <row r="2194" spans="5:26" x14ac:dyDescent="0.35">
      <c r="E2194" s="314"/>
      <c r="F2194" s="314"/>
      <c r="G2194" s="314"/>
      <c r="H2194" s="314"/>
      <c r="I2194" s="314"/>
      <c r="J2194" s="314"/>
      <c r="K2194" s="314"/>
      <c r="L2194" s="314"/>
      <c r="M2194" s="314"/>
      <c r="N2194" s="314"/>
      <c r="O2194" s="314"/>
      <c r="P2194" s="314"/>
      <c r="Q2194" s="314"/>
      <c r="R2194" s="314"/>
      <c r="S2194" s="314"/>
      <c r="T2194" s="314"/>
      <c r="U2194" s="314"/>
      <c r="V2194" s="314"/>
      <c r="W2194" s="314"/>
      <c r="X2194" s="314"/>
      <c r="Y2194" s="314"/>
      <c r="Z2194" s="314"/>
    </row>
    <row r="2195" spans="5:26" x14ac:dyDescent="0.35">
      <c r="E2195" s="314"/>
      <c r="F2195" s="314"/>
      <c r="G2195" s="314"/>
      <c r="H2195" s="314"/>
      <c r="I2195" s="314"/>
      <c r="J2195" s="314"/>
      <c r="K2195" s="314"/>
      <c r="L2195" s="314"/>
      <c r="M2195" s="314"/>
      <c r="N2195" s="314"/>
      <c r="O2195" s="314"/>
      <c r="P2195" s="314"/>
      <c r="Q2195" s="314"/>
      <c r="R2195" s="314"/>
      <c r="S2195" s="314"/>
      <c r="T2195" s="314"/>
      <c r="U2195" s="314"/>
      <c r="V2195" s="314"/>
      <c r="W2195" s="314"/>
      <c r="X2195" s="314"/>
      <c r="Y2195" s="314"/>
      <c r="Z2195" s="314"/>
    </row>
    <row r="2196" spans="5:26" x14ac:dyDescent="0.35">
      <c r="E2196" s="314"/>
      <c r="F2196" s="314"/>
      <c r="G2196" s="314"/>
      <c r="H2196" s="314"/>
      <c r="I2196" s="314"/>
      <c r="J2196" s="314"/>
      <c r="K2196" s="314"/>
      <c r="L2196" s="314"/>
      <c r="M2196" s="314"/>
      <c r="N2196" s="314"/>
      <c r="O2196" s="314"/>
      <c r="P2196" s="314"/>
      <c r="Q2196" s="314"/>
      <c r="R2196" s="314"/>
      <c r="S2196" s="314"/>
      <c r="T2196" s="314"/>
      <c r="U2196" s="314"/>
      <c r="V2196" s="314"/>
      <c r="W2196" s="314"/>
      <c r="X2196" s="314"/>
      <c r="Y2196" s="314"/>
      <c r="Z2196" s="314"/>
    </row>
    <row r="2197" spans="5:26" x14ac:dyDescent="0.35">
      <c r="E2197" s="314"/>
      <c r="F2197" s="314"/>
      <c r="G2197" s="314"/>
      <c r="H2197" s="314"/>
      <c r="I2197" s="314"/>
      <c r="J2197" s="314"/>
      <c r="K2197" s="314"/>
      <c r="L2197" s="314"/>
      <c r="M2197" s="314"/>
      <c r="N2197" s="314"/>
      <c r="O2197" s="314"/>
      <c r="P2197" s="314"/>
      <c r="Q2197" s="314"/>
      <c r="R2197" s="314"/>
      <c r="S2197" s="314"/>
      <c r="T2197" s="314"/>
      <c r="U2197" s="314"/>
      <c r="V2197" s="314"/>
      <c r="W2197" s="314"/>
      <c r="X2197" s="314"/>
      <c r="Y2197" s="314"/>
      <c r="Z2197" s="314"/>
    </row>
    <row r="2198" spans="5:26" x14ac:dyDescent="0.35">
      <c r="E2198" s="314"/>
      <c r="F2198" s="314"/>
      <c r="G2198" s="314"/>
      <c r="H2198" s="314"/>
      <c r="I2198" s="314"/>
      <c r="J2198" s="314"/>
      <c r="K2198" s="314"/>
      <c r="L2198" s="314"/>
      <c r="M2198" s="314"/>
      <c r="N2198" s="314"/>
      <c r="O2198" s="314"/>
      <c r="P2198" s="314"/>
      <c r="Q2198" s="314"/>
      <c r="R2198" s="314"/>
      <c r="S2198" s="314"/>
      <c r="T2198" s="314"/>
      <c r="U2198" s="314"/>
      <c r="V2198" s="314"/>
      <c r="W2198" s="314"/>
      <c r="X2198" s="314"/>
      <c r="Y2198" s="314"/>
      <c r="Z2198" s="314"/>
    </row>
    <row r="2199" spans="5:26" x14ac:dyDescent="0.35">
      <c r="E2199" s="314"/>
      <c r="F2199" s="314"/>
      <c r="G2199" s="314"/>
      <c r="H2199" s="314"/>
      <c r="I2199" s="314"/>
      <c r="J2199" s="314"/>
      <c r="K2199" s="314"/>
      <c r="L2199" s="314"/>
      <c r="M2199" s="314"/>
      <c r="N2199" s="314"/>
      <c r="O2199" s="314"/>
      <c r="P2199" s="314"/>
      <c r="Q2199" s="314"/>
      <c r="R2199" s="314"/>
      <c r="S2199" s="314"/>
      <c r="T2199" s="314"/>
      <c r="U2199" s="314"/>
      <c r="V2199" s="314"/>
      <c r="W2199" s="314"/>
      <c r="X2199" s="314"/>
      <c r="Y2199" s="314"/>
      <c r="Z2199" s="314"/>
    </row>
    <row r="2200" spans="5:26" x14ac:dyDescent="0.35">
      <c r="E2200" s="314"/>
      <c r="F2200" s="314"/>
      <c r="G2200" s="314"/>
      <c r="H2200" s="314"/>
      <c r="I2200" s="314"/>
      <c r="J2200" s="314"/>
      <c r="K2200" s="314"/>
      <c r="L2200" s="314"/>
      <c r="M2200" s="314"/>
      <c r="N2200" s="314"/>
      <c r="O2200" s="314"/>
      <c r="P2200" s="314"/>
      <c r="Q2200" s="314"/>
      <c r="R2200" s="314"/>
      <c r="S2200" s="314"/>
      <c r="T2200" s="314"/>
      <c r="U2200" s="314"/>
      <c r="V2200" s="314"/>
      <c r="W2200" s="314"/>
      <c r="X2200" s="314"/>
      <c r="Y2200" s="314"/>
      <c r="Z2200" s="314"/>
    </row>
    <row r="2201" spans="5:26" x14ac:dyDescent="0.35">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row>
    <row r="2202" spans="5:26" x14ac:dyDescent="0.35">
      <c r="E2202" s="314"/>
      <c r="F2202" s="314"/>
      <c r="G2202" s="314"/>
      <c r="H2202" s="314"/>
      <c r="I2202" s="314"/>
      <c r="J2202" s="314"/>
      <c r="K2202" s="314"/>
      <c r="L2202" s="314"/>
      <c r="M2202" s="314"/>
      <c r="N2202" s="314"/>
      <c r="O2202" s="314"/>
      <c r="P2202" s="314"/>
      <c r="Q2202" s="314"/>
      <c r="R2202" s="314"/>
      <c r="S2202" s="314"/>
      <c r="T2202" s="314"/>
      <c r="U2202" s="314"/>
      <c r="V2202" s="314"/>
      <c r="W2202" s="314"/>
      <c r="X2202" s="314"/>
      <c r="Y2202" s="314"/>
      <c r="Z2202" s="314"/>
    </row>
    <row r="2203" spans="5:26" x14ac:dyDescent="0.35">
      <c r="E2203" s="314"/>
      <c r="F2203" s="314"/>
      <c r="G2203" s="314"/>
      <c r="H2203" s="314"/>
      <c r="I2203" s="314"/>
      <c r="J2203" s="314"/>
      <c r="K2203" s="314"/>
      <c r="L2203" s="314"/>
      <c r="M2203" s="314"/>
      <c r="N2203" s="314"/>
      <c r="O2203" s="314"/>
      <c r="P2203" s="314"/>
      <c r="Q2203" s="314"/>
      <c r="R2203" s="314"/>
      <c r="S2203" s="314"/>
      <c r="T2203" s="314"/>
      <c r="U2203" s="314"/>
      <c r="V2203" s="314"/>
      <c r="W2203" s="314"/>
      <c r="X2203" s="314"/>
      <c r="Y2203" s="314"/>
      <c r="Z2203" s="314"/>
    </row>
    <row r="2204" spans="5:26" x14ac:dyDescent="0.35">
      <c r="E2204" s="314"/>
      <c r="F2204" s="314"/>
      <c r="G2204" s="314"/>
      <c r="H2204" s="314"/>
      <c r="I2204" s="314"/>
      <c r="J2204" s="314"/>
      <c r="K2204" s="314"/>
      <c r="L2204" s="314"/>
      <c r="M2204" s="314"/>
      <c r="N2204" s="314"/>
      <c r="O2204" s="314"/>
      <c r="P2204" s="314"/>
      <c r="Q2204" s="314"/>
      <c r="R2204" s="314"/>
      <c r="S2204" s="314"/>
      <c r="T2204" s="314"/>
      <c r="U2204" s="314"/>
      <c r="V2204" s="314"/>
      <c r="W2204" s="314"/>
      <c r="X2204" s="314"/>
      <c r="Y2204" s="314"/>
      <c r="Z2204" s="314"/>
    </row>
    <row r="2205" spans="5:26" x14ac:dyDescent="0.35">
      <c r="E2205" s="314"/>
      <c r="F2205" s="314"/>
      <c r="G2205" s="314"/>
      <c r="H2205" s="314"/>
      <c r="I2205" s="314"/>
      <c r="J2205" s="314"/>
      <c r="K2205" s="314"/>
      <c r="L2205" s="314"/>
      <c r="M2205" s="314"/>
      <c r="N2205" s="314"/>
      <c r="O2205" s="314"/>
      <c r="P2205" s="314"/>
      <c r="Q2205" s="314"/>
      <c r="R2205" s="314"/>
      <c r="S2205" s="314"/>
      <c r="T2205" s="314"/>
      <c r="U2205" s="314"/>
      <c r="V2205" s="314"/>
      <c r="W2205" s="314"/>
      <c r="X2205" s="314"/>
      <c r="Y2205" s="314"/>
      <c r="Z2205" s="314"/>
    </row>
    <row r="2206" spans="5:26" x14ac:dyDescent="0.35">
      <c r="E2206" s="314"/>
      <c r="F2206" s="314"/>
      <c r="G2206" s="314"/>
      <c r="H2206" s="314"/>
      <c r="I2206" s="314"/>
      <c r="J2206" s="314"/>
      <c r="K2206" s="314"/>
      <c r="L2206" s="314"/>
      <c r="M2206" s="314"/>
      <c r="N2206" s="314"/>
      <c r="O2206" s="314"/>
      <c r="P2206" s="314"/>
      <c r="Q2206" s="314"/>
      <c r="R2206" s="314"/>
      <c r="S2206" s="314"/>
      <c r="T2206" s="314"/>
      <c r="U2206" s="314"/>
      <c r="V2206" s="314"/>
      <c r="W2206" s="314"/>
      <c r="X2206" s="314"/>
      <c r="Y2206" s="314"/>
      <c r="Z2206" s="314"/>
    </row>
    <row r="2207" spans="5:26" x14ac:dyDescent="0.35">
      <c r="E2207" s="314"/>
      <c r="F2207" s="314"/>
      <c r="G2207" s="314"/>
      <c r="H2207" s="314"/>
      <c r="I2207" s="314"/>
      <c r="J2207" s="314"/>
      <c r="K2207" s="314"/>
      <c r="L2207" s="314"/>
      <c r="M2207" s="314"/>
      <c r="N2207" s="314"/>
      <c r="O2207" s="314"/>
      <c r="P2207" s="314"/>
      <c r="Q2207" s="314"/>
      <c r="R2207" s="314"/>
      <c r="S2207" s="314"/>
      <c r="T2207" s="314"/>
      <c r="U2207" s="314"/>
      <c r="V2207" s="314"/>
      <c r="W2207" s="314"/>
      <c r="X2207" s="314"/>
      <c r="Y2207" s="314"/>
      <c r="Z2207" s="314"/>
    </row>
    <row r="2208" spans="5:26" x14ac:dyDescent="0.35">
      <c r="E2208" s="314"/>
      <c r="F2208" s="314"/>
      <c r="G2208" s="314"/>
      <c r="H2208" s="314"/>
      <c r="I2208" s="314"/>
      <c r="J2208" s="314"/>
      <c r="K2208" s="314"/>
      <c r="L2208" s="314"/>
      <c r="M2208" s="314"/>
      <c r="N2208" s="314"/>
      <c r="O2208" s="314"/>
      <c r="P2208" s="314"/>
      <c r="Q2208" s="314"/>
      <c r="R2208" s="314"/>
      <c r="S2208" s="314"/>
      <c r="T2208" s="314"/>
      <c r="U2208" s="314"/>
      <c r="V2208" s="314"/>
      <c r="W2208" s="314"/>
      <c r="X2208" s="314"/>
      <c r="Y2208" s="314"/>
      <c r="Z2208" s="314"/>
    </row>
    <row r="2209" spans="5:26" x14ac:dyDescent="0.35">
      <c r="E2209" s="314"/>
      <c r="F2209" s="314"/>
      <c r="G2209" s="314"/>
      <c r="H2209" s="314"/>
      <c r="I2209" s="314"/>
      <c r="J2209" s="314"/>
      <c r="K2209" s="314"/>
      <c r="L2209" s="314"/>
      <c r="M2209" s="314"/>
      <c r="N2209" s="314"/>
      <c r="O2209" s="314"/>
      <c r="P2209" s="314"/>
      <c r="Q2209" s="314"/>
      <c r="R2209" s="314"/>
      <c r="S2209" s="314"/>
      <c r="T2209" s="314"/>
      <c r="U2209" s="314"/>
      <c r="V2209" s="314"/>
      <c r="W2209" s="314"/>
      <c r="X2209" s="314"/>
      <c r="Y2209" s="314"/>
      <c r="Z2209" s="314"/>
    </row>
    <row r="2210" spans="5:26" x14ac:dyDescent="0.35">
      <c r="E2210" s="314"/>
      <c r="F2210" s="314"/>
      <c r="G2210" s="314"/>
      <c r="H2210" s="314"/>
      <c r="I2210" s="314"/>
      <c r="J2210" s="314"/>
      <c r="K2210" s="314"/>
      <c r="L2210" s="314"/>
      <c r="M2210" s="314"/>
      <c r="N2210" s="314"/>
      <c r="O2210" s="314"/>
      <c r="P2210" s="314"/>
      <c r="Q2210" s="314"/>
      <c r="R2210" s="314"/>
      <c r="S2210" s="314"/>
      <c r="T2210" s="314"/>
      <c r="U2210" s="314"/>
      <c r="V2210" s="314"/>
      <c r="W2210" s="314"/>
      <c r="X2210" s="314"/>
      <c r="Y2210" s="314"/>
      <c r="Z2210" s="314"/>
    </row>
    <row r="2211" spans="5:26" x14ac:dyDescent="0.35">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row>
    <row r="2212" spans="5:26" x14ac:dyDescent="0.35">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row>
    <row r="2213" spans="5:26" x14ac:dyDescent="0.35">
      <c r="E2213" s="314"/>
      <c r="F2213" s="314"/>
      <c r="G2213" s="314"/>
      <c r="H2213" s="314"/>
      <c r="I2213" s="314"/>
      <c r="J2213" s="314"/>
      <c r="K2213" s="314"/>
      <c r="L2213" s="314"/>
      <c r="M2213" s="314"/>
      <c r="N2213" s="314"/>
      <c r="O2213" s="314"/>
      <c r="P2213" s="314"/>
      <c r="Q2213" s="314"/>
      <c r="R2213" s="314"/>
      <c r="S2213" s="314"/>
      <c r="T2213" s="314"/>
      <c r="U2213" s="314"/>
      <c r="V2213" s="314"/>
      <c r="W2213" s="314"/>
      <c r="X2213" s="314"/>
      <c r="Y2213" s="314"/>
      <c r="Z2213" s="314"/>
    </row>
    <row r="2214" spans="5:26" x14ac:dyDescent="0.35">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row>
    <row r="2215" spans="5:26" x14ac:dyDescent="0.35">
      <c r="E2215" s="314"/>
      <c r="F2215" s="314"/>
      <c r="G2215" s="314"/>
      <c r="H2215" s="314"/>
      <c r="I2215" s="314"/>
      <c r="J2215" s="314"/>
      <c r="K2215" s="314"/>
      <c r="L2215" s="314"/>
      <c r="M2215" s="314"/>
      <c r="N2215" s="314"/>
      <c r="O2215" s="314"/>
      <c r="P2215" s="314"/>
      <c r="Q2215" s="314"/>
      <c r="R2215" s="314"/>
      <c r="S2215" s="314"/>
      <c r="T2215" s="314"/>
      <c r="U2215" s="314"/>
      <c r="V2215" s="314"/>
      <c r="W2215" s="314"/>
      <c r="X2215" s="314"/>
      <c r="Y2215" s="314"/>
      <c r="Z2215" s="314"/>
    </row>
    <row r="2216" spans="5:26" x14ac:dyDescent="0.35">
      <c r="E2216" s="314"/>
      <c r="F2216" s="314"/>
      <c r="G2216" s="314"/>
      <c r="H2216" s="314"/>
      <c r="I2216" s="314"/>
      <c r="J2216" s="314"/>
      <c r="K2216" s="314"/>
      <c r="L2216" s="314"/>
      <c r="M2216" s="314"/>
      <c r="N2216" s="314"/>
      <c r="O2216" s="314"/>
      <c r="P2216" s="314"/>
      <c r="Q2216" s="314"/>
      <c r="R2216" s="314"/>
      <c r="S2216" s="314"/>
      <c r="T2216" s="314"/>
      <c r="U2216" s="314"/>
      <c r="V2216" s="314"/>
      <c r="W2216" s="314"/>
      <c r="X2216" s="314"/>
      <c r="Y2216" s="314"/>
      <c r="Z2216" s="314"/>
    </row>
    <row r="2217" spans="5:26" x14ac:dyDescent="0.35">
      <c r="E2217" s="314"/>
      <c r="F2217" s="314"/>
      <c r="G2217" s="314"/>
      <c r="H2217" s="314"/>
      <c r="I2217" s="314"/>
      <c r="J2217" s="314"/>
      <c r="K2217" s="314"/>
      <c r="L2217" s="314"/>
      <c r="M2217" s="314"/>
      <c r="N2217" s="314"/>
      <c r="O2217" s="314"/>
      <c r="P2217" s="314"/>
      <c r="Q2217" s="314"/>
      <c r="R2217" s="314"/>
      <c r="S2217" s="314"/>
      <c r="T2217" s="314"/>
      <c r="U2217" s="314"/>
      <c r="V2217" s="314"/>
      <c r="W2217" s="314"/>
      <c r="X2217" s="314"/>
      <c r="Y2217" s="314"/>
      <c r="Z2217" s="314"/>
    </row>
    <row r="2218" spans="5:26" x14ac:dyDescent="0.35">
      <c r="E2218" s="314"/>
      <c r="F2218" s="314"/>
      <c r="G2218" s="314"/>
      <c r="H2218" s="314"/>
      <c r="I2218" s="314"/>
      <c r="J2218" s="314"/>
      <c r="K2218" s="314"/>
      <c r="L2218" s="314"/>
      <c r="M2218" s="314"/>
      <c r="N2218" s="314"/>
      <c r="O2218" s="314"/>
      <c r="P2218" s="314"/>
      <c r="Q2218" s="314"/>
      <c r="R2218" s="314"/>
      <c r="S2218" s="314"/>
      <c r="T2218" s="314"/>
      <c r="U2218" s="314"/>
      <c r="V2218" s="314"/>
      <c r="W2218" s="314"/>
      <c r="X2218" s="314"/>
      <c r="Y2218" s="314"/>
      <c r="Z2218" s="314"/>
    </row>
    <row r="2219" spans="5:26" x14ac:dyDescent="0.35">
      <c r="E2219" s="314"/>
      <c r="F2219" s="314"/>
      <c r="G2219" s="314"/>
      <c r="H2219" s="314"/>
      <c r="I2219" s="314"/>
      <c r="J2219" s="314"/>
      <c r="K2219" s="314"/>
      <c r="L2219" s="314"/>
      <c r="M2219" s="314"/>
      <c r="N2219" s="314"/>
      <c r="O2219" s="314"/>
      <c r="P2219" s="314"/>
      <c r="Q2219" s="314"/>
      <c r="R2219" s="314"/>
      <c r="S2219" s="314"/>
      <c r="T2219" s="314"/>
      <c r="U2219" s="314"/>
      <c r="V2219" s="314"/>
      <c r="W2219" s="314"/>
      <c r="X2219" s="314"/>
      <c r="Y2219" s="314"/>
      <c r="Z2219" s="314"/>
    </row>
    <row r="2220" spans="5:26" x14ac:dyDescent="0.35">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row>
    <row r="2221" spans="5:26" x14ac:dyDescent="0.35">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row>
    <row r="2222" spans="5:26" x14ac:dyDescent="0.35">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row>
    <row r="2223" spans="5:26" x14ac:dyDescent="0.35">
      <c r="E2223" s="314"/>
      <c r="F2223" s="314"/>
      <c r="G2223" s="314"/>
      <c r="H2223" s="314"/>
      <c r="I2223" s="314"/>
      <c r="J2223" s="314"/>
      <c r="K2223" s="314"/>
      <c r="L2223" s="314"/>
      <c r="M2223" s="314"/>
      <c r="N2223" s="314"/>
      <c r="O2223" s="314"/>
      <c r="P2223" s="314"/>
      <c r="Q2223" s="314"/>
      <c r="R2223" s="314"/>
      <c r="S2223" s="314"/>
      <c r="T2223" s="314"/>
      <c r="U2223" s="314"/>
      <c r="V2223" s="314"/>
      <c r="W2223" s="314"/>
      <c r="X2223" s="314"/>
      <c r="Y2223" s="314"/>
      <c r="Z2223" s="314"/>
    </row>
    <row r="2224" spans="5:26" x14ac:dyDescent="0.35">
      <c r="E2224" s="314"/>
      <c r="F2224" s="314"/>
      <c r="G2224" s="314"/>
      <c r="H2224" s="314"/>
      <c r="I2224" s="314"/>
      <c r="J2224" s="314"/>
      <c r="K2224" s="314"/>
      <c r="L2224" s="314"/>
      <c r="M2224" s="314"/>
      <c r="N2224" s="314"/>
      <c r="O2224" s="314"/>
      <c r="P2224" s="314"/>
      <c r="Q2224" s="314"/>
      <c r="R2224" s="314"/>
      <c r="S2224" s="314"/>
      <c r="T2224" s="314"/>
      <c r="U2224" s="314"/>
      <c r="V2224" s="314"/>
      <c r="W2224" s="314"/>
      <c r="X2224" s="314"/>
      <c r="Y2224" s="314"/>
      <c r="Z2224" s="314"/>
    </row>
    <row r="2225" spans="5:26" x14ac:dyDescent="0.35">
      <c r="E2225" s="314"/>
      <c r="F2225" s="314"/>
      <c r="G2225" s="314"/>
      <c r="H2225" s="314"/>
      <c r="I2225" s="314"/>
      <c r="J2225" s="314"/>
      <c r="K2225" s="314"/>
      <c r="L2225" s="314"/>
      <c r="M2225" s="314"/>
      <c r="N2225" s="314"/>
      <c r="O2225" s="314"/>
      <c r="P2225" s="314"/>
      <c r="Q2225" s="314"/>
      <c r="R2225" s="314"/>
      <c r="S2225" s="314"/>
      <c r="T2225" s="314"/>
      <c r="U2225" s="314"/>
      <c r="V2225" s="314"/>
      <c r="W2225" s="314"/>
      <c r="X2225" s="314"/>
      <c r="Y2225" s="314"/>
      <c r="Z2225" s="314"/>
    </row>
    <row r="2226" spans="5:26" x14ac:dyDescent="0.35">
      <c r="E2226" s="314"/>
      <c r="F2226" s="314"/>
      <c r="G2226" s="314"/>
      <c r="H2226" s="314"/>
      <c r="I2226" s="314"/>
      <c r="J2226" s="314"/>
      <c r="K2226" s="314"/>
      <c r="L2226" s="314"/>
      <c r="M2226" s="314"/>
      <c r="N2226" s="314"/>
      <c r="O2226" s="314"/>
      <c r="P2226" s="314"/>
      <c r="Q2226" s="314"/>
      <c r="R2226" s="314"/>
      <c r="S2226" s="314"/>
      <c r="T2226" s="314"/>
      <c r="U2226" s="314"/>
      <c r="V2226" s="314"/>
      <c r="W2226" s="314"/>
      <c r="X2226" s="314"/>
      <c r="Y2226" s="314"/>
      <c r="Z2226" s="314"/>
    </row>
    <row r="2227" spans="5:26" x14ac:dyDescent="0.35">
      <c r="E2227" s="314"/>
      <c r="F2227" s="314"/>
      <c r="G2227" s="314"/>
      <c r="H2227" s="314"/>
      <c r="I2227" s="314"/>
      <c r="J2227" s="314"/>
      <c r="K2227" s="314"/>
      <c r="L2227" s="314"/>
      <c r="M2227" s="314"/>
      <c r="N2227" s="314"/>
      <c r="O2227" s="314"/>
      <c r="P2227" s="314"/>
      <c r="Q2227" s="314"/>
      <c r="R2227" s="314"/>
      <c r="S2227" s="314"/>
      <c r="T2227" s="314"/>
      <c r="U2227" s="314"/>
      <c r="V2227" s="314"/>
      <c r="W2227" s="314"/>
      <c r="X2227" s="314"/>
      <c r="Y2227" s="314"/>
      <c r="Z2227" s="314"/>
    </row>
    <row r="2228" spans="5:26" x14ac:dyDescent="0.35">
      <c r="E2228" s="314"/>
      <c r="F2228" s="314"/>
      <c r="G2228" s="314"/>
      <c r="H2228" s="314"/>
      <c r="I2228" s="314"/>
      <c r="J2228" s="314"/>
      <c r="K2228" s="314"/>
      <c r="L2228" s="314"/>
      <c r="M2228" s="314"/>
      <c r="N2228" s="314"/>
      <c r="O2228" s="314"/>
      <c r="P2228" s="314"/>
      <c r="Q2228" s="314"/>
      <c r="R2228" s="314"/>
      <c r="S2228" s="314"/>
      <c r="T2228" s="314"/>
      <c r="U2228" s="314"/>
      <c r="V2228" s="314"/>
      <c r="W2228" s="314"/>
      <c r="X2228" s="314"/>
      <c r="Y2228" s="314"/>
      <c r="Z2228" s="314"/>
    </row>
    <row r="2229" spans="5:26" x14ac:dyDescent="0.35">
      <c r="E2229" s="314"/>
      <c r="F2229" s="314"/>
      <c r="G2229" s="314"/>
      <c r="H2229" s="314"/>
      <c r="I2229" s="314"/>
      <c r="J2229" s="314"/>
      <c r="K2229" s="314"/>
      <c r="L2229" s="314"/>
      <c r="M2229" s="314"/>
      <c r="N2229" s="314"/>
      <c r="O2229" s="314"/>
      <c r="P2229" s="314"/>
      <c r="Q2229" s="314"/>
      <c r="R2229" s="314"/>
      <c r="S2229" s="314"/>
      <c r="T2229" s="314"/>
      <c r="U2229" s="314"/>
      <c r="V2229" s="314"/>
      <c r="W2229" s="314"/>
      <c r="X2229" s="314"/>
      <c r="Y2229" s="314"/>
      <c r="Z2229" s="314"/>
    </row>
    <row r="2230" spans="5:26" x14ac:dyDescent="0.35">
      <c r="E2230" s="314"/>
      <c r="F2230" s="314"/>
      <c r="G2230" s="314"/>
      <c r="H2230" s="314"/>
      <c r="I2230" s="314"/>
      <c r="J2230" s="314"/>
      <c r="K2230" s="314"/>
      <c r="L2230" s="314"/>
      <c r="M2230" s="314"/>
      <c r="N2230" s="314"/>
      <c r="O2230" s="314"/>
      <c r="P2230" s="314"/>
      <c r="Q2230" s="314"/>
      <c r="R2230" s="314"/>
      <c r="S2230" s="314"/>
      <c r="T2230" s="314"/>
      <c r="U2230" s="314"/>
      <c r="V2230" s="314"/>
      <c r="W2230" s="314"/>
      <c r="X2230" s="314"/>
      <c r="Y2230" s="314"/>
      <c r="Z2230" s="314"/>
    </row>
    <row r="2231" spans="5:26" x14ac:dyDescent="0.35">
      <c r="E2231" s="314"/>
      <c r="F2231" s="314"/>
      <c r="G2231" s="314"/>
      <c r="H2231" s="314"/>
      <c r="I2231" s="314"/>
      <c r="J2231" s="314"/>
      <c r="K2231" s="314"/>
      <c r="L2231" s="314"/>
      <c r="M2231" s="314"/>
      <c r="N2231" s="314"/>
      <c r="O2231" s="314"/>
      <c r="P2231" s="314"/>
      <c r="Q2231" s="314"/>
      <c r="R2231" s="314"/>
      <c r="S2231" s="314"/>
      <c r="T2231" s="314"/>
      <c r="U2231" s="314"/>
      <c r="V2231" s="314"/>
      <c r="W2231" s="314"/>
      <c r="X2231" s="314"/>
      <c r="Y2231" s="314"/>
      <c r="Z2231" s="314"/>
    </row>
    <row r="2232" spans="5:26" x14ac:dyDescent="0.35">
      <c r="E2232" s="314"/>
      <c r="F2232" s="314"/>
      <c r="G2232" s="314"/>
      <c r="H2232" s="314"/>
      <c r="I2232" s="314"/>
      <c r="J2232" s="314"/>
      <c r="K2232" s="314"/>
      <c r="L2232" s="314"/>
      <c r="M2232" s="314"/>
      <c r="N2232" s="314"/>
      <c r="O2232" s="314"/>
      <c r="P2232" s="314"/>
      <c r="Q2232" s="314"/>
      <c r="R2232" s="314"/>
      <c r="S2232" s="314"/>
      <c r="T2232" s="314"/>
      <c r="U2232" s="314"/>
      <c r="V2232" s="314"/>
      <c r="W2232" s="314"/>
      <c r="X2232" s="314"/>
      <c r="Y2232" s="314"/>
      <c r="Z2232" s="314"/>
    </row>
    <row r="2233" spans="5:26" x14ac:dyDescent="0.35">
      <c r="E2233" s="314"/>
      <c r="F2233" s="314"/>
      <c r="G2233" s="314"/>
      <c r="H2233" s="314"/>
      <c r="I2233" s="314"/>
      <c r="J2233" s="314"/>
      <c r="K2233" s="314"/>
      <c r="L2233" s="314"/>
      <c r="M2233" s="314"/>
      <c r="N2233" s="314"/>
      <c r="O2233" s="314"/>
      <c r="P2233" s="314"/>
      <c r="Q2233" s="314"/>
      <c r="R2233" s="314"/>
      <c r="S2233" s="314"/>
      <c r="T2233" s="314"/>
      <c r="U2233" s="314"/>
      <c r="V2233" s="314"/>
      <c r="W2233" s="314"/>
      <c r="X2233" s="314"/>
      <c r="Y2233" s="314"/>
      <c r="Z2233" s="314"/>
    </row>
    <row r="2234" spans="5:26" x14ac:dyDescent="0.35">
      <c r="E2234" s="314"/>
      <c r="F2234" s="314"/>
      <c r="G2234" s="314"/>
      <c r="H2234" s="314"/>
      <c r="I2234" s="314"/>
      <c r="J2234" s="314"/>
      <c r="K2234" s="314"/>
      <c r="L2234" s="314"/>
      <c r="M2234" s="314"/>
      <c r="N2234" s="314"/>
      <c r="O2234" s="314"/>
      <c r="P2234" s="314"/>
      <c r="Q2234" s="314"/>
      <c r="R2234" s="314"/>
      <c r="S2234" s="314"/>
      <c r="T2234" s="314"/>
      <c r="U2234" s="314"/>
      <c r="V2234" s="314"/>
      <c r="W2234" s="314"/>
      <c r="X2234" s="314"/>
      <c r="Y2234" s="314"/>
      <c r="Z2234" s="314"/>
    </row>
    <row r="2235" spans="5:26" x14ac:dyDescent="0.35">
      <c r="E2235" s="314"/>
      <c r="F2235" s="314"/>
      <c r="G2235" s="314"/>
      <c r="H2235" s="314"/>
      <c r="I2235" s="314"/>
      <c r="J2235" s="314"/>
      <c r="K2235" s="314"/>
      <c r="L2235" s="314"/>
      <c r="M2235" s="314"/>
      <c r="N2235" s="314"/>
      <c r="O2235" s="314"/>
      <c r="P2235" s="314"/>
      <c r="Q2235" s="314"/>
      <c r="R2235" s="314"/>
      <c r="S2235" s="314"/>
      <c r="T2235" s="314"/>
      <c r="U2235" s="314"/>
      <c r="V2235" s="314"/>
      <c r="W2235" s="314"/>
      <c r="X2235" s="314"/>
      <c r="Y2235" s="314"/>
      <c r="Z2235" s="314"/>
    </row>
    <row r="2236" spans="5:26" x14ac:dyDescent="0.35">
      <c r="E2236" s="314"/>
      <c r="F2236" s="314"/>
      <c r="G2236" s="314"/>
      <c r="H2236" s="314"/>
      <c r="I2236" s="314"/>
      <c r="J2236" s="314"/>
      <c r="K2236" s="314"/>
      <c r="L2236" s="314"/>
      <c r="M2236" s="314"/>
      <c r="N2236" s="314"/>
      <c r="O2236" s="314"/>
      <c r="P2236" s="314"/>
      <c r="Q2236" s="314"/>
      <c r="R2236" s="314"/>
      <c r="S2236" s="314"/>
      <c r="T2236" s="314"/>
      <c r="U2236" s="314"/>
      <c r="V2236" s="314"/>
      <c r="W2236" s="314"/>
      <c r="X2236" s="314"/>
      <c r="Y2236" s="314"/>
      <c r="Z2236" s="314"/>
    </row>
    <row r="2237" spans="5:26" x14ac:dyDescent="0.35">
      <c r="E2237" s="314"/>
      <c r="F2237" s="314"/>
      <c r="G2237" s="314"/>
      <c r="H2237" s="314"/>
      <c r="I2237" s="314"/>
      <c r="J2237" s="314"/>
      <c r="K2237" s="314"/>
      <c r="L2237" s="314"/>
      <c r="M2237" s="314"/>
      <c r="N2237" s="314"/>
      <c r="O2237" s="314"/>
      <c r="P2237" s="314"/>
      <c r="Q2237" s="314"/>
      <c r="R2237" s="314"/>
      <c r="S2237" s="314"/>
      <c r="T2237" s="314"/>
      <c r="U2237" s="314"/>
      <c r="V2237" s="314"/>
      <c r="W2237" s="314"/>
      <c r="X2237" s="314"/>
      <c r="Y2237" s="314"/>
      <c r="Z2237" s="314"/>
    </row>
    <row r="2238" spans="5:26" x14ac:dyDescent="0.35">
      <c r="E2238" s="314"/>
      <c r="F2238" s="314"/>
      <c r="G2238" s="314"/>
      <c r="H2238" s="314"/>
      <c r="I2238" s="314"/>
      <c r="J2238" s="314"/>
      <c r="K2238" s="314"/>
      <c r="L2238" s="314"/>
      <c r="M2238" s="314"/>
      <c r="N2238" s="314"/>
      <c r="O2238" s="314"/>
      <c r="P2238" s="314"/>
      <c r="Q2238" s="314"/>
      <c r="R2238" s="314"/>
      <c r="S2238" s="314"/>
      <c r="T2238" s="314"/>
      <c r="U2238" s="314"/>
      <c r="V2238" s="314"/>
      <c r="W2238" s="314"/>
      <c r="X2238" s="314"/>
      <c r="Y2238" s="314"/>
      <c r="Z2238" s="314"/>
    </row>
    <row r="2239" spans="5:26" x14ac:dyDescent="0.35">
      <c r="E2239" s="314"/>
      <c r="F2239" s="314"/>
      <c r="G2239" s="314"/>
      <c r="H2239" s="314"/>
      <c r="I2239" s="314"/>
      <c r="J2239" s="314"/>
      <c r="K2239" s="314"/>
      <c r="L2239" s="314"/>
      <c r="M2239" s="314"/>
      <c r="N2239" s="314"/>
      <c r="O2239" s="314"/>
      <c r="P2239" s="314"/>
      <c r="Q2239" s="314"/>
      <c r="R2239" s="314"/>
      <c r="S2239" s="314"/>
      <c r="T2239" s="314"/>
      <c r="U2239" s="314"/>
      <c r="V2239" s="314"/>
      <c r="W2239" s="314"/>
      <c r="X2239" s="314"/>
      <c r="Y2239" s="314"/>
      <c r="Z2239" s="314"/>
    </row>
    <row r="2240" spans="5:26" x14ac:dyDescent="0.35">
      <c r="E2240" s="314"/>
      <c r="F2240" s="314"/>
      <c r="G2240" s="314"/>
      <c r="H2240" s="314"/>
      <c r="I2240" s="314"/>
      <c r="J2240" s="314"/>
      <c r="K2240" s="314"/>
      <c r="L2240" s="314"/>
      <c r="M2240" s="314"/>
      <c r="N2240" s="314"/>
      <c r="O2240" s="314"/>
      <c r="P2240" s="314"/>
      <c r="Q2240" s="314"/>
      <c r="R2240" s="314"/>
      <c r="S2240" s="314"/>
      <c r="T2240" s="314"/>
      <c r="U2240" s="314"/>
      <c r="V2240" s="314"/>
      <c r="W2240" s="314"/>
      <c r="X2240" s="314"/>
      <c r="Y2240" s="314"/>
      <c r="Z2240" s="314"/>
    </row>
    <row r="2241" spans="5:26" x14ac:dyDescent="0.35">
      <c r="E2241" s="314"/>
      <c r="F2241" s="314"/>
      <c r="G2241" s="314"/>
      <c r="H2241" s="314"/>
      <c r="I2241" s="314"/>
      <c r="J2241" s="314"/>
      <c r="K2241" s="314"/>
      <c r="L2241" s="314"/>
      <c r="M2241" s="314"/>
      <c r="N2241" s="314"/>
      <c r="O2241" s="314"/>
      <c r="P2241" s="314"/>
      <c r="Q2241" s="314"/>
      <c r="R2241" s="314"/>
      <c r="S2241" s="314"/>
      <c r="T2241" s="314"/>
      <c r="U2241" s="314"/>
      <c r="V2241" s="314"/>
      <c r="W2241" s="314"/>
      <c r="X2241" s="314"/>
      <c r="Y2241" s="314"/>
      <c r="Z2241" s="314"/>
    </row>
    <row r="2242" spans="5:26" x14ac:dyDescent="0.35">
      <c r="E2242" s="314"/>
      <c r="F2242" s="314"/>
      <c r="G2242" s="314"/>
      <c r="H2242" s="314"/>
      <c r="I2242" s="314"/>
      <c r="J2242" s="314"/>
      <c r="K2242" s="314"/>
      <c r="L2242" s="314"/>
      <c r="M2242" s="314"/>
      <c r="N2242" s="314"/>
      <c r="O2242" s="314"/>
      <c r="P2242" s="314"/>
      <c r="Q2242" s="314"/>
      <c r="R2242" s="314"/>
      <c r="S2242" s="314"/>
      <c r="T2242" s="314"/>
      <c r="U2242" s="314"/>
      <c r="V2242" s="314"/>
      <c r="W2242" s="314"/>
      <c r="X2242" s="314"/>
      <c r="Y2242" s="314"/>
      <c r="Z2242" s="314"/>
    </row>
    <row r="2243" spans="5:26" x14ac:dyDescent="0.35">
      <c r="E2243" s="314"/>
      <c r="F2243" s="314"/>
      <c r="G2243" s="314"/>
      <c r="H2243" s="314"/>
      <c r="I2243" s="314"/>
      <c r="J2243" s="314"/>
      <c r="K2243" s="314"/>
      <c r="L2243" s="314"/>
      <c r="M2243" s="314"/>
      <c r="N2243" s="314"/>
      <c r="O2243" s="314"/>
      <c r="P2243" s="314"/>
      <c r="Q2243" s="314"/>
      <c r="R2243" s="314"/>
      <c r="S2243" s="314"/>
      <c r="T2243" s="314"/>
      <c r="U2243" s="314"/>
      <c r="V2243" s="314"/>
      <c r="W2243" s="314"/>
      <c r="X2243" s="314"/>
      <c r="Y2243" s="314"/>
      <c r="Z2243" s="314"/>
    </row>
    <row r="2244" spans="5:26" x14ac:dyDescent="0.35">
      <c r="E2244" s="314"/>
      <c r="F2244" s="314"/>
      <c r="G2244" s="314"/>
      <c r="H2244" s="314"/>
      <c r="I2244" s="314"/>
      <c r="J2244" s="314"/>
      <c r="K2244" s="314"/>
      <c r="L2244" s="314"/>
      <c r="M2244" s="314"/>
      <c r="N2244" s="314"/>
      <c r="O2244" s="314"/>
      <c r="P2244" s="314"/>
      <c r="Q2244" s="314"/>
      <c r="R2244" s="314"/>
      <c r="S2244" s="314"/>
      <c r="T2244" s="314"/>
      <c r="U2244" s="314"/>
      <c r="V2244" s="314"/>
      <c r="W2244" s="314"/>
      <c r="X2244" s="314"/>
      <c r="Y2244" s="314"/>
      <c r="Z2244" s="314"/>
    </row>
    <row r="2245" spans="5:26" x14ac:dyDescent="0.35">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row>
    <row r="2246" spans="5:26" x14ac:dyDescent="0.35">
      <c r="E2246" s="314"/>
      <c r="F2246" s="314"/>
      <c r="G2246" s="314"/>
      <c r="H2246" s="314"/>
      <c r="I2246" s="314"/>
      <c r="J2246" s="314"/>
      <c r="K2246" s="314"/>
      <c r="L2246" s="314"/>
      <c r="M2246" s="314"/>
      <c r="N2246" s="314"/>
      <c r="O2246" s="314"/>
      <c r="P2246" s="314"/>
      <c r="Q2246" s="314"/>
      <c r="R2246" s="314"/>
      <c r="S2246" s="314"/>
      <c r="T2246" s="314"/>
      <c r="U2246" s="314"/>
      <c r="V2246" s="314"/>
      <c r="W2246" s="314"/>
      <c r="X2246" s="314"/>
      <c r="Y2246" s="314"/>
      <c r="Z2246" s="314"/>
    </row>
    <row r="2247" spans="5:26" x14ac:dyDescent="0.35">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row>
    <row r="2248" spans="5:26" x14ac:dyDescent="0.35">
      <c r="E2248" s="314"/>
      <c r="F2248" s="314"/>
      <c r="G2248" s="314"/>
      <c r="H2248" s="314"/>
      <c r="I2248" s="314"/>
      <c r="J2248" s="314"/>
      <c r="K2248" s="314"/>
      <c r="L2248" s="314"/>
      <c r="M2248" s="314"/>
      <c r="N2248" s="314"/>
      <c r="O2248" s="314"/>
      <c r="P2248" s="314"/>
      <c r="Q2248" s="314"/>
      <c r="R2248" s="314"/>
      <c r="S2248" s="314"/>
      <c r="T2248" s="314"/>
      <c r="U2248" s="314"/>
      <c r="V2248" s="314"/>
      <c r="W2248" s="314"/>
      <c r="X2248" s="314"/>
      <c r="Y2248" s="314"/>
      <c r="Z2248" s="314"/>
    </row>
    <row r="2249" spans="5:26" x14ac:dyDescent="0.35">
      <c r="E2249" s="314"/>
      <c r="F2249" s="314"/>
      <c r="G2249" s="314"/>
      <c r="H2249" s="314"/>
      <c r="I2249" s="314"/>
      <c r="J2249" s="314"/>
      <c r="K2249" s="314"/>
      <c r="L2249" s="314"/>
      <c r="M2249" s="314"/>
      <c r="N2249" s="314"/>
      <c r="O2249" s="314"/>
      <c r="P2249" s="314"/>
      <c r="Q2249" s="314"/>
      <c r="R2249" s="314"/>
      <c r="S2249" s="314"/>
      <c r="T2249" s="314"/>
      <c r="U2249" s="314"/>
      <c r="V2249" s="314"/>
      <c r="W2249" s="314"/>
      <c r="X2249" s="314"/>
      <c r="Y2249" s="314"/>
      <c r="Z2249" s="314"/>
    </row>
    <row r="2250" spans="5:26" x14ac:dyDescent="0.35">
      <c r="E2250" s="314"/>
      <c r="F2250" s="314"/>
      <c r="G2250" s="314"/>
      <c r="H2250" s="314"/>
      <c r="I2250" s="314"/>
      <c r="J2250" s="314"/>
      <c r="K2250" s="314"/>
      <c r="L2250" s="314"/>
      <c r="M2250" s="314"/>
      <c r="N2250" s="314"/>
      <c r="O2250" s="314"/>
      <c r="P2250" s="314"/>
      <c r="Q2250" s="314"/>
      <c r="R2250" s="314"/>
      <c r="S2250" s="314"/>
      <c r="T2250" s="314"/>
      <c r="U2250" s="314"/>
      <c r="V2250" s="314"/>
      <c r="W2250" s="314"/>
      <c r="X2250" s="314"/>
      <c r="Y2250" s="314"/>
      <c r="Z2250" s="314"/>
    </row>
    <row r="2251" spans="5:26" x14ac:dyDescent="0.35">
      <c r="E2251" s="314"/>
      <c r="F2251" s="314"/>
      <c r="G2251" s="314"/>
      <c r="H2251" s="314"/>
      <c r="I2251" s="314"/>
      <c r="J2251" s="314"/>
      <c r="K2251" s="314"/>
      <c r="L2251" s="314"/>
      <c r="M2251" s="314"/>
      <c r="N2251" s="314"/>
      <c r="O2251" s="314"/>
      <c r="P2251" s="314"/>
      <c r="Q2251" s="314"/>
      <c r="R2251" s="314"/>
      <c r="S2251" s="314"/>
      <c r="T2251" s="314"/>
      <c r="U2251" s="314"/>
      <c r="V2251" s="314"/>
      <c r="W2251" s="314"/>
      <c r="X2251" s="314"/>
      <c r="Y2251" s="314"/>
      <c r="Z2251" s="314"/>
    </row>
    <row r="2252" spans="5:26" x14ac:dyDescent="0.35">
      <c r="E2252" s="314"/>
      <c r="F2252" s="314"/>
      <c r="G2252" s="314"/>
      <c r="H2252" s="314"/>
      <c r="I2252" s="314"/>
      <c r="J2252" s="314"/>
      <c r="K2252" s="314"/>
      <c r="L2252" s="314"/>
      <c r="M2252" s="314"/>
      <c r="N2252" s="314"/>
      <c r="O2252" s="314"/>
      <c r="P2252" s="314"/>
      <c r="Q2252" s="314"/>
      <c r="R2252" s="314"/>
      <c r="S2252" s="314"/>
      <c r="T2252" s="314"/>
      <c r="U2252" s="314"/>
      <c r="V2252" s="314"/>
      <c r="W2252" s="314"/>
      <c r="X2252" s="314"/>
      <c r="Y2252" s="314"/>
      <c r="Z2252" s="314"/>
    </row>
    <row r="2253" spans="5:26" x14ac:dyDescent="0.35">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row>
    <row r="2254" spans="5:26" x14ac:dyDescent="0.35">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row>
    <row r="2255" spans="5:26" x14ac:dyDescent="0.35">
      <c r="E2255" s="314"/>
      <c r="F2255" s="314"/>
      <c r="G2255" s="314"/>
      <c r="H2255" s="314"/>
      <c r="I2255" s="314"/>
      <c r="J2255" s="314"/>
      <c r="K2255" s="314"/>
      <c r="L2255" s="314"/>
      <c r="M2255" s="314"/>
      <c r="N2255" s="314"/>
      <c r="O2255" s="314"/>
      <c r="P2255" s="314"/>
      <c r="Q2255" s="314"/>
      <c r="R2255" s="314"/>
      <c r="S2255" s="314"/>
      <c r="T2255" s="314"/>
      <c r="U2255" s="314"/>
      <c r="V2255" s="314"/>
      <c r="W2255" s="314"/>
      <c r="X2255" s="314"/>
      <c r="Y2255" s="314"/>
      <c r="Z2255" s="314"/>
    </row>
    <row r="2256" spans="5:26" x14ac:dyDescent="0.35">
      <c r="E2256" s="314"/>
      <c r="F2256" s="314"/>
      <c r="G2256" s="314"/>
      <c r="H2256" s="314"/>
      <c r="I2256" s="314"/>
      <c r="J2256" s="314"/>
      <c r="K2256" s="314"/>
      <c r="L2256" s="314"/>
      <c r="M2256" s="314"/>
      <c r="N2256" s="314"/>
      <c r="O2256" s="314"/>
      <c r="P2256" s="314"/>
      <c r="Q2256" s="314"/>
      <c r="R2256" s="314"/>
      <c r="S2256" s="314"/>
      <c r="T2256" s="314"/>
      <c r="U2256" s="314"/>
      <c r="V2256" s="314"/>
      <c r="W2256" s="314"/>
      <c r="X2256" s="314"/>
      <c r="Y2256" s="314"/>
      <c r="Z2256" s="314"/>
    </row>
    <row r="2257" spans="5:26" x14ac:dyDescent="0.35">
      <c r="E2257" s="314"/>
      <c r="F2257" s="314"/>
      <c r="G2257" s="314"/>
      <c r="H2257" s="314"/>
      <c r="I2257" s="314"/>
      <c r="J2257" s="314"/>
      <c r="K2257" s="314"/>
      <c r="L2257" s="314"/>
      <c r="M2257" s="314"/>
      <c r="N2257" s="314"/>
      <c r="O2257" s="314"/>
      <c r="P2257" s="314"/>
      <c r="Q2257" s="314"/>
      <c r="R2257" s="314"/>
      <c r="S2257" s="314"/>
      <c r="T2257" s="314"/>
      <c r="U2257" s="314"/>
      <c r="V2257" s="314"/>
      <c r="W2257" s="314"/>
      <c r="X2257" s="314"/>
      <c r="Y2257" s="314"/>
      <c r="Z2257" s="314"/>
    </row>
    <row r="2258" spans="5:26" x14ac:dyDescent="0.35">
      <c r="E2258" s="314"/>
      <c r="F2258" s="314"/>
      <c r="G2258" s="314"/>
      <c r="H2258" s="314"/>
      <c r="I2258" s="314"/>
      <c r="J2258" s="314"/>
      <c r="K2258" s="314"/>
      <c r="L2258" s="314"/>
      <c r="M2258" s="314"/>
      <c r="N2258" s="314"/>
      <c r="O2258" s="314"/>
      <c r="P2258" s="314"/>
      <c r="Q2258" s="314"/>
      <c r="R2258" s="314"/>
      <c r="S2258" s="314"/>
      <c r="T2258" s="314"/>
      <c r="U2258" s="314"/>
      <c r="V2258" s="314"/>
      <c r="W2258" s="314"/>
      <c r="X2258" s="314"/>
      <c r="Y2258" s="314"/>
      <c r="Z2258" s="314"/>
    </row>
    <row r="2259" spans="5:26" x14ac:dyDescent="0.35">
      <c r="E2259" s="314"/>
      <c r="F2259" s="314"/>
      <c r="G2259" s="314"/>
      <c r="H2259" s="314"/>
      <c r="I2259" s="314"/>
      <c r="J2259" s="314"/>
      <c r="K2259" s="314"/>
      <c r="L2259" s="314"/>
      <c r="M2259" s="314"/>
      <c r="N2259" s="314"/>
      <c r="O2259" s="314"/>
      <c r="P2259" s="314"/>
      <c r="Q2259" s="314"/>
      <c r="R2259" s="314"/>
      <c r="S2259" s="314"/>
      <c r="T2259" s="314"/>
      <c r="U2259" s="314"/>
      <c r="V2259" s="314"/>
      <c r="W2259" s="314"/>
      <c r="X2259" s="314"/>
      <c r="Y2259" s="314"/>
      <c r="Z2259" s="314"/>
    </row>
    <row r="2260" spans="5:26" x14ac:dyDescent="0.35">
      <c r="E2260" s="314"/>
      <c r="F2260" s="314"/>
      <c r="G2260" s="314"/>
      <c r="H2260" s="314"/>
      <c r="I2260" s="314"/>
      <c r="J2260" s="314"/>
      <c r="K2260" s="314"/>
      <c r="L2260" s="314"/>
      <c r="M2260" s="314"/>
      <c r="N2260" s="314"/>
      <c r="O2260" s="314"/>
      <c r="P2260" s="314"/>
      <c r="Q2260" s="314"/>
      <c r="R2260" s="314"/>
      <c r="S2260" s="314"/>
      <c r="T2260" s="314"/>
      <c r="U2260" s="314"/>
      <c r="V2260" s="314"/>
      <c r="W2260" s="314"/>
      <c r="X2260" s="314"/>
      <c r="Y2260" s="314"/>
      <c r="Z2260" s="314"/>
    </row>
    <row r="2261" spans="5:26" x14ac:dyDescent="0.35">
      <c r="E2261" s="314"/>
      <c r="F2261" s="314"/>
      <c r="G2261" s="314"/>
      <c r="H2261" s="314"/>
      <c r="I2261" s="314"/>
      <c r="J2261" s="314"/>
      <c r="K2261" s="314"/>
      <c r="L2261" s="314"/>
      <c r="M2261" s="314"/>
      <c r="N2261" s="314"/>
      <c r="O2261" s="314"/>
      <c r="P2261" s="314"/>
      <c r="Q2261" s="314"/>
      <c r="R2261" s="314"/>
      <c r="S2261" s="314"/>
      <c r="T2261" s="314"/>
      <c r="U2261" s="314"/>
      <c r="V2261" s="314"/>
      <c r="W2261" s="314"/>
      <c r="X2261" s="314"/>
      <c r="Y2261" s="314"/>
      <c r="Z2261" s="314"/>
    </row>
    <row r="2262" spans="5:26" x14ac:dyDescent="0.35">
      <c r="E2262" s="314"/>
      <c r="F2262" s="314"/>
      <c r="G2262" s="314"/>
      <c r="H2262" s="314"/>
      <c r="I2262" s="314"/>
      <c r="J2262" s="314"/>
      <c r="K2262" s="314"/>
      <c r="L2262" s="314"/>
      <c r="M2262" s="314"/>
      <c r="N2262" s="314"/>
      <c r="O2262" s="314"/>
      <c r="P2262" s="314"/>
      <c r="Q2262" s="314"/>
      <c r="R2262" s="314"/>
      <c r="S2262" s="314"/>
      <c r="T2262" s="314"/>
      <c r="U2262" s="314"/>
      <c r="V2262" s="314"/>
      <c r="W2262" s="314"/>
      <c r="X2262" s="314"/>
      <c r="Y2262" s="314"/>
      <c r="Z2262" s="314"/>
    </row>
    <row r="2263" spans="5:26" x14ac:dyDescent="0.35">
      <c r="E2263" s="314"/>
      <c r="F2263" s="314"/>
      <c r="G2263" s="314"/>
      <c r="H2263" s="314"/>
      <c r="I2263" s="314"/>
      <c r="J2263" s="314"/>
      <c r="K2263" s="314"/>
      <c r="L2263" s="314"/>
      <c r="M2263" s="314"/>
      <c r="N2263" s="314"/>
      <c r="O2263" s="314"/>
      <c r="P2263" s="314"/>
      <c r="Q2263" s="314"/>
      <c r="R2263" s="314"/>
      <c r="S2263" s="314"/>
      <c r="T2263" s="314"/>
      <c r="U2263" s="314"/>
      <c r="V2263" s="314"/>
      <c r="W2263" s="314"/>
      <c r="X2263" s="314"/>
      <c r="Y2263" s="314"/>
      <c r="Z2263" s="314"/>
    </row>
    <row r="2264" spans="5:26" x14ac:dyDescent="0.35">
      <c r="E2264" s="314"/>
      <c r="F2264" s="314"/>
      <c r="G2264" s="314"/>
      <c r="H2264" s="314"/>
      <c r="I2264" s="314"/>
      <c r="J2264" s="314"/>
      <c r="K2264" s="314"/>
      <c r="L2264" s="314"/>
      <c r="M2264" s="314"/>
      <c r="N2264" s="314"/>
      <c r="O2264" s="314"/>
      <c r="P2264" s="314"/>
      <c r="Q2264" s="314"/>
      <c r="R2264" s="314"/>
      <c r="S2264" s="314"/>
      <c r="T2264" s="314"/>
      <c r="U2264" s="314"/>
      <c r="V2264" s="314"/>
      <c r="W2264" s="314"/>
      <c r="X2264" s="314"/>
      <c r="Y2264" s="314"/>
      <c r="Z2264" s="314"/>
    </row>
    <row r="2265" spans="5:26" x14ac:dyDescent="0.35">
      <c r="E2265" s="314"/>
      <c r="F2265" s="314"/>
      <c r="G2265" s="314"/>
      <c r="H2265" s="314"/>
      <c r="I2265" s="314"/>
      <c r="J2265" s="314"/>
      <c r="K2265" s="314"/>
      <c r="L2265" s="314"/>
      <c r="M2265" s="314"/>
      <c r="N2265" s="314"/>
      <c r="O2265" s="314"/>
      <c r="P2265" s="314"/>
      <c r="Q2265" s="314"/>
      <c r="R2265" s="314"/>
      <c r="S2265" s="314"/>
      <c r="T2265" s="314"/>
      <c r="U2265" s="314"/>
      <c r="V2265" s="314"/>
      <c r="W2265" s="314"/>
      <c r="X2265" s="314"/>
      <c r="Y2265" s="314"/>
      <c r="Z2265" s="314"/>
    </row>
    <row r="2266" spans="5:26" x14ac:dyDescent="0.35">
      <c r="E2266" s="314"/>
      <c r="F2266" s="314"/>
      <c r="G2266" s="314"/>
      <c r="H2266" s="314"/>
      <c r="I2266" s="314"/>
      <c r="J2266" s="314"/>
      <c r="K2266" s="314"/>
      <c r="L2266" s="314"/>
      <c r="M2266" s="314"/>
      <c r="N2266" s="314"/>
      <c r="O2266" s="314"/>
      <c r="P2266" s="314"/>
      <c r="Q2266" s="314"/>
      <c r="R2266" s="314"/>
      <c r="S2266" s="314"/>
      <c r="T2266" s="314"/>
      <c r="U2266" s="314"/>
      <c r="V2266" s="314"/>
      <c r="W2266" s="314"/>
      <c r="X2266" s="314"/>
      <c r="Y2266" s="314"/>
      <c r="Z2266" s="314"/>
    </row>
    <row r="2267" spans="5:26" x14ac:dyDescent="0.35">
      <c r="E2267" s="314"/>
      <c r="F2267" s="314"/>
      <c r="G2267" s="314"/>
      <c r="H2267" s="314"/>
      <c r="I2267" s="314"/>
      <c r="J2267" s="314"/>
      <c r="K2267" s="314"/>
      <c r="L2267" s="314"/>
      <c r="M2267" s="314"/>
      <c r="N2267" s="314"/>
      <c r="O2267" s="314"/>
      <c r="P2267" s="314"/>
      <c r="Q2267" s="314"/>
      <c r="R2267" s="314"/>
      <c r="S2267" s="314"/>
      <c r="T2267" s="314"/>
      <c r="U2267" s="314"/>
      <c r="V2267" s="314"/>
      <c r="W2267" s="314"/>
      <c r="X2267" s="314"/>
      <c r="Y2267" s="314"/>
      <c r="Z2267" s="314"/>
    </row>
    <row r="2268" spans="5:26" x14ac:dyDescent="0.35">
      <c r="E2268" s="314"/>
      <c r="F2268" s="314"/>
      <c r="G2268" s="314"/>
      <c r="H2268" s="314"/>
      <c r="I2268" s="314"/>
      <c r="J2268" s="314"/>
      <c r="K2268" s="314"/>
      <c r="L2268" s="314"/>
      <c r="M2268" s="314"/>
      <c r="N2268" s="314"/>
      <c r="O2268" s="314"/>
      <c r="P2268" s="314"/>
      <c r="Q2268" s="314"/>
      <c r="R2268" s="314"/>
      <c r="S2268" s="314"/>
      <c r="T2268" s="314"/>
      <c r="U2268" s="314"/>
      <c r="V2268" s="314"/>
      <c r="W2268" s="314"/>
      <c r="X2268" s="314"/>
      <c r="Y2268" s="314"/>
      <c r="Z2268" s="314"/>
    </row>
    <row r="2269" spans="5:26" x14ac:dyDescent="0.35">
      <c r="E2269" s="314"/>
      <c r="F2269" s="314"/>
      <c r="G2269" s="314"/>
      <c r="H2269" s="314"/>
      <c r="I2269" s="314"/>
      <c r="J2269" s="314"/>
      <c r="K2269" s="314"/>
      <c r="L2269" s="314"/>
      <c r="M2269" s="314"/>
      <c r="N2269" s="314"/>
      <c r="O2269" s="314"/>
      <c r="P2269" s="314"/>
      <c r="Q2269" s="314"/>
      <c r="R2269" s="314"/>
      <c r="S2269" s="314"/>
      <c r="T2269" s="314"/>
      <c r="U2269" s="314"/>
      <c r="V2269" s="314"/>
      <c r="W2269" s="314"/>
      <c r="X2269" s="314"/>
      <c r="Y2269" s="314"/>
      <c r="Z2269" s="314"/>
    </row>
    <row r="2270" spans="5:26" x14ac:dyDescent="0.35">
      <c r="E2270" s="314"/>
      <c r="F2270" s="314"/>
      <c r="G2270" s="314"/>
      <c r="H2270" s="314"/>
      <c r="I2270" s="314"/>
      <c r="J2270" s="314"/>
      <c r="K2270" s="314"/>
      <c r="L2270" s="314"/>
      <c r="M2270" s="314"/>
      <c r="N2270" s="314"/>
      <c r="O2270" s="314"/>
      <c r="P2270" s="314"/>
      <c r="Q2270" s="314"/>
      <c r="R2270" s="314"/>
      <c r="S2270" s="314"/>
      <c r="T2270" s="314"/>
      <c r="U2270" s="314"/>
      <c r="V2270" s="314"/>
      <c r="W2270" s="314"/>
      <c r="X2270" s="314"/>
      <c r="Y2270" s="314"/>
      <c r="Z2270" s="314"/>
    </row>
    <row r="2271" spans="5:26" x14ac:dyDescent="0.35">
      <c r="E2271" s="314"/>
      <c r="F2271" s="314"/>
      <c r="G2271" s="314"/>
      <c r="H2271" s="314"/>
      <c r="I2271" s="314"/>
      <c r="J2271" s="314"/>
      <c r="K2271" s="314"/>
      <c r="L2271" s="314"/>
      <c r="M2271" s="314"/>
      <c r="N2271" s="314"/>
      <c r="O2271" s="314"/>
      <c r="P2271" s="314"/>
      <c r="Q2271" s="314"/>
      <c r="R2271" s="314"/>
      <c r="S2271" s="314"/>
      <c r="T2271" s="314"/>
      <c r="U2271" s="314"/>
      <c r="V2271" s="314"/>
      <c r="W2271" s="314"/>
      <c r="X2271" s="314"/>
      <c r="Y2271" s="314"/>
      <c r="Z2271" s="314"/>
    </row>
    <row r="2272" spans="5:26" x14ac:dyDescent="0.35">
      <c r="E2272" s="314"/>
      <c r="F2272" s="314"/>
      <c r="G2272" s="314"/>
      <c r="H2272" s="314"/>
      <c r="I2272" s="314"/>
      <c r="J2272" s="314"/>
      <c r="K2272" s="314"/>
      <c r="L2272" s="314"/>
      <c r="M2272" s="314"/>
      <c r="N2272" s="314"/>
      <c r="O2272" s="314"/>
      <c r="P2272" s="314"/>
      <c r="Q2272" s="314"/>
      <c r="R2272" s="314"/>
      <c r="S2272" s="314"/>
      <c r="T2272" s="314"/>
      <c r="U2272" s="314"/>
      <c r="V2272" s="314"/>
      <c r="W2272" s="314"/>
      <c r="X2272" s="314"/>
      <c r="Y2272" s="314"/>
      <c r="Z2272" s="314"/>
    </row>
    <row r="2273" spans="5:26" x14ac:dyDescent="0.35">
      <c r="E2273" s="314"/>
      <c r="F2273" s="314"/>
      <c r="G2273" s="314"/>
      <c r="H2273" s="314"/>
      <c r="I2273" s="314"/>
      <c r="J2273" s="314"/>
      <c r="K2273" s="314"/>
      <c r="L2273" s="314"/>
      <c r="M2273" s="314"/>
      <c r="N2273" s="314"/>
      <c r="O2273" s="314"/>
      <c r="P2273" s="314"/>
      <c r="Q2273" s="314"/>
      <c r="R2273" s="314"/>
      <c r="S2273" s="314"/>
      <c r="T2273" s="314"/>
      <c r="U2273" s="314"/>
      <c r="V2273" s="314"/>
      <c r="W2273" s="314"/>
      <c r="X2273" s="314"/>
      <c r="Y2273" s="314"/>
      <c r="Z2273" s="314"/>
    </row>
    <row r="2274" spans="5:26" x14ac:dyDescent="0.35">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row>
    <row r="2275" spans="5:26" x14ac:dyDescent="0.35">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row>
    <row r="2276" spans="5:26" x14ac:dyDescent="0.35">
      <c r="E2276" s="314"/>
      <c r="F2276" s="314"/>
      <c r="G2276" s="314"/>
      <c r="H2276" s="314"/>
      <c r="I2276" s="314"/>
      <c r="J2276" s="314"/>
      <c r="K2276" s="314"/>
      <c r="L2276" s="314"/>
      <c r="M2276" s="314"/>
      <c r="N2276" s="314"/>
      <c r="O2276" s="314"/>
      <c r="P2276" s="314"/>
      <c r="Q2276" s="314"/>
      <c r="R2276" s="314"/>
      <c r="S2276" s="314"/>
      <c r="T2276" s="314"/>
      <c r="U2276" s="314"/>
      <c r="V2276" s="314"/>
      <c r="W2276" s="314"/>
      <c r="X2276" s="314"/>
      <c r="Y2276" s="314"/>
      <c r="Z2276" s="314"/>
    </row>
    <row r="2277" spans="5:26" x14ac:dyDescent="0.35">
      <c r="E2277" s="314"/>
      <c r="F2277" s="314"/>
      <c r="G2277" s="314"/>
      <c r="H2277" s="314"/>
      <c r="I2277" s="314"/>
      <c r="J2277" s="314"/>
      <c r="K2277" s="314"/>
      <c r="L2277" s="314"/>
      <c r="M2277" s="314"/>
      <c r="N2277" s="314"/>
      <c r="O2277" s="314"/>
      <c r="P2277" s="314"/>
      <c r="Q2277" s="314"/>
      <c r="R2277" s="314"/>
      <c r="S2277" s="314"/>
      <c r="T2277" s="314"/>
      <c r="U2277" s="314"/>
      <c r="V2277" s="314"/>
      <c r="W2277" s="314"/>
      <c r="X2277" s="314"/>
      <c r="Y2277" s="314"/>
      <c r="Z2277" s="314"/>
    </row>
    <row r="2278" spans="5:26" x14ac:dyDescent="0.35">
      <c r="E2278" s="314"/>
      <c r="F2278" s="314"/>
      <c r="G2278" s="314"/>
      <c r="H2278" s="314"/>
      <c r="I2278" s="314"/>
      <c r="J2278" s="314"/>
      <c r="K2278" s="314"/>
      <c r="L2278" s="314"/>
      <c r="M2278" s="314"/>
      <c r="N2278" s="314"/>
      <c r="O2278" s="314"/>
      <c r="P2278" s="314"/>
      <c r="Q2278" s="314"/>
      <c r="R2278" s="314"/>
      <c r="S2278" s="314"/>
      <c r="T2278" s="314"/>
      <c r="U2278" s="314"/>
      <c r="V2278" s="314"/>
      <c r="W2278" s="314"/>
      <c r="X2278" s="314"/>
      <c r="Y2278" s="314"/>
      <c r="Z2278" s="314"/>
    </row>
    <row r="2279" spans="5:26" x14ac:dyDescent="0.35">
      <c r="E2279" s="314"/>
      <c r="F2279" s="314"/>
      <c r="G2279" s="314"/>
      <c r="H2279" s="314"/>
      <c r="I2279" s="314"/>
      <c r="J2279" s="314"/>
      <c r="K2279" s="314"/>
      <c r="L2279" s="314"/>
      <c r="M2279" s="314"/>
      <c r="N2279" s="314"/>
      <c r="O2279" s="314"/>
      <c r="P2279" s="314"/>
      <c r="Q2279" s="314"/>
      <c r="R2279" s="314"/>
      <c r="S2279" s="314"/>
      <c r="T2279" s="314"/>
      <c r="U2279" s="314"/>
      <c r="V2279" s="314"/>
      <c r="W2279" s="314"/>
      <c r="X2279" s="314"/>
      <c r="Y2279" s="314"/>
      <c r="Z2279" s="314"/>
    </row>
    <row r="2280" spans="5:26" x14ac:dyDescent="0.35">
      <c r="E2280" s="314"/>
      <c r="F2280" s="314"/>
      <c r="G2280" s="314"/>
      <c r="H2280" s="314"/>
      <c r="I2280" s="314"/>
      <c r="J2280" s="314"/>
      <c r="K2280" s="314"/>
      <c r="L2280" s="314"/>
      <c r="M2280" s="314"/>
      <c r="N2280" s="314"/>
      <c r="O2280" s="314"/>
      <c r="P2280" s="314"/>
      <c r="Q2280" s="314"/>
      <c r="R2280" s="314"/>
      <c r="S2280" s="314"/>
      <c r="T2280" s="314"/>
      <c r="U2280" s="314"/>
      <c r="V2280" s="314"/>
      <c r="W2280" s="314"/>
      <c r="X2280" s="314"/>
      <c r="Y2280" s="314"/>
      <c r="Z2280" s="314"/>
    </row>
    <row r="2281" spans="5:26" x14ac:dyDescent="0.35">
      <c r="E2281" s="314"/>
      <c r="F2281" s="314"/>
      <c r="G2281" s="314"/>
      <c r="H2281" s="314"/>
      <c r="I2281" s="314"/>
      <c r="J2281" s="314"/>
      <c r="K2281" s="314"/>
      <c r="L2281" s="314"/>
      <c r="M2281" s="314"/>
      <c r="N2281" s="314"/>
      <c r="O2281" s="314"/>
      <c r="P2281" s="314"/>
      <c r="Q2281" s="314"/>
      <c r="R2281" s="314"/>
      <c r="S2281" s="314"/>
      <c r="T2281" s="314"/>
      <c r="U2281" s="314"/>
      <c r="V2281" s="314"/>
      <c r="W2281" s="314"/>
      <c r="X2281" s="314"/>
      <c r="Y2281" s="314"/>
      <c r="Z2281" s="314"/>
    </row>
    <row r="2282" spans="5:26" x14ac:dyDescent="0.35">
      <c r="E2282" s="314"/>
      <c r="F2282" s="314"/>
      <c r="G2282" s="314"/>
      <c r="H2282" s="314"/>
      <c r="I2282" s="314"/>
      <c r="J2282" s="314"/>
      <c r="K2282" s="314"/>
      <c r="L2282" s="314"/>
      <c r="M2282" s="314"/>
      <c r="N2282" s="314"/>
      <c r="O2282" s="314"/>
      <c r="P2282" s="314"/>
      <c r="Q2282" s="314"/>
      <c r="R2282" s="314"/>
      <c r="S2282" s="314"/>
      <c r="T2282" s="314"/>
      <c r="U2282" s="314"/>
      <c r="V2282" s="314"/>
      <c r="W2282" s="314"/>
      <c r="X2282" s="314"/>
      <c r="Y2282" s="314"/>
      <c r="Z2282" s="314"/>
    </row>
    <row r="2283" spans="5:26" x14ac:dyDescent="0.35">
      <c r="E2283" s="314"/>
      <c r="F2283" s="314"/>
      <c r="G2283" s="314"/>
      <c r="H2283" s="314"/>
      <c r="I2283" s="314"/>
      <c r="J2283" s="314"/>
      <c r="K2283" s="314"/>
      <c r="L2283" s="314"/>
      <c r="M2283" s="314"/>
      <c r="N2283" s="314"/>
      <c r="O2283" s="314"/>
      <c r="P2283" s="314"/>
      <c r="Q2283" s="314"/>
      <c r="R2283" s="314"/>
      <c r="S2283" s="314"/>
      <c r="T2283" s="314"/>
      <c r="U2283" s="314"/>
      <c r="V2283" s="314"/>
      <c r="W2283" s="314"/>
      <c r="X2283" s="314"/>
      <c r="Y2283" s="314"/>
      <c r="Z2283" s="314"/>
    </row>
    <row r="2284" spans="5:26" x14ac:dyDescent="0.35">
      <c r="E2284" s="314"/>
      <c r="F2284" s="314"/>
      <c r="G2284" s="314"/>
      <c r="H2284" s="314"/>
      <c r="I2284" s="314"/>
      <c r="J2284" s="314"/>
      <c r="K2284" s="314"/>
      <c r="L2284" s="314"/>
      <c r="M2284" s="314"/>
      <c r="N2284" s="314"/>
      <c r="O2284" s="314"/>
      <c r="P2284" s="314"/>
      <c r="Q2284" s="314"/>
      <c r="R2284" s="314"/>
      <c r="S2284" s="314"/>
      <c r="T2284" s="314"/>
      <c r="U2284" s="314"/>
      <c r="V2284" s="314"/>
      <c r="W2284" s="314"/>
      <c r="X2284" s="314"/>
      <c r="Y2284" s="314"/>
      <c r="Z2284" s="314"/>
    </row>
    <row r="2285" spans="5:26" x14ac:dyDescent="0.35">
      <c r="E2285" s="314"/>
      <c r="F2285" s="314"/>
      <c r="G2285" s="314"/>
      <c r="H2285" s="314"/>
      <c r="I2285" s="314"/>
      <c r="J2285" s="314"/>
      <c r="K2285" s="314"/>
      <c r="L2285" s="314"/>
      <c r="M2285" s="314"/>
      <c r="N2285" s="314"/>
      <c r="O2285" s="314"/>
      <c r="P2285" s="314"/>
      <c r="Q2285" s="314"/>
      <c r="R2285" s="314"/>
      <c r="S2285" s="314"/>
      <c r="T2285" s="314"/>
      <c r="U2285" s="314"/>
      <c r="V2285" s="314"/>
      <c r="W2285" s="314"/>
      <c r="X2285" s="314"/>
      <c r="Y2285" s="314"/>
      <c r="Z2285" s="314"/>
    </row>
    <row r="2286" spans="5:26" x14ac:dyDescent="0.35">
      <c r="E2286" s="314"/>
      <c r="F2286" s="314"/>
      <c r="G2286" s="314"/>
      <c r="H2286" s="314"/>
      <c r="I2286" s="314"/>
      <c r="J2286" s="314"/>
      <c r="K2286" s="314"/>
      <c r="L2286" s="314"/>
      <c r="M2286" s="314"/>
      <c r="N2286" s="314"/>
      <c r="O2286" s="314"/>
      <c r="P2286" s="314"/>
      <c r="Q2286" s="314"/>
      <c r="R2286" s="314"/>
      <c r="S2286" s="314"/>
      <c r="T2286" s="314"/>
      <c r="U2286" s="314"/>
      <c r="V2286" s="314"/>
      <c r="W2286" s="314"/>
      <c r="X2286" s="314"/>
      <c r="Y2286" s="314"/>
      <c r="Z2286" s="314"/>
    </row>
    <row r="2287" spans="5:26" x14ac:dyDescent="0.35">
      <c r="E2287" s="314"/>
      <c r="F2287" s="314"/>
      <c r="G2287" s="314"/>
      <c r="H2287" s="314"/>
      <c r="I2287" s="314"/>
      <c r="J2287" s="314"/>
      <c r="K2287" s="314"/>
      <c r="L2287" s="314"/>
      <c r="M2287" s="314"/>
      <c r="N2287" s="314"/>
      <c r="O2287" s="314"/>
      <c r="P2287" s="314"/>
      <c r="Q2287" s="314"/>
      <c r="R2287" s="314"/>
      <c r="S2287" s="314"/>
      <c r="T2287" s="314"/>
      <c r="U2287" s="314"/>
      <c r="V2287" s="314"/>
      <c r="W2287" s="314"/>
      <c r="X2287" s="314"/>
      <c r="Y2287" s="314"/>
      <c r="Z2287" s="314"/>
    </row>
    <row r="2288" spans="5:26" x14ac:dyDescent="0.35">
      <c r="E2288" s="314"/>
      <c r="F2288" s="314"/>
      <c r="G2288" s="314"/>
      <c r="H2288" s="314"/>
      <c r="I2288" s="314"/>
      <c r="J2288" s="314"/>
      <c r="K2288" s="314"/>
      <c r="L2288" s="314"/>
      <c r="M2288" s="314"/>
      <c r="N2288" s="314"/>
      <c r="O2288" s="314"/>
      <c r="P2288" s="314"/>
      <c r="Q2288" s="314"/>
      <c r="R2288" s="314"/>
      <c r="S2288" s="314"/>
      <c r="T2288" s="314"/>
      <c r="U2288" s="314"/>
      <c r="V2288" s="314"/>
      <c r="W2288" s="314"/>
      <c r="X2288" s="314"/>
      <c r="Y2288" s="314"/>
      <c r="Z2288" s="314"/>
    </row>
    <row r="2289" spans="5:26" x14ac:dyDescent="0.35">
      <c r="E2289" s="314"/>
      <c r="F2289" s="314"/>
      <c r="G2289" s="314"/>
      <c r="H2289" s="314"/>
      <c r="I2289" s="314"/>
      <c r="J2289" s="314"/>
      <c r="K2289" s="314"/>
      <c r="L2289" s="314"/>
      <c r="M2289" s="314"/>
      <c r="N2289" s="314"/>
      <c r="O2289" s="314"/>
      <c r="P2289" s="314"/>
      <c r="Q2289" s="314"/>
      <c r="R2289" s="314"/>
      <c r="S2289" s="314"/>
      <c r="T2289" s="314"/>
      <c r="U2289" s="314"/>
      <c r="V2289" s="314"/>
      <c r="W2289" s="314"/>
      <c r="X2289" s="314"/>
      <c r="Y2289" s="314"/>
      <c r="Z2289" s="314"/>
    </row>
    <row r="2290" spans="5:26" x14ac:dyDescent="0.35">
      <c r="E2290" s="314"/>
      <c r="F2290" s="314"/>
      <c r="G2290" s="314"/>
      <c r="H2290" s="314"/>
      <c r="I2290" s="314"/>
      <c r="J2290" s="314"/>
      <c r="K2290" s="314"/>
      <c r="L2290" s="314"/>
      <c r="M2290" s="314"/>
      <c r="N2290" s="314"/>
      <c r="O2290" s="314"/>
      <c r="P2290" s="314"/>
      <c r="Q2290" s="314"/>
      <c r="R2290" s="314"/>
      <c r="S2290" s="314"/>
      <c r="T2290" s="314"/>
      <c r="U2290" s="314"/>
      <c r="V2290" s="314"/>
      <c r="W2290" s="314"/>
      <c r="X2290" s="314"/>
      <c r="Y2290" s="314"/>
      <c r="Z2290" s="314"/>
    </row>
    <row r="2291" spans="5:26" x14ac:dyDescent="0.35">
      <c r="E2291" s="314"/>
      <c r="F2291" s="314"/>
      <c r="G2291" s="314"/>
      <c r="H2291" s="314"/>
      <c r="I2291" s="314"/>
      <c r="J2291" s="314"/>
      <c r="K2291" s="314"/>
      <c r="L2291" s="314"/>
      <c r="M2291" s="314"/>
      <c r="N2291" s="314"/>
      <c r="O2291" s="314"/>
      <c r="P2291" s="314"/>
      <c r="Q2291" s="314"/>
      <c r="R2291" s="314"/>
      <c r="S2291" s="314"/>
      <c r="T2291" s="314"/>
      <c r="U2291" s="314"/>
      <c r="V2291" s="314"/>
      <c r="W2291" s="314"/>
      <c r="X2291" s="314"/>
      <c r="Y2291" s="314"/>
      <c r="Z2291" s="314"/>
    </row>
    <row r="2292" spans="5:26" x14ac:dyDescent="0.35">
      <c r="E2292" s="314"/>
      <c r="F2292" s="314"/>
      <c r="G2292" s="314"/>
      <c r="H2292" s="314"/>
      <c r="I2292" s="314"/>
      <c r="J2292" s="314"/>
      <c r="K2292" s="314"/>
      <c r="L2292" s="314"/>
      <c r="M2292" s="314"/>
      <c r="N2292" s="314"/>
      <c r="O2292" s="314"/>
      <c r="P2292" s="314"/>
      <c r="Q2292" s="314"/>
      <c r="R2292" s="314"/>
      <c r="S2292" s="314"/>
      <c r="T2292" s="314"/>
      <c r="U2292" s="314"/>
      <c r="V2292" s="314"/>
      <c r="W2292" s="314"/>
      <c r="X2292" s="314"/>
      <c r="Y2292" s="314"/>
      <c r="Z2292" s="314"/>
    </row>
    <row r="2293" spans="5:26" x14ac:dyDescent="0.35">
      <c r="E2293" s="314"/>
      <c r="F2293" s="314"/>
      <c r="G2293" s="314"/>
      <c r="H2293" s="314"/>
      <c r="I2293" s="314"/>
      <c r="J2293" s="314"/>
      <c r="K2293" s="314"/>
      <c r="L2293" s="314"/>
      <c r="M2293" s="314"/>
      <c r="N2293" s="314"/>
      <c r="O2293" s="314"/>
      <c r="P2293" s="314"/>
      <c r="Q2293" s="314"/>
      <c r="R2293" s="314"/>
      <c r="S2293" s="314"/>
      <c r="T2293" s="314"/>
      <c r="U2293" s="314"/>
      <c r="V2293" s="314"/>
      <c r="W2293" s="314"/>
      <c r="X2293" s="314"/>
      <c r="Y2293" s="314"/>
      <c r="Z2293" s="314"/>
    </row>
    <row r="2294" spans="5:26" x14ac:dyDescent="0.35">
      <c r="E2294" s="314"/>
      <c r="F2294" s="314"/>
      <c r="G2294" s="314"/>
      <c r="H2294" s="314"/>
      <c r="I2294" s="314"/>
      <c r="J2294" s="314"/>
      <c r="K2294" s="314"/>
      <c r="L2294" s="314"/>
      <c r="M2294" s="314"/>
      <c r="N2294" s="314"/>
      <c r="O2294" s="314"/>
      <c r="P2294" s="314"/>
      <c r="Q2294" s="314"/>
      <c r="R2294" s="314"/>
      <c r="S2294" s="314"/>
      <c r="T2294" s="314"/>
      <c r="U2294" s="314"/>
      <c r="V2294" s="314"/>
      <c r="W2294" s="314"/>
      <c r="X2294" s="314"/>
      <c r="Y2294" s="314"/>
      <c r="Z2294" s="314"/>
    </row>
    <row r="2295" spans="5:26" x14ac:dyDescent="0.35">
      <c r="E2295" s="314"/>
      <c r="F2295" s="314"/>
      <c r="G2295" s="314"/>
      <c r="H2295" s="314"/>
      <c r="I2295" s="314"/>
      <c r="J2295" s="314"/>
      <c r="K2295" s="314"/>
      <c r="L2295" s="314"/>
      <c r="M2295" s="314"/>
      <c r="N2295" s="314"/>
      <c r="O2295" s="314"/>
      <c r="P2295" s="314"/>
      <c r="Q2295" s="314"/>
      <c r="R2295" s="314"/>
      <c r="S2295" s="314"/>
      <c r="T2295" s="314"/>
      <c r="U2295" s="314"/>
      <c r="V2295" s="314"/>
      <c r="W2295" s="314"/>
      <c r="X2295" s="314"/>
      <c r="Y2295" s="314"/>
      <c r="Z2295" s="314"/>
    </row>
    <row r="2296" spans="5:26" x14ac:dyDescent="0.35">
      <c r="E2296" s="314"/>
      <c r="F2296" s="314"/>
      <c r="G2296" s="314"/>
      <c r="H2296" s="314"/>
      <c r="I2296" s="314"/>
      <c r="J2296" s="314"/>
      <c r="K2296" s="314"/>
      <c r="L2296" s="314"/>
      <c r="M2296" s="314"/>
      <c r="N2296" s="314"/>
      <c r="O2296" s="314"/>
      <c r="P2296" s="314"/>
      <c r="Q2296" s="314"/>
      <c r="R2296" s="314"/>
      <c r="S2296" s="314"/>
      <c r="T2296" s="314"/>
      <c r="U2296" s="314"/>
      <c r="V2296" s="314"/>
      <c r="W2296" s="314"/>
      <c r="X2296" s="314"/>
      <c r="Y2296" s="314"/>
      <c r="Z2296" s="314"/>
    </row>
    <row r="2297" spans="5:26" x14ac:dyDescent="0.35">
      <c r="E2297" s="314"/>
      <c r="F2297" s="314"/>
      <c r="G2297" s="314"/>
      <c r="H2297" s="314"/>
      <c r="I2297" s="314"/>
      <c r="J2297" s="314"/>
      <c r="K2297" s="314"/>
      <c r="L2297" s="314"/>
      <c r="M2297" s="314"/>
      <c r="N2297" s="314"/>
      <c r="O2297" s="314"/>
      <c r="P2297" s="314"/>
      <c r="Q2297" s="314"/>
      <c r="R2297" s="314"/>
      <c r="S2297" s="314"/>
      <c r="T2297" s="314"/>
      <c r="U2297" s="314"/>
      <c r="V2297" s="314"/>
      <c r="W2297" s="314"/>
      <c r="X2297" s="314"/>
      <c r="Y2297" s="314"/>
      <c r="Z2297" s="314"/>
    </row>
    <row r="2298" spans="5:26" x14ac:dyDescent="0.35">
      <c r="E2298" s="314"/>
      <c r="F2298" s="314"/>
      <c r="G2298" s="314"/>
      <c r="H2298" s="314"/>
      <c r="I2298" s="314"/>
      <c r="J2298" s="314"/>
      <c r="K2298" s="314"/>
      <c r="L2298" s="314"/>
      <c r="M2298" s="314"/>
      <c r="N2298" s="314"/>
      <c r="O2298" s="314"/>
      <c r="P2298" s="314"/>
      <c r="Q2298" s="314"/>
      <c r="R2298" s="314"/>
      <c r="S2298" s="314"/>
      <c r="T2298" s="314"/>
      <c r="U2298" s="314"/>
      <c r="V2298" s="314"/>
      <c r="W2298" s="314"/>
      <c r="X2298" s="314"/>
      <c r="Y2298" s="314"/>
      <c r="Z2298" s="314"/>
    </row>
    <row r="2299" spans="5:26" x14ac:dyDescent="0.35">
      <c r="E2299" s="314"/>
      <c r="F2299" s="314"/>
      <c r="G2299" s="314"/>
      <c r="H2299" s="314"/>
      <c r="I2299" s="314"/>
      <c r="J2299" s="314"/>
      <c r="K2299" s="314"/>
      <c r="L2299" s="314"/>
      <c r="M2299" s="314"/>
      <c r="N2299" s="314"/>
      <c r="O2299" s="314"/>
      <c r="P2299" s="314"/>
      <c r="Q2299" s="314"/>
      <c r="R2299" s="314"/>
      <c r="S2299" s="314"/>
      <c r="T2299" s="314"/>
      <c r="U2299" s="314"/>
      <c r="V2299" s="314"/>
      <c r="W2299" s="314"/>
      <c r="X2299" s="314"/>
      <c r="Y2299" s="314"/>
      <c r="Z2299" s="314"/>
    </row>
    <row r="2300" spans="5:26" x14ac:dyDescent="0.35">
      <c r="E2300" s="314"/>
      <c r="F2300" s="314"/>
      <c r="G2300" s="314"/>
      <c r="H2300" s="314"/>
      <c r="I2300" s="314"/>
      <c r="J2300" s="314"/>
      <c r="K2300" s="314"/>
      <c r="L2300" s="314"/>
      <c r="M2300" s="314"/>
      <c r="N2300" s="314"/>
      <c r="O2300" s="314"/>
      <c r="P2300" s="314"/>
      <c r="Q2300" s="314"/>
      <c r="R2300" s="314"/>
      <c r="S2300" s="314"/>
      <c r="T2300" s="314"/>
      <c r="U2300" s="314"/>
      <c r="V2300" s="314"/>
      <c r="W2300" s="314"/>
      <c r="X2300" s="314"/>
      <c r="Y2300" s="314"/>
      <c r="Z2300" s="314"/>
    </row>
    <row r="2301" spans="5:26" x14ac:dyDescent="0.35">
      <c r="E2301" s="314"/>
      <c r="F2301" s="314"/>
      <c r="G2301" s="314"/>
      <c r="H2301" s="314"/>
      <c r="I2301" s="314"/>
      <c r="J2301" s="314"/>
      <c r="K2301" s="314"/>
      <c r="L2301" s="314"/>
      <c r="M2301" s="314"/>
      <c r="N2301" s="314"/>
      <c r="O2301" s="314"/>
      <c r="P2301" s="314"/>
      <c r="Q2301" s="314"/>
      <c r="R2301" s="314"/>
      <c r="S2301" s="314"/>
      <c r="T2301" s="314"/>
      <c r="U2301" s="314"/>
      <c r="V2301" s="314"/>
      <c r="W2301" s="314"/>
      <c r="X2301" s="314"/>
      <c r="Y2301" s="314"/>
      <c r="Z2301" s="314"/>
    </row>
    <row r="2302" spans="5:26" x14ac:dyDescent="0.35">
      <c r="E2302" s="314"/>
      <c r="F2302" s="314"/>
      <c r="G2302" s="314"/>
      <c r="H2302" s="314"/>
      <c r="I2302" s="314"/>
      <c r="J2302" s="314"/>
      <c r="K2302" s="314"/>
      <c r="L2302" s="314"/>
      <c r="M2302" s="314"/>
      <c r="N2302" s="314"/>
      <c r="O2302" s="314"/>
      <c r="P2302" s="314"/>
      <c r="Q2302" s="314"/>
      <c r="R2302" s="314"/>
      <c r="S2302" s="314"/>
      <c r="T2302" s="314"/>
      <c r="U2302" s="314"/>
      <c r="V2302" s="314"/>
      <c r="W2302" s="314"/>
      <c r="X2302" s="314"/>
      <c r="Y2302" s="314"/>
      <c r="Z2302" s="314"/>
    </row>
    <row r="2303" spans="5:26" x14ac:dyDescent="0.35">
      <c r="E2303" s="314"/>
      <c r="F2303" s="314"/>
      <c r="G2303" s="314"/>
      <c r="H2303" s="314"/>
      <c r="I2303" s="314"/>
      <c r="J2303" s="314"/>
      <c r="K2303" s="314"/>
      <c r="L2303" s="314"/>
      <c r="M2303" s="314"/>
      <c r="N2303" s="314"/>
      <c r="O2303" s="314"/>
      <c r="P2303" s="314"/>
      <c r="Q2303" s="314"/>
      <c r="R2303" s="314"/>
      <c r="S2303" s="314"/>
      <c r="T2303" s="314"/>
      <c r="U2303" s="314"/>
      <c r="V2303" s="314"/>
      <c r="W2303" s="314"/>
      <c r="X2303" s="314"/>
      <c r="Y2303" s="314"/>
      <c r="Z2303" s="314"/>
    </row>
    <row r="2304" spans="5:26" x14ac:dyDescent="0.35">
      <c r="E2304" s="314"/>
      <c r="F2304" s="314"/>
      <c r="G2304" s="314"/>
      <c r="H2304" s="314"/>
      <c r="I2304" s="314"/>
      <c r="J2304" s="314"/>
      <c r="K2304" s="314"/>
      <c r="L2304" s="314"/>
      <c r="M2304" s="314"/>
      <c r="N2304" s="314"/>
      <c r="O2304" s="314"/>
      <c r="P2304" s="314"/>
      <c r="Q2304" s="314"/>
      <c r="R2304" s="314"/>
      <c r="S2304" s="314"/>
      <c r="T2304" s="314"/>
      <c r="U2304" s="314"/>
      <c r="V2304" s="314"/>
      <c r="W2304" s="314"/>
      <c r="X2304" s="314"/>
      <c r="Y2304" s="314"/>
      <c r="Z2304" s="314"/>
    </row>
    <row r="2305" spans="5:26" x14ac:dyDescent="0.35">
      <c r="E2305" s="314"/>
      <c r="F2305" s="314"/>
      <c r="G2305" s="314"/>
      <c r="H2305" s="314"/>
      <c r="I2305" s="314"/>
      <c r="J2305" s="314"/>
      <c r="K2305" s="314"/>
      <c r="L2305" s="314"/>
      <c r="M2305" s="314"/>
      <c r="N2305" s="314"/>
      <c r="O2305" s="314"/>
      <c r="P2305" s="314"/>
      <c r="Q2305" s="314"/>
      <c r="R2305" s="314"/>
      <c r="S2305" s="314"/>
      <c r="T2305" s="314"/>
      <c r="U2305" s="314"/>
      <c r="V2305" s="314"/>
      <c r="W2305" s="314"/>
      <c r="X2305" s="314"/>
      <c r="Y2305" s="314"/>
      <c r="Z2305" s="314"/>
    </row>
    <row r="2306" spans="5:26" x14ac:dyDescent="0.35">
      <c r="E2306" s="314"/>
      <c r="F2306" s="314"/>
      <c r="G2306" s="314"/>
      <c r="H2306" s="314"/>
      <c r="I2306" s="314"/>
      <c r="J2306" s="314"/>
      <c r="K2306" s="314"/>
      <c r="L2306" s="314"/>
      <c r="M2306" s="314"/>
      <c r="N2306" s="314"/>
      <c r="O2306" s="314"/>
      <c r="P2306" s="314"/>
      <c r="Q2306" s="314"/>
      <c r="R2306" s="314"/>
      <c r="S2306" s="314"/>
      <c r="T2306" s="314"/>
      <c r="U2306" s="314"/>
      <c r="V2306" s="314"/>
      <c r="W2306" s="314"/>
      <c r="X2306" s="314"/>
      <c r="Y2306" s="314"/>
      <c r="Z2306" s="314"/>
    </row>
    <row r="2307" spans="5:26" x14ac:dyDescent="0.35">
      <c r="E2307" s="314"/>
      <c r="F2307" s="314"/>
      <c r="G2307" s="314"/>
      <c r="H2307" s="314"/>
      <c r="I2307" s="314"/>
      <c r="J2307" s="314"/>
      <c r="K2307" s="314"/>
      <c r="L2307" s="314"/>
      <c r="M2307" s="314"/>
      <c r="N2307" s="314"/>
      <c r="O2307" s="314"/>
      <c r="P2307" s="314"/>
      <c r="Q2307" s="314"/>
      <c r="R2307" s="314"/>
      <c r="S2307" s="314"/>
      <c r="T2307" s="314"/>
      <c r="U2307" s="314"/>
      <c r="V2307" s="314"/>
      <c r="W2307" s="314"/>
      <c r="X2307" s="314"/>
      <c r="Y2307" s="314"/>
      <c r="Z2307" s="314"/>
    </row>
    <row r="2308" spans="5:26" x14ac:dyDescent="0.35">
      <c r="E2308" s="314"/>
      <c r="F2308" s="314"/>
      <c r="G2308" s="314"/>
      <c r="H2308" s="314"/>
      <c r="I2308" s="314"/>
      <c r="J2308" s="314"/>
      <c r="K2308" s="314"/>
      <c r="L2308" s="314"/>
      <c r="M2308" s="314"/>
      <c r="N2308" s="314"/>
      <c r="O2308" s="314"/>
      <c r="P2308" s="314"/>
      <c r="Q2308" s="314"/>
      <c r="R2308" s="314"/>
      <c r="S2308" s="314"/>
      <c r="T2308" s="314"/>
      <c r="U2308" s="314"/>
      <c r="V2308" s="314"/>
      <c r="W2308" s="314"/>
      <c r="X2308" s="314"/>
      <c r="Y2308" s="314"/>
      <c r="Z2308" s="314"/>
    </row>
    <row r="2309" spans="5:26" x14ac:dyDescent="0.35">
      <c r="E2309" s="314"/>
      <c r="F2309" s="314"/>
      <c r="G2309" s="314"/>
      <c r="H2309" s="314"/>
      <c r="I2309" s="314"/>
      <c r="J2309" s="314"/>
      <c r="K2309" s="314"/>
      <c r="L2309" s="314"/>
      <c r="M2309" s="314"/>
      <c r="N2309" s="314"/>
      <c r="O2309" s="314"/>
      <c r="P2309" s="314"/>
      <c r="Q2309" s="314"/>
      <c r="R2309" s="314"/>
      <c r="S2309" s="314"/>
      <c r="T2309" s="314"/>
      <c r="U2309" s="314"/>
      <c r="V2309" s="314"/>
      <c r="W2309" s="314"/>
      <c r="X2309" s="314"/>
      <c r="Y2309" s="314"/>
      <c r="Z2309" s="314"/>
    </row>
    <row r="2310" spans="5:26" x14ac:dyDescent="0.35">
      <c r="E2310" s="314"/>
      <c r="F2310" s="314"/>
      <c r="G2310" s="314"/>
      <c r="H2310" s="314"/>
      <c r="I2310" s="314"/>
      <c r="J2310" s="314"/>
      <c r="K2310" s="314"/>
      <c r="L2310" s="314"/>
      <c r="M2310" s="314"/>
      <c r="N2310" s="314"/>
      <c r="O2310" s="314"/>
      <c r="P2310" s="314"/>
      <c r="Q2310" s="314"/>
      <c r="R2310" s="314"/>
      <c r="S2310" s="314"/>
      <c r="T2310" s="314"/>
      <c r="U2310" s="314"/>
      <c r="V2310" s="314"/>
      <c r="W2310" s="314"/>
      <c r="X2310" s="314"/>
      <c r="Y2310" s="314"/>
      <c r="Z2310" s="314"/>
    </row>
    <row r="2311" spans="5:26" x14ac:dyDescent="0.35">
      <c r="E2311" s="314"/>
      <c r="F2311" s="314"/>
      <c r="G2311" s="314"/>
      <c r="H2311" s="314"/>
      <c r="I2311" s="314"/>
      <c r="J2311" s="314"/>
      <c r="K2311" s="314"/>
      <c r="L2311" s="314"/>
      <c r="M2311" s="314"/>
      <c r="N2311" s="314"/>
      <c r="O2311" s="314"/>
      <c r="P2311" s="314"/>
      <c r="Q2311" s="314"/>
      <c r="R2311" s="314"/>
      <c r="S2311" s="314"/>
      <c r="T2311" s="314"/>
      <c r="U2311" s="314"/>
      <c r="V2311" s="314"/>
      <c r="W2311" s="314"/>
      <c r="X2311" s="314"/>
      <c r="Y2311" s="314"/>
      <c r="Z2311" s="314"/>
    </row>
    <row r="2312" spans="5:26" x14ac:dyDescent="0.35">
      <c r="E2312" s="314"/>
      <c r="F2312" s="314"/>
      <c r="G2312" s="314"/>
      <c r="H2312" s="314"/>
      <c r="I2312" s="314"/>
      <c r="J2312" s="314"/>
      <c r="K2312" s="314"/>
      <c r="L2312" s="314"/>
      <c r="M2312" s="314"/>
      <c r="N2312" s="314"/>
      <c r="O2312" s="314"/>
      <c r="P2312" s="314"/>
      <c r="Q2312" s="314"/>
      <c r="R2312" s="314"/>
      <c r="S2312" s="314"/>
      <c r="T2312" s="314"/>
      <c r="U2312" s="314"/>
      <c r="V2312" s="314"/>
      <c r="W2312" s="314"/>
      <c r="X2312" s="314"/>
      <c r="Y2312" s="314"/>
      <c r="Z2312" s="314"/>
    </row>
    <row r="2313" spans="5:26" x14ac:dyDescent="0.35">
      <c r="E2313" s="314"/>
      <c r="F2313" s="314"/>
      <c r="G2313" s="314"/>
      <c r="H2313" s="314"/>
      <c r="I2313" s="314"/>
      <c r="J2313" s="314"/>
      <c r="K2313" s="314"/>
      <c r="L2313" s="314"/>
      <c r="M2313" s="314"/>
      <c r="N2313" s="314"/>
      <c r="O2313" s="314"/>
      <c r="P2313" s="314"/>
      <c r="Q2313" s="314"/>
      <c r="R2313" s="314"/>
      <c r="S2313" s="314"/>
      <c r="T2313" s="314"/>
      <c r="U2313" s="314"/>
      <c r="V2313" s="314"/>
      <c r="W2313" s="314"/>
      <c r="X2313" s="314"/>
      <c r="Y2313" s="314"/>
      <c r="Z2313" s="314"/>
    </row>
    <row r="2314" spans="5:26" x14ac:dyDescent="0.35">
      <c r="E2314" s="314"/>
      <c r="F2314" s="314"/>
      <c r="G2314" s="314"/>
      <c r="H2314" s="314"/>
      <c r="I2314" s="314"/>
      <c r="J2314" s="314"/>
      <c r="K2314" s="314"/>
      <c r="L2314" s="314"/>
      <c r="M2314" s="314"/>
      <c r="N2314" s="314"/>
      <c r="O2314" s="314"/>
      <c r="P2314" s="314"/>
      <c r="Q2314" s="314"/>
      <c r="R2314" s="314"/>
      <c r="S2314" s="314"/>
      <c r="T2314" s="314"/>
      <c r="U2314" s="314"/>
      <c r="V2314" s="314"/>
      <c r="W2314" s="314"/>
      <c r="X2314" s="314"/>
      <c r="Y2314" s="314"/>
      <c r="Z2314" s="314"/>
    </row>
    <row r="2315" spans="5:26" x14ac:dyDescent="0.35">
      <c r="E2315" s="314"/>
      <c r="F2315" s="314"/>
      <c r="G2315" s="314"/>
      <c r="H2315" s="314"/>
      <c r="I2315" s="314"/>
      <c r="J2315" s="314"/>
      <c r="K2315" s="314"/>
      <c r="L2315" s="314"/>
      <c r="M2315" s="314"/>
      <c r="N2315" s="314"/>
      <c r="O2315" s="314"/>
      <c r="P2315" s="314"/>
      <c r="Q2315" s="314"/>
      <c r="R2315" s="314"/>
      <c r="S2315" s="314"/>
      <c r="T2315" s="314"/>
      <c r="U2315" s="314"/>
      <c r="V2315" s="314"/>
      <c r="W2315" s="314"/>
      <c r="X2315" s="314"/>
      <c r="Y2315" s="314"/>
      <c r="Z2315" s="314"/>
    </row>
    <row r="2316" spans="5:26" x14ac:dyDescent="0.35">
      <c r="E2316" s="314"/>
      <c r="F2316" s="314"/>
      <c r="G2316" s="314"/>
      <c r="H2316" s="314"/>
      <c r="I2316" s="314"/>
      <c r="J2316" s="314"/>
      <c r="K2316" s="314"/>
      <c r="L2316" s="314"/>
      <c r="M2316" s="314"/>
      <c r="N2316" s="314"/>
      <c r="O2316" s="314"/>
      <c r="P2316" s="314"/>
      <c r="Q2316" s="314"/>
      <c r="R2316" s="314"/>
      <c r="S2316" s="314"/>
      <c r="T2316" s="314"/>
      <c r="U2316" s="314"/>
      <c r="V2316" s="314"/>
      <c r="W2316" s="314"/>
      <c r="X2316" s="314"/>
      <c r="Y2316" s="314"/>
      <c r="Z2316" s="314"/>
    </row>
    <row r="2317" spans="5:26" x14ac:dyDescent="0.35">
      <c r="E2317" s="314"/>
      <c r="F2317" s="314"/>
      <c r="G2317" s="314"/>
      <c r="H2317" s="314"/>
      <c r="I2317" s="314"/>
      <c r="J2317" s="314"/>
      <c r="K2317" s="314"/>
      <c r="L2317" s="314"/>
      <c r="M2317" s="314"/>
      <c r="N2317" s="314"/>
      <c r="O2317" s="314"/>
      <c r="P2317" s="314"/>
      <c r="Q2317" s="314"/>
      <c r="R2317" s="314"/>
      <c r="S2317" s="314"/>
      <c r="T2317" s="314"/>
      <c r="U2317" s="314"/>
      <c r="V2317" s="314"/>
      <c r="W2317" s="314"/>
      <c r="X2317" s="314"/>
      <c r="Y2317" s="314"/>
      <c r="Z2317" s="314"/>
    </row>
    <row r="2318" spans="5:26" x14ac:dyDescent="0.35">
      <c r="E2318" s="314"/>
      <c r="F2318" s="314"/>
      <c r="G2318" s="314"/>
      <c r="H2318" s="314"/>
      <c r="I2318" s="314"/>
      <c r="J2318" s="314"/>
      <c r="K2318" s="314"/>
      <c r="L2318" s="314"/>
      <c r="M2318" s="314"/>
      <c r="N2318" s="314"/>
      <c r="O2318" s="314"/>
      <c r="P2318" s="314"/>
      <c r="Q2318" s="314"/>
      <c r="R2318" s="314"/>
      <c r="S2318" s="314"/>
      <c r="T2318" s="314"/>
      <c r="U2318" s="314"/>
      <c r="V2318" s="314"/>
      <c r="W2318" s="314"/>
      <c r="X2318" s="314"/>
      <c r="Y2318" s="314"/>
      <c r="Z2318" s="314"/>
    </row>
    <row r="2319" spans="5:26" x14ac:dyDescent="0.35">
      <c r="E2319" s="314"/>
      <c r="F2319" s="314"/>
      <c r="G2319" s="314"/>
      <c r="H2319" s="314"/>
      <c r="I2319" s="314"/>
      <c r="J2319" s="314"/>
      <c r="K2319" s="314"/>
      <c r="L2319" s="314"/>
      <c r="M2319" s="314"/>
      <c r="N2319" s="314"/>
      <c r="O2319" s="314"/>
      <c r="P2319" s="314"/>
      <c r="Q2319" s="314"/>
      <c r="R2319" s="314"/>
      <c r="S2319" s="314"/>
      <c r="T2319" s="314"/>
      <c r="U2319" s="314"/>
      <c r="V2319" s="314"/>
      <c r="W2319" s="314"/>
      <c r="X2319" s="314"/>
      <c r="Y2319" s="314"/>
      <c r="Z2319" s="314"/>
    </row>
    <row r="2320" spans="5:26" x14ac:dyDescent="0.35">
      <c r="E2320" s="314"/>
      <c r="F2320" s="314"/>
      <c r="G2320" s="314"/>
      <c r="H2320" s="314"/>
      <c r="I2320" s="314"/>
      <c r="J2320" s="314"/>
      <c r="K2320" s="314"/>
      <c r="L2320" s="314"/>
      <c r="M2320" s="314"/>
      <c r="N2320" s="314"/>
      <c r="O2320" s="314"/>
      <c r="P2320" s="314"/>
      <c r="Q2320" s="314"/>
      <c r="R2320" s="314"/>
      <c r="S2320" s="314"/>
      <c r="T2320" s="314"/>
      <c r="U2320" s="314"/>
      <c r="V2320" s="314"/>
      <c r="W2320" s="314"/>
      <c r="X2320" s="314"/>
      <c r="Y2320" s="314"/>
      <c r="Z2320" s="314"/>
    </row>
    <row r="2321" spans="5:26" x14ac:dyDescent="0.35">
      <c r="E2321" s="314"/>
      <c r="F2321" s="314"/>
      <c r="G2321" s="314"/>
      <c r="H2321" s="314"/>
      <c r="I2321" s="314"/>
      <c r="J2321" s="314"/>
      <c r="K2321" s="314"/>
      <c r="L2321" s="314"/>
      <c r="M2321" s="314"/>
      <c r="N2321" s="314"/>
      <c r="O2321" s="314"/>
      <c r="P2321" s="314"/>
      <c r="Q2321" s="314"/>
      <c r="R2321" s="314"/>
      <c r="S2321" s="314"/>
      <c r="T2321" s="314"/>
      <c r="U2321" s="314"/>
      <c r="V2321" s="314"/>
      <c r="W2321" s="314"/>
      <c r="X2321" s="314"/>
      <c r="Y2321" s="314"/>
      <c r="Z2321" s="314"/>
    </row>
    <row r="2322" spans="5:26" x14ac:dyDescent="0.35">
      <c r="E2322" s="314"/>
      <c r="F2322" s="314"/>
      <c r="G2322" s="314"/>
      <c r="H2322" s="314"/>
      <c r="I2322" s="314"/>
      <c r="J2322" s="314"/>
      <c r="K2322" s="314"/>
      <c r="L2322" s="314"/>
      <c r="M2322" s="314"/>
      <c r="N2322" s="314"/>
      <c r="O2322" s="314"/>
      <c r="P2322" s="314"/>
      <c r="Q2322" s="314"/>
      <c r="R2322" s="314"/>
      <c r="S2322" s="314"/>
      <c r="T2322" s="314"/>
      <c r="U2322" s="314"/>
      <c r="V2322" s="314"/>
      <c r="W2322" s="314"/>
      <c r="X2322" s="314"/>
      <c r="Y2322" s="314"/>
      <c r="Z2322" s="314"/>
    </row>
    <row r="2323" spans="5:26" x14ac:dyDescent="0.35">
      <c r="E2323" s="314"/>
      <c r="F2323" s="314"/>
      <c r="G2323" s="314"/>
      <c r="H2323" s="314"/>
      <c r="I2323" s="314"/>
      <c r="J2323" s="314"/>
      <c r="K2323" s="314"/>
      <c r="L2323" s="314"/>
      <c r="M2323" s="314"/>
      <c r="N2323" s="314"/>
      <c r="O2323" s="314"/>
      <c r="P2323" s="314"/>
      <c r="Q2323" s="314"/>
      <c r="R2323" s="314"/>
      <c r="S2323" s="314"/>
      <c r="T2323" s="314"/>
      <c r="U2323" s="314"/>
      <c r="V2323" s="314"/>
      <c r="W2323" s="314"/>
      <c r="X2323" s="314"/>
      <c r="Y2323" s="314"/>
      <c r="Z2323" s="314"/>
    </row>
    <row r="2324" spans="5:26" x14ac:dyDescent="0.35">
      <c r="E2324" s="314"/>
      <c r="F2324" s="314"/>
      <c r="G2324" s="314"/>
      <c r="H2324" s="314"/>
      <c r="I2324" s="314"/>
      <c r="J2324" s="314"/>
      <c r="K2324" s="314"/>
      <c r="L2324" s="314"/>
      <c r="M2324" s="314"/>
      <c r="N2324" s="314"/>
      <c r="O2324" s="314"/>
      <c r="P2324" s="314"/>
      <c r="Q2324" s="314"/>
      <c r="R2324" s="314"/>
      <c r="S2324" s="314"/>
      <c r="T2324" s="314"/>
      <c r="U2324" s="314"/>
      <c r="V2324" s="314"/>
      <c r="W2324" s="314"/>
      <c r="X2324" s="314"/>
      <c r="Y2324" s="314"/>
      <c r="Z2324" s="314"/>
    </row>
    <row r="2325" spans="5:26" x14ac:dyDescent="0.35">
      <c r="E2325" s="314"/>
      <c r="F2325" s="314"/>
      <c r="G2325" s="314"/>
      <c r="H2325" s="314"/>
      <c r="I2325" s="314"/>
      <c r="J2325" s="314"/>
      <c r="K2325" s="314"/>
      <c r="L2325" s="314"/>
      <c r="M2325" s="314"/>
      <c r="N2325" s="314"/>
      <c r="O2325" s="314"/>
      <c r="P2325" s="314"/>
      <c r="Q2325" s="314"/>
      <c r="R2325" s="314"/>
      <c r="S2325" s="314"/>
      <c r="T2325" s="314"/>
      <c r="U2325" s="314"/>
      <c r="V2325" s="314"/>
      <c r="W2325" s="314"/>
      <c r="X2325" s="314"/>
      <c r="Y2325" s="314"/>
      <c r="Z2325" s="314"/>
    </row>
    <row r="2326" spans="5:26" x14ac:dyDescent="0.35">
      <c r="E2326" s="314"/>
      <c r="F2326" s="314"/>
      <c r="G2326" s="314"/>
      <c r="H2326" s="314"/>
      <c r="I2326" s="314"/>
      <c r="J2326" s="314"/>
      <c r="K2326" s="314"/>
      <c r="L2326" s="314"/>
      <c r="M2326" s="314"/>
      <c r="N2326" s="314"/>
      <c r="O2326" s="314"/>
      <c r="P2326" s="314"/>
      <c r="Q2326" s="314"/>
      <c r="R2326" s="314"/>
      <c r="S2326" s="314"/>
      <c r="T2326" s="314"/>
      <c r="U2326" s="314"/>
      <c r="V2326" s="314"/>
      <c r="W2326" s="314"/>
      <c r="X2326" s="314"/>
      <c r="Y2326" s="314"/>
      <c r="Z2326" s="314"/>
    </row>
    <row r="2327" spans="5:26" x14ac:dyDescent="0.35">
      <c r="E2327" s="314"/>
      <c r="F2327" s="314"/>
      <c r="G2327" s="314"/>
      <c r="H2327" s="314"/>
      <c r="I2327" s="314"/>
      <c r="J2327" s="314"/>
      <c r="K2327" s="314"/>
      <c r="L2327" s="314"/>
      <c r="M2327" s="314"/>
      <c r="N2327" s="314"/>
      <c r="O2327" s="314"/>
      <c r="P2327" s="314"/>
      <c r="Q2327" s="314"/>
      <c r="R2327" s="314"/>
      <c r="S2327" s="314"/>
      <c r="T2327" s="314"/>
      <c r="U2327" s="314"/>
      <c r="V2327" s="314"/>
      <c r="W2327" s="314"/>
      <c r="X2327" s="314"/>
      <c r="Y2327" s="314"/>
      <c r="Z2327" s="314"/>
    </row>
    <row r="2328" spans="5:26" x14ac:dyDescent="0.35">
      <c r="E2328" s="314"/>
      <c r="F2328" s="314"/>
      <c r="G2328" s="314"/>
      <c r="H2328" s="314"/>
      <c r="I2328" s="314"/>
      <c r="J2328" s="314"/>
      <c r="K2328" s="314"/>
      <c r="L2328" s="314"/>
      <c r="M2328" s="314"/>
      <c r="N2328" s="314"/>
      <c r="O2328" s="314"/>
      <c r="P2328" s="314"/>
      <c r="Q2328" s="314"/>
      <c r="R2328" s="314"/>
      <c r="S2328" s="314"/>
      <c r="T2328" s="314"/>
      <c r="U2328" s="314"/>
      <c r="V2328" s="314"/>
      <c r="W2328" s="314"/>
      <c r="X2328" s="314"/>
      <c r="Y2328" s="314"/>
      <c r="Z2328" s="314"/>
    </row>
    <row r="2329" spans="5:26" x14ac:dyDescent="0.35">
      <c r="E2329" s="314"/>
      <c r="F2329" s="314"/>
      <c r="G2329" s="314"/>
      <c r="H2329" s="314"/>
      <c r="I2329" s="314"/>
      <c r="J2329" s="314"/>
      <c r="K2329" s="314"/>
      <c r="L2329" s="314"/>
      <c r="M2329" s="314"/>
      <c r="N2329" s="314"/>
      <c r="O2329" s="314"/>
      <c r="P2329" s="314"/>
      <c r="Q2329" s="314"/>
      <c r="R2329" s="314"/>
      <c r="S2329" s="314"/>
      <c r="T2329" s="314"/>
      <c r="U2329" s="314"/>
      <c r="V2329" s="314"/>
      <c r="W2329" s="314"/>
      <c r="X2329" s="314"/>
      <c r="Y2329" s="314"/>
      <c r="Z2329" s="314"/>
    </row>
    <row r="2330" spans="5:26" x14ac:dyDescent="0.35">
      <c r="E2330" s="314"/>
      <c r="F2330" s="314"/>
      <c r="G2330" s="314"/>
      <c r="H2330" s="314"/>
      <c r="I2330" s="314"/>
      <c r="J2330" s="314"/>
      <c r="K2330" s="314"/>
      <c r="L2330" s="314"/>
      <c r="M2330" s="314"/>
      <c r="N2330" s="314"/>
      <c r="O2330" s="314"/>
      <c r="P2330" s="314"/>
      <c r="Q2330" s="314"/>
      <c r="R2330" s="314"/>
      <c r="S2330" s="314"/>
      <c r="T2330" s="314"/>
      <c r="U2330" s="314"/>
      <c r="V2330" s="314"/>
      <c r="W2330" s="314"/>
      <c r="X2330" s="314"/>
      <c r="Y2330" s="314"/>
      <c r="Z2330" s="314"/>
    </row>
    <row r="2331" spans="5:26" x14ac:dyDescent="0.35">
      <c r="E2331" s="314"/>
      <c r="F2331" s="314"/>
      <c r="G2331" s="314"/>
      <c r="H2331" s="314"/>
      <c r="I2331" s="314"/>
      <c r="J2331" s="314"/>
      <c r="K2331" s="314"/>
      <c r="L2331" s="314"/>
      <c r="M2331" s="314"/>
      <c r="N2331" s="314"/>
      <c r="O2331" s="314"/>
      <c r="P2331" s="314"/>
      <c r="Q2331" s="314"/>
      <c r="R2331" s="314"/>
      <c r="S2331" s="314"/>
      <c r="T2331" s="314"/>
      <c r="U2331" s="314"/>
      <c r="V2331" s="314"/>
      <c r="W2331" s="314"/>
      <c r="X2331" s="314"/>
      <c r="Y2331" s="314"/>
      <c r="Z2331" s="314"/>
    </row>
    <row r="2332" spans="5:26" x14ac:dyDescent="0.35">
      <c r="E2332" s="314"/>
      <c r="F2332" s="314"/>
      <c r="G2332" s="314"/>
      <c r="H2332" s="314"/>
      <c r="I2332" s="314"/>
      <c r="J2332" s="314"/>
      <c r="K2332" s="314"/>
      <c r="L2332" s="314"/>
      <c r="M2332" s="314"/>
      <c r="N2332" s="314"/>
      <c r="O2332" s="314"/>
      <c r="P2332" s="314"/>
      <c r="Q2332" s="314"/>
      <c r="R2332" s="314"/>
      <c r="S2332" s="314"/>
      <c r="T2332" s="314"/>
      <c r="U2332" s="314"/>
      <c r="V2332" s="314"/>
      <c r="W2332" s="314"/>
      <c r="X2332" s="314"/>
      <c r="Y2332" s="314"/>
      <c r="Z2332" s="314"/>
    </row>
    <row r="2333" spans="5:26" x14ac:dyDescent="0.35">
      <c r="E2333" s="314"/>
      <c r="F2333" s="314"/>
      <c r="G2333" s="314"/>
      <c r="H2333" s="314"/>
      <c r="I2333" s="314"/>
      <c r="J2333" s="314"/>
      <c r="K2333" s="314"/>
      <c r="L2333" s="314"/>
      <c r="M2333" s="314"/>
      <c r="N2333" s="314"/>
      <c r="O2333" s="314"/>
      <c r="P2333" s="314"/>
      <c r="Q2333" s="314"/>
      <c r="R2333" s="314"/>
      <c r="S2333" s="314"/>
      <c r="T2333" s="314"/>
      <c r="U2333" s="314"/>
      <c r="V2333" s="314"/>
      <c r="W2333" s="314"/>
      <c r="X2333" s="314"/>
      <c r="Y2333" s="314"/>
      <c r="Z2333" s="314"/>
    </row>
    <row r="2334" spans="5:26" x14ac:dyDescent="0.35">
      <c r="E2334" s="314"/>
      <c r="F2334" s="314"/>
      <c r="G2334" s="314"/>
      <c r="H2334" s="314"/>
      <c r="I2334" s="314"/>
      <c r="J2334" s="314"/>
      <c r="K2334" s="314"/>
      <c r="L2334" s="314"/>
      <c r="M2334" s="314"/>
      <c r="N2334" s="314"/>
      <c r="O2334" s="314"/>
      <c r="P2334" s="314"/>
      <c r="Q2334" s="314"/>
      <c r="R2334" s="314"/>
      <c r="S2334" s="314"/>
      <c r="T2334" s="314"/>
      <c r="U2334" s="314"/>
      <c r="V2334" s="314"/>
      <c r="W2334" s="314"/>
      <c r="X2334" s="314"/>
      <c r="Y2334" s="314"/>
      <c r="Z2334" s="314"/>
    </row>
    <row r="2335" spans="5:26" x14ac:dyDescent="0.35">
      <c r="E2335" s="314"/>
      <c r="F2335" s="314"/>
      <c r="G2335" s="314"/>
      <c r="H2335" s="314"/>
      <c r="I2335" s="314"/>
      <c r="J2335" s="314"/>
      <c r="K2335" s="314"/>
      <c r="L2335" s="314"/>
      <c r="M2335" s="314"/>
      <c r="N2335" s="314"/>
      <c r="O2335" s="314"/>
      <c r="P2335" s="314"/>
      <c r="Q2335" s="314"/>
      <c r="R2335" s="314"/>
      <c r="S2335" s="314"/>
      <c r="T2335" s="314"/>
      <c r="U2335" s="314"/>
      <c r="V2335" s="314"/>
      <c r="W2335" s="314"/>
      <c r="X2335" s="314"/>
      <c r="Y2335" s="314"/>
      <c r="Z2335" s="314"/>
    </row>
    <row r="2336" spans="5:26" x14ac:dyDescent="0.35">
      <c r="E2336" s="314"/>
      <c r="F2336" s="314"/>
      <c r="G2336" s="314"/>
      <c r="H2336" s="314"/>
      <c r="I2336" s="314"/>
      <c r="J2336" s="314"/>
      <c r="K2336" s="314"/>
      <c r="L2336" s="314"/>
      <c r="M2336" s="314"/>
      <c r="N2336" s="314"/>
      <c r="O2336" s="314"/>
      <c r="P2336" s="314"/>
      <c r="Q2336" s="314"/>
      <c r="R2336" s="314"/>
      <c r="S2336" s="314"/>
      <c r="T2336" s="314"/>
      <c r="U2336" s="314"/>
      <c r="V2336" s="314"/>
      <c r="W2336" s="314"/>
      <c r="X2336" s="314"/>
      <c r="Y2336" s="314"/>
      <c r="Z2336" s="314"/>
    </row>
    <row r="2337" spans="5:26" x14ac:dyDescent="0.35">
      <c r="E2337" s="314"/>
      <c r="F2337" s="314"/>
      <c r="G2337" s="314"/>
      <c r="H2337" s="314"/>
      <c r="I2337" s="314"/>
      <c r="J2337" s="314"/>
      <c r="K2337" s="314"/>
      <c r="L2337" s="314"/>
      <c r="M2337" s="314"/>
      <c r="N2337" s="314"/>
      <c r="O2337" s="314"/>
      <c r="P2337" s="314"/>
      <c r="Q2337" s="314"/>
      <c r="R2337" s="314"/>
      <c r="S2337" s="314"/>
      <c r="T2337" s="314"/>
      <c r="U2337" s="314"/>
      <c r="V2337" s="314"/>
      <c r="W2337" s="314"/>
      <c r="X2337" s="314"/>
      <c r="Y2337" s="314"/>
      <c r="Z2337" s="314"/>
    </row>
    <row r="2338" spans="5:26" x14ac:dyDescent="0.35">
      <c r="E2338" s="314"/>
      <c r="F2338" s="314"/>
      <c r="G2338" s="314"/>
      <c r="H2338" s="314"/>
      <c r="I2338" s="314"/>
      <c r="J2338" s="314"/>
      <c r="K2338" s="314"/>
      <c r="L2338" s="314"/>
      <c r="M2338" s="314"/>
      <c r="N2338" s="314"/>
      <c r="O2338" s="314"/>
      <c r="P2338" s="314"/>
      <c r="Q2338" s="314"/>
      <c r="R2338" s="314"/>
      <c r="S2338" s="314"/>
      <c r="T2338" s="314"/>
      <c r="U2338" s="314"/>
      <c r="V2338" s="314"/>
      <c r="W2338" s="314"/>
      <c r="X2338" s="314"/>
      <c r="Y2338" s="314"/>
      <c r="Z2338" s="314"/>
    </row>
    <row r="2339" spans="5:26" x14ac:dyDescent="0.35">
      <c r="E2339" s="314"/>
      <c r="F2339" s="314"/>
      <c r="G2339" s="314"/>
      <c r="H2339" s="314"/>
      <c r="I2339" s="314"/>
      <c r="J2339" s="314"/>
      <c r="K2339" s="314"/>
      <c r="L2339" s="314"/>
      <c r="M2339" s="314"/>
      <c r="N2339" s="314"/>
      <c r="O2339" s="314"/>
      <c r="P2339" s="314"/>
      <c r="Q2339" s="314"/>
      <c r="R2339" s="314"/>
      <c r="S2339" s="314"/>
      <c r="T2339" s="314"/>
      <c r="U2339" s="314"/>
      <c r="V2339" s="314"/>
      <c r="W2339" s="314"/>
      <c r="X2339" s="314"/>
      <c r="Y2339" s="314"/>
      <c r="Z2339" s="314"/>
    </row>
    <row r="2340" spans="5:26" x14ac:dyDescent="0.35">
      <c r="E2340" s="314"/>
      <c r="F2340" s="314"/>
      <c r="G2340" s="314"/>
      <c r="H2340" s="314"/>
      <c r="I2340" s="314"/>
      <c r="J2340" s="314"/>
      <c r="K2340" s="314"/>
      <c r="L2340" s="314"/>
      <c r="M2340" s="314"/>
      <c r="N2340" s="314"/>
      <c r="O2340" s="314"/>
      <c r="P2340" s="314"/>
      <c r="Q2340" s="314"/>
      <c r="R2340" s="314"/>
      <c r="S2340" s="314"/>
      <c r="T2340" s="314"/>
      <c r="U2340" s="314"/>
      <c r="V2340" s="314"/>
      <c r="W2340" s="314"/>
      <c r="X2340" s="314"/>
      <c r="Y2340" s="314"/>
      <c r="Z2340" s="314"/>
    </row>
    <row r="2341" spans="5:26" x14ac:dyDescent="0.35">
      <c r="E2341" s="314"/>
      <c r="F2341" s="314"/>
      <c r="G2341" s="314"/>
      <c r="H2341" s="314"/>
      <c r="I2341" s="314"/>
      <c r="J2341" s="314"/>
      <c r="K2341" s="314"/>
      <c r="L2341" s="314"/>
      <c r="M2341" s="314"/>
      <c r="N2341" s="314"/>
      <c r="O2341" s="314"/>
      <c r="P2341" s="314"/>
      <c r="Q2341" s="314"/>
      <c r="R2341" s="314"/>
      <c r="S2341" s="314"/>
      <c r="T2341" s="314"/>
      <c r="U2341" s="314"/>
      <c r="V2341" s="314"/>
      <c r="W2341" s="314"/>
      <c r="X2341" s="314"/>
      <c r="Y2341" s="314"/>
      <c r="Z2341" s="314"/>
    </row>
    <row r="2342" spans="5:26" x14ac:dyDescent="0.35">
      <c r="E2342" s="314"/>
      <c r="F2342" s="314"/>
      <c r="G2342" s="314"/>
      <c r="H2342" s="314"/>
      <c r="I2342" s="314"/>
      <c r="J2342" s="314"/>
      <c r="K2342" s="314"/>
      <c r="L2342" s="314"/>
      <c r="M2342" s="314"/>
      <c r="N2342" s="314"/>
      <c r="O2342" s="314"/>
      <c r="P2342" s="314"/>
      <c r="Q2342" s="314"/>
      <c r="R2342" s="314"/>
      <c r="S2342" s="314"/>
      <c r="T2342" s="314"/>
      <c r="U2342" s="314"/>
      <c r="V2342" s="314"/>
      <c r="W2342" s="314"/>
      <c r="X2342" s="314"/>
      <c r="Y2342" s="314"/>
      <c r="Z2342" s="314"/>
    </row>
    <row r="2343" spans="5:26" x14ac:dyDescent="0.35">
      <c r="E2343" s="314"/>
      <c r="F2343" s="314"/>
      <c r="G2343" s="314"/>
      <c r="H2343" s="314"/>
      <c r="I2343" s="314"/>
      <c r="J2343" s="314"/>
      <c r="K2343" s="314"/>
      <c r="L2343" s="314"/>
      <c r="M2343" s="314"/>
      <c r="N2343" s="314"/>
      <c r="O2343" s="314"/>
      <c r="P2343" s="314"/>
      <c r="Q2343" s="314"/>
      <c r="R2343" s="314"/>
      <c r="S2343" s="314"/>
      <c r="T2343" s="314"/>
      <c r="U2343" s="314"/>
      <c r="V2343" s="314"/>
      <c r="W2343" s="314"/>
      <c r="X2343" s="314"/>
      <c r="Y2343" s="314"/>
      <c r="Z2343" s="314"/>
    </row>
    <row r="2344" spans="5:26" x14ac:dyDescent="0.35">
      <c r="E2344" s="314"/>
      <c r="F2344" s="314"/>
      <c r="G2344" s="314"/>
      <c r="H2344" s="314"/>
      <c r="I2344" s="314"/>
      <c r="J2344" s="314"/>
      <c r="K2344" s="314"/>
      <c r="L2344" s="314"/>
      <c r="M2344" s="314"/>
      <c r="N2344" s="314"/>
      <c r="O2344" s="314"/>
      <c r="P2344" s="314"/>
      <c r="Q2344" s="314"/>
      <c r="R2344" s="314"/>
      <c r="S2344" s="314"/>
      <c r="T2344" s="314"/>
      <c r="U2344" s="314"/>
      <c r="V2344" s="314"/>
      <c r="W2344" s="314"/>
      <c r="X2344" s="314"/>
      <c r="Y2344" s="314"/>
      <c r="Z2344" s="314"/>
    </row>
    <row r="2345" spans="5:26" x14ac:dyDescent="0.35">
      <c r="E2345" s="314"/>
      <c r="F2345" s="314"/>
      <c r="G2345" s="314"/>
      <c r="H2345" s="314"/>
      <c r="I2345" s="314"/>
      <c r="J2345" s="314"/>
      <c r="K2345" s="314"/>
      <c r="L2345" s="314"/>
      <c r="M2345" s="314"/>
      <c r="N2345" s="314"/>
      <c r="O2345" s="314"/>
      <c r="P2345" s="314"/>
      <c r="Q2345" s="314"/>
      <c r="R2345" s="314"/>
      <c r="S2345" s="314"/>
      <c r="T2345" s="314"/>
      <c r="U2345" s="314"/>
      <c r="V2345" s="314"/>
      <c r="W2345" s="314"/>
      <c r="X2345" s="314"/>
      <c r="Y2345" s="314"/>
      <c r="Z2345" s="314"/>
    </row>
    <row r="2346" spans="5:26" x14ac:dyDescent="0.35">
      <c r="E2346" s="314"/>
      <c r="F2346" s="314"/>
      <c r="G2346" s="314"/>
      <c r="H2346" s="314"/>
      <c r="I2346" s="314"/>
      <c r="J2346" s="314"/>
      <c r="K2346" s="314"/>
      <c r="L2346" s="314"/>
      <c r="M2346" s="314"/>
      <c r="N2346" s="314"/>
      <c r="O2346" s="314"/>
      <c r="P2346" s="314"/>
      <c r="Q2346" s="314"/>
      <c r="R2346" s="314"/>
      <c r="S2346" s="314"/>
      <c r="T2346" s="314"/>
      <c r="U2346" s="314"/>
      <c r="V2346" s="314"/>
      <c r="W2346" s="314"/>
      <c r="X2346" s="314"/>
      <c r="Y2346" s="314"/>
      <c r="Z2346" s="314"/>
    </row>
    <row r="2347" spans="5:26" x14ac:dyDescent="0.35">
      <c r="E2347" s="314"/>
      <c r="F2347" s="314"/>
      <c r="G2347" s="314"/>
      <c r="H2347" s="314"/>
      <c r="I2347" s="314"/>
      <c r="J2347" s="314"/>
      <c r="K2347" s="314"/>
      <c r="L2347" s="314"/>
      <c r="M2347" s="314"/>
      <c r="N2347" s="314"/>
      <c r="O2347" s="314"/>
      <c r="P2347" s="314"/>
      <c r="Q2347" s="314"/>
      <c r="R2347" s="314"/>
      <c r="S2347" s="314"/>
      <c r="T2347" s="314"/>
      <c r="U2347" s="314"/>
      <c r="V2347" s="314"/>
      <c r="W2347" s="314"/>
      <c r="X2347" s="314"/>
      <c r="Y2347" s="314"/>
      <c r="Z2347" s="314"/>
    </row>
    <row r="2348" spans="5:26" x14ac:dyDescent="0.35">
      <c r="E2348" s="314"/>
      <c r="F2348" s="314"/>
      <c r="G2348" s="314"/>
      <c r="H2348" s="314"/>
      <c r="I2348" s="314"/>
      <c r="J2348" s="314"/>
      <c r="K2348" s="314"/>
      <c r="L2348" s="314"/>
      <c r="M2348" s="314"/>
      <c r="N2348" s="314"/>
      <c r="O2348" s="314"/>
      <c r="P2348" s="314"/>
      <c r="Q2348" s="314"/>
      <c r="R2348" s="314"/>
      <c r="S2348" s="314"/>
      <c r="T2348" s="314"/>
      <c r="U2348" s="314"/>
      <c r="V2348" s="314"/>
      <c r="W2348" s="314"/>
      <c r="X2348" s="314"/>
      <c r="Y2348" s="314"/>
      <c r="Z2348" s="314"/>
    </row>
    <row r="2349" spans="5:26" x14ac:dyDescent="0.35">
      <c r="E2349" s="314"/>
      <c r="F2349" s="314"/>
      <c r="G2349" s="314"/>
      <c r="H2349" s="314"/>
      <c r="I2349" s="314"/>
      <c r="J2349" s="314"/>
      <c r="K2349" s="314"/>
      <c r="L2349" s="314"/>
      <c r="M2349" s="314"/>
      <c r="N2349" s="314"/>
      <c r="O2349" s="314"/>
      <c r="P2349" s="314"/>
      <c r="Q2349" s="314"/>
      <c r="R2349" s="314"/>
      <c r="S2349" s="314"/>
      <c r="T2349" s="314"/>
      <c r="U2349" s="314"/>
      <c r="V2349" s="314"/>
      <c r="W2349" s="314"/>
      <c r="X2349" s="314"/>
      <c r="Y2349" s="314"/>
      <c r="Z2349" s="314"/>
    </row>
    <row r="2350" spans="5:26" x14ac:dyDescent="0.35">
      <c r="E2350" s="314"/>
      <c r="F2350" s="314"/>
      <c r="G2350" s="314"/>
      <c r="H2350" s="314"/>
      <c r="I2350" s="314"/>
      <c r="J2350" s="314"/>
      <c r="K2350" s="314"/>
      <c r="L2350" s="314"/>
      <c r="M2350" s="314"/>
      <c r="N2350" s="314"/>
      <c r="O2350" s="314"/>
      <c r="P2350" s="314"/>
      <c r="Q2350" s="314"/>
      <c r="R2350" s="314"/>
      <c r="S2350" s="314"/>
      <c r="T2350" s="314"/>
      <c r="U2350" s="314"/>
      <c r="V2350" s="314"/>
      <c r="W2350" s="314"/>
      <c r="X2350" s="314"/>
      <c r="Y2350" s="314"/>
      <c r="Z2350" s="314"/>
    </row>
    <row r="2351" spans="5:26" x14ac:dyDescent="0.35">
      <c r="E2351" s="314"/>
      <c r="F2351" s="314"/>
      <c r="G2351" s="314"/>
      <c r="H2351" s="314"/>
      <c r="I2351" s="314"/>
      <c r="J2351" s="314"/>
      <c r="K2351" s="314"/>
      <c r="L2351" s="314"/>
      <c r="M2351" s="314"/>
      <c r="N2351" s="314"/>
      <c r="O2351" s="314"/>
      <c r="P2351" s="314"/>
      <c r="Q2351" s="314"/>
      <c r="R2351" s="314"/>
      <c r="S2351" s="314"/>
      <c r="T2351" s="314"/>
      <c r="U2351" s="314"/>
      <c r="V2351" s="314"/>
      <c r="W2351" s="314"/>
      <c r="X2351" s="314"/>
      <c r="Y2351" s="314"/>
      <c r="Z2351" s="314"/>
    </row>
    <row r="2352" spans="5:26" x14ac:dyDescent="0.35">
      <c r="E2352" s="314"/>
      <c r="F2352" s="314"/>
      <c r="G2352" s="314"/>
      <c r="H2352" s="314"/>
      <c r="I2352" s="314"/>
      <c r="J2352" s="314"/>
      <c r="K2352" s="314"/>
      <c r="L2352" s="314"/>
      <c r="M2352" s="314"/>
      <c r="N2352" s="314"/>
      <c r="O2352" s="314"/>
      <c r="P2352" s="314"/>
      <c r="Q2352" s="314"/>
      <c r="R2352" s="314"/>
      <c r="S2352" s="314"/>
      <c r="T2352" s="314"/>
      <c r="U2352" s="314"/>
      <c r="V2352" s="314"/>
      <c r="W2352" s="314"/>
      <c r="X2352" s="314"/>
      <c r="Y2352" s="314"/>
      <c r="Z2352" s="314"/>
    </row>
    <row r="2353" spans="5:26" x14ac:dyDescent="0.35">
      <c r="E2353" s="314"/>
      <c r="F2353" s="314"/>
      <c r="G2353" s="314"/>
      <c r="H2353" s="314"/>
      <c r="I2353" s="314"/>
      <c r="J2353" s="314"/>
      <c r="K2353" s="314"/>
      <c r="L2353" s="314"/>
      <c r="M2353" s="314"/>
      <c r="N2353" s="314"/>
      <c r="O2353" s="314"/>
      <c r="P2353" s="314"/>
      <c r="Q2353" s="314"/>
      <c r="R2353" s="314"/>
      <c r="S2353" s="314"/>
      <c r="T2353" s="314"/>
      <c r="U2353" s="314"/>
      <c r="V2353" s="314"/>
      <c r="W2353" s="314"/>
      <c r="X2353" s="314"/>
      <c r="Y2353" s="314"/>
      <c r="Z2353" s="314"/>
    </row>
    <row r="2354" spans="5:26" x14ac:dyDescent="0.35">
      <c r="E2354" s="314"/>
      <c r="F2354" s="314"/>
      <c r="G2354" s="314"/>
      <c r="H2354" s="314"/>
      <c r="I2354" s="314"/>
      <c r="J2354" s="314"/>
      <c r="K2354" s="314"/>
      <c r="L2354" s="314"/>
      <c r="M2354" s="314"/>
      <c r="N2354" s="314"/>
      <c r="O2354" s="314"/>
      <c r="P2354" s="314"/>
      <c r="Q2354" s="314"/>
      <c r="R2354" s="314"/>
      <c r="S2354" s="314"/>
      <c r="T2354" s="314"/>
      <c r="U2354" s="314"/>
      <c r="V2354" s="314"/>
      <c r="W2354" s="314"/>
      <c r="X2354" s="314"/>
      <c r="Y2354" s="314"/>
      <c r="Z2354" s="314"/>
    </row>
    <row r="2355" spans="5:26" x14ac:dyDescent="0.35">
      <c r="E2355" s="314"/>
      <c r="F2355" s="314"/>
      <c r="G2355" s="314"/>
      <c r="H2355" s="314"/>
      <c r="I2355" s="314"/>
      <c r="J2355" s="314"/>
      <c r="K2355" s="314"/>
      <c r="L2355" s="314"/>
      <c r="M2355" s="314"/>
      <c r="N2355" s="314"/>
      <c r="O2355" s="314"/>
      <c r="P2355" s="314"/>
      <c r="Q2355" s="314"/>
      <c r="R2355" s="314"/>
      <c r="S2355" s="314"/>
      <c r="T2355" s="314"/>
      <c r="U2355" s="314"/>
      <c r="V2355" s="314"/>
      <c r="W2355" s="314"/>
      <c r="X2355" s="314"/>
      <c r="Y2355" s="314"/>
      <c r="Z2355" s="314"/>
    </row>
    <row r="2356" spans="5:26" x14ac:dyDescent="0.35">
      <c r="E2356" s="314"/>
      <c r="F2356" s="314"/>
      <c r="G2356" s="314"/>
      <c r="H2356" s="314"/>
      <c r="I2356" s="314"/>
      <c r="J2356" s="314"/>
      <c r="K2356" s="314"/>
      <c r="L2356" s="314"/>
      <c r="M2356" s="314"/>
      <c r="N2356" s="314"/>
      <c r="O2356" s="314"/>
      <c r="P2356" s="314"/>
      <c r="Q2356" s="314"/>
      <c r="R2356" s="314"/>
      <c r="S2356" s="314"/>
      <c r="T2356" s="314"/>
      <c r="U2356" s="314"/>
      <c r="V2356" s="314"/>
      <c r="W2356" s="314"/>
      <c r="X2356" s="314"/>
      <c r="Y2356" s="314"/>
      <c r="Z2356" s="314"/>
    </row>
    <row r="2357" spans="5:26" x14ac:dyDescent="0.35">
      <c r="E2357" s="314"/>
      <c r="F2357" s="314"/>
      <c r="G2357" s="314"/>
      <c r="H2357" s="314"/>
      <c r="I2357" s="314"/>
      <c r="J2357" s="314"/>
      <c r="K2357" s="314"/>
      <c r="L2357" s="314"/>
      <c r="M2357" s="314"/>
      <c r="N2357" s="314"/>
      <c r="O2357" s="314"/>
      <c r="P2357" s="314"/>
      <c r="Q2357" s="314"/>
      <c r="R2357" s="314"/>
      <c r="S2357" s="314"/>
      <c r="T2357" s="314"/>
      <c r="U2357" s="314"/>
      <c r="V2357" s="314"/>
      <c r="W2357" s="314"/>
      <c r="X2357" s="314"/>
      <c r="Y2357" s="314"/>
      <c r="Z2357" s="314"/>
    </row>
    <row r="2358" spans="5:26" x14ac:dyDescent="0.35">
      <c r="E2358" s="314"/>
      <c r="F2358" s="314"/>
      <c r="G2358" s="314"/>
      <c r="H2358" s="314"/>
      <c r="I2358" s="314"/>
      <c r="J2358" s="314"/>
      <c r="K2358" s="314"/>
      <c r="L2358" s="314"/>
      <c r="M2358" s="314"/>
      <c r="N2358" s="314"/>
      <c r="O2358" s="314"/>
      <c r="P2358" s="314"/>
      <c r="Q2358" s="314"/>
      <c r="R2358" s="314"/>
      <c r="S2358" s="314"/>
      <c r="T2358" s="314"/>
      <c r="U2358" s="314"/>
      <c r="V2358" s="314"/>
      <c r="W2358" s="314"/>
      <c r="X2358" s="314"/>
      <c r="Y2358" s="314"/>
      <c r="Z2358" s="314"/>
    </row>
    <row r="2359" spans="5:26" x14ac:dyDescent="0.35">
      <c r="E2359" s="314"/>
      <c r="F2359" s="314"/>
      <c r="G2359" s="314"/>
      <c r="H2359" s="314"/>
      <c r="I2359" s="314"/>
      <c r="J2359" s="314"/>
      <c r="K2359" s="314"/>
      <c r="L2359" s="314"/>
      <c r="M2359" s="314"/>
      <c r="N2359" s="314"/>
      <c r="O2359" s="314"/>
      <c r="P2359" s="314"/>
      <c r="Q2359" s="314"/>
      <c r="R2359" s="314"/>
      <c r="S2359" s="314"/>
      <c r="T2359" s="314"/>
      <c r="U2359" s="314"/>
      <c r="V2359" s="314"/>
      <c r="W2359" s="314"/>
      <c r="X2359" s="314"/>
      <c r="Y2359" s="314"/>
      <c r="Z2359" s="314"/>
    </row>
    <row r="2360" spans="5:26" x14ac:dyDescent="0.35">
      <c r="E2360" s="314"/>
      <c r="F2360" s="314"/>
      <c r="G2360" s="314"/>
      <c r="H2360" s="314"/>
      <c r="I2360" s="314"/>
      <c r="J2360" s="314"/>
      <c r="K2360" s="314"/>
      <c r="L2360" s="314"/>
      <c r="M2360" s="314"/>
      <c r="N2360" s="314"/>
      <c r="O2360" s="314"/>
      <c r="P2360" s="314"/>
      <c r="Q2360" s="314"/>
      <c r="R2360" s="314"/>
      <c r="S2360" s="314"/>
      <c r="T2360" s="314"/>
      <c r="U2360" s="314"/>
      <c r="V2360" s="314"/>
      <c r="W2360" s="314"/>
      <c r="X2360" s="314"/>
      <c r="Y2360" s="314"/>
      <c r="Z2360" s="314"/>
    </row>
    <row r="2361" spans="5:26" x14ac:dyDescent="0.35">
      <c r="E2361" s="314"/>
      <c r="F2361" s="314"/>
      <c r="G2361" s="314"/>
      <c r="H2361" s="314"/>
      <c r="I2361" s="314"/>
      <c r="J2361" s="314"/>
      <c r="K2361" s="314"/>
      <c r="L2361" s="314"/>
      <c r="M2361" s="314"/>
      <c r="N2361" s="314"/>
      <c r="O2361" s="314"/>
      <c r="P2361" s="314"/>
      <c r="Q2361" s="314"/>
      <c r="R2361" s="314"/>
      <c r="S2361" s="314"/>
      <c r="T2361" s="314"/>
      <c r="U2361" s="314"/>
      <c r="V2361" s="314"/>
      <c r="W2361" s="314"/>
      <c r="X2361" s="314"/>
      <c r="Y2361" s="314"/>
      <c r="Z2361" s="314"/>
    </row>
    <row r="2362" spans="5:26" x14ac:dyDescent="0.35">
      <c r="E2362" s="314"/>
      <c r="F2362" s="314"/>
      <c r="G2362" s="314"/>
      <c r="H2362" s="314"/>
      <c r="I2362" s="314"/>
      <c r="J2362" s="314"/>
      <c r="K2362" s="314"/>
      <c r="L2362" s="314"/>
      <c r="M2362" s="314"/>
      <c r="N2362" s="314"/>
      <c r="O2362" s="314"/>
      <c r="P2362" s="314"/>
      <c r="Q2362" s="314"/>
      <c r="R2362" s="314"/>
      <c r="S2362" s="314"/>
      <c r="T2362" s="314"/>
      <c r="U2362" s="314"/>
      <c r="V2362" s="314"/>
      <c r="W2362" s="314"/>
      <c r="X2362" s="314"/>
      <c r="Y2362" s="314"/>
      <c r="Z2362" s="314"/>
    </row>
    <row r="2363" spans="5:26" x14ac:dyDescent="0.35">
      <c r="E2363" s="314"/>
      <c r="F2363" s="314"/>
      <c r="G2363" s="314"/>
      <c r="H2363" s="314"/>
      <c r="I2363" s="314"/>
      <c r="J2363" s="314"/>
      <c r="K2363" s="314"/>
      <c r="L2363" s="314"/>
      <c r="M2363" s="314"/>
      <c r="N2363" s="314"/>
      <c r="O2363" s="314"/>
      <c r="P2363" s="314"/>
      <c r="Q2363" s="314"/>
      <c r="R2363" s="314"/>
      <c r="S2363" s="314"/>
      <c r="T2363" s="314"/>
      <c r="U2363" s="314"/>
      <c r="V2363" s="314"/>
      <c r="W2363" s="314"/>
      <c r="X2363" s="314"/>
      <c r="Y2363" s="314"/>
      <c r="Z2363" s="314"/>
    </row>
    <row r="2364" spans="5:26" x14ac:dyDescent="0.35">
      <c r="E2364" s="314"/>
      <c r="F2364" s="314"/>
      <c r="G2364" s="314"/>
      <c r="H2364" s="314"/>
      <c r="I2364" s="314"/>
      <c r="J2364" s="314"/>
      <c r="K2364" s="314"/>
      <c r="L2364" s="314"/>
      <c r="M2364" s="314"/>
      <c r="N2364" s="314"/>
      <c r="O2364" s="314"/>
      <c r="P2364" s="314"/>
      <c r="Q2364" s="314"/>
      <c r="R2364" s="314"/>
      <c r="S2364" s="314"/>
      <c r="T2364" s="314"/>
      <c r="U2364" s="314"/>
      <c r="V2364" s="314"/>
      <c r="W2364" s="314"/>
      <c r="X2364" s="314"/>
      <c r="Y2364" s="314"/>
      <c r="Z2364" s="314"/>
    </row>
    <row r="2365" spans="5:26" x14ac:dyDescent="0.35">
      <c r="E2365" s="314"/>
      <c r="F2365" s="314"/>
      <c r="G2365" s="314"/>
      <c r="H2365" s="314"/>
      <c r="I2365" s="314"/>
      <c r="J2365" s="314"/>
      <c r="K2365" s="314"/>
      <c r="L2365" s="314"/>
      <c r="M2365" s="314"/>
      <c r="N2365" s="314"/>
      <c r="O2365" s="314"/>
      <c r="P2365" s="314"/>
      <c r="Q2365" s="314"/>
      <c r="R2365" s="314"/>
      <c r="S2365" s="314"/>
      <c r="T2365" s="314"/>
      <c r="U2365" s="314"/>
      <c r="V2365" s="314"/>
      <c r="W2365" s="314"/>
      <c r="X2365" s="314"/>
      <c r="Y2365" s="314"/>
      <c r="Z2365" s="314"/>
    </row>
    <row r="2366" spans="5:26" x14ac:dyDescent="0.35">
      <c r="E2366" s="314"/>
      <c r="F2366" s="314"/>
      <c r="G2366" s="314"/>
      <c r="H2366" s="314"/>
      <c r="I2366" s="314"/>
      <c r="J2366" s="314"/>
      <c r="K2366" s="314"/>
      <c r="L2366" s="314"/>
      <c r="M2366" s="314"/>
      <c r="N2366" s="314"/>
      <c r="O2366" s="314"/>
      <c r="P2366" s="314"/>
      <c r="Q2366" s="314"/>
      <c r="R2366" s="314"/>
      <c r="S2366" s="314"/>
      <c r="T2366" s="314"/>
      <c r="U2366" s="314"/>
      <c r="V2366" s="314"/>
      <c r="W2366" s="314"/>
      <c r="X2366" s="314"/>
      <c r="Y2366" s="314"/>
      <c r="Z2366" s="314"/>
    </row>
    <row r="2367" spans="5:26" x14ac:dyDescent="0.35">
      <c r="E2367" s="314"/>
      <c r="F2367" s="314"/>
      <c r="G2367" s="314"/>
      <c r="H2367" s="314"/>
      <c r="I2367" s="314"/>
      <c r="J2367" s="314"/>
      <c r="K2367" s="314"/>
      <c r="L2367" s="314"/>
      <c r="M2367" s="314"/>
      <c r="N2367" s="314"/>
      <c r="O2367" s="314"/>
      <c r="P2367" s="314"/>
      <c r="Q2367" s="314"/>
      <c r="R2367" s="314"/>
      <c r="S2367" s="314"/>
      <c r="T2367" s="314"/>
      <c r="U2367" s="314"/>
      <c r="V2367" s="314"/>
      <c r="W2367" s="314"/>
      <c r="X2367" s="314"/>
      <c r="Y2367" s="314"/>
      <c r="Z2367" s="314"/>
    </row>
    <row r="2368" spans="5:26" x14ac:dyDescent="0.35">
      <c r="E2368" s="314"/>
      <c r="F2368" s="314"/>
      <c r="G2368" s="314"/>
      <c r="H2368" s="314"/>
      <c r="I2368" s="314"/>
      <c r="J2368" s="314"/>
      <c r="K2368" s="314"/>
      <c r="L2368" s="314"/>
      <c r="M2368" s="314"/>
      <c r="N2368" s="314"/>
      <c r="O2368" s="314"/>
      <c r="P2368" s="314"/>
      <c r="Q2368" s="314"/>
      <c r="R2368" s="314"/>
      <c r="S2368" s="314"/>
      <c r="T2368" s="314"/>
      <c r="U2368" s="314"/>
      <c r="V2368" s="314"/>
      <c r="W2368" s="314"/>
      <c r="X2368" s="314"/>
      <c r="Y2368" s="314"/>
      <c r="Z2368" s="314"/>
    </row>
    <row r="2369" spans="5:26" x14ac:dyDescent="0.35">
      <c r="E2369" s="314"/>
      <c r="F2369" s="314"/>
      <c r="G2369" s="314"/>
      <c r="H2369" s="314"/>
      <c r="I2369" s="314"/>
      <c r="J2369" s="314"/>
      <c r="K2369" s="314"/>
      <c r="L2369" s="314"/>
      <c r="M2369" s="314"/>
      <c r="N2369" s="314"/>
      <c r="O2369" s="314"/>
      <c r="P2369" s="314"/>
      <c r="Q2369" s="314"/>
      <c r="R2369" s="314"/>
      <c r="S2369" s="314"/>
      <c r="T2369" s="314"/>
      <c r="U2369" s="314"/>
      <c r="V2369" s="314"/>
      <c r="W2369" s="314"/>
      <c r="X2369" s="314"/>
      <c r="Y2369" s="314"/>
      <c r="Z2369" s="314"/>
    </row>
    <row r="2370" spans="5:26" x14ac:dyDescent="0.35">
      <c r="E2370" s="314"/>
      <c r="F2370" s="314"/>
      <c r="G2370" s="314"/>
      <c r="H2370" s="314"/>
      <c r="I2370" s="314"/>
      <c r="J2370" s="314"/>
      <c r="K2370" s="314"/>
      <c r="L2370" s="314"/>
      <c r="M2370" s="314"/>
      <c r="N2370" s="314"/>
      <c r="O2370" s="314"/>
      <c r="P2370" s="314"/>
      <c r="Q2370" s="314"/>
      <c r="R2370" s="314"/>
      <c r="S2370" s="314"/>
      <c r="T2370" s="314"/>
      <c r="U2370" s="314"/>
      <c r="V2370" s="314"/>
      <c r="W2370" s="314"/>
      <c r="X2370" s="314"/>
      <c r="Y2370" s="314"/>
      <c r="Z2370" s="314"/>
    </row>
    <row r="2371" spans="5:26" x14ac:dyDescent="0.35">
      <c r="E2371" s="314"/>
      <c r="F2371" s="314"/>
      <c r="G2371" s="314"/>
      <c r="H2371" s="314"/>
      <c r="I2371" s="314"/>
      <c r="J2371" s="314"/>
      <c r="K2371" s="314"/>
      <c r="L2371" s="314"/>
      <c r="M2371" s="314"/>
      <c r="N2371" s="314"/>
      <c r="O2371" s="314"/>
      <c r="P2371" s="314"/>
      <c r="Q2371" s="314"/>
      <c r="R2371" s="314"/>
      <c r="S2371" s="314"/>
      <c r="T2371" s="314"/>
      <c r="U2371" s="314"/>
      <c r="V2371" s="314"/>
      <c r="W2371" s="314"/>
      <c r="X2371" s="314"/>
      <c r="Y2371" s="314"/>
      <c r="Z2371" s="314"/>
    </row>
    <row r="2372" spans="5:26" x14ac:dyDescent="0.35">
      <c r="E2372" s="314"/>
      <c r="F2372" s="314"/>
      <c r="G2372" s="314"/>
      <c r="H2372" s="314"/>
      <c r="I2372" s="314"/>
      <c r="J2372" s="314"/>
      <c r="K2372" s="314"/>
      <c r="L2372" s="314"/>
      <c r="M2372" s="314"/>
      <c r="N2372" s="314"/>
      <c r="O2372" s="314"/>
      <c r="P2372" s="314"/>
      <c r="Q2372" s="314"/>
      <c r="R2372" s="314"/>
      <c r="S2372" s="314"/>
      <c r="T2372" s="314"/>
      <c r="U2372" s="314"/>
      <c r="V2372" s="314"/>
      <c r="W2372" s="314"/>
      <c r="X2372" s="314"/>
      <c r="Y2372" s="314"/>
      <c r="Z2372" s="314"/>
    </row>
    <row r="2373" spans="5:26" x14ac:dyDescent="0.35">
      <c r="E2373" s="314"/>
      <c r="F2373" s="314"/>
      <c r="G2373" s="314"/>
      <c r="H2373" s="314"/>
      <c r="I2373" s="314"/>
      <c r="J2373" s="314"/>
      <c r="K2373" s="314"/>
      <c r="L2373" s="314"/>
      <c r="M2373" s="314"/>
      <c r="N2373" s="314"/>
      <c r="O2373" s="314"/>
      <c r="P2373" s="314"/>
      <c r="Q2373" s="314"/>
      <c r="R2373" s="314"/>
      <c r="S2373" s="314"/>
      <c r="T2373" s="314"/>
      <c r="U2373" s="314"/>
      <c r="V2373" s="314"/>
      <c r="W2373" s="314"/>
      <c r="X2373" s="314"/>
      <c r="Y2373" s="314"/>
      <c r="Z2373" s="314"/>
    </row>
    <row r="2374" spans="5:26" x14ac:dyDescent="0.35">
      <c r="E2374" s="314"/>
      <c r="F2374" s="314"/>
      <c r="G2374" s="314"/>
      <c r="H2374" s="314"/>
      <c r="I2374" s="314"/>
      <c r="J2374" s="314"/>
      <c r="K2374" s="314"/>
      <c r="L2374" s="314"/>
      <c r="M2374" s="314"/>
      <c r="N2374" s="314"/>
      <c r="O2374" s="314"/>
      <c r="P2374" s="314"/>
      <c r="Q2374" s="314"/>
      <c r="R2374" s="314"/>
      <c r="S2374" s="314"/>
      <c r="T2374" s="314"/>
      <c r="U2374" s="314"/>
      <c r="V2374" s="314"/>
      <c r="W2374" s="314"/>
      <c r="X2374" s="314"/>
      <c r="Y2374" s="314"/>
      <c r="Z2374" s="314"/>
    </row>
    <row r="2375" spans="5:26" x14ac:dyDescent="0.35">
      <c r="E2375" s="314"/>
      <c r="F2375" s="314"/>
      <c r="G2375" s="314"/>
      <c r="H2375" s="314"/>
      <c r="I2375" s="314"/>
      <c r="J2375" s="314"/>
      <c r="K2375" s="314"/>
      <c r="L2375" s="314"/>
      <c r="M2375" s="314"/>
      <c r="N2375" s="314"/>
      <c r="O2375" s="314"/>
      <c r="P2375" s="314"/>
      <c r="Q2375" s="314"/>
      <c r="R2375" s="314"/>
      <c r="S2375" s="314"/>
      <c r="T2375" s="314"/>
      <c r="U2375" s="314"/>
      <c r="V2375" s="314"/>
      <c r="W2375" s="314"/>
      <c r="X2375" s="314"/>
      <c r="Y2375" s="314"/>
      <c r="Z2375" s="314"/>
    </row>
    <row r="2376" spans="5:26" x14ac:dyDescent="0.35">
      <c r="E2376" s="314"/>
      <c r="F2376" s="314"/>
      <c r="G2376" s="314"/>
      <c r="H2376" s="314"/>
      <c r="I2376" s="314"/>
      <c r="J2376" s="314"/>
      <c r="K2376" s="314"/>
      <c r="L2376" s="314"/>
      <c r="M2376" s="314"/>
      <c r="N2376" s="314"/>
      <c r="O2376" s="314"/>
      <c r="P2376" s="314"/>
      <c r="Q2376" s="314"/>
      <c r="R2376" s="314"/>
      <c r="S2376" s="314"/>
      <c r="T2376" s="314"/>
      <c r="U2376" s="314"/>
      <c r="V2376" s="314"/>
      <c r="W2376" s="314"/>
      <c r="X2376" s="314"/>
      <c r="Y2376" s="314"/>
      <c r="Z2376" s="314"/>
    </row>
    <row r="2377" spans="5:26" x14ac:dyDescent="0.35">
      <c r="E2377" s="314"/>
      <c r="F2377" s="314"/>
      <c r="G2377" s="314"/>
      <c r="H2377" s="314"/>
      <c r="I2377" s="314"/>
      <c r="J2377" s="314"/>
      <c r="K2377" s="314"/>
      <c r="L2377" s="314"/>
      <c r="M2377" s="314"/>
      <c r="N2377" s="314"/>
      <c r="O2377" s="314"/>
      <c r="P2377" s="314"/>
      <c r="Q2377" s="314"/>
      <c r="R2377" s="314"/>
      <c r="S2377" s="314"/>
      <c r="T2377" s="314"/>
      <c r="U2377" s="314"/>
      <c r="V2377" s="314"/>
      <c r="W2377" s="314"/>
      <c r="X2377" s="314"/>
      <c r="Y2377" s="314"/>
      <c r="Z2377" s="314"/>
    </row>
    <row r="2378" spans="5:26" x14ac:dyDescent="0.35">
      <c r="E2378" s="314"/>
      <c r="F2378" s="314"/>
      <c r="G2378" s="314"/>
      <c r="H2378" s="314"/>
      <c r="I2378" s="314"/>
      <c r="J2378" s="314"/>
      <c r="K2378" s="314"/>
      <c r="L2378" s="314"/>
      <c r="M2378" s="314"/>
      <c r="N2378" s="314"/>
      <c r="O2378" s="314"/>
      <c r="P2378" s="314"/>
      <c r="Q2378" s="314"/>
      <c r="R2378" s="314"/>
      <c r="S2378" s="314"/>
      <c r="T2378" s="314"/>
      <c r="U2378" s="314"/>
      <c r="V2378" s="314"/>
      <c r="W2378" s="314"/>
      <c r="X2378" s="314"/>
      <c r="Y2378" s="314"/>
      <c r="Z2378" s="314"/>
    </row>
    <row r="2379" spans="5:26" x14ac:dyDescent="0.35">
      <c r="E2379" s="314"/>
      <c r="F2379" s="314"/>
      <c r="G2379" s="314"/>
      <c r="H2379" s="314"/>
      <c r="I2379" s="314"/>
      <c r="J2379" s="314"/>
      <c r="K2379" s="314"/>
      <c r="L2379" s="314"/>
      <c r="M2379" s="314"/>
      <c r="N2379" s="314"/>
      <c r="O2379" s="314"/>
      <c r="P2379" s="314"/>
      <c r="Q2379" s="314"/>
      <c r="R2379" s="314"/>
      <c r="S2379" s="314"/>
      <c r="T2379" s="314"/>
      <c r="U2379" s="314"/>
      <c r="V2379" s="314"/>
      <c r="W2379" s="314"/>
      <c r="X2379" s="314"/>
      <c r="Y2379" s="314"/>
      <c r="Z2379" s="314"/>
    </row>
    <row r="2380" spans="5:26" x14ac:dyDescent="0.35">
      <c r="E2380" s="314"/>
      <c r="F2380" s="314"/>
      <c r="G2380" s="314"/>
      <c r="H2380" s="314"/>
      <c r="I2380" s="314"/>
      <c r="J2380" s="314"/>
      <c r="K2380" s="314"/>
      <c r="L2380" s="314"/>
      <c r="M2380" s="314"/>
      <c r="N2380" s="314"/>
      <c r="O2380" s="314"/>
      <c r="P2380" s="314"/>
      <c r="Q2380" s="314"/>
      <c r="R2380" s="314"/>
      <c r="S2380" s="314"/>
      <c r="T2380" s="314"/>
      <c r="U2380" s="314"/>
      <c r="V2380" s="314"/>
      <c r="W2380" s="314"/>
      <c r="X2380" s="314"/>
      <c r="Y2380" s="314"/>
      <c r="Z2380" s="314"/>
    </row>
    <row r="2381" spans="5:26" x14ac:dyDescent="0.35">
      <c r="E2381" s="314"/>
      <c r="F2381" s="314"/>
      <c r="G2381" s="314"/>
      <c r="H2381" s="314"/>
      <c r="I2381" s="314"/>
      <c r="J2381" s="314"/>
      <c r="K2381" s="314"/>
      <c r="L2381" s="314"/>
      <c r="M2381" s="314"/>
      <c r="N2381" s="314"/>
      <c r="O2381" s="314"/>
      <c r="P2381" s="314"/>
      <c r="Q2381" s="314"/>
      <c r="R2381" s="314"/>
      <c r="S2381" s="314"/>
      <c r="T2381" s="314"/>
      <c r="U2381" s="314"/>
      <c r="V2381" s="314"/>
      <c r="W2381" s="314"/>
      <c r="X2381" s="314"/>
      <c r="Y2381" s="314"/>
      <c r="Z2381" s="314"/>
    </row>
    <row r="2382" spans="5:26" x14ac:dyDescent="0.35">
      <c r="E2382" s="314"/>
      <c r="F2382" s="314"/>
      <c r="G2382" s="314"/>
      <c r="H2382" s="314"/>
      <c r="I2382" s="314"/>
      <c r="J2382" s="314"/>
      <c r="K2382" s="314"/>
      <c r="L2382" s="314"/>
      <c r="M2382" s="314"/>
      <c r="N2382" s="314"/>
      <c r="O2382" s="314"/>
      <c r="P2382" s="314"/>
      <c r="Q2382" s="314"/>
      <c r="R2382" s="314"/>
      <c r="S2382" s="314"/>
      <c r="T2382" s="314"/>
      <c r="U2382" s="314"/>
      <c r="V2382" s="314"/>
      <c r="W2382" s="314"/>
      <c r="X2382" s="314"/>
      <c r="Y2382" s="314"/>
      <c r="Z2382" s="314"/>
    </row>
    <row r="2383" spans="5:26" x14ac:dyDescent="0.35">
      <c r="E2383" s="314"/>
      <c r="F2383" s="314"/>
      <c r="G2383" s="314"/>
      <c r="H2383" s="314"/>
      <c r="I2383" s="314"/>
      <c r="J2383" s="314"/>
      <c r="K2383" s="314"/>
      <c r="L2383" s="314"/>
      <c r="M2383" s="314"/>
      <c r="N2383" s="314"/>
      <c r="O2383" s="314"/>
      <c r="P2383" s="314"/>
      <c r="Q2383" s="314"/>
      <c r="R2383" s="314"/>
      <c r="S2383" s="314"/>
      <c r="T2383" s="314"/>
      <c r="U2383" s="314"/>
      <c r="V2383" s="314"/>
      <c r="W2383" s="314"/>
      <c r="X2383" s="314"/>
      <c r="Y2383" s="314"/>
      <c r="Z2383" s="314"/>
    </row>
    <row r="2384" spans="5:26" x14ac:dyDescent="0.35">
      <c r="E2384" s="314"/>
      <c r="F2384" s="314"/>
      <c r="G2384" s="314"/>
      <c r="H2384" s="314"/>
      <c r="I2384" s="314"/>
      <c r="J2384" s="314"/>
      <c r="K2384" s="314"/>
      <c r="L2384" s="314"/>
      <c r="M2384" s="314"/>
      <c r="N2384" s="314"/>
      <c r="O2384" s="314"/>
      <c r="P2384" s="314"/>
      <c r="Q2384" s="314"/>
      <c r="R2384" s="314"/>
      <c r="S2384" s="314"/>
      <c r="T2384" s="314"/>
      <c r="U2384" s="314"/>
      <c r="V2384" s="314"/>
      <c r="W2384" s="314"/>
      <c r="X2384" s="314"/>
      <c r="Y2384" s="314"/>
      <c r="Z2384" s="314"/>
    </row>
    <row r="2385" spans="5:26" x14ac:dyDescent="0.35">
      <c r="E2385" s="314"/>
      <c r="F2385" s="314"/>
      <c r="G2385" s="314"/>
      <c r="H2385" s="314"/>
      <c r="I2385" s="314"/>
      <c r="J2385" s="314"/>
      <c r="K2385" s="314"/>
      <c r="L2385" s="314"/>
      <c r="M2385" s="314"/>
      <c r="N2385" s="314"/>
      <c r="O2385" s="314"/>
      <c r="P2385" s="314"/>
      <c r="Q2385" s="314"/>
      <c r="R2385" s="314"/>
      <c r="S2385" s="314"/>
      <c r="T2385" s="314"/>
      <c r="U2385" s="314"/>
      <c r="V2385" s="314"/>
      <c r="W2385" s="314"/>
      <c r="X2385" s="314"/>
      <c r="Y2385" s="314"/>
      <c r="Z2385" s="314"/>
    </row>
    <row r="2386" spans="5:26" x14ac:dyDescent="0.35">
      <c r="E2386" s="314"/>
      <c r="F2386" s="314"/>
      <c r="G2386" s="314"/>
      <c r="H2386" s="314"/>
      <c r="I2386" s="314"/>
      <c r="J2386" s="314"/>
      <c r="K2386" s="314"/>
      <c r="L2386" s="314"/>
      <c r="M2386" s="314"/>
      <c r="N2386" s="314"/>
      <c r="O2386" s="314"/>
      <c r="P2386" s="314"/>
      <c r="Q2386" s="314"/>
      <c r="R2386" s="314"/>
      <c r="S2386" s="314"/>
      <c r="T2386" s="314"/>
      <c r="U2386" s="314"/>
      <c r="V2386" s="314"/>
      <c r="W2386" s="314"/>
      <c r="X2386" s="314"/>
      <c r="Y2386" s="314"/>
      <c r="Z2386" s="314"/>
    </row>
    <row r="2387" spans="5:26" x14ac:dyDescent="0.35">
      <c r="E2387" s="314"/>
      <c r="F2387" s="314"/>
      <c r="G2387" s="314"/>
      <c r="H2387" s="314"/>
      <c r="I2387" s="314"/>
      <c r="J2387" s="314"/>
      <c r="K2387" s="314"/>
      <c r="L2387" s="314"/>
      <c r="M2387" s="314"/>
      <c r="N2387" s="314"/>
      <c r="O2387" s="314"/>
      <c r="P2387" s="314"/>
      <c r="Q2387" s="314"/>
      <c r="R2387" s="314"/>
      <c r="S2387" s="314"/>
      <c r="T2387" s="314"/>
      <c r="U2387" s="314"/>
      <c r="V2387" s="314"/>
      <c r="W2387" s="314"/>
      <c r="X2387" s="314"/>
      <c r="Y2387" s="314"/>
      <c r="Z2387" s="314"/>
    </row>
    <row r="2388" spans="5:26" x14ac:dyDescent="0.35">
      <c r="E2388" s="314"/>
      <c r="F2388" s="314"/>
      <c r="G2388" s="314"/>
      <c r="H2388" s="314"/>
      <c r="I2388" s="314"/>
      <c r="J2388" s="314"/>
      <c r="K2388" s="314"/>
      <c r="L2388" s="314"/>
      <c r="M2388" s="314"/>
      <c r="N2388" s="314"/>
      <c r="O2388" s="314"/>
      <c r="P2388" s="314"/>
      <c r="Q2388" s="314"/>
      <c r="R2388" s="314"/>
      <c r="S2388" s="314"/>
      <c r="T2388" s="314"/>
      <c r="U2388" s="314"/>
      <c r="V2388" s="314"/>
      <c r="W2388" s="314"/>
      <c r="X2388" s="314"/>
      <c r="Y2388" s="314"/>
      <c r="Z2388" s="314"/>
    </row>
    <row r="2389" spans="5:26" x14ac:dyDescent="0.35">
      <c r="E2389" s="314"/>
      <c r="F2389" s="314"/>
      <c r="G2389" s="314"/>
      <c r="H2389" s="314"/>
      <c r="I2389" s="314"/>
      <c r="J2389" s="314"/>
      <c r="K2389" s="314"/>
      <c r="L2389" s="314"/>
      <c r="M2389" s="314"/>
      <c r="N2389" s="314"/>
      <c r="O2389" s="314"/>
      <c r="P2389" s="314"/>
      <c r="Q2389" s="314"/>
      <c r="R2389" s="314"/>
      <c r="S2389" s="314"/>
      <c r="T2389" s="314"/>
      <c r="U2389" s="314"/>
      <c r="V2389" s="314"/>
      <c r="W2389" s="314"/>
      <c r="X2389" s="314"/>
      <c r="Y2389" s="314"/>
      <c r="Z2389" s="314"/>
    </row>
    <row r="2390" spans="5:26" x14ac:dyDescent="0.35">
      <c r="E2390" s="314"/>
      <c r="F2390" s="314"/>
      <c r="G2390" s="314"/>
      <c r="H2390" s="314"/>
      <c r="I2390" s="314"/>
      <c r="J2390" s="314"/>
      <c r="K2390" s="314"/>
      <c r="L2390" s="314"/>
      <c r="M2390" s="314"/>
      <c r="N2390" s="314"/>
      <c r="O2390" s="314"/>
      <c r="P2390" s="314"/>
      <c r="Q2390" s="314"/>
      <c r="R2390" s="314"/>
      <c r="S2390" s="314"/>
      <c r="T2390" s="314"/>
      <c r="U2390" s="314"/>
      <c r="V2390" s="314"/>
      <c r="W2390" s="314"/>
      <c r="X2390" s="314"/>
      <c r="Y2390" s="314"/>
      <c r="Z2390" s="314"/>
    </row>
    <row r="2391" spans="5:26" x14ac:dyDescent="0.35">
      <c r="E2391" s="314"/>
      <c r="F2391" s="314"/>
      <c r="G2391" s="314"/>
      <c r="H2391" s="314"/>
      <c r="I2391" s="314"/>
      <c r="J2391" s="314"/>
      <c r="K2391" s="314"/>
      <c r="L2391" s="314"/>
      <c r="M2391" s="314"/>
      <c r="N2391" s="314"/>
      <c r="O2391" s="314"/>
      <c r="P2391" s="314"/>
      <c r="Q2391" s="314"/>
      <c r="R2391" s="314"/>
      <c r="S2391" s="314"/>
      <c r="T2391" s="314"/>
      <c r="U2391" s="314"/>
      <c r="V2391" s="314"/>
      <c r="W2391" s="314"/>
      <c r="X2391" s="314"/>
      <c r="Y2391" s="314"/>
      <c r="Z2391" s="314"/>
    </row>
    <row r="2392" spans="5:26" x14ac:dyDescent="0.35">
      <c r="E2392" s="314"/>
      <c r="F2392" s="314"/>
      <c r="G2392" s="314"/>
      <c r="H2392" s="314"/>
      <c r="I2392" s="314"/>
      <c r="J2392" s="314"/>
      <c r="K2392" s="314"/>
      <c r="L2392" s="314"/>
      <c r="M2392" s="314"/>
      <c r="N2392" s="314"/>
      <c r="O2392" s="314"/>
      <c r="P2392" s="314"/>
      <c r="Q2392" s="314"/>
      <c r="R2392" s="314"/>
      <c r="S2392" s="314"/>
      <c r="T2392" s="314"/>
      <c r="U2392" s="314"/>
      <c r="V2392" s="314"/>
      <c r="W2392" s="314"/>
      <c r="X2392" s="314"/>
      <c r="Y2392" s="314"/>
      <c r="Z2392" s="314"/>
    </row>
    <row r="2393" spans="5:26" x14ac:dyDescent="0.35">
      <c r="E2393" s="314"/>
      <c r="F2393" s="314"/>
      <c r="G2393" s="314"/>
      <c r="H2393" s="314"/>
      <c r="I2393" s="314"/>
      <c r="J2393" s="314"/>
      <c r="K2393" s="314"/>
      <c r="L2393" s="314"/>
      <c r="M2393" s="314"/>
      <c r="N2393" s="314"/>
      <c r="O2393" s="314"/>
      <c r="P2393" s="314"/>
      <c r="Q2393" s="314"/>
      <c r="R2393" s="314"/>
      <c r="S2393" s="314"/>
      <c r="T2393" s="314"/>
      <c r="U2393" s="314"/>
      <c r="V2393" s="314"/>
      <c r="W2393" s="314"/>
      <c r="X2393" s="314"/>
      <c r="Y2393" s="314"/>
      <c r="Z2393" s="314"/>
    </row>
    <row r="2394" spans="5:26" x14ac:dyDescent="0.35">
      <c r="E2394" s="314"/>
      <c r="F2394" s="314"/>
      <c r="G2394" s="314"/>
      <c r="H2394" s="314"/>
      <c r="I2394" s="314"/>
      <c r="J2394" s="314"/>
      <c r="K2394" s="314"/>
      <c r="L2394" s="314"/>
      <c r="M2394" s="314"/>
      <c r="N2394" s="314"/>
      <c r="O2394" s="314"/>
      <c r="P2394" s="314"/>
      <c r="Q2394" s="314"/>
      <c r="R2394" s="314"/>
      <c r="S2394" s="314"/>
      <c r="T2394" s="314"/>
      <c r="U2394" s="314"/>
      <c r="V2394" s="314"/>
      <c r="W2394" s="314"/>
      <c r="X2394" s="314"/>
      <c r="Y2394" s="314"/>
      <c r="Z2394" s="314"/>
    </row>
    <row r="2395" spans="5:26" x14ac:dyDescent="0.35">
      <c r="E2395" s="314"/>
      <c r="F2395" s="314"/>
      <c r="G2395" s="314"/>
      <c r="H2395" s="314"/>
      <c r="I2395" s="314"/>
      <c r="J2395" s="314"/>
      <c r="K2395" s="314"/>
      <c r="L2395" s="314"/>
      <c r="M2395" s="314"/>
      <c r="N2395" s="314"/>
      <c r="O2395" s="314"/>
      <c r="P2395" s="314"/>
      <c r="Q2395" s="314"/>
      <c r="R2395" s="314"/>
      <c r="S2395" s="314"/>
      <c r="T2395" s="314"/>
      <c r="U2395" s="314"/>
      <c r="V2395" s="314"/>
      <c r="W2395" s="314"/>
      <c r="X2395" s="314"/>
      <c r="Y2395" s="314"/>
      <c r="Z2395" s="314"/>
    </row>
    <row r="2396" spans="5:26" x14ac:dyDescent="0.35">
      <c r="E2396" s="314"/>
      <c r="F2396" s="314"/>
      <c r="G2396" s="314"/>
      <c r="H2396" s="314"/>
      <c r="I2396" s="314"/>
      <c r="J2396" s="314"/>
      <c r="K2396" s="314"/>
      <c r="L2396" s="314"/>
      <c r="M2396" s="314"/>
      <c r="N2396" s="314"/>
      <c r="O2396" s="314"/>
      <c r="P2396" s="314"/>
      <c r="Q2396" s="314"/>
      <c r="R2396" s="314"/>
      <c r="S2396" s="314"/>
      <c r="T2396" s="314"/>
      <c r="U2396" s="314"/>
      <c r="V2396" s="314"/>
      <c r="W2396" s="314"/>
      <c r="X2396" s="314"/>
      <c r="Y2396" s="314"/>
      <c r="Z2396" s="314"/>
    </row>
    <row r="2397" spans="5:26" x14ac:dyDescent="0.35">
      <c r="E2397" s="314"/>
      <c r="F2397" s="314"/>
      <c r="G2397" s="314"/>
      <c r="H2397" s="314"/>
      <c r="I2397" s="314"/>
      <c r="J2397" s="314"/>
      <c r="K2397" s="314"/>
      <c r="L2397" s="314"/>
      <c r="M2397" s="314"/>
      <c r="N2397" s="314"/>
      <c r="O2397" s="314"/>
      <c r="P2397" s="314"/>
      <c r="Q2397" s="314"/>
      <c r="R2397" s="314"/>
      <c r="S2397" s="314"/>
      <c r="T2397" s="314"/>
      <c r="U2397" s="314"/>
      <c r="V2397" s="314"/>
      <c r="W2397" s="314"/>
      <c r="X2397" s="314"/>
      <c r="Y2397" s="314"/>
      <c r="Z2397" s="314"/>
    </row>
    <row r="2398" spans="5:26" x14ac:dyDescent="0.35">
      <c r="E2398" s="314"/>
      <c r="F2398" s="314"/>
      <c r="G2398" s="314"/>
      <c r="H2398" s="314"/>
      <c r="I2398" s="314"/>
      <c r="J2398" s="314"/>
      <c r="K2398" s="314"/>
      <c r="L2398" s="314"/>
      <c r="M2398" s="314"/>
      <c r="N2398" s="314"/>
      <c r="O2398" s="314"/>
      <c r="P2398" s="314"/>
      <c r="Q2398" s="314"/>
      <c r="R2398" s="314"/>
      <c r="S2398" s="314"/>
      <c r="T2398" s="314"/>
      <c r="U2398" s="314"/>
      <c r="V2398" s="314"/>
      <c r="W2398" s="314"/>
      <c r="X2398" s="314"/>
      <c r="Y2398" s="314"/>
      <c r="Z2398" s="314"/>
    </row>
    <row r="2399" spans="5:26" x14ac:dyDescent="0.35">
      <c r="E2399" s="314"/>
      <c r="F2399" s="314"/>
      <c r="G2399" s="314"/>
      <c r="H2399" s="314"/>
      <c r="I2399" s="314"/>
      <c r="J2399" s="314"/>
      <c r="K2399" s="314"/>
      <c r="L2399" s="314"/>
      <c r="M2399" s="314"/>
      <c r="N2399" s="314"/>
      <c r="O2399" s="314"/>
      <c r="P2399" s="314"/>
      <c r="Q2399" s="314"/>
      <c r="R2399" s="314"/>
      <c r="S2399" s="314"/>
      <c r="T2399" s="314"/>
      <c r="U2399" s="314"/>
      <c r="V2399" s="314"/>
      <c r="W2399" s="314"/>
      <c r="X2399" s="314"/>
      <c r="Y2399" s="314"/>
      <c r="Z2399" s="314"/>
    </row>
    <row r="2400" spans="5:26" x14ac:dyDescent="0.35">
      <c r="E2400" s="314"/>
      <c r="F2400" s="314"/>
      <c r="G2400" s="314"/>
      <c r="H2400" s="314"/>
      <c r="I2400" s="314"/>
      <c r="J2400" s="314"/>
      <c r="K2400" s="314"/>
      <c r="L2400" s="314"/>
      <c r="M2400" s="314"/>
      <c r="N2400" s="314"/>
      <c r="O2400" s="314"/>
      <c r="P2400" s="314"/>
      <c r="Q2400" s="314"/>
      <c r="R2400" s="314"/>
      <c r="S2400" s="314"/>
      <c r="T2400" s="314"/>
      <c r="U2400" s="314"/>
      <c r="V2400" s="314"/>
      <c r="W2400" s="314"/>
      <c r="X2400" s="314"/>
      <c r="Y2400" s="314"/>
      <c r="Z2400" s="314"/>
    </row>
    <row r="2401" spans="5:26" x14ac:dyDescent="0.35">
      <c r="E2401" s="314"/>
      <c r="F2401" s="314"/>
      <c r="G2401" s="314"/>
      <c r="H2401" s="314"/>
      <c r="I2401" s="314"/>
      <c r="J2401" s="314"/>
      <c r="K2401" s="314"/>
      <c r="L2401" s="314"/>
      <c r="M2401" s="314"/>
      <c r="N2401" s="314"/>
      <c r="O2401" s="314"/>
      <c r="P2401" s="314"/>
      <c r="Q2401" s="314"/>
      <c r="R2401" s="314"/>
      <c r="S2401" s="314"/>
      <c r="T2401" s="314"/>
      <c r="U2401" s="314"/>
      <c r="V2401" s="314"/>
      <c r="W2401" s="314"/>
      <c r="X2401" s="314"/>
      <c r="Y2401" s="314"/>
      <c r="Z2401" s="314"/>
    </row>
    <row r="2402" spans="5:26" x14ac:dyDescent="0.35">
      <c r="E2402" s="314"/>
      <c r="F2402" s="314"/>
      <c r="G2402" s="314"/>
      <c r="H2402" s="314"/>
      <c r="I2402" s="314"/>
      <c r="J2402" s="314"/>
      <c r="K2402" s="314"/>
      <c r="L2402" s="314"/>
      <c r="M2402" s="314"/>
      <c r="N2402" s="314"/>
      <c r="O2402" s="314"/>
      <c r="P2402" s="314"/>
      <c r="Q2402" s="314"/>
      <c r="R2402" s="314"/>
      <c r="S2402" s="314"/>
      <c r="T2402" s="314"/>
      <c r="U2402" s="314"/>
      <c r="V2402" s="314"/>
      <c r="W2402" s="314"/>
      <c r="X2402" s="314"/>
      <c r="Y2402" s="314"/>
      <c r="Z2402" s="314"/>
    </row>
    <row r="2403" spans="5:26" x14ac:dyDescent="0.35">
      <c r="E2403" s="314"/>
      <c r="F2403" s="314"/>
      <c r="G2403" s="314"/>
      <c r="H2403" s="314"/>
      <c r="I2403" s="314"/>
      <c r="J2403" s="314"/>
      <c r="K2403" s="314"/>
      <c r="L2403" s="314"/>
      <c r="M2403" s="314"/>
      <c r="N2403" s="314"/>
      <c r="O2403" s="314"/>
      <c r="P2403" s="314"/>
      <c r="Q2403" s="314"/>
      <c r="R2403" s="314"/>
      <c r="S2403" s="314"/>
      <c r="T2403" s="314"/>
      <c r="U2403" s="314"/>
      <c r="V2403" s="314"/>
      <c r="W2403" s="314"/>
      <c r="X2403" s="314"/>
      <c r="Y2403" s="314"/>
      <c r="Z2403" s="314"/>
    </row>
    <row r="2404" spans="5:26" x14ac:dyDescent="0.35">
      <c r="E2404" s="314"/>
      <c r="F2404" s="314"/>
      <c r="G2404" s="314"/>
      <c r="H2404" s="314"/>
      <c r="I2404" s="314"/>
      <c r="J2404" s="314"/>
      <c r="K2404" s="314"/>
      <c r="L2404" s="314"/>
      <c r="M2404" s="314"/>
      <c r="N2404" s="314"/>
      <c r="O2404" s="314"/>
      <c r="P2404" s="314"/>
      <c r="Q2404" s="314"/>
      <c r="R2404" s="314"/>
      <c r="S2404" s="314"/>
      <c r="T2404" s="314"/>
      <c r="U2404" s="314"/>
      <c r="V2404" s="314"/>
      <c r="W2404" s="314"/>
      <c r="X2404" s="314"/>
      <c r="Y2404" s="314"/>
      <c r="Z2404" s="314"/>
    </row>
    <row r="2405" spans="5:26" x14ac:dyDescent="0.35">
      <c r="E2405" s="314"/>
      <c r="F2405" s="314"/>
      <c r="G2405" s="314"/>
      <c r="H2405" s="314"/>
      <c r="I2405" s="314"/>
      <c r="J2405" s="314"/>
      <c r="K2405" s="314"/>
      <c r="L2405" s="314"/>
      <c r="M2405" s="314"/>
      <c r="N2405" s="314"/>
      <c r="O2405" s="314"/>
      <c r="P2405" s="314"/>
      <c r="Q2405" s="314"/>
      <c r="R2405" s="314"/>
      <c r="S2405" s="314"/>
      <c r="T2405" s="314"/>
      <c r="U2405" s="314"/>
      <c r="V2405" s="314"/>
      <c r="W2405" s="314"/>
      <c r="X2405" s="314"/>
      <c r="Y2405" s="314"/>
      <c r="Z2405" s="314"/>
    </row>
    <row r="2406" spans="5:26" x14ac:dyDescent="0.35">
      <c r="E2406" s="314"/>
      <c r="F2406" s="314"/>
      <c r="G2406" s="314"/>
      <c r="H2406" s="314"/>
      <c r="I2406" s="314"/>
      <c r="J2406" s="314"/>
      <c r="K2406" s="314"/>
      <c r="L2406" s="314"/>
      <c r="M2406" s="314"/>
      <c r="N2406" s="314"/>
      <c r="O2406" s="314"/>
      <c r="P2406" s="314"/>
      <c r="Q2406" s="314"/>
      <c r="R2406" s="314"/>
      <c r="S2406" s="314"/>
      <c r="T2406" s="314"/>
      <c r="U2406" s="314"/>
      <c r="V2406" s="314"/>
      <c r="W2406" s="314"/>
      <c r="X2406" s="314"/>
      <c r="Y2406" s="314"/>
      <c r="Z2406" s="314"/>
    </row>
    <row r="2407" spans="5:26" x14ac:dyDescent="0.35">
      <c r="E2407" s="314"/>
      <c r="F2407" s="314"/>
      <c r="G2407" s="314"/>
      <c r="H2407" s="314"/>
      <c r="I2407" s="314"/>
      <c r="J2407" s="314"/>
      <c r="K2407" s="314"/>
      <c r="L2407" s="314"/>
      <c r="M2407" s="314"/>
      <c r="N2407" s="314"/>
      <c r="O2407" s="314"/>
      <c r="P2407" s="314"/>
      <c r="Q2407" s="314"/>
      <c r="R2407" s="314"/>
      <c r="S2407" s="314"/>
      <c r="T2407" s="314"/>
      <c r="U2407" s="314"/>
      <c r="V2407" s="314"/>
      <c r="W2407" s="314"/>
      <c r="X2407" s="314"/>
      <c r="Y2407" s="314"/>
      <c r="Z2407" s="314"/>
    </row>
    <row r="2408" spans="5:26" x14ac:dyDescent="0.35">
      <c r="E2408" s="314"/>
      <c r="F2408" s="314"/>
      <c r="G2408" s="314"/>
      <c r="H2408" s="314"/>
      <c r="I2408" s="314"/>
      <c r="J2408" s="314"/>
      <c r="K2408" s="314"/>
      <c r="L2408" s="314"/>
      <c r="M2408" s="314"/>
      <c r="N2408" s="314"/>
      <c r="O2408" s="314"/>
      <c r="P2408" s="314"/>
      <c r="Q2408" s="314"/>
      <c r="R2408" s="314"/>
      <c r="S2408" s="314"/>
      <c r="T2408" s="314"/>
      <c r="U2408" s="314"/>
      <c r="V2408" s="314"/>
      <c r="W2408" s="314"/>
      <c r="X2408" s="314"/>
      <c r="Y2408" s="314"/>
      <c r="Z2408" s="314"/>
    </row>
    <row r="2409" spans="5:26" x14ac:dyDescent="0.35">
      <c r="E2409" s="314"/>
      <c r="F2409" s="314"/>
      <c r="G2409" s="314"/>
      <c r="H2409" s="314"/>
      <c r="I2409" s="314"/>
      <c r="J2409" s="314"/>
      <c r="K2409" s="314"/>
      <c r="L2409" s="314"/>
      <c r="M2409" s="314"/>
      <c r="N2409" s="314"/>
      <c r="O2409" s="314"/>
      <c r="P2409" s="314"/>
      <c r="Q2409" s="314"/>
      <c r="R2409" s="314"/>
      <c r="S2409" s="314"/>
      <c r="T2409" s="314"/>
      <c r="U2409" s="314"/>
      <c r="V2409" s="314"/>
      <c r="W2409" s="314"/>
      <c r="X2409" s="314"/>
      <c r="Y2409" s="314"/>
      <c r="Z2409" s="314"/>
    </row>
    <row r="2410" spans="5:26" x14ac:dyDescent="0.35">
      <c r="E2410" s="314"/>
      <c r="F2410" s="314"/>
      <c r="G2410" s="314"/>
      <c r="H2410" s="314"/>
      <c r="I2410" s="314"/>
      <c r="J2410" s="314"/>
      <c r="K2410" s="314"/>
      <c r="L2410" s="314"/>
      <c r="M2410" s="314"/>
      <c r="N2410" s="314"/>
      <c r="O2410" s="314"/>
      <c r="P2410" s="314"/>
      <c r="Q2410" s="314"/>
      <c r="R2410" s="314"/>
      <c r="S2410" s="314"/>
      <c r="T2410" s="314"/>
      <c r="U2410" s="314"/>
      <c r="V2410" s="314"/>
      <c r="W2410" s="314"/>
      <c r="X2410" s="314"/>
      <c r="Y2410" s="314"/>
      <c r="Z2410" s="314"/>
    </row>
    <row r="2411" spans="5:26" x14ac:dyDescent="0.35">
      <c r="E2411" s="314"/>
      <c r="F2411" s="314"/>
      <c r="G2411" s="314"/>
      <c r="H2411" s="314"/>
      <c r="I2411" s="314"/>
      <c r="J2411" s="314"/>
      <c r="K2411" s="314"/>
      <c r="L2411" s="314"/>
      <c r="M2411" s="314"/>
      <c r="N2411" s="314"/>
      <c r="O2411" s="314"/>
      <c r="P2411" s="314"/>
      <c r="Q2411" s="314"/>
      <c r="R2411" s="314"/>
      <c r="S2411" s="314"/>
      <c r="T2411" s="314"/>
      <c r="U2411" s="314"/>
      <c r="V2411" s="314"/>
      <c r="W2411" s="314"/>
      <c r="X2411" s="314"/>
      <c r="Y2411" s="314"/>
      <c r="Z2411" s="314"/>
    </row>
    <row r="2412" spans="5:26" x14ac:dyDescent="0.35">
      <c r="E2412" s="314"/>
      <c r="F2412" s="314"/>
      <c r="G2412" s="314"/>
      <c r="H2412" s="314"/>
      <c r="I2412" s="314"/>
      <c r="J2412" s="314"/>
      <c r="K2412" s="314"/>
      <c r="L2412" s="314"/>
      <c r="M2412" s="314"/>
      <c r="N2412" s="314"/>
      <c r="O2412" s="314"/>
      <c r="P2412" s="314"/>
      <c r="Q2412" s="314"/>
      <c r="R2412" s="314"/>
      <c r="S2412" s="314"/>
      <c r="T2412" s="314"/>
      <c r="U2412" s="314"/>
      <c r="V2412" s="314"/>
      <c r="W2412" s="314"/>
      <c r="X2412" s="314"/>
      <c r="Y2412" s="314"/>
      <c r="Z2412" s="314"/>
    </row>
    <row r="2413" spans="5:26" x14ac:dyDescent="0.35">
      <c r="E2413" s="314"/>
      <c r="F2413" s="314"/>
      <c r="G2413" s="314"/>
      <c r="H2413" s="314"/>
      <c r="I2413" s="314"/>
      <c r="J2413" s="314"/>
      <c r="K2413" s="314"/>
      <c r="L2413" s="314"/>
      <c r="M2413" s="314"/>
      <c r="N2413" s="314"/>
      <c r="O2413" s="314"/>
      <c r="P2413" s="314"/>
      <c r="Q2413" s="314"/>
      <c r="R2413" s="314"/>
      <c r="S2413" s="314"/>
      <c r="T2413" s="314"/>
      <c r="U2413" s="314"/>
      <c r="V2413" s="314"/>
      <c r="W2413" s="314"/>
      <c r="X2413" s="314"/>
      <c r="Y2413" s="314"/>
      <c r="Z2413" s="314"/>
    </row>
    <row r="2414" spans="5:26" x14ac:dyDescent="0.35">
      <c r="E2414" s="314"/>
      <c r="F2414" s="314"/>
      <c r="G2414" s="314"/>
      <c r="H2414" s="314"/>
      <c r="I2414" s="314"/>
      <c r="J2414" s="314"/>
      <c r="K2414" s="314"/>
      <c r="L2414" s="314"/>
      <c r="M2414" s="314"/>
      <c r="N2414" s="314"/>
      <c r="O2414" s="314"/>
      <c r="P2414" s="314"/>
      <c r="Q2414" s="314"/>
      <c r="R2414" s="314"/>
      <c r="S2414" s="314"/>
      <c r="T2414" s="314"/>
      <c r="U2414" s="314"/>
      <c r="V2414" s="314"/>
      <c r="W2414" s="314"/>
      <c r="X2414" s="314"/>
      <c r="Y2414" s="314"/>
      <c r="Z2414" s="314"/>
    </row>
    <row r="2415" spans="5:26" x14ac:dyDescent="0.35">
      <c r="E2415" s="314"/>
      <c r="F2415" s="314"/>
      <c r="G2415" s="314"/>
      <c r="H2415" s="314"/>
      <c r="I2415" s="314"/>
      <c r="J2415" s="314"/>
      <c r="K2415" s="314"/>
      <c r="L2415" s="314"/>
      <c r="M2415" s="314"/>
      <c r="N2415" s="314"/>
      <c r="O2415" s="314"/>
      <c r="P2415" s="314"/>
      <c r="Q2415" s="314"/>
      <c r="R2415" s="314"/>
      <c r="S2415" s="314"/>
      <c r="T2415" s="314"/>
      <c r="U2415" s="314"/>
      <c r="V2415" s="314"/>
      <c r="W2415" s="314"/>
      <c r="X2415" s="314"/>
      <c r="Y2415" s="314"/>
      <c r="Z2415" s="314"/>
    </row>
    <row r="2416" spans="5:26" x14ac:dyDescent="0.35">
      <c r="E2416" s="314"/>
      <c r="F2416" s="314"/>
      <c r="G2416" s="314"/>
      <c r="H2416" s="314"/>
      <c r="I2416" s="314"/>
      <c r="J2416" s="314"/>
      <c r="K2416" s="314"/>
      <c r="L2416" s="314"/>
      <c r="M2416" s="314"/>
      <c r="N2416" s="314"/>
      <c r="O2416" s="314"/>
      <c r="P2416" s="314"/>
      <c r="Q2416" s="314"/>
      <c r="R2416" s="314"/>
      <c r="S2416" s="314"/>
      <c r="T2416" s="314"/>
      <c r="U2416" s="314"/>
      <c r="V2416" s="314"/>
      <c r="W2416" s="314"/>
      <c r="X2416" s="314"/>
      <c r="Y2416" s="314"/>
      <c r="Z2416" s="314"/>
    </row>
    <row r="2417" spans="5:26" x14ac:dyDescent="0.35">
      <c r="E2417" s="314"/>
      <c r="F2417" s="314"/>
      <c r="G2417" s="314"/>
      <c r="H2417" s="314"/>
      <c r="I2417" s="314"/>
      <c r="J2417" s="314"/>
      <c r="K2417" s="314"/>
      <c r="L2417" s="314"/>
      <c r="M2417" s="314"/>
      <c r="N2417" s="314"/>
      <c r="O2417" s="314"/>
      <c r="P2417" s="314"/>
      <c r="Q2417" s="314"/>
      <c r="R2417" s="314"/>
      <c r="S2417" s="314"/>
      <c r="T2417" s="314"/>
      <c r="U2417" s="314"/>
      <c r="V2417" s="314"/>
      <c r="W2417" s="314"/>
      <c r="X2417" s="314"/>
      <c r="Y2417" s="314"/>
      <c r="Z2417" s="314"/>
    </row>
    <row r="2418" spans="5:26" x14ac:dyDescent="0.35">
      <c r="E2418" s="314"/>
      <c r="F2418" s="314"/>
      <c r="G2418" s="314"/>
      <c r="H2418" s="314"/>
      <c r="I2418" s="314"/>
      <c r="J2418" s="314"/>
      <c r="K2418" s="314"/>
      <c r="L2418" s="314"/>
      <c r="M2418" s="314"/>
      <c r="N2418" s="314"/>
      <c r="O2418" s="314"/>
      <c r="P2418" s="314"/>
      <c r="Q2418" s="314"/>
      <c r="R2418" s="314"/>
      <c r="S2418" s="314"/>
      <c r="T2418" s="314"/>
      <c r="U2418" s="314"/>
      <c r="V2418" s="314"/>
      <c r="W2418" s="314"/>
      <c r="X2418" s="314"/>
      <c r="Y2418" s="314"/>
      <c r="Z2418" s="314"/>
    </row>
    <row r="2419" spans="5:26" x14ac:dyDescent="0.35">
      <c r="E2419" s="314"/>
      <c r="F2419" s="314"/>
      <c r="G2419" s="314"/>
      <c r="H2419" s="314"/>
      <c r="I2419" s="314"/>
      <c r="J2419" s="314"/>
      <c r="K2419" s="314"/>
      <c r="L2419" s="314"/>
      <c r="M2419" s="314"/>
      <c r="N2419" s="314"/>
      <c r="O2419" s="314"/>
      <c r="P2419" s="314"/>
      <c r="Q2419" s="314"/>
      <c r="R2419" s="314"/>
      <c r="S2419" s="314"/>
      <c r="T2419" s="314"/>
      <c r="U2419" s="314"/>
      <c r="V2419" s="314"/>
      <c r="W2419" s="314"/>
      <c r="X2419" s="314"/>
      <c r="Y2419" s="314"/>
      <c r="Z2419" s="314"/>
    </row>
    <row r="2420" spans="5:26" x14ac:dyDescent="0.35">
      <c r="E2420" s="314"/>
      <c r="F2420" s="314"/>
      <c r="G2420" s="314"/>
      <c r="H2420" s="314"/>
      <c r="I2420" s="314"/>
      <c r="J2420" s="314"/>
      <c r="K2420" s="314"/>
      <c r="L2420" s="314"/>
      <c r="M2420" s="314"/>
      <c r="N2420" s="314"/>
      <c r="O2420" s="314"/>
      <c r="P2420" s="314"/>
      <c r="Q2420" s="314"/>
      <c r="R2420" s="314"/>
      <c r="S2420" s="314"/>
      <c r="T2420" s="314"/>
      <c r="U2420" s="314"/>
      <c r="V2420" s="314"/>
      <c r="W2420" s="314"/>
      <c r="X2420" s="314"/>
      <c r="Y2420" s="314"/>
      <c r="Z2420" s="314"/>
    </row>
    <row r="2421" spans="5:26" x14ac:dyDescent="0.35">
      <c r="E2421" s="314"/>
      <c r="F2421" s="314"/>
      <c r="G2421" s="314"/>
      <c r="H2421" s="314"/>
      <c r="I2421" s="314"/>
      <c r="J2421" s="314"/>
      <c r="K2421" s="314"/>
      <c r="L2421" s="314"/>
      <c r="M2421" s="314"/>
      <c r="N2421" s="314"/>
      <c r="O2421" s="314"/>
      <c r="P2421" s="314"/>
      <c r="Q2421" s="314"/>
      <c r="R2421" s="314"/>
      <c r="S2421" s="314"/>
      <c r="T2421" s="314"/>
      <c r="U2421" s="314"/>
      <c r="V2421" s="314"/>
      <c r="W2421" s="314"/>
      <c r="X2421" s="314"/>
      <c r="Y2421" s="314"/>
      <c r="Z2421" s="314"/>
    </row>
    <row r="2422" spans="5:26" x14ac:dyDescent="0.35">
      <c r="E2422" s="314"/>
      <c r="F2422" s="314"/>
      <c r="G2422" s="314"/>
      <c r="H2422" s="314"/>
      <c r="I2422" s="314"/>
      <c r="J2422" s="314"/>
      <c r="K2422" s="314"/>
      <c r="L2422" s="314"/>
      <c r="M2422" s="314"/>
      <c r="N2422" s="314"/>
      <c r="O2422" s="314"/>
      <c r="P2422" s="314"/>
      <c r="Q2422" s="314"/>
      <c r="R2422" s="314"/>
      <c r="S2422" s="314"/>
      <c r="T2422" s="314"/>
      <c r="U2422" s="314"/>
      <c r="V2422" s="314"/>
      <c r="W2422" s="314"/>
      <c r="X2422" s="314"/>
      <c r="Y2422" s="314"/>
      <c r="Z2422" s="314"/>
    </row>
    <row r="2423" spans="5:26" x14ac:dyDescent="0.35">
      <c r="E2423" s="314"/>
      <c r="F2423" s="314"/>
      <c r="G2423" s="314"/>
      <c r="H2423" s="314"/>
      <c r="I2423" s="314"/>
      <c r="J2423" s="314"/>
      <c r="K2423" s="314"/>
      <c r="L2423" s="314"/>
      <c r="M2423" s="314"/>
      <c r="N2423" s="314"/>
      <c r="O2423" s="314"/>
      <c r="P2423" s="314"/>
      <c r="Q2423" s="314"/>
      <c r="R2423" s="314"/>
      <c r="S2423" s="314"/>
      <c r="T2423" s="314"/>
      <c r="U2423" s="314"/>
      <c r="V2423" s="314"/>
      <c r="W2423" s="314"/>
      <c r="X2423" s="314"/>
      <c r="Y2423" s="314"/>
      <c r="Z2423" s="314"/>
    </row>
    <row r="2424" spans="5:26" x14ac:dyDescent="0.35">
      <c r="E2424" s="314"/>
      <c r="F2424" s="314"/>
      <c r="G2424" s="314"/>
      <c r="H2424" s="314"/>
      <c r="I2424" s="314"/>
      <c r="J2424" s="314"/>
      <c r="K2424" s="314"/>
      <c r="L2424" s="314"/>
      <c r="M2424" s="314"/>
      <c r="N2424" s="314"/>
      <c r="O2424" s="314"/>
      <c r="P2424" s="314"/>
      <c r="Q2424" s="314"/>
      <c r="R2424" s="314"/>
      <c r="S2424" s="314"/>
      <c r="T2424" s="314"/>
      <c r="U2424" s="314"/>
      <c r="V2424" s="314"/>
      <c r="W2424" s="314"/>
      <c r="X2424" s="314"/>
      <c r="Y2424" s="314"/>
      <c r="Z2424" s="314"/>
    </row>
    <row r="2425" spans="5:26" x14ac:dyDescent="0.35">
      <c r="E2425" s="314"/>
      <c r="F2425" s="314"/>
      <c r="G2425" s="314"/>
      <c r="H2425" s="314"/>
      <c r="I2425" s="314"/>
      <c r="J2425" s="314"/>
      <c r="K2425" s="314"/>
      <c r="L2425" s="314"/>
      <c r="M2425" s="314"/>
      <c r="N2425" s="314"/>
      <c r="O2425" s="314"/>
      <c r="P2425" s="314"/>
      <c r="Q2425" s="314"/>
      <c r="R2425" s="314"/>
      <c r="S2425" s="314"/>
      <c r="T2425" s="314"/>
      <c r="U2425" s="314"/>
      <c r="V2425" s="314"/>
      <c r="W2425" s="314"/>
      <c r="X2425" s="314"/>
      <c r="Y2425" s="314"/>
      <c r="Z2425" s="314"/>
    </row>
    <row r="2426" spans="5:26" x14ac:dyDescent="0.35">
      <c r="E2426" s="314"/>
      <c r="F2426" s="314"/>
      <c r="G2426" s="314"/>
      <c r="H2426" s="314"/>
      <c r="I2426" s="314"/>
      <c r="J2426" s="314"/>
      <c r="K2426" s="314"/>
      <c r="L2426" s="314"/>
      <c r="M2426" s="314"/>
      <c r="N2426" s="314"/>
      <c r="O2426" s="314"/>
      <c r="P2426" s="314"/>
      <c r="Q2426" s="314"/>
      <c r="R2426" s="314"/>
      <c r="S2426" s="314"/>
      <c r="T2426" s="314"/>
      <c r="U2426" s="314"/>
      <c r="V2426" s="314"/>
      <c r="W2426" s="314"/>
      <c r="X2426" s="314"/>
      <c r="Y2426" s="314"/>
      <c r="Z2426" s="314"/>
    </row>
    <row r="2427" spans="5:26" x14ac:dyDescent="0.35">
      <c r="E2427" s="314"/>
      <c r="F2427" s="314"/>
      <c r="G2427" s="314"/>
      <c r="H2427" s="314"/>
      <c r="I2427" s="314"/>
      <c r="J2427" s="314"/>
      <c r="K2427" s="314"/>
      <c r="L2427" s="314"/>
      <c r="M2427" s="314"/>
      <c r="N2427" s="314"/>
      <c r="O2427" s="314"/>
      <c r="P2427" s="314"/>
      <c r="Q2427" s="314"/>
      <c r="R2427" s="314"/>
      <c r="S2427" s="314"/>
      <c r="T2427" s="314"/>
      <c r="U2427" s="314"/>
      <c r="V2427" s="314"/>
      <c r="W2427" s="314"/>
      <c r="X2427" s="314"/>
      <c r="Y2427" s="314"/>
      <c r="Z2427" s="314"/>
    </row>
    <row r="2428" spans="5:26" x14ac:dyDescent="0.35">
      <c r="E2428" s="314"/>
      <c r="F2428" s="314"/>
      <c r="G2428" s="314"/>
      <c r="H2428" s="314"/>
      <c r="I2428" s="314"/>
      <c r="J2428" s="314"/>
      <c r="K2428" s="314"/>
      <c r="L2428" s="314"/>
      <c r="M2428" s="314"/>
      <c r="N2428" s="314"/>
      <c r="O2428" s="314"/>
      <c r="P2428" s="314"/>
      <c r="Q2428" s="314"/>
      <c r="R2428" s="314"/>
      <c r="S2428" s="314"/>
      <c r="T2428" s="314"/>
      <c r="U2428" s="314"/>
      <c r="V2428" s="314"/>
      <c r="W2428" s="314"/>
      <c r="X2428" s="314"/>
      <c r="Y2428" s="314"/>
      <c r="Z2428" s="314"/>
    </row>
    <row r="2429" spans="5:26" x14ac:dyDescent="0.35">
      <c r="E2429" s="314"/>
      <c r="F2429" s="314"/>
      <c r="G2429" s="314"/>
      <c r="H2429" s="314"/>
      <c r="I2429" s="314"/>
      <c r="J2429" s="314"/>
      <c r="K2429" s="314"/>
      <c r="L2429" s="314"/>
      <c r="M2429" s="314"/>
      <c r="N2429" s="314"/>
      <c r="O2429" s="314"/>
      <c r="P2429" s="314"/>
      <c r="Q2429" s="314"/>
      <c r="R2429" s="314"/>
      <c r="S2429" s="314"/>
      <c r="T2429" s="314"/>
      <c r="U2429" s="314"/>
      <c r="V2429" s="314"/>
      <c r="W2429" s="314"/>
      <c r="X2429" s="314"/>
      <c r="Y2429" s="314"/>
      <c r="Z2429" s="314"/>
    </row>
    <row r="2430" spans="5:26" x14ac:dyDescent="0.35">
      <c r="E2430" s="314"/>
      <c r="F2430" s="314"/>
      <c r="G2430" s="314"/>
      <c r="H2430" s="314"/>
      <c r="I2430" s="314"/>
      <c r="J2430" s="314"/>
      <c r="K2430" s="314"/>
      <c r="L2430" s="314"/>
      <c r="M2430" s="314"/>
      <c r="N2430" s="314"/>
      <c r="O2430" s="314"/>
      <c r="P2430" s="314"/>
      <c r="Q2430" s="314"/>
      <c r="R2430" s="314"/>
      <c r="S2430" s="314"/>
      <c r="T2430" s="314"/>
      <c r="U2430" s="314"/>
      <c r="V2430" s="314"/>
      <c r="W2430" s="314"/>
      <c r="X2430" s="314"/>
      <c r="Y2430" s="314"/>
      <c r="Z2430" s="314"/>
    </row>
    <row r="2431" spans="5:26" x14ac:dyDescent="0.35">
      <c r="E2431" s="314"/>
      <c r="F2431" s="314"/>
      <c r="G2431" s="314"/>
      <c r="H2431" s="314"/>
      <c r="I2431" s="314"/>
      <c r="J2431" s="314"/>
      <c r="K2431" s="314"/>
      <c r="L2431" s="314"/>
      <c r="M2431" s="314"/>
      <c r="N2431" s="314"/>
      <c r="O2431" s="314"/>
      <c r="P2431" s="314"/>
      <c r="Q2431" s="314"/>
      <c r="R2431" s="314"/>
      <c r="S2431" s="314"/>
      <c r="T2431" s="314"/>
      <c r="U2431" s="314"/>
      <c r="V2431" s="314"/>
      <c r="W2431" s="314"/>
      <c r="X2431" s="314"/>
      <c r="Y2431" s="314"/>
      <c r="Z2431" s="314"/>
    </row>
    <row r="2432" spans="5:26" x14ac:dyDescent="0.35">
      <c r="E2432" s="314"/>
      <c r="F2432" s="314"/>
      <c r="G2432" s="314"/>
      <c r="H2432" s="314"/>
      <c r="I2432" s="314"/>
      <c r="J2432" s="314"/>
      <c r="K2432" s="314"/>
      <c r="L2432" s="314"/>
      <c r="M2432" s="314"/>
      <c r="N2432" s="314"/>
      <c r="O2432" s="314"/>
      <c r="P2432" s="314"/>
      <c r="Q2432" s="314"/>
      <c r="R2432" s="314"/>
      <c r="S2432" s="314"/>
      <c r="T2432" s="314"/>
      <c r="U2432" s="314"/>
      <c r="V2432" s="314"/>
      <c r="W2432" s="314"/>
      <c r="X2432" s="314"/>
      <c r="Y2432" s="314"/>
      <c r="Z2432" s="314"/>
    </row>
    <row r="2433" spans="5:26" x14ac:dyDescent="0.35">
      <c r="E2433" s="314"/>
      <c r="F2433" s="314"/>
      <c r="G2433" s="314"/>
      <c r="H2433" s="314"/>
      <c r="I2433" s="314"/>
      <c r="J2433" s="314"/>
      <c r="K2433" s="314"/>
      <c r="L2433" s="314"/>
      <c r="M2433" s="314"/>
      <c r="N2433" s="314"/>
      <c r="O2433" s="314"/>
      <c r="P2433" s="314"/>
      <c r="Q2433" s="314"/>
      <c r="R2433" s="314"/>
      <c r="S2433" s="314"/>
      <c r="T2433" s="314"/>
      <c r="U2433" s="314"/>
      <c r="V2433" s="314"/>
      <c r="W2433" s="314"/>
      <c r="X2433" s="314"/>
      <c r="Y2433" s="314"/>
      <c r="Z2433" s="314"/>
    </row>
    <row r="2434" spans="5:26" x14ac:dyDescent="0.35">
      <c r="E2434" s="314"/>
      <c r="F2434" s="314"/>
      <c r="G2434" s="314"/>
      <c r="H2434" s="314"/>
      <c r="I2434" s="314"/>
      <c r="J2434" s="314"/>
      <c r="K2434" s="314"/>
      <c r="L2434" s="314"/>
      <c r="M2434" s="314"/>
      <c r="N2434" s="314"/>
      <c r="O2434" s="314"/>
      <c r="P2434" s="314"/>
      <c r="Q2434" s="314"/>
      <c r="R2434" s="314"/>
      <c r="S2434" s="314"/>
      <c r="T2434" s="314"/>
      <c r="U2434" s="314"/>
      <c r="V2434" s="314"/>
      <c r="W2434" s="314"/>
      <c r="X2434" s="314"/>
      <c r="Y2434" s="314"/>
      <c r="Z2434" s="314"/>
    </row>
    <row r="2435" spans="5:26" x14ac:dyDescent="0.35">
      <c r="E2435" s="314"/>
      <c r="F2435" s="314"/>
      <c r="G2435" s="314"/>
      <c r="H2435" s="314"/>
      <c r="I2435" s="314"/>
      <c r="J2435" s="314"/>
      <c r="K2435" s="314"/>
      <c r="L2435" s="314"/>
      <c r="M2435" s="314"/>
      <c r="N2435" s="314"/>
      <c r="O2435" s="314"/>
      <c r="P2435" s="314"/>
      <c r="Q2435" s="314"/>
      <c r="R2435" s="314"/>
      <c r="S2435" s="314"/>
      <c r="T2435" s="314"/>
      <c r="U2435" s="314"/>
      <c r="V2435" s="314"/>
      <c r="W2435" s="314"/>
      <c r="X2435" s="314"/>
      <c r="Y2435" s="314"/>
      <c r="Z2435" s="314"/>
    </row>
    <row r="2436" spans="5:26" x14ac:dyDescent="0.35">
      <c r="E2436" s="314"/>
      <c r="F2436" s="314"/>
      <c r="G2436" s="314"/>
      <c r="H2436" s="314"/>
      <c r="I2436" s="314"/>
      <c r="J2436" s="314"/>
      <c r="K2436" s="314"/>
      <c r="L2436" s="314"/>
      <c r="M2436" s="314"/>
      <c r="N2436" s="314"/>
      <c r="O2436" s="314"/>
      <c r="P2436" s="314"/>
      <c r="Q2436" s="314"/>
      <c r="R2436" s="314"/>
      <c r="S2436" s="314"/>
      <c r="T2436" s="314"/>
      <c r="U2436" s="314"/>
      <c r="V2436" s="314"/>
      <c r="W2436" s="314"/>
      <c r="X2436" s="314"/>
      <c r="Y2436" s="314"/>
      <c r="Z2436" s="314"/>
    </row>
    <row r="2437" spans="5:26" x14ac:dyDescent="0.35">
      <c r="E2437" s="314"/>
      <c r="F2437" s="314"/>
      <c r="G2437" s="314"/>
      <c r="H2437" s="314"/>
      <c r="I2437" s="314"/>
      <c r="J2437" s="314"/>
      <c r="K2437" s="314"/>
      <c r="L2437" s="314"/>
      <c r="M2437" s="314"/>
      <c r="N2437" s="314"/>
      <c r="O2437" s="314"/>
      <c r="P2437" s="314"/>
      <c r="Q2437" s="314"/>
      <c r="R2437" s="314"/>
      <c r="S2437" s="314"/>
      <c r="T2437" s="314"/>
      <c r="U2437" s="314"/>
      <c r="V2437" s="314"/>
      <c r="W2437" s="314"/>
      <c r="X2437" s="314"/>
      <c r="Y2437" s="314"/>
      <c r="Z2437" s="314"/>
    </row>
    <row r="2438" spans="5:26" x14ac:dyDescent="0.35">
      <c r="E2438" s="314"/>
      <c r="F2438" s="314"/>
      <c r="G2438" s="314"/>
      <c r="H2438" s="314"/>
      <c r="I2438" s="314"/>
      <c r="J2438" s="314"/>
      <c r="K2438" s="314"/>
      <c r="L2438" s="314"/>
      <c r="M2438" s="314"/>
      <c r="N2438" s="314"/>
      <c r="O2438" s="314"/>
      <c r="P2438" s="314"/>
      <c r="Q2438" s="314"/>
      <c r="R2438" s="314"/>
      <c r="S2438" s="314"/>
      <c r="T2438" s="314"/>
      <c r="U2438" s="314"/>
      <c r="V2438" s="314"/>
      <c r="W2438" s="314"/>
      <c r="X2438" s="314"/>
      <c r="Y2438" s="314"/>
      <c r="Z2438" s="314"/>
    </row>
    <row r="2439" spans="5:26" x14ac:dyDescent="0.35">
      <c r="E2439" s="314"/>
      <c r="F2439" s="314"/>
      <c r="G2439" s="314"/>
      <c r="H2439" s="314"/>
      <c r="I2439" s="314"/>
      <c r="J2439" s="314"/>
      <c r="K2439" s="314"/>
      <c r="L2439" s="314"/>
      <c r="M2439" s="314"/>
      <c r="N2439" s="314"/>
      <c r="O2439" s="314"/>
      <c r="P2439" s="314"/>
      <c r="Q2439" s="314"/>
      <c r="R2439" s="314"/>
      <c r="S2439" s="314"/>
      <c r="T2439" s="314"/>
      <c r="U2439" s="314"/>
      <c r="V2439" s="314"/>
      <c r="W2439" s="314"/>
      <c r="X2439" s="314"/>
      <c r="Y2439" s="314"/>
      <c r="Z2439" s="314"/>
    </row>
    <row r="2440" spans="5:26" x14ac:dyDescent="0.35">
      <c r="E2440" s="314"/>
      <c r="F2440" s="314"/>
      <c r="G2440" s="314"/>
      <c r="H2440" s="314"/>
      <c r="I2440" s="314"/>
      <c r="J2440" s="314"/>
      <c r="K2440" s="314"/>
      <c r="L2440" s="314"/>
      <c r="M2440" s="314"/>
      <c r="N2440" s="314"/>
      <c r="O2440" s="314"/>
      <c r="P2440" s="314"/>
      <c r="Q2440" s="314"/>
      <c r="R2440" s="314"/>
      <c r="S2440" s="314"/>
      <c r="T2440" s="314"/>
      <c r="U2440" s="314"/>
      <c r="V2440" s="314"/>
      <c r="W2440" s="314"/>
      <c r="X2440" s="314"/>
      <c r="Y2440" s="314"/>
      <c r="Z2440" s="314"/>
    </row>
    <row r="2441" spans="5:26" x14ac:dyDescent="0.35">
      <c r="E2441" s="314"/>
      <c r="F2441" s="314"/>
      <c r="G2441" s="314"/>
      <c r="H2441" s="314"/>
      <c r="I2441" s="314"/>
      <c r="J2441" s="314"/>
      <c r="K2441" s="314"/>
      <c r="L2441" s="314"/>
      <c r="M2441" s="314"/>
      <c r="N2441" s="314"/>
      <c r="O2441" s="314"/>
      <c r="P2441" s="314"/>
      <c r="Q2441" s="314"/>
      <c r="R2441" s="314"/>
      <c r="S2441" s="314"/>
      <c r="T2441" s="314"/>
      <c r="U2441" s="314"/>
      <c r="V2441" s="314"/>
      <c r="W2441" s="314"/>
      <c r="X2441" s="314"/>
      <c r="Y2441" s="314"/>
      <c r="Z2441" s="314"/>
    </row>
    <row r="2442" spans="5:26" x14ac:dyDescent="0.35">
      <c r="E2442" s="314"/>
      <c r="F2442" s="314"/>
      <c r="G2442" s="314"/>
      <c r="H2442" s="314"/>
      <c r="I2442" s="314"/>
      <c r="J2442" s="314"/>
      <c r="K2442" s="314"/>
      <c r="L2442" s="314"/>
      <c r="M2442" s="314"/>
      <c r="N2442" s="314"/>
      <c r="O2442" s="314"/>
      <c r="P2442" s="314"/>
      <c r="Q2442" s="314"/>
      <c r="R2442" s="314"/>
      <c r="S2442" s="314"/>
      <c r="T2442" s="314"/>
      <c r="U2442" s="314"/>
      <c r="V2442" s="314"/>
      <c r="W2442" s="314"/>
      <c r="X2442" s="314"/>
      <c r="Y2442" s="314"/>
      <c r="Z2442" s="314"/>
    </row>
    <row r="2443" spans="5:26" x14ac:dyDescent="0.35">
      <c r="E2443" s="314"/>
      <c r="F2443" s="314"/>
      <c r="G2443" s="314"/>
      <c r="H2443" s="314"/>
      <c r="I2443" s="314"/>
      <c r="J2443" s="314"/>
      <c r="K2443" s="314"/>
      <c r="L2443" s="314"/>
      <c r="M2443" s="314"/>
      <c r="N2443" s="314"/>
      <c r="O2443" s="314"/>
      <c r="P2443" s="314"/>
      <c r="Q2443" s="314"/>
      <c r="R2443" s="314"/>
      <c r="S2443" s="314"/>
      <c r="T2443" s="314"/>
      <c r="U2443" s="314"/>
      <c r="V2443" s="314"/>
      <c r="W2443" s="314"/>
      <c r="X2443" s="314"/>
      <c r="Y2443" s="314"/>
      <c r="Z2443" s="314"/>
    </row>
    <row r="2444" spans="5:26" x14ac:dyDescent="0.35">
      <c r="E2444" s="314"/>
      <c r="F2444" s="314"/>
      <c r="G2444" s="314"/>
      <c r="H2444" s="314"/>
      <c r="I2444" s="314"/>
      <c r="J2444" s="314"/>
      <c r="K2444" s="314"/>
      <c r="L2444" s="314"/>
      <c r="M2444" s="314"/>
      <c r="N2444" s="314"/>
      <c r="O2444" s="314"/>
      <c r="P2444" s="314"/>
      <c r="Q2444" s="314"/>
      <c r="R2444" s="314"/>
      <c r="S2444" s="314"/>
      <c r="T2444" s="314"/>
      <c r="U2444" s="314"/>
      <c r="V2444" s="314"/>
      <c r="W2444" s="314"/>
      <c r="X2444" s="314"/>
      <c r="Y2444" s="314"/>
      <c r="Z2444" s="314"/>
    </row>
    <row r="2445" spans="5:26" x14ac:dyDescent="0.35">
      <c r="E2445" s="314"/>
      <c r="F2445" s="314"/>
      <c r="G2445" s="314"/>
      <c r="H2445" s="314"/>
      <c r="I2445" s="314"/>
      <c r="J2445" s="314"/>
      <c r="K2445" s="314"/>
      <c r="L2445" s="314"/>
      <c r="M2445" s="314"/>
      <c r="N2445" s="314"/>
      <c r="O2445" s="314"/>
      <c r="P2445" s="314"/>
      <c r="Q2445" s="314"/>
      <c r="R2445" s="314"/>
      <c r="S2445" s="314"/>
      <c r="T2445" s="314"/>
      <c r="U2445" s="314"/>
      <c r="V2445" s="314"/>
      <c r="W2445" s="314"/>
      <c r="X2445" s="314"/>
      <c r="Y2445" s="314"/>
      <c r="Z2445" s="314"/>
    </row>
    <row r="2446" spans="5:26" x14ac:dyDescent="0.35">
      <c r="E2446" s="314"/>
      <c r="F2446" s="314"/>
      <c r="G2446" s="314"/>
      <c r="H2446" s="314"/>
      <c r="I2446" s="314"/>
      <c r="J2446" s="314"/>
      <c r="K2446" s="314"/>
      <c r="L2446" s="314"/>
      <c r="M2446" s="314"/>
      <c r="N2446" s="314"/>
      <c r="O2446" s="314"/>
      <c r="P2446" s="314"/>
      <c r="Q2446" s="314"/>
      <c r="R2446" s="314"/>
      <c r="S2446" s="314"/>
      <c r="T2446" s="314"/>
      <c r="U2446" s="314"/>
      <c r="V2446" s="314"/>
      <c r="W2446" s="314"/>
      <c r="X2446" s="314"/>
      <c r="Y2446" s="314"/>
      <c r="Z2446" s="314"/>
    </row>
    <row r="2447" spans="5:26" x14ac:dyDescent="0.35">
      <c r="E2447" s="314"/>
      <c r="F2447" s="314"/>
      <c r="G2447" s="314"/>
      <c r="H2447" s="314"/>
      <c r="I2447" s="314"/>
      <c r="J2447" s="314"/>
      <c r="K2447" s="314"/>
      <c r="L2447" s="314"/>
      <c r="M2447" s="314"/>
      <c r="N2447" s="314"/>
      <c r="O2447" s="314"/>
      <c r="P2447" s="314"/>
      <c r="Q2447" s="314"/>
      <c r="R2447" s="314"/>
      <c r="S2447" s="314"/>
      <c r="T2447" s="314"/>
      <c r="U2447" s="314"/>
      <c r="V2447" s="314"/>
      <c r="W2447" s="314"/>
      <c r="X2447" s="314"/>
      <c r="Y2447" s="314"/>
      <c r="Z2447" s="314"/>
    </row>
    <row r="2448" spans="5:26" x14ac:dyDescent="0.35">
      <c r="E2448" s="314"/>
      <c r="F2448" s="314"/>
      <c r="G2448" s="314"/>
      <c r="H2448" s="314"/>
      <c r="I2448" s="314"/>
      <c r="J2448" s="314"/>
      <c r="K2448" s="314"/>
      <c r="L2448" s="314"/>
      <c r="M2448" s="314"/>
      <c r="N2448" s="314"/>
      <c r="O2448" s="314"/>
      <c r="P2448" s="314"/>
      <c r="Q2448" s="314"/>
      <c r="R2448" s="314"/>
      <c r="S2448" s="314"/>
      <c r="T2448" s="314"/>
      <c r="U2448" s="314"/>
      <c r="V2448" s="314"/>
      <c r="W2448" s="314"/>
      <c r="X2448" s="314"/>
      <c r="Y2448" s="314"/>
      <c r="Z2448" s="314"/>
    </row>
    <row r="2449" spans="5:26" x14ac:dyDescent="0.35">
      <c r="E2449" s="314"/>
      <c r="F2449" s="314"/>
      <c r="G2449" s="314"/>
      <c r="H2449" s="314"/>
      <c r="I2449" s="314"/>
      <c r="J2449" s="314"/>
      <c r="K2449" s="314"/>
      <c r="L2449" s="314"/>
      <c r="M2449" s="314"/>
      <c r="N2449" s="314"/>
      <c r="O2449" s="314"/>
      <c r="P2449" s="314"/>
      <c r="Q2449" s="314"/>
      <c r="R2449" s="314"/>
      <c r="S2449" s="314"/>
      <c r="T2449" s="314"/>
      <c r="U2449" s="314"/>
      <c r="V2449" s="314"/>
      <c r="W2449" s="314"/>
      <c r="X2449" s="314"/>
      <c r="Y2449" s="314"/>
      <c r="Z2449" s="314"/>
    </row>
    <row r="2450" spans="5:26" x14ac:dyDescent="0.35">
      <c r="E2450" s="314"/>
      <c r="F2450" s="314"/>
      <c r="G2450" s="314"/>
      <c r="H2450" s="314"/>
      <c r="I2450" s="314"/>
      <c r="J2450" s="314"/>
      <c r="K2450" s="314"/>
      <c r="L2450" s="314"/>
      <c r="M2450" s="314"/>
      <c r="N2450" s="314"/>
      <c r="O2450" s="314"/>
      <c r="P2450" s="314"/>
      <c r="Q2450" s="314"/>
      <c r="R2450" s="314"/>
      <c r="S2450" s="314"/>
      <c r="T2450" s="314"/>
      <c r="U2450" s="314"/>
      <c r="V2450" s="314"/>
      <c r="W2450" s="314"/>
      <c r="X2450" s="314"/>
      <c r="Y2450" s="314"/>
      <c r="Z2450" s="314"/>
    </row>
    <row r="2451" spans="5:26" x14ac:dyDescent="0.35">
      <c r="E2451" s="314"/>
      <c r="F2451" s="314"/>
      <c r="G2451" s="314"/>
      <c r="H2451" s="314"/>
      <c r="I2451" s="314"/>
      <c r="J2451" s="314"/>
      <c r="K2451" s="314"/>
      <c r="L2451" s="314"/>
      <c r="M2451" s="314"/>
      <c r="N2451" s="314"/>
      <c r="O2451" s="314"/>
      <c r="P2451" s="314"/>
      <c r="Q2451" s="314"/>
      <c r="R2451" s="314"/>
      <c r="S2451" s="314"/>
      <c r="T2451" s="314"/>
      <c r="U2451" s="314"/>
      <c r="V2451" s="314"/>
      <c r="W2451" s="314"/>
      <c r="X2451" s="314"/>
      <c r="Y2451" s="314"/>
      <c r="Z2451" s="314"/>
    </row>
    <row r="2452" spans="5:26" x14ac:dyDescent="0.35">
      <c r="E2452" s="314"/>
      <c r="F2452" s="314"/>
      <c r="G2452" s="314"/>
      <c r="H2452" s="314"/>
      <c r="I2452" s="314"/>
      <c r="J2452" s="314"/>
      <c r="K2452" s="314"/>
      <c r="L2452" s="314"/>
      <c r="M2452" s="314"/>
      <c r="N2452" s="314"/>
      <c r="O2452" s="314"/>
      <c r="P2452" s="314"/>
      <c r="Q2452" s="314"/>
      <c r="R2452" s="314"/>
      <c r="S2452" s="314"/>
      <c r="T2452" s="314"/>
      <c r="U2452" s="314"/>
      <c r="V2452" s="314"/>
      <c r="W2452" s="314"/>
      <c r="X2452" s="314"/>
      <c r="Y2452" s="314"/>
      <c r="Z2452" s="314"/>
    </row>
    <row r="2453" spans="5:26" x14ac:dyDescent="0.35">
      <c r="E2453" s="314"/>
      <c r="F2453" s="314"/>
      <c r="G2453" s="314"/>
      <c r="H2453" s="314"/>
      <c r="I2453" s="314"/>
      <c r="J2453" s="314"/>
      <c r="K2453" s="314"/>
      <c r="L2453" s="314"/>
      <c r="M2453" s="314"/>
      <c r="N2453" s="314"/>
      <c r="O2453" s="314"/>
      <c r="P2453" s="314"/>
      <c r="Q2453" s="314"/>
      <c r="R2453" s="314"/>
      <c r="S2453" s="314"/>
      <c r="T2453" s="314"/>
      <c r="U2453" s="314"/>
      <c r="V2453" s="314"/>
      <c r="W2453" s="314"/>
      <c r="X2453" s="314"/>
      <c r="Y2453" s="314"/>
      <c r="Z2453" s="314"/>
    </row>
    <row r="2454" spans="5:26" x14ac:dyDescent="0.35">
      <c r="E2454" s="314"/>
      <c r="F2454" s="314"/>
      <c r="G2454" s="314"/>
      <c r="H2454" s="314"/>
      <c r="I2454" s="314"/>
      <c r="J2454" s="314"/>
      <c r="K2454" s="314"/>
      <c r="L2454" s="314"/>
      <c r="M2454" s="314"/>
      <c r="N2454" s="314"/>
      <c r="O2454" s="314"/>
      <c r="P2454" s="314"/>
      <c r="Q2454" s="314"/>
      <c r="R2454" s="314"/>
      <c r="S2454" s="314"/>
      <c r="T2454" s="314"/>
      <c r="U2454" s="314"/>
      <c r="V2454" s="314"/>
      <c r="W2454" s="314"/>
      <c r="X2454" s="314"/>
      <c r="Y2454" s="314"/>
      <c r="Z2454" s="314"/>
    </row>
    <row r="2455" spans="5:26" x14ac:dyDescent="0.35">
      <c r="E2455" s="314"/>
      <c r="F2455" s="314"/>
      <c r="G2455" s="314"/>
      <c r="H2455" s="314"/>
      <c r="I2455" s="314"/>
      <c r="J2455" s="314"/>
      <c r="K2455" s="314"/>
      <c r="L2455" s="314"/>
      <c r="M2455" s="314"/>
      <c r="N2455" s="314"/>
      <c r="O2455" s="314"/>
      <c r="P2455" s="314"/>
      <c r="Q2455" s="314"/>
      <c r="R2455" s="314"/>
      <c r="S2455" s="314"/>
      <c r="T2455" s="314"/>
      <c r="U2455" s="314"/>
      <c r="V2455" s="314"/>
      <c r="W2455" s="314"/>
      <c r="X2455" s="314"/>
      <c r="Y2455" s="314"/>
      <c r="Z2455" s="314"/>
    </row>
    <row r="2456" spans="5:26" x14ac:dyDescent="0.35">
      <c r="E2456" s="314"/>
      <c r="F2456" s="314"/>
      <c r="G2456" s="314"/>
      <c r="H2456" s="314"/>
      <c r="I2456" s="314"/>
      <c r="J2456" s="314"/>
      <c r="K2456" s="314"/>
      <c r="L2456" s="314"/>
      <c r="M2456" s="314"/>
      <c r="N2456" s="314"/>
      <c r="O2456" s="314"/>
      <c r="P2456" s="314"/>
      <c r="Q2456" s="314"/>
      <c r="R2456" s="314"/>
      <c r="S2456" s="314"/>
      <c r="T2456" s="314"/>
      <c r="U2456" s="314"/>
      <c r="V2456" s="314"/>
      <c r="W2456" s="314"/>
      <c r="X2456" s="314"/>
      <c r="Y2456" s="314"/>
      <c r="Z2456" s="314"/>
    </row>
    <row r="2457" spans="5:26" x14ac:dyDescent="0.35">
      <c r="E2457" s="314"/>
      <c r="F2457" s="314"/>
      <c r="G2457" s="314"/>
      <c r="H2457" s="314"/>
      <c r="I2457" s="314"/>
      <c r="J2457" s="314"/>
      <c r="K2457" s="314"/>
      <c r="L2457" s="314"/>
      <c r="M2457" s="314"/>
      <c r="N2457" s="314"/>
      <c r="O2457" s="314"/>
      <c r="P2457" s="314"/>
      <c r="Q2457" s="314"/>
      <c r="R2457" s="314"/>
      <c r="S2457" s="314"/>
      <c r="T2457" s="314"/>
      <c r="U2457" s="314"/>
      <c r="V2457" s="314"/>
      <c r="W2457" s="314"/>
      <c r="X2457" s="314"/>
      <c r="Y2457" s="314"/>
      <c r="Z2457" s="314"/>
    </row>
    <row r="2458" spans="5:26" x14ac:dyDescent="0.35">
      <c r="E2458" s="314"/>
      <c r="F2458" s="314"/>
      <c r="G2458" s="314"/>
      <c r="H2458" s="314"/>
      <c r="I2458" s="314"/>
      <c r="J2458" s="314"/>
      <c r="K2458" s="314"/>
      <c r="L2458" s="314"/>
      <c r="M2458" s="314"/>
      <c r="N2458" s="314"/>
      <c r="O2458" s="314"/>
      <c r="P2458" s="314"/>
      <c r="Q2458" s="314"/>
      <c r="R2458" s="314"/>
      <c r="S2458" s="314"/>
      <c r="T2458" s="314"/>
      <c r="U2458" s="314"/>
      <c r="V2458" s="314"/>
      <c r="W2458" s="314"/>
      <c r="X2458" s="314"/>
      <c r="Y2458" s="314"/>
      <c r="Z2458" s="314"/>
    </row>
    <row r="2459" spans="5:26" x14ac:dyDescent="0.35">
      <c r="E2459" s="314"/>
      <c r="F2459" s="314"/>
      <c r="G2459" s="314"/>
      <c r="H2459" s="314"/>
      <c r="I2459" s="314"/>
      <c r="J2459" s="314"/>
      <c r="K2459" s="314"/>
      <c r="L2459" s="314"/>
      <c r="M2459" s="314"/>
      <c r="N2459" s="314"/>
      <c r="O2459" s="314"/>
      <c r="P2459" s="314"/>
      <c r="Q2459" s="314"/>
      <c r="R2459" s="314"/>
      <c r="S2459" s="314"/>
      <c r="T2459" s="314"/>
      <c r="U2459" s="314"/>
      <c r="V2459" s="314"/>
      <c r="W2459" s="314"/>
      <c r="X2459" s="314"/>
      <c r="Y2459" s="314"/>
      <c r="Z2459" s="314"/>
    </row>
    <row r="2460" spans="5:26" x14ac:dyDescent="0.35">
      <c r="E2460" s="314"/>
      <c r="F2460" s="314"/>
      <c r="G2460" s="314"/>
      <c r="H2460" s="314"/>
      <c r="I2460" s="314"/>
      <c r="J2460" s="314"/>
      <c r="K2460" s="314"/>
      <c r="L2460" s="314"/>
      <c r="M2460" s="314"/>
      <c r="N2460" s="314"/>
      <c r="O2460" s="314"/>
      <c r="P2460" s="314"/>
      <c r="Q2460" s="314"/>
      <c r="R2460" s="314"/>
      <c r="S2460" s="314"/>
      <c r="T2460" s="314"/>
      <c r="U2460" s="314"/>
      <c r="V2460" s="314"/>
      <c r="W2460" s="314"/>
      <c r="X2460" s="314"/>
      <c r="Y2460" s="314"/>
      <c r="Z2460" s="314"/>
    </row>
    <row r="2461" spans="5:26" x14ac:dyDescent="0.35">
      <c r="E2461" s="314"/>
      <c r="F2461" s="314"/>
      <c r="G2461" s="314"/>
      <c r="H2461" s="314"/>
      <c r="I2461" s="314"/>
      <c r="J2461" s="314"/>
      <c r="K2461" s="314"/>
      <c r="L2461" s="314"/>
      <c r="M2461" s="314"/>
      <c r="N2461" s="314"/>
      <c r="O2461" s="314"/>
      <c r="P2461" s="314"/>
      <c r="Q2461" s="314"/>
      <c r="R2461" s="314"/>
      <c r="S2461" s="314"/>
      <c r="T2461" s="314"/>
      <c r="U2461" s="314"/>
      <c r="V2461" s="314"/>
      <c r="W2461" s="314"/>
      <c r="X2461" s="314"/>
      <c r="Y2461" s="314"/>
      <c r="Z2461" s="314"/>
    </row>
    <row r="2462" spans="5:26" x14ac:dyDescent="0.35">
      <c r="E2462" s="314"/>
      <c r="F2462" s="314"/>
      <c r="G2462" s="314"/>
      <c r="H2462" s="314"/>
      <c r="I2462" s="314"/>
      <c r="J2462" s="314"/>
      <c r="K2462" s="314"/>
      <c r="L2462" s="314"/>
      <c r="M2462" s="314"/>
      <c r="N2462" s="314"/>
      <c r="O2462" s="314"/>
      <c r="P2462" s="314"/>
      <c r="Q2462" s="314"/>
      <c r="R2462" s="314"/>
      <c r="S2462" s="314"/>
      <c r="T2462" s="314"/>
      <c r="U2462" s="314"/>
      <c r="V2462" s="314"/>
      <c r="W2462" s="314"/>
      <c r="X2462" s="314"/>
      <c r="Y2462" s="314"/>
      <c r="Z2462" s="314"/>
    </row>
    <row r="2463" spans="5:26" x14ac:dyDescent="0.35">
      <c r="E2463" s="314"/>
      <c r="F2463" s="314"/>
      <c r="G2463" s="314"/>
      <c r="H2463" s="314"/>
      <c r="I2463" s="314"/>
      <c r="J2463" s="314"/>
      <c r="K2463" s="314"/>
      <c r="L2463" s="314"/>
      <c r="M2463" s="314"/>
      <c r="N2463" s="314"/>
      <c r="O2463" s="314"/>
      <c r="P2463" s="314"/>
      <c r="Q2463" s="314"/>
      <c r="R2463" s="314"/>
      <c r="S2463" s="314"/>
      <c r="T2463" s="314"/>
      <c r="U2463" s="314"/>
      <c r="V2463" s="314"/>
      <c r="W2463" s="314"/>
      <c r="X2463" s="314"/>
      <c r="Y2463" s="314"/>
      <c r="Z2463" s="314"/>
    </row>
    <row r="2464" spans="5:26" x14ac:dyDescent="0.35">
      <c r="E2464" s="314"/>
      <c r="F2464" s="314"/>
      <c r="G2464" s="314"/>
      <c r="H2464" s="314"/>
      <c r="I2464" s="314"/>
      <c r="J2464" s="314"/>
      <c r="K2464" s="314"/>
      <c r="L2464" s="314"/>
      <c r="M2464" s="314"/>
      <c r="N2464" s="314"/>
      <c r="O2464" s="314"/>
      <c r="P2464" s="314"/>
      <c r="Q2464" s="314"/>
      <c r="R2464" s="314"/>
      <c r="S2464" s="314"/>
      <c r="T2464" s="314"/>
      <c r="U2464" s="314"/>
      <c r="V2464" s="314"/>
      <c r="W2464" s="314"/>
      <c r="X2464" s="314"/>
      <c r="Y2464" s="314"/>
      <c r="Z2464" s="314"/>
    </row>
    <row r="2465" spans="5:26" x14ac:dyDescent="0.35">
      <c r="E2465" s="314"/>
      <c r="F2465" s="314"/>
      <c r="G2465" s="314"/>
      <c r="H2465" s="314"/>
      <c r="I2465" s="314"/>
      <c r="J2465" s="314"/>
      <c r="K2465" s="314"/>
      <c r="L2465" s="314"/>
      <c r="M2465" s="314"/>
      <c r="N2465" s="314"/>
      <c r="O2465" s="314"/>
      <c r="P2465" s="314"/>
      <c r="Q2465" s="314"/>
      <c r="R2465" s="314"/>
      <c r="S2465" s="314"/>
      <c r="T2465" s="314"/>
      <c r="U2465" s="314"/>
      <c r="V2465" s="314"/>
      <c r="W2465" s="314"/>
      <c r="X2465" s="314"/>
      <c r="Y2465" s="314"/>
      <c r="Z2465" s="314"/>
    </row>
    <row r="2466" spans="5:26" x14ac:dyDescent="0.35">
      <c r="E2466" s="314"/>
      <c r="F2466" s="314"/>
      <c r="G2466" s="314"/>
      <c r="H2466" s="314"/>
      <c r="I2466" s="314"/>
      <c r="J2466" s="314"/>
      <c r="K2466" s="314"/>
      <c r="L2466" s="314"/>
      <c r="M2466" s="314"/>
      <c r="N2466" s="314"/>
      <c r="O2466" s="314"/>
      <c r="P2466" s="314"/>
      <c r="Q2466" s="314"/>
      <c r="R2466" s="314"/>
      <c r="S2466" s="314"/>
      <c r="T2466" s="314"/>
      <c r="U2466" s="314"/>
      <c r="V2466" s="314"/>
      <c r="W2466" s="314"/>
      <c r="X2466" s="314"/>
      <c r="Y2466" s="314"/>
      <c r="Z2466" s="314"/>
    </row>
    <row r="2467" spans="5:26" x14ac:dyDescent="0.35">
      <c r="E2467" s="314"/>
      <c r="F2467" s="314"/>
      <c r="G2467" s="314"/>
      <c r="H2467" s="314"/>
      <c r="I2467" s="314"/>
      <c r="J2467" s="314"/>
      <c r="K2467" s="314"/>
      <c r="L2467" s="314"/>
      <c r="M2467" s="314"/>
      <c r="N2467" s="314"/>
      <c r="O2467" s="314"/>
      <c r="P2467" s="314"/>
      <c r="Q2467" s="314"/>
      <c r="R2467" s="314"/>
      <c r="S2467" s="314"/>
      <c r="T2467" s="314"/>
      <c r="U2467" s="314"/>
      <c r="V2467" s="314"/>
      <c r="W2467" s="314"/>
      <c r="X2467" s="314"/>
      <c r="Y2467" s="314"/>
      <c r="Z2467" s="314"/>
    </row>
    <row r="2468" spans="5:26" x14ac:dyDescent="0.35">
      <c r="E2468" s="314"/>
      <c r="F2468" s="314"/>
      <c r="G2468" s="314"/>
      <c r="H2468" s="314"/>
      <c r="I2468" s="314"/>
      <c r="J2468" s="314"/>
      <c r="K2468" s="314"/>
      <c r="L2468" s="314"/>
      <c r="M2468" s="314"/>
      <c r="N2468" s="314"/>
      <c r="O2468" s="314"/>
      <c r="P2468" s="314"/>
      <c r="Q2468" s="314"/>
      <c r="R2468" s="314"/>
      <c r="S2468" s="314"/>
      <c r="T2468" s="314"/>
      <c r="U2468" s="314"/>
      <c r="V2468" s="314"/>
      <c r="W2468" s="314"/>
      <c r="X2468" s="314"/>
      <c r="Y2468" s="314"/>
      <c r="Z2468" s="314"/>
    </row>
    <row r="2469" spans="5:26" x14ac:dyDescent="0.35">
      <c r="E2469" s="314"/>
      <c r="F2469" s="314"/>
      <c r="G2469" s="314"/>
      <c r="H2469" s="314"/>
      <c r="I2469" s="314"/>
      <c r="J2469" s="314"/>
      <c r="K2469" s="314"/>
      <c r="L2469" s="314"/>
      <c r="M2469" s="314"/>
      <c r="N2469" s="314"/>
      <c r="O2469" s="314"/>
      <c r="P2469" s="314"/>
      <c r="Q2469" s="314"/>
      <c r="R2469" s="314"/>
      <c r="S2469" s="314"/>
      <c r="T2469" s="314"/>
      <c r="U2469" s="314"/>
      <c r="V2469" s="314"/>
      <c r="W2469" s="314"/>
      <c r="X2469" s="314"/>
      <c r="Y2469" s="314"/>
      <c r="Z2469" s="314"/>
    </row>
    <row r="2470" spans="5:26" x14ac:dyDescent="0.35">
      <c r="E2470" s="314"/>
      <c r="F2470" s="314"/>
      <c r="G2470" s="314"/>
      <c r="H2470" s="314"/>
      <c r="I2470" s="314"/>
      <c r="J2470" s="314"/>
      <c r="K2470" s="314"/>
      <c r="L2470" s="314"/>
      <c r="M2470" s="314"/>
      <c r="N2470" s="314"/>
      <c r="O2470" s="314"/>
      <c r="P2470" s="314"/>
      <c r="Q2470" s="314"/>
      <c r="R2470" s="314"/>
      <c r="S2470" s="314"/>
      <c r="T2470" s="314"/>
      <c r="U2470" s="314"/>
      <c r="V2470" s="314"/>
      <c r="W2470" s="314"/>
      <c r="X2470" s="314"/>
      <c r="Y2470" s="314"/>
      <c r="Z2470" s="314"/>
    </row>
    <row r="2471" spans="5:26" x14ac:dyDescent="0.35">
      <c r="E2471" s="314"/>
      <c r="F2471" s="314"/>
      <c r="G2471" s="314"/>
      <c r="H2471" s="314"/>
      <c r="I2471" s="314"/>
      <c r="J2471" s="314"/>
      <c r="K2471" s="314"/>
      <c r="L2471" s="314"/>
      <c r="M2471" s="314"/>
      <c r="N2471" s="314"/>
      <c r="O2471" s="314"/>
      <c r="P2471" s="314"/>
      <c r="Q2471" s="314"/>
      <c r="R2471" s="314"/>
      <c r="S2471" s="314"/>
      <c r="T2471" s="314"/>
      <c r="U2471" s="314"/>
      <c r="V2471" s="314"/>
      <c r="W2471" s="314"/>
      <c r="X2471" s="314"/>
      <c r="Y2471" s="314"/>
      <c r="Z2471" s="314"/>
    </row>
    <row r="2472" spans="5:26" x14ac:dyDescent="0.35">
      <c r="E2472" s="314"/>
      <c r="F2472" s="314"/>
      <c r="G2472" s="314"/>
      <c r="H2472" s="314"/>
      <c r="I2472" s="314"/>
      <c r="J2472" s="314"/>
      <c r="K2472" s="314"/>
      <c r="L2472" s="314"/>
      <c r="M2472" s="314"/>
      <c r="N2472" s="314"/>
      <c r="O2472" s="314"/>
      <c r="P2472" s="314"/>
      <c r="Q2472" s="314"/>
      <c r="R2472" s="314"/>
      <c r="S2472" s="314"/>
      <c r="T2472" s="314"/>
      <c r="U2472" s="314"/>
      <c r="V2472" s="314"/>
      <c r="W2472" s="314"/>
      <c r="X2472" s="314"/>
      <c r="Y2472" s="314"/>
      <c r="Z2472" s="314"/>
    </row>
    <row r="2473" spans="5:26" x14ac:dyDescent="0.35">
      <c r="E2473" s="314"/>
      <c r="F2473" s="314"/>
      <c r="G2473" s="314"/>
      <c r="H2473" s="314"/>
      <c r="I2473" s="314"/>
      <c r="J2473" s="314"/>
      <c r="K2473" s="314"/>
      <c r="L2473" s="314"/>
      <c r="M2473" s="314"/>
      <c r="N2473" s="314"/>
      <c r="O2473" s="314"/>
      <c r="P2473" s="314"/>
      <c r="Q2473" s="314"/>
      <c r="R2473" s="314"/>
      <c r="S2473" s="314"/>
      <c r="T2473" s="314"/>
      <c r="U2473" s="314"/>
      <c r="V2473" s="314"/>
      <c r="W2473" s="314"/>
      <c r="X2473" s="314"/>
      <c r="Y2473" s="314"/>
      <c r="Z2473" s="314"/>
    </row>
    <row r="2474" spans="5:26" x14ac:dyDescent="0.35">
      <c r="E2474" s="314"/>
      <c r="F2474" s="314"/>
      <c r="G2474" s="314"/>
      <c r="H2474" s="314"/>
      <c r="I2474" s="314"/>
      <c r="J2474" s="314"/>
      <c r="K2474" s="314"/>
      <c r="L2474" s="314"/>
      <c r="M2474" s="314"/>
      <c r="N2474" s="314"/>
      <c r="O2474" s="314"/>
      <c r="P2474" s="314"/>
      <c r="Q2474" s="314"/>
      <c r="R2474" s="314"/>
      <c r="S2474" s="314"/>
      <c r="T2474" s="314"/>
      <c r="U2474" s="314"/>
      <c r="V2474" s="314"/>
      <c r="W2474" s="314"/>
      <c r="X2474" s="314"/>
      <c r="Y2474" s="314"/>
      <c r="Z2474" s="314"/>
    </row>
    <row r="2475" spans="5:26" x14ac:dyDescent="0.35">
      <c r="E2475" s="314"/>
      <c r="F2475" s="314"/>
      <c r="G2475" s="314"/>
      <c r="H2475" s="314"/>
      <c r="I2475" s="314"/>
      <c r="J2475" s="314"/>
      <c r="K2475" s="314"/>
      <c r="L2475" s="314"/>
      <c r="M2475" s="314"/>
      <c r="N2475" s="314"/>
      <c r="O2475" s="314"/>
      <c r="P2475" s="314"/>
      <c r="Q2475" s="314"/>
      <c r="R2475" s="314"/>
      <c r="S2475" s="314"/>
      <c r="T2475" s="314"/>
      <c r="U2475" s="314"/>
      <c r="V2475" s="314"/>
      <c r="W2475" s="314"/>
      <c r="X2475" s="314"/>
      <c r="Y2475" s="314"/>
      <c r="Z2475" s="314"/>
    </row>
    <row r="2476" spans="5:26" x14ac:dyDescent="0.35">
      <c r="E2476" s="314"/>
      <c r="F2476" s="314"/>
      <c r="G2476" s="314"/>
      <c r="H2476" s="314"/>
      <c r="I2476" s="314"/>
      <c r="J2476" s="314"/>
      <c r="K2476" s="314"/>
      <c r="L2476" s="314"/>
      <c r="M2476" s="314"/>
      <c r="N2476" s="314"/>
      <c r="O2476" s="314"/>
      <c r="P2476" s="314"/>
      <c r="Q2476" s="314"/>
      <c r="R2476" s="314"/>
      <c r="S2476" s="314"/>
      <c r="T2476" s="314"/>
      <c r="U2476" s="314"/>
      <c r="V2476" s="314"/>
      <c r="W2476" s="314"/>
      <c r="X2476" s="314"/>
      <c r="Y2476" s="314"/>
      <c r="Z2476" s="314"/>
    </row>
    <row r="2477" spans="5:26" x14ac:dyDescent="0.35">
      <c r="E2477" s="314"/>
      <c r="F2477" s="314"/>
      <c r="G2477" s="314"/>
      <c r="H2477" s="314"/>
      <c r="I2477" s="314"/>
      <c r="J2477" s="314"/>
      <c r="K2477" s="314"/>
      <c r="L2477" s="314"/>
      <c r="M2477" s="314"/>
      <c r="N2477" s="314"/>
      <c r="O2477" s="314"/>
      <c r="P2477" s="314"/>
      <c r="Q2477" s="314"/>
      <c r="R2477" s="314"/>
      <c r="S2477" s="314"/>
      <c r="T2477" s="314"/>
      <c r="U2477" s="314"/>
      <c r="V2477" s="314"/>
      <c r="W2477" s="314"/>
      <c r="X2477" s="314"/>
      <c r="Y2477" s="314"/>
      <c r="Z2477" s="314"/>
    </row>
    <row r="2478" spans="5:26" x14ac:dyDescent="0.35">
      <c r="E2478" s="314"/>
      <c r="F2478" s="314"/>
      <c r="G2478" s="314"/>
      <c r="H2478" s="314"/>
      <c r="I2478" s="314"/>
      <c r="J2478" s="314"/>
      <c r="K2478" s="314"/>
      <c r="L2478" s="314"/>
      <c r="M2478" s="314"/>
      <c r="N2478" s="314"/>
      <c r="O2478" s="314"/>
      <c r="P2478" s="314"/>
      <c r="Q2478" s="314"/>
      <c r="R2478" s="314"/>
      <c r="S2478" s="314"/>
      <c r="T2478" s="314"/>
      <c r="U2478" s="314"/>
      <c r="V2478" s="314"/>
      <c r="W2478" s="314"/>
      <c r="X2478" s="314"/>
      <c r="Y2478" s="314"/>
      <c r="Z2478" s="314"/>
    </row>
    <row r="2479" spans="5:26" x14ac:dyDescent="0.35">
      <c r="E2479" s="314"/>
      <c r="F2479" s="314"/>
      <c r="G2479" s="314"/>
      <c r="H2479" s="314"/>
      <c r="I2479" s="314"/>
      <c r="J2479" s="314"/>
      <c r="K2479" s="314"/>
      <c r="L2479" s="314"/>
      <c r="M2479" s="314"/>
      <c r="N2479" s="314"/>
      <c r="O2479" s="314"/>
      <c r="P2479" s="314"/>
      <c r="Q2479" s="314"/>
      <c r="R2479" s="314"/>
      <c r="S2479" s="314"/>
      <c r="T2479" s="314"/>
      <c r="U2479" s="314"/>
      <c r="V2479" s="314"/>
      <c r="W2479" s="314"/>
      <c r="X2479" s="314"/>
      <c r="Y2479" s="314"/>
      <c r="Z2479" s="314"/>
    </row>
    <row r="2480" spans="5:26" x14ac:dyDescent="0.35">
      <c r="E2480" s="314"/>
      <c r="F2480" s="314"/>
      <c r="G2480" s="314"/>
      <c r="H2480" s="314"/>
      <c r="I2480" s="314"/>
      <c r="J2480" s="314"/>
      <c r="K2480" s="314"/>
      <c r="L2480" s="314"/>
      <c r="M2480" s="314"/>
      <c r="N2480" s="314"/>
      <c r="O2480" s="314"/>
      <c r="P2480" s="314"/>
      <c r="Q2480" s="314"/>
      <c r="R2480" s="314"/>
      <c r="S2480" s="314"/>
      <c r="T2480" s="314"/>
      <c r="U2480" s="314"/>
      <c r="V2480" s="314"/>
      <c r="W2480" s="314"/>
      <c r="X2480" s="314"/>
      <c r="Y2480" s="314"/>
      <c r="Z2480" s="314"/>
    </row>
    <row r="2481" spans="5:26" x14ac:dyDescent="0.35">
      <c r="E2481" s="314"/>
      <c r="F2481" s="314"/>
      <c r="G2481" s="314"/>
      <c r="H2481" s="314"/>
      <c r="I2481" s="314"/>
      <c r="J2481" s="314"/>
      <c r="K2481" s="314"/>
      <c r="L2481" s="314"/>
      <c r="M2481" s="314"/>
      <c r="N2481" s="314"/>
      <c r="O2481" s="314"/>
      <c r="P2481" s="314"/>
      <c r="Q2481" s="314"/>
      <c r="R2481" s="314"/>
      <c r="S2481" s="314"/>
      <c r="T2481" s="314"/>
      <c r="U2481" s="314"/>
      <c r="V2481" s="314"/>
      <c r="W2481" s="314"/>
      <c r="X2481" s="314"/>
      <c r="Y2481" s="314"/>
      <c r="Z2481" s="314"/>
    </row>
    <row r="2482" spans="5:26" x14ac:dyDescent="0.35">
      <c r="E2482" s="314"/>
      <c r="F2482" s="314"/>
      <c r="G2482" s="314"/>
      <c r="H2482" s="314"/>
      <c r="I2482" s="314"/>
      <c r="J2482" s="314"/>
      <c r="K2482" s="314"/>
      <c r="L2482" s="314"/>
      <c r="M2482" s="314"/>
      <c r="N2482" s="314"/>
      <c r="O2482" s="314"/>
      <c r="P2482" s="314"/>
      <c r="Q2482" s="314"/>
      <c r="R2482" s="314"/>
      <c r="S2482" s="314"/>
      <c r="T2482" s="314"/>
      <c r="U2482" s="314"/>
      <c r="V2482" s="314"/>
      <c r="W2482" s="314"/>
      <c r="X2482" s="314"/>
      <c r="Y2482" s="314"/>
      <c r="Z2482" s="314"/>
    </row>
    <row r="2483" spans="5:26" x14ac:dyDescent="0.35">
      <c r="E2483" s="314"/>
      <c r="F2483" s="314"/>
      <c r="G2483" s="314"/>
      <c r="H2483" s="314"/>
      <c r="I2483" s="314"/>
      <c r="J2483" s="314"/>
      <c r="K2483" s="314"/>
      <c r="L2483" s="314"/>
      <c r="M2483" s="314"/>
      <c r="N2483" s="314"/>
      <c r="O2483" s="314"/>
      <c r="P2483" s="314"/>
      <c r="Q2483" s="314"/>
      <c r="R2483" s="314"/>
      <c r="S2483" s="314"/>
      <c r="T2483" s="314"/>
      <c r="U2483" s="314"/>
      <c r="V2483" s="314"/>
      <c r="W2483" s="314"/>
      <c r="X2483" s="314"/>
      <c r="Y2483" s="314"/>
      <c r="Z2483" s="314"/>
    </row>
    <row r="2484" spans="5:26" x14ac:dyDescent="0.35">
      <c r="E2484" s="314"/>
      <c r="F2484" s="314"/>
      <c r="G2484" s="314"/>
      <c r="H2484" s="314"/>
      <c r="I2484" s="314"/>
      <c r="J2484" s="314"/>
      <c r="K2484" s="314"/>
      <c r="L2484" s="314"/>
      <c r="M2484" s="314"/>
      <c r="N2484" s="314"/>
      <c r="O2484" s="314"/>
      <c r="P2484" s="314"/>
      <c r="Q2484" s="314"/>
      <c r="R2484" s="314"/>
      <c r="S2484" s="314"/>
      <c r="T2484" s="314"/>
      <c r="U2484" s="314"/>
      <c r="V2484" s="314"/>
      <c r="W2484" s="314"/>
      <c r="X2484" s="314"/>
      <c r="Y2484" s="314"/>
      <c r="Z2484" s="314"/>
    </row>
    <row r="2485" spans="5:26" x14ac:dyDescent="0.35">
      <c r="E2485" s="314"/>
      <c r="F2485" s="314"/>
      <c r="G2485" s="314"/>
      <c r="H2485" s="314"/>
      <c r="I2485" s="314"/>
      <c r="J2485" s="314"/>
      <c r="K2485" s="314"/>
      <c r="L2485" s="314"/>
      <c r="M2485" s="314"/>
      <c r="N2485" s="314"/>
      <c r="O2485" s="314"/>
      <c r="P2485" s="314"/>
      <c r="Q2485" s="314"/>
      <c r="R2485" s="314"/>
      <c r="S2485" s="314"/>
      <c r="T2485" s="314"/>
      <c r="U2485" s="314"/>
      <c r="V2485" s="314"/>
      <c r="W2485" s="314"/>
      <c r="X2485" s="314"/>
      <c r="Y2485" s="314"/>
      <c r="Z2485" s="314"/>
    </row>
    <row r="2486" spans="5:26" x14ac:dyDescent="0.35">
      <c r="E2486" s="314"/>
      <c r="F2486" s="314"/>
      <c r="G2486" s="314"/>
      <c r="H2486" s="314"/>
      <c r="I2486" s="314"/>
      <c r="J2486" s="314"/>
      <c r="K2486" s="314"/>
      <c r="L2486" s="314"/>
      <c r="M2486" s="314"/>
      <c r="N2486" s="314"/>
      <c r="O2486" s="314"/>
      <c r="P2486" s="314"/>
      <c r="Q2486" s="314"/>
      <c r="R2486" s="314"/>
      <c r="S2486" s="314"/>
      <c r="T2486" s="314"/>
      <c r="U2486" s="314"/>
      <c r="V2486" s="314"/>
      <c r="W2486" s="314"/>
      <c r="X2486" s="314"/>
      <c r="Y2486" s="314"/>
      <c r="Z2486" s="314"/>
    </row>
    <row r="2487" spans="5:26" x14ac:dyDescent="0.35">
      <c r="E2487" s="314"/>
      <c r="F2487" s="314"/>
      <c r="G2487" s="314"/>
      <c r="H2487" s="314"/>
      <c r="I2487" s="314"/>
      <c r="J2487" s="314"/>
      <c r="K2487" s="314"/>
      <c r="L2487" s="314"/>
      <c r="M2487" s="314"/>
      <c r="N2487" s="314"/>
      <c r="O2487" s="314"/>
      <c r="P2487" s="314"/>
      <c r="Q2487" s="314"/>
      <c r="R2487" s="314"/>
      <c r="S2487" s="314"/>
      <c r="T2487" s="314"/>
      <c r="U2487" s="314"/>
      <c r="V2487" s="314"/>
      <c r="W2487" s="314"/>
      <c r="X2487" s="314"/>
      <c r="Y2487" s="314"/>
      <c r="Z2487" s="314"/>
    </row>
    <row r="2488" spans="5:26" x14ac:dyDescent="0.35">
      <c r="E2488" s="314"/>
      <c r="F2488" s="314"/>
      <c r="G2488" s="314"/>
      <c r="H2488" s="314"/>
      <c r="I2488" s="314"/>
      <c r="J2488" s="314"/>
      <c r="K2488" s="314"/>
      <c r="L2488" s="314"/>
      <c r="M2488" s="314"/>
      <c r="N2488" s="314"/>
      <c r="O2488" s="314"/>
      <c r="P2488" s="314"/>
      <c r="Q2488" s="314"/>
      <c r="R2488" s="314"/>
      <c r="S2488" s="314"/>
      <c r="T2488" s="314"/>
      <c r="U2488" s="314"/>
      <c r="V2488" s="314"/>
      <c r="W2488" s="314"/>
      <c r="X2488" s="314"/>
      <c r="Y2488" s="314"/>
      <c r="Z2488" s="314"/>
    </row>
    <row r="2489" spans="5:26" x14ac:dyDescent="0.35">
      <c r="E2489" s="314"/>
      <c r="F2489" s="314"/>
      <c r="G2489" s="314"/>
      <c r="H2489" s="314"/>
      <c r="I2489" s="314"/>
      <c r="J2489" s="314"/>
      <c r="K2489" s="314"/>
      <c r="L2489" s="314"/>
      <c r="M2489" s="314"/>
      <c r="N2489" s="314"/>
      <c r="O2489" s="314"/>
      <c r="P2489" s="314"/>
      <c r="Q2489" s="314"/>
      <c r="R2489" s="314"/>
      <c r="S2489" s="314"/>
      <c r="T2489" s="314"/>
      <c r="U2489" s="314"/>
      <c r="V2489" s="314"/>
      <c r="W2489" s="314"/>
      <c r="X2489" s="314"/>
      <c r="Y2489" s="314"/>
      <c r="Z2489" s="314"/>
    </row>
    <row r="2490" spans="5:26" x14ac:dyDescent="0.35">
      <c r="E2490" s="314"/>
      <c r="F2490" s="314"/>
      <c r="G2490" s="314"/>
      <c r="H2490" s="314"/>
      <c r="I2490" s="314"/>
      <c r="J2490" s="314"/>
      <c r="K2490" s="314"/>
      <c r="L2490" s="314"/>
      <c r="M2490" s="314"/>
      <c r="N2490" s="314"/>
      <c r="O2490" s="314"/>
      <c r="P2490" s="314"/>
      <c r="Q2490" s="314"/>
      <c r="R2490" s="314"/>
      <c r="S2490" s="314"/>
      <c r="T2490" s="314"/>
      <c r="U2490" s="314"/>
      <c r="V2490" s="314"/>
      <c r="W2490" s="314"/>
      <c r="X2490" s="314"/>
      <c r="Y2490" s="314"/>
      <c r="Z2490" s="314"/>
    </row>
    <row r="2491" spans="5:26" x14ac:dyDescent="0.35">
      <c r="E2491" s="314"/>
      <c r="F2491" s="314"/>
      <c r="G2491" s="314"/>
      <c r="H2491" s="314"/>
      <c r="I2491" s="314"/>
      <c r="J2491" s="314"/>
      <c r="K2491" s="314"/>
      <c r="L2491" s="314"/>
      <c r="M2491" s="314"/>
      <c r="N2491" s="314"/>
      <c r="O2491" s="314"/>
      <c r="P2491" s="314"/>
      <c r="Q2491" s="314"/>
      <c r="R2491" s="314"/>
      <c r="S2491" s="314"/>
      <c r="T2491" s="314"/>
      <c r="U2491" s="314"/>
      <c r="V2491" s="314"/>
      <c r="W2491" s="314"/>
      <c r="X2491" s="314"/>
      <c r="Y2491" s="314"/>
      <c r="Z2491" s="314"/>
    </row>
    <row r="2492" spans="5:26" x14ac:dyDescent="0.35">
      <c r="E2492" s="314"/>
      <c r="F2492" s="314"/>
      <c r="G2492" s="314"/>
      <c r="H2492" s="314"/>
      <c r="I2492" s="314"/>
      <c r="J2492" s="314"/>
      <c r="K2492" s="314"/>
      <c r="L2492" s="314"/>
      <c r="M2492" s="314"/>
      <c r="N2492" s="314"/>
      <c r="O2492" s="314"/>
      <c r="P2492" s="314"/>
      <c r="Q2492" s="314"/>
      <c r="R2492" s="314"/>
      <c r="S2492" s="314"/>
      <c r="T2492" s="314"/>
      <c r="U2492" s="314"/>
      <c r="V2492" s="314"/>
      <c r="W2492" s="314"/>
      <c r="X2492" s="314"/>
      <c r="Y2492" s="314"/>
      <c r="Z2492" s="314"/>
    </row>
    <row r="2493" spans="5:26" x14ac:dyDescent="0.35">
      <c r="E2493" s="314"/>
      <c r="F2493" s="314"/>
      <c r="G2493" s="314"/>
      <c r="H2493" s="314"/>
      <c r="I2493" s="314"/>
      <c r="J2493" s="314"/>
      <c r="K2493" s="314"/>
      <c r="L2493" s="314"/>
      <c r="M2493" s="314"/>
      <c r="N2493" s="314"/>
      <c r="O2493" s="314"/>
      <c r="P2493" s="314"/>
      <c r="Q2493" s="314"/>
      <c r="R2493" s="314"/>
      <c r="S2493" s="314"/>
      <c r="T2493" s="314"/>
      <c r="U2493" s="314"/>
      <c r="V2493" s="314"/>
      <c r="W2493" s="314"/>
      <c r="X2493" s="314"/>
      <c r="Y2493" s="314"/>
      <c r="Z2493" s="314"/>
    </row>
    <row r="2494" spans="5:26" x14ac:dyDescent="0.35">
      <c r="E2494" s="314"/>
      <c r="F2494" s="314"/>
      <c r="G2494" s="314"/>
      <c r="H2494" s="314"/>
      <c r="I2494" s="314"/>
      <c r="J2494" s="314"/>
      <c r="K2494" s="314"/>
      <c r="L2494" s="314"/>
      <c r="M2494" s="314"/>
      <c r="N2494" s="314"/>
      <c r="O2494" s="314"/>
      <c r="P2494" s="314"/>
      <c r="Q2494" s="314"/>
      <c r="R2494" s="314"/>
      <c r="S2494" s="314"/>
      <c r="T2494" s="314"/>
      <c r="U2494" s="314"/>
      <c r="V2494" s="314"/>
      <c r="W2494" s="314"/>
      <c r="X2494" s="314"/>
      <c r="Y2494" s="314"/>
      <c r="Z2494" s="314"/>
    </row>
    <row r="2495" spans="5:26" x14ac:dyDescent="0.35">
      <c r="E2495" s="314"/>
      <c r="F2495" s="314"/>
      <c r="G2495" s="314"/>
      <c r="H2495" s="314"/>
      <c r="I2495" s="314"/>
      <c r="J2495" s="314"/>
      <c r="K2495" s="314"/>
      <c r="L2495" s="314"/>
      <c r="M2495" s="314"/>
      <c r="N2495" s="314"/>
      <c r="O2495" s="314"/>
      <c r="P2495" s="314"/>
      <c r="Q2495" s="314"/>
      <c r="R2495" s="314"/>
      <c r="S2495" s="314"/>
      <c r="T2495" s="314"/>
      <c r="U2495" s="314"/>
      <c r="V2495" s="314"/>
      <c r="W2495" s="314"/>
      <c r="X2495" s="314"/>
      <c r="Y2495" s="314"/>
      <c r="Z2495" s="314"/>
    </row>
    <row r="2496" spans="5:26" x14ac:dyDescent="0.35">
      <c r="E2496" s="314"/>
      <c r="F2496" s="314"/>
      <c r="G2496" s="314"/>
      <c r="H2496" s="314"/>
      <c r="I2496" s="314"/>
      <c r="J2496" s="314"/>
      <c r="K2496" s="314"/>
      <c r="L2496" s="314"/>
      <c r="M2496" s="314"/>
      <c r="N2496" s="314"/>
      <c r="O2496" s="314"/>
      <c r="P2496" s="314"/>
      <c r="Q2496" s="314"/>
      <c r="R2496" s="314"/>
      <c r="S2496" s="314"/>
      <c r="T2496" s="314"/>
      <c r="U2496" s="314"/>
      <c r="V2496" s="314"/>
      <c r="W2496" s="314"/>
      <c r="X2496" s="314"/>
      <c r="Y2496" s="314"/>
      <c r="Z2496" s="314"/>
    </row>
    <row r="2497" spans="5:26" x14ac:dyDescent="0.35">
      <c r="E2497" s="314"/>
      <c r="F2497" s="314"/>
      <c r="G2497" s="314"/>
      <c r="H2497" s="314"/>
      <c r="I2497" s="314"/>
      <c r="J2497" s="314"/>
      <c r="K2497" s="314"/>
      <c r="L2497" s="314"/>
      <c r="M2497" s="314"/>
      <c r="N2497" s="314"/>
      <c r="O2497" s="314"/>
      <c r="P2497" s="314"/>
      <c r="Q2497" s="314"/>
      <c r="R2497" s="314"/>
      <c r="S2497" s="314"/>
      <c r="T2497" s="314"/>
      <c r="U2497" s="314"/>
      <c r="V2497" s="314"/>
      <c r="W2497" s="314"/>
      <c r="X2497" s="314"/>
      <c r="Y2497" s="314"/>
      <c r="Z2497" s="314"/>
    </row>
    <row r="2498" spans="5:26" x14ac:dyDescent="0.35">
      <c r="E2498" s="314"/>
      <c r="F2498" s="314"/>
      <c r="G2498" s="314"/>
      <c r="H2498" s="314"/>
      <c r="I2498" s="314"/>
      <c r="J2498" s="314"/>
      <c r="K2498" s="314"/>
      <c r="L2498" s="314"/>
      <c r="M2498" s="314"/>
      <c r="N2498" s="314"/>
      <c r="O2498" s="314"/>
      <c r="P2498" s="314"/>
      <c r="Q2498" s="314"/>
      <c r="R2498" s="314"/>
      <c r="S2498" s="314"/>
      <c r="T2498" s="314"/>
      <c r="U2498" s="314"/>
      <c r="V2498" s="314"/>
      <c r="W2498" s="314"/>
      <c r="X2498" s="314"/>
      <c r="Y2498" s="314"/>
      <c r="Z2498" s="314"/>
    </row>
    <row r="2499" spans="5:26" x14ac:dyDescent="0.35">
      <c r="E2499" s="314"/>
      <c r="F2499" s="314"/>
      <c r="G2499" s="314"/>
      <c r="H2499" s="314"/>
      <c r="I2499" s="314"/>
      <c r="J2499" s="314"/>
      <c r="K2499" s="314"/>
      <c r="L2499" s="314"/>
      <c r="M2499" s="314"/>
      <c r="N2499" s="314"/>
      <c r="O2499" s="314"/>
      <c r="P2499" s="314"/>
      <c r="Q2499" s="314"/>
      <c r="R2499" s="314"/>
      <c r="S2499" s="314"/>
      <c r="T2499" s="314"/>
      <c r="U2499" s="314"/>
      <c r="V2499" s="314"/>
      <c r="W2499" s="314"/>
      <c r="X2499" s="314"/>
      <c r="Y2499" s="314"/>
      <c r="Z2499" s="314"/>
    </row>
    <row r="2500" spans="5:26" x14ac:dyDescent="0.35">
      <c r="E2500" s="314"/>
      <c r="F2500" s="314"/>
      <c r="G2500" s="314"/>
      <c r="H2500" s="314"/>
      <c r="I2500" s="314"/>
      <c r="J2500" s="314"/>
      <c r="K2500" s="314"/>
      <c r="L2500" s="314"/>
      <c r="M2500" s="314"/>
      <c r="N2500" s="314"/>
      <c r="O2500" s="314"/>
      <c r="P2500" s="314"/>
      <c r="Q2500" s="314"/>
      <c r="R2500" s="314"/>
      <c r="S2500" s="314"/>
      <c r="T2500" s="314"/>
      <c r="U2500" s="314"/>
      <c r="V2500" s="314"/>
      <c r="W2500" s="314"/>
      <c r="X2500" s="314"/>
      <c r="Y2500" s="314"/>
      <c r="Z2500" s="314"/>
    </row>
  </sheetData>
  <sheetProtection algorithmName="SHA-512" hashValue="W2ETWNtEc6rj7ipDIn9WlyXU3q9DrC4o/rEdm7rBrO0ZQribeoI2XCd90+Spj0B3C0611/xx/8DP8p6oecWiFQ==" saltValue="zFuzqu5S1+jslh90y2PUdw==" spinCount="100000" sheet="1" objects="1" scenarios="1"/>
  <mergeCells count="1">
    <mergeCell ref="B4:B7"/>
  </mergeCells>
  <conditionalFormatting sqref="E9:Z2509">
    <cfRule type="expression" dxfId="7" priority="1">
      <formula>ISERROR(E9)</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CEC40-E33E-4475-9EB1-66D54EDC9E4E}">
  <sheetPr codeName="Sheet25">
    <tabColor theme="7" tint="0.79998168889431442"/>
  </sheetPr>
  <dimension ref="A1:AE1590"/>
  <sheetViews>
    <sheetView showGridLines="0" zoomScale="79" zoomScaleNormal="100" workbookViewId="0">
      <pane ySplit="8" topLeftCell="A9" activePane="bottomLeft" state="frozen"/>
      <selection activeCell="P7" sqref="P7"/>
      <selection pane="bottomLeft" activeCell="F697" sqref="F697"/>
    </sheetView>
  </sheetViews>
  <sheetFormatPr defaultRowHeight="14.15" customHeight="1" x14ac:dyDescent="0.35"/>
  <cols>
    <col min="1" max="1" width="1.54296875" style="147" customWidth="1"/>
    <col min="2" max="2" width="32.54296875" style="146" customWidth="1"/>
    <col min="3" max="3" width="2.453125" style="147" customWidth="1"/>
    <col min="4" max="4" width="9" style="147" customWidth="1"/>
    <col min="5" max="5" width="8.81640625" style="147" customWidth="1"/>
    <col min="6" max="6" width="20.26953125" style="147" customWidth="1"/>
    <col min="7" max="7" width="15.1796875" style="147" customWidth="1"/>
    <col min="8" max="8" width="15.54296875" style="147" customWidth="1"/>
    <col min="9" max="9" width="24.1796875" style="147" customWidth="1"/>
    <col min="10" max="10" width="34.81640625" style="147" customWidth="1"/>
    <col min="11" max="11" width="12.453125" style="147" customWidth="1"/>
    <col min="12" max="12" width="22.90625" style="147" customWidth="1"/>
    <col min="13" max="14" width="12" style="147" customWidth="1"/>
    <col min="15" max="15" width="11.453125" style="147" customWidth="1"/>
    <col min="16" max="16" width="10.26953125" style="147" customWidth="1"/>
    <col min="17" max="17" width="12.453125" customWidth="1"/>
    <col min="18" max="18" width="6.54296875" style="301" customWidth="1"/>
    <col min="19" max="19" width="9.6328125" style="301" customWidth="1"/>
    <col min="20" max="20" width="7.54296875" style="301" customWidth="1"/>
    <col min="21" max="22" width="6.54296875" style="301" customWidth="1"/>
    <col min="23" max="23" width="10.54296875" style="301" customWidth="1"/>
    <col min="24" max="24" width="17.1796875" style="147" customWidth="1"/>
    <col min="25" max="25" width="18.26953125" style="147" customWidth="1"/>
    <col min="26" max="26" width="20.453125" style="147" customWidth="1"/>
    <col min="27" max="29" width="19.453125" style="147" customWidth="1"/>
    <col min="30" max="30" width="3.81640625" customWidth="1"/>
    <col min="31" max="33" width="8.7265625" customWidth="1"/>
    <col min="34" max="34" width="18.54296875" customWidth="1"/>
    <col min="35" max="35" width="12.453125" customWidth="1"/>
    <col min="36" max="37" width="8.7265625" customWidth="1"/>
    <col min="38" max="38" width="21.1796875" customWidth="1"/>
    <col min="39" max="45" width="8.7265625" customWidth="1"/>
  </cols>
  <sheetData>
    <row r="1" spans="2:31" s="150" customFormat="1" ht="15.5" x14ac:dyDescent="0.35">
      <c r="B1" s="196" t="s">
        <v>1121</v>
      </c>
      <c r="E1" s="200"/>
      <c r="F1" s="201"/>
      <c r="H1" s="200"/>
      <c r="I1" s="199"/>
      <c r="J1" s="199"/>
      <c r="Q1" s="299"/>
      <c r="R1" s="299"/>
      <c r="S1" s="299"/>
      <c r="T1" s="299"/>
      <c r="U1" s="299"/>
      <c r="V1" s="299"/>
      <c r="W1" s="299"/>
    </row>
    <row r="2" spans="2:31" s="153" customFormat="1" ht="14" x14ac:dyDescent="0.3">
      <c r="B2" s="197" t="s">
        <v>1122</v>
      </c>
      <c r="E2" s="202"/>
      <c r="F2" s="203"/>
      <c r="Q2" s="300"/>
      <c r="R2" s="300"/>
      <c r="S2" s="300"/>
      <c r="T2" s="300"/>
      <c r="U2" s="300"/>
      <c r="V2" s="300"/>
      <c r="W2" s="300"/>
    </row>
    <row r="3" spans="2:31" s="147" customFormat="1" ht="14" x14ac:dyDescent="0.3">
      <c r="B3" s="146"/>
      <c r="Q3" s="301"/>
      <c r="R3" s="301"/>
      <c r="S3" s="301"/>
      <c r="T3" s="301"/>
      <c r="U3" s="301"/>
      <c r="V3" s="301"/>
      <c r="W3" s="301"/>
    </row>
    <row r="4" spans="2:31" ht="15" thickBot="1" x14ac:dyDescent="0.4">
      <c r="B4" s="455"/>
      <c r="E4" s="176"/>
      <c r="F4"/>
      <c r="G4"/>
      <c r="H4"/>
      <c r="I4"/>
      <c r="J4"/>
      <c r="K4"/>
      <c r="L4"/>
      <c r="M4"/>
      <c r="N4"/>
      <c r="O4"/>
      <c r="P4"/>
      <c r="Q4" s="302"/>
      <c r="R4" s="302"/>
      <c r="S4" s="302"/>
      <c r="T4" s="302"/>
      <c r="U4" s="302"/>
      <c r="V4" s="302"/>
      <c r="W4" s="302"/>
      <c r="X4"/>
      <c r="Y4"/>
      <c r="Z4"/>
      <c r="AA4"/>
      <c r="AB4"/>
      <c r="AC4"/>
    </row>
    <row r="5" spans="2:31" ht="14.5" x14ac:dyDescent="0.35">
      <c r="B5" s="455"/>
      <c r="F5"/>
      <c r="G5"/>
      <c r="H5"/>
      <c r="I5"/>
      <c r="J5"/>
      <c r="K5"/>
      <c r="L5"/>
      <c r="M5"/>
      <c r="N5"/>
      <c r="O5"/>
      <c r="P5"/>
      <c r="Q5" s="302"/>
      <c r="R5" s="302"/>
      <c r="S5" s="302"/>
      <c r="T5" s="302"/>
      <c r="U5" s="302"/>
      <c r="V5" s="302"/>
      <c r="W5" s="302"/>
      <c r="X5"/>
      <c r="Y5"/>
      <c r="Z5"/>
      <c r="AA5"/>
      <c r="AB5"/>
      <c r="AC5"/>
    </row>
    <row r="6" spans="2:31" ht="14.5" x14ac:dyDescent="0.35">
      <c r="B6" s="455"/>
      <c r="E6" s="160" t="s">
        <v>1123</v>
      </c>
      <c r="F6"/>
      <c r="G6"/>
      <c r="H6"/>
      <c r="I6"/>
      <c r="J6"/>
      <c r="K6"/>
      <c r="L6"/>
      <c r="M6"/>
      <c r="N6"/>
      <c r="O6"/>
      <c r="P6"/>
      <c r="Q6" s="302"/>
      <c r="R6" s="302"/>
      <c r="S6" s="302"/>
      <c r="T6" s="302"/>
      <c r="U6" s="302"/>
      <c r="V6" s="302"/>
      <c r="W6" s="302"/>
      <c r="X6"/>
      <c r="Y6"/>
      <c r="Z6"/>
      <c r="AA6"/>
      <c r="AB6"/>
      <c r="AC6"/>
    </row>
    <row r="7" spans="2:31" ht="14.5" x14ac:dyDescent="0.35">
      <c r="B7" s="455"/>
      <c r="E7"/>
      <c r="F7"/>
      <c r="G7"/>
      <c r="H7"/>
      <c r="I7"/>
      <c r="J7"/>
      <c r="K7"/>
      <c r="L7"/>
      <c r="M7"/>
      <c r="N7"/>
      <c r="O7"/>
      <c r="P7"/>
      <c r="Q7" s="302"/>
      <c r="R7" s="302"/>
      <c r="S7" s="302"/>
      <c r="T7" s="302"/>
      <c r="U7" s="302"/>
      <c r="V7" s="302"/>
      <c r="W7" s="302"/>
      <c r="X7"/>
      <c r="Y7"/>
      <c r="Z7"/>
      <c r="AA7"/>
      <c r="AB7"/>
      <c r="AC7"/>
    </row>
    <row r="8" spans="2:31" ht="143.15" customHeight="1" x14ac:dyDescent="0.35">
      <c r="E8" s="293" t="s">
        <v>1124</v>
      </c>
      <c r="F8" s="293" t="s">
        <v>295</v>
      </c>
      <c r="G8" s="293" t="s">
        <v>296</v>
      </c>
      <c r="H8" s="293" t="s">
        <v>297</v>
      </c>
      <c r="I8" s="293" t="s">
        <v>298</v>
      </c>
      <c r="J8" s="293" t="s">
        <v>299</v>
      </c>
      <c r="K8" s="293" t="s">
        <v>300</v>
      </c>
      <c r="L8" s="293" t="s">
        <v>1125</v>
      </c>
      <c r="M8" s="293" t="s">
        <v>262</v>
      </c>
      <c r="N8" s="293" t="s">
        <v>521</v>
      </c>
      <c r="O8" s="293" t="s">
        <v>1126</v>
      </c>
      <c r="P8" s="371" t="s">
        <v>1127</v>
      </c>
      <c r="Q8" s="375" t="s">
        <v>1128</v>
      </c>
      <c r="R8" s="303" t="s">
        <v>1129</v>
      </c>
      <c r="S8" s="303" t="s">
        <v>1130</v>
      </c>
      <c r="T8" s="303" t="s">
        <v>1131</v>
      </c>
      <c r="U8" s="303" t="s">
        <v>1132</v>
      </c>
      <c r="V8" s="303" t="s">
        <v>1133</v>
      </c>
      <c r="W8" s="303" t="s">
        <v>1134</v>
      </c>
      <c r="X8" s="294" t="s">
        <v>1135</v>
      </c>
      <c r="Y8" s="294" t="s">
        <v>1136</v>
      </c>
      <c r="Z8" s="294" t="s">
        <v>1137</v>
      </c>
      <c r="AA8" s="294" t="s">
        <v>1138</v>
      </c>
      <c r="AB8" s="294" t="s">
        <v>1139</v>
      </c>
      <c r="AC8" s="294" t="s">
        <v>1140</v>
      </c>
      <c r="AD8" s="294" t="s">
        <v>1141</v>
      </c>
      <c r="AE8" s="298" t="s">
        <v>293</v>
      </c>
    </row>
    <row r="9" spans="2:31" ht="14.5" x14ac:dyDescent="0.35">
      <c r="B9" s="159"/>
      <c r="E9" s="192">
        <v>1</v>
      </c>
      <c r="F9" s="192" t="s">
        <v>265</v>
      </c>
      <c r="G9" s="192" t="s">
        <v>273</v>
      </c>
      <c r="H9" s="192" t="s">
        <v>541</v>
      </c>
      <c r="I9" s="192" t="s">
        <v>338</v>
      </c>
      <c r="J9" s="192" t="s">
        <v>542</v>
      </c>
      <c r="K9" s="192" t="s">
        <v>339</v>
      </c>
      <c r="L9" s="192" t="str">
        <f>_xlfn.CONCAT(F9:K9)</f>
        <v>Stationary AssetsBuildingsOur EstateRefrigerantsHFC-23NaN</v>
      </c>
      <c r="M9" s="192" t="s">
        <v>1142</v>
      </c>
      <c r="N9" s="192" t="s">
        <v>337</v>
      </c>
      <c r="O9" s="305"/>
      <c r="P9" s="372"/>
      <c r="Q9" s="376">
        <v>12400</v>
      </c>
      <c r="R9" s="305"/>
      <c r="S9" s="305"/>
      <c r="T9" s="305"/>
      <c r="U9" s="305"/>
      <c r="V9" s="305"/>
      <c r="W9" s="305"/>
      <c r="X9" s="192" t="s">
        <v>1143</v>
      </c>
      <c r="Y9" s="305"/>
      <c r="Z9" s="305"/>
      <c r="AA9" s="305"/>
      <c r="AB9" s="305"/>
      <c r="AC9" s="305"/>
      <c r="AD9" s="305"/>
      <c r="AE9" s="424"/>
    </row>
    <row r="10" spans="2:31" ht="14.5" x14ac:dyDescent="0.35">
      <c r="E10" s="192">
        <v>2</v>
      </c>
      <c r="F10" s="192" t="s">
        <v>265</v>
      </c>
      <c r="G10" s="192" t="s">
        <v>273</v>
      </c>
      <c r="H10" s="192" t="s">
        <v>541</v>
      </c>
      <c r="I10" s="192" t="s">
        <v>338</v>
      </c>
      <c r="J10" s="192" t="s">
        <v>557</v>
      </c>
      <c r="K10" s="192" t="s">
        <v>339</v>
      </c>
      <c r="L10" s="192" t="str">
        <f t="shared" ref="L10:L73" si="0">_xlfn.CONCAT(F10:K10)</f>
        <v>Stationary AssetsBuildingsOur EstateRefrigerantsHFC-32NaN</v>
      </c>
      <c r="M10" s="192" t="s">
        <v>1142</v>
      </c>
      <c r="N10" s="192" t="s">
        <v>337</v>
      </c>
      <c r="O10" s="305"/>
      <c r="P10" s="372"/>
      <c r="Q10" s="376">
        <v>677</v>
      </c>
      <c r="R10" s="305"/>
      <c r="S10" s="305"/>
      <c r="T10" s="305"/>
      <c r="U10" s="305"/>
      <c r="V10" s="305"/>
      <c r="W10" s="305"/>
      <c r="X10" s="192" t="s">
        <v>1144</v>
      </c>
      <c r="Y10" s="305"/>
      <c r="Z10" s="305"/>
      <c r="AA10" s="305"/>
      <c r="AB10" s="305"/>
      <c r="AC10" s="305"/>
      <c r="AD10" s="305"/>
      <c r="AE10" s="424"/>
    </row>
    <row r="11" spans="2:31" ht="14.5" x14ac:dyDescent="0.35">
      <c r="B11" s="455"/>
      <c r="E11" s="192">
        <v>3</v>
      </c>
      <c r="F11" s="192" t="s">
        <v>265</v>
      </c>
      <c r="G11" s="192" t="s">
        <v>273</v>
      </c>
      <c r="H11" s="192" t="s">
        <v>541</v>
      </c>
      <c r="I11" s="192" t="s">
        <v>338</v>
      </c>
      <c r="J11" s="192" t="s">
        <v>572</v>
      </c>
      <c r="K11" s="192" t="s">
        <v>339</v>
      </c>
      <c r="L11" s="192" t="str">
        <f t="shared" si="0"/>
        <v>Stationary AssetsBuildingsOur EstateRefrigerantsHFC-41NaN</v>
      </c>
      <c r="M11" s="192" t="s">
        <v>1142</v>
      </c>
      <c r="N11" s="192" t="s">
        <v>337</v>
      </c>
      <c r="O11" s="305"/>
      <c r="P11" s="372"/>
      <c r="Q11" s="376">
        <v>116</v>
      </c>
      <c r="R11" s="305"/>
      <c r="S11" s="305"/>
      <c r="T11" s="305"/>
      <c r="U11" s="305"/>
      <c r="V11" s="305"/>
      <c r="W11" s="305"/>
      <c r="X11" s="192" t="s">
        <v>1145</v>
      </c>
      <c r="Y11" s="305"/>
      <c r="Z11" s="305"/>
      <c r="AA11" s="305"/>
      <c r="AB11" s="305"/>
      <c r="AC11" s="305"/>
      <c r="AD11" s="305"/>
      <c r="AE11" s="424"/>
    </row>
    <row r="12" spans="2:31" ht="14.5" x14ac:dyDescent="0.35">
      <c r="B12" s="455"/>
      <c r="E12" s="192">
        <v>4</v>
      </c>
      <c r="F12" s="192" t="s">
        <v>265</v>
      </c>
      <c r="G12" s="192" t="s">
        <v>273</v>
      </c>
      <c r="H12" s="192" t="s">
        <v>541</v>
      </c>
      <c r="I12" s="192" t="s">
        <v>338</v>
      </c>
      <c r="J12" s="192" t="s">
        <v>582</v>
      </c>
      <c r="K12" s="192" t="s">
        <v>339</v>
      </c>
      <c r="L12" s="192" t="str">
        <f t="shared" si="0"/>
        <v>Stationary AssetsBuildingsOur EstateRefrigerantsHFC-125NaN</v>
      </c>
      <c r="M12" s="192" t="s">
        <v>1142</v>
      </c>
      <c r="N12" s="192" t="s">
        <v>337</v>
      </c>
      <c r="O12" s="305"/>
      <c r="P12" s="372"/>
      <c r="Q12" s="376">
        <v>3170</v>
      </c>
      <c r="R12" s="305"/>
      <c r="S12" s="305"/>
      <c r="T12" s="305"/>
      <c r="U12" s="305"/>
      <c r="V12" s="305"/>
      <c r="W12" s="305"/>
      <c r="X12" s="192" t="s">
        <v>1146</v>
      </c>
      <c r="Y12" s="305"/>
      <c r="Z12" s="305"/>
      <c r="AA12" s="305"/>
      <c r="AB12" s="305"/>
      <c r="AC12" s="305"/>
      <c r="AD12" s="305"/>
      <c r="AE12" s="424"/>
    </row>
    <row r="13" spans="2:31" ht="14.5" x14ac:dyDescent="0.35">
      <c r="B13" s="455"/>
      <c r="E13" s="192">
        <v>5</v>
      </c>
      <c r="F13" s="192" t="s">
        <v>265</v>
      </c>
      <c r="G13" s="192" t="s">
        <v>273</v>
      </c>
      <c r="H13" s="192" t="s">
        <v>541</v>
      </c>
      <c r="I13" s="192" t="s">
        <v>338</v>
      </c>
      <c r="J13" s="192" t="s">
        <v>592</v>
      </c>
      <c r="K13" s="192" t="s">
        <v>339</v>
      </c>
      <c r="L13" s="192" t="str">
        <f t="shared" si="0"/>
        <v>Stationary AssetsBuildingsOur EstateRefrigerantsHFC-134NaN</v>
      </c>
      <c r="M13" s="192" t="s">
        <v>1142</v>
      </c>
      <c r="N13" s="192" t="s">
        <v>337</v>
      </c>
      <c r="O13" s="305"/>
      <c r="P13" s="372"/>
      <c r="Q13" s="376">
        <v>1120</v>
      </c>
      <c r="R13" s="305"/>
      <c r="S13" s="305"/>
      <c r="T13" s="305"/>
      <c r="U13" s="305"/>
      <c r="V13" s="305"/>
      <c r="W13" s="305"/>
      <c r="X13" s="192" t="s">
        <v>1147</v>
      </c>
      <c r="Y13" s="305"/>
      <c r="Z13" s="305"/>
      <c r="AA13" s="305"/>
      <c r="AB13" s="305"/>
      <c r="AC13" s="305"/>
      <c r="AD13" s="305"/>
      <c r="AE13" s="424"/>
    </row>
    <row r="14" spans="2:31" ht="14.5" x14ac:dyDescent="0.35">
      <c r="B14" s="455"/>
      <c r="E14" s="192">
        <v>6</v>
      </c>
      <c r="F14" s="192" t="s">
        <v>265</v>
      </c>
      <c r="G14" s="192" t="s">
        <v>273</v>
      </c>
      <c r="H14" s="192" t="s">
        <v>541</v>
      </c>
      <c r="I14" s="192" t="s">
        <v>338</v>
      </c>
      <c r="J14" s="192" t="s">
        <v>602</v>
      </c>
      <c r="K14" s="192" t="s">
        <v>339</v>
      </c>
      <c r="L14" s="192" t="str">
        <f t="shared" si="0"/>
        <v>Stationary AssetsBuildingsOur EstateRefrigerantsHFC-134aNaN</v>
      </c>
      <c r="M14" s="192" t="s">
        <v>1142</v>
      </c>
      <c r="N14" s="192" t="s">
        <v>337</v>
      </c>
      <c r="O14" s="305"/>
      <c r="P14" s="372"/>
      <c r="Q14" s="376">
        <v>1300</v>
      </c>
      <c r="R14" s="305"/>
      <c r="S14" s="305"/>
      <c r="T14" s="305"/>
      <c r="U14" s="305"/>
      <c r="V14" s="305"/>
      <c r="W14" s="305"/>
      <c r="X14" s="192" t="s">
        <v>1148</v>
      </c>
      <c r="Y14" s="305"/>
      <c r="Z14" s="305"/>
      <c r="AA14" s="305"/>
      <c r="AB14" s="305"/>
      <c r="AC14" s="305"/>
      <c r="AD14" s="305"/>
      <c r="AE14" s="424"/>
    </row>
    <row r="15" spans="2:31" ht="14.5" x14ac:dyDescent="0.35">
      <c r="B15" s="455"/>
      <c r="E15" s="192">
        <v>7</v>
      </c>
      <c r="F15" s="192" t="s">
        <v>265</v>
      </c>
      <c r="G15" s="192" t="s">
        <v>273</v>
      </c>
      <c r="H15" s="192" t="s">
        <v>541</v>
      </c>
      <c r="I15" s="192" t="s">
        <v>338</v>
      </c>
      <c r="J15" s="192" t="s">
        <v>609</v>
      </c>
      <c r="K15" s="192" t="s">
        <v>339</v>
      </c>
      <c r="L15" s="192" t="str">
        <f t="shared" si="0"/>
        <v>Stationary AssetsBuildingsOur EstateRefrigerantsHFC-143NaN</v>
      </c>
      <c r="M15" s="192" t="s">
        <v>1142</v>
      </c>
      <c r="N15" s="192" t="s">
        <v>337</v>
      </c>
      <c r="O15" s="305"/>
      <c r="P15" s="372"/>
      <c r="Q15" s="376">
        <v>328</v>
      </c>
      <c r="R15" s="305"/>
      <c r="S15" s="305"/>
      <c r="T15" s="305"/>
      <c r="U15" s="305"/>
      <c r="V15" s="305"/>
      <c r="W15" s="305"/>
      <c r="X15" s="192" t="s">
        <v>1149</v>
      </c>
      <c r="Y15" s="305"/>
      <c r="Z15" s="305"/>
      <c r="AA15" s="305"/>
      <c r="AB15" s="305"/>
      <c r="AC15" s="305"/>
      <c r="AD15" s="305"/>
      <c r="AE15" s="424"/>
    </row>
    <row r="16" spans="2:31" ht="14.5" x14ac:dyDescent="0.35">
      <c r="B16" s="455"/>
      <c r="E16" s="192">
        <v>8</v>
      </c>
      <c r="F16" s="192" t="s">
        <v>265</v>
      </c>
      <c r="G16" s="192" t="s">
        <v>273</v>
      </c>
      <c r="H16" s="192" t="s">
        <v>541</v>
      </c>
      <c r="I16" s="192" t="s">
        <v>338</v>
      </c>
      <c r="J16" s="192" t="s">
        <v>613</v>
      </c>
      <c r="K16" s="192" t="s">
        <v>339</v>
      </c>
      <c r="L16" s="192" t="str">
        <f t="shared" si="0"/>
        <v>Stationary AssetsBuildingsOur EstateRefrigerantsHFC-143aNaN</v>
      </c>
      <c r="M16" s="192" t="s">
        <v>1142</v>
      </c>
      <c r="N16" s="192" t="s">
        <v>337</v>
      </c>
      <c r="O16" s="305"/>
      <c r="P16" s="372"/>
      <c r="Q16" s="376">
        <v>4800</v>
      </c>
      <c r="R16" s="305"/>
      <c r="S16" s="305"/>
      <c r="T16" s="305"/>
      <c r="U16" s="305"/>
      <c r="V16" s="305"/>
      <c r="W16" s="305"/>
      <c r="X16" s="192" t="s">
        <v>1150</v>
      </c>
      <c r="Y16" s="305"/>
      <c r="Z16" s="305"/>
      <c r="AA16" s="305"/>
      <c r="AB16" s="305"/>
      <c r="AC16" s="305"/>
      <c r="AD16" s="305"/>
      <c r="AE16" s="424"/>
    </row>
    <row r="17" spans="2:31" ht="14.5" x14ac:dyDescent="0.35">
      <c r="B17" s="455"/>
      <c r="E17" s="192">
        <v>9</v>
      </c>
      <c r="F17" s="192" t="s">
        <v>265</v>
      </c>
      <c r="G17" s="192" t="s">
        <v>273</v>
      </c>
      <c r="H17" s="192" t="s">
        <v>541</v>
      </c>
      <c r="I17" s="192" t="s">
        <v>338</v>
      </c>
      <c r="J17" s="192" t="s">
        <v>618</v>
      </c>
      <c r="K17" s="192" t="s">
        <v>339</v>
      </c>
      <c r="L17" s="192" t="str">
        <f t="shared" si="0"/>
        <v>Stationary AssetsBuildingsOur EstateRefrigerantsHFC-152aNaN</v>
      </c>
      <c r="M17" s="192" t="s">
        <v>1142</v>
      </c>
      <c r="N17" s="192" t="s">
        <v>337</v>
      </c>
      <c r="O17" s="305"/>
      <c r="P17" s="372"/>
      <c r="Q17" s="376">
        <v>138</v>
      </c>
      <c r="R17" s="305"/>
      <c r="S17" s="305"/>
      <c r="T17" s="305"/>
      <c r="U17" s="305"/>
      <c r="V17" s="305"/>
      <c r="W17" s="305"/>
      <c r="X17" s="192" t="s">
        <v>1151</v>
      </c>
      <c r="Y17" s="305"/>
      <c r="Z17" s="305"/>
      <c r="AA17" s="305"/>
      <c r="AB17" s="305"/>
      <c r="AC17" s="305"/>
      <c r="AD17" s="305"/>
      <c r="AE17" s="424"/>
    </row>
    <row r="18" spans="2:31" ht="14.5" x14ac:dyDescent="0.35">
      <c r="B18" s="455"/>
      <c r="E18" s="192">
        <v>10</v>
      </c>
      <c r="F18" s="192" t="s">
        <v>265</v>
      </c>
      <c r="G18" s="192" t="s">
        <v>273</v>
      </c>
      <c r="H18" s="192" t="s">
        <v>541</v>
      </c>
      <c r="I18" s="192" t="s">
        <v>338</v>
      </c>
      <c r="J18" s="192" t="s">
        <v>622</v>
      </c>
      <c r="K18" s="192" t="s">
        <v>339</v>
      </c>
      <c r="L18" s="192" t="str">
        <f t="shared" si="0"/>
        <v>Stationary AssetsBuildingsOur EstateRefrigerantsHFC-227eaNaN</v>
      </c>
      <c r="M18" s="192" t="s">
        <v>1142</v>
      </c>
      <c r="N18" s="192" t="s">
        <v>337</v>
      </c>
      <c r="O18" s="305"/>
      <c r="P18" s="372"/>
      <c r="Q18" s="376">
        <v>3350</v>
      </c>
      <c r="R18" s="305"/>
      <c r="S18" s="305"/>
      <c r="T18" s="305"/>
      <c r="U18" s="305"/>
      <c r="V18" s="305"/>
      <c r="W18" s="305"/>
      <c r="X18" s="192" t="s">
        <v>1152</v>
      </c>
      <c r="Y18" s="305"/>
      <c r="Z18" s="305"/>
      <c r="AA18" s="305"/>
      <c r="AB18" s="305"/>
      <c r="AC18" s="305"/>
      <c r="AD18" s="305"/>
      <c r="AE18" s="424"/>
    </row>
    <row r="19" spans="2:31" ht="14.5" x14ac:dyDescent="0.35">
      <c r="B19" s="455"/>
      <c r="E19" s="192">
        <v>11</v>
      </c>
      <c r="F19" s="192" t="s">
        <v>265</v>
      </c>
      <c r="G19" s="192" t="s">
        <v>273</v>
      </c>
      <c r="H19" s="192" t="s">
        <v>541</v>
      </c>
      <c r="I19" s="192" t="s">
        <v>338</v>
      </c>
      <c r="J19" s="192" t="s">
        <v>626</v>
      </c>
      <c r="K19" s="192" t="s">
        <v>339</v>
      </c>
      <c r="L19" s="192" t="str">
        <f t="shared" si="0"/>
        <v>Stationary AssetsBuildingsOur EstateRefrigerantsHFC-236faNaN</v>
      </c>
      <c r="M19" s="192" t="s">
        <v>1142</v>
      </c>
      <c r="N19" s="192" t="s">
        <v>337</v>
      </c>
      <c r="O19" s="305"/>
      <c r="P19" s="372"/>
      <c r="Q19" s="376">
        <v>8060</v>
      </c>
      <c r="R19" s="305"/>
      <c r="S19" s="305"/>
      <c r="T19" s="305"/>
      <c r="U19" s="305"/>
      <c r="V19" s="305"/>
      <c r="W19" s="305"/>
      <c r="X19" s="192" t="s">
        <v>1153</v>
      </c>
      <c r="Y19" s="305"/>
      <c r="Z19" s="305"/>
      <c r="AA19" s="305"/>
      <c r="AB19" s="305"/>
      <c r="AC19" s="305"/>
      <c r="AD19" s="305"/>
      <c r="AE19" s="424"/>
    </row>
    <row r="20" spans="2:31" ht="14.5" x14ac:dyDescent="0.35">
      <c r="B20" s="455"/>
      <c r="E20" s="192">
        <v>12</v>
      </c>
      <c r="F20" s="192" t="s">
        <v>265</v>
      </c>
      <c r="G20" s="192" t="s">
        <v>273</v>
      </c>
      <c r="H20" s="192" t="s">
        <v>541</v>
      </c>
      <c r="I20" s="192" t="s">
        <v>338</v>
      </c>
      <c r="J20" s="192" t="s">
        <v>630</v>
      </c>
      <c r="K20" s="192" t="s">
        <v>339</v>
      </c>
      <c r="L20" s="192" t="str">
        <f t="shared" si="0"/>
        <v>Stationary AssetsBuildingsOur EstateRefrigerantsHFC-245faNaN</v>
      </c>
      <c r="M20" s="192" t="s">
        <v>1142</v>
      </c>
      <c r="N20" s="192" t="s">
        <v>337</v>
      </c>
      <c r="O20" s="305"/>
      <c r="P20" s="372"/>
      <c r="Q20" s="376">
        <v>858</v>
      </c>
      <c r="R20" s="305"/>
      <c r="S20" s="305"/>
      <c r="T20" s="305"/>
      <c r="U20" s="305"/>
      <c r="V20" s="305"/>
      <c r="W20" s="305"/>
      <c r="X20" s="192" t="s">
        <v>1154</v>
      </c>
      <c r="Y20" s="305"/>
      <c r="Z20" s="305"/>
      <c r="AA20" s="305"/>
      <c r="AB20" s="305"/>
      <c r="AC20" s="305"/>
      <c r="AD20" s="305"/>
      <c r="AE20" s="424"/>
    </row>
    <row r="21" spans="2:31" ht="14.5" x14ac:dyDescent="0.35">
      <c r="B21" s="455"/>
      <c r="E21" s="192">
        <v>13</v>
      </c>
      <c r="F21" s="192" t="s">
        <v>265</v>
      </c>
      <c r="G21" s="192" t="s">
        <v>273</v>
      </c>
      <c r="H21" s="192" t="s">
        <v>541</v>
      </c>
      <c r="I21" s="192" t="s">
        <v>338</v>
      </c>
      <c r="J21" s="192" t="s">
        <v>634</v>
      </c>
      <c r="K21" s="192" t="s">
        <v>339</v>
      </c>
      <c r="L21" s="192" t="str">
        <f t="shared" si="0"/>
        <v>Stationary AssetsBuildingsOur EstateRefrigerantsHFC-43-I0meeNaN</v>
      </c>
      <c r="M21" s="192" t="s">
        <v>1142</v>
      </c>
      <c r="N21" s="192" t="s">
        <v>337</v>
      </c>
      <c r="O21" s="305"/>
      <c r="P21" s="372"/>
      <c r="Q21" s="376">
        <v>1650</v>
      </c>
      <c r="R21" s="305"/>
      <c r="S21" s="305"/>
      <c r="T21" s="305"/>
      <c r="U21" s="305"/>
      <c r="V21" s="305"/>
      <c r="W21" s="305"/>
      <c r="X21" s="192" t="s">
        <v>1155</v>
      </c>
      <c r="Y21" s="305"/>
      <c r="Z21" s="305"/>
      <c r="AA21" s="305"/>
      <c r="AB21" s="305"/>
      <c r="AC21" s="305"/>
      <c r="AD21" s="305"/>
      <c r="AE21" s="424"/>
    </row>
    <row r="22" spans="2:31" ht="14.5" x14ac:dyDescent="0.35">
      <c r="B22" s="161"/>
      <c r="E22" s="192">
        <v>14</v>
      </c>
      <c r="F22" s="192" t="s">
        <v>265</v>
      </c>
      <c r="G22" s="192" t="s">
        <v>273</v>
      </c>
      <c r="H22" s="192" t="s">
        <v>541</v>
      </c>
      <c r="I22" s="192" t="s">
        <v>338</v>
      </c>
      <c r="J22" s="192" t="s">
        <v>638</v>
      </c>
      <c r="K22" s="192" t="s">
        <v>339</v>
      </c>
      <c r="L22" s="192" t="str">
        <f t="shared" si="0"/>
        <v>Stationary AssetsBuildingsOur EstateRefrigerantsPerfluoromethane (PFC-14)NaN</v>
      </c>
      <c r="M22" s="192" t="s">
        <v>1142</v>
      </c>
      <c r="N22" s="192" t="s">
        <v>337</v>
      </c>
      <c r="O22" s="305"/>
      <c r="P22" s="372"/>
      <c r="Q22" s="376">
        <v>6630</v>
      </c>
      <c r="R22" s="305"/>
      <c r="S22" s="305"/>
      <c r="T22" s="305"/>
      <c r="U22" s="305"/>
      <c r="V22" s="305"/>
      <c r="W22" s="305"/>
      <c r="X22" s="192" t="s">
        <v>1156</v>
      </c>
      <c r="Y22" s="305"/>
      <c r="Z22" s="305"/>
      <c r="AA22" s="305"/>
      <c r="AB22" s="305"/>
      <c r="AC22" s="305"/>
      <c r="AD22" s="305"/>
      <c r="AE22" s="424"/>
    </row>
    <row r="23" spans="2:31" ht="14.5" x14ac:dyDescent="0.35">
      <c r="B23" s="161"/>
      <c r="E23" s="192">
        <v>15</v>
      </c>
      <c r="F23" s="192" t="s">
        <v>265</v>
      </c>
      <c r="G23" s="192" t="s">
        <v>273</v>
      </c>
      <c r="H23" s="192" t="s">
        <v>541</v>
      </c>
      <c r="I23" s="192" t="s">
        <v>338</v>
      </c>
      <c r="J23" s="192" t="s">
        <v>642</v>
      </c>
      <c r="K23" s="192" t="s">
        <v>339</v>
      </c>
      <c r="L23" s="192" t="str">
        <f t="shared" si="0"/>
        <v>Stationary AssetsBuildingsOur EstateRefrigerantsPerfluoroethane (PFC-116)NaN</v>
      </c>
      <c r="M23" s="192" t="s">
        <v>1142</v>
      </c>
      <c r="N23" s="192" t="s">
        <v>337</v>
      </c>
      <c r="O23" s="305"/>
      <c r="P23" s="372"/>
      <c r="Q23" s="376">
        <v>11100</v>
      </c>
      <c r="R23" s="305"/>
      <c r="S23" s="305"/>
      <c r="T23" s="305"/>
      <c r="U23" s="305"/>
      <c r="V23" s="305"/>
      <c r="W23" s="305"/>
      <c r="X23" s="192" t="s">
        <v>1157</v>
      </c>
      <c r="Y23" s="305"/>
      <c r="Z23" s="305"/>
      <c r="AA23" s="305"/>
      <c r="AB23" s="305"/>
      <c r="AC23" s="305"/>
      <c r="AD23" s="305"/>
      <c r="AE23" s="424"/>
    </row>
    <row r="24" spans="2:31" ht="14.5" x14ac:dyDescent="0.35">
      <c r="B24" s="159"/>
      <c r="E24" s="192">
        <v>16</v>
      </c>
      <c r="F24" s="192" t="s">
        <v>265</v>
      </c>
      <c r="G24" s="192" t="s">
        <v>273</v>
      </c>
      <c r="H24" s="192" t="s">
        <v>541</v>
      </c>
      <c r="I24" s="192" t="s">
        <v>338</v>
      </c>
      <c r="J24" s="192" t="s">
        <v>646</v>
      </c>
      <c r="K24" s="192" t="s">
        <v>339</v>
      </c>
      <c r="L24" s="192" t="str">
        <f t="shared" si="0"/>
        <v>Stationary AssetsBuildingsOur EstateRefrigerantsPerfluoropropane (PFC-218)NaN</v>
      </c>
      <c r="M24" s="192" t="s">
        <v>1142</v>
      </c>
      <c r="N24" s="192" t="s">
        <v>337</v>
      </c>
      <c r="O24" s="305"/>
      <c r="P24" s="372"/>
      <c r="Q24" s="376">
        <v>8900</v>
      </c>
      <c r="R24" s="305"/>
      <c r="S24" s="305"/>
      <c r="T24" s="305"/>
      <c r="U24" s="305"/>
      <c r="V24" s="305"/>
      <c r="W24" s="305"/>
      <c r="X24" s="192" t="s">
        <v>1158</v>
      </c>
      <c r="Y24" s="305"/>
      <c r="Z24" s="305"/>
      <c r="AA24" s="305"/>
      <c r="AB24" s="305"/>
      <c r="AC24" s="305"/>
      <c r="AD24" s="305"/>
      <c r="AE24" s="424"/>
    </row>
    <row r="25" spans="2:31" ht="14.5" x14ac:dyDescent="0.35">
      <c r="E25" s="192">
        <v>17</v>
      </c>
      <c r="F25" s="192" t="s">
        <v>265</v>
      </c>
      <c r="G25" s="192" t="s">
        <v>273</v>
      </c>
      <c r="H25" s="192" t="s">
        <v>541</v>
      </c>
      <c r="I25" s="192" t="s">
        <v>338</v>
      </c>
      <c r="J25" s="192" t="s">
        <v>650</v>
      </c>
      <c r="K25" s="192" t="s">
        <v>339</v>
      </c>
      <c r="L25" s="192" t="str">
        <f t="shared" si="0"/>
        <v>Stationary AssetsBuildingsOur EstateRefrigerantsPerfluorocyclobutane (PFC-318)NaN</v>
      </c>
      <c r="M25" s="192" t="s">
        <v>1142</v>
      </c>
      <c r="N25" s="192" t="s">
        <v>337</v>
      </c>
      <c r="O25" s="305"/>
      <c r="P25" s="372"/>
      <c r="Q25" s="376">
        <v>9540</v>
      </c>
      <c r="R25" s="305"/>
      <c r="S25" s="305"/>
      <c r="T25" s="305"/>
      <c r="U25" s="305"/>
      <c r="V25" s="305"/>
      <c r="W25" s="305"/>
      <c r="X25" s="192" t="s">
        <v>1159</v>
      </c>
      <c r="Y25" s="305"/>
      <c r="Z25" s="305"/>
      <c r="AA25" s="305"/>
      <c r="AB25" s="305"/>
      <c r="AC25" s="305"/>
      <c r="AD25" s="305"/>
      <c r="AE25" s="424"/>
    </row>
    <row r="26" spans="2:31" ht="14.5" x14ac:dyDescent="0.35">
      <c r="B26" s="455"/>
      <c r="E26" s="192">
        <v>18</v>
      </c>
      <c r="F26" s="192" t="s">
        <v>265</v>
      </c>
      <c r="G26" s="192" t="s">
        <v>273</v>
      </c>
      <c r="H26" s="192" t="s">
        <v>541</v>
      </c>
      <c r="I26" s="192" t="s">
        <v>338</v>
      </c>
      <c r="J26" s="192" t="s">
        <v>653</v>
      </c>
      <c r="K26" s="192" t="s">
        <v>339</v>
      </c>
      <c r="L26" s="192" t="str">
        <f t="shared" si="0"/>
        <v>Stationary AssetsBuildingsOur EstateRefrigerantsPerfluorobutane (PFC-3-1-10)NaN</v>
      </c>
      <c r="M26" s="192" t="s">
        <v>1142</v>
      </c>
      <c r="N26" s="192" t="s">
        <v>337</v>
      </c>
      <c r="O26" s="305"/>
      <c r="P26" s="372"/>
      <c r="Q26" s="376">
        <v>9200</v>
      </c>
      <c r="R26" s="305"/>
      <c r="S26" s="305"/>
      <c r="T26" s="305"/>
      <c r="U26" s="305"/>
      <c r="V26" s="305"/>
      <c r="W26" s="305"/>
      <c r="X26" s="192" t="s">
        <v>1160</v>
      </c>
      <c r="Y26" s="305"/>
      <c r="Z26" s="305"/>
      <c r="AA26" s="305"/>
      <c r="AB26" s="305"/>
      <c r="AC26" s="305"/>
      <c r="AD26" s="305"/>
      <c r="AE26" s="424"/>
    </row>
    <row r="27" spans="2:31" ht="14.5" x14ac:dyDescent="0.35">
      <c r="B27" s="455"/>
      <c r="E27" s="192">
        <v>19</v>
      </c>
      <c r="F27" s="192" t="s">
        <v>265</v>
      </c>
      <c r="G27" s="192" t="s">
        <v>273</v>
      </c>
      <c r="H27" s="192" t="s">
        <v>541</v>
      </c>
      <c r="I27" s="192" t="s">
        <v>338</v>
      </c>
      <c r="J27" s="192" t="s">
        <v>656</v>
      </c>
      <c r="K27" s="192" t="s">
        <v>339</v>
      </c>
      <c r="L27" s="192" t="str">
        <f t="shared" si="0"/>
        <v>Stationary AssetsBuildingsOur EstateRefrigerantsPerfluoropentane (PFC-4-1-12)NaN</v>
      </c>
      <c r="M27" s="192" t="s">
        <v>1142</v>
      </c>
      <c r="N27" s="192" t="s">
        <v>337</v>
      </c>
      <c r="O27" s="305"/>
      <c r="P27" s="372"/>
      <c r="Q27" s="376">
        <v>8550</v>
      </c>
      <c r="R27" s="305"/>
      <c r="S27" s="305"/>
      <c r="T27" s="305"/>
      <c r="U27" s="305"/>
      <c r="V27" s="305"/>
      <c r="W27" s="305"/>
      <c r="X27" s="192" t="s">
        <v>1161</v>
      </c>
      <c r="Y27" s="305"/>
      <c r="Z27" s="305"/>
      <c r="AA27" s="305"/>
      <c r="AB27" s="305"/>
      <c r="AC27" s="305"/>
      <c r="AD27" s="305"/>
      <c r="AE27" s="424"/>
    </row>
    <row r="28" spans="2:31" ht="14.5" x14ac:dyDescent="0.35">
      <c r="B28" s="455"/>
      <c r="E28" s="192">
        <v>20</v>
      </c>
      <c r="F28" s="192" t="s">
        <v>265</v>
      </c>
      <c r="G28" s="192" t="s">
        <v>273</v>
      </c>
      <c r="H28" s="192" t="s">
        <v>541</v>
      </c>
      <c r="I28" s="192" t="s">
        <v>338</v>
      </c>
      <c r="J28" s="192" t="s">
        <v>659</v>
      </c>
      <c r="K28" s="192" t="s">
        <v>339</v>
      </c>
      <c r="L28" s="192" t="str">
        <f t="shared" si="0"/>
        <v>Stationary AssetsBuildingsOur EstateRefrigerantsPerfluorohexane (PFC-5-1-14)NaN</v>
      </c>
      <c r="M28" s="192" t="s">
        <v>1142</v>
      </c>
      <c r="N28" s="192" t="s">
        <v>337</v>
      </c>
      <c r="O28" s="305"/>
      <c r="P28" s="372"/>
      <c r="Q28" s="376">
        <v>7910</v>
      </c>
      <c r="R28" s="305"/>
      <c r="S28" s="305"/>
      <c r="T28" s="305"/>
      <c r="U28" s="305"/>
      <c r="V28" s="305"/>
      <c r="W28" s="305"/>
      <c r="X28" s="192" t="s">
        <v>1162</v>
      </c>
      <c r="Y28" s="305"/>
      <c r="Z28" s="305"/>
      <c r="AA28" s="305"/>
      <c r="AB28" s="305"/>
      <c r="AC28" s="305"/>
      <c r="AD28" s="305"/>
      <c r="AE28" s="424"/>
    </row>
    <row r="29" spans="2:31" ht="14.5" x14ac:dyDescent="0.35">
      <c r="B29" s="455"/>
      <c r="E29" s="192">
        <v>21</v>
      </c>
      <c r="F29" s="192" t="s">
        <v>265</v>
      </c>
      <c r="G29" s="192" t="s">
        <v>273</v>
      </c>
      <c r="H29" s="192" t="s">
        <v>541</v>
      </c>
      <c r="I29" s="192" t="s">
        <v>338</v>
      </c>
      <c r="J29" s="192" t="s">
        <v>662</v>
      </c>
      <c r="K29" s="192" t="s">
        <v>339</v>
      </c>
      <c r="L29" s="192" t="str">
        <f t="shared" si="0"/>
        <v>Stationary AssetsBuildingsOur EstateRefrigerantsPFC-9-1-18NaN</v>
      </c>
      <c r="M29" s="192" t="s">
        <v>1142</v>
      </c>
      <c r="N29" s="192" t="s">
        <v>337</v>
      </c>
      <c r="O29" s="305"/>
      <c r="P29" s="372"/>
      <c r="Q29" s="376">
        <v>7190</v>
      </c>
      <c r="R29" s="305"/>
      <c r="S29" s="305"/>
      <c r="T29" s="305"/>
      <c r="U29" s="305"/>
      <c r="V29" s="305"/>
      <c r="W29" s="305"/>
      <c r="X29" s="192" t="s">
        <v>1163</v>
      </c>
      <c r="Y29" s="305"/>
      <c r="Z29" s="305"/>
      <c r="AA29" s="305"/>
      <c r="AB29" s="305"/>
      <c r="AC29" s="305"/>
      <c r="AD29" s="305"/>
      <c r="AE29" s="424"/>
    </row>
    <row r="30" spans="2:31" ht="14.5" x14ac:dyDescent="0.35">
      <c r="B30" s="455"/>
      <c r="E30" s="192">
        <v>22</v>
      </c>
      <c r="F30" s="192" t="s">
        <v>265</v>
      </c>
      <c r="G30" s="192" t="s">
        <v>273</v>
      </c>
      <c r="H30" s="192" t="s">
        <v>541</v>
      </c>
      <c r="I30" s="192" t="s">
        <v>338</v>
      </c>
      <c r="J30" s="192" t="s">
        <v>665</v>
      </c>
      <c r="K30" s="192" t="s">
        <v>339</v>
      </c>
      <c r="L30" s="192" t="str">
        <f t="shared" si="0"/>
        <v>Stationary AssetsBuildingsOur EstateRefrigerantsPerfluorocyclopropaneNaN</v>
      </c>
      <c r="M30" s="192" t="s">
        <v>1142</v>
      </c>
      <c r="N30" s="192" t="s">
        <v>337</v>
      </c>
      <c r="O30" s="305"/>
      <c r="P30" s="372"/>
      <c r="Q30" s="376">
        <v>9200</v>
      </c>
      <c r="R30" s="305"/>
      <c r="S30" s="305"/>
      <c r="T30" s="305"/>
      <c r="U30" s="305"/>
      <c r="V30" s="305"/>
      <c r="W30" s="305"/>
      <c r="X30" s="192" t="s">
        <v>1164</v>
      </c>
      <c r="Y30" s="305"/>
      <c r="Z30" s="305"/>
      <c r="AA30" s="305"/>
      <c r="AB30" s="305"/>
      <c r="AC30" s="305"/>
      <c r="AD30" s="305"/>
      <c r="AE30" s="424"/>
    </row>
    <row r="31" spans="2:31" ht="14.5" x14ac:dyDescent="0.35">
      <c r="B31" s="455"/>
      <c r="E31" s="192">
        <v>23</v>
      </c>
      <c r="F31" s="192" t="s">
        <v>265</v>
      </c>
      <c r="G31" s="192" t="s">
        <v>273</v>
      </c>
      <c r="H31" s="192" t="s">
        <v>541</v>
      </c>
      <c r="I31" s="192" t="s">
        <v>338</v>
      </c>
      <c r="J31" s="192" t="s">
        <v>668</v>
      </c>
      <c r="K31" s="192" t="s">
        <v>339</v>
      </c>
      <c r="L31" s="192" t="str">
        <f t="shared" si="0"/>
        <v>Stationary AssetsBuildingsOur EstateRefrigerantsSulphur hexafluoride (SF6)NaN</v>
      </c>
      <c r="M31" s="192" t="s">
        <v>1142</v>
      </c>
      <c r="N31" s="192" t="s">
        <v>337</v>
      </c>
      <c r="O31" s="305"/>
      <c r="P31" s="372"/>
      <c r="Q31" s="376">
        <v>23500</v>
      </c>
      <c r="R31" s="305"/>
      <c r="S31" s="305"/>
      <c r="T31" s="305"/>
      <c r="U31" s="305"/>
      <c r="V31" s="305"/>
      <c r="W31" s="305"/>
      <c r="X31" s="192" t="s">
        <v>1165</v>
      </c>
      <c r="Y31" s="305"/>
      <c r="Z31" s="305"/>
      <c r="AA31" s="305"/>
      <c r="AB31" s="305"/>
      <c r="AC31" s="305"/>
      <c r="AD31" s="305"/>
      <c r="AE31" s="424"/>
    </row>
    <row r="32" spans="2:31" ht="14.5" x14ac:dyDescent="0.35">
      <c r="B32" s="455"/>
      <c r="E32" s="192">
        <v>24</v>
      </c>
      <c r="F32" s="192" t="s">
        <v>265</v>
      </c>
      <c r="G32" s="192" t="s">
        <v>273</v>
      </c>
      <c r="H32" s="192" t="s">
        <v>541</v>
      </c>
      <c r="I32" s="192" t="s">
        <v>338</v>
      </c>
      <c r="J32" s="192" t="s">
        <v>671</v>
      </c>
      <c r="K32" s="192" t="s">
        <v>339</v>
      </c>
      <c r="L32" s="192" t="str">
        <f t="shared" si="0"/>
        <v>Stationary AssetsBuildingsOur EstateRefrigerantsHFC-152NaN</v>
      </c>
      <c r="M32" s="192" t="s">
        <v>1142</v>
      </c>
      <c r="N32" s="192" t="s">
        <v>337</v>
      </c>
      <c r="O32" s="305"/>
      <c r="P32" s="372"/>
      <c r="Q32" s="376">
        <v>16</v>
      </c>
      <c r="R32" s="305"/>
      <c r="S32" s="305"/>
      <c r="T32" s="305"/>
      <c r="U32" s="305"/>
      <c r="V32" s="305"/>
      <c r="W32" s="305"/>
      <c r="X32" s="192" t="s">
        <v>1166</v>
      </c>
      <c r="Y32" s="305"/>
      <c r="Z32" s="305"/>
      <c r="AA32" s="305"/>
      <c r="AB32" s="305"/>
      <c r="AC32" s="305"/>
      <c r="AD32" s="305"/>
      <c r="AE32" s="424"/>
    </row>
    <row r="33" spans="2:31" ht="14.5" x14ac:dyDescent="0.35">
      <c r="B33" s="455"/>
      <c r="E33" s="192">
        <v>25</v>
      </c>
      <c r="F33" s="192" t="s">
        <v>265</v>
      </c>
      <c r="G33" s="192" t="s">
        <v>273</v>
      </c>
      <c r="H33" s="192" t="s">
        <v>541</v>
      </c>
      <c r="I33" s="192" t="s">
        <v>338</v>
      </c>
      <c r="J33" s="192" t="s">
        <v>674</v>
      </c>
      <c r="K33" s="192" t="s">
        <v>339</v>
      </c>
      <c r="L33" s="192" t="str">
        <f t="shared" si="0"/>
        <v>Stationary AssetsBuildingsOur EstateRefrigerantsHFC-161NaN</v>
      </c>
      <c r="M33" s="192" t="s">
        <v>1142</v>
      </c>
      <c r="N33" s="192" t="s">
        <v>337</v>
      </c>
      <c r="O33" s="305"/>
      <c r="P33" s="372"/>
      <c r="Q33" s="376">
        <v>4</v>
      </c>
      <c r="R33" s="305"/>
      <c r="S33" s="305"/>
      <c r="T33" s="305"/>
      <c r="U33" s="305"/>
      <c r="V33" s="305"/>
      <c r="W33" s="305"/>
      <c r="X33" s="192" t="s">
        <v>1167</v>
      </c>
      <c r="Y33" s="305"/>
      <c r="Z33" s="305"/>
      <c r="AA33" s="305"/>
      <c r="AB33" s="305"/>
      <c r="AC33" s="305"/>
      <c r="AD33" s="305"/>
      <c r="AE33" s="424"/>
    </row>
    <row r="34" spans="2:31" ht="14.5" x14ac:dyDescent="0.35">
      <c r="B34" s="455"/>
      <c r="E34" s="192">
        <v>26</v>
      </c>
      <c r="F34" s="192" t="s">
        <v>265</v>
      </c>
      <c r="G34" s="192" t="s">
        <v>273</v>
      </c>
      <c r="H34" s="192" t="s">
        <v>541</v>
      </c>
      <c r="I34" s="192" t="s">
        <v>338</v>
      </c>
      <c r="J34" s="192" t="s">
        <v>677</v>
      </c>
      <c r="K34" s="192" t="s">
        <v>339</v>
      </c>
      <c r="L34" s="192" t="str">
        <f t="shared" si="0"/>
        <v>Stationary AssetsBuildingsOur EstateRefrigerantsHFC-236cbNaN</v>
      </c>
      <c r="M34" s="192" t="s">
        <v>1142</v>
      </c>
      <c r="N34" s="192" t="s">
        <v>337</v>
      </c>
      <c r="O34" s="305"/>
      <c r="P34" s="372"/>
      <c r="Q34" s="376">
        <v>1210</v>
      </c>
      <c r="R34" s="305"/>
      <c r="S34" s="305"/>
      <c r="T34" s="305"/>
      <c r="U34" s="305"/>
      <c r="V34" s="305"/>
      <c r="W34" s="305"/>
      <c r="X34" s="192" t="s">
        <v>1168</v>
      </c>
      <c r="Y34" s="305"/>
      <c r="Z34" s="305"/>
      <c r="AA34" s="305"/>
      <c r="AB34" s="305"/>
      <c r="AC34" s="305"/>
      <c r="AD34" s="305"/>
      <c r="AE34" s="424"/>
    </row>
    <row r="35" spans="2:31" ht="14.5" x14ac:dyDescent="0.35">
      <c r="B35" s="455"/>
      <c r="E35" s="192">
        <v>27</v>
      </c>
      <c r="F35" s="192" t="s">
        <v>265</v>
      </c>
      <c r="G35" s="192" t="s">
        <v>273</v>
      </c>
      <c r="H35" s="192" t="s">
        <v>541</v>
      </c>
      <c r="I35" s="192" t="s">
        <v>338</v>
      </c>
      <c r="J35" s="192" t="s">
        <v>680</v>
      </c>
      <c r="K35" s="192" t="s">
        <v>339</v>
      </c>
      <c r="L35" s="192" t="str">
        <f t="shared" si="0"/>
        <v>Stationary AssetsBuildingsOur EstateRefrigerantsHFC-236eaNaN</v>
      </c>
      <c r="M35" s="192" t="s">
        <v>1142</v>
      </c>
      <c r="N35" s="192" t="s">
        <v>337</v>
      </c>
      <c r="O35" s="305"/>
      <c r="P35" s="372"/>
      <c r="Q35" s="376">
        <v>1330</v>
      </c>
      <c r="R35" s="305"/>
      <c r="S35" s="305"/>
      <c r="T35" s="305"/>
      <c r="U35" s="305"/>
      <c r="V35" s="305"/>
      <c r="W35" s="305"/>
      <c r="X35" s="192" t="s">
        <v>1169</v>
      </c>
      <c r="Y35" s="305"/>
      <c r="Z35" s="305"/>
      <c r="AA35" s="305"/>
      <c r="AB35" s="305"/>
      <c r="AC35" s="305"/>
      <c r="AD35" s="305"/>
      <c r="AE35" s="424"/>
    </row>
    <row r="36" spans="2:31" ht="14.5" x14ac:dyDescent="0.35">
      <c r="B36" s="455"/>
      <c r="E36" s="192">
        <v>28</v>
      </c>
      <c r="F36" s="192" t="s">
        <v>265</v>
      </c>
      <c r="G36" s="192" t="s">
        <v>273</v>
      </c>
      <c r="H36" s="192" t="s">
        <v>541</v>
      </c>
      <c r="I36" s="192" t="s">
        <v>338</v>
      </c>
      <c r="J36" s="192" t="s">
        <v>683</v>
      </c>
      <c r="K36" s="192" t="s">
        <v>339</v>
      </c>
      <c r="L36" s="192" t="str">
        <f t="shared" si="0"/>
        <v>Stationary AssetsBuildingsOur EstateRefrigerantsHFC-245caNaN</v>
      </c>
      <c r="M36" s="192" t="s">
        <v>1142</v>
      </c>
      <c r="N36" s="192" t="s">
        <v>337</v>
      </c>
      <c r="O36" s="305"/>
      <c r="P36" s="372"/>
      <c r="Q36" s="376">
        <v>716</v>
      </c>
      <c r="R36" s="305"/>
      <c r="S36" s="305"/>
      <c r="T36" s="305"/>
      <c r="U36" s="305"/>
      <c r="V36" s="305"/>
      <c r="W36" s="305"/>
      <c r="X36" s="192" t="s">
        <v>1170</v>
      </c>
      <c r="Y36" s="305"/>
      <c r="Z36" s="305"/>
      <c r="AA36" s="305"/>
      <c r="AB36" s="305"/>
      <c r="AC36" s="305"/>
      <c r="AD36" s="305"/>
      <c r="AE36" s="424"/>
    </row>
    <row r="37" spans="2:31" ht="14.5" x14ac:dyDescent="0.35">
      <c r="B37" s="455"/>
      <c r="E37" s="192">
        <v>29</v>
      </c>
      <c r="F37" s="192" t="s">
        <v>265</v>
      </c>
      <c r="G37" s="192" t="s">
        <v>273</v>
      </c>
      <c r="H37" s="192" t="s">
        <v>541</v>
      </c>
      <c r="I37" s="192" t="s">
        <v>338</v>
      </c>
      <c r="J37" s="192" t="s">
        <v>686</v>
      </c>
      <c r="K37" s="192" t="s">
        <v>339</v>
      </c>
      <c r="L37" s="192" t="str">
        <f t="shared" si="0"/>
        <v>Stationary AssetsBuildingsOur EstateRefrigerantsHFC-365mfcNaN</v>
      </c>
      <c r="M37" s="192" t="s">
        <v>1142</v>
      </c>
      <c r="N37" s="192" t="s">
        <v>337</v>
      </c>
      <c r="O37" s="305"/>
      <c r="P37" s="372"/>
      <c r="Q37" s="376">
        <v>804</v>
      </c>
      <c r="R37" s="305"/>
      <c r="S37" s="305"/>
      <c r="T37" s="305"/>
      <c r="U37" s="305"/>
      <c r="V37" s="305"/>
      <c r="W37" s="305"/>
      <c r="X37" s="192" t="s">
        <v>1171</v>
      </c>
      <c r="Y37" s="305"/>
      <c r="Z37" s="305"/>
      <c r="AA37" s="305"/>
      <c r="AB37" s="305"/>
      <c r="AC37" s="305"/>
      <c r="AD37" s="305"/>
      <c r="AE37" s="424"/>
    </row>
    <row r="38" spans="2:31" ht="14.5" x14ac:dyDescent="0.35">
      <c r="B38" s="161"/>
      <c r="E38" s="192">
        <v>30</v>
      </c>
      <c r="F38" s="192" t="s">
        <v>265</v>
      </c>
      <c r="G38" s="192" t="s">
        <v>273</v>
      </c>
      <c r="H38" s="192" t="s">
        <v>541</v>
      </c>
      <c r="I38" s="192" t="s">
        <v>338</v>
      </c>
      <c r="J38" s="192" t="s">
        <v>689</v>
      </c>
      <c r="K38" s="192" t="s">
        <v>339</v>
      </c>
      <c r="L38" s="192" t="str">
        <f t="shared" si="0"/>
        <v>Stationary AssetsBuildingsOur EstateRefrigerantsNitrogen trifluorideNaN</v>
      </c>
      <c r="M38" s="192" t="s">
        <v>1142</v>
      </c>
      <c r="N38" s="192" t="s">
        <v>337</v>
      </c>
      <c r="O38" s="305"/>
      <c r="P38" s="372"/>
      <c r="Q38" s="376">
        <v>16100</v>
      </c>
      <c r="R38" s="305"/>
      <c r="S38" s="305"/>
      <c r="T38" s="305"/>
      <c r="U38" s="305"/>
      <c r="V38" s="305"/>
      <c r="W38" s="305"/>
      <c r="X38" s="192" t="s">
        <v>1172</v>
      </c>
      <c r="Y38" s="305"/>
      <c r="Z38" s="305"/>
      <c r="AA38" s="305"/>
      <c r="AB38" s="305"/>
      <c r="AC38" s="305"/>
      <c r="AD38" s="305"/>
      <c r="AE38" s="424"/>
    </row>
    <row r="39" spans="2:31" ht="14.5" x14ac:dyDescent="0.35">
      <c r="E39" s="192">
        <v>31</v>
      </c>
      <c r="F39" s="192" t="s">
        <v>265</v>
      </c>
      <c r="G39" s="192" t="s">
        <v>273</v>
      </c>
      <c r="H39" s="192" t="s">
        <v>541</v>
      </c>
      <c r="I39" s="192" t="s">
        <v>338</v>
      </c>
      <c r="J39" s="192" t="s">
        <v>692</v>
      </c>
      <c r="K39" s="192" t="s">
        <v>339</v>
      </c>
      <c r="L39" s="192" t="str">
        <f t="shared" si="0"/>
        <v>Stationary AssetsBuildingsOur EstateRefrigerantsR401ANaN</v>
      </c>
      <c r="M39" s="192" t="s">
        <v>1142</v>
      </c>
      <c r="N39" s="192" t="s">
        <v>337</v>
      </c>
      <c r="O39" s="305"/>
      <c r="P39" s="372"/>
      <c r="Q39" s="376">
        <v>1130</v>
      </c>
      <c r="R39" s="305"/>
      <c r="S39" s="305"/>
      <c r="T39" s="305"/>
      <c r="U39" s="305"/>
      <c r="V39" s="305"/>
      <c r="W39" s="305"/>
      <c r="X39" s="192" t="s">
        <v>1173</v>
      </c>
      <c r="Y39" s="305"/>
      <c r="Z39" s="305"/>
      <c r="AA39" s="305"/>
      <c r="AB39" s="305"/>
      <c r="AC39" s="305"/>
      <c r="AD39" s="305"/>
      <c r="AE39" s="424"/>
    </row>
    <row r="40" spans="2:31" ht="14.5" x14ac:dyDescent="0.35">
      <c r="E40" s="192">
        <v>32</v>
      </c>
      <c r="F40" s="192" t="s">
        <v>265</v>
      </c>
      <c r="G40" s="192" t="s">
        <v>273</v>
      </c>
      <c r="H40" s="192" t="s">
        <v>541</v>
      </c>
      <c r="I40" s="192" t="s">
        <v>338</v>
      </c>
      <c r="J40" s="192" t="s">
        <v>695</v>
      </c>
      <c r="K40" s="192" t="s">
        <v>339</v>
      </c>
      <c r="L40" s="192" t="str">
        <f t="shared" si="0"/>
        <v>Stationary AssetsBuildingsOur EstateRefrigerantsR401BNaN</v>
      </c>
      <c r="M40" s="192" t="s">
        <v>1142</v>
      </c>
      <c r="N40" s="192" t="s">
        <v>337</v>
      </c>
      <c r="O40" s="305"/>
      <c r="P40" s="372"/>
      <c r="Q40" s="376">
        <v>1236</v>
      </c>
      <c r="R40" s="305"/>
      <c r="S40" s="305"/>
      <c r="T40" s="305"/>
      <c r="U40" s="305"/>
      <c r="V40" s="305"/>
      <c r="W40" s="305"/>
      <c r="X40" s="192" t="s">
        <v>1174</v>
      </c>
      <c r="Y40" s="305"/>
      <c r="Z40" s="305"/>
      <c r="AA40" s="305"/>
      <c r="AB40" s="305"/>
      <c r="AC40" s="305"/>
      <c r="AD40" s="305"/>
      <c r="AE40" s="424"/>
    </row>
    <row r="41" spans="2:31" ht="14.5" x14ac:dyDescent="0.35">
      <c r="E41" s="192">
        <v>33</v>
      </c>
      <c r="F41" s="192" t="s">
        <v>265</v>
      </c>
      <c r="G41" s="192" t="s">
        <v>273</v>
      </c>
      <c r="H41" s="192" t="s">
        <v>541</v>
      </c>
      <c r="I41" s="192" t="s">
        <v>338</v>
      </c>
      <c r="J41" s="192" t="s">
        <v>698</v>
      </c>
      <c r="K41" s="192" t="s">
        <v>339</v>
      </c>
      <c r="L41" s="192" t="str">
        <f t="shared" si="0"/>
        <v>Stationary AssetsBuildingsOur EstateRefrigerantsR401CNaN</v>
      </c>
      <c r="M41" s="192" t="s">
        <v>1142</v>
      </c>
      <c r="N41" s="192" t="s">
        <v>337</v>
      </c>
      <c r="O41" s="305"/>
      <c r="P41" s="372"/>
      <c r="Q41" s="376">
        <v>876</v>
      </c>
      <c r="R41" s="305"/>
      <c r="S41" s="305"/>
      <c r="T41" s="305"/>
      <c r="U41" s="305"/>
      <c r="V41" s="305"/>
      <c r="W41" s="305"/>
      <c r="X41" s="192" t="s">
        <v>1175</v>
      </c>
      <c r="Y41" s="305"/>
      <c r="Z41" s="305"/>
      <c r="AA41" s="305"/>
      <c r="AB41" s="305"/>
      <c r="AC41" s="305"/>
      <c r="AD41" s="305"/>
      <c r="AE41" s="424"/>
    </row>
    <row r="42" spans="2:31" ht="14.5" x14ac:dyDescent="0.35">
      <c r="E42" s="192">
        <v>34</v>
      </c>
      <c r="F42" s="192" t="s">
        <v>265</v>
      </c>
      <c r="G42" s="192" t="s">
        <v>273</v>
      </c>
      <c r="H42" s="192" t="s">
        <v>541</v>
      </c>
      <c r="I42" s="192" t="s">
        <v>338</v>
      </c>
      <c r="J42" s="192" t="s">
        <v>701</v>
      </c>
      <c r="K42" s="192" t="s">
        <v>339</v>
      </c>
      <c r="L42" s="192" t="str">
        <f t="shared" si="0"/>
        <v>Stationary AssetsBuildingsOur EstateRefrigerantsR402ANaN</v>
      </c>
      <c r="M42" s="192" t="s">
        <v>1142</v>
      </c>
      <c r="N42" s="192" t="s">
        <v>337</v>
      </c>
      <c r="O42" s="305"/>
      <c r="P42" s="372"/>
      <c r="Q42" s="376">
        <v>2571</v>
      </c>
      <c r="R42" s="305"/>
      <c r="S42" s="305"/>
      <c r="T42" s="305"/>
      <c r="U42" s="305"/>
      <c r="V42" s="305"/>
      <c r="W42" s="305"/>
      <c r="X42" s="192" t="s">
        <v>1176</v>
      </c>
      <c r="Y42" s="305"/>
      <c r="Z42" s="305"/>
      <c r="AA42" s="305"/>
      <c r="AB42" s="305"/>
      <c r="AC42" s="305"/>
      <c r="AD42" s="305"/>
      <c r="AE42" s="424"/>
    </row>
    <row r="43" spans="2:31" ht="14.5" x14ac:dyDescent="0.35">
      <c r="E43" s="192">
        <v>35</v>
      </c>
      <c r="F43" s="192" t="s">
        <v>265</v>
      </c>
      <c r="G43" s="192" t="s">
        <v>273</v>
      </c>
      <c r="H43" s="192" t="s">
        <v>541</v>
      </c>
      <c r="I43" s="192" t="s">
        <v>338</v>
      </c>
      <c r="J43" s="192" t="s">
        <v>704</v>
      </c>
      <c r="K43" s="192" t="s">
        <v>339</v>
      </c>
      <c r="L43" s="192" t="str">
        <f t="shared" si="0"/>
        <v>Stationary AssetsBuildingsOur EstateRefrigerantsR402BNaN</v>
      </c>
      <c r="M43" s="192" t="s">
        <v>1142</v>
      </c>
      <c r="N43" s="192" t="s">
        <v>337</v>
      </c>
      <c r="O43" s="305"/>
      <c r="P43" s="372"/>
      <c r="Q43" s="376">
        <v>2261</v>
      </c>
      <c r="R43" s="305"/>
      <c r="S43" s="305"/>
      <c r="T43" s="305"/>
      <c r="U43" s="305"/>
      <c r="V43" s="305"/>
      <c r="W43" s="305"/>
      <c r="X43" s="192" t="s">
        <v>1177</v>
      </c>
      <c r="Y43" s="305"/>
      <c r="Z43" s="305"/>
      <c r="AA43" s="305"/>
      <c r="AB43" s="305"/>
      <c r="AC43" s="305"/>
      <c r="AD43" s="305"/>
      <c r="AE43" s="424"/>
    </row>
    <row r="44" spans="2:31" ht="14.5" x14ac:dyDescent="0.35">
      <c r="E44" s="192">
        <v>36</v>
      </c>
      <c r="F44" s="192" t="s">
        <v>265</v>
      </c>
      <c r="G44" s="192" t="s">
        <v>273</v>
      </c>
      <c r="H44" s="192" t="s">
        <v>541</v>
      </c>
      <c r="I44" s="192" t="s">
        <v>338</v>
      </c>
      <c r="J44" s="192" t="s">
        <v>707</v>
      </c>
      <c r="K44" s="192" t="s">
        <v>339</v>
      </c>
      <c r="L44" s="192" t="str">
        <f t="shared" si="0"/>
        <v>Stationary AssetsBuildingsOur EstateRefrigerantsR403ANaN</v>
      </c>
      <c r="M44" s="192" t="s">
        <v>1142</v>
      </c>
      <c r="N44" s="192" t="s">
        <v>337</v>
      </c>
      <c r="O44" s="305"/>
      <c r="P44" s="372"/>
      <c r="Q44" s="376">
        <v>3100</v>
      </c>
      <c r="R44" s="305"/>
      <c r="S44" s="305"/>
      <c r="T44" s="305"/>
      <c r="U44" s="305"/>
      <c r="V44" s="305"/>
      <c r="W44" s="305"/>
      <c r="X44" s="192" t="s">
        <v>1178</v>
      </c>
      <c r="Y44" s="305"/>
      <c r="Z44" s="305"/>
      <c r="AA44" s="305"/>
      <c r="AB44" s="305"/>
      <c r="AC44" s="305"/>
      <c r="AD44" s="305"/>
      <c r="AE44" s="424"/>
    </row>
    <row r="45" spans="2:31" ht="14.5" x14ac:dyDescent="0.35">
      <c r="E45" s="192">
        <v>37</v>
      </c>
      <c r="F45" s="192" t="s">
        <v>265</v>
      </c>
      <c r="G45" s="192" t="s">
        <v>273</v>
      </c>
      <c r="H45" s="192" t="s">
        <v>541</v>
      </c>
      <c r="I45" s="192" t="s">
        <v>338</v>
      </c>
      <c r="J45" s="192" t="s">
        <v>710</v>
      </c>
      <c r="K45" s="192" t="s">
        <v>339</v>
      </c>
      <c r="L45" s="192" t="str">
        <f t="shared" si="0"/>
        <v>Stationary AssetsBuildingsOur EstateRefrigerantsR403BNaN</v>
      </c>
      <c r="M45" s="192" t="s">
        <v>1142</v>
      </c>
      <c r="N45" s="192" t="s">
        <v>337</v>
      </c>
      <c r="O45" s="305"/>
      <c r="P45" s="372"/>
      <c r="Q45" s="376">
        <v>4457</v>
      </c>
      <c r="R45" s="305"/>
      <c r="S45" s="305"/>
      <c r="T45" s="305"/>
      <c r="U45" s="305"/>
      <c r="V45" s="305"/>
      <c r="W45" s="305"/>
      <c r="X45" s="192" t="s">
        <v>1179</v>
      </c>
      <c r="Y45" s="305"/>
      <c r="Z45" s="305"/>
      <c r="AA45" s="305"/>
      <c r="AB45" s="305"/>
      <c r="AC45" s="305"/>
      <c r="AD45" s="305"/>
      <c r="AE45" s="424"/>
    </row>
    <row r="46" spans="2:31" ht="14.5" x14ac:dyDescent="0.35">
      <c r="E46" s="192">
        <v>38</v>
      </c>
      <c r="F46" s="192" t="s">
        <v>265</v>
      </c>
      <c r="G46" s="192" t="s">
        <v>273</v>
      </c>
      <c r="H46" s="192" t="s">
        <v>541</v>
      </c>
      <c r="I46" s="192" t="s">
        <v>338</v>
      </c>
      <c r="J46" s="192" t="s">
        <v>713</v>
      </c>
      <c r="K46" s="192" t="s">
        <v>339</v>
      </c>
      <c r="L46" s="192" t="str">
        <f t="shared" si="0"/>
        <v>Stationary AssetsBuildingsOur EstateRefrigerantsR404ANaN</v>
      </c>
      <c r="M46" s="192" t="s">
        <v>1142</v>
      </c>
      <c r="N46" s="192" t="s">
        <v>337</v>
      </c>
      <c r="O46" s="305"/>
      <c r="P46" s="372"/>
      <c r="Q46" s="376">
        <v>3943</v>
      </c>
      <c r="R46" s="305"/>
      <c r="S46" s="305"/>
      <c r="T46" s="305"/>
      <c r="U46" s="305"/>
      <c r="V46" s="305"/>
      <c r="W46" s="305"/>
      <c r="X46" s="192" t="s">
        <v>1180</v>
      </c>
      <c r="Y46" s="305"/>
      <c r="Z46" s="305"/>
      <c r="AA46" s="305"/>
      <c r="AB46" s="305"/>
      <c r="AC46" s="305"/>
      <c r="AD46" s="305"/>
      <c r="AE46" s="424"/>
    </row>
    <row r="47" spans="2:31" ht="14.5" x14ac:dyDescent="0.35">
      <c r="E47" s="192">
        <v>39</v>
      </c>
      <c r="F47" s="192" t="s">
        <v>265</v>
      </c>
      <c r="G47" s="192" t="s">
        <v>273</v>
      </c>
      <c r="H47" s="192" t="s">
        <v>541</v>
      </c>
      <c r="I47" s="192" t="s">
        <v>338</v>
      </c>
      <c r="J47" s="192" t="s">
        <v>716</v>
      </c>
      <c r="K47" s="192" t="s">
        <v>339</v>
      </c>
      <c r="L47" s="192" t="str">
        <f t="shared" si="0"/>
        <v>Stationary AssetsBuildingsOur EstateRefrigerantsR405ANaN</v>
      </c>
      <c r="M47" s="192" t="s">
        <v>1142</v>
      </c>
      <c r="N47" s="192" t="s">
        <v>337</v>
      </c>
      <c r="O47" s="305"/>
      <c r="P47" s="372"/>
      <c r="Q47" s="376">
        <v>4821</v>
      </c>
      <c r="R47" s="305"/>
      <c r="S47" s="305"/>
      <c r="T47" s="305"/>
      <c r="U47" s="305"/>
      <c r="V47" s="305"/>
      <c r="W47" s="305"/>
      <c r="X47" s="192" t="s">
        <v>1181</v>
      </c>
      <c r="Y47" s="305"/>
      <c r="Z47" s="305"/>
      <c r="AA47" s="305"/>
      <c r="AB47" s="305"/>
      <c r="AC47" s="305"/>
      <c r="AD47" s="305"/>
      <c r="AE47" s="424"/>
    </row>
    <row r="48" spans="2:31" ht="14.5" x14ac:dyDescent="0.35">
      <c r="E48" s="192">
        <v>40</v>
      </c>
      <c r="F48" s="192" t="s">
        <v>265</v>
      </c>
      <c r="G48" s="192" t="s">
        <v>273</v>
      </c>
      <c r="H48" s="192" t="s">
        <v>541</v>
      </c>
      <c r="I48" s="192" t="s">
        <v>338</v>
      </c>
      <c r="J48" s="192" t="s">
        <v>719</v>
      </c>
      <c r="K48" s="192" t="s">
        <v>339</v>
      </c>
      <c r="L48" s="192" t="str">
        <f t="shared" si="0"/>
        <v>Stationary AssetsBuildingsOur EstateRefrigerantsR406ANaN</v>
      </c>
      <c r="M48" s="192" t="s">
        <v>1142</v>
      </c>
      <c r="N48" s="192" t="s">
        <v>337</v>
      </c>
      <c r="O48" s="305"/>
      <c r="P48" s="372"/>
      <c r="Q48" s="376">
        <v>1780</v>
      </c>
      <c r="R48" s="305"/>
      <c r="S48" s="305"/>
      <c r="T48" s="305"/>
      <c r="U48" s="305"/>
      <c r="V48" s="305"/>
      <c r="W48" s="305"/>
      <c r="X48" s="192" t="s">
        <v>1182</v>
      </c>
      <c r="Y48" s="305"/>
      <c r="Z48" s="305"/>
      <c r="AA48" s="305"/>
      <c r="AB48" s="305"/>
      <c r="AC48" s="305"/>
      <c r="AD48" s="305"/>
      <c r="AE48" s="424"/>
    </row>
    <row r="49" spans="5:31" ht="14.5" x14ac:dyDescent="0.35">
      <c r="E49" s="192">
        <v>41</v>
      </c>
      <c r="F49" s="192" t="s">
        <v>265</v>
      </c>
      <c r="G49" s="192" t="s">
        <v>273</v>
      </c>
      <c r="H49" s="192" t="s">
        <v>541</v>
      </c>
      <c r="I49" s="192" t="s">
        <v>338</v>
      </c>
      <c r="J49" s="192" t="s">
        <v>722</v>
      </c>
      <c r="K49" s="192" t="s">
        <v>339</v>
      </c>
      <c r="L49" s="192" t="str">
        <f t="shared" si="0"/>
        <v>Stationary AssetsBuildingsOur EstateRefrigerantsR407ANaN</v>
      </c>
      <c r="M49" s="192" t="s">
        <v>1142</v>
      </c>
      <c r="N49" s="192" t="s">
        <v>337</v>
      </c>
      <c r="O49" s="305"/>
      <c r="P49" s="372"/>
      <c r="Q49" s="376">
        <v>1923</v>
      </c>
      <c r="R49" s="305"/>
      <c r="S49" s="305"/>
      <c r="T49" s="305"/>
      <c r="U49" s="305"/>
      <c r="V49" s="305"/>
      <c r="W49" s="305"/>
      <c r="X49" s="192" t="s">
        <v>1183</v>
      </c>
      <c r="Y49" s="305"/>
      <c r="Z49" s="305"/>
      <c r="AA49" s="305"/>
      <c r="AB49" s="305"/>
      <c r="AC49" s="305"/>
      <c r="AD49" s="305"/>
      <c r="AE49" s="424"/>
    </row>
    <row r="50" spans="5:31" ht="14.5" x14ac:dyDescent="0.35">
      <c r="E50" s="192">
        <v>42</v>
      </c>
      <c r="F50" s="192" t="s">
        <v>265</v>
      </c>
      <c r="G50" s="192" t="s">
        <v>273</v>
      </c>
      <c r="H50" s="192" t="s">
        <v>541</v>
      </c>
      <c r="I50" s="192" t="s">
        <v>338</v>
      </c>
      <c r="J50" s="192" t="s">
        <v>725</v>
      </c>
      <c r="K50" s="192" t="s">
        <v>339</v>
      </c>
      <c r="L50" s="192" t="str">
        <f t="shared" si="0"/>
        <v>Stationary AssetsBuildingsOur EstateRefrigerantsR407BNaN</v>
      </c>
      <c r="M50" s="192" t="s">
        <v>1142</v>
      </c>
      <c r="N50" s="192" t="s">
        <v>337</v>
      </c>
      <c r="O50" s="305"/>
      <c r="P50" s="372"/>
      <c r="Q50" s="376">
        <v>2547</v>
      </c>
      <c r="R50" s="305"/>
      <c r="S50" s="305"/>
      <c r="T50" s="305"/>
      <c r="U50" s="305"/>
      <c r="V50" s="305"/>
      <c r="W50" s="305"/>
      <c r="X50" s="192" t="s">
        <v>1184</v>
      </c>
      <c r="Y50" s="305"/>
      <c r="Z50" s="305"/>
      <c r="AA50" s="305"/>
      <c r="AB50" s="305"/>
      <c r="AC50" s="305"/>
      <c r="AD50" s="305"/>
      <c r="AE50" s="424"/>
    </row>
    <row r="51" spans="5:31" ht="14.5" x14ac:dyDescent="0.35">
      <c r="E51" s="192">
        <v>43</v>
      </c>
      <c r="F51" s="192" t="s">
        <v>265</v>
      </c>
      <c r="G51" s="192" t="s">
        <v>273</v>
      </c>
      <c r="H51" s="192" t="s">
        <v>541</v>
      </c>
      <c r="I51" s="192" t="s">
        <v>338</v>
      </c>
      <c r="J51" s="192" t="s">
        <v>728</v>
      </c>
      <c r="K51" s="192" t="s">
        <v>339</v>
      </c>
      <c r="L51" s="192" t="str">
        <f t="shared" si="0"/>
        <v>Stationary AssetsBuildingsOur EstateRefrigerantsR407CNaN</v>
      </c>
      <c r="M51" s="192" t="s">
        <v>1142</v>
      </c>
      <c r="N51" s="192" t="s">
        <v>337</v>
      </c>
      <c r="O51" s="305"/>
      <c r="P51" s="372"/>
      <c r="Q51" s="376">
        <v>1624</v>
      </c>
      <c r="R51" s="305"/>
      <c r="S51" s="305"/>
      <c r="T51" s="305"/>
      <c r="U51" s="305"/>
      <c r="V51" s="305"/>
      <c r="W51" s="305"/>
      <c r="X51" s="192" t="s">
        <v>1185</v>
      </c>
      <c r="Y51" s="305"/>
      <c r="Z51" s="305"/>
      <c r="AA51" s="305"/>
      <c r="AB51" s="305"/>
      <c r="AC51" s="305"/>
      <c r="AD51" s="305"/>
      <c r="AE51" s="424"/>
    </row>
    <row r="52" spans="5:31" ht="14.5" x14ac:dyDescent="0.35">
      <c r="E52" s="192">
        <v>44</v>
      </c>
      <c r="F52" s="192" t="s">
        <v>265</v>
      </c>
      <c r="G52" s="192" t="s">
        <v>273</v>
      </c>
      <c r="H52" s="192" t="s">
        <v>541</v>
      </c>
      <c r="I52" s="192" t="s">
        <v>338</v>
      </c>
      <c r="J52" s="192" t="s">
        <v>731</v>
      </c>
      <c r="K52" s="192" t="s">
        <v>339</v>
      </c>
      <c r="L52" s="192" t="str">
        <f t="shared" si="0"/>
        <v>Stationary AssetsBuildingsOur EstateRefrigerantsR407DNaN</v>
      </c>
      <c r="M52" s="192" t="s">
        <v>1142</v>
      </c>
      <c r="N52" s="192" t="s">
        <v>337</v>
      </c>
      <c r="O52" s="305"/>
      <c r="P52" s="372"/>
      <c r="Q52" s="376">
        <v>1487</v>
      </c>
      <c r="R52" s="305"/>
      <c r="S52" s="305"/>
      <c r="T52" s="305"/>
      <c r="U52" s="305"/>
      <c r="V52" s="305"/>
      <c r="W52" s="305"/>
      <c r="X52" s="192" t="s">
        <v>1186</v>
      </c>
      <c r="Y52" s="305"/>
      <c r="Z52" s="305"/>
      <c r="AA52" s="305"/>
      <c r="AB52" s="305"/>
      <c r="AC52" s="305"/>
      <c r="AD52" s="305"/>
      <c r="AE52" s="424"/>
    </row>
    <row r="53" spans="5:31" ht="14.5" x14ac:dyDescent="0.35">
      <c r="E53" s="192">
        <v>45</v>
      </c>
      <c r="F53" s="192" t="s">
        <v>265</v>
      </c>
      <c r="G53" s="192" t="s">
        <v>273</v>
      </c>
      <c r="H53" s="192" t="s">
        <v>541</v>
      </c>
      <c r="I53" s="192" t="s">
        <v>338</v>
      </c>
      <c r="J53" s="192" t="s">
        <v>734</v>
      </c>
      <c r="K53" s="192" t="s">
        <v>339</v>
      </c>
      <c r="L53" s="192" t="str">
        <f t="shared" si="0"/>
        <v>Stationary AssetsBuildingsOur EstateRefrigerantsR407ENaN</v>
      </c>
      <c r="M53" s="192" t="s">
        <v>1142</v>
      </c>
      <c r="N53" s="192" t="s">
        <v>337</v>
      </c>
      <c r="O53" s="305"/>
      <c r="P53" s="372"/>
      <c r="Q53" s="376">
        <v>1425</v>
      </c>
      <c r="R53" s="305"/>
      <c r="S53" s="305"/>
      <c r="T53" s="305"/>
      <c r="U53" s="305"/>
      <c r="V53" s="305"/>
      <c r="W53" s="305"/>
      <c r="X53" s="192" t="s">
        <v>1187</v>
      </c>
      <c r="Y53" s="305"/>
      <c r="Z53" s="305"/>
      <c r="AA53" s="305"/>
      <c r="AB53" s="305"/>
      <c r="AC53" s="305"/>
      <c r="AD53" s="305"/>
      <c r="AE53" s="424"/>
    </row>
    <row r="54" spans="5:31" ht="14.5" x14ac:dyDescent="0.35">
      <c r="E54" s="192">
        <v>46</v>
      </c>
      <c r="F54" s="192" t="s">
        <v>265</v>
      </c>
      <c r="G54" s="192" t="s">
        <v>273</v>
      </c>
      <c r="H54" s="192" t="s">
        <v>541</v>
      </c>
      <c r="I54" s="192" t="s">
        <v>338</v>
      </c>
      <c r="J54" s="192" t="s">
        <v>737</v>
      </c>
      <c r="K54" s="192" t="s">
        <v>339</v>
      </c>
      <c r="L54" s="192" t="str">
        <f t="shared" si="0"/>
        <v>Stationary AssetsBuildingsOur EstateRefrigerantsR407FNaN</v>
      </c>
      <c r="M54" s="192" t="s">
        <v>1142</v>
      </c>
      <c r="N54" s="192" t="s">
        <v>337</v>
      </c>
      <c r="O54" s="305"/>
      <c r="P54" s="372"/>
      <c r="Q54" s="376">
        <v>1674</v>
      </c>
      <c r="R54" s="305"/>
      <c r="S54" s="305"/>
      <c r="T54" s="305"/>
      <c r="U54" s="305"/>
      <c r="V54" s="305"/>
      <c r="W54" s="305"/>
      <c r="X54" s="192" t="s">
        <v>1188</v>
      </c>
      <c r="Y54" s="305"/>
      <c r="Z54" s="305"/>
      <c r="AA54" s="305"/>
      <c r="AB54" s="305"/>
      <c r="AC54" s="305"/>
      <c r="AD54" s="305"/>
      <c r="AE54" s="424"/>
    </row>
    <row r="55" spans="5:31" ht="14.5" x14ac:dyDescent="0.35">
      <c r="E55" s="192">
        <v>47</v>
      </c>
      <c r="F55" s="192" t="s">
        <v>265</v>
      </c>
      <c r="G55" s="192" t="s">
        <v>273</v>
      </c>
      <c r="H55" s="192" t="s">
        <v>541</v>
      </c>
      <c r="I55" s="192" t="s">
        <v>338</v>
      </c>
      <c r="J55" s="192" t="s">
        <v>740</v>
      </c>
      <c r="K55" s="192" t="s">
        <v>339</v>
      </c>
      <c r="L55" s="192" t="str">
        <f t="shared" si="0"/>
        <v>Stationary AssetsBuildingsOur EstateRefrigerantsR408ANaN</v>
      </c>
      <c r="M55" s="192" t="s">
        <v>1142</v>
      </c>
      <c r="N55" s="192" t="s">
        <v>337</v>
      </c>
      <c r="O55" s="305"/>
      <c r="P55" s="372"/>
      <c r="Q55" s="376">
        <v>3257</v>
      </c>
      <c r="R55" s="305"/>
      <c r="S55" s="305"/>
      <c r="T55" s="305"/>
      <c r="U55" s="305"/>
      <c r="V55" s="305"/>
      <c r="W55" s="305"/>
      <c r="X55" s="192" t="s">
        <v>1189</v>
      </c>
      <c r="Y55" s="305"/>
      <c r="Z55" s="305"/>
      <c r="AA55" s="305"/>
      <c r="AB55" s="305"/>
      <c r="AC55" s="305"/>
      <c r="AD55" s="305"/>
      <c r="AE55" s="424"/>
    </row>
    <row r="56" spans="5:31" ht="14.5" x14ac:dyDescent="0.35">
      <c r="E56" s="192">
        <v>48</v>
      </c>
      <c r="F56" s="192" t="s">
        <v>265</v>
      </c>
      <c r="G56" s="192" t="s">
        <v>273</v>
      </c>
      <c r="H56" s="192" t="s">
        <v>541</v>
      </c>
      <c r="I56" s="192" t="s">
        <v>338</v>
      </c>
      <c r="J56" s="192" t="s">
        <v>743</v>
      </c>
      <c r="K56" s="192" t="s">
        <v>339</v>
      </c>
      <c r="L56" s="192" t="str">
        <f t="shared" si="0"/>
        <v>Stationary AssetsBuildingsOur EstateRefrigerantsR409ANaN</v>
      </c>
      <c r="M56" s="192" t="s">
        <v>1142</v>
      </c>
      <c r="N56" s="192" t="s">
        <v>337</v>
      </c>
      <c r="O56" s="305"/>
      <c r="P56" s="372"/>
      <c r="Q56" s="376">
        <v>1485</v>
      </c>
      <c r="R56" s="305"/>
      <c r="S56" s="305"/>
      <c r="T56" s="305"/>
      <c r="U56" s="305"/>
      <c r="V56" s="305"/>
      <c r="W56" s="305"/>
      <c r="X56" s="192" t="s">
        <v>1190</v>
      </c>
      <c r="Y56" s="305"/>
      <c r="Z56" s="305"/>
      <c r="AA56" s="305"/>
      <c r="AB56" s="305"/>
      <c r="AC56" s="305"/>
      <c r="AD56" s="305"/>
      <c r="AE56" s="424"/>
    </row>
    <row r="57" spans="5:31" ht="14.5" x14ac:dyDescent="0.35">
      <c r="E57" s="192">
        <v>49</v>
      </c>
      <c r="F57" s="192" t="s">
        <v>265</v>
      </c>
      <c r="G57" s="192" t="s">
        <v>273</v>
      </c>
      <c r="H57" s="192" t="s">
        <v>541</v>
      </c>
      <c r="I57" s="192" t="s">
        <v>338</v>
      </c>
      <c r="J57" s="192" t="s">
        <v>746</v>
      </c>
      <c r="K57" s="192" t="s">
        <v>339</v>
      </c>
      <c r="L57" s="192" t="str">
        <f t="shared" si="0"/>
        <v>Stationary AssetsBuildingsOur EstateRefrigerantsR409BNaN</v>
      </c>
      <c r="M57" s="192" t="s">
        <v>1142</v>
      </c>
      <c r="N57" s="192" t="s">
        <v>337</v>
      </c>
      <c r="O57" s="305"/>
      <c r="P57" s="372"/>
      <c r="Q57" s="376">
        <v>1474</v>
      </c>
      <c r="R57" s="305"/>
      <c r="S57" s="305"/>
      <c r="T57" s="305"/>
      <c r="U57" s="305"/>
      <c r="V57" s="305"/>
      <c r="W57" s="305"/>
      <c r="X57" s="192" t="s">
        <v>1191</v>
      </c>
      <c r="Y57" s="305"/>
      <c r="Z57" s="305"/>
      <c r="AA57" s="305"/>
      <c r="AB57" s="305"/>
      <c r="AC57" s="305"/>
      <c r="AD57" s="305"/>
      <c r="AE57" s="424"/>
    </row>
    <row r="58" spans="5:31" ht="14.5" x14ac:dyDescent="0.35">
      <c r="E58" s="192">
        <v>50</v>
      </c>
      <c r="F58" s="192" t="s">
        <v>265</v>
      </c>
      <c r="G58" s="192" t="s">
        <v>273</v>
      </c>
      <c r="H58" s="192" t="s">
        <v>541</v>
      </c>
      <c r="I58" s="192" t="s">
        <v>338</v>
      </c>
      <c r="J58" s="192" t="s">
        <v>749</v>
      </c>
      <c r="K58" s="192" t="s">
        <v>339</v>
      </c>
      <c r="L58" s="192" t="str">
        <f t="shared" si="0"/>
        <v>Stationary AssetsBuildingsOur EstateRefrigerantsR410ANaN</v>
      </c>
      <c r="M58" s="192" t="s">
        <v>1142</v>
      </c>
      <c r="N58" s="192" t="s">
        <v>337</v>
      </c>
      <c r="O58" s="305"/>
      <c r="P58" s="372"/>
      <c r="Q58" s="376">
        <v>1924</v>
      </c>
      <c r="R58" s="305"/>
      <c r="S58" s="305"/>
      <c r="T58" s="305"/>
      <c r="U58" s="305"/>
      <c r="V58" s="305"/>
      <c r="W58" s="305"/>
      <c r="X58" s="192" t="s">
        <v>1192</v>
      </c>
      <c r="Y58" s="305"/>
      <c r="Z58" s="305"/>
      <c r="AA58" s="305"/>
      <c r="AB58" s="305"/>
      <c r="AC58" s="305"/>
      <c r="AD58" s="305"/>
      <c r="AE58" s="424"/>
    </row>
    <row r="59" spans="5:31" ht="14.5" x14ac:dyDescent="0.35">
      <c r="E59" s="192">
        <v>51</v>
      </c>
      <c r="F59" s="192" t="s">
        <v>265</v>
      </c>
      <c r="G59" s="192" t="s">
        <v>273</v>
      </c>
      <c r="H59" s="192" t="s">
        <v>541</v>
      </c>
      <c r="I59" s="192" t="s">
        <v>338</v>
      </c>
      <c r="J59" s="192" t="s">
        <v>752</v>
      </c>
      <c r="K59" s="192" t="s">
        <v>339</v>
      </c>
      <c r="L59" s="192" t="str">
        <f t="shared" si="0"/>
        <v>Stationary AssetsBuildingsOur EstateRefrigerantsR410BNaN</v>
      </c>
      <c r="M59" s="192" t="s">
        <v>1142</v>
      </c>
      <c r="N59" s="192" t="s">
        <v>337</v>
      </c>
      <c r="O59" s="305"/>
      <c r="P59" s="372"/>
      <c r="Q59" s="376">
        <v>2048</v>
      </c>
      <c r="R59" s="305"/>
      <c r="S59" s="305"/>
      <c r="T59" s="305"/>
      <c r="U59" s="305"/>
      <c r="V59" s="305"/>
      <c r="W59" s="305"/>
      <c r="X59" s="192" t="s">
        <v>1193</v>
      </c>
      <c r="Y59" s="305"/>
      <c r="Z59" s="305"/>
      <c r="AA59" s="305"/>
      <c r="AB59" s="305"/>
      <c r="AC59" s="305"/>
      <c r="AD59" s="305"/>
      <c r="AE59" s="424"/>
    </row>
    <row r="60" spans="5:31" ht="14.5" x14ac:dyDescent="0.35">
      <c r="E60" s="192">
        <v>52</v>
      </c>
      <c r="F60" s="192" t="s">
        <v>265</v>
      </c>
      <c r="G60" s="192" t="s">
        <v>273</v>
      </c>
      <c r="H60" s="192" t="s">
        <v>541</v>
      </c>
      <c r="I60" s="192" t="s">
        <v>338</v>
      </c>
      <c r="J60" s="192" t="s">
        <v>755</v>
      </c>
      <c r="K60" s="192" t="s">
        <v>339</v>
      </c>
      <c r="L60" s="192" t="str">
        <f t="shared" si="0"/>
        <v>Stationary AssetsBuildingsOur EstateRefrigerantsR411ANaN</v>
      </c>
      <c r="M60" s="192" t="s">
        <v>1142</v>
      </c>
      <c r="N60" s="192" t="s">
        <v>337</v>
      </c>
      <c r="O60" s="305"/>
      <c r="P60" s="372"/>
      <c r="Q60" s="376">
        <v>1555</v>
      </c>
      <c r="R60" s="305"/>
      <c r="S60" s="305"/>
      <c r="T60" s="305"/>
      <c r="U60" s="305"/>
      <c r="V60" s="305"/>
      <c r="W60" s="305"/>
      <c r="X60" s="192" t="s">
        <v>1194</v>
      </c>
      <c r="Y60" s="305"/>
      <c r="Z60" s="305"/>
      <c r="AA60" s="305"/>
      <c r="AB60" s="305"/>
      <c r="AC60" s="305"/>
      <c r="AD60" s="305"/>
      <c r="AE60" s="424"/>
    </row>
    <row r="61" spans="5:31" ht="14.5" x14ac:dyDescent="0.35">
      <c r="E61" s="192">
        <v>53</v>
      </c>
      <c r="F61" s="192" t="s">
        <v>265</v>
      </c>
      <c r="G61" s="192" t="s">
        <v>273</v>
      </c>
      <c r="H61" s="192" t="s">
        <v>541</v>
      </c>
      <c r="I61" s="192" t="s">
        <v>338</v>
      </c>
      <c r="J61" s="192" t="s">
        <v>758</v>
      </c>
      <c r="K61" s="192" t="s">
        <v>339</v>
      </c>
      <c r="L61" s="192" t="str">
        <f t="shared" si="0"/>
        <v>Stationary AssetsBuildingsOur EstateRefrigerantsR411BNaN</v>
      </c>
      <c r="M61" s="192" t="s">
        <v>1142</v>
      </c>
      <c r="N61" s="192" t="s">
        <v>337</v>
      </c>
      <c r="O61" s="305"/>
      <c r="P61" s="372"/>
      <c r="Q61" s="376">
        <v>1659</v>
      </c>
      <c r="R61" s="305"/>
      <c r="S61" s="305"/>
      <c r="T61" s="305"/>
      <c r="U61" s="305"/>
      <c r="V61" s="305"/>
      <c r="W61" s="305"/>
      <c r="X61" s="192" t="s">
        <v>1195</v>
      </c>
      <c r="Y61" s="305"/>
      <c r="Z61" s="305"/>
      <c r="AA61" s="305"/>
      <c r="AB61" s="305"/>
      <c r="AC61" s="305"/>
      <c r="AD61" s="305"/>
      <c r="AE61" s="424"/>
    </row>
    <row r="62" spans="5:31" ht="14.5" x14ac:dyDescent="0.35">
      <c r="E62" s="192">
        <v>54</v>
      </c>
      <c r="F62" s="192" t="s">
        <v>265</v>
      </c>
      <c r="G62" s="192" t="s">
        <v>273</v>
      </c>
      <c r="H62" s="192" t="s">
        <v>541</v>
      </c>
      <c r="I62" s="192" t="s">
        <v>338</v>
      </c>
      <c r="J62" s="192" t="s">
        <v>761</v>
      </c>
      <c r="K62" s="192" t="s">
        <v>339</v>
      </c>
      <c r="L62" s="192" t="str">
        <f t="shared" si="0"/>
        <v>Stationary AssetsBuildingsOur EstateRefrigerantsR412ANaN</v>
      </c>
      <c r="M62" s="192" t="s">
        <v>1142</v>
      </c>
      <c r="N62" s="192" t="s">
        <v>337</v>
      </c>
      <c r="O62" s="305"/>
      <c r="P62" s="372"/>
      <c r="Q62" s="376">
        <v>2172</v>
      </c>
      <c r="R62" s="305"/>
      <c r="S62" s="305"/>
      <c r="T62" s="305"/>
      <c r="U62" s="305"/>
      <c r="V62" s="305"/>
      <c r="W62" s="305"/>
      <c r="X62" s="192" t="s">
        <v>1196</v>
      </c>
      <c r="Y62" s="305"/>
      <c r="Z62" s="305"/>
      <c r="AA62" s="305"/>
      <c r="AB62" s="305"/>
      <c r="AC62" s="305"/>
      <c r="AD62" s="305"/>
      <c r="AE62" s="424"/>
    </row>
    <row r="63" spans="5:31" ht="14.5" x14ac:dyDescent="0.35">
      <c r="E63" s="192">
        <v>55</v>
      </c>
      <c r="F63" s="192" t="s">
        <v>265</v>
      </c>
      <c r="G63" s="192" t="s">
        <v>273</v>
      </c>
      <c r="H63" s="192" t="s">
        <v>541</v>
      </c>
      <c r="I63" s="192" t="s">
        <v>338</v>
      </c>
      <c r="J63" s="192" t="s">
        <v>764</v>
      </c>
      <c r="K63" s="192" t="s">
        <v>339</v>
      </c>
      <c r="L63" s="192" t="str">
        <f t="shared" si="0"/>
        <v>Stationary AssetsBuildingsOur EstateRefrigerantsR413ANaN</v>
      </c>
      <c r="M63" s="192" t="s">
        <v>1142</v>
      </c>
      <c r="N63" s="192" t="s">
        <v>337</v>
      </c>
      <c r="O63" s="305"/>
      <c r="P63" s="372"/>
      <c r="Q63" s="376">
        <v>1945</v>
      </c>
      <c r="R63" s="305"/>
      <c r="S63" s="305"/>
      <c r="T63" s="305"/>
      <c r="U63" s="305"/>
      <c r="V63" s="305"/>
      <c r="W63" s="305"/>
      <c r="X63" s="192" t="s">
        <v>1197</v>
      </c>
      <c r="Y63" s="305"/>
      <c r="Z63" s="305"/>
      <c r="AA63" s="305"/>
      <c r="AB63" s="305"/>
      <c r="AC63" s="305"/>
      <c r="AD63" s="305"/>
      <c r="AE63" s="424"/>
    </row>
    <row r="64" spans="5:31" ht="14.5" x14ac:dyDescent="0.35">
      <c r="E64" s="192">
        <v>56</v>
      </c>
      <c r="F64" s="192" t="s">
        <v>265</v>
      </c>
      <c r="G64" s="192" t="s">
        <v>273</v>
      </c>
      <c r="H64" s="192" t="s">
        <v>541</v>
      </c>
      <c r="I64" s="192" t="s">
        <v>338</v>
      </c>
      <c r="J64" s="192" t="s">
        <v>767</v>
      </c>
      <c r="K64" s="192" t="s">
        <v>339</v>
      </c>
      <c r="L64" s="192" t="str">
        <f t="shared" si="0"/>
        <v>Stationary AssetsBuildingsOur EstateRefrigerantsR414ANaN</v>
      </c>
      <c r="M64" s="192" t="s">
        <v>1142</v>
      </c>
      <c r="N64" s="192" t="s">
        <v>337</v>
      </c>
      <c r="O64" s="305"/>
      <c r="P64" s="372"/>
      <c r="Q64" s="376">
        <v>1375</v>
      </c>
      <c r="R64" s="305"/>
      <c r="S64" s="305"/>
      <c r="T64" s="305"/>
      <c r="U64" s="305"/>
      <c r="V64" s="305"/>
      <c r="W64" s="305"/>
      <c r="X64" s="192" t="s">
        <v>1198</v>
      </c>
      <c r="Y64" s="305"/>
      <c r="Z64" s="305"/>
      <c r="AA64" s="305"/>
      <c r="AB64" s="305"/>
      <c r="AC64" s="305"/>
      <c r="AD64" s="305"/>
      <c r="AE64" s="424"/>
    </row>
    <row r="65" spans="5:31" ht="14.5" x14ac:dyDescent="0.35">
      <c r="E65" s="192">
        <v>57</v>
      </c>
      <c r="F65" s="192" t="s">
        <v>265</v>
      </c>
      <c r="G65" s="192" t="s">
        <v>273</v>
      </c>
      <c r="H65" s="192" t="s">
        <v>541</v>
      </c>
      <c r="I65" s="192" t="s">
        <v>338</v>
      </c>
      <c r="J65" s="192" t="s">
        <v>770</v>
      </c>
      <c r="K65" s="192" t="s">
        <v>339</v>
      </c>
      <c r="L65" s="192" t="str">
        <f t="shared" si="0"/>
        <v>Stationary AssetsBuildingsOur EstateRefrigerantsR414BNaN</v>
      </c>
      <c r="M65" s="192" t="s">
        <v>1142</v>
      </c>
      <c r="N65" s="192" t="s">
        <v>337</v>
      </c>
      <c r="O65" s="305"/>
      <c r="P65" s="372"/>
      <c r="Q65" s="376">
        <v>1274</v>
      </c>
      <c r="R65" s="305"/>
      <c r="S65" s="305"/>
      <c r="T65" s="305"/>
      <c r="U65" s="305"/>
      <c r="V65" s="305"/>
      <c r="W65" s="305"/>
      <c r="X65" s="192" t="s">
        <v>1199</v>
      </c>
      <c r="Y65" s="305"/>
      <c r="Z65" s="305"/>
      <c r="AA65" s="305"/>
      <c r="AB65" s="305"/>
      <c r="AC65" s="305"/>
      <c r="AD65" s="305"/>
      <c r="AE65" s="424"/>
    </row>
    <row r="66" spans="5:31" ht="14.5" x14ac:dyDescent="0.35">
      <c r="E66" s="192">
        <v>58</v>
      </c>
      <c r="F66" s="192" t="s">
        <v>265</v>
      </c>
      <c r="G66" s="192" t="s">
        <v>273</v>
      </c>
      <c r="H66" s="192" t="s">
        <v>541</v>
      </c>
      <c r="I66" s="192" t="s">
        <v>338</v>
      </c>
      <c r="J66" s="192" t="s">
        <v>773</v>
      </c>
      <c r="K66" s="192" t="s">
        <v>339</v>
      </c>
      <c r="L66" s="192" t="str">
        <f t="shared" si="0"/>
        <v>Stationary AssetsBuildingsOur EstateRefrigerantsR415ANaN</v>
      </c>
      <c r="M66" s="192" t="s">
        <v>1142</v>
      </c>
      <c r="N66" s="192" t="s">
        <v>337</v>
      </c>
      <c r="O66" s="305"/>
      <c r="P66" s="372"/>
      <c r="Q66" s="376">
        <v>1468</v>
      </c>
      <c r="R66" s="305"/>
      <c r="S66" s="305"/>
      <c r="T66" s="305"/>
      <c r="U66" s="305"/>
      <c r="V66" s="305"/>
      <c r="W66" s="305"/>
      <c r="X66" s="192" t="s">
        <v>1200</v>
      </c>
      <c r="Y66" s="305"/>
      <c r="Z66" s="305"/>
      <c r="AA66" s="305"/>
      <c r="AB66" s="305"/>
      <c r="AC66" s="305"/>
      <c r="AD66" s="305"/>
      <c r="AE66" s="424"/>
    </row>
    <row r="67" spans="5:31" ht="14.5" x14ac:dyDescent="0.35">
      <c r="E67" s="192">
        <v>59</v>
      </c>
      <c r="F67" s="192" t="s">
        <v>265</v>
      </c>
      <c r="G67" s="192" t="s">
        <v>273</v>
      </c>
      <c r="H67" s="192" t="s">
        <v>541</v>
      </c>
      <c r="I67" s="192" t="s">
        <v>338</v>
      </c>
      <c r="J67" s="192" t="s">
        <v>776</v>
      </c>
      <c r="K67" s="192" t="s">
        <v>339</v>
      </c>
      <c r="L67" s="192" t="str">
        <f t="shared" si="0"/>
        <v>Stationary AssetsBuildingsOur EstateRefrigerantsR415BNaN</v>
      </c>
      <c r="M67" s="192" t="s">
        <v>1142</v>
      </c>
      <c r="N67" s="192" t="s">
        <v>337</v>
      </c>
      <c r="O67" s="305"/>
      <c r="P67" s="372"/>
      <c r="Q67" s="376">
        <v>544</v>
      </c>
      <c r="R67" s="305"/>
      <c r="S67" s="305"/>
      <c r="T67" s="305"/>
      <c r="U67" s="305"/>
      <c r="V67" s="305"/>
      <c r="W67" s="305"/>
      <c r="X67" s="192" t="s">
        <v>1201</v>
      </c>
      <c r="Y67" s="305"/>
      <c r="Z67" s="305"/>
      <c r="AA67" s="305"/>
      <c r="AB67" s="305"/>
      <c r="AC67" s="305"/>
      <c r="AD67" s="305"/>
      <c r="AE67" s="424"/>
    </row>
    <row r="68" spans="5:31" ht="14.5" x14ac:dyDescent="0.35">
      <c r="E68" s="192">
        <v>60</v>
      </c>
      <c r="F68" s="192" t="s">
        <v>265</v>
      </c>
      <c r="G68" s="192" t="s">
        <v>273</v>
      </c>
      <c r="H68" s="192" t="s">
        <v>541</v>
      </c>
      <c r="I68" s="192" t="s">
        <v>338</v>
      </c>
      <c r="J68" s="192" t="s">
        <v>779</v>
      </c>
      <c r="K68" s="192" t="s">
        <v>339</v>
      </c>
      <c r="L68" s="192" t="str">
        <f t="shared" si="0"/>
        <v>Stationary AssetsBuildingsOur EstateRefrigerantsR416ANaN</v>
      </c>
      <c r="M68" s="192" t="s">
        <v>1142</v>
      </c>
      <c r="N68" s="192" t="s">
        <v>337</v>
      </c>
      <c r="O68" s="305"/>
      <c r="P68" s="372"/>
      <c r="Q68" s="376">
        <v>975</v>
      </c>
      <c r="R68" s="305"/>
      <c r="S68" s="305"/>
      <c r="T68" s="305"/>
      <c r="U68" s="305"/>
      <c r="V68" s="305"/>
      <c r="W68" s="305"/>
      <c r="X68" s="192" t="s">
        <v>1202</v>
      </c>
      <c r="Y68" s="305"/>
      <c r="Z68" s="305"/>
      <c r="AA68" s="305"/>
      <c r="AB68" s="305"/>
      <c r="AC68" s="305"/>
      <c r="AD68" s="305"/>
      <c r="AE68" s="424"/>
    </row>
    <row r="69" spans="5:31" ht="14.5" x14ac:dyDescent="0.35">
      <c r="E69" s="192">
        <v>61</v>
      </c>
      <c r="F69" s="192" t="s">
        <v>265</v>
      </c>
      <c r="G69" s="192" t="s">
        <v>273</v>
      </c>
      <c r="H69" s="192" t="s">
        <v>541</v>
      </c>
      <c r="I69" s="192" t="s">
        <v>338</v>
      </c>
      <c r="J69" s="192" t="s">
        <v>782</v>
      </c>
      <c r="K69" s="192" t="s">
        <v>339</v>
      </c>
      <c r="L69" s="192" t="str">
        <f t="shared" si="0"/>
        <v>Stationary AssetsBuildingsOur EstateRefrigerantsR417ANaN</v>
      </c>
      <c r="M69" s="192" t="s">
        <v>1142</v>
      </c>
      <c r="N69" s="192" t="s">
        <v>337</v>
      </c>
      <c r="O69" s="305"/>
      <c r="P69" s="372"/>
      <c r="Q69" s="376">
        <v>2127</v>
      </c>
      <c r="R69" s="305"/>
      <c r="S69" s="305"/>
      <c r="T69" s="305"/>
      <c r="U69" s="305"/>
      <c r="V69" s="305"/>
      <c r="W69" s="305"/>
      <c r="X69" s="192" t="s">
        <v>1203</v>
      </c>
      <c r="Y69" s="305"/>
      <c r="Z69" s="305"/>
      <c r="AA69" s="305"/>
      <c r="AB69" s="305"/>
      <c r="AC69" s="305"/>
      <c r="AD69" s="305"/>
      <c r="AE69" s="424"/>
    </row>
    <row r="70" spans="5:31" ht="14.5" x14ac:dyDescent="0.35">
      <c r="E70" s="192">
        <v>62</v>
      </c>
      <c r="F70" s="192" t="s">
        <v>265</v>
      </c>
      <c r="G70" s="192" t="s">
        <v>273</v>
      </c>
      <c r="H70" s="192" t="s">
        <v>541</v>
      </c>
      <c r="I70" s="192" t="s">
        <v>338</v>
      </c>
      <c r="J70" s="192" t="s">
        <v>785</v>
      </c>
      <c r="K70" s="192" t="s">
        <v>339</v>
      </c>
      <c r="L70" s="192" t="str">
        <f t="shared" si="0"/>
        <v>Stationary AssetsBuildingsOur EstateRefrigerantsR417BNaN</v>
      </c>
      <c r="M70" s="192" t="s">
        <v>1142</v>
      </c>
      <c r="N70" s="192" t="s">
        <v>337</v>
      </c>
      <c r="O70" s="305"/>
      <c r="P70" s="372"/>
      <c r="Q70" s="376">
        <v>2742</v>
      </c>
      <c r="R70" s="305"/>
      <c r="S70" s="305"/>
      <c r="T70" s="305"/>
      <c r="U70" s="305"/>
      <c r="V70" s="305"/>
      <c r="W70" s="305"/>
      <c r="X70" s="192" t="s">
        <v>1204</v>
      </c>
      <c r="Y70" s="305"/>
      <c r="Z70" s="305"/>
      <c r="AA70" s="305"/>
      <c r="AB70" s="305"/>
      <c r="AC70" s="305"/>
      <c r="AD70" s="305"/>
      <c r="AE70" s="424"/>
    </row>
    <row r="71" spans="5:31" ht="14.5" x14ac:dyDescent="0.35">
      <c r="E71" s="192">
        <v>63</v>
      </c>
      <c r="F71" s="192" t="s">
        <v>265</v>
      </c>
      <c r="G71" s="192" t="s">
        <v>273</v>
      </c>
      <c r="H71" s="192" t="s">
        <v>541</v>
      </c>
      <c r="I71" s="192" t="s">
        <v>338</v>
      </c>
      <c r="J71" s="192" t="s">
        <v>788</v>
      </c>
      <c r="K71" s="192" t="s">
        <v>339</v>
      </c>
      <c r="L71" s="192" t="str">
        <f t="shared" si="0"/>
        <v>Stationary AssetsBuildingsOur EstateRefrigerantsR417CNaN</v>
      </c>
      <c r="M71" s="192" t="s">
        <v>1142</v>
      </c>
      <c r="N71" s="192" t="s">
        <v>337</v>
      </c>
      <c r="O71" s="305"/>
      <c r="P71" s="372"/>
      <c r="Q71" s="376">
        <v>1643</v>
      </c>
      <c r="R71" s="305"/>
      <c r="S71" s="305"/>
      <c r="T71" s="305"/>
      <c r="U71" s="305"/>
      <c r="V71" s="305"/>
      <c r="W71" s="305"/>
      <c r="X71" s="192" t="s">
        <v>1205</v>
      </c>
      <c r="Y71" s="305"/>
      <c r="Z71" s="305"/>
      <c r="AA71" s="305"/>
      <c r="AB71" s="305"/>
      <c r="AC71" s="305"/>
      <c r="AD71" s="305"/>
      <c r="AE71" s="424"/>
    </row>
    <row r="72" spans="5:31" ht="14.5" x14ac:dyDescent="0.35">
      <c r="E72" s="192">
        <v>64</v>
      </c>
      <c r="F72" s="192" t="s">
        <v>265</v>
      </c>
      <c r="G72" s="192" t="s">
        <v>273</v>
      </c>
      <c r="H72" s="192" t="s">
        <v>541</v>
      </c>
      <c r="I72" s="192" t="s">
        <v>338</v>
      </c>
      <c r="J72" s="192" t="s">
        <v>791</v>
      </c>
      <c r="K72" s="192" t="s">
        <v>339</v>
      </c>
      <c r="L72" s="192" t="str">
        <f t="shared" si="0"/>
        <v>Stationary AssetsBuildingsOur EstateRefrigerantsR418ANaN</v>
      </c>
      <c r="M72" s="192" t="s">
        <v>1142</v>
      </c>
      <c r="N72" s="192" t="s">
        <v>337</v>
      </c>
      <c r="O72" s="305"/>
      <c r="P72" s="372"/>
      <c r="Q72" s="376">
        <v>1693</v>
      </c>
      <c r="R72" s="305"/>
      <c r="S72" s="305"/>
      <c r="T72" s="305"/>
      <c r="U72" s="305"/>
      <c r="V72" s="305"/>
      <c r="W72" s="305"/>
      <c r="X72" s="192" t="s">
        <v>1206</v>
      </c>
      <c r="Y72" s="305"/>
      <c r="Z72" s="305"/>
      <c r="AA72" s="305"/>
      <c r="AB72" s="305"/>
      <c r="AC72" s="305"/>
      <c r="AD72" s="305"/>
      <c r="AE72" s="424"/>
    </row>
    <row r="73" spans="5:31" ht="14.5" x14ac:dyDescent="0.35">
      <c r="E73" s="192">
        <v>65</v>
      </c>
      <c r="F73" s="192" t="s">
        <v>265</v>
      </c>
      <c r="G73" s="192" t="s">
        <v>273</v>
      </c>
      <c r="H73" s="192" t="s">
        <v>541</v>
      </c>
      <c r="I73" s="192" t="s">
        <v>338</v>
      </c>
      <c r="J73" s="192" t="s">
        <v>794</v>
      </c>
      <c r="K73" s="192" t="s">
        <v>339</v>
      </c>
      <c r="L73" s="192" t="str">
        <f t="shared" si="0"/>
        <v>Stationary AssetsBuildingsOur EstateRefrigerantsR419ANaN</v>
      </c>
      <c r="M73" s="192" t="s">
        <v>1142</v>
      </c>
      <c r="N73" s="192" t="s">
        <v>337</v>
      </c>
      <c r="O73" s="305"/>
      <c r="P73" s="372"/>
      <c r="Q73" s="376">
        <v>2688</v>
      </c>
      <c r="R73" s="305"/>
      <c r="S73" s="305"/>
      <c r="T73" s="305"/>
      <c r="U73" s="305"/>
      <c r="V73" s="305"/>
      <c r="W73" s="305"/>
      <c r="X73" s="192" t="s">
        <v>1207</v>
      </c>
      <c r="Y73" s="305"/>
      <c r="Z73" s="305"/>
      <c r="AA73" s="305"/>
      <c r="AB73" s="305"/>
      <c r="AC73" s="305"/>
      <c r="AD73" s="305"/>
      <c r="AE73" s="424"/>
    </row>
    <row r="74" spans="5:31" ht="14.5" x14ac:dyDescent="0.35">
      <c r="E74" s="192">
        <v>66</v>
      </c>
      <c r="F74" s="192" t="s">
        <v>265</v>
      </c>
      <c r="G74" s="192" t="s">
        <v>273</v>
      </c>
      <c r="H74" s="192" t="s">
        <v>541</v>
      </c>
      <c r="I74" s="192" t="s">
        <v>338</v>
      </c>
      <c r="J74" s="192" t="s">
        <v>797</v>
      </c>
      <c r="K74" s="192" t="s">
        <v>339</v>
      </c>
      <c r="L74" s="192" t="str">
        <f t="shared" ref="L74:L137" si="1">_xlfn.CONCAT(F74:K74)</f>
        <v>Stationary AssetsBuildingsOur EstateRefrigerantsR419BNaN</v>
      </c>
      <c r="M74" s="192" t="s">
        <v>1142</v>
      </c>
      <c r="N74" s="192" t="s">
        <v>337</v>
      </c>
      <c r="O74" s="305"/>
      <c r="P74" s="372"/>
      <c r="Q74" s="376">
        <v>2161</v>
      </c>
      <c r="R74" s="305"/>
      <c r="S74" s="305"/>
      <c r="T74" s="305"/>
      <c r="U74" s="305"/>
      <c r="V74" s="305"/>
      <c r="W74" s="305"/>
      <c r="X74" s="192" t="s">
        <v>1208</v>
      </c>
      <c r="Y74" s="305"/>
      <c r="Z74" s="305"/>
      <c r="AA74" s="305"/>
      <c r="AB74" s="305"/>
      <c r="AC74" s="305"/>
      <c r="AD74" s="305"/>
      <c r="AE74" s="424"/>
    </row>
    <row r="75" spans="5:31" ht="14.5" x14ac:dyDescent="0.35">
      <c r="E75" s="192">
        <v>67</v>
      </c>
      <c r="F75" s="192" t="s">
        <v>265</v>
      </c>
      <c r="G75" s="192" t="s">
        <v>273</v>
      </c>
      <c r="H75" s="192" t="s">
        <v>541</v>
      </c>
      <c r="I75" s="192" t="s">
        <v>338</v>
      </c>
      <c r="J75" s="192" t="s">
        <v>800</v>
      </c>
      <c r="K75" s="192" t="s">
        <v>339</v>
      </c>
      <c r="L75" s="192" t="str">
        <f t="shared" si="1"/>
        <v>Stationary AssetsBuildingsOur EstateRefrigerantsR420ANaN</v>
      </c>
      <c r="M75" s="192" t="s">
        <v>1142</v>
      </c>
      <c r="N75" s="192" t="s">
        <v>337</v>
      </c>
      <c r="O75" s="305"/>
      <c r="P75" s="372"/>
      <c r="Q75" s="376">
        <v>1382</v>
      </c>
      <c r="R75" s="305"/>
      <c r="S75" s="305"/>
      <c r="T75" s="305"/>
      <c r="U75" s="305"/>
      <c r="V75" s="305"/>
      <c r="W75" s="305"/>
      <c r="X75" s="192" t="s">
        <v>1209</v>
      </c>
      <c r="Y75" s="305"/>
      <c r="Z75" s="305"/>
      <c r="AA75" s="305"/>
      <c r="AB75" s="305"/>
      <c r="AC75" s="305"/>
      <c r="AD75" s="305"/>
      <c r="AE75" s="424"/>
    </row>
    <row r="76" spans="5:31" ht="14.5" x14ac:dyDescent="0.35">
      <c r="E76" s="192">
        <v>68</v>
      </c>
      <c r="F76" s="192" t="s">
        <v>265</v>
      </c>
      <c r="G76" s="192" t="s">
        <v>273</v>
      </c>
      <c r="H76" s="192" t="s">
        <v>541</v>
      </c>
      <c r="I76" s="192" t="s">
        <v>338</v>
      </c>
      <c r="J76" s="192" t="s">
        <v>803</v>
      </c>
      <c r="K76" s="192" t="s">
        <v>339</v>
      </c>
      <c r="L76" s="192" t="str">
        <f t="shared" si="1"/>
        <v>Stationary AssetsBuildingsOur EstateRefrigerantsR421ANaN</v>
      </c>
      <c r="M76" s="192" t="s">
        <v>1142</v>
      </c>
      <c r="N76" s="192" t="s">
        <v>337</v>
      </c>
      <c r="O76" s="305"/>
      <c r="P76" s="372"/>
      <c r="Q76" s="376">
        <v>2385</v>
      </c>
      <c r="R76" s="305"/>
      <c r="S76" s="305"/>
      <c r="T76" s="305"/>
      <c r="U76" s="305"/>
      <c r="V76" s="305"/>
      <c r="W76" s="305"/>
      <c r="X76" s="192" t="s">
        <v>1210</v>
      </c>
      <c r="Y76" s="305"/>
      <c r="Z76" s="305"/>
      <c r="AA76" s="305"/>
      <c r="AB76" s="305"/>
      <c r="AC76" s="305"/>
      <c r="AD76" s="305"/>
      <c r="AE76" s="424"/>
    </row>
    <row r="77" spans="5:31" ht="14.5" x14ac:dyDescent="0.35">
      <c r="E77" s="192">
        <v>69</v>
      </c>
      <c r="F77" s="192" t="s">
        <v>265</v>
      </c>
      <c r="G77" s="192" t="s">
        <v>273</v>
      </c>
      <c r="H77" s="192" t="s">
        <v>541</v>
      </c>
      <c r="I77" s="192" t="s">
        <v>338</v>
      </c>
      <c r="J77" s="192" t="s">
        <v>806</v>
      </c>
      <c r="K77" s="192" t="s">
        <v>339</v>
      </c>
      <c r="L77" s="192" t="str">
        <f t="shared" si="1"/>
        <v>Stationary AssetsBuildingsOur EstateRefrigerantsR421BNaN</v>
      </c>
      <c r="M77" s="192" t="s">
        <v>1142</v>
      </c>
      <c r="N77" s="192" t="s">
        <v>337</v>
      </c>
      <c r="O77" s="305"/>
      <c r="P77" s="372"/>
      <c r="Q77" s="376">
        <v>2890</v>
      </c>
      <c r="R77" s="305"/>
      <c r="S77" s="305"/>
      <c r="T77" s="305"/>
      <c r="U77" s="305"/>
      <c r="V77" s="305"/>
      <c r="W77" s="305"/>
      <c r="X77" s="192" t="s">
        <v>1211</v>
      </c>
      <c r="Y77" s="305"/>
      <c r="Z77" s="305"/>
      <c r="AA77" s="305"/>
      <c r="AB77" s="305"/>
      <c r="AC77" s="305"/>
      <c r="AD77" s="305"/>
      <c r="AE77" s="424"/>
    </row>
    <row r="78" spans="5:31" ht="14.5" x14ac:dyDescent="0.35">
      <c r="E78" s="192">
        <v>70</v>
      </c>
      <c r="F78" s="192" t="s">
        <v>265</v>
      </c>
      <c r="G78" s="192" t="s">
        <v>273</v>
      </c>
      <c r="H78" s="192" t="s">
        <v>541</v>
      </c>
      <c r="I78" s="192" t="s">
        <v>338</v>
      </c>
      <c r="J78" s="192" t="s">
        <v>809</v>
      </c>
      <c r="K78" s="192" t="s">
        <v>339</v>
      </c>
      <c r="L78" s="192" t="str">
        <f t="shared" si="1"/>
        <v>Stationary AssetsBuildingsOur EstateRefrigerantsR422ANaN</v>
      </c>
      <c r="M78" s="192" t="s">
        <v>1142</v>
      </c>
      <c r="N78" s="192" t="s">
        <v>337</v>
      </c>
      <c r="O78" s="305"/>
      <c r="P78" s="372"/>
      <c r="Q78" s="376">
        <v>2847</v>
      </c>
      <c r="R78" s="305"/>
      <c r="S78" s="305"/>
      <c r="T78" s="305"/>
      <c r="U78" s="305"/>
      <c r="V78" s="305"/>
      <c r="W78" s="305"/>
      <c r="X78" s="192" t="s">
        <v>1212</v>
      </c>
      <c r="Y78" s="305"/>
      <c r="Z78" s="305"/>
      <c r="AA78" s="305"/>
      <c r="AB78" s="305"/>
      <c r="AC78" s="305"/>
      <c r="AD78" s="305"/>
      <c r="AE78" s="424"/>
    </row>
    <row r="79" spans="5:31" ht="14.5" x14ac:dyDescent="0.35">
      <c r="E79" s="192">
        <v>71</v>
      </c>
      <c r="F79" s="192" t="s">
        <v>265</v>
      </c>
      <c r="G79" s="192" t="s">
        <v>273</v>
      </c>
      <c r="H79" s="192" t="s">
        <v>541</v>
      </c>
      <c r="I79" s="192" t="s">
        <v>338</v>
      </c>
      <c r="J79" s="192" t="s">
        <v>812</v>
      </c>
      <c r="K79" s="192" t="s">
        <v>339</v>
      </c>
      <c r="L79" s="192" t="str">
        <f t="shared" si="1"/>
        <v>Stationary AssetsBuildingsOur EstateRefrigerantsR422BNaN</v>
      </c>
      <c r="M79" s="192" t="s">
        <v>1142</v>
      </c>
      <c r="N79" s="192" t="s">
        <v>337</v>
      </c>
      <c r="O79" s="305"/>
      <c r="P79" s="372"/>
      <c r="Q79" s="376">
        <v>2290</v>
      </c>
      <c r="R79" s="305"/>
      <c r="S79" s="305"/>
      <c r="T79" s="305"/>
      <c r="U79" s="305"/>
      <c r="V79" s="305"/>
      <c r="W79" s="305"/>
      <c r="X79" s="192" t="s">
        <v>1213</v>
      </c>
      <c r="Y79" s="305"/>
      <c r="Z79" s="305"/>
      <c r="AA79" s="305"/>
      <c r="AB79" s="305"/>
      <c r="AC79" s="305"/>
      <c r="AD79" s="305"/>
      <c r="AE79" s="424"/>
    </row>
    <row r="80" spans="5:31" ht="14.5" x14ac:dyDescent="0.35">
      <c r="E80" s="192">
        <v>72</v>
      </c>
      <c r="F80" s="192" t="s">
        <v>265</v>
      </c>
      <c r="G80" s="192" t="s">
        <v>273</v>
      </c>
      <c r="H80" s="192" t="s">
        <v>541</v>
      </c>
      <c r="I80" s="192" t="s">
        <v>338</v>
      </c>
      <c r="J80" s="192" t="s">
        <v>815</v>
      </c>
      <c r="K80" s="192" t="s">
        <v>339</v>
      </c>
      <c r="L80" s="192" t="str">
        <f t="shared" si="1"/>
        <v>Stationary AssetsBuildingsOur EstateRefrigerantsR422CNaN</v>
      </c>
      <c r="M80" s="192" t="s">
        <v>1142</v>
      </c>
      <c r="N80" s="192" t="s">
        <v>337</v>
      </c>
      <c r="O80" s="305"/>
      <c r="P80" s="372"/>
      <c r="Q80" s="376">
        <v>2794</v>
      </c>
      <c r="R80" s="305"/>
      <c r="S80" s="305"/>
      <c r="T80" s="305"/>
      <c r="U80" s="305"/>
      <c r="V80" s="305"/>
      <c r="W80" s="305"/>
      <c r="X80" s="192" t="s">
        <v>1214</v>
      </c>
      <c r="Y80" s="305"/>
      <c r="Z80" s="305"/>
      <c r="AA80" s="305"/>
      <c r="AB80" s="305"/>
      <c r="AC80" s="305"/>
      <c r="AD80" s="305"/>
      <c r="AE80" s="424"/>
    </row>
    <row r="81" spans="5:31" ht="14.5" x14ac:dyDescent="0.35">
      <c r="E81" s="192">
        <v>73</v>
      </c>
      <c r="F81" s="192" t="s">
        <v>265</v>
      </c>
      <c r="G81" s="192" t="s">
        <v>273</v>
      </c>
      <c r="H81" s="192" t="s">
        <v>541</v>
      </c>
      <c r="I81" s="192" t="s">
        <v>338</v>
      </c>
      <c r="J81" s="192" t="s">
        <v>818</v>
      </c>
      <c r="K81" s="192" t="s">
        <v>339</v>
      </c>
      <c r="L81" s="192" t="str">
        <f t="shared" si="1"/>
        <v>Stationary AssetsBuildingsOur EstateRefrigerantsR422DNaN</v>
      </c>
      <c r="M81" s="192" t="s">
        <v>1142</v>
      </c>
      <c r="N81" s="192" t="s">
        <v>337</v>
      </c>
      <c r="O81" s="305"/>
      <c r="P81" s="372"/>
      <c r="Q81" s="376">
        <v>2473</v>
      </c>
      <c r="R81" s="305"/>
      <c r="S81" s="305"/>
      <c r="T81" s="305"/>
      <c r="U81" s="305"/>
      <c r="V81" s="305"/>
      <c r="W81" s="305"/>
      <c r="X81" s="192" t="s">
        <v>1215</v>
      </c>
      <c r="Y81" s="305"/>
      <c r="Z81" s="305"/>
      <c r="AA81" s="305"/>
      <c r="AB81" s="305"/>
      <c r="AC81" s="305"/>
      <c r="AD81" s="305"/>
      <c r="AE81" s="424"/>
    </row>
    <row r="82" spans="5:31" ht="14.5" x14ac:dyDescent="0.35">
      <c r="E82" s="192">
        <v>74</v>
      </c>
      <c r="F82" s="192" t="s">
        <v>265</v>
      </c>
      <c r="G82" s="192" t="s">
        <v>273</v>
      </c>
      <c r="H82" s="192" t="s">
        <v>541</v>
      </c>
      <c r="I82" s="192" t="s">
        <v>338</v>
      </c>
      <c r="J82" s="192" t="s">
        <v>821</v>
      </c>
      <c r="K82" s="192" t="s">
        <v>339</v>
      </c>
      <c r="L82" s="192" t="str">
        <f t="shared" si="1"/>
        <v>Stationary AssetsBuildingsOur EstateRefrigerantsR422ENaN</v>
      </c>
      <c r="M82" s="192" t="s">
        <v>1142</v>
      </c>
      <c r="N82" s="192" t="s">
        <v>337</v>
      </c>
      <c r="O82" s="305"/>
      <c r="P82" s="372"/>
      <c r="Q82" s="376">
        <v>2350</v>
      </c>
      <c r="R82" s="305"/>
      <c r="S82" s="305"/>
      <c r="T82" s="305"/>
      <c r="U82" s="305"/>
      <c r="V82" s="305"/>
      <c r="W82" s="305"/>
      <c r="X82" s="192" t="s">
        <v>1216</v>
      </c>
      <c r="Y82" s="305"/>
      <c r="Z82" s="305"/>
      <c r="AA82" s="305"/>
      <c r="AB82" s="305"/>
      <c r="AC82" s="305"/>
      <c r="AD82" s="305"/>
      <c r="AE82" s="424"/>
    </row>
    <row r="83" spans="5:31" ht="14.5" x14ac:dyDescent="0.35">
      <c r="E83" s="192">
        <v>75</v>
      </c>
      <c r="F83" s="192" t="s">
        <v>265</v>
      </c>
      <c r="G83" s="192" t="s">
        <v>273</v>
      </c>
      <c r="H83" s="192" t="s">
        <v>541</v>
      </c>
      <c r="I83" s="192" t="s">
        <v>338</v>
      </c>
      <c r="J83" s="192" t="s">
        <v>824</v>
      </c>
      <c r="K83" s="192" t="s">
        <v>339</v>
      </c>
      <c r="L83" s="192" t="str">
        <f t="shared" si="1"/>
        <v>Stationary AssetsBuildingsOur EstateRefrigerantsR423ANaN</v>
      </c>
      <c r="M83" s="192" t="s">
        <v>1142</v>
      </c>
      <c r="N83" s="192" t="s">
        <v>337</v>
      </c>
      <c r="O83" s="305"/>
      <c r="P83" s="372"/>
      <c r="Q83" s="376">
        <v>2274</v>
      </c>
      <c r="R83" s="305"/>
      <c r="S83" s="305"/>
      <c r="T83" s="305"/>
      <c r="U83" s="305"/>
      <c r="V83" s="305"/>
      <c r="W83" s="305"/>
      <c r="X83" s="192" t="s">
        <v>1217</v>
      </c>
      <c r="Y83" s="305"/>
      <c r="Z83" s="305"/>
      <c r="AA83" s="305"/>
      <c r="AB83" s="305"/>
      <c r="AC83" s="305"/>
      <c r="AD83" s="305"/>
      <c r="AE83" s="424"/>
    </row>
    <row r="84" spans="5:31" ht="14.5" x14ac:dyDescent="0.35">
      <c r="E84" s="192">
        <v>76</v>
      </c>
      <c r="F84" s="192" t="s">
        <v>265</v>
      </c>
      <c r="G84" s="192" t="s">
        <v>273</v>
      </c>
      <c r="H84" s="192" t="s">
        <v>541</v>
      </c>
      <c r="I84" s="192" t="s">
        <v>338</v>
      </c>
      <c r="J84" s="192" t="s">
        <v>827</v>
      </c>
      <c r="K84" s="192" t="s">
        <v>339</v>
      </c>
      <c r="L84" s="192" t="str">
        <f t="shared" si="1"/>
        <v>Stationary AssetsBuildingsOur EstateRefrigerantsR424ANaN</v>
      </c>
      <c r="M84" s="192" t="s">
        <v>1142</v>
      </c>
      <c r="N84" s="192" t="s">
        <v>337</v>
      </c>
      <c r="O84" s="305"/>
      <c r="P84" s="372"/>
      <c r="Q84" s="376">
        <v>2212</v>
      </c>
      <c r="R84" s="305"/>
      <c r="S84" s="305"/>
      <c r="T84" s="305"/>
      <c r="U84" s="305"/>
      <c r="V84" s="305"/>
      <c r="W84" s="305"/>
      <c r="X84" s="192" t="s">
        <v>1218</v>
      </c>
      <c r="Y84" s="305"/>
      <c r="Z84" s="305"/>
      <c r="AA84" s="305"/>
      <c r="AB84" s="305"/>
      <c r="AC84" s="305"/>
      <c r="AD84" s="305"/>
      <c r="AE84" s="424"/>
    </row>
    <row r="85" spans="5:31" ht="14.5" x14ac:dyDescent="0.35">
      <c r="E85" s="192">
        <v>77</v>
      </c>
      <c r="F85" s="192" t="s">
        <v>265</v>
      </c>
      <c r="G85" s="192" t="s">
        <v>273</v>
      </c>
      <c r="H85" s="192" t="s">
        <v>541</v>
      </c>
      <c r="I85" s="192" t="s">
        <v>338</v>
      </c>
      <c r="J85" s="192" t="s">
        <v>830</v>
      </c>
      <c r="K85" s="192" t="s">
        <v>339</v>
      </c>
      <c r="L85" s="192" t="str">
        <f t="shared" si="1"/>
        <v>Stationary AssetsBuildingsOur EstateRefrigerantsR425ANaN</v>
      </c>
      <c r="M85" s="192" t="s">
        <v>1142</v>
      </c>
      <c r="N85" s="192" t="s">
        <v>337</v>
      </c>
      <c r="O85" s="305"/>
      <c r="P85" s="372"/>
      <c r="Q85" s="376">
        <v>1431</v>
      </c>
      <c r="R85" s="305"/>
      <c r="S85" s="305"/>
      <c r="T85" s="305"/>
      <c r="U85" s="305"/>
      <c r="V85" s="305"/>
      <c r="W85" s="305"/>
      <c r="X85" s="192" t="s">
        <v>1219</v>
      </c>
      <c r="Y85" s="305"/>
      <c r="Z85" s="305"/>
      <c r="AA85" s="305"/>
      <c r="AB85" s="305"/>
      <c r="AC85" s="305"/>
      <c r="AD85" s="305"/>
      <c r="AE85" s="424"/>
    </row>
    <row r="86" spans="5:31" ht="14.5" x14ac:dyDescent="0.35">
      <c r="E86" s="192">
        <v>78</v>
      </c>
      <c r="F86" s="192" t="s">
        <v>265</v>
      </c>
      <c r="G86" s="192" t="s">
        <v>273</v>
      </c>
      <c r="H86" s="192" t="s">
        <v>541</v>
      </c>
      <c r="I86" s="192" t="s">
        <v>338</v>
      </c>
      <c r="J86" s="192" t="s">
        <v>833</v>
      </c>
      <c r="K86" s="192" t="s">
        <v>339</v>
      </c>
      <c r="L86" s="192" t="str">
        <f t="shared" si="1"/>
        <v>Stationary AssetsBuildingsOur EstateRefrigerantsR426ANaN</v>
      </c>
      <c r="M86" s="192" t="s">
        <v>1142</v>
      </c>
      <c r="N86" s="192" t="s">
        <v>337</v>
      </c>
      <c r="O86" s="305"/>
      <c r="P86" s="372"/>
      <c r="Q86" s="376">
        <v>1371</v>
      </c>
      <c r="R86" s="305"/>
      <c r="S86" s="305"/>
      <c r="T86" s="305"/>
      <c r="U86" s="305"/>
      <c r="V86" s="305"/>
      <c r="W86" s="305"/>
      <c r="X86" s="192" t="s">
        <v>1220</v>
      </c>
      <c r="Y86" s="305"/>
      <c r="Z86" s="305"/>
      <c r="AA86" s="305"/>
      <c r="AB86" s="305"/>
      <c r="AC86" s="305"/>
      <c r="AD86" s="305"/>
      <c r="AE86" s="424"/>
    </row>
    <row r="87" spans="5:31" ht="14.5" x14ac:dyDescent="0.35">
      <c r="E87" s="192">
        <v>79</v>
      </c>
      <c r="F87" s="192" t="s">
        <v>265</v>
      </c>
      <c r="G87" s="192" t="s">
        <v>273</v>
      </c>
      <c r="H87" s="192" t="s">
        <v>541</v>
      </c>
      <c r="I87" s="192" t="s">
        <v>338</v>
      </c>
      <c r="J87" s="192" t="s">
        <v>836</v>
      </c>
      <c r="K87" s="192" t="s">
        <v>339</v>
      </c>
      <c r="L87" s="192" t="str">
        <f t="shared" si="1"/>
        <v>Stationary AssetsBuildingsOur EstateRefrigerantsR427ANaN</v>
      </c>
      <c r="M87" s="192" t="s">
        <v>1142</v>
      </c>
      <c r="N87" s="192" t="s">
        <v>337</v>
      </c>
      <c r="O87" s="305"/>
      <c r="P87" s="372"/>
      <c r="Q87" s="376">
        <v>2024</v>
      </c>
      <c r="R87" s="305"/>
      <c r="S87" s="305"/>
      <c r="T87" s="305"/>
      <c r="U87" s="305"/>
      <c r="V87" s="305"/>
      <c r="W87" s="305"/>
      <c r="X87" s="192" t="s">
        <v>1221</v>
      </c>
      <c r="Y87" s="305"/>
      <c r="Z87" s="305"/>
      <c r="AA87" s="305"/>
      <c r="AB87" s="305"/>
      <c r="AC87" s="305"/>
      <c r="AD87" s="305"/>
      <c r="AE87" s="424"/>
    </row>
    <row r="88" spans="5:31" ht="14.5" x14ac:dyDescent="0.35">
      <c r="E88" s="192">
        <v>80</v>
      </c>
      <c r="F88" s="192" t="s">
        <v>265</v>
      </c>
      <c r="G88" s="192" t="s">
        <v>273</v>
      </c>
      <c r="H88" s="192" t="s">
        <v>541</v>
      </c>
      <c r="I88" s="192" t="s">
        <v>338</v>
      </c>
      <c r="J88" s="192" t="s">
        <v>839</v>
      </c>
      <c r="K88" s="192" t="s">
        <v>339</v>
      </c>
      <c r="L88" s="192" t="str">
        <f t="shared" si="1"/>
        <v>Stationary AssetsBuildingsOur EstateRefrigerantsR428ANaN</v>
      </c>
      <c r="M88" s="192" t="s">
        <v>1142</v>
      </c>
      <c r="N88" s="192" t="s">
        <v>337</v>
      </c>
      <c r="O88" s="305"/>
      <c r="P88" s="372"/>
      <c r="Q88" s="376">
        <v>3417</v>
      </c>
      <c r="R88" s="305"/>
      <c r="S88" s="305"/>
      <c r="T88" s="305"/>
      <c r="U88" s="305"/>
      <c r="V88" s="305"/>
      <c r="W88" s="305"/>
      <c r="X88" s="192" t="s">
        <v>1222</v>
      </c>
      <c r="Y88" s="305"/>
      <c r="Z88" s="305"/>
      <c r="AA88" s="305"/>
      <c r="AB88" s="305"/>
      <c r="AC88" s="305"/>
      <c r="AD88" s="305"/>
      <c r="AE88" s="424"/>
    </row>
    <row r="89" spans="5:31" ht="14.5" x14ac:dyDescent="0.35">
      <c r="E89" s="192">
        <v>81</v>
      </c>
      <c r="F89" s="192" t="s">
        <v>265</v>
      </c>
      <c r="G89" s="192" t="s">
        <v>273</v>
      </c>
      <c r="H89" s="192" t="s">
        <v>541</v>
      </c>
      <c r="I89" s="192" t="s">
        <v>338</v>
      </c>
      <c r="J89" s="192" t="s">
        <v>842</v>
      </c>
      <c r="K89" s="192" t="s">
        <v>339</v>
      </c>
      <c r="L89" s="192" t="str">
        <f t="shared" si="1"/>
        <v>Stationary AssetsBuildingsOur EstateRefrigerantsR429ANaN</v>
      </c>
      <c r="M89" s="192" t="s">
        <v>1142</v>
      </c>
      <c r="N89" s="192" t="s">
        <v>337</v>
      </c>
      <c r="O89" s="305"/>
      <c r="P89" s="372"/>
      <c r="Q89" s="376">
        <v>15.3</v>
      </c>
      <c r="R89" s="305"/>
      <c r="S89" s="305"/>
      <c r="T89" s="305"/>
      <c r="U89" s="305"/>
      <c r="V89" s="305"/>
      <c r="W89" s="305"/>
      <c r="X89" s="192" t="s">
        <v>1223</v>
      </c>
      <c r="Y89" s="305"/>
      <c r="Z89" s="305"/>
      <c r="AA89" s="305"/>
      <c r="AB89" s="305"/>
      <c r="AC89" s="305"/>
      <c r="AD89" s="305"/>
      <c r="AE89" s="424"/>
    </row>
    <row r="90" spans="5:31" ht="14.5" x14ac:dyDescent="0.35">
      <c r="E90" s="192">
        <v>82</v>
      </c>
      <c r="F90" s="192" t="s">
        <v>265</v>
      </c>
      <c r="G90" s="192" t="s">
        <v>273</v>
      </c>
      <c r="H90" s="192" t="s">
        <v>541</v>
      </c>
      <c r="I90" s="192" t="s">
        <v>338</v>
      </c>
      <c r="J90" s="192" t="s">
        <v>845</v>
      </c>
      <c r="K90" s="192" t="s">
        <v>339</v>
      </c>
      <c r="L90" s="192" t="str">
        <f t="shared" si="1"/>
        <v>Stationary AssetsBuildingsOur EstateRefrigerantsR430ANaN</v>
      </c>
      <c r="M90" s="192" t="s">
        <v>1142</v>
      </c>
      <c r="N90" s="192" t="s">
        <v>337</v>
      </c>
      <c r="O90" s="305"/>
      <c r="P90" s="372"/>
      <c r="Q90" s="376">
        <v>106</v>
      </c>
      <c r="R90" s="305"/>
      <c r="S90" s="305"/>
      <c r="T90" s="305"/>
      <c r="U90" s="305"/>
      <c r="V90" s="305"/>
      <c r="W90" s="305"/>
      <c r="X90" s="192" t="s">
        <v>1224</v>
      </c>
      <c r="Y90" s="305"/>
      <c r="Z90" s="305"/>
      <c r="AA90" s="305"/>
      <c r="AB90" s="305"/>
      <c r="AC90" s="305"/>
      <c r="AD90" s="305"/>
      <c r="AE90" s="424"/>
    </row>
    <row r="91" spans="5:31" ht="14.5" x14ac:dyDescent="0.35">
      <c r="E91" s="192">
        <v>83</v>
      </c>
      <c r="F91" s="192" t="s">
        <v>265</v>
      </c>
      <c r="G91" s="192" t="s">
        <v>273</v>
      </c>
      <c r="H91" s="192" t="s">
        <v>541</v>
      </c>
      <c r="I91" s="192" t="s">
        <v>338</v>
      </c>
      <c r="J91" s="192" t="s">
        <v>848</v>
      </c>
      <c r="K91" s="192" t="s">
        <v>339</v>
      </c>
      <c r="L91" s="192" t="str">
        <f t="shared" si="1"/>
        <v>Stationary AssetsBuildingsOur EstateRefrigerantsR431ANaN</v>
      </c>
      <c r="M91" s="192" t="s">
        <v>1142</v>
      </c>
      <c r="N91" s="192" t="s">
        <v>337</v>
      </c>
      <c r="O91" s="305"/>
      <c r="P91" s="372"/>
      <c r="Q91" s="376">
        <v>40</v>
      </c>
      <c r="R91" s="305"/>
      <c r="S91" s="305"/>
      <c r="T91" s="305"/>
      <c r="U91" s="305"/>
      <c r="V91" s="305"/>
      <c r="W91" s="305"/>
      <c r="X91" s="192" t="s">
        <v>1225</v>
      </c>
      <c r="Y91" s="305"/>
      <c r="Z91" s="305"/>
      <c r="AA91" s="305"/>
      <c r="AB91" s="305"/>
      <c r="AC91" s="305"/>
      <c r="AD91" s="305"/>
      <c r="AE91" s="424"/>
    </row>
    <row r="92" spans="5:31" ht="14.5" x14ac:dyDescent="0.35">
      <c r="E92" s="192">
        <v>84</v>
      </c>
      <c r="F92" s="192" t="s">
        <v>265</v>
      </c>
      <c r="G92" s="192" t="s">
        <v>273</v>
      </c>
      <c r="H92" s="192" t="s">
        <v>541</v>
      </c>
      <c r="I92" s="192" t="s">
        <v>338</v>
      </c>
      <c r="J92" s="192" t="s">
        <v>851</v>
      </c>
      <c r="K92" s="192" t="s">
        <v>339</v>
      </c>
      <c r="L92" s="192" t="str">
        <f t="shared" si="1"/>
        <v>Stationary AssetsBuildingsOur EstateRefrigerantsR432ANaN</v>
      </c>
      <c r="M92" s="192" t="s">
        <v>1142</v>
      </c>
      <c r="N92" s="192" t="s">
        <v>337</v>
      </c>
      <c r="O92" s="305"/>
      <c r="P92" s="372"/>
      <c r="Q92" s="376">
        <v>1.8</v>
      </c>
      <c r="R92" s="305"/>
      <c r="S92" s="305"/>
      <c r="T92" s="305"/>
      <c r="U92" s="305"/>
      <c r="V92" s="305"/>
      <c r="W92" s="305"/>
      <c r="X92" s="192" t="s">
        <v>1226</v>
      </c>
      <c r="Y92" s="305"/>
      <c r="Z92" s="305"/>
      <c r="AA92" s="305"/>
      <c r="AB92" s="305"/>
      <c r="AC92" s="305"/>
      <c r="AD92" s="305"/>
      <c r="AE92" s="424"/>
    </row>
    <row r="93" spans="5:31" ht="14.5" x14ac:dyDescent="0.35">
      <c r="E93" s="192">
        <v>85</v>
      </c>
      <c r="F93" s="192" t="s">
        <v>265</v>
      </c>
      <c r="G93" s="192" t="s">
        <v>273</v>
      </c>
      <c r="H93" s="192" t="s">
        <v>541</v>
      </c>
      <c r="I93" s="192" t="s">
        <v>338</v>
      </c>
      <c r="J93" s="192" t="s">
        <v>854</v>
      </c>
      <c r="K93" s="192" t="s">
        <v>339</v>
      </c>
      <c r="L93" s="192" t="str">
        <f t="shared" si="1"/>
        <v>Stationary AssetsBuildingsOur EstateRefrigerantsR433ANaN</v>
      </c>
      <c r="M93" s="192" t="s">
        <v>1142</v>
      </c>
      <c r="N93" s="192" t="s">
        <v>337</v>
      </c>
      <c r="O93" s="305"/>
      <c r="P93" s="372"/>
      <c r="Q93" s="376">
        <v>0.64</v>
      </c>
      <c r="R93" s="305"/>
      <c r="S93" s="305"/>
      <c r="T93" s="305"/>
      <c r="U93" s="305"/>
      <c r="V93" s="305"/>
      <c r="W93" s="305"/>
      <c r="X93" s="192" t="s">
        <v>1227</v>
      </c>
      <c r="Y93" s="305"/>
      <c r="Z93" s="305"/>
      <c r="AA93" s="305"/>
      <c r="AB93" s="305"/>
      <c r="AC93" s="305"/>
      <c r="AD93" s="305"/>
      <c r="AE93" s="424"/>
    </row>
    <row r="94" spans="5:31" ht="14.5" x14ac:dyDescent="0.35">
      <c r="E94" s="192">
        <v>86</v>
      </c>
      <c r="F94" s="192" t="s">
        <v>265</v>
      </c>
      <c r="G94" s="192" t="s">
        <v>273</v>
      </c>
      <c r="H94" s="192" t="s">
        <v>541</v>
      </c>
      <c r="I94" s="192" t="s">
        <v>338</v>
      </c>
      <c r="J94" s="192" t="s">
        <v>856</v>
      </c>
      <c r="K94" s="192" t="s">
        <v>339</v>
      </c>
      <c r="L94" s="192" t="str">
        <f t="shared" si="1"/>
        <v>Stationary AssetsBuildingsOur EstateRefrigerantsR433BNaN</v>
      </c>
      <c r="M94" s="192" t="s">
        <v>1142</v>
      </c>
      <c r="N94" s="192" t="s">
        <v>337</v>
      </c>
      <c r="O94" s="305"/>
      <c r="P94" s="372"/>
      <c r="Q94" s="376">
        <v>0.16</v>
      </c>
      <c r="R94" s="305"/>
      <c r="S94" s="305"/>
      <c r="T94" s="305"/>
      <c r="U94" s="305"/>
      <c r="V94" s="305"/>
      <c r="W94" s="305"/>
      <c r="X94" s="192" t="s">
        <v>1228</v>
      </c>
      <c r="Y94" s="305"/>
      <c r="Z94" s="305"/>
      <c r="AA94" s="305"/>
      <c r="AB94" s="305"/>
      <c r="AC94" s="305"/>
      <c r="AD94" s="305"/>
      <c r="AE94" s="424"/>
    </row>
    <row r="95" spans="5:31" ht="14.5" x14ac:dyDescent="0.35">
      <c r="E95" s="192">
        <v>87</v>
      </c>
      <c r="F95" s="192" t="s">
        <v>265</v>
      </c>
      <c r="G95" s="192" t="s">
        <v>273</v>
      </c>
      <c r="H95" s="192" t="s">
        <v>541</v>
      </c>
      <c r="I95" s="192" t="s">
        <v>338</v>
      </c>
      <c r="J95" s="192" t="s">
        <v>858</v>
      </c>
      <c r="K95" s="192" t="s">
        <v>339</v>
      </c>
      <c r="L95" s="192" t="str">
        <f t="shared" si="1"/>
        <v>Stationary AssetsBuildingsOur EstateRefrigerantsR433CNaN</v>
      </c>
      <c r="M95" s="192" t="s">
        <v>1142</v>
      </c>
      <c r="N95" s="192" t="s">
        <v>337</v>
      </c>
      <c r="O95" s="305"/>
      <c r="P95" s="372"/>
      <c r="Q95" s="376">
        <v>0.55000000000000004</v>
      </c>
      <c r="R95" s="305"/>
      <c r="S95" s="305"/>
      <c r="T95" s="305"/>
      <c r="U95" s="305"/>
      <c r="V95" s="305"/>
      <c r="W95" s="305"/>
      <c r="X95" s="192" t="s">
        <v>1229</v>
      </c>
      <c r="Y95" s="305"/>
      <c r="Z95" s="305"/>
      <c r="AA95" s="305"/>
      <c r="AB95" s="305"/>
      <c r="AC95" s="305"/>
      <c r="AD95" s="305"/>
      <c r="AE95" s="424"/>
    </row>
    <row r="96" spans="5:31" ht="14.5" x14ac:dyDescent="0.35">
      <c r="E96" s="192">
        <v>88</v>
      </c>
      <c r="F96" s="192" t="s">
        <v>265</v>
      </c>
      <c r="G96" s="192" t="s">
        <v>273</v>
      </c>
      <c r="H96" s="192" t="s">
        <v>541</v>
      </c>
      <c r="I96" s="192" t="s">
        <v>338</v>
      </c>
      <c r="J96" s="192" t="s">
        <v>860</v>
      </c>
      <c r="K96" s="192" t="s">
        <v>339</v>
      </c>
      <c r="L96" s="192" t="str">
        <f t="shared" si="1"/>
        <v>Stationary AssetsBuildingsOur EstateRefrigerantsR434ANaN</v>
      </c>
      <c r="M96" s="192" t="s">
        <v>1142</v>
      </c>
      <c r="N96" s="192" t="s">
        <v>337</v>
      </c>
      <c r="O96" s="305"/>
      <c r="P96" s="372"/>
      <c r="Q96" s="376">
        <v>3076</v>
      </c>
      <c r="R96" s="305"/>
      <c r="S96" s="305"/>
      <c r="T96" s="305"/>
      <c r="U96" s="305"/>
      <c r="V96" s="305"/>
      <c r="W96" s="305"/>
      <c r="X96" s="192" t="s">
        <v>1230</v>
      </c>
      <c r="Y96" s="305"/>
      <c r="Z96" s="305"/>
      <c r="AA96" s="305"/>
      <c r="AB96" s="305"/>
      <c r="AC96" s="305"/>
      <c r="AD96" s="305"/>
      <c r="AE96" s="424"/>
    </row>
    <row r="97" spans="5:31" ht="14.5" x14ac:dyDescent="0.35">
      <c r="E97" s="192">
        <v>89</v>
      </c>
      <c r="F97" s="192" t="s">
        <v>265</v>
      </c>
      <c r="G97" s="192" t="s">
        <v>273</v>
      </c>
      <c r="H97" s="192" t="s">
        <v>541</v>
      </c>
      <c r="I97" s="192" t="s">
        <v>338</v>
      </c>
      <c r="J97" s="192" t="s">
        <v>862</v>
      </c>
      <c r="K97" s="192" t="s">
        <v>339</v>
      </c>
      <c r="L97" s="192" t="str">
        <f t="shared" si="1"/>
        <v>Stationary AssetsBuildingsOur EstateRefrigerantsR435ANaN</v>
      </c>
      <c r="M97" s="192" t="s">
        <v>1142</v>
      </c>
      <c r="N97" s="192" t="s">
        <v>337</v>
      </c>
      <c r="O97" s="305"/>
      <c r="P97" s="372"/>
      <c r="Q97" s="376">
        <v>28.4</v>
      </c>
      <c r="R97" s="305"/>
      <c r="S97" s="305"/>
      <c r="T97" s="305"/>
      <c r="U97" s="305"/>
      <c r="V97" s="305"/>
      <c r="W97" s="305"/>
      <c r="X97" s="192" t="s">
        <v>1231</v>
      </c>
      <c r="Y97" s="305"/>
      <c r="Z97" s="305"/>
      <c r="AA97" s="305"/>
      <c r="AB97" s="305"/>
      <c r="AC97" s="305"/>
      <c r="AD97" s="305"/>
      <c r="AE97" s="424"/>
    </row>
    <row r="98" spans="5:31" ht="14.5" x14ac:dyDescent="0.35">
      <c r="E98" s="192">
        <v>90</v>
      </c>
      <c r="F98" s="192" t="s">
        <v>265</v>
      </c>
      <c r="G98" s="192" t="s">
        <v>273</v>
      </c>
      <c r="H98" s="192" t="s">
        <v>541</v>
      </c>
      <c r="I98" s="192" t="s">
        <v>338</v>
      </c>
      <c r="J98" s="192" t="s">
        <v>864</v>
      </c>
      <c r="K98" s="192" t="s">
        <v>339</v>
      </c>
      <c r="L98" s="192" t="str">
        <f t="shared" si="1"/>
        <v>Stationary AssetsBuildingsOur EstateRefrigerantsR436ANaN</v>
      </c>
      <c r="M98" s="192" t="s">
        <v>1142</v>
      </c>
      <c r="N98" s="192" t="s">
        <v>337</v>
      </c>
      <c r="O98" s="305"/>
      <c r="P98" s="372"/>
      <c r="Q98" s="376">
        <v>1.35</v>
      </c>
      <c r="R98" s="305"/>
      <c r="S98" s="305"/>
      <c r="T98" s="305"/>
      <c r="U98" s="305"/>
      <c r="V98" s="305"/>
      <c r="W98" s="305"/>
      <c r="X98" s="192" t="s">
        <v>1232</v>
      </c>
      <c r="Y98" s="305"/>
      <c r="Z98" s="305"/>
      <c r="AA98" s="305"/>
      <c r="AB98" s="305"/>
      <c r="AC98" s="305"/>
      <c r="AD98" s="305"/>
      <c r="AE98" s="424"/>
    </row>
    <row r="99" spans="5:31" ht="14.5" x14ac:dyDescent="0.35">
      <c r="E99" s="192">
        <v>91</v>
      </c>
      <c r="F99" s="192" t="s">
        <v>265</v>
      </c>
      <c r="G99" s="192" t="s">
        <v>273</v>
      </c>
      <c r="H99" s="192" t="s">
        <v>541</v>
      </c>
      <c r="I99" s="192" t="s">
        <v>338</v>
      </c>
      <c r="J99" s="192" t="s">
        <v>866</v>
      </c>
      <c r="K99" s="192" t="s">
        <v>339</v>
      </c>
      <c r="L99" s="192" t="str">
        <f t="shared" si="1"/>
        <v>Stationary AssetsBuildingsOur EstateRefrigerantsR436BNaN</v>
      </c>
      <c r="M99" s="192" t="s">
        <v>1142</v>
      </c>
      <c r="N99" s="192" t="s">
        <v>337</v>
      </c>
      <c r="O99" s="305"/>
      <c r="P99" s="372"/>
      <c r="Q99" s="376">
        <v>1.47</v>
      </c>
      <c r="R99" s="305"/>
      <c r="S99" s="305"/>
      <c r="T99" s="305"/>
      <c r="U99" s="305"/>
      <c r="V99" s="305"/>
      <c r="W99" s="305"/>
      <c r="X99" s="192" t="s">
        <v>1233</v>
      </c>
      <c r="Y99" s="305"/>
      <c r="Z99" s="305"/>
      <c r="AA99" s="305"/>
      <c r="AB99" s="305"/>
      <c r="AC99" s="305"/>
      <c r="AD99" s="305"/>
      <c r="AE99" s="424"/>
    </row>
    <row r="100" spans="5:31" ht="14.5" x14ac:dyDescent="0.35">
      <c r="E100" s="192">
        <v>92</v>
      </c>
      <c r="F100" s="192" t="s">
        <v>265</v>
      </c>
      <c r="G100" s="192" t="s">
        <v>273</v>
      </c>
      <c r="H100" s="192" t="s">
        <v>541</v>
      </c>
      <c r="I100" s="192" t="s">
        <v>338</v>
      </c>
      <c r="J100" s="192" t="s">
        <v>868</v>
      </c>
      <c r="K100" s="192" t="s">
        <v>339</v>
      </c>
      <c r="L100" s="192" t="str">
        <f t="shared" si="1"/>
        <v>Stationary AssetsBuildingsOur EstateRefrigerantsR437ANaN</v>
      </c>
      <c r="M100" s="192" t="s">
        <v>1142</v>
      </c>
      <c r="N100" s="192" t="s">
        <v>337</v>
      </c>
      <c r="O100" s="305"/>
      <c r="P100" s="372"/>
      <c r="Q100" s="376">
        <v>1639</v>
      </c>
      <c r="R100" s="305"/>
      <c r="S100" s="305"/>
      <c r="T100" s="305"/>
      <c r="U100" s="305"/>
      <c r="V100" s="305"/>
      <c r="W100" s="305"/>
      <c r="X100" s="192" t="s">
        <v>1234</v>
      </c>
      <c r="Y100" s="305"/>
      <c r="Z100" s="305"/>
      <c r="AA100" s="305"/>
      <c r="AB100" s="305"/>
      <c r="AC100" s="305"/>
      <c r="AD100" s="305"/>
      <c r="AE100" s="424"/>
    </row>
    <row r="101" spans="5:31" ht="14.5" x14ac:dyDescent="0.35">
      <c r="E101" s="192">
        <v>93</v>
      </c>
      <c r="F101" s="192" t="s">
        <v>265</v>
      </c>
      <c r="G101" s="192" t="s">
        <v>273</v>
      </c>
      <c r="H101" s="192" t="s">
        <v>541</v>
      </c>
      <c r="I101" s="192" t="s">
        <v>338</v>
      </c>
      <c r="J101" s="192" t="s">
        <v>870</v>
      </c>
      <c r="K101" s="192" t="s">
        <v>339</v>
      </c>
      <c r="L101" s="192" t="str">
        <f t="shared" si="1"/>
        <v>Stationary AssetsBuildingsOur EstateRefrigerantsR438ANaN</v>
      </c>
      <c r="M101" s="192" t="s">
        <v>1142</v>
      </c>
      <c r="N101" s="192" t="s">
        <v>337</v>
      </c>
      <c r="O101" s="305"/>
      <c r="P101" s="372"/>
      <c r="Q101" s="376">
        <v>2059</v>
      </c>
      <c r="R101" s="305"/>
      <c r="S101" s="305"/>
      <c r="T101" s="305"/>
      <c r="U101" s="305"/>
      <c r="V101" s="305"/>
      <c r="W101" s="305"/>
      <c r="X101" s="192" t="s">
        <v>1235</v>
      </c>
      <c r="Y101" s="305"/>
      <c r="Z101" s="305"/>
      <c r="AA101" s="305"/>
      <c r="AB101" s="305"/>
      <c r="AC101" s="305"/>
      <c r="AD101" s="305"/>
      <c r="AE101" s="424"/>
    </row>
    <row r="102" spans="5:31" ht="14.5" x14ac:dyDescent="0.35">
      <c r="E102" s="192">
        <v>94</v>
      </c>
      <c r="F102" s="192" t="s">
        <v>265</v>
      </c>
      <c r="G102" s="192" t="s">
        <v>273</v>
      </c>
      <c r="H102" s="192" t="s">
        <v>541</v>
      </c>
      <c r="I102" s="192" t="s">
        <v>338</v>
      </c>
      <c r="J102" s="192" t="s">
        <v>872</v>
      </c>
      <c r="K102" s="192" t="s">
        <v>339</v>
      </c>
      <c r="L102" s="192" t="str">
        <f t="shared" si="1"/>
        <v>Stationary AssetsBuildingsOur EstateRefrigerantsR439ANaN</v>
      </c>
      <c r="M102" s="192" t="s">
        <v>1142</v>
      </c>
      <c r="N102" s="192" t="s">
        <v>337</v>
      </c>
      <c r="O102" s="305"/>
      <c r="P102" s="372"/>
      <c r="Q102" s="376">
        <v>1828</v>
      </c>
      <c r="R102" s="305"/>
      <c r="S102" s="305"/>
      <c r="T102" s="305"/>
      <c r="U102" s="305"/>
      <c r="V102" s="305"/>
      <c r="W102" s="305"/>
      <c r="X102" s="192" t="s">
        <v>1236</v>
      </c>
      <c r="Y102" s="305"/>
      <c r="Z102" s="305"/>
      <c r="AA102" s="305"/>
      <c r="AB102" s="305"/>
      <c r="AC102" s="305"/>
      <c r="AD102" s="305"/>
      <c r="AE102" s="424"/>
    </row>
    <row r="103" spans="5:31" ht="14.5" x14ac:dyDescent="0.35">
      <c r="E103" s="192">
        <v>95</v>
      </c>
      <c r="F103" s="192" t="s">
        <v>265</v>
      </c>
      <c r="G103" s="192" t="s">
        <v>273</v>
      </c>
      <c r="H103" s="192" t="s">
        <v>541</v>
      </c>
      <c r="I103" s="192" t="s">
        <v>338</v>
      </c>
      <c r="J103" s="192" t="s">
        <v>874</v>
      </c>
      <c r="K103" s="192" t="s">
        <v>339</v>
      </c>
      <c r="L103" s="192" t="str">
        <f t="shared" si="1"/>
        <v>Stationary AssetsBuildingsOur EstateRefrigerantsR440ANaN</v>
      </c>
      <c r="M103" s="192" t="s">
        <v>1142</v>
      </c>
      <c r="N103" s="192" t="s">
        <v>337</v>
      </c>
      <c r="O103" s="305"/>
      <c r="P103" s="372"/>
      <c r="Q103" s="376">
        <v>156</v>
      </c>
      <c r="R103" s="305"/>
      <c r="S103" s="305"/>
      <c r="T103" s="305"/>
      <c r="U103" s="305"/>
      <c r="V103" s="305"/>
      <c r="W103" s="305"/>
      <c r="X103" s="192" t="s">
        <v>1237</v>
      </c>
      <c r="Y103" s="305"/>
      <c r="Z103" s="305"/>
      <c r="AA103" s="305"/>
      <c r="AB103" s="305"/>
      <c r="AC103" s="305"/>
      <c r="AD103" s="305"/>
      <c r="AE103" s="424"/>
    </row>
    <row r="104" spans="5:31" ht="14.5" x14ac:dyDescent="0.35">
      <c r="E104" s="192">
        <v>96</v>
      </c>
      <c r="F104" s="192" t="s">
        <v>265</v>
      </c>
      <c r="G104" s="192" t="s">
        <v>273</v>
      </c>
      <c r="H104" s="192" t="s">
        <v>541</v>
      </c>
      <c r="I104" s="192" t="s">
        <v>338</v>
      </c>
      <c r="J104" s="192" t="s">
        <v>876</v>
      </c>
      <c r="K104" s="192" t="s">
        <v>339</v>
      </c>
      <c r="L104" s="192" t="str">
        <f t="shared" si="1"/>
        <v>Stationary AssetsBuildingsOur EstateRefrigerantsR441ANaN</v>
      </c>
      <c r="M104" s="192" t="s">
        <v>1142</v>
      </c>
      <c r="N104" s="192" t="s">
        <v>337</v>
      </c>
      <c r="O104" s="305"/>
      <c r="P104" s="372"/>
      <c r="Q104" s="376">
        <v>0.23</v>
      </c>
      <c r="R104" s="305"/>
      <c r="S104" s="305"/>
      <c r="T104" s="305"/>
      <c r="U104" s="305"/>
      <c r="V104" s="305"/>
      <c r="W104" s="305"/>
      <c r="X104" s="192" t="s">
        <v>1238</v>
      </c>
      <c r="Y104" s="305"/>
      <c r="Z104" s="305"/>
      <c r="AA104" s="305"/>
      <c r="AB104" s="305"/>
      <c r="AC104" s="305"/>
      <c r="AD104" s="305"/>
      <c r="AE104" s="424"/>
    </row>
    <row r="105" spans="5:31" ht="14.5" x14ac:dyDescent="0.35">
      <c r="E105" s="192">
        <v>97</v>
      </c>
      <c r="F105" s="192" t="s">
        <v>265</v>
      </c>
      <c r="G105" s="192" t="s">
        <v>273</v>
      </c>
      <c r="H105" s="192" t="s">
        <v>541</v>
      </c>
      <c r="I105" s="192" t="s">
        <v>338</v>
      </c>
      <c r="J105" s="192" t="s">
        <v>878</v>
      </c>
      <c r="K105" s="192" t="s">
        <v>339</v>
      </c>
      <c r="L105" s="192" t="str">
        <f t="shared" si="1"/>
        <v>Stationary AssetsBuildingsOur EstateRefrigerantsR442ANaN</v>
      </c>
      <c r="M105" s="192" t="s">
        <v>1142</v>
      </c>
      <c r="N105" s="192" t="s">
        <v>337</v>
      </c>
      <c r="O105" s="305"/>
      <c r="P105" s="372"/>
      <c r="Q105" s="376">
        <v>1754</v>
      </c>
      <c r="R105" s="305"/>
      <c r="S105" s="305"/>
      <c r="T105" s="305"/>
      <c r="U105" s="305"/>
      <c r="V105" s="305"/>
      <c r="W105" s="305"/>
      <c r="X105" s="192" t="s">
        <v>1239</v>
      </c>
      <c r="Y105" s="305"/>
      <c r="Z105" s="305"/>
      <c r="AA105" s="305"/>
      <c r="AB105" s="305"/>
      <c r="AC105" s="305"/>
      <c r="AD105" s="305"/>
      <c r="AE105" s="424"/>
    </row>
    <row r="106" spans="5:31" ht="14.5" x14ac:dyDescent="0.35">
      <c r="E106" s="192">
        <v>98</v>
      </c>
      <c r="F106" s="192" t="s">
        <v>265</v>
      </c>
      <c r="G106" s="192" t="s">
        <v>273</v>
      </c>
      <c r="H106" s="192" t="s">
        <v>541</v>
      </c>
      <c r="I106" s="192" t="s">
        <v>338</v>
      </c>
      <c r="J106" s="192" t="s">
        <v>880</v>
      </c>
      <c r="K106" s="192" t="s">
        <v>339</v>
      </c>
      <c r="L106" s="192" t="str">
        <f t="shared" si="1"/>
        <v>Stationary AssetsBuildingsOur EstateRefrigerantsR443ANaN</v>
      </c>
      <c r="M106" s="192" t="s">
        <v>1142</v>
      </c>
      <c r="N106" s="192" t="s">
        <v>337</v>
      </c>
      <c r="O106" s="305"/>
      <c r="P106" s="372"/>
      <c r="Q106" s="376">
        <v>1</v>
      </c>
      <c r="R106" s="305"/>
      <c r="S106" s="305"/>
      <c r="T106" s="305"/>
      <c r="U106" s="305"/>
      <c r="V106" s="305"/>
      <c r="W106" s="305"/>
      <c r="X106" s="192" t="s">
        <v>1240</v>
      </c>
      <c r="Y106" s="305"/>
      <c r="Z106" s="305"/>
      <c r="AA106" s="305"/>
      <c r="AB106" s="305"/>
      <c r="AC106" s="305"/>
      <c r="AD106" s="305"/>
      <c r="AE106" s="424"/>
    </row>
    <row r="107" spans="5:31" ht="14.5" x14ac:dyDescent="0.35">
      <c r="E107" s="192">
        <v>99</v>
      </c>
      <c r="F107" s="192" t="s">
        <v>265</v>
      </c>
      <c r="G107" s="192" t="s">
        <v>273</v>
      </c>
      <c r="H107" s="192" t="s">
        <v>541</v>
      </c>
      <c r="I107" s="192" t="s">
        <v>338</v>
      </c>
      <c r="J107" s="192" t="s">
        <v>882</v>
      </c>
      <c r="K107" s="192" t="s">
        <v>339</v>
      </c>
      <c r="L107" s="192" t="str">
        <f t="shared" si="1"/>
        <v>Stationary AssetsBuildingsOur EstateRefrigerantsR444ANaN</v>
      </c>
      <c r="M107" s="192" t="s">
        <v>1142</v>
      </c>
      <c r="N107" s="192" t="s">
        <v>337</v>
      </c>
      <c r="O107" s="305"/>
      <c r="P107" s="372"/>
      <c r="Q107" s="376">
        <v>89</v>
      </c>
      <c r="R107" s="305"/>
      <c r="S107" s="305"/>
      <c r="T107" s="305"/>
      <c r="U107" s="305"/>
      <c r="V107" s="305"/>
      <c r="W107" s="305"/>
      <c r="X107" s="192" t="s">
        <v>1241</v>
      </c>
      <c r="Y107" s="305"/>
      <c r="Z107" s="305"/>
      <c r="AA107" s="305"/>
      <c r="AB107" s="305"/>
      <c r="AC107" s="305"/>
      <c r="AD107" s="305"/>
      <c r="AE107" s="424"/>
    </row>
    <row r="108" spans="5:31" ht="14.5" x14ac:dyDescent="0.35">
      <c r="E108" s="192">
        <v>100</v>
      </c>
      <c r="F108" s="192" t="s">
        <v>265</v>
      </c>
      <c r="G108" s="192" t="s">
        <v>273</v>
      </c>
      <c r="H108" s="192" t="s">
        <v>541</v>
      </c>
      <c r="I108" s="192" t="s">
        <v>338</v>
      </c>
      <c r="J108" s="192" t="s">
        <v>884</v>
      </c>
      <c r="K108" s="192" t="s">
        <v>339</v>
      </c>
      <c r="L108" s="192" t="str">
        <f t="shared" si="1"/>
        <v>Stationary AssetsBuildingsOur EstateRefrigerantsR445ANaN</v>
      </c>
      <c r="M108" s="192" t="s">
        <v>1142</v>
      </c>
      <c r="N108" s="192" t="s">
        <v>337</v>
      </c>
      <c r="O108" s="305"/>
      <c r="P108" s="372"/>
      <c r="Q108" s="376">
        <v>118</v>
      </c>
      <c r="R108" s="305"/>
      <c r="S108" s="305"/>
      <c r="T108" s="305"/>
      <c r="U108" s="305"/>
      <c r="V108" s="305"/>
      <c r="W108" s="305"/>
      <c r="X108" s="192" t="s">
        <v>1242</v>
      </c>
      <c r="Y108" s="305"/>
      <c r="Z108" s="305"/>
      <c r="AA108" s="305"/>
      <c r="AB108" s="305"/>
      <c r="AC108" s="305"/>
      <c r="AD108" s="305"/>
      <c r="AE108" s="424"/>
    </row>
    <row r="109" spans="5:31" ht="14.5" x14ac:dyDescent="0.35">
      <c r="E109" s="192">
        <v>101</v>
      </c>
      <c r="F109" s="192" t="s">
        <v>265</v>
      </c>
      <c r="G109" s="192" t="s">
        <v>273</v>
      </c>
      <c r="H109" s="192" t="s">
        <v>541</v>
      </c>
      <c r="I109" s="192" t="s">
        <v>338</v>
      </c>
      <c r="J109" s="192" t="s">
        <v>886</v>
      </c>
      <c r="K109" s="192" t="s">
        <v>339</v>
      </c>
      <c r="L109" s="192" t="str">
        <f t="shared" si="1"/>
        <v>Stationary AssetsBuildingsOur EstateRefrigerantsR500NaN</v>
      </c>
      <c r="M109" s="192" t="s">
        <v>1142</v>
      </c>
      <c r="N109" s="192" t="s">
        <v>337</v>
      </c>
      <c r="O109" s="305"/>
      <c r="P109" s="372"/>
      <c r="Q109" s="376">
        <v>7564</v>
      </c>
      <c r="R109" s="305"/>
      <c r="S109" s="305"/>
      <c r="T109" s="305"/>
      <c r="U109" s="305"/>
      <c r="V109" s="305"/>
      <c r="W109" s="305"/>
      <c r="X109" s="192" t="s">
        <v>1243</v>
      </c>
      <c r="Y109" s="305"/>
      <c r="Z109" s="305"/>
      <c r="AA109" s="305"/>
      <c r="AB109" s="305"/>
      <c r="AC109" s="305"/>
      <c r="AD109" s="305"/>
      <c r="AE109" s="424"/>
    </row>
    <row r="110" spans="5:31" ht="14.5" x14ac:dyDescent="0.35">
      <c r="E110" s="192">
        <v>102</v>
      </c>
      <c r="F110" s="192" t="s">
        <v>265</v>
      </c>
      <c r="G110" s="192" t="s">
        <v>273</v>
      </c>
      <c r="H110" s="192" t="s">
        <v>541</v>
      </c>
      <c r="I110" s="192" t="s">
        <v>338</v>
      </c>
      <c r="J110" s="192" t="s">
        <v>888</v>
      </c>
      <c r="K110" s="192" t="s">
        <v>339</v>
      </c>
      <c r="L110" s="192" t="str">
        <f t="shared" si="1"/>
        <v>Stationary AssetsBuildingsOur EstateRefrigerantsR501NaN</v>
      </c>
      <c r="M110" s="192" t="s">
        <v>1142</v>
      </c>
      <c r="N110" s="192" t="s">
        <v>337</v>
      </c>
      <c r="O110" s="305"/>
      <c r="P110" s="372"/>
      <c r="Q110" s="376">
        <v>3870</v>
      </c>
      <c r="R110" s="305"/>
      <c r="S110" s="305"/>
      <c r="T110" s="305"/>
      <c r="U110" s="305"/>
      <c r="V110" s="305"/>
      <c r="W110" s="305"/>
      <c r="X110" s="192" t="s">
        <v>1244</v>
      </c>
      <c r="Y110" s="305"/>
      <c r="Z110" s="305"/>
      <c r="AA110" s="305"/>
      <c r="AB110" s="305"/>
      <c r="AC110" s="305"/>
      <c r="AD110" s="305"/>
      <c r="AE110" s="424"/>
    </row>
    <row r="111" spans="5:31" ht="14.5" x14ac:dyDescent="0.35">
      <c r="E111" s="192">
        <v>103</v>
      </c>
      <c r="F111" s="192" t="s">
        <v>265</v>
      </c>
      <c r="G111" s="192" t="s">
        <v>273</v>
      </c>
      <c r="H111" s="192" t="s">
        <v>541</v>
      </c>
      <c r="I111" s="192" t="s">
        <v>338</v>
      </c>
      <c r="J111" s="192" t="s">
        <v>890</v>
      </c>
      <c r="K111" s="192" t="s">
        <v>339</v>
      </c>
      <c r="L111" s="192" t="str">
        <f t="shared" si="1"/>
        <v>Stationary AssetsBuildingsOur EstateRefrigerantsR502NaN</v>
      </c>
      <c r="M111" s="192" t="s">
        <v>1142</v>
      </c>
      <c r="N111" s="192" t="s">
        <v>337</v>
      </c>
      <c r="O111" s="305"/>
      <c r="P111" s="372"/>
      <c r="Q111" s="376">
        <v>4786</v>
      </c>
      <c r="R111" s="305"/>
      <c r="S111" s="305"/>
      <c r="T111" s="305"/>
      <c r="U111" s="305"/>
      <c r="V111" s="305"/>
      <c r="W111" s="305"/>
      <c r="X111" s="192" t="s">
        <v>1245</v>
      </c>
      <c r="Y111" s="305"/>
      <c r="Z111" s="305"/>
      <c r="AA111" s="305"/>
      <c r="AB111" s="305"/>
      <c r="AC111" s="305"/>
      <c r="AD111" s="305"/>
      <c r="AE111" s="424"/>
    </row>
    <row r="112" spans="5:31" ht="14.5" x14ac:dyDescent="0.35">
      <c r="E112" s="192">
        <v>104</v>
      </c>
      <c r="F112" s="192" t="s">
        <v>265</v>
      </c>
      <c r="G112" s="192" t="s">
        <v>273</v>
      </c>
      <c r="H112" s="192" t="s">
        <v>541</v>
      </c>
      <c r="I112" s="192" t="s">
        <v>338</v>
      </c>
      <c r="J112" s="192" t="s">
        <v>892</v>
      </c>
      <c r="K112" s="192" t="s">
        <v>339</v>
      </c>
      <c r="L112" s="192" t="str">
        <f t="shared" si="1"/>
        <v>Stationary AssetsBuildingsOur EstateRefrigerantsR503NaN</v>
      </c>
      <c r="M112" s="192" t="s">
        <v>1142</v>
      </c>
      <c r="N112" s="192" t="s">
        <v>337</v>
      </c>
      <c r="O112" s="305"/>
      <c r="P112" s="372"/>
      <c r="Q112" s="376">
        <v>13299</v>
      </c>
      <c r="R112" s="305"/>
      <c r="S112" s="305"/>
      <c r="T112" s="305"/>
      <c r="U112" s="305"/>
      <c r="V112" s="305"/>
      <c r="W112" s="305"/>
      <c r="X112" s="192" t="s">
        <v>1246</v>
      </c>
      <c r="Y112" s="305"/>
      <c r="Z112" s="305"/>
      <c r="AA112" s="305"/>
      <c r="AB112" s="305"/>
      <c r="AC112" s="305"/>
      <c r="AD112" s="305"/>
      <c r="AE112" s="424"/>
    </row>
    <row r="113" spans="5:31" ht="14.5" x14ac:dyDescent="0.35">
      <c r="E113" s="192">
        <v>105</v>
      </c>
      <c r="F113" s="192" t="s">
        <v>265</v>
      </c>
      <c r="G113" s="192" t="s">
        <v>273</v>
      </c>
      <c r="H113" s="192" t="s">
        <v>541</v>
      </c>
      <c r="I113" s="192" t="s">
        <v>338</v>
      </c>
      <c r="J113" s="192" t="s">
        <v>894</v>
      </c>
      <c r="K113" s="192" t="s">
        <v>339</v>
      </c>
      <c r="L113" s="192" t="str">
        <f t="shared" si="1"/>
        <v>Stationary AssetsBuildingsOur EstateRefrigerantsR504NaN</v>
      </c>
      <c r="M113" s="192" t="s">
        <v>1142</v>
      </c>
      <c r="N113" s="192" t="s">
        <v>337</v>
      </c>
      <c r="O113" s="305"/>
      <c r="P113" s="372"/>
      <c r="Q113" s="376">
        <v>4299</v>
      </c>
      <c r="R113" s="305"/>
      <c r="S113" s="305"/>
      <c r="T113" s="305"/>
      <c r="U113" s="305"/>
      <c r="V113" s="305"/>
      <c r="W113" s="305"/>
      <c r="X113" s="192" t="s">
        <v>1247</v>
      </c>
      <c r="Y113" s="305"/>
      <c r="Z113" s="305"/>
      <c r="AA113" s="305"/>
      <c r="AB113" s="305"/>
      <c r="AC113" s="305"/>
      <c r="AD113" s="305"/>
      <c r="AE113" s="424"/>
    </row>
    <row r="114" spans="5:31" ht="14.5" x14ac:dyDescent="0.35">
      <c r="E114" s="192">
        <v>106</v>
      </c>
      <c r="F114" s="192" t="s">
        <v>265</v>
      </c>
      <c r="G114" s="192" t="s">
        <v>273</v>
      </c>
      <c r="H114" s="192" t="s">
        <v>541</v>
      </c>
      <c r="I114" s="192" t="s">
        <v>338</v>
      </c>
      <c r="J114" s="192" t="s">
        <v>896</v>
      </c>
      <c r="K114" s="192" t="s">
        <v>339</v>
      </c>
      <c r="L114" s="192" t="str">
        <f t="shared" si="1"/>
        <v>Stationary AssetsBuildingsOur EstateRefrigerantsR505NaN</v>
      </c>
      <c r="M114" s="192" t="s">
        <v>1142</v>
      </c>
      <c r="N114" s="192" t="s">
        <v>337</v>
      </c>
      <c r="O114" s="305"/>
      <c r="P114" s="372"/>
      <c r="Q114" s="376">
        <v>7956</v>
      </c>
      <c r="R114" s="305"/>
      <c r="S114" s="305"/>
      <c r="T114" s="305"/>
      <c r="U114" s="305"/>
      <c r="V114" s="305"/>
      <c r="W114" s="305"/>
      <c r="X114" s="192" t="s">
        <v>1248</v>
      </c>
      <c r="Y114" s="305"/>
      <c r="Z114" s="305"/>
      <c r="AA114" s="305"/>
      <c r="AB114" s="305"/>
      <c r="AC114" s="305"/>
      <c r="AD114" s="305"/>
      <c r="AE114" s="424"/>
    </row>
    <row r="115" spans="5:31" ht="14.5" x14ac:dyDescent="0.35">
      <c r="E115" s="192">
        <v>107</v>
      </c>
      <c r="F115" s="192" t="s">
        <v>265</v>
      </c>
      <c r="G115" s="192" t="s">
        <v>273</v>
      </c>
      <c r="H115" s="192" t="s">
        <v>541</v>
      </c>
      <c r="I115" s="192" t="s">
        <v>338</v>
      </c>
      <c r="J115" s="192" t="s">
        <v>898</v>
      </c>
      <c r="K115" s="192" t="s">
        <v>339</v>
      </c>
      <c r="L115" s="192" t="str">
        <f t="shared" si="1"/>
        <v>Stationary AssetsBuildingsOur EstateRefrigerantsR506NaN</v>
      </c>
      <c r="M115" s="192" t="s">
        <v>1142</v>
      </c>
      <c r="N115" s="192" t="s">
        <v>337</v>
      </c>
      <c r="O115" s="305"/>
      <c r="P115" s="372"/>
      <c r="Q115" s="376">
        <v>3857</v>
      </c>
      <c r="R115" s="305"/>
      <c r="S115" s="305"/>
      <c r="T115" s="305"/>
      <c r="U115" s="305"/>
      <c r="V115" s="305"/>
      <c r="W115" s="305"/>
      <c r="X115" s="192" t="s">
        <v>1249</v>
      </c>
      <c r="Y115" s="305"/>
      <c r="Z115" s="305"/>
      <c r="AA115" s="305"/>
      <c r="AB115" s="305"/>
      <c r="AC115" s="305"/>
      <c r="AD115" s="305"/>
      <c r="AE115" s="424"/>
    </row>
    <row r="116" spans="5:31" ht="14.5" x14ac:dyDescent="0.35">
      <c r="E116" s="192">
        <v>108</v>
      </c>
      <c r="F116" s="192" t="s">
        <v>265</v>
      </c>
      <c r="G116" s="192" t="s">
        <v>273</v>
      </c>
      <c r="H116" s="192" t="s">
        <v>541</v>
      </c>
      <c r="I116" s="192" t="s">
        <v>338</v>
      </c>
      <c r="J116" s="192" t="s">
        <v>900</v>
      </c>
      <c r="K116" s="192" t="s">
        <v>339</v>
      </c>
      <c r="L116" s="192" t="str">
        <f t="shared" si="1"/>
        <v>Stationary AssetsBuildingsOur EstateRefrigerantsR507ANaN</v>
      </c>
      <c r="M116" s="192" t="s">
        <v>1142</v>
      </c>
      <c r="N116" s="192" t="s">
        <v>337</v>
      </c>
      <c r="O116" s="305"/>
      <c r="P116" s="372"/>
      <c r="Q116" s="376">
        <v>3985</v>
      </c>
      <c r="R116" s="305"/>
      <c r="S116" s="305"/>
      <c r="T116" s="305"/>
      <c r="U116" s="305"/>
      <c r="V116" s="305"/>
      <c r="W116" s="305"/>
      <c r="X116" s="192" t="s">
        <v>1250</v>
      </c>
      <c r="Y116" s="305"/>
      <c r="Z116" s="305"/>
      <c r="AA116" s="305"/>
      <c r="AB116" s="305"/>
      <c r="AC116" s="305"/>
      <c r="AD116" s="305"/>
      <c r="AE116" s="424"/>
    </row>
    <row r="117" spans="5:31" ht="14.5" x14ac:dyDescent="0.35">
      <c r="E117" s="192">
        <v>109</v>
      </c>
      <c r="F117" s="192" t="s">
        <v>265</v>
      </c>
      <c r="G117" s="192" t="s">
        <v>273</v>
      </c>
      <c r="H117" s="192" t="s">
        <v>541</v>
      </c>
      <c r="I117" s="192" t="s">
        <v>338</v>
      </c>
      <c r="J117" s="192" t="s">
        <v>902</v>
      </c>
      <c r="K117" s="192" t="s">
        <v>339</v>
      </c>
      <c r="L117" s="192" t="str">
        <f t="shared" si="1"/>
        <v>Stationary AssetsBuildingsOur EstateRefrigerantsR508ANaN</v>
      </c>
      <c r="M117" s="192" t="s">
        <v>1142</v>
      </c>
      <c r="N117" s="192" t="s">
        <v>337</v>
      </c>
      <c r="O117" s="305"/>
      <c r="P117" s="372"/>
      <c r="Q117" s="376">
        <v>11607</v>
      </c>
      <c r="R117" s="305"/>
      <c r="S117" s="305"/>
      <c r="T117" s="305"/>
      <c r="U117" s="305"/>
      <c r="V117" s="305"/>
      <c r="W117" s="305"/>
      <c r="X117" s="192" t="s">
        <v>1251</v>
      </c>
      <c r="Y117" s="305"/>
      <c r="Z117" s="305"/>
      <c r="AA117" s="305"/>
      <c r="AB117" s="305"/>
      <c r="AC117" s="305"/>
      <c r="AD117" s="305"/>
      <c r="AE117" s="424"/>
    </row>
    <row r="118" spans="5:31" ht="14.5" x14ac:dyDescent="0.35">
      <c r="E118" s="192">
        <v>110</v>
      </c>
      <c r="F118" s="192" t="s">
        <v>265</v>
      </c>
      <c r="G118" s="192" t="s">
        <v>273</v>
      </c>
      <c r="H118" s="192" t="s">
        <v>541</v>
      </c>
      <c r="I118" s="192" t="s">
        <v>338</v>
      </c>
      <c r="J118" s="192" t="s">
        <v>904</v>
      </c>
      <c r="K118" s="192" t="s">
        <v>339</v>
      </c>
      <c r="L118" s="192" t="str">
        <f t="shared" si="1"/>
        <v>Stationary AssetsBuildingsOur EstateRefrigerantsR508BNaN</v>
      </c>
      <c r="M118" s="192" t="s">
        <v>1142</v>
      </c>
      <c r="N118" s="192" t="s">
        <v>337</v>
      </c>
      <c r="O118" s="305"/>
      <c r="P118" s="372"/>
      <c r="Q118" s="376">
        <v>11698</v>
      </c>
      <c r="R118" s="305"/>
      <c r="S118" s="305"/>
      <c r="T118" s="305"/>
      <c r="U118" s="305"/>
      <c r="V118" s="305"/>
      <c r="W118" s="305"/>
      <c r="X118" s="192" t="s">
        <v>1252</v>
      </c>
      <c r="Y118" s="305"/>
      <c r="Z118" s="305"/>
      <c r="AA118" s="305"/>
      <c r="AB118" s="305"/>
      <c r="AC118" s="305"/>
      <c r="AD118" s="305"/>
      <c r="AE118" s="424"/>
    </row>
    <row r="119" spans="5:31" ht="14.5" x14ac:dyDescent="0.35">
      <c r="E119" s="192">
        <v>111</v>
      </c>
      <c r="F119" s="192" t="s">
        <v>265</v>
      </c>
      <c r="G119" s="192" t="s">
        <v>273</v>
      </c>
      <c r="H119" s="192" t="s">
        <v>541</v>
      </c>
      <c r="I119" s="192" t="s">
        <v>338</v>
      </c>
      <c r="J119" s="192" t="s">
        <v>906</v>
      </c>
      <c r="K119" s="192" t="s">
        <v>339</v>
      </c>
      <c r="L119" s="192" t="str">
        <f t="shared" si="1"/>
        <v>Stationary AssetsBuildingsOur EstateRefrigerantsR509ANaN</v>
      </c>
      <c r="M119" s="192" t="s">
        <v>1142</v>
      </c>
      <c r="N119" s="192" t="s">
        <v>337</v>
      </c>
      <c r="O119" s="305"/>
      <c r="P119" s="372"/>
      <c r="Q119" s="376">
        <v>5758</v>
      </c>
      <c r="R119" s="305"/>
      <c r="S119" s="305"/>
      <c r="T119" s="305"/>
      <c r="U119" s="305"/>
      <c r="V119" s="305"/>
      <c r="W119" s="305"/>
      <c r="X119" s="192" t="s">
        <v>1253</v>
      </c>
      <c r="Y119" s="305"/>
      <c r="Z119" s="305"/>
      <c r="AA119" s="305"/>
      <c r="AB119" s="305"/>
      <c r="AC119" s="305"/>
      <c r="AD119" s="305"/>
      <c r="AE119" s="424"/>
    </row>
    <row r="120" spans="5:31" ht="14.5" x14ac:dyDescent="0.35">
      <c r="E120" s="192">
        <v>112</v>
      </c>
      <c r="F120" s="192" t="s">
        <v>265</v>
      </c>
      <c r="G120" s="192" t="s">
        <v>273</v>
      </c>
      <c r="H120" s="192" t="s">
        <v>541</v>
      </c>
      <c r="I120" s="192" t="s">
        <v>338</v>
      </c>
      <c r="J120" s="192" t="s">
        <v>908</v>
      </c>
      <c r="K120" s="192" t="s">
        <v>339</v>
      </c>
      <c r="L120" s="192" t="str">
        <f t="shared" si="1"/>
        <v>Stationary AssetsBuildingsOur EstateRefrigerantsR510ANaN</v>
      </c>
      <c r="M120" s="192" t="s">
        <v>1142</v>
      </c>
      <c r="N120" s="192" t="s">
        <v>337</v>
      </c>
      <c r="O120" s="305"/>
      <c r="P120" s="372"/>
      <c r="Q120" s="376">
        <v>1.24</v>
      </c>
      <c r="R120" s="305"/>
      <c r="S120" s="305"/>
      <c r="T120" s="305"/>
      <c r="U120" s="305"/>
      <c r="V120" s="305"/>
      <c r="W120" s="305"/>
      <c r="X120" s="192" t="s">
        <v>1254</v>
      </c>
      <c r="Y120" s="305"/>
      <c r="Z120" s="305"/>
      <c r="AA120" s="305"/>
      <c r="AB120" s="305"/>
      <c r="AC120" s="305"/>
      <c r="AD120" s="305"/>
      <c r="AE120" s="424"/>
    </row>
    <row r="121" spans="5:31" ht="14.5" x14ac:dyDescent="0.35">
      <c r="E121" s="192">
        <v>113</v>
      </c>
      <c r="F121" s="192" t="s">
        <v>265</v>
      </c>
      <c r="G121" s="192" t="s">
        <v>273</v>
      </c>
      <c r="H121" s="192" t="s">
        <v>541</v>
      </c>
      <c r="I121" s="192" t="s">
        <v>338</v>
      </c>
      <c r="J121" s="192" t="s">
        <v>910</v>
      </c>
      <c r="K121" s="192" t="s">
        <v>339</v>
      </c>
      <c r="L121" s="192" t="str">
        <f t="shared" si="1"/>
        <v>Stationary AssetsBuildingsOur EstateRefrigerantsR511ANaN</v>
      </c>
      <c r="M121" s="192" t="s">
        <v>1142</v>
      </c>
      <c r="N121" s="192" t="s">
        <v>337</v>
      </c>
      <c r="O121" s="305"/>
      <c r="P121" s="372"/>
      <c r="Q121" s="376">
        <v>7</v>
      </c>
      <c r="R121" s="305"/>
      <c r="S121" s="305"/>
      <c r="T121" s="305"/>
      <c r="U121" s="305"/>
      <c r="V121" s="305"/>
      <c r="W121" s="305"/>
      <c r="X121" s="192" t="s">
        <v>1255</v>
      </c>
      <c r="Y121" s="305"/>
      <c r="Z121" s="305"/>
      <c r="AA121" s="305"/>
      <c r="AB121" s="305"/>
      <c r="AC121" s="305"/>
      <c r="AD121" s="305"/>
      <c r="AE121" s="424"/>
    </row>
    <row r="122" spans="5:31" ht="14.5" x14ac:dyDescent="0.35">
      <c r="E122" s="192">
        <v>114</v>
      </c>
      <c r="F122" s="192" t="s">
        <v>265</v>
      </c>
      <c r="G122" s="192" t="s">
        <v>273</v>
      </c>
      <c r="H122" s="192" t="s">
        <v>541</v>
      </c>
      <c r="I122" s="192" t="s">
        <v>338</v>
      </c>
      <c r="J122" s="192" t="s">
        <v>912</v>
      </c>
      <c r="K122" s="192" t="s">
        <v>339</v>
      </c>
      <c r="L122" s="192" t="str">
        <f t="shared" si="1"/>
        <v>Stationary AssetsBuildingsOur EstateRefrigerantsR512ANaN</v>
      </c>
      <c r="M122" s="192" t="s">
        <v>1142</v>
      </c>
      <c r="N122" s="192" t="s">
        <v>337</v>
      </c>
      <c r="O122" s="305"/>
      <c r="P122" s="372"/>
      <c r="Q122" s="376">
        <v>196</v>
      </c>
      <c r="R122" s="305"/>
      <c r="S122" s="305"/>
      <c r="T122" s="305"/>
      <c r="U122" s="305"/>
      <c r="V122" s="305"/>
      <c r="W122" s="305"/>
      <c r="X122" s="192" t="s">
        <v>1256</v>
      </c>
      <c r="Y122" s="305"/>
      <c r="Z122" s="305"/>
      <c r="AA122" s="305"/>
      <c r="AB122" s="305"/>
      <c r="AC122" s="305"/>
      <c r="AD122" s="305"/>
      <c r="AE122" s="424"/>
    </row>
    <row r="123" spans="5:31" ht="14.5" x14ac:dyDescent="0.35">
      <c r="E123" s="192">
        <v>115</v>
      </c>
      <c r="F123" s="192" t="s">
        <v>265</v>
      </c>
      <c r="G123" s="192" t="s">
        <v>273</v>
      </c>
      <c r="H123" s="192" t="s">
        <v>541</v>
      </c>
      <c r="I123" s="192" t="s">
        <v>338</v>
      </c>
      <c r="J123" s="192" t="s">
        <v>914</v>
      </c>
      <c r="K123" s="192" t="s">
        <v>339</v>
      </c>
      <c r="L123" s="192" t="str">
        <f t="shared" si="1"/>
        <v>Stationary AssetsBuildingsOur EstateRefrigerantsCFC-11/R11 = trichlorofluoromethaneNaN</v>
      </c>
      <c r="M123" s="192" t="s">
        <v>1142</v>
      </c>
      <c r="N123" s="192" t="s">
        <v>337</v>
      </c>
      <c r="O123" s="305"/>
      <c r="P123" s="372"/>
      <c r="Q123" s="376">
        <v>4660</v>
      </c>
      <c r="R123" s="305"/>
      <c r="S123" s="305"/>
      <c r="T123" s="305"/>
      <c r="U123" s="305"/>
      <c r="V123" s="305"/>
      <c r="W123" s="305"/>
      <c r="X123" s="192" t="s">
        <v>1257</v>
      </c>
      <c r="Y123" s="305"/>
      <c r="Z123" s="305"/>
      <c r="AA123" s="305"/>
      <c r="AB123" s="305"/>
      <c r="AC123" s="305"/>
      <c r="AD123" s="305"/>
      <c r="AE123" s="424"/>
    </row>
    <row r="124" spans="5:31" ht="14.5" x14ac:dyDescent="0.35">
      <c r="E124" s="192">
        <v>116</v>
      </c>
      <c r="F124" s="192" t="s">
        <v>265</v>
      </c>
      <c r="G124" s="192" t="s">
        <v>273</v>
      </c>
      <c r="H124" s="192" t="s">
        <v>541</v>
      </c>
      <c r="I124" s="192" t="s">
        <v>338</v>
      </c>
      <c r="J124" s="192" t="s">
        <v>916</v>
      </c>
      <c r="K124" s="192" t="s">
        <v>339</v>
      </c>
      <c r="L124" s="192" t="str">
        <f t="shared" si="1"/>
        <v>Stationary AssetsBuildingsOur EstateRefrigerantsCFC-12/R12 = dichlorodifluoromethaneNaN</v>
      </c>
      <c r="M124" s="192" t="s">
        <v>1142</v>
      </c>
      <c r="N124" s="192" t="s">
        <v>337</v>
      </c>
      <c r="O124" s="305"/>
      <c r="P124" s="372"/>
      <c r="Q124" s="376">
        <v>10200</v>
      </c>
      <c r="R124" s="305"/>
      <c r="S124" s="305"/>
      <c r="T124" s="305"/>
      <c r="U124" s="305"/>
      <c r="V124" s="305"/>
      <c r="W124" s="305"/>
      <c r="X124" s="192" t="s">
        <v>1258</v>
      </c>
      <c r="Y124" s="305"/>
      <c r="Z124" s="305"/>
      <c r="AA124" s="305"/>
      <c r="AB124" s="305"/>
      <c r="AC124" s="305"/>
      <c r="AD124" s="305"/>
      <c r="AE124" s="424"/>
    </row>
    <row r="125" spans="5:31" ht="14.5" x14ac:dyDescent="0.35">
      <c r="E125" s="192">
        <v>117</v>
      </c>
      <c r="F125" s="192" t="s">
        <v>265</v>
      </c>
      <c r="G125" s="192" t="s">
        <v>273</v>
      </c>
      <c r="H125" s="192" t="s">
        <v>541</v>
      </c>
      <c r="I125" s="192" t="s">
        <v>338</v>
      </c>
      <c r="J125" s="192" t="s">
        <v>918</v>
      </c>
      <c r="K125" s="192" t="s">
        <v>339</v>
      </c>
      <c r="L125" s="192" t="str">
        <f t="shared" si="1"/>
        <v>Stationary AssetsBuildingsOur EstateRefrigerantsCFC-13NaN</v>
      </c>
      <c r="M125" s="192" t="s">
        <v>1142</v>
      </c>
      <c r="N125" s="192" t="s">
        <v>337</v>
      </c>
      <c r="O125" s="305"/>
      <c r="P125" s="372"/>
      <c r="Q125" s="376">
        <v>13900</v>
      </c>
      <c r="R125" s="305"/>
      <c r="S125" s="305"/>
      <c r="T125" s="305"/>
      <c r="U125" s="305"/>
      <c r="V125" s="305"/>
      <c r="W125" s="305"/>
      <c r="X125" s="192" t="s">
        <v>1259</v>
      </c>
      <c r="Y125" s="305"/>
      <c r="Z125" s="305"/>
      <c r="AA125" s="305"/>
      <c r="AB125" s="305"/>
      <c r="AC125" s="305"/>
      <c r="AD125" s="305"/>
      <c r="AE125" s="424"/>
    </row>
    <row r="126" spans="5:31" ht="14.5" x14ac:dyDescent="0.35">
      <c r="E126" s="192">
        <v>118</v>
      </c>
      <c r="F126" s="192" t="s">
        <v>265</v>
      </c>
      <c r="G126" s="192" t="s">
        <v>273</v>
      </c>
      <c r="H126" s="192" t="s">
        <v>541</v>
      </c>
      <c r="I126" s="192" t="s">
        <v>338</v>
      </c>
      <c r="J126" s="192" t="s">
        <v>920</v>
      </c>
      <c r="K126" s="192" t="s">
        <v>339</v>
      </c>
      <c r="L126" s="192" t="str">
        <f t="shared" si="1"/>
        <v>Stationary AssetsBuildingsOur EstateRefrigerantsCFC-113NaN</v>
      </c>
      <c r="M126" s="192" t="s">
        <v>1142</v>
      </c>
      <c r="N126" s="192" t="s">
        <v>337</v>
      </c>
      <c r="O126" s="305"/>
      <c r="P126" s="372"/>
      <c r="Q126" s="376">
        <v>5820</v>
      </c>
      <c r="R126" s="305"/>
      <c r="S126" s="305"/>
      <c r="T126" s="305"/>
      <c r="U126" s="305"/>
      <c r="V126" s="305"/>
      <c r="W126" s="305"/>
      <c r="X126" s="192" t="s">
        <v>1260</v>
      </c>
      <c r="Y126" s="305"/>
      <c r="Z126" s="305"/>
      <c r="AA126" s="305"/>
      <c r="AB126" s="305"/>
      <c r="AC126" s="305"/>
      <c r="AD126" s="305"/>
      <c r="AE126" s="424"/>
    </row>
    <row r="127" spans="5:31" ht="14.5" x14ac:dyDescent="0.35">
      <c r="E127" s="192">
        <v>119</v>
      </c>
      <c r="F127" s="192" t="s">
        <v>265</v>
      </c>
      <c r="G127" s="192" t="s">
        <v>273</v>
      </c>
      <c r="H127" s="192" t="s">
        <v>541</v>
      </c>
      <c r="I127" s="192" t="s">
        <v>338</v>
      </c>
      <c r="J127" s="192" t="s">
        <v>922</v>
      </c>
      <c r="K127" s="192" t="s">
        <v>339</v>
      </c>
      <c r="L127" s="192" t="str">
        <f t="shared" si="1"/>
        <v>Stationary AssetsBuildingsOur EstateRefrigerantsCFC-114NaN</v>
      </c>
      <c r="M127" s="192" t="s">
        <v>1142</v>
      </c>
      <c r="N127" s="192" t="s">
        <v>337</v>
      </c>
      <c r="O127" s="305"/>
      <c r="P127" s="372"/>
      <c r="Q127" s="376">
        <v>8590</v>
      </c>
      <c r="R127" s="305"/>
      <c r="S127" s="305"/>
      <c r="T127" s="305"/>
      <c r="U127" s="305"/>
      <c r="V127" s="305"/>
      <c r="W127" s="305"/>
      <c r="X127" s="192" t="s">
        <v>1261</v>
      </c>
      <c r="Y127" s="305"/>
      <c r="Z127" s="305"/>
      <c r="AA127" s="305"/>
      <c r="AB127" s="305"/>
      <c r="AC127" s="305"/>
      <c r="AD127" s="305"/>
      <c r="AE127" s="424"/>
    </row>
    <row r="128" spans="5:31" ht="14.5" x14ac:dyDescent="0.35">
      <c r="E128" s="192">
        <v>120</v>
      </c>
      <c r="F128" s="192" t="s">
        <v>265</v>
      </c>
      <c r="G128" s="192" t="s">
        <v>273</v>
      </c>
      <c r="H128" s="192" t="s">
        <v>541</v>
      </c>
      <c r="I128" s="192" t="s">
        <v>338</v>
      </c>
      <c r="J128" s="192" t="s">
        <v>924</v>
      </c>
      <c r="K128" s="192" t="s">
        <v>339</v>
      </c>
      <c r="L128" s="192" t="str">
        <f t="shared" si="1"/>
        <v>Stationary AssetsBuildingsOur EstateRefrigerantsCFC-115NaN</v>
      </c>
      <c r="M128" s="192" t="s">
        <v>1142</v>
      </c>
      <c r="N128" s="192" t="s">
        <v>337</v>
      </c>
      <c r="O128" s="305"/>
      <c r="P128" s="372"/>
      <c r="Q128" s="376">
        <v>7670</v>
      </c>
      <c r="R128" s="305"/>
      <c r="S128" s="305"/>
      <c r="T128" s="305"/>
      <c r="U128" s="305"/>
      <c r="V128" s="305"/>
      <c r="W128" s="305"/>
      <c r="X128" s="192" t="s">
        <v>1262</v>
      </c>
      <c r="Y128" s="305"/>
      <c r="Z128" s="305"/>
      <c r="AA128" s="305"/>
      <c r="AB128" s="305"/>
      <c r="AC128" s="305"/>
      <c r="AD128" s="305"/>
      <c r="AE128" s="424"/>
    </row>
    <row r="129" spans="5:31" ht="14.5" x14ac:dyDescent="0.35">
      <c r="E129" s="192">
        <v>121</v>
      </c>
      <c r="F129" s="192" t="s">
        <v>265</v>
      </c>
      <c r="G129" s="192" t="s">
        <v>273</v>
      </c>
      <c r="H129" s="192" t="s">
        <v>541</v>
      </c>
      <c r="I129" s="192" t="s">
        <v>338</v>
      </c>
      <c r="J129" s="192" t="s">
        <v>926</v>
      </c>
      <c r="K129" s="192" t="s">
        <v>339</v>
      </c>
      <c r="L129" s="192" t="str">
        <f t="shared" si="1"/>
        <v>Stationary AssetsBuildingsOur EstateRefrigerantsHalon-1211NaN</v>
      </c>
      <c r="M129" s="192" t="s">
        <v>1142</v>
      </c>
      <c r="N129" s="192" t="s">
        <v>337</v>
      </c>
      <c r="O129" s="305"/>
      <c r="P129" s="372"/>
      <c r="Q129" s="376">
        <v>1750</v>
      </c>
      <c r="R129" s="305"/>
      <c r="S129" s="305"/>
      <c r="T129" s="305"/>
      <c r="U129" s="305"/>
      <c r="V129" s="305"/>
      <c r="W129" s="305"/>
      <c r="X129" s="192" t="s">
        <v>1263</v>
      </c>
      <c r="Y129" s="305"/>
      <c r="Z129" s="305"/>
      <c r="AA129" s="305"/>
      <c r="AB129" s="305"/>
      <c r="AC129" s="305"/>
      <c r="AD129" s="305"/>
      <c r="AE129" s="424"/>
    </row>
    <row r="130" spans="5:31" ht="14.5" x14ac:dyDescent="0.35">
      <c r="E130" s="192">
        <v>122</v>
      </c>
      <c r="F130" s="192" t="s">
        <v>265</v>
      </c>
      <c r="G130" s="192" t="s">
        <v>273</v>
      </c>
      <c r="H130" s="192" t="s">
        <v>541</v>
      </c>
      <c r="I130" s="192" t="s">
        <v>338</v>
      </c>
      <c r="J130" s="192" t="s">
        <v>928</v>
      </c>
      <c r="K130" s="192" t="s">
        <v>339</v>
      </c>
      <c r="L130" s="192" t="str">
        <f t="shared" si="1"/>
        <v>Stationary AssetsBuildingsOur EstateRefrigerantsHalon-1301NaN</v>
      </c>
      <c r="M130" s="192" t="s">
        <v>1142</v>
      </c>
      <c r="N130" s="192" t="s">
        <v>337</v>
      </c>
      <c r="O130" s="305"/>
      <c r="P130" s="372"/>
      <c r="Q130" s="376">
        <v>6290</v>
      </c>
      <c r="R130" s="305"/>
      <c r="S130" s="305"/>
      <c r="T130" s="305"/>
      <c r="U130" s="305"/>
      <c r="V130" s="305"/>
      <c r="W130" s="305"/>
      <c r="X130" s="192" t="s">
        <v>1264</v>
      </c>
      <c r="Y130" s="305"/>
      <c r="Z130" s="305"/>
      <c r="AA130" s="305"/>
      <c r="AB130" s="305"/>
      <c r="AC130" s="305"/>
      <c r="AD130" s="305"/>
      <c r="AE130" s="424"/>
    </row>
    <row r="131" spans="5:31" ht="14.5" x14ac:dyDescent="0.35">
      <c r="E131" s="192">
        <v>123</v>
      </c>
      <c r="F131" s="192" t="s">
        <v>265</v>
      </c>
      <c r="G131" s="192" t="s">
        <v>273</v>
      </c>
      <c r="H131" s="192" t="s">
        <v>541</v>
      </c>
      <c r="I131" s="192" t="s">
        <v>338</v>
      </c>
      <c r="J131" s="192" t="s">
        <v>930</v>
      </c>
      <c r="K131" s="192" t="s">
        <v>339</v>
      </c>
      <c r="L131" s="192" t="str">
        <f t="shared" si="1"/>
        <v>Stationary AssetsBuildingsOur EstateRefrigerantsHalon-2402NaN</v>
      </c>
      <c r="M131" s="192" t="s">
        <v>1142</v>
      </c>
      <c r="N131" s="192" t="s">
        <v>337</v>
      </c>
      <c r="O131" s="305"/>
      <c r="P131" s="372"/>
      <c r="Q131" s="376">
        <v>1470</v>
      </c>
      <c r="R131" s="305"/>
      <c r="S131" s="305"/>
      <c r="T131" s="305"/>
      <c r="U131" s="305"/>
      <c r="V131" s="305"/>
      <c r="W131" s="305"/>
      <c r="X131" s="192" t="s">
        <v>1265</v>
      </c>
      <c r="Y131" s="305"/>
      <c r="Z131" s="305"/>
      <c r="AA131" s="305"/>
      <c r="AB131" s="305"/>
      <c r="AC131" s="305"/>
      <c r="AD131" s="305"/>
      <c r="AE131" s="424"/>
    </row>
    <row r="132" spans="5:31" ht="14.5" x14ac:dyDescent="0.35">
      <c r="E132" s="192">
        <v>124</v>
      </c>
      <c r="F132" s="192" t="s">
        <v>265</v>
      </c>
      <c r="G132" s="192" t="s">
        <v>273</v>
      </c>
      <c r="H132" s="192" t="s">
        <v>541</v>
      </c>
      <c r="I132" s="192" t="s">
        <v>338</v>
      </c>
      <c r="J132" s="192" t="s">
        <v>932</v>
      </c>
      <c r="K132" s="192" t="s">
        <v>339</v>
      </c>
      <c r="L132" s="192" t="str">
        <f t="shared" si="1"/>
        <v>Stationary AssetsBuildingsOur EstateRefrigerantsCarbon tetrachlorideNaN</v>
      </c>
      <c r="M132" s="192" t="s">
        <v>1142</v>
      </c>
      <c r="N132" s="192" t="s">
        <v>337</v>
      </c>
      <c r="O132" s="305"/>
      <c r="P132" s="372"/>
      <c r="Q132" s="376">
        <v>1730</v>
      </c>
      <c r="R132" s="305"/>
      <c r="S132" s="305"/>
      <c r="T132" s="305"/>
      <c r="U132" s="305"/>
      <c r="V132" s="305"/>
      <c r="W132" s="305"/>
      <c r="X132" s="192" t="s">
        <v>1266</v>
      </c>
      <c r="Y132" s="305"/>
      <c r="Z132" s="305"/>
      <c r="AA132" s="305"/>
      <c r="AB132" s="305"/>
      <c r="AC132" s="305"/>
      <c r="AD132" s="305"/>
      <c r="AE132" s="424"/>
    </row>
    <row r="133" spans="5:31" ht="14.5" x14ac:dyDescent="0.35">
      <c r="E133" s="192">
        <v>125</v>
      </c>
      <c r="F133" s="192" t="s">
        <v>265</v>
      </c>
      <c r="G133" s="192" t="s">
        <v>273</v>
      </c>
      <c r="H133" s="192" t="s">
        <v>541</v>
      </c>
      <c r="I133" s="192" t="s">
        <v>338</v>
      </c>
      <c r="J133" s="192" t="s">
        <v>934</v>
      </c>
      <c r="K133" s="192" t="s">
        <v>339</v>
      </c>
      <c r="L133" s="192" t="str">
        <f t="shared" si="1"/>
        <v>Stationary AssetsBuildingsOur EstateRefrigerantsMethyl bromideNaN</v>
      </c>
      <c r="M133" s="192" t="s">
        <v>1142</v>
      </c>
      <c r="N133" s="192" t="s">
        <v>337</v>
      </c>
      <c r="O133" s="305"/>
      <c r="P133" s="372"/>
      <c r="Q133" s="376">
        <v>2</v>
      </c>
      <c r="R133" s="305"/>
      <c r="S133" s="305"/>
      <c r="T133" s="305"/>
      <c r="U133" s="305"/>
      <c r="V133" s="305"/>
      <c r="W133" s="305"/>
      <c r="X133" s="192" t="s">
        <v>1267</v>
      </c>
      <c r="Y133" s="305"/>
      <c r="Z133" s="305"/>
      <c r="AA133" s="305"/>
      <c r="AB133" s="305"/>
      <c r="AC133" s="305"/>
      <c r="AD133" s="305"/>
      <c r="AE133" s="424"/>
    </row>
    <row r="134" spans="5:31" ht="14.5" x14ac:dyDescent="0.35">
      <c r="E134" s="192">
        <v>126</v>
      </c>
      <c r="F134" s="192" t="s">
        <v>265</v>
      </c>
      <c r="G134" s="192" t="s">
        <v>273</v>
      </c>
      <c r="H134" s="192" t="s">
        <v>541</v>
      </c>
      <c r="I134" s="192" t="s">
        <v>338</v>
      </c>
      <c r="J134" s="192" t="s">
        <v>936</v>
      </c>
      <c r="K134" s="192" t="s">
        <v>339</v>
      </c>
      <c r="L134" s="192" t="str">
        <f t="shared" si="1"/>
        <v>Stationary AssetsBuildingsOur EstateRefrigerantsMethyl chloroformNaN</v>
      </c>
      <c r="M134" s="192" t="s">
        <v>1142</v>
      </c>
      <c r="N134" s="192" t="s">
        <v>337</v>
      </c>
      <c r="O134" s="305"/>
      <c r="P134" s="372"/>
      <c r="Q134" s="376">
        <v>160</v>
      </c>
      <c r="R134" s="305"/>
      <c r="S134" s="305"/>
      <c r="T134" s="305"/>
      <c r="U134" s="305"/>
      <c r="V134" s="305"/>
      <c r="W134" s="305"/>
      <c r="X134" s="192" t="s">
        <v>1268</v>
      </c>
      <c r="Y134" s="305"/>
      <c r="Z134" s="305"/>
      <c r="AA134" s="305"/>
      <c r="AB134" s="305"/>
      <c r="AC134" s="305"/>
      <c r="AD134" s="305"/>
      <c r="AE134" s="424"/>
    </row>
    <row r="135" spans="5:31" ht="14.5" x14ac:dyDescent="0.35">
      <c r="E135" s="192">
        <v>127</v>
      </c>
      <c r="F135" s="192" t="s">
        <v>265</v>
      </c>
      <c r="G135" s="192" t="s">
        <v>273</v>
      </c>
      <c r="H135" s="192" t="s">
        <v>541</v>
      </c>
      <c r="I135" s="192" t="s">
        <v>338</v>
      </c>
      <c r="J135" s="192" t="s">
        <v>937</v>
      </c>
      <c r="K135" s="192" t="s">
        <v>339</v>
      </c>
      <c r="L135" s="192" t="str">
        <f t="shared" si="1"/>
        <v>Stationary AssetsBuildingsOur EstateRefrigerantsHCFC-22/R22 = chlorodifluoromethaneNaN</v>
      </c>
      <c r="M135" s="192" t="s">
        <v>1142</v>
      </c>
      <c r="N135" s="192" t="s">
        <v>337</v>
      </c>
      <c r="O135" s="305"/>
      <c r="P135" s="372"/>
      <c r="Q135" s="376">
        <v>1760</v>
      </c>
      <c r="R135" s="305"/>
      <c r="S135" s="305"/>
      <c r="T135" s="305"/>
      <c r="U135" s="305"/>
      <c r="V135" s="305"/>
      <c r="W135" s="305"/>
      <c r="X135" s="192" t="s">
        <v>1269</v>
      </c>
      <c r="Y135" s="305"/>
      <c r="Z135" s="305"/>
      <c r="AA135" s="305"/>
      <c r="AB135" s="305"/>
      <c r="AC135" s="305"/>
      <c r="AD135" s="305"/>
      <c r="AE135" s="424"/>
    </row>
    <row r="136" spans="5:31" ht="14.5" x14ac:dyDescent="0.35">
      <c r="E136" s="192">
        <v>128</v>
      </c>
      <c r="F136" s="192" t="s">
        <v>265</v>
      </c>
      <c r="G136" s="192" t="s">
        <v>273</v>
      </c>
      <c r="H136" s="192" t="s">
        <v>541</v>
      </c>
      <c r="I136" s="192" t="s">
        <v>338</v>
      </c>
      <c r="J136" s="192" t="s">
        <v>938</v>
      </c>
      <c r="K136" s="192" t="s">
        <v>339</v>
      </c>
      <c r="L136" s="192" t="str">
        <f t="shared" si="1"/>
        <v>Stationary AssetsBuildingsOur EstateRefrigerantsHCFC-123NaN</v>
      </c>
      <c r="M136" s="192" t="s">
        <v>1142</v>
      </c>
      <c r="N136" s="192" t="s">
        <v>337</v>
      </c>
      <c r="O136" s="305"/>
      <c r="P136" s="372"/>
      <c r="Q136" s="376">
        <v>79</v>
      </c>
      <c r="R136" s="305"/>
      <c r="S136" s="305"/>
      <c r="T136" s="305"/>
      <c r="U136" s="305"/>
      <c r="V136" s="305"/>
      <c r="W136" s="305"/>
      <c r="X136" s="192" t="s">
        <v>1270</v>
      </c>
      <c r="Y136" s="305"/>
      <c r="Z136" s="305"/>
      <c r="AA136" s="305"/>
      <c r="AB136" s="305"/>
      <c r="AC136" s="305"/>
      <c r="AD136" s="305"/>
      <c r="AE136" s="424"/>
    </row>
    <row r="137" spans="5:31" ht="14.5" x14ac:dyDescent="0.35">
      <c r="E137" s="192">
        <v>129</v>
      </c>
      <c r="F137" s="192" t="s">
        <v>265</v>
      </c>
      <c r="G137" s="192" t="s">
        <v>273</v>
      </c>
      <c r="H137" s="192" t="s">
        <v>541</v>
      </c>
      <c r="I137" s="192" t="s">
        <v>338</v>
      </c>
      <c r="J137" s="192" t="s">
        <v>939</v>
      </c>
      <c r="K137" s="192" t="s">
        <v>339</v>
      </c>
      <c r="L137" s="192" t="str">
        <f t="shared" si="1"/>
        <v>Stationary AssetsBuildingsOur EstateRefrigerantsHCFC-124NaN</v>
      </c>
      <c r="M137" s="192" t="s">
        <v>1142</v>
      </c>
      <c r="N137" s="192" t="s">
        <v>337</v>
      </c>
      <c r="O137" s="305"/>
      <c r="P137" s="372"/>
      <c r="Q137" s="376">
        <v>527</v>
      </c>
      <c r="R137" s="305"/>
      <c r="S137" s="305"/>
      <c r="T137" s="305"/>
      <c r="U137" s="305"/>
      <c r="V137" s="305"/>
      <c r="W137" s="305"/>
      <c r="X137" s="192" t="s">
        <v>1271</v>
      </c>
      <c r="Y137" s="305"/>
      <c r="Z137" s="305"/>
      <c r="AA137" s="305"/>
      <c r="AB137" s="305"/>
      <c r="AC137" s="305"/>
      <c r="AD137" s="305"/>
      <c r="AE137" s="424"/>
    </row>
    <row r="138" spans="5:31" ht="14.5" x14ac:dyDescent="0.35">
      <c r="E138" s="192">
        <v>130</v>
      </c>
      <c r="F138" s="192" t="s">
        <v>265</v>
      </c>
      <c r="G138" s="192" t="s">
        <v>273</v>
      </c>
      <c r="H138" s="192" t="s">
        <v>541</v>
      </c>
      <c r="I138" s="192" t="s">
        <v>338</v>
      </c>
      <c r="J138" s="192" t="s">
        <v>940</v>
      </c>
      <c r="K138" s="192" t="s">
        <v>339</v>
      </c>
      <c r="L138" s="192" t="str">
        <f t="shared" ref="L138:L202" si="2">_xlfn.CONCAT(F138:K138)</f>
        <v>Stationary AssetsBuildingsOur EstateRefrigerantsHCFC-141bNaN</v>
      </c>
      <c r="M138" s="192" t="s">
        <v>1142</v>
      </c>
      <c r="N138" s="192" t="s">
        <v>337</v>
      </c>
      <c r="O138" s="305"/>
      <c r="P138" s="372"/>
      <c r="Q138" s="376">
        <v>782</v>
      </c>
      <c r="R138" s="305"/>
      <c r="S138" s="305"/>
      <c r="T138" s="305"/>
      <c r="U138" s="305"/>
      <c r="V138" s="305"/>
      <c r="W138" s="305"/>
      <c r="X138" s="192" t="s">
        <v>1272</v>
      </c>
      <c r="Y138" s="305"/>
      <c r="Z138" s="305"/>
      <c r="AA138" s="305"/>
      <c r="AB138" s="305"/>
      <c r="AC138" s="305"/>
      <c r="AD138" s="305"/>
      <c r="AE138" s="424"/>
    </row>
    <row r="139" spans="5:31" ht="14.5" x14ac:dyDescent="0.35">
      <c r="E139" s="192">
        <v>131</v>
      </c>
      <c r="F139" s="192" t="s">
        <v>265</v>
      </c>
      <c r="G139" s="192" t="s">
        <v>273</v>
      </c>
      <c r="H139" s="192" t="s">
        <v>541</v>
      </c>
      <c r="I139" s="192" t="s">
        <v>338</v>
      </c>
      <c r="J139" s="192" t="s">
        <v>941</v>
      </c>
      <c r="K139" s="192" t="s">
        <v>339</v>
      </c>
      <c r="L139" s="192" t="str">
        <f t="shared" si="2"/>
        <v>Stationary AssetsBuildingsOur EstateRefrigerantsHCFC-142bNaN</v>
      </c>
      <c r="M139" s="192" t="s">
        <v>1142</v>
      </c>
      <c r="N139" s="192" t="s">
        <v>337</v>
      </c>
      <c r="O139" s="305"/>
      <c r="P139" s="372"/>
      <c r="Q139" s="376">
        <v>1980</v>
      </c>
      <c r="R139" s="305"/>
      <c r="S139" s="305"/>
      <c r="T139" s="305"/>
      <c r="U139" s="305"/>
      <c r="V139" s="305"/>
      <c r="W139" s="305"/>
      <c r="X139" s="192" t="s">
        <v>1273</v>
      </c>
      <c r="Y139" s="305"/>
      <c r="Z139" s="305"/>
      <c r="AA139" s="305"/>
      <c r="AB139" s="305"/>
      <c r="AC139" s="305"/>
      <c r="AD139" s="305"/>
      <c r="AE139" s="424"/>
    </row>
    <row r="140" spans="5:31" ht="14.5" x14ac:dyDescent="0.35">
      <c r="E140" s="192">
        <v>132</v>
      </c>
      <c r="F140" s="192" t="s">
        <v>265</v>
      </c>
      <c r="G140" s="192" t="s">
        <v>273</v>
      </c>
      <c r="H140" s="192" t="s">
        <v>541</v>
      </c>
      <c r="I140" s="192" t="s">
        <v>338</v>
      </c>
      <c r="J140" s="192" t="s">
        <v>942</v>
      </c>
      <c r="K140" s="192" t="s">
        <v>339</v>
      </c>
      <c r="L140" s="192" t="str">
        <f t="shared" si="2"/>
        <v>Stationary AssetsBuildingsOur EstateRefrigerantsHCFC-225caNaN</v>
      </c>
      <c r="M140" s="192" t="s">
        <v>1142</v>
      </c>
      <c r="N140" s="192" t="s">
        <v>337</v>
      </c>
      <c r="O140" s="305"/>
      <c r="P140" s="372"/>
      <c r="Q140" s="376">
        <v>127</v>
      </c>
      <c r="R140" s="305"/>
      <c r="S140" s="305"/>
      <c r="T140" s="305"/>
      <c r="U140" s="305"/>
      <c r="V140" s="305"/>
      <c r="W140" s="305"/>
      <c r="X140" s="192" t="s">
        <v>1274</v>
      </c>
      <c r="Y140" s="305"/>
      <c r="Z140" s="305"/>
      <c r="AA140" s="305"/>
      <c r="AB140" s="305"/>
      <c r="AC140" s="305"/>
      <c r="AD140" s="305"/>
      <c r="AE140" s="424"/>
    </row>
    <row r="141" spans="5:31" ht="14.5" x14ac:dyDescent="0.35">
      <c r="E141" s="192">
        <v>133</v>
      </c>
      <c r="F141" s="192" t="s">
        <v>265</v>
      </c>
      <c r="G141" s="192" t="s">
        <v>273</v>
      </c>
      <c r="H141" s="192" t="s">
        <v>541</v>
      </c>
      <c r="I141" s="192" t="s">
        <v>338</v>
      </c>
      <c r="J141" s="192" t="s">
        <v>943</v>
      </c>
      <c r="K141" s="192" t="s">
        <v>339</v>
      </c>
      <c r="L141" s="192" t="str">
        <f t="shared" si="2"/>
        <v>Stationary AssetsBuildingsOur EstateRefrigerantsHCFC-225cbNaN</v>
      </c>
      <c r="M141" s="192" t="s">
        <v>1142</v>
      </c>
      <c r="N141" s="192" t="s">
        <v>337</v>
      </c>
      <c r="O141" s="305"/>
      <c r="P141" s="372"/>
      <c r="Q141" s="376">
        <v>525</v>
      </c>
      <c r="R141" s="305"/>
      <c r="S141" s="305"/>
      <c r="T141" s="305"/>
      <c r="U141" s="305"/>
      <c r="V141" s="305"/>
      <c r="W141" s="305"/>
      <c r="X141" s="192" t="s">
        <v>1275</v>
      </c>
      <c r="Y141" s="305"/>
      <c r="Z141" s="305"/>
      <c r="AA141" s="305"/>
      <c r="AB141" s="305"/>
      <c r="AC141" s="305"/>
      <c r="AD141" s="305"/>
      <c r="AE141" s="424"/>
    </row>
    <row r="142" spans="5:31" ht="14.5" x14ac:dyDescent="0.35">
      <c r="E142" s="192">
        <v>134</v>
      </c>
      <c r="F142" s="192" t="s">
        <v>265</v>
      </c>
      <c r="G142" s="192" t="s">
        <v>273</v>
      </c>
      <c r="H142" s="192" t="s">
        <v>541</v>
      </c>
      <c r="I142" s="192" t="s">
        <v>338</v>
      </c>
      <c r="J142" s="192" t="s">
        <v>944</v>
      </c>
      <c r="K142" s="192" t="s">
        <v>339</v>
      </c>
      <c r="L142" s="192" t="str">
        <f t="shared" si="2"/>
        <v>Stationary AssetsBuildingsOur EstateRefrigerantsHCFC-21NaN</v>
      </c>
      <c r="M142" s="192" t="s">
        <v>1142</v>
      </c>
      <c r="N142" s="192" t="s">
        <v>337</v>
      </c>
      <c r="O142" s="305"/>
      <c r="P142" s="372"/>
      <c r="Q142" s="376">
        <v>148</v>
      </c>
      <c r="R142" s="305"/>
      <c r="S142" s="305"/>
      <c r="T142" s="305"/>
      <c r="U142" s="305"/>
      <c r="V142" s="305"/>
      <c r="W142" s="305"/>
      <c r="X142" s="192" t="s">
        <v>1276</v>
      </c>
      <c r="Y142" s="305"/>
      <c r="Z142" s="305"/>
      <c r="AA142" s="305"/>
      <c r="AB142" s="305"/>
      <c r="AC142" s="305"/>
      <c r="AD142" s="305"/>
      <c r="AE142" s="424"/>
    </row>
    <row r="143" spans="5:31" ht="14.5" x14ac:dyDescent="0.35">
      <c r="E143" s="192">
        <v>135</v>
      </c>
      <c r="F143" s="192" t="s">
        <v>265</v>
      </c>
      <c r="G143" s="192" t="s">
        <v>273</v>
      </c>
      <c r="H143" s="192" t="s">
        <v>541</v>
      </c>
      <c r="I143" s="192" t="s">
        <v>338</v>
      </c>
      <c r="J143" s="192" t="s">
        <v>945</v>
      </c>
      <c r="K143" s="192" t="s">
        <v>339</v>
      </c>
      <c r="L143" s="192" t="str">
        <f t="shared" si="2"/>
        <v>Stationary AssetsBuildingsOur EstateRefrigerantsHFE-125NaN</v>
      </c>
      <c r="M143" s="192" t="s">
        <v>1142</v>
      </c>
      <c r="N143" s="192" t="s">
        <v>337</v>
      </c>
      <c r="O143" s="305"/>
      <c r="P143" s="372"/>
      <c r="Q143" s="376">
        <v>12400</v>
      </c>
      <c r="R143" s="305"/>
      <c r="S143" s="305"/>
      <c r="T143" s="305"/>
      <c r="U143" s="305"/>
      <c r="V143" s="305"/>
      <c r="W143" s="305"/>
      <c r="X143" s="192" t="s">
        <v>1277</v>
      </c>
      <c r="Y143" s="305"/>
      <c r="Z143" s="305"/>
      <c r="AA143" s="305"/>
      <c r="AB143" s="305"/>
      <c r="AC143" s="305"/>
      <c r="AD143" s="305"/>
      <c r="AE143" s="424"/>
    </row>
    <row r="144" spans="5:31" ht="14.5" x14ac:dyDescent="0.35">
      <c r="E144" s="192">
        <v>136</v>
      </c>
      <c r="F144" s="192" t="s">
        <v>265</v>
      </c>
      <c r="G144" s="192" t="s">
        <v>273</v>
      </c>
      <c r="H144" s="192" t="s">
        <v>541</v>
      </c>
      <c r="I144" s="192" t="s">
        <v>338</v>
      </c>
      <c r="J144" s="192" t="s">
        <v>946</v>
      </c>
      <c r="K144" s="192" t="s">
        <v>339</v>
      </c>
      <c r="L144" s="192" t="str">
        <f t="shared" si="2"/>
        <v>Stationary AssetsBuildingsOur EstateRefrigerantsHFE-134NaN</v>
      </c>
      <c r="M144" s="192" t="s">
        <v>1142</v>
      </c>
      <c r="N144" s="192" t="s">
        <v>337</v>
      </c>
      <c r="O144" s="305"/>
      <c r="P144" s="372"/>
      <c r="Q144" s="376">
        <v>5560</v>
      </c>
      <c r="R144" s="305"/>
      <c r="S144" s="305"/>
      <c r="T144" s="305"/>
      <c r="U144" s="305"/>
      <c r="V144" s="305"/>
      <c r="W144" s="305"/>
      <c r="X144" s="192" t="s">
        <v>1278</v>
      </c>
      <c r="Y144" s="305"/>
      <c r="Z144" s="305"/>
      <c r="AA144" s="305"/>
      <c r="AB144" s="305"/>
      <c r="AC144" s="305"/>
      <c r="AD144" s="305"/>
      <c r="AE144" s="424"/>
    </row>
    <row r="145" spans="5:31" ht="14.5" x14ac:dyDescent="0.35">
      <c r="E145" s="192">
        <v>137</v>
      </c>
      <c r="F145" s="192" t="s">
        <v>265</v>
      </c>
      <c r="G145" s="192" t="s">
        <v>273</v>
      </c>
      <c r="H145" s="192" t="s">
        <v>541</v>
      </c>
      <c r="I145" s="192" t="s">
        <v>338</v>
      </c>
      <c r="J145" s="192" t="s">
        <v>947</v>
      </c>
      <c r="K145" s="192" t="s">
        <v>339</v>
      </c>
      <c r="L145" s="192" t="str">
        <f t="shared" si="2"/>
        <v>Stationary AssetsBuildingsOur EstateRefrigerantsHFE-143aNaN</v>
      </c>
      <c r="M145" s="192" t="s">
        <v>1142</v>
      </c>
      <c r="N145" s="192" t="s">
        <v>337</v>
      </c>
      <c r="O145" s="305"/>
      <c r="P145" s="372"/>
      <c r="Q145" s="376">
        <v>523</v>
      </c>
      <c r="R145" s="305"/>
      <c r="S145" s="305"/>
      <c r="T145" s="305"/>
      <c r="U145" s="305"/>
      <c r="V145" s="305"/>
      <c r="W145" s="305"/>
      <c r="X145" s="192" t="s">
        <v>1279</v>
      </c>
      <c r="Y145" s="305"/>
      <c r="Z145" s="305"/>
      <c r="AA145" s="305"/>
      <c r="AB145" s="305"/>
      <c r="AC145" s="305"/>
      <c r="AD145" s="305"/>
      <c r="AE145" s="424"/>
    </row>
    <row r="146" spans="5:31" ht="14.5" x14ac:dyDescent="0.35">
      <c r="E146" s="192">
        <v>138</v>
      </c>
      <c r="F146" s="192" t="s">
        <v>265</v>
      </c>
      <c r="G146" s="192" t="s">
        <v>273</v>
      </c>
      <c r="H146" s="192" t="s">
        <v>541</v>
      </c>
      <c r="I146" s="192" t="s">
        <v>338</v>
      </c>
      <c r="J146" s="192" t="s">
        <v>948</v>
      </c>
      <c r="K146" s="192" t="s">
        <v>339</v>
      </c>
      <c r="L146" s="192" t="str">
        <f t="shared" si="2"/>
        <v>Stationary AssetsBuildingsOur EstateRefrigerantsHCFE-235da2NaN</v>
      </c>
      <c r="M146" s="192" t="s">
        <v>1142</v>
      </c>
      <c r="N146" s="192" t="s">
        <v>337</v>
      </c>
      <c r="O146" s="305"/>
      <c r="P146" s="372"/>
      <c r="Q146" s="376">
        <v>491</v>
      </c>
      <c r="R146" s="305"/>
      <c r="S146" s="305"/>
      <c r="T146" s="305"/>
      <c r="U146" s="305"/>
      <c r="V146" s="305"/>
      <c r="W146" s="305"/>
      <c r="X146" s="192" t="s">
        <v>1280</v>
      </c>
      <c r="Y146" s="305"/>
      <c r="Z146" s="305"/>
      <c r="AA146" s="305"/>
      <c r="AB146" s="305"/>
      <c r="AC146" s="305"/>
      <c r="AD146" s="305"/>
      <c r="AE146" s="424"/>
    </row>
    <row r="147" spans="5:31" ht="14.5" x14ac:dyDescent="0.35">
      <c r="E147" s="192">
        <v>139</v>
      </c>
      <c r="F147" s="192" t="s">
        <v>265</v>
      </c>
      <c r="G147" s="192" t="s">
        <v>273</v>
      </c>
      <c r="H147" s="192" t="s">
        <v>541</v>
      </c>
      <c r="I147" s="192" t="s">
        <v>338</v>
      </c>
      <c r="J147" s="192" t="s">
        <v>949</v>
      </c>
      <c r="K147" s="192" t="s">
        <v>339</v>
      </c>
      <c r="L147" s="192" t="str">
        <f t="shared" si="2"/>
        <v>Stationary AssetsBuildingsOur EstateRefrigerantsHFE-245cb2NaN</v>
      </c>
      <c r="M147" s="192" t="s">
        <v>1142</v>
      </c>
      <c r="N147" s="192" t="s">
        <v>337</v>
      </c>
      <c r="O147" s="305"/>
      <c r="P147" s="372"/>
      <c r="Q147" s="376">
        <v>654</v>
      </c>
      <c r="R147" s="305"/>
      <c r="S147" s="305"/>
      <c r="T147" s="305"/>
      <c r="U147" s="305"/>
      <c r="V147" s="305"/>
      <c r="W147" s="305"/>
      <c r="X147" s="192" t="s">
        <v>1281</v>
      </c>
      <c r="Y147" s="305"/>
      <c r="Z147" s="305"/>
      <c r="AA147" s="305"/>
      <c r="AB147" s="305"/>
      <c r="AC147" s="305"/>
      <c r="AD147" s="305"/>
      <c r="AE147" s="424"/>
    </row>
    <row r="148" spans="5:31" ht="14.5" x14ac:dyDescent="0.35">
      <c r="E148" s="192">
        <v>140</v>
      </c>
      <c r="F148" s="192" t="s">
        <v>265</v>
      </c>
      <c r="G148" s="192" t="s">
        <v>273</v>
      </c>
      <c r="H148" s="192" t="s">
        <v>541</v>
      </c>
      <c r="I148" s="192" t="s">
        <v>338</v>
      </c>
      <c r="J148" s="192" t="s">
        <v>950</v>
      </c>
      <c r="K148" s="192" t="s">
        <v>339</v>
      </c>
      <c r="L148" s="192" t="str">
        <f t="shared" si="2"/>
        <v>Stationary AssetsBuildingsOur EstateRefrigerantsHFE-245fa2NaN</v>
      </c>
      <c r="M148" s="192" t="s">
        <v>1142</v>
      </c>
      <c r="N148" s="192" t="s">
        <v>337</v>
      </c>
      <c r="O148" s="305"/>
      <c r="P148" s="372"/>
      <c r="Q148" s="376">
        <v>812</v>
      </c>
      <c r="R148" s="305"/>
      <c r="S148" s="305"/>
      <c r="T148" s="305"/>
      <c r="U148" s="305"/>
      <c r="V148" s="305"/>
      <c r="W148" s="305"/>
      <c r="X148" s="192" t="s">
        <v>1282</v>
      </c>
      <c r="Y148" s="305"/>
      <c r="Z148" s="305"/>
      <c r="AA148" s="305"/>
      <c r="AB148" s="305"/>
      <c r="AC148" s="305"/>
      <c r="AD148" s="305"/>
      <c r="AE148" s="424"/>
    </row>
    <row r="149" spans="5:31" ht="14.5" x14ac:dyDescent="0.35">
      <c r="E149" s="192">
        <v>141</v>
      </c>
      <c r="F149" s="192" t="s">
        <v>265</v>
      </c>
      <c r="G149" s="192" t="s">
        <v>273</v>
      </c>
      <c r="H149" s="192" t="s">
        <v>541</v>
      </c>
      <c r="I149" s="192" t="s">
        <v>338</v>
      </c>
      <c r="J149" s="192" t="s">
        <v>951</v>
      </c>
      <c r="K149" s="192" t="s">
        <v>339</v>
      </c>
      <c r="L149" s="192" t="str">
        <f t="shared" si="2"/>
        <v>Stationary AssetsBuildingsOur EstateRefrigerantsHFE-254cb2NaN</v>
      </c>
      <c r="M149" s="192" t="s">
        <v>1142</v>
      </c>
      <c r="N149" s="192" t="s">
        <v>337</v>
      </c>
      <c r="O149" s="305"/>
      <c r="P149" s="372"/>
      <c r="Q149" s="376">
        <v>301</v>
      </c>
      <c r="R149" s="305"/>
      <c r="S149" s="305"/>
      <c r="T149" s="305"/>
      <c r="U149" s="305"/>
      <c r="V149" s="305"/>
      <c r="W149" s="305"/>
      <c r="X149" s="192" t="s">
        <v>1283</v>
      </c>
      <c r="Y149" s="305"/>
      <c r="Z149" s="305"/>
      <c r="AA149" s="305"/>
      <c r="AB149" s="305"/>
      <c r="AC149" s="305"/>
      <c r="AD149" s="305"/>
      <c r="AE149" s="424"/>
    </row>
    <row r="150" spans="5:31" ht="14.5" x14ac:dyDescent="0.35">
      <c r="E150" s="192">
        <v>142</v>
      </c>
      <c r="F150" s="192" t="s">
        <v>265</v>
      </c>
      <c r="G150" s="192" t="s">
        <v>273</v>
      </c>
      <c r="H150" s="192" t="s">
        <v>541</v>
      </c>
      <c r="I150" s="192" t="s">
        <v>338</v>
      </c>
      <c r="J150" s="192" t="s">
        <v>952</v>
      </c>
      <c r="K150" s="192" t="s">
        <v>339</v>
      </c>
      <c r="L150" s="192" t="str">
        <f t="shared" si="2"/>
        <v>Stationary AssetsBuildingsOur EstateRefrigerantsHFE-347mcc3NaN</v>
      </c>
      <c r="M150" s="192" t="s">
        <v>1142</v>
      </c>
      <c r="N150" s="192" t="s">
        <v>337</v>
      </c>
      <c r="O150" s="305"/>
      <c r="P150" s="372"/>
      <c r="Q150" s="376">
        <v>530</v>
      </c>
      <c r="R150" s="305"/>
      <c r="S150" s="305"/>
      <c r="T150" s="305"/>
      <c r="U150" s="305"/>
      <c r="V150" s="305"/>
      <c r="W150" s="305"/>
      <c r="X150" s="192" t="s">
        <v>1284</v>
      </c>
      <c r="Y150" s="305"/>
      <c r="Z150" s="305"/>
      <c r="AA150" s="305"/>
      <c r="AB150" s="305"/>
      <c r="AC150" s="305"/>
      <c r="AD150" s="305"/>
      <c r="AE150" s="424"/>
    </row>
    <row r="151" spans="5:31" ht="14.5" x14ac:dyDescent="0.35">
      <c r="E151" s="192">
        <v>143</v>
      </c>
      <c r="F151" s="192" t="s">
        <v>265</v>
      </c>
      <c r="G151" s="192" t="s">
        <v>273</v>
      </c>
      <c r="H151" s="192" t="s">
        <v>541</v>
      </c>
      <c r="I151" s="192" t="s">
        <v>338</v>
      </c>
      <c r="J151" s="192" t="s">
        <v>953</v>
      </c>
      <c r="K151" s="192" t="s">
        <v>339</v>
      </c>
      <c r="L151" s="192" t="str">
        <f t="shared" si="2"/>
        <v>Stationary AssetsBuildingsOur EstateRefrigerantsHFE-347pcf2NaN</v>
      </c>
      <c r="M151" s="192" t="s">
        <v>1142</v>
      </c>
      <c r="N151" s="192" t="s">
        <v>337</v>
      </c>
      <c r="O151" s="305"/>
      <c r="P151" s="372"/>
      <c r="Q151" s="376">
        <v>889</v>
      </c>
      <c r="R151" s="305"/>
      <c r="S151" s="305"/>
      <c r="T151" s="305"/>
      <c r="U151" s="305"/>
      <c r="V151" s="305"/>
      <c r="W151" s="305"/>
      <c r="X151" s="192" t="s">
        <v>1285</v>
      </c>
      <c r="Y151" s="305"/>
      <c r="Z151" s="305"/>
      <c r="AA151" s="305"/>
      <c r="AB151" s="305"/>
      <c r="AC151" s="305"/>
      <c r="AD151" s="305"/>
      <c r="AE151" s="424"/>
    </row>
    <row r="152" spans="5:31" ht="14.5" x14ac:dyDescent="0.35">
      <c r="E152" s="192">
        <v>144</v>
      </c>
      <c r="F152" s="192" t="s">
        <v>265</v>
      </c>
      <c r="G152" s="192" t="s">
        <v>273</v>
      </c>
      <c r="H152" s="192" t="s">
        <v>541</v>
      </c>
      <c r="I152" s="192" t="s">
        <v>338</v>
      </c>
      <c r="J152" s="192" t="s">
        <v>954</v>
      </c>
      <c r="K152" s="192" t="s">
        <v>339</v>
      </c>
      <c r="L152" s="192" t="str">
        <f t="shared" si="2"/>
        <v>Stationary AssetsBuildingsOur EstateRefrigerantsHFE-356pcc3NaN</v>
      </c>
      <c r="M152" s="192" t="s">
        <v>1142</v>
      </c>
      <c r="N152" s="192" t="s">
        <v>337</v>
      </c>
      <c r="O152" s="305"/>
      <c r="P152" s="372"/>
      <c r="Q152" s="376">
        <v>413</v>
      </c>
      <c r="R152" s="305"/>
      <c r="S152" s="305"/>
      <c r="T152" s="305"/>
      <c r="U152" s="305"/>
      <c r="V152" s="305"/>
      <c r="W152" s="305"/>
      <c r="X152" s="192" t="s">
        <v>1286</v>
      </c>
      <c r="Y152" s="305"/>
      <c r="Z152" s="305"/>
      <c r="AA152" s="305"/>
      <c r="AB152" s="305"/>
      <c r="AC152" s="305"/>
      <c r="AD152" s="305"/>
      <c r="AE152" s="424"/>
    </row>
    <row r="153" spans="5:31" ht="14.5" x14ac:dyDescent="0.35">
      <c r="E153" s="192">
        <v>145</v>
      </c>
      <c r="F153" s="192" t="s">
        <v>265</v>
      </c>
      <c r="G153" s="192" t="s">
        <v>273</v>
      </c>
      <c r="H153" s="192" t="s">
        <v>541</v>
      </c>
      <c r="I153" s="192" t="s">
        <v>338</v>
      </c>
      <c r="J153" s="192" t="s">
        <v>955</v>
      </c>
      <c r="K153" s="192" t="s">
        <v>339</v>
      </c>
      <c r="L153" s="192" t="str">
        <f t="shared" si="2"/>
        <v>Stationary AssetsBuildingsOur EstateRefrigerantsHFE-449sl (HFE-7100)NaN</v>
      </c>
      <c r="M153" s="192" t="s">
        <v>1142</v>
      </c>
      <c r="N153" s="192" t="s">
        <v>337</v>
      </c>
      <c r="O153" s="305"/>
      <c r="P153" s="372"/>
      <c r="Q153" s="376">
        <v>421</v>
      </c>
      <c r="R153" s="305"/>
      <c r="S153" s="305"/>
      <c r="T153" s="305"/>
      <c r="U153" s="305"/>
      <c r="V153" s="305"/>
      <c r="W153" s="305"/>
      <c r="X153" s="192" t="s">
        <v>1287</v>
      </c>
      <c r="Y153" s="305"/>
      <c r="Z153" s="305"/>
      <c r="AA153" s="305"/>
      <c r="AB153" s="305"/>
      <c r="AC153" s="305"/>
      <c r="AD153" s="305"/>
      <c r="AE153" s="424"/>
    </row>
    <row r="154" spans="5:31" ht="14.5" x14ac:dyDescent="0.35">
      <c r="E154" s="192">
        <v>146</v>
      </c>
      <c r="F154" s="192" t="s">
        <v>265</v>
      </c>
      <c r="G154" s="192" t="s">
        <v>273</v>
      </c>
      <c r="H154" s="192" t="s">
        <v>541</v>
      </c>
      <c r="I154" s="192" t="s">
        <v>338</v>
      </c>
      <c r="J154" s="192" t="s">
        <v>956</v>
      </c>
      <c r="K154" s="192" t="s">
        <v>339</v>
      </c>
      <c r="L154" s="192" t="str">
        <f t="shared" si="2"/>
        <v>Stationary AssetsBuildingsOur EstateRefrigerantsHFE-569sf2 (HFE-7200)NaN</v>
      </c>
      <c r="M154" s="192" t="s">
        <v>1142</v>
      </c>
      <c r="N154" s="192" t="s">
        <v>337</v>
      </c>
      <c r="O154" s="305"/>
      <c r="P154" s="372"/>
      <c r="Q154" s="376">
        <v>57</v>
      </c>
      <c r="R154" s="305"/>
      <c r="S154" s="305"/>
      <c r="T154" s="305"/>
      <c r="U154" s="305"/>
      <c r="V154" s="305"/>
      <c r="W154" s="305"/>
      <c r="X154" s="192" t="s">
        <v>1288</v>
      </c>
      <c r="Y154" s="305"/>
      <c r="Z154" s="305"/>
      <c r="AA154" s="305"/>
      <c r="AB154" s="305"/>
      <c r="AC154" s="305"/>
      <c r="AD154" s="305"/>
      <c r="AE154" s="424"/>
    </row>
    <row r="155" spans="5:31" ht="14.5" x14ac:dyDescent="0.35">
      <c r="E155" s="192">
        <v>147</v>
      </c>
      <c r="F155" s="192" t="s">
        <v>265</v>
      </c>
      <c r="G155" s="192" t="s">
        <v>273</v>
      </c>
      <c r="H155" s="192" t="s">
        <v>541</v>
      </c>
      <c r="I155" s="192" t="s">
        <v>338</v>
      </c>
      <c r="J155" s="192" t="s">
        <v>957</v>
      </c>
      <c r="K155" s="192" t="s">
        <v>339</v>
      </c>
      <c r="L155" s="192" t="str">
        <f t="shared" si="2"/>
        <v>Stationary AssetsBuildingsOur EstateRefrigerantsHFE-43-10pccc124 (H-Galden1040x)NaN</v>
      </c>
      <c r="M155" s="192" t="s">
        <v>1142</v>
      </c>
      <c r="N155" s="192" t="s">
        <v>337</v>
      </c>
      <c r="O155" s="305"/>
      <c r="P155" s="372"/>
      <c r="Q155" s="376">
        <v>2820</v>
      </c>
      <c r="R155" s="305"/>
      <c r="S155" s="305"/>
      <c r="T155" s="305"/>
      <c r="U155" s="305"/>
      <c r="V155" s="305"/>
      <c r="W155" s="305"/>
      <c r="X155" s="192" t="s">
        <v>1289</v>
      </c>
      <c r="Y155" s="305"/>
      <c r="Z155" s="305"/>
      <c r="AA155" s="305"/>
      <c r="AB155" s="305"/>
      <c r="AC155" s="305"/>
      <c r="AD155" s="305"/>
      <c r="AE155" s="424"/>
    </row>
    <row r="156" spans="5:31" ht="14.5" x14ac:dyDescent="0.35">
      <c r="E156" s="192">
        <v>148</v>
      </c>
      <c r="F156" s="192" t="s">
        <v>265</v>
      </c>
      <c r="G156" s="192" t="s">
        <v>273</v>
      </c>
      <c r="H156" s="192" t="s">
        <v>541</v>
      </c>
      <c r="I156" s="192" t="s">
        <v>338</v>
      </c>
      <c r="J156" s="192" t="s">
        <v>958</v>
      </c>
      <c r="K156" s="192" t="s">
        <v>339</v>
      </c>
      <c r="L156" s="192" t="str">
        <f t="shared" si="2"/>
        <v>Stationary AssetsBuildingsOur EstateRefrigerantsHFE-236ca12 (HG-10)NaN</v>
      </c>
      <c r="M156" s="192" t="s">
        <v>1142</v>
      </c>
      <c r="N156" s="192" t="s">
        <v>337</v>
      </c>
      <c r="O156" s="305"/>
      <c r="P156" s="373"/>
      <c r="Q156" s="376">
        <v>5350</v>
      </c>
      <c r="R156" s="305"/>
      <c r="S156" s="305"/>
      <c r="T156" s="305"/>
      <c r="U156" s="305"/>
      <c r="V156" s="305"/>
      <c r="W156" s="305"/>
      <c r="X156" s="192" t="s">
        <v>1290</v>
      </c>
      <c r="Y156" s="305"/>
      <c r="Z156" s="305"/>
      <c r="AA156" s="305"/>
      <c r="AB156" s="305"/>
      <c r="AC156" s="305"/>
      <c r="AD156" s="305"/>
      <c r="AE156" s="424"/>
    </row>
    <row r="157" spans="5:31" ht="14.5" x14ac:dyDescent="0.35">
      <c r="E157" s="192">
        <v>149</v>
      </c>
      <c r="F157" s="192" t="s">
        <v>265</v>
      </c>
      <c r="G157" s="192" t="s">
        <v>273</v>
      </c>
      <c r="H157" s="192" t="s">
        <v>541</v>
      </c>
      <c r="I157" s="192" t="s">
        <v>338</v>
      </c>
      <c r="J157" s="192" t="s">
        <v>959</v>
      </c>
      <c r="K157" s="192" t="s">
        <v>339</v>
      </c>
      <c r="L157" s="192" t="str">
        <f t="shared" si="2"/>
        <v>Stationary AssetsBuildingsOur EstateRefrigerantsHFE-338pcc13 (HG-01)NaN</v>
      </c>
      <c r="M157" s="192" t="s">
        <v>1142</v>
      </c>
      <c r="N157" s="192" t="s">
        <v>337</v>
      </c>
      <c r="O157" s="305"/>
      <c r="P157" s="373"/>
      <c r="Q157" s="376">
        <v>2910</v>
      </c>
      <c r="R157" s="305"/>
      <c r="S157" s="305"/>
      <c r="T157" s="305"/>
      <c r="U157" s="305"/>
      <c r="V157" s="305"/>
      <c r="W157" s="305"/>
      <c r="X157" s="192" t="s">
        <v>1291</v>
      </c>
      <c r="Y157" s="305"/>
      <c r="Z157" s="305"/>
      <c r="AA157" s="305"/>
      <c r="AB157" s="305"/>
      <c r="AC157" s="305"/>
      <c r="AD157" s="305"/>
      <c r="AE157" s="424"/>
    </row>
    <row r="158" spans="5:31" ht="14.5" x14ac:dyDescent="0.35">
      <c r="E158" s="192">
        <v>150</v>
      </c>
      <c r="F158" s="192" t="s">
        <v>265</v>
      </c>
      <c r="G158" s="192" t="s">
        <v>273</v>
      </c>
      <c r="H158" s="192" t="s">
        <v>541</v>
      </c>
      <c r="I158" s="192" t="s">
        <v>338</v>
      </c>
      <c r="J158" s="192" t="s">
        <v>960</v>
      </c>
      <c r="K158" s="192" t="s">
        <v>339</v>
      </c>
      <c r="L158" s="192" t="str">
        <f t="shared" si="2"/>
        <v>Stationary AssetsBuildingsOur EstateRefrigerantsTrifluoromethyl sulphur pentafluorideNaN</v>
      </c>
      <c r="M158" s="192" t="s">
        <v>1142</v>
      </c>
      <c r="N158" s="192" t="s">
        <v>337</v>
      </c>
      <c r="O158" s="305"/>
      <c r="P158" s="373"/>
      <c r="Q158" s="376">
        <v>17400</v>
      </c>
      <c r="R158" s="305"/>
      <c r="S158" s="305"/>
      <c r="T158" s="305"/>
      <c r="U158" s="305"/>
      <c r="V158" s="305"/>
      <c r="W158" s="305"/>
      <c r="X158" s="192" t="s">
        <v>1292</v>
      </c>
      <c r="Y158" s="305"/>
      <c r="Z158" s="305"/>
      <c r="AA158" s="305"/>
      <c r="AB158" s="305"/>
      <c r="AC158" s="305"/>
      <c r="AD158" s="305"/>
      <c r="AE158" s="424"/>
    </row>
    <row r="159" spans="5:31" ht="14.5" x14ac:dyDescent="0.35">
      <c r="E159" s="192">
        <v>151</v>
      </c>
      <c r="F159" s="192" t="s">
        <v>265</v>
      </c>
      <c r="G159" s="192" t="s">
        <v>273</v>
      </c>
      <c r="H159" s="192" t="s">
        <v>541</v>
      </c>
      <c r="I159" s="192" t="s">
        <v>338</v>
      </c>
      <c r="J159" s="192" t="s">
        <v>961</v>
      </c>
      <c r="K159" s="192" t="s">
        <v>339</v>
      </c>
      <c r="L159" s="192" t="str">
        <f t="shared" si="2"/>
        <v>Stationary AssetsBuildingsOur EstateRefrigerantsPFPMIENaN</v>
      </c>
      <c r="M159" s="192" t="s">
        <v>1142</v>
      </c>
      <c r="N159" s="192" t="s">
        <v>337</v>
      </c>
      <c r="O159" s="305"/>
      <c r="P159" s="373"/>
      <c r="Q159" s="376">
        <v>9710</v>
      </c>
      <c r="R159" s="305"/>
      <c r="S159" s="305"/>
      <c r="T159" s="305"/>
      <c r="U159" s="305"/>
      <c r="V159" s="305"/>
      <c r="W159" s="305"/>
      <c r="X159" s="192" t="s">
        <v>1293</v>
      </c>
      <c r="Y159" s="305"/>
      <c r="Z159" s="305"/>
      <c r="AA159" s="305"/>
      <c r="AB159" s="305"/>
      <c r="AC159" s="305"/>
      <c r="AD159" s="305"/>
      <c r="AE159" s="424"/>
    </row>
    <row r="160" spans="5:31" ht="14.5" x14ac:dyDescent="0.35">
      <c r="E160" s="192">
        <v>152</v>
      </c>
      <c r="F160" s="192" t="s">
        <v>265</v>
      </c>
      <c r="G160" s="192" t="s">
        <v>273</v>
      </c>
      <c r="H160" s="192" t="s">
        <v>541</v>
      </c>
      <c r="I160" s="192" t="s">
        <v>338</v>
      </c>
      <c r="J160" s="192" t="s">
        <v>962</v>
      </c>
      <c r="K160" s="192" t="s">
        <v>339</v>
      </c>
      <c r="L160" s="192" t="str">
        <f t="shared" si="2"/>
        <v>Stationary AssetsBuildingsOur EstateRefrigerantsDimethyletherNaN</v>
      </c>
      <c r="M160" s="192" t="s">
        <v>1142</v>
      </c>
      <c r="N160" s="192" t="s">
        <v>337</v>
      </c>
      <c r="O160" s="305"/>
      <c r="P160" s="373"/>
      <c r="Q160" s="376">
        <v>1</v>
      </c>
      <c r="R160" s="305"/>
      <c r="S160" s="305"/>
      <c r="T160" s="305"/>
      <c r="U160" s="305"/>
      <c r="V160" s="305"/>
      <c r="W160" s="305"/>
      <c r="X160" s="192" t="s">
        <v>1294</v>
      </c>
      <c r="Y160" s="305"/>
      <c r="Z160" s="305"/>
      <c r="AA160" s="305"/>
      <c r="AB160" s="305"/>
      <c r="AC160" s="305"/>
      <c r="AD160" s="305"/>
      <c r="AE160" s="424"/>
    </row>
    <row r="161" spans="5:31" ht="14.5" x14ac:dyDescent="0.35">
      <c r="E161" s="192">
        <v>153</v>
      </c>
      <c r="F161" s="192" t="s">
        <v>265</v>
      </c>
      <c r="G161" s="192" t="s">
        <v>273</v>
      </c>
      <c r="H161" s="192" t="s">
        <v>541</v>
      </c>
      <c r="I161" s="192" t="s">
        <v>338</v>
      </c>
      <c r="J161" s="192" t="s">
        <v>963</v>
      </c>
      <c r="K161" s="192" t="s">
        <v>339</v>
      </c>
      <c r="L161" s="192" t="str">
        <f t="shared" si="2"/>
        <v>Stationary AssetsBuildingsOur EstateRefrigerantsMethylene chlorideNaN</v>
      </c>
      <c r="M161" s="192" t="s">
        <v>1142</v>
      </c>
      <c r="N161" s="192" t="s">
        <v>337</v>
      </c>
      <c r="O161" s="305"/>
      <c r="P161" s="373"/>
      <c r="Q161" s="376">
        <v>9</v>
      </c>
      <c r="R161" s="305"/>
      <c r="S161" s="305"/>
      <c r="T161" s="305"/>
      <c r="U161" s="305"/>
      <c r="V161" s="305"/>
      <c r="W161" s="305"/>
      <c r="X161" s="192" t="s">
        <v>1295</v>
      </c>
      <c r="Y161" s="305"/>
      <c r="Z161" s="305"/>
      <c r="AA161" s="305"/>
      <c r="AB161" s="305"/>
      <c r="AC161" s="305"/>
      <c r="AD161" s="305"/>
      <c r="AE161" s="424"/>
    </row>
    <row r="162" spans="5:31" ht="14.5" x14ac:dyDescent="0.35">
      <c r="E162" s="192">
        <v>154</v>
      </c>
      <c r="F162" s="192" t="s">
        <v>265</v>
      </c>
      <c r="G162" s="192" t="s">
        <v>273</v>
      </c>
      <c r="H162" s="192" t="s">
        <v>541</v>
      </c>
      <c r="I162" s="192" t="s">
        <v>338</v>
      </c>
      <c r="J162" s="192" t="s">
        <v>964</v>
      </c>
      <c r="K162" s="192" t="s">
        <v>339</v>
      </c>
      <c r="L162" s="192" t="str">
        <f t="shared" si="2"/>
        <v>Stationary AssetsBuildingsOur EstateRefrigerantsMethyl chlorideNaN</v>
      </c>
      <c r="M162" s="192" t="s">
        <v>1142</v>
      </c>
      <c r="N162" s="192" t="s">
        <v>337</v>
      </c>
      <c r="O162" s="305"/>
      <c r="P162" s="373"/>
      <c r="Q162" s="376">
        <v>12</v>
      </c>
      <c r="R162" s="305"/>
      <c r="S162" s="305"/>
      <c r="T162" s="305"/>
      <c r="U162" s="305"/>
      <c r="V162" s="305"/>
      <c r="W162" s="305"/>
      <c r="X162" s="192" t="s">
        <v>1296</v>
      </c>
      <c r="Y162" s="305"/>
      <c r="Z162" s="305"/>
      <c r="AA162" s="305"/>
      <c r="AB162" s="305"/>
      <c r="AC162" s="305"/>
      <c r="AD162" s="305"/>
      <c r="AE162" s="424"/>
    </row>
    <row r="163" spans="5:31" ht="14.5" x14ac:dyDescent="0.35">
      <c r="E163" s="192">
        <v>155</v>
      </c>
      <c r="F163" s="192" t="s">
        <v>265</v>
      </c>
      <c r="G163" s="192" t="s">
        <v>273</v>
      </c>
      <c r="H163" s="192" t="s">
        <v>541</v>
      </c>
      <c r="I163" s="192" t="s">
        <v>338</v>
      </c>
      <c r="J163" s="192" t="s">
        <v>965</v>
      </c>
      <c r="K163" s="192" t="s">
        <v>339</v>
      </c>
      <c r="L163" s="192" t="str">
        <f t="shared" si="2"/>
        <v>Stationary AssetsBuildingsOur EstateRefrigerantsR290 = propaneNaN</v>
      </c>
      <c r="M163" s="192" t="s">
        <v>1142</v>
      </c>
      <c r="N163" s="192" t="s">
        <v>337</v>
      </c>
      <c r="O163" s="305"/>
      <c r="P163" s="373"/>
      <c r="Q163" s="376">
        <v>0.06</v>
      </c>
      <c r="R163" s="305"/>
      <c r="S163" s="305"/>
      <c r="T163" s="305"/>
      <c r="U163" s="305"/>
      <c r="V163" s="305"/>
      <c r="W163" s="305"/>
      <c r="X163" s="192" t="s">
        <v>1297</v>
      </c>
      <c r="Y163" s="305"/>
      <c r="Z163" s="305"/>
      <c r="AA163" s="305"/>
      <c r="AB163" s="305"/>
      <c r="AC163" s="305"/>
      <c r="AD163" s="305"/>
      <c r="AE163" s="424"/>
    </row>
    <row r="164" spans="5:31" ht="14.5" x14ac:dyDescent="0.35">
      <c r="E164" s="192">
        <v>156</v>
      </c>
      <c r="F164" s="192" t="s">
        <v>265</v>
      </c>
      <c r="G164" s="192" t="s">
        <v>273</v>
      </c>
      <c r="H164" s="192" t="s">
        <v>541</v>
      </c>
      <c r="I164" s="192" t="s">
        <v>338</v>
      </c>
      <c r="J164" s="192" t="s">
        <v>966</v>
      </c>
      <c r="K164" s="192" t="s">
        <v>339</v>
      </c>
      <c r="L164" s="192" t="str">
        <f t="shared" si="2"/>
        <v>Stationary AssetsBuildingsOur EstateRefrigerantsR600A = isobutaneNaN</v>
      </c>
      <c r="M164" s="192" t="s">
        <v>1142</v>
      </c>
      <c r="N164" s="192" t="s">
        <v>337</v>
      </c>
      <c r="O164" s="305"/>
      <c r="P164" s="373"/>
      <c r="Q164" s="376">
        <v>3</v>
      </c>
      <c r="R164" s="305"/>
      <c r="S164" s="305"/>
      <c r="T164" s="305"/>
      <c r="U164" s="305"/>
      <c r="V164" s="305"/>
      <c r="W164" s="305"/>
      <c r="X164" s="192" t="s">
        <v>1298</v>
      </c>
      <c r="Y164" s="305"/>
      <c r="Z164" s="305"/>
      <c r="AA164" s="305"/>
      <c r="AB164" s="305"/>
      <c r="AC164" s="305"/>
      <c r="AD164" s="305"/>
      <c r="AE164" s="424"/>
    </row>
    <row r="165" spans="5:31" ht="14.5" x14ac:dyDescent="0.35">
      <c r="E165" s="192">
        <v>157</v>
      </c>
      <c r="F165" s="192" t="s">
        <v>265</v>
      </c>
      <c r="G165" s="192" t="s">
        <v>273</v>
      </c>
      <c r="H165" s="192" t="s">
        <v>541</v>
      </c>
      <c r="I165" s="192" t="s">
        <v>338</v>
      </c>
      <c r="J165" s="192" t="s">
        <v>967</v>
      </c>
      <c r="K165" s="192" t="s">
        <v>339</v>
      </c>
      <c r="L165" s="192" t="str">
        <f t="shared" si="2"/>
        <v>Stationary AssetsBuildingsOur EstateRefrigerantsR600 = butaneNaN</v>
      </c>
      <c r="M165" s="192" t="s">
        <v>1142</v>
      </c>
      <c r="N165" s="192" t="s">
        <v>337</v>
      </c>
      <c r="O165" s="305"/>
      <c r="P165" s="373"/>
      <c r="Q165" s="376">
        <v>6.0000000000000001E-3</v>
      </c>
      <c r="R165" s="305"/>
      <c r="S165" s="305"/>
      <c r="T165" s="305"/>
      <c r="U165" s="305"/>
      <c r="V165" s="305"/>
      <c r="W165" s="305"/>
      <c r="X165" s="192" t="s">
        <v>1299</v>
      </c>
      <c r="Y165" s="305"/>
      <c r="Z165" s="305"/>
      <c r="AA165" s="305"/>
      <c r="AB165" s="305"/>
      <c r="AC165" s="305"/>
      <c r="AD165" s="305"/>
      <c r="AE165" s="424"/>
    </row>
    <row r="166" spans="5:31" ht="14.5" x14ac:dyDescent="0.35">
      <c r="E166" s="192">
        <v>158</v>
      </c>
      <c r="F166" s="192" t="s">
        <v>265</v>
      </c>
      <c r="G166" s="192" t="s">
        <v>273</v>
      </c>
      <c r="H166" s="192" t="s">
        <v>541</v>
      </c>
      <c r="I166" s="192" t="s">
        <v>338</v>
      </c>
      <c r="J166" s="192" t="s">
        <v>968</v>
      </c>
      <c r="K166" s="192" t="s">
        <v>339</v>
      </c>
      <c r="L166" s="192" t="str">
        <f t="shared" si="2"/>
        <v>Stationary AssetsBuildingsOur EstateRefrigerantsR601 = pentaneNaN</v>
      </c>
      <c r="M166" s="192" t="s">
        <v>1142</v>
      </c>
      <c r="N166" s="192" t="s">
        <v>337</v>
      </c>
      <c r="O166" s="305"/>
      <c r="P166" s="373"/>
      <c r="Q166" s="376">
        <v>5</v>
      </c>
      <c r="R166" s="305"/>
      <c r="S166" s="305"/>
      <c r="T166" s="305"/>
      <c r="U166" s="305"/>
      <c r="V166" s="305"/>
      <c r="W166" s="305"/>
      <c r="X166" s="192" t="s">
        <v>1300</v>
      </c>
      <c r="Y166" s="305"/>
      <c r="Z166" s="305"/>
      <c r="AA166" s="305"/>
      <c r="AB166" s="305"/>
      <c r="AC166" s="305"/>
      <c r="AD166" s="305"/>
      <c r="AE166" s="424"/>
    </row>
    <row r="167" spans="5:31" ht="14.5" x14ac:dyDescent="0.35">
      <c r="E167" s="192">
        <v>159</v>
      </c>
      <c r="F167" s="192" t="s">
        <v>265</v>
      </c>
      <c r="G167" s="192" t="s">
        <v>273</v>
      </c>
      <c r="H167" s="192" t="s">
        <v>541</v>
      </c>
      <c r="I167" s="192" t="s">
        <v>338</v>
      </c>
      <c r="J167" s="192" t="s">
        <v>969</v>
      </c>
      <c r="K167" s="192" t="s">
        <v>339</v>
      </c>
      <c r="L167" s="192" t="str">
        <f t="shared" si="2"/>
        <v>Stationary AssetsBuildingsOur EstateRefrigerantsR601A = isopentaneNaN</v>
      </c>
      <c r="M167" s="192" t="s">
        <v>1142</v>
      </c>
      <c r="N167" s="192" t="s">
        <v>337</v>
      </c>
      <c r="O167" s="305"/>
      <c r="P167" s="373"/>
      <c r="Q167" s="376">
        <v>5</v>
      </c>
      <c r="R167" s="305"/>
      <c r="S167" s="305"/>
      <c r="T167" s="305"/>
      <c r="U167" s="305"/>
      <c r="V167" s="305"/>
      <c r="W167" s="305"/>
      <c r="X167" s="192" t="s">
        <v>1301</v>
      </c>
      <c r="Y167" s="305"/>
      <c r="Z167" s="305"/>
      <c r="AA167" s="305"/>
      <c r="AB167" s="305"/>
      <c r="AC167" s="305"/>
      <c r="AD167" s="305"/>
      <c r="AE167" s="424"/>
    </row>
    <row r="168" spans="5:31" ht="14.5" x14ac:dyDescent="0.35">
      <c r="E168" s="192">
        <v>160</v>
      </c>
      <c r="F168" s="192" t="s">
        <v>265</v>
      </c>
      <c r="G168" s="192" t="s">
        <v>273</v>
      </c>
      <c r="H168" s="192" t="s">
        <v>541</v>
      </c>
      <c r="I168" s="192" t="s">
        <v>338</v>
      </c>
      <c r="J168" s="192" t="s">
        <v>970</v>
      </c>
      <c r="K168" s="192" t="s">
        <v>339</v>
      </c>
      <c r="L168" s="192" t="str">
        <f t="shared" si="2"/>
        <v>Stationary AssetsBuildingsOur EstateRefrigerantsR170 = ethaneNaN</v>
      </c>
      <c r="M168" s="192" t="s">
        <v>1142</v>
      </c>
      <c r="N168" s="192" t="s">
        <v>337</v>
      </c>
      <c r="O168" s="305"/>
      <c r="P168" s="373"/>
      <c r="Q168" s="376">
        <v>0.437</v>
      </c>
      <c r="R168" s="305"/>
      <c r="S168" s="305"/>
      <c r="T168" s="305"/>
      <c r="U168" s="305"/>
      <c r="V168" s="305"/>
      <c r="W168" s="305"/>
      <c r="X168" s="192" t="s">
        <v>1302</v>
      </c>
      <c r="Y168" s="305"/>
      <c r="Z168" s="305"/>
      <c r="AA168" s="305"/>
      <c r="AB168" s="305"/>
      <c r="AC168" s="305"/>
      <c r="AD168" s="305"/>
      <c r="AE168" s="424"/>
    </row>
    <row r="169" spans="5:31" ht="14.5" x14ac:dyDescent="0.35">
      <c r="E169" s="192">
        <v>161</v>
      </c>
      <c r="F169" s="192" t="s">
        <v>265</v>
      </c>
      <c r="G169" s="192" t="s">
        <v>273</v>
      </c>
      <c r="H169" s="192" t="s">
        <v>541</v>
      </c>
      <c r="I169" s="192" t="s">
        <v>338</v>
      </c>
      <c r="J169" s="192" t="s">
        <v>971</v>
      </c>
      <c r="K169" s="192" t="s">
        <v>339</v>
      </c>
      <c r="L169" s="192" t="str">
        <f t="shared" si="2"/>
        <v>Stationary AssetsBuildingsOur EstateRefrigerantsR1270 = propeneNaN</v>
      </c>
      <c r="M169" s="192" t="s">
        <v>1142</v>
      </c>
      <c r="N169" s="192" t="s">
        <v>337</v>
      </c>
      <c r="O169" s="305"/>
      <c r="P169" s="373"/>
      <c r="Q169" s="376">
        <v>2</v>
      </c>
      <c r="R169" s="305"/>
      <c r="S169" s="305"/>
      <c r="T169" s="305"/>
      <c r="U169" s="305"/>
      <c r="V169" s="305"/>
      <c r="W169" s="305"/>
      <c r="X169" s="192" t="s">
        <v>1303</v>
      </c>
      <c r="Y169" s="305"/>
      <c r="Z169" s="305"/>
      <c r="AA169" s="305"/>
      <c r="AB169" s="305"/>
      <c r="AC169" s="305"/>
      <c r="AD169" s="305"/>
      <c r="AE169" s="424"/>
    </row>
    <row r="170" spans="5:31" ht="14.5" x14ac:dyDescent="0.35">
      <c r="E170" s="192">
        <v>162</v>
      </c>
      <c r="F170" s="192" t="s">
        <v>265</v>
      </c>
      <c r="G170" s="192" t="s">
        <v>273</v>
      </c>
      <c r="H170" s="192" t="s">
        <v>541</v>
      </c>
      <c r="I170" s="192" t="s">
        <v>338</v>
      </c>
      <c r="J170" s="192" t="s">
        <v>972</v>
      </c>
      <c r="K170" s="192" t="s">
        <v>339</v>
      </c>
      <c r="L170" s="192" t="str">
        <f t="shared" si="2"/>
        <v>Stationary AssetsBuildingsOur EstateRefrigerantsR1234yfNaN</v>
      </c>
      <c r="M170" s="192" t="s">
        <v>1142</v>
      </c>
      <c r="N170" s="192" t="s">
        <v>337</v>
      </c>
      <c r="O170" s="305"/>
      <c r="P170" s="373"/>
      <c r="Q170" s="376">
        <v>1</v>
      </c>
      <c r="R170" s="305"/>
      <c r="S170" s="305"/>
      <c r="T170" s="305"/>
      <c r="U170" s="305"/>
      <c r="V170" s="305"/>
      <c r="W170" s="305"/>
      <c r="X170" s="192" t="s">
        <v>1304</v>
      </c>
      <c r="Y170" s="305"/>
      <c r="Z170" s="305"/>
      <c r="AA170" s="305"/>
      <c r="AB170" s="305"/>
      <c r="AC170" s="305"/>
      <c r="AD170" s="305"/>
      <c r="AE170" s="424"/>
    </row>
    <row r="171" spans="5:31" ht="14.5" x14ac:dyDescent="0.35">
      <c r="E171" s="192">
        <v>163</v>
      </c>
      <c r="F171" s="192" t="s">
        <v>265</v>
      </c>
      <c r="G171" s="192" t="s">
        <v>273</v>
      </c>
      <c r="H171" s="192" t="s">
        <v>541</v>
      </c>
      <c r="I171" s="192" t="s">
        <v>338</v>
      </c>
      <c r="J171" s="192" t="s">
        <v>973</v>
      </c>
      <c r="K171" s="192" t="s">
        <v>339</v>
      </c>
      <c r="L171" s="192" t="str">
        <f t="shared" si="2"/>
        <v>Stationary AssetsBuildingsOur EstateRefrigerantsR1234zeNaN</v>
      </c>
      <c r="M171" s="192" t="s">
        <v>1142</v>
      </c>
      <c r="N171" s="192" t="s">
        <v>337</v>
      </c>
      <c r="O171" s="305"/>
      <c r="P171" s="373"/>
      <c r="Q171" s="376">
        <v>1</v>
      </c>
      <c r="R171" s="305"/>
      <c r="S171" s="305"/>
      <c r="T171" s="305"/>
      <c r="U171" s="305"/>
      <c r="V171" s="305"/>
      <c r="W171" s="305"/>
      <c r="X171" s="192" t="s">
        <v>1305</v>
      </c>
      <c r="Y171" s="305"/>
      <c r="Z171" s="305"/>
      <c r="AA171" s="305"/>
      <c r="AB171" s="305"/>
      <c r="AC171" s="305"/>
      <c r="AD171" s="305"/>
      <c r="AE171" s="424"/>
    </row>
    <row r="172" spans="5:31" ht="14.5" x14ac:dyDescent="0.35">
      <c r="E172" s="192">
        <v>164</v>
      </c>
      <c r="F172" s="192" t="s">
        <v>265</v>
      </c>
      <c r="G172" s="192" t="s">
        <v>273</v>
      </c>
      <c r="H172" s="192" t="s">
        <v>541</v>
      </c>
      <c r="I172" s="192" t="s">
        <v>338</v>
      </c>
      <c r="J172" s="192" t="s">
        <v>1906</v>
      </c>
      <c r="K172" s="192" t="s">
        <v>339</v>
      </c>
      <c r="L172" s="192" t="str">
        <f t="shared" ref="L172" si="3">_xlfn.CONCAT(F172:K172)</f>
        <v>Stationary AssetsBuildingsOur EstateRefrigerantsR449ANaN</v>
      </c>
      <c r="M172" s="399" t="s">
        <v>1907</v>
      </c>
      <c r="N172" s="192" t="s">
        <v>337</v>
      </c>
      <c r="O172" s="305"/>
      <c r="P172" s="373"/>
      <c r="Q172" s="376">
        <v>1282</v>
      </c>
      <c r="R172" s="305"/>
      <c r="S172" s="305"/>
      <c r="T172" s="305"/>
      <c r="U172" s="305"/>
      <c r="V172" s="305"/>
      <c r="W172" s="305"/>
      <c r="Y172" s="305"/>
      <c r="Z172" s="305"/>
      <c r="AA172" s="305"/>
      <c r="AB172" s="305"/>
      <c r="AC172" s="305"/>
      <c r="AD172" s="305"/>
      <c r="AE172" s="424"/>
    </row>
    <row r="173" spans="5:31" ht="14.5" x14ac:dyDescent="0.35">
      <c r="E173" s="192">
        <v>165</v>
      </c>
      <c r="F173" s="192" t="s">
        <v>265</v>
      </c>
      <c r="G173" s="192" t="s">
        <v>273</v>
      </c>
      <c r="H173" s="192" t="s">
        <v>541</v>
      </c>
      <c r="I173" s="192" t="s">
        <v>974</v>
      </c>
      <c r="J173" s="192" t="s">
        <v>975</v>
      </c>
      <c r="K173" s="192" t="s">
        <v>339</v>
      </c>
      <c r="L173" s="192" t="str">
        <f t="shared" si="2"/>
        <v>Stationary AssetsBuildingsOur EstateFossil FuelsCoalNaN</v>
      </c>
      <c r="M173" s="192" t="s">
        <v>1142</v>
      </c>
      <c r="N173" s="192" t="s">
        <v>316</v>
      </c>
      <c r="O173" s="192" t="s">
        <v>976</v>
      </c>
      <c r="P173" s="374">
        <f>8.366*1000</f>
        <v>8366</v>
      </c>
      <c r="Q173" s="376">
        <v>0.34721000000000002</v>
      </c>
      <c r="R173" s="305"/>
      <c r="S173" s="305"/>
      <c r="T173" s="304">
        <v>5.629E-2</v>
      </c>
      <c r="U173" s="305"/>
      <c r="V173" s="305"/>
      <c r="W173" s="305"/>
      <c r="X173" s="304" t="s">
        <v>1306</v>
      </c>
      <c r="Y173" s="305"/>
      <c r="Z173" s="305"/>
      <c r="AA173" s="304" t="s">
        <v>1307</v>
      </c>
      <c r="AB173" s="305"/>
      <c r="AC173" s="305"/>
      <c r="AD173" s="305"/>
      <c r="AE173" s="424"/>
    </row>
    <row r="174" spans="5:31" ht="14.5" x14ac:dyDescent="0.35">
      <c r="E174" s="192">
        <v>166</v>
      </c>
      <c r="F174" s="192" t="s">
        <v>265</v>
      </c>
      <c r="G174" s="192" t="s">
        <v>273</v>
      </c>
      <c r="H174" s="192" t="s">
        <v>541</v>
      </c>
      <c r="I174" s="192" t="s">
        <v>974</v>
      </c>
      <c r="J174" s="192" t="s">
        <v>977</v>
      </c>
      <c r="K174" s="192" t="s">
        <v>339</v>
      </c>
      <c r="L174" s="192" t="str">
        <f t="shared" si="2"/>
        <v>Stationary AssetsBuildingsOur EstateFossil FuelsGas oilNaN</v>
      </c>
      <c r="M174" s="192" t="s">
        <v>1142</v>
      </c>
      <c r="N174" s="192" t="s">
        <v>316</v>
      </c>
      <c r="O174" s="192" t="s">
        <v>343</v>
      </c>
      <c r="P174" s="374">
        <v>10.742000000000001</v>
      </c>
      <c r="Q174" s="376">
        <v>0.25650000000000001</v>
      </c>
      <c r="R174" s="305"/>
      <c r="S174" s="305"/>
      <c r="T174" s="304">
        <v>5.9130000000000002E-2</v>
      </c>
      <c r="U174" s="305"/>
      <c r="V174" s="305"/>
      <c r="W174" s="305"/>
      <c r="X174" s="304" t="s">
        <v>1308</v>
      </c>
      <c r="Y174" s="305"/>
      <c r="Z174" s="305"/>
      <c r="AA174" s="304" t="s">
        <v>1309</v>
      </c>
      <c r="AB174" s="305"/>
      <c r="AC174" s="305"/>
      <c r="AD174" s="305"/>
      <c r="AE174" s="424"/>
    </row>
    <row r="175" spans="5:31" ht="14.5" x14ac:dyDescent="0.35">
      <c r="E175" s="192">
        <v>167</v>
      </c>
      <c r="F175" s="192" t="s">
        <v>265</v>
      </c>
      <c r="G175" s="192" t="s">
        <v>273</v>
      </c>
      <c r="H175" s="192" t="s">
        <v>541</v>
      </c>
      <c r="I175" s="192" t="s">
        <v>974</v>
      </c>
      <c r="J175" s="192" t="s">
        <v>978</v>
      </c>
      <c r="K175" s="192" t="s">
        <v>339</v>
      </c>
      <c r="L175" s="192" t="str">
        <f t="shared" si="2"/>
        <v>Stationary AssetsBuildingsOur EstateFossil FuelsNatural gasNaN</v>
      </c>
      <c r="M175" s="192" t="s">
        <v>1142</v>
      </c>
      <c r="N175" s="192" t="s">
        <v>316</v>
      </c>
      <c r="O175" s="192" t="s">
        <v>979</v>
      </c>
      <c r="P175" s="374">
        <f>0.8*14.077</f>
        <v>11.261600000000001</v>
      </c>
      <c r="Q175" s="376">
        <v>0.18296000000000001</v>
      </c>
      <c r="R175" s="305"/>
      <c r="S175" s="305"/>
      <c r="T175" s="304">
        <v>3.0210000000000001E-2</v>
      </c>
      <c r="U175" s="305"/>
      <c r="V175" s="305"/>
      <c r="W175" s="305"/>
      <c r="X175" s="304" t="s">
        <v>1310</v>
      </c>
      <c r="Y175" s="305"/>
      <c r="Z175" s="305"/>
      <c r="AA175" s="304" t="s">
        <v>1311</v>
      </c>
      <c r="AB175" s="305"/>
      <c r="AC175" s="305"/>
      <c r="AD175" s="305"/>
      <c r="AE175" s="424"/>
    </row>
    <row r="176" spans="5:31" ht="14.5" x14ac:dyDescent="0.35">
      <c r="E176" s="192">
        <v>168</v>
      </c>
      <c r="F176" s="192" t="s">
        <v>265</v>
      </c>
      <c r="G176" s="192" t="s">
        <v>273</v>
      </c>
      <c r="H176" s="192" t="s">
        <v>541</v>
      </c>
      <c r="I176" s="192" t="s">
        <v>974</v>
      </c>
      <c r="J176" s="192" t="s">
        <v>980</v>
      </c>
      <c r="K176" s="192" t="s">
        <v>339</v>
      </c>
      <c r="L176" s="192" t="str">
        <f t="shared" si="2"/>
        <v>Stationary AssetsBuildingsOur EstateFossil FuelsKeroseneNaN</v>
      </c>
      <c r="M176" s="192" t="s">
        <v>1142</v>
      </c>
      <c r="N176" s="192" t="s">
        <v>316</v>
      </c>
      <c r="O176" s="192" t="s">
        <v>343</v>
      </c>
      <c r="P176" s="374">
        <v>10.294</v>
      </c>
      <c r="Q176" s="376">
        <v>0.24676999999999999</v>
      </c>
      <c r="R176" s="305"/>
      <c r="S176" s="305"/>
      <c r="T176" s="304">
        <v>5.1529999999999999E-2</v>
      </c>
      <c r="U176" s="305"/>
      <c r="V176" s="305"/>
      <c r="W176" s="305"/>
      <c r="X176" s="304" t="s">
        <v>1312</v>
      </c>
      <c r="Y176" s="305"/>
      <c r="Z176" s="305"/>
      <c r="AA176" s="304" t="s">
        <v>1313</v>
      </c>
      <c r="AB176" s="305"/>
      <c r="AC176" s="305"/>
      <c r="AD176" s="305"/>
      <c r="AE176" s="424" t="s">
        <v>1731</v>
      </c>
    </row>
    <row r="177" spans="5:31" ht="14.5" x14ac:dyDescent="0.35">
      <c r="E177" s="192">
        <v>169</v>
      </c>
      <c r="F177" s="192" t="s">
        <v>265</v>
      </c>
      <c r="G177" s="192" t="s">
        <v>273</v>
      </c>
      <c r="H177" s="192" t="s">
        <v>541</v>
      </c>
      <c r="I177" s="192" t="s">
        <v>974</v>
      </c>
      <c r="J177" s="192" t="s">
        <v>981</v>
      </c>
      <c r="K177" s="192" t="s">
        <v>339</v>
      </c>
      <c r="L177" s="192" t="str">
        <f t="shared" si="2"/>
        <v>Stationary AssetsBuildingsOur EstateFossil FuelsLPGNaN</v>
      </c>
      <c r="M177" s="192" t="s">
        <v>1142</v>
      </c>
      <c r="N177" s="192" t="s">
        <v>316</v>
      </c>
      <c r="O177" s="192" t="s">
        <v>343</v>
      </c>
      <c r="P177" s="374">
        <v>7.2590000000000003</v>
      </c>
      <c r="Q177" s="376">
        <v>0.2145</v>
      </c>
      <c r="R177" s="305"/>
      <c r="S177" s="305"/>
      <c r="T177" s="304">
        <v>2.5479999999999999E-2</v>
      </c>
      <c r="U177" s="305"/>
      <c r="V177" s="305"/>
      <c r="W177" s="305"/>
      <c r="X177" s="304" t="s">
        <v>1314</v>
      </c>
      <c r="Y177" s="305"/>
      <c r="Z177" s="305"/>
      <c r="AA177" s="304" t="s">
        <v>1315</v>
      </c>
      <c r="AB177" s="305"/>
      <c r="AC177" s="305"/>
      <c r="AD177" s="305"/>
      <c r="AE177" s="424"/>
    </row>
    <row r="178" spans="5:31" ht="14.5" x14ac:dyDescent="0.35">
      <c r="E178" s="192">
        <v>170</v>
      </c>
      <c r="F178" s="192" t="s">
        <v>265</v>
      </c>
      <c r="G178" s="192" t="s">
        <v>273</v>
      </c>
      <c r="H178" s="192" t="s">
        <v>982</v>
      </c>
      <c r="I178" s="192" t="s">
        <v>974</v>
      </c>
      <c r="J178" s="192" t="s">
        <v>975</v>
      </c>
      <c r="K178" s="192" t="s">
        <v>339</v>
      </c>
      <c r="L178" s="192" t="str">
        <f t="shared" si="2"/>
        <v>Stationary AssetsBuildingsLesseeFossil FuelsCoalNaN</v>
      </c>
      <c r="M178" s="192" t="s">
        <v>1142</v>
      </c>
      <c r="N178" s="192" t="s">
        <v>316</v>
      </c>
      <c r="O178" s="192" t="s">
        <v>976</v>
      </c>
      <c r="P178" s="374">
        <f>8.366*1000</f>
        <v>8366</v>
      </c>
      <c r="Q178" s="376">
        <v>0.34721000000000002</v>
      </c>
      <c r="R178" s="305"/>
      <c r="S178" s="305"/>
      <c r="T178" s="304">
        <v>5.629E-2</v>
      </c>
      <c r="U178" s="305"/>
      <c r="V178" s="305"/>
      <c r="W178" s="305"/>
      <c r="X178" s="304" t="s">
        <v>1306</v>
      </c>
      <c r="Y178" s="305"/>
      <c r="Z178" s="305"/>
      <c r="AA178" s="304" t="s">
        <v>1307</v>
      </c>
      <c r="AB178" s="305"/>
      <c r="AC178" s="305"/>
      <c r="AD178" s="305"/>
      <c r="AE178" s="424"/>
    </row>
    <row r="179" spans="5:31" ht="14.5" x14ac:dyDescent="0.35">
      <c r="E179" s="192">
        <v>171</v>
      </c>
      <c r="F179" s="192" t="s">
        <v>265</v>
      </c>
      <c r="G179" s="192" t="s">
        <v>273</v>
      </c>
      <c r="H179" s="192" t="s">
        <v>982</v>
      </c>
      <c r="I179" s="192" t="s">
        <v>974</v>
      </c>
      <c r="J179" s="192" t="s">
        <v>977</v>
      </c>
      <c r="K179" s="192" t="s">
        <v>339</v>
      </c>
      <c r="L179" s="192" t="str">
        <f t="shared" si="2"/>
        <v>Stationary AssetsBuildingsLesseeFossil FuelsGas oilNaN</v>
      </c>
      <c r="M179" s="192" t="s">
        <v>1142</v>
      </c>
      <c r="N179" s="192" t="s">
        <v>316</v>
      </c>
      <c r="O179" s="192" t="s">
        <v>343</v>
      </c>
      <c r="P179" s="374">
        <v>10.742000000000001</v>
      </c>
      <c r="Q179" s="376">
        <v>0.25650000000000001</v>
      </c>
      <c r="R179" s="305"/>
      <c r="S179" s="305"/>
      <c r="T179" s="304">
        <v>5.9130000000000002E-2</v>
      </c>
      <c r="U179" s="305"/>
      <c r="V179" s="305"/>
      <c r="W179" s="305"/>
      <c r="X179" s="304" t="s">
        <v>1308</v>
      </c>
      <c r="Y179" s="305"/>
      <c r="Z179" s="305"/>
      <c r="AA179" s="304" t="s">
        <v>1309</v>
      </c>
      <c r="AB179" s="305"/>
      <c r="AC179" s="305"/>
      <c r="AD179" s="305"/>
      <c r="AE179" s="424"/>
    </row>
    <row r="180" spans="5:31" ht="14.5" x14ac:dyDescent="0.35">
      <c r="E180" s="192">
        <v>172</v>
      </c>
      <c r="F180" s="192" t="s">
        <v>265</v>
      </c>
      <c r="G180" s="192" t="s">
        <v>273</v>
      </c>
      <c r="H180" s="192" t="s">
        <v>982</v>
      </c>
      <c r="I180" s="192" t="s">
        <v>974</v>
      </c>
      <c r="J180" s="192" t="s">
        <v>978</v>
      </c>
      <c r="K180" s="192" t="s">
        <v>339</v>
      </c>
      <c r="L180" s="192" t="str">
        <f t="shared" si="2"/>
        <v>Stationary AssetsBuildingsLesseeFossil FuelsNatural gasNaN</v>
      </c>
      <c r="M180" s="192" t="s">
        <v>1142</v>
      </c>
      <c r="N180" s="192" t="s">
        <v>316</v>
      </c>
      <c r="O180" s="192" t="s">
        <v>979</v>
      </c>
      <c r="P180" s="374">
        <f>0.8*14.077</f>
        <v>11.261600000000001</v>
      </c>
      <c r="Q180" s="376">
        <v>0.18296000000000001</v>
      </c>
      <c r="R180" s="305"/>
      <c r="S180" s="305"/>
      <c r="T180" s="304">
        <v>3.0210000000000001E-2</v>
      </c>
      <c r="U180" s="305"/>
      <c r="V180" s="305"/>
      <c r="W180" s="305"/>
      <c r="X180" s="304" t="s">
        <v>1310</v>
      </c>
      <c r="Y180" s="305"/>
      <c r="Z180" s="305"/>
      <c r="AA180" s="304" t="s">
        <v>1311</v>
      </c>
      <c r="AB180" s="305"/>
      <c r="AC180" s="305"/>
      <c r="AD180" s="305"/>
      <c r="AE180" s="424"/>
    </row>
    <row r="181" spans="5:31" ht="14.5" x14ac:dyDescent="0.35">
      <c r="E181" s="192">
        <v>173</v>
      </c>
      <c r="F181" s="192" t="s">
        <v>265</v>
      </c>
      <c r="G181" s="192" t="s">
        <v>273</v>
      </c>
      <c r="H181" s="192" t="s">
        <v>982</v>
      </c>
      <c r="I181" s="192" t="s">
        <v>974</v>
      </c>
      <c r="J181" s="192" t="s">
        <v>980</v>
      </c>
      <c r="K181" s="192" t="s">
        <v>339</v>
      </c>
      <c r="L181" s="192" t="str">
        <f t="shared" si="2"/>
        <v>Stationary AssetsBuildingsLesseeFossil FuelsKeroseneNaN</v>
      </c>
      <c r="M181" s="192" t="s">
        <v>1142</v>
      </c>
      <c r="N181" s="192" t="s">
        <v>316</v>
      </c>
      <c r="O181" s="192" t="s">
        <v>343</v>
      </c>
      <c r="P181" s="374">
        <v>10.294</v>
      </c>
      <c r="Q181" s="376">
        <v>0.24676999999999999</v>
      </c>
      <c r="R181" s="305"/>
      <c r="S181" s="305"/>
      <c r="T181" s="304">
        <v>5.1529999999999999E-2</v>
      </c>
      <c r="U181" s="305"/>
      <c r="V181" s="305"/>
      <c r="W181" s="305"/>
      <c r="X181" s="304" t="s">
        <v>1312</v>
      </c>
      <c r="Y181" s="305"/>
      <c r="Z181" s="305"/>
      <c r="AA181" s="304" t="s">
        <v>1313</v>
      </c>
      <c r="AB181" s="305"/>
      <c r="AC181" s="305"/>
      <c r="AD181" s="305"/>
      <c r="AE181" s="424" t="s">
        <v>1731</v>
      </c>
    </row>
    <row r="182" spans="5:31" ht="14.5" x14ac:dyDescent="0.35">
      <c r="E182" s="192">
        <v>174</v>
      </c>
      <c r="F182" s="192" t="s">
        <v>265</v>
      </c>
      <c r="G182" s="192" t="s">
        <v>273</v>
      </c>
      <c r="H182" s="192" t="s">
        <v>982</v>
      </c>
      <c r="I182" s="192" t="s">
        <v>974</v>
      </c>
      <c r="J182" s="192" t="s">
        <v>981</v>
      </c>
      <c r="K182" s="192" t="s">
        <v>339</v>
      </c>
      <c r="L182" s="192" t="str">
        <f t="shared" si="2"/>
        <v>Stationary AssetsBuildingsLesseeFossil FuelsLPGNaN</v>
      </c>
      <c r="M182" s="192" t="s">
        <v>1142</v>
      </c>
      <c r="N182" s="192" t="s">
        <v>316</v>
      </c>
      <c r="O182" s="192" t="s">
        <v>343</v>
      </c>
      <c r="P182" s="374">
        <v>7.2590000000000003</v>
      </c>
      <c r="Q182" s="376">
        <v>0.2145</v>
      </c>
      <c r="R182" s="305"/>
      <c r="S182" s="305"/>
      <c r="T182" s="304">
        <v>2.5479999999999999E-2</v>
      </c>
      <c r="U182" s="305"/>
      <c r="V182" s="305"/>
      <c r="W182" s="305"/>
      <c r="X182" s="304" t="s">
        <v>1314</v>
      </c>
      <c r="Y182" s="305"/>
      <c r="Z182" s="305"/>
      <c r="AA182" s="304" t="s">
        <v>1315</v>
      </c>
      <c r="AB182" s="305"/>
      <c r="AC182" s="305"/>
      <c r="AD182" s="305"/>
      <c r="AE182" s="424"/>
    </row>
    <row r="183" spans="5:31" ht="14.5" x14ac:dyDescent="0.35">
      <c r="E183" s="192">
        <v>175</v>
      </c>
      <c r="F183" s="192" t="s">
        <v>265</v>
      </c>
      <c r="G183" s="192" t="s">
        <v>273</v>
      </c>
      <c r="H183" s="192" t="s">
        <v>983</v>
      </c>
      <c r="I183" s="192" t="s">
        <v>974</v>
      </c>
      <c r="J183" s="192" t="s">
        <v>975</v>
      </c>
      <c r="K183" s="192" t="s">
        <v>339</v>
      </c>
      <c r="L183" s="192" t="str">
        <f t="shared" si="2"/>
        <v>Stationary AssetsBuildingsLessorFossil FuelsCoalNaN</v>
      </c>
      <c r="M183" s="192" t="s">
        <v>1142</v>
      </c>
      <c r="N183" s="192" t="s">
        <v>316</v>
      </c>
      <c r="O183" s="192" t="s">
        <v>976</v>
      </c>
      <c r="P183" s="374">
        <f>8.366*1000</f>
        <v>8366</v>
      </c>
      <c r="Q183" s="376">
        <v>0.34721000000000002</v>
      </c>
      <c r="R183" s="305"/>
      <c r="S183" s="305"/>
      <c r="T183" s="304">
        <v>5.629E-2</v>
      </c>
      <c r="U183" s="305"/>
      <c r="V183" s="305"/>
      <c r="W183" s="305"/>
      <c r="X183" s="304" t="s">
        <v>1306</v>
      </c>
      <c r="Y183" s="305"/>
      <c r="Z183" s="305"/>
      <c r="AA183" s="304" t="s">
        <v>1307</v>
      </c>
      <c r="AB183" s="305"/>
      <c r="AC183" s="305"/>
      <c r="AD183" s="305"/>
      <c r="AE183" s="424"/>
    </row>
    <row r="184" spans="5:31" ht="14.5" x14ac:dyDescent="0.35">
      <c r="E184" s="192">
        <v>176</v>
      </c>
      <c r="F184" s="192" t="s">
        <v>265</v>
      </c>
      <c r="G184" s="192" t="s">
        <v>273</v>
      </c>
      <c r="H184" s="192" t="s">
        <v>983</v>
      </c>
      <c r="I184" s="192" t="s">
        <v>974</v>
      </c>
      <c r="J184" s="192" t="s">
        <v>977</v>
      </c>
      <c r="K184" s="192" t="s">
        <v>339</v>
      </c>
      <c r="L184" s="192" t="str">
        <f t="shared" si="2"/>
        <v>Stationary AssetsBuildingsLessorFossil FuelsGas oilNaN</v>
      </c>
      <c r="M184" s="192" t="s">
        <v>1142</v>
      </c>
      <c r="N184" s="192" t="s">
        <v>316</v>
      </c>
      <c r="O184" s="192" t="s">
        <v>343</v>
      </c>
      <c r="P184" s="374">
        <v>10.742000000000001</v>
      </c>
      <c r="Q184" s="376">
        <v>0.25650000000000001</v>
      </c>
      <c r="R184" s="305"/>
      <c r="S184" s="305"/>
      <c r="T184" s="304">
        <v>5.9130000000000002E-2</v>
      </c>
      <c r="U184" s="305"/>
      <c r="V184" s="305"/>
      <c r="W184" s="305"/>
      <c r="X184" s="304" t="s">
        <v>1308</v>
      </c>
      <c r="Y184" s="305"/>
      <c r="Z184" s="305"/>
      <c r="AA184" s="304" t="s">
        <v>1309</v>
      </c>
      <c r="AB184" s="305"/>
      <c r="AC184" s="305"/>
      <c r="AD184" s="305"/>
      <c r="AE184" s="424"/>
    </row>
    <row r="185" spans="5:31" ht="14.5" x14ac:dyDescent="0.35">
      <c r="E185" s="192">
        <v>177</v>
      </c>
      <c r="F185" s="192" t="s">
        <v>265</v>
      </c>
      <c r="G185" s="192" t="s">
        <v>273</v>
      </c>
      <c r="H185" s="192" t="s">
        <v>983</v>
      </c>
      <c r="I185" s="192" t="s">
        <v>974</v>
      </c>
      <c r="J185" s="192" t="s">
        <v>978</v>
      </c>
      <c r="K185" s="192" t="s">
        <v>339</v>
      </c>
      <c r="L185" s="192" t="str">
        <f t="shared" si="2"/>
        <v>Stationary AssetsBuildingsLessorFossil FuelsNatural gasNaN</v>
      </c>
      <c r="M185" s="192" t="s">
        <v>1142</v>
      </c>
      <c r="N185" s="192" t="s">
        <v>316</v>
      </c>
      <c r="O185" s="192" t="s">
        <v>979</v>
      </c>
      <c r="P185" s="374">
        <f>0.8*14.077</f>
        <v>11.261600000000001</v>
      </c>
      <c r="Q185" s="376">
        <v>0.18296000000000001</v>
      </c>
      <c r="R185" s="305"/>
      <c r="S185" s="305"/>
      <c r="T185" s="304">
        <v>3.0210000000000001E-2</v>
      </c>
      <c r="U185" s="305"/>
      <c r="V185" s="305"/>
      <c r="W185" s="305"/>
      <c r="X185" s="304" t="s">
        <v>1310</v>
      </c>
      <c r="Y185" s="305"/>
      <c r="Z185" s="305"/>
      <c r="AA185" s="304" t="s">
        <v>1311</v>
      </c>
      <c r="AB185" s="305"/>
      <c r="AC185" s="305"/>
      <c r="AD185" s="305"/>
      <c r="AE185" s="424"/>
    </row>
    <row r="186" spans="5:31" ht="14.5" x14ac:dyDescent="0.35">
      <c r="E186" s="192">
        <v>178</v>
      </c>
      <c r="F186" s="192" t="s">
        <v>265</v>
      </c>
      <c r="G186" s="192" t="s">
        <v>273</v>
      </c>
      <c r="H186" s="192" t="s">
        <v>983</v>
      </c>
      <c r="I186" s="192" t="s">
        <v>974</v>
      </c>
      <c r="J186" s="192" t="s">
        <v>980</v>
      </c>
      <c r="K186" s="192" t="s">
        <v>339</v>
      </c>
      <c r="L186" s="192" t="str">
        <f t="shared" si="2"/>
        <v>Stationary AssetsBuildingsLessorFossil FuelsKeroseneNaN</v>
      </c>
      <c r="M186" s="192" t="s">
        <v>1142</v>
      </c>
      <c r="N186" s="192" t="s">
        <v>316</v>
      </c>
      <c r="O186" s="192" t="s">
        <v>343</v>
      </c>
      <c r="P186" s="374">
        <v>10.294</v>
      </c>
      <c r="Q186" s="376">
        <v>0.24676999999999999</v>
      </c>
      <c r="R186" s="305"/>
      <c r="S186" s="305"/>
      <c r="T186" s="304">
        <v>5.1529999999999999E-2</v>
      </c>
      <c r="U186" s="305"/>
      <c r="V186" s="305"/>
      <c r="W186" s="305"/>
      <c r="X186" s="304" t="s">
        <v>1312</v>
      </c>
      <c r="Y186" s="305"/>
      <c r="Z186" s="305"/>
      <c r="AA186" s="304" t="s">
        <v>1313</v>
      </c>
      <c r="AB186" s="305"/>
      <c r="AC186" s="305"/>
      <c r="AD186" s="305"/>
      <c r="AE186" s="424" t="s">
        <v>1731</v>
      </c>
    </row>
    <row r="187" spans="5:31" ht="14.5" x14ac:dyDescent="0.35">
      <c r="E187" s="192">
        <v>179</v>
      </c>
      <c r="F187" s="192" t="s">
        <v>265</v>
      </c>
      <c r="G187" s="192" t="s">
        <v>273</v>
      </c>
      <c r="H187" s="192" t="s">
        <v>983</v>
      </c>
      <c r="I187" s="192" t="s">
        <v>974</v>
      </c>
      <c r="J187" s="192" t="s">
        <v>981</v>
      </c>
      <c r="K187" s="192" t="s">
        <v>339</v>
      </c>
      <c r="L187" s="192" t="str">
        <f t="shared" si="2"/>
        <v>Stationary AssetsBuildingsLessorFossil FuelsLPGNaN</v>
      </c>
      <c r="M187" s="192" t="s">
        <v>1142</v>
      </c>
      <c r="N187" s="192" t="s">
        <v>316</v>
      </c>
      <c r="O187" s="192" t="s">
        <v>343</v>
      </c>
      <c r="P187" s="374">
        <v>7.2590000000000003</v>
      </c>
      <c r="Q187" s="376">
        <v>0.2145</v>
      </c>
      <c r="R187" s="305"/>
      <c r="S187" s="305"/>
      <c r="T187" s="304">
        <v>2.5479999999999999E-2</v>
      </c>
      <c r="U187" s="305"/>
      <c r="V187" s="305"/>
      <c r="W187" s="305"/>
      <c r="X187" s="304" t="s">
        <v>1314</v>
      </c>
      <c r="Y187" s="305"/>
      <c r="Z187" s="305"/>
      <c r="AA187" s="304" t="s">
        <v>1315</v>
      </c>
      <c r="AB187" s="305"/>
      <c r="AC187" s="305"/>
      <c r="AD187" s="305"/>
      <c r="AE187" s="424"/>
    </row>
    <row r="188" spans="5:31" ht="14.5" x14ac:dyDescent="0.35">
      <c r="E188" s="192">
        <v>180</v>
      </c>
      <c r="F188" s="192" t="s">
        <v>265</v>
      </c>
      <c r="G188" s="192" t="s">
        <v>273</v>
      </c>
      <c r="H188" s="192" t="s">
        <v>984</v>
      </c>
      <c r="I188" s="192" t="s">
        <v>974</v>
      </c>
      <c r="J188" s="192" t="s">
        <v>975</v>
      </c>
      <c r="K188" s="192" t="s">
        <v>339</v>
      </c>
      <c r="L188" s="192" t="str">
        <f t="shared" si="2"/>
        <v>Stationary AssetsBuildingsLessor (to PSB)Fossil FuelsCoalNaN</v>
      </c>
      <c r="M188" s="192" t="s">
        <v>1142</v>
      </c>
      <c r="N188" s="192" t="s">
        <v>316</v>
      </c>
      <c r="O188" s="192" t="s">
        <v>976</v>
      </c>
      <c r="P188" s="374">
        <f>8.366*1000</f>
        <v>8366</v>
      </c>
      <c r="Q188" s="376">
        <v>0.34721000000000002</v>
      </c>
      <c r="R188" s="305"/>
      <c r="S188" s="305"/>
      <c r="T188" s="304">
        <v>5.629E-2</v>
      </c>
      <c r="U188" s="305"/>
      <c r="V188" s="305"/>
      <c r="W188" s="305"/>
      <c r="X188" s="304" t="s">
        <v>1306</v>
      </c>
      <c r="Y188" s="305"/>
      <c r="Z188" s="305"/>
      <c r="AA188" s="304" t="s">
        <v>1307</v>
      </c>
      <c r="AB188" s="305"/>
      <c r="AC188" s="305"/>
      <c r="AD188" s="305"/>
      <c r="AE188" s="424"/>
    </row>
    <row r="189" spans="5:31" ht="14.5" x14ac:dyDescent="0.35">
      <c r="E189" s="192">
        <v>181</v>
      </c>
      <c r="F189" s="192" t="s">
        <v>265</v>
      </c>
      <c r="G189" s="192" t="s">
        <v>273</v>
      </c>
      <c r="H189" s="192" t="s">
        <v>984</v>
      </c>
      <c r="I189" s="192" t="s">
        <v>974</v>
      </c>
      <c r="J189" s="192" t="s">
        <v>977</v>
      </c>
      <c r="K189" s="192" t="s">
        <v>339</v>
      </c>
      <c r="L189" s="192" t="str">
        <f t="shared" si="2"/>
        <v>Stationary AssetsBuildingsLessor (to PSB)Fossil FuelsGas oilNaN</v>
      </c>
      <c r="M189" s="192" t="s">
        <v>1142</v>
      </c>
      <c r="N189" s="192" t="s">
        <v>316</v>
      </c>
      <c r="O189" s="192" t="s">
        <v>343</v>
      </c>
      <c r="P189" s="374">
        <v>10.742000000000001</v>
      </c>
      <c r="Q189" s="376">
        <v>0.25650000000000001</v>
      </c>
      <c r="R189" s="305"/>
      <c r="S189" s="305"/>
      <c r="T189" s="304">
        <v>5.9130000000000002E-2</v>
      </c>
      <c r="U189" s="305"/>
      <c r="V189" s="305"/>
      <c r="W189" s="305"/>
      <c r="X189" s="304" t="s">
        <v>1308</v>
      </c>
      <c r="Y189" s="305"/>
      <c r="Z189" s="305"/>
      <c r="AA189" s="304" t="s">
        <v>1309</v>
      </c>
      <c r="AB189" s="305"/>
      <c r="AC189" s="305"/>
      <c r="AD189" s="305"/>
      <c r="AE189" s="424"/>
    </row>
    <row r="190" spans="5:31" ht="14.5" x14ac:dyDescent="0.35">
      <c r="E190" s="192">
        <v>182</v>
      </c>
      <c r="F190" s="192" t="s">
        <v>265</v>
      </c>
      <c r="G190" s="192" t="s">
        <v>273</v>
      </c>
      <c r="H190" s="192" t="s">
        <v>984</v>
      </c>
      <c r="I190" s="192" t="s">
        <v>974</v>
      </c>
      <c r="J190" s="192" t="s">
        <v>978</v>
      </c>
      <c r="K190" s="192" t="s">
        <v>339</v>
      </c>
      <c r="L190" s="192" t="str">
        <f t="shared" si="2"/>
        <v>Stationary AssetsBuildingsLessor (to PSB)Fossil FuelsNatural gasNaN</v>
      </c>
      <c r="M190" s="192" t="s">
        <v>1142</v>
      </c>
      <c r="N190" s="192" t="s">
        <v>316</v>
      </c>
      <c r="O190" s="192" t="s">
        <v>979</v>
      </c>
      <c r="P190" s="374">
        <f>0.8*14.077</f>
        <v>11.261600000000001</v>
      </c>
      <c r="Q190" s="376">
        <v>0.18296000000000001</v>
      </c>
      <c r="R190" s="305"/>
      <c r="S190" s="305"/>
      <c r="T190" s="304">
        <v>3.0210000000000001E-2</v>
      </c>
      <c r="U190" s="305"/>
      <c r="V190" s="305"/>
      <c r="W190" s="305"/>
      <c r="X190" s="304" t="s">
        <v>1310</v>
      </c>
      <c r="Y190" s="305"/>
      <c r="Z190" s="305"/>
      <c r="AA190" s="304" t="s">
        <v>1311</v>
      </c>
      <c r="AB190" s="305"/>
      <c r="AC190" s="305"/>
      <c r="AD190" s="305"/>
      <c r="AE190" s="424"/>
    </row>
    <row r="191" spans="5:31" ht="14.5" x14ac:dyDescent="0.35">
      <c r="E191" s="192">
        <v>183</v>
      </c>
      <c r="F191" s="192" t="s">
        <v>265</v>
      </c>
      <c r="G191" s="192" t="s">
        <v>273</v>
      </c>
      <c r="H191" s="192" t="s">
        <v>984</v>
      </c>
      <c r="I191" s="192" t="s">
        <v>974</v>
      </c>
      <c r="J191" s="192" t="s">
        <v>980</v>
      </c>
      <c r="K191" s="192" t="s">
        <v>339</v>
      </c>
      <c r="L191" s="192" t="str">
        <f t="shared" si="2"/>
        <v>Stationary AssetsBuildingsLessor (to PSB)Fossil FuelsKeroseneNaN</v>
      </c>
      <c r="M191" s="192" t="s">
        <v>1142</v>
      </c>
      <c r="N191" s="192" t="s">
        <v>316</v>
      </c>
      <c r="O191" s="192" t="s">
        <v>343</v>
      </c>
      <c r="P191" s="374">
        <v>10.294</v>
      </c>
      <c r="Q191" s="376">
        <v>0.24676999999999999</v>
      </c>
      <c r="R191" s="305"/>
      <c r="S191" s="305"/>
      <c r="T191" s="304">
        <v>5.1529999999999999E-2</v>
      </c>
      <c r="U191" s="305"/>
      <c r="V191" s="305"/>
      <c r="W191" s="305"/>
      <c r="X191" s="304" t="s">
        <v>1312</v>
      </c>
      <c r="Y191" s="305"/>
      <c r="Z191" s="305"/>
      <c r="AA191" s="304" t="s">
        <v>1313</v>
      </c>
      <c r="AB191" s="305"/>
      <c r="AC191" s="305"/>
      <c r="AD191" s="305"/>
      <c r="AE191" s="424" t="s">
        <v>1731</v>
      </c>
    </row>
    <row r="192" spans="5:31" ht="14.5" x14ac:dyDescent="0.35">
      <c r="E192" s="192">
        <v>184</v>
      </c>
      <c r="F192" s="192" t="s">
        <v>265</v>
      </c>
      <c r="G192" s="192" t="s">
        <v>273</v>
      </c>
      <c r="H192" s="192" t="s">
        <v>984</v>
      </c>
      <c r="I192" s="192" t="s">
        <v>974</v>
      </c>
      <c r="J192" s="192" t="s">
        <v>981</v>
      </c>
      <c r="K192" s="192" t="s">
        <v>339</v>
      </c>
      <c r="L192" s="192" t="str">
        <f t="shared" si="2"/>
        <v>Stationary AssetsBuildingsLessor (to PSB)Fossil FuelsLPGNaN</v>
      </c>
      <c r="M192" s="192" t="s">
        <v>1142</v>
      </c>
      <c r="N192" s="192" t="s">
        <v>316</v>
      </c>
      <c r="O192" s="192" t="s">
        <v>343</v>
      </c>
      <c r="P192" s="374">
        <v>7.2590000000000003</v>
      </c>
      <c r="Q192" s="376">
        <v>0.2145</v>
      </c>
      <c r="R192" s="305"/>
      <c r="S192" s="305"/>
      <c r="T192" s="304">
        <v>2.5479999999999999E-2</v>
      </c>
      <c r="U192" s="305"/>
      <c r="V192" s="305"/>
      <c r="W192" s="305"/>
      <c r="X192" s="304" t="s">
        <v>1314</v>
      </c>
      <c r="Y192" s="305"/>
      <c r="Z192" s="305"/>
      <c r="AA192" s="304" t="s">
        <v>1315</v>
      </c>
      <c r="AB192" s="305"/>
      <c r="AC192" s="305"/>
      <c r="AD192" s="305"/>
      <c r="AE192" s="424"/>
    </row>
    <row r="193" spans="5:31" ht="14.5" x14ac:dyDescent="0.35">
      <c r="E193" s="192">
        <v>185</v>
      </c>
      <c r="F193" s="192" t="s">
        <v>265</v>
      </c>
      <c r="G193" s="192" t="s">
        <v>273</v>
      </c>
      <c r="H193" s="192" t="s">
        <v>541</v>
      </c>
      <c r="I193" s="192" t="s">
        <v>326</v>
      </c>
      <c r="J193" s="192" t="s">
        <v>985</v>
      </c>
      <c r="K193" s="192" t="s">
        <v>339</v>
      </c>
      <c r="L193" s="192" t="str">
        <f t="shared" si="2"/>
        <v>Stationary AssetsBuildingsOur EstateBioenergyHVONaN</v>
      </c>
      <c r="M193" s="192" t="s">
        <v>1142</v>
      </c>
      <c r="N193" s="192" t="s">
        <v>316</v>
      </c>
      <c r="O193" s="192" t="s">
        <v>343</v>
      </c>
      <c r="P193" s="374">
        <v>9.9309999999999992</v>
      </c>
      <c r="Q193" s="376">
        <v>3.5580000000000001E-2</v>
      </c>
      <c r="R193" s="305"/>
      <c r="S193" s="305"/>
      <c r="T193" s="304">
        <v>0.56438999999999995</v>
      </c>
      <c r="U193" s="305"/>
      <c r="V193" s="305"/>
      <c r="W193" s="379">
        <v>2.4300000000000002</v>
      </c>
      <c r="X193" s="378" t="s">
        <v>1316</v>
      </c>
      <c r="Y193" s="305"/>
      <c r="Z193" s="305"/>
      <c r="AA193" s="378" t="s">
        <v>1317</v>
      </c>
      <c r="AB193" s="305"/>
      <c r="AC193" s="305"/>
      <c r="AD193" s="305"/>
      <c r="AE193" s="424" t="s">
        <v>1732</v>
      </c>
    </row>
    <row r="194" spans="5:31" ht="14.5" x14ac:dyDescent="0.35">
      <c r="E194" s="192">
        <v>186</v>
      </c>
      <c r="F194" s="192" t="s">
        <v>265</v>
      </c>
      <c r="G194" s="192" t="s">
        <v>273</v>
      </c>
      <c r="H194" s="192" t="s">
        <v>541</v>
      </c>
      <c r="I194" s="192" t="s">
        <v>326</v>
      </c>
      <c r="J194" s="192" t="s">
        <v>986</v>
      </c>
      <c r="K194" s="192" t="s">
        <v>339</v>
      </c>
      <c r="L194" s="192" t="str">
        <f t="shared" si="2"/>
        <v>Stationary AssetsBuildingsOur EstateBioenergyWood pelletsNaN</v>
      </c>
      <c r="M194" s="192" t="s">
        <v>1142</v>
      </c>
      <c r="N194" s="192" t="s">
        <v>316</v>
      </c>
      <c r="O194" s="192" t="s">
        <v>976</v>
      </c>
      <c r="P194" s="374">
        <f>5.193*1000</f>
        <v>5193</v>
      </c>
      <c r="Q194" s="376">
        <v>1.15E-2</v>
      </c>
      <c r="R194" s="305"/>
      <c r="S194" s="305"/>
      <c r="T194" s="304">
        <v>7.92E-3</v>
      </c>
      <c r="U194" s="305"/>
      <c r="V194" s="305"/>
      <c r="W194" s="380">
        <v>0.35</v>
      </c>
      <c r="X194" s="192" t="s">
        <v>1318</v>
      </c>
      <c r="Y194" s="305"/>
      <c r="Z194" s="305"/>
      <c r="AA194" s="192" t="s">
        <v>1319</v>
      </c>
      <c r="AB194" s="305"/>
      <c r="AC194" s="305"/>
      <c r="AD194" s="305"/>
      <c r="AE194" s="424"/>
    </row>
    <row r="195" spans="5:31" ht="14.5" x14ac:dyDescent="0.35">
      <c r="E195" s="192">
        <v>187</v>
      </c>
      <c r="F195" s="192" t="s">
        <v>265</v>
      </c>
      <c r="G195" s="192" t="s">
        <v>273</v>
      </c>
      <c r="H195" s="192" t="s">
        <v>541</v>
      </c>
      <c r="I195" s="192" t="s">
        <v>326</v>
      </c>
      <c r="J195" s="192" t="s">
        <v>987</v>
      </c>
      <c r="K195" s="192" t="s">
        <v>339</v>
      </c>
      <c r="L195" s="192" t="str">
        <f t="shared" si="2"/>
        <v>Stationary AssetsBuildingsOur EstateBioenergyWood chipsNaN</v>
      </c>
      <c r="M195" s="192" t="s">
        <v>1142</v>
      </c>
      <c r="N195" s="192" t="s">
        <v>316</v>
      </c>
      <c r="O195" s="192" t="s">
        <v>976</v>
      </c>
      <c r="P195" s="374">
        <f>4.087*1000</f>
        <v>4086.9999999999995</v>
      </c>
      <c r="Q195" s="376">
        <v>1.15E-2</v>
      </c>
      <c r="R195" s="305"/>
      <c r="S195" s="305"/>
      <c r="T195" s="304">
        <v>3.7440000000000001E-2</v>
      </c>
      <c r="U195" s="305"/>
      <c r="V195" s="305"/>
      <c r="W195" s="380">
        <v>0.35</v>
      </c>
      <c r="X195" s="192" t="s">
        <v>1320</v>
      </c>
      <c r="Y195" s="305"/>
      <c r="Z195" s="305"/>
      <c r="AA195" s="192" t="s">
        <v>1321</v>
      </c>
      <c r="AB195" s="305"/>
      <c r="AC195" s="305"/>
      <c r="AD195" s="305"/>
      <c r="AE195" s="424"/>
    </row>
    <row r="196" spans="5:31" ht="14.5" x14ac:dyDescent="0.35">
      <c r="E196" s="192">
        <v>188</v>
      </c>
      <c r="F196" s="192" t="s">
        <v>265</v>
      </c>
      <c r="G196" s="192" t="s">
        <v>273</v>
      </c>
      <c r="H196" s="192" t="s">
        <v>541</v>
      </c>
      <c r="I196" s="192" t="s">
        <v>326</v>
      </c>
      <c r="J196" s="192" t="s">
        <v>988</v>
      </c>
      <c r="K196" s="192" t="s">
        <v>339</v>
      </c>
      <c r="L196" s="192" t="str">
        <f t="shared" si="2"/>
        <v>Stationary AssetsBuildingsOur EstateBioenergyBiogasNaN</v>
      </c>
      <c r="M196" s="192" t="s">
        <v>1142</v>
      </c>
      <c r="N196" s="192" t="s">
        <v>316</v>
      </c>
      <c r="O196" s="192" t="s">
        <v>976</v>
      </c>
      <c r="P196" s="374">
        <f>6.105*1000</f>
        <v>6105</v>
      </c>
      <c r="Q196" s="376">
        <v>2.2000000000000001E-4</v>
      </c>
      <c r="R196" s="305"/>
      <c r="S196" s="305"/>
      <c r="T196" s="304">
        <v>1.8509999999999999E-2</v>
      </c>
      <c r="U196" s="305"/>
      <c r="V196" s="305"/>
      <c r="W196" s="380">
        <v>0.19902</v>
      </c>
      <c r="X196" s="192" t="s">
        <v>1322</v>
      </c>
      <c r="Y196" s="305"/>
      <c r="Z196" s="305"/>
      <c r="AA196" s="192" t="s">
        <v>1323</v>
      </c>
      <c r="AB196" s="305"/>
      <c r="AC196" s="305"/>
      <c r="AD196" s="305"/>
      <c r="AE196" s="424"/>
    </row>
    <row r="197" spans="5:31" ht="14.5" x14ac:dyDescent="0.35">
      <c r="E197" s="192">
        <v>189</v>
      </c>
      <c r="F197" s="192" t="s">
        <v>265</v>
      </c>
      <c r="G197" s="192" t="s">
        <v>273</v>
      </c>
      <c r="H197" s="192" t="s">
        <v>982</v>
      </c>
      <c r="I197" s="192" t="s">
        <v>326</v>
      </c>
      <c r="J197" s="192" t="s">
        <v>985</v>
      </c>
      <c r="K197" s="192" t="s">
        <v>339</v>
      </c>
      <c r="L197" s="192" t="str">
        <f t="shared" si="2"/>
        <v>Stationary AssetsBuildingsLesseeBioenergyHVONaN</v>
      </c>
      <c r="M197" s="192" t="s">
        <v>1142</v>
      </c>
      <c r="N197" s="192" t="s">
        <v>316</v>
      </c>
      <c r="O197" s="192" t="s">
        <v>343</v>
      </c>
      <c r="P197" s="374">
        <v>9.9309999999999992</v>
      </c>
      <c r="Q197" s="376">
        <v>3.5580000000000001E-2</v>
      </c>
      <c r="R197" s="305"/>
      <c r="S197" s="305"/>
      <c r="T197" s="304">
        <v>0.56438999999999995</v>
      </c>
      <c r="U197" s="305"/>
      <c r="V197" s="305"/>
      <c r="W197" s="379">
        <v>2.4300000000000002</v>
      </c>
      <c r="X197" s="378" t="s">
        <v>1316</v>
      </c>
      <c r="Y197" s="305"/>
      <c r="Z197" s="305"/>
      <c r="AA197" s="378" t="s">
        <v>1317</v>
      </c>
      <c r="AB197" s="305"/>
      <c r="AC197" s="305"/>
      <c r="AD197" s="305"/>
      <c r="AE197" s="424" t="s">
        <v>1732</v>
      </c>
    </row>
    <row r="198" spans="5:31" ht="14.5" x14ac:dyDescent="0.35">
      <c r="E198" s="192">
        <v>190</v>
      </c>
      <c r="F198" s="192" t="s">
        <v>265</v>
      </c>
      <c r="G198" s="192" t="s">
        <v>273</v>
      </c>
      <c r="H198" s="192" t="s">
        <v>982</v>
      </c>
      <c r="I198" s="192" t="s">
        <v>326</v>
      </c>
      <c r="J198" s="192" t="s">
        <v>986</v>
      </c>
      <c r="K198" s="192" t="s">
        <v>339</v>
      </c>
      <c r="L198" s="192" t="str">
        <f t="shared" si="2"/>
        <v>Stationary AssetsBuildingsLesseeBioenergyWood pelletsNaN</v>
      </c>
      <c r="M198" s="192" t="s">
        <v>1142</v>
      </c>
      <c r="N198" s="192" t="s">
        <v>316</v>
      </c>
      <c r="O198" s="192" t="s">
        <v>976</v>
      </c>
      <c r="P198" s="374">
        <f>5.193*1000</f>
        <v>5193</v>
      </c>
      <c r="Q198" s="376">
        <v>1.15E-2</v>
      </c>
      <c r="R198" s="305"/>
      <c r="S198" s="305"/>
      <c r="T198" s="304">
        <v>7.92E-3</v>
      </c>
      <c r="U198" s="305"/>
      <c r="V198" s="305"/>
      <c r="W198" s="380">
        <v>0.35</v>
      </c>
      <c r="X198" s="192" t="s">
        <v>1318</v>
      </c>
      <c r="Y198" s="305"/>
      <c r="Z198" s="305"/>
      <c r="AA198" s="192" t="s">
        <v>1319</v>
      </c>
      <c r="AB198" s="305"/>
      <c r="AC198" s="305"/>
      <c r="AD198" s="305"/>
      <c r="AE198" s="424"/>
    </row>
    <row r="199" spans="5:31" ht="14.5" x14ac:dyDescent="0.35">
      <c r="E199" s="192">
        <v>191</v>
      </c>
      <c r="F199" s="192" t="s">
        <v>265</v>
      </c>
      <c r="G199" s="192" t="s">
        <v>273</v>
      </c>
      <c r="H199" s="192" t="s">
        <v>982</v>
      </c>
      <c r="I199" s="192" t="s">
        <v>326</v>
      </c>
      <c r="J199" s="192" t="s">
        <v>987</v>
      </c>
      <c r="K199" s="192" t="s">
        <v>339</v>
      </c>
      <c r="L199" s="192" t="str">
        <f t="shared" si="2"/>
        <v>Stationary AssetsBuildingsLesseeBioenergyWood chipsNaN</v>
      </c>
      <c r="M199" s="192" t="s">
        <v>1142</v>
      </c>
      <c r="N199" s="192" t="s">
        <v>316</v>
      </c>
      <c r="O199" s="192" t="s">
        <v>976</v>
      </c>
      <c r="P199" s="374">
        <f>4.087*1000</f>
        <v>4086.9999999999995</v>
      </c>
      <c r="Q199" s="376">
        <v>1.15E-2</v>
      </c>
      <c r="R199" s="305"/>
      <c r="S199" s="305"/>
      <c r="T199" s="304">
        <v>3.7440000000000001E-2</v>
      </c>
      <c r="U199" s="305"/>
      <c r="V199" s="305"/>
      <c r="W199" s="380">
        <v>0.35</v>
      </c>
      <c r="X199" s="192" t="s">
        <v>1320</v>
      </c>
      <c r="Y199" s="305"/>
      <c r="Z199" s="305"/>
      <c r="AA199" s="192" t="s">
        <v>1321</v>
      </c>
      <c r="AB199" s="305"/>
      <c r="AC199" s="305"/>
      <c r="AD199" s="305"/>
      <c r="AE199" s="424"/>
    </row>
    <row r="200" spans="5:31" ht="14.5" x14ac:dyDescent="0.35">
      <c r="E200" s="192">
        <v>192</v>
      </c>
      <c r="F200" s="192" t="s">
        <v>265</v>
      </c>
      <c r="G200" s="192" t="s">
        <v>273</v>
      </c>
      <c r="H200" s="192" t="s">
        <v>982</v>
      </c>
      <c r="I200" s="192" t="s">
        <v>326</v>
      </c>
      <c r="J200" s="192" t="s">
        <v>988</v>
      </c>
      <c r="K200" s="192" t="s">
        <v>339</v>
      </c>
      <c r="L200" s="192" t="str">
        <f t="shared" si="2"/>
        <v>Stationary AssetsBuildingsLesseeBioenergyBiogasNaN</v>
      </c>
      <c r="M200" s="192" t="s">
        <v>1142</v>
      </c>
      <c r="N200" s="192" t="s">
        <v>316</v>
      </c>
      <c r="O200" s="192" t="s">
        <v>976</v>
      </c>
      <c r="P200" s="374">
        <f>6.105*1000</f>
        <v>6105</v>
      </c>
      <c r="Q200" s="376">
        <v>2.2000000000000001E-4</v>
      </c>
      <c r="R200" s="305"/>
      <c r="S200" s="305"/>
      <c r="T200" s="304">
        <v>1.8509999999999999E-2</v>
      </c>
      <c r="U200" s="305"/>
      <c r="V200" s="305"/>
      <c r="W200" s="380">
        <v>0.19902</v>
      </c>
      <c r="X200" s="192" t="s">
        <v>1322</v>
      </c>
      <c r="Y200" s="305"/>
      <c r="Z200" s="305"/>
      <c r="AA200" s="192" t="s">
        <v>1323</v>
      </c>
      <c r="AB200" s="305"/>
      <c r="AC200" s="305"/>
      <c r="AD200" s="305"/>
      <c r="AE200" s="424"/>
    </row>
    <row r="201" spans="5:31" ht="14.5" x14ac:dyDescent="0.35">
      <c r="E201" s="192">
        <v>193</v>
      </c>
      <c r="F201" s="192" t="s">
        <v>265</v>
      </c>
      <c r="G201" s="192" t="s">
        <v>273</v>
      </c>
      <c r="H201" s="192" t="s">
        <v>983</v>
      </c>
      <c r="I201" s="192" t="s">
        <v>326</v>
      </c>
      <c r="J201" s="192" t="s">
        <v>985</v>
      </c>
      <c r="K201" s="192" t="s">
        <v>339</v>
      </c>
      <c r="L201" s="192" t="str">
        <f t="shared" si="2"/>
        <v>Stationary AssetsBuildingsLessorBioenergyHVONaN</v>
      </c>
      <c r="M201" s="192" t="s">
        <v>1142</v>
      </c>
      <c r="N201" s="192" t="s">
        <v>316</v>
      </c>
      <c r="O201" s="192" t="s">
        <v>343</v>
      </c>
      <c r="P201" s="374">
        <v>9.9309999999999992</v>
      </c>
      <c r="Q201" s="376">
        <v>3.5580000000000001E-2</v>
      </c>
      <c r="R201" s="305"/>
      <c r="S201" s="305"/>
      <c r="T201" s="304">
        <v>0.56438999999999995</v>
      </c>
      <c r="U201" s="305"/>
      <c r="V201" s="305"/>
      <c r="W201" s="379">
        <v>2.4300000000000002</v>
      </c>
      <c r="X201" s="378" t="s">
        <v>1316</v>
      </c>
      <c r="Y201" s="305"/>
      <c r="Z201" s="305"/>
      <c r="AA201" s="378" t="s">
        <v>1317</v>
      </c>
      <c r="AB201" s="305"/>
      <c r="AC201" s="305"/>
      <c r="AD201" s="305"/>
      <c r="AE201" s="424" t="s">
        <v>1732</v>
      </c>
    </row>
    <row r="202" spans="5:31" ht="14.5" x14ac:dyDescent="0.35">
      <c r="E202" s="192">
        <v>194</v>
      </c>
      <c r="F202" s="192" t="s">
        <v>265</v>
      </c>
      <c r="G202" s="192" t="s">
        <v>273</v>
      </c>
      <c r="H202" s="192" t="s">
        <v>983</v>
      </c>
      <c r="I202" s="192" t="s">
        <v>326</v>
      </c>
      <c r="J202" s="192" t="s">
        <v>986</v>
      </c>
      <c r="K202" s="192" t="s">
        <v>339</v>
      </c>
      <c r="L202" s="192" t="str">
        <f t="shared" si="2"/>
        <v>Stationary AssetsBuildingsLessorBioenergyWood pelletsNaN</v>
      </c>
      <c r="M202" s="192" t="s">
        <v>1142</v>
      </c>
      <c r="N202" s="192" t="s">
        <v>316</v>
      </c>
      <c r="O202" s="192" t="s">
        <v>976</v>
      </c>
      <c r="P202" s="374">
        <f>5.193*1000</f>
        <v>5193</v>
      </c>
      <c r="Q202" s="376">
        <v>1.15E-2</v>
      </c>
      <c r="R202" s="305"/>
      <c r="S202" s="305"/>
      <c r="T202" s="304">
        <v>7.92E-3</v>
      </c>
      <c r="U202" s="305"/>
      <c r="V202" s="305"/>
      <c r="W202" s="380">
        <v>0.35</v>
      </c>
      <c r="X202" s="192" t="s">
        <v>1318</v>
      </c>
      <c r="Y202" s="305"/>
      <c r="Z202" s="305"/>
      <c r="AA202" s="192" t="s">
        <v>1319</v>
      </c>
      <c r="AB202" s="305"/>
      <c r="AC202" s="305"/>
      <c r="AD202" s="305"/>
      <c r="AE202" s="424"/>
    </row>
    <row r="203" spans="5:31" ht="14.5" x14ac:dyDescent="0.35">
      <c r="E203" s="192">
        <v>195</v>
      </c>
      <c r="F203" s="192" t="s">
        <v>265</v>
      </c>
      <c r="G203" s="192" t="s">
        <v>273</v>
      </c>
      <c r="H203" s="192" t="s">
        <v>983</v>
      </c>
      <c r="I203" s="192" t="s">
        <v>326</v>
      </c>
      <c r="J203" s="192" t="s">
        <v>987</v>
      </c>
      <c r="K203" s="192" t="s">
        <v>339</v>
      </c>
      <c r="L203" s="192" t="str">
        <f t="shared" ref="L203:L266" si="4">_xlfn.CONCAT(F203:K203)</f>
        <v>Stationary AssetsBuildingsLessorBioenergyWood chipsNaN</v>
      </c>
      <c r="M203" s="192" t="s">
        <v>1142</v>
      </c>
      <c r="N203" s="192" t="s">
        <v>316</v>
      </c>
      <c r="O203" s="192" t="s">
        <v>976</v>
      </c>
      <c r="P203" s="374">
        <f>4.087*1000</f>
        <v>4086.9999999999995</v>
      </c>
      <c r="Q203" s="376">
        <v>1.15E-2</v>
      </c>
      <c r="R203" s="305"/>
      <c r="S203" s="305"/>
      <c r="T203" s="304">
        <v>3.7440000000000001E-2</v>
      </c>
      <c r="U203" s="305"/>
      <c r="V203" s="305"/>
      <c r="W203" s="380">
        <v>0.35</v>
      </c>
      <c r="X203" s="192" t="s">
        <v>1320</v>
      </c>
      <c r="Y203" s="305"/>
      <c r="Z203" s="305"/>
      <c r="AA203" s="192" t="s">
        <v>1321</v>
      </c>
      <c r="AB203" s="305"/>
      <c r="AC203" s="305"/>
      <c r="AD203" s="305"/>
      <c r="AE203" s="424"/>
    </row>
    <row r="204" spans="5:31" ht="14.5" x14ac:dyDescent="0.35">
      <c r="E204" s="192">
        <v>196</v>
      </c>
      <c r="F204" s="192" t="s">
        <v>265</v>
      </c>
      <c r="G204" s="192" t="s">
        <v>273</v>
      </c>
      <c r="H204" s="192" t="s">
        <v>983</v>
      </c>
      <c r="I204" s="192" t="s">
        <v>326</v>
      </c>
      <c r="J204" s="192" t="s">
        <v>988</v>
      </c>
      <c r="K204" s="192" t="s">
        <v>339</v>
      </c>
      <c r="L204" s="192" t="str">
        <f t="shared" si="4"/>
        <v>Stationary AssetsBuildingsLessorBioenergyBiogasNaN</v>
      </c>
      <c r="M204" s="192" t="s">
        <v>1142</v>
      </c>
      <c r="N204" s="192" t="s">
        <v>316</v>
      </c>
      <c r="O204" s="192" t="s">
        <v>976</v>
      </c>
      <c r="P204" s="374">
        <f>6.105*1000</f>
        <v>6105</v>
      </c>
      <c r="Q204" s="376">
        <v>2.2000000000000001E-4</v>
      </c>
      <c r="R204" s="305"/>
      <c r="S204" s="305"/>
      <c r="T204" s="304">
        <v>1.8509999999999999E-2</v>
      </c>
      <c r="U204" s="305"/>
      <c r="V204" s="305"/>
      <c r="W204" s="380">
        <v>0.19902</v>
      </c>
      <c r="X204" s="192" t="s">
        <v>1322</v>
      </c>
      <c r="Y204" s="305"/>
      <c r="Z204" s="305"/>
      <c r="AA204" s="192" t="s">
        <v>1323</v>
      </c>
      <c r="AB204" s="305"/>
      <c r="AC204" s="305"/>
      <c r="AD204" s="305"/>
      <c r="AE204" s="424"/>
    </row>
    <row r="205" spans="5:31" ht="14.5" x14ac:dyDescent="0.35">
      <c r="E205" s="192">
        <v>197</v>
      </c>
      <c r="F205" s="192" t="s">
        <v>265</v>
      </c>
      <c r="G205" s="192" t="s">
        <v>273</v>
      </c>
      <c r="H205" s="192" t="s">
        <v>984</v>
      </c>
      <c r="I205" s="192" t="s">
        <v>326</v>
      </c>
      <c r="J205" s="192" t="s">
        <v>985</v>
      </c>
      <c r="K205" s="192" t="s">
        <v>339</v>
      </c>
      <c r="L205" s="192" t="str">
        <f t="shared" si="4"/>
        <v>Stationary AssetsBuildingsLessor (to PSB)BioenergyHVONaN</v>
      </c>
      <c r="M205" s="192" t="s">
        <v>1142</v>
      </c>
      <c r="N205" s="192" t="s">
        <v>316</v>
      </c>
      <c r="O205" s="192" t="s">
        <v>343</v>
      </c>
      <c r="P205" s="374">
        <v>9.9309999999999992</v>
      </c>
      <c r="Q205" s="376">
        <v>3.5580000000000001E-2</v>
      </c>
      <c r="R205" s="305"/>
      <c r="S205" s="305"/>
      <c r="T205" s="304">
        <v>0.56438999999999995</v>
      </c>
      <c r="U205" s="305"/>
      <c r="V205" s="305"/>
      <c r="W205" s="379">
        <v>2.4300000000000002</v>
      </c>
      <c r="X205" s="378" t="s">
        <v>1316</v>
      </c>
      <c r="Y205" s="305"/>
      <c r="Z205" s="305"/>
      <c r="AA205" s="378" t="s">
        <v>1317</v>
      </c>
      <c r="AB205" s="305"/>
      <c r="AC205" s="305"/>
      <c r="AD205" s="305"/>
      <c r="AE205" s="424" t="s">
        <v>1732</v>
      </c>
    </row>
    <row r="206" spans="5:31" ht="14.5" x14ac:dyDescent="0.35">
      <c r="E206" s="192">
        <v>198</v>
      </c>
      <c r="F206" s="192" t="s">
        <v>265</v>
      </c>
      <c r="G206" s="192" t="s">
        <v>273</v>
      </c>
      <c r="H206" s="192" t="s">
        <v>984</v>
      </c>
      <c r="I206" s="192" t="s">
        <v>326</v>
      </c>
      <c r="J206" s="192" t="s">
        <v>986</v>
      </c>
      <c r="K206" s="192" t="s">
        <v>339</v>
      </c>
      <c r="L206" s="192" t="str">
        <f t="shared" si="4"/>
        <v>Stationary AssetsBuildingsLessor (to PSB)BioenergyWood pelletsNaN</v>
      </c>
      <c r="M206" s="192" t="s">
        <v>1142</v>
      </c>
      <c r="N206" s="192" t="s">
        <v>316</v>
      </c>
      <c r="O206" s="192" t="s">
        <v>976</v>
      </c>
      <c r="P206" s="374">
        <f>5.193*1000</f>
        <v>5193</v>
      </c>
      <c r="Q206" s="376">
        <v>1.15E-2</v>
      </c>
      <c r="R206" s="305"/>
      <c r="S206" s="305"/>
      <c r="T206" s="304">
        <v>7.92E-3</v>
      </c>
      <c r="U206" s="305"/>
      <c r="V206" s="305"/>
      <c r="W206" s="380">
        <v>0.35</v>
      </c>
      <c r="X206" s="192" t="s">
        <v>1318</v>
      </c>
      <c r="Y206" s="305"/>
      <c r="Z206" s="305"/>
      <c r="AA206" s="192" t="s">
        <v>1319</v>
      </c>
      <c r="AB206" s="305"/>
      <c r="AC206" s="305"/>
      <c r="AD206" s="305"/>
      <c r="AE206" s="424"/>
    </row>
    <row r="207" spans="5:31" ht="14.5" x14ac:dyDescent="0.35">
      <c r="E207" s="192">
        <v>199</v>
      </c>
      <c r="F207" s="192" t="s">
        <v>265</v>
      </c>
      <c r="G207" s="192" t="s">
        <v>273</v>
      </c>
      <c r="H207" s="192" t="s">
        <v>984</v>
      </c>
      <c r="I207" s="192" t="s">
        <v>326</v>
      </c>
      <c r="J207" s="192" t="s">
        <v>987</v>
      </c>
      <c r="K207" s="192" t="s">
        <v>339</v>
      </c>
      <c r="L207" s="192" t="str">
        <f t="shared" si="4"/>
        <v>Stationary AssetsBuildingsLessor (to PSB)BioenergyWood chipsNaN</v>
      </c>
      <c r="M207" s="192" t="s">
        <v>1142</v>
      </c>
      <c r="N207" s="192" t="s">
        <v>316</v>
      </c>
      <c r="O207" s="192" t="s">
        <v>976</v>
      </c>
      <c r="P207" s="374">
        <f>4.087*1000</f>
        <v>4086.9999999999995</v>
      </c>
      <c r="Q207" s="376">
        <v>1.15E-2</v>
      </c>
      <c r="R207" s="305"/>
      <c r="S207" s="305"/>
      <c r="T207" s="304">
        <v>3.7440000000000001E-2</v>
      </c>
      <c r="U207" s="305"/>
      <c r="V207" s="305"/>
      <c r="W207" s="380">
        <v>0.35</v>
      </c>
      <c r="X207" s="192" t="s">
        <v>1320</v>
      </c>
      <c r="Y207" s="305"/>
      <c r="Z207" s="305"/>
      <c r="AA207" s="192" t="s">
        <v>1321</v>
      </c>
      <c r="AB207" s="305"/>
      <c r="AC207" s="305"/>
      <c r="AD207" s="305"/>
      <c r="AE207" s="424"/>
    </row>
    <row r="208" spans="5:31" ht="14.5" x14ac:dyDescent="0.35">
      <c r="E208" s="192">
        <v>200</v>
      </c>
      <c r="F208" s="192" t="s">
        <v>265</v>
      </c>
      <c r="G208" s="192" t="s">
        <v>273</v>
      </c>
      <c r="H208" s="192" t="s">
        <v>984</v>
      </c>
      <c r="I208" s="192" t="s">
        <v>326</v>
      </c>
      <c r="J208" s="192" t="s">
        <v>988</v>
      </c>
      <c r="K208" s="192" t="s">
        <v>339</v>
      </c>
      <c r="L208" s="192" t="str">
        <f t="shared" si="4"/>
        <v>Stationary AssetsBuildingsLessor (to PSB)BioenergyBiogasNaN</v>
      </c>
      <c r="M208" s="192" t="s">
        <v>1142</v>
      </c>
      <c r="N208" s="192" t="s">
        <v>316</v>
      </c>
      <c r="O208" s="192" t="s">
        <v>976</v>
      </c>
      <c r="P208" s="374">
        <f>6.105*1000</f>
        <v>6105</v>
      </c>
      <c r="Q208" s="376">
        <v>2.2000000000000001E-4</v>
      </c>
      <c r="R208" s="305"/>
      <c r="S208" s="305"/>
      <c r="T208" s="304">
        <v>1.8509999999999999E-2</v>
      </c>
      <c r="U208" s="305"/>
      <c r="V208" s="305"/>
      <c r="W208" s="380">
        <v>0.19902</v>
      </c>
      <c r="X208" s="192" t="s">
        <v>1322</v>
      </c>
      <c r="Y208" s="305"/>
      <c r="Z208" s="305"/>
      <c r="AA208" s="192" t="s">
        <v>1323</v>
      </c>
      <c r="AB208" s="305"/>
      <c r="AC208" s="305"/>
      <c r="AD208" s="305"/>
      <c r="AE208" s="424"/>
    </row>
    <row r="209" spans="5:31" ht="14.5" x14ac:dyDescent="0.35">
      <c r="E209" s="192">
        <v>201</v>
      </c>
      <c r="F209" s="192" t="s">
        <v>265</v>
      </c>
      <c r="G209" s="192" t="s">
        <v>273</v>
      </c>
      <c r="H209" s="192" t="s">
        <v>541</v>
      </c>
      <c r="I209" s="192" t="s">
        <v>281</v>
      </c>
      <c r="J209" s="192" t="s">
        <v>281</v>
      </c>
      <c r="K209" s="192" t="s">
        <v>339</v>
      </c>
      <c r="L209" s="192" t="str">
        <f t="shared" si="4"/>
        <v>Stationary AssetsBuildingsOur EstateElectricityElectricityNaN</v>
      </c>
      <c r="M209" s="192" t="s">
        <v>1142</v>
      </c>
      <c r="N209" s="192" t="s">
        <v>316</v>
      </c>
      <c r="O209" s="305"/>
      <c r="P209" s="372"/>
      <c r="Q209" s="377"/>
      <c r="R209" s="304">
        <v>0.17699999999999999</v>
      </c>
      <c r="S209" s="305"/>
      <c r="T209" s="304">
        <v>4.5900000000000003E-2</v>
      </c>
      <c r="U209" s="304">
        <v>1.8530000000000001E-2</v>
      </c>
      <c r="V209" s="304">
        <v>3.9699999999999996E-3</v>
      </c>
      <c r="W209" s="305"/>
      <c r="X209" s="305"/>
      <c r="Y209" s="192" t="s">
        <v>1324</v>
      </c>
      <c r="Z209" s="305"/>
      <c r="AA209" s="192" t="s">
        <v>1325</v>
      </c>
      <c r="AB209" s="192" t="s">
        <v>1326</v>
      </c>
      <c r="AC209" s="192" t="s">
        <v>1327</v>
      </c>
      <c r="AD209" s="305"/>
      <c r="AE209" s="424"/>
    </row>
    <row r="210" spans="5:31" ht="14.5" x14ac:dyDescent="0.35">
      <c r="E210" s="192">
        <v>202</v>
      </c>
      <c r="F210" s="192" t="s">
        <v>265</v>
      </c>
      <c r="G210" s="192" t="s">
        <v>273</v>
      </c>
      <c r="H210" s="192" t="s">
        <v>982</v>
      </c>
      <c r="I210" s="192" t="s">
        <v>281</v>
      </c>
      <c r="J210" s="192" t="s">
        <v>281</v>
      </c>
      <c r="K210" s="192" t="s">
        <v>339</v>
      </c>
      <c r="L210" s="192" t="str">
        <f t="shared" si="4"/>
        <v>Stationary AssetsBuildingsLesseeElectricityElectricityNaN</v>
      </c>
      <c r="M210" s="192" t="s">
        <v>1142</v>
      </c>
      <c r="N210" s="192" t="s">
        <v>316</v>
      </c>
      <c r="O210" s="305"/>
      <c r="P210" s="372"/>
      <c r="Q210" s="377"/>
      <c r="R210" s="304">
        <v>0.17699999999999999</v>
      </c>
      <c r="S210" s="305"/>
      <c r="T210" s="304">
        <v>4.5900000000000003E-2</v>
      </c>
      <c r="U210" s="304">
        <v>1.8530000000000001E-2</v>
      </c>
      <c r="V210" s="304">
        <v>3.9699999999999996E-3</v>
      </c>
      <c r="W210" s="305"/>
      <c r="X210" s="305"/>
      <c r="Y210" s="192" t="s">
        <v>1328</v>
      </c>
      <c r="Z210" s="305"/>
      <c r="AA210" s="192" t="s">
        <v>1329</v>
      </c>
      <c r="AB210" s="192" t="s">
        <v>1330</v>
      </c>
      <c r="AC210" s="192" t="s">
        <v>1331</v>
      </c>
      <c r="AD210" s="305"/>
      <c r="AE210" s="424"/>
    </row>
    <row r="211" spans="5:31" ht="14.5" x14ac:dyDescent="0.35">
      <c r="E211" s="192">
        <v>203</v>
      </c>
      <c r="F211" s="192" t="s">
        <v>265</v>
      </c>
      <c r="G211" s="192" t="s">
        <v>273</v>
      </c>
      <c r="H211" s="192" t="s">
        <v>983</v>
      </c>
      <c r="I211" s="192" t="s">
        <v>281</v>
      </c>
      <c r="J211" s="192" t="s">
        <v>281</v>
      </c>
      <c r="K211" s="192" t="s">
        <v>339</v>
      </c>
      <c r="L211" s="192" t="str">
        <f t="shared" si="4"/>
        <v>Stationary AssetsBuildingsLessorElectricityElectricityNaN</v>
      </c>
      <c r="M211" s="192" t="s">
        <v>1142</v>
      </c>
      <c r="N211" s="192" t="s">
        <v>316</v>
      </c>
      <c r="O211" s="305"/>
      <c r="P211" s="372"/>
      <c r="Q211" s="377"/>
      <c r="R211" s="304">
        <v>0.17699999999999999</v>
      </c>
      <c r="S211" s="305"/>
      <c r="T211" s="304">
        <v>4.5900000000000003E-2</v>
      </c>
      <c r="U211" s="304">
        <v>1.8530000000000001E-2</v>
      </c>
      <c r="V211" s="304">
        <v>3.9699999999999996E-3</v>
      </c>
      <c r="W211" s="305"/>
      <c r="X211" s="305"/>
      <c r="Y211" s="192" t="s">
        <v>1332</v>
      </c>
      <c r="Z211" s="305"/>
      <c r="AA211" s="192" t="s">
        <v>1333</v>
      </c>
      <c r="AB211" s="192" t="s">
        <v>1334</v>
      </c>
      <c r="AC211" s="192" t="s">
        <v>1335</v>
      </c>
      <c r="AD211" s="305"/>
      <c r="AE211" s="424"/>
    </row>
    <row r="212" spans="5:31" ht="14.5" x14ac:dyDescent="0.35">
      <c r="E212" s="192">
        <v>204</v>
      </c>
      <c r="F212" s="192" t="s">
        <v>265</v>
      </c>
      <c r="G212" s="192" t="s">
        <v>273</v>
      </c>
      <c r="H212" s="192" t="s">
        <v>984</v>
      </c>
      <c r="I212" s="192" t="s">
        <v>281</v>
      </c>
      <c r="J212" s="192" t="s">
        <v>281</v>
      </c>
      <c r="K212" s="192" t="s">
        <v>339</v>
      </c>
      <c r="L212" s="192" t="str">
        <f t="shared" si="4"/>
        <v>Stationary AssetsBuildingsLessor (to PSB)ElectricityElectricityNaN</v>
      </c>
      <c r="M212" s="192" t="s">
        <v>1142</v>
      </c>
      <c r="N212" s="192" t="s">
        <v>316</v>
      </c>
      <c r="O212" s="305"/>
      <c r="P212" s="372"/>
      <c r="Q212" s="377"/>
      <c r="R212" s="304">
        <v>0.17699999999999999</v>
      </c>
      <c r="S212" s="305"/>
      <c r="T212" s="304">
        <v>4.5900000000000003E-2</v>
      </c>
      <c r="U212" s="304">
        <v>1.8530000000000001E-2</v>
      </c>
      <c r="V212" s="304">
        <v>3.9699999999999996E-3</v>
      </c>
      <c r="W212" s="305"/>
      <c r="X212" s="305"/>
      <c r="Y212" s="192" t="s">
        <v>1336</v>
      </c>
      <c r="Z212" s="305"/>
      <c r="AA212" s="192" t="s">
        <v>1337</v>
      </c>
      <c r="AB212" s="192" t="s">
        <v>1338</v>
      </c>
      <c r="AC212" s="192" t="s">
        <v>1339</v>
      </c>
      <c r="AD212" s="305"/>
      <c r="AE212" s="424"/>
    </row>
    <row r="213" spans="5:31" ht="14.5" x14ac:dyDescent="0.35">
      <c r="E213" s="192">
        <v>205</v>
      </c>
      <c r="F213" s="192" t="s">
        <v>265</v>
      </c>
      <c r="G213" s="192" t="s">
        <v>187</v>
      </c>
      <c r="H213" s="192" t="s">
        <v>1885</v>
      </c>
      <c r="I213" s="192" t="s">
        <v>281</v>
      </c>
      <c r="J213" s="192" t="s">
        <v>281</v>
      </c>
      <c r="K213" s="192" t="s">
        <v>339</v>
      </c>
      <c r="L213" s="192" t="str">
        <f t="shared" si="4"/>
        <v>Stationary AssetsStreetlightingStreetlightsElectricityElectricityNaN</v>
      </c>
      <c r="M213" s="192" t="s">
        <v>1142</v>
      </c>
      <c r="N213" s="192" t="s">
        <v>316</v>
      </c>
      <c r="O213" s="305"/>
      <c r="P213" s="372"/>
      <c r="Q213" s="377"/>
      <c r="R213" s="304">
        <v>0.17699999999999999</v>
      </c>
      <c r="S213" s="305"/>
      <c r="T213" s="304">
        <v>4.5900000000000003E-2</v>
      </c>
      <c r="U213" s="304">
        <v>1.8530000000000001E-2</v>
      </c>
      <c r="V213" s="304">
        <v>3.9699999999999996E-3</v>
      </c>
      <c r="W213" s="305"/>
      <c r="X213" s="305"/>
      <c r="Y213" s="192" t="s">
        <v>1340</v>
      </c>
      <c r="Z213" s="305"/>
      <c r="AA213" s="192" t="s">
        <v>1341</v>
      </c>
      <c r="AB213" s="192" t="s">
        <v>1342</v>
      </c>
      <c r="AC213" s="192" t="s">
        <v>1343</v>
      </c>
      <c r="AD213" s="305"/>
      <c r="AE213" s="424"/>
    </row>
    <row r="214" spans="5:31" ht="14.5" x14ac:dyDescent="0.35">
      <c r="E214" s="192">
        <v>206</v>
      </c>
      <c r="F214" s="192" t="s">
        <v>265</v>
      </c>
      <c r="G214" s="192" t="s">
        <v>187</v>
      </c>
      <c r="H214" s="192" t="s">
        <v>989</v>
      </c>
      <c r="I214" s="192" t="s">
        <v>281</v>
      </c>
      <c r="J214" s="192" t="s">
        <v>281</v>
      </c>
      <c r="K214" s="192" t="s">
        <v>339</v>
      </c>
      <c r="L214" s="192" t="str">
        <f t="shared" si="4"/>
        <v>Stationary AssetsStreetlightingOther public lightingElectricityElectricityNaN</v>
      </c>
      <c r="M214" s="192" t="s">
        <v>1142</v>
      </c>
      <c r="N214" s="192" t="s">
        <v>316</v>
      </c>
      <c r="O214" s="305"/>
      <c r="P214" s="372"/>
      <c r="Q214" s="377"/>
      <c r="R214" s="304">
        <v>0.17699999999999999</v>
      </c>
      <c r="S214" s="305"/>
      <c r="T214" s="304">
        <v>4.5900000000000003E-2</v>
      </c>
      <c r="U214" s="304">
        <v>1.8530000000000001E-2</v>
      </c>
      <c r="V214" s="304">
        <v>3.9699999999999996E-3</v>
      </c>
      <c r="W214" s="305"/>
      <c r="X214" s="305"/>
      <c r="Y214" s="192" t="s">
        <v>1344</v>
      </c>
      <c r="Z214" s="305"/>
      <c r="AA214" s="192" t="s">
        <v>1345</v>
      </c>
      <c r="AB214" s="192" t="s">
        <v>1346</v>
      </c>
      <c r="AC214" s="192" t="s">
        <v>1347</v>
      </c>
      <c r="AD214" s="305"/>
      <c r="AE214" s="424"/>
    </row>
    <row r="215" spans="5:31" ht="14.5" x14ac:dyDescent="0.35">
      <c r="E215" s="192">
        <v>207</v>
      </c>
      <c r="F215" s="192" t="s">
        <v>265</v>
      </c>
      <c r="G215" s="192" t="s">
        <v>187</v>
      </c>
      <c r="H215" s="192" t="s">
        <v>990</v>
      </c>
      <c r="I215" s="192" t="s">
        <v>281</v>
      </c>
      <c r="J215" s="192" t="s">
        <v>281</v>
      </c>
      <c r="K215" s="192" t="s">
        <v>339</v>
      </c>
      <c r="L215" s="192" t="str">
        <f t="shared" si="4"/>
        <v>Stationary AssetsStreetlightingTraffic signsElectricityElectricityNaN</v>
      </c>
      <c r="M215" s="192" t="s">
        <v>1142</v>
      </c>
      <c r="N215" s="192" t="s">
        <v>316</v>
      </c>
      <c r="O215" s="305"/>
      <c r="P215" s="372"/>
      <c r="Q215" s="377"/>
      <c r="R215" s="304">
        <v>0.17699999999999999</v>
      </c>
      <c r="S215" s="305"/>
      <c r="T215" s="304">
        <v>4.5900000000000003E-2</v>
      </c>
      <c r="U215" s="304">
        <v>1.8530000000000001E-2</v>
      </c>
      <c r="V215" s="304">
        <v>3.9699999999999996E-3</v>
      </c>
      <c r="W215" s="305"/>
      <c r="X215" s="305"/>
      <c r="Y215" s="192" t="s">
        <v>1344</v>
      </c>
      <c r="Z215" s="305"/>
      <c r="AA215" s="192" t="s">
        <v>1345</v>
      </c>
      <c r="AB215" s="192" t="s">
        <v>1346</v>
      </c>
      <c r="AC215" s="192" t="s">
        <v>1347</v>
      </c>
      <c r="AD215" s="305"/>
      <c r="AE215" s="424"/>
    </row>
    <row r="216" spans="5:31" ht="14.5" x14ac:dyDescent="0.35">
      <c r="E216" s="192">
        <v>208</v>
      </c>
      <c r="F216" s="192" t="s">
        <v>265</v>
      </c>
      <c r="G216" s="192" t="s">
        <v>273</v>
      </c>
      <c r="H216" s="192" t="s">
        <v>541</v>
      </c>
      <c r="I216" s="192" t="s">
        <v>991</v>
      </c>
      <c r="J216" s="192" t="s">
        <v>992</v>
      </c>
      <c r="K216" s="192" t="s">
        <v>339</v>
      </c>
      <c r="L216" s="192" t="str">
        <f t="shared" si="4"/>
        <v>Stationary AssetsBuildingsOur EstateHeat &amp; SteamOnsite Heat &amp; SteamNaN</v>
      </c>
      <c r="M216" s="192" t="s">
        <v>1142</v>
      </c>
      <c r="N216" s="192" t="s">
        <v>316</v>
      </c>
      <c r="O216" s="305"/>
      <c r="P216" s="372"/>
      <c r="Q216" s="377"/>
      <c r="R216" s="304">
        <v>0.17529</v>
      </c>
      <c r="S216" s="305"/>
      <c r="T216" s="304">
        <v>3.3410000000000002E-2</v>
      </c>
      <c r="U216" s="305"/>
      <c r="V216" s="305"/>
      <c r="W216" s="305"/>
      <c r="X216" s="305"/>
      <c r="Y216" s="192" t="s">
        <v>1348</v>
      </c>
      <c r="Z216" s="305"/>
      <c r="AA216" s="192" t="s">
        <v>1349</v>
      </c>
      <c r="AB216" s="305"/>
      <c r="AC216" s="305"/>
      <c r="AD216" s="305"/>
      <c r="AE216" s="424"/>
    </row>
    <row r="217" spans="5:31" ht="14.5" x14ac:dyDescent="0.35">
      <c r="E217" s="192">
        <v>209</v>
      </c>
      <c r="F217" s="192" t="s">
        <v>265</v>
      </c>
      <c r="G217" s="192" t="s">
        <v>273</v>
      </c>
      <c r="H217" s="192" t="s">
        <v>541</v>
      </c>
      <c r="I217" s="192" t="s">
        <v>991</v>
      </c>
      <c r="J217" s="192" t="s">
        <v>993</v>
      </c>
      <c r="K217" s="192" t="s">
        <v>339</v>
      </c>
      <c r="L217" s="192" t="str">
        <f t="shared" si="4"/>
        <v>Stationary AssetsBuildingsOur EstateHeat &amp; SteamDistrict Heat &amp; SteamNaN</v>
      </c>
      <c r="M217" s="192" t="s">
        <v>1142</v>
      </c>
      <c r="N217" s="192" t="s">
        <v>316</v>
      </c>
      <c r="O217" s="305"/>
      <c r="P217" s="372"/>
      <c r="Q217" s="377"/>
      <c r="R217" s="304">
        <v>0.17529</v>
      </c>
      <c r="S217" s="305"/>
      <c r="T217" s="304">
        <v>3.3410000000000002E-2</v>
      </c>
      <c r="U217" s="304">
        <v>9.4500000000000001E-3</v>
      </c>
      <c r="V217" s="304">
        <v>1.7600000000000001E-3</v>
      </c>
      <c r="W217" s="305"/>
      <c r="X217" s="305"/>
      <c r="Y217" s="192" t="s">
        <v>1350</v>
      </c>
      <c r="Z217" s="305"/>
      <c r="AA217" s="192" t="s">
        <v>1351</v>
      </c>
      <c r="AB217" s="192" t="s">
        <v>1352</v>
      </c>
      <c r="AC217" s="192" t="s">
        <v>1353</v>
      </c>
      <c r="AD217" s="305"/>
      <c r="AE217" s="424"/>
    </row>
    <row r="218" spans="5:31" ht="14.5" x14ac:dyDescent="0.35">
      <c r="E218" s="192">
        <v>210</v>
      </c>
      <c r="F218" s="192" t="s">
        <v>265</v>
      </c>
      <c r="G218" s="192" t="s">
        <v>273</v>
      </c>
      <c r="H218" s="192" t="s">
        <v>983</v>
      </c>
      <c r="I218" s="192" t="s">
        <v>991</v>
      </c>
      <c r="J218" s="192" t="s">
        <v>992</v>
      </c>
      <c r="K218" s="192" t="s">
        <v>339</v>
      </c>
      <c r="L218" s="192" t="str">
        <f t="shared" si="4"/>
        <v>Stationary AssetsBuildingsLessorHeat &amp; SteamOnsite Heat &amp; SteamNaN</v>
      </c>
      <c r="M218" s="192" t="s">
        <v>1142</v>
      </c>
      <c r="N218" s="192" t="s">
        <v>316</v>
      </c>
      <c r="O218" s="305"/>
      <c r="P218" s="372"/>
      <c r="Q218" s="377"/>
      <c r="R218" s="304">
        <v>0.17529</v>
      </c>
      <c r="S218" s="305"/>
      <c r="T218" s="304">
        <v>3.3410000000000002E-2</v>
      </c>
      <c r="U218" s="305"/>
      <c r="V218" s="305"/>
      <c r="W218" s="305"/>
      <c r="X218" s="305"/>
      <c r="Y218" s="192" t="s">
        <v>1348</v>
      </c>
      <c r="Z218" s="305"/>
      <c r="AA218" s="192" t="s">
        <v>1349</v>
      </c>
      <c r="AB218" s="305"/>
      <c r="AC218" s="305"/>
      <c r="AD218" s="305"/>
      <c r="AE218" s="424"/>
    </row>
    <row r="219" spans="5:31" ht="14.5" x14ac:dyDescent="0.35">
      <c r="E219" s="192">
        <v>211</v>
      </c>
      <c r="F219" s="192" t="s">
        <v>265</v>
      </c>
      <c r="G219" s="192" t="s">
        <v>273</v>
      </c>
      <c r="H219" s="192" t="s">
        <v>983</v>
      </c>
      <c r="I219" s="192" t="s">
        <v>991</v>
      </c>
      <c r="J219" s="192" t="s">
        <v>993</v>
      </c>
      <c r="K219" s="192" t="s">
        <v>339</v>
      </c>
      <c r="L219" s="192" t="str">
        <f t="shared" si="4"/>
        <v>Stationary AssetsBuildingsLessorHeat &amp; SteamDistrict Heat &amp; SteamNaN</v>
      </c>
      <c r="M219" s="192" t="s">
        <v>1142</v>
      </c>
      <c r="N219" s="192" t="s">
        <v>316</v>
      </c>
      <c r="O219" s="305"/>
      <c r="P219" s="372"/>
      <c r="Q219" s="377"/>
      <c r="R219" s="304">
        <v>0.17529</v>
      </c>
      <c r="S219" s="305"/>
      <c r="T219" s="304">
        <v>3.3410000000000002E-2</v>
      </c>
      <c r="U219" s="304">
        <v>9.4500000000000001E-3</v>
      </c>
      <c r="V219" s="304">
        <v>1.7600000000000001E-3</v>
      </c>
      <c r="W219" s="305"/>
      <c r="X219" s="305"/>
      <c r="Y219" s="192" t="s">
        <v>1350</v>
      </c>
      <c r="Z219" s="305"/>
      <c r="AA219" s="192" t="s">
        <v>1351</v>
      </c>
      <c r="AB219" s="192" t="s">
        <v>1352</v>
      </c>
      <c r="AC219" s="192" t="s">
        <v>1353</v>
      </c>
      <c r="AD219" s="305"/>
      <c r="AE219" s="424"/>
    </row>
    <row r="220" spans="5:31" ht="14.5" x14ac:dyDescent="0.35">
      <c r="E220" s="192">
        <v>212</v>
      </c>
      <c r="F220" s="192" t="s">
        <v>265</v>
      </c>
      <c r="G220" s="192" t="s">
        <v>273</v>
      </c>
      <c r="H220" s="192" t="s">
        <v>982</v>
      </c>
      <c r="I220" s="192" t="s">
        <v>991</v>
      </c>
      <c r="J220" s="192" t="s">
        <v>992</v>
      </c>
      <c r="K220" s="192" t="s">
        <v>339</v>
      </c>
      <c r="L220" s="192" t="str">
        <f t="shared" si="4"/>
        <v>Stationary AssetsBuildingsLesseeHeat &amp; SteamOnsite Heat &amp; SteamNaN</v>
      </c>
      <c r="M220" s="192" t="s">
        <v>1142</v>
      </c>
      <c r="N220" s="192" t="s">
        <v>316</v>
      </c>
      <c r="O220" s="305"/>
      <c r="P220" s="372"/>
      <c r="Q220" s="377"/>
      <c r="R220" s="304">
        <v>0.17529</v>
      </c>
      <c r="S220" s="305"/>
      <c r="T220" s="304">
        <v>3.3410000000000002E-2</v>
      </c>
      <c r="U220" s="305"/>
      <c r="V220" s="305"/>
      <c r="W220" s="305"/>
      <c r="X220" s="305"/>
      <c r="Y220" s="192" t="s">
        <v>1348</v>
      </c>
      <c r="Z220" s="305"/>
      <c r="AA220" s="192" t="s">
        <v>1349</v>
      </c>
      <c r="AB220" s="305"/>
      <c r="AC220" s="305"/>
      <c r="AD220" s="305"/>
      <c r="AE220" s="424"/>
    </row>
    <row r="221" spans="5:31" ht="14.5" x14ac:dyDescent="0.35">
      <c r="E221" s="192">
        <v>213</v>
      </c>
      <c r="F221" s="192" t="s">
        <v>265</v>
      </c>
      <c r="G221" s="192" t="s">
        <v>273</v>
      </c>
      <c r="H221" s="192" t="s">
        <v>982</v>
      </c>
      <c r="I221" s="192" t="s">
        <v>991</v>
      </c>
      <c r="J221" s="192" t="s">
        <v>993</v>
      </c>
      <c r="K221" s="192" t="s">
        <v>339</v>
      </c>
      <c r="L221" s="192" t="str">
        <f t="shared" si="4"/>
        <v>Stationary AssetsBuildingsLesseeHeat &amp; SteamDistrict Heat &amp; SteamNaN</v>
      </c>
      <c r="M221" s="192" t="s">
        <v>1142</v>
      </c>
      <c r="N221" s="192" t="s">
        <v>316</v>
      </c>
      <c r="O221" s="305"/>
      <c r="P221" s="372"/>
      <c r="Q221" s="377"/>
      <c r="R221" s="304">
        <v>0.17529</v>
      </c>
      <c r="S221" s="305"/>
      <c r="T221" s="304">
        <v>3.3410000000000002E-2</v>
      </c>
      <c r="U221" s="304">
        <v>9.4500000000000001E-3</v>
      </c>
      <c r="V221" s="304">
        <v>1.7600000000000001E-3</v>
      </c>
      <c r="W221" s="305"/>
      <c r="X221" s="305"/>
      <c r="Y221" s="192" t="s">
        <v>1350</v>
      </c>
      <c r="Z221" s="305"/>
      <c r="AA221" s="192" t="s">
        <v>1351</v>
      </c>
      <c r="AB221" s="192" t="s">
        <v>1352</v>
      </c>
      <c r="AC221" s="192" t="s">
        <v>1353</v>
      </c>
      <c r="AD221" s="305"/>
      <c r="AE221" s="424"/>
    </row>
    <row r="222" spans="5:31" ht="14.5" x14ac:dyDescent="0.35">
      <c r="E222" s="192">
        <v>214</v>
      </c>
      <c r="F222" s="192" t="s">
        <v>265</v>
      </c>
      <c r="G222" s="192" t="s">
        <v>273</v>
      </c>
      <c r="H222" s="192" t="s">
        <v>984</v>
      </c>
      <c r="I222" s="192" t="s">
        <v>991</v>
      </c>
      <c r="J222" s="192" t="s">
        <v>992</v>
      </c>
      <c r="K222" s="192" t="s">
        <v>339</v>
      </c>
      <c r="L222" s="192" t="str">
        <f t="shared" si="4"/>
        <v>Stationary AssetsBuildingsLessor (to PSB)Heat &amp; SteamOnsite Heat &amp; SteamNaN</v>
      </c>
      <c r="M222" s="192" t="s">
        <v>1142</v>
      </c>
      <c r="N222" s="192" t="s">
        <v>316</v>
      </c>
      <c r="O222" s="305"/>
      <c r="P222" s="372"/>
      <c r="Q222" s="377"/>
      <c r="R222" s="304">
        <v>0.17529</v>
      </c>
      <c r="S222" s="305"/>
      <c r="T222" s="304">
        <v>3.3410000000000002E-2</v>
      </c>
      <c r="U222" s="305"/>
      <c r="V222" s="305"/>
      <c r="W222" s="305"/>
      <c r="X222" s="305"/>
      <c r="Y222" s="192" t="s">
        <v>1348</v>
      </c>
      <c r="Z222" s="305"/>
      <c r="AA222" s="192" t="s">
        <v>1349</v>
      </c>
      <c r="AB222" s="305"/>
      <c r="AC222" s="305"/>
      <c r="AD222" s="305"/>
      <c r="AE222" s="424"/>
    </row>
    <row r="223" spans="5:31" ht="14.5" x14ac:dyDescent="0.35">
      <c r="E223" s="192">
        <v>215</v>
      </c>
      <c r="F223" s="192" t="s">
        <v>265</v>
      </c>
      <c r="G223" s="192" t="s">
        <v>273</v>
      </c>
      <c r="H223" s="192" t="s">
        <v>984</v>
      </c>
      <c r="I223" s="192" t="s">
        <v>991</v>
      </c>
      <c r="J223" s="192" t="s">
        <v>993</v>
      </c>
      <c r="K223" s="192" t="s">
        <v>339</v>
      </c>
      <c r="L223" s="192" t="str">
        <f t="shared" si="4"/>
        <v>Stationary AssetsBuildingsLessor (to PSB)Heat &amp; SteamDistrict Heat &amp; SteamNaN</v>
      </c>
      <c r="M223" s="192" t="s">
        <v>1142</v>
      </c>
      <c r="N223" s="192" t="s">
        <v>316</v>
      </c>
      <c r="O223" s="305"/>
      <c r="P223" s="372"/>
      <c r="Q223" s="377"/>
      <c r="R223" s="304">
        <v>0.17529</v>
      </c>
      <c r="S223" s="305"/>
      <c r="T223" s="304">
        <v>3.3410000000000002E-2</v>
      </c>
      <c r="U223" s="304">
        <v>9.4500000000000001E-3</v>
      </c>
      <c r="V223" s="304">
        <v>1.7600000000000001E-3</v>
      </c>
      <c r="W223" s="305"/>
      <c r="X223" s="305"/>
      <c r="Y223" s="192" t="s">
        <v>1350</v>
      </c>
      <c r="Z223" s="305"/>
      <c r="AA223" s="192" t="s">
        <v>1351</v>
      </c>
      <c r="AB223" s="192" t="s">
        <v>1352</v>
      </c>
      <c r="AC223" s="192" t="s">
        <v>1353</v>
      </c>
      <c r="AD223" s="305"/>
      <c r="AE223" s="424"/>
    </row>
    <row r="224" spans="5:31" ht="14.5" x14ac:dyDescent="0.35">
      <c r="E224" s="192">
        <v>216</v>
      </c>
      <c r="F224" s="192" t="s">
        <v>265</v>
      </c>
      <c r="G224" s="192" t="s">
        <v>273</v>
      </c>
      <c r="H224" s="192" t="s">
        <v>541</v>
      </c>
      <c r="I224" s="192" t="s">
        <v>327</v>
      </c>
      <c r="J224" s="192" t="s">
        <v>994</v>
      </c>
      <c r="K224" s="192" t="s">
        <v>339</v>
      </c>
      <c r="L224" s="192" t="str">
        <f t="shared" si="4"/>
        <v>Stationary AssetsBuildingsOur EstateWaterSupplyNaN</v>
      </c>
      <c r="M224" s="192" t="s">
        <v>1142</v>
      </c>
      <c r="N224" s="192" t="s">
        <v>979</v>
      </c>
      <c r="O224" s="192" t="s">
        <v>343</v>
      </c>
      <c r="P224" s="374">
        <v>1E-3</v>
      </c>
      <c r="Q224" s="377"/>
      <c r="R224" s="305"/>
      <c r="S224" s="304">
        <v>0.1913</v>
      </c>
      <c r="T224" s="305"/>
      <c r="U224" s="305"/>
      <c r="V224" s="305"/>
      <c r="W224" s="305"/>
      <c r="X224" s="305"/>
      <c r="Y224" s="305"/>
      <c r="Z224" s="192" t="s">
        <v>1354</v>
      </c>
      <c r="AA224" s="305"/>
      <c r="AB224" s="305"/>
      <c r="AC224" s="305"/>
      <c r="AD224" s="305"/>
      <c r="AE224" s="424"/>
    </row>
    <row r="225" spans="5:31" ht="14.5" x14ac:dyDescent="0.35">
      <c r="E225" s="192">
        <v>217</v>
      </c>
      <c r="F225" s="192" t="s">
        <v>265</v>
      </c>
      <c r="G225" s="192" t="s">
        <v>273</v>
      </c>
      <c r="H225" s="192" t="s">
        <v>541</v>
      </c>
      <c r="I225" s="192" t="s">
        <v>327</v>
      </c>
      <c r="J225" s="192" t="s">
        <v>995</v>
      </c>
      <c r="K225" s="192" t="s">
        <v>339</v>
      </c>
      <c r="L225" s="192" t="str">
        <f t="shared" si="4"/>
        <v>Stationary AssetsBuildingsOur EstateWaterTreatmentNaN</v>
      </c>
      <c r="M225" s="192" t="s">
        <v>1142</v>
      </c>
      <c r="N225" s="192" t="s">
        <v>979</v>
      </c>
      <c r="O225" s="192" t="s">
        <v>343</v>
      </c>
      <c r="P225" s="374">
        <v>1E-3</v>
      </c>
      <c r="Q225" s="377"/>
      <c r="R225" s="305"/>
      <c r="S225" s="304">
        <v>0.17088</v>
      </c>
      <c r="T225" s="305"/>
      <c r="U225" s="305"/>
      <c r="V225" s="305"/>
      <c r="W225" s="305"/>
      <c r="X225" s="305"/>
      <c r="Y225" s="305"/>
      <c r="Z225" s="192" t="s">
        <v>1355</v>
      </c>
      <c r="AA225" s="305"/>
      <c r="AB225" s="305"/>
      <c r="AC225" s="305"/>
      <c r="AD225" s="305"/>
      <c r="AE225" s="424"/>
    </row>
    <row r="226" spans="5:31" ht="14.5" x14ac:dyDescent="0.35">
      <c r="E226" s="192">
        <v>218</v>
      </c>
      <c r="F226" s="192" t="s">
        <v>265</v>
      </c>
      <c r="G226" s="192" t="s">
        <v>273</v>
      </c>
      <c r="H226" s="192" t="s">
        <v>983</v>
      </c>
      <c r="I226" s="192" t="s">
        <v>327</v>
      </c>
      <c r="J226" s="192" t="s">
        <v>994</v>
      </c>
      <c r="K226" s="192" t="s">
        <v>339</v>
      </c>
      <c r="L226" s="192" t="str">
        <f t="shared" si="4"/>
        <v>Stationary AssetsBuildingsLessorWaterSupplyNaN</v>
      </c>
      <c r="M226" s="192" t="s">
        <v>1142</v>
      </c>
      <c r="N226" s="192" t="s">
        <v>979</v>
      </c>
      <c r="O226" s="192" t="s">
        <v>343</v>
      </c>
      <c r="P226" s="374">
        <v>1E-3</v>
      </c>
      <c r="Q226" s="377"/>
      <c r="R226" s="305"/>
      <c r="S226" s="304">
        <v>0.1913</v>
      </c>
      <c r="T226" s="305"/>
      <c r="U226" s="305"/>
      <c r="V226" s="305"/>
      <c r="W226" s="305"/>
      <c r="X226" s="305"/>
      <c r="Y226" s="305"/>
      <c r="Z226" s="192" t="s">
        <v>1354</v>
      </c>
      <c r="AA226" s="305"/>
      <c r="AB226" s="305"/>
      <c r="AC226" s="305"/>
      <c r="AD226" s="305"/>
      <c r="AE226" s="424"/>
    </row>
    <row r="227" spans="5:31" ht="14.5" x14ac:dyDescent="0.35">
      <c r="E227" s="192">
        <v>219</v>
      </c>
      <c r="F227" s="192" t="s">
        <v>265</v>
      </c>
      <c r="G227" s="192" t="s">
        <v>273</v>
      </c>
      <c r="H227" s="192" t="s">
        <v>983</v>
      </c>
      <c r="I227" s="192" t="s">
        <v>327</v>
      </c>
      <c r="J227" s="192" t="s">
        <v>995</v>
      </c>
      <c r="K227" s="192" t="s">
        <v>339</v>
      </c>
      <c r="L227" s="192" t="str">
        <f t="shared" si="4"/>
        <v>Stationary AssetsBuildingsLessorWaterTreatmentNaN</v>
      </c>
      <c r="M227" s="192" t="s">
        <v>1142</v>
      </c>
      <c r="N227" s="192" t="s">
        <v>979</v>
      </c>
      <c r="O227" s="192" t="s">
        <v>343</v>
      </c>
      <c r="P227" s="374">
        <v>1E-3</v>
      </c>
      <c r="Q227" s="377"/>
      <c r="R227" s="305"/>
      <c r="S227" s="304">
        <v>0.17088</v>
      </c>
      <c r="T227" s="305"/>
      <c r="U227" s="305"/>
      <c r="V227" s="305"/>
      <c r="W227" s="305"/>
      <c r="X227" s="305"/>
      <c r="Y227" s="305"/>
      <c r="Z227" s="192" t="s">
        <v>1355</v>
      </c>
      <c r="AA227" s="305"/>
      <c r="AB227" s="305"/>
      <c r="AC227" s="305"/>
      <c r="AD227" s="305"/>
      <c r="AE227" s="424"/>
    </row>
    <row r="228" spans="5:31" ht="14.5" x14ac:dyDescent="0.35">
      <c r="E228" s="192">
        <v>220</v>
      </c>
      <c r="F228" s="192" t="s">
        <v>265</v>
      </c>
      <c r="G228" s="192" t="s">
        <v>273</v>
      </c>
      <c r="H228" s="192" t="s">
        <v>982</v>
      </c>
      <c r="I228" s="192" t="s">
        <v>327</v>
      </c>
      <c r="J228" s="192" t="s">
        <v>994</v>
      </c>
      <c r="K228" s="192" t="s">
        <v>339</v>
      </c>
      <c r="L228" s="192" t="str">
        <f t="shared" si="4"/>
        <v>Stationary AssetsBuildingsLesseeWaterSupplyNaN</v>
      </c>
      <c r="M228" s="192" t="s">
        <v>1142</v>
      </c>
      <c r="N228" s="192" t="s">
        <v>979</v>
      </c>
      <c r="O228" s="192" t="s">
        <v>343</v>
      </c>
      <c r="P228" s="374">
        <v>1E-3</v>
      </c>
      <c r="Q228" s="377"/>
      <c r="R228" s="305"/>
      <c r="S228" s="304">
        <v>0.1913</v>
      </c>
      <c r="T228" s="305"/>
      <c r="U228" s="305"/>
      <c r="V228" s="305"/>
      <c r="W228" s="305"/>
      <c r="X228" s="305"/>
      <c r="Y228" s="305"/>
      <c r="Z228" s="192" t="s">
        <v>1354</v>
      </c>
      <c r="AA228" s="305"/>
      <c r="AB228" s="305"/>
      <c r="AC228" s="305"/>
      <c r="AD228" s="305"/>
      <c r="AE228" s="424"/>
    </row>
    <row r="229" spans="5:31" ht="14.5" x14ac:dyDescent="0.35">
      <c r="E229" s="192">
        <v>221</v>
      </c>
      <c r="F229" s="192" t="s">
        <v>265</v>
      </c>
      <c r="G229" s="192" t="s">
        <v>273</v>
      </c>
      <c r="H229" s="192" t="s">
        <v>982</v>
      </c>
      <c r="I229" s="192" t="s">
        <v>327</v>
      </c>
      <c r="J229" s="192" t="s">
        <v>995</v>
      </c>
      <c r="K229" s="192" t="s">
        <v>339</v>
      </c>
      <c r="L229" s="192" t="str">
        <f t="shared" si="4"/>
        <v>Stationary AssetsBuildingsLesseeWaterTreatmentNaN</v>
      </c>
      <c r="M229" s="192" t="s">
        <v>1142</v>
      </c>
      <c r="N229" s="192" t="s">
        <v>979</v>
      </c>
      <c r="O229" s="192" t="s">
        <v>343</v>
      </c>
      <c r="P229" s="374">
        <v>1E-3</v>
      </c>
      <c r="Q229" s="377"/>
      <c r="R229" s="305"/>
      <c r="S229" s="304">
        <v>0.17088</v>
      </c>
      <c r="T229" s="305"/>
      <c r="U229" s="305"/>
      <c r="V229" s="305"/>
      <c r="W229" s="305"/>
      <c r="X229" s="305"/>
      <c r="Y229" s="305"/>
      <c r="Z229" s="192" t="s">
        <v>1355</v>
      </c>
      <c r="AA229" s="305"/>
      <c r="AB229" s="305"/>
      <c r="AC229" s="305"/>
      <c r="AD229" s="305"/>
      <c r="AE229" s="424"/>
    </row>
    <row r="230" spans="5:31" ht="14.5" x14ac:dyDescent="0.35">
      <c r="E230" s="192">
        <v>222</v>
      </c>
      <c r="F230" s="192" t="s">
        <v>265</v>
      </c>
      <c r="G230" s="192" t="s">
        <v>273</v>
      </c>
      <c r="H230" s="192" t="s">
        <v>984</v>
      </c>
      <c r="I230" s="192" t="s">
        <v>327</v>
      </c>
      <c r="J230" s="192" t="s">
        <v>994</v>
      </c>
      <c r="K230" s="192" t="s">
        <v>339</v>
      </c>
      <c r="L230" s="192" t="str">
        <f t="shared" si="4"/>
        <v>Stationary AssetsBuildingsLessor (to PSB)WaterSupplyNaN</v>
      </c>
      <c r="M230" s="192" t="s">
        <v>1142</v>
      </c>
      <c r="N230" s="192" t="s">
        <v>979</v>
      </c>
      <c r="O230" s="192" t="s">
        <v>343</v>
      </c>
      <c r="P230" s="374">
        <v>1E-3</v>
      </c>
      <c r="Q230" s="377"/>
      <c r="R230" s="305"/>
      <c r="S230" s="304">
        <v>0.1913</v>
      </c>
      <c r="T230" s="305"/>
      <c r="U230" s="305"/>
      <c r="V230" s="305"/>
      <c r="W230" s="305"/>
      <c r="X230" s="305"/>
      <c r="Y230" s="305"/>
      <c r="Z230" s="192" t="s">
        <v>1354</v>
      </c>
      <c r="AA230" s="305"/>
      <c r="AB230" s="305"/>
      <c r="AC230" s="305"/>
      <c r="AD230" s="305"/>
      <c r="AE230" s="424"/>
    </row>
    <row r="231" spans="5:31" ht="14.5" x14ac:dyDescent="0.35">
      <c r="E231" s="192">
        <v>223</v>
      </c>
      <c r="F231" s="192" t="s">
        <v>265</v>
      </c>
      <c r="G231" s="192" t="s">
        <v>273</v>
      </c>
      <c r="H231" s="192" t="s">
        <v>984</v>
      </c>
      <c r="I231" s="192" t="s">
        <v>327</v>
      </c>
      <c r="J231" s="192" t="s">
        <v>995</v>
      </c>
      <c r="K231" s="192" t="s">
        <v>339</v>
      </c>
      <c r="L231" s="192" t="str">
        <f t="shared" si="4"/>
        <v>Stationary AssetsBuildingsLessor (to PSB)WaterTreatmentNaN</v>
      </c>
      <c r="M231" s="192" t="s">
        <v>1142</v>
      </c>
      <c r="N231" s="192" t="s">
        <v>979</v>
      </c>
      <c r="O231" s="192" t="s">
        <v>343</v>
      </c>
      <c r="P231" s="374">
        <v>1E-3</v>
      </c>
      <c r="Q231" s="377"/>
      <c r="R231" s="305"/>
      <c r="S231" s="304">
        <v>0.17088</v>
      </c>
      <c r="T231" s="305"/>
      <c r="U231" s="305"/>
      <c r="V231" s="305"/>
      <c r="W231" s="305"/>
      <c r="X231" s="305"/>
      <c r="Y231" s="305"/>
      <c r="Z231" s="192" t="s">
        <v>1355</v>
      </c>
      <c r="AA231" s="305"/>
      <c r="AB231" s="305"/>
      <c r="AC231" s="305"/>
      <c r="AD231" s="305"/>
      <c r="AE231" s="424"/>
    </row>
    <row r="232" spans="5:31" ht="14.5" x14ac:dyDescent="0.35">
      <c r="E232" s="192">
        <v>224</v>
      </c>
      <c r="F232" s="192" t="s">
        <v>265</v>
      </c>
      <c r="G232" s="192" t="s">
        <v>273</v>
      </c>
      <c r="H232" s="192" t="s">
        <v>984</v>
      </c>
      <c r="I232" s="192" t="s">
        <v>327</v>
      </c>
      <c r="J232" s="192" t="s">
        <v>996</v>
      </c>
      <c r="K232" s="192" t="s">
        <v>339</v>
      </c>
      <c r="L232" s="192" t="str">
        <f t="shared" si="4"/>
        <v>Stationary AssetsBuildingsLessor (to PSB)WaterSupply &amp; TreatmentNaN</v>
      </c>
      <c r="M232" s="192" t="s">
        <v>1142</v>
      </c>
      <c r="N232" s="192" t="s">
        <v>979</v>
      </c>
      <c r="O232" s="192" t="s">
        <v>343</v>
      </c>
      <c r="P232" s="374">
        <v>1E-3</v>
      </c>
      <c r="Q232" s="377"/>
      <c r="R232" s="305"/>
      <c r="S232" s="304">
        <v>0.36218</v>
      </c>
      <c r="T232" s="305"/>
      <c r="U232" s="305"/>
      <c r="V232" s="305"/>
      <c r="W232" s="305"/>
      <c r="X232" s="305"/>
      <c r="Y232" s="305"/>
      <c r="Z232" s="305"/>
      <c r="AA232" s="305"/>
      <c r="AB232" s="305"/>
      <c r="AC232" s="305"/>
      <c r="AD232" s="305"/>
      <c r="AE232" s="424"/>
    </row>
    <row r="233" spans="5:31" ht="14.5" x14ac:dyDescent="0.35">
      <c r="E233" s="192">
        <v>225</v>
      </c>
      <c r="F233" s="192" t="s">
        <v>265</v>
      </c>
      <c r="G233" s="192" t="s">
        <v>273</v>
      </c>
      <c r="H233" s="192" t="s">
        <v>541</v>
      </c>
      <c r="I233" s="192" t="s">
        <v>327</v>
      </c>
      <c r="J233" s="192" t="s">
        <v>996</v>
      </c>
      <c r="K233" s="192" t="s">
        <v>339</v>
      </c>
      <c r="L233" s="192" t="str">
        <f t="shared" si="4"/>
        <v>Stationary AssetsBuildingsOur EstateWaterSupply &amp; TreatmentNaN</v>
      </c>
      <c r="M233" s="192" t="s">
        <v>1142</v>
      </c>
      <c r="N233" s="192" t="s">
        <v>979</v>
      </c>
      <c r="O233" s="192" t="s">
        <v>343</v>
      </c>
      <c r="P233" s="374">
        <v>1E-3</v>
      </c>
      <c r="Q233" s="377"/>
      <c r="R233" s="305"/>
      <c r="S233" s="304">
        <v>0.36218</v>
      </c>
      <c r="T233" s="305"/>
      <c r="U233" s="305"/>
      <c r="V233" s="305"/>
      <c r="W233" s="305"/>
      <c r="X233" s="305"/>
      <c r="Y233" s="305"/>
      <c r="Z233" s="305"/>
      <c r="AA233" s="305"/>
      <c r="AB233" s="305"/>
      <c r="AC233" s="305"/>
      <c r="AD233" s="305"/>
      <c r="AE233" s="424"/>
    </row>
    <row r="234" spans="5:31" ht="14.5" x14ac:dyDescent="0.35">
      <c r="E234" s="192">
        <v>226</v>
      </c>
      <c r="F234" s="192" t="s">
        <v>265</v>
      </c>
      <c r="G234" s="192" t="s">
        <v>273</v>
      </c>
      <c r="H234" s="192" t="s">
        <v>983</v>
      </c>
      <c r="I234" s="192" t="s">
        <v>327</v>
      </c>
      <c r="J234" s="192" t="s">
        <v>996</v>
      </c>
      <c r="K234" s="192" t="s">
        <v>339</v>
      </c>
      <c r="L234" s="192" t="str">
        <f t="shared" si="4"/>
        <v>Stationary AssetsBuildingsLessorWaterSupply &amp; TreatmentNaN</v>
      </c>
      <c r="M234" s="192" t="s">
        <v>1142</v>
      </c>
      <c r="N234" s="192" t="s">
        <v>979</v>
      </c>
      <c r="O234" s="192" t="s">
        <v>343</v>
      </c>
      <c r="P234" s="374">
        <v>1E-3</v>
      </c>
      <c r="Q234" s="377"/>
      <c r="R234" s="305"/>
      <c r="S234" s="304">
        <v>0.36218</v>
      </c>
      <c r="T234" s="305"/>
      <c r="U234" s="305"/>
      <c r="V234" s="305"/>
      <c r="W234" s="305"/>
      <c r="X234" s="305"/>
      <c r="Y234" s="305"/>
      <c r="Z234" s="305"/>
      <c r="AA234" s="305"/>
      <c r="AB234" s="305"/>
      <c r="AC234" s="305"/>
      <c r="AD234" s="305"/>
      <c r="AE234" s="424"/>
    </row>
    <row r="235" spans="5:31" ht="14.5" x14ac:dyDescent="0.35">
      <c r="E235" s="192">
        <v>227</v>
      </c>
      <c r="F235" s="192" t="s">
        <v>265</v>
      </c>
      <c r="G235" s="192" t="s">
        <v>273</v>
      </c>
      <c r="H235" s="192" t="s">
        <v>982</v>
      </c>
      <c r="I235" s="192" t="s">
        <v>327</v>
      </c>
      <c r="J235" s="192" t="s">
        <v>996</v>
      </c>
      <c r="K235" s="192" t="s">
        <v>339</v>
      </c>
      <c r="L235" s="192" t="str">
        <f t="shared" si="4"/>
        <v>Stationary AssetsBuildingsLesseeWaterSupply &amp; TreatmentNaN</v>
      </c>
      <c r="M235" s="192" t="s">
        <v>1142</v>
      </c>
      <c r="N235" s="192" t="s">
        <v>979</v>
      </c>
      <c r="O235" s="192" t="s">
        <v>343</v>
      </c>
      <c r="P235" s="374">
        <v>1E-3</v>
      </c>
      <c r="Q235" s="377"/>
      <c r="R235" s="305"/>
      <c r="S235" s="304">
        <v>0.36218</v>
      </c>
      <c r="T235" s="305"/>
      <c r="U235" s="305"/>
      <c r="V235" s="305"/>
      <c r="W235" s="305"/>
      <c r="X235" s="305"/>
      <c r="Y235" s="305"/>
      <c r="Z235" s="305"/>
      <c r="AA235" s="305"/>
      <c r="AB235" s="305"/>
      <c r="AC235" s="305"/>
      <c r="AD235" s="305"/>
      <c r="AE235" s="424"/>
    </row>
    <row r="236" spans="5:31" ht="14.5" x14ac:dyDescent="0.35">
      <c r="E236" s="192">
        <v>228</v>
      </c>
      <c r="F236" s="192" t="s">
        <v>344</v>
      </c>
      <c r="G236" s="192" t="s">
        <v>344</v>
      </c>
      <c r="H236" s="192" t="s">
        <v>344</v>
      </c>
      <c r="I236" s="192" t="s">
        <v>344</v>
      </c>
      <c r="J236" s="192" t="s">
        <v>997</v>
      </c>
      <c r="K236" s="192" t="s">
        <v>339</v>
      </c>
      <c r="L236" s="192" t="str">
        <f t="shared" si="4"/>
        <v>Medical GasMedical GasMedical GasMedical GasDesfluraneNaN</v>
      </c>
      <c r="M236" s="192" t="s">
        <v>1356</v>
      </c>
      <c r="N236" s="192" t="s">
        <v>343</v>
      </c>
      <c r="O236" s="305"/>
      <c r="P236" s="372"/>
      <c r="Q236" s="376">
        <v>3721.1</v>
      </c>
      <c r="R236" s="305"/>
      <c r="S236" s="305"/>
      <c r="T236" s="305"/>
      <c r="U236" s="305"/>
      <c r="V236" s="305"/>
      <c r="W236" s="305"/>
      <c r="X236" s="305"/>
      <c r="Y236" s="305"/>
      <c r="Z236" s="305"/>
      <c r="AA236" s="305"/>
      <c r="AB236" s="305"/>
      <c r="AC236" s="305"/>
      <c r="AD236" s="305"/>
      <c r="AE236" s="424"/>
    </row>
    <row r="237" spans="5:31" ht="14.5" x14ac:dyDescent="0.35">
      <c r="E237" s="192">
        <v>229</v>
      </c>
      <c r="F237" s="192" t="s">
        <v>344</v>
      </c>
      <c r="G237" s="192" t="s">
        <v>344</v>
      </c>
      <c r="H237" s="192" t="s">
        <v>344</v>
      </c>
      <c r="I237" s="192" t="s">
        <v>344</v>
      </c>
      <c r="J237" s="192" t="s">
        <v>998</v>
      </c>
      <c r="K237" s="192" t="s">
        <v>339</v>
      </c>
      <c r="L237" s="192" t="str">
        <f t="shared" si="4"/>
        <v>Medical GasMedical GasMedical GasMedical GasEntonoxNaN</v>
      </c>
      <c r="M237" s="192" t="s">
        <v>1356</v>
      </c>
      <c r="N237" s="192" t="s">
        <v>343</v>
      </c>
      <c r="O237" s="305"/>
      <c r="P237" s="372"/>
      <c r="Q237" s="376">
        <v>0.27800000000000002</v>
      </c>
      <c r="R237" s="305"/>
      <c r="S237" s="305"/>
      <c r="T237" s="305"/>
      <c r="U237" s="305"/>
      <c r="V237" s="305"/>
      <c r="W237" s="305"/>
      <c r="X237" s="305"/>
      <c r="Y237" s="305"/>
      <c r="Z237" s="305"/>
      <c r="AA237" s="305"/>
      <c r="AB237" s="305"/>
      <c r="AC237" s="305"/>
      <c r="AD237" s="305"/>
      <c r="AE237" s="424"/>
    </row>
    <row r="238" spans="5:31" ht="14.5" x14ac:dyDescent="0.35">
      <c r="E238" s="192">
        <v>230</v>
      </c>
      <c r="F238" s="192" t="s">
        <v>344</v>
      </c>
      <c r="G238" s="192" t="s">
        <v>344</v>
      </c>
      <c r="H238" s="192" t="s">
        <v>344</v>
      </c>
      <c r="I238" s="192" t="s">
        <v>344</v>
      </c>
      <c r="J238" s="192" t="s">
        <v>999</v>
      </c>
      <c r="K238" s="192" t="s">
        <v>339</v>
      </c>
      <c r="L238" s="192" t="str">
        <f t="shared" si="4"/>
        <v>Medical GasMedical GasMedical GasMedical GasIsofluraneNaN</v>
      </c>
      <c r="M238" s="192" t="s">
        <v>1356</v>
      </c>
      <c r="N238" s="192" t="s">
        <v>343</v>
      </c>
      <c r="O238" s="305"/>
      <c r="P238" s="372"/>
      <c r="Q238" s="376">
        <v>762.96</v>
      </c>
      <c r="R238" s="305"/>
      <c r="S238" s="305"/>
      <c r="T238" s="305"/>
      <c r="U238" s="305"/>
      <c r="V238" s="305"/>
      <c r="W238" s="305"/>
      <c r="X238" s="305"/>
      <c r="Y238" s="305"/>
      <c r="Z238" s="305"/>
      <c r="AA238" s="305"/>
      <c r="AB238" s="305"/>
      <c r="AC238" s="305"/>
      <c r="AD238" s="305"/>
      <c r="AE238" s="424"/>
    </row>
    <row r="239" spans="5:31" ht="14.5" x14ac:dyDescent="0.35">
      <c r="E239" s="192">
        <v>231</v>
      </c>
      <c r="F239" s="192" t="s">
        <v>344</v>
      </c>
      <c r="G239" s="192" t="s">
        <v>344</v>
      </c>
      <c r="H239" s="192" t="s">
        <v>344</v>
      </c>
      <c r="I239" s="192" t="s">
        <v>344</v>
      </c>
      <c r="J239" s="192" t="s">
        <v>1000</v>
      </c>
      <c r="K239" s="192" t="s">
        <v>339</v>
      </c>
      <c r="L239" s="192" t="str">
        <f t="shared" si="4"/>
        <v>Medical GasMedical GasMedical GasMedical GasNitrous oxideNaN</v>
      </c>
      <c r="M239" s="192" t="s">
        <v>1356</v>
      </c>
      <c r="N239" s="192" t="s">
        <v>343</v>
      </c>
      <c r="O239" s="305"/>
      <c r="P239" s="372"/>
      <c r="Q239" s="376">
        <v>0.55900000000000005</v>
      </c>
      <c r="R239" s="305"/>
      <c r="S239" s="305"/>
      <c r="T239" s="305"/>
      <c r="U239" s="305"/>
      <c r="V239" s="305"/>
      <c r="W239" s="305"/>
      <c r="X239" s="305"/>
      <c r="Y239" s="305"/>
      <c r="Z239" s="305"/>
      <c r="AA239" s="305"/>
      <c r="AB239" s="305"/>
      <c r="AC239" s="305"/>
      <c r="AD239" s="305"/>
      <c r="AE239" s="424"/>
    </row>
    <row r="240" spans="5:31" ht="14.5" x14ac:dyDescent="0.35">
      <c r="E240" s="192">
        <v>232</v>
      </c>
      <c r="F240" s="192" t="s">
        <v>344</v>
      </c>
      <c r="G240" s="192" t="s">
        <v>344</v>
      </c>
      <c r="H240" s="192" t="s">
        <v>344</v>
      </c>
      <c r="I240" s="192" t="s">
        <v>344</v>
      </c>
      <c r="J240" s="192" t="s">
        <v>1001</v>
      </c>
      <c r="K240" s="192" t="s">
        <v>339</v>
      </c>
      <c r="L240" s="192" t="str">
        <f t="shared" si="4"/>
        <v>Medical GasMedical GasMedical GasMedical GasPenthroxNaN</v>
      </c>
      <c r="M240" s="192" t="s">
        <v>1356</v>
      </c>
      <c r="N240" s="192" t="s">
        <v>343</v>
      </c>
      <c r="O240" s="305"/>
      <c r="P240" s="372"/>
      <c r="Q240" s="376">
        <v>2.3619371282922685E-3</v>
      </c>
      <c r="R240" s="305"/>
      <c r="S240" s="305"/>
      <c r="T240" s="305"/>
      <c r="U240" s="305"/>
      <c r="V240" s="305"/>
      <c r="W240" s="305"/>
      <c r="X240" s="305"/>
      <c r="Y240" s="305"/>
      <c r="Z240" s="305"/>
      <c r="AA240" s="305"/>
      <c r="AB240" s="305"/>
      <c r="AC240" s="305"/>
      <c r="AD240" s="305"/>
      <c r="AE240" s="424"/>
    </row>
    <row r="241" spans="5:31" ht="14.5" x14ac:dyDescent="0.35">
      <c r="E241" s="192">
        <v>233</v>
      </c>
      <c r="F241" s="192" t="s">
        <v>344</v>
      </c>
      <c r="G241" s="192" t="s">
        <v>344</v>
      </c>
      <c r="H241" s="192" t="s">
        <v>344</v>
      </c>
      <c r="I241" s="192" t="s">
        <v>344</v>
      </c>
      <c r="J241" s="192" t="s">
        <v>1002</v>
      </c>
      <c r="K241" s="192" t="s">
        <v>339</v>
      </c>
      <c r="L241" s="192" t="str">
        <f t="shared" si="4"/>
        <v>Medical GasMedical GasMedical GasMedical GasSevofluraneNaN</v>
      </c>
      <c r="M241" s="192" t="s">
        <v>1356</v>
      </c>
      <c r="N241" s="192" t="s">
        <v>343</v>
      </c>
      <c r="O241" s="305"/>
      <c r="P241" s="372"/>
      <c r="Q241" s="376">
        <v>197.86</v>
      </c>
      <c r="R241" s="305"/>
      <c r="S241" s="305"/>
      <c r="T241" s="305"/>
      <c r="U241" s="305"/>
      <c r="V241" s="305"/>
      <c r="W241" s="305"/>
      <c r="X241" s="305"/>
      <c r="Y241" s="305"/>
      <c r="Z241" s="305"/>
      <c r="AA241" s="305"/>
      <c r="AB241" s="305"/>
      <c r="AC241" s="305"/>
      <c r="AD241" s="305"/>
      <c r="AE241" s="424"/>
    </row>
    <row r="242" spans="5:31" ht="14.5" x14ac:dyDescent="0.35">
      <c r="E242" s="192">
        <v>234</v>
      </c>
      <c r="F242" s="192" t="s">
        <v>220</v>
      </c>
      <c r="G242" s="192" t="s">
        <v>352</v>
      </c>
      <c r="H242" s="192" t="s">
        <v>1859</v>
      </c>
      <c r="I242" s="192" t="s">
        <v>1888</v>
      </c>
      <c r="J242" s="192" t="s">
        <v>351</v>
      </c>
      <c r="K242" s="192" t="s">
        <v>754</v>
      </c>
      <c r="L242" s="192" t="str">
        <f t="shared" si="4"/>
        <v>TransportFleetFleet vehicle - distancePool car - distancePetrolSmall</v>
      </c>
      <c r="M242" s="192" t="s">
        <v>1142</v>
      </c>
      <c r="N242" s="192" t="s">
        <v>356</v>
      </c>
      <c r="O242" s="192" t="s">
        <v>1003</v>
      </c>
      <c r="P242" s="374">
        <v>1.609</v>
      </c>
      <c r="Q242" s="376">
        <v>0.14308000000000001</v>
      </c>
      <c r="R242" s="305"/>
      <c r="S242" s="305"/>
      <c r="T242" s="304">
        <v>4.0149999999999998E-2</v>
      </c>
      <c r="U242" s="305"/>
      <c r="V242" s="305"/>
      <c r="W242" s="305"/>
      <c r="X242" s="304" t="s">
        <v>1357</v>
      </c>
      <c r="Y242" s="305"/>
      <c r="Z242" s="305"/>
      <c r="AA242" s="192" t="s">
        <v>1358</v>
      </c>
      <c r="AB242" s="305"/>
      <c r="AC242" s="305"/>
      <c r="AD242" s="305"/>
      <c r="AE242" s="424"/>
    </row>
    <row r="243" spans="5:31" ht="14.5" x14ac:dyDescent="0.35">
      <c r="E243" s="192">
        <v>235</v>
      </c>
      <c r="F243" s="192" t="s">
        <v>220</v>
      </c>
      <c r="G243" s="192" t="s">
        <v>352</v>
      </c>
      <c r="H243" s="192" t="s">
        <v>1859</v>
      </c>
      <c r="I243" s="192" t="s">
        <v>1888</v>
      </c>
      <c r="J243" s="192" t="s">
        <v>351</v>
      </c>
      <c r="K243" s="192" t="s">
        <v>1004</v>
      </c>
      <c r="L243" s="192" t="str">
        <f t="shared" si="4"/>
        <v>TransportFleetFleet vehicle - distancePool car - distancePetrolMedium</v>
      </c>
      <c r="M243" s="192" t="s">
        <v>1142</v>
      </c>
      <c r="N243" s="192" t="s">
        <v>356</v>
      </c>
      <c r="O243" s="192" t="s">
        <v>1003</v>
      </c>
      <c r="P243" s="374">
        <v>1.609</v>
      </c>
      <c r="Q243" s="376">
        <v>0.17474000000000001</v>
      </c>
      <c r="R243" s="305"/>
      <c r="S243" s="305"/>
      <c r="T243" s="304">
        <v>4.9570000000000003E-2</v>
      </c>
      <c r="U243" s="305"/>
      <c r="V243" s="305"/>
      <c r="W243" s="305"/>
      <c r="X243" s="304" t="s">
        <v>1359</v>
      </c>
      <c r="Y243" s="305"/>
      <c r="Z243" s="305"/>
      <c r="AA243" s="192" t="s">
        <v>1360</v>
      </c>
      <c r="AB243" s="305"/>
      <c r="AC243" s="305"/>
      <c r="AD243" s="305"/>
      <c r="AE243" s="424"/>
    </row>
    <row r="244" spans="5:31" ht="14.5" x14ac:dyDescent="0.35">
      <c r="E244" s="192">
        <v>236</v>
      </c>
      <c r="F244" s="192" t="s">
        <v>220</v>
      </c>
      <c r="G244" s="192" t="s">
        <v>352</v>
      </c>
      <c r="H244" s="192" t="s">
        <v>1859</v>
      </c>
      <c r="I244" s="192" t="s">
        <v>1888</v>
      </c>
      <c r="J244" s="192" t="s">
        <v>351</v>
      </c>
      <c r="K244" s="192" t="s">
        <v>1005</v>
      </c>
      <c r="L244" s="192" t="str">
        <f t="shared" si="4"/>
        <v>TransportFleetFleet vehicle - distancePool car - distancePetrolLarge</v>
      </c>
      <c r="M244" s="192" t="s">
        <v>1142</v>
      </c>
      <c r="N244" s="192" t="s">
        <v>356</v>
      </c>
      <c r="O244" s="192" t="s">
        <v>1003</v>
      </c>
      <c r="P244" s="374">
        <v>1.609</v>
      </c>
      <c r="Q244" s="376">
        <v>0.26828000000000002</v>
      </c>
      <c r="R244" s="305"/>
      <c r="S244" s="305"/>
      <c r="T244" s="304">
        <v>7.528E-2</v>
      </c>
      <c r="U244" s="305"/>
      <c r="V244" s="305"/>
      <c r="W244" s="305"/>
      <c r="X244" s="304" t="s">
        <v>1361</v>
      </c>
      <c r="Y244" s="305"/>
      <c r="Z244" s="305"/>
      <c r="AA244" s="192" t="s">
        <v>1362</v>
      </c>
      <c r="AB244" s="305"/>
      <c r="AC244" s="305"/>
      <c r="AD244" s="305"/>
      <c r="AE244" s="424"/>
    </row>
    <row r="245" spans="5:31" ht="14.5" x14ac:dyDescent="0.35">
      <c r="E245" s="192">
        <v>237</v>
      </c>
      <c r="F245" s="192" t="s">
        <v>220</v>
      </c>
      <c r="G245" s="192" t="s">
        <v>352</v>
      </c>
      <c r="H245" s="192" t="s">
        <v>1859</v>
      </c>
      <c r="I245" s="192" t="s">
        <v>1888</v>
      </c>
      <c r="J245" s="192" t="s">
        <v>351</v>
      </c>
      <c r="K245" s="192" t="s">
        <v>353</v>
      </c>
      <c r="L245" s="192" t="str">
        <f t="shared" si="4"/>
        <v>TransportFleetFleet vehicle - distancePool car - distancePetrolAverage</v>
      </c>
      <c r="M245" s="192" t="s">
        <v>1142</v>
      </c>
      <c r="N245" s="192" t="s">
        <v>356</v>
      </c>
      <c r="O245" s="192" t="s">
        <v>1003</v>
      </c>
      <c r="P245" s="374">
        <v>1.609</v>
      </c>
      <c r="Q245" s="376">
        <v>0.16272</v>
      </c>
      <c r="R245" s="305"/>
      <c r="S245" s="305"/>
      <c r="T245" s="304">
        <v>4.5990000000000003E-2</v>
      </c>
      <c r="U245" s="305"/>
      <c r="V245" s="305"/>
      <c r="W245" s="305"/>
      <c r="X245" s="304" t="s">
        <v>1363</v>
      </c>
      <c r="Y245" s="305"/>
      <c r="Z245" s="305"/>
      <c r="AA245" s="192" t="s">
        <v>1364</v>
      </c>
      <c r="AB245" s="305"/>
      <c r="AC245" s="305"/>
      <c r="AD245" s="305"/>
      <c r="AE245" s="424"/>
    </row>
    <row r="246" spans="5:31" ht="14.5" x14ac:dyDescent="0.35">
      <c r="E246" s="192">
        <v>238</v>
      </c>
      <c r="F246" s="192" t="s">
        <v>220</v>
      </c>
      <c r="G246" s="192" t="s">
        <v>352</v>
      </c>
      <c r="H246" s="192" t="s">
        <v>1859</v>
      </c>
      <c r="I246" s="192" t="s">
        <v>1888</v>
      </c>
      <c r="J246" s="192" t="s">
        <v>1006</v>
      </c>
      <c r="K246" s="192" t="s">
        <v>754</v>
      </c>
      <c r="L246" s="192" t="str">
        <f t="shared" si="4"/>
        <v>TransportFleetFleet vehicle - distancePool car - distanceDieselSmall</v>
      </c>
      <c r="M246" s="192" t="s">
        <v>1142</v>
      </c>
      <c r="N246" s="192" t="s">
        <v>356</v>
      </c>
      <c r="O246" s="192" t="s">
        <v>1003</v>
      </c>
      <c r="P246" s="374">
        <v>1.609</v>
      </c>
      <c r="Q246" s="376">
        <v>0.1434</v>
      </c>
      <c r="R246" s="305"/>
      <c r="S246" s="305"/>
      <c r="T246" s="304">
        <v>3.4090000000000002E-2</v>
      </c>
      <c r="U246" s="305"/>
      <c r="V246" s="305"/>
      <c r="W246" s="305"/>
      <c r="X246" s="192" t="s">
        <v>1365</v>
      </c>
      <c r="Y246" s="305"/>
      <c r="Z246" s="305"/>
      <c r="AA246" s="192" t="s">
        <v>1366</v>
      </c>
      <c r="AB246" s="305"/>
      <c r="AC246" s="305"/>
      <c r="AD246" s="305"/>
      <c r="AE246" s="424"/>
    </row>
    <row r="247" spans="5:31" ht="14.5" x14ac:dyDescent="0.35">
      <c r="E247" s="192">
        <v>239</v>
      </c>
      <c r="F247" s="192" t="s">
        <v>220</v>
      </c>
      <c r="G247" s="192" t="s">
        <v>352</v>
      </c>
      <c r="H247" s="192" t="s">
        <v>1859</v>
      </c>
      <c r="I247" s="192" t="s">
        <v>1888</v>
      </c>
      <c r="J247" s="192" t="s">
        <v>1006</v>
      </c>
      <c r="K247" s="192" t="s">
        <v>1004</v>
      </c>
      <c r="L247" s="192" t="str">
        <f t="shared" si="4"/>
        <v>TransportFleetFleet vehicle - distancePool car - distanceDieselMedium</v>
      </c>
      <c r="M247" s="192" t="s">
        <v>1142</v>
      </c>
      <c r="N247" s="192" t="s">
        <v>356</v>
      </c>
      <c r="O247" s="192" t="s">
        <v>1003</v>
      </c>
      <c r="P247" s="374">
        <v>1.609</v>
      </c>
      <c r="Q247" s="376">
        <v>0.17174</v>
      </c>
      <c r="R247" s="305"/>
      <c r="S247" s="305"/>
      <c r="T247" s="304">
        <v>4.1029999999999997E-2</v>
      </c>
      <c r="U247" s="305"/>
      <c r="V247" s="305"/>
      <c r="W247" s="305"/>
      <c r="X247" s="192" t="s">
        <v>1367</v>
      </c>
      <c r="Y247" s="305"/>
      <c r="Z247" s="305"/>
      <c r="AA247" s="192" t="s">
        <v>1368</v>
      </c>
      <c r="AB247" s="305"/>
      <c r="AC247" s="305"/>
      <c r="AD247" s="305"/>
      <c r="AE247" s="424"/>
    </row>
    <row r="248" spans="5:31" ht="14.5" x14ac:dyDescent="0.35">
      <c r="E248" s="192">
        <v>240</v>
      </c>
      <c r="F248" s="192" t="s">
        <v>220</v>
      </c>
      <c r="G248" s="192" t="s">
        <v>352</v>
      </c>
      <c r="H248" s="192" t="s">
        <v>1859</v>
      </c>
      <c r="I248" s="192" t="s">
        <v>1888</v>
      </c>
      <c r="J248" s="192" t="s">
        <v>1006</v>
      </c>
      <c r="K248" s="192" t="s">
        <v>1005</v>
      </c>
      <c r="L248" s="192" t="str">
        <f t="shared" si="4"/>
        <v>TransportFleetFleet vehicle - distancePool car - distanceDieselLarge</v>
      </c>
      <c r="M248" s="192" t="s">
        <v>1142</v>
      </c>
      <c r="N248" s="192" t="s">
        <v>356</v>
      </c>
      <c r="O248" s="192" t="s">
        <v>1003</v>
      </c>
      <c r="P248" s="374">
        <v>1.609</v>
      </c>
      <c r="Q248" s="376">
        <v>0.21007000000000001</v>
      </c>
      <c r="R248" s="305"/>
      <c r="S248" s="305"/>
      <c r="T248" s="304">
        <v>5.0700000000000002E-2</v>
      </c>
      <c r="U248" s="305"/>
      <c r="V248" s="305"/>
      <c r="W248" s="305"/>
      <c r="X248" s="192" t="s">
        <v>1369</v>
      </c>
      <c r="Y248" s="305"/>
      <c r="Z248" s="305"/>
      <c r="AA248" s="192" t="s">
        <v>1370</v>
      </c>
      <c r="AB248" s="305"/>
      <c r="AC248" s="305"/>
      <c r="AD248" s="305"/>
      <c r="AE248" s="424"/>
    </row>
    <row r="249" spans="5:31" ht="14.5" x14ac:dyDescent="0.35">
      <c r="E249" s="192">
        <v>241</v>
      </c>
      <c r="F249" s="192" t="s">
        <v>220</v>
      </c>
      <c r="G249" s="192" t="s">
        <v>352</v>
      </c>
      <c r="H249" s="192" t="s">
        <v>1859</v>
      </c>
      <c r="I249" s="192" t="s">
        <v>1888</v>
      </c>
      <c r="J249" s="192" t="s">
        <v>1006</v>
      </c>
      <c r="K249" s="192" t="s">
        <v>353</v>
      </c>
      <c r="L249" s="192" t="str">
        <f t="shared" si="4"/>
        <v>TransportFleetFleet vehicle - distancePool car - distanceDieselAverage</v>
      </c>
      <c r="M249" s="192" t="s">
        <v>1142</v>
      </c>
      <c r="N249" s="192" t="s">
        <v>356</v>
      </c>
      <c r="O249" s="192" t="s">
        <v>1003</v>
      </c>
      <c r="P249" s="374">
        <v>1.609</v>
      </c>
      <c r="Q249" s="376">
        <v>0.17304</v>
      </c>
      <c r="R249" s="305"/>
      <c r="S249" s="305"/>
      <c r="T249" s="304">
        <v>4.1459999999999997E-2</v>
      </c>
      <c r="U249" s="305"/>
      <c r="V249" s="305"/>
      <c r="W249" s="305"/>
      <c r="X249" s="192" t="s">
        <v>1371</v>
      </c>
      <c r="Y249" s="305"/>
      <c r="Z249" s="305"/>
      <c r="AA249" s="192" t="s">
        <v>1372</v>
      </c>
      <c r="AB249" s="305"/>
      <c r="AC249" s="305"/>
      <c r="AD249" s="305"/>
      <c r="AE249" s="424"/>
    </row>
    <row r="250" spans="5:31" ht="14.5" x14ac:dyDescent="0.35">
      <c r="E250" s="192">
        <v>242</v>
      </c>
      <c r="F250" s="192" t="s">
        <v>220</v>
      </c>
      <c r="G250" s="192" t="s">
        <v>352</v>
      </c>
      <c r="H250" s="192" t="s">
        <v>1859</v>
      </c>
      <c r="I250" s="192" t="s">
        <v>1888</v>
      </c>
      <c r="J250" s="192" t="s">
        <v>1007</v>
      </c>
      <c r="K250" s="192" t="s">
        <v>754</v>
      </c>
      <c r="L250" s="192" t="str">
        <f t="shared" si="4"/>
        <v>TransportFleetFleet vehicle - distancePool car - distanceBattery Electric VehicleSmall</v>
      </c>
      <c r="M250" s="192" t="s">
        <v>1142</v>
      </c>
      <c r="N250" s="192" t="s">
        <v>356</v>
      </c>
      <c r="O250" s="192" t="s">
        <v>1003</v>
      </c>
      <c r="P250" s="374">
        <v>1.609</v>
      </c>
      <c r="Q250" s="377"/>
      <c r="R250" s="304">
        <v>3.3390000000000003E-2</v>
      </c>
      <c r="S250" s="305"/>
      <c r="T250" s="304">
        <v>9.4800000000000006E-3</v>
      </c>
      <c r="U250" s="304">
        <v>3.49E-3</v>
      </c>
      <c r="V250" s="305"/>
      <c r="W250" s="305"/>
      <c r="X250" s="305"/>
      <c r="Y250" s="192" t="s">
        <v>1373</v>
      </c>
      <c r="Z250" s="305"/>
      <c r="AA250" s="192" t="s">
        <v>1374</v>
      </c>
      <c r="AB250" s="192" t="s">
        <v>1375</v>
      </c>
      <c r="AC250" s="305"/>
      <c r="AD250" s="305"/>
      <c r="AE250" s="424"/>
    </row>
    <row r="251" spans="5:31" ht="14.5" x14ac:dyDescent="0.35">
      <c r="E251" s="192">
        <v>243</v>
      </c>
      <c r="F251" s="192" t="s">
        <v>220</v>
      </c>
      <c r="G251" s="192" t="s">
        <v>352</v>
      </c>
      <c r="H251" s="192" t="s">
        <v>1859</v>
      </c>
      <c r="I251" s="192" t="s">
        <v>1888</v>
      </c>
      <c r="J251" s="192" t="s">
        <v>1007</v>
      </c>
      <c r="K251" s="192" t="s">
        <v>1004</v>
      </c>
      <c r="L251" s="192" t="str">
        <f t="shared" si="4"/>
        <v>TransportFleetFleet vehicle - distancePool car - distanceBattery Electric VehicleMedium</v>
      </c>
      <c r="M251" s="192" t="s">
        <v>1142</v>
      </c>
      <c r="N251" s="192" t="s">
        <v>356</v>
      </c>
      <c r="O251" s="192" t="s">
        <v>1003</v>
      </c>
      <c r="P251" s="374">
        <v>1.609</v>
      </c>
      <c r="Q251" s="382"/>
      <c r="R251" s="304">
        <v>3.5130000000000002E-2</v>
      </c>
      <c r="S251" s="381"/>
      <c r="T251" s="304">
        <v>1.022E-2</v>
      </c>
      <c r="U251" s="304">
        <v>3.6800000000000001E-3</v>
      </c>
      <c r="V251" s="305"/>
      <c r="W251" s="305"/>
      <c r="X251" s="305"/>
      <c r="Y251" s="192" t="s">
        <v>1376</v>
      </c>
      <c r="Z251" s="305"/>
      <c r="AA251" s="192" t="s">
        <v>1377</v>
      </c>
      <c r="AB251" s="192" t="s">
        <v>1378</v>
      </c>
      <c r="AC251" s="305"/>
      <c r="AD251" s="305"/>
      <c r="AE251" s="424"/>
    </row>
    <row r="252" spans="5:31" ht="14.5" x14ac:dyDescent="0.35">
      <c r="E252" s="192">
        <v>244</v>
      </c>
      <c r="F252" s="192" t="s">
        <v>220</v>
      </c>
      <c r="G252" s="192" t="s">
        <v>352</v>
      </c>
      <c r="H252" s="192" t="s">
        <v>1859</v>
      </c>
      <c r="I252" s="192" t="s">
        <v>1888</v>
      </c>
      <c r="J252" s="192" t="s">
        <v>1007</v>
      </c>
      <c r="K252" s="192" t="s">
        <v>1005</v>
      </c>
      <c r="L252" s="192" t="str">
        <f t="shared" si="4"/>
        <v>TransportFleetFleet vehicle - distancePool car - distanceBattery Electric VehicleLarge</v>
      </c>
      <c r="M252" s="192" t="s">
        <v>1142</v>
      </c>
      <c r="N252" s="192" t="s">
        <v>356</v>
      </c>
      <c r="O252" s="192" t="s">
        <v>1003</v>
      </c>
      <c r="P252" s="374">
        <v>1.609</v>
      </c>
      <c r="Q252" s="377"/>
      <c r="R252" s="304">
        <v>3.807E-2</v>
      </c>
      <c r="S252" s="305"/>
      <c r="T252" s="304">
        <v>1.0880000000000001E-2</v>
      </c>
      <c r="U252" s="304">
        <v>3.98E-3</v>
      </c>
      <c r="V252" s="305"/>
      <c r="W252" s="305"/>
      <c r="X252" s="305"/>
      <c r="Y252" s="192" t="s">
        <v>1379</v>
      </c>
      <c r="Z252" s="305"/>
      <c r="AA252" s="192" t="s">
        <v>1380</v>
      </c>
      <c r="AB252" s="192" t="s">
        <v>1381</v>
      </c>
      <c r="AC252" s="305"/>
      <c r="AD252" s="305"/>
      <c r="AE252" s="424"/>
    </row>
    <row r="253" spans="5:31" ht="14.5" x14ac:dyDescent="0.35">
      <c r="E253" s="192">
        <v>245</v>
      </c>
      <c r="F253" s="192" t="s">
        <v>220</v>
      </c>
      <c r="G253" s="192" t="s">
        <v>352</v>
      </c>
      <c r="H253" s="192" t="s">
        <v>1859</v>
      </c>
      <c r="I253" s="192" t="s">
        <v>1888</v>
      </c>
      <c r="J253" s="192" t="s">
        <v>1007</v>
      </c>
      <c r="K253" s="192" t="s">
        <v>353</v>
      </c>
      <c r="L253" s="192" t="str">
        <f t="shared" si="4"/>
        <v>TransportFleetFleet vehicle - distancePool car - distanceBattery Electric VehicleAverage</v>
      </c>
      <c r="M253" s="192" t="s">
        <v>1142</v>
      </c>
      <c r="N253" s="192" t="s">
        <v>356</v>
      </c>
      <c r="O253" s="192" t="s">
        <v>1003</v>
      </c>
      <c r="P253" s="374">
        <v>1.609</v>
      </c>
      <c r="Q253" s="377"/>
      <c r="R253" s="304">
        <v>3.6630000000000003E-2</v>
      </c>
      <c r="S253" s="305"/>
      <c r="T253" s="304">
        <v>1.0489999999999999E-2</v>
      </c>
      <c r="U253" s="304">
        <v>3.8400000000000001E-3</v>
      </c>
      <c r="V253" s="305"/>
      <c r="W253" s="305"/>
      <c r="X253" s="305"/>
      <c r="Y253" s="192" t="s">
        <v>1382</v>
      </c>
      <c r="Z253" s="305"/>
      <c r="AA253" s="192" t="s">
        <v>1383</v>
      </c>
      <c r="AB253" s="192" t="s">
        <v>1384</v>
      </c>
      <c r="AC253" s="305"/>
      <c r="AD253" s="305"/>
      <c r="AE253" s="424"/>
    </row>
    <row r="254" spans="5:31" ht="14.5" x14ac:dyDescent="0.35">
      <c r="E254" s="192">
        <v>246</v>
      </c>
      <c r="F254" s="192" t="s">
        <v>220</v>
      </c>
      <c r="G254" s="192" t="s">
        <v>352</v>
      </c>
      <c r="H254" s="192" t="s">
        <v>1859</v>
      </c>
      <c r="I254" s="192" t="s">
        <v>1888</v>
      </c>
      <c r="J254" s="192" t="s">
        <v>1008</v>
      </c>
      <c r="K254" s="192" t="s">
        <v>754</v>
      </c>
      <c r="L254" s="192" t="str">
        <f t="shared" si="4"/>
        <v>TransportFleetFleet vehicle - distancePool car - distanceHybridSmall</v>
      </c>
      <c r="M254" s="192" t="s">
        <v>1142</v>
      </c>
      <c r="N254" s="192" t="s">
        <v>356</v>
      </c>
      <c r="O254" s="192" t="s">
        <v>1003</v>
      </c>
      <c r="P254" s="374">
        <v>1.609</v>
      </c>
      <c r="Q254" s="376">
        <v>0.11413</v>
      </c>
      <c r="R254" s="305"/>
      <c r="S254" s="305"/>
      <c r="T254" s="304">
        <v>3.0259999999999999E-2</v>
      </c>
      <c r="U254" s="305"/>
      <c r="V254" s="305"/>
      <c r="W254" s="305"/>
      <c r="X254" s="192" t="s">
        <v>1385</v>
      </c>
      <c r="Y254" s="305"/>
      <c r="Z254" s="305"/>
      <c r="AA254" s="192" t="s">
        <v>1386</v>
      </c>
      <c r="AB254" s="305"/>
      <c r="AC254" s="305"/>
      <c r="AD254" s="305"/>
      <c r="AE254" s="424"/>
    </row>
    <row r="255" spans="5:31" ht="14.5" x14ac:dyDescent="0.35">
      <c r="E255" s="192">
        <v>247</v>
      </c>
      <c r="F255" s="192" t="s">
        <v>220</v>
      </c>
      <c r="G255" s="192" t="s">
        <v>352</v>
      </c>
      <c r="H255" s="192" t="s">
        <v>1859</v>
      </c>
      <c r="I255" s="192" t="s">
        <v>1888</v>
      </c>
      <c r="J255" s="192" t="s">
        <v>1008</v>
      </c>
      <c r="K255" s="192" t="s">
        <v>1004</v>
      </c>
      <c r="L255" s="192" t="str">
        <f t="shared" si="4"/>
        <v>TransportFleetFleet vehicle - distancePool car - distanceHybridMedium</v>
      </c>
      <c r="M255" s="192" t="s">
        <v>1142</v>
      </c>
      <c r="N255" s="192" t="s">
        <v>356</v>
      </c>
      <c r="O255" s="192" t="s">
        <v>1003</v>
      </c>
      <c r="P255" s="374">
        <v>1.609</v>
      </c>
      <c r="Q255" s="376">
        <v>0.11724</v>
      </c>
      <c r="R255" s="305"/>
      <c r="S255" s="305"/>
      <c r="T255" s="304">
        <v>2.998E-2</v>
      </c>
      <c r="U255" s="305"/>
      <c r="V255" s="305"/>
      <c r="W255" s="305"/>
      <c r="X255" s="192" t="s">
        <v>1387</v>
      </c>
      <c r="Y255" s="305"/>
      <c r="Z255" s="305"/>
      <c r="AA255" s="192" t="s">
        <v>1388</v>
      </c>
      <c r="AB255" s="305"/>
      <c r="AC255" s="305"/>
      <c r="AD255" s="305"/>
      <c r="AE255" s="424"/>
    </row>
    <row r="256" spans="5:31" ht="14.5" x14ac:dyDescent="0.35">
      <c r="E256" s="192">
        <v>248</v>
      </c>
      <c r="F256" s="192" t="s">
        <v>220</v>
      </c>
      <c r="G256" s="192" t="s">
        <v>352</v>
      </c>
      <c r="H256" s="192" t="s">
        <v>1859</v>
      </c>
      <c r="I256" s="192" t="s">
        <v>1888</v>
      </c>
      <c r="J256" s="192" t="s">
        <v>1008</v>
      </c>
      <c r="K256" s="192" t="s">
        <v>1005</v>
      </c>
      <c r="L256" s="192" t="str">
        <f t="shared" si="4"/>
        <v>TransportFleetFleet vehicle - distancePool car - distanceHybridLarge</v>
      </c>
      <c r="M256" s="192" t="s">
        <v>1142</v>
      </c>
      <c r="N256" s="192" t="s">
        <v>356</v>
      </c>
      <c r="O256" s="192" t="s">
        <v>1003</v>
      </c>
      <c r="P256" s="374">
        <v>1.609</v>
      </c>
      <c r="Q256" s="376">
        <v>0.1565</v>
      </c>
      <c r="R256" s="305"/>
      <c r="S256" s="305"/>
      <c r="T256" s="304">
        <v>3.9609999999999999E-2</v>
      </c>
      <c r="U256" s="305"/>
      <c r="V256" s="305"/>
      <c r="W256" s="305"/>
      <c r="X256" s="192" t="s">
        <v>1389</v>
      </c>
      <c r="Y256" s="305"/>
      <c r="Z256" s="305"/>
      <c r="AA256" s="192" t="s">
        <v>1390</v>
      </c>
      <c r="AB256" s="305"/>
      <c r="AC256" s="305"/>
      <c r="AD256" s="305"/>
      <c r="AE256" s="424"/>
    </row>
    <row r="257" spans="5:31" ht="14.5" x14ac:dyDescent="0.35">
      <c r="E257" s="192">
        <v>249</v>
      </c>
      <c r="F257" s="192" t="s">
        <v>220</v>
      </c>
      <c r="G257" s="192" t="s">
        <v>352</v>
      </c>
      <c r="H257" s="192" t="s">
        <v>1859</v>
      </c>
      <c r="I257" s="192" t="s">
        <v>1888</v>
      </c>
      <c r="J257" s="192" t="s">
        <v>1008</v>
      </c>
      <c r="K257" s="192" t="s">
        <v>353</v>
      </c>
      <c r="L257" s="192" t="str">
        <f t="shared" si="4"/>
        <v>TransportFleetFleet vehicle - distancePool car - distanceHybridAverage</v>
      </c>
      <c r="M257" s="192" t="s">
        <v>1142</v>
      </c>
      <c r="N257" s="192" t="s">
        <v>356</v>
      </c>
      <c r="O257" s="192" t="s">
        <v>1003</v>
      </c>
      <c r="P257" s="374">
        <v>1.609</v>
      </c>
      <c r="Q257" s="376">
        <v>0.12825</v>
      </c>
      <c r="R257" s="305"/>
      <c r="S257" s="305"/>
      <c r="T257" s="304">
        <v>3.3149999999999999E-2</v>
      </c>
      <c r="U257" s="305"/>
      <c r="V257" s="305"/>
      <c r="W257" s="305"/>
      <c r="X257" s="192" t="s">
        <v>1391</v>
      </c>
      <c r="Y257" s="305"/>
      <c r="Z257" s="305"/>
      <c r="AA257" s="192" t="s">
        <v>1392</v>
      </c>
      <c r="AB257" s="305"/>
      <c r="AC257" s="305"/>
      <c r="AD257" s="305"/>
      <c r="AE257" s="424"/>
    </row>
    <row r="258" spans="5:31" ht="14.5" x14ac:dyDescent="0.35">
      <c r="E258" s="192">
        <v>250</v>
      </c>
      <c r="F258" s="192" t="s">
        <v>220</v>
      </c>
      <c r="G258" s="192" t="s">
        <v>352</v>
      </c>
      <c r="H258" s="192" t="s">
        <v>1859</v>
      </c>
      <c r="I258" s="192" t="s">
        <v>1888</v>
      </c>
      <c r="J258" s="192" t="s">
        <v>1009</v>
      </c>
      <c r="K258" s="192" t="s">
        <v>754</v>
      </c>
      <c r="L258" s="192" t="str">
        <f t="shared" si="4"/>
        <v>TransportFleetFleet vehicle - distancePool car - distancePlug-in Hybrid Electric VehicleSmall</v>
      </c>
      <c r="M258" s="192" t="s">
        <v>1142</v>
      </c>
      <c r="N258" s="192" t="s">
        <v>356</v>
      </c>
      <c r="O258" s="192" t="s">
        <v>1003</v>
      </c>
      <c r="P258" s="374">
        <v>1.609</v>
      </c>
      <c r="Q258" s="376">
        <v>3.0079999999999999E-2</v>
      </c>
      <c r="R258" s="304">
        <v>2.4080000000000001E-2</v>
      </c>
      <c r="S258" s="305"/>
      <c r="T258" s="304">
        <v>1.52E-2</v>
      </c>
      <c r="U258" s="304">
        <v>2.5200000000000001E-3</v>
      </c>
      <c r="V258" s="305"/>
      <c r="W258" s="305"/>
      <c r="X258" s="192" t="s">
        <v>1393</v>
      </c>
      <c r="Y258" s="192" t="s">
        <v>1394</v>
      </c>
      <c r="Z258" s="305"/>
      <c r="AA258" s="192" t="s">
        <v>1395</v>
      </c>
      <c r="AB258" s="192" t="s">
        <v>1396</v>
      </c>
      <c r="AC258" s="305"/>
      <c r="AD258" s="305"/>
      <c r="AE258" s="424"/>
    </row>
    <row r="259" spans="5:31" ht="14.5" x14ac:dyDescent="0.35">
      <c r="E259" s="192">
        <v>251</v>
      </c>
      <c r="F259" s="192" t="s">
        <v>220</v>
      </c>
      <c r="G259" s="192" t="s">
        <v>352</v>
      </c>
      <c r="H259" s="192" t="s">
        <v>1859</v>
      </c>
      <c r="I259" s="192" t="s">
        <v>1888</v>
      </c>
      <c r="J259" s="192" t="s">
        <v>1009</v>
      </c>
      <c r="K259" s="192" t="s">
        <v>1004</v>
      </c>
      <c r="L259" s="192" t="str">
        <f t="shared" si="4"/>
        <v>TransportFleetFleet vehicle - distancePool car - distancePlug-in Hybrid Electric VehicleMedium</v>
      </c>
      <c r="M259" s="192" t="s">
        <v>1142</v>
      </c>
      <c r="N259" s="192" t="s">
        <v>356</v>
      </c>
      <c r="O259" s="192" t="s">
        <v>1003</v>
      </c>
      <c r="P259" s="374">
        <v>1.609</v>
      </c>
      <c r="Q259" s="376">
        <v>7.7890000000000001E-2</v>
      </c>
      <c r="R259" s="304">
        <v>9.3100000000000006E-3</v>
      </c>
      <c r="S259" s="305"/>
      <c r="T259" s="304">
        <v>2.5239999999999999E-2</v>
      </c>
      <c r="U259" s="304">
        <v>9.7999999999999997E-4</v>
      </c>
      <c r="V259" s="305"/>
      <c r="W259" s="305"/>
      <c r="X259" s="192" t="s">
        <v>1397</v>
      </c>
      <c r="Y259" s="192" t="s">
        <v>1398</v>
      </c>
      <c r="Z259" s="305"/>
      <c r="AA259" s="192" t="s">
        <v>1399</v>
      </c>
      <c r="AB259" s="192" t="s">
        <v>1400</v>
      </c>
      <c r="AC259" s="305"/>
      <c r="AD259" s="305"/>
      <c r="AE259" s="424"/>
    </row>
    <row r="260" spans="5:31" ht="14.5" x14ac:dyDescent="0.35">
      <c r="E260" s="192">
        <v>252</v>
      </c>
      <c r="F260" s="192" t="s">
        <v>220</v>
      </c>
      <c r="G260" s="192" t="s">
        <v>352</v>
      </c>
      <c r="H260" s="192" t="s">
        <v>1859</v>
      </c>
      <c r="I260" s="192" t="s">
        <v>1888</v>
      </c>
      <c r="J260" s="192" t="s">
        <v>1009</v>
      </c>
      <c r="K260" s="192" t="s">
        <v>1005</v>
      </c>
      <c r="L260" s="192" t="str">
        <f t="shared" si="4"/>
        <v>TransportFleetFleet vehicle - distancePool car - distancePlug-in Hybrid Electric VehicleLarge</v>
      </c>
      <c r="M260" s="192" t="s">
        <v>1142</v>
      </c>
      <c r="N260" s="192" t="s">
        <v>356</v>
      </c>
      <c r="O260" s="192" t="s">
        <v>1003</v>
      </c>
      <c r="P260" s="374">
        <v>1.609</v>
      </c>
      <c r="Q260" s="376">
        <v>0.10033</v>
      </c>
      <c r="R260" s="304">
        <v>1.2659999999999999E-2</v>
      </c>
      <c r="S260" s="305"/>
      <c r="T260" s="304">
        <v>3.2210000000000003E-2</v>
      </c>
      <c r="U260" s="304">
        <v>1.32E-3</v>
      </c>
      <c r="V260" s="305"/>
      <c r="W260" s="305"/>
      <c r="X260" s="192" t="s">
        <v>1401</v>
      </c>
      <c r="Y260" s="192" t="s">
        <v>1402</v>
      </c>
      <c r="Z260" s="305"/>
      <c r="AA260" s="192" t="s">
        <v>1403</v>
      </c>
      <c r="AB260" s="192" t="s">
        <v>1404</v>
      </c>
      <c r="AC260" s="305"/>
      <c r="AD260" s="305"/>
      <c r="AE260" s="424"/>
    </row>
    <row r="261" spans="5:31" ht="14.5" x14ac:dyDescent="0.35">
      <c r="E261" s="192">
        <v>253</v>
      </c>
      <c r="F261" s="192" t="s">
        <v>220</v>
      </c>
      <c r="G261" s="192" t="s">
        <v>352</v>
      </c>
      <c r="H261" s="192" t="s">
        <v>1859</v>
      </c>
      <c r="I261" s="192" t="s">
        <v>1888</v>
      </c>
      <c r="J261" s="192" t="s">
        <v>1009</v>
      </c>
      <c r="K261" s="192" t="s">
        <v>353</v>
      </c>
      <c r="L261" s="192" t="str">
        <f t="shared" si="4"/>
        <v>TransportFleetFleet vehicle - distancePool car - distancePlug-in Hybrid Electric VehicleAverage</v>
      </c>
      <c r="M261" s="192" t="s">
        <v>1142</v>
      </c>
      <c r="N261" s="192" t="s">
        <v>356</v>
      </c>
      <c r="O261" s="192" t="s">
        <v>1003</v>
      </c>
      <c r="P261" s="374">
        <v>1.609</v>
      </c>
      <c r="Q261" s="376">
        <v>9.1670000000000001E-2</v>
      </c>
      <c r="R261" s="304">
        <v>1.171E-2</v>
      </c>
      <c r="S261" s="305"/>
      <c r="T261" s="304">
        <v>2.9340000000000001E-2</v>
      </c>
      <c r="U261" s="304">
        <v>1.2199999999999999E-3</v>
      </c>
      <c r="V261" s="305"/>
      <c r="W261" s="305"/>
      <c r="X261" s="192" t="s">
        <v>1405</v>
      </c>
      <c r="Y261" s="192" t="s">
        <v>1406</v>
      </c>
      <c r="Z261" s="305"/>
      <c r="AA261" s="192" t="s">
        <v>1407</v>
      </c>
      <c r="AB261" s="192" t="s">
        <v>1408</v>
      </c>
      <c r="AC261" s="305"/>
      <c r="AD261" s="305"/>
      <c r="AE261" s="424"/>
    </row>
    <row r="262" spans="5:31" ht="14.5" x14ac:dyDescent="0.35">
      <c r="E262" s="192">
        <v>254</v>
      </c>
      <c r="F262" s="192" t="s">
        <v>220</v>
      </c>
      <c r="G262" s="192" t="s">
        <v>352</v>
      </c>
      <c r="H262" s="192" t="s">
        <v>1859</v>
      </c>
      <c r="I262" s="192" t="s">
        <v>1888</v>
      </c>
      <c r="J262" s="192" t="s">
        <v>1010</v>
      </c>
      <c r="K262" s="192" t="s">
        <v>754</v>
      </c>
      <c r="L262" s="192" t="str">
        <f t="shared" si="4"/>
        <v>TransportFleetFleet vehicle - distancePool car - distanceUnknown fuelSmall</v>
      </c>
      <c r="M262" s="192" t="s">
        <v>1142</v>
      </c>
      <c r="N262" s="192" t="s">
        <v>356</v>
      </c>
      <c r="O262" s="192" t="s">
        <v>1003</v>
      </c>
      <c r="P262" s="374">
        <v>1.609</v>
      </c>
      <c r="Q262" s="376">
        <v>0.14321999999999999</v>
      </c>
      <c r="R262" s="305"/>
      <c r="S262" s="305"/>
      <c r="T262" s="304">
        <v>3.8359999999999998E-2</v>
      </c>
      <c r="U262" s="305"/>
      <c r="V262" s="305"/>
      <c r="W262" s="305"/>
      <c r="X262" s="192" t="s">
        <v>1409</v>
      </c>
      <c r="Y262" s="305"/>
      <c r="Z262" s="305"/>
      <c r="AA262" s="192" t="s">
        <v>1410</v>
      </c>
      <c r="AB262" s="305"/>
      <c r="AC262" s="305"/>
      <c r="AD262" s="305"/>
      <c r="AE262" s="424"/>
    </row>
    <row r="263" spans="5:31" ht="14.5" x14ac:dyDescent="0.35">
      <c r="E263" s="192">
        <v>255</v>
      </c>
      <c r="F263" s="192" t="s">
        <v>220</v>
      </c>
      <c r="G263" s="192" t="s">
        <v>352</v>
      </c>
      <c r="H263" s="192" t="s">
        <v>1859</v>
      </c>
      <c r="I263" s="192" t="s">
        <v>1888</v>
      </c>
      <c r="J263" s="192" t="s">
        <v>1010</v>
      </c>
      <c r="K263" s="192" t="s">
        <v>1004</v>
      </c>
      <c r="L263" s="192" t="str">
        <f t="shared" si="4"/>
        <v>TransportFleetFleet vehicle - distancePool car - distanceUnknown fuelMedium</v>
      </c>
      <c r="M263" s="192" t="s">
        <v>1142</v>
      </c>
      <c r="N263" s="192" t="s">
        <v>356</v>
      </c>
      <c r="O263" s="192" t="s">
        <v>1003</v>
      </c>
      <c r="P263" s="374">
        <v>1.609</v>
      </c>
      <c r="Q263" s="376">
        <v>0.17322000000000001</v>
      </c>
      <c r="R263" s="305"/>
      <c r="S263" s="305"/>
      <c r="T263" s="304">
        <v>4.5179999999999998E-2</v>
      </c>
      <c r="U263" s="305"/>
      <c r="V263" s="305"/>
      <c r="W263" s="305"/>
      <c r="X263" s="192" t="s">
        <v>1411</v>
      </c>
      <c r="Y263" s="305"/>
      <c r="Z263" s="305"/>
      <c r="AA263" s="192" t="s">
        <v>1412</v>
      </c>
      <c r="AB263" s="305"/>
      <c r="AC263" s="305"/>
      <c r="AD263" s="305"/>
      <c r="AE263" s="424"/>
    </row>
    <row r="264" spans="5:31" ht="14.5" x14ac:dyDescent="0.35">
      <c r="E264" s="192">
        <v>256</v>
      </c>
      <c r="F264" s="192" t="s">
        <v>220</v>
      </c>
      <c r="G264" s="192" t="s">
        <v>352</v>
      </c>
      <c r="H264" s="192" t="s">
        <v>1859</v>
      </c>
      <c r="I264" s="192" t="s">
        <v>1888</v>
      </c>
      <c r="J264" s="192" t="s">
        <v>1010</v>
      </c>
      <c r="K264" s="192" t="s">
        <v>1005</v>
      </c>
      <c r="L264" s="192" t="str">
        <f t="shared" si="4"/>
        <v>TransportFleetFleet vehicle - distancePool car - distanceUnknown fuelLarge</v>
      </c>
      <c r="M264" s="192" t="s">
        <v>1142</v>
      </c>
      <c r="N264" s="192" t="s">
        <v>356</v>
      </c>
      <c r="O264" s="192" t="s">
        <v>1003</v>
      </c>
      <c r="P264" s="374">
        <v>1.609</v>
      </c>
      <c r="Q264" s="376">
        <v>0.22678000000000001</v>
      </c>
      <c r="R264" s="305"/>
      <c r="S264" s="305"/>
      <c r="T264" s="304">
        <v>5.7639999999999997E-2</v>
      </c>
      <c r="U264" s="305"/>
      <c r="V264" s="305"/>
      <c r="W264" s="305"/>
      <c r="X264" s="192" t="s">
        <v>1413</v>
      </c>
      <c r="Y264" s="305"/>
      <c r="Z264" s="305"/>
      <c r="AA264" s="192" t="s">
        <v>1414</v>
      </c>
      <c r="AB264" s="305"/>
      <c r="AC264" s="305"/>
      <c r="AD264" s="305"/>
      <c r="AE264" s="424"/>
    </row>
    <row r="265" spans="5:31" ht="14.5" x14ac:dyDescent="0.35">
      <c r="E265" s="192">
        <v>257</v>
      </c>
      <c r="F265" s="192" t="s">
        <v>220</v>
      </c>
      <c r="G265" s="192" t="s">
        <v>352</v>
      </c>
      <c r="H265" s="192" t="s">
        <v>1859</v>
      </c>
      <c r="I265" s="192" t="s">
        <v>1888</v>
      </c>
      <c r="J265" s="192" t="s">
        <v>1010</v>
      </c>
      <c r="K265" s="192" t="s">
        <v>353</v>
      </c>
      <c r="L265" s="192" t="str">
        <f t="shared" si="4"/>
        <v>TransportFleetFleet vehicle - distancePool car - distanceUnknown fuelAverage</v>
      </c>
      <c r="M265" s="192" t="s">
        <v>1142</v>
      </c>
      <c r="N265" s="192" t="s">
        <v>356</v>
      </c>
      <c r="O265" s="192" t="s">
        <v>1003</v>
      </c>
      <c r="P265" s="374">
        <v>1.609</v>
      </c>
      <c r="Q265" s="376">
        <v>0.16725000000000001</v>
      </c>
      <c r="R265" s="305"/>
      <c r="S265" s="305"/>
      <c r="T265" s="304">
        <v>4.3990000000000001E-2</v>
      </c>
      <c r="U265" s="305"/>
      <c r="V265" s="305"/>
      <c r="W265" s="305"/>
      <c r="X265" s="192" t="s">
        <v>1415</v>
      </c>
      <c r="Y265" s="305"/>
      <c r="Z265" s="305"/>
      <c r="AA265" s="192" t="s">
        <v>1416</v>
      </c>
      <c r="AB265" s="305"/>
      <c r="AC265" s="305"/>
      <c r="AD265" s="305"/>
      <c r="AE265" s="424"/>
    </row>
    <row r="266" spans="5:31" ht="14.5" x14ac:dyDescent="0.35">
      <c r="E266" s="192">
        <v>258</v>
      </c>
      <c r="F266" s="192" t="s">
        <v>220</v>
      </c>
      <c r="G266" s="192" t="s">
        <v>352</v>
      </c>
      <c r="H266" s="192" t="s">
        <v>1859</v>
      </c>
      <c r="I266" s="192" t="s">
        <v>1889</v>
      </c>
      <c r="J266" s="192" t="s">
        <v>1006</v>
      </c>
      <c r="K266" s="192" t="s">
        <v>353</v>
      </c>
      <c r="L266" s="192" t="str">
        <f t="shared" si="4"/>
        <v>TransportFleetFleet vehicle - distanceVan - distanceDieselAverage</v>
      </c>
      <c r="M266" s="192" t="s">
        <v>1142</v>
      </c>
      <c r="N266" s="192" t="s">
        <v>356</v>
      </c>
      <c r="O266" s="192" t="s">
        <v>1003</v>
      </c>
      <c r="P266" s="374">
        <v>1.609</v>
      </c>
      <c r="Q266" s="376">
        <v>0.25561</v>
      </c>
      <c r="R266" s="305"/>
      <c r="S266" s="305"/>
      <c r="T266" s="304">
        <v>6.1280000000000001E-2</v>
      </c>
      <c r="U266" s="305"/>
      <c r="V266" s="305"/>
      <c r="W266" s="305"/>
      <c r="X266" s="192" t="s">
        <v>1417</v>
      </c>
      <c r="Y266" s="305"/>
      <c r="Z266" s="305"/>
      <c r="AA266" s="192" t="s">
        <v>1418</v>
      </c>
      <c r="AB266" s="305"/>
      <c r="AC266" s="305"/>
      <c r="AD266" s="305"/>
      <c r="AE266" s="424"/>
    </row>
    <row r="267" spans="5:31" ht="14.5" x14ac:dyDescent="0.35">
      <c r="E267" s="192">
        <v>259</v>
      </c>
      <c r="F267" s="192" t="s">
        <v>220</v>
      </c>
      <c r="G267" s="192" t="s">
        <v>352</v>
      </c>
      <c r="H267" s="192" t="s">
        <v>1859</v>
      </c>
      <c r="I267" s="192" t="s">
        <v>1889</v>
      </c>
      <c r="J267" s="192" t="s">
        <v>351</v>
      </c>
      <c r="K267" s="192" t="s">
        <v>353</v>
      </c>
      <c r="L267" s="192" t="str">
        <f t="shared" ref="L267:L334" si="5">_xlfn.CONCAT(F267:K267)</f>
        <v>TransportFleetFleet vehicle - distanceVan - distancePetrolAverage</v>
      </c>
      <c r="M267" s="192" t="s">
        <v>1142</v>
      </c>
      <c r="N267" s="192" t="s">
        <v>356</v>
      </c>
      <c r="O267" s="192" t="s">
        <v>1003</v>
      </c>
      <c r="P267" s="374">
        <v>1.609</v>
      </c>
      <c r="Q267" s="376">
        <v>0.21335000000000001</v>
      </c>
      <c r="R267" s="305"/>
      <c r="S267" s="305"/>
      <c r="T267" s="304">
        <v>6.1830000000000003E-2</v>
      </c>
      <c r="U267" s="305"/>
      <c r="V267" s="305"/>
      <c r="W267" s="305"/>
      <c r="X267" s="192" t="s">
        <v>1419</v>
      </c>
      <c r="Y267" s="305"/>
      <c r="Z267" s="305"/>
      <c r="AA267" s="192" t="s">
        <v>1420</v>
      </c>
      <c r="AB267" s="305"/>
      <c r="AC267" s="305"/>
      <c r="AD267" s="305"/>
      <c r="AE267" s="424"/>
    </row>
    <row r="268" spans="5:31" ht="14.5" x14ac:dyDescent="0.35">
      <c r="E268" s="192">
        <v>260</v>
      </c>
      <c r="F268" s="192" t="s">
        <v>220</v>
      </c>
      <c r="G268" s="192" t="s">
        <v>352</v>
      </c>
      <c r="H268" s="192" t="s">
        <v>1859</v>
      </c>
      <c r="I268" s="192" t="s">
        <v>1889</v>
      </c>
      <c r="J268" s="192" t="s">
        <v>981</v>
      </c>
      <c r="K268" s="192" t="s">
        <v>353</v>
      </c>
      <c r="L268" s="192" t="str">
        <f t="shared" si="5"/>
        <v>TransportFleetFleet vehicle - distanceVan - distanceLPGAverage</v>
      </c>
      <c r="M268" s="192" t="s">
        <v>1142</v>
      </c>
      <c r="N268" s="192" t="s">
        <v>356</v>
      </c>
      <c r="O268" s="192" t="s">
        <v>1003</v>
      </c>
      <c r="P268" s="374">
        <v>1.609</v>
      </c>
      <c r="Q268" s="376">
        <v>0.27610000000000001</v>
      </c>
      <c r="R268" s="305"/>
      <c r="S268" s="305"/>
      <c r="T268" s="304">
        <v>3.279E-2</v>
      </c>
      <c r="U268" s="305"/>
      <c r="V268" s="305"/>
      <c r="W268" s="305"/>
      <c r="X268" s="192" t="s">
        <v>1421</v>
      </c>
      <c r="Y268" s="305"/>
      <c r="Z268" s="305"/>
      <c r="AA268" s="192" t="s">
        <v>1422</v>
      </c>
      <c r="AB268" s="305"/>
      <c r="AC268" s="305"/>
      <c r="AD268" s="305"/>
      <c r="AE268" s="424"/>
    </row>
    <row r="269" spans="5:31" ht="14.5" x14ac:dyDescent="0.35">
      <c r="E269" s="192">
        <v>261</v>
      </c>
      <c r="F269" s="192" t="s">
        <v>220</v>
      </c>
      <c r="G269" s="192" t="s">
        <v>352</v>
      </c>
      <c r="H269" s="192" t="s">
        <v>1859</v>
      </c>
      <c r="I269" s="192" t="s">
        <v>1889</v>
      </c>
      <c r="J269" s="192" t="s">
        <v>1007</v>
      </c>
      <c r="K269" s="192" t="s">
        <v>353</v>
      </c>
      <c r="L269" s="192" t="str">
        <f t="shared" si="5"/>
        <v>TransportFleetFleet vehicle - distanceVan - distanceBattery Electric VehicleAverage</v>
      </c>
      <c r="M269" s="192" t="s">
        <v>1142</v>
      </c>
      <c r="N269" s="192" t="s">
        <v>356</v>
      </c>
      <c r="O269" s="192" t="s">
        <v>1003</v>
      </c>
      <c r="P269" s="374">
        <v>1.609</v>
      </c>
      <c r="Q269" s="377"/>
      <c r="R269" s="304">
        <v>6.3149999999999998E-2</v>
      </c>
      <c r="S269" s="305"/>
      <c r="T269" s="304">
        <v>1.7590000000000001E-2</v>
      </c>
      <c r="U269" s="304">
        <v>6.62E-3</v>
      </c>
      <c r="V269" s="305"/>
      <c r="W269" s="305"/>
      <c r="X269" s="305"/>
      <c r="Y269" s="192" t="s">
        <v>1423</v>
      </c>
      <c r="Z269" s="305"/>
      <c r="AA269" s="192" t="s">
        <v>1424</v>
      </c>
      <c r="AB269" s="192" t="s">
        <v>1425</v>
      </c>
      <c r="AC269" s="305"/>
      <c r="AD269" s="305"/>
      <c r="AE269" s="424"/>
    </row>
    <row r="270" spans="5:31" ht="14.5" x14ac:dyDescent="0.35">
      <c r="E270" s="192">
        <v>262</v>
      </c>
      <c r="F270" s="192" t="s">
        <v>220</v>
      </c>
      <c r="G270" s="192" t="s">
        <v>352</v>
      </c>
      <c r="H270" s="192" t="s">
        <v>1859</v>
      </c>
      <c r="I270" s="192" t="s">
        <v>1889</v>
      </c>
      <c r="J270" s="192" t="s">
        <v>981</v>
      </c>
      <c r="K270" s="192" t="s">
        <v>353</v>
      </c>
      <c r="L270" s="192" t="str">
        <f t="shared" si="5"/>
        <v>TransportFleetFleet vehicle - distanceVan - distanceLPGAverage</v>
      </c>
      <c r="M270" s="192" t="s">
        <v>1142</v>
      </c>
      <c r="N270" s="192" t="s">
        <v>356</v>
      </c>
      <c r="O270" s="192" t="s">
        <v>1003</v>
      </c>
      <c r="P270" s="374">
        <v>1.609</v>
      </c>
      <c r="Q270" s="376">
        <v>0.27610000000000001</v>
      </c>
      <c r="R270" s="305"/>
      <c r="S270" s="305"/>
      <c r="T270" s="304">
        <v>3.279E-2</v>
      </c>
      <c r="U270" s="305"/>
      <c r="V270" s="305"/>
      <c r="W270" s="305"/>
      <c r="X270" s="383" t="s">
        <v>1421</v>
      </c>
      <c r="Y270" s="305"/>
      <c r="Z270" s="305"/>
      <c r="AA270" s="383" t="s">
        <v>1422</v>
      </c>
      <c r="AB270" s="305"/>
      <c r="AC270" s="305"/>
      <c r="AD270" s="305"/>
      <c r="AE270" s="424"/>
    </row>
    <row r="271" spans="5:31" ht="14.5" x14ac:dyDescent="0.35">
      <c r="E271" s="192">
        <v>263</v>
      </c>
      <c r="F271" s="192" t="s">
        <v>220</v>
      </c>
      <c r="G271" s="192" t="s">
        <v>352</v>
      </c>
      <c r="H271" s="192" t="s">
        <v>1859</v>
      </c>
      <c r="I271" s="192" t="s">
        <v>1889</v>
      </c>
      <c r="J271" s="192" t="s">
        <v>1010</v>
      </c>
      <c r="K271" s="192" t="s">
        <v>353</v>
      </c>
      <c r="L271" s="192" t="str">
        <f t="shared" si="5"/>
        <v>TransportFleetFleet vehicle - distanceVan - distanceUnknown fuelAverage</v>
      </c>
      <c r="M271" s="192" t="s">
        <v>1142</v>
      </c>
      <c r="N271" s="192" t="s">
        <v>356</v>
      </c>
      <c r="O271" s="192" t="s">
        <v>1003</v>
      </c>
      <c r="P271" s="374">
        <v>1.609</v>
      </c>
      <c r="Q271" s="376">
        <v>0.25430000000000003</v>
      </c>
      <c r="R271" s="305"/>
      <c r="S271" s="305"/>
      <c r="T271" s="304">
        <v>6.13E-2</v>
      </c>
      <c r="U271" s="305"/>
      <c r="V271" s="305"/>
      <c r="W271" s="305"/>
      <c r="X271" s="192" t="s">
        <v>1426</v>
      </c>
      <c r="Y271" s="305"/>
      <c r="Z271" s="305"/>
      <c r="AA271" s="192" t="s">
        <v>1427</v>
      </c>
      <c r="AB271" s="305"/>
      <c r="AC271" s="305"/>
      <c r="AD271" s="305"/>
      <c r="AE271" s="424"/>
    </row>
    <row r="272" spans="5:31" ht="14.5" x14ac:dyDescent="0.35">
      <c r="E272" s="192">
        <v>264</v>
      </c>
      <c r="F272" s="192" t="s">
        <v>220</v>
      </c>
      <c r="G272" s="192" t="s">
        <v>352</v>
      </c>
      <c r="H272" s="192" t="s">
        <v>1859</v>
      </c>
      <c r="I272" s="192" t="s">
        <v>1890</v>
      </c>
      <c r="J272" s="192" t="s">
        <v>1006</v>
      </c>
      <c r="K272" s="192" t="s">
        <v>1013</v>
      </c>
      <c r="L272" s="192" t="str">
        <f t="shared" si="5"/>
        <v>TransportFleetFleet vehicle - distanceHGV - distanceDieselAverage rigid</v>
      </c>
      <c r="M272" s="192" t="s">
        <v>1142</v>
      </c>
      <c r="N272" s="192" t="s">
        <v>356</v>
      </c>
      <c r="O272" s="192" t="s">
        <v>1003</v>
      </c>
      <c r="P272" s="374">
        <v>1.609</v>
      </c>
      <c r="Q272" s="376">
        <v>0.83750999999999998</v>
      </c>
      <c r="R272" s="305"/>
      <c r="S272" s="305"/>
      <c r="T272" s="304">
        <v>0.20099</v>
      </c>
      <c r="U272" s="305"/>
      <c r="V272" s="305"/>
      <c r="W272" s="305"/>
      <c r="X272" s="192" t="s">
        <v>1428</v>
      </c>
      <c r="Y272" s="305"/>
      <c r="Z272" s="305"/>
      <c r="AA272" s="192" t="s">
        <v>1429</v>
      </c>
      <c r="AB272" s="305"/>
      <c r="AC272" s="305"/>
      <c r="AD272" s="305"/>
      <c r="AE272" s="424"/>
    </row>
    <row r="273" spans="5:31" ht="14.5" x14ac:dyDescent="0.35">
      <c r="E273" s="192">
        <v>265</v>
      </c>
      <c r="F273" s="192" t="s">
        <v>220</v>
      </c>
      <c r="G273" s="192" t="s">
        <v>352</v>
      </c>
      <c r="H273" s="192" t="s">
        <v>1859</v>
      </c>
      <c r="I273" s="192" t="s">
        <v>1890</v>
      </c>
      <c r="J273" s="192" t="s">
        <v>1006</v>
      </c>
      <c r="K273" s="192" t="s">
        <v>1014</v>
      </c>
      <c r="L273" s="192" t="str">
        <f t="shared" si="5"/>
        <v>TransportFleetFleet vehicle - distanceHGV - distanceDieselAverage articulated</v>
      </c>
      <c r="M273" s="192" t="s">
        <v>1142</v>
      </c>
      <c r="N273" s="192" t="s">
        <v>356</v>
      </c>
      <c r="O273" s="192" t="s">
        <v>1003</v>
      </c>
      <c r="P273" s="374">
        <v>1.609</v>
      </c>
      <c r="Q273" s="376">
        <v>0.92854000000000003</v>
      </c>
      <c r="R273" s="305"/>
      <c r="S273" s="305"/>
      <c r="T273" s="304">
        <v>0.21898000000000001</v>
      </c>
      <c r="U273" s="305"/>
      <c r="V273" s="305"/>
      <c r="W273" s="305"/>
      <c r="X273" s="192" t="s">
        <v>1430</v>
      </c>
      <c r="Y273" s="305"/>
      <c r="Z273" s="305"/>
      <c r="AA273" s="192" t="s">
        <v>1431</v>
      </c>
      <c r="AB273" s="305"/>
      <c r="AC273" s="305"/>
      <c r="AD273" s="305"/>
      <c r="AE273" s="424"/>
    </row>
    <row r="274" spans="5:31" ht="14.5" x14ac:dyDescent="0.35">
      <c r="E274" s="192">
        <v>266</v>
      </c>
      <c r="F274" s="192" t="s">
        <v>220</v>
      </c>
      <c r="G274" s="192" t="s">
        <v>352</v>
      </c>
      <c r="H274" s="192" t="s">
        <v>1859</v>
      </c>
      <c r="I274" s="192" t="s">
        <v>1890</v>
      </c>
      <c r="J274" s="192" t="s">
        <v>1006</v>
      </c>
      <c r="K274" s="192" t="s">
        <v>353</v>
      </c>
      <c r="L274" s="192" t="str">
        <f t="shared" si="5"/>
        <v>TransportFleetFleet vehicle - distanceHGV - distanceDieselAverage</v>
      </c>
      <c r="M274" s="192" t="s">
        <v>1142</v>
      </c>
      <c r="N274" s="192" t="s">
        <v>356</v>
      </c>
      <c r="O274" s="192" t="s">
        <v>1003</v>
      </c>
      <c r="P274" s="374">
        <v>1.609</v>
      </c>
      <c r="Q274" s="376">
        <v>0.89120999999999995</v>
      </c>
      <c r="R274" s="305"/>
      <c r="S274" s="305"/>
      <c r="T274" s="304">
        <v>0.21154000000000001</v>
      </c>
      <c r="U274" s="305"/>
      <c r="V274" s="305"/>
      <c r="W274" s="305"/>
      <c r="X274" s="192" t="s">
        <v>1432</v>
      </c>
      <c r="Y274" s="305"/>
      <c r="Z274" s="305"/>
      <c r="AA274" s="192" t="s">
        <v>1433</v>
      </c>
      <c r="AB274" s="305"/>
      <c r="AC274" s="305"/>
      <c r="AD274" s="305"/>
      <c r="AE274" s="424"/>
    </row>
    <row r="275" spans="5:31" ht="14.5" x14ac:dyDescent="0.35">
      <c r="E275" s="192">
        <v>267</v>
      </c>
      <c r="F275" s="192" t="s">
        <v>220</v>
      </c>
      <c r="G275" s="192" t="s">
        <v>352</v>
      </c>
      <c r="H275" s="192" t="s">
        <v>1859</v>
      </c>
      <c r="I275" s="192" t="s">
        <v>1891</v>
      </c>
      <c r="J275" s="192" t="s">
        <v>351</v>
      </c>
      <c r="K275" s="192" t="s">
        <v>754</v>
      </c>
      <c r="L275" s="192" t="str">
        <f t="shared" si="5"/>
        <v>TransportFleetFleet vehicle - distanceMotorbike - distancePetrolSmall</v>
      </c>
      <c r="M275" s="192" t="s">
        <v>1142</v>
      </c>
      <c r="N275" s="192" t="s">
        <v>356</v>
      </c>
      <c r="O275" s="192" t="s">
        <v>1003</v>
      </c>
      <c r="P275" s="374">
        <v>1.609</v>
      </c>
      <c r="Q275" s="376">
        <v>8.319E-2</v>
      </c>
      <c r="R275" s="305"/>
      <c r="S275" s="305"/>
      <c r="T275" s="304">
        <v>2.1479999999999999E-2</v>
      </c>
      <c r="U275" s="305"/>
      <c r="V275" s="305"/>
      <c r="W275" s="305"/>
      <c r="X275" s="192" t="s">
        <v>1434</v>
      </c>
      <c r="Y275" s="305"/>
      <c r="Z275" s="305"/>
      <c r="AA275" s="192" t="s">
        <v>1435</v>
      </c>
      <c r="AB275" s="305"/>
      <c r="AC275" s="305"/>
      <c r="AD275" s="305"/>
      <c r="AE275" s="424"/>
    </row>
    <row r="276" spans="5:31" ht="14.5" x14ac:dyDescent="0.35">
      <c r="E276" s="192">
        <v>268</v>
      </c>
      <c r="F276" s="192" t="s">
        <v>220</v>
      </c>
      <c r="G276" s="192" t="s">
        <v>352</v>
      </c>
      <c r="H276" s="192" t="s">
        <v>1859</v>
      </c>
      <c r="I276" s="192" t="s">
        <v>1891</v>
      </c>
      <c r="J276" s="192" t="s">
        <v>351</v>
      </c>
      <c r="K276" s="192" t="s">
        <v>1004</v>
      </c>
      <c r="L276" s="192" t="str">
        <f t="shared" si="5"/>
        <v>TransportFleetFleet vehicle - distanceMotorbike - distancePetrolMedium</v>
      </c>
      <c r="M276" s="192" t="s">
        <v>1142</v>
      </c>
      <c r="N276" s="192" t="s">
        <v>356</v>
      </c>
      <c r="O276" s="192" t="s">
        <v>1003</v>
      </c>
      <c r="P276" s="374">
        <v>1.609</v>
      </c>
      <c r="Q276" s="376">
        <v>0.10107000000000001</v>
      </c>
      <c r="R276" s="305"/>
      <c r="S276" s="305"/>
      <c r="T276" s="304">
        <v>2.6079999999999999E-2</v>
      </c>
      <c r="U276" s="305"/>
      <c r="V276" s="305"/>
      <c r="W276" s="305"/>
      <c r="X276" s="192" t="s">
        <v>1436</v>
      </c>
      <c r="Y276" s="305"/>
      <c r="Z276" s="305"/>
      <c r="AA276" s="192" t="s">
        <v>1437</v>
      </c>
      <c r="AB276" s="305"/>
      <c r="AC276" s="305"/>
      <c r="AD276" s="305"/>
      <c r="AE276" s="424"/>
    </row>
    <row r="277" spans="5:31" ht="14.5" x14ac:dyDescent="0.35">
      <c r="E277" s="192">
        <v>269</v>
      </c>
      <c r="F277" s="192" t="s">
        <v>220</v>
      </c>
      <c r="G277" s="192" t="s">
        <v>352</v>
      </c>
      <c r="H277" s="192" t="s">
        <v>1859</v>
      </c>
      <c r="I277" s="192" t="s">
        <v>1891</v>
      </c>
      <c r="J277" s="192" t="s">
        <v>351</v>
      </c>
      <c r="K277" s="192" t="s">
        <v>1005</v>
      </c>
      <c r="L277" s="192" t="str">
        <f t="shared" si="5"/>
        <v>TransportFleetFleet vehicle - distanceMotorbike - distancePetrolLarge</v>
      </c>
      <c r="M277" s="192" t="s">
        <v>1142</v>
      </c>
      <c r="N277" s="192" t="s">
        <v>356</v>
      </c>
      <c r="O277" s="192" t="s">
        <v>1003</v>
      </c>
      <c r="P277" s="374">
        <v>1.609</v>
      </c>
      <c r="Q277" s="376">
        <v>0.13252</v>
      </c>
      <c r="R277" s="305"/>
      <c r="S277" s="305"/>
      <c r="T277" s="304">
        <v>3.4689999999999999E-2</v>
      </c>
      <c r="U277" s="305"/>
      <c r="V277" s="305"/>
      <c r="W277" s="305"/>
      <c r="X277" s="192" t="s">
        <v>1438</v>
      </c>
      <c r="Y277" s="305"/>
      <c r="Z277" s="305"/>
      <c r="AA277" s="192" t="s">
        <v>1439</v>
      </c>
      <c r="AB277" s="305"/>
      <c r="AC277" s="305"/>
      <c r="AD277" s="305"/>
      <c r="AE277" s="424"/>
    </row>
    <row r="278" spans="5:31" ht="14.5" x14ac:dyDescent="0.35">
      <c r="E278" s="192">
        <v>270</v>
      </c>
      <c r="F278" s="192" t="s">
        <v>220</v>
      </c>
      <c r="G278" s="192" t="s">
        <v>352</v>
      </c>
      <c r="H278" s="192" t="s">
        <v>1859</v>
      </c>
      <c r="I278" s="192" t="s">
        <v>1891</v>
      </c>
      <c r="J278" s="192" t="s">
        <v>351</v>
      </c>
      <c r="K278" s="192" t="s">
        <v>353</v>
      </c>
      <c r="L278" s="192" t="str">
        <f t="shared" si="5"/>
        <v>TransportFleetFleet vehicle - distanceMotorbike - distancePetrolAverage</v>
      </c>
      <c r="M278" s="192" t="s">
        <v>1142</v>
      </c>
      <c r="N278" s="192" t="s">
        <v>356</v>
      </c>
      <c r="O278" s="192" t="s">
        <v>1003</v>
      </c>
      <c r="P278" s="374">
        <v>1.609</v>
      </c>
      <c r="Q278" s="376">
        <v>0.11367000000000001</v>
      </c>
      <c r="R278" s="305"/>
      <c r="S278" s="305"/>
      <c r="T278" s="304">
        <v>2.9559999999999999E-2</v>
      </c>
      <c r="U278" s="305"/>
      <c r="V278" s="305"/>
      <c r="W278" s="305"/>
      <c r="X278" s="192" t="s">
        <v>1440</v>
      </c>
      <c r="Y278" s="305"/>
      <c r="Z278" s="305"/>
      <c r="AA278" s="192" t="s">
        <v>1441</v>
      </c>
      <c r="AB278" s="305"/>
      <c r="AC278" s="305"/>
      <c r="AD278" s="305"/>
      <c r="AE278" s="424"/>
    </row>
    <row r="279" spans="5:31" ht="14.5" x14ac:dyDescent="0.35">
      <c r="E279" s="192">
        <v>271</v>
      </c>
      <c r="F279" s="192" t="s">
        <v>220</v>
      </c>
      <c r="G279" s="192" t="s">
        <v>352</v>
      </c>
      <c r="H279" s="192" t="s">
        <v>1860</v>
      </c>
      <c r="I279" s="192" t="s">
        <v>1892</v>
      </c>
      <c r="J279" s="192" t="s">
        <v>351</v>
      </c>
      <c r="K279" s="192" t="s">
        <v>353</v>
      </c>
      <c r="L279" s="192" t="str">
        <f t="shared" si="5"/>
        <v>TransportFleetFleet vehicle - fuelPool car - fuelPetrolAverage</v>
      </c>
      <c r="M279" s="192" t="s">
        <v>1142</v>
      </c>
      <c r="N279" s="192" t="s">
        <v>316</v>
      </c>
      <c r="O279" s="192" t="s">
        <v>343</v>
      </c>
      <c r="P279" s="374">
        <v>9.423</v>
      </c>
      <c r="Q279" s="376">
        <v>0.21956000000000001</v>
      </c>
      <c r="R279" s="305"/>
      <c r="S279" s="305"/>
      <c r="T279" s="304">
        <v>6.1400000000000003E-2</v>
      </c>
      <c r="U279" s="305"/>
      <c r="V279" s="305"/>
      <c r="W279" s="305"/>
      <c r="X279" s="304" t="s">
        <v>1442</v>
      </c>
      <c r="Y279" s="305"/>
      <c r="Z279" s="305"/>
      <c r="AA279" s="304" t="s">
        <v>1443</v>
      </c>
      <c r="AB279" s="305"/>
      <c r="AC279" s="305"/>
      <c r="AD279" s="305"/>
      <c r="AE279" s="424"/>
    </row>
    <row r="280" spans="5:31" ht="14.5" x14ac:dyDescent="0.35">
      <c r="E280" s="192">
        <v>272</v>
      </c>
      <c r="F280" s="192" t="s">
        <v>220</v>
      </c>
      <c r="G280" s="192" t="s">
        <v>352</v>
      </c>
      <c r="H280" s="192" t="s">
        <v>1860</v>
      </c>
      <c r="I280" s="192" t="s">
        <v>1892</v>
      </c>
      <c r="J280" s="192" t="s">
        <v>1016</v>
      </c>
      <c r="K280" s="192" t="s">
        <v>353</v>
      </c>
      <c r="L280" s="192" t="str">
        <f t="shared" si="5"/>
        <v>TransportFleetFleet vehicle - fuelPool car - fuelPetrol - 100% mineralAverage</v>
      </c>
      <c r="M280" s="192" t="s">
        <v>1142</v>
      </c>
      <c r="N280" s="192" t="s">
        <v>316</v>
      </c>
      <c r="O280" s="192" t="s">
        <v>343</v>
      </c>
      <c r="P280" s="374">
        <v>9.6850000000000005</v>
      </c>
      <c r="Q280" s="376">
        <v>0.24159</v>
      </c>
      <c r="R280" s="305"/>
      <c r="S280" s="305"/>
      <c r="T280" s="304">
        <v>6.2530000000000002E-2</v>
      </c>
      <c r="U280" s="305"/>
      <c r="V280" s="305"/>
      <c r="W280" s="305"/>
      <c r="X280" s="304" t="s">
        <v>1444</v>
      </c>
      <c r="Y280" s="305"/>
      <c r="Z280" s="305"/>
      <c r="AA280" s="304" t="s">
        <v>1445</v>
      </c>
      <c r="AB280" s="305"/>
      <c r="AC280" s="305"/>
      <c r="AD280" s="305"/>
      <c r="AE280" s="424"/>
    </row>
    <row r="281" spans="5:31" ht="14.5" x14ac:dyDescent="0.35">
      <c r="E281" s="192">
        <v>273</v>
      </c>
      <c r="F281" s="192" t="s">
        <v>220</v>
      </c>
      <c r="G281" s="192" t="s">
        <v>352</v>
      </c>
      <c r="H281" s="192" t="s">
        <v>1860</v>
      </c>
      <c r="I281" s="192" t="s">
        <v>1892</v>
      </c>
      <c r="J281" s="192" t="s">
        <v>1006</v>
      </c>
      <c r="K281" s="192" t="s">
        <v>353</v>
      </c>
      <c r="L281" s="192" t="str">
        <f t="shared" si="5"/>
        <v>TransportFleetFleet vehicle - fuelPool car - fuelDieselAverage</v>
      </c>
      <c r="M281" s="192" t="s">
        <v>1142</v>
      </c>
      <c r="N281" s="192" t="s">
        <v>316</v>
      </c>
      <c r="O281" s="192" t="s">
        <v>343</v>
      </c>
      <c r="P281" s="374">
        <v>10.531000000000001</v>
      </c>
      <c r="Q281" s="376">
        <v>0.24410999999999999</v>
      </c>
      <c r="R281" s="305"/>
      <c r="S281" s="305"/>
      <c r="T281" s="304">
        <v>5.8160000000000003E-2</v>
      </c>
      <c r="U281" s="305"/>
      <c r="V281" s="305"/>
      <c r="W281" s="305"/>
      <c r="X281" s="304" t="s">
        <v>1446</v>
      </c>
      <c r="Y281" s="305"/>
      <c r="Z281" s="305"/>
      <c r="AA281" s="304" t="s">
        <v>1447</v>
      </c>
      <c r="AB281" s="305"/>
      <c r="AC281" s="305"/>
      <c r="AD281" s="305"/>
      <c r="AE281" s="424"/>
    </row>
    <row r="282" spans="5:31" ht="14.5" x14ac:dyDescent="0.35">
      <c r="E282" s="192">
        <v>274</v>
      </c>
      <c r="F282" s="192" t="s">
        <v>220</v>
      </c>
      <c r="G282" s="192" t="s">
        <v>352</v>
      </c>
      <c r="H282" s="192" t="s">
        <v>1860</v>
      </c>
      <c r="I282" s="192" t="s">
        <v>1892</v>
      </c>
      <c r="J282" s="192" t="s">
        <v>1017</v>
      </c>
      <c r="K282" s="192" t="s">
        <v>353</v>
      </c>
      <c r="L282" s="192" t="str">
        <f t="shared" si="5"/>
        <v>TransportFleetFleet vehicle - fuelPool car - fuelDiesel - 100% mineralAverage</v>
      </c>
      <c r="M282" s="192" t="s">
        <v>1142</v>
      </c>
      <c r="N282" s="192" t="s">
        <v>316</v>
      </c>
      <c r="O282" s="192" t="s">
        <v>343</v>
      </c>
      <c r="P282" s="374">
        <v>10.561</v>
      </c>
      <c r="Q282" s="376">
        <v>0.25198999999999999</v>
      </c>
      <c r="R282" s="305"/>
      <c r="S282" s="305"/>
      <c r="T282" s="304">
        <v>5.9130000000000002E-2</v>
      </c>
      <c r="U282" s="305"/>
      <c r="V282" s="305"/>
      <c r="W282" s="305"/>
      <c r="X282" s="304" t="s">
        <v>1448</v>
      </c>
      <c r="Y282" s="305"/>
      <c r="Z282" s="305"/>
      <c r="AA282" s="304" t="s">
        <v>1449</v>
      </c>
      <c r="AB282" s="305"/>
      <c r="AC282" s="305"/>
      <c r="AD282" s="305"/>
      <c r="AE282" s="424"/>
    </row>
    <row r="283" spans="5:31" ht="14.5" x14ac:dyDescent="0.35">
      <c r="E283" s="192">
        <v>275</v>
      </c>
      <c r="F283" s="192" t="s">
        <v>220</v>
      </c>
      <c r="G283" s="192" t="s">
        <v>352</v>
      </c>
      <c r="H283" s="192" t="s">
        <v>1860</v>
      </c>
      <c r="I283" s="192" t="s">
        <v>1892</v>
      </c>
      <c r="J283" s="192" t="s">
        <v>1007</v>
      </c>
      <c r="K283" s="192" t="s">
        <v>353</v>
      </c>
      <c r="L283" s="192" t="str">
        <f t="shared" si="5"/>
        <v>TransportFleetFleet vehicle - fuelPool car - fuelBattery Electric VehicleAverage</v>
      </c>
      <c r="M283" s="192" t="s">
        <v>1142</v>
      </c>
      <c r="N283" s="192" t="s">
        <v>316</v>
      </c>
      <c r="O283" s="305"/>
      <c r="P283" s="372"/>
      <c r="Q283" s="377"/>
      <c r="R283" s="304">
        <v>0.17699999999999999</v>
      </c>
      <c r="S283" s="305"/>
      <c r="T283" s="304">
        <v>4.5900000000000003E-2</v>
      </c>
      <c r="U283" s="304">
        <v>1.8530000000000001E-2</v>
      </c>
      <c r="V283" s="304">
        <v>3.9699999999999996E-3</v>
      </c>
      <c r="W283" s="305"/>
      <c r="X283" s="305"/>
      <c r="Y283" s="192" t="s">
        <v>1324</v>
      </c>
      <c r="Z283" s="305"/>
      <c r="AA283" s="192" t="s">
        <v>1325</v>
      </c>
      <c r="AB283" s="192" t="s">
        <v>1326</v>
      </c>
      <c r="AC283" s="192" t="s">
        <v>1327</v>
      </c>
      <c r="AD283" s="305"/>
      <c r="AE283" s="424"/>
    </row>
    <row r="284" spans="5:31" ht="14.5" x14ac:dyDescent="0.35">
      <c r="E284" s="192">
        <v>276</v>
      </c>
      <c r="F284" s="192" t="s">
        <v>220</v>
      </c>
      <c r="G284" s="192" t="s">
        <v>352</v>
      </c>
      <c r="H284" s="192" t="s">
        <v>1860</v>
      </c>
      <c r="I284" s="192" t="s">
        <v>1892</v>
      </c>
      <c r="J284" s="192" t="s">
        <v>1008</v>
      </c>
      <c r="K284" s="192" t="s">
        <v>353</v>
      </c>
      <c r="L284" s="192" t="str">
        <f t="shared" si="5"/>
        <v>TransportFleetFleet vehicle - fuelPool car - fuelHybridAverage</v>
      </c>
      <c r="M284" s="192" t="s">
        <v>1142</v>
      </c>
      <c r="N284" s="192" t="s">
        <v>316</v>
      </c>
      <c r="O284" s="192" t="s">
        <v>343</v>
      </c>
      <c r="P284" s="374">
        <v>9.423</v>
      </c>
      <c r="Q284" s="376">
        <v>0.12825</v>
      </c>
      <c r="R284" s="305"/>
      <c r="S284" s="305"/>
      <c r="T284" s="304">
        <v>3.3149999999999999E-2</v>
      </c>
      <c r="U284" s="305"/>
      <c r="V284" s="305"/>
      <c r="W284" s="305"/>
      <c r="X284" s="192" t="s">
        <v>1391</v>
      </c>
      <c r="Y284" s="305"/>
      <c r="Z284" s="305"/>
      <c r="AA284" s="192" t="s">
        <v>1392</v>
      </c>
      <c r="AB284" s="305"/>
      <c r="AC284" s="305"/>
      <c r="AD284" s="305"/>
      <c r="AE284" s="424"/>
    </row>
    <row r="285" spans="5:31" ht="14.5" x14ac:dyDescent="0.35">
      <c r="E285" s="192">
        <v>277</v>
      </c>
      <c r="F285" s="192" t="s">
        <v>220</v>
      </c>
      <c r="G285" s="192" t="s">
        <v>352</v>
      </c>
      <c r="H285" s="192" t="s">
        <v>1860</v>
      </c>
      <c r="I285" s="192" t="s">
        <v>1892</v>
      </c>
      <c r="J285" s="192" t="s">
        <v>1009</v>
      </c>
      <c r="K285" s="192" t="s">
        <v>353</v>
      </c>
      <c r="L285" s="192" t="str">
        <f t="shared" si="5"/>
        <v>TransportFleetFleet vehicle - fuelPool car - fuelPlug-in Hybrid Electric VehicleAverage</v>
      </c>
      <c r="M285" s="192" t="s">
        <v>1142</v>
      </c>
      <c r="N285" s="192" t="s">
        <v>316</v>
      </c>
      <c r="O285" s="192" t="s">
        <v>343</v>
      </c>
      <c r="P285" s="374"/>
      <c r="Q285" s="376">
        <v>9.1670000000000001E-2</v>
      </c>
      <c r="R285" s="304">
        <v>1.171E-2</v>
      </c>
      <c r="S285" s="305"/>
      <c r="T285" s="304">
        <v>2.9340000000000001E-2</v>
      </c>
      <c r="U285" s="304">
        <v>1.2199999999999999E-3</v>
      </c>
      <c r="V285" s="305"/>
      <c r="W285" s="305"/>
      <c r="X285" s="192" t="s">
        <v>1405</v>
      </c>
      <c r="Y285" s="192" t="s">
        <v>1406</v>
      </c>
      <c r="Z285" s="305"/>
      <c r="AA285" s="192" t="s">
        <v>1407</v>
      </c>
      <c r="AB285" s="192" t="s">
        <v>1408</v>
      </c>
      <c r="AC285" s="305"/>
      <c r="AD285" s="305"/>
      <c r="AE285" s="424"/>
    </row>
    <row r="286" spans="5:31" ht="14.5" x14ac:dyDescent="0.35">
      <c r="E286" s="192">
        <v>278</v>
      </c>
      <c r="F286" s="192" t="s">
        <v>220</v>
      </c>
      <c r="G286" s="192" t="s">
        <v>352</v>
      </c>
      <c r="H286" s="192" t="s">
        <v>1860</v>
      </c>
      <c r="I286" s="192" t="s">
        <v>1892</v>
      </c>
      <c r="J286" s="192" t="s">
        <v>985</v>
      </c>
      <c r="K286" s="192" t="s">
        <v>353</v>
      </c>
      <c r="L286" s="192" t="str">
        <f t="shared" si="5"/>
        <v>TransportFleetFleet vehicle - fuelPool car - fuelHVOAverage</v>
      </c>
      <c r="M286" s="192" t="s">
        <v>1142</v>
      </c>
      <c r="N286" s="192" t="s">
        <v>316</v>
      </c>
      <c r="O286" s="192" t="s">
        <v>343</v>
      </c>
      <c r="P286" s="374">
        <v>9.9309999999999992</v>
      </c>
      <c r="Q286" s="376">
        <f>0.03558/P286</f>
        <v>3.5827207733360191E-3</v>
      </c>
      <c r="R286" s="305"/>
      <c r="S286" s="305"/>
      <c r="T286" s="304">
        <f>0.56439/P286</f>
        <v>5.6831134830329269E-2</v>
      </c>
      <c r="U286" s="305"/>
      <c r="V286" s="305"/>
      <c r="W286" s="386">
        <f>2.43/P286</f>
        <v>0.24468834961232508</v>
      </c>
      <c r="X286" s="378" t="s">
        <v>1316</v>
      </c>
      <c r="Y286" s="305"/>
      <c r="Z286" s="305"/>
      <c r="AA286" s="378" t="s">
        <v>1317</v>
      </c>
      <c r="AB286" s="305"/>
      <c r="AC286" s="305"/>
      <c r="AD286" s="304" t="s">
        <v>1450</v>
      </c>
      <c r="AE286" s="424" t="s">
        <v>1732</v>
      </c>
    </row>
    <row r="287" spans="5:31" ht="14.5" x14ac:dyDescent="0.35">
      <c r="E287" s="192">
        <v>279</v>
      </c>
      <c r="F287" s="192" t="s">
        <v>220</v>
      </c>
      <c r="G287" s="192" t="s">
        <v>352</v>
      </c>
      <c r="H287" s="192" t="s">
        <v>1860</v>
      </c>
      <c r="I287" s="192" t="s">
        <v>1892</v>
      </c>
      <c r="J287" s="192" t="s">
        <v>1018</v>
      </c>
      <c r="K287" s="192" t="s">
        <v>353</v>
      </c>
      <c r="L287" s="192" t="str">
        <f t="shared" si="5"/>
        <v>TransportFleetFleet vehicle - fuelPool car - fuelMEAverage</v>
      </c>
      <c r="M287" s="192" t="s">
        <v>1142</v>
      </c>
      <c r="N287" s="192" t="s">
        <v>316</v>
      </c>
      <c r="O287" s="192" t="s">
        <v>343</v>
      </c>
      <c r="P287" s="374">
        <v>9.5679999999999996</v>
      </c>
      <c r="Q287" s="376">
        <f>0.16751/P287</f>
        <v>1.7507316053511704E-2</v>
      </c>
      <c r="R287" s="305"/>
      <c r="S287" s="305"/>
      <c r="T287" s="304">
        <f>0.39508/P287</f>
        <v>4.1291806020066893E-2</v>
      </c>
      <c r="U287" s="305"/>
      <c r="V287" s="305"/>
      <c r="W287" s="304">
        <f>2.39/P287</f>
        <v>0.24979096989966557</v>
      </c>
      <c r="X287" s="304" t="s">
        <v>1451</v>
      </c>
      <c r="Y287" s="305"/>
      <c r="Z287" s="305"/>
      <c r="AA287" s="304" t="s">
        <v>1452</v>
      </c>
      <c r="AB287" s="305"/>
      <c r="AC287" s="305"/>
      <c r="AD287" s="304" t="s">
        <v>1453</v>
      </c>
      <c r="AE287" s="424" t="s">
        <v>1732</v>
      </c>
    </row>
    <row r="288" spans="5:31" ht="14.5" x14ac:dyDescent="0.35">
      <c r="E288" s="192">
        <v>280</v>
      </c>
      <c r="F288" s="192" t="s">
        <v>220</v>
      </c>
      <c r="G288" s="192" t="s">
        <v>352</v>
      </c>
      <c r="H288" s="192" t="s">
        <v>1860</v>
      </c>
      <c r="I288" s="192" t="s">
        <v>1892</v>
      </c>
      <c r="J288" s="192" t="s">
        <v>1019</v>
      </c>
      <c r="K288" s="192" t="s">
        <v>353</v>
      </c>
      <c r="L288" s="192" t="str">
        <f t="shared" si="5"/>
        <v>TransportFleetFleet vehicle - fuelPool car - fuel100% BiopetrolAverage</v>
      </c>
      <c r="M288" s="192" t="s">
        <v>1142</v>
      </c>
      <c r="N288" s="192" t="s">
        <v>316</v>
      </c>
      <c r="O288" s="192" t="s">
        <v>343</v>
      </c>
      <c r="P288" s="374">
        <f>0.014/Q288</f>
        <v>9.1924702992512817</v>
      </c>
      <c r="Q288" s="376">
        <f>0.42339/278</f>
        <v>1.5229856115107914E-3</v>
      </c>
      <c r="R288" s="305"/>
      <c r="S288" s="305"/>
      <c r="T288" s="304">
        <f>28.909/278</f>
        <v>0.10398920863309352</v>
      </c>
      <c r="U288" s="305"/>
      <c r="V288" s="305"/>
      <c r="W288" s="304">
        <f>71.37/278</f>
        <v>0.25672661870503599</v>
      </c>
      <c r="X288" s="304" t="s">
        <v>1454</v>
      </c>
      <c r="Y288" s="305"/>
      <c r="Z288" s="305"/>
      <c r="AA288" s="304" t="s">
        <v>1455</v>
      </c>
      <c r="AB288" s="305"/>
      <c r="AC288" s="305"/>
      <c r="AD288" s="304" t="s">
        <v>1456</v>
      </c>
      <c r="AE288" s="424" t="s">
        <v>1733</v>
      </c>
    </row>
    <row r="289" spans="5:31" ht="14.5" x14ac:dyDescent="0.35">
      <c r="E289" s="192">
        <v>281</v>
      </c>
      <c r="F289" s="192" t="s">
        <v>220</v>
      </c>
      <c r="G289" s="192" t="s">
        <v>352</v>
      </c>
      <c r="H289" s="192" t="s">
        <v>1860</v>
      </c>
      <c r="I289" s="192" t="s">
        <v>1893</v>
      </c>
      <c r="J289" s="192" t="s">
        <v>351</v>
      </c>
      <c r="K289" s="192" t="s">
        <v>353</v>
      </c>
      <c r="L289" s="192" t="str">
        <f t="shared" si="5"/>
        <v>TransportFleetFleet vehicle - fuelVan - fuelPetrolAverage</v>
      </c>
      <c r="M289" s="192" t="s">
        <v>1142</v>
      </c>
      <c r="N289" s="192" t="s">
        <v>316</v>
      </c>
      <c r="O289" s="192" t="s">
        <v>343</v>
      </c>
      <c r="P289" s="374">
        <v>9.423</v>
      </c>
      <c r="Q289" s="376">
        <v>0.21956000000000001</v>
      </c>
      <c r="R289" s="305"/>
      <c r="S289" s="305"/>
      <c r="T289" s="304">
        <v>6.1400000000000003E-2</v>
      </c>
      <c r="U289" s="305"/>
      <c r="V289" s="305"/>
      <c r="W289" s="305"/>
      <c r="X289" s="304" t="s">
        <v>1442</v>
      </c>
      <c r="Y289" s="305"/>
      <c r="Z289" s="305"/>
      <c r="AA289" s="304" t="s">
        <v>1443</v>
      </c>
      <c r="AB289" s="305"/>
      <c r="AC289" s="305"/>
      <c r="AD289" s="305"/>
      <c r="AE289" s="424"/>
    </row>
    <row r="290" spans="5:31" ht="14.5" x14ac:dyDescent="0.35">
      <c r="E290" s="192">
        <v>282</v>
      </c>
      <c r="F290" s="192" t="s">
        <v>220</v>
      </c>
      <c r="G290" s="192" t="s">
        <v>352</v>
      </c>
      <c r="H290" s="192" t="s">
        <v>1860</v>
      </c>
      <c r="I290" s="192" t="s">
        <v>1893</v>
      </c>
      <c r="J290" s="192" t="s">
        <v>1016</v>
      </c>
      <c r="K290" s="192" t="s">
        <v>353</v>
      </c>
      <c r="L290" s="192" t="str">
        <f t="shared" si="5"/>
        <v>TransportFleetFleet vehicle - fuelVan - fuelPetrol - 100% mineralAverage</v>
      </c>
      <c r="M290" s="192" t="s">
        <v>1142</v>
      </c>
      <c r="N290" s="192" t="s">
        <v>316</v>
      </c>
      <c r="O290" s="192" t="s">
        <v>343</v>
      </c>
      <c r="P290" s="374">
        <v>9.6850000000000005</v>
      </c>
      <c r="Q290" s="376">
        <v>0.24159</v>
      </c>
      <c r="R290" s="305"/>
      <c r="S290" s="305"/>
      <c r="T290" s="304">
        <v>6.2530000000000002E-2</v>
      </c>
      <c r="U290" s="305"/>
      <c r="V290" s="305"/>
      <c r="W290" s="305"/>
      <c r="X290" s="304" t="s">
        <v>1444</v>
      </c>
      <c r="Y290" s="305"/>
      <c r="Z290" s="305"/>
      <c r="AA290" s="304" t="s">
        <v>1445</v>
      </c>
      <c r="AB290" s="305"/>
      <c r="AC290" s="305"/>
      <c r="AD290" s="305"/>
      <c r="AE290" s="424"/>
    </row>
    <row r="291" spans="5:31" ht="14.5" x14ac:dyDescent="0.35">
      <c r="E291" s="192">
        <v>283</v>
      </c>
      <c r="F291" s="192" t="s">
        <v>220</v>
      </c>
      <c r="G291" s="192" t="s">
        <v>352</v>
      </c>
      <c r="H291" s="192" t="s">
        <v>1860</v>
      </c>
      <c r="I291" s="192" t="s">
        <v>1893</v>
      </c>
      <c r="J291" s="192" t="s">
        <v>1006</v>
      </c>
      <c r="K291" s="192" t="s">
        <v>353</v>
      </c>
      <c r="L291" s="192" t="str">
        <f t="shared" si="5"/>
        <v>TransportFleetFleet vehicle - fuelVan - fuelDieselAverage</v>
      </c>
      <c r="M291" s="192" t="s">
        <v>1142</v>
      </c>
      <c r="N291" s="192" t="s">
        <v>316</v>
      </c>
      <c r="O291" s="192" t="s">
        <v>343</v>
      </c>
      <c r="P291" s="374">
        <v>10.531000000000001</v>
      </c>
      <c r="Q291" s="376">
        <v>0.24410999999999999</v>
      </c>
      <c r="R291" s="305"/>
      <c r="S291" s="305"/>
      <c r="T291" s="304">
        <v>5.8160000000000003E-2</v>
      </c>
      <c r="U291" s="305"/>
      <c r="V291" s="305"/>
      <c r="W291" s="305"/>
      <c r="X291" s="304" t="s">
        <v>1446</v>
      </c>
      <c r="Y291" s="305"/>
      <c r="Z291" s="305"/>
      <c r="AA291" s="304" t="s">
        <v>1447</v>
      </c>
      <c r="AB291" s="305"/>
      <c r="AC291" s="305"/>
      <c r="AD291" s="305"/>
      <c r="AE291" s="424"/>
    </row>
    <row r="292" spans="5:31" ht="14.5" x14ac:dyDescent="0.35">
      <c r="E292" s="192">
        <v>284</v>
      </c>
      <c r="F292" s="192" t="s">
        <v>220</v>
      </c>
      <c r="G292" s="192" t="s">
        <v>352</v>
      </c>
      <c r="H292" s="192" t="s">
        <v>1860</v>
      </c>
      <c r="I292" s="192" t="s">
        <v>1893</v>
      </c>
      <c r="J292" s="192" t="s">
        <v>1017</v>
      </c>
      <c r="K292" s="192" t="s">
        <v>353</v>
      </c>
      <c r="L292" s="192" t="str">
        <f t="shared" si="5"/>
        <v>TransportFleetFleet vehicle - fuelVan - fuelDiesel - 100% mineralAverage</v>
      </c>
      <c r="M292" s="192" t="s">
        <v>1142</v>
      </c>
      <c r="N292" s="192" t="s">
        <v>316</v>
      </c>
      <c r="O292" s="192" t="s">
        <v>343</v>
      </c>
      <c r="P292" s="374">
        <v>10.561</v>
      </c>
      <c r="Q292" s="376">
        <v>0.25198999999999999</v>
      </c>
      <c r="R292" s="305"/>
      <c r="S292" s="305"/>
      <c r="T292" s="304">
        <v>5.9130000000000002E-2</v>
      </c>
      <c r="U292" s="305"/>
      <c r="V292" s="305"/>
      <c r="W292" s="305"/>
      <c r="X292" s="304" t="s">
        <v>1448</v>
      </c>
      <c r="Y292" s="305"/>
      <c r="Z292" s="305"/>
      <c r="AA292" s="304" t="s">
        <v>1449</v>
      </c>
      <c r="AB292" s="305"/>
      <c r="AC292" s="305"/>
      <c r="AD292" s="305"/>
      <c r="AE292" s="424"/>
    </row>
    <row r="293" spans="5:31" ht="14.5" x14ac:dyDescent="0.35">
      <c r="E293" s="192">
        <v>285</v>
      </c>
      <c r="F293" s="192" t="s">
        <v>220</v>
      </c>
      <c r="G293" s="192" t="s">
        <v>352</v>
      </c>
      <c r="H293" s="192" t="s">
        <v>1860</v>
      </c>
      <c r="I293" s="192" t="s">
        <v>1893</v>
      </c>
      <c r="J293" s="192" t="s">
        <v>1007</v>
      </c>
      <c r="K293" s="192" t="s">
        <v>353</v>
      </c>
      <c r="L293" s="192" t="str">
        <f t="shared" si="5"/>
        <v>TransportFleetFleet vehicle - fuelVan - fuelBattery Electric VehicleAverage</v>
      </c>
      <c r="M293" s="192" t="s">
        <v>1142</v>
      </c>
      <c r="N293" s="192" t="s">
        <v>316</v>
      </c>
      <c r="O293" s="305"/>
      <c r="P293" s="372"/>
      <c r="Q293" s="377"/>
      <c r="R293" s="304">
        <v>0.17699999999999999</v>
      </c>
      <c r="S293" s="305"/>
      <c r="T293" s="304">
        <v>4.5900000000000003E-2</v>
      </c>
      <c r="U293" s="304">
        <v>1.8530000000000001E-2</v>
      </c>
      <c r="V293" s="304">
        <v>3.9699999999999996E-3</v>
      </c>
      <c r="W293" s="305"/>
      <c r="X293" s="305"/>
      <c r="Y293" s="192" t="s">
        <v>1324</v>
      </c>
      <c r="Z293" s="305"/>
      <c r="AA293" s="192" t="s">
        <v>1325</v>
      </c>
      <c r="AB293" s="192" t="s">
        <v>1326</v>
      </c>
      <c r="AC293" s="192" t="s">
        <v>1327</v>
      </c>
      <c r="AD293" s="305"/>
      <c r="AE293" s="424"/>
    </row>
    <row r="294" spans="5:31" ht="14.5" x14ac:dyDescent="0.35">
      <c r="E294" s="192">
        <v>286</v>
      </c>
      <c r="F294" s="192" t="s">
        <v>220</v>
      </c>
      <c r="G294" s="192" t="s">
        <v>352</v>
      </c>
      <c r="H294" s="192" t="s">
        <v>1860</v>
      </c>
      <c r="I294" s="192" t="s">
        <v>1893</v>
      </c>
      <c r="J294" s="192" t="s">
        <v>1008</v>
      </c>
      <c r="K294" s="192" t="s">
        <v>353</v>
      </c>
      <c r="L294" s="192" t="str">
        <f t="shared" si="5"/>
        <v>TransportFleetFleet vehicle - fuelVan - fuelHybridAverage</v>
      </c>
      <c r="M294" s="192" t="s">
        <v>1142</v>
      </c>
      <c r="N294" s="192" t="s">
        <v>316</v>
      </c>
      <c r="O294" s="192" t="s">
        <v>343</v>
      </c>
      <c r="P294" s="374"/>
      <c r="Q294" s="376">
        <v>0.12825</v>
      </c>
      <c r="R294" s="305"/>
      <c r="S294" s="305"/>
      <c r="T294" s="304">
        <v>3.3149999999999999E-2</v>
      </c>
      <c r="U294" s="305"/>
      <c r="V294" s="305"/>
      <c r="W294" s="305"/>
      <c r="X294" s="192" t="s">
        <v>1391</v>
      </c>
      <c r="Y294" s="305"/>
      <c r="Z294" s="305"/>
      <c r="AA294" s="192" t="s">
        <v>1392</v>
      </c>
      <c r="AB294" s="305"/>
      <c r="AC294" s="305"/>
      <c r="AD294" s="305"/>
      <c r="AE294" s="424"/>
    </row>
    <row r="295" spans="5:31" ht="14.5" x14ac:dyDescent="0.35">
      <c r="E295" s="192">
        <v>287</v>
      </c>
      <c r="F295" s="192" t="s">
        <v>220</v>
      </c>
      <c r="G295" s="192" t="s">
        <v>352</v>
      </c>
      <c r="H295" s="192" t="s">
        <v>1860</v>
      </c>
      <c r="I295" s="192" t="s">
        <v>1893</v>
      </c>
      <c r="J295" s="192" t="s">
        <v>1009</v>
      </c>
      <c r="K295" s="192" t="s">
        <v>353</v>
      </c>
      <c r="L295" s="192" t="str">
        <f t="shared" si="5"/>
        <v>TransportFleetFleet vehicle - fuelVan - fuelPlug-in Hybrid Electric VehicleAverage</v>
      </c>
      <c r="M295" s="192" t="s">
        <v>1142</v>
      </c>
      <c r="N295" s="192" t="s">
        <v>316</v>
      </c>
      <c r="O295" s="192" t="s">
        <v>343</v>
      </c>
      <c r="P295" s="374"/>
      <c r="Q295" s="376">
        <v>9.1670000000000001E-2</v>
      </c>
      <c r="R295" s="304">
        <v>1.171E-2</v>
      </c>
      <c r="S295" s="305"/>
      <c r="T295" s="304">
        <v>2.9340000000000001E-2</v>
      </c>
      <c r="U295" s="304">
        <v>1.2199999999999999E-3</v>
      </c>
      <c r="V295" s="305"/>
      <c r="W295" s="305"/>
      <c r="X295" s="192" t="s">
        <v>1405</v>
      </c>
      <c r="Y295" s="192" t="s">
        <v>1406</v>
      </c>
      <c r="Z295" s="305"/>
      <c r="AA295" s="192" t="s">
        <v>1407</v>
      </c>
      <c r="AB295" s="192" t="s">
        <v>1408</v>
      </c>
      <c r="AC295" s="305"/>
      <c r="AD295" s="305"/>
      <c r="AE295" s="424"/>
    </row>
    <row r="296" spans="5:31" ht="14.5" x14ac:dyDescent="0.35">
      <c r="E296" s="192">
        <v>288</v>
      </c>
      <c r="F296" s="192" t="s">
        <v>220</v>
      </c>
      <c r="G296" s="192" t="s">
        <v>352</v>
      </c>
      <c r="H296" s="192" t="s">
        <v>1860</v>
      </c>
      <c r="I296" s="192" t="s">
        <v>1893</v>
      </c>
      <c r="J296" s="192" t="s">
        <v>985</v>
      </c>
      <c r="K296" s="192" t="s">
        <v>353</v>
      </c>
      <c r="L296" s="192" t="str">
        <f t="shared" si="5"/>
        <v>TransportFleetFleet vehicle - fuelVan - fuelHVOAverage</v>
      </c>
      <c r="M296" s="192" t="s">
        <v>1142</v>
      </c>
      <c r="N296" s="192" t="s">
        <v>316</v>
      </c>
      <c r="O296" s="192" t="s">
        <v>343</v>
      </c>
      <c r="P296" s="374">
        <v>9.9309999999999992</v>
      </c>
      <c r="Q296" s="376">
        <f>0.03558/P296</f>
        <v>3.5827207733360191E-3</v>
      </c>
      <c r="R296" s="305"/>
      <c r="S296" s="305"/>
      <c r="T296" s="304">
        <f>0.56439/P296</f>
        <v>5.6831134830329269E-2</v>
      </c>
      <c r="U296" s="305"/>
      <c r="V296" s="305"/>
      <c r="W296" s="386">
        <f>2.43/P296</f>
        <v>0.24468834961232508</v>
      </c>
      <c r="X296" s="378" t="s">
        <v>1316</v>
      </c>
      <c r="Y296" s="305"/>
      <c r="Z296" s="305"/>
      <c r="AA296" s="378" t="s">
        <v>1317</v>
      </c>
      <c r="AB296" s="305"/>
      <c r="AC296" s="305"/>
      <c r="AD296" s="304" t="s">
        <v>1450</v>
      </c>
      <c r="AE296" s="424"/>
    </row>
    <row r="297" spans="5:31" ht="14.5" x14ac:dyDescent="0.35">
      <c r="E297" s="192">
        <v>289</v>
      </c>
      <c r="F297" s="192" t="s">
        <v>220</v>
      </c>
      <c r="G297" s="192" t="s">
        <v>352</v>
      </c>
      <c r="H297" s="192" t="s">
        <v>1860</v>
      </c>
      <c r="I297" s="192" t="s">
        <v>1893</v>
      </c>
      <c r="J297" s="192" t="s">
        <v>1018</v>
      </c>
      <c r="K297" s="192" t="s">
        <v>353</v>
      </c>
      <c r="L297" s="192" t="str">
        <f t="shared" si="5"/>
        <v>TransportFleetFleet vehicle - fuelVan - fuelMEAverage</v>
      </c>
      <c r="M297" s="192" t="s">
        <v>1142</v>
      </c>
      <c r="N297" s="192" t="s">
        <v>316</v>
      </c>
      <c r="O297" s="192" t="s">
        <v>343</v>
      </c>
      <c r="P297" s="374">
        <v>9.5679999999999996</v>
      </c>
      <c r="Q297" s="376">
        <f>0.16751/P297</f>
        <v>1.7507316053511704E-2</v>
      </c>
      <c r="R297" s="305"/>
      <c r="S297" s="305"/>
      <c r="T297" s="304">
        <f>0.39508/P297</f>
        <v>4.1291806020066893E-2</v>
      </c>
      <c r="U297" s="305"/>
      <c r="V297" s="305"/>
      <c r="W297" s="304">
        <f>2.39/P297</f>
        <v>0.24979096989966557</v>
      </c>
      <c r="X297" s="304" t="s">
        <v>1451</v>
      </c>
      <c r="Y297" s="305"/>
      <c r="Z297" s="305"/>
      <c r="AA297" s="304" t="s">
        <v>1452</v>
      </c>
      <c r="AB297" s="305"/>
      <c r="AC297" s="305"/>
      <c r="AD297" s="304" t="s">
        <v>1453</v>
      </c>
      <c r="AE297" s="424"/>
    </row>
    <row r="298" spans="5:31" ht="14.5" x14ac:dyDescent="0.35">
      <c r="E298" s="192">
        <v>290</v>
      </c>
      <c r="F298" s="192" t="s">
        <v>220</v>
      </c>
      <c r="G298" s="192" t="s">
        <v>352</v>
      </c>
      <c r="H298" s="192" t="s">
        <v>1860</v>
      </c>
      <c r="I298" s="192" t="s">
        <v>1893</v>
      </c>
      <c r="J298" s="192" t="s">
        <v>1019</v>
      </c>
      <c r="K298" s="192" t="s">
        <v>353</v>
      </c>
      <c r="L298" s="192" t="str">
        <f t="shared" si="5"/>
        <v>TransportFleetFleet vehicle - fuelVan - fuel100% BiopetrolAverage</v>
      </c>
      <c r="M298" s="192" t="s">
        <v>1142</v>
      </c>
      <c r="N298" s="192" t="s">
        <v>316</v>
      </c>
      <c r="O298" s="192" t="s">
        <v>343</v>
      </c>
      <c r="P298" s="374">
        <f>0.014/Q298</f>
        <v>9.1924702992512817</v>
      </c>
      <c r="Q298" s="376">
        <f>0.42339/278</f>
        <v>1.5229856115107914E-3</v>
      </c>
      <c r="R298" s="305"/>
      <c r="S298" s="305"/>
      <c r="T298" s="304">
        <f>28.909/278</f>
        <v>0.10398920863309352</v>
      </c>
      <c r="U298" s="305"/>
      <c r="V298" s="305"/>
      <c r="W298" s="304">
        <f>71.37/278</f>
        <v>0.25672661870503599</v>
      </c>
      <c r="X298" s="304" t="s">
        <v>1454</v>
      </c>
      <c r="Y298" s="305"/>
      <c r="Z298" s="305"/>
      <c r="AA298" s="304" t="s">
        <v>1455</v>
      </c>
      <c r="AB298" s="305"/>
      <c r="AC298" s="305"/>
      <c r="AD298" s="304" t="s">
        <v>1456</v>
      </c>
      <c r="AE298" s="424" t="s">
        <v>1733</v>
      </c>
    </row>
    <row r="299" spans="5:31" ht="14.5" x14ac:dyDescent="0.35">
      <c r="E299" s="192">
        <v>291</v>
      </c>
      <c r="F299" s="192" t="s">
        <v>220</v>
      </c>
      <c r="G299" s="192" t="s">
        <v>352</v>
      </c>
      <c r="H299" s="192" t="s">
        <v>1860</v>
      </c>
      <c r="I299" s="192" t="s">
        <v>1894</v>
      </c>
      <c r="J299" s="192" t="s">
        <v>985</v>
      </c>
      <c r="K299" s="192" t="s">
        <v>353</v>
      </c>
      <c r="L299" s="192" t="str">
        <f t="shared" si="5"/>
        <v>TransportFleetFleet vehicle - fuelHGV - fuelHVOAverage</v>
      </c>
      <c r="M299" s="192" t="s">
        <v>1142</v>
      </c>
      <c r="N299" s="192" t="s">
        <v>316</v>
      </c>
      <c r="O299" s="192" t="s">
        <v>343</v>
      </c>
      <c r="P299" s="374">
        <v>9.9309999999999992</v>
      </c>
      <c r="Q299" s="376">
        <f>0.03558/P299</f>
        <v>3.5827207733360191E-3</v>
      </c>
      <c r="R299" s="305"/>
      <c r="S299" s="305"/>
      <c r="T299" s="304">
        <f>0.56439/P299</f>
        <v>5.6831134830329269E-2</v>
      </c>
      <c r="U299" s="305"/>
      <c r="V299" s="305"/>
      <c r="W299" s="386">
        <f>2.43/P299</f>
        <v>0.24468834961232508</v>
      </c>
      <c r="X299" s="378" t="s">
        <v>1316</v>
      </c>
      <c r="Y299" s="305"/>
      <c r="Z299" s="305"/>
      <c r="AA299" s="378" t="s">
        <v>1317</v>
      </c>
      <c r="AB299" s="305"/>
      <c r="AC299" s="305"/>
      <c r="AD299" s="304" t="s">
        <v>1450</v>
      </c>
      <c r="AE299" s="424" t="s">
        <v>1732</v>
      </c>
    </row>
    <row r="300" spans="5:31" ht="14.5" x14ac:dyDescent="0.35">
      <c r="E300" s="192">
        <v>292</v>
      </c>
      <c r="F300" s="192" t="s">
        <v>220</v>
      </c>
      <c r="G300" s="192" t="s">
        <v>352</v>
      </c>
      <c r="H300" s="192" t="s">
        <v>1860</v>
      </c>
      <c r="I300" s="192" t="s">
        <v>1894</v>
      </c>
      <c r="J300" s="192" t="s">
        <v>1018</v>
      </c>
      <c r="K300" s="192" t="s">
        <v>353</v>
      </c>
      <c r="L300" s="192" t="str">
        <f t="shared" si="5"/>
        <v>TransportFleetFleet vehicle - fuelHGV - fuelMEAverage</v>
      </c>
      <c r="M300" s="192" t="s">
        <v>1142</v>
      </c>
      <c r="N300" s="192" t="s">
        <v>316</v>
      </c>
      <c r="O300" s="192" t="s">
        <v>343</v>
      </c>
      <c r="P300" s="374">
        <v>9.5679999999999996</v>
      </c>
      <c r="Q300" s="376">
        <f>0.16751/P300</f>
        <v>1.7507316053511704E-2</v>
      </c>
      <c r="R300" s="305"/>
      <c r="S300" s="305"/>
      <c r="T300" s="304">
        <f>0.39508/P300</f>
        <v>4.1291806020066893E-2</v>
      </c>
      <c r="U300" s="305"/>
      <c r="V300" s="305"/>
      <c r="W300" s="304">
        <f>2.39/P300</f>
        <v>0.24979096989966557</v>
      </c>
      <c r="X300" s="304" t="s">
        <v>1451</v>
      </c>
      <c r="Y300" s="305"/>
      <c r="Z300" s="305"/>
      <c r="AA300" s="304" t="s">
        <v>1452</v>
      </c>
      <c r="AB300" s="305"/>
      <c r="AC300" s="305"/>
      <c r="AD300" s="304" t="s">
        <v>1453</v>
      </c>
      <c r="AE300" s="424" t="s">
        <v>1732</v>
      </c>
    </row>
    <row r="301" spans="5:31" ht="14.5" x14ac:dyDescent="0.35">
      <c r="E301" s="192">
        <v>293</v>
      </c>
      <c r="F301" s="192" t="s">
        <v>220</v>
      </c>
      <c r="G301" s="192" t="s">
        <v>352</v>
      </c>
      <c r="H301" s="192" t="s">
        <v>1860</v>
      </c>
      <c r="I301" s="192" t="s">
        <v>1894</v>
      </c>
      <c r="J301" s="192" t="s">
        <v>1006</v>
      </c>
      <c r="K301" s="192" t="s">
        <v>353</v>
      </c>
      <c r="L301" s="192" t="str">
        <f t="shared" si="5"/>
        <v>TransportFleetFleet vehicle - fuelHGV - fuelDieselAverage</v>
      </c>
      <c r="M301" s="192" t="s">
        <v>1142</v>
      </c>
      <c r="N301" s="192" t="s">
        <v>316</v>
      </c>
      <c r="O301" s="192" t="s">
        <v>343</v>
      </c>
      <c r="P301" s="374">
        <v>10.531000000000001</v>
      </c>
      <c r="Q301" s="376">
        <v>0.24410999999999999</v>
      </c>
      <c r="R301" s="305"/>
      <c r="S301" s="305"/>
      <c r="T301" s="304">
        <v>5.8160000000000003E-2</v>
      </c>
      <c r="U301" s="305"/>
      <c r="V301" s="305"/>
      <c r="W301" s="305"/>
      <c r="X301" s="304" t="s">
        <v>1446</v>
      </c>
      <c r="Y301" s="305"/>
      <c r="Z301" s="305"/>
      <c r="AA301" s="304" t="s">
        <v>1447</v>
      </c>
      <c r="AB301" s="305"/>
      <c r="AC301" s="305"/>
      <c r="AD301" s="305"/>
      <c r="AE301" s="424"/>
    </row>
    <row r="302" spans="5:31" ht="14.5" x14ac:dyDescent="0.35">
      <c r="E302" s="192">
        <v>294</v>
      </c>
      <c r="F302" s="192" t="s">
        <v>220</v>
      </c>
      <c r="G302" s="192" t="s">
        <v>352</v>
      </c>
      <c r="H302" s="192" t="s">
        <v>1860</v>
      </c>
      <c r="I302" s="192" t="s">
        <v>1894</v>
      </c>
      <c r="J302" s="192" t="s">
        <v>1017</v>
      </c>
      <c r="K302" s="192" t="s">
        <v>353</v>
      </c>
      <c r="L302" s="192" t="str">
        <f t="shared" si="5"/>
        <v>TransportFleetFleet vehicle - fuelHGV - fuelDiesel - 100% mineralAverage</v>
      </c>
      <c r="M302" s="192" t="s">
        <v>1142</v>
      </c>
      <c r="N302" s="192" t="s">
        <v>316</v>
      </c>
      <c r="O302" s="192" t="s">
        <v>343</v>
      </c>
      <c r="P302" s="374">
        <v>10.561</v>
      </c>
      <c r="Q302" s="376">
        <v>0.25198999999999999</v>
      </c>
      <c r="R302" s="305"/>
      <c r="S302" s="305"/>
      <c r="T302" s="304">
        <v>5.9130000000000002E-2</v>
      </c>
      <c r="U302" s="305"/>
      <c r="V302" s="305"/>
      <c r="W302" s="305"/>
      <c r="X302" s="304" t="s">
        <v>1448</v>
      </c>
      <c r="Y302" s="305"/>
      <c r="Z302" s="305"/>
      <c r="AA302" s="304" t="s">
        <v>1449</v>
      </c>
      <c r="AB302" s="305"/>
      <c r="AC302" s="305"/>
      <c r="AD302" s="305"/>
      <c r="AE302" s="424"/>
    </row>
    <row r="303" spans="5:31" ht="14.5" x14ac:dyDescent="0.35">
      <c r="E303" s="192">
        <v>295</v>
      </c>
      <c r="F303" s="192" t="s">
        <v>220</v>
      </c>
      <c r="G303" s="192" t="s">
        <v>352</v>
      </c>
      <c r="H303" s="192" t="s">
        <v>1860</v>
      </c>
      <c r="I303" s="192" t="s">
        <v>1894</v>
      </c>
      <c r="J303" s="192" t="s">
        <v>1007</v>
      </c>
      <c r="K303" s="192" t="s">
        <v>353</v>
      </c>
      <c r="L303" s="192" t="str">
        <f t="shared" si="5"/>
        <v>TransportFleetFleet vehicle - fuelHGV - fuelBattery Electric VehicleAverage</v>
      </c>
      <c r="M303" s="192" t="s">
        <v>1142</v>
      </c>
      <c r="N303" s="192" t="s">
        <v>316</v>
      </c>
      <c r="O303" s="305"/>
      <c r="P303" s="372"/>
      <c r="Q303" s="377"/>
      <c r="R303" s="304">
        <v>0.17699999999999999</v>
      </c>
      <c r="S303" s="305"/>
      <c r="T303" s="304">
        <v>4.5900000000000003E-2</v>
      </c>
      <c r="U303" s="304">
        <v>1.8530000000000001E-2</v>
      </c>
      <c r="V303" s="304">
        <v>3.9699999999999996E-3</v>
      </c>
      <c r="W303" s="305"/>
      <c r="X303" s="305"/>
      <c r="Y303" s="192" t="s">
        <v>1324</v>
      </c>
      <c r="Z303" s="305"/>
      <c r="AA303" s="192" t="s">
        <v>1325</v>
      </c>
      <c r="AB303" s="192" t="s">
        <v>1326</v>
      </c>
      <c r="AC303" s="192" t="s">
        <v>1327</v>
      </c>
      <c r="AD303" s="305"/>
      <c r="AE303" s="424"/>
    </row>
    <row r="304" spans="5:31" ht="14.5" x14ac:dyDescent="0.35">
      <c r="E304" s="192">
        <v>296</v>
      </c>
      <c r="F304" s="192" t="s">
        <v>220</v>
      </c>
      <c r="G304" s="192" t="s">
        <v>352</v>
      </c>
      <c r="H304" s="192" t="s">
        <v>1860</v>
      </c>
      <c r="I304" s="192" t="s">
        <v>1895</v>
      </c>
      <c r="J304" s="192" t="s">
        <v>351</v>
      </c>
      <c r="K304" s="192" t="s">
        <v>353</v>
      </c>
      <c r="L304" s="192" t="str">
        <f t="shared" si="5"/>
        <v>TransportFleetFleet vehicle - fuelMotorbike - fuelPetrolAverage</v>
      </c>
      <c r="M304" s="192" t="s">
        <v>1142</v>
      </c>
      <c r="N304" s="192" t="s">
        <v>316</v>
      </c>
      <c r="O304" s="192" t="s">
        <v>343</v>
      </c>
      <c r="P304" s="374">
        <v>9.4619999999999997</v>
      </c>
      <c r="Q304" s="376">
        <v>0.21956000000000001</v>
      </c>
      <c r="R304" s="305"/>
      <c r="S304" s="305"/>
      <c r="T304" s="304">
        <v>6.1400000000000003E-2</v>
      </c>
      <c r="U304" s="305"/>
      <c r="V304" s="305"/>
      <c r="W304" s="305"/>
      <c r="X304" s="304" t="s">
        <v>1442</v>
      </c>
      <c r="Y304" s="305"/>
      <c r="Z304" s="305"/>
      <c r="AA304" s="304" t="s">
        <v>1443</v>
      </c>
      <c r="AB304" s="305"/>
      <c r="AC304" s="305"/>
      <c r="AD304" s="305"/>
      <c r="AE304" s="424"/>
    </row>
    <row r="305" spans="5:31" ht="14.5" x14ac:dyDescent="0.35">
      <c r="E305" s="192">
        <v>297</v>
      </c>
      <c r="F305" s="192" t="s">
        <v>220</v>
      </c>
      <c r="G305" s="192" t="s">
        <v>352</v>
      </c>
      <c r="H305" s="192" t="s">
        <v>1860</v>
      </c>
      <c r="I305" s="192" t="s">
        <v>1896</v>
      </c>
      <c r="J305" s="192" t="s">
        <v>977</v>
      </c>
      <c r="K305" s="192" t="s">
        <v>353</v>
      </c>
      <c r="L305" s="192" t="str">
        <f t="shared" si="5"/>
        <v>TransportFleetFleet vehicle - fuelRolling stock - fuelGas oilAverage</v>
      </c>
      <c r="M305" s="192" t="s">
        <v>1142</v>
      </c>
      <c r="N305" s="192" t="s">
        <v>316</v>
      </c>
      <c r="O305" s="192" t="s">
        <v>343</v>
      </c>
      <c r="P305" s="374">
        <v>10.598000000000001</v>
      </c>
      <c r="Q305" s="376">
        <v>0.25650000000000001</v>
      </c>
      <c r="R305" s="305"/>
      <c r="S305" s="305"/>
      <c r="T305" s="304">
        <v>5.9130000000000002E-2</v>
      </c>
      <c r="U305" s="305"/>
      <c r="V305" s="305"/>
      <c r="W305" s="305"/>
      <c r="X305" s="304" t="s">
        <v>1308</v>
      </c>
      <c r="Y305" s="305"/>
      <c r="Z305" s="305"/>
      <c r="AA305" s="304" t="s">
        <v>1309</v>
      </c>
      <c r="AB305" s="305"/>
      <c r="AC305" s="305"/>
      <c r="AD305" s="305"/>
      <c r="AE305" s="424"/>
    </row>
    <row r="306" spans="5:31" ht="14.5" x14ac:dyDescent="0.35">
      <c r="E306" s="192">
        <v>298</v>
      </c>
      <c r="F306" s="192" t="s">
        <v>220</v>
      </c>
      <c r="G306" s="192" t="s">
        <v>352</v>
      </c>
      <c r="H306" s="192" t="s">
        <v>1020</v>
      </c>
      <c r="I306" s="192" t="s">
        <v>1021</v>
      </c>
      <c r="J306" s="192" t="s">
        <v>351</v>
      </c>
      <c r="K306" s="192" t="s">
        <v>353</v>
      </c>
      <c r="L306" s="192" t="str">
        <f t="shared" si="5"/>
        <v>TransportFleetStationary fleetGeneratorPetrolAverage</v>
      </c>
      <c r="M306" s="192" t="s">
        <v>1142</v>
      </c>
      <c r="N306" s="192" t="s">
        <v>316</v>
      </c>
      <c r="O306" s="192" t="s">
        <v>343</v>
      </c>
      <c r="P306" s="374">
        <v>9.4619999999999997</v>
      </c>
      <c r="Q306" s="376">
        <v>0.21956000000000001</v>
      </c>
      <c r="R306" s="305"/>
      <c r="S306" s="305"/>
      <c r="T306" s="304">
        <v>6.1400000000000003E-2</v>
      </c>
      <c r="U306" s="305"/>
      <c r="V306" s="305"/>
      <c r="W306" s="305"/>
      <c r="X306" s="304" t="s">
        <v>1442</v>
      </c>
      <c r="Y306" s="305"/>
      <c r="Z306" s="305"/>
      <c r="AA306" s="304" t="s">
        <v>1443</v>
      </c>
      <c r="AB306" s="305"/>
      <c r="AC306" s="305"/>
      <c r="AD306" s="305"/>
      <c r="AE306" s="424"/>
    </row>
    <row r="307" spans="5:31" ht="14.5" x14ac:dyDescent="0.35">
      <c r="E307" s="192">
        <v>299</v>
      </c>
      <c r="F307" s="192" t="s">
        <v>220</v>
      </c>
      <c r="G307" s="192" t="s">
        <v>352</v>
      </c>
      <c r="H307" s="192" t="s">
        <v>1020</v>
      </c>
      <c r="I307" s="192" t="s">
        <v>1021</v>
      </c>
      <c r="J307" s="192" t="s">
        <v>1016</v>
      </c>
      <c r="K307" s="192" t="s">
        <v>353</v>
      </c>
      <c r="L307" s="192" t="str">
        <f t="shared" si="5"/>
        <v>TransportFleetStationary fleetGeneratorPetrol - 100% mineralAverage</v>
      </c>
      <c r="M307" s="192" t="s">
        <v>1142</v>
      </c>
      <c r="N307" s="192" t="s">
        <v>316</v>
      </c>
      <c r="O307" s="192" t="s">
        <v>343</v>
      </c>
      <c r="P307" s="374">
        <v>9.702</v>
      </c>
      <c r="Q307" s="376">
        <v>0.24159</v>
      </c>
      <c r="R307" s="305"/>
      <c r="S307" s="305"/>
      <c r="T307" s="304">
        <v>6.2530000000000002E-2</v>
      </c>
      <c r="U307" s="305"/>
      <c r="V307" s="305"/>
      <c r="W307" s="305"/>
      <c r="X307" s="304" t="s">
        <v>1444</v>
      </c>
      <c r="Y307" s="305"/>
      <c r="Z307" s="305"/>
      <c r="AA307" s="304" t="s">
        <v>1445</v>
      </c>
      <c r="AB307" s="305"/>
      <c r="AC307" s="305"/>
      <c r="AD307" s="305"/>
      <c r="AE307" s="424"/>
    </row>
    <row r="308" spans="5:31" ht="14.5" x14ac:dyDescent="0.35">
      <c r="E308" s="192">
        <v>300</v>
      </c>
      <c r="F308" s="192" t="s">
        <v>220</v>
      </c>
      <c r="G308" s="192" t="s">
        <v>352</v>
      </c>
      <c r="H308" s="192" t="s">
        <v>1020</v>
      </c>
      <c r="I308" s="192" t="s">
        <v>1021</v>
      </c>
      <c r="J308" s="192" t="s">
        <v>1006</v>
      </c>
      <c r="K308" s="192" t="s">
        <v>353</v>
      </c>
      <c r="L308" s="192" t="str">
        <f t="shared" si="5"/>
        <v>TransportFleetStationary fleetGeneratorDieselAverage</v>
      </c>
      <c r="M308" s="192" t="s">
        <v>1142</v>
      </c>
      <c r="N308" s="192" t="s">
        <v>316</v>
      </c>
      <c r="O308" s="192" t="s">
        <v>343</v>
      </c>
      <c r="P308" s="374">
        <v>10.506</v>
      </c>
      <c r="Q308" s="376">
        <v>0.24410999999999999</v>
      </c>
      <c r="R308" s="305"/>
      <c r="S308" s="305"/>
      <c r="T308" s="304">
        <v>5.8160000000000003E-2</v>
      </c>
      <c r="U308" s="305"/>
      <c r="V308" s="305"/>
      <c r="W308" s="305"/>
      <c r="X308" s="304" t="s">
        <v>1446</v>
      </c>
      <c r="Y308" s="305"/>
      <c r="Z308" s="305"/>
      <c r="AA308" s="304" t="s">
        <v>1447</v>
      </c>
      <c r="AB308" s="305"/>
      <c r="AC308" s="305"/>
      <c r="AD308" s="305"/>
      <c r="AE308" s="424"/>
    </row>
    <row r="309" spans="5:31" ht="14.5" x14ac:dyDescent="0.35">
      <c r="E309" s="192">
        <v>301</v>
      </c>
      <c r="F309" s="192" t="s">
        <v>220</v>
      </c>
      <c r="G309" s="192" t="s">
        <v>352</v>
      </c>
      <c r="H309" s="192" t="s">
        <v>1020</v>
      </c>
      <c r="I309" s="192" t="s">
        <v>1021</v>
      </c>
      <c r="J309" s="192" t="s">
        <v>1017</v>
      </c>
      <c r="K309" s="192" t="s">
        <v>353</v>
      </c>
      <c r="L309" s="192" t="str">
        <f t="shared" si="5"/>
        <v>TransportFleetStationary fleetGeneratorDiesel - 100% mineralAverage</v>
      </c>
      <c r="M309" s="192" t="s">
        <v>1142</v>
      </c>
      <c r="N309" s="192" t="s">
        <v>316</v>
      </c>
      <c r="O309" s="192" t="s">
        <v>343</v>
      </c>
      <c r="P309" s="374">
        <v>10.554</v>
      </c>
      <c r="Q309" s="376">
        <v>0.25198999999999999</v>
      </c>
      <c r="R309" s="305"/>
      <c r="S309" s="305"/>
      <c r="T309" s="304">
        <v>5.9130000000000002E-2</v>
      </c>
      <c r="U309" s="305"/>
      <c r="V309" s="305"/>
      <c r="W309" s="305"/>
      <c r="X309" s="304" t="s">
        <v>1448</v>
      </c>
      <c r="Y309" s="305"/>
      <c r="Z309" s="305"/>
      <c r="AA309" s="304" t="s">
        <v>1449</v>
      </c>
      <c r="AB309" s="305"/>
      <c r="AC309" s="305"/>
      <c r="AD309" s="305"/>
      <c r="AE309" s="424"/>
    </row>
    <row r="310" spans="5:31" ht="14.5" x14ac:dyDescent="0.35">
      <c r="E310" s="192">
        <v>302</v>
      </c>
      <c r="F310" s="192" t="s">
        <v>220</v>
      </c>
      <c r="G310" s="192" t="s">
        <v>352</v>
      </c>
      <c r="H310" s="192" t="s">
        <v>1020</v>
      </c>
      <c r="I310" s="192" t="s">
        <v>1021</v>
      </c>
      <c r="J310" s="192" t="s">
        <v>985</v>
      </c>
      <c r="K310" s="192" t="s">
        <v>353</v>
      </c>
      <c r="L310" s="192" t="str">
        <f t="shared" si="5"/>
        <v>TransportFleetStationary fleetGeneratorHVOAverage</v>
      </c>
      <c r="M310" s="192" t="s">
        <v>1142</v>
      </c>
      <c r="N310" s="192" t="s">
        <v>316</v>
      </c>
      <c r="O310" s="192" t="s">
        <v>343</v>
      </c>
      <c r="P310" s="374">
        <v>9.9309999999999992</v>
      </c>
      <c r="Q310" s="376">
        <f>0.03558/P310</f>
        <v>3.5827207733360191E-3</v>
      </c>
      <c r="R310" s="305"/>
      <c r="S310" s="305"/>
      <c r="T310" s="304">
        <f>0.56439/P310</f>
        <v>5.6831134830329269E-2</v>
      </c>
      <c r="U310" s="305"/>
      <c r="V310" s="305"/>
      <c r="W310" s="386">
        <f>2.43/P310</f>
        <v>0.24468834961232508</v>
      </c>
      <c r="X310" s="378" t="s">
        <v>1316</v>
      </c>
      <c r="Y310" s="305"/>
      <c r="Z310" s="305"/>
      <c r="AA310" s="378" t="s">
        <v>1317</v>
      </c>
      <c r="AB310" s="305"/>
      <c r="AC310" s="305"/>
      <c r="AD310" s="304" t="s">
        <v>1450</v>
      </c>
      <c r="AE310" s="424" t="s">
        <v>1732</v>
      </c>
    </row>
    <row r="311" spans="5:31" ht="14.5" x14ac:dyDescent="0.35">
      <c r="E311" s="192">
        <v>303</v>
      </c>
      <c r="F311" s="192" t="s">
        <v>220</v>
      </c>
      <c r="G311" s="192" t="s">
        <v>352</v>
      </c>
      <c r="H311" s="192" t="s">
        <v>1020</v>
      </c>
      <c r="I311" s="192" t="s">
        <v>1021</v>
      </c>
      <c r="J311" s="192" t="s">
        <v>1018</v>
      </c>
      <c r="K311" s="192" t="s">
        <v>353</v>
      </c>
      <c r="L311" s="192" t="str">
        <f t="shared" si="5"/>
        <v>TransportFleetStationary fleetGeneratorMEAverage</v>
      </c>
      <c r="M311" s="192" t="s">
        <v>1142</v>
      </c>
      <c r="N311" s="192" t="s">
        <v>316</v>
      </c>
      <c r="O311" s="192" t="s">
        <v>343</v>
      </c>
      <c r="P311" s="374">
        <v>9.5679999999999996</v>
      </c>
      <c r="Q311" s="376">
        <f>0.16751/P311</f>
        <v>1.7507316053511704E-2</v>
      </c>
      <c r="R311" s="305"/>
      <c r="S311" s="305"/>
      <c r="T311" s="304">
        <f>0.39508/P311</f>
        <v>4.1291806020066893E-2</v>
      </c>
      <c r="U311" s="305"/>
      <c r="V311" s="305"/>
      <c r="W311" s="304">
        <f>2.39/P311</f>
        <v>0.24979096989966557</v>
      </c>
      <c r="X311" s="304" t="s">
        <v>1451</v>
      </c>
      <c r="Y311" s="305"/>
      <c r="Z311" s="305"/>
      <c r="AA311" s="304" t="s">
        <v>1452</v>
      </c>
      <c r="AB311" s="305"/>
      <c r="AC311" s="305"/>
      <c r="AD311" s="304" t="s">
        <v>1453</v>
      </c>
      <c r="AE311" s="424" t="s">
        <v>1732</v>
      </c>
    </row>
    <row r="312" spans="5:31" ht="14.5" x14ac:dyDescent="0.35">
      <c r="E312" s="192">
        <v>304</v>
      </c>
      <c r="F312" s="192" t="s">
        <v>220</v>
      </c>
      <c r="G312" s="192" t="s">
        <v>352</v>
      </c>
      <c r="H312" s="192" t="s">
        <v>1020</v>
      </c>
      <c r="I312" s="192" t="s">
        <v>1021</v>
      </c>
      <c r="J312" s="192" t="s">
        <v>1019</v>
      </c>
      <c r="K312" s="192" t="s">
        <v>353</v>
      </c>
      <c r="L312" s="192" t="str">
        <f t="shared" si="5"/>
        <v>TransportFleetStationary fleetGenerator100% BiopetrolAverage</v>
      </c>
      <c r="M312" s="192" t="s">
        <v>1142</v>
      </c>
      <c r="N312" s="192" t="s">
        <v>316</v>
      </c>
      <c r="O312" s="192" t="s">
        <v>343</v>
      </c>
      <c r="P312" s="374">
        <f>0.014/Q312</f>
        <v>9.1924702992512817</v>
      </c>
      <c r="Q312" s="376">
        <f>0.42339/278</f>
        <v>1.5229856115107914E-3</v>
      </c>
      <c r="R312" s="305"/>
      <c r="S312" s="305"/>
      <c r="T312" s="304">
        <f>28.909/278</f>
        <v>0.10398920863309352</v>
      </c>
      <c r="U312" s="305"/>
      <c r="V312" s="305"/>
      <c r="W312" s="304">
        <f>71.37/278</f>
        <v>0.25672661870503599</v>
      </c>
      <c r="X312" s="304" t="s">
        <v>1454</v>
      </c>
      <c r="Y312" s="305"/>
      <c r="Z312" s="305"/>
      <c r="AA312" s="304" t="s">
        <v>1455</v>
      </c>
      <c r="AB312" s="305"/>
      <c r="AC312" s="305"/>
      <c r="AD312" s="304" t="s">
        <v>1456</v>
      </c>
      <c r="AE312" s="424" t="s">
        <v>1733</v>
      </c>
    </row>
    <row r="313" spans="5:31" ht="14.5" x14ac:dyDescent="0.35">
      <c r="E313" s="192">
        <v>305</v>
      </c>
      <c r="F313" s="192" t="s">
        <v>220</v>
      </c>
      <c r="G313" s="192" t="s">
        <v>352</v>
      </c>
      <c r="H313" s="192" t="s">
        <v>1020</v>
      </c>
      <c r="I313" s="192" t="s">
        <v>1021</v>
      </c>
      <c r="J313" s="192" t="s">
        <v>977</v>
      </c>
      <c r="K313" s="192" t="s">
        <v>353</v>
      </c>
      <c r="L313" s="192" t="str">
        <f t="shared" ref="L313:L314" si="6">_xlfn.CONCAT(F313:K313)</f>
        <v>TransportFleetStationary fleetGeneratorGas oilAverage</v>
      </c>
      <c r="M313" s="192" t="s">
        <v>1142</v>
      </c>
      <c r="N313" s="192" t="s">
        <v>316</v>
      </c>
      <c r="O313" s="192" t="s">
        <v>343</v>
      </c>
      <c r="P313" s="374">
        <v>10.598000000000001</v>
      </c>
      <c r="Q313" s="376">
        <v>0.25650000000000001</v>
      </c>
      <c r="R313" s="305"/>
      <c r="S313" s="305"/>
      <c r="T313" s="304">
        <v>5.9130000000000002E-2</v>
      </c>
      <c r="U313" s="305"/>
      <c r="V313" s="305"/>
      <c r="W313" s="305"/>
      <c r="X313" s="304" t="s">
        <v>1308</v>
      </c>
      <c r="Y313" s="305"/>
      <c r="Z313" s="305"/>
      <c r="AA313" s="304" t="s">
        <v>1309</v>
      </c>
      <c r="AB313" s="305"/>
      <c r="AC313" s="305"/>
      <c r="AD313" s="305"/>
      <c r="AE313" s="424"/>
    </row>
    <row r="314" spans="5:31" ht="14.5" x14ac:dyDescent="0.35">
      <c r="E314" s="192">
        <v>306</v>
      </c>
      <c r="F314" s="192" t="s">
        <v>220</v>
      </c>
      <c r="G314" s="192" t="s">
        <v>352</v>
      </c>
      <c r="H314" s="192" t="s">
        <v>1020</v>
      </c>
      <c r="I314" s="192" t="s">
        <v>1021</v>
      </c>
      <c r="J314" s="192" t="s">
        <v>981</v>
      </c>
      <c r="K314" s="192" t="s">
        <v>353</v>
      </c>
      <c r="L314" s="192" t="str">
        <f t="shared" si="6"/>
        <v>TransportFleetStationary fleetGeneratorLPGAverage</v>
      </c>
      <c r="M314" s="192" t="s">
        <v>1142</v>
      </c>
      <c r="N314" s="192" t="s">
        <v>356</v>
      </c>
      <c r="O314" s="192" t="s">
        <v>1003</v>
      </c>
      <c r="P314" s="374">
        <v>1.609</v>
      </c>
      <c r="Q314" s="376">
        <v>0.27610000000000001</v>
      </c>
      <c r="R314" s="305"/>
      <c r="S314" s="305"/>
      <c r="T314" s="304">
        <v>3.279E-2</v>
      </c>
      <c r="U314" s="305"/>
      <c r="V314" s="305"/>
      <c r="W314" s="305"/>
      <c r="X314" s="383" t="s">
        <v>1421</v>
      </c>
      <c r="Y314" s="305"/>
      <c r="Z314" s="305"/>
      <c r="AA314" s="383" t="s">
        <v>1422</v>
      </c>
      <c r="AB314" s="305"/>
      <c r="AC314" s="305"/>
      <c r="AD314" s="305"/>
      <c r="AE314" s="424"/>
    </row>
    <row r="315" spans="5:31" ht="14.5" x14ac:dyDescent="0.35">
      <c r="E315" s="192">
        <v>307</v>
      </c>
      <c r="F315" s="192" t="s">
        <v>220</v>
      </c>
      <c r="G315" s="192" t="s">
        <v>352</v>
      </c>
      <c r="H315" s="192" t="s">
        <v>1020</v>
      </c>
      <c r="I315" s="192" t="s">
        <v>1022</v>
      </c>
      <c r="J315" s="192" t="s">
        <v>351</v>
      </c>
      <c r="K315" s="192" t="s">
        <v>353</v>
      </c>
      <c r="L315" s="192" t="str">
        <f t="shared" si="5"/>
        <v>TransportFleetStationary fleetEquipmentPetrolAverage</v>
      </c>
      <c r="M315" s="192" t="s">
        <v>1142</v>
      </c>
      <c r="N315" s="192" t="s">
        <v>316</v>
      </c>
      <c r="O315" s="192" t="s">
        <v>343</v>
      </c>
      <c r="P315" s="374">
        <v>9.423</v>
      </c>
      <c r="Q315" s="376">
        <v>0.21956000000000001</v>
      </c>
      <c r="R315" s="305"/>
      <c r="S315" s="305"/>
      <c r="T315" s="304">
        <v>6.1400000000000003E-2</v>
      </c>
      <c r="U315" s="305"/>
      <c r="V315" s="305"/>
      <c r="W315" s="305"/>
      <c r="X315" s="304" t="s">
        <v>1442</v>
      </c>
      <c r="Y315" s="305"/>
      <c r="Z315" s="305"/>
      <c r="AA315" s="304" t="s">
        <v>1443</v>
      </c>
      <c r="AB315" s="305"/>
      <c r="AC315" s="305"/>
      <c r="AD315" s="305"/>
      <c r="AE315" s="424"/>
    </row>
    <row r="316" spans="5:31" ht="14.5" x14ac:dyDescent="0.35">
      <c r="E316" s="192">
        <v>308</v>
      </c>
      <c r="F316" s="192" t="s">
        <v>220</v>
      </c>
      <c r="G316" s="192" t="s">
        <v>352</v>
      </c>
      <c r="H316" s="192" t="s">
        <v>1020</v>
      </c>
      <c r="I316" s="192" t="s">
        <v>1022</v>
      </c>
      <c r="J316" s="192" t="s">
        <v>1016</v>
      </c>
      <c r="K316" s="192" t="s">
        <v>353</v>
      </c>
      <c r="L316" s="192" t="str">
        <f t="shared" si="5"/>
        <v>TransportFleetStationary fleetEquipmentPetrol - 100% mineralAverage</v>
      </c>
      <c r="M316" s="192" t="s">
        <v>1142</v>
      </c>
      <c r="N316" s="192" t="s">
        <v>316</v>
      </c>
      <c r="O316" s="192" t="s">
        <v>343</v>
      </c>
      <c r="P316" s="374">
        <v>9.6850000000000005</v>
      </c>
      <c r="Q316" s="376">
        <v>0.24159</v>
      </c>
      <c r="R316" s="305"/>
      <c r="S316" s="305"/>
      <c r="T316" s="304">
        <v>6.2530000000000002E-2</v>
      </c>
      <c r="U316" s="305"/>
      <c r="V316" s="305"/>
      <c r="W316" s="305"/>
      <c r="X316" s="304" t="s">
        <v>1444</v>
      </c>
      <c r="Y316" s="305"/>
      <c r="Z316" s="305"/>
      <c r="AA316" s="304" t="s">
        <v>1445</v>
      </c>
      <c r="AB316" s="305"/>
      <c r="AC316" s="305"/>
      <c r="AD316" s="305"/>
      <c r="AE316" s="424"/>
    </row>
    <row r="317" spans="5:31" ht="14.5" x14ac:dyDescent="0.35">
      <c r="E317" s="192">
        <v>309</v>
      </c>
      <c r="F317" s="192" t="s">
        <v>220</v>
      </c>
      <c r="G317" s="192" t="s">
        <v>352</v>
      </c>
      <c r="H317" s="192" t="s">
        <v>1020</v>
      </c>
      <c r="I317" s="192" t="s">
        <v>1022</v>
      </c>
      <c r="J317" s="192" t="s">
        <v>1006</v>
      </c>
      <c r="K317" s="192" t="s">
        <v>353</v>
      </c>
      <c r="L317" s="192" t="str">
        <f t="shared" si="5"/>
        <v>TransportFleetStationary fleetEquipmentDieselAverage</v>
      </c>
      <c r="M317" s="192" t="s">
        <v>1142</v>
      </c>
      <c r="N317" s="192" t="s">
        <v>316</v>
      </c>
      <c r="O317" s="192" t="s">
        <v>343</v>
      </c>
      <c r="P317" s="374">
        <v>10.531000000000001</v>
      </c>
      <c r="Q317" s="376">
        <v>0.24410999999999999</v>
      </c>
      <c r="R317" s="305"/>
      <c r="S317" s="305"/>
      <c r="T317" s="304">
        <v>5.8160000000000003E-2</v>
      </c>
      <c r="U317" s="305"/>
      <c r="V317" s="305"/>
      <c r="W317" s="305"/>
      <c r="X317" s="304" t="s">
        <v>1446</v>
      </c>
      <c r="Y317" s="305"/>
      <c r="Z317" s="305"/>
      <c r="AA317" s="304" t="s">
        <v>1447</v>
      </c>
      <c r="AB317" s="305"/>
      <c r="AC317" s="305"/>
      <c r="AD317" s="305"/>
      <c r="AE317" s="424"/>
    </row>
    <row r="318" spans="5:31" ht="14.5" x14ac:dyDescent="0.35">
      <c r="E318" s="192">
        <v>310</v>
      </c>
      <c r="F318" s="192" t="s">
        <v>220</v>
      </c>
      <c r="G318" s="192" t="s">
        <v>352</v>
      </c>
      <c r="H318" s="192" t="s">
        <v>1020</v>
      </c>
      <c r="I318" s="192" t="s">
        <v>1022</v>
      </c>
      <c r="J318" s="192" t="s">
        <v>1017</v>
      </c>
      <c r="K318" s="192" t="s">
        <v>353</v>
      </c>
      <c r="L318" s="192" t="str">
        <f t="shared" si="5"/>
        <v>TransportFleetStationary fleetEquipmentDiesel - 100% mineralAverage</v>
      </c>
      <c r="M318" s="192" t="s">
        <v>1142</v>
      </c>
      <c r="N318" s="192" t="s">
        <v>316</v>
      </c>
      <c r="O318" s="192" t="s">
        <v>343</v>
      </c>
      <c r="P318" s="374">
        <v>10.561</v>
      </c>
      <c r="Q318" s="376">
        <v>0.25198999999999999</v>
      </c>
      <c r="R318" s="305"/>
      <c r="S318" s="305"/>
      <c r="T318" s="304">
        <v>5.9130000000000002E-2</v>
      </c>
      <c r="U318" s="305"/>
      <c r="V318" s="305"/>
      <c r="W318" s="305"/>
      <c r="X318" s="304" t="s">
        <v>1448</v>
      </c>
      <c r="Y318" s="305"/>
      <c r="Z318" s="305"/>
      <c r="AA318" s="304" t="s">
        <v>1449</v>
      </c>
      <c r="AB318" s="305"/>
      <c r="AC318" s="305"/>
      <c r="AD318" s="305"/>
      <c r="AE318" s="424"/>
    </row>
    <row r="319" spans="5:31" ht="14.5" x14ac:dyDescent="0.35">
      <c r="E319" s="192">
        <v>311</v>
      </c>
      <c r="F319" s="192" t="s">
        <v>220</v>
      </c>
      <c r="G319" s="192" t="s">
        <v>352</v>
      </c>
      <c r="H319" s="192" t="s">
        <v>1020</v>
      </c>
      <c r="I319" s="192" t="s">
        <v>1022</v>
      </c>
      <c r="J319" s="192" t="s">
        <v>281</v>
      </c>
      <c r="K319" s="192" t="s">
        <v>353</v>
      </c>
      <c r="L319" s="192" t="str">
        <f t="shared" si="5"/>
        <v>TransportFleetStationary fleetEquipmentElectricityAverage</v>
      </c>
      <c r="M319" s="192" t="s">
        <v>1142</v>
      </c>
      <c r="N319" s="192" t="s">
        <v>316</v>
      </c>
      <c r="O319" s="305"/>
      <c r="P319" s="372"/>
      <c r="Q319" s="377"/>
      <c r="R319" s="304">
        <v>0.17699999999999999</v>
      </c>
      <c r="S319" s="305"/>
      <c r="T319" s="304">
        <v>4.5900000000000003E-2</v>
      </c>
      <c r="U319" s="304">
        <v>1.8530000000000001E-2</v>
      </c>
      <c r="V319" s="304">
        <v>3.9699999999999996E-3</v>
      </c>
      <c r="W319" s="305"/>
      <c r="X319" s="305"/>
      <c r="Y319" s="192" t="s">
        <v>1324</v>
      </c>
      <c r="Z319" s="305"/>
      <c r="AA319" s="192" t="s">
        <v>1325</v>
      </c>
      <c r="AB319" s="192" t="s">
        <v>1326</v>
      </c>
      <c r="AC319" s="192" t="s">
        <v>1327</v>
      </c>
      <c r="AD319" s="305"/>
      <c r="AE319" s="424"/>
    </row>
    <row r="320" spans="5:31" ht="14.5" x14ac:dyDescent="0.35">
      <c r="E320" s="192">
        <v>312</v>
      </c>
      <c r="F320" s="192" t="s">
        <v>220</v>
      </c>
      <c r="G320" s="192" t="s">
        <v>352</v>
      </c>
      <c r="H320" s="192" t="s">
        <v>1020</v>
      </c>
      <c r="I320" s="192" t="s">
        <v>1022</v>
      </c>
      <c r="J320" s="192" t="s">
        <v>985</v>
      </c>
      <c r="K320" s="192" t="s">
        <v>353</v>
      </c>
      <c r="L320" s="192" t="str">
        <f t="shared" si="5"/>
        <v>TransportFleetStationary fleetEquipmentHVOAverage</v>
      </c>
      <c r="M320" s="192" t="s">
        <v>1142</v>
      </c>
      <c r="N320" s="192" t="s">
        <v>316</v>
      </c>
      <c r="O320" s="192" t="s">
        <v>343</v>
      </c>
      <c r="P320" s="374">
        <v>9.9309999999999992</v>
      </c>
      <c r="Q320" s="376">
        <f>0.03558/P320</f>
        <v>3.5827207733360191E-3</v>
      </c>
      <c r="R320" s="305"/>
      <c r="S320" s="305"/>
      <c r="T320" s="304">
        <f>0.56439/P320</f>
        <v>5.6831134830329269E-2</v>
      </c>
      <c r="U320" s="305"/>
      <c r="V320" s="305"/>
      <c r="W320" s="386">
        <f>2.43/P320</f>
        <v>0.24468834961232508</v>
      </c>
      <c r="X320" s="378" t="s">
        <v>1316</v>
      </c>
      <c r="Y320" s="305"/>
      <c r="Z320" s="305"/>
      <c r="AA320" s="378" t="s">
        <v>1317</v>
      </c>
      <c r="AB320" s="305"/>
      <c r="AC320" s="305"/>
      <c r="AD320" s="304" t="s">
        <v>1450</v>
      </c>
      <c r="AE320" s="424" t="s">
        <v>1732</v>
      </c>
    </row>
    <row r="321" spans="5:31" ht="14.5" x14ac:dyDescent="0.35">
      <c r="E321" s="192">
        <v>313</v>
      </c>
      <c r="F321" s="192" t="s">
        <v>220</v>
      </c>
      <c r="G321" s="192" t="s">
        <v>352</v>
      </c>
      <c r="H321" s="192" t="s">
        <v>1020</v>
      </c>
      <c r="I321" s="192" t="s">
        <v>1022</v>
      </c>
      <c r="J321" s="192" t="s">
        <v>1018</v>
      </c>
      <c r="K321" s="192" t="s">
        <v>353</v>
      </c>
      <c r="L321" s="192" t="str">
        <f t="shared" si="5"/>
        <v>TransportFleetStationary fleetEquipmentMEAverage</v>
      </c>
      <c r="M321" s="192" t="s">
        <v>1142</v>
      </c>
      <c r="N321" s="192" t="s">
        <v>316</v>
      </c>
      <c r="O321" s="192" t="s">
        <v>343</v>
      </c>
      <c r="P321" s="374">
        <v>9.5679999999999996</v>
      </c>
      <c r="Q321" s="376">
        <f>0.16751/P321</f>
        <v>1.7507316053511704E-2</v>
      </c>
      <c r="R321" s="305"/>
      <c r="S321" s="305"/>
      <c r="T321" s="304">
        <f>0.39508/P321</f>
        <v>4.1291806020066893E-2</v>
      </c>
      <c r="U321" s="305"/>
      <c r="V321" s="305"/>
      <c r="W321" s="304">
        <f>2.39/P321</f>
        <v>0.24979096989966557</v>
      </c>
      <c r="X321" s="304" t="s">
        <v>1451</v>
      </c>
      <c r="Y321" s="305"/>
      <c r="Z321" s="305"/>
      <c r="AA321" s="304" t="s">
        <v>1452</v>
      </c>
      <c r="AB321" s="305"/>
      <c r="AC321" s="305"/>
      <c r="AD321" s="304" t="s">
        <v>1453</v>
      </c>
      <c r="AE321" s="424" t="s">
        <v>1732</v>
      </c>
    </row>
    <row r="322" spans="5:31" ht="14.5" x14ac:dyDescent="0.35">
      <c r="E322" s="192">
        <v>314</v>
      </c>
      <c r="F322" s="192" t="s">
        <v>220</v>
      </c>
      <c r="G322" s="192" t="s">
        <v>352</v>
      </c>
      <c r="H322" s="192" t="s">
        <v>1020</v>
      </c>
      <c r="I322" s="192" t="s">
        <v>1022</v>
      </c>
      <c r="J322" s="192" t="s">
        <v>1019</v>
      </c>
      <c r="K322" s="192" t="s">
        <v>353</v>
      </c>
      <c r="L322" s="192" t="str">
        <f t="shared" si="5"/>
        <v>TransportFleetStationary fleetEquipment100% BiopetrolAverage</v>
      </c>
      <c r="M322" s="192" t="s">
        <v>1142</v>
      </c>
      <c r="N322" s="192" t="s">
        <v>316</v>
      </c>
      <c r="O322" s="192" t="s">
        <v>343</v>
      </c>
      <c r="P322" s="374">
        <f>0.014/Q322</f>
        <v>9.1924702992512817</v>
      </c>
      <c r="Q322" s="376">
        <f>0.42339/278</f>
        <v>1.5229856115107914E-3</v>
      </c>
      <c r="R322" s="305"/>
      <c r="S322" s="305"/>
      <c r="T322" s="304">
        <f>28.909/278</f>
        <v>0.10398920863309352</v>
      </c>
      <c r="U322" s="305"/>
      <c r="V322" s="305"/>
      <c r="W322" s="304">
        <f>71.37/278</f>
        <v>0.25672661870503599</v>
      </c>
      <c r="X322" s="304" t="s">
        <v>1454</v>
      </c>
      <c r="Y322" s="305"/>
      <c r="Z322" s="305"/>
      <c r="AA322" s="304" t="s">
        <v>1455</v>
      </c>
      <c r="AB322" s="305"/>
      <c r="AC322" s="305"/>
      <c r="AD322" s="304" t="s">
        <v>1456</v>
      </c>
      <c r="AE322" s="424" t="s">
        <v>1733</v>
      </c>
    </row>
    <row r="323" spans="5:31" ht="14.5" x14ac:dyDescent="0.35">
      <c r="E323" s="192">
        <v>315</v>
      </c>
      <c r="F323" s="192" t="s">
        <v>220</v>
      </c>
      <c r="G323" s="192" t="s">
        <v>352</v>
      </c>
      <c r="H323" s="192" t="s">
        <v>1020</v>
      </c>
      <c r="I323" s="192" t="s">
        <v>1022</v>
      </c>
      <c r="J323" s="192" t="s">
        <v>977</v>
      </c>
      <c r="K323" s="192" t="s">
        <v>353</v>
      </c>
      <c r="L323" s="192" t="str">
        <f t="shared" ref="L323:L324" si="7">_xlfn.CONCAT(F323:K323)</f>
        <v>TransportFleetStationary fleetEquipmentGas oilAverage</v>
      </c>
      <c r="M323" s="192" t="s">
        <v>1142</v>
      </c>
      <c r="N323" s="192" t="s">
        <v>316</v>
      </c>
      <c r="O323" s="192" t="s">
        <v>343</v>
      </c>
      <c r="P323" s="374">
        <v>10.598000000000001</v>
      </c>
      <c r="Q323" s="376">
        <v>0.25650000000000001</v>
      </c>
      <c r="R323" s="305"/>
      <c r="S323" s="305"/>
      <c r="T323" s="304">
        <v>5.9130000000000002E-2</v>
      </c>
      <c r="U323" s="305"/>
      <c r="V323" s="305"/>
      <c r="W323" s="305"/>
      <c r="X323" s="304" t="s">
        <v>1308</v>
      </c>
      <c r="Y323" s="305"/>
      <c r="Z323" s="305"/>
      <c r="AA323" s="304" t="s">
        <v>1309</v>
      </c>
      <c r="AB323" s="305"/>
      <c r="AC323" s="305"/>
      <c r="AD323" s="305"/>
      <c r="AE323" s="424"/>
    </row>
    <row r="324" spans="5:31" ht="14.5" x14ac:dyDescent="0.35">
      <c r="E324" s="192">
        <v>316</v>
      </c>
      <c r="F324" s="192" t="s">
        <v>220</v>
      </c>
      <c r="G324" s="192" t="s">
        <v>352</v>
      </c>
      <c r="H324" s="192" t="s">
        <v>1020</v>
      </c>
      <c r="I324" s="192" t="s">
        <v>1022</v>
      </c>
      <c r="J324" s="192" t="s">
        <v>981</v>
      </c>
      <c r="K324" s="192" t="s">
        <v>353</v>
      </c>
      <c r="L324" s="192" t="str">
        <f t="shared" si="7"/>
        <v>TransportFleetStationary fleetEquipmentLPGAverage</v>
      </c>
      <c r="M324" s="192" t="s">
        <v>1142</v>
      </c>
      <c r="N324" s="192" t="s">
        <v>356</v>
      </c>
      <c r="O324" s="192" t="s">
        <v>1003</v>
      </c>
      <c r="P324" s="374">
        <v>1.609</v>
      </c>
      <c r="Q324" s="376">
        <v>0.27610000000000001</v>
      </c>
      <c r="R324" s="305"/>
      <c r="S324" s="305"/>
      <c r="T324" s="304">
        <v>3.279E-2</v>
      </c>
      <c r="U324" s="305"/>
      <c r="V324" s="305"/>
      <c r="W324" s="305"/>
      <c r="X324" s="383" t="s">
        <v>1421</v>
      </c>
      <c r="Y324" s="305"/>
      <c r="Z324" s="305"/>
      <c r="AA324" s="383" t="s">
        <v>1422</v>
      </c>
      <c r="AB324" s="305"/>
      <c r="AC324" s="305"/>
      <c r="AD324" s="305"/>
      <c r="AE324" s="424"/>
    </row>
    <row r="325" spans="5:31" ht="14.5" x14ac:dyDescent="0.35">
      <c r="E325" s="192">
        <v>317</v>
      </c>
      <c r="F325" s="192" t="s">
        <v>220</v>
      </c>
      <c r="G325" s="192" t="s">
        <v>191</v>
      </c>
      <c r="H325" s="192" t="s">
        <v>350</v>
      </c>
      <c r="I325" s="192" t="s">
        <v>1023</v>
      </c>
      <c r="J325" s="192" t="s">
        <v>351</v>
      </c>
      <c r="K325" s="192" t="s">
        <v>754</v>
      </c>
      <c r="L325" s="192" t="str">
        <f t="shared" si="5"/>
        <v>TransportBusiness travelVehiclePrivate carPetrolSmall</v>
      </c>
      <c r="M325" s="192" t="s">
        <v>1142</v>
      </c>
      <c r="N325" s="192" t="s">
        <v>356</v>
      </c>
      <c r="O325" s="192" t="s">
        <v>1003</v>
      </c>
      <c r="P325" s="374">
        <v>1.609</v>
      </c>
      <c r="Q325" s="377"/>
      <c r="R325" s="305"/>
      <c r="S325" s="304">
        <v>0.14308000000000001</v>
      </c>
      <c r="T325" s="304">
        <v>4.0149999999999998E-2</v>
      </c>
      <c r="U325" s="305"/>
      <c r="V325" s="305"/>
      <c r="W325" s="305"/>
      <c r="X325" s="305"/>
      <c r="Y325" s="305"/>
      <c r="Z325" s="192" t="s">
        <v>1457</v>
      </c>
      <c r="AA325" s="192" t="s">
        <v>1358</v>
      </c>
      <c r="AB325" s="305"/>
      <c r="AC325" s="305"/>
      <c r="AD325" s="305"/>
      <c r="AE325" s="424"/>
    </row>
    <row r="326" spans="5:31" ht="14.5" x14ac:dyDescent="0.35">
      <c r="E326" s="192">
        <v>318</v>
      </c>
      <c r="F326" s="192" t="s">
        <v>220</v>
      </c>
      <c r="G326" s="192" t="s">
        <v>191</v>
      </c>
      <c r="H326" s="192" t="s">
        <v>350</v>
      </c>
      <c r="I326" s="192" t="s">
        <v>1023</v>
      </c>
      <c r="J326" s="192" t="s">
        <v>351</v>
      </c>
      <c r="K326" s="192" t="s">
        <v>1004</v>
      </c>
      <c r="L326" s="192" t="str">
        <f t="shared" si="5"/>
        <v>TransportBusiness travelVehiclePrivate carPetrolMedium</v>
      </c>
      <c r="M326" s="192" t="s">
        <v>1142</v>
      </c>
      <c r="N326" s="192" t="s">
        <v>356</v>
      </c>
      <c r="O326" s="192" t="s">
        <v>1003</v>
      </c>
      <c r="P326" s="374">
        <v>1.609</v>
      </c>
      <c r="Q326" s="377"/>
      <c r="R326" s="305"/>
      <c r="S326" s="304">
        <v>0.17474000000000001</v>
      </c>
      <c r="T326" s="304">
        <v>4.9570000000000003E-2</v>
      </c>
      <c r="U326" s="305"/>
      <c r="V326" s="305"/>
      <c r="W326" s="305"/>
      <c r="X326" s="305"/>
      <c r="Y326" s="305"/>
      <c r="Z326" s="192" t="s">
        <v>1458</v>
      </c>
      <c r="AA326" s="192" t="s">
        <v>1360</v>
      </c>
      <c r="AB326" s="305"/>
      <c r="AC326" s="305"/>
      <c r="AD326" s="305"/>
      <c r="AE326" s="424"/>
    </row>
    <row r="327" spans="5:31" ht="14.5" x14ac:dyDescent="0.35">
      <c r="E327" s="192">
        <v>319</v>
      </c>
      <c r="F327" s="192" t="s">
        <v>220</v>
      </c>
      <c r="G327" s="192" t="s">
        <v>191</v>
      </c>
      <c r="H327" s="192" t="s">
        <v>350</v>
      </c>
      <c r="I327" s="192" t="s">
        <v>1023</v>
      </c>
      <c r="J327" s="192" t="s">
        <v>351</v>
      </c>
      <c r="K327" s="192" t="s">
        <v>1005</v>
      </c>
      <c r="L327" s="192" t="str">
        <f t="shared" si="5"/>
        <v>TransportBusiness travelVehiclePrivate carPetrolLarge</v>
      </c>
      <c r="M327" s="192" t="s">
        <v>1142</v>
      </c>
      <c r="N327" s="192" t="s">
        <v>356</v>
      </c>
      <c r="O327" s="192" t="s">
        <v>1003</v>
      </c>
      <c r="P327" s="374">
        <v>1.609</v>
      </c>
      <c r="Q327" s="377"/>
      <c r="R327" s="305"/>
      <c r="S327" s="304">
        <v>0.26828000000000002</v>
      </c>
      <c r="T327" s="304">
        <v>7.528E-2</v>
      </c>
      <c r="U327" s="305"/>
      <c r="V327" s="305"/>
      <c r="W327" s="305"/>
      <c r="X327" s="305"/>
      <c r="Y327" s="305"/>
      <c r="Z327" s="192" t="s">
        <v>1459</v>
      </c>
      <c r="AA327" s="192" t="s">
        <v>1362</v>
      </c>
      <c r="AB327" s="305"/>
      <c r="AC327" s="305"/>
      <c r="AD327" s="305"/>
      <c r="AE327" s="424"/>
    </row>
    <row r="328" spans="5:31" ht="14.5" x14ac:dyDescent="0.35">
      <c r="E328" s="192">
        <v>320</v>
      </c>
      <c r="F328" s="192" t="s">
        <v>220</v>
      </c>
      <c r="G328" s="192" t="s">
        <v>191</v>
      </c>
      <c r="H328" s="192" t="s">
        <v>350</v>
      </c>
      <c r="I328" s="192" t="s">
        <v>1023</v>
      </c>
      <c r="J328" s="192" t="s">
        <v>351</v>
      </c>
      <c r="K328" s="192" t="s">
        <v>353</v>
      </c>
      <c r="L328" s="192" t="str">
        <f t="shared" si="5"/>
        <v>TransportBusiness travelVehiclePrivate carPetrolAverage</v>
      </c>
      <c r="M328" s="192" t="s">
        <v>1142</v>
      </c>
      <c r="N328" s="192" t="s">
        <v>356</v>
      </c>
      <c r="O328" s="192" t="s">
        <v>1003</v>
      </c>
      <c r="P328" s="374">
        <v>1.609</v>
      </c>
      <c r="Q328" s="377"/>
      <c r="R328" s="305"/>
      <c r="S328" s="304">
        <v>0.16272</v>
      </c>
      <c r="T328" s="304">
        <v>4.5990000000000003E-2</v>
      </c>
      <c r="U328" s="305"/>
      <c r="V328" s="305"/>
      <c r="W328" s="305"/>
      <c r="X328" s="305"/>
      <c r="Y328" s="305"/>
      <c r="Z328" s="192" t="s">
        <v>1460</v>
      </c>
      <c r="AA328" s="192" t="s">
        <v>1364</v>
      </c>
      <c r="AB328" s="305"/>
      <c r="AC328" s="305"/>
      <c r="AD328" s="305"/>
      <c r="AE328" s="424"/>
    </row>
    <row r="329" spans="5:31" ht="14.5" x14ac:dyDescent="0.35">
      <c r="E329" s="192">
        <v>321</v>
      </c>
      <c r="F329" s="192" t="s">
        <v>220</v>
      </c>
      <c r="G329" s="192" t="s">
        <v>191</v>
      </c>
      <c r="H329" s="192" t="s">
        <v>350</v>
      </c>
      <c r="I329" s="192" t="s">
        <v>1023</v>
      </c>
      <c r="J329" s="192" t="s">
        <v>1006</v>
      </c>
      <c r="K329" s="192" t="s">
        <v>754</v>
      </c>
      <c r="L329" s="192" t="str">
        <f t="shared" si="5"/>
        <v>TransportBusiness travelVehiclePrivate carDieselSmall</v>
      </c>
      <c r="M329" s="192" t="s">
        <v>1142</v>
      </c>
      <c r="N329" s="192" t="s">
        <v>356</v>
      </c>
      <c r="O329" s="192" t="s">
        <v>1003</v>
      </c>
      <c r="P329" s="374">
        <v>1.609</v>
      </c>
      <c r="Q329" s="377"/>
      <c r="R329" s="305"/>
      <c r="S329" s="304">
        <v>0.1434</v>
      </c>
      <c r="T329" s="304">
        <v>3.4090000000000002E-2</v>
      </c>
      <c r="U329" s="305"/>
      <c r="V329" s="305"/>
      <c r="W329" s="305"/>
      <c r="X329" s="305"/>
      <c r="Y329" s="305"/>
      <c r="Z329" s="192" t="s">
        <v>1461</v>
      </c>
      <c r="AA329" s="192" t="s">
        <v>1366</v>
      </c>
      <c r="AB329" s="305"/>
      <c r="AC329" s="305"/>
      <c r="AD329" s="305"/>
      <c r="AE329" s="424"/>
    </row>
    <row r="330" spans="5:31" ht="14.5" x14ac:dyDescent="0.35">
      <c r="E330" s="192">
        <v>322</v>
      </c>
      <c r="F330" s="192" t="s">
        <v>220</v>
      </c>
      <c r="G330" s="192" t="s">
        <v>191</v>
      </c>
      <c r="H330" s="192" t="s">
        <v>350</v>
      </c>
      <c r="I330" s="192" t="s">
        <v>1023</v>
      </c>
      <c r="J330" s="192" t="s">
        <v>1006</v>
      </c>
      <c r="K330" s="192" t="s">
        <v>1004</v>
      </c>
      <c r="L330" s="192" t="str">
        <f t="shared" si="5"/>
        <v>TransportBusiness travelVehiclePrivate carDieselMedium</v>
      </c>
      <c r="M330" s="192" t="s">
        <v>1142</v>
      </c>
      <c r="N330" s="192" t="s">
        <v>356</v>
      </c>
      <c r="O330" s="192" t="s">
        <v>1003</v>
      </c>
      <c r="P330" s="374">
        <v>1.609</v>
      </c>
      <c r="Q330" s="377"/>
      <c r="R330" s="305"/>
      <c r="S330" s="304">
        <v>0.17174</v>
      </c>
      <c r="T330" s="304">
        <v>4.1029999999999997E-2</v>
      </c>
      <c r="U330" s="305"/>
      <c r="V330" s="305"/>
      <c r="W330" s="305"/>
      <c r="X330" s="305"/>
      <c r="Y330" s="305"/>
      <c r="Z330" s="192" t="s">
        <v>1462</v>
      </c>
      <c r="AA330" s="192" t="s">
        <v>1368</v>
      </c>
      <c r="AB330" s="305"/>
      <c r="AC330" s="305"/>
      <c r="AD330" s="305"/>
      <c r="AE330" s="424"/>
    </row>
    <row r="331" spans="5:31" ht="14.5" x14ac:dyDescent="0.35">
      <c r="E331" s="192">
        <v>323</v>
      </c>
      <c r="F331" s="192" t="s">
        <v>220</v>
      </c>
      <c r="G331" s="192" t="s">
        <v>191</v>
      </c>
      <c r="H331" s="192" t="s">
        <v>350</v>
      </c>
      <c r="I331" s="192" t="s">
        <v>1023</v>
      </c>
      <c r="J331" s="192" t="s">
        <v>1006</v>
      </c>
      <c r="K331" s="192" t="s">
        <v>1005</v>
      </c>
      <c r="L331" s="192" t="str">
        <f t="shared" si="5"/>
        <v>TransportBusiness travelVehiclePrivate carDieselLarge</v>
      </c>
      <c r="M331" s="192" t="s">
        <v>1142</v>
      </c>
      <c r="N331" s="192" t="s">
        <v>356</v>
      </c>
      <c r="O331" s="192" t="s">
        <v>1003</v>
      </c>
      <c r="P331" s="374">
        <v>1.609</v>
      </c>
      <c r="Q331" s="377"/>
      <c r="R331" s="305"/>
      <c r="S331" s="304">
        <v>0.21007000000000001</v>
      </c>
      <c r="T331" s="304">
        <v>5.0700000000000002E-2</v>
      </c>
      <c r="U331" s="305"/>
      <c r="V331" s="305"/>
      <c r="W331" s="305"/>
      <c r="X331" s="305"/>
      <c r="Y331" s="305"/>
      <c r="Z331" s="192" t="s">
        <v>1463</v>
      </c>
      <c r="AA331" s="192" t="s">
        <v>1370</v>
      </c>
      <c r="AB331" s="305"/>
      <c r="AC331" s="305"/>
      <c r="AD331" s="305"/>
      <c r="AE331" s="424"/>
    </row>
    <row r="332" spans="5:31" ht="14.5" x14ac:dyDescent="0.35">
      <c r="E332" s="192">
        <v>324</v>
      </c>
      <c r="F332" s="192" t="s">
        <v>220</v>
      </c>
      <c r="G332" s="192" t="s">
        <v>191</v>
      </c>
      <c r="H332" s="192" t="s">
        <v>350</v>
      </c>
      <c r="I332" s="192" t="s">
        <v>1023</v>
      </c>
      <c r="J332" s="192" t="s">
        <v>1006</v>
      </c>
      <c r="K332" s="192" t="s">
        <v>353</v>
      </c>
      <c r="L332" s="192" t="str">
        <f t="shared" si="5"/>
        <v>TransportBusiness travelVehiclePrivate carDieselAverage</v>
      </c>
      <c r="M332" s="192" t="s">
        <v>1142</v>
      </c>
      <c r="N332" s="192" t="s">
        <v>356</v>
      </c>
      <c r="O332" s="192" t="s">
        <v>1003</v>
      </c>
      <c r="P332" s="374">
        <v>1.609</v>
      </c>
      <c r="Q332" s="377"/>
      <c r="R332" s="305"/>
      <c r="S332" s="304">
        <v>0.17304</v>
      </c>
      <c r="T332" s="304">
        <v>4.1459999999999997E-2</v>
      </c>
      <c r="U332" s="305"/>
      <c r="V332" s="305"/>
      <c r="W332" s="305"/>
      <c r="X332" s="305"/>
      <c r="Y332" s="305"/>
      <c r="Z332" s="192" t="s">
        <v>1464</v>
      </c>
      <c r="AA332" s="192" t="s">
        <v>1372</v>
      </c>
      <c r="AB332" s="305"/>
      <c r="AC332" s="305"/>
      <c r="AD332" s="305"/>
      <c r="AE332" s="424"/>
    </row>
    <row r="333" spans="5:31" ht="14.5" x14ac:dyDescent="0.35">
      <c r="E333" s="192">
        <v>325</v>
      </c>
      <c r="F333" s="192" t="s">
        <v>220</v>
      </c>
      <c r="G333" s="192" t="s">
        <v>191</v>
      </c>
      <c r="H333" s="192" t="s">
        <v>350</v>
      </c>
      <c r="I333" s="192" t="s">
        <v>1023</v>
      </c>
      <c r="J333" s="192" t="s">
        <v>1007</v>
      </c>
      <c r="K333" s="192" t="s">
        <v>754</v>
      </c>
      <c r="L333" s="192" t="str">
        <f t="shared" si="5"/>
        <v>TransportBusiness travelVehiclePrivate carBattery Electric VehicleSmall</v>
      </c>
      <c r="M333" s="192" t="s">
        <v>1142</v>
      </c>
      <c r="N333" s="192" t="s">
        <v>356</v>
      </c>
      <c r="O333" s="192" t="s">
        <v>1003</v>
      </c>
      <c r="P333" s="374">
        <v>1.609</v>
      </c>
      <c r="Q333" s="377"/>
      <c r="R333" s="305"/>
      <c r="S333" s="304">
        <v>3.6880000000000003E-2</v>
      </c>
      <c r="T333" s="304">
        <v>9.4800000000000006E-3</v>
      </c>
      <c r="U333" s="304">
        <v>3.49E-3</v>
      </c>
      <c r="V333" s="305"/>
      <c r="W333" s="305"/>
      <c r="X333" s="305"/>
      <c r="Y333" s="305"/>
      <c r="Z333" s="192" t="s">
        <v>1465</v>
      </c>
      <c r="AA333" s="192" t="s">
        <v>1374</v>
      </c>
      <c r="AB333" s="192" t="s">
        <v>1375</v>
      </c>
      <c r="AC333" s="305"/>
      <c r="AD333" s="305"/>
      <c r="AE333" s="424"/>
    </row>
    <row r="334" spans="5:31" ht="14.5" x14ac:dyDescent="0.35">
      <c r="E334" s="192">
        <v>326</v>
      </c>
      <c r="F334" s="192" t="s">
        <v>220</v>
      </c>
      <c r="G334" s="192" t="s">
        <v>191</v>
      </c>
      <c r="H334" s="192" t="s">
        <v>350</v>
      </c>
      <c r="I334" s="192" t="s">
        <v>1023</v>
      </c>
      <c r="J334" s="192" t="s">
        <v>1007</v>
      </c>
      <c r="K334" s="192" t="s">
        <v>1004</v>
      </c>
      <c r="L334" s="192" t="str">
        <f t="shared" si="5"/>
        <v>TransportBusiness travelVehiclePrivate carBattery Electric VehicleMedium</v>
      </c>
      <c r="M334" s="192" t="s">
        <v>1142</v>
      </c>
      <c r="N334" s="192" t="s">
        <v>356</v>
      </c>
      <c r="O334" s="192" t="s">
        <v>1003</v>
      </c>
      <c r="P334" s="374">
        <v>1.609</v>
      </c>
      <c r="Q334" s="377"/>
      <c r="R334" s="305"/>
      <c r="S334" s="304">
        <v>3.882E-2</v>
      </c>
      <c r="T334" s="304">
        <v>1.022E-2</v>
      </c>
      <c r="U334" s="304">
        <v>3.6800000000000001E-3</v>
      </c>
      <c r="V334" s="305"/>
      <c r="W334" s="305"/>
      <c r="X334" s="305"/>
      <c r="Y334" s="305"/>
      <c r="Z334" s="192" t="s">
        <v>1466</v>
      </c>
      <c r="AA334" s="192" t="s">
        <v>1377</v>
      </c>
      <c r="AB334" s="192" t="s">
        <v>1378</v>
      </c>
      <c r="AC334" s="305"/>
      <c r="AD334" s="305"/>
      <c r="AE334" s="424"/>
    </row>
    <row r="335" spans="5:31" ht="14.5" x14ac:dyDescent="0.35">
      <c r="E335" s="192">
        <v>327</v>
      </c>
      <c r="F335" s="192" t="s">
        <v>220</v>
      </c>
      <c r="G335" s="192" t="s">
        <v>191</v>
      </c>
      <c r="H335" s="192" t="s">
        <v>350</v>
      </c>
      <c r="I335" s="192" t="s">
        <v>1023</v>
      </c>
      <c r="J335" s="192" t="s">
        <v>1007</v>
      </c>
      <c r="K335" s="192" t="s">
        <v>1005</v>
      </c>
      <c r="L335" s="192" t="str">
        <f t="shared" ref="L335:L398" si="8">_xlfn.CONCAT(F335:K335)</f>
        <v>TransportBusiness travelVehiclePrivate carBattery Electric VehicleLarge</v>
      </c>
      <c r="M335" s="192" t="s">
        <v>1142</v>
      </c>
      <c r="N335" s="192" t="s">
        <v>356</v>
      </c>
      <c r="O335" s="192" t="s">
        <v>1003</v>
      </c>
      <c r="P335" s="374">
        <v>1.609</v>
      </c>
      <c r="Q335" s="377"/>
      <c r="R335" s="305"/>
      <c r="S335" s="304">
        <v>4.2049999999999997E-2</v>
      </c>
      <c r="T335" s="304">
        <v>1.0880000000000001E-2</v>
      </c>
      <c r="U335" s="304">
        <v>3.98E-3</v>
      </c>
      <c r="V335" s="305"/>
      <c r="W335" s="305"/>
      <c r="X335" s="305"/>
      <c r="Y335" s="305"/>
      <c r="Z335" s="192" t="s">
        <v>1467</v>
      </c>
      <c r="AA335" s="192" t="s">
        <v>1380</v>
      </c>
      <c r="AB335" s="192" t="s">
        <v>1381</v>
      </c>
      <c r="AC335" s="305"/>
      <c r="AD335" s="305"/>
      <c r="AE335" s="424"/>
    </row>
    <row r="336" spans="5:31" ht="14.5" x14ac:dyDescent="0.35">
      <c r="E336" s="192">
        <v>328</v>
      </c>
      <c r="F336" s="192" t="s">
        <v>220</v>
      </c>
      <c r="G336" s="192" t="s">
        <v>191</v>
      </c>
      <c r="H336" s="192" t="s">
        <v>350</v>
      </c>
      <c r="I336" s="192" t="s">
        <v>1023</v>
      </c>
      <c r="J336" s="192" t="s">
        <v>1007</v>
      </c>
      <c r="K336" s="192" t="s">
        <v>353</v>
      </c>
      <c r="L336" s="192" t="str">
        <f t="shared" si="8"/>
        <v>TransportBusiness travelVehiclePrivate carBattery Electric VehicleAverage</v>
      </c>
      <c r="M336" s="192" t="s">
        <v>1142</v>
      </c>
      <c r="N336" s="192" t="s">
        <v>356</v>
      </c>
      <c r="O336" s="192" t="s">
        <v>1003</v>
      </c>
      <c r="P336" s="374">
        <v>1.609</v>
      </c>
      <c r="Q336" s="377"/>
      <c r="R336" s="305"/>
      <c r="S336" s="304">
        <v>4.0469999999999999E-2</v>
      </c>
      <c r="T336" s="304">
        <v>1.0489999999999999E-2</v>
      </c>
      <c r="U336" s="304">
        <v>3.8400000000000001E-3</v>
      </c>
      <c r="V336" s="305"/>
      <c r="W336" s="305"/>
      <c r="X336" s="305"/>
      <c r="Y336" s="305"/>
      <c r="Z336" s="192" t="s">
        <v>1468</v>
      </c>
      <c r="AA336" s="192" t="s">
        <v>1383</v>
      </c>
      <c r="AB336" s="192" t="s">
        <v>1384</v>
      </c>
      <c r="AC336" s="305"/>
      <c r="AD336" s="305"/>
      <c r="AE336" s="424"/>
    </row>
    <row r="337" spans="5:31" ht="14.5" x14ac:dyDescent="0.35">
      <c r="E337" s="192">
        <v>329</v>
      </c>
      <c r="F337" s="192" t="s">
        <v>220</v>
      </c>
      <c r="G337" s="192" t="s">
        <v>191</v>
      </c>
      <c r="H337" s="192" t="s">
        <v>350</v>
      </c>
      <c r="I337" s="192" t="s">
        <v>1023</v>
      </c>
      <c r="J337" s="192" t="s">
        <v>1008</v>
      </c>
      <c r="K337" s="192" t="s">
        <v>754</v>
      </c>
      <c r="L337" s="192" t="str">
        <f t="shared" si="8"/>
        <v>TransportBusiness travelVehiclePrivate carHybridSmall</v>
      </c>
      <c r="M337" s="192" t="s">
        <v>1142</v>
      </c>
      <c r="N337" s="192" t="s">
        <v>356</v>
      </c>
      <c r="O337" s="192" t="s">
        <v>1003</v>
      </c>
      <c r="P337" s="374">
        <v>1.609</v>
      </c>
      <c r="Q337" s="377"/>
      <c r="R337" s="305"/>
      <c r="S337" s="304">
        <v>0.11413</v>
      </c>
      <c r="T337" s="304">
        <v>3.0259999999999999E-2</v>
      </c>
      <c r="U337" s="305"/>
      <c r="V337" s="305"/>
      <c r="W337" s="305"/>
      <c r="X337" s="305"/>
      <c r="Y337" s="305"/>
      <c r="Z337" s="192" t="s">
        <v>1469</v>
      </c>
      <c r="AA337" s="192" t="s">
        <v>1386</v>
      </c>
      <c r="AB337" s="305"/>
      <c r="AC337" s="305"/>
      <c r="AD337" s="305"/>
      <c r="AE337" s="424"/>
    </row>
    <row r="338" spans="5:31" ht="14.5" x14ac:dyDescent="0.35">
      <c r="E338" s="192">
        <v>330</v>
      </c>
      <c r="F338" s="192" t="s">
        <v>220</v>
      </c>
      <c r="G338" s="192" t="s">
        <v>191</v>
      </c>
      <c r="H338" s="192" t="s">
        <v>350</v>
      </c>
      <c r="I338" s="192" t="s">
        <v>1023</v>
      </c>
      <c r="J338" s="192" t="s">
        <v>1008</v>
      </c>
      <c r="K338" s="192" t="s">
        <v>1004</v>
      </c>
      <c r="L338" s="192" t="str">
        <f t="shared" si="8"/>
        <v>TransportBusiness travelVehiclePrivate carHybridMedium</v>
      </c>
      <c r="M338" s="192" t="s">
        <v>1142</v>
      </c>
      <c r="N338" s="192" t="s">
        <v>356</v>
      </c>
      <c r="O338" s="192" t="s">
        <v>1003</v>
      </c>
      <c r="P338" s="374">
        <v>1.609</v>
      </c>
      <c r="Q338" s="377"/>
      <c r="R338" s="305"/>
      <c r="S338" s="304">
        <v>0.11724</v>
      </c>
      <c r="T338" s="304">
        <v>2.998E-2</v>
      </c>
      <c r="U338" s="305"/>
      <c r="V338" s="305"/>
      <c r="W338" s="305"/>
      <c r="X338" s="305"/>
      <c r="Y338" s="305"/>
      <c r="Z338" s="192" t="s">
        <v>1470</v>
      </c>
      <c r="AA338" s="192" t="s">
        <v>1388</v>
      </c>
      <c r="AB338" s="305"/>
      <c r="AC338" s="305"/>
      <c r="AD338" s="305"/>
      <c r="AE338" s="424"/>
    </row>
    <row r="339" spans="5:31" ht="14.5" x14ac:dyDescent="0.35">
      <c r="E339" s="192">
        <v>331</v>
      </c>
      <c r="F339" s="192" t="s">
        <v>220</v>
      </c>
      <c r="G339" s="192" t="s">
        <v>191</v>
      </c>
      <c r="H339" s="192" t="s">
        <v>350</v>
      </c>
      <c r="I339" s="192" t="s">
        <v>1023</v>
      </c>
      <c r="J339" s="192" t="s">
        <v>1008</v>
      </c>
      <c r="K339" s="192" t="s">
        <v>1005</v>
      </c>
      <c r="L339" s="192" t="str">
        <f t="shared" si="8"/>
        <v>TransportBusiness travelVehiclePrivate carHybridLarge</v>
      </c>
      <c r="M339" s="192" t="s">
        <v>1142</v>
      </c>
      <c r="N339" s="192" t="s">
        <v>356</v>
      </c>
      <c r="O339" s="192" t="s">
        <v>1003</v>
      </c>
      <c r="P339" s="374">
        <v>1.609</v>
      </c>
      <c r="Q339" s="377"/>
      <c r="R339" s="305"/>
      <c r="S339" s="304">
        <v>0.1565</v>
      </c>
      <c r="T339" s="304">
        <v>3.9609999999999999E-2</v>
      </c>
      <c r="U339" s="305"/>
      <c r="V339" s="305"/>
      <c r="W339" s="305"/>
      <c r="X339" s="305"/>
      <c r="Y339" s="305"/>
      <c r="Z339" s="192" t="s">
        <v>1471</v>
      </c>
      <c r="AA339" s="192" t="s">
        <v>1390</v>
      </c>
      <c r="AB339" s="305"/>
      <c r="AC339" s="305"/>
      <c r="AD339" s="305"/>
      <c r="AE339" s="424"/>
    </row>
    <row r="340" spans="5:31" ht="14.5" x14ac:dyDescent="0.35">
      <c r="E340" s="192">
        <v>332</v>
      </c>
      <c r="F340" s="192" t="s">
        <v>220</v>
      </c>
      <c r="G340" s="192" t="s">
        <v>191</v>
      </c>
      <c r="H340" s="192" t="s">
        <v>350</v>
      </c>
      <c r="I340" s="192" t="s">
        <v>1023</v>
      </c>
      <c r="J340" s="192" t="s">
        <v>1008</v>
      </c>
      <c r="K340" s="192" t="s">
        <v>353</v>
      </c>
      <c r="L340" s="192" t="str">
        <f t="shared" si="8"/>
        <v>TransportBusiness travelVehiclePrivate carHybridAverage</v>
      </c>
      <c r="M340" s="192" t="s">
        <v>1142</v>
      </c>
      <c r="N340" s="192" t="s">
        <v>356</v>
      </c>
      <c r="O340" s="192" t="s">
        <v>1003</v>
      </c>
      <c r="P340" s="374">
        <v>1.609</v>
      </c>
      <c r="Q340" s="377"/>
      <c r="R340" s="305"/>
      <c r="S340" s="304">
        <v>0.12825</v>
      </c>
      <c r="T340" s="304">
        <v>3.3149999999999999E-2</v>
      </c>
      <c r="U340" s="305"/>
      <c r="V340" s="305"/>
      <c r="W340" s="305"/>
      <c r="X340" s="305"/>
      <c r="Y340" s="305"/>
      <c r="Z340" s="192" t="s">
        <v>1472</v>
      </c>
      <c r="AA340" s="192" t="s">
        <v>1392</v>
      </c>
      <c r="AB340" s="305"/>
      <c r="AC340" s="305"/>
      <c r="AD340" s="305"/>
      <c r="AE340" s="424"/>
    </row>
    <row r="341" spans="5:31" ht="14.5" x14ac:dyDescent="0.35">
      <c r="E341" s="192">
        <v>333</v>
      </c>
      <c r="F341" s="192" t="s">
        <v>220</v>
      </c>
      <c r="G341" s="192" t="s">
        <v>191</v>
      </c>
      <c r="H341" s="192" t="s">
        <v>350</v>
      </c>
      <c r="I341" s="192" t="s">
        <v>1023</v>
      </c>
      <c r="J341" s="192" t="s">
        <v>1009</v>
      </c>
      <c r="K341" s="192" t="s">
        <v>754</v>
      </c>
      <c r="L341" s="192" t="str">
        <f t="shared" si="8"/>
        <v>TransportBusiness travelVehiclePrivate carPlug-in Hybrid Electric VehicleSmall</v>
      </c>
      <c r="M341" s="192" t="s">
        <v>1142</v>
      </c>
      <c r="N341" s="192" t="s">
        <v>356</v>
      </c>
      <c r="O341" s="192" t="s">
        <v>1003</v>
      </c>
      <c r="P341" s="374">
        <v>1.609</v>
      </c>
      <c r="Q341" s="377"/>
      <c r="R341" s="305"/>
      <c r="S341" s="304">
        <v>5.6689999999999997E-2</v>
      </c>
      <c r="T341" s="304">
        <v>1.52E-2</v>
      </c>
      <c r="U341" s="304">
        <v>2.5200000000000001E-3</v>
      </c>
      <c r="V341" s="305"/>
      <c r="W341" s="305"/>
      <c r="X341" s="305"/>
      <c r="Y341" s="305"/>
      <c r="Z341" s="192" t="s">
        <v>1473</v>
      </c>
      <c r="AA341" s="192" t="s">
        <v>1395</v>
      </c>
      <c r="AB341" s="192" t="s">
        <v>1396</v>
      </c>
      <c r="AC341" s="305"/>
      <c r="AD341" s="305"/>
      <c r="AE341" s="424"/>
    </row>
    <row r="342" spans="5:31" ht="14.5" x14ac:dyDescent="0.35">
      <c r="E342" s="192">
        <v>334</v>
      </c>
      <c r="F342" s="192" t="s">
        <v>220</v>
      </c>
      <c r="G342" s="192" t="s">
        <v>191</v>
      </c>
      <c r="H342" s="192" t="s">
        <v>350</v>
      </c>
      <c r="I342" s="192" t="s">
        <v>1023</v>
      </c>
      <c r="J342" s="192" t="s">
        <v>1009</v>
      </c>
      <c r="K342" s="192" t="s">
        <v>1004</v>
      </c>
      <c r="L342" s="192" t="str">
        <f t="shared" si="8"/>
        <v>TransportBusiness travelVehiclePrivate carPlug-in Hybrid Electric VehicleMedium</v>
      </c>
      <c r="M342" s="192" t="s">
        <v>1142</v>
      </c>
      <c r="N342" s="192" t="s">
        <v>356</v>
      </c>
      <c r="O342" s="192" t="s">
        <v>1003</v>
      </c>
      <c r="P342" s="374">
        <v>1.609</v>
      </c>
      <c r="Q342" s="377"/>
      <c r="R342" s="305"/>
      <c r="S342" s="304">
        <v>8.8200000000000001E-2</v>
      </c>
      <c r="T342" s="304">
        <v>2.5239999999999999E-2</v>
      </c>
      <c r="U342" s="304">
        <v>9.7999999999999997E-4</v>
      </c>
      <c r="V342" s="305"/>
      <c r="W342" s="305"/>
      <c r="X342" s="305"/>
      <c r="Y342" s="305"/>
      <c r="Z342" s="192" t="s">
        <v>1474</v>
      </c>
      <c r="AA342" s="192" t="s">
        <v>1399</v>
      </c>
      <c r="AB342" s="192" t="s">
        <v>1400</v>
      </c>
      <c r="AC342" s="305"/>
      <c r="AD342" s="305"/>
      <c r="AE342" s="424"/>
    </row>
    <row r="343" spans="5:31" ht="14.5" x14ac:dyDescent="0.35">
      <c r="E343" s="192">
        <v>335</v>
      </c>
      <c r="F343" s="192" t="s">
        <v>220</v>
      </c>
      <c r="G343" s="192" t="s">
        <v>191</v>
      </c>
      <c r="H343" s="192" t="s">
        <v>350</v>
      </c>
      <c r="I343" s="192" t="s">
        <v>1023</v>
      </c>
      <c r="J343" s="192" t="s">
        <v>1009</v>
      </c>
      <c r="K343" s="192" t="s">
        <v>1005</v>
      </c>
      <c r="L343" s="192" t="str">
        <f t="shared" si="8"/>
        <v>TransportBusiness travelVehiclePrivate carPlug-in Hybrid Electric VehicleLarge</v>
      </c>
      <c r="M343" s="192" t="s">
        <v>1142</v>
      </c>
      <c r="N343" s="192" t="s">
        <v>356</v>
      </c>
      <c r="O343" s="192" t="s">
        <v>1003</v>
      </c>
      <c r="P343" s="374">
        <v>1.609</v>
      </c>
      <c r="Q343" s="377"/>
      <c r="R343" s="305"/>
      <c r="S343" s="304">
        <v>0.1143</v>
      </c>
      <c r="T343" s="304">
        <v>3.2210000000000003E-2</v>
      </c>
      <c r="U343" s="304">
        <v>1.32E-3</v>
      </c>
      <c r="V343" s="305"/>
      <c r="W343" s="305"/>
      <c r="X343" s="305"/>
      <c r="Y343" s="305"/>
      <c r="Z343" s="192" t="s">
        <v>1475</v>
      </c>
      <c r="AA343" s="192" t="s">
        <v>1403</v>
      </c>
      <c r="AB343" s="192" t="s">
        <v>1404</v>
      </c>
      <c r="AC343" s="305"/>
      <c r="AD343" s="305"/>
      <c r="AE343" s="424"/>
    </row>
    <row r="344" spans="5:31" ht="14.5" x14ac:dyDescent="0.35">
      <c r="E344" s="192">
        <v>336</v>
      </c>
      <c r="F344" s="192" t="s">
        <v>220</v>
      </c>
      <c r="G344" s="192" t="s">
        <v>191</v>
      </c>
      <c r="H344" s="192" t="s">
        <v>350</v>
      </c>
      <c r="I344" s="192" t="s">
        <v>1023</v>
      </c>
      <c r="J344" s="192" t="s">
        <v>1009</v>
      </c>
      <c r="K344" s="192" t="s">
        <v>353</v>
      </c>
      <c r="L344" s="192" t="str">
        <f t="shared" si="8"/>
        <v>TransportBusiness travelVehiclePrivate carPlug-in Hybrid Electric VehicleAverage</v>
      </c>
      <c r="M344" s="192" t="s">
        <v>1142</v>
      </c>
      <c r="N344" s="192" t="s">
        <v>356</v>
      </c>
      <c r="O344" s="192" t="s">
        <v>1003</v>
      </c>
      <c r="P344" s="374">
        <v>1.609</v>
      </c>
      <c r="Q344" s="377"/>
      <c r="R344" s="305"/>
      <c r="S344" s="304">
        <v>0.10460999999999999</v>
      </c>
      <c r="T344" s="304">
        <v>2.9340000000000001E-2</v>
      </c>
      <c r="U344" s="304">
        <v>1.2199999999999999E-3</v>
      </c>
      <c r="V344" s="305"/>
      <c r="W344" s="305"/>
      <c r="X344" s="305"/>
      <c r="Y344" s="305"/>
      <c r="Z344" s="192" t="s">
        <v>1476</v>
      </c>
      <c r="AA344" s="192" t="s">
        <v>1407</v>
      </c>
      <c r="AB344" s="192" t="s">
        <v>1408</v>
      </c>
      <c r="AC344" s="305"/>
      <c r="AD344" s="305"/>
      <c r="AE344" s="424"/>
    </row>
    <row r="345" spans="5:31" ht="14.5" x14ac:dyDescent="0.35">
      <c r="E345" s="192">
        <v>337</v>
      </c>
      <c r="F345" s="192" t="s">
        <v>220</v>
      </c>
      <c r="G345" s="192" t="s">
        <v>191</v>
      </c>
      <c r="H345" s="192" t="s">
        <v>350</v>
      </c>
      <c r="I345" s="192" t="s">
        <v>1023</v>
      </c>
      <c r="J345" s="192" t="s">
        <v>1010</v>
      </c>
      <c r="K345" s="192" t="s">
        <v>754</v>
      </c>
      <c r="L345" s="192" t="str">
        <f t="shared" si="8"/>
        <v>TransportBusiness travelVehiclePrivate carUnknown fuelSmall</v>
      </c>
      <c r="M345" s="192" t="s">
        <v>1142</v>
      </c>
      <c r="N345" s="192" t="s">
        <v>356</v>
      </c>
      <c r="O345" s="192" t="s">
        <v>1003</v>
      </c>
      <c r="P345" s="374">
        <v>1.609</v>
      </c>
      <c r="Q345" s="377"/>
      <c r="R345" s="305"/>
      <c r="S345" s="304">
        <v>0.14321999999999999</v>
      </c>
      <c r="T345" s="304">
        <v>3.8359999999999998E-2</v>
      </c>
      <c r="U345" s="305"/>
      <c r="V345" s="305"/>
      <c r="W345" s="305"/>
      <c r="X345" s="305"/>
      <c r="Y345" s="305"/>
      <c r="Z345" s="192" t="s">
        <v>1477</v>
      </c>
      <c r="AA345" s="192" t="s">
        <v>1410</v>
      </c>
      <c r="AB345" s="305"/>
      <c r="AC345" s="305"/>
      <c r="AD345" s="305"/>
      <c r="AE345" s="424"/>
    </row>
    <row r="346" spans="5:31" ht="14.5" x14ac:dyDescent="0.35">
      <c r="E346" s="192">
        <v>338</v>
      </c>
      <c r="F346" s="192" t="s">
        <v>220</v>
      </c>
      <c r="G346" s="192" t="s">
        <v>191</v>
      </c>
      <c r="H346" s="192" t="s">
        <v>350</v>
      </c>
      <c r="I346" s="192" t="s">
        <v>1023</v>
      </c>
      <c r="J346" s="192" t="s">
        <v>1010</v>
      </c>
      <c r="K346" s="192" t="s">
        <v>1004</v>
      </c>
      <c r="L346" s="192" t="str">
        <f t="shared" si="8"/>
        <v>TransportBusiness travelVehiclePrivate carUnknown fuelMedium</v>
      </c>
      <c r="M346" s="192" t="s">
        <v>1142</v>
      </c>
      <c r="N346" s="192" t="s">
        <v>356</v>
      </c>
      <c r="O346" s="192" t="s">
        <v>1003</v>
      </c>
      <c r="P346" s="374">
        <v>1.609</v>
      </c>
      <c r="Q346" s="377"/>
      <c r="R346" s="305"/>
      <c r="S346" s="304">
        <v>0.17322000000000001</v>
      </c>
      <c r="T346" s="304">
        <v>4.5179999999999998E-2</v>
      </c>
      <c r="U346" s="305"/>
      <c r="V346" s="305"/>
      <c r="W346" s="305"/>
      <c r="X346" s="305"/>
      <c r="Y346" s="305"/>
      <c r="Z346" s="192" t="s">
        <v>1478</v>
      </c>
      <c r="AA346" s="192" t="s">
        <v>1412</v>
      </c>
      <c r="AB346" s="305"/>
      <c r="AC346" s="305"/>
      <c r="AD346" s="305"/>
      <c r="AE346" s="424"/>
    </row>
    <row r="347" spans="5:31" ht="14.5" x14ac:dyDescent="0.35">
      <c r="E347" s="192">
        <v>339</v>
      </c>
      <c r="F347" s="192" t="s">
        <v>220</v>
      </c>
      <c r="G347" s="192" t="s">
        <v>191</v>
      </c>
      <c r="H347" s="192" t="s">
        <v>350</v>
      </c>
      <c r="I347" s="192" t="s">
        <v>1023</v>
      </c>
      <c r="J347" s="192" t="s">
        <v>1010</v>
      </c>
      <c r="K347" s="192" t="s">
        <v>1005</v>
      </c>
      <c r="L347" s="192" t="str">
        <f t="shared" si="8"/>
        <v>TransportBusiness travelVehiclePrivate carUnknown fuelLarge</v>
      </c>
      <c r="M347" s="192" t="s">
        <v>1142</v>
      </c>
      <c r="N347" s="192" t="s">
        <v>356</v>
      </c>
      <c r="O347" s="192" t="s">
        <v>1003</v>
      </c>
      <c r="P347" s="374">
        <v>1.609</v>
      </c>
      <c r="Q347" s="377"/>
      <c r="R347" s="305"/>
      <c r="S347" s="304">
        <v>0.22678000000000001</v>
      </c>
      <c r="T347" s="304">
        <v>5.7639999999999997E-2</v>
      </c>
      <c r="U347" s="305"/>
      <c r="V347" s="305"/>
      <c r="W347" s="305"/>
      <c r="X347" s="305"/>
      <c r="Y347" s="305"/>
      <c r="Z347" s="192" t="s">
        <v>1479</v>
      </c>
      <c r="AA347" s="192" t="s">
        <v>1414</v>
      </c>
      <c r="AB347" s="305"/>
      <c r="AC347" s="305"/>
      <c r="AD347" s="305"/>
      <c r="AE347" s="424"/>
    </row>
    <row r="348" spans="5:31" ht="14.5" x14ac:dyDescent="0.35">
      <c r="E348" s="192">
        <v>340</v>
      </c>
      <c r="F348" s="192" t="s">
        <v>220</v>
      </c>
      <c r="G348" s="192" t="s">
        <v>191</v>
      </c>
      <c r="H348" s="192" t="s">
        <v>350</v>
      </c>
      <c r="I348" s="192" t="s">
        <v>1023</v>
      </c>
      <c r="J348" s="192" t="s">
        <v>1010</v>
      </c>
      <c r="K348" s="192" t="s">
        <v>353</v>
      </c>
      <c r="L348" s="192" t="str">
        <f t="shared" si="8"/>
        <v>TransportBusiness travelVehiclePrivate carUnknown fuelAverage</v>
      </c>
      <c r="M348" s="192" t="s">
        <v>1142</v>
      </c>
      <c r="N348" s="192" t="s">
        <v>356</v>
      </c>
      <c r="O348" s="192" t="s">
        <v>1003</v>
      </c>
      <c r="P348" s="374">
        <v>1.609</v>
      </c>
      <c r="Q348" s="377"/>
      <c r="R348" s="305"/>
      <c r="S348" s="304">
        <v>0.16725000000000001</v>
      </c>
      <c r="T348" s="304">
        <v>4.3990000000000001E-2</v>
      </c>
      <c r="U348" s="305"/>
      <c r="V348" s="305"/>
      <c r="W348" s="305"/>
      <c r="X348" s="305"/>
      <c r="Y348" s="305"/>
      <c r="Z348" s="192" t="s">
        <v>1480</v>
      </c>
      <c r="AA348" s="192" t="s">
        <v>1416</v>
      </c>
      <c r="AB348" s="305"/>
      <c r="AC348" s="305"/>
      <c r="AD348" s="305"/>
      <c r="AE348" s="424"/>
    </row>
    <row r="349" spans="5:31" ht="14.5" x14ac:dyDescent="0.35">
      <c r="E349" s="192">
        <v>341</v>
      </c>
      <c r="F349" s="192" t="s">
        <v>220</v>
      </c>
      <c r="G349" s="192" t="s">
        <v>191</v>
      </c>
      <c r="H349" s="192" t="s">
        <v>350</v>
      </c>
      <c r="I349" s="192" t="s">
        <v>1024</v>
      </c>
      <c r="J349" s="192" t="s">
        <v>351</v>
      </c>
      <c r="K349" s="192" t="s">
        <v>754</v>
      </c>
      <c r="L349" s="192" t="str">
        <f t="shared" si="8"/>
        <v>TransportBusiness travelVehicleHire carPetrolSmall</v>
      </c>
      <c r="M349" s="192" t="s">
        <v>1142</v>
      </c>
      <c r="N349" s="192" t="s">
        <v>356</v>
      </c>
      <c r="O349" s="192" t="s">
        <v>1003</v>
      </c>
      <c r="P349" s="374">
        <v>1.609</v>
      </c>
      <c r="Q349" s="377"/>
      <c r="R349" s="305"/>
      <c r="S349" s="304">
        <v>0.14308000000000001</v>
      </c>
      <c r="T349" s="304">
        <v>4.0149999999999998E-2</v>
      </c>
      <c r="U349" s="305"/>
      <c r="V349" s="305"/>
      <c r="W349" s="305"/>
      <c r="X349" s="305"/>
      <c r="Y349" s="305"/>
      <c r="Z349" s="192" t="s">
        <v>1457</v>
      </c>
      <c r="AA349" s="192" t="s">
        <v>1358</v>
      </c>
      <c r="AB349" s="305"/>
      <c r="AC349" s="305"/>
      <c r="AD349" s="305"/>
      <c r="AE349" s="424"/>
    </row>
    <row r="350" spans="5:31" ht="14.5" x14ac:dyDescent="0.35">
      <c r="E350" s="192">
        <v>342</v>
      </c>
      <c r="F350" s="192" t="s">
        <v>220</v>
      </c>
      <c r="G350" s="192" t="s">
        <v>191</v>
      </c>
      <c r="H350" s="192" t="s">
        <v>350</v>
      </c>
      <c r="I350" s="192" t="s">
        <v>1024</v>
      </c>
      <c r="J350" s="192" t="s">
        <v>351</v>
      </c>
      <c r="K350" s="192" t="s">
        <v>1004</v>
      </c>
      <c r="L350" s="192" t="str">
        <f t="shared" si="8"/>
        <v>TransportBusiness travelVehicleHire carPetrolMedium</v>
      </c>
      <c r="M350" s="192" t="s">
        <v>1142</v>
      </c>
      <c r="N350" s="192" t="s">
        <v>356</v>
      </c>
      <c r="O350" s="192" t="s">
        <v>1003</v>
      </c>
      <c r="P350" s="374">
        <v>1.609</v>
      </c>
      <c r="Q350" s="377"/>
      <c r="R350" s="305"/>
      <c r="S350" s="304">
        <v>0.17474000000000001</v>
      </c>
      <c r="T350" s="304">
        <v>4.9570000000000003E-2</v>
      </c>
      <c r="U350" s="305"/>
      <c r="V350" s="305"/>
      <c r="W350" s="305"/>
      <c r="X350" s="305"/>
      <c r="Y350" s="305"/>
      <c r="Z350" s="192" t="s">
        <v>1458</v>
      </c>
      <c r="AA350" s="192" t="s">
        <v>1360</v>
      </c>
      <c r="AB350" s="305"/>
      <c r="AC350" s="305"/>
      <c r="AD350" s="305"/>
      <c r="AE350" s="424"/>
    </row>
    <row r="351" spans="5:31" ht="14.5" x14ac:dyDescent="0.35">
      <c r="E351" s="192">
        <v>343</v>
      </c>
      <c r="F351" s="192" t="s">
        <v>220</v>
      </c>
      <c r="G351" s="192" t="s">
        <v>191</v>
      </c>
      <c r="H351" s="192" t="s">
        <v>350</v>
      </c>
      <c r="I351" s="192" t="s">
        <v>1024</v>
      </c>
      <c r="J351" s="192" t="s">
        <v>351</v>
      </c>
      <c r="K351" s="192" t="s">
        <v>1005</v>
      </c>
      <c r="L351" s="192" t="str">
        <f t="shared" si="8"/>
        <v>TransportBusiness travelVehicleHire carPetrolLarge</v>
      </c>
      <c r="M351" s="192" t="s">
        <v>1142</v>
      </c>
      <c r="N351" s="192" t="s">
        <v>356</v>
      </c>
      <c r="O351" s="192" t="s">
        <v>1003</v>
      </c>
      <c r="P351" s="374">
        <v>1.609</v>
      </c>
      <c r="Q351" s="377"/>
      <c r="R351" s="305"/>
      <c r="S351" s="304">
        <v>0.26828000000000002</v>
      </c>
      <c r="T351" s="304">
        <v>7.528E-2</v>
      </c>
      <c r="U351" s="305"/>
      <c r="V351" s="305"/>
      <c r="W351" s="305"/>
      <c r="X351" s="305"/>
      <c r="Y351" s="305"/>
      <c r="Z351" s="192" t="s">
        <v>1459</v>
      </c>
      <c r="AA351" s="192" t="s">
        <v>1362</v>
      </c>
      <c r="AB351" s="305"/>
      <c r="AC351" s="305"/>
      <c r="AD351" s="305"/>
      <c r="AE351" s="424"/>
    </row>
    <row r="352" spans="5:31" ht="14.5" x14ac:dyDescent="0.35">
      <c r="E352" s="192">
        <v>344</v>
      </c>
      <c r="F352" s="192" t="s">
        <v>220</v>
      </c>
      <c r="G352" s="192" t="s">
        <v>191</v>
      </c>
      <c r="H352" s="192" t="s">
        <v>350</v>
      </c>
      <c r="I352" s="192" t="s">
        <v>1024</v>
      </c>
      <c r="J352" s="192" t="s">
        <v>351</v>
      </c>
      <c r="K352" s="192" t="s">
        <v>353</v>
      </c>
      <c r="L352" s="192" t="str">
        <f t="shared" si="8"/>
        <v>TransportBusiness travelVehicleHire carPetrolAverage</v>
      </c>
      <c r="M352" s="192" t="s">
        <v>1142</v>
      </c>
      <c r="N352" s="192" t="s">
        <v>356</v>
      </c>
      <c r="O352" s="192" t="s">
        <v>1003</v>
      </c>
      <c r="P352" s="374">
        <v>1.609</v>
      </c>
      <c r="Q352" s="377"/>
      <c r="R352" s="305"/>
      <c r="S352" s="304">
        <v>0.16272</v>
      </c>
      <c r="T352" s="304">
        <v>4.5990000000000003E-2</v>
      </c>
      <c r="U352" s="305"/>
      <c r="V352" s="305"/>
      <c r="W352" s="305"/>
      <c r="X352" s="305"/>
      <c r="Y352" s="305"/>
      <c r="Z352" s="192" t="s">
        <v>1460</v>
      </c>
      <c r="AA352" s="192" t="s">
        <v>1364</v>
      </c>
      <c r="AB352" s="305"/>
      <c r="AC352" s="305"/>
      <c r="AD352" s="305"/>
      <c r="AE352" s="424"/>
    </row>
    <row r="353" spans="5:31" ht="14.5" x14ac:dyDescent="0.35">
      <c r="E353" s="192">
        <v>345</v>
      </c>
      <c r="F353" s="192" t="s">
        <v>220</v>
      </c>
      <c r="G353" s="192" t="s">
        <v>191</v>
      </c>
      <c r="H353" s="192" t="s">
        <v>350</v>
      </c>
      <c r="I353" s="192" t="s">
        <v>1024</v>
      </c>
      <c r="J353" s="192" t="s">
        <v>1006</v>
      </c>
      <c r="K353" s="192" t="s">
        <v>754</v>
      </c>
      <c r="L353" s="192" t="str">
        <f t="shared" si="8"/>
        <v>TransportBusiness travelVehicleHire carDieselSmall</v>
      </c>
      <c r="M353" s="192" t="s">
        <v>1142</v>
      </c>
      <c r="N353" s="192" t="s">
        <v>356</v>
      </c>
      <c r="O353" s="192" t="s">
        <v>1003</v>
      </c>
      <c r="P353" s="374">
        <v>1.609</v>
      </c>
      <c r="Q353" s="377"/>
      <c r="R353" s="305"/>
      <c r="S353" s="304">
        <v>0.1434</v>
      </c>
      <c r="T353" s="304">
        <v>3.4090000000000002E-2</v>
      </c>
      <c r="U353" s="305"/>
      <c r="V353" s="305"/>
      <c r="W353" s="305"/>
      <c r="X353" s="305"/>
      <c r="Y353" s="305"/>
      <c r="Z353" s="192" t="s">
        <v>1461</v>
      </c>
      <c r="AA353" s="192" t="s">
        <v>1366</v>
      </c>
      <c r="AB353" s="305"/>
      <c r="AC353" s="305"/>
      <c r="AD353" s="305"/>
      <c r="AE353" s="424"/>
    </row>
    <row r="354" spans="5:31" ht="14.5" x14ac:dyDescent="0.35">
      <c r="E354" s="192">
        <v>346</v>
      </c>
      <c r="F354" s="192" t="s">
        <v>220</v>
      </c>
      <c r="G354" s="192" t="s">
        <v>191</v>
      </c>
      <c r="H354" s="192" t="s">
        <v>350</v>
      </c>
      <c r="I354" s="192" t="s">
        <v>1024</v>
      </c>
      <c r="J354" s="192" t="s">
        <v>1006</v>
      </c>
      <c r="K354" s="192" t="s">
        <v>1004</v>
      </c>
      <c r="L354" s="192" t="str">
        <f t="shared" si="8"/>
        <v>TransportBusiness travelVehicleHire carDieselMedium</v>
      </c>
      <c r="M354" s="192" t="s">
        <v>1142</v>
      </c>
      <c r="N354" s="192" t="s">
        <v>356</v>
      </c>
      <c r="O354" s="192" t="s">
        <v>1003</v>
      </c>
      <c r="P354" s="374">
        <v>1.609</v>
      </c>
      <c r="Q354" s="377"/>
      <c r="R354" s="305"/>
      <c r="S354" s="304">
        <v>0.17174</v>
      </c>
      <c r="T354" s="304">
        <v>4.1029999999999997E-2</v>
      </c>
      <c r="U354" s="305"/>
      <c r="V354" s="305"/>
      <c r="W354" s="305"/>
      <c r="X354" s="305"/>
      <c r="Y354" s="305"/>
      <c r="Z354" s="192" t="s">
        <v>1462</v>
      </c>
      <c r="AA354" s="192" t="s">
        <v>1368</v>
      </c>
      <c r="AB354" s="305"/>
      <c r="AC354" s="305"/>
      <c r="AD354" s="305"/>
      <c r="AE354" s="424"/>
    </row>
    <row r="355" spans="5:31" ht="14.5" x14ac:dyDescent="0.35">
      <c r="E355" s="192">
        <v>347</v>
      </c>
      <c r="F355" s="192" t="s">
        <v>220</v>
      </c>
      <c r="G355" s="192" t="s">
        <v>191</v>
      </c>
      <c r="H355" s="192" t="s">
        <v>350</v>
      </c>
      <c r="I355" s="192" t="s">
        <v>1024</v>
      </c>
      <c r="J355" s="192" t="s">
        <v>1006</v>
      </c>
      <c r="K355" s="192" t="s">
        <v>1005</v>
      </c>
      <c r="L355" s="192" t="str">
        <f t="shared" si="8"/>
        <v>TransportBusiness travelVehicleHire carDieselLarge</v>
      </c>
      <c r="M355" s="192" t="s">
        <v>1142</v>
      </c>
      <c r="N355" s="192" t="s">
        <v>356</v>
      </c>
      <c r="O355" s="192" t="s">
        <v>1003</v>
      </c>
      <c r="P355" s="374">
        <v>1.609</v>
      </c>
      <c r="Q355" s="377"/>
      <c r="R355" s="305"/>
      <c r="S355" s="304">
        <v>0.21007000000000001</v>
      </c>
      <c r="T355" s="304">
        <v>5.0700000000000002E-2</v>
      </c>
      <c r="U355" s="305"/>
      <c r="V355" s="305"/>
      <c r="W355" s="305"/>
      <c r="X355" s="305"/>
      <c r="Y355" s="305"/>
      <c r="Z355" s="192" t="s">
        <v>1463</v>
      </c>
      <c r="AA355" s="192" t="s">
        <v>1370</v>
      </c>
      <c r="AB355" s="305"/>
      <c r="AC355" s="305"/>
      <c r="AD355" s="305"/>
      <c r="AE355" s="424"/>
    </row>
    <row r="356" spans="5:31" ht="14.5" x14ac:dyDescent="0.35">
      <c r="E356" s="192">
        <v>348</v>
      </c>
      <c r="F356" s="192" t="s">
        <v>220</v>
      </c>
      <c r="G356" s="192" t="s">
        <v>191</v>
      </c>
      <c r="H356" s="192" t="s">
        <v>350</v>
      </c>
      <c r="I356" s="192" t="s">
        <v>1024</v>
      </c>
      <c r="J356" s="192" t="s">
        <v>1006</v>
      </c>
      <c r="K356" s="192" t="s">
        <v>353</v>
      </c>
      <c r="L356" s="192" t="str">
        <f t="shared" si="8"/>
        <v>TransportBusiness travelVehicleHire carDieselAverage</v>
      </c>
      <c r="M356" s="192" t="s">
        <v>1142</v>
      </c>
      <c r="N356" s="192" t="s">
        <v>356</v>
      </c>
      <c r="O356" s="192" t="s">
        <v>1003</v>
      </c>
      <c r="P356" s="374">
        <v>1.609</v>
      </c>
      <c r="Q356" s="377"/>
      <c r="R356" s="305"/>
      <c r="S356" s="304">
        <v>0.17304</v>
      </c>
      <c r="T356" s="304">
        <v>4.1459999999999997E-2</v>
      </c>
      <c r="U356" s="305"/>
      <c r="V356" s="305"/>
      <c r="W356" s="305"/>
      <c r="X356" s="305"/>
      <c r="Y356" s="305"/>
      <c r="Z356" s="192" t="s">
        <v>1464</v>
      </c>
      <c r="AA356" s="192" t="s">
        <v>1372</v>
      </c>
      <c r="AB356" s="305"/>
      <c r="AC356" s="305"/>
      <c r="AD356" s="305"/>
      <c r="AE356" s="424"/>
    </row>
    <row r="357" spans="5:31" ht="14.5" x14ac:dyDescent="0.35">
      <c r="E357" s="192">
        <v>349</v>
      </c>
      <c r="F357" s="192" t="s">
        <v>220</v>
      </c>
      <c r="G357" s="192" t="s">
        <v>191</v>
      </c>
      <c r="H357" s="192" t="s">
        <v>350</v>
      </c>
      <c r="I357" s="192" t="s">
        <v>1024</v>
      </c>
      <c r="J357" s="192" t="s">
        <v>1007</v>
      </c>
      <c r="K357" s="192" t="s">
        <v>754</v>
      </c>
      <c r="L357" s="192" t="str">
        <f t="shared" si="8"/>
        <v>TransportBusiness travelVehicleHire carBattery Electric VehicleSmall</v>
      </c>
      <c r="M357" s="192" t="s">
        <v>1142</v>
      </c>
      <c r="N357" s="192" t="s">
        <v>356</v>
      </c>
      <c r="O357" s="192" t="s">
        <v>1003</v>
      </c>
      <c r="P357" s="374">
        <v>1.609</v>
      </c>
      <c r="Q357" s="377"/>
      <c r="R357" s="305"/>
      <c r="S357" s="304">
        <v>3.6880000000000003E-2</v>
      </c>
      <c r="T357" s="304">
        <v>9.4800000000000006E-3</v>
      </c>
      <c r="U357" s="304">
        <v>3.49E-3</v>
      </c>
      <c r="V357" s="305"/>
      <c r="W357" s="305"/>
      <c r="X357" s="305"/>
      <c r="Y357" s="305"/>
      <c r="Z357" s="192" t="s">
        <v>1465</v>
      </c>
      <c r="AA357" s="192" t="s">
        <v>1374</v>
      </c>
      <c r="AB357" s="192" t="s">
        <v>1375</v>
      </c>
      <c r="AC357" s="305"/>
      <c r="AD357" s="305"/>
      <c r="AE357" s="424"/>
    </row>
    <row r="358" spans="5:31" ht="14.5" x14ac:dyDescent="0.35">
      <c r="E358" s="192">
        <v>350</v>
      </c>
      <c r="F358" s="192" t="s">
        <v>220</v>
      </c>
      <c r="G358" s="192" t="s">
        <v>191</v>
      </c>
      <c r="H358" s="192" t="s">
        <v>350</v>
      </c>
      <c r="I358" s="192" t="s">
        <v>1024</v>
      </c>
      <c r="J358" s="192" t="s">
        <v>1007</v>
      </c>
      <c r="K358" s="192" t="s">
        <v>1004</v>
      </c>
      <c r="L358" s="192" t="str">
        <f t="shared" si="8"/>
        <v>TransportBusiness travelVehicleHire carBattery Electric VehicleMedium</v>
      </c>
      <c r="M358" s="192" t="s">
        <v>1142</v>
      </c>
      <c r="N358" s="192" t="s">
        <v>356</v>
      </c>
      <c r="O358" s="192" t="s">
        <v>1003</v>
      </c>
      <c r="P358" s="374">
        <v>1.609</v>
      </c>
      <c r="Q358" s="377"/>
      <c r="R358" s="305"/>
      <c r="S358" s="304">
        <v>3.882E-2</v>
      </c>
      <c r="T358" s="304">
        <v>1.022E-2</v>
      </c>
      <c r="U358" s="304">
        <v>3.6800000000000001E-3</v>
      </c>
      <c r="V358" s="305"/>
      <c r="W358" s="305"/>
      <c r="X358" s="305"/>
      <c r="Y358" s="305"/>
      <c r="Z358" s="192" t="s">
        <v>1466</v>
      </c>
      <c r="AA358" s="192" t="s">
        <v>1377</v>
      </c>
      <c r="AB358" s="192" t="s">
        <v>1378</v>
      </c>
      <c r="AC358" s="305"/>
      <c r="AD358" s="305"/>
      <c r="AE358" s="424"/>
    </row>
    <row r="359" spans="5:31" ht="14.5" x14ac:dyDescent="0.35">
      <c r="E359" s="192">
        <v>351</v>
      </c>
      <c r="F359" s="192" t="s">
        <v>220</v>
      </c>
      <c r="G359" s="192" t="s">
        <v>191</v>
      </c>
      <c r="H359" s="192" t="s">
        <v>350</v>
      </c>
      <c r="I359" s="192" t="s">
        <v>1024</v>
      </c>
      <c r="J359" s="192" t="s">
        <v>1007</v>
      </c>
      <c r="K359" s="192" t="s">
        <v>1005</v>
      </c>
      <c r="L359" s="192" t="str">
        <f t="shared" si="8"/>
        <v>TransportBusiness travelVehicleHire carBattery Electric VehicleLarge</v>
      </c>
      <c r="M359" s="192" t="s">
        <v>1142</v>
      </c>
      <c r="N359" s="192" t="s">
        <v>356</v>
      </c>
      <c r="O359" s="192" t="s">
        <v>1003</v>
      </c>
      <c r="P359" s="374">
        <v>1.609</v>
      </c>
      <c r="Q359" s="377"/>
      <c r="R359" s="305"/>
      <c r="S359" s="304">
        <v>4.2049999999999997E-2</v>
      </c>
      <c r="T359" s="304">
        <v>1.0880000000000001E-2</v>
      </c>
      <c r="U359" s="304">
        <v>3.98E-3</v>
      </c>
      <c r="V359" s="305"/>
      <c r="W359" s="305"/>
      <c r="X359" s="305"/>
      <c r="Y359" s="305"/>
      <c r="Z359" s="192" t="s">
        <v>1467</v>
      </c>
      <c r="AA359" s="192" t="s">
        <v>1380</v>
      </c>
      <c r="AB359" s="192" t="s">
        <v>1381</v>
      </c>
      <c r="AC359" s="305"/>
      <c r="AD359" s="305"/>
      <c r="AE359" s="424"/>
    </row>
    <row r="360" spans="5:31" ht="14.5" x14ac:dyDescent="0.35">
      <c r="E360" s="192">
        <v>352</v>
      </c>
      <c r="F360" s="192" t="s">
        <v>220</v>
      </c>
      <c r="G360" s="192" t="s">
        <v>191</v>
      </c>
      <c r="H360" s="192" t="s">
        <v>350</v>
      </c>
      <c r="I360" s="192" t="s">
        <v>1024</v>
      </c>
      <c r="J360" s="192" t="s">
        <v>1007</v>
      </c>
      <c r="K360" s="192" t="s">
        <v>353</v>
      </c>
      <c r="L360" s="192" t="str">
        <f t="shared" si="8"/>
        <v>TransportBusiness travelVehicleHire carBattery Electric VehicleAverage</v>
      </c>
      <c r="M360" s="192" t="s">
        <v>1142</v>
      </c>
      <c r="N360" s="192" t="s">
        <v>356</v>
      </c>
      <c r="O360" s="192" t="s">
        <v>1003</v>
      </c>
      <c r="P360" s="374">
        <v>1.609</v>
      </c>
      <c r="Q360" s="377"/>
      <c r="R360" s="305"/>
      <c r="S360" s="304">
        <v>4.0469999999999999E-2</v>
      </c>
      <c r="T360" s="304">
        <v>1.0489999999999999E-2</v>
      </c>
      <c r="U360" s="304">
        <v>3.8400000000000001E-3</v>
      </c>
      <c r="V360" s="305"/>
      <c r="W360" s="305"/>
      <c r="X360" s="305"/>
      <c r="Y360" s="305"/>
      <c r="Z360" s="192" t="s">
        <v>1468</v>
      </c>
      <c r="AA360" s="192" t="s">
        <v>1383</v>
      </c>
      <c r="AB360" s="192" t="s">
        <v>1384</v>
      </c>
      <c r="AC360" s="305"/>
      <c r="AD360" s="305"/>
      <c r="AE360" s="424"/>
    </row>
    <row r="361" spans="5:31" ht="14.5" x14ac:dyDescent="0.35">
      <c r="E361" s="192">
        <v>353</v>
      </c>
      <c r="F361" s="192" t="s">
        <v>220</v>
      </c>
      <c r="G361" s="192" t="s">
        <v>191</v>
      </c>
      <c r="H361" s="192" t="s">
        <v>350</v>
      </c>
      <c r="I361" s="192" t="s">
        <v>1024</v>
      </c>
      <c r="J361" s="192" t="s">
        <v>1008</v>
      </c>
      <c r="K361" s="192" t="s">
        <v>754</v>
      </c>
      <c r="L361" s="192" t="str">
        <f t="shared" si="8"/>
        <v>TransportBusiness travelVehicleHire carHybridSmall</v>
      </c>
      <c r="M361" s="192" t="s">
        <v>1142</v>
      </c>
      <c r="N361" s="192" t="s">
        <v>356</v>
      </c>
      <c r="O361" s="192" t="s">
        <v>1003</v>
      </c>
      <c r="P361" s="374">
        <v>1.609</v>
      </c>
      <c r="Q361" s="377"/>
      <c r="R361" s="305"/>
      <c r="S361" s="304">
        <v>0.11413</v>
      </c>
      <c r="T361" s="304">
        <v>3.0259999999999999E-2</v>
      </c>
      <c r="U361" s="305"/>
      <c r="V361" s="305"/>
      <c r="W361" s="305"/>
      <c r="X361" s="305"/>
      <c r="Y361" s="305"/>
      <c r="Z361" s="192" t="s">
        <v>1469</v>
      </c>
      <c r="AA361" s="192" t="s">
        <v>1386</v>
      </c>
      <c r="AB361" s="305"/>
      <c r="AC361" s="305"/>
      <c r="AD361" s="305"/>
      <c r="AE361" s="424"/>
    </row>
    <row r="362" spans="5:31" ht="14.5" x14ac:dyDescent="0.35">
      <c r="E362" s="192">
        <v>354</v>
      </c>
      <c r="F362" s="192" t="s">
        <v>220</v>
      </c>
      <c r="G362" s="192" t="s">
        <v>191</v>
      </c>
      <c r="H362" s="192" t="s">
        <v>350</v>
      </c>
      <c r="I362" s="192" t="s">
        <v>1024</v>
      </c>
      <c r="J362" s="192" t="s">
        <v>1008</v>
      </c>
      <c r="K362" s="192" t="s">
        <v>1004</v>
      </c>
      <c r="L362" s="192" t="str">
        <f t="shared" si="8"/>
        <v>TransportBusiness travelVehicleHire carHybridMedium</v>
      </c>
      <c r="M362" s="192" t="s">
        <v>1142</v>
      </c>
      <c r="N362" s="192" t="s">
        <v>356</v>
      </c>
      <c r="O362" s="192" t="s">
        <v>1003</v>
      </c>
      <c r="P362" s="374">
        <v>1.609</v>
      </c>
      <c r="Q362" s="377"/>
      <c r="R362" s="305"/>
      <c r="S362" s="304">
        <v>0.11724</v>
      </c>
      <c r="T362" s="304">
        <v>2.998E-2</v>
      </c>
      <c r="U362" s="305"/>
      <c r="V362" s="305"/>
      <c r="W362" s="305"/>
      <c r="X362" s="305"/>
      <c r="Y362" s="305"/>
      <c r="Z362" s="192" t="s">
        <v>1470</v>
      </c>
      <c r="AA362" s="192" t="s">
        <v>1388</v>
      </c>
      <c r="AB362" s="305"/>
      <c r="AC362" s="305"/>
      <c r="AD362" s="305"/>
      <c r="AE362" s="424"/>
    </row>
    <row r="363" spans="5:31" ht="14.5" x14ac:dyDescent="0.35">
      <c r="E363" s="192">
        <v>355</v>
      </c>
      <c r="F363" s="192" t="s">
        <v>220</v>
      </c>
      <c r="G363" s="192" t="s">
        <v>191</v>
      </c>
      <c r="H363" s="192" t="s">
        <v>350</v>
      </c>
      <c r="I363" s="192" t="s">
        <v>1024</v>
      </c>
      <c r="J363" s="192" t="s">
        <v>1008</v>
      </c>
      <c r="K363" s="192" t="s">
        <v>1005</v>
      </c>
      <c r="L363" s="192" t="str">
        <f t="shared" si="8"/>
        <v>TransportBusiness travelVehicleHire carHybridLarge</v>
      </c>
      <c r="M363" s="192" t="s">
        <v>1142</v>
      </c>
      <c r="N363" s="192" t="s">
        <v>356</v>
      </c>
      <c r="O363" s="192" t="s">
        <v>1003</v>
      </c>
      <c r="P363" s="374">
        <v>1.609</v>
      </c>
      <c r="Q363" s="377"/>
      <c r="R363" s="305"/>
      <c r="S363" s="304">
        <v>0.1565</v>
      </c>
      <c r="T363" s="304">
        <v>3.9609999999999999E-2</v>
      </c>
      <c r="U363" s="305"/>
      <c r="V363" s="305"/>
      <c r="W363" s="305"/>
      <c r="X363" s="305"/>
      <c r="Y363" s="305"/>
      <c r="Z363" s="192" t="s">
        <v>1471</v>
      </c>
      <c r="AA363" s="192" t="s">
        <v>1390</v>
      </c>
      <c r="AB363" s="305"/>
      <c r="AC363" s="305"/>
      <c r="AD363" s="305"/>
      <c r="AE363" s="424"/>
    </row>
    <row r="364" spans="5:31" ht="14.5" x14ac:dyDescent="0.35">
      <c r="E364" s="192">
        <v>356</v>
      </c>
      <c r="F364" s="192" t="s">
        <v>220</v>
      </c>
      <c r="G364" s="192" t="s">
        <v>191</v>
      </c>
      <c r="H364" s="192" t="s">
        <v>350</v>
      </c>
      <c r="I364" s="192" t="s">
        <v>1024</v>
      </c>
      <c r="J364" s="192" t="s">
        <v>1008</v>
      </c>
      <c r="K364" s="192" t="s">
        <v>353</v>
      </c>
      <c r="L364" s="192" t="str">
        <f t="shared" si="8"/>
        <v>TransportBusiness travelVehicleHire carHybridAverage</v>
      </c>
      <c r="M364" s="192" t="s">
        <v>1142</v>
      </c>
      <c r="N364" s="192" t="s">
        <v>356</v>
      </c>
      <c r="O364" s="192" t="s">
        <v>1003</v>
      </c>
      <c r="P364" s="374">
        <v>1.609</v>
      </c>
      <c r="Q364" s="377"/>
      <c r="R364" s="305"/>
      <c r="S364" s="304">
        <v>0.12825</v>
      </c>
      <c r="T364" s="304">
        <v>3.3149999999999999E-2</v>
      </c>
      <c r="U364" s="305"/>
      <c r="V364" s="305"/>
      <c r="W364" s="305"/>
      <c r="X364" s="305"/>
      <c r="Y364" s="305"/>
      <c r="Z364" s="192" t="s">
        <v>1472</v>
      </c>
      <c r="AA364" s="192" t="s">
        <v>1392</v>
      </c>
      <c r="AB364" s="305"/>
      <c r="AC364" s="305"/>
      <c r="AD364" s="305"/>
      <c r="AE364" s="424"/>
    </row>
    <row r="365" spans="5:31" ht="14.5" x14ac:dyDescent="0.35">
      <c r="E365" s="192">
        <v>357</v>
      </c>
      <c r="F365" s="192" t="s">
        <v>220</v>
      </c>
      <c r="G365" s="192" t="s">
        <v>191</v>
      </c>
      <c r="H365" s="192" t="s">
        <v>350</v>
      </c>
      <c r="I365" s="192" t="s">
        <v>1024</v>
      </c>
      <c r="J365" s="192" t="s">
        <v>1009</v>
      </c>
      <c r="K365" s="192" t="s">
        <v>754</v>
      </c>
      <c r="L365" s="192" t="str">
        <f t="shared" si="8"/>
        <v>TransportBusiness travelVehicleHire carPlug-in Hybrid Electric VehicleSmall</v>
      </c>
      <c r="M365" s="192" t="s">
        <v>1142</v>
      </c>
      <c r="N365" s="192" t="s">
        <v>356</v>
      </c>
      <c r="O365" s="192" t="s">
        <v>1003</v>
      </c>
      <c r="P365" s="374">
        <v>1.609</v>
      </c>
      <c r="Q365" s="377"/>
      <c r="R365" s="305"/>
      <c r="S365" s="304">
        <v>5.6689999999999997E-2</v>
      </c>
      <c r="T365" s="304">
        <v>1.52E-2</v>
      </c>
      <c r="U365" s="304">
        <v>2.5200000000000001E-3</v>
      </c>
      <c r="V365" s="305"/>
      <c r="W365" s="305"/>
      <c r="X365" s="305"/>
      <c r="Y365" s="305"/>
      <c r="Z365" s="192" t="s">
        <v>1473</v>
      </c>
      <c r="AA365" s="192" t="s">
        <v>1395</v>
      </c>
      <c r="AB365" s="192" t="s">
        <v>1396</v>
      </c>
      <c r="AC365" s="305"/>
      <c r="AD365" s="305"/>
      <c r="AE365" s="424"/>
    </row>
    <row r="366" spans="5:31" ht="14.5" x14ac:dyDescent="0.35">
      <c r="E366" s="192">
        <v>358</v>
      </c>
      <c r="F366" s="192" t="s">
        <v>220</v>
      </c>
      <c r="G366" s="192" t="s">
        <v>191</v>
      </c>
      <c r="H366" s="192" t="s">
        <v>350</v>
      </c>
      <c r="I366" s="192" t="s">
        <v>1024</v>
      </c>
      <c r="J366" s="192" t="s">
        <v>1009</v>
      </c>
      <c r="K366" s="192" t="s">
        <v>1004</v>
      </c>
      <c r="L366" s="192" t="str">
        <f t="shared" si="8"/>
        <v>TransportBusiness travelVehicleHire carPlug-in Hybrid Electric VehicleMedium</v>
      </c>
      <c r="M366" s="192" t="s">
        <v>1142</v>
      </c>
      <c r="N366" s="192" t="s">
        <v>356</v>
      </c>
      <c r="O366" s="192" t="s">
        <v>1003</v>
      </c>
      <c r="P366" s="374">
        <v>1.609</v>
      </c>
      <c r="Q366" s="377"/>
      <c r="R366" s="305"/>
      <c r="S366" s="304">
        <v>8.8200000000000001E-2</v>
      </c>
      <c r="T366" s="304">
        <v>2.5239999999999999E-2</v>
      </c>
      <c r="U366" s="304">
        <v>9.7999999999999997E-4</v>
      </c>
      <c r="V366" s="305"/>
      <c r="W366" s="305"/>
      <c r="X366" s="305"/>
      <c r="Y366" s="305"/>
      <c r="Z366" s="192" t="s">
        <v>1474</v>
      </c>
      <c r="AA366" s="192" t="s">
        <v>1399</v>
      </c>
      <c r="AB366" s="192" t="s">
        <v>1400</v>
      </c>
      <c r="AC366" s="305"/>
      <c r="AD366" s="305"/>
      <c r="AE366" s="424"/>
    </row>
    <row r="367" spans="5:31" ht="14.5" x14ac:dyDescent="0.35">
      <c r="E367" s="192">
        <v>359</v>
      </c>
      <c r="F367" s="192" t="s">
        <v>220</v>
      </c>
      <c r="G367" s="192" t="s">
        <v>191</v>
      </c>
      <c r="H367" s="192" t="s">
        <v>350</v>
      </c>
      <c r="I367" s="192" t="s">
        <v>1024</v>
      </c>
      <c r="J367" s="192" t="s">
        <v>1009</v>
      </c>
      <c r="K367" s="192" t="s">
        <v>1005</v>
      </c>
      <c r="L367" s="192" t="str">
        <f t="shared" si="8"/>
        <v>TransportBusiness travelVehicleHire carPlug-in Hybrid Electric VehicleLarge</v>
      </c>
      <c r="M367" s="192" t="s">
        <v>1142</v>
      </c>
      <c r="N367" s="192" t="s">
        <v>356</v>
      </c>
      <c r="O367" s="192" t="s">
        <v>1003</v>
      </c>
      <c r="P367" s="374">
        <v>1.609</v>
      </c>
      <c r="Q367" s="377"/>
      <c r="R367" s="305"/>
      <c r="S367" s="304">
        <v>0.1143</v>
      </c>
      <c r="T367" s="304">
        <v>3.2210000000000003E-2</v>
      </c>
      <c r="U367" s="304">
        <v>1.32E-3</v>
      </c>
      <c r="V367" s="305"/>
      <c r="W367" s="305"/>
      <c r="X367" s="305"/>
      <c r="Y367" s="305"/>
      <c r="Z367" s="192" t="s">
        <v>1475</v>
      </c>
      <c r="AA367" s="192" t="s">
        <v>1403</v>
      </c>
      <c r="AB367" s="192" t="s">
        <v>1404</v>
      </c>
      <c r="AC367" s="305"/>
      <c r="AD367" s="305"/>
      <c r="AE367" s="424"/>
    </row>
    <row r="368" spans="5:31" ht="14.5" x14ac:dyDescent="0.35">
      <c r="E368" s="192">
        <v>360</v>
      </c>
      <c r="F368" s="192" t="s">
        <v>220</v>
      </c>
      <c r="G368" s="192" t="s">
        <v>191</v>
      </c>
      <c r="H368" s="192" t="s">
        <v>350</v>
      </c>
      <c r="I368" s="192" t="s">
        <v>1024</v>
      </c>
      <c r="J368" s="192" t="s">
        <v>1009</v>
      </c>
      <c r="K368" s="192" t="s">
        <v>353</v>
      </c>
      <c r="L368" s="192" t="str">
        <f t="shared" si="8"/>
        <v>TransportBusiness travelVehicleHire carPlug-in Hybrid Electric VehicleAverage</v>
      </c>
      <c r="M368" s="192" t="s">
        <v>1142</v>
      </c>
      <c r="N368" s="192" t="s">
        <v>356</v>
      </c>
      <c r="O368" s="192" t="s">
        <v>1003</v>
      </c>
      <c r="P368" s="374">
        <v>1.609</v>
      </c>
      <c r="Q368" s="377"/>
      <c r="R368" s="305"/>
      <c r="S368" s="304">
        <v>0.10460999999999999</v>
      </c>
      <c r="T368" s="304">
        <v>2.9340000000000001E-2</v>
      </c>
      <c r="U368" s="304">
        <v>1.2199999999999999E-3</v>
      </c>
      <c r="V368" s="305"/>
      <c r="W368" s="305"/>
      <c r="X368" s="305"/>
      <c r="Y368" s="305"/>
      <c r="Z368" s="192" t="s">
        <v>1476</v>
      </c>
      <c r="AA368" s="192" t="s">
        <v>1407</v>
      </c>
      <c r="AB368" s="192" t="s">
        <v>1408</v>
      </c>
      <c r="AC368" s="305"/>
      <c r="AD368" s="305"/>
      <c r="AE368" s="424"/>
    </row>
    <row r="369" spans="5:31" ht="14.5" x14ac:dyDescent="0.35">
      <c r="E369" s="192">
        <v>361</v>
      </c>
      <c r="F369" s="192" t="s">
        <v>220</v>
      </c>
      <c r="G369" s="192" t="s">
        <v>191</v>
      </c>
      <c r="H369" s="192" t="s">
        <v>350</v>
      </c>
      <c r="I369" s="192" t="s">
        <v>1024</v>
      </c>
      <c r="J369" s="192" t="s">
        <v>1010</v>
      </c>
      <c r="K369" s="192" t="s">
        <v>754</v>
      </c>
      <c r="L369" s="192" t="str">
        <f t="shared" si="8"/>
        <v>TransportBusiness travelVehicleHire carUnknown fuelSmall</v>
      </c>
      <c r="M369" s="192" t="s">
        <v>1142</v>
      </c>
      <c r="N369" s="192" t="s">
        <v>356</v>
      </c>
      <c r="O369" s="192" t="s">
        <v>1003</v>
      </c>
      <c r="P369" s="374">
        <v>1.609</v>
      </c>
      <c r="Q369" s="377"/>
      <c r="R369" s="305"/>
      <c r="S369" s="304">
        <v>0.14321999999999999</v>
      </c>
      <c r="T369" s="304">
        <v>3.8359999999999998E-2</v>
      </c>
      <c r="U369" s="305"/>
      <c r="V369" s="305"/>
      <c r="W369" s="305"/>
      <c r="X369" s="305"/>
      <c r="Y369" s="305"/>
      <c r="Z369" s="192" t="s">
        <v>1477</v>
      </c>
      <c r="AA369" s="192" t="s">
        <v>1410</v>
      </c>
      <c r="AB369" s="305"/>
      <c r="AC369" s="305"/>
      <c r="AD369" s="305"/>
      <c r="AE369" s="424"/>
    </row>
    <row r="370" spans="5:31" ht="14.5" x14ac:dyDescent="0.35">
      <c r="E370" s="192">
        <v>362</v>
      </c>
      <c r="F370" s="192" t="s">
        <v>220</v>
      </c>
      <c r="G370" s="192" t="s">
        <v>191</v>
      </c>
      <c r="H370" s="192" t="s">
        <v>350</v>
      </c>
      <c r="I370" s="192" t="s">
        <v>1024</v>
      </c>
      <c r="J370" s="192" t="s">
        <v>1010</v>
      </c>
      <c r="K370" s="192" t="s">
        <v>1004</v>
      </c>
      <c r="L370" s="192" t="str">
        <f t="shared" si="8"/>
        <v>TransportBusiness travelVehicleHire carUnknown fuelMedium</v>
      </c>
      <c r="M370" s="192" t="s">
        <v>1142</v>
      </c>
      <c r="N370" s="192" t="s">
        <v>356</v>
      </c>
      <c r="O370" s="192" t="s">
        <v>1003</v>
      </c>
      <c r="P370" s="374">
        <v>1.609</v>
      </c>
      <c r="Q370" s="377"/>
      <c r="R370" s="305"/>
      <c r="S370" s="304">
        <v>0.17322000000000001</v>
      </c>
      <c r="T370" s="304">
        <v>4.5179999999999998E-2</v>
      </c>
      <c r="U370" s="305"/>
      <c r="V370" s="305"/>
      <c r="W370" s="305"/>
      <c r="X370" s="305"/>
      <c r="Y370" s="305"/>
      <c r="Z370" s="192" t="s">
        <v>1478</v>
      </c>
      <c r="AA370" s="192" t="s">
        <v>1412</v>
      </c>
      <c r="AB370" s="305"/>
      <c r="AC370" s="305"/>
      <c r="AD370" s="305"/>
      <c r="AE370" s="424"/>
    </row>
    <row r="371" spans="5:31" ht="14.5" x14ac:dyDescent="0.35">
      <c r="E371" s="192">
        <v>363</v>
      </c>
      <c r="F371" s="192" t="s">
        <v>220</v>
      </c>
      <c r="G371" s="192" t="s">
        <v>191</v>
      </c>
      <c r="H371" s="192" t="s">
        <v>350</v>
      </c>
      <c r="I371" s="192" t="s">
        <v>1024</v>
      </c>
      <c r="J371" s="192" t="s">
        <v>1010</v>
      </c>
      <c r="K371" s="192" t="s">
        <v>1005</v>
      </c>
      <c r="L371" s="192" t="str">
        <f t="shared" si="8"/>
        <v>TransportBusiness travelVehicleHire carUnknown fuelLarge</v>
      </c>
      <c r="M371" s="192" t="s">
        <v>1142</v>
      </c>
      <c r="N371" s="192" t="s">
        <v>356</v>
      </c>
      <c r="O371" s="192" t="s">
        <v>1003</v>
      </c>
      <c r="P371" s="374">
        <v>1.609</v>
      </c>
      <c r="Q371" s="377"/>
      <c r="R371" s="305"/>
      <c r="S371" s="304">
        <v>0.22678000000000001</v>
      </c>
      <c r="T371" s="304">
        <v>5.7639999999999997E-2</v>
      </c>
      <c r="U371" s="305"/>
      <c r="V371" s="305"/>
      <c r="W371" s="305"/>
      <c r="X371" s="305"/>
      <c r="Y371" s="305"/>
      <c r="Z371" s="192" t="s">
        <v>1479</v>
      </c>
      <c r="AA371" s="192" t="s">
        <v>1414</v>
      </c>
      <c r="AB371" s="305"/>
      <c r="AC371" s="305"/>
      <c r="AD371" s="305"/>
      <c r="AE371" s="424"/>
    </row>
    <row r="372" spans="5:31" ht="14.5" x14ac:dyDescent="0.35">
      <c r="E372" s="192">
        <v>364</v>
      </c>
      <c r="F372" s="192" t="s">
        <v>220</v>
      </c>
      <c r="G372" s="192" t="s">
        <v>191</v>
      </c>
      <c r="H372" s="192" t="s">
        <v>350</v>
      </c>
      <c r="I372" s="192" t="s">
        <v>1024</v>
      </c>
      <c r="J372" s="192" t="s">
        <v>1010</v>
      </c>
      <c r="K372" s="192" t="s">
        <v>353</v>
      </c>
      <c r="L372" s="192" t="str">
        <f t="shared" si="8"/>
        <v>TransportBusiness travelVehicleHire carUnknown fuelAverage</v>
      </c>
      <c r="M372" s="192" t="s">
        <v>1142</v>
      </c>
      <c r="N372" s="192" t="s">
        <v>356</v>
      </c>
      <c r="O372" s="192" t="s">
        <v>1003</v>
      </c>
      <c r="P372" s="374">
        <v>1.609</v>
      </c>
      <c r="Q372" s="377"/>
      <c r="R372" s="305"/>
      <c r="S372" s="304">
        <v>0.16725000000000001</v>
      </c>
      <c r="T372" s="304">
        <v>4.3990000000000001E-2</v>
      </c>
      <c r="U372" s="305"/>
      <c r="V372" s="305"/>
      <c r="W372" s="305"/>
      <c r="X372" s="305"/>
      <c r="Y372" s="305"/>
      <c r="Z372" s="192" t="s">
        <v>1480</v>
      </c>
      <c r="AA372" s="192" t="s">
        <v>1416</v>
      </c>
      <c r="AB372" s="305"/>
      <c r="AC372" s="305"/>
      <c r="AD372" s="305"/>
      <c r="AE372" s="424"/>
    </row>
    <row r="373" spans="5:31" ht="14.5" x14ac:dyDescent="0.35">
      <c r="E373" s="192">
        <v>365</v>
      </c>
      <c r="F373" s="192" t="s">
        <v>220</v>
      </c>
      <c r="G373" s="192" t="s">
        <v>191</v>
      </c>
      <c r="H373" s="192" t="s">
        <v>350</v>
      </c>
      <c r="I373" s="192" t="s">
        <v>1011</v>
      </c>
      <c r="J373" s="192" t="s">
        <v>1006</v>
      </c>
      <c r="K373" s="192" t="s">
        <v>353</v>
      </c>
      <c r="L373" s="192" t="str">
        <f t="shared" si="8"/>
        <v>TransportBusiness travelVehicleVanDieselAverage</v>
      </c>
      <c r="M373" s="192" t="s">
        <v>1142</v>
      </c>
      <c r="N373" s="192" t="s">
        <v>356</v>
      </c>
      <c r="O373" s="192" t="s">
        <v>1003</v>
      </c>
      <c r="P373" s="374">
        <v>1.609</v>
      </c>
      <c r="Q373" s="377"/>
      <c r="R373" s="305"/>
      <c r="S373" s="304">
        <v>0.25561</v>
      </c>
      <c r="T373" s="304">
        <v>6.1280000000000001E-2</v>
      </c>
      <c r="U373" s="305"/>
      <c r="V373" s="305"/>
      <c r="W373" s="305"/>
      <c r="X373" s="305"/>
      <c r="Y373" s="305"/>
      <c r="Z373" s="192" t="s">
        <v>1417</v>
      </c>
      <c r="AA373" s="192" t="s">
        <v>1418</v>
      </c>
      <c r="AB373" s="305"/>
      <c r="AC373" s="305"/>
      <c r="AD373" s="305"/>
      <c r="AE373" s="424"/>
    </row>
    <row r="374" spans="5:31" ht="14.5" x14ac:dyDescent="0.35">
      <c r="E374" s="192">
        <v>366</v>
      </c>
      <c r="F374" s="192" t="s">
        <v>220</v>
      </c>
      <c r="G374" s="192" t="s">
        <v>191</v>
      </c>
      <c r="H374" s="192" t="s">
        <v>350</v>
      </c>
      <c r="I374" s="192" t="s">
        <v>1011</v>
      </c>
      <c r="J374" s="192" t="s">
        <v>351</v>
      </c>
      <c r="K374" s="192" t="s">
        <v>353</v>
      </c>
      <c r="L374" s="192" t="str">
        <f t="shared" si="8"/>
        <v>TransportBusiness travelVehicleVanPetrolAverage</v>
      </c>
      <c r="M374" s="192" t="s">
        <v>1142</v>
      </c>
      <c r="N374" s="192" t="s">
        <v>356</v>
      </c>
      <c r="O374" s="192" t="s">
        <v>1003</v>
      </c>
      <c r="P374" s="374">
        <v>1.609</v>
      </c>
      <c r="Q374" s="377"/>
      <c r="R374" s="305"/>
      <c r="S374" s="304">
        <v>0.21335000000000001</v>
      </c>
      <c r="T374" s="304">
        <v>6.1830000000000003E-2</v>
      </c>
      <c r="U374" s="305"/>
      <c r="V374" s="305"/>
      <c r="W374" s="305"/>
      <c r="X374" s="305"/>
      <c r="Y374" s="305"/>
      <c r="Z374" s="192" t="s">
        <v>1419</v>
      </c>
      <c r="AA374" s="192" t="s">
        <v>1420</v>
      </c>
      <c r="AB374" s="305"/>
      <c r="AC374" s="305"/>
      <c r="AD374" s="305"/>
      <c r="AE374" s="424"/>
    </row>
    <row r="375" spans="5:31" ht="14.5" x14ac:dyDescent="0.35">
      <c r="E375" s="192">
        <v>367</v>
      </c>
      <c r="F375" s="192" t="s">
        <v>220</v>
      </c>
      <c r="G375" s="192" t="s">
        <v>191</v>
      </c>
      <c r="H375" s="192" t="s">
        <v>350</v>
      </c>
      <c r="I375" s="192" t="s">
        <v>1011</v>
      </c>
      <c r="J375" s="192" t="s">
        <v>981</v>
      </c>
      <c r="K375" s="192" t="s">
        <v>353</v>
      </c>
      <c r="L375" s="192" t="str">
        <f t="shared" si="8"/>
        <v>TransportBusiness travelVehicleVanLPGAverage</v>
      </c>
      <c r="M375" s="192" t="s">
        <v>1142</v>
      </c>
      <c r="N375" s="192" t="s">
        <v>356</v>
      </c>
      <c r="O375" s="192" t="s">
        <v>1003</v>
      </c>
      <c r="P375" s="374">
        <v>1.609</v>
      </c>
      <c r="Q375" s="377"/>
      <c r="R375" s="305"/>
      <c r="S375" s="304">
        <v>0.27610000000000001</v>
      </c>
      <c r="T375" s="304">
        <v>3.279E-2</v>
      </c>
      <c r="U375" s="305"/>
      <c r="V375" s="305"/>
      <c r="W375" s="305"/>
      <c r="X375" s="305"/>
      <c r="Y375" s="305"/>
      <c r="Z375" s="192" t="s">
        <v>1421</v>
      </c>
      <c r="AA375" s="192" t="s">
        <v>1422</v>
      </c>
      <c r="AB375" s="305"/>
      <c r="AC375" s="305"/>
      <c r="AD375" s="305"/>
      <c r="AE375" s="424"/>
    </row>
    <row r="376" spans="5:31" ht="14.5" x14ac:dyDescent="0.35">
      <c r="E376" s="192">
        <v>368</v>
      </c>
      <c r="F376" s="192" t="s">
        <v>220</v>
      </c>
      <c r="G376" s="192" t="s">
        <v>191</v>
      </c>
      <c r="H376" s="192" t="s">
        <v>350</v>
      </c>
      <c r="I376" s="192" t="s">
        <v>1011</v>
      </c>
      <c r="J376" s="192" t="s">
        <v>1007</v>
      </c>
      <c r="K376" s="192" t="s">
        <v>353</v>
      </c>
      <c r="L376" s="192" t="str">
        <f t="shared" si="8"/>
        <v>TransportBusiness travelVehicleVanBattery Electric VehicleAverage</v>
      </c>
      <c r="M376" s="192" t="s">
        <v>1142</v>
      </c>
      <c r="N376" s="192" t="s">
        <v>356</v>
      </c>
      <c r="O376" s="192" t="s">
        <v>1003</v>
      </c>
      <c r="P376" s="374">
        <v>1.609</v>
      </c>
      <c r="Q376" s="377"/>
      <c r="R376" s="305"/>
      <c r="S376" s="304">
        <v>6.3149999999999998E-2</v>
      </c>
      <c r="T376" s="304">
        <v>1.7590000000000001E-2</v>
      </c>
      <c r="U376" s="304">
        <v>6.62E-3</v>
      </c>
      <c r="V376" s="305"/>
      <c r="W376" s="305"/>
      <c r="X376" s="305"/>
      <c r="Y376" s="305"/>
      <c r="Z376" s="192" t="s">
        <v>1423</v>
      </c>
      <c r="AA376" s="192" t="s">
        <v>1424</v>
      </c>
      <c r="AB376" s="192" t="s">
        <v>1425</v>
      </c>
      <c r="AC376" s="305"/>
      <c r="AD376" s="305"/>
      <c r="AE376" s="424"/>
    </row>
    <row r="377" spans="5:31" ht="14.5" x14ac:dyDescent="0.35">
      <c r="E377" s="192">
        <v>369</v>
      </c>
      <c r="F377" s="192" t="s">
        <v>220</v>
      </c>
      <c r="G377" s="192" t="s">
        <v>191</v>
      </c>
      <c r="H377" s="192" t="s">
        <v>350</v>
      </c>
      <c r="I377" s="192" t="s">
        <v>1011</v>
      </c>
      <c r="J377" s="192" t="s">
        <v>981</v>
      </c>
      <c r="K377" s="192" t="s">
        <v>353</v>
      </c>
      <c r="L377" s="192" t="str">
        <f t="shared" si="8"/>
        <v>TransportBusiness travelVehicleVanLPGAverage</v>
      </c>
      <c r="M377" s="192" t="s">
        <v>1142</v>
      </c>
      <c r="N377" s="192" t="s">
        <v>356</v>
      </c>
      <c r="O377" s="192" t="s">
        <v>1003</v>
      </c>
      <c r="P377" s="374">
        <v>1.609</v>
      </c>
      <c r="Q377" s="377"/>
      <c r="R377" s="305"/>
      <c r="S377" s="304">
        <v>0.44433</v>
      </c>
      <c r="T377" s="304">
        <v>5.2769999999999997E-2</v>
      </c>
      <c r="U377" s="305"/>
      <c r="V377" s="305"/>
      <c r="W377" s="305"/>
      <c r="X377" s="305"/>
      <c r="Y377" s="305"/>
      <c r="Z377" s="192" t="s">
        <v>1481</v>
      </c>
      <c r="AA377" s="192" t="s">
        <v>1482</v>
      </c>
      <c r="AB377" s="305"/>
      <c r="AC377" s="305"/>
      <c r="AD377" s="305"/>
      <c r="AE377" s="424"/>
    </row>
    <row r="378" spans="5:31" ht="14.5" x14ac:dyDescent="0.35">
      <c r="E378" s="192">
        <v>370</v>
      </c>
      <c r="F378" s="192" t="s">
        <v>220</v>
      </c>
      <c r="G378" s="192" t="s">
        <v>191</v>
      </c>
      <c r="H378" s="192" t="s">
        <v>350</v>
      </c>
      <c r="I378" s="192" t="s">
        <v>1011</v>
      </c>
      <c r="J378" s="192" t="s">
        <v>1010</v>
      </c>
      <c r="K378" s="192" t="s">
        <v>353</v>
      </c>
      <c r="L378" s="192" t="str">
        <f t="shared" si="8"/>
        <v>TransportBusiness travelVehicleVanUnknown fuelAverage</v>
      </c>
      <c r="M378" s="192" t="s">
        <v>1142</v>
      </c>
      <c r="N378" s="192" t="s">
        <v>356</v>
      </c>
      <c r="O378" s="192" t="s">
        <v>1003</v>
      </c>
      <c r="P378" s="374">
        <v>1.609</v>
      </c>
      <c r="Q378" s="377"/>
      <c r="R378" s="305"/>
      <c r="S378" s="304">
        <v>0.25430000000000003</v>
      </c>
      <c r="T378" s="304">
        <v>6.13E-2</v>
      </c>
      <c r="U378" s="305"/>
      <c r="V378" s="305"/>
      <c r="W378" s="305"/>
      <c r="X378" s="305"/>
      <c r="Y378" s="305"/>
      <c r="Z378" s="192" t="s">
        <v>1426</v>
      </c>
      <c r="AA378" s="192" t="s">
        <v>1427</v>
      </c>
      <c r="AB378" s="305"/>
      <c r="AC378" s="305"/>
      <c r="AD378" s="305"/>
      <c r="AE378" s="424"/>
    </row>
    <row r="379" spans="5:31" ht="14.5" x14ac:dyDescent="0.35">
      <c r="E379" s="192">
        <v>371</v>
      </c>
      <c r="F379" s="192" t="s">
        <v>220</v>
      </c>
      <c r="G379" s="192" t="s">
        <v>191</v>
      </c>
      <c r="H379" s="192" t="s">
        <v>350</v>
      </c>
      <c r="I379" s="192" t="s">
        <v>1012</v>
      </c>
      <c r="J379" s="192" t="s">
        <v>1006</v>
      </c>
      <c r="K379" s="192" t="s">
        <v>1013</v>
      </c>
      <c r="L379" s="192" t="str">
        <f t="shared" si="8"/>
        <v>TransportBusiness travelVehicleHGVDieselAverage rigid</v>
      </c>
      <c r="M379" s="192" t="s">
        <v>1142</v>
      </c>
      <c r="N379" s="192" t="s">
        <v>356</v>
      </c>
      <c r="O379" s="192" t="s">
        <v>1003</v>
      </c>
      <c r="P379" s="374">
        <v>1.609</v>
      </c>
      <c r="Q379" s="377"/>
      <c r="R379" s="305"/>
      <c r="S379" s="304">
        <v>0.83750999999999998</v>
      </c>
      <c r="T379" s="304">
        <v>0.20099</v>
      </c>
      <c r="U379" s="305"/>
      <c r="V379" s="305"/>
      <c r="W379" s="305"/>
      <c r="X379" s="305"/>
      <c r="Y379" s="305"/>
      <c r="Z379" s="192" t="s">
        <v>1428</v>
      </c>
      <c r="AA379" s="192" t="s">
        <v>1429</v>
      </c>
      <c r="AB379" s="305"/>
      <c r="AC379" s="305"/>
      <c r="AD379" s="305"/>
      <c r="AE379" s="424"/>
    </row>
    <row r="380" spans="5:31" ht="14.5" x14ac:dyDescent="0.35">
      <c r="E380" s="192">
        <v>372</v>
      </c>
      <c r="F380" s="192" t="s">
        <v>220</v>
      </c>
      <c r="G380" s="192" t="s">
        <v>191</v>
      </c>
      <c r="H380" s="192" t="s">
        <v>350</v>
      </c>
      <c r="I380" s="192" t="s">
        <v>1012</v>
      </c>
      <c r="J380" s="192" t="s">
        <v>1006</v>
      </c>
      <c r="K380" s="192" t="s">
        <v>1014</v>
      </c>
      <c r="L380" s="192" t="str">
        <f t="shared" si="8"/>
        <v>TransportBusiness travelVehicleHGVDieselAverage articulated</v>
      </c>
      <c r="M380" s="192" t="s">
        <v>1142</v>
      </c>
      <c r="N380" s="192" t="s">
        <v>356</v>
      </c>
      <c r="O380" s="192" t="s">
        <v>1003</v>
      </c>
      <c r="P380" s="374">
        <v>1.609</v>
      </c>
      <c r="Q380" s="377"/>
      <c r="R380" s="305"/>
      <c r="S380" s="304">
        <v>0.92854000000000003</v>
      </c>
      <c r="T380" s="304">
        <v>0.21898000000000001</v>
      </c>
      <c r="U380" s="305"/>
      <c r="V380" s="305"/>
      <c r="W380" s="305"/>
      <c r="X380" s="305"/>
      <c r="Y380" s="305"/>
      <c r="Z380" s="192" t="s">
        <v>1430</v>
      </c>
      <c r="AA380" s="192" t="s">
        <v>1431</v>
      </c>
      <c r="AB380" s="305"/>
      <c r="AC380" s="305"/>
      <c r="AD380" s="305"/>
      <c r="AE380" s="424"/>
    </row>
    <row r="381" spans="5:31" ht="14.5" x14ac:dyDescent="0.35">
      <c r="E381" s="192">
        <v>373</v>
      </c>
      <c r="F381" s="192" t="s">
        <v>220</v>
      </c>
      <c r="G381" s="192" t="s">
        <v>191</v>
      </c>
      <c r="H381" s="192" t="s">
        <v>350</v>
      </c>
      <c r="I381" s="192" t="s">
        <v>1012</v>
      </c>
      <c r="J381" s="192" t="s">
        <v>1006</v>
      </c>
      <c r="K381" s="192" t="s">
        <v>353</v>
      </c>
      <c r="L381" s="192" t="str">
        <f t="shared" si="8"/>
        <v>TransportBusiness travelVehicleHGVDieselAverage</v>
      </c>
      <c r="M381" s="192" t="s">
        <v>1142</v>
      </c>
      <c r="N381" s="192" t="s">
        <v>356</v>
      </c>
      <c r="O381" s="192" t="s">
        <v>1003</v>
      </c>
      <c r="P381" s="374">
        <v>1.609</v>
      </c>
      <c r="Q381" s="377"/>
      <c r="R381" s="305"/>
      <c r="S381" s="304">
        <v>0.89120999999999995</v>
      </c>
      <c r="T381" s="304">
        <v>0.21154000000000001</v>
      </c>
      <c r="U381" s="305"/>
      <c r="V381" s="305"/>
      <c r="W381" s="305"/>
      <c r="X381" s="305"/>
      <c r="Y381" s="305"/>
      <c r="Z381" s="192" t="s">
        <v>1432</v>
      </c>
      <c r="AA381" s="192" t="s">
        <v>1433</v>
      </c>
      <c r="AB381" s="305"/>
      <c r="AC381" s="305"/>
      <c r="AD381" s="305"/>
      <c r="AE381" s="424"/>
    </row>
    <row r="382" spans="5:31" ht="14.5" x14ac:dyDescent="0.35">
      <c r="E382" s="192">
        <v>374</v>
      </c>
      <c r="F382" s="192" t="s">
        <v>220</v>
      </c>
      <c r="G382" s="192" t="s">
        <v>191</v>
      </c>
      <c r="H382" s="192" t="s">
        <v>350</v>
      </c>
      <c r="I382" s="192" t="s">
        <v>1015</v>
      </c>
      <c r="J382" s="192" t="s">
        <v>351</v>
      </c>
      <c r="K382" s="192" t="s">
        <v>754</v>
      </c>
      <c r="L382" s="192" t="str">
        <f t="shared" si="8"/>
        <v>TransportBusiness travelVehicleMotorbikePetrolSmall</v>
      </c>
      <c r="M382" s="192" t="s">
        <v>1142</v>
      </c>
      <c r="N382" s="192" t="s">
        <v>356</v>
      </c>
      <c r="O382" s="192" t="s">
        <v>1003</v>
      </c>
      <c r="P382" s="374">
        <v>1.609</v>
      </c>
      <c r="Q382" s="377"/>
      <c r="R382" s="305"/>
      <c r="S382" s="304">
        <v>8.319E-2</v>
      </c>
      <c r="T382" s="304">
        <v>2.1479999999999999E-2</v>
      </c>
      <c r="U382" s="305"/>
      <c r="V382" s="305"/>
      <c r="W382" s="305"/>
      <c r="X382" s="305"/>
      <c r="Y382" s="305"/>
      <c r="Z382" s="192" t="s">
        <v>1434</v>
      </c>
      <c r="AA382" s="192" t="s">
        <v>1435</v>
      </c>
      <c r="AB382" s="305"/>
      <c r="AC382" s="305"/>
      <c r="AD382" s="305"/>
      <c r="AE382" s="424"/>
    </row>
    <row r="383" spans="5:31" ht="14.5" x14ac:dyDescent="0.35">
      <c r="E383" s="192">
        <v>375</v>
      </c>
      <c r="F383" s="192" t="s">
        <v>220</v>
      </c>
      <c r="G383" s="192" t="s">
        <v>191</v>
      </c>
      <c r="H383" s="192" t="s">
        <v>350</v>
      </c>
      <c r="I383" s="192" t="s">
        <v>1015</v>
      </c>
      <c r="J383" s="192" t="s">
        <v>351</v>
      </c>
      <c r="K383" s="192" t="s">
        <v>1004</v>
      </c>
      <c r="L383" s="192" t="str">
        <f t="shared" si="8"/>
        <v>TransportBusiness travelVehicleMotorbikePetrolMedium</v>
      </c>
      <c r="M383" s="192" t="s">
        <v>1142</v>
      </c>
      <c r="N383" s="192" t="s">
        <v>356</v>
      </c>
      <c r="O383" s="192" t="s">
        <v>1003</v>
      </c>
      <c r="P383" s="374">
        <v>1.609</v>
      </c>
      <c r="Q383" s="377"/>
      <c r="R383" s="305"/>
      <c r="S383" s="304">
        <v>0.10107000000000001</v>
      </c>
      <c r="T383" s="304">
        <v>2.6079999999999999E-2</v>
      </c>
      <c r="U383" s="305"/>
      <c r="V383" s="305"/>
      <c r="W383" s="305"/>
      <c r="X383" s="305"/>
      <c r="Y383" s="305"/>
      <c r="Z383" s="192" t="s">
        <v>1436</v>
      </c>
      <c r="AA383" s="192" t="s">
        <v>1437</v>
      </c>
      <c r="AB383" s="305"/>
      <c r="AC383" s="305"/>
      <c r="AD383" s="305"/>
      <c r="AE383" s="424"/>
    </row>
    <row r="384" spans="5:31" ht="14.5" x14ac:dyDescent="0.35">
      <c r="E384" s="192">
        <v>376</v>
      </c>
      <c r="F384" s="192" t="s">
        <v>220</v>
      </c>
      <c r="G384" s="192" t="s">
        <v>191</v>
      </c>
      <c r="H384" s="192" t="s">
        <v>350</v>
      </c>
      <c r="I384" s="192" t="s">
        <v>1015</v>
      </c>
      <c r="J384" s="192" t="s">
        <v>351</v>
      </c>
      <c r="K384" s="192" t="s">
        <v>1005</v>
      </c>
      <c r="L384" s="192" t="str">
        <f t="shared" si="8"/>
        <v>TransportBusiness travelVehicleMotorbikePetrolLarge</v>
      </c>
      <c r="M384" s="192" t="s">
        <v>1142</v>
      </c>
      <c r="N384" s="192" t="s">
        <v>356</v>
      </c>
      <c r="O384" s="192" t="s">
        <v>1003</v>
      </c>
      <c r="P384" s="374">
        <v>1.609</v>
      </c>
      <c r="Q384" s="377"/>
      <c r="R384" s="305"/>
      <c r="S384" s="304">
        <v>0.13252</v>
      </c>
      <c r="T384" s="304">
        <v>3.4689999999999999E-2</v>
      </c>
      <c r="U384" s="305"/>
      <c r="V384" s="305"/>
      <c r="W384" s="305"/>
      <c r="X384" s="305"/>
      <c r="Y384" s="305"/>
      <c r="Z384" s="192" t="s">
        <v>1438</v>
      </c>
      <c r="AA384" s="192" t="s">
        <v>1439</v>
      </c>
      <c r="AB384" s="305"/>
      <c r="AC384" s="305"/>
      <c r="AD384" s="305"/>
      <c r="AE384" s="424"/>
    </row>
    <row r="385" spans="5:31" ht="14.5" x14ac:dyDescent="0.35">
      <c r="E385" s="192">
        <v>377</v>
      </c>
      <c r="F385" s="192" t="s">
        <v>220</v>
      </c>
      <c r="G385" s="192" t="s">
        <v>191</v>
      </c>
      <c r="H385" s="192" t="s">
        <v>350</v>
      </c>
      <c r="I385" s="192" t="s">
        <v>1015</v>
      </c>
      <c r="J385" s="192" t="s">
        <v>351</v>
      </c>
      <c r="K385" s="192" t="s">
        <v>353</v>
      </c>
      <c r="L385" s="192" t="str">
        <f t="shared" si="8"/>
        <v>TransportBusiness travelVehicleMotorbikePetrolAverage</v>
      </c>
      <c r="M385" s="192" t="s">
        <v>1142</v>
      </c>
      <c r="N385" s="192" t="s">
        <v>356</v>
      </c>
      <c r="O385" s="192" t="s">
        <v>1003</v>
      </c>
      <c r="P385" s="374">
        <v>1.609</v>
      </c>
      <c r="Q385" s="377"/>
      <c r="R385" s="305"/>
      <c r="S385" s="304">
        <v>0.11367000000000001</v>
      </c>
      <c r="T385" s="304">
        <v>2.9559999999999999E-2</v>
      </c>
      <c r="U385" s="305"/>
      <c r="V385" s="305"/>
      <c r="W385" s="305"/>
      <c r="X385" s="305"/>
      <c r="Y385" s="305"/>
      <c r="Z385" s="192" t="s">
        <v>1440</v>
      </c>
      <c r="AA385" s="192" t="s">
        <v>1441</v>
      </c>
      <c r="AB385" s="305"/>
      <c r="AC385" s="305"/>
      <c r="AD385" s="305"/>
      <c r="AE385" s="424"/>
    </row>
    <row r="386" spans="5:31" ht="14.5" x14ac:dyDescent="0.35">
      <c r="E386" s="192">
        <v>378</v>
      </c>
      <c r="F386" s="192" t="s">
        <v>220</v>
      </c>
      <c r="G386" s="192" t="s">
        <v>191</v>
      </c>
      <c r="H386" s="192" t="s">
        <v>1025</v>
      </c>
      <c r="I386" s="192" t="s">
        <v>184</v>
      </c>
      <c r="J386" s="192" t="s">
        <v>353</v>
      </c>
      <c r="K386" s="192" t="s">
        <v>339</v>
      </c>
      <c r="L386" s="192" t="str">
        <f t="shared" si="8"/>
        <v>TransportBusiness travelFlightDomesticAverageNaN</v>
      </c>
      <c r="M386" s="192" t="s">
        <v>1142</v>
      </c>
      <c r="N386" s="192" t="s">
        <v>1026</v>
      </c>
      <c r="O386" s="192" t="s">
        <v>1027</v>
      </c>
      <c r="P386" s="374">
        <v>1.609</v>
      </c>
      <c r="Q386" s="377"/>
      <c r="R386" s="305"/>
      <c r="S386" s="304">
        <v>0.22928000000000001</v>
      </c>
      <c r="T386" s="304">
        <v>3.3500000000000002E-2</v>
      </c>
      <c r="U386" s="305"/>
      <c r="V386" s="305"/>
      <c r="W386" s="305"/>
      <c r="X386" s="305"/>
      <c r="Y386" s="305"/>
      <c r="Z386" s="192" t="s">
        <v>1483</v>
      </c>
      <c r="AA386" s="192" t="s">
        <v>1484</v>
      </c>
      <c r="AB386" s="305"/>
      <c r="AC386" s="305"/>
      <c r="AD386" s="305"/>
      <c r="AE386" s="424"/>
    </row>
    <row r="387" spans="5:31" ht="14.5" x14ac:dyDescent="0.35">
      <c r="E387" s="192">
        <v>379</v>
      </c>
      <c r="F387" s="192" t="s">
        <v>220</v>
      </c>
      <c r="G387" s="192" t="s">
        <v>191</v>
      </c>
      <c r="H387" s="192" t="s">
        <v>1025</v>
      </c>
      <c r="I387" s="192" t="s">
        <v>1028</v>
      </c>
      <c r="J387" s="192" t="s">
        <v>353</v>
      </c>
      <c r="K387" s="192" t="s">
        <v>339</v>
      </c>
      <c r="L387" s="192" t="str">
        <f t="shared" si="8"/>
        <v>TransportBusiness travelFlightLong haulAverageNaN</v>
      </c>
      <c r="M387" s="192" t="s">
        <v>1142</v>
      </c>
      <c r="N387" s="192" t="s">
        <v>1026</v>
      </c>
      <c r="O387" s="192" t="s">
        <v>1027</v>
      </c>
      <c r="P387" s="374">
        <v>1.609</v>
      </c>
      <c r="Q387" s="377"/>
      <c r="R387" s="305"/>
      <c r="S387" s="304">
        <v>0.15282000000000001</v>
      </c>
      <c r="T387" s="304">
        <v>3.2129999999999999E-2</v>
      </c>
      <c r="U387" s="305"/>
      <c r="V387" s="305"/>
      <c r="W387" s="305"/>
      <c r="X387" s="305"/>
      <c r="Y387" s="305"/>
      <c r="Z387" s="192" t="s">
        <v>1485</v>
      </c>
      <c r="AA387" s="192" t="s">
        <v>1486</v>
      </c>
      <c r="AB387" s="305"/>
      <c r="AC387" s="305"/>
      <c r="AD387" s="305"/>
      <c r="AE387" s="424"/>
    </row>
    <row r="388" spans="5:31" ht="14.5" x14ac:dyDescent="0.35">
      <c r="E388" s="192">
        <v>380</v>
      </c>
      <c r="F388" s="192" t="s">
        <v>220</v>
      </c>
      <c r="G388" s="192" t="s">
        <v>191</v>
      </c>
      <c r="H388" s="192" t="s">
        <v>1025</v>
      </c>
      <c r="I388" s="192" t="s">
        <v>1028</v>
      </c>
      <c r="J388" s="192" t="s">
        <v>1029</v>
      </c>
      <c r="K388" s="192" t="s">
        <v>339</v>
      </c>
      <c r="L388" s="192" t="str">
        <f t="shared" si="8"/>
        <v>TransportBusiness travelFlightLong haulBusinessNaN</v>
      </c>
      <c r="M388" s="192" t="s">
        <v>1142</v>
      </c>
      <c r="N388" s="192" t="s">
        <v>1026</v>
      </c>
      <c r="O388" s="192" t="s">
        <v>1027</v>
      </c>
      <c r="P388" s="374">
        <v>1.609</v>
      </c>
      <c r="Q388" s="377"/>
      <c r="R388" s="305"/>
      <c r="S388" s="304">
        <v>0.33939999999999998</v>
      </c>
      <c r="T388" s="304">
        <v>7.1370000000000003E-2</v>
      </c>
      <c r="U388" s="305"/>
      <c r="V388" s="305"/>
      <c r="W388" s="305"/>
      <c r="X388" s="305"/>
      <c r="Y388" s="305"/>
      <c r="Z388" s="192" t="s">
        <v>1487</v>
      </c>
      <c r="AA388" s="192" t="s">
        <v>1488</v>
      </c>
      <c r="AB388" s="305"/>
      <c r="AC388" s="305"/>
      <c r="AD388" s="305"/>
      <c r="AE388" s="424"/>
    </row>
    <row r="389" spans="5:31" ht="14.5" x14ac:dyDescent="0.35">
      <c r="E389" s="192">
        <v>381</v>
      </c>
      <c r="F389" s="192" t="s">
        <v>220</v>
      </c>
      <c r="G389" s="192" t="s">
        <v>191</v>
      </c>
      <c r="H389" s="192" t="s">
        <v>1025</v>
      </c>
      <c r="I389" s="192" t="s">
        <v>1028</v>
      </c>
      <c r="J389" s="192" t="s">
        <v>1030</v>
      </c>
      <c r="K389" s="192" t="s">
        <v>339</v>
      </c>
      <c r="L389" s="192" t="str">
        <f t="shared" si="8"/>
        <v>TransportBusiness travelFlightLong haulEconomyNaN</v>
      </c>
      <c r="M389" s="192" t="s">
        <v>1142</v>
      </c>
      <c r="N389" s="192" t="s">
        <v>1026</v>
      </c>
      <c r="O389" s="192" t="s">
        <v>1027</v>
      </c>
      <c r="P389" s="374">
        <v>1.609</v>
      </c>
      <c r="Q389" s="377"/>
      <c r="R389" s="305"/>
      <c r="S389" s="304">
        <v>0.11704000000000001</v>
      </c>
      <c r="T389" s="304">
        <v>2.461E-2</v>
      </c>
      <c r="U389" s="305"/>
      <c r="V389" s="305"/>
      <c r="W389" s="305"/>
      <c r="X389" s="305"/>
      <c r="Y389" s="305"/>
      <c r="Z389" s="192" t="s">
        <v>1489</v>
      </c>
      <c r="AA389" s="192" t="s">
        <v>1490</v>
      </c>
      <c r="AB389" s="305"/>
      <c r="AC389" s="305"/>
      <c r="AD389" s="305"/>
      <c r="AE389" s="424"/>
    </row>
    <row r="390" spans="5:31" ht="14.5" x14ac:dyDescent="0.35">
      <c r="E390" s="192">
        <v>382</v>
      </c>
      <c r="F390" s="192" t="s">
        <v>220</v>
      </c>
      <c r="G390" s="192" t="s">
        <v>191</v>
      </c>
      <c r="H390" s="192" t="s">
        <v>1025</v>
      </c>
      <c r="I390" s="192" t="s">
        <v>1031</v>
      </c>
      <c r="J390" s="192" t="s">
        <v>353</v>
      </c>
      <c r="K390" s="192" t="s">
        <v>339</v>
      </c>
      <c r="L390" s="192" t="str">
        <f t="shared" si="8"/>
        <v>TransportBusiness travelFlightShort haulAverageNaN</v>
      </c>
      <c r="M390" s="192" t="s">
        <v>1142</v>
      </c>
      <c r="N390" s="192" t="s">
        <v>1026</v>
      </c>
      <c r="O390" s="192" t="s">
        <v>1027</v>
      </c>
      <c r="P390" s="374">
        <v>1.609</v>
      </c>
      <c r="Q390" s="377"/>
      <c r="R390" s="305"/>
      <c r="S390" s="304">
        <v>0.12786</v>
      </c>
      <c r="T390" s="304">
        <v>2.2859999999999998E-2</v>
      </c>
      <c r="U390" s="305"/>
      <c r="V390" s="305"/>
      <c r="W390" s="305"/>
      <c r="X390" s="305"/>
      <c r="Y390" s="305"/>
      <c r="Z390" s="192" t="s">
        <v>1491</v>
      </c>
      <c r="AA390" s="192" t="s">
        <v>1492</v>
      </c>
      <c r="AB390" s="305"/>
      <c r="AC390" s="305"/>
      <c r="AD390" s="305"/>
      <c r="AE390" s="424"/>
    </row>
    <row r="391" spans="5:31" ht="14.5" x14ac:dyDescent="0.35">
      <c r="E391" s="192">
        <v>383</v>
      </c>
      <c r="F391" s="192" t="s">
        <v>220</v>
      </c>
      <c r="G391" s="192" t="s">
        <v>191</v>
      </c>
      <c r="H391" s="192" t="s">
        <v>1025</v>
      </c>
      <c r="I391" s="192" t="s">
        <v>1031</v>
      </c>
      <c r="J391" s="192" t="s">
        <v>1029</v>
      </c>
      <c r="K391" s="192" t="s">
        <v>339</v>
      </c>
      <c r="L391" s="192" t="str">
        <f t="shared" si="8"/>
        <v>TransportBusiness travelFlightShort haulBusinessNaN</v>
      </c>
      <c r="M391" s="192" t="s">
        <v>1142</v>
      </c>
      <c r="N391" s="192" t="s">
        <v>1026</v>
      </c>
      <c r="O391" s="192" t="s">
        <v>1027</v>
      </c>
      <c r="P391" s="374">
        <v>1.609</v>
      </c>
      <c r="Q391" s="377"/>
      <c r="R391" s="305"/>
      <c r="S391" s="304">
        <v>0.18862999999999999</v>
      </c>
      <c r="T391" s="304">
        <v>3.3730000000000003E-2</v>
      </c>
      <c r="U391" s="305"/>
      <c r="V391" s="305"/>
      <c r="W391" s="305"/>
      <c r="X391" s="305"/>
      <c r="Y391" s="305"/>
      <c r="Z391" s="192" t="s">
        <v>1493</v>
      </c>
      <c r="AA391" s="192" t="s">
        <v>1494</v>
      </c>
      <c r="AB391" s="305"/>
      <c r="AC391" s="305"/>
      <c r="AD391" s="305"/>
      <c r="AE391" s="424"/>
    </row>
    <row r="392" spans="5:31" ht="14.5" x14ac:dyDescent="0.35">
      <c r="E392" s="192">
        <v>384</v>
      </c>
      <c r="F392" s="192" t="s">
        <v>220</v>
      </c>
      <c r="G392" s="192" t="s">
        <v>191</v>
      </c>
      <c r="H392" s="192" t="s">
        <v>1025</v>
      </c>
      <c r="I392" s="192" t="s">
        <v>1031</v>
      </c>
      <c r="J392" s="192" t="s">
        <v>1030</v>
      </c>
      <c r="K392" s="192" t="s">
        <v>339</v>
      </c>
      <c r="L392" s="192" t="str">
        <f t="shared" si="8"/>
        <v>TransportBusiness travelFlightShort haulEconomyNaN</v>
      </c>
      <c r="M392" s="192" t="s">
        <v>1142</v>
      </c>
      <c r="N392" s="192" t="s">
        <v>1026</v>
      </c>
      <c r="O392" s="192" t="s">
        <v>1027</v>
      </c>
      <c r="P392" s="374">
        <v>1.609</v>
      </c>
      <c r="Q392" s="377"/>
      <c r="R392" s="305"/>
      <c r="S392" s="304">
        <v>0.12576000000000001</v>
      </c>
      <c r="T392" s="304">
        <v>2.249E-2</v>
      </c>
      <c r="U392" s="305"/>
      <c r="V392" s="305"/>
      <c r="W392" s="305"/>
      <c r="X392" s="305"/>
      <c r="Y392" s="305"/>
      <c r="Z392" s="192" t="s">
        <v>1495</v>
      </c>
      <c r="AA392" s="192" t="s">
        <v>1496</v>
      </c>
      <c r="AB392" s="305"/>
      <c r="AC392" s="305"/>
      <c r="AD392" s="305"/>
      <c r="AE392" s="424"/>
    </row>
    <row r="393" spans="5:31" ht="14.5" x14ac:dyDescent="0.35">
      <c r="E393" s="192">
        <v>385</v>
      </c>
      <c r="F393" s="192" t="s">
        <v>220</v>
      </c>
      <c r="G393" s="192" t="s">
        <v>191</v>
      </c>
      <c r="H393" s="192" t="s">
        <v>1032</v>
      </c>
      <c r="I393" s="192" t="s">
        <v>1033</v>
      </c>
      <c r="J393" s="192" t="s">
        <v>1034</v>
      </c>
      <c r="K393" s="192" t="s">
        <v>339</v>
      </c>
      <c r="L393" s="192" t="str">
        <f t="shared" si="8"/>
        <v>TransportBusiness travelPublic transportBusAverage local busNaN</v>
      </c>
      <c r="M393" s="192" t="s">
        <v>1142</v>
      </c>
      <c r="N393" s="192" t="s">
        <v>1026</v>
      </c>
      <c r="O393" s="192" t="s">
        <v>1027</v>
      </c>
      <c r="P393" s="374">
        <v>1.609</v>
      </c>
      <c r="Q393" s="377"/>
      <c r="R393" s="305"/>
      <c r="S393" s="304">
        <v>0.10385</v>
      </c>
      <c r="T393" s="304">
        <v>2.649E-2</v>
      </c>
      <c r="U393" s="305"/>
      <c r="V393" s="305"/>
      <c r="W393" s="305"/>
      <c r="X393" s="305"/>
      <c r="Y393" s="305"/>
      <c r="Z393" s="192" t="s">
        <v>1497</v>
      </c>
      <c r="AA393" s="192" t="s">
        <v>1498</v>
      </c>
      <c r="AB393" s="305"/>
      <c r="AC393" s="305"/>
      <c r="AD393" s="305"/>
      <c r="AE393" s="424"/>
    </row>
    <row r="394" spans="5:31" ht="14.5" x14ac:dyDescent="0.35">
      <c r="E394" s="192">
        <v>386</v>
      </c>
      <c r="F394" s="192" t="s">
        <v>220</v>
      </c>
      <c r="G394" s="192" t="s">
        <v>191</v>
      </c>
      <c r="H394" s="192" t="s">
        <v>1032</v>
      </c>
      <c r="I394" s="192" t="s">
        <v>1033</v>
      </c>
      <c r="J394" s="192" t="s">
        <v>1035</v>
      </c>
      <c r="K394" s="192" t="s">
        <v>339</v>
      </c>
      <c r="L394" s="192" t="str">
        <f t="shared" si="8"/>
        <v>TransportBusiness travelPublic transportBusCoachNaN</v>
      </c>
      <c r="M394" s="192" t="s">
        <v>1142</v>
      </c>
      <c r="N394" s="192" t="s">
        <v>1026</v>
      </c>
      <c r="O394" s="192" t="s">
        <v>1027</v>
      </c>
      <c r="P394" s="374">
        <v>1.609</v>
      </c>
      <c r="Q394" s="377"/>
      <c r="R394" s="305"/>
      <c r="S394" s="304">
        <v>2.776E-2</v>
      </c>
      <c r="T394" s="304">
        <v>6.5599999999999999E-3</v>
      </c>
      <c r="U394" s="305"/>
      <c r="V394" s="305"/>
      <c r="W394" s="305"/>
      <c r="X394" s="305"/>
      <c r="Y394" s="305"/>
      <c r="Z394" s="192" t="s">
        <v>1499</v>
      </c>
      <c r="AA394" s="192" t="s">
        <v>1500</v>
      </c>
      <c r="AB394" s="305"/>
      <c r="AC394" s="305"/>
      <c r="AD394" s="305"/>
      <c r="AE394" s="424"/>
    </row>
    <row r="395" spans="5:31" ht="14.5" x14ac:dyDescent="0.35">
      <c r="E395" s="192">
        <v>387</v>
      </c>
      <c r="F395" s="192" t="s">
        <v>220</v>
      </c>
      <c r="G395" s="192" t="s">
        <v>191</v>
      </c>
      <c r="H395" s="192" t="s">
        <v>1032</v>
      </c>
      <c r="I395" s="192" t="s">
        <v>1036</v>
      </c>
      <c r="J395" s="192" t="s">
        <v>1036</v>
      </c>
      <c r="K395" s="192" t="s">
        <v>339</v>
      </c>
      <c r="L395" s="192" t="str">
        <f t="shared" si="8"/>
        <v>TransportBusiness travelPublic transportFerryFerryNaN</v>
      </c>
      <c r="M395" s="192" t="s">
        <v>1142</v>
      </c>
      <c r="N395" s="192" t="s">
        <v>1026</v>
      </c>
      <c r="O395" s="192" t="s">
        <v>1027</v>
      </c>
      <c r="P395" s="374">
        <v>1.609</v>
      </c>
      <c r="Q395" s="377"/>
      <c r="R395" s="305"/>
      <c r="S395" s="304">
        <v>0.11269999999999999</v>
      </c>
      <c r="T395" s="304">
        <v>2.555E-2</v>
      </c>
      <c r="U395" s="305"/>
      <c r="V395" s="305"/>
      <c r="W395" s="305"/>
      <c r="X395" s="305"/>
      <c r="Y395" s="305"/>
      <c r="Z395" s="192" t="s">
        <v>1501</v>
      </c>
      <c r="AA395" s="192" t="s">
        <v>1502</v>
      </c>
      <c r="AB395" s="305"/>
      <c r="AC395" s="305"/>
      <c r="AD395" s="305"/>
      <c r="AE395" s="424"/>
    </row>
    <row r="396" spans="5:31" ht="14.5" x14ac:dyDescent="0.35">
      <c r="E396" s="192">
        <v>388</v>
      </c>
      <c r="F396" s="192" t="s">
        <v>220</v>
      </c>
      <c r="G396" s="192" t="s">
        <v>191</v>
      </c>
      <c r="H396" s="192" t="s">
        <v>1032</v>
      </c>
      <c r="I396" s="192" t="s">
        <v>1037</v>
      </c>
      <c r="J396" s="192" t="s">
        <v>1038</v>
      </c>
      <c r="K396" s="192" t="s">
        <v>339</v>
      </c>
      <c r="L396" s="192" t="str">
        <f t="shared" si="8"/>
        <v>TransportBusiness travelPublic transportRailNational railNaN</v>
      </c>
      <c r="M396" s="192" t="s">
        <v>1142</v>
      </c>
      <c r="N396" s="192" t="s">
        <v>1026</v>
      </c>
      <c r="O396" s="192" t="s">
        <v>1027</v>
      </c>
      <c r="P396" s="374">
        <v>1.609</v>
      </c>
      <c r="Q396" s="377"/>
      <c r="R396" s="305"/>
      <c r="S396" s="304">
        <v>3.5459999999999998E-2</v>
      </c>
      <c r="T396" s="304">
        <v>8.9700000000000005E-3</v>
      </c>
      <c r="U396" s="305"/>
      <c r="V396" s="305"/>
      <c r="W396" s="305"/>
      <c r="X396" s="305"/>
      <c r="Y396" s="305"/>
      <c r="Z396" s="192" t="s">
        <v>1503</v>
      </c>
      <c r="AA396" s="192" t="s">
        <v>1504</v>
      </c>
      <c r="AB396" s="305"/>
      <c r="AC396" s="305"/>
      <c r="AD396" s="305"/>
      <c r="AE396" s="424"/>
    </row>
    <row r="397" spans="5:31" ht="14.5" x14ac:dyDescent="0.35">
      <c r="E397" s="192">
        <v>389</v>
      </c>
      <c r="F397" s="192" t="s">
        <v>220</v>
      </c>
      <c r="G397" s="192" t="s">
        <v>191</v>
      </c>
      <c r="H397" s="192" t="s">
        <v>1032</v>
      </c>
      <c r="I397" s="192" t="s">
        <v>1037</v>
      </c>
      <c r="J397" s="192" t="s">
        <v>1039</v>
      </c>
      <c r="K397" s="192" t="s">
        <v>339</v>
      </c>
      <c r="L397" s="192" t="str">
        <f t="shared" si="8"/>
        <v>TransportBusiness travelPublic transportRailInternational railNaN</v>
      </c>
      <c r="M397" s="192" t="s">
        <v>1142</v>
      </c>
      <c r="N397" s="192" t="s">
        <v>1026</v>
      </c>
      <c r="O397" s="192" t="s">
        <v>1027</v>
      </c>
      <c r="P397" s="374">
        <v>1.609</v>
      </c>
      <c r="Q397" s="377"/>
      <c r="R397" s="305"/>
      <c r="S397" s="304">
        <v>4.4600000000000004E-3</v>
      </c>
      <c r="T397" s="304">
        <v>1.17E-3</v>
      </c>
      <c r="U397" s="305"/>
      <c r="V397" s="305"/>
      <c r="W397" s="305"/>
      <c r="X397" s="305"/>
      <c r="Y397" s="305"/>
      <c r="Z397" s="192" t="s">
        <v>1505</v>
      </c>
      <c r="AA397" s="192" t="s">
        <v>1506</v>
      </c>
      <c r="AB397" s="305"/>
      <c r="AC397" s="305"/>
      <c r="AD397" s="305"/>
      <c r="AE397" s="424"/>
    </row>
    <row r="398" spans="5:31" ht="14.5" x14ac:dyDescent="0.35">
      <c r="E398" s="192">
        <v>390</v>
      </c>
      <c r="F398" s="192" t="s">
        <v>220</v>
      </c>
      <c r="G398" s="192" t="s">
        <v>191</v>
      </c>
      <c r="H398" s="192" t="s">
        <v>1032</v>
      </c>
      <c r="I398" s="192" t="s">
        <v>1037</v>
      </c>
      <c r="J398" s="192" t="s">
        <v>1040</v>
      </c>
      <c r="K398" s="192" t="s">
        <v>339</v>
      </c>
      <c r="L398" s="192" t="str">
        <f t="shared" si="8"/>
        <v>TransportBusiness travelPublic transportRailLight rail and tramNaN</v>
      </c>
      <c r="M398" s="192" t="s">
        <v>1142</v>
      </c>
      <c r="N398" s="192" t="s">
        <v>1026</v>
      </c>
      <c r="O398" s="192" t="s">
        <v>1027</v>
      </c>
      <c r="P398" s="374">
        <v>1.609</v>
      </c>
      <c r="Q398" s="377"/>
      <c r="R398" s="305"/>
      <c r="S398" s="304">
        <v>2.86E-2</v>
      </c>
      <c r="T398" s="304">
        <v>7.4900000000000001E-3</v>
      </c>
      <c r="U398" s="305"/>
      <c r="V398" s="305"/>
      <c r="W398" s="305"/>
      <c r="X398" s="305"/>
      <c r="Y398" s="305"/>
      <c r="Z398" s="192" t="s">
        <v>1507</v>
      </c>
      <c r="AA398" s="192" t="s">
        <v>1508</v>
      </c>
      <c r="AB398" s="305"/>
      <c r="AC398" s="305"/>
      <c r="AD398" s="305"/>
      <c r="AE398" s="424"/>
    </row>
    <row r="399" spans="5:31" ht="14.5" x14ac:dyDescent="0.35">
      <c r="E399" s="192">
        <v>391</v>
      </c>
      <c r="F399" s="192" t="s">
        <v>220</v>
      </c>
      <c r="G399" s="192" t="s">
        <v>191</v>
      </c>
      <c r="H399" s="192" t="s">
        <v>1032</v>
      </c>
      <c r="I399" s="192" t="s">
        <v>1037</v>
      </c>
      <c r="J399" s="192" t="s">
        <v>1041</v>
      </c>
      <c r="K399" s="192" t="s">
        <v>339</v>
      </c>
      <c r="L399" s="192" t="str">
        <f t="shared" ref="L399:L462" si="9">_xlfn.CONCAT(F399:K399)</f>
        <v>TransportBusiness travelPublic transportRailLondon UndergroundNaN</v>
      </c>
      <c r="M399" s="192" t="s">
        <v>1142</v>
      </c>
      <c r="N399" s="192" t="s">
        <v>1026</v>
      </c>
      <c r="O399" s="192" t="s">
        <v>1027</v>
      </c>
      <c r="P399" s="374">
        <v>1.609</v>
      </c>
      <c r="Q399" s="377"/>
      <c r="R399" s="305"/>
      <c r="S399" s="304">
        <v>2.7799999999999998E-2</v>
      </c>
      <c r="T399" s="304">
        <v>7.28E-3</v>
      </c>
      <c r="U399" s="305"/>
      <c r="V399" s="305"/>
      <c r="W399" s="305"/>
      <c r="X399" s="305"/>
      <c r="Y399" s="305"/>
      <c r="Z399" s="192" t="s">
        <v>1509</v>
      </c>
      <c r="AA399" s="192" t="s">
        <v>1510</v>
      </c>
      <c r="AB399" s="305"/>
      <c r="AC399" s="305"/>
      <c r="AD399" s="305"/>
      <c r="AE399" s="424"/>
    </row>
    <row r="400" spans="5:31" ht="14.5" x14ac:dyDescent="0.35">
      <c r="E400" s="192">
        <v>392</v>
      </c>
      <c r="F400" s="192" t="s">
        <v>220</v>
      </c>
      <c r="G400" s="192" t="s">
        <v>191</v>
      </c>
      <c r="H400" s="192" t="s">
        <v>1032</v>
      </c>
      <c r="I400" s="192" t="s">
        <v>1042</v>
      </c>
      <c r="J400" s="192" t="s">
        <v>1043</v>
      </c>
      <c r="K400" s="192" t="s">
        <v>339</v>
      </c>
      <c r="L400" s="192" t="str">
        <f t="shared" si="9"/>
        <v>TransportBusiness travelPublic transportTaxiTaxi - RegularNaN</v>
      </c>
      <c r="M400" s="192" t="s">
        <v>1142</v>
      </c>
      <c r="N400" s="192" t="s">
        <v>1026</v>
      </c>
      <c r="O400" s="192" t="s">
        <v>1027</v>
      </c>
      <c r="P400" s="374">
        <v>1.609</v>
      </c>
      <c r="Q400" s="377"/>
      <c r="R400" s="305"/>
      <c r="S400" s="304">
        <v>0.14860999999999999</v>
      </c>
      <c r="T400" s="304">
        <v>3.6970000000000003E-2</v>
      </c>
      <c r="U400" s="305"/>
      <c r="V400" s="305"/>
      <c r="W400" s="305"/>
      <c r="X400" s="305"/>
      <c r="Y400" s="305"/>
      <c r="Z400" s="192" t="s">
        <v>1511</v>
      </c>
      <c r="AA400" s="192" t="s">
        <v>1512</v>
      </c>
      <c r="AB400" s="305"/>
      <c r="AC400" s="305"/>
      <c r="AD400" s="305"/>
      <c r="AE400" s="424"/>
    </row>
    <row r="401" spans="5:31" ht="14.5" x14ac:dyDescent="0.35">
      <c r="E401" s="192">
        <v>393</v>
      </c>
      <c r="F401" s="192" t="s">
        <v>220</v>
      </c>
      <c r="G401" s="192" t="s">
        <v>191</v>
      </c>
      <c r="H401" s="192" t="s">
        <v>1032</v>
      </c>
      <c r="I401" s="192" t="s">
        <v>1042</v>
      </c>
      <c r="J401" s="192" t="s">
        <v>1044</v>
      </c>
      <c r="K401" s="192" t="s">
        <v>339</v>
      </c>
      <c r="L401" s="192" t="str">
        <f t="shared" si="9"/>
        <v>TransportBusiness travelPublic transportTaxiTaxi - Black cabNaN</v>
      </c>
      <c r="M401" s="192" t="s">
        <v>1142</v>
      </c>
      <c r="N401" s="192" t="s">
        <v>1026</v>
      </c>
      <c r="O401" s="192" t="s">
        <v>1027</v>
      </c>
      <c r="P401" s="374">
        <v>1.609</v>
      </c>
      <c r="Q401" s="377"/>
      <c r="R401" s="305"/>
      <c r="S401" s="304">
        <v>0.20402000000000001</v>
      </c>
      <c r="T401" s="304">
        <v>5.0900000000000001E-2</v>
      </c>
      <c r="U401" s="305"/>
      <c r="V401" s="305"/>
      <c r="W401" s="305"/>
      <c r="X401" s="305"/>
      <c r="Y401" s="305"/>
      <c r="Z401" s="192" t="s">
        <v>1513</v>
      </c>
      <c r="AA401" s="192" t="s">
        <v>1514</v>
      </c>
      <c r="AB401" s="305"/>
      <c r="AC401" s="305"/>
      <c r="AD401" s="305"/>
      <c r="AE401" s="424"/>
    </row>
    <row r="402" spans="5:31" ht="14.5" x14ac:dyDescent="0.35">
      <c r="E402" s="192">
        <v>394</v>
      </c>
      <c r="F402" s="192" t="s">
        <v>220</v>
      </c>
      <c r="G402" s="192" t="s">
        <v>192</v>
      </c>
      <c r="H402" s="192" t="s">
        <v>350</v>
      </c>
      <c r="I402" s="192" t="s">
        <v>1023</v>
      </c>
      <c r="J402" s="192" t="s">
        <v>351</v>
      </c>
      <c r="K402" s="192" t="s">
        <v>754</v>
      </c>
      <c r="L402" s="192" t="str">
        <f t="shared" si="9"/>
        <v>TransportCommutingVehiclePrivate carPetrolSmall</v>
      </c>
      <c r="M402" s="192" t="s">
        <v>1142</v>
      </c>
      <c r="N402" s="192" t="s">
        <v>356</v>
      </c>
      <c r="O402" s="192" t="s">
        <v>1003</v>
      </c>
      <c r="P402" s="374">
        <v>1.609</v>
      </c>
      <c r="Q402" s="377"/>
      <c r="R402" s="305"/>
      <c r="S402" s="304">
        <v>0.14308000000000001</v>
      </c>
      <c r="T402" s="304">
        <v>4.0149999999999998E-2</v>
      </c>
      <c r="U402" s="305"/>
      <c r="V402" s="305"/>
      <c r="W402" s="305"/>
      <c r="X402" s="305"/>
      <c r="Y402" s="305"/>
      <c r="Z402" s="192" t="s">
        <v>1457</v>
      </c>
      <c r="AA402" s="192" t="s">
        <v>1358</v>
      </c>
      <c r="AB402" s="305"/>
      <c r="AC402" s="305"/>
      <c r="AD402" s="305"/>
      <c r="AE402" s="424"/>
    </row>
    <row r="403" spans="5:31" ht="14.5" x14ac:dyDescent="0.35">
      <c r="E403" s="192">
        <v>395</v>
      </c>
      <c r="F403" s="192" t="s">
        <v>220</v>
      </c>
      <c r="G403" s="192" t="s">
        <v>192</v>
      </c>
      <c r="H403" s="192" t="s">
        <v>350</v>
      </c>
      <c r="I403" s="192" t="s">
        <v>1023</v>
      </c>
      <c r="J403" s="192" t="s">
        <v>351</v>
      </c>
      <c r="K403" s="192" t="s">
        <v>1004</v>
      </c>
      <c r="L403" s="192" t="str">
        <f t="shared" si="9"/>
        <v>TransportCommutingVehiclePrivate carPetrolMedium</v>
      </c>
      <c r="M403" s="192" t="s">
        <v>1142</v>
      </c>
      <c r="N403" s="192" t="s">
        <v>356</v>
      </c>
      <c r="O403" s="192" t="s">
        <v>1003</v>
      </c>
      <c r="P403" s="374">
        <v>1.609</v>
      </c>
      <c r="Q403" s="377"/>
      <c r="R403" s="305"/>
      <c r="S403" s="304">
        <v>0.17474000000000001</v>
      </c>
      <c r="T403" s="304">
        <v>4.9570000000000003E-2</v>
      </c>
      <c r="U403" s="305"/>
      <c r="V403" s="305"/>
      <c r="W403" s="305"/>
      <c r="X403" s="305"/>
      <c r="Y403" s="305"/>
      <c r="Z403" s="192" t="s">
        <v>1458</v>
      </c>
      <c r="AA403" s="192" t="s">
        <v>1360</v>
      </c>
      <c r="AB403" s="305"/>
      <c r="AC403" s="305"/>
      <c r="AD403" s="305"/>
      <c r="AE403" s="424"/>
    </row>
    <row r="404" spans="5:31" ht="14.5" x14ac:dyDescent="0.35">
      <c r="E404" s="192">
        <v>396</v>
      </c>
      <c r="F404" s="192" t="s">
        <v>220</v>
      </c>
      <c r="G404" s="192" t="s">
        <v>192</v>
      </c>
      <c r="H404" s="192" t="s">
        <v>350</v>
      </c>
      <c r="I404" s="192" t="s">
        <v>1023</v>
      </c>
      <c r="J404" s="192" t="s">
        <v>351</v>
      </c>
      <c r="K404" s="192" t="s">
        <v>1005</v>
      </c>
      <c r="L404" s="192" t="str">
        <f t="shared" si="9"/>
        <v>TransportCommutingVehiclePrivate carPetrolLarge</v>
      </c>
      <c r="M404" s="192" t="s">
        <v>1142</v>
      </c>
      <c r="N404" s="192" t="s">
        <v>356</v>
      </c>
      <c r="O404" s="192" t="s">
        <v>1003</v>
      </c>
      <c r="P404" s="374">
        <v>1.609</v>
      </c>
      <c r="Q404" s="377"/>
      <c r="R404" s="305"/>
      <c r="S404" s="304">
        <v>0.26828000000000002</v>
      </c>
      <c r="T404" s="304">
        <v>7.528E-2</v>
      </c>
      <c r="U404" s="305"/>
      <c r="V404" s="305"/>
      <c r="W404" s="305"/>
      <c r="X404" s="305"/>
      <c r="Y404" s="305"/>
      <c r="Z404" s="192" t="s">
        <v>1459</v>
      </c>
      <c r="AA404" s="192" t="s">
        <v>1362</v>
      </c>
      <c r="AB404" s="305"/>
      <c r="AC404" s="305"/>
      <c r="AD404" s="305"/>
      <c r="AE404" s="424"/>
    </row>
    <row r="405" spans="5:31" ht="14.5" x14ac:dyDescent="0.35">
      <c r="E405" s="192">
        <v>397</v>
      </c>
      <c r="F405" s="192" t="s">
        <v>220</v>
      </c>
      <c r="G405" s="192" t="s">
        <v>192</v>
      </c>
      <c r="H405" s="192" t="s">
        <v>350</v>
      </c>
      <c r="I405" s="192" t="s">
        <v>1023</v>
      </c>
      <c r="J405" s="192" t="s">
        <v>351</v>
      </c>
      <c r="K405" s="192" t="s">
        <v>353</v>
      </c>
      <c r="L405" s="192" t="str">
        <f t="shared" si="9"/>
        <v>TransportCommutingVehiclePrivate carPetrolAverage</v>
      </c>
      <c r="M405" s="192" t="s">
        <v>1142</v>
      </c>
      <c r="N405" s="192" t="s">
        <v>356</v>
      </c>
      <c r="O405" s="192" t="s">
        <v>1003</v>
      </c>
      <c r="P405" s="374">
        <v>1.609</v>
      </c>
      <c r="Q405" s="377"/>
      <c r="R405" s="305"/>
      <c r="S405" s="304">
        <v>0.16272</v>
      </c>
      <c r="T405" s="304">
        <v>4.5990000000000003E-2</v>
      </c>
      <c r="U405" s="305"/>
      <c r="V405" s="305"/>
      <c r="W405" s="305"/>
      <c r="X405" s="305"/>
      <c r="Y405" s="305"/>
      <c r="Z405" s="192" t="s">
        <v>1460</v>
      </c>
      <c r="AA405" s="192" t="s">
        <v>1364</v>
      </c>
      <c r="AB405" s="305"/>
      <c r="AC405" s="305"/>
      <c r="AD405" s="305"/>
      <c r="AE405" s="424"/>
    </row>
    <row r="406" spans="5:31" ht="14.5" x14ac:dyDescent="0.35">
      <c r="E406" s="192">
        <v>398</v>
      </c>
      <c r="F406" s="192" t="s">
        <v>220</v>
      </c>
      <c r="G406" s="192" t="s">
        <v>192</v>
      </c>
      <c r="H406" s="192" t="s">
        <v>350</v>
      </c>
      <c r="I406" s="192" t="s">
        <v>1023</v>
      </c>
      <c r="J406" s="192" t="s">
        <v>1006</v>
      </c>
      <c r="K406" s="192" t="s">
        <v>754</v>
      </c>
      <c r="L406" s="192" t="str">
        <f t="shared" si="9"/>
        <v>TransportCommutingVehiclePrivate carDieselSmall</v>
      </c>
      <c r="M406" s="192" t="s">
        <v>1142</v>
      </c>
      <c r="N406" s="192" t="s">
        <v>356</v>
      </c>
      <c r="O406" s="192" t="s">
        <v>1003</v>
      </c>
      <c r="P406" s="374">
        <v>1.609</v>
      </c>
      <c r="Q406" s="377"/>
      <c r="R406" s="305"/>
      <c r="S406" s="304">
        <v>0.1434</v>
      </c>
      <c r="T406" s="304">
        <v>3.4090000000000002E-2</v>
      </c>
      <c r="U406" s="305"/>
      <c r="V406" s="305"/>
      <c r="W406" s="305"/>
      <c r="X406" s="305"/>
      <c r="Y406" s="305"/>
      <c r="Z406" s="192" t="s">
        <v>1461</v>
      </c>
      <c r="AA406" s="192" t="s">
        <v>1366</v>
      </c>
      <c r="AB406" s="305"/>
      <c r="AC406" s="305"/>
      <c r="AD406" s="305"/>
      <c r="AE406" s="424"/>
    </row>
    <row r="407" spans="5:31" ht="14.5" x14ac:dyDescent="0.35">
      <c r="E407" s="192">
        <v>399</v>
      </c>
      <c r="F407" s="192" t="s">
        <v>220</v>
      </c>
      <c r="G407" s="192" t="s">
        <v>192</v>
      </c>
      <c r="H407" s="192" t="s">
        <v>350</v>
      </c>
      <c r="I407" s="192" t="s">
        <v>1023</v>
      </c>
      <c r="J407" s="192" t="s">
        <v>1006</v>
      </c>
      <c r="K407" s="192" t="s">
        <v>1004</v>
      </c>
      <c r="L407" s="192" t="str">
        <f t="shared" si="9"/>
        <v>TransportCommutingVehiclePrivate carDieselMedium</v>
      </c>
      <c r="M407" s="192" t="s">
        <v>1142</v>
      </c>
      <c r="N407" s="192" t="s">
        <v>356</v>
      </c>
      <c r="O407" s="192" t="s">
        <v>1003</v>
      </c>
      <c r="P407" s="374">
        <v>1.609</v>
      </c>
      <c r="Q407" s="377"/>
      <c r="R407" s="305"/>
      <c r="S407" s="304">
        <v>0.17174</v>
      </c>
      <c r="T407" s="304">
        <v>4.1029999999999997E-2</v>
      </c>
      <c r="U407" s="305"/>
      <c r="V407" s="305"/>
      <c r="W407" s="305"/>
      <c r="X407" s="305"/>
      <c r="Y407" s="305"/>
      <c r="Z407" s="192" t="s">
        <v>1462</v>
      </c>
      <c r="AA407" s="192" t="s">
        <v>1368</v>
      </c>
      <c r="AB407" s="305"/>
      <c r="AC407" s="305"/>
      <c r="AD407" s="305"/>
      <c r="AE407" s="424"/>
    </row>
    <row r="408" spans="5:31" ht="14.5" x14ac:dyDescent="0.35">
      <c r="E408" s="192">
        <v>400</v>
      </c>
      <c r="F408" s="192" t="s">
        <v>220</v>
      </c>
      <c r="G408" s="192" t="s">
        <v>192</v>
      </c>
      <c r="H408" s="192" t="s">
        <v>350</v>
      </c>
      <c r="I408" s="192" t="s">
        <v>1023</v>
      </c>
      <c r="J408" s="192" t="s">
        <v>1006</v>
      </c>
      <c r="K408" s="192" t="s">
        <v>1005</v>
      </c>
      <c r="L408" s="192" t="str">
        <f t="shared" si="9"/>
        <v>TransportCommutingVehiclePrivate carDieselLarge</v>
      </c>
      <c r="M408" s="192" t="s">
        <v>1142</v>
      </c>
      <c r="N408" s="192" t="s">
        <v>356</v>
      </c>
      <c r="O408" s="192" t="s">
        <v>1003</v>
      </c>
      <c r="P408" s="374">
        <v>1.609</v>
      </c>
      <c r="Q408" s="377"/>
      <c r="R408" s="305"/>
      <c r="S408" s="304">
        <v>0.21007000000000001</v>
      </c>
      <c r="T408" s="304">
        <v>5.0700000000000002E-2</v>
      </c>
      <c r="U408" s="305"/>
      <c r="V408" s="305"/>
      <c r="W408" s="305"/>
      <c r="X408" s="305"/>
      <c r="Y408" s="305"/>
      <c r="Z408" s="192" t="s">
        <v>1463</v>
      </c>
      <c r="AA408" s="192" t="s">
        <v>1370</v>
      </c>
      <c r="AB408" s="305"/>
      <c r="AC408" s="305"/>
      <c r="AD408" s="305"/>
      <c r="AE408" s="424"/>
    </row>
    <row r="409" spans="5:31" ht="14.5" x14ac:dyDescent="0.35">
      <c r="E409" s="192">
        <v>401</v>
      </c>
      <c r="F409" s="192" t="s">
        <v>220</v>
      </c>
      <c r="G409" s="192" t="s">
        <v>192</v>
      </c>
      <c r="H409" s="192" t="s">
        <v>350</v>
      </c>
      <c r="I409" s="192" t="s">
        <v>1023</v>
      </c>
      <c r="J409" s="192" t="s">
        <v>1006</v>
      </c>
      <c r="K409" s="192" t="s">
        <v>353</v>
      </c>
      <c r="L409" s="192" t="str">
        <f t="shared" si="9"/>
        <v>TransportCommutingVehiclePrivate carDieselAverage</v>
      </c>
      <c r="M409" s="192" t="s">
        <v>1142</v>
      </c>
      <c r="N409" s="192" t="s">
        <v>356</v>
      </c>
      <c r="O409" s="192" t="s">
        <v>1003</v>
      </c>
      <c r="P409" s="374">
        <v>1.609</v>
      </c>
      <c r="Q409" s="377"/>
      <c r="R409" s="305"/>
      <c r="S409" s="304">
        <v>0.17304</v>
      </c>
      <c r="T409" s="304">
        <v>4.1459999999999997E-2</v>
      </c>
      <c r="U409" s="305"/>
      <c r="V409" s="305"/>
      <c r="W409" s="305"/>
      <c r="X409" s="305"/>
      <c r="Y409" s="305"/>
      <c r="Z409" s="192" t="s">
        <v>1464</v>
      </c>
      <c r="AA409" s="192" t="s">
        <v>1372</v>
      </c>
      <c r="AB409" s="305"/>
      <c r="AC409" s="305"/>
      <c r="AD409" s="305"/>
      <c r="AE409" s="424"/>
    </row>
    <row r="410" spans="5:31" ht="14.5" x14ac:dyDescent="0.35">
      <c r="E410" s="192">
        <v>402</v>
      </c>
      <c r="F410" s="192" t="s">
        <v>220</v>
      </c>
      <c r="G410" s="192" t="s">
        <v>192</v>
      </c>
      <c r="H410" s="192" t="s">
        <v>350</v>
      </c>
      <c r="I410" s="192" t="s">
        <v>1023</v>
      </c>
      <c r="J410" s="192" t="s">
        <v>1007</v>
      </c>
      <c r="K410" s="192" t="s">
        <v>754</v>
      </c>
      <c r="L410" s="192" t="str">
        <f t="shared" si="9"/>
        <v>TransportCommutingVehiclePrivate carBattery Electric VehicleSmall</v>
      </c>
      <c r="M410" s="192" t="s">
        <v>1142</v>
      </c>
      <c r="N410" s="192" t="s">
        <v>356</v>
      </c>
      <c r="O410" s="192" t="s">
        <v>1003</v>
      </c>
      <c r="P410" s="374">
        <v>1.609</v>
      </c>
      <c r="Q410" s="377"/>
      <c r="R410" s="305"/>
      <c r="S410" s="304">
        <v>3.6880000000000003E-2</v>
      </c>
      <c r="T410" s="304">
        <v>9.4800000000000006E-3</v>
      </c>
      <c r="U410" s="304">
        <v>3.49E-3</v>
      </c>
      <c r="V410" s="305"/>
      <c r="W410" s="305"/>
      <c r="X410" s="305"/>
      <c r="Y410" s="305"/>
      <c r="Z410" s="192" t="s">
        <v>1465</v>
      </c>
      <c r="AA410" s="192" t="s">
        <v>1374</v>
      </c>
      <c r="AB410" s="305"/>
      <c r="AC410" s="305"/>
      <c r="AD410" s="305"/>
      <c r="AE410" s="424"/>
    </row>
    <row r="411" spans="5:31" ht="14.5" x14ac:dyDescent="0.35">
      <c r="E411" s="192">
        <v>403</v>
      </c>
      <c r="F411" s="192" t="s">
        <v>220</v>
      </c>
      <c r="G411" s="192" t="s">
        <v>192</v>
      </c>
      <c r="H411" s="192" t="s">
        <v>350</v>
      </c>
      <c r="I411" s="192" t="s">
        <v>1023</v>
      </c>
      <c r="J411" s="192" t="s">
        <v>1007</v>
      </c>
      <c r="K411" s="192" t="s">
        <v>1004</v>
      </c>
      <c r="L411" s="192" t="str">
        <f t="shared" si="9"/>
        <v>TransportCommutingVehiclePrivate carBattery Electric VehicleMedium</v>
      </c>
      <c r="M411" s="192" t="s">
        <v>1142</v>
      </c>
      <c r="N411" s="192" t="s">
        <v>356</v>
      </c>
      <c r="O411" s="192" t="s">
        <v>1003</v>
      </c>
      <c r="P411" s="374">
        <v>1.609</v>
      </c>
      <c r="Q411" s="377"/>
      <c r="R411" s="305"/>
      <c r="S411" s="304">
        <v>3.882E-2</v>
      </c>
      <c r="T411" s="304">
        <v>1.022E-2</v>
      </c>
      <c r="U411" s="304">
        <v>3.6800000000000001E-3</v>
      </c>
      <c r="V411" s="305"/>
      <c r="W411" s="305"/>
      <c r="X411" s="305"/>
      <c r="Y411" s="305"/>
      <c r="Z411" s="192" t="s">
        <v>1466</v>
      </c>
      <c r="AA411" s="192" t="s">
        <v>1377</v>
      </c>
      <c r="AB411" s="305"/>
      <c r="AC411" s="305"/>
      <c r="AD411" s="305"/>
      <c r="AE411" s="424"/>
    </row>
    <row r="412" spans="5:31" ht="14.5" x14ac:dyDescent="0.35">
      <c r="E412" s="192">
        <v>404</v>
      </c>
      <c r="F412" s="192" t="s">
        <v>220</v>
      </c>
      <c r="G412" s="192" t="s">
        <v>192</v>
      </c>
      <c r="H412" s="192" t="s">
        <v>350</v>
      </c>
      <c r="I412" s="192" t="s">
        <v>1023</v>
      </c>
      <c r="J412" s="192" t="s">
        <v>1007</v>
      </c>
      <c r="K412" s="192" t="s">
        <v>1005</v>
      </c>
      <c r="L412" s="192" t="str">
        <f t="shared" si="9"/>
        <v>TransportCommutingVehiclePrivate carBattery Electric VehicleLarge</v>
      </c>
      <c r="M412" s="192" t="s">
        <v>1142</v>
      </c>
      <c r="N412" s="192" t="s">
        <v>356</v>
      </c>
      <c r="O412" s="192" t="s">
        <v>1003</v>
      </c>
      <c r="P412" s="374">
        <v>1.609</v>
      </c>
      <c r="Q412" s="377"/>
      <c r="R412" s="305"/>
      <c r="S412" s="304">
        <v>4.2049999999999997E-2</v>
      </c>
      <c r="T412" s="304">
        <v>1.0880000000000001E-2</v>
      </c>
      <c r="U412" s="304">
        <v>3.98E-3</v>
      </c>
      <c r="V412" s="305"/>
      <c r="W412" s="305"/>
      <c r="X412" s="305"/>
      <c r="Y412" s="305"/>
      <c r="Z412" s="192" t="s">
        <v>1467</v>
      </c>
      <c r="AA412" s="192" t="s">
        <v>1380</v>
      </c>
      <c r="AB412" s="305"/>
      <c r="AC412" s="305"/>
      <c r="AD412" s="305"/>
      <c r="AE412" s="424"/>
    </row>
    <row r="413" spans="5:31" ht="14.5" x14ac:dyDescent="0.35">
      <c r="E413" s="192">
        <v>405</v>
      </c>
      <c r="F413" s="192" t="s">
        <v>220</v>
      </c>
      <c r="G413" s="192" t="s">
        <v>192</v>
      </c>
      <c r="H413" s="192" t="s">
        <v>350</v>
      </c>
      <c r="I413" s="192" t="s">
        <v>1023</v>
      </c>
      <c r="J413" s="192" t="s">
        <v>1007</v>
      </c>
      <c r="K413" s="192" t="s">
        <v>353</v>
      </c>
      <c r="L413" s="192" t="str">
        <f t="shared" si="9"/>
        <v>TransportCommutingVehiclePrivate carBattery Electric VehicleAverage</v>
      </c>
      <c r="M413" s="192" t="s">
        <v>1142</v>
      </c>
      <c r="N413" s="192" t="s">
        <v>356</v>
      </c>
      <c r="O413" s="192" t="s">
        <v>1003</v>
      </c>
      <c r="P413" s="374">
        <v>1.609</v>
      </c>
      <c r="Q413" s="377"/>
      <c r="R413" s="305"/>
      <c r="S413" s="304">
        <v>4.0469999999999999E-2</v>
      </c>
      <c r="T413" s="304">
        <v>1.0489999999999999E-2</v>
      </c>
      <c r="U413" s="304">
        <v>3.8400000000000001E-3</v>
      </c>
      <c r="V413" s="305"/>
      <c r="W413" s="305"/>
      <c r="X413" s="305"/>
      <c r="Y413" s="305"/>
      <c r="Z413" s="192" t="s">
        <v>1468</v>
      </c>
      <c r="AA413" s="192" t="s">
        <v>1383</v>
      </c>
      <c r="AB413" s="305"/>
      <c r="AC413" s="305"/>
      <c r="AD413" s="305"/>
      <c r="AE413" s="424"/>
    </row>
    <row r="414" spans="5:31" ht="14.5" x14ac:dyDescent="0.35">
      <c r="E414" s="192">
        <v>406</v>
      </c>
      <c r="F414" s="192" t="s">
        <v>220</v>
      </c>
      <c r="G414" s="192" t="s">
        <v>192</v>
      </c>
      <c r="H414" s="192" t="s">
        <v>350</v>
      </c>
      <c r="I414" s="192" t="s">
        <v>1023</v>
      </c>
      <c r="J414" s="192" t="s">
        <v>1008</v>
      </c>
      <c r="K414" s="192" t="s">
        <v>754</v>
      </c>
      <c r="L414" s="192" t="str">
        <f t="shared" si="9"/>
        <v>TransportCommutingVehiclePrivate carHybridSmall</v>
      </c>
      <c r="M414" s="192" t="s">
        <v>1142</v>
      </c>
      <c r="N414" s="192" t="s">
        <v>356</v>
      </c>
      <c r="O414" s="192" t="s">
        <v>1003</v>
      </c>
      <c r="P414" s="374">
        <v>1.609</v>
      </c>
      <c r="Q414" s="377"/>
      <c r="R414" s="305"/>
      <c r="S414" s="304">
        <v>0.11413</v>
      </c>
      <c r="T414" s="304">
        <v>3.0259999999999999E-2</v>
      </c>
      <c r="U414" s="305"/>
      <c r="V414" s="305"/>
      <c r="W414" s="305"/>
      <c r="X414" s="305"/>
      <c r="Y414" s="305"/>
      <c r="Z414" s="192" t="s">
        <v>1469</v>
      </c>
      <c r="AA414" s="192" t="s">
        <v>1386</v>
      </c>
      <c r="AB414" s="305"/>
      <c r="AC414" s="305"/>
      <c r="AD414" s="305"/>
      <c r="AE414" s="424"/>
    </row>
    <row r="415" spans="5:31" ht="14.5" x14ac:dyDescent="0.35">
      <c r="E415" s="192">
        <v>407</v>
      </c>
      <c r="F415" s="192" t="s">
        <v>220</v>
      </c>
      <c r="G415" s="192" t="s">
        <v>192</v>
      </c>
      <c r="H415" s="192" t="s">
        <v>350</v>
      </c>
      <c r="I415" s="192" t="s">
        <v>1023</v>
      </c>
      <c r="J415" s="192" t="s">
        <v>1008</v>
      </c>
      <c r="K415" s="192" t="s">
        <v>1004</v>
      </c>
      <c r="L415" s="192" t="str">
        <f t="shared" si="9"/>
        <v>TransportCommutingVehiclePrivate carHybridMedium</v>
      </c>
      <c r="M415" s="192" t="s">
        <v>1142</v>
      </c>
      <c r="N415" s="192" t="s">
        <v>356</v>
      </c>
      <c r="O415" s="192" t="s">
        <v>1003</v>
      </c>
      <c r="P415" s="374">
        <v>1.609</v>
      </c>
      <c r="Q415" s="377"/>
      <c r="R415" s="305"/>
      <c r="S415" s="304">
        <v>0.11724</v>
      </c>
      <c r="T415" s="304">
        <v>2.998E-2</v>
      </c>
      <c r="U415" s="305"/>
      <c r="V415" s="305"/>
      <c r="W415" s="305"/>
      <c r="X415" s="305"/>
      <c r="Y415" s="305"/>
      <c r="Z415" s="192" t="s">
        <v>1470</v>
      </c>
      <c r="AA415" s="192" t="s">
        <v>1388</v>
      </c>
      <c r="AB415" s="305"/>
      <c r="AC415" s="305"/>
      <c r="AD415" s="305"/>
      <c r="AE415" s="424"/>
    </row>
    <row r="416" spans="5:31" ht="14.5" x14ac:dyDescent="0.35">
      <c r="E416" s="192">
        <v>408</v>
      </c>
      <c r="F416" s="192" t="s">
        <v>220</v>
      </c>
      <c r="G416" s="192" t="s">
        <v>192</v>
      </c>
      <c r="H416" s="192" t="s">
        <v>350</v>
      </c>
      <c r="I416" s="192" t="s">
        <v>1023</v>
      </c>
      <c r="J416" s="192" t="s">
        <v>1008</v>
      </c>
      <c r="K416" s="192" t="s">
        <v>1005</v>
      </c>
      <c r="L416" s="192" t="str">
        <f t="shared" si="9"/>
        <v>TransportCommutingVehiclePrivate carHybridLarge</v>
      </c>
      <c r="M416" s="192" t="s">
        <v>1142</v>
      </c>
      <c r="N416" s="192" t="s">
        <v>356</v>
      </c>
      <c r="O416" s="192" t="s">
        <v>1003</v>
      </c>
      <c r="P416" s="374">
        <v>1.609</v>
      </c>
      <c r="Q416" s="377"/>
      <c r="R416" s="305"/>
      <c r="S416" s="304">
        <v>0.1565</v>
      </c>
      <c r="T416" s="304">
        <v>3.9609999999999999E-2</v>
      </c>
      <c r="U416" s="305"/>
      <c r="V416" s="305"/>
      <c r="W416" s="305"/>
      <c r="X416" s="305"/>
      <c r="Y416" s="305"/>
      <c r="Z416" s="192" t="s">
        <v>1471</v>
      </c>
      <c r="AA416" s="192" t="s">
        <v>1390</v>
      </c>
      <c r="AB416" s="305"/>
      <c r="AC416" s="305"/>
      <c r="AD416" s="305"/>
      <c r="AE416" s="424"/>
    </row>
    <row r="417" spans="5:31" ht="14.5" x14ac:dyDescent="0.35">
      <c r="E417" s="192">
        <v>409</v>
      </c>
      <c r="F417" s="192" t="s">
        <v>220</v>
      </c>
      <c r="G417" s="192" t="s">
        <v>192</v>
      </c>
      <c r="H417" s="192" t="s">
        <v>350</v>
      </c>
      <c r="I417" s="192" t="s">
        <v>1023</v>
      </c>
      <c r="J417" s="192" t="s">
        <v>1008</v>
      </c>
      <c r="K417" s="192" t="s">
        <v>353</v>
      </c>
      <c r="L417" s="192" t="str">
        <f t="shared" si="9"/>
        <v>TransportCommutingVehiclePrivate carHybridAverage</v>
      </c>
      <c r="M417" s="192" t="s">
        <v>1142</v>
      </c>
      <c r="N417" s="192" t="s">
        <v>356</v>
      </c>
      <c r="O417" s="192" t="s">
        <v>1003</v>
      </c>
      <c r="P417" s="374">
        <v>1.609</v>
      </c>
      <c r="Q417" s="377"/>
      <c r="R417" s="305"/>
      <c r="S417" s="304">
        <v>0.12825</v>
      </c>
      <c r="T417" s="304">
        <v>3.3149999999999999E-2</v>
      </c>
      <c r="U417" s="305"/>
      <c r="V417" s="305"/>
      <c r="W417" s="305"/>
      <c r="X417" s="305"/>
      <c r="Y417" s="305"/>
      <c r="Z417" s="192" t="s">
        <v>1472</v>
      </c>
      <c r="AA417" s="192" t="s">
        <v>1392</v>
      </c>
      <c r="AB417" s="305"/>
      <c r="AC417" s="305"/>
      <c r="AD417" s="305"/>
      <c r="AE417" s="424"/>
    </row>
    <row r="418" spans="5:31" ht="14.5" x14ac:dyDescent="0.35">
      <c r="E418" s="192">
        <v>410</v>
      </c>
      <c r="F418" s="192" t="s">
        <v>220</v>
      </c>
      <c r="G418" s="192" t="s">
        <v>192</v>
      </c>
      <c r="H418" s="192" t="s">
        <v>350</v>
      </c>
      <c r="I418" s="192" t="s">
        <v>1023</v>
      </c>
      <c r="J418" s="192" t="s">
        <v>1009</v>
      </c>
      <c r="K418" s="192" t="s">
        <v>754</v>
      </c>
      <c r="L418" s="192" t="str">
        <f t="shared" si="9"/>
        <v>TransportCommutingVehiclePrivate carPlug-in Hybrid Electric VehicleSmall</v>
      </c>
      <c r="M418" s="192" t="s">
        <v>1142</v>
      </c>
      <c r="N418" s="192" t="s">
        <v>356</v>
      </c>
      <c r="O418" s="192" t="s">
        <v>1003</v>
      </c>
      <c r="P418" s="374">
        <v>1.609</v>
      </c>
      <c r="Q418" s="377"/>
      <c r="R418" s="305"/>
      <c r="S418" s="304">
        <v>5.6689999999999997E-2</v>
      </c>
      <c r="T418" s="304">
        <v>1.52E-2</v>
      </c>
      <c r="U418" s="304">
        <v>2.5200000000000001E-3</v>
      </c>
      <c r="V418" s="305"/>
      <c r="W418" s="305"/>
      <c r="X418" s="305"/>
      <c r="Y418" s="305"/>
      <c r="Z418" s="192" t="s">
        <v>1473</v>
      </c>
      <c r="AA418" s="192" t="s">
        <v>1395</v>
      </c>
      <c r="AB418" s="305"/>
      <c r="AC418" s="305"/>
      <c r="AD418" s="305"/>
      <c r="AE418" s="424"/>
    </row>
    <row r="419" spans="5:31" ht="14.5" x14ac:dyDescent="0.35">
      <c r="E419" s="192">
        <v>411</v>
      </c>
      <c r="F419" s="192" t="s">
        <v>220</v>
      </c>
      <c r="G419" s="192" t="s">
        <v>192</v>
      </c>
      <c r="H419" s="192" t="s">
        <v>350</v>
      </c>
      <c r="I419" s="192" t="s">
        <v>1023</v>
      </c>
      <c r="J419" s="192" t="s">
        <v>1009</v>
      </c>
      <c r="K419" s="192" t="s">
        <v>1004</v>
      </c>
      <c r="L419" s="192" t="str">
        <f t="shared" si="9"/>
        <v>TransportCommutingVehiclePrivate carPlug-in Hybrid Electric VehicleMedium</v>
      </c>
      <c r="M419" s="192" t="s">
        <v>1142</v>
      </c>
      <c r="N419" s="192" t="s">
        <v>356</v>
      </c>
      <c r="O419" s="192" t="s">
        <v>1003</v>
      </c>
      <c r="P419" s="374">
        <v>1.609</v>
      </c>
      <c r="Q419" s="377"/>
      <c r="R419" s="305"/>
      <c r="S419" s="304">
        <v>8.8200000000000001E-2</v>
      </c>
      <c r="T419" s="304">
        <v>2.5239999999999999E-2</v>
      </c>
      <c r="U419" s="304">
        <v>9.7999999999999997E-4</v>
      </c>
      <c r="V419" s="305"/>
      <c r="W419" s="305"/>
      <c r="X419" s="305"/>
      <c r="Y419" s="305"/>
      <c r="Z419" s="192" t="s">
        <v>1474</v>
      </c>
      <c r="AA419" s="192" t="s">
        <v>1399</v>
      </c>
      <c r="AB419" s="305"/>
      <c r="AC419" s="305"/>
      <c r="AD419" s="305"/>
      <c r="AE419" s="424"/>
    </row>
    <row r="420" spans="5:31" ht="14.5" x14ac:dyDescent="0.35">
      <c r="E420" s="192">
        <v>412</v>
      </c>
      <c r="F420" s="192" t="s">
        <v>220</v>
      </c>
      <c r="G420" s="192" t="s">
        <v>192</v>
      </c>
      <c r="H420" s="192" t="s">
        <v>350</v>
      </c>
      <c r="I420" s="192" t="s">
        <v>1023</v>
      </c>
      <c r="J420" s="192" t="s">
        <v>1009</v>
      </c>
      <c r="K420" s="192" t="s">
        <v>1005</v>
      </c>
      <c r="L420" s="192" t="str">
        <f t="shared" si="9"/>
        <v>TransportCommutingVehiclePrivate carPlug-in Hybrid Electric VehicleLarge</v>
      </c>
      <c r="M420" s="192" t="s">
        <v>1142</v>
      </c>
      <c r="N420" s="192" t="s">
        <v>356</v>
      </c>
      <c r="O420" s="192" t="s">
        <v>1003</v>
      </c>
      <c r="P420" s="374">
        <v>1.609</v>
      </c>
      <c r="Q420" s="377"/>
      <c r="R420" s="305"/>
      <c r="S420" s="304">
        <v>0.1143</v>
      </c>
      <c r="T420" s="304">
        <v>3.2210000000000003E-2</v>
      </c>
      <c r="U420" s="304">
        <v>1.32E-3</v>
      </c>
      <c r="V420" s="305"/>
      <c r="W420" s="305"/>
      <c r="X420" s="305"/>
      <c r="Y420" s="305"/>
      <c r="Z420" s="192" t="s">
        <v>1475</v>
      </c>
      <c r="AA420" s="192" t="s">
        <v>1403</v>
      </c>
      <c r="AB420" s="305"/>
      <c r="AC420" s="305"/>
      <c r="AD420" s="305"/>
      <c r="AE420" s="424"/>
    </row>
    <row r="421" spans="5:31" ht="14.5" x14ac:dyDescent="0.35">
      <c r="E421" s="192">
        <v>413</v>
      </c>
      <c r="F421" s="192" t="s">
        <v>220</v>
      </c>
      <c r="G421" s="192" t="s">
        <v>192</v>
      </c>
      <c r="H421" s="192" t="s">
        <v>350</v>
      </c>
      <c r="I421" s="192" t="s">
        <v>1023</v>
      </c>
      <c r="J421" s="192" t="s">
        <v>1009</v>
      </c>
      <c r="K421" s="192" t="s">
        <v>353</v>
      </c>
      <c r="L421" s="192" t="str">
        <f t="shared" si="9"/>
        <v>TransportCommutingVehiclePrivate carPlug-in Hybrid Electric VehicleAverage</v>
      </c>
      <c r="M421" s="192" t="s">
        <v>1142</v>
      </c>
      <c r="N421" s="192" t="s">
        <v>356</v>
      </c>
      <c r="O421" s="192" t="s">
        <v>1003</v>
      </c>
      <c r="P421" s="374">
        <v>1.609</v>
      </c>
      <c r="Q421" s="377"/>
      <c r="R421" s="305"/>
      <c r="S421" s="304">
        <v>0.10460999999999999</v>
      </c>
      <c r="T421" s="304">
        <v>2.9340000000000001E-2</v>
      </c>
      <c r="U421" s="304">
        <v>1.2199999999999999E-3</v>
      </c>
      <c r="V421" s="305"/>
      <c r="W421" s="305"/>
      <c r="X421" s="305"/>
      <c r="Y421" s="305"/>
      <c r="Z421" s="192" t="s">
        <v>1476</v>
      </c>
      <c r="AA421" s="192" t="s">
        <v>1407</v>
      </c>
      <c r="AB421" s="305"/>
      <c r="AC421" s="305"/>
      <c r="AD421" s="305"/>
      <c r="AE421" s="424"/>
    </row>
    <row r="422" spans="5:31" ht="14.5" x14ac:dyDescent="0.35">
      <c r="E422" s="192">
        <v>414</v>
      </c>
      <c r="F422" s="192" t="s">
        <v>220</v>
      </c>
      <c r="G422" s="192" t="s">
        <v>192</v>
      </c>
      <c r="H422" s="192" t="s">
        <v>350</v>
      </c>
      <c r="I422" s="192" t="s">
        <v>1023</v>
      </c>
      <c r="J422" s="192" t="s">
        <v>1010</v>
      </c>
      <c r="K422" s="192" t="s">
        <v>754</v>
      </c>
      <c r="L422" s="192" t="str">
        <f t="shared" si="9"/>
        <v>TransportCommutingVehiclePrivate carUnknown fuelSmall</v>
      </c>
      <c r="M422" s="192" t="s">
        <v>1142</v>
      </c>
      <c r="N422" s="192" t="s">
        <v>356</v>
      </c>
      <c r="O422" s="192" t="s">
        <v>1003</v>
      </c>
      <c r="P422" s="374">
        <v>1.609</v>
      </c>
      <c r="Q422" s="377"/>
      <c r="R422" s="305"/>
      <c r="S422" s="304">
        <v>0.14321999999999999</v>
      </c>
      <c r="T422" s="304">
        <v>3.8359999999999998E-2</v>
      </c>
      <c r="U422" s="305"/>
      <c r="V422" s="305"/>
      <c r="W422" s="305"/>
      <c r="X422" s="305"/>
      <c r="Y422" s="305"/>
      <c r="Z422" s="192" t="s">
        <v>1477</v>
      </c>
      <c r="AA422" s="192" t="s">
        <v>1410</v>
      </c>
      <c r="AB422" s="305"/>
      <c r="AC422" s="305"/>
      <c r="AD422" s="305"/>
      <c r="AE422" s="424"/>
    </row>
    <row r="423" spans="5:31" ht="14.5" x14ac:dyDescent="0.35">
      <c r="E423" s="192">
        <v>415</v>
      </c>
      <c r="F423" s="192" t="s">
        <v>220</v>
      </c>
      <c r="G423" s="192" t="s">
        <v>192</v>
      </c>
      <c r="H423" s="192" t="s">
        <v>350</v>
      </c>
      <c r="I423" s="192" t="s">
        <v>1023</v>
      </c>
      <c r="J423" s="192" t="s">
        <v>1010</v>
      </c>
      <c r="K423" s="192" t="s">
        <v>1004</v>
      </c>
      <c r="L423" s="192" t="str">
        <f t="shared" si="9"/>
        <v>TransportCommutingVehiclePrivate carUnknown fuelMedium</v>
      </c>
      <c r="M423" s="192" t="s">
        <v>1142</v>
      </c>
      <c r="N423" s="192" t="s">
        <v>356</v>
      </c>
      <c r="O423" s="192" t="s">
        <v>1003</v>
      </c>
      <c r="P423" s="374">
        <v>1.609</v>
      </c>
      <c r="Q423" s="377"/>
      <c r="R423" s="305"/>
      <c r="S423" s="304">
        <v>0.17322000000000001</v>
      </c>
      <c r="T423" s="304">
        <v>4.5179999999999998E-2</v>
      </c>
      <c r="U423" s="305"/>
      <c r="V423" s="305"/>
      <c r="W423" s="305"/>
      <c r="X423" s="305"/>
      <c r="Y423" s="305"/>
      <c r="Z423" s="192" t="s">
        <v>1478</v>
      </c>
      <c r="AA423" s="192" t="s">
        <v>1412</v>
      </c>
      <c r="AB423" s="305"/>
      <c r="AC423" s="305"/>
      <c r="AD423" s="305"/>
      <c r="AE423" s="424"/>
    </row>
    <row r="424" spans="5:31" ht="14.5" x14ac:dyDescent="0.35">
      <c r="E424" s="192">
        <v>416</v>
      </c>
      <c r="F424" s="192" t="s">
        <v>220</v>
      </c>
      <c r="G424" s="192" t="s">
        <v>192</v>
      </c>
      <c r="H424" s="192" t="s">
        <v>350</v>
      </c>
      <c r="I424" s="192" t="s">
        <v>1023</v>
      </c>
      <c r="J424" s="192" t="s">
        <v>1010</v>
      </c>
      <c r="K424" s="192" t="s">
        <v>1005</v>
      </c>
      <c r="L424" s="192" t="str">
        <f t="shared" si="9"/>
        <v>TransportCommutingVehiclePrivate carUnknown fuelLarge</v>
      </c>
      <c r="M424" s="192" t="s">
        <v>1142</v>
      </c>
      <c r="N424" s="192" t="s">
        <v>356</v>
      </c>
      <c r="O424" s="192" t="s">
        <v>1003</v>
      </c>
      <c r="P424" s="374">
        <v>1.609</v>
      </c>
      <c r="Q424" s="377"/>
      <c r="R424" s="305"/>
      <c r="S424" s="304">
        <v>0.22678000000000001</v>
      </c>
      <c r="T424" s="304">
        <v>5.7639999999999997E-2</v>
      </c>
      <c r="U424" s="305"/>
      <c r="V424" s="305"/>
      <c r="W424" s="305"/>
      <c r="X424" s="305"/>
      <c r="Y424" s="305"/>
      <c r="Z424" s="192" t="s">
        <v>1479</v>
      </c>
      <c r="AA424" s="192" t="s">
        <v>1414</v>
      </c>
      <c r="AB424" s="305"/>
      <c r="AC424" s="305"/>
      <c r="AD424" s="305"/>
      <c r="AE424" s="424"/>
    </row>
    <row r="425" spans="5:31" ht="14.5" x14ac:dyDescent="0.35">
      <c r="E425" s="192">
        <v>417</v>
      </c>
      <c r="F425" s="192" t="s">
        <v>220</v>
      </c>
      <c r="G425" s="192" t="s">
        <v>192</v>
      </c>
      <c r="H425" s="192" t="s">
        <v>350</v>
      </c>
      <c r="I425" s="192" t="s">
        <v>1023</v>
      </c>
      <c r="J425" s="192" t="s">
        <v>1010</v>
      </c>
      <c r="K425" s="192" t="s">
        <v>353</v>
      </c>
      <c r="L425" s="192" t="str">
        <f t="shared" si="9"/>
        <v>TransportCommutingVehiclePrivate carUnknown fuelAverage</v>
      </c>
      <c r="M425" s="192" t="s">
        <v>1142</v>
      </c>
      <c r="N425" s="192" t="s">
        <v>356</v>
      </c>
      <c r="O425" s="192" t="s">
        <v>1003</v>
      </c>
      <c r="P425" s="374">
        <v>1.609</v>
      </c>
      <c r="Q425" s="377"/>
      <c r="R425" s="305"/>
      <c r="S425" s="304">
        <v>0.16725000000000001</v>
      </c>
      <c r="T425" s="304">
        <v>4.3990000000000001E-2</v>
      </c>
      <c r="U425" s="305"/>
      <c r="V425" s="305"/>
      <c r="W425" s="305"/>
      <c r="X425" s="305"/>
      <c r="Y425" s="305"/>
      <c r="Z425" s="192" t="s">
        <v>1480</v>
      </c>
      <c r="AA425" s="192" t="s">
        <v>1416</v>
      </c>
      <c r="AB425" s="305"/>
      <c r="AC425" s="305"/>
      <c r="AD425" s="305"/>
      <c r="AE425" s="424"/>
    </row>
    <row r="426" spans="5:31" ht="14.5" x14ac:dyDescent="0.35">
      <c r="E426" s="192">
        <v>418</v>
      </c>
      <c r="F426" s="192" t="s">
        <v>220</v>
      </c>
      <c r="G426" s="192" t="s">
        <v>192</v>
      </c>
      <c r="H426" s="192" t="s">
        <v>350</v>
      </c>
      <c r="I426" s="192" t="s">
        <v>1011</v>
      </c>
      <c r="J426" s="192" t="s">
        <v>1006</v>
      </c>
      <c r="K426" s="192" t="s">
        <v>353</v>
      </c>
      <c r="L426" s="192" t="str">
        <f t="shared" si="9"/>
        <v>TransportCommutingVehicleVanDieselAverage</v>
      </c>
      <c r="M426" s="192" t="s">
        <v>1142</v>
      </c>
      <c r="N426" s="192" t="s">
        <v>356</v>
      </c>
      <c r="O426" s="192" t="s">
        <v>1003</v>
      </c>
      <c r="P426" s="374">
        <v>1.609</v>
      </c>
      <c r="Q426" s="377"/>
      <c r="R426" s="305"/>
      <c r="S426" s="304">
        <v>0.25561</v>
      </c>
      <c r="T426" s="304">
        <v>6.1280000000000001E-2</v>
      </c>
      <c r="U426" s="305"/>
      <c r="V426" s="305"/>
      <c r="W426" s="305"/>
      <c r="X426" s="305"/>
      <c r="Y426" s="305"/>
      <c r="Z426" s="192" t="s">
        <v>1417</v>
      </c>
      <c r="AA426" s="192" t="s">
        <v>1418</v>
      </c>
      <c r="AB426" s="305"/>
      <c r="AC426" s="305"/>
      <c r="AD426" s="305"/>
      <c r="AE426" s="424"/>
    </row>
    <row r="427" spans="5:31" ht="14.5" x14ac:dyDescent="0.35">
      <c r="E427" s="192">
        <v>419</v>
      </c>
      <c r="F427" s="192" t="s">
        <v>220</v>
      </c>
      <c r="G427" s="192" t="s">
        <v>192</v>
      </c>
      <c r="H427" s="192" t="s">
        <v>350</v>
      </c>
      <c r="I427" s="192" t="s">
        <v>1011</v>
      </c>
      <c r="J427" s="192" t="s">
        <v>351</v>
      </c>
      <c r="K427" s="192" t="s">
        <v>353</v>
      </c>
      <c r="L427" s="192" t="str">
        <f t="shared" si="9"/>
        <v>TransportCommutingVehicleVanPetrolAverage</v>
      </c>
      <c r="M427" s="192" t="s">
        <v>1142</v>
      </c>
      <c r="N427" s="192" t="s">
        <v>356</v>
      </c>
      <c r="O427" s="192" t="s">
        <v>1003</v>
      </c>
      <c r="P427" s="374">
        <v>1.609</v>
      </c>
      <c r="Q427" s="377"/>
      <c r="R427" s="305"/>
      <c r="S427" s="304">
        <v>0.21335000000000001</v>
      </c>
      <c r="T427" s="304">
        <v>6.1830000000000003E-2</v>
      </c>
      <c r="U427" s="305"/>
      <c r="V427" s="305"/>
      <c r="W427" s="305"/>
      <c r="X427" s="305"/>
      <c r="Y427" s="305"/>
      <c r="Z427" s="192" t="s">
        <v>1419</v>
      </c>
      <c r="AA427" s="192" t="s">
        <v>1420</v>
      </c>
      <c r="AB427" s="305"/>
      <c r="AC427" s="305"/>
      <c r="AD427" s="305"/>
      <c r="AE427" s="424"/>
    </row>
    <row r="428" spans="5:31" ht="14.5" x14ac:dyDescent="0.35">
      <c r="E428" s="192">
        <v>420</v>
      </c>
      <c r="F428" s="192" t="s">
        <v>220</v>
      </c>
      <c r="G428" s="192" t="s">
        <v>192</v>
      </c>
      <c r="H428" s="192" t="s">
        <v>350</v>
      </c>
      <c r="I428" s="192" t="s">
        <v>1011</v>
      </c>
      <c r="J428" s="192" t="s">
        <v>981</v>
      </c>
      <c r="K428" s="192" t="s">
        <v>353</v>
      </c>
      <c r="L428" s="192" t="str">
        <f t="shared" si="9"/>
        <v>TransportCommutingVehicleVanLPGAverage</v>
      </c>
      <c r="M428" s="192" t="s">
        <v>1142</v>
      </c>
      <c r="N428" s="192" t="s">
        <v>356</v>
      </c>
      <c r="O428" s="192" t="s">
        <v>1003</v>
      </c>
      <c r="P428" s="374">
        <v>1.609</v>
      </c>
      <c r="Q428" s="377"/>
      <c r="R428" s="305"/>
      <c r="S428" s="304">
        <v>0.27610000000000001</v>
      </c>
      <c r="T428" s="304">
        <v>3.279E-2</v>
      </c>
      <c r="U428" s="305"/>
      <c r="V428" s="305"/>
      <c r="W428" s="305"/>
      <c r="X428" s="305"/>
      <c r="Y428" s="305"/>
      <c r="Z428" s="192" t="s">
        <v>1421</v>
      </c>
      <c r="AA428" s="192" t="s">
        <v>1422</v>
      </c>
      <c r="AB428" s="305"/>
      <c r="AC428" s="305"/>
      <c r="AD428" s="305"/>
      <c r="AE428" s="424"/>
    </row>
    <row r="429" spans="5:31" ht="14.5" x14ac:dyDescent="0.35">
      <c r="E429" s="192">
        <v>421</v>
      </c>
      <c r="F429" s="192" t="s">
        <v>220</v>
      </c>
      <c r="G429" s="192" t="s">
        <v>192</v>
      </c>
      <c r="H429" s="192" t="s">
        <v>350</v>
      </c>
      <c r="I429" s="192" t="s">
        <v>1011</v>
      </c>
      <c r="J429" s="192" t="s">
        <v>1007</v>
      </c>
      <c r="K429" s="192" t="s">
        <v>353</v>
      </c>
      <c r="L429" s="192" t="str">
        <f t="shared" si="9"/>
        <v>TransportCommutingVehicleVanBattery Electric VehicleAverage</v>
      </c>
      <c r="M429" s="192" t="s">
        <v>1142</v>
      </c>
      <c r="N429" s="192" t="s">
        <v>356</v>
      </c>
      <c r="O429" s="192" t="s">
        <v>1003</v>
      </c>
      <c r="P429" s="374">
        <v>1.609</v>
      </c>
      <c r="Q429" s="377"/>
      <c r="R429" s="305"/>
      <c r="S429" s="304">
        <v>6.3149999999999998E-2</v>
      </c>
      <c r="T429" s="304">
        <v>1.7590000000000001E-2</v>
      </c>
      <c r="U429" s="304">
        <v>6.62E-3</v>
      </c>
      <c r="V429" s="305"/>
      <c r="W429" s="305"/>
      <c r="X429" s="305"/>
      <c r="Y429" s="305"/>
      <c r="Z429" s="192" t="s">
        <v>1423</v>
      </c>
      <c r="AA429" s="192" t="s">
        <v>1424</v>
      </c>
      <c r="AB429" s="192" t="s">
        <v>1425</v>
      </c>
      <c r="AC429" s="305"/>
      <c r="AD429" s="305"/>
      <c r="AE429" s="424"/>
    </row>
    <row r="430" spans="5:31" ht="14.5" x14ac:dyDescent="0.35">
      <c r="E430" s="192">
        <v>422</v>
      </c>
      <c r="F430" s="192" t="s">
        <v>220</v>
      </c>
      <c r="G430" s="192" t="s">
        <v>192</v>
      </c>
      <c r="H430" s="192" t="s">
        <v>350</v>
      </c>
      <c r="I430" s="192" t="s">
        <v>1011</v>
      </c>
      <c r="J430" s="192" t="s">
        <v>981</v>
      </c>
      <c r="K430" s="192" t="s">
        <v>353</v>
      </c>
      <c r="L430" s="192" t="str">
        <f t="shared" si="9"/>
        <v>TransportCommutingVehicleVanLPGAverage</v>
      </c>
      <c r="M430" s="192" t="s">
        <v>1142</v>
      </c>
      <c r="N430" s="192" t="s">
        <v>356</v>
      </c>
      <c r="O430" s="192" t="s">
        <v>1003</v>
      </c>
      <c r="P430" s="374">
        <v>1.609</v>
      </c>
      <c r="Q430" s="377"/>
      <c r="R430" s="305"/>
      <c r="S430" s="304">
        <v>0.44433</v>
      </c>
      <c r="T430" s="304">
        <v>5.2769999999999997E-2</v>
      </c>
      <c r="U430" s="305"/>
      <c r="V430" s="305"/>
      <c r="W430" s="305"/>
      <c r="X430" s="305"/>
      <c r="Y430" s="305"/>
      <c r="Z430" s="192" t="s">
        <v>1481</v>
      </c>
      <c r="AA430" s="192" t="s">
        <v>1482</v>
      </c>
      <c r="AB430" s="305"/>
      <c r="AC430" s="305"/>
      <c r="AD430" s="305"/>
      <c r="AE430" s="424"/>
    </row>
    <row r="431" spans="5:31" ht="14.5" x14ac:dyDescent="0.35">
      <c r="E431" s="192">
        <v>423</v>
      </c>
      <c r="F431" s="192" t="s">
        <v>220</v>
      </c>
      <c r="G431" s="192" t="s">
        <v>192</v>
      </c>
      <c r="H431" s="192" t="s">
        <v>350</v>
      </c>
      <c r="I431" s="192" t="s">
        <v>1011</v>
      </c>
      <c r="J431" s="192" t="s">
        <v>1010</v>
      </c>
      <c r="K431" s="192" t="s">
        <v>353</v>
      </c>
      <c r="L431" s="192" t="str">
        <f t="shared" si="9"/>
        <v>TransportCommutingVehicleVanUnknown fuelAverage</v>
      </c>
      <c r="M431" s="192" t="s">
        <v>1142</v>
      </c>
      <c r="N431" s="192" t="s">
        <v>356</v>
      </c>
      <c r="O431" s="192" t="s">
        <v>1003</v>
      </c>
      <c r="P431" s="374">
        <v>1.609</v>
      </c>
      <c r="Q431" s="377"/>
      <c r="R431" s="305"/>
      <c r="S431" s="304">
        <v>0.25430000000000003</v>
      </c>
      <c r="T431" s="304">
        <v>6.13E-2</v>
      </c>
      <c r="U431" s="305"/>
      <c r="V431" s="305"/>
      <c r="W431" s="305"/>
      <c r="X431" s="305"/>
      <c r="Y431" s="305"/>
      <c r="Z431" s="192" t="s">
        <v>1426</v>
      </c>
      <c r="AA431" s="192" t="s">
        <v>1427</v>
      </c>
      <c r="AB431" s="305"/>
      <c r="AC431" s="305"/>
      <c r="AD431" s="305"/>
      <c r="AE431" s="424"/>
    </row>
    <row r="432" spans="5:31" ht="14.5" x14ac:dyDescent="0.35">
      <c r="E432" s="192">
        <v>424</v>
      </c>
      <c r="F432" s="192" t="s">
        <v>220</v>
      </c>
      <c r="G432" s="192" t="s">
        <v>192</v>
      </c>
      <c r="H432" s="192" t="s">
        <v>350</v>
      </c>
      <c r="I432" s="192" t="s">
        <v>1015</v>
      </c>
      <c r="J432" s="192" t="s">
        <v>351</v>
      </c>
      <c r="K432" s="192" t="s">
        <v>754</v>
      </c>
      <c r="L432" s="192" t="str">
        <f t="shared" si="9"/>
        <v>TransportCommutingVehicleMotorbikePetrolSmall</v>
      </c>
      <c r="M432" s="192" t="s">
        <v>1142</v>
      </c>
      <c r="N432" s="192" t="s">
        <v>356</v>
      </c>
      <c r="O432" s="192" t="s">
        <v>1003</v>
      </c>
      <c r="P432" s="374">
        <v>1.609</v>
      </c>
      <c r="Q432" s="377"/>
      <c r="R432" s="305"/>
      <c r="S432" s="304">
        <v>8.319E-2</v>
      </c>
      <c r="T432" s="304">
        <v>2.1479999999999999E-2</v>
      </c>
      <c r="U432" s="305"/>
      <c r="V432" s="305"/>
      <c r="W432" s="305"/>
      <c r="X432" s="305"/>
      <c r="Y432" s="305"/>
      <c r="Z432" s="192" t="s">
        <v>1434</v>
      </c>
      <c r="AA432" s="192" t="s">
        <v>1435</v>
      </c>
      <c r="AB432" s="305"/>
      <c r="AC432" s="305"/>
      <c r="AD432" s="305"/>
      <c r="AE432" s="424"/>
    </row>
    <row r="433" spans="5:31" ht="14.5" x14ac:dyDescent="0.35">
      <c r="E433" s="192">
        <v>425</v>
      </c>
      <c r="F433" s="192" t="s">
        <v>220</v>
      </c>
      <c r="G433" s="192" t="s">
        <v>192</v>
      </c>
      <c r="H433" s="192" t="s">
        <v>350</v>
      </c>
      <c r="I433" s="192" t="s">
        <v>1015</v>
      </c>
      <c r="J433" s="192" t="s">
        <v>351</v>
      </c>
      <c r="K433" s="192" t="s">
        <v>1004</v>
      </c>
      <c r="L433" s="192" t="str">
        <f t="shared" si="9"/>
        <v>TransportCommutingVehicleMotorbikePetrolMedium</v>
      </c>
      <c r="M433" s="192" t="s">
        <v>1142</v>
      </c>
      <c r="N433" s="192" t="s">
        <v>356</v>
      </c>
      <c r="O433" s="192" t="s">
        <v>1003</v>
      </c>
      <c r="P433" s="374">
        <v>1.609</v>
      </c>
      <c r="Q433" s="377"/>
      <c r="R433" s="305"/>
      <c r="S433" s="304">
        <v>0.10107000000000001</v>
      </c>
      <c r="T433" s="304">
        <v>2.6079999999999999E-2</v>
      </c>
      <c r="U433" s="305"/>
      <c r="V433" s="305"/>
      <c r="W433" s="305"/>
      <c r="X433" s="305"/>
      <c r="Y433" s="305"/>
      <c r="Z433" s="192" t="s">
        <v>1436</v>
      </c>
      <c r="AA433" s="192" t="s">
        <v>1437</v>
      </c>
      <c r="AB433" s="305"/>
      <c r="AC433" s="305"/>
      <c r="AD433" s="305"/>
      <c r="AE433" s="424"/>
    </row>
    <row r="434" spans="5:31" ht="14.5" x14ac:dyDescent="0.35">
      <c r="E434" s="192">
        <v>426</v>
      </c>
      <c r="F434" s="192" t="s">
        <v>220</v>
      </c>
      <c r="G434" s="192" t="s">
        <v>192</v>
      </c>
      <c r="H434" s="192" t="s">
        <v>350</v>
      </c>
      <c r="I434" s="192" t="s">
        <v>1015</v>
      </c>
      <c r="J434" s="192" t="s">
        <v>351</v>
      </c>
      <c r="K434" s="192" t="s">
        <v>1005</v>
      </c>
      <c r="L434" s="192" t="str">
        <f t="shared" si="9"/>
        <v>TransportCommutingVehicleMotorbikePetrolLarge</v>
      </c>
      <c r="M434" s="192" t="s">
        <v>1142</v>
      </c>
      <c r="N434" s="192" t="s">
        <v>356</v>
      </c>
      <c r="O434" s="192" t="s">
        <v>1003</v>
      </c>
      <c r="P434" s="374">
        <v>1.609</v>
      </c>
      <c r="Q434" s="377"/>
      <c r="R434" s="305"/>
      <c r="S434" s="304">
        <v>0.13252</v>
      </c>
      <c r="T434" s="304">
        <v>3.4689999999999999E-2</v>
      </c>
      <c r="U434" s="305"/>
      <c r="V434" s="305"/>
      <c r="W434" s="305"/>
      <c r="X434" s="305"/>
      <c r="Y434" s="305"/>
      <c r="Z434" s="192" t="s">
        <v>1438</v>
      </c>
      <c r="AA434" s="192" t="s">
        <v>1439</v>
      </c>
      <c r="AB434" s="305"/>
      <c r="AC434" s="305"/>
      <c r="AD434" s="305"/>
      <c r="AE434" s="424"/>
    </row>
    <row r="435" spans="5:31" ht="14.15" customHeight="1" x14ac:dyDescent="0.35">
      <c r="E435" s="192">
        <v>427</v>
      </c>
      <c r="F435" s="192" t="s">
        <v>220</v>
      </c>
      <c r="G435" s="192" t="s">
        <v>192</v>
      </c>
      <c r="H435" s="192" t="s">
        <v>350</v>
      </c>
      <c r="I435" s="192" t="s">
        <v>1015</v>
      </c>
      <c r="J435" s="192" t="s">
        <v>351</v>
      </c>
      <c r="K435" s="192" t="s">
        <v>353</v>
      </c>
      <c r="L435" s="192" t="str">
        <f t="shared" si="9"/>
        <v>TransportCommutingVehicleMotorbikePetrolAverage</v>
      </c>
      <c r="M435" s="192" t="s">
        <v>1142</v>
      </c>
      <c r="N435" s="192" t="s">
        <v>356</v>
      </c>
      <c r="O435" s="192" t="s">
        <v>1003</v>
      </c>
      <c r="P435" s="374">
        <v>1.609</v>
      </c>
      <c r="Q435" s="377"/>
      <c r="R435" s="305"/>
      <c r="S435" s="304">
        <v>0.11367000000000001</v>
      </c>
      <c r="T435" s="304">
        <v>2.9559999999999999E-2</v>
      </c>
      <c r="U435" s="305"/>
      <c r="V435" s="305"/>
      <c r="W435" s="305"/>
      <c r="X435" s="305"/>
      <c r="Y435" s="305"/>
      <c r="Z435" s="192" t="s">
        <v>1440</v>
      </c>
      <c r="AA435" s="192" t="s">
        <v>1441</v>
      </c>
      <c r="AB435" s="305"/>
      <c r="AC435" s="305"/>
      <c r="AD435" s="305"/>
      <c r="AE435" s="424"/>
    </row>
    <row r="436" spans="5:31" ht="14.5" x14ac:dyDescent="0.35">
      <c r="E436" s="192">
        <v>428</v>
      </c>
      <c r="F436" s="192" t="s">
        <v>220</v>
      </c>
      <c r="G436" s="192" t="s">
        <v>192</v>
      </c>
      <c r="H436" s="192" t="s">
        <v>1032</v>
      </c>
      <c r="I436" s="192" t="s">
        <v>1033</v>
      </c>
      <c r="J436" s="192" t="s">
        <v>1034</v>
      </c>
      <c r="K436" s="192" t="s">
        <v>339</v>
      </c>
      <c r="L436" s="192" t="str">
        <f t="shared" si="9"/>
        <v>TransportCommutingPublic transportBusAverage local busNaN</v>
      </c>
      <c r="M436" s="192" t="s">
        <v>1142</v>
      </c>
      <c r="N436" s="192" t="s">
        <v>1026</v>
      </c>
      <c r="O436" s="192" t="s">
        <v>1027</v>
      </c>
      <c r="P436" s="374">
        <v>1.609</v>
      </c>
      <c r="Q436" s="377"/>
      <c r="R436" s="305"/>
      <c r="S436" s="304">
        <v>0.10385</v>
      </c>
      <c r="T436" s="304">
        <v>2.649E-2</v>
      </c>
      <c r="U436" s="305"/>
      <c r="V436" s="305"/>
      <c r="W436" s="305"/>
      <c r="X436" s="305"/>
      <c r="Y436" s="305"/>
      <c r="Z436" s="192" t="s">
        <v>1497</v>
      </c>
      <c r="AA436" s="192" t="s">
        <v>1498</v>
      </c>
      <c r="AB436" s="305"/>
      <c r="AC436" s="305"/>
      <c r="AD436" s="305"/>
      <c r="AE436" s="424"/>
    </row>
    <row r="437" spans="5:31" ht="14.15" customHeight="1" x14ac:dyDescent="0.35">
      <c r="E437" s="192">
        <v>429</v>
      </c>
      <c r="F437" s="192" t="s">
        <v>220</v>
      </c>
      <c r="G437" s="192" t="s">
        <v>192</v>
      </c>
      <c r="H437" s="192" t="s">
        <v>1032</v>
      </c>
      <c r="I437" s="192" t="s">
        <v>1033</v>
      </c>
      <c r="J437" s="192" t="s">
        <v>1035</v>
      </c>
      <c r="K437" s="192" t="s">
        <v>339</v>
      </c>
      <c r="L437" s="192" t="str">
        <f t="shared" si="9"/>
        <v>TransportCommutingPublic transportBusCoachNaN</v>
      </c>
      <c r="M437" s="192" t="s">
        <v>1142</v>
      </c>
      <c r="N437" s="192" t="s">
        <v>1026</v>
      </c>
      <c r="O437" s="192" t="s">
        <v>1027</v>
      </c>
      <c r="P437" s="374">
        <v>1.609</v>
      </c>
      <c r="Q437" s="377"/>
      <c r="R437" s="305"/>
      <c r="S437" s="304">
        <v>2.776E-2</v>
      </c>
      <c r="T437" s="304">
        <v>6.5599999999999999E-3</v>
      </c>
      <c r="U437" s="305"/>
      <c r="V437" s="305"/>
      <c r="W437" s="305"/>
      <c r="X437" s="305"/>
      <c r="Y437" s="305"/>
      <c r="Z437" s="192" t="s">
        <v>1499</v>
      </c>
      <c r="AA437" s="192" t="s">
        <v>1500</v>
      </c>
      <c r="AB437" s="305"/>
      <c r="AC437" s="305"/>
      <c r="AD437" s="305"/>
      <c r="AE437" s="424"/>
    </row>
    <row r="438" spans="5:31" ht="14.15" customHeight="1" x14ac:dyDescent="0.35">
      <c r="E438" s="192">
        <v>430</v>
      </c>
      <c r="F438" s="192" t="s">
        <v>220</v>
      </c>
      <c r="G438" s="192" t="s">
        <v>192</v>
      </c>
      <c r="H438" s="192" t="s">
        <v>1032</v>
      </c>
      <c r="I438" s="192" t="s">
        <v>1036</v>
      </c>
      <c r="J438" s="192" t="s">
        <v>1036</v>
      </c>
      <c r="K438" s="192" t="s">
        <v>339</v>
      </c>
      <c r="L438" s="192" t="str">
        <f t="shared" si="9"/>
        <v>TransportCommutingPublic transportFerryFerryNaN</v>
      </c>
      <c r="M438" s="192" t="s">
        <v>1142</v>
      </c>
      <c r="N438" s="192" t="s">
        <v>1026</v>
      </c>
      <c r="O438" s="192" t="s">
        <v>1027</v>
      </c>
      <c r="P438" s="374">
        <v>1.609</v>
      </c>
      <c r="Q438" s="377"/>
      <c r="R438" s="305"/>
      <c r="S438" s="304">
        <v>0.11269999999999999</v>
      </c>
      <c r="T438" s="304">
        <v>2.555E-2</v>
      </c>
      <c r="U438" s="305"/>
      <c r="V438" s="305"/>
      <c r="W438" s="305"/>
      <c r="X438" s="305"/>
      <c r="Y438" s="305"/>
      <c r="Z438" s="192" t="s">
        <v>1501</v>
      </c>
      <c r="AA438" s="192" t="s">
        <v>1502</v>
      </c>
      <c r="AB438" s="305"/>
      <c r="AC438" s="305"/>
      <c r="AD438" s="305"/>
      <c r="AE438" s="424"/>
    </row>
    <row r="439" spans="5:31" ht="14.15" customHeight="1" x14ac:dyDescent="0.35">
      <c r="E439" s="192">
        <v>431</v>
      </c>
      <c r="F439" s="192" t="s">
        <v>220</v>
      </c>
      <c r="G439" s="192" t="s">
        <v>192</v>
      </c>
      <c r="H439" s="192" t="s">
        <v>1032</v>
      </c>
      <c r="I439" s="192" t="s">
        <v>1037</v>
      </c>
      <c r="J439" s="192" t="s">
        <v>1038</v>
      </c>
      <c r="K439" s="192" t="s">
        <v>339</v>
      </c>
      <c r="L439" s="192" t="str">
        <f t="shared" si="9"/>
        <v>TransportCommutingPublic transportRailNational railNaN</v>
      </c>
      <c r="M439" s="192" t="s">
        <v>1142</v>
      </c>
      <c r="N439" s="192" t="s">
        <v>1026</v>
      </c>
      <c r="O439" s="192" t="s">
        <v>1027</v>
      </c>
      <c r="P439" s="374">
        <v>1.609</v>
      </c>
      <c r="Q439" s="377"/>
      <c r="R439" s="305"/>
      <c r="S439" s="304">
        <v>3.5459999999999998E-2</v>
      </c>
      <c r="T439" s="304">
        <v>8.9700000000000005E-3</v>
      </c>
      <c r="U439" s="305"/>
      <c r="V439" s="305"/>
      <c r="W439" s="305"/>
      <c r="X439" s="305"/>
      <c r="Y439" s="305"/>
      <c r="Z439" s="192" t="s">
        <v>1503</v>
      </c>
      <c r="AA439" s="192" t="s">
        <v>1504</v>
      </c>
      <c r="AB439" s="305"/>
      <c r="AC439" s="305"/>
      <c r="AD439" s="305"/>
      <c r="AE439" s="424"/>
    </row>
    <row r="440" spans="5:31" ht="14.15" customHeight="1" x14ac:dyDescent="0.35">
      <c r="E440" s="192">
        <v>432</v>
      </c>
      <c r="F440" s="192" t="s">
        <v>220</v>
      </c>
      <c r="G440" s="192" t="s">
        <v>192</v>
      </c>
      <c r="H440" s="192" t="s">
        <v>1032</v>
      </c>
      <c r="I440" s="192" t="s">
        <v>1037</v>
      </c>
      <c r="J440" s="192" t="s">
        <v>1039</v>
      </c>
      <c r="K440" s="192" t="s">
        <v>339</v>
      </c>
      <c r="L440" s="192" t="str">
        <f t="shared" si="9"/>
        <v>TransportCommutingPublic transportRailInternational railNaN</v>
      </c>
      <c r="M440" s="192" t="s">
        <v>1142</v>
      </c>
      <c r="N440" s="192" t="s">
        <v>1026</v>
      </c>
      <c r="O440" s="192" t="s">
        <v>1027</v>
      </c>
      <c r="P440" s="374">
        <v>1.609</v>
      </c>
      <c r="Q440" s="377"/>
      <c r="R440" s="305"/>
      <c r="S440" s="304">
        <v>4.4600000000000004E-3</v>
      </c>
      <c r="T440" s="304">
        <v>1.17E-3</v>
      </c>
      <c r="U440" s="305"/>
      <c r="V440" s="305"/>
      <c r="W440" s="305"/>
      <c r="X440" s="305"/>
      <c r="Y440" s="305"/>
      <c r="Z440" s="192" t="s">
        <v>1505</v>
      </c>
      <c r="AA440" s="192" t="s">
        <v>1506</v>
      </c>
      <c r="AB440" s="305"/>
      <c r="AC440" s="305"/>
      <c r="AD440" s="305"/>
      <c r="AE440" s="424"/>
    </row>
    <row r="441" spans="5:31" ht="14.15" customHeight="1" x14ac:dyDescent="0.35">
      <c r="E441" s="192">
        <v>433</v>
      </c>
      <c r="F441" s="192" t="s">
        <v>220</v>
      </c>
      <c r="G441" s="192" t="s">
        <v>192</v>
      </c>
      <c r="H441" s="192" t="s">
        <v>1032</v>
      </c>
      <c r="I441" s="192" t="s">
        <v>1037</v>
      </c>
      <c r="J441" s="192" t="s">
        <v>1040</v>
      </c>
      <c r="K441" s="192" t="s">
        <v>339</v>
      </c>
      <c r="L441" s="192" t="str">
        <f t="shared" si="9"/>
        <v>TransportCommutingPublic transportRailLight rail and tramNaN</v>
      </c>
      <c r="M441" s="192" t="s">
        <v>1142</v>
      </c>
      <c r="N441" s="192" t="s">
        <v>1026</v>
      </c>
      <c r="O441" s="192" t="s">
        <v>1027</v>
      </c>
      <c r="P441" s="374">
        <v>1.609</v>
      </c>
      <c r="Q441" s="377"/>
      <c r="R441" s="305"/>
      <c r="S441" s="304">
        <v>2.86E-2</v>
      </c>
      <c r="T441" s="304">
        <v>7.4900000000000001E-3</v>
      </c>
      <c r="U441" s="305"/>
      <c r="V441" s="305"/>
      <c r="W441" s="305"/>
      <c r="X441" s="305"/>
      <c r="Y441" s="305"/>
      <c r="Z441" s="192" t="s">
        <v>1507</v>
      </c>
      <c r="AA441" s="192" t="s">
        <v>1508</v>
      </c>
      <c r="AB441" s="305"/>
      <c r="AC441" s="305"/>
      <c r="AD441" s="305"/>
      <c r="AE441" s="424"/>
    </row>
    <row r="442" spans="5:31" ht="14.15" customHeight="1" x14ac:dyDescent="0.35">
      <c r="E442" s="192">
        <v>434</v>
      </c>
      <c r="F442" s="192" t="s">
        <v>220</v>
      </c>
      <c r="G442" s="192" t="s">
        <v>192</v>
      </c>
      <c r="H442" s="192" t="s">
        <v>1032</v>
      </c>
      <c r="I442" s="192" t="s">
        <v>1037</v>
      </c>
      <c r="J442" s="192" t="s">
        <v>1041</v>
      </c>
      <c r="K442" s="192" t="s">
        <v>339</v>
      </c>
      <c r="L442" s="192" t="str">
        <f t="shared" si="9"/>
        <v>TransportCommutingPublic transportRailLondon UndergroundNaN</v>
      </c>
      <c r="M442" s="192" t="s">
        <v>1142</v>
      </c>
      <c r="N442" s="192" t="s">
        <v>1026</v>
      </c>
      <c r="O442" s="192" t="s">
        <v>1027</v>
      </c>
      <c r="P442" s="374">
        <v>1.609</v>
      </c>
      <c r="Q442" s="377"/>
      <c r="R442" s="305"/>
      <c r="S442" s="304">
        <v>2.7799999999999998E-2</v>
      </c>
      <c r="T442" s="304">
        <v>7.28E-3</v>
      </c>
      <c r="U442" s="305"/>
      <c r="V442" s="305"/>
      <c r="W442" s="305"/>
      <c r="X442" s="305"/>
      <c r="Y442" s="305"/>
      <c r="Z442" s="192" t="s">
        <v>1509</v>
      </c>
      <c r="AA442" s="192" t="s">
        <v>1510</v>
      </c>
      <c r="AB442" s="305"/>
      <c r="AC442" s="305"/>
      <c r="AD442" s="305"/>
      <c r="AE442" s="424"/>
    </row>
    <row r="443" spans="5:31" ht="14.15" customHeight="1" x14ac:dyDescent="0.35">
      <c r="E443" s="192">
        <v>435</v>
      </c>
      <c r="F443" s="192" t="s">
        <v>220</v>
      </c>
      <c r="G443" s="192" t="s">
        <v>192</v>
      </c>
      <c r="H443" s="192" t="s">
        <v>1032</v>
      </c>
      <c r="I443" s="192" t="s">
        <v>1042</v>
      </c>
      <c r="J443" s="192" t="s">
        <v>1043</v>
      </c>
      <c r="K443" s="192" t="s">
        <v>339</v>
      </c>
      <c r="L443" s="192" t="str">
        <f t="shared" si="9"/>
        <v>TransportCommutingPublic transportTaxiTaxi - RegularNaN</v>
      </c>
      <c r="M443" s="192" t="s">
        <v>1142</v>
      </c>
      <c r="N443" s="192" t="s">
        <v>1026</v>
      </c>
      <c r="O443" s="192" t="s">
        <v>1027</v>
      </c>
      <c r="P443" s="374">
        <v>1.609</v>
      </c>
      <c r="Q443" s="377"/>
      <c r="R443" s="305"/>
      <c r="S443" s="304">
        <v>0.14860999999999999</v>
      </c>
      <c r="T443" s="304">
        <v>3.6970000000000003E-2</v>
      </c>
      <c r="U443" s="305"/>
      <c r="V443" s="305"/>
      <c r="W443" s="305"/>
      <c r="X443" s="305"/>
      <c r="Y443" s="305"/>
      <c r="Z443" s="192" t="s">
        <v>1511</v>
      </c>
      <c r="AA443" s="192" t="s">
        <v>1512</v>
      </c>
      <c r="AB443" s="305"/>
      <c r="AC443" s="305"/>
      <c r="AD443" s="305"/>
      <c r="AE443" s="424"/>
    </row>
    <row r="444" spans="5:31" ht="14.15" customHeight="1" x14ac:dyDescent="0.35">
      <c r="E444" s="192">
        <v>436</v>
      </c>
      <c r="F444" s="192" t="s">
        <v>220</v>
      </c>
      <c r="G444" s="192" t="s">
        <v>192</v>
      </c>
      <c r="H444" s="192" t="s">
        <v>1032</v>
      </c>
      <c r="I444" s="192" t="s">
        <v>1042</v>
      </c>
      <c r="J444" s="192" t="s">
        <v>1044</v>
      </c>
      <c r="K444" s="192" t="s">
        <v>339</v>
      </c>
      <c r="L444" s="192" t="str">
        <f t="shared" si="9"/>
        <v>TransportCommutingPublic transportTaxiTaxi - Black cabNaN</v>
      </c>
      <c r="M444" s="192" t="s">
        <v>1142</v>
      </c>
      <c r="N444" s="192" t="s">
        <v>1026</v>
      </c>
      <c r="O444" s="192" t="s">
        <v>1027</v>
      </c>
      <c r="P444" s="374">
        <v>1.609</v>
      </c>
      <c r="Q444" s="377"/>
      <c r="R444" s="305"/>
      <c r="S444" s="304">
        <v>0.20402000000000001</v>
      </c>
      <c r="T444" s="304">
        <v>5.0900000000000001E-2</v>
      </c>
      <c r="U444" s="305"/>
      <c r="V444" s="305"/>
      <c r="W444" s="305"/>
      <c r="X444" s="305"/>
      <c r="Y444" s="305"/>
      <c r="Z444" s="192" t="s">
        <v>1513</v>
      </c>
      <c r="AA444" s="192" t="s">
        <v>1514</v>
      </c>
      <c r="AB444" s="305"/>
      <c r="AC444" s="305"/>
      <c r="AD444" s="305"/>
      <c r="AE444" s="424"/>
    </row>
    <row r="445" spans="5:31" ht="14.15" customHeight="1" x14ac:dyDescent="0.35">
      <c r="E445" s="192">
        <v>437</v>
      </c>
      <c r="F445" s="192" t="s">
        <v>220</v>
      </c>
      <c r="G445" s="192" t="s">
        <v>193</v>
      </c>
      <c r="H445" s="192" t="s">
        <v>193</v>
      </c>
      <c r="I445" s="192" t="s">
        <v>193</v>
      </c>
      <c r="J445" s="192" t="s">
        <v>193</v>
      </c>
      <c r="K445" s="192" t="s">
        <v>339</v>
      </c>
      <c r="L445" s="192" t="str">
        <f t="shared" si="9"/>
        <v>TransportHomeworkingHomeworkingHomeworkingHomeworkingNaN</v>
      </c>
      <c r="M445" s="192" t="s">
        <v>1142</v>
      </c>
      <c r="N445" s="192" t="s">
        <v>1515</v>
      </c>
      <c r="O445" s="192"/>
      <c r="P445" s="374"/>
      <c r="Q445" s="377"/>
      <c r="R445" s="305"/>
      <c r="S445" s="304">
        <f>0.33378</f>
        <v>0.33378000000000002</v>
      </c>
      <c r="T445" s="305"/>
      <c r="U445" s="305"/>
      <c r="V445" s="305"/>
      <c r="W445" s="305"/>
      <c r="X445" s="305"/>
      <c r="Y445" s="305"/>
      <c r="Z445" s="192" t="s">
        <v>1516</v>
      </c>
      <c r="AA445" s="305"/>
      <c r="AB445" s="305"/>
      <c r="AC445" s="305"/>
      <c r="AD445" s="305"/>
      <c r="AE445" s="424" t="s">
        <v>1734</v>
      </c>
    </row>
    <row r="446" spans="5:31" ht="14.15" customHeight="1" x14ac:dyDescent="0.35">
      <c r="E446" s="192">
        <v>438</v>
      </c>
      <c r="F446" s="192" t="s">
        <v>267</v>
      </c>
      <c r="G446" s="192" t="s">
        <v>385</v>
      </c>
      <c r="H446" s="192" t="s">
        <v>385</v>
      </c>
      <c r="I446" s="192" t="s">
        <v>224</v>
      </c>
      <c r="J446" s="192" t="s">
        <v>1736</v>
      </c>
      <c r="K446" s="192" t="s">
        <v>339</v>
      </c>
      <c r="L446" s="192" t="str">
        <f t="shared" si="9"/>
        <v>Supply ChainSupply chainSupply chainAgriculture, forestry and fishingProducts of agriculture, hunting and related servicesNaN</v>
      </c>
      <c r="M446" s="192" t="s">
        <v>1517</v>
      </c>
      <c r="N446" s="192" t="s">
        <v>383</v>
      </c>
      <c r="O446" s="305"/>
      <c r="P446" s="372"/>
      <c r="Q446" s="377"/>
      <c r="R446" s="305"/>
      <c r="S446" s="304">
        <v>2.6330286175752748</v>
      </c>
      <c r="T446" s="305"/>
      <c r="U446" s="305"/>
      <c r="V446" s="305"/>
      <c r="W446" s="305"/>
      <c r="X446" s="305"/>
      <c r="Y446" s="305"/>
      <c r="Z446" s="384" t="s">
        <v>1518</v>
      </c>
      <c r="AA446" s="305"/>
      <c r="AB446" s="305"/>
      <c r="AC446" s="305"/>
      <c r="AD446" s="305"/>
      <c r="AE446" s="424"/>
    </row>
    <row r="447" spans="5:31" ht="14.15" customHeight="1" x14ac:dyDescent="0.35">
      <c r="E447" s="192">
        <v>439</v>
      </c>
      <c r="F447" s="192" t="s">
        <v>267</v>
      </c>
      <c r="G447" s="192" t="s">
        <v>385</v>
      </c>
      <c r="H447" s="192" t="s">
        <v>385</v>
      </c>
      <c r="I447" s="192" t="s">
        <v>224</v>
      </c>
      <c r="J447" s="192" t="s">
        <v>1737</v>
      </c>
      <c r="K447" s="192" t="s">
        <v>339</v>
      </c>
      <c r="L447" s="192" t="str">
        <f t="shared" si="9"/>
        <v>Supply ChainSupply chainSupply chainAgriculture, forestry and fishingProducts of forestry, logging and related servicesNaN</v>
      </c>
      <c r="M447" s="192" t="s">
        <v>1517</v>
      </c>
      <c r="N447" s="192" t="s">
        <v>383</v>
      </c>
      <c r="O447" s="305"/>
      <c r="P447" s="372"/>
      <c r="Q447" s="377"/>
      <c r="R447" s="305"/>
      <c r="S447" s="304">
        <v>0.1116884827032206</v>
      </c>
      <c r="T447" s="305"/>
      <c r="U447" s="305"/>
      <c r="V447" s="305"/>
      <c r="W447" s="305"/>
      <c r="X447" s="305"/>
      <c r="Y447" s="305"/>
      <c r="Z447" s="384" t="s">
        <v>1519</v>
      </c>
      <c r="AA447" s="305"/>
      <c r="AB447" s="305"/>
      <c r="AC447" s="305"/>
      <c r="AD447" s="305"/>
      <c r="AE447" s="424"/>
    </row>
    <row r="448" spans="5:31" ht="14.15" customHeight="1" x14ac:dyDescent="0.35">
      <c r="E448" s="192">
        <v>440</v>
      </c>
      <c r="F448" s="192" t="s">
        <v>267</v>
      </c>
      <c r="G448" s="192" t="s">
        <v>385</v>
      </c>
      <c r="H448" s="192" t="s">
        <v>385</v>
      </c>
      <c r="I448" s="192" t="s">
        <v>224</v>
      </c>
      <c r="J448" s="192" t="s">
        <v>1738</v>
      </c>
      <c r="K448" s="192" t="s">
        <v>339</v>
      </c>
      <c r="L448" s="192" t="str">
        <f t="shared" si="9"/>
        <v>Supply ChainSupply chainSupply chainAgriculture, forestry and fishingFish and other fishing products; aquaculture products; support services to fishingNaN</v>
      </c>
      <c r="M448" s="192" t="s">
        <v>1517</v>
      </c>
      <c r="N448" s="192" t="s">
        <v>383</v>
      </c>
      <c r="O448" s="305"/>
      <c r="P448" s="372"/>
      <c r="Q448" s="377"/>
      <c r="R448" s="305"/>
      <c r="S448" s="304">
        <v>0.7416999100047067</v>
      </c>
      <c r="T448" s="305"/>
      <c r="U448" s="305"/>
      <c r="V448" s="305"/>
      <c r="W448" s="305"/>
      <c r="X448" s="305"/>
      <c r="Y448" s="305"/>
      <c r="Z448" s="384" t="s">
        <v>1520</v>
      </c>
      <c r="AA448" s="305"/>
      <c r="AB448" s="305"/>
      <c r="AC448" s="305"/>
      <c r="AD448" s="305"/>
      <c r="AE448" s="424"/>
    </row>
    <row r="449" spans="5:31" ht="14.15" customHeight="1" x14ac:dyDescent="0.35">
      <c r="E449" s="192">
        <v>441</v>
      </c>
      <c r="F449" s="192" t="s">
        <v>267</v>
      </c>
      <c r="G449" s="192" t="s">
        <v>385</v>
      </c>
      <c r="H449" s="192" t="s">
        <v>385</v>
      </c>
      <c r="I449" s="192" t="s">
        <v>225</v>
      </c>
      <c r="J449" s="192" t="s">
        <v>1739</v>
      </c>
      <c r="K449" s="192" t="s">
        <v>339</v>
      </c>
      <c r="L449" s="192" t="str">
        <f t="shared" si="9"/>
        <v>Supply ChainSupply chainSupply chainMining and quarryingCoal and ligniteNaN</v>
      </c>
      <c r="M449" s="192" t="s">
        <v>1517</v>
      </c>
      <c r="N449" s="192" t="s">
        <v>383</v>
      </c>
      <c r="O449" s="305"/>
      <c r="P449" s="372"/>
      <c r="Q449" s="377"/>
      <c r="R449" s="305"/>
      <c r="S449" s="304">
        <v>1.197833716885224</v>
      </c>
      <c r="T449" s="305"/>
      <c r="U449" s="305"/>
      <c r="V449" s="305"/>
      <c r="W449" s="305"/>
      <c r="X449" s="305"/>
      <c r="Y449" s="305"/>
      <c r="Z449" s="384" t="s">
        <v>1521</v>
      </c>
      <c r="AA449" s="305"/>
      <c r="AB449" s="305"/>
      <c r="AC449" s="305"/>
      <c r="AD449" s="305"/>
      <c r="AE449" s="424"/>
    </row>
    <row r="450" spans="5:31" ht="14.15" customHeight="1" x14ac:dyDescent="0.35">
      <c r="E450" s="192">
        <v>442</v>
      </c>
      <c r="F450" s="192" t="s">
        <v>267</v>
      </c>
      <c r="G450" s="192" t="s">
        <v>385</v>
      </c>
      <c r="H450" s="192" t="s">
        <v>385</v>
      </c>
      <c r="I450" s="192" t="s">
        <v>225</v>
      </c>
      <c r="J450" s="192" t="s">
        <v>1740</v>
      </c>
      <c r="K450" s="192" t="s">
        <v>339</v>
      </c>
      <c r="L450" s="192" t="str">
        <f t="shared" si="9"/>
        <v>Supply ChainSupply chainSupply chainMining and quarryingCrude petroleum and natural gasNaN</v>
      </c>
      <c r="M450" s="192" t="s">
        <v>1517</v>
      </c>
      <c r="N450" s="192" t="s">
        <v>383</v>
      </c>
      <c r="O450" s="305"/>
      <c r="P450" s="372"/>
      <c r="Q450" s="377"/>
      <c r="R450" s="305"/>
      <c r="S450" s="304">
        <v>0.50956370886147484</v>
      </c>
      <c r="T450" s="305"/>
      <c r="U450" s="305"/>
      <c r="V450" s="305"/>
      <c r="W450" s="305"/>
      <c r="X450" s="305"/>
      <c r="Y450" s="305"/>
      <c r="Z450" s="384" t="s">
        <v>1522</v>
      </c>
      <c r="AA450" s="305"/>
      <c r="AB450" s="305"/>
      <c r="AC450" s="305"/>
      <c r="AD450" s="305"/>
      <c r="AE450" s="424"/>
    </row>
    <row r="451" spans="5:31" ht="14.15" customHeight="1" x14ac:dyDescent="0.35">
      <c r="E451" s="192">
        <v>443</v>
      </c>
      <c r="F451" s="192" t="s">
        <v>267</v>
      </c>
      <c r="G451" s="192" t="s">
        <v>385</v>
      </c>
      <c r="H451" s="192" t="s">
        <v>385</v>
      </c>
      <c r="I451" s="192" t="s">
        <v>225</v>
      </c>
      <c r="J451" s="192" t="s">
        <v>1741</v>
      </c>
      <c r="K451" s="192" t="s">
        <v>339</v>
      </c>
      <c r="L451" s="192" t="str">
        <f t="shared" si="9"/>
        <v>Supply ChainSupply chainSupply chainMining and quarryingOther mining and quarrying productsNaN</v>
      </c>
      <c r="M451" s="192" t="s">
        <v>1517</v>
      </c>
      <c r="N451" s="192" t="s">
        <v>383</v>
      </c>
      <c r="O451" s="305"/>
      <c r="P451" s="372"/>
      <c r="Q451" s="377"/>
      <c r="R451" s="305"/>
      <c r="S451" s="304">
        <v>0.83680590081278006</v>
      </c>
      <c r="T451" s="305"/>
      <c r="U451" s="305"/>
      <c r="V451" s="305"/>
      <c r="W451" s="305"/>
      <c r="X451" s="305"/>
      <c r="Y451" s="305"/>
      <c r="Z451" s="384" t="s">
        <v>1523</v>
      </c>
      <c r="AA451" s="305"/>
      <c r="AB451" s="305"/>
      <c r="AC451" s="305"/>
      <c r="AD451" s="305"/>
      <c r="AE451" s="424"/>
    </row>
    <row r="452" spans="5:31" ht="14.15" customHeight="1" x14ac:dyDescent="0.35">
      <c r="E452" s="192">
        <v>444</v>
      </c>
      <c r="F452" s="192" t="s">
        <v>267</v>
      </c>
      <c r="G452" s="192" t="s">
        <v>385</v>
      </c>
      <c r="H452" s="192" t="s">
        <v>385</v>
      </c>
      <c r="I452" s="192" t="s">
        <v>225</v>
      </c>
      <c r="J452" s="192" t="s">
        <v>1742</v>
      </c>
      <c r="K452" s="192" t="s">
        <v>339</v>
      </c>
      <c r="L452" s="192" t="str">
        <f t="shared" si="9"/>
        <v>Supply ChainSupply chainSupply chainMining and quarryingMining support servicesNaN</v>
      </c>
      <c r="M452" s="192" t="s">
        <v>1517</v>
      </c>
      <c r="N452" s="192" t="s">
        <v>383</v>
      </c>
      <c r="O452" s="305"/>
      <c r="P452" s="372"/>
      <c r="Q452" s="377"/>
      <c r="R452" s="305"/>
      <c r="S452" s="304">
        <v>2.079857059958147</v>
      </c>
      <c r="T452" s="305"/>
      <c r="U452" s="305"/>
      <c r="V452" s="305"/>
      <c r="W452" s="305"/>
      <c r="X452" s="305"/>
      <c r="Y452" s="305"/>
      <c r="Z452" s="384" t="s">
        <v>1524</v>
      </c>
      <c r="AA452" s="305"/>
      <c r="AB452" s="305"/>
      <c r="AC452" s="305"/>
      <c r="AD452" s="305"/>
      <c r="AE452" s="424"/>
    </row>
    <row r="453" spans="5:31" ht="14.15" customHeight="1" x14ac:dyDescent="0.35">
      <c r="E453" s="192">
        <v>445</v>
      </c>
      <c r="F453" s="192" t="s">
        <v>267</v>
      </c>
      <c r="G453" s="192" t="s">
        <v>385</v>
      </c>
      <c r="H453" s="192" t="s">
        <v>385</v>
      </c>
      <c r="I453" s="192" t="s">
        <v>226</v>
      </c>
      <c r="J453" s="192" t="s">
        <v>1743</v>
      </c>
      <c r="K453" s="192" t="s">
        <v>339</v>
      </c>
      <c r="L453" s="192" t="str">
        <f t="shared" si="9"/>
        <v>Supply ChainSupply chainSupply chainManufacturingPreserved meat and meat productsNaN</v>
      </c>
      <c r="M453" s="192" t="s">
        <v>1517</v>
      </c>
      <c r="N453" s="192" t="s">
        <v>383</v>
      </c>
      <c r="O453" s="305"/>
      <c r="P453" s="372"/>
      <c r="Q453" s="377"/>
      <c r="R453" s="305"/>
      <c r="S453" s="304">
        <v>0.8705980487290681</v>
      </c>
      <c r="T453" s="305"/>
      <c r="U453" s="305"/>
      <c r="V453" s="305"/>
      <c r="W453" s="305"/>
      <c r="X453" s="305"/>
      <c r="Y453" s="305"/>
      <c r="Z453" s="384" t="s">
        <v>1525</v>
      </c>
      <c r="AA453" s="305"/>
      <c r="AB453" s="305"/>
      <c r="AC453" s="305"/>
      <c r="AD453" s="305"/>
      <c r="AE453" s="424"/>
    </row>
    <row r="454" spans="5:31" ht="14.15" customHeight="1" x14ac:dyDescent="0.35">
      <c r="E454" s="192">
        <v>446</v>
      </c>
      <c r="F454" s="192" t="s">
        <v>267</v>
      </c>
      <c r="G454" s="192" t="s">
        <v>385</v>
      </c>
      <c r="H454" s="192" t="s">
        <v>385</v>
      </c>
      <c r="I454" s="192" t="s">
        <v>226</v>
      </c>
      <c r="J454" s="192" t="s">
        <v>1744</v>
      </c>
      <c r="K454" s="192" t="s">
        <v>339</v>
      </c>
      <c r="L454" s="192" t="str">
        <f t="shared" si="9"/>
        <v>Supply ChainSupply chainSupply chainManufacturingProcessed and preserved fish, crustaceans, molluscs, fruit and vegetablesNaN</v>
      </c>
      <c r="M454" s="192" t="s">
        <v>1517</v>
      </c>
      <c r="N454" s="192" t="s">
        <v>383</v>
      </c>
      <c r="O454" s="305"/>
      <c r="P454" s="372"/>
      <c r="Q454" s="377"/>
      <c r="R454" s="305"/>
      <c r="S454" s="304">
        <v>0.83192564000359004</v>
      </c>
      <c r="T454" s="305"/>
      <c r="U454" s="305"/>
      <c r="V454" s="305"/>
      <c r="W454" s="305"/>
      <c r="X454" s="305"/>
      <c r="Y454" s="305"/>
      <c r="Z454" s="384" t="s">
        <v>1526</v>
      </c>
      <c r="AA454" s="305"/>
      <c r="AB454" s="305"/>
      <c r="AC454" s="305"/>
      <c r="AD454" s="305"/>
      <c r="AE454" s="424"/>
    </row>
    <row r="455" spans="5:31" ht="14.15" customHeight="1" x14ac:dyDescent="0.35">
      <c r="E455" s="192">
        <v>447</v>
      </c>
      <c r="F455" s="192" t="s">
        <v>267</v>
      </c>
      <c r="G455" s="192" t="s">
        <v>385</v>
      </c>
      <c r="H455" s="192" t="s">
        <v>385</v>
      </c>
      <c r="I455" s="192" t="s">
        <v>226</v>
      </c>
      <c r="J455" s="192" t="s">
        <v>1745</v>
      </c>
      <c r="K455" s="192" t="s">
        <v>339</v>
      </c>
      <c r="L455" s="192" t="str">
        <f t="shared" si="9"/>
        <v>Supply ChainSupply chainSupply chainManufacturingVegetable and animal oils and fatsNaN</v>
      </c>
      <c r="M455" s="192" t="s">
        <v>1517</v>
      </c>
      <c r="N455" s="192" t="s">
        <v>383</v>
      </c>
      <c r="O455" s="305"/>
      <c r="P455" s="372"/>
      <c r="Q455" s="377"/>
      <c r="R455" s="305"/>
      <c r="S455" s="304">
        <v>0.87178225706276868</v>
      </c>
      <c r="T455" s="305"/>
      <c r="U455" s="305"/>
      <c r="V455" s="305"/>
      <c r="W455" s="305"/>
      <c r="X455" s="305"/>
      <c r="Y455" s="305"/>
      <c r="Z455" s="384" t="s">
        <v>1527</v>
      </c>
      <c r="AA455" s="305"/>
      <c r="AB455" s="305"/>
      <c r="AC455" s="305"/>
      <c r="AD455" s="305"/>
      <c r="AE455" s="424"/>
    </row>
    <row r="456" spans="5:31" ht="14.15" customHeight="1" x14ac:dyDescent="0.35">
      <c r="E456" s="192">
        <v>448</v>
      </c>
      <c r="F456" s="192" t="s">
        <v>267</v>
      </c>
      <c r="G456" s="192" t="s">
        <v>385</v>
      </c>
      <c r="H456" s="192" t="s">
        <v>385</v>
      </c>
      <c r="I456" s="192" t="s">
        <v>226</v>
      </c>
      <c r="J456" s="192" t="s">
        <v>1746</v>
      </c>
      <c r="K456" s="192" t="s">
        <v>339</v>
      </c>
      <c r="L456" s="192" t="str">
        <f t="shared" si="9"/>
        <v>Supply ChainSupply chainSupply chainManufacturingDairy productsNaN</v>
      </c>
      <c r="M456" s="192" t="s">
        <v>1517</v>
      </c>
      <c r="N456" s="192" t="s">
        <v>383</v>
      </c>
      <c r="O456" s="305"/>
      <c r="P456" s="372"/>
      <c r="Q456" s="377"/>
      <c r="R456" s="305"/>
      <c r="S456" s="304">
        <v>1.1264360875028949</v>
      </c>
      <c r="T456" s="305"/>
      <c r="U456" s="305"/>
      <c r="V456" s="305"/>
      <c r="W456" s="305"/>
      <c r="X456" s="305"/>
      <c r="Y456" s="305"/>
      <c r="Z456" s="384" t="s">
        <v>1528</v>
      </c>
      <c r="AA456" s="305"/>
      <c r="AB456" s="305"/>
      <c r="AC456" s="305"/>
      <c r="AD456" s="305"/>
      <c r="AE456" s="424"/>
    </row>
    <row r="457" spans="5:31" ht="14.15" customHeight="1" x14ac:dyDescent="0.35">
      <c r="E457" s="192">
        <v>449</v>
      </c>
      <c r="F457" s="192" t="s">
        <v>267</v>
      </c>
      <c r="G457" s="192" t="s">
        <v>385</v>
      </c>
      <c r="H457" s="192" t="s">
        <v>385</v>
      </c>
      <c r="I457" s="192" t="s">
        <v>226</v>
      </c>
      <c r="J457" s="192" t="s">
        <v>1747</v>
      </c>
      <c r="K457" s="192" t="s">
        <v>339</v>
      </c>
      <c r="L457" s="192" t="str">
        <f t="shared" si="9"/>
        <v>Supply ChainSupply chainSupply chainManufacturingGrain mill products, starches and starch productsNaN</v>
      </c>
      <c r="M457" s="192" t="s">
        <v>1517</v>
      </c>
      <c r="N457" s="192" t="s">
        <v>383</v>
      </c>
      <c r="O457" s="305"/>
      <c r="P457" s="372"/>
      <c r="Q457" s="377"/>
      <c r="R457" s="305"/>
      <c r="S457" s="304">
        <v>0.84797432685134733</v>
      </c>
      <c r="T457" s="305"/>
      <c r="U457" s="305"/>
      <c r="V457" s="305"/>
      <c r="W457" s="305"/>
      <c r="X457" s="305"/>
      <c r="Y457" s="305"/>
      <c r="Z457" s="384" t="s">
        <v>1529</v>
      </c>
      <c r="AA457" s="305"/>
      <c r="AB457" s="305"/>
      <c r="AC457" s="305"/>
      <c r="AD457" s="305"/>
      <c r="AE457" s="424"/>
    </row>
    <row r="458" spans="5:31" ht="14.15" customHeight="1" x14ac:dyDescent="0.35">
      <c r="E458" s="192">
        <v>450</v>
      </c>
      <c r="F458" s="192" t="s">
        <v>267</v>
      </c>
      <c r="G458" s="192" t="s">
        <v>385</v>
      </c>
      <c r="H458" s="192" t="s">
        <v>385</v>
      </c>
      <c r="I458" s="192" t="s">
        <v>226</v>
      </c>
      <c r="J458" s="192" t="s">
        <v>1748</v>
      </c>
      <c r="K458" s="192" t="s">
        <v>339</v>
      </c>
      <c r="L458" s="192" t="str">
        <f t="shared" si="9"/>
        <v>Supply ChainSupply chainSupply chainManufacturingBakery and farinaceous productsNaN</v>
      </c>
      <c r="M458" s="192" t="s">
        <v>1517</v>
      </c>
      <c r="N458" s="192" t="s">
        <v>383</v>
      </c>
      <c r="O458" s="305"/>
      <c r="P458" s="372"/>
      <c r="Q458" s="377"/>
      <c r="R458" s="305"/>
      <c r="S458" s="304">
        <v>0.56020932006170576</v>
      </c>
      <c r="T458" s="305"/>
      <c r="U458" s="305"/>
      <c r="V458" s="305"/>
      <c r="W458" s="305"/>
      <c r="X458" s="305"/>
      <c r="Y458" s="305"/>
      <c r="Z458" s="384" t="s">
        <v>1530</v>
      </c>
      <c r="AA458" s="305"/>
      <c r="AB458" s="305"/>
      <c r="AC458" s="305"/>
      <c r="AD458" s="305"/>
      <c r="AE458" s="424"/>
    </row>
    <row r="459" spans="5:31" ht="14.15" customHeight="1" x14ac:dyDescent="0.35">
      <c r="E459" s="192">
        <v>451</v>
      </c>
      <c r="F459" s="192" t="s">
        <v>267</v>
      </c>
      <c r="G459" s="192" t="s">
        <v>385</v>
      </c>
      <c r="H459" s="192" t="s">
        <v>385</v>
      </c>
      <c r="I459" s="192" t="s">
        <v>226</v>
      </c>
      <c r="J459" s="192" t="s">
        <v>1749</v>
      </c>
      <c r="K459" s="192" t="s">
        <v>339</v>
      </c>
      <c r="L459" s="192" t="str">
        <f t="shared" si="9"/>
        <v>Supply ChainSupply chainSupply chainManufacturingOther food productsNaN</v>
      </c>
      <c r="M459" s="192" t="s">
        <v>1517</v>
      </c>
      <c r="N459" s="192" t="s">
        <v>383</v>
      </c>
      <c r="O459" s="305"/>
      <c r="P459" s="372"/>
      <c r="Q459" s="377"/>
      <c r="R459" s="305"/>
      <c r="S459" s="304">
        <v>0.7974827772032711</v>
      </c>
      <c r="T459" s="305"/>
      <c r="U459" s="305"/>
      <c r="V459" s="305"/>
      <c r="W459" s="305"/>
      <c r="X459" s="305"/>
      <c r="Y459" s="305"/>
      <c r="Z459" s="384" t="s">
        <v>1531</v>
      </c>
      <c r="AA459" s="305"/>
      <c r="AB459" s="305"/>
      <c r="AC459" s="305"/>
      <c r="AD459" s="305"/>
      <c r="AE459" s="424"/>
    </row>
    <row r="460" spans="5:31" ht="14.15" customHeight="1" x14ac:dyDescent="0.35">
      <c r="E460" s="192">
        <v>452</v>
      </c>
      <c r="F460" s="192" t="s">
        <v>267</v>
      </c>
      <c r="G460" s="192" t="s">
        <v>385</v>
      </c>
      <c r="H460" s="192" t="s">
        <v>385</v>
      </c>
      <c r="I460" s="192" t="s">
        <v>226</v>
      </c>
      <c r="J460" s="192" t="s">
        <v>1750</v>
      </c>
      <c r="K460" s="192" t="s">
        <v>339</v>
      </c>
      <c r="L460" s="192" t="str">
        <f t="shared" si="9"/>
        <v>Supply ChainSupply chainSupply chainManufacturingPrepared animal feedsNaN</v>
      </c>
      <c r="M460" s="192" t="s">
        <v>1517</v>
      </c>
      <c r="N460" s="192" t="s">
        <v>383</v>
      </c>
      <c r="O460" s="305"/>
      <c r="P460" s="372"/>
      <c r="Q460" s="377"/>
      <c r="R460" s="305"/>
      <c r="S460" s="304">
        <v>1.1474002338277851</v>
      </c>
      <c r="T460" s="305"/>
      <c r="U460" s="305"/>
      <c r="V460" s="305"/>
      <c r="W460" s="305"/>
      <c r="X460" s="305"/>
      <c r="Y460" s="305"/>
      <c r="Z460" s="384">
        <v>10.9</v>
      </c>
      <c r="AA460" s="305"/>
      <c r="AB460" s="305"/>
      <c r="AC460" s="305"/>
      <c r="AD460" s="305"/>
      <c r="AE460" s="424"/>
    </row>
    <row r="461" spans="5:31" ht="14.15" customHeight="1" x14ac:dyDescent="0.35">
      <c r="E461" s="192">
        <v>453</v>
      </c>
      <c r="F461" s="192" t="s">
        <v>267</v>
      </c>
      <c r="G461" s="192" t="s">
        <v>385</v>
      </c>
      <c r="H461" s="192" t="s">
        <v>385</v>
      </c>
      <c r="I461" s="192" t="s">
        <v>226</v>
      </c>
      <c r="J461" s="192" t="s">
        <v>1751</v>
      </c>
      <c r="K461" s="192" t="s">
        <v>339</v>
      </c>
      <c r="L461" s="192" t="str">
        <f t="shared" si="9"/>
        <v>Supply ChainSupply chainSupply chainManufacturingAlcoholic beveragesNaN</v>
      </c>
      <c r="M461" s="192" t="s">
        <v>1517</v>
      </c>
      <c r="N461" s="192" t="s">
        <v>383</v>
      </c>
      <c r="O461" s="305"/>
      <c r="P461" s="372"/>
      <c r="Q461" s="377"/>
      <c r="R461" s="305"/>
      <c r="S461" s="304">
        <v>0.92863863938042879</v>
      </c>
      <c r="T461" s="305"/>
      <c r="U461" s="305"/>
      <c r="V461" s="305"/>
      <c r="W461" s="305"/>
      <c r="X461" s="305"/>
      <c r="Y461" s="305"/>
      <c r="Z461" s="384" t="s">
        <v>1532</v>
      </c>
      <c r="AA461" s="305"/>
      <c r="AB461" s="305"/>
      <c r="AC461" s="305"/>
      <c r="AD461" s="305"/>
      <c r="AE461" s="424"/>
    </row>
    <row r="462" spans="5:31" ht="14.15" customHeight="1" x14ac:dyDescent="0.35">
      <c r="E462" s="192">
        <v>454</v>
      </c>
      <c r="F462" s="192" t="s">
        <v>267</v>
      </c>
      <c r="G462" s="192" t="s">
        <v>385</v>
      </c>
      <c r="H462" s="192" t="s">
        <v>385</v>
      </c>
      <c r="I462" s="192" t="s">
        <v>226</v>
      </c>
      <c r="J462" s="192" t="s">
        <v>1752</v>
      </c>
      <c r="K462" s="192" t="s">
        <v>339</v>
      </c>
      <c r="L462" s="192" t="str">
        <f t="shared" si="9"/>
        <v>Supply ChainSupply chainSupply chainManufacturingSoft drinksNaN</v>
      </c>
      <c r="M462" s="192" t="s">
        <v>1517</v>
      </c>
      <c r="N462" s="192" t="s">
        <v>383</v>
      </c>
      <c r="O462" s="305"/>
      <c r="P462" s="372"/>
      <c r="Q462" s="377"/>
      <c r="R462" s="305"/>
      <c r="S462" s="304">
        <v>0.56482354213836505</v>
      </c>
      <c r="T462" s="305"/>
      <c r="U462" s="305"/>
      <c r="V462" s="305"/>
      <c r="W462" s="305"/>
      <c r="X462" s="305"/>
      <c r="Y462" s="305"/>
      <c r="Z462" s="384">
        <v>11.07</v>
      </c>
      <c r="AA462" s="305"/>
      <c r="AB462" s="305"/>
      <c r="AC462" s="305"/>
      <c r="AD462" s="305"/>
      <c r="AE462" s="424"/>
    </row>
    <row r="463" spans="5:31" ht="14.15" customHeight="1" x14ac:dyDescent="0.35">
      <c r="E463" s="192">
        <v>455</v>
      </c>
      <c r="F463" s="192" t="s">
        <v>267</v>
      </c>
      <c r="G463" s="192" t="s">
        <v>385</v>
      </c>
      <c r="H463" s="192" t="s">
        <v>385</v>
      </c>
      <c r="I463" s="192" t="s">
        <v>226</v>
      </c>
      <c r="J463" s="192" t="s">
        <v>1753</v>
      </c>
      <c r="K463" s="192" t="s">
        <v>339</v>
      </c>
      <c r="L463" s="192" t="str">
        <f t="shared" ref="L463:L526" si="10">_xlfn.CONCAT(F463:K463)</f>
        <v>Supply ChainSupply chainSupply chainManufacturingTobacco productsNaN</v>
      </c>
      <c r="M463" s="192" t="s">
        <v>1517</v>
      </c>
      <c r="N463" s="192" t="s">
        <v>383</v>
      </c>
      <c r="O463" s="305"/>
      <c r="P463" s="372"/>
      <c r="Q463" s="377"/>
      <c r="R463" s="305"/>
      <c r="S463" s="304">
        <v>0.83346932987417377</v>
      </c>
      <c r="T463" s="305"/>
      <c r="U463" s="305"/>
      <c r="V463" s="305"/>
      <c r="W463" s="305"/>
      <c r="X463" s="305"/>
      <c r="Y463" s="305"/>
      <c r="Z463" s="384">
        <v>12</v>
      </c>
      <c r="AA463" s="305"/>
      <c r="AB463" s="305"/>
      <c r="AC463" s="305"/>
      <c r="AD463" s="305"/>
      <c r="AE463" s="424"/>
    </row>
    <row r="464" spans="5:31" ht="14.15" customHeight="1" x14ac:dyDescent="0.35">
      <c r="E464" s="192">
        <v>456</v>
      </c>
      <c r="F464" s="192" t="s">
        <v>267</v>
      </c>
      <c r="G464" s="192" t="s">
        <v>385</v>
      </c>
      <c r="H464" s="192" t="s">
        <v>385</v>
      </c>
      <c r="I464" s="192" t="s">
        <v>226</v>
      </c>
      <c r="J464" s="192" t="s">
        <v>1754</v>
      </c>
      <c r="K464" s="192" t="s">
        <v>339</v>
      </c>
      <c r="L464" s="192" t="str">
        <f t="shared" si="10"/>
        <v>Supply ChainSupply chainSupply chainManufacturingTextilesNaN</v>
      </c>
      <c r="M464" s="192" t="s">
        <v>1517</v>
      </c>
      <c r="N464" s="192" t="s">
        <v>383</v>
      </c>
      <c r="O464" s="305"/>
      <c r="P464" s="372"/>
      <c r="Q464" s="377"/>
      <c r="R464" s="305"/>
      <c r="S464" s="304">
        <v>0.78267539602731417</v>
      </c>
      <c r="T464" s="305"/>
      <c r="U464" s="305"/>
      <c r="V464" s="305"/>
      <c r="W464" s="305"/>
      <c r="X464" s="305"/>
      <c r="Y464" s="305"/>
      <c r="Z464" s="384">
        <v>13</v>
      </c>
      <c r="AA464" s="305"/>
      <c r="AB464" s="305"/>
      <c r="AC464" s="305"/>
      <c r="AD464" s="305"/>
      <c r="AE464" s="424"/>
    </row>
    <row r="465" spans="5:31" ht="14.15" customHeight="1" x14ac:dyDescent="0.35">
      <c r="E465" s="192">
        <v>457</v>
      </c>
      <c r="F465" s="192" t="s">
        <v>267</v>
      </c>
      <c r="G465" s="192" t="s">
        <v>385</v>
      </c>
      <c r="H465" s="192" t="s">
        <v>385</v>
      </c>
      <c r="I465" s="192" t="s">
        <v>226</v>
      </c>
      <c r="J465" s="192" t="s">
        <v>1755</v>
      </c>
      <c r="K465" s="192" t="s">
        <v>339</v>
      </c>
      <c r="L465" s="192" t="str">
        <f t="shared" si="10"/>
        <v>Supply ChainSupply chainSupply chainManufacturingWearing apparelNaN</v>
      </c>
      <c r="M465" s="192" t="s">
        <v>1517</v>
      </c>
      <c r="N465" s="192" t="s">
        <v>383</v>
      </c>
      <c r="O465" s="305"/>
      <c r="P465" s="372"/>
      <c r="Q465" s="377"/>
      <c r="R465" s="305"/>
      <c r="S465" s="304">
        <v>0.66780015224564582</v>
      </c>
      <c r="T465" s="305"/>
      <c r="U465" s="305"/>
      <c r="V465" s="305"/>
      <c r="W465" s="305"/>
      <c r="X465" s="305"/>
      <c r="Y465" s="305"/>
      <c r="Z465" s="384">
        <v>14</v>
      </c>
      <c r="AA465" s="305"/>
      <c r="AB465" s="305"/>
      <c r="AC465" s="305"/>
      <c r="AD465" s="305"/>
      <c r="AE465" s="424"/>
    </row>
    <row r="466" spans="5:31" ht="14.15" customHeight="1" x14ac:dyDescent="0.35">
      <c r="E466" s="192">
        <v>458</v>
      </c>
      <c r="F466" s="192" t="s">
        <v>267</v>
      </c>
      <c r="G466" s="192" t="s">
        <v>385</v>
      </c>
      <c r="H466" s="192" t="s">
        <v>385</v>
      </c>
      <c r="I466" s="192" t="s">
        <v>226</v>
      </c>
      <c r="J466" s="192" t="s">
        <v>1756</v>
      </c>
      <c r="K466" s="192" t="s">
        <v>339</v>
      </c>
      <c r="L466" s="192" t="str">
        <f t="shared" si="10"/>
        <v>Supply ChainSupply chainSupply chainManufacturingLeather and related productsNaN</v>
      </c>
      <c r="M466" s="192" t="s">
        <v>1517</v>
      </c>
      <c r="N466" s="192" t="s">
        <v>383</v>
      </c>
      <c r="O466" s="305"/>
      <c r="P466" s="372"/>
      <c r="Q466" s="377"/>
      <c r="R466" s="305"/>
      <c r="S466" s="304">
        <v>0.74831887917517137</v>
      </c>
      <c r="T466" s="305"/>
      <c r="U466" s="305"/>
      <c r="V466" s="305"/>
      <c r="W466" s="305"/>
      <c r="X466" s="305"/>
      <c r="Y466" s="305"/>
      <c r="Z466" s="384">
        <v>15</v>
      </c>
      <c r="AA466" s="305"/>
      <c r="AB466" s="305"/>
      <c r="AC466" s="305"/>
      <c r="AD466" s="305"/>
      <c r="AE466" s="424"/>
    </row>
    <row r="467" spans="5:31" ht="14.15" customHeight="1" x14ac:dyDescent="0.35">
      <c r="E467" s="192">
        <v>459</v>
      </c>
      <c r="F467" s="192" t="s">
        <v>267</v>
      </c>
      <c r="G467" s="192" t="s">
        <v>385</v>
      </c>
      <c r="H467" s="192" t="s">
        <v>385</v>
      </c>
      <c r="I467" s="192" t="s">
        <v>226</v>
      </c>
      <c r="J467" s="192" t="s">
        <v>386</v>
      </c>
      <c r="K467" s="192" t="s">
        <v>339</v>
      </c>
      <c r="L467" s="192" t="str">
        <f t="shared" si="10"/>
        <v>Supply ChainSupply chainSupply chainManufacturingWood and of products of wood and cork, except furniture; articles of straw and plaiting materialsNaN</v>
      </c>
      <c r="M467" s="192" t="s">
        <v>1517</v>
      </c>
      <c r="N467" s="192" t="s">
        <v>383</v>
      </c>
      <c r="O467" s="305"/>
      <c r="P467" s="372"/>
      <c r="Q467" s="377"/>
      <c r="R467" s="305"/>
      <c r="S467" s="304">
        <v>0.46932848942184763</v>
      </c>
      <c r="T467" s="305"/>
      <c r="U467" s="305"/>
      <c r="V467" s="305"/>
      <c r="W467" s="305"/>
      <c r="X467" s="305"/>
      <c r="Y467" s="305"/>
      <c r="Z467" s="384">
        <v>16</v>
      </c>
      <c r="AA467" s="305"/>
      <c r="AB467" s="305"/>
      <c r="AC467" s="305"/>
      <c r="AD467" s="305"/>
      <c r="AE467" s="424"/>
    </row>
    <row r="468" spans="5:31" ht="14.15" customHeight="1" x14ac:dyDescent="0.35">
      <c r="E468" s="192">
        <v>460</v>
      </c>
      <c r="F468" s="192" t="s">
        <v>267</v>
      </c>
      <c r="G468" s="192" t="s">
        <v>385</v>
      </c>
      <c r="H468" s="192" t="s">
        <v>385</v>
      </c>
      <c r="I468" s="192" t="s">
        <v>226</v>
      </c>
      <c r="J468" s="192" t="s">
        <v>1757</v>
      </c>
      <c r="K468" s="192" t="s">
        <v>339</v>
      </c>
      <c r="L468" s="192" t="str">
        <f t="shared" si="10"/>
        <v>Supply ChainSupply chainSupply chainManufacturingPaper and paper productsNaN</v>
      </c>
      <c r="M468" s="192" t="s">
        <v>1517</v>
      </c>
      <c r="N468" s="192" t="s">
        <v>383</v>
      </c>
      <c r="O468" s="305"/>
      <c r="P468" s="372"/>
      <c r="Q468" s="377"/>
      <c r="R468" s="305"/>
      <c r="S468" s="304">
        <v>0.80499733889321012</v>
      </c>
      <c r="T468" s="305"/>
      <c r="U468" s="305"/>
      <c r="V468" s="305"/>
      <c r="W468" s="305"/>
      <c r="X468" s="305"/>
      <c r="Y468" s="305"/>
      <c r="Z468" s="384">
        <v>17</v>
      </c>
      <c r="AA468" s="305"/>
      <c r="AB468" s="305"/>
      <c r="AC468" s="305"/>
      <c r="AD468" s="305"/>
      <c r="AE468" s="424"/>
    </row>
    <row r="469" spans="5:31" ht="14.15" customHeight="1" x14ac:dyDescent="0.35">
      <c r="E469" s="192">
        <v>461</v>
      </c>
      <c r="F469" s="192" t="s">
        <v>267</v>
      </c>
      <c r="G469" s="192" t="s">
        <v>385</v>
      </c>
      <c r="H469" s="192" t="s">
        <v>385</v>
      </c>
      <c r="I469" s="192" t="s">
        <v>226</v>
      </c>
      <c r="J469" s="192" t="s">
        <v>1758</v>
      </c>
      <c r="K469" s="192" t="s">
        <v>339</v>
      </c>
      <c r="L469" s="192" t="str">
        <f t="shared" si="10"/>
        <v>Supply ChainSupply chainSupply chainManufacturingPrinting and recording servicesNaN</v>
      </c>
      <c r="M469" s="192" t="s">
        <v>1517</v>
      </c>
      <c r="N469" s="192" t="s">
        <v>383</v>
      </c>
      <c r="O469" s="305"/>
      <c r="P469" s="372"/>
      <c r="Q469" s="377"/>
      <c r="R469" s="305"/>
      <c r="S469" s="304">
        <v>0.41657012173614227</v>
      </c>
      <c r="T469" s="305"/>
      <c r="U469" s="305"/>
      <c r="V469" s="305"/>
      <c r="W469" s="305"/>
      <c r="X469" s="305"/>
      <c r="Y469" s="305"/>
      <c r="Z469" s="384">
        <v>18</v>
      </c>
      <c r="AA469" s="305"/>
      <c r="AB469" s="305"/>
      <c r="AC469" s="305"/>
      <c r="AD469" s="305"/>
      <c r="AE469" s="424"/>
    </row>
    <row r="470" spans="5:31" ht="14.15" customHeight="1" x14ac:dyDescent="0.35">
      <c r="E470" s="192">
        <v>462</v>
      </c>
      <c r="F470" s="192" t="s">
        <v>267</v>
      </c>
      <c r="G470" s="192" t="s">
        <v>385</v>
      </c>
      <c r="H470" s="192" t="s">
        <v>385</v>
      </c>
      <c r="I470" s="192" t="s">
        <v>226</v>
      </c>
      <c r="J470" s="192" t="s">
        <v>1759</v>
      </c>
      <c r="K470" s="192" t="s">
        <v>339</v>
      </c>
      <c r="L470" s="192" t="str">
        <f t="shared" si="10"/>
        <v>Supply ChainSupply chainSupply chainManufacturingCoke and refined petroleum productsNaN</v>
      </c>
      <c r="M470" s="192" t="s">
        <v>1517</v>
      </c>
      <c r="N470" s="192" t="s">
        <v>383</v>
      </c>
      <c r="O470" s="305"/>
      <c r="P470" s="372"/>
      <c r="Q470" s="377"/>
      <c r="R470" s="305"/>
      <c r="S470" s="304">
        <v>1.1495211210546621</v>
      </c>
      <c r="T470" s="305"/>
      <c r="U470" s="305"/>
      <c r="V470" s="305"/>
      <c r="W470" s="305"/>
      <c r="X470" s="305"/>
      <c r="Y470" s="305"/>
      <c r="Z470" s="384">
        <v>19</v>
      </c>
      <c r="AA470" s="305"/>
      <c r="AB470" s="305"/>
      <c r="AC470" s="305"/>
      <c r="AD470" s="305"/>
      <c r="AE470" s="424"/>
    </row>
    <row r="471" spans="5:31" ht="14.15" customHeight="1" x14ac:dyDescent="0.35">
      <c r="E471" s="192">
        <v>463</v>
      </c>
      <c r="F471" s="192" t="s">
        <v>267</v>
      </c>
      <c r="G471" s="192" t="s">
        <v>385</v>
      </c>
      <c r="H471" s="192" t="s">
        <v>385</v>
      </c>
      <c r="I471" s="192" t="s">
        <v>226</v>
      </c>
      <c r="J471" s="192" t="s">
        <v>1760</v>
      </c>
      <c r="K471" s="192" t="s">
        <v>339</v>
      </c>
      <c r="L471" s="192" t="str">
        <f t="shared" si="10"/>
        <v>Supply ChainSupply chainSupply chainManufacturingPaints, varnishes and similar coatings, printing ink and masticsNaN</v>
      </c>
      <c r="M471" s="192" t="s">
        <v>1517</v>
      </c>
      <c r="N471" s="192" t="s">
        <v>383</v>
      </c>
      <c r="O471" s="305"/>
      <c r="P471" s="372"/>
      <c r="Q471" s="377"/>
      <c r="R471" s="305"/>
      <c r="S471" s="304">
        <v>1.2121365496969749</v>
      </c>
      <c r="T471" s="305"/>
      <c r="U471" s="305"/>
      <c r="V471" s="305"/>
      <c r="W471" s="305"/>
      <c r="X471" s="305"/>
      <c r="Y471" s="305"/>
      <c r="Z471" s="384">
        <v>20.3</v>
      </c>
      <c r="AA471" s="305"/>
      <c r="AB471" s="305"/>
      <c r="AC471" s="305"/>
      <c r="AD471" s="305"/>
      <c r="AE471" s="424"/>
    </row>
    <row r="472" spans="5:31" ht="14.15" customHeight="1" x14ac:dyDescent="0.35">
      <c r="E472" s="192">
        <v>464</v>
      </c>
      <c r="F472" s="192" t="s">
        <v>267</v>
      </c>
      <c r="G472" s="192" t="s">
        <v>385</v>
      </c>
      <c r="H472" s="192" t="s">
        <v>385</v>
      </c>
      <c r="I472" s="192" t="s">
        <v>226</v>
      </c>
      <c r="J472" s="192" t="s">
        <v>1761</v>
      </c>
      <c r="K472" s="192" t="s">
        <v>339</v>
      </c>
      <c r="L472" s="192" t="str">
        <f t="shared" si="10"/>
        <v>Supply ChainSupply chainSupply chainManufacturingSoap and detergents, cleaning and polishing preparations, perfumes and toilet preparationsNaN</v>
      </c>
      <c r="M472" s="192" t="s">
        <v>1517</v>
      </c>
      <c r="N472" s="192" t="s">
        <v>383</v>
      </c>
      <c r="O472" s="305"/>
      <c r="P472" s="372"/>
      <c r="Q472" s="377"/>
      <c r="R472" s="305"/>
      <c r="S472" s="304">
        <v>0.83353959872284578</v>
      </c>
      <c r="T472" s="305"/>
      <c r="U472" s="305"/>
      <c r="V472" s="305"/>
      <c r="W472" s="305"/>
      <c r="X472" s="305"/>
      <c r="Y472" s="305"/>
      <c r="Z472" s="384">
        <v>20.399999999999999</v>
      </c>
      <c r="AA472" s="305"/>
      <c r="AB472" s="305"/>
      <c r="AC472" s="305"/>
      <c r="AD472" s="305"/>
      <c r="AE472" s="424"/>
    </row>
    <row r="473" spans="5:31" ht="14.15" customHeight="1" x14ac:dyDescent="0.35">
      <c r="E473" s="192">
        <v>465</v>
      </c>
      <c r="F473" s="192" t="s">
        <v>267</v>
      </c>
      <c r="G473" s="192" t="s">
        <v>385</v>
      </c>
      <c r="H473" s="192" t="s">
        <v>385</v>
      </c>
      <c r="I473" s="192" t="s">
        <v>226</v>
      </c>
      <c r="J473" s="192" t="s">
        <v>1762</v>
      </c>
      <c r="K473" s="192" t="s">
        <v>339</v>
      </c>
      <c r="L473" s="192" t="str">
        <f t="shared" si="10"/>
        <v>Supply ChainSupply chainSupply chainManufacturingOther chemical productsNaN</v>
      </c>
      <c r="M473" s="192" t="s">
        <v>1517</v>
      </c>
      <c r="N473" s="192" t="s">
        <v>383</v>
      </c>
      <c r="O473" s="305"/>
      <c r="P473" s="372"/>
      <c r="Q473" s="377"/>
      <c r="R473" s="305"/>
      <c r="S473" s="304">
        <v>0.59894331727902372</v>
      </c>
      <c r="T473" s="305"/>
      <c r="U473" s="305"/>
      <c r="V473" s="305"/>
      <c r="W473" s="305"/>
      <c r="X473" s="305"/>
      <c r="Y473" s="305"/>
      <c r="Z473" s="384" t="s">
        <v>1533</v>
      </c>
      <c r="AA473" s="305"/>
      <c r="AB473" s="305"/>
      <c r="AC473" s="305"/>
      <c r="AD473" s="305"/>
      <c r="AE473" s="424"/>
    </row>
    <row r="474" spans="5:31" ht="14.15" customHeight="1" x14ac:dyDescent="0.35">
      <c r="E474" s="192">
        <v>466</v>
      </c>
      <c r="F474" s="192" t="s">
        <v>267</v>
      </c>
      <c r="G474" s="192" t="s">
        <v>385</v>
      </c>
      <c r="H474" s="192" t="s">
        <v>385</v>
      </c>
      <c r="I474" s="192" t="s">
        <v>226</v>
      </c>
      <c r="J474" s="192" t="s">
        <v>1763</v>
      </c>
      <c r="K474" s="192" t="s">
        <v>339</v>
      </c>
      <c r="L474" s="192" t="str">
        <f t="shared" si="10"/>
        <v>Supply ChainSupply chainSupply chainManufacturingIndustrial gases, inorganics and fertilisers (all inorganic chemicals) - 20.11/13/15NaN</v>
      </c>
      <c r="M474" s="192" t="s">
        <v>1517</v>
      </c>
      <c r="N474" s="192" t="s">
        <v>383</v>
      </c>
      <c r="O474" s="305"/>
      <c r="P474" s="372"/>
      <c r="Q474" s="377"/>
      <c r="R474" s="305"/>
      <c r="S474" s="304">
        <v>1.171462189136121</v>
      </c>
      <c r="T474" s="305"/>
      <c r="U474" s="305"/>
      <c r="V474" s="305"/>
      <c r="W474" s="305"/>
      <c r="X474" s="305"/>
      <c r="Y474" s="305"/>
      <c r="Z474" s="384" t="s">
        <v>1534</v>
      </c>
      <c r="AA474" s="305"/>
      <c r="AB474" s="305"/>
      <c r="AC474" s="305"/>
      <c r="AD474" s="305"/>
      <c r="AE474" s="424"/>
    </row>
    <row r="475" spans="5:31" ht="14.15" customHeight="1" x14ac:dyDescent="0.35">
      <c r="E475" s="192">
        <v>467</v>
      </c>
      <c r="F475" s="192" t="s">
        <v>267</v>
      </c>
      <c r="G475" s="192" t="s">
        <v>385</v>
      </c>
      <c r="H475" s="192" t="s">
        <v>385</v>
      </c>
      <c r="I475" s="192" t="s">
        <v>226</v>
      </c>
      <c r="J475" s="192" t="s">
        <v>1764</v>
      </c>
      <c r="K475" s="192" t="s">
        <v>339</v>
      </c>
      <c r="L475" s="192" t="str">
        <f t="shared" si="10"/>
        <v>Supply ChainSupply chainSupply chainManufacturingPetrochemicals - 20.14/16/17/60NaN</v>
      </c>
      <c r="M475" s="192" t="s">
        <v>1517</v>
      </c>
      <c r="N475" s="192" t="s">
        <v>383</v>
      </c>
      <c r="O475" s="305"/>
      <c r="P475" s="372"/>
      <c r="Q475" s="377"/>
      <c r="R475" s="305"/>
      <c r="S475" s="304">
        <v>1.226622255917337</v>
      </c>
      <c r="T475" s="305"/>
      <c r="U475" s="305"/>
      <c r="V475" s="305"/>
      <c r="W475" s="305"/>
      <c r="X475" s="305"/>
      <c r="Y475" s="305"/>
      <c r="Z475" s="384" t="s">
        <v>1535</v>
      </c>
      <c r="AA475" s="305"/>
      <c r="AB475" s="305"/>
      <c r="AC475" s="305"/>
      <c r="AD475" s="305"/>
      <c r="AE475" s="424"/>
    </row>
    <row r="476" spans="5:31" ht="14.15" customHeight="1" x14ac:dyDescent="0.35">
      <c r="E476" s="192">
        <v>468</v>
      </c>
      <c r="F476" s="192" t="s">
        <v>267</v>
      </c>
      <c r="G476" s="192" t="s">
        <v>385</v>
      </c>
      <c r="H476" s="192" t="s">
        <v>385</v>
      </c>
      <c r="I476" s="192" t="s">
        <v>226</v>
      </c>
      <c r="J476" s="192" t="s">
        <v>1765</v>
      </c>
      <c r="K476" s="192" t="s">
        <v>339</v>
      </c>
      <c r="L476" s="192" t="str">
        <f t="shared" si="10"/>
        <v>Supply ChainSupply chainSupply chainManufacturingDyestuffs, agro-chemicals - 20.12/20NaN</v>
      </c>
      <c r="M476" s="192" t="s">
        <v>1517</v>
      </c>
      <c r="N476" s="192" t="s">
        <v>383</v>
      </c>
      <c r="O476" s="305"/>
      <c r="P476" s="372"/>
      <c r="Q476" s="377"/>
      <c r="R476" s="305"/>
      <c r="S476" s="304">
        <v>1.226613543158116</v>
      </c>
      <c r="T476" s="305"/>
      <c r="U476" s="305"/>
      <c r="V476" s="305"/>
      <c r="W476" s="305"/>
      <c r="X476" s="305"/>
      <c r="Y476" s="305"/>
      <c r="Z476" s="384" t="s">
        <v>1536</v>
      </c>
      <c r="AA476" s="305"/>
      <c r="AB476" s="305"/>
      <c r="AC476" s="305"/>
      <c r="AD476" s="305"/>
      <c r="AE476" s="424"/>
    </row>
    <row r="477" spans="5:31" ht="14.15" customHeight="1" x14ac:dyDescent="0.35">
      <c r="E477" s="192">
        <v>469</v>
      </c>
      <c r="F477" s="192" t="s">
        <v>267</v>
      </c>
      <c r="G477" s="192" t="s">
        <v>385</v>
      </c>
      <c r="H477" s="192" t="s">
        <v>385</v>
      </c>
      <c r="I477" s="192" t="s">
        <v>226</v>
      </c>
      <c r="J477" s="192" t="s">
        <v>1766</v>
      </c>
      <c r="K477" s="192" t="s">
        <v>339</v>
      </c>
      <c r="L477" s="192" t="str">
        <f t="shared" si="10"/>
        <v>Supply ChainSupply chainSupply chainManufacturingBasic pharmaceutical products and pharmaceutical preparationsNaN</v>
      </c>
      <c r="M477" s="192" t="s">
        <v>1517</v>
      </c>
      <c r="N477" s="192" t="s">
        <v>383</v>
      </c>
      <c r="O477" s="305"/>
      <c r="P477" s="372"/>
      <c r="Q477" s="377"/>
      <c r="R477" s="305"/>
      <c r="S477" s="304">
        <v>0.24024196013989479</v>
      </c>
      <c r="T477" s="305"/>
      <c r="U477" s="305"/>
      <c r="V477" s="305"/>
      <c r="W477" s="305"/>
      <c r="X477" s="305"/>
      <c r="Y477" s="305"/>
      <c r="Z477" s="384">
        <v>21</v>
      </c>
      <c r="AA477" s="305"/>
      <c r="AB477" s="305"/>
      <c r="AC477" s="305"/>
      <c r="AD477" s="305"/>
      <c r="AE477" s="424"/>
    </row>
    <row r="478" spans="5:31" ht="14.15" customHeight="1" x14ac:dyDescent="0.35">
      <c r="E478" s="192">
        <v>470</v>
      </c>
      <c r="F478" s="192" t="s">
        <v>267</v>
      </c>
      <c r="G478" s="192" t="s">
        <v>385</v>
      </c>
      <c r="H478" s="192" t="s">
        <v>385</v>
      </c>
      <c r="I478" s="192" t="s">
        <v>226</v>
      </c>
      <c r="J478" s="192" t="s">
        <v>1767</v>
      </c>
      <c r="K478" s="192" t="s">
        <v>339</v>
      </c>
      <c r="L478" s="192" t="str">
        <f t="shared" si="10"/>
        <v>Supply ChainSupply chainSupply chainManufacturingRubber and plastic productsNaN</v>
      </c>
      <c r="M478" s="192" t="s">
        <v>1517</v>
      </c>
      <c r="N478" s="192" t="s">
        <v>383</v>
      </c>
      <c r="O478" s="305"/>
      <c r="P478" s="372"/>
      <c r="Q478" s="377"/>
      <c r="R478" s="305"/>
      <c r="S478" s="304">
        <v>0.7689257109376243</v>
      </c>
      <c r="T478" s="305"/>
      <c r="U478" s="305"/>
      <c r="V478" s="305"/>
      <c r="W478" s="305"/>
      <c r="X478" s="305"/>
      <c r="Y478" s="305"/>
      <c r="Z478" s="384">
        <v>22</v>
      </c>
      <c r="AA478" s="305"/>
      <c r="AB478" s="305"/>
      <c r="AC478" s="305"/>
      <c r="AD478" s="305"/>
      <c r="AE478" s="424"/>
    </row>
    <row r="479" spans="5:31" ht="14.15" customHeight="1" x14ac:dyDescent="0.35">
      <c r="E479" s="192">
        <v>471</v>
      </c>
      <c r="F479" s="192" t="s">
        <v>267</v>
      </c>
      <c r="G479" s="192" t="s">
        <v>385</v>
      </c>
      <c r="H479" s="192" t="s">
        <v>385</v>
      </c>
      <c r="I479" s="192" t="s">
        <v>226</v>
      </c>
      <c r="J479" s="192" t="s">
        <v>1768</v>
      </c>
      <c r="K479" s="192" t="s">
        <v>339</v>
      </c>
      <c r="L479" s="192" t="str">
        <f t="shared" si="10"/>
        <v>Supply ChainSupply chainSupply chainManufacturingCement, lime, plaster and articles of concrete, cement and plasterNaN</v>
      </c>
      <c r="M479" s="192" t="s">
        <v>1517</v>
      </c>
      <c r="N479" s="192" t="s">
        <v>383</v>
      </c>
      <c r="O479" s="305"/>
      <c r="P479" s="372"/>
      <c r="Q479" s="377"/>
      <c r="R479" s="305"/>
      <c r="S479" s="304">
        <v>2.1527899687220931</v>
      </c>
      <c r="T479" s="305"/>
      <c r="U479" s="305"/>
      <c r="V479" s="305"/>
      <c r="W479" s="305"/>
      <c r="X479" s="305"/>
      <c r="Y479" s="305"/>
      <c r="Z479" s="384" t="s">
        <v>1537</v>
      </c>
      <c r="AA479" s="305"/>
      <c r="AB479" s="305"/>
      <c r="AC479" s="305"/>
      <c r="AD479" s="305"/>
      <c r="AE479" s="424"/>
    </row>
    <row r="480" spans="5:31" ht="14.15" customHeight="1" x14ac:dyDescent="0.35">
      <c r="E480" s="192">
        <v>472</v>
      </c>
      <c r="F480" s="192" t="s">
        <v>267</v>
      </c>
      <c r="G480" s="192" t="s">
        <v>385</v>
      </c>
      <c r="H480" s="192" t="s">
        <v>385</v>
      </c>
      <c r="I480" s="192" t="s">
        <v>226</v>
      </c>
      <c r="J480" s="192" t="s">
        <v>1769</v>
      </c>
      <c r="K480" s="192" t="s">
        <v>339</v>
      </c>
      <c r="L480" s="192" t="str">
        <f t="shared" si="10"/>
        <v>Supply ChainSupply chainSupply chainManufacturingGlass, refractory, clay, other porcelain and ceramic, stone and abrasive products - 23.1-4/7-9NaN</v>
      </c>
      <c r="M480" s="192" t="s">
        <v>1517</v>
      </c>
      <c r="N480" s="192" t="s">
        <v>383</v>
      </c>
      <c r="O480" s="305"/>
      <c r="P480" s="372"/>
      <c r="Q480" s="377"/>
      <c r="R480" s="305"/>
      <c r="S480" s="304">
        <v>1.763201247719288</v>
      </c>
      <c r="T480" s="305"/>
      <c r="U480" s="305"/>
      <c r="V480" s="305"/>
      <c r="W480" s="305"/>
      <c r="X480" s="305"/>
      <c r="Y480" s="305"/>
      <c r="Z480" s="384" t="s">
        <v>1538</v>
      </c>
      <c r="AA480" s="305"/>
      <c r="AB480" s="305"/>
      <c r="AC480" s="305"/>
      <c r="AD480" s="305"/>
      <c r="AE480" s="424"/>
    </row>
    <row r="481" spans="5:31" ht="14.15" customHeight="1" x14ac:dyDescent="0.35">
      <c r="E481" s="192">
        <v>473</v>
      </c>
      <c r="F481" s="192" t="s">
        <v>267</v>
      </c>
      <c r="G481" s="192" t="s">
        <v>385</v>
      </c>
      <c r="H481" s="192" t="s">
        <v>385</v>
      </c>
      <c r="I481" s="192" t="s">
        <v>226</v>
      </c>
      <c r="J481" s="192" t="s">
        <v>1770</v>
      </c>
      <c r="K481" s="192" t="s">
        <v>339</v>
      </c>
      <c r="L481" s="192" t="str">
        <f t="shared" si="10"/>
        <v>Supply ChainSupply chainSupply chainManufacturingBasic iron and steelNaN</v>
      </c>
      <c r="M481" s="192" t="s">
        <v>1517</v>
      </c>
      <c r="N481" s="192" t="s">
        <v>383</v>
      </c>
      <c r="O481" s="305"/>
      <c r="P481" s="372"/>
      <c r="Q481" s="377"/>
      <c r="R481" s="305"/>
      <c r="S481" s="304">
        <v>0.76852934631018388</v>
      </c>
      <c r="T481" s="305"/>
      <c r="U481" s="305"/>
      <c r="V481" s="305"/>
      <c r="W481" s="305"/>
      <c r="X481" s="305"/>
      <c r="Y481" s="305"/>
      <c r="Z481" s="384" t="s">
        <v>1539</v>
      </c>
      <c r="AA481" s="305"/>
      <c r="AB481" s="305"/>
      <c r="AC481" s="305"/>
      <c r="AD481" s="305"/>
      <c r="AE481" s="424"/>
    </row>
    <row r="482" spans="5:31" ht="14.15" customHeight="1" x14ac:dyDescent="0.35">
      <c r="E482" s="192">
        <v>474</v>
      </c>
      <c r="F482" s="192" t="s">
        <v>267</v>
      </c>
      <c r="G482" s="192" t="s">
        <v>385</v>
      </c>
      <c r="H482" s="192" t="s">
        <v>385</v>
      </c>
      <c r="I482" s="192" t="s">
        <v>226</v>
      </c>
      <c r="J482" s="192" t="s">
        <v>1771</v>
      </c>
      <c r="K482" s="192" t="s">
        <v>339</v>
      </c>
      <c r="L482" s="192" t="str">
        <f t="shared" si="10"/>
        <v>Supply ChainSupply chainSupply chainManufacturingOther basic metals and castingNaN</v>
      </c>
      <c r="M482" s="192" t="s">
        <v>1517</v>
      </c>
      <c r="N482" s="192" t="s">
        <v>383</v>
      </c>
      <c r="O482" s="305"/>
      <c r="P482" s="372"/>
      <c r="Q482" s="377"/>
      <c r="R482" s="305"/>
      <c r="S482" s="304">
        <v>2.072738810634512E-2</v>
      </c>
      <c r="T482" s="305"/>
      <c r="U482" s="305"/>
      <c r="V482" s="305"/>
      <c r="W482" s="305"/>
      <c r="X482" s="305"/>
      <c r="Y482" s="305"/>
      <c r="Z482" s="384" t="s">
        <v>1540</v>
      </c>
      <c r="AA482" s="305"/>
      <c r="AB482" s="305"/>
      <c r="AC482" s="305"/>
      <c r="AD482" s="305"/>
      <c r="AE482" s="424"/>
    </row>
    <row r="483" spans="5:31" ht="14.15" customHeight="1" x14ac:dyDescent="0.35">
      <c r="E483" s="192">
        <v>475</v>
      </c>
      <c r="F483" s="192" t="s">
        <v>267</v>
      </c>
      <c r="G483" s="192" t="s">
        <v>385</v>
      </c>
      <c r="H483" s="192" t="s">
        <v>385</v>
      </c>
      <c r="I483" s="192" t="s">
        <v>226</v>
      </c>
      <c r="J483" s="192" t="s">
        <v>1772</v>
      </c>
      <c r="K483" s="192" t="s">
        <v>339</v>
      </c>
      <c r="L483" s="192" t="str">
        <f t="shared" si="10"/>
        <v>Supply ChainSupply chainSupply chainManufacturingWeapons and ammunitionNaN</v>
      </c>
      <c r="M483" s="192" t="s">
        <v>1517</v>
      </c>
      <c r="N483" s="192" t="s">
        <v>383</v>
      </c>
      <c r="O483" s="305"/>
      <c r="P483" s="372"/>
      <c r="Q483" s="377"/>
      <c r="R483" s="305"/>
      <c r="S483" s="304">
        <v>0.5126942369385995</v>
      </c>
      <c r="T483" s="305"/>
      <c r="U483" s="305"/>
      <c r="V483" s="305"/>
      <c r="W483" s="305"/>
      <c r="X483" s="305"/>
      <c r="Y483" s="305"/>
      <c r="Z483" s="384">
        <v>25.4</v>
      </c>
      <c r="AA483" s="305"/>
      <c r="AB483" s="305"/>
      <c r="AC483" s="305"/>
      <c r="AD483" s="305"/>
      <c r="AE483" s="424"/>
    </row>
    <row r="484" spans="5:31" ht="14.15" customHeight="1" x14ac:dyDescent="0.35">
      <c r="E484" s="192">
        <v>476</v>
      </c>
      <c r="F484" s="192" t="s">
        <v>267</v>
      </c>
      <c r="G484" s="192" t="s">
        <v>385</v>
      </c>
      <c r="H484" s="192" t="s">
        <v>385</v>
      </c>
      <c r="I484" s="192" t="s">
        <v>226</v>
      </c>
      <c r="J484" s="192" t="s">
        <v>1773</v>
      </c>
      <c r="K484" s="192" t="s">
        <v>339</v>
      </c>
      <c r="L484" s="192" t="str">
        <f t="shared" si="10"/>
        <v>Supply ChainSupply chainSupply chainManufacturingFabricated metal products, excl. machinery and equipment and weapons &amp; ammunition - 25.1-3/25.5-9NaN</v>
      </c>
      <c r="M484" s="192" t="s">
        <v>1517</v>
      </c>
      <c r="N484" s="192" t="s">
        <v>383</v>
      </c>
      <c r="O484" s="305"/>
      <c r="P484" s="372"/>
      <c r="Q484" s="377"/>
      <c r="R484" s="305"/>
      <c r="S484" s="304">
        <v>0.69573186541776433</v>
      </c>
      <c r="T484" s="305"/>
      <c r="U484" s="305"/>
      <c r="V484" s="305"/>
      <c r="W484" s="305"/>
      <c r="X484" s="305"/>
      <c r="Y484" s="305"/>
      <c r="Z484" s="384" t="s">
        <v>1541</v>
      </c>
      <c r="AA484" s="305"/>
      <c r="AB484" s="305"/>
      <c r="AC484" s="305"/>
      <c r="AD484" s="305"/>
      <c r="AE484" s="424"/>
    </row>
    <row r="485" spans="5:31" ht="14.15" customHeight="1" x14ac:dyDescent="0.35">
      <c r="E485" s="192">
        <v>477</v>
      </c>
      <c r="F485" s="192" t="s">
        <v>267</v>
      </c>
      <c r="G485" s="192" t="s">
        <v>385</v>
      </c>
      <c r="H485" s="192" t="s">
        <v>385</v>
      </c>
      <c r="I485" s="192" t="s">
        <v>226</v>
      </c>
      <c r="J485" s="192" t="s">
        <v>400</v>
      </c>
      <c r="K485" s="192" t="s">
        <v>339</v>
      </c>
      <c r="L485" s="192" t="str">
        <f t="shared" si="10"/>
        <v>Supply ChainSupply chainSupply chainManufacturingComputer, electronic and optical productsNaN</v>
      </c>
      <c r="M485" s="192" t="s">
        <v>1517</v>
      </c>
      <c r="N485" s="192" t="s">
        <v>383</v>
      </c>
      <c r="O485" s="305"/>
      <c r="P485" s="372"/>
      <c r="Q485" s="377"/>
      <c r="R485" s="305"/>
      <c r="S485" s="304">
        <v>0.50743682948172986</v>
      </c>
      <c r="T485" s="305"/>
      <c r="U485" s="305"/>
      <c r="V485" s="305"/>
      <c r="W485" s="305"/>
      <c r="X485" s="305"/>
      <c r="Y485" s="305"/>
      <c r="Z485" s="384">
        <v>26</v>
      </c>
      <c r="AA485" s="305"/>
      <c r="AB485" s="305"/>
      <c r="AC485" s="305"/>
      <c r="AD485" s="305"/>
      <c r="AE485" s="424"/>
    </row>
    <row r="486" spans="5:31" ht="14.15" customHeight="1" x14ac:dyDescent="0.35">
      <c r="E486" s="192">
        <v>478</v>
      </c>
      <c r="F486" s="192" t="s">
        <v>267</v>
      </c>
      <c r="G486" s="192" t="s">
        <v>385</v>
      </c>
      <c r="H486" s="192" t="s">
        <v>385</v>
      </c>
      <c r="I486" s="192" t="s">
        <v>226</v>
      </c>
      <c r="J486" s="192" t="s">
        <v>399</v>
      </c>
      <c r="K486" s="192" t="s">
        <v>339</v>
      </c>
      <c r="L486" s="192" t="str">
        <f t="shared" si="10"/>
        <v>Supply ChainSupply chainSupply chainManufacturingElectrical equipmentNaN</v>
      </c>
      <c r="M486" s="192" t="s">
        <v>1517</v>
      </c>
      <c r="N486" s="192" t="s">
        <v>383</v>
      </c>
      <c r="O486" s="305"/>
      <c r="P486" s="372"/>
      <c r="Q486" s="377"/>
      <c r="R486" s="305"/>
      <c r="S486" s="304">
        <v>0.94152562111731986</v>
      </c>
      <c r="T486" s="305"/>
      <c r="U486" s="305"/>
      <c r="V486" s="305"/>
      <c r="W486" s="305"/>
      <c r="X486" s="305"/>
      <c r="Y486" s="305"/>
      <c r="Z486" s="384">
        <v>27</v>
      </c>
      <c r="AA486" s="305"/>
      <c r="AB486" s="305"/>
      <c r="AC486" s="305"/>
      <c r="AD486" s="305"/>
      <c r="AE486" s="424"/>
    </row>
    <row r="487" spans="5:31" ht="14.15" customHeight="1" x14ac:dyDescent="0.35">
      <c r="E487" s="192">
        <v>479</v>
      </c>
      <c r="F487" s="192" t="s">
        <v>267</v>
      </c>
      <c r="G487" s="192" t="s">
        <v>385</v>
      </c>
      <c r="H487" s="192" t="s">
        <v>385</v>
      </c>
      <c r="I487" s="192" t="s">
        <v>226</v>
      </c>
      <c r="J487" s="192" t="s">
        <v>1774</v>
      </c>
      <c r="K487" s="192" t="s">
        <v>339</v>
      </c>
      <c r="L487" s="192" t="str">
        <f t="shared" si="10"/>
        <v>Supply ChainSupply chainSupply chainManufacturingMachinery and equipment n.e.c.NaN</v>
      </c>
      <c r="M487" s="192" t="s">
        <v>1517</v>
      </c>
      <c r="N487" s="192" t="s">
        <v>383</v>
      </c>
      <c r="O487" s="305"/>
      <c r="P487" s="372"/>
      <c r="Q487" s="377"/>
      <c r="R487" s="305"/>
      <c r="S487" s="304">
        <v>0.58039245012801588</v>
      </c>
      <c r="T487" s="305"/>
      <c r="U487" s="305"/>
      <c r="V487" s="305"/>
      <c r="W487" s="305"/>
      <c r="X487" s="305"/>
      <c r="Y487" s="305"/>
      <c r="Z487" s="384">
        <v>28</v>
      </c>
      <c r="AA487" s="305"/>
      <c r="AB487" s="305"/>
      <c r="AC487" s="305"/>
      <c r="AD487" s="305"/>
      <c r="AE487" s="424"/>
    </row>
    <row r="488" spans="5:31" ht="14.15" customHeight="1" x14ac:dyDescent="0.35">
      <c r="E488" s="192">
        <v>480</v>
      </c>
      <c r="F488" s="192" t="s">
        <v>267</v>
      </c>
      <c r="G488" s="192" t="s">
        <v>385</v>
      </c>
      <c r="H488" s="192" t="s">
        <v>385</v>
      </c>
      <c r="I488" s="192" t="s">
        <v>226</v>
      </c>
      <c r="J488" s="192" t="s">
        <v>1775</v>
      </c>
      <c r="K488" s="192" t="s">
        <v>339</v>
      </c>
      <c r="L488" s="192" t="str">
        <f t="shared" si="10"/>
        <v>Supply ChainSupply chainSupply chainManufacturingMotor vehicles, trailers and semi-trailersNaN</v>
      </c>
      <c r="M488" s="192" t="s">
        <v>1517</v>
      </c>
      <c r="N488" s="192" t="s">
        <v>383</v>
      </c>
      <c r="O488" s="305"/>
      <c r="P488" s="372"/>
      <c r="Q488" s="377"/>
      <c r="R488" s="305"/>
      <c r="S488" s="304">
        <v>0.54579782766589502</v>
      </c>
      <c r="T488" s="305"/>
      <c r="U488" s="305"/>
      <c r="V488" s="305"/>
      <c r="W488" s="305"/>
      <c r="X488" s="305"/>
      <c r="Y488" s="305"/>
      <c r="Z488" s="384">
        <v>29</v>
      </c>
      <c r="AA488" s="305"/>
      <c r="AB488" s="305"/>
      <c r="AC488" s="305"/>
      <c r="AD488" s="305"/>
      <c r="AE488" s="424"/>
    </row>
    <row r="489" spans="5:31" ht="14.15" customHeight="1" x14ac:dyDescent="0.35">
      <c r="E489" s="192">
        <v>481</v>
      </c>
      <c r="F489" s="192" t="s">
        <v>267</v>
      </c>
      <c r="G489" s="192" t="s">
        <v>385</v>
      </c>
      <c r="H489" s="192" t="s">
        <v>385</v>
      </c>
      <c r="I489" s="192" t="s">
        <v>226</v>
      </c>
      <c r="J489" s="192" t="s">
        <v>1776</v>
      </c>
      <c r="K489" s="192" t="s">
        <v>339</v>
      </c>
      <c r="L489" s="192" t="str">
        <f t="shared" si="10"/>
        <v>Supply ChainSupply chainSupply chainManufacturingShips and boatsNaN</v>
      </c>
      <c r="M489" s="192" t="s">
        <v>1517</v>
      </c>
      <c r="N489" s="192" t="s">
        <v>383</v>
      </c>
      <c r="O489" s="305"/>
      <c r="P489" s="372"/>
      <c r="Q489" s="377"/>
      <c r="R489" s="305"/>
      <c r="S489" s="304">
        <v>0.301787743552205</v>
      </c>
      <c r="T489" s="305"/>
      <c r="U489" s="305"/>
      <c r="V489" s="305"/>
      <c r="W489" s="305"/>
      <c r="X489" s="305"/>
      <c r="Y489" s="305"/>
      <c r="Z489" s="384">
        <v>30.1</v>
      </c>
      <c r="AA489" s="305"/>
      <c r="AB489" s="305"/>
      <c r="AC489" s="305"/>
      <c r="AD489" s="305"/>
      <c r="AE489" s="424"/>
    </row>
    <row r="490" spans="5:31" ht="14.15" customHeight="1" x14ac:dyDescent="0.35">
      <c r="E490" s="192">
        <v>482</v>
      </c>
      <c r="F490" s="192" t="s">
        <v>267</v>
      </c>
      <c r="G490" s="192" t="s">
        <v>385</v>
      </c>
      <c r="H490" s="192" t="s">
        <v>385</v>
      </c>
      <c r="I490" s="192" t="s">
        <v>226</v>
      </c>
      <c r="J490" s="192" t="s">
        <v>1777</v>
      </c>
      <c r="K490" s="192" t="s">
        <v>339</v>
      </c>
      <c r="L490" s="192" t="str">
        <f t="shared" si="10"/>
        <v>Supply ChainSupply chainSupply chainManufacturingAir and spacecraft and related machineryNaN</v>
      </c>
      <c r="M490" s="192" t="s">
        <v>1517</v>
      </c>
      <c r="N490" s="192" t="s">
        <v>383</v>
      </c>
      <c r="O490" s="305"/>
      <c r="P490" s="372"/>
      <c r="Q490" s="377"/>
      <c r="R490" s="305"/>
      <c r="S490" s="304">
        <v>0.41046162848380302</v>
      </c>
      <c r="T490" s="305"/>
      <c r="U490" s="305"/>
      <c r="V490" s="305"/>
      <c r="W490" s="305"/>
      <c r="X490" s="305"/>
      <c r="Y490" s="305"/>
      <c r="Z490" s="384">
        <v>30.3</v>
      </c>
      <c r="AA490" s="305"/>
      <c r="AB490" s="305"/>
      <c r="AC490" s="305"/>
      <c r="AD490" s="305"/>
      <c r="AE490" s="424"/>
    </row>
    <row r="491" spans="5:31" ht="14.15" customHeight="1" x14ac:dyDescent="0.35">
      <c r="E491" s="192">
        <v>483</v>
      </c>
      <c r="F491" s="192" t="s">
        <v>267</v>
      </c>
      <c r="G491" s="192" t="s">
        <v>385</v>
      </c>
      <c r="H491" s="192" t="s">
        <v>385</v>
      </c>
      <c r="I491" s="192" t="s">
        <v>226</v>
      </c>
      <c r="J491" s="192" t="s">
        <v>1778</v>
      </c>
      <c r="K491" s="192" t="s">
        <v>339</v>
      </c>
      <c r="L491" s="192" t="str">
        <f t="shared" si="10"/>
        <v>Supply ChainSupply chainSupply chainManufacturingOther transport equipment - 30.2/4/9NaN</v>
      </c>
      <c r="M491" s="192" t="s">
        <v>1517</v>
      </c>
      <c r="N491" s="192" t="s">
        <v>383</v>
      </c>
      <c r="O491" s="305"/>
      <c r="P491" s="372"/>
      <c r="Q491" s="377"/>
      <c r="R491" s="305"/>
      <c r="S491" s="304">
        <v>0.40469181261395187</v>
      </c>
      <c r="T491" s="305"/>
      <c r="U491" s="305"/>
      <c r="V491" s="305"/>
      <c r="W491" s="305"/>
      <c r="X491" s="305"/>
      <c r="Y491" s="305"/>
      <c r="Z491" s="384" t="s">
        <v>1542</v>
      </c>
      <c r="AA491" s="305"/>
      <c r="AB491" s="305"/>
      <c r="AC491" s="305"/>
      <c r="AD491" s="305"/>
      <c r="AE491" s="424"/>
    </row>
    <row r="492" spans="5:31" ht="14.15" customHeight="1" x14ac:dyDescent="0.35">
      <c r="E492" s="192">
        <v>484</v>
      </c>
      <c r="F492" s="192" t="s">
        <v>267</v>
      </c>
      <c r="G492" s="192" t="s">
        <v>385</v>
      </c>
      <c r="H492" s="192" t="s">
        <v>385</v>
      </c>
      <c r="I492" s="192" t="s">
        <v>226</v>
      </c>
      <c r="J492" s="192" t="s">
        <v>1779</v>
      </c>
      <c r="K492" s="192" t="s">
        <v>339</v>
      </c>
      <c r="L492" s="192" t="str">
        <f t="shared" si="10"/>
        <v>Supply ChainSupply chainSupply chainManufacturingFurnitureNaN</v>
      </c>
      <c r="M492" s="192" t="s">
        <v>1517</v>
      </c>
      <c r="N492" s="192" t="s">
        <v>383</v>
      </c>
      <c r="O492" s="305"/>
      <c r="P492" s="372"/>
      <c r="Q492" s="377"/>
      <c r="R492" s="305"/>
      <c r="S492" s="304">
        <v>0.51638908230139646</v>
      </c>
      <c r="T492" s="305"/>
      <c r="U492" s="305"/>
      <c r="V492" s="305"/>
      <c r="W492" s="305"/>
      <c r="X492" s="305"/>
      <c r="Y492" s="305"/>
      <c r="Z492" s="384">
        <v>31</v>
      </c>
      <c r="AA492" s="305"/>
      <c r="AB492" s="305"/>
      <c r="AC492" s="305"/>
      <c r="AD492" s="305"/>
      <c r="AE492" s="424"/>
    </row>
    <row r="493" spans="5:31" ht="14.15" customHeight="1" x14ac:dyDescent="0.35">
      <c r="E493" s="192">
        <v>485</v>
      </c>
      <c r="F493" s="192" t="s">
        <v>267</v>
      </c>
      <c r="G493" s="192" t="s">
        <v>385</v>
      </c>
      <c r="H493" s="192" t="s">
        <v>385</v>
      </c>
      <c r="I493" s="192" t="s">
        <v>226</v>
      </c>
      <c r="J493" s="192" t="s">
        <v>1780</v>
      </c>
      <c r="K493" s="192" t="s">
        <v>339</v>
      </c>
      <c r="L493" s="192" t="str">
        <f t="shared" si="10"/>
        <v>Supply ChainSupply chainSupply chainManufacturingOther manufactured goodsNaN</v>
      </c>
      <c r="M493" s="192" t="s">
        <v>1517</v>
      </c>
      <c r="N493" s="192" t="s">
        <v>383</v>
      </c>
      <c r="O493" s="305"/>
      <c r="P493" s="372"/>
      <c r="Q493" s="377"/>
      <c r="R493" s="305"/>
      <c r="S493" s="304">
        <v>0.70388700844186225</v>
      </c>
      <c r="T493" s="305"/>
      <c r="U493" s="305"/>
      <c r="V493" s="305"/>
      <c r="W493" s="305"/>
      <c r="X493" s="305"/>
      <c r="Y493" s="305"/>
      <c r="Z493" s="384">
        <v>32</v>
      </c>
      <c r="AA493" s="305"/>
      <c r="AB493" s="305"/>
      <c r="AC493" s="305"/>
      <c r="AD493" s="305"/>
      <c r="AE493" s="424"/>
    </row>
    <row r="494" spans="5:31" ht="14.15" customHeight="1" x14ac:dyDescent="0.35">
      <c r="E494" s="192">
        <v>486</v>
      </c>
      <c r="F494" s="192" t="s">
        <v>267</v>
      </c>
      <c r="G494" s="192" t="s">
        <v>385</v>
      </c>
      <c r="H494" s="192" t="s">
        <v>385</v>
      </c>
      <c r="I494" s="192" t="s">
        <v>226</v>
      </c>
      <c r="J494" s="192" t="s">
        <v>1781</v>
      </c>
      <c r="K494" s="192" t="s">
        <v>339</v>
      </c>
      <c r="L494" s="192" t="str">
        <f t="shared" si="10"/>
        <v>Supply ChainSupply chainSupply chainManufacturingRepair and maintenance of ships and boatsNaN</v>
      </c>
      <c r="M494" s="192" t="s">
        <v>1517</v>
      </c>
      <c r="N494" s="192" t="s">
        <v>383</v>
      </c>
      <c r="O494" s="305"/>
      <c r="P494" s="372"/>
      <c r="Q494" s="377"/>
      <c r="R494" s="305"/>
      <c r="S494" s="304">
        <v>0.18341940447487931</v>
      </c>
      <c r="T494" s="305"/>
      <c r="U494" s="305"/>
      <c r="V494" s="305"/>
      <c r="W494" s="305"/>
      <c r="X494" s="305"/>
      <c r="Y494" s="305"/>
      <c r="Z494" s="384">
        <v>33.15</v>
      </c>
      <c r="AA494" s="305"/>
      <c r="AB494" s="305"/>
      <c r="AC494" s="305"/>
      <c r="AD494" s="305"/>
      <c r="AE494" s="424"/>
    </row>
    <row r="495" spans="5:31" ht="14.15" customHeight="1" x14ac:dyDescent="0.35">
      <c r="E495" s="192">
        <v>487</v>
      </c>
      <c r="F495" s="192" t="s">
        <v>267</v>
      </c>
      <c r="G495" s="192" t="s">
        <v>385</v>
      </c>
      <c r="H495" s="192" t="s">
        <v>385</v>
      </c>
      <c r="I495" s="192" t="s">
        <v>226</v>
      </c>
      <c r="J495" s="192" t="s">
        <v>1782</v>
      </c>
      <c r="K495" s="192" t="s">
        <v>339</v>
      </c>
      <c r="L495" s="192" t="str">
        <f t="shared" si="10"/>
        <v>Supply ChainSupply chainSupply chainManufacturingRepair and maintenance of aircraft and spacecraftNaN</v>
      </c>
      <c r="M495" s="192" t="s">
        <v>1517</v>
      </c>
      <c r="N495" s="192" t="s">
        <v>383</v>
      </c>
      <c r="O495" s="305"/>
      <c r="P495" s="372"/>
      <c r="Q495" s="377"/>
      <c r="R495" s="305"/>
      <c r="S495" s="304">
        <v>9.5692945503273716E-2</v>
      </c>
      <c r="T495" s="305"/>
      <c r="U495" s="305"/>
      <c r="V495" s="305"/>
      <c r="W495" s="305"/>
      <c r="X495" s="305"/>
      <c r="Y495" s="305"/>
      <c r="Z495" s="384">
        <v>33.159999999999997</v>
      </c>
      <c r="AA495" s="305"/>
      <c r="AB495" s="305"/>
      <c r="AC495" s="305"/>
      <c r="AD495" s="305"/>
      <c r="AE495" s="424"/>
    </row>
    <row r="496" spans="5:31" ht="14.15" customHeight="1" x14ac:dyDescent="0.35">
      <c r="E496" s="192">
        <v>488</v>
      </c>
      <c r="F496" s="192" t="s">
        <v>267</v>
      </c>
      <c r="G496" s="192" t="s">
        <v>385</v>
      </c>
      <c r="H496" s="192" t="s">
        <v>385</v>
      </c>
      <c r="I496" s="192" t="s">
        <v>226</v>
      </c>
      <c r="J496" s="192" t="s">
        <v>1783</v>
      </c>
      <c r="K496" s="192" t="s">
        <v>339</v>
      </c>
      <c r="L496" s="192" t="str">
        <f t="shared" si="10"/>
        <v>Supply ChainSupply chainSupply chainManufacturingRest of repair; Installation - 33.11-14/17/19/20NaN</v>
      </c>
      <c r="M496" s="192" t="s">
        <v>1517</v>
      </c>
      <c r="N496" s="192" t="s">
        <v>383</v>
      </c>
      <c r="O496" s="305"/>
      <c r="P496" s="372"/>
      <c r="Q496" s="377"/>
      <c r="R496" s="305"/>
      <c r="S496" s="304">
        <v>0.33131234874837912</v>
      </c>
      <c r="T496" s="305"/>
      <c r="U496" s="305"/>
      <c r="V496" s="305"/>
      <c r="W496" s="305"/>
      <c r="X496" s="305"/>
      <c r="Y496" s="305"/>
      <c r="Z496" s="384" t="s">
        <v>1543</v>
      </c>
      <c r="AA496" s="305"/>
      <c r="AB496" s="305"/>
      <c r="AC496" s="305"/>
      <c r="AD496" s="305"/>
      <c r="AE496" s="424"/>
    </row>
    <row r="497" spans="5:31" ht="14.15" customHeight="1" x14ac:dyDescent="0.35">
      <c r="E497" s="192">
        <v>489</v>
      </c>
      <c r="F497" s="192" t="s">
        <v>267</v>
      </c>
      <c r="G497" s="192" t="s">
        <v>385</v>
      </c>
      <c r="H497" s="192" t="s">
        <v>385</v>
      </c>
      <c r="I497" s="192" t="s">
        <v>227</v>
      </c>
      <c r="J497" s="192" t="s">
        <v>387</v>
      </c>
      <c r="K497" s="192" t="s">
        <v>339</v>
      </c>
      <c r="L497" s="192" t="str">
        <f t="shared" si="10"/>
        <v>Supply ChainSupply chainSupply chainElectricity, gas, steam and air conditioning supplyElectricity, transmission and distributionNaN</v>
      </c>
      <c r="M497" s="192" t="s">
        <v>1517</v>
      </c>
      <c r="N497" s="192" t="s">
        <v>383</v>
      </c>
      <c r="O497" s="305"/>
      <c r="P497" s="372"/>
      <c r="Q497" s="377"/>
      <c r="R497" s="305"/>
      <c r="S497" s="304">
        <v>1.3589813852930981</v>
      </c>
      <c r="T497" s="305"/>
      <c r="U497" s="305"/>
      <c r="V497" s="305"/>
      <c r="W497" s="305"/>
      <c r="X497" s="305"/>
      <c r="Y497" s="305"/>
      <c r="Z497" s="384">
        <v>35.1</v>
      </c>
      <c r="AA497" s="305"/>
      <c r="AB497" s="305"/>
      <c r="AC497" s="305"/>
      <c r="AD497" s="305"/>
      <c r="AE497" s="424"/>
    </row>
    <row r="498" spans="5:31" ht="14.15" customHeight="1" x14ac:dyDescent="0.35">
      <c r="E498" s="192">
        <v>490</v>
      </c>
      <c r="F498" s="192" t="s">
        <v>267</v>
      </c>
      <c r="G498" s="192" t="s">
        <v>385</v>
      </c>
      <c r="H498" s="192" t="s">
        <v>385</v>
      </c>
      <c r="I498" s="192" t="s">
        <v>227</v>
      </c>
      <c r="J498" s="192" t="s">
        <v>1784</v>
      </c>
      <c r="K498" s="192" t="s">
        <v>339</v>
      </c>
      <c r="L498" s="192" t="str">
        <f t="shared" si="10"/>
        <v>Supply ChainSupply chainSupply chainElectricity, gas, steam and air conditioning supplyGas; distribution of gaseous fuels through mains; steam and air conditioning supplyNaN</v>
      </c>
      <c r="M498" s="192" t="s">
        <v>1517</v>
      </c>
      <c r="N498" s="192" t="s">
        <v>383</v>
      </c>
      <c r="O498" s="305"/>
      <c r="P498" s="372"/>
      <c r="Q498" s="377"/>
      <c r="R498" s="305"/>
      <c r="S498" s="304">
        <v>1.267949018909615</v>
      </c>
      <c r="T498" s="305"/>
      <c r="U498" s="305"/>
      <c r="V498" s="305"/>
      <c r="W498" s="305"/>
      <c r="X498" s="305"/>
      <c r="Y498" s="305"/>
      <c r="Z498" s="384" t="s">
        <v>1544</v>
      </c>
      <c r="AA498" s="305"/>
      <c r="AB498" s="305"/>
      <c r="AC498" s="305"/>
      <c r="AD498" s="305"/>
      <c r="AE498" s="424"/>
    </row>
    <row r="499" spans="5:31" ht="14.15" customHeight="1" x14ac:dyDescent="0.35">
      <c r="E499" s="192">
        <v>491</v>
      </c>
      <c r="F499" s="192" t="s">
        <v>267</v>
      </c>
      <c r="G499" s="192" t="s">
        <v>385</v>
      </c>
      <c r="H499" s="192" t="s">
        <v>385</v>
      </c>
      <c r="I499" s="192" t="s">
        <v>228</v>
      </c>
      <c r="J499" s="192" t="s">
        <v>1785</v>
      </c>
      <c r="K499" s="192" t="s">
        <v>339</v>
      </c>
      <c r="L499" s="192" t="str">
        <f t="shared" si="10"/>
        <v>Supply ChainSupply chainSupply chainWater supply; sewerage, waste management and remediation activitiesNatural water; water treatment and supply servicesNaN</v>
      </c>
      <c r="M499" s="192" t="s">
        <v>1517</v>
      </c>
      <c r="N499" s="192" t="s">
        <v>383</v>
      </c>
      <c r="O499" s="305"/>
      <c r="P499" s="372"/>
      <c r="Q499" s="377"/>
      <c r="R499" s="305"/>
      <c r="S499" s="304">
        <v>0.2167200779951127</v>
      </c>
      <c r="T499" s="305"/>
      <c r="U499" s="305"/>
      <c r="V499" s="305"/>
      <c r="W499" s="305"/>
      <c r="X499" s="305"/>
      <c r="Y499" s="305"/>
      <c r="Z499" s="384">
        <v>36</v>
      </c>
      <c r="AA499" s="305"/>
      <c r="AB499" s="305"/>
      <c r="AC499" s="305"/>
      <c r="AD499" s="305"/>
      <c r="AE499" s="424"/>
    </row>
    <row r="500" spans="5:31" ht="14.15" customHeight="1" x14ac:dyDescent="0.35">
      <c r="E500" s="192">
        <v>492</v>
      </c>
      <c r="F500" s="192" t="s">
        <v>267</v>
      </c>
      <c r="G500" s="192" t="s">
        <v>385</v>
      </c>
      <c r="H500" s="192" t="s">
        <v>385</v>
      </c>
      <c r="I500" s="192" t="s">
        <v>228</v>
      </c>
      <c r="J500" s="192" t="s">
        <v>1786</v>
      </c>
      <c r="K500" s="192" t="s">
        <v>339</v>
      </c>
      <c r="L500" s="192" t="str">
        <f t="shared" si="10"/>
        <v>Supply ChainSupply chainSupply chainWater supply; sewerage, waste management and remediation activitiesSewerage services; sewage sludgeNaN</v>
      </c>
      <c r="M500" s="192" t="s">
        <v>1517</v>
      </c>
      <c r="N500" s="192" t="s">
        <v>383</v>
      </c>
      <c r="O500" s="305"/>
      <c r="P500" s="372"/>
      <c r="Q500" s="377"/>
      <c r="R500" s="305"/>
      <c r="S500" s="304">
        <v>0.38265828429022541</v>
      </c>
      <c r="T500" s="305"/>
      <c r="U500" s="305"/>
      <c r="V500" s="305"/>
      <c r="W500" s="305"/>
      <c r="X500" s="305"/>
      <c r="Y500" s="305"/>
      <c r="Z500" s="384">
        <v>37</v>
      </c>
      <c r="AA500" s="305"/>
      <c r="AB500" s="305"/>
      <c r="AC500" s="305"/>
      <c r="AD500" s="305"/>
      <c r="AE500" s="424"/>
    </row>
    <row r="501" spans="5:31" ht="14.15" customHeight="1" x14ac:dyDescent="0.35">
      <c r="E501" s="192">
        <v>493</v>
      </c>
      <c r="F501" s="192" t="s">
        <v>267</v>
      </c>
      <c r="G501" s="192" t="s">
        <v>385</v>
      </c>
      <c r="H501" s="192" t="s">
        <v>385</v>
      </c>
      <c r="I501" s="192" t="s">
        <v>228</v>
      </c>
      <c r="J501" s="192" t="s">
        <v>1787</v>
      </c>
      <c r="K501" s="192" t="s">
        <v>339</v>
      </c>
      <c r="L501" s="192" t="str">
        <f t="shared" si="10"/>
        <v>Supply ChainSupply chainSupply chainWater supply; sewerage, waste management and remediation activitiesWaste collection, treatment and disposal services; materials recovery servicesNaN</v>
      </c>
      <c r="M501" s="192" t="s">
        <v>1517</v>
      </c>
      <c r="N501" s="192" t="s">
        <v>383</v>
      </c>
      <c r="O501" s="305"/>
      <c r="P501" s="372"/>
      <c r="Q501" s="377"/>
      <c r="R501" s="305"/>
      <c r="S501" s="304">
        <v>1.3603459776692499</v>
      </c>
      <c r="T501" s="305"/>
      <c r="U501" s="305"/>
      <c r="V501" s="305"/>
      <c r="W501" s="305"/>
      <c r="X501" s="305"/>
      <c r="Y501" s="305"/>
      <c r="Z501" s="384">
        <v>38</v>
      </c>
      <c r="AA501" s="305"/>
      <c r="AB501" s="305"/>
      <c r="AC501" s="305"/>
      <c r="AD501" s="305"/>
      <c r="AE501" s="424"/>
    </row>
    <row r="502" spans="5:31" ht="14.15" customHeight="1" x14ac:dyDescent="0.35">
      <c r="E502" s="192">
        <v>494</v>
      </c>
      <c r="F502" s="192" t="s">
        <v>267</v>
      </c>
      <c r="G502" s="192" t="s">
        <v>385</v>
      </c>
      <c r="H502" s="192" t="s">
        <v>385</v>
      </c>
      <c r="I502" s="192" t="s">
        <v>228</v>
      </c>
      <c r="J502" s="192" t="s">
        <v>1788</v>
      </c>
      <c r="K502" s="192" t="s">
        <v>339</v>
      </c>
      <c r="L502" s="192" t="str">
        <f t="shared" si="10"/>
        <v>Supply ChainSupply chainSupply chainWater supply; sewerage, waste management and remediation activitiesRemediation services and other waste management servicesNaN</v>
      </c>
      <c r="M502" s="192" t="s">
        <v>1517</v>
      </c>
      <c r="N502" s="192" t="s">
        <v>383</v>
      </c>
      <c r="O502" s="305"/>
      <c r="P502" s="372"/>
      <c r="Q502" s="377"/>
      <c r="R502" s="305"/>
      <c r="S502" s="304">
        <v>0.1914851772959163</v>
      </c>
      <c r="T502" s="305"/>
      <c r="U502" s="305"/>
      <c r="V502" s="305"/>
      <c r="W502" s="305"/>
      <c r="X502" s="305"/>
      <c r="Y502" s="305"/>
      <c r="Z502" s="384">
        <v>39</v>
      </c>
      <c r="AA502" s="305"/>
      <c r="AB502" s="305"/>
      <c r="AC502" s="305"/>
      <c r="AD502" s="305"/>
      <c r="AE502" s="424"/>
    </row>
    <row r="503" spans="5:31" ht="14.15" customHeight="1" x14ac:dyDescent="0.35">
      <c r="E503" s="192">
        <v>495</v>
      </c>
      <c r="F503" s="192" t="s">
        <v>267</v>
      </c>
      <c r="G503" s="192" t="s">
        <v>385</v>
      </c>
      <c r="H503" s="192" t="s">
        <v>385</v>
      </c>
      <c r="I503" s="192" t="s">
        <v>229</v>
      </c>
      <c r="J503" s="192" t="s">
        <v>1789</v>
      </c>
      <c r="K503" s="192" t="s">
        <v>339</v>
      </c>
      <c r="L503" s="192" t="str">
        <f t="shared" si="10"/>
        <v>Supply ChainSupply chainSupply chainConstructionBuildings and building construction worksNaN</v>
      </c>
      <c r="M503" s="192" t="s">
        <v>1517</v>
      </c>
      <c r="N503" s="192" t="s">
        <v>383</v>
      </c>
      <c r="O503" s="305"/>
      <c r="P503" s="372"/>
      <c r="Q503" s="377"/>
      <c r="R503" s="305"/>
      <c r="S503" s="304">
        <v>0.28010666287608571</v>
      </c>
      <c r="T503" s="305"/>
      <c r="U503" s="305"/>
      <c r="V503" s="305"/>
      <c r="W503" s="305"/>
      <c r="X503" s="305"/>
      <c r="Y503" s="305"/>
      <c r="Z503" s="384">
        <v>41.2</v>
      </c>
      <c r="AA503" s="305"/>
      <c r="AB503" s="305"/>
      <c r="AC503" s="305"/>
      <c r="AD503" s="305"/>
      <c r="AE503" s="424"/>
    </row>
    <row r="504" spans="5:31" ht="14.15" customHeight="1" x14ac:dyDescent="0.35">
      <c r="E504" s="192">
        <v>496</v>
      </c>
      <c r="F504" s="192" t="s">
        <v>267</v>
      </c>
      <c r="G504" s="192" t="s">
        <v>385</v>
      </c>
      <c r="H504" s="192" t="s">
        <v>385</v>
      </c>
      <c r="I504" s="192" t="s">
        <v>229</v>
      </c>
      <c r="J504" s="192" t="s">
        <v>1790</v>
      </c>
      <c r="K504" s="192" t="s">
        <v>339</v>
      </c>
      <c r="L504" s="192" t="str">
        <f t="shared" si="10"/>
        <v>Supply ChainSupply chainSupply chainConstructionConstructions and construction works for civil engineeringNaN</v>
      </c>
      <c r="M504" s="192" t="s">
        <v>1517</v>
      </c>
      <c r="N504" s="192" t="s">
        <v>383</v>
      </c>
      <c r="O504" s="305"/>
      <c r="P504" s="372"/>
      <c r="Q504" s="377"/>
      <c r="R504" s="305"/>
      <c r="S504" s="304">
        <v>0.32603907003604038</v>
      </c>
      <c r="T504" s="305"/>
      <c r="U504" s="305"/>
      <c r="V504" s="305"/>
      <c r="W504" s="305"/>
      <c r="X504" s="305"/>
      <c r="Y504" s="305"/>
      <c r="Z504" s="384" t="s">
        <v>1545</v>
      </c>
      <c r="AA504" s="305"/>
      <c r="AB504" s="305"/>
      <c r="AC504" s="305"/>
      <c r="AD504" s="305"/>
      <c r="AE504" s="424"/>
    </row>
    <row r="505" spans="5:31" ht="14.15" customHeight="1" x14ac:dyDescent="0.35">
      <c r="E505" s="192">
        <v>497</v>
      </c>
      <c r="F505" s="192" t="s">
        <v>267</v>
      </c>
      <c r="G505" s="192" t="s">
        <v>385</v>
      </c>
      <c r="H505" s="192" t="s">
        <v>385</v>
      </c>
      <c r="I505" s="192" t="s">
        <v>229</v>
      </c>
      <c r="J505" s="192" t="s">
        <v>1791</v>
      </c>
      <c r="K505" s="192" t="s">
        <v>339</v>
      </c>
      <c r="L505" s="192" t="str">
        <f t="shared" si="10"/>
        <v>Supply ChainSupply chainSupply chainConstructionSpecialised construction worksNaN</v>
      </c>
      <c r="M505" s="192" t="s">
        <v>1517</v>
      </c>
      <c r="N505" s="192" t="s">
        <v>383</v>
      </c>
      <c r="O505" s="305"/>
      <c r="P505" s="372"/>
      <c r="Q505" s="377"/>
      <c r="R505" s="305"/>
      <c r="S505" s="304">
        <v>0.27292854939206618</v>
      </c>
      <c r="T505" s="305"/>
      <c r="U505" s="305"/>
      <c r="V505" s="305"/>
      <c r="W505" s="305"/>
      <c r="X505" s="305"/>
      <c r="Y505" s="305"/>
      <c r="Z505" s="384">
        <v>42.99</v>
      </c>
      <c r="AA505" s="305"/>
      <c r="AB505" s="305"/>
      <c r="AC505" s="305"/>
      <c r="AD505" s="305"/>
      <c r="AE505" s="424"/>
    </row>
    <row r="506" spans="5:31" ht="14.15" customHeight="1" x14ac:dyDescent="0.35">
      <c r="E506" s="192">
        <v>498</v>
      </c>
      <c r="F506" s="192" t="s">
        <v>267</v>
      </c>
      <c r="G506" s="192" t="s">
        <v>385</v>
      </c>
      <c r="H506" s="192" t="s">
        <v>385</v>
      </c>
      <c r="I506" s="192" t="s">
        <v>230</v>
      </c>
      <c r="J506" s="192" t="s">
        <v>1792</v>
      </c>
      <c r="K506" s="192" t="s">
        <v>339</v>
      </c>
      <c r="L506" s="192" t="str">
        <f t="shared" si="10"/>
        <v>Supply ChainSupply chainSupply chainWholesale and retail trade; repair of motor vehicles and motorcyclesWholesale and retail trade and repair services of motor vehicles and motorcyclesNaN</v>
      </c>
      <c r="M506" s="192" t="s">
        <v>1517</v>
      </c>
      <c r="N506" s="192" t="s">
        <v>383</v>
      </c>
      <c r="O506" s="305"/>
      <c r="P506" s="372"/>
      <c r="Q506" s="377"/>
      <c r="R506" s="305"/>
      <c r="S506" s="304">
        <v>0.29585756446376482</v>
      </c>
      <c r="T506" s="305"/>
      <c r="U506" s="305"/>
      <c r="V506" s="305"/>
      <c r="W506" s="305"/>
      <c r="X506" s="305"/>
      <c r="Y506" s="305"/>
      <c r="Z506" s="384">
        <v>45</v>
      </c>
      <c r="AA506" s="305"/>
      <c r="AB506" s="305"/>
      <c r="AC506" s="305"/>
      <c r="AD506" s="305"/>
      <c r="AE506" s="424"/>
    </row>
    <row r="507" spans="5:31" ht="14.15" customHeight="1" x14ac:dyDescent="0.35">
      <c r="E507" s="192">
        <v>499</v>
      </c>
      <c r="F507" s="192" t="s">
        <v>267</v>
      </c>
      <c r="G507" s="192" t="s">
        <v>385</v>
      </c>
      <c r="H507" s="192" t="s">
        <v>385</v>
      </c>
      <c r="I507" s="192" t="s">
        <v>230</v>
      </c>
      <c r="J507" s="192" t="s">
        <v>1793</v>
      </c>
      <c r="K507" s="192" t="s">
        <v>339</v>
      </c>
      <c r="L507" s="192" t="str">
        <f t="shared" si="10"/>
        <v>Supply ChainSupply chainSupply chainWholesale and retail trade; repair of motor vehicles and motorcyclesWholesale trade services, except of motor vehicles and motorcyclesNaN</v>
      </c>
      <c r="M507" s="192" t="s">
        <v>1517</v>
      </c>
      <c r="N507" s="192" t="s">
        <v>383</v>
      </c>
      <c r="O507" s="305"/>
      <c r="P507" s="372"/>
      <c r="Q507" s="377"/>
      <c r="R507" s="305"/>
      <c r="S507" s="304">
        <v>3.895282481855614</v>
      </c>
      <c r="T507" s="305"/>
      <c r="U507" s="305"/>
      <c r="V507" s="305"/>
      <c r="W507" s="305"/>
      <c r="X507" s="305"/>
      <c r="Y507" s="305"/>
      <c r="Z507" s="384">
        <v>46</v>
      </c>
      <c r="AA507" s="305"/>
      <c r="AB507" s="305"/>
      <c r="AC507" s="305"/>
      <c r="AD507" s="305"/>
      <c r="AE507" s="424"/>
    </row>
    <row r="508" spans="5:31" ht="14.15" customHeight="1" x14ac:dyDescent="0.35">
      <c r="E508" s="192">
        <v>500</v>
      </c>
      <c r="F508" s="192" t="s">
        <v>267</v>
      </c>
      <c r="G508" s="192" t="s">
        <v>385</v>
      </c>
      <c r="H508" s="192" t="s">
        <v>385</v>
      </c>
      <c r="I508" s="192" t="s">
        <v>230</v>
      </c>
      <c r="J508" s="192" t="s">
        <v>1794</v>
      </c>
      <c r="K508" s="192" t="s">
        <v>339</v>
      </c>
      <c r="L508" s="192" t="str">
        <f t="shared" si="10"/>
        <v>Supply ChainSupply chainSupply chainWholesale and retail trade; repair of motor vehicles and motorcyclesRetail trade services, except of motor vehicles and motorcyclesNaN</v>
      </c>
      <c r="M508" s="192" t="s">
        <v>1517</v>
      </c>
      <c r="N508" s="192" t="s">
        <v>383</v>
      </c>
      <c r="O508" s="305"/>
      <c r="P508" s="372"/>
      <c r="Q508" s="377"/>
      <c r="R508" s="305"/>
      <c r="S508" s="304">
        <v>0.32780124949742673</v>
      </c>
      <c r="T508" s="305"/>
      <c r="U508" s="305"/>
      <c r="V508" s="305"/>
      <c r="W508" s="305"/>
      <c r="X508" s="305"/>
      <c r="Y508" s="305"/>
      <c r="Z508" s="384">
        <v>47</v>
      </c>
      <c r="AA508" s="305"/>
      <c r="AB508" s="305"/>
      <c r="AC508" s="305"/>
      <c r="AD508" s="305"/>
      <c r="AE508" s="424"/>
    </row>
    <row r="509" spans="5:31" ht="14.15" customHeight="1" x14ac:dyDescent="0.35">
      <c r="E509" s="192">
        <v>501</v>
      </c>
      <c r="F509" s="192" t="s">
        <v>267</v>
      </c>
      <c r="G509" s="192" t="s">
        <v>385</v>
      </c>
      <c r="H509" s="192" t="s">
        <v>385</v>
      </c>
      <c r="I509" s="192" t="s">
        <v>231</v>
      </c>
      <c r="J509" s="192" t="s">
        <v>1795</v>
      </c>
      <c r="K509" s="192" t="s">
        <v>339</v>
      </c>
      <c r="L509" s="192" t="str">
        <f t="shared" si="10"/>
        <v>Supply ChainSupply chainSupply chainTransportation and storageRail transport servicesNaN</v>
      </c>
      <c r="M509" s="192" t="s">
        <v>1517</v>
      </c>
      <c r="N509" s="192" t="s">
        <v>383</v>
      </c>
      <c r="O509" s="305"/>
      <c r="P509" s="372"/>
      <c r="Q509" s="377"/>
      <c r="R509" s="305"/>
      <c r="S509" s="304">
        <v>0.47245388955734091</v>
      </c>
      <c r="T509" s="305"/>
      <c r="U509" s="305"/>
      <c r="V509" s="305"/>
      <c r="W509" s="305"/>
      <c r="X509" s="305"/>
      <c r="Y509" s="305"/>
      <c r="Z509" s="384" t="s">
        <v>1546</v>
      </c>
      <c r="AA509" s="305"/>
      <c r="AB509" s="305"/>
      <c r="AC509" s="305"/>
      <c r="AD509" s="305"/>
      <c r="AE509" s="424"/>
    </row>
    <row r="510" spans="5:31" ht="14.15" customHeight="1" x14ac:dyDescent="0.35">
      <c r="E510" s="192">
        <v>502</v>
      </c>
      <c r="F510" s="192" t="s">
        <v>267</v>
      </c>
      <c r="G510" s="192" t="s">
        <v>385</v>
      </c>
      <c r="H510" s="192" t="s">
        <v>385</v>
      </c>
      <c r="I510" s="192" t="s">
        <v>231</v>
      </c>
      <c r="J510" s="192" t="s">
        <v>1796</v>
      </c>
      <c r="K510" s="192" t="s">
        <v>339</v>
      </c>
      <c r="L510" s="192" t="str">
        <f t="shared" si="10"/>
        <v>Supply ChainSupply chainSupply chainTransportation and storageLand transport services and transport services via pipelines, excluding rail transportNaN</v>
      </c>
      <c r="M510" s="192" t="s">
        <v>1517</v>
      </c>
      <c r="N510" s="192" t="s">
        <v>383</v>
      </c>
      <c r="O510" s="305"/>
      <c r="P510" s="372"/>
      <c r="Q510" s="377"/>
      <c r="R510" s="305"/>
      <c r="S510" s="304">
        <v>0.63592581040965246</v>
      </c>
      <c r="T510" s="305"/>
      <c r="U510" s="305"/>
      <c r="V510" s="305"/>
      <c r="W510" s="305"/>
      <c r="X510" s="305"/>
      <c r="Y510" s="305"/>
      <c r="Z510" s="384" t="s">
        <v>1547</v>
      </c>
      <c r="AA510" s="305"/>
      <c r="AB510" s="305"/>
      <c r="AC510" s="305"/>
      <c r="AD510" s="305"/>
      <c r="AE510" s="424"/>
    </row>
    <row r="511" spans="5:31" ht="14.15" customHeight="1" x14ac:dyDescent="0.35">
      <c r="E511" s="192">
        <v>503</v>
      </c>
      <c r="F511" s="192" t="s">
        <v>267</v>
      </c>
      <c r="G511" s="192" t="s">
        <v>385</v>
      </c>
      <c r="H511" s="192" t="s">
        <v>385</v>
      </c>
      <c r="I511" s="192" t="s">
        <v>231</v>
      </c>
      <c r="J511" s="192" t="s">
        <v>1797</v>
      </c>
      <c r="K511" s="192" t="s">
        <v>339</v>
      </c>
      <c r="L511" s="192" t="str">
        <f t="shared" si="10"/>
        <v>Supply ChainSupply chainSupply chainTransportation and storageWater transport servicesNaN</v>
      </c>
      <c r="M511" s="192" t="s">
        <v>1517</v>
      </c>
      <c r="N511" s="192" t="s">
        <v>383</v>
      </c>
      <c r="O511" s="305"/>
      <c r="P511" s="372"/>
      <c r="Q511" s="377"/>
      <c r="R511" s="305"/>
      <c r="S511" s="304">
        <v>1.779738284889566</v>
      </c>
      <c r="T511" s="305"/>
      <c r="U511" s="305"/>
      <c r="V511" s="305"/>
      <c r="W511" s="305"/>
      <c r="X511" s="305"/>
      <c r="Y511" s="305"/>
      <c r="Z511" s="384">
        <v>50</v>
      </c>
      <c r="AA511" s="305"/>
      <c r="AB511" s="305"/>
      <c r="AC511" s="305"/>
      <c r="AD511" s="305"/>
      <c r="AE511" s="424"/>
    </row>
    <row r="512" spans="5:31" ht="14.15" customHeight="1" x14ac:dyDescent="0.35">
      <c r="E512" s="192">
        <v>504</v>
      </c>
      <c r="F512" s="192" t="s">
        <v>267</v>
      </c>
      <c r="G512" s="192" t="s">
        <v>385</v>
      </c>
      <c r="H512" s="192" t="s">
        <v>385</v>
      </c>
      <c r="I512" s="192" t="s">
        <v>231</v>
      </c>
      <c r="J512" s="192" t="s">
        <v>1798</v>
      </c>
      <c r="K512" s="192" t="s">
        <v>339</v>
      </c>
      <c r="L512" s="192" t="str">
        <f t="shared" si="10"/>
        <v>Supply ChainSupply chainSupply chainTransportation and storageAir transport servicesNaN</v>
      </c>
      <c r="M512" s="192" t="s">
        <v>1517</v>
      </c>
      <c r="N512" s="192" t="s">
        <v>383</v>
      </c>
      <c r="O512" s="305"/>
      <c r="P512" s="372"/>
      <c r="Q512" s="377"/>
      <c r="R512" s="305"/>
      <c r="S512" s="304">
        <v>1.788293816510298</v>
      </c>
      <c r="T512" s="305"/>
      <c r="U512" s="305"/>
      <c r="V512" s="305"/>
      <c r="W512" s="305"/>
      <c r="X512" s="305"/>
      <c r="Y512" s="305"/>
      <c r="Z512" s="384">
        <v>51</v>
      </c>
      <c r="AA512" s="305"/>
      <c r="AB512" s="305"/>
      <c r="AC512" s="305"/>
      <c r="AD512" s="305"/>
      <c r="AE512" s="424"/>
    </row>
    <row r="513" spans="5:31" ht="14.15" customHeight="1" x14ac:dyDescent="0.35">
      <c r="E513" s="192">
        <v>505</v>
      </c>
      <c r="F513" s="192" t="s">
        <v>267</v>
      </c>
      <c r="G513" s="192" t="s">
        <v>385</v>
      </c>
      <c r="H513" s="192" t="s">
        <v>385</v>
      </c>
      <c r="I513" s="192" t="s">
        <v>231</v>
      </c>
      <c r="J513" s="192" t="s">
        <v>1799</v>
      </c>
      <c r="K513" s="192" t="s">
        <v>339</v>
      </c>
      <c r="L513" s="192" t="str">
        <f t="shared" si="10"/>
        <v>Supply ChainSupply chainSupply chainTransportation and storageWarehousing and support services for transportationNaN</v>
      </c>
      <c r="M513" s="192" t="s">
        <v>1517</v>
      </c>
      <c r="N513" s="192" t="s">
        <v>383</v>
      </c>
      <c r="O513" s="305"/>
      <c r="P513" s="372"/>
      <c r="Q513" s="377"/>
      <c r="R513" s="305"/>
      <c r="S513" s="304">
        <v>0.39858440721842853</v>
      </c>
      <c r="T513" s="305"/>
      <c r="U513" s="305"/>
      <c r="V513" s="305"/>
      <c r="W513" s="305"/>
      <c r="X513" s="305"/>
      <c r="Y513" s="305"/>
      <c r="Z513" s="384">
        <v>52</v>
      </c>
      <c r="AA513" s="305"/>
      <c r="AB513" s="305"/>
      <c r="AC513" s="305"/>
      <c r="AD513" s="305"/>
      <c r="AE513" s="424"/>
    </row>
    <row r="514" spans="5:31" ht="14.15" customHeight="1" x14ac:dyDescent="0.35">
      <c r="E514" s="192">
        <v>506</v>
      </c>
      <c r="F514" s="192" t="s">
        <v>267</v>
      </c>
      <c r="G514" s="192" t="s">
        <v>385</v>
      </c>
      <c r="H514" s="192" t="s">
        <v>385</v>
      </c>
      <c r="I514" s="192" t="s">
        <v>231</v>
      </c>
      <c r="J514" s="192" t="s">
        <v>1800</v>
      </c>
      <c r="K514" s="192" t="s">
        <v>339</v>
      </c>
      <c r="L514" s="192" t="str">
        <f t="shared" si="10"/>
        <v>Supply ChainSupply chainSupply chainTransportation and storagePostal and courier servicesNaN</v>
      </c>
      <c r="M514" s="192" t="s">
        <v>1517</v>
      </c>
      <c r="N514" s="192" t="s">
        <v>383</v>
      </c>
      <c r="O514" s="305"/>
      <c r="P514" s="372"/>
      <c r="Q514" s="377"/>
      <c r="R514" s="305"/>
      <c r="S514" s="304">
        <v>0.26186661567155711</v>
      </c>
      <c r="T514" s="305"/>
      <c r="U514" s="305"/>
      <c r="V514" s="305"/>
      <c r="W514" s="305"/>
      <c r="X514" s="305"/>
      <c r="Y514" s="305"/>
      <c r="Z514" s="384">
        <v>53</v>
      </c>
      <c r="AA514" s="305"/>
      <c r="AB514" s="305"/>
      <c r="AC514" s="305"/>
      <c r="AD514" s="305"/>
      <c r="AE514" s="424"/>
    </row>
    <row r="515" spans="5:31" ht="14.15" customHeight="1" x14ac:dyDescent="0.35">
      <c r="E515" s="192">
        <v>507</v>
      </c>
      <c r="F515" s="192" t="s">
        <v>267</v>
      </c>
      <c r="G515" s="192" t="s">
        <v>385</v>
      </c>
      <c r="H515" s="192" t="s">
        <v>385</v>
      </c>
      <c r="I515" s="192" t="s">
        <v>232</v>
      </c>
      <c r="J515" s="192" t="s">
        <v>1801</v>
      </c>
      <c r="K515" s="192" t="s">
        <v>339</v>
      </c>
      <c r="L515" s="192" t="str">
        <f t="shared" si="10"/>
        <v>Supply ChainSupply chainSupply chainAccommodation and food service activitiesAccommodation servicesNaN</v>
      </c>
      <c r="M515" s="192" t="s">
        <v>1517</v>
      </c>
      <c r="N515" s="192" t="s">
        <v>383</v>
      </c>
      <c r="O515" s="305"/>
      <c r="P515" s="372"/>
      <c r="Q515" s="377"/>
      <c r="R515" s="305"/>
      <c r="S515" s="304">
        <v>0.2494815514577059</v>
      </c>
      <c r="T515" s="305"/>
      <c r="U515" s="305"/>
      <c r="V515" s="305"/>
      <c r="W515" s="305"/>
      <c r="X515" s="305"/>
      <c r="Y515" s="305"/>
      <c r="Z515" s="384">
        <v>55</v>
      </c>
      <c r="AA515" s="305"/>
      <c r="AB515" s="305"/>
      <c r="AC515" s="305"/>
      <c r="AD515" s="305"/>
      <c r="AE515" s="424"/>
    </row>
    <row r="516" spans="5:31" ht="14.15" customHeight="1" x14ac:dyDescent="0.35">
      <c r="E516" s="192">
        <v>508</v>
      </c>
      <c r="F516" s="192" t="s">
        <v>267</v>
      </c>
      <c r="G516" s="192" t="s">
        <v>385</v>
      </c>
      <c r="H516" s="192" t="s">
        <v>385</v>
      </c>
      <c r="I516" s="192" t="s">
        <v>232</v>
      </c>
      <c r="J516" s="192" t="s">
        <v>1802</v>
      </c>
      <c r="K516" s="192" t="s">
        <v>339</v>
      </c>
      <c r="L516" s="192" t="str">
        <f t="shared" si="10"/>
        <v>Supply ChainSupply chainSupply chainAccommodation and food service activitiesFood and beverage serving servicesNaN</v>
      </c>
      <c r="M516" s="192" t="s">
        <v>1517</v>
      </c>
      <c r="N516" s="192" t="s">
        <v>383</v>
      </c>
      <c r="O516" s="305"/>
      <c r="P516" s="372"/>
      <c r="Q516" s="377"/>
      <c r="R516" s="305"/>
      <c r="S516" s="304">
        <v>0.29192990594031148</v>
      </c>
      <c r="T516" s="305"/>
      <c r="U516" s="305"/>
      <c r="V516" s="305"/>
      <c r="W516" s="305"/>
      <c r="X516" s="305"/>
      <c r="Y516" s="305"/>
      <c r="Z516" s="384">
        <v>56</v>
      </c>
      <c r="AA516" s="305"/>
      <c r="AB516" s="305"/>
      <c r="AC516" s="305"/>
      <c r="AD516" s="305"/>
      <c r="AE516" s="424"/>
    </row>
    <row r="517" spans="5:31" ht="14.15" customHeight="1" x14ac:dyDescent="0.35">
      <c r="E517" s="192">
        <v>509</v>
      </c>
      <c r="F517" s="192" t="s">
        <v>267</v>
      </c>
      <c r="G517" s="192" t="s">
        <v>385</v>
      </c>
      <c r="H517" s="192" t="s">
        <v>385</v>
      </c>
      <c r="I517" s="192" t="s">
        <v>233</v>
      </c>
      <c r="J517" s="192" t="s">
        <v>1803</v>
      </c>
      <c r="K517" s="192" t="s">
        <v>339</v>
      </c>
      <c r="L517" s="192" t="str">
        <f t="shared" si="10"/>
        <v>Supply ChainSupply chainSupply chainInformation and communicationPublishing servicesNaN</v>
      </c>
      <c r="M517" s="192" t="s">
        <v>1517</v>
      </c>
      <c r="N517" s="192" t="s">
        <v>383</v>
      </c>
      <c r="O517" s="305"/>
      <c r="P517" s="372"/>
      <c r="Q517" s="377"/>
      <c r="R517" s="305"/>
      <c r="S517" s="304">
        <v>0.1124046809558498</v>
      </c>
      <c r="T517" s="305"/>
      <c r="U517" s="305"/>
      <c r="V517" s="305"/>
      <c r="W517" s="305"/>
      <c r="X517" s="305"/>
      <c r="Y517" s="305"/>
      <c r="Z517" s="384">
        <v>58</v>
      </c>
      <c r="AA517" s="305"/>
      <c r="AB517" s="305"/>
      <c r="AC517" s="305"/>
      <c r="AD517" s="305"/>
      <c r="AE517" s="424"/>
    </row>
    <row r="518" spans="5:31" ht="14.15" customHeight="1" x14ac:dyDescent="0.35">
      <c r="E518" s="192">
        <v>510</v>
      </c>
      <c r="F518" s="192" t="s">
        <v>267</v>
      </c>
      <c r="G518" s="192" t="s">
        <v>385</v>
      </c>
      <c r="H518" s="192" t="s">
        <v>385</v>
      </c>
      <c r="I518" s="192" t="s">
        <v>233</v>
      </c>
      <c r="J518" s="192" t="s">
        <v>1804</v>
      </c>
      <c r="K518" s="192" t="s">
        <v>339</v>
      </c>
      <c r="L518" s="192" t="str">
        <f t="shared" si="10"/>
        <v>Supply ChainSupply chainSupply chainInformation and communicationMotion picture, video and TV programme production services, sound recording &amp; music publishingNaN</v>
      </c>
      <c r="M518" s="192" t="s">
        <v>1517</v>
      </c>
      <c r="N518" s="192" t="s">
        <v>383</v>
      </c>
      <c r="O518" s="305"/>
      <c r="P518" s="372"/>
      <c r="Q518" s="377"/>
      <c r="R518" s="305"/>
      <c r="S518" s="304">
        <v>0.122442684982374</v>
      </c>
      <c r="T518" s="305"/>
      <c r="U518" s="305"/>
      <c r="V518" s="305"/>
      <c r="W518" s="305"/>
      <c r="X518" s="305"/>
      <c r="Y518" s="305"/>
      <c r="Z518" s="384">
        <v>59</v>
      </c>
      <c r="AA518" s="305"/>
      <c r="AB518" s="305"/>
      <c r="AC518" s="305"/>
      <c r="AD518" s="305"/>
      <c r="AE518" s="424"/>
    </row>
    <row r="519" spans="5:31" ht="14.15" customHeight="1" x14ac:dyDescent="0.35">
      <c r="E519" s="192">
        <v>511</v>
      </c>
      <c r="F519" s="192" t="s">
        <v>267</v>
      </c>
      <c r="G519" s="192" t="s">
        <v>385</v>
      </c>
      <c r="H519" s="192" t="s">
        <v>385</v>
      </c>
      <c r="I519" s="192" t="s">
        <v>233</v>
      </c>
      <c r="J519" s="192" t="s">
        <v>1805</v>
      </c>
      <c r="K519" s="192" t="s">
        <v>339</v>
      </c>
      <c r="L519" s="192" t="str">
        <f t="shared" si="10"/>
        <v>Supply ChainSupply chainSupply chainInformation and communicationProgramming and broadcasting servicesNaN</v>
      </c>
      <c r="M519" s="192" t="s">
        <v>1517</v>
      </c>
      <c r="N519" s="192" t="s">
        <v>383</v>
      </c>
      <c r="O519" s="305"/>
      <c r="P519" s="372"/>
      <c r="Q519" s="377"/>
      <c r="R519" s="305"/>
      <c r="S519" s="304">
        <v>0.1832306713832407</v>
      </c>
      <c r="T519" s="305"/>
      <c r="U519" s="305"/>
      <c r="V519" s="305"/>
      <c r="W519" s="305"/>
      <c r="X519" s="305"/>
      <c r="Y519" s="305"/>
      <c r="Z519" s="384">
        <v>60</v>
      </c>
      <c r="AA519" s="305"/>
      <c r="AB519" s="305"/>
      <c r="AC519" s="305"/>
      <c r="AD519" s="305"/>
      <c r="AE519" s="424"/>
    </row>
    <row r="520" spans="5:31" ht="14.15" customHeight="1" x14ac:dyDescent="0.35">
      <c r="E520" s="192">
        <v>512</v>
      </c>
      <c r="F520" s="192" t="s">
        <v>267</v>
      </c>
      <c r="G520" s="192" t="s">
        <v>385</v>
      </c>
      <c r="H520" s="192" t="s">
        <v>385</v>
      </c>
      <c r="I520" s="192" t="s">
        <v>233</v>
      </c>
      <c r="J520" s="192" t="s">
        <v>1806</v>
      </c>
      <c r="K520" s="192" t="s">
        <v>339</v>
      </c>
      <c r="L520" s="192" t="str">
        <f t="shared" si="10"/>
        <v>Supply ChainSupply chainSupply chainInformation and communicationTelecommunications servicesNaN</v>
      </c>
      <c r="M520" s="192" t="s">
        <v>1517</v>
      </c>
      <c r="N520" s="192" t="s">
        <v>383</v>
      </c>
      <c r="O520" s="305"/>
      <c r="P520" s="372"/>
      <c r="Q520" s="377"/>
      <c r="R520" s="305"/>
      <c r="S520" s="304">
        <v>0.11141773125697579</v>
      </c>
      <c r="T520" s="305"/>
      <c r="U520" s="305"/>
      <c r="V520" s="305"/>
      <c r="W520" s="305"/>
      <c r="X520" s="305"/>
      <c r="Y520" s="305"/>
      <c r="Z520" s="384">
        <v>61</v>
      </c>
      <c r="AA520" s="305"/>
      <c r="AB520" s="305"/>
      <c r="AC520" s="305"/>
      <c r="AD520" s="305"/>
      <c r="AE520" s="424"/>
    </row>
    <row r="521" spans="5:31" ht="14.15" customHeight="1" x14ac:dyDescent="0.35">
      <c r="E521" s="192">
        <v>513</v>
      </c>
      <c r="F521" s="192" t="s">
        <v>267</v>
      </c>
      <c r="G521" s="192" t="s">
        <v>385</v>
      </c>
      <c r="H521" s="192" t="s">
        <v>385</v>
      </c>
      <c r="I521" s="192" t="s">
        <v>233</v>
      </c>
      <c r="J521" s="192" t="s">
        <v>1807</v>
      </c>
      <c r="K521" s="192" t="s">
        <v>339</v>
      </c>
      <c r="L521" s="192" t="str">
        <f t="shared" si="10"/>
        <v>Supply ChainSupply chainSupply chainInformation and communicationComputer programming, consultancy and related servicesNaN</v>
      </c>
      <c r="M521" s="192" t="s">
        <v>1517</v>
      </c>
      <c r="N521" s="192" t="s">
        <v>383</v>
      </c>
      <c r="O521" s="305"/>
      <c r="P521" s="372"/>
      <c r="Q521" s="377"/>
      <c r="R521" s="305"/>
      <c r="S521" s="304">
        <v>0.1176532355318029</v>
      </c>
      <c r="T521" s="305"/>
      <c r="U521" s="305"/>
      <c r="V521" s="305"/>
      <c r="W521" s="305"/>
      <c r="X521" s="305"/>
      <c r="Y521" s="305"/>
      <c r="Z521" s="384">
        <v>62</v>
      </c>
      <c r="AA521" s="305"/>
      <c r="AB521" s="305"/>
      <c r="AC521" s="305"/>
      <c r="AD521" s="305"/>
      <c r="AE521" s="424"/>
    </row>
    <row r="522" spans="5:31" ht="14.15" customHeight="1" x14ac:dyDescent="0.35">
      <c r="E522" s="192">
        <v>514</v>
      </c>
      <c r="F522" s="192" t="s">
        <v>267</v>
      </c>
      <c r="G522" s="192" t="s">
        <v>385</v>
      </c>
      <c r="H522" s="192" t="s">
        <v>385</v>
      </c>
      <c r="I522" s="192" t="s">
        <v>233</v>
      </c>
      <c r="J522" s="192" t="s">
        <v>1808</v>
      </c>
      <c r="K522" s="192" t="s">
        <v>339</v>
      </c>
      <c r="L522" s="192" t="str">
        <f t="shared" si="10"/>
        <v>Supply ChainSupply chainSupply chainInformation and communicationInformation servicesNaN</v>
      </c>
      <c r="M522" s="192" t="s">
        <v>1517</v>
      </c>
      <c r="N522" s="192" t="s">
        <v>383</v>
      </c>
      <c r="O522" s="305"/>
      <c r="P522" s="372"/>
      <c r="Q522" s="377"/>
      <c r="R522" s="305"/>
      <c r="S522" s="304">
        <v>0.20006747482452489</v>
      </c>
      <c r="T522" s="305"/>
      <c r="U522" s="305"/>
      <c r="V522" s="305"/>
      <c r="W522" s="305"/>
      <c r="X522" s="305"/>
      <c r="Y522" s="305"/>
      <c r="Z522" s="384">
        <v>63</v>
      </c>
      <c r="AA522" s="305"/>
      <c r="AB522" s="305"/>
      <c r="AC522" s="305"/>
      <c r="AD522" s="305"/>
      <c r="AE522" s="424"/>
    </row>
    <row r="523" spans="5:31" ht="14.15" customHeight="1" x14ac:dyDescent="0.35">
      <c r="E523" s="192">
        <v>515</v>
      </c>
      <c r="F523" s="192" t="s">
        <v>267</v>
      </c>
      <c r="G523" s="192" t="s">
        <v>385</v>
      </c>
      <c r="H523" s="192" t="s">
        <v>385</v>
      </c>
      <c r="I523" s="192" t="s">
        <v>234</v>
      </c>
      <c r="J523" s="192" t="s">
        <v>1809</v>
      </c>
      <c r="K523" s="192" t="s">
        <v>339</v>
      </c>
      <c r="L523" s="192" t="str">
        <f t="shared" si="10"/>
        <v>Supply ChainSupply chainSupply chainFinancial and insurance activitiesFinancial services, except insurance and pension fundingNaN</v>
      </c>
      <c r="M523" s="192" t="s">
        <v>1517</v>
      </c>
      <c r="N523" s="192" t="s">
        <v>383</v>
      </c>
      <c r="O523" s="305"/>
      <c r="P523" s="372"/>
      <c r="Q523" s="377"/>
      <c r="R523" s="305"/>
      <c r="S523" s="304">
        <v>9.4576304302424391E-2</v>
      </c>
      <c r="T523" s="305"/>
      <c r="U523" s="305"/>
      <c r="V523" s="305"/>
      <c r="W523" s="305"/>
      <c r="X523" s="305"/>
      <c r="Y523" s="305"/>
      <c r="Z523" s="384">
        <v>64</v>
      </c>
      <c r="AA523" s="305"/>
      <c r="AB523" s="305"/>
      <c r="AC523" s="305"/>
      <c r="AD523" s="305"/>
      <c r="AE523" s="424"/>
    </row>
    <row r="524" spans="5:31" ht="14.15" customHeight="1" x14ac:dyDescent="0.35">
      <c r="E524" s="192">
        <v>516</v>
      </c>
      <c r="F524" s="192" t="s">
        <v>267</v>
      </c>
      <c r="G524" s="192" t="s">
        <v>385</v>
      </c>
      <c r="H524" s="192" t="s">
        <v>385</v>
      </c>
      <c r="I524" s="192" t="s">
        <v>234</v>
      </c>
      <c r="J524" s="192" t="s">
        <v>1810</v>
      </c>
      <c r="K524" s="192" t="s">
        <v>339</v>
      </c>
      <c r="L524" s="192" t="str">
        <f t="shared" si="10"/>
        <v>Supply ChainSupply chainSupply chainFinancial and insurance activitiesInsurance and reinsurance services, except compulsory social securityNaN</v>
      </c>
      <c r="M524" s="192" t="s">
        <v>1517</v>
      </c>
      <c r="N524" s="192" t="s">
        <v>383</v>
      </c>
      <c r="O524" s="305"/>
      <c r="P524" s="372"/>
      <c r="Q524" s="377"/>
      <c r="R524" s="305"/>
      <c r="S524" s="304">
        <v>8.2052118351262346E-2</v>
      </c>
      <c r="T524" s="305"/>
      <c r="U524" s="305"/>
      <c r="V524" s="305"/>
      <c r="W524" s="305"/>
      <c r="X524" s="305"/>
      <c r="Y524" s="305"/>
      <c r="Z524" s="384" t="s">
        <v>1548</v>
      </c>
      <c r="AA524" s="305"/>
      <c r="AB524" s="305"/>
      <c r="AC524" s="305"/>
      <c r="AD524" s="305"/>
      <c r="AE524" s="424"/>
    </row>
    <row r="525" spans="5:31" ht="14.15" customHeight="1" x14ac:dyDescent="0.35">
      <c r="E525" s="192">
        <v>517</v>
      </c>
      <c r="F525" s="192" t="s">
        <v>267</v>
      </c>
      <c r="G525" s="192" t="s">
        <v>385</v>
      </c>
      <c r="H525" s="192" t="s">
        <v>385</v>
      </c>
      <c r="I525" s="192" t="s">
        <v>234</v>
      </c>
      <c r="J525" s="192" t="s">
        <v>1811</v>
      </c>
      <c r="K525" s="192" t="s">
        <v>339</v>
      </c>
      <c r="L525" s="192" t="str">
        <f t="shared" si="10"/>
        <v>Supply ChainSupply chainSupply chainFinancial and insurance activitiesServices auxiliary to financial services and insurance servicesNaN</v>
      </c>
      <c r="M525" s="192" t="s">
        <v>1517</v>
      </c>
      <c r="N525" s="192" t="s">
        <v>383</v>
      </c>
      <c r="O525" s="305"/>
      <c r="P525" s="372"/>
      <c r="Q525" s="377"/>
      <c r="R525" s="305"/>
      <c r="S525" s="304">
        <v>7.6702536575912431E-2</v>
      </c>
      <c r="T525" s="305"/>
      <c r="U525" s="305"/>
      <c r="V525" s="305"/>
      <c r="W525" s="305"/>
      <c r="X525" s="305"/>
      <c r="Y525" s="305"/>
      <c r="Z525" s="384">
        <v>66</v>
      </c>
      <c r="AA525" s="305"/>
      <c r="AB525" s="305"/>
      <c r="AC525" s="305"/>
      <c r="AD525" s="305"/>
      <c r="AE525" s="424"/>
    </row>
    <row r="526" spans="5:31" ht="14.15" customHeight="1" x14ac:dyDescent="0.35">
      <c r="E526" s="192">
        <v>518</v>
      </c>
      <c r="F526" s="192" t="s">
        <v>267</v>
      </c>
      <c r="G526" s="192" t="s">
        <v>385</v>
      </c>
      <c r="H526" s="192" t="s">
        <v>385</v>
      </c>
      <c r="I526" s="192" t="s">
        <v>235</v>
      </c>
      <c r="J526" s="192" t="s">
        <v>1812</v>
      </c>
      <c r="K526" s="192" t="s">
        <v>339</v>
      </c>
      <c r="L526" s="192" t="str">
        <f t="shared" si="10"/>
        <v>Supply ChainSupply chainSupply chainReal estate activitiesReal estate services, excluding on a fee or contract basis and imputed rentNaN</v>
      </c>
      <c r="M526" s="192" t="s">
        <v>1517</v>
      </c>
      <c r="N526" s="192" t="s">
        <v>383</v>
      </c>
      <c r="O526" s="305"/>
      <c r="P526" s="372"/>
      <c r="Q526" s="377"/>
      <c r="R526" s="305"/>
      <c r="S526" s="304">
        <v>0.1184732533530634</v>
      </c>
      <c r="T526" s="305"/>
      <c r="U526" s="305"/>
      <c r="V526" s="305"/>
      <c r="W526" s="305"/>
      <c r="X526" s="305"/>
      <c r="Y526" s="305"/>
      <c r="Z526" s="384">
        <v>68.12</v>
      </c>
      <c r="AA526" s="305"/>
      <c r="AB526" s="305"/>
      <c r="AC526" s="305"/>
      <c r="AD526" s="305"/>
      <c r="AE526" s="424"/>
    </row>
    <row r="527" spans="5:31" ht="14.15" customHeight="1" x14ac:dyDescent="0.35">
      <c r="E527" s="192">
        <v>519</v>
      </c>
      <c r="F527" s="192" t="s">
        <v>267</v>
      </c>
      <c r="G527" s="192" t="s">
        <v>385</v>
      </c>
      <c r="H527" s="192" t="s">
        <v>385</v>
      </c>
      <c r="I527" s="192" t="s">
        <v>235</v>
      </c>
      <c r="J527" s="192" t="s">
        <v>388</v>
      </c>
      <c r="K527" s="192" t="s">
        <v>339</v>
      </c>
      <c r="L527" s="192" t="str">
        <f t="shared" ref="L527:L590" si="11">_xlfn.CONCAT(F527:K527)</f>
        <v>Supply ChainSupply chainSupply chainReal estate activitiesOwner-Occupiers' Housing ServicesNaN</v>
      </c>
      <c r="M527" s="192" t="s">
        <v>1517</v>
      </c>
      <c r="N527" s="192" t="s">
        <v>383</v>
      </c>
      <c r="O527" s="305"/>
      <c r="P527" s="372"/>
      <c r="Q527" s="377"/>
      <c r="R527" s="305"/>
      <c r="S527" s="304">
        <v>3.4922923230975407E-2</v>
      </c>
      <c r="T527" s="305"/>
      <c r="U527" s="305"/>
      <c r="V527" s="305"/>
      <c r="W527" s="305"/>
      <c r="X527" s="305"/>
      <c r="Y527" s="305"/>
      <c r="Z527" s="384" t="s">
        <v>1549</v>
      </c>
      <c r="AA527" s="305"/>
      <c r="AB527" s="305"/>
      <c r="AC527" s="305"/>
      <c r="AD527" s="305"/>
      <c r="AE527" s="424"/>
    </row>
    <row r="528" spans="5:31" ht="14.15" customHeight="1" x14ac:dyDescent="0.35">
      <c r="E528" s="192">
        <v>520</v>
      </c>
      <c r="F528" s="192" t="s">
        <v>267</v>
      </c>
      <c r="G528" s="192" t="s">
        <v>385</v>
      </c>
      <c r="H528" s="192" t="s">
        <v>385</v>
      </c>
      <c r="I528" s="192" t="s">
        <v>235</v>
      </c>
      <c r="J528" s="192" t="s">
        <v>1813</v>
      </c>
      <c r="K528" s="192" t="s">
        <v>339</v>
      </c>
      <c r="L528" s="192" t="str">
        <f t="shared" si="11"/>
        <v>Supply ChainSupply chainSupply chainReal estate activitiesReal estate services on a fee or contract basisNaN</v>
      </c>
      <c r="M528" s="192" t="s">
        <v>1517</v>
      </c>
      <c r="N528" s="192" t="s">
        <v>383</v>
      </c>
      <c r="O528" s="305"/>
      <c r="P528" s="372"/>
      <c r="Q528" s="377"/>
      <c r="R528" s="305"/>
      <c r="S528" s="304">
        <v>8.9460984132745877E-2</v>
      </c>
      <c r="T528" s="305"/>
      <c r="U528" s="305"/>
      <c r="V528" s="305"/>
      <c r="W528" s="305"/>
      <c r="X528" s="305"/>
      <c r="Y528" s="305"/>
      <c r="Z528" s="384">
        <v>68.3</v>
      </c>
      <c r="AA528" s="305"/>
      <c r="AB528" s="305"/>
      <c r="AC528" s="305"/>
      <c r="AD528" s="305"/>
      <c r="AE528" s="424"/>
    </row>
    <row r="529" spans="5:31" ht="14.15" customHeight="1" x14ac:dyDescent="0.35">
      <c r="E529" s="192">
        <v>521</v>
      </c>
      <c r="F529" s="192" t="s">
        <v>267</v>
      </c>
      <c r="G529" s="192" t="s">
        <v>385</v>
      </c>
      <c r="H529" s="192" t="s">
        <v>385</v>
      </c>
      <c r="I529" s="192" t="s">
        <v>236</v>
      </c>
      <c r="J529" s="192" t="s">
        <v>1814</v>
      </c>
      <c r="K529" s="192" t="s">
        <v>339</v>
      </c>
      <c r="L529" s="192" t="str">
        <f t="shared" si="11"/>
        <v>Supply ChainSupply chainSupply chainProfessional, scientific and technical activitiesLegal servicesNaN</v>
      </c>
      <c r="M529" s="192" t="s">
        <v>1517</v>
      </c>
      <c r="N529" s="192" t="s">
        <v>383</v>
      </c>
      <c r="O529" s="305"/>
      <c r="P529" s="372"/>
      <c r="Q529" s="377"/>
      <c r="R529" s="305"/>
      <c r="S529" s="304">
        <v>5.1787354997724598E-2</v>
      </c>
      <c r="T529" s="305"/>
      <c r="U529" s="305"/>
      <c r="V529" s="305"/>
      <c r="W529" s="305"/>
      <c r="X529" s="305"/>
      <c r="Y529" s="305"/>
      <c r="Z529" s="384">
        <v>69.099999999999994</v>
      </c>
      <c r="AA529" s="305"/>
      <c r="AB529" s="305"/>
      <c r="AC529" s="305"/>
      <c r="AD529" s="305"/>
      <c r="AE529" s="424"/>
    </row>
    <row r="530" spans="5:31" ht="14.15" customHeight="1" x14ac:dyDescent="0.35">
      <c r="E530" s="192">
        <v>522</v>
      </c>
      <c r="F530" s="192" t="s">
        <v>267</v>
      </c>
      <c r="G530" s="192" t="s">
        <v>385</v>
      </c>
      <c r="H530" s="192" t="s">
        <v>385</v>
      </c>
      <c r="I530" s="192" t="s">
        <v>236</v>
      </c>
      <c r="J530" s="192" t="s">
        <v>1815</v>
      </c>
      <c r="K530" s="192" t="s">
        <v>339</v>
      </c>
      <c r="L530" s="192" t="str">
        <f t="shared" si="11"/>
        <v>Supply ChainSupply chainSupply chainProfessional, scientific and technical activitiesAccounting, bookkeeping and auditing services; tax consulting servicesNaN</v>
      </c>
      <c r="M530" s="192" t="s">
        <v>1517</v>
      </c>
      <c r="N530" s="192" t="s">
        <v>383</v>
      </c>
      <c r="O530" s="305"/>
      <c r="P530" s="372"/>
      <c r="Q530" s="377"/>
      <c r="R530" s="305"/>
      <c r="S530" s="304">
        <v>6.8713434543038826E-2</v>
      </c>
      <c r="T530" s="305"/>
      <c r="U530" s="305"/>
      <c r="V530" s="305"/>
      <c r="W530" s="305"/>
      <c r="X530" s="305"/>
      <c r="Y530" s="305"/>
      <c r="Z530" s="384">
        <v>69.2</v>
      </c>
      <c r="AA530" s="305"/>
      <c r="AB530" s="305"/>
      <c r="AC530" s="305"/>
      <c r="AD530" s="305"/>
      <c r="AE530" s="424"/>
    </row>
    <row r="531" spans="5:31" ht="14.15" customHeight="1" x14ac:dyDescent="0.35">
      <c r="E531" s="192">
        <v>523</v>
      </c>
      <c r="F531" s="192" t="s">
        <v>267</v>
      </c>
      <c r="G531" s="192" t="s">
        <v>385</v>
      </c>
      <c r="H531" s="192" t="s">
        <v>385</v>
      </c>
      <c r="I531" s="192" t="s">
        <v>236</v>
      </c>
      <c r="J531" s="192" t="s">
        <v>1816</v>
      </c>
      <c r="K531" s="192" t="s">
        <v>339</v>
      </c>
      <c r="L531" s="192" t="str">
        <f t="shared" si="11"/>
        <v>Supply ChainSupply chainSupply chainProfessional, scientific and technical activitiesServices of head offices; management consulting servicesNaN</v>
      </c>
      <c r="M531" s="192" t="s">
        <v>1517</v>
      </c>
      <c r="N531" s="192" t="s">
        <v>383</v>
      </c>
      <c r="O531" s="305"/>
      <c r="P531" s="372"/>
      <c r="Q531" s="377"/>
      <c r="R531" s="305"/>
      <c r="S531" s="304">
        <v>0.11804398463649821</v>
      </c>
      <c r="T531" s="305"/>
      <c r="U531" s="305"/>
      <c r="V531" s="305"/>
      <c r="W531" s="305"/>
      <c r="X531" s="305"/>
      <c r="Y531" s="305"/>
      <c r="Z531" s="384">
        <v>70</v>
      </c>
      <c r="AA531" s="305"/>
      <c r="AB531" s="305"/>
      <c r="AC531" s="305"/>
      <c r="AD531" s="305"/>
      <c r="AE531" s="424"/>
    </row>
    <row r="532" spans="5:31" ht="14.15" customHeight="1" x14ac:dyDescent="0.35">
      <c r="E532" s="192">
        <v>524</v>
      </c>
      <c r="F532" s="192" t="s">
        <v>267</v>
      </c>
      <c r="G532" s="192" t="s">
        <v>385</v>
      </c>
      <c r="H532" s="192" t="s">
        <v>385</v>
      </c>
      <c r="I532" s="192" t="s">
        <v>236</v>
      </c>
      <c r="J532" s="192" t="s">
        <v>1817</v>
      </c>
      <c r="K532" s="192" t="s">
        <v>339</v>
      </c>
      <c r="L532" s="192" t="str">
        <f t="shared" si="11"/>
        <v>Supply ChainSupply chainSupply chainProfessional, scientific and technical activitiesArchitectural and engineering services; technical testing and analysis servicesNaN</v>
      </c>
      <c r="M532" s="192" t="s">
        <v>1517</v>
      </c>
      <c r="N532" s="192" t="s">
        <v>383</v>
      </c>
      <c r="O532" s="305"/>
      <c r="P532" s="372"/>
      <c r="Q532" s="377"/>
      <c r="R532" s="305"/>
      <c r="S532" s="304">
        <v>0.19025404566690829</v>
      </c>
      <c r="T532" s="305"/>
      <c r="U532" s="305"/>
      <c r="V532" s="305"/>
      <c r="W532" s="305"/>
      <c r="X532" s="305"/>
      <c r="Y532" s="305"/>
      <c r="Z532" s="384">
        <v>71</v>
      </c>
      <c r="AA532" s="305"/>
      <c r="AB532" s="305"/>
      <c r="AC532" s="305"/>
      <c r="AD532" s="305"/>
      <c r="AE532" s="424"/>
    </row>
    <row r="533" spans="5:31" ht="14.15" customHeight="1" x14ac:dyDescent="0.35">
      <c r="E533" s="192">
        <v>525</v>
      </c>
      <c r="F533" s="192" t="s">
        <v>267</v>
      </c>
      <c r="G533" s="192" t="s">
        <v>385</v>
      </c>
      <c r="H533" s="192" t="s">
        <v>385</v>
      </c>
      <c r="I533" s="192" t="s">
        <v>236</v>
      </c>
      <c r="J533" s="192" t="s">
        <v>1818</v>
      </c>
      <c r="K533" s="192" t="s">
        <v>339</v>
      </c>
      <c r="L533" s="192" t="str">
        <f t="shared" si="11"/>
        <v>Supply ChainSupply chainSupply chainProfessional, scientific and technical activitiesScientific research and development servicesNaN</v>
      </c>
      <c r="M533" s="192" t="s">
        <v>1517</v>
      </c>
      <c r="N533" s="192" t="s">
        <v>383</v>
      </c>
      <c r="O533" s="305"/>
      <c r="P533" s="372"/>
      <c r="Q533" s="377"/>
      <c r="R533" s="305"/>
      <c r="S533" s="304">
        <v>0.19207367553106819</v>
      </c>
      <c r="T533" s="305"/>
      <c r="U533" s="305"/>
      <c r="V533" s="305"/>
      <c r="W533" s="305"/>
      <c r="X533" s="305"/>
      <c r="Y533" s="305"/>
      <c r="Z533" s="384">
        <v>72</v>
      </c>
      <c r="AA533" s="305"/>
      <c r="AB533" s="305"/>
      <c r="AC533" s="305"/>
      <c r="AD533" s="305"/>
      <c r="AE533" s="424"/>
    </row>
    <row r="534" spans="5:31" ht="14.15" customHeight="1" x14ac:dyDescent="0.35">
      <c r="E534" s="192">
        <v>526</v>
      </c>
      <c r="F534" s="192" t="s">
        <v>267</v>
      </c>
      <c r="G534" s="192" t="s">
        <v>385</v>
      </c>
      <c r="H534" s="192" t="s">
        <v>385</v>
      </c>
      <c r="I534" s="192" t="s">
        <v>236</v>
      </c>
      <c r="J534" s="192" t="s">
        <v>1819</v>
      </c>
      <c r="K534" s="192" t="s">
        <v>339</v>
      </c>
      <c r="L534" s="192" t="str">
        <f t="shared" si="11"/>
        <v>Supply ChainSupply chainSupply chainProfessional, scientific and technical activitiesAdvertising and market research servicesNaN</v>
      </c>
      <c r="M534" s="192" t="s">
        <v>1517</v>
      </c>
      <c r="N534" s="192" t="s">
        <v>383</v>
      </c>
      <c r="O534" s="305"/>
      <c r="P534" s="372"/>
      <c r="Q534" s="377"/>
      <c r="R534" s="305"/>
      <c r="S534" s="304">
        <v>0.1014735777671424</v>
      </c>
      <c r="T534" s="305"/>
      <c r="U534" s="305"/>
      <c r="V534" s="305"/>
      <c r="W534" s="305"/>
      <c r="X534" s="305"/>
      <c r="Y534" s="305"/>
      <c r="Z534" s="384">
        <v>73</v>
      </c>
      <c r="AA534" s="305"/>
      <c r="AB534" s="305"/>
      <c r="AC534" s="305"/>
      <c r="AD534" s="305"/>
      <c r="AE534" s="424"/>
    </row>
    <row r="535" spans="5:31" ht="14.15" customHeight="1" x14ac:dyDescent="0.35">
      <c r="E535" s="192">
        <v>527</v>
      </c>
      <c r="F535" s="192" t="s">
        <v>267</v>
      </c>
      <c r="G535" s="192" t="s">
        <v>385</v>
      </c>
      <c r="H535" s="192" t="s">
        <v>385</v>
      </c>
      <c r="I535" s="192" t="s">
        <v>236</v>
      </c>
      <c r="J535" s="192" t="s">
        <v>1820</v>
      </c>
      <c r="K535" s="192" t="s">
        <v>339</v>
      </c>
      <c r="L535" s="192" t="str">
        <f t="shared" si="11"/>
        <v>Supply ChainSupply chainSupply chainProfessional, scientific and technical activitiesOther professional, scientific and technical servicesNaN</v>
      </c>
      <c r="M535" s="192" t="s">
        <v>1517</v>
      </c>
      <c r="N535" s="192" t="s">
        <v>383</v>
      </c>
      <c r="O535" s="305"/>
      <c r="P535" s="372"/>
      <c r="Q535" s="377"/>
      <c r="R535" s="305"/>
      <c r="S535" s="304">
        <v>0.1507205874937057</v>
      </c>
      <c r="T535" s="305"/>
      <c r="U535" s="305"/>
      <c r="V535" s="305"/>
      <c r="W535" s="305"/>
      <c r="X535" s="305"/>
      <c r="Y535" s="305"/>
      <c r="Z535" s="384">
        <v>74</v>
      </c>
      <c r="AA535" s="305"/>
      <c r="AB535" s="305"/>
      <c r="AC535" s="305"/>
      <c r="AD535" s="305"/>
      <c r="AE535" s="424"/>
    </row>
    <row r="536" spans="5:31" ht="14.15" customHeight="1" x14ac:dyDescent="0.35">
      <c r="E536" s="192">
        <v>528</v>
      </c>
      <c r="F536" s="192" t="s">
        <v>267</v>
      </c>
      <c r="G536" s="192" t="s">
        <v>385</v>
      </c>
      <c r="H536" s="192" t="s">
        <v>385</v>
      </c>
      <c r="I536" s="192" t="s">
        <v>236</v>
      </c>
      <c r="J536" s="192" t="s">
        <v>1821</v>
      </c>
      <c r="K536" s="192" t="s">
        <v>339</v>
      </c>
      <c r="L536" s="192" t="str">
        <f t="shared" si="11"/>
        <v>Supply ChainSupply chainSupply chainProfessional, scientific and technical activitiesVeterinary servicesNaN</v>
      </c>
      <c r="M536" s="192" t="s">
        <v>1517</v>
      </c>
      <c r="N536" s="192" t="s">
        <v>383</v>
      </c>
      <c r="O536" s="305"/>
      <c r="P536" s="372"/>
      <c r="Q536" s="377"/>
      <c r="R536" s="305"/>
      <c r="S536" s="304">
        <v>0.1002774340254371</v>
      </c>
      <c r="T536" s="305"/>
      <c r="U536" s="305"/>
      <c r="V536" s="305"/>
      <c r="W536" s="305"/>
      <c r="X536" s="305"/>
      <c r="Y536" s="305"/>
      <c r="Z536" s="384">
        <v>75</v>
      </c>
      <c r="AA536" s="305"/>
      <c r="AB536" s="305"/>
      <c r="AC536" s="305"/>
      <c r="AD536" s="305"/>
      <c r="AE536" s="424"/>
    </row>
    <row r="537" spans="5:31" ht="14.15" customHeight="1" x14ac:dyDescent="0.35">
      <c r="E537" s="192">
        <v>529</v>
      </c>
      <c r="F537" s="192" t="s">
        <v>267</v>
      </c>
      <c r="G537" s="192" t="s">
        <v>385</v>
      </c>
      <c r="H537" s="192" t="s">
        <v>385</v>
      </c>
      <c r="I537" s="192" t="s">
        <v>237</v>
      </c>
      <c r="J537" s="192" t="s">
        <v>1822</v>
      </c>
      <c r="K537" s="192" t="s">
        <v>339</v>
      </c>
      <c r="L537" s="192" t="str">
        <f t="shared" si="11"/>
        <v>Supply ChainSupply chainSupply chainAdministrative and support service activitiesRental and leasing servicesNaN</v>
      </c>
      <c r="M537" s="192" t="s">
        <v>1517</v>
      </c>
      <c r="N537" s="192" t="s">
        <v>383</v>
      </c>
      <c r="O537" s="305"/>
      <c r="P537" s="372"/>
      <c r="Q537" s="377"/>
      <c r="R537" s="305"/>
      <c r="S537" s="304">
        <v>0.1498692944973336</v>
      </c>
      <c r="T537" s="305"/>
      <c r="U537" s="305"/>
      <c r="V537" s="305"/>
      <c r="W537" s="305"/>
      <c r="X537" s="305"/>
      <c r="Y537" s="305"/>
      <c r="Z537" s="384">
        <v>77</v>
      </c>
      <c r="AA537" s="305"/>
      <c r="AB537" s="305"/>
      <c r="AC537" s="305"/>
      <c r="AD537" s="305"/>
      <c r="AE537" s="424"/>
    </row>
    <row r="538" spans="5:31" ht="14.15" customHeight="1" x14ac:dyDescent="0.35">
      <c r="E538" s="192">
        <v>530</v>
      </c>
      <c r="F538" s="192" t="s">
        <v>267</v>
      </c>
      <c r="G538" s="192" t="s">
        <v>385</v>
      </c>
      <c r="H538" s="192" t="s">
        <v>385</v>
      </c>
      <c r="I538" s="192" t="s">
        <v>237</v>
      </c>
      <c r="J538" s="192" t="s">
        <v>1823</v>
      </c>
      <c r="K538" s="192" t="s">
        <v>339</v>
      </c>
      <c r="L538" s="192" t="str">
        <f t="shared" si="11"/>
        <v>Supply ChainSupply chainSupply chainAdministrative and support service activitiesEmployment servicesNaN</v>
      </c>
      <c r="M538" s="192" t="s">
        <v>1517</v>
      </c>
      <c r="N538" s="192" t="s">
        <v>383</v>
      </c>
      <c r="O538" s="305"/>
      <c r="P538" s="372"/>
      <c r="Q538" s="377"/>
      <c r="R538" s="305"/>
      <c r="S538" s="304">
        <v>6.1113473582947497E-2</v>
      </c>
      <c r="T538" s="305"/>
      <c r="U538" s="305"/>
      <c r="V538" s="305"/>
      <c r="W538" s="305"/>
      <c r="X538" s="305"/>
      <c r="Y538" s="305"/>
      <c r="Z538" s="384">
        <v>78</v>
      </c>
      <c r="AA538" s="305"/>
      <c r="AB538" s="305"/>
      <c r="AC538" s="305"/>
      <c r="AD538" s="305"/>
      <c r="AE538" s="424"/>
    </row>
    <row r="539" spans="5:31" ht="14.15" customHeight="1" x14ac:dyDescent="0.35">
      <c r="E539" s="192">
        <v>531</v>
      </c>
      <c r="F539" s="192" t="s">
        <v>267</v>
      </c>
      <c r="G539" s="192" t="s">
        <v>385</v>
      </c>
      <c r="H539" s="192" t="s">
        <v>385</v>
      </c>
      <c r="I539" s="192" t="s">
        <v>237</v>
      </c>
      <c r="J539" s="192" t="s">
        <v>1824</v>
      </c>
      <c r="K539" s="192" t="s">
        <v>339</v>
      </c>
      <c r="L539" s="192" t="str">
        <f t="shared" si="11"/>
        <v>Supply ChainSupply chainSupply chainAdministrative and support service activitiesTravel agency, tour operator and other reservation services and related servicesNaN</v>
      </c>
      <c r="M539" s="192" t="s">
        <v>1517</v>
      </c>
      <c r="N539" s="192" t="s">
        <v>383</v>
      </c>
      <c r="O539" s="305"/>
      <c r="P539" s="372"/>
      <c r="Q539" s="377"/>
      <c r="R539" s="305"/>
      <c r="S539" s="304">
        <v>0.36633023427843597</v>
      </c>
      <c r="T539" s="305"/>
      <c r="U539" s="305"/>
      <c r="V539" s="305"/>
      <c r="W539" s="305"/>
      <c r="X539" s="305"/>
      <c r="Y539" s="305"/>
      <c r="Z539" s="384">
        <v>79</v>
      </c>
      <c r="AA539" s="305"/>
      <c r="AB539" s="305"/>
      <c r="AC539" s="305"/>
      <c r="AD539" s="305"/>
      <c r="AE539" s="424"/>
    </row>
    <row r="540" spans="5:31" ht="14.15" customHeight="1" x14ac:dyDescent="0.35">
      <c r="E540" s="192">
        <v>532</v>
      </c>
      <c r="F540" s="192" t="s">
        <v>267</v>
      </c>
      <c r="G540" s="192" t="s">
        <v>385</v>
      </c>
      <c r="H540" s="192" t="s">
        <v>385</v>
      </c>
      <c r="I540" s="192" t="s">
        <v>237</v>
      </c>
      <c r="J540" s="192" t="s">
        <v>1825</v>
      </c>
      <c r="K540" s="192" t="s">
        <v>339</v>
      </c>
      <c r="L540" s="192" t="str">
        <f t="shared" si="11"/>
        <v>Supply ChainSupply chainSupply chainAdministrative and support service activitiesSecurity and investigation servicesNaN</v>
      </c>
      <c r="M540" s="192" t="s">
        <v>1517</v>
      </c>
      <c r="N540" s="192" t="s">
        <v>383</v>
      </c>
      <c r="O540" s="305"/>
      <c r="P540" s="372"/>
      <c r="Q540" s="377"/>
      <c r="R540" s="305"/>
      <c r="S540" s="304">
        <v>8.5321897129267493E-2</v>
      </c>
      <c r="T540" s="305"/>
      <c r="U540" s="305"/>
      <c r="V540" s="305"/>
      <c r="W540" s="305"/>
      <c r="X540" s="305"/>
      <c r="Y540" s="305"/>
      <c r="Z540" s="384">
        <v>80</v>
      </c>
      <c r="AA540" s="305"/>
      <c r="AB540" s="305"/>
      <c r="AC540" s="305"/>
      <c r="AD540" s="305"/>
      <c r="AE540" s="424"/>
    </row>
    <row r="541" spans="5:31" ht="14.15" customHeight="1" x14ac:dyDescent="0.35">
      <c r="E541" s="192">
        <v>533</v>
      </c>
      <c r="F541" s="192" t="s">
        <v>267</v>
      </c>
      <c r="G541" s="192" t="s">
        <v>385</v>
      </c>
      <c r="H541" s="192" t="s">
        <v>385</v>
      </c>
      <c r="I541" s="192" t="s">
        <v>237</v>
      </c>
      <c r="J541" s="192" t="s">
        <v>1826</v>
      </c>
      <c r="K541" s="192" t="s">
        <v>339</v>
      </c>
      <c r="L541" s="192" t="str">
        <f t="shared" si="11"/>
        <v>Supply ChainSupply chainSupply chainAdministrative and support service activitiesServices to buildings and landscapeNaN</v>
      </c>
      <c r="M541" s="192" t="s">
        <v>1517</v>
      </c>
      <c r="N541" s="192" t="s">
        <v>383</v>
      </c>
      <c r="O541" s="305"/>
      <c r="P541" s="372"/>
      <c r="Q541" s="377"/>
      <c r="R541" s="305"/>
      <c r="S541" s="304">
        <v>0.16471988573709689</v>
      </c>
      <c r="T541" s="305"/>
      <c r="U541" s="305"/>
      <c r="V541" s="305"/>
      <c r="W541" s="305"/>
      <c r="X541" s="305"/>
      <c r="Y541" s="305"/>
      <c r="Z541" s="384">
        <v>81</v>
      </c>
      <c r="AA541" s="305"/>
      <c r="AB541" s="305"/>
      <c r="AC541" s="305"/>
      <c r="AD541" s="305"/>
      <c r="AE541" s="424"/>
    </row>
    <row r="542" spans="5:31" ht="14.15" customHeight="1" x14ac:dyDescent="0.35">
      <c r="E542" s="192">
        <v>534</v>
      </c>
      <c r="F542" s="192" t="s">
        <v>267</v>
      </c>
      <c r="G542" s="192" t="s">
        <v>385</v>
      </c>
      <c r="H542" s="192" t="s">
        <v>385</v>
      </c>
      <c r="I542" s="192" t="s">
        <v>237</v>
      </c>
      <c r="J542" s="192" t="s">
        <v>1827</v>
      </c>
      <c r="K542" s="192" t="s">
        <v>339</v>
      </c>
      <c r="L542" s="192" t="str">
        <f t="shared" si="11"/>
        <v>Supply ChainSupply chainSupply chainAdministrative and support service activitiesOffice administrative, office support and other business support servicesNaN</v>
      </c>
      <c r="M542" s="192" t="s">
        <v>1517</v>
      </c>
      <c r="N542" s="192" t="s">
        <v>383</v>
      </c>
      <c r="O542" s="305"/>
      <c r="P542" s="372"/>
      <c r="Q542" s="377"/>
      <c r="R542" s="305"/>
      <c r="S542" s="304">
        <v>0.20238964476022561</v>
      </c>
      <c r="T542" s="305"/>
      <c r="U542" s="305"/>
      <c r="V542" s="305"/>
      <c r="W542" s="305"/>
      <c r="X542" s="305"/>
      <c r="Y542" s="305"/>
      <c r="Z542" s="384">
        <v>82</v>
      </c>
      <c r="AA542" s="305"/>
      <c r="AB542" s="305"/>
      <c r="AC542" s="305"/>
      <c r="AD542" s="305"/>
      <c r="AE542" s="424"/>
    </row>
    <row r="543" spans="5:31" ht="14.15" customHeight="1" x14ac:dyDescent="0.35">
      <c r="E543" s="192">
        <v>535</v>
      </c>
      <c r="F543" s="192" t="s">
        <v>267</v>
      </c>
      <c r="G543" s="192" t="s">
        <v>385</v>
      </c>
      <c r="H543" s="192" t="s">
        <v>385</v>
      </c>
      <c r="I543" s="192" t="s">
        <v>238</v>
      </c>
      <c r="J543" s="192" t="s">
        <v>1828</v>
      </c>
      <c r="K543" s="192" t="s">
        <v>339</v>
      </c>
      <c r="L543" s="192" t="str">
        <f t="shared" si="11"/>
        <v>Supply ChainSupply chainSupply chainPublic administration and defence; compulsory social securityPublic administration and defence services; compulsory social security servicesNaN</v>
      </c>
      <c r="M543" s="192" t="s">
        <v>1517</v>
      </c>
      <c r="N543" s="192" t="s">
        <v>383</v>
      </c>
      <c r="O543" s="305"/>
      <c r="P543" s="372"/>
      <c r="Q543" s="377"/>
      <c r="R543" s="305"/>
      <c r="S543" s="304">
        <v>0.26642809645444993</v>
      </c>
      <c r="T543" s="305"/>
      <c r="U543" s="305"/>
      <c r="V543" s="305"/>
      <c r="W543" s="305"/>
      <c r="X543" s="305"/>
      <c r="Y543" s="305"/>
      <c r="Z543" s="384">
        <v>84</v>
      </c>
      <c r="AA543" s="305"/>
      <c r="AB543" s="305"/>
      <c r="AC543" s="305"/>
      <c r="AD543" s="305"/>
      <c r="AE543" s="424"/>
    </row>
    <row r="544" spans="5:31" ht="14.15" customHeight="1" x14ac:dyDescent="0.35">
      <c r="E544" s="192">
        <v>536</v>
      </c>
      <c r="F544" s="192" t="s">
        <v>267</v>
      </c>
      <c r="G544" s="192" t="s">
        <v>385</v>
      </c>
      <c r="H544" s="192" t="s">
        <v>385</v>
      </c>
      <c r="I544" s="192" t="s">
        <v>239</v>
      </c>
      <c r="J544" s="192" t="s">
        <v>1829</v>
      </c>
      <c r="K544" s="192" t="s">
        <v>339</v>
      </c>
      <c r="L544" s="192" t="str">
        <f t="shared" si="11"/>
        <v>Supply ChainSupply chainSupply chainEducationEducation servicesNaN</v>
      </c>
      <c r="M544" s="192" t="s">
        <v>1517</v>
      </c>
      <c r="N544" s="192" t="s">
        <v>383</v>
      </c>
      <c r="O544" s="305"/>
      <c r="P544" s="372"/>
      <c r="Q544" s="377"/>
      <c r="R544" s="305"/>
      <c r="S544" s="304">
        <v>0.1359480048591884</v>
      </c>
      <c r="T544" s="305"/>
      <c r="U544" s="305"/>
      <c r="V544" s="305"/>
      <c r="W544" s="305"/>
      <c r="X544" s="305"/>
      <c r="Y544" s="305"/>
      <c r="Z544" s="384">
        <v>85</v>
      </c>
      <c r="AA544" s="305"/>
      <c r="AB544" s="305"/>
      <c r="AC544" s="305"/>
      <c r="AD544" s="305"/>
      <c r="AE544" s="424"/>
    </row>
    <row r="545" spans="5:31" ht="14.15" customHeight="1" x14ac:dyDescent="0.35">
      <c r="E545" s="192">
        <v>537</v>
      </c>
      <c r="F545" s="192" t="s">
        <v>267</v>
      </c>
      <c r="G545" s="192" t="s">
        <v>385</v>
      </c>
      <c r="H545" s="192" t="s">
        <v>385</v>
      </c>
      <c r="I545" s="192" t="s">
        <v>240</v>
      </c>
      <c r="J545" s="192" t="s">
        <v>1830</v>
      </c>
      <c r="K545" s="192" t="s">
        <v>339</v>
      </c>
      <c r="L545" s="192" t="str">
        <f t="shared" si="11"/>
        <v>Supply ChainSupply chainSupply chainHuman health and social work activitiesHuman health servicesNaN</v>
      </c>
      <c r="M545" s="192" t="s">
        <v>1517</v>
      </c>
      <c r="N545" s="192" t="s">
        <v>383</v>
      </c>
      <c r="O545" s="305"/>
      <c r="P545" s="372"/>
      <c r="Q545" s="377"/>
      <c r="R545" s="305"/>
      <c r="S545" s="304">
        <v>0.2144965030496169</v>
      </c>
      <c r="T545" s="305"/>
      <c r="U545" s="305"/>
      <c r="V545" s="305"/>
      <c r="W545" s="305"/>
      <c r="X545" s="305"/>
      <c r="Y545" s="305"/>
      <c r="Z545" s="384">
        <v>86</v>
      </c>
      <c r="AA545" s="305"/>
      <c r="AB545" s="305"/>
      <c r="AC545" s="305"/>
      <c r="AD545" s="305"/>
      <c r="AE545" s="424"/>
    </row>
    <row r="546" spans="5:31" ht="14.15" customHeight="1" x14ac:dyDescent="0.35">
      <c r="E546" s="192">
        <v>538</v>
      </c>
      <c r="F546" s="192" t="s">
        <v>267</v>
      </c>
      <c r="G546" s="192" t="s">
        <v>385</v>
      </c>
      <c r="H546" s="192" t="s">
        <v>385</v>
      </c>
      <c r="I546" s="192" t="s">
        <v>240</v>
      </c>
      <c r="J546" s="192" t="s">
        <v>1831</v>
      </c>
      <c r="K546" s="192" t="s">
        <v>339</v>
      </c>
      <c r="L546" s="192" t="str">
        <f t="shared" si="11"/>
        <v>Supply ChainSupply chainSupply chainHuman health and social work activitiesResidential care servicesNaN</v>
      </c>
      <c r="M546" s="192" t="s">
        <v>1517</v>
      </c>
      <c r="N546" s="192" t="s">
        <v>383</v>
      </c>
      <c r="O546" s="305"/>
      <c r="P546" s="372"/>
      <c r="Q546" s="377"/>
      <c r="R546" s="305"/>
      <c r="S546" s="304">
        <v>0.1426506063829884</v>
      </c>
      <c r="T546" s="305"/>
      <c r="U546" s="305"/>
      <c r="V546" s="305"/>
      <c r="W546" s="305"/>
      <c r="X546" s="305"/>
      <c r="Y546" s="305"/>
      <c r="Z546" s="384">
        <v>87</v>
      </c>
      <c r="AA546" s="305"/>
      <c r="AB546" s="305"/>
      <c r="AC546" s="305"/>
      <c r="AD546" s="305"/>
      <c r="AE546" s="424"/>
    </row>
    <row r="547" spans="5:31" ht="14.15" customHeight="1" x14ac:dyDescent="0.35">
      <c r="E547" s="192">
        <v>539</v>
      </c>
      <c r="F547" s="192" t="s">
        <v>267</v>
      </c>
      <c r="G547" s="192" t="s">
        <v>385</v>
      </c>
      <c r="H547" s="192" t="s">
        <v>385</v>
      </c>
      <c r="I547" s="192" t="s">
        <v>240</v>
      </c>
      <c r="J547" s="192" t="s">
        <v>1832</v>
      </c>
      <c r="K547" s="192" t="s">
        <v>339</v>
      </c>
      <c r="L547" s="192" t="str">
        <f t="shared" si="11"/>
        <v>Supply ChainSupply chainSupply chainHuman health and social work activitiesSocial work services without accommodationNaN</v>
      </c>
      <c r="M547" s="192" t="s">
        <v>1517</v>
      </c>
      <c r="N547" s="192" t="s">
        <v>383</v>
      </c>
      <c r="O547" s="305"/>
      <c r="P547" s="372"/>
      <c r="Q547" s="377"/>
      <c r="R547" s="305"/>
      <c r="S547" s="304">
        <v>0.16185496877509381</v>
      </c>
      <c r="T547" s="305"/>
      <c r="U547" s="305"/>
      <c r="V547" s="305"/>
      <c r="W547" s="305"/>
      <c r="X547" s="305"/>
      <c r="Y547" s="305"/>
      <c r="Z547" s="384">
        <v>88</v>
      </c>
      <c r="AA547" s="305"/>
      <c r="AB547" s="305"/>
      <c r="AC547" s="305"/>
      <c r="AD547" s="305"/>
      <c r="AE547" s="424"/>
    </row>
    <row r="548" spans="5:31" ht="14.15" customHeight="1" x14ac:dyDescent="0.35">
      <c r="E548" s="192">
        <v>540</v>
      </c>
      <c r="F548" s="192" t="s">
        <v>267</v>
      </c>
      <c r="G548" s="192" t="s">
        <v>385</v>
      </c>
      <c r="H548" s="192" t="s">
        <v>385</v>
      </c>
      <c r="I548" s="192" t="s">
        <v>241</v>
      </c>
      <c r="J548" s="192" t="s">
        <v>1833</v>
      </c>
      <c r="K548" s="192" t="s">
        <v>339</v>
      </c>
      <c r="L548" s="192" t="str">
        <f t="shared" si="11"/>
        <v>Supply ChainSupply chainSupply chainArts, entertainment and recreationCreative, arts and entertainment servicesNaN</v>
      </c>
      <c r="M548" s="192" t="s">
        <v>1517</v>
      </c>
      <c r="N548" s="192" t="s">
        <v>383</v>
      </c>
      <c r="O548" s="305"/>
      <c r="P548" s="372"/>
      <c r="Q548" s="377"/>
      <c r="R548" s="305"/>
      <c r="S548" s="304">
        <v>0.44975336314014869</v>
      </c>
      <c r="T548" s="305"/>
      <c r="U548" s="305"/>
      <c r="V548" s="305"/>
      <c r="W548" s="305"/>
      <c r="X548" s="305"/>
      <c r="Y548" s="305"/>
      <c r="Z548" s="384">
        <v>90</v>
      </c>
      <c r="AA548" s="305"/>
      <c r="AB548" s="305"/>
      <c r="AC548" s="305"/>
      <c r="AD548" s="305"/>
      <c r="AE548" s="424"/>
    </row>
    <row r="549" spans="5:31" ht="14.15" customHeight="1" x14ac:dyDescent="0.35">
      <c r="E549" s="192">
        <v>541</v>
      </c>
      <c r="F549" s="192" t="s">
        <v>267</v>
      </c>
      <c r="G549" s="192" t="s">
        <v>385</v>
      </c>
      <c r="H549" s="192" t="s">
        <v>385</v>
      </c>
      <c r="I549" s="192" t="s">
        <v>241</v>
      </c>
      <c r="J549" s="192" t="s">
        <v>1834</v>
      </c>
      <c r="K549" s="192" t="s">
        <v>339</v>
      </c>
      <c r="L549" s="192" t="str">
        <f t="shared" si="11"/>
        <v>Supply ChainSupply chainSupply chainArts, entertainment and recreationLibraries, archives, museums and other cultural servicesNaN</v>
      </c>
      <c r="M549" s="192" t="s">
        <v>1517</v>
      </c>
      <c r="N549" s="192" t="s">
        <v>383</v>
      </c>
      <c r="O549" s="305"/>
      <c r="P549" s="372"/>
      <c r="Q549" s="377"/>
      <c r="R549" s="305"/>
      <c r="S549" s="304">
        <v>0.2316897993132877</v>
      </c>
      <c r="T549" s="305"/>
      <c r="U549" s="305"/>
      <c r="V549" s="305"/>
      <c r="W549" s="305"/>
      <c r="X549" s="305"/>
      <c r="Y549" s="305"/>
      <c r="Z549" s="384">
        <v>91</v>
      </c>
      <c r="AA549" s="305"/>
      <c r="AB549" s="305"/>
      <c r="AC549" s="305"/>
      <c r="AD549" s="305"/>
      <c r="AE549" s="424"/>
    </row>
    <row r="550" spans="5:31" ht="14.15" customHeight="1" x14ac:dyDescent="0.35">
      <c r="E550" s="192">
        <v>542</v>
      </c>
      <c r="F550" s="192" t="s">
        <v>267</v>
      </c>
      <c r="G550" s="192" t="s">
        <v>385</v>
      </c>
      <c r="H550" s="192" t="s">
        <v>385</v>
      </c>
      <c r="I550" s="192" t="s">
        <v>241</v>
      </c>
      <c r="J550" s="192" t="s">
        <v>1835</v>
      </c>
      <c r="K550" s="192" t="s">
        <v>339</v>
      </c>
      <c r="L550" s="192" t="str">
        <f t="shared" si="11"/>
        <v>Supply ChainSupply chainSupply chainArts, entertainment and recreationGambling and betting servicesNaN</v>
      </c>
      <c r="M550" s="192" t="s">
        <v>1517</v>
      </c>
      <c r="N550" s="192" t="s">
        <v>383</v>
      </c>
      <c r="O550" s="305"/>
      <c r="P550" s="372"/>
      <c r="Q550" s="377"/>
      <c r="R550" s="305"/>
      <c r="S550" s="304">
        <v>0.13333391561937491</v>
      </c>
      <c r="T550" s="305"/>
      <c r="U550" s="305"/>
      <c r="V550" s="305"/>
      <c r="W550" s="305"/>
      <c r="X550" s="305"/>
      <c r="Y550" s="305"/>
      <c r="Z550" s="384">
        <v>92</v>
      </c>
      <c r="AA550" s="305"/>
      <c r="AB550" s="305"/>
      <c r="AC550" s="305"/>
      <c r="AD550" s="305"/>
      <c r="AE550" s="424"/>
    </row>
    <row r="551" spans="5:31" ht="14.15" customHeight="1" x14ac:dyDescent="0.35">
      <c r="E551" s="192">
        <v>543</v>
      </c>
      <c r="F551" s="192" t="s">
        <v>267</v>
      </c>
      <c r="G551" s="192" t="s">
        <v>385</v>
      </c>
      <c r="H551" s="192" t="s">
        <v>385</v>
      </c>
      <c r="I551" s="192" t="s">
        <v>241</v>
      </c>
      <c r="J551" s="192" t="s">
        <v>1836</v>
      </c>
      <c r="K551" s="192" t="s">
        <v>339</v>
      </c>
      <c r="L551" s="192" t="str">
        <f t="shared" si="11"/>
        <v>Supply ChainSupply chainSupply chainArts, entertainment and recreationSports services and amusement and recreation servicesNaN</v>
      </c>
      <c r="M551" s="192" t="s">
        <v>1517</v>
      </c>
      <c r="N551" s="192" t="s">
        <v>383</v>
      </c>
      <c r="O551" s="305"/>
      <c r="P551" s="372"/>
      <c r="Q551" s="377"/>
      <c r="R551" s="305"/>
      <c r="S551" s="304">
        <v>0.2461348714043558</v>
      </c>
      <c r="T551" s="305"/>
      <c r="U551" s="305"/>
      <c r="V551" s="305"/>
      <c r="W551" s="305"/>
      <c r="X551" s="305"/>
      <c r="Y551" s="305"/>
      <c r="Z551" s="384">
        <v>93</v>
      </c>
      <c r="AA551" s="305"/>
      <c r="AB551" s="305"/>
      <c r="AC551" s="305"/>
      <c r="AD551" s="305"/>
      <c r="AE551" s="424"/>
    </row>
    <row r="552" spans="5:31" ht="14.15" customHeight="1" x14ac:dyDescent="0.35">
      <c r="E552" s="192">
        <v>544</v>
      </c>
      <c r="F552" s="192" t="s">
        <v>267</v>
      </c>
      <c r="G552" s="192" t="s">
        <v>385</v>
      </c>
      <c r="H552" s="192" t="s">
        <v>385</v>
      </c>
      <c r="I552" s="192" t="s">
        <v>242</v>
      </c>
      <c r="J552" s="192" t="s">
        <v>1837</v>
      </c>
      <c r="K552" s="192" t="s">
        <v>339</v>
      </c>
      <c r="L552" s="192" t="str">
        <f t="shared" si="11"/>
        <v>Supply ChainSupply chainSupply chainOther service activitiesServices furnished by membership organisationsNaN</v>
      </c>
      <c r="M552" s="192" t="s">
        <v>1517</v>
      </c>
      <c r="N552" s="192" t="s">
        <v>383</v>
      </c>
      <c r="O552" s="305"/>
      <c r="P552" s="372"/>
      <c r="Q552" s="377"/>
      <c r="R552" s="305"/>
      <c r="S552" s="304">
        <v>0.1764051699873771</v>
      </c>
      <c r="T552" s="305"/>
      <c r="U552" s="305"/>
      <c r="V552" s="305"/>
      <c r="W552" s="305"/>
      <c r="X552" s="305"/>
      <c r="Y552" s="305"/>
      <c r="Z552" s="384">
        <v>94</v>
      </c>
      <c r="AA552" s="305"/>
      <c r="AB552" s="305"/>
      <c r="AC552" s="305"/>
      <c r="AD552" s="305"/>
      <c r="AE552" s="424"/>
    </row>
    <row r="553" spans="5:31" ht="14.15" customHeight="1" x14ac:dyDescent="0.35">
      <c r="E553" s="192">
        <v>545</v>
      </c>
      <c r="F553" s="192" t="s">
        <v>267</v>
      </c>
      <c r="G553" s="192" t="s">
        <v>385</v>
      </c>
      <c r="H553" s="192" t="s">
        <v>385</v>
      </c>
      <c r="I553" s="192" t="s">
        <v>242</v>
      </c>
      <c r="J553" s="192" t="s">
        <v>1838</v>
      </c>
      <c r="K553" s="192" t="s">
        <v>339</v>
      </c>
      <c r="L553" s="192" t="str">
        <f t="shared" si="11"/>
        <v>Supply ChainSupply chainSupply chainOther service activitiesRepair services of computers and personal and household goodsNaN</v>
      </c>
      <c r="M553" s="192" t="s">
        <v>1517</v>
      </c>
      <c r="N553" s="192" t="s">
        <v>383</v>
      </c>
      <c r="O553" s="305"/>
      <c r="P553" s="372"/>
      <c r="Q553" s="377"/>
      <c r="R553" s="305"/>
      <c r="S553" s="304">
        <v>0.14653778342084861</v>
      </c>
      <c r="T553" s="305"/>
      <c r="U553" s="305"/>
      <c r="V553" s="305"/>
      <c r="W553" s="305"/>
      <c r="X553" s="305"/>
      <c r="Y553" s="305"/>
      <c r="Z553" s="384">
        <v>95</v>
      </c>
      <c r="AA553" s="305"/>
      <c r="AB553" s="305"/>
      <c r="AC553" s="305"/>
      <c r="AD553" s="305"/>
      <c r="AE553" s="424"/>
    </row>
    <row r="554" spans="5:31" ht="14.15" customHeight="1" x14ac:dyDescent="0.35">
      <c r="E554" s="192">
        <v>546</v>
      </c>
      <c r="F554" s="192" t="s">
        <v>267</v>
      </c>
      <c r="G554" s="192" t="s">
        <v>385</v>
      </c>
      <c r="H554" s="192" t="s">
        <v>385</v>
      </c>
      <c r="I554" s="192" t="s">
        <v>242</v>
      </c>
      <c r="J554" s="192" t="s">
        <v>1839</v>
      </c>
      <c r="K554" s="192" t="s">
        <v>339</v>
      </c>
      <c r="L554" s="192" t="str">
        <f t="shared" si="11"/>
        <v>Supply ChainSupply chainSupply chainOther service activitiesOther personal servicesNaN</v>
      </c>
      <c r="M554" s="192" t="s">
        <v>1517</v>
      </c>
      <c r="N554" s="192" t="s">
        <v>383</v>
      </c>
      <c r="O554" s="305"/>
      <c r="P554" s="372"/>
      <c r="Q554" s="377"/>
      <c r="R554" s="305"/>
      <c r="S554" s="304">
        <v>9.1452541533048534E-2</v>
      </c>
      <c r="T554" s="305"/>
      <c r="U554" s="305"/>
      <c r="V554" s="305"/>
      <c r="W554" s="305"/>
      <c r="X554" s="305"/>
      <c r="Y554" s="305"/>
      <c r="Z554" s="384">
        <v>96</v>
      </c>
      <c r="AA554" s="305"/>
      <c r="AB554" s="305"/>
      <c r="AC554" s="305"/>
      <c r="AD554" s="305"/>
      <c r="AE554" s="424"/>
    </row>
    <row r="555" spans="5:31" ht="14.15" customHeight="1" x14ac:dyDescent="0.35">
      <c r="E555" s="192">
        <v>547</v>
      </c>
      <c r="F555" s="192" t="s">
        <v>267</v>
      </c>
      <c r="G555" s="192" t="s">
        <v>385</v>
      </c>
      <c r="H555" s="192" t="s">
        <v>385</v>
      </c>
      <c r="I555" s="192" t="s">
        <v>243</v>
      </c>
      <c r="J555" s="192" t="s">
        <v>1840</v>
      </c>
      <c r="K555" s="192" t="s">
        <v>339</v>
      </c>
      <c r="L555" s="192" t="str">
        <f t="shared" si="11"/>
        <v>Supply ChainSupply chainSupply chainActivities of households as employers; undifferentiated goods- and services-producing activities of households for own useServices of households as employers of domestic personnelNaN</v>
      </c>
      <c r="M555" s="192" t="s">
        <v>1517</v>
      </c>
      <c r="N555" s="192" t="s">
        <v>383</v>
      </c>
      <c r="O555" s="305"/>
      <c r="P555" s="372"/>
      <c r="Q555" s="377"/>
      <c r="R555" s="305"/>
      <c r="S555" s="304">
        <v>4.5116825448383739E-2</v>
      </c>
      <c r="T555" s="305"/>
      <c r="U555" s="305"/>
      <c r="V555" s="305"/>
      <c r="W555" s="305"/>
      <c r="X555" s="305"/>
      <c r="Y555" s="305"/>
      <c r="Z555" s="384">
        <v>97</v>
      </c>
      <c r="AA555" s="305"/>
      <c r="AB555" s="305"/>
      <c r="AC555" s="305"/>
      <c r="AD555" s="305"/>
      <c r="AE555" s="424"/>
    </row>
    <row r="556" spans="5:31" ht="14.15" customHeight="1" x14ac:dyDescent="0.35">
      <c r="E556" s="192">
        <v>548</v>
      </c>
      <c r="F556" s="192" t="s">
        <v>200</v>
      </c>
      <c r="G556" s="192" t="s">
        <v>411</v>
      </c>
      <c r="H556" s="192" t="s">
        <v>1045</v>
      </c>
      <c r="I556" s="192" t="s">
        <v>1046</v>
      </c>
      <c r="J556" s="192" t="s">
        <v>1045</v>
      </c>
      <c r="K556" s="192" t="s">
        <v>1047</v>
      </c>
      <c r="L556" s="192" t="str">
        <f t="shared" si="11"/>
        <v>FLAGLand useForest landMineralForest landRemovals</v>
      </c>
      <c r="M556" s="192" t="s">
        <v>1550</v>
      </c>
      <c r="N556" s="192" t="s">
        <v>410</v>
      </c>
      <c r="O556" s="192" t="s">
        <v>1048</v>
      </c>
      <c r="P556" s="374">
        <v>100</v>
      </c>
      <c r="Q556" s="377"/>
      <c r="R556" s="305"/>
      <c r="S556" s="305"/>
      <c r="T556" s="305"/>
      <c r="U556" s="305"/>
      <c r="V556" s="305"/>
      <c r="W556" s="304">
        <v>-5.4201946324939971</v>
      </c>
      <c r="X556" s="305"/>
      <c r="Y556" s="305"/>
      <c r="Z556" s="305"/>
      <c r="AA556" s="305"/>
      <c r="AB556" s="305"/>
      <c r="AC556" s="305"/>
      <c r="AD556" s="304"/>
      <c r="AE556" s="424"/>
    </row>
    <row r="557" spans="5:31" ht="14.15" customHeight="1" x14ac:dyDescent="0.35">
      <c r="E557" s="192">
        <v>549</v>
      </c>
      <c r="F557" s="192" t="s">
        <v>200</v>
      </c>
      <c r="G557" s="192" t="s">
        <v>411</v>
      </c>
      <c r="H557" s="192" t="s">
        <v>1045</v>
      </c>
      <c r="I557" s="192" t="s">
        <v>1046</v>
      </c>
      <c r="J557" s="192" t="s">
        <v>1049</v>
      </c>
      <c r="K557" s="192" t="s">
        <v>1047</v>
      </c>
      <c r="L557" s="192" t="str">
        <f t="shared" si="11"/>
        <v>FLAGLand useForest landMineralCroplandRemovals</v>
      </c>
      <c r="M557" s="192" t="s">
        <v>1550</v>
      </c>
      <c r="N557" s="192" t="s">
        <v>410</v>
      </c>
      <c r="O557" s="192" t="s">
        <v>1048</v>
      </c>
      <c r="P557" s="374">
        <v>100</v>
      </c>
      <c r="Q557" s="377"/>
      <c r="R557" s="305"/>
      <c r="S557" s="305"/>
      <c r="T557" s="305"/>
      <c r="U557" s="305"/>
      <c r="V557" s="305"/>
      <c r="W557" s="304">
        <v>-0.9513440929518896</v>
      </c>
      <c r="X557" s="305"/>
      <c r="Y557" s="305"/>
      <c r="Z557" s="305"/>
      <c r="AA557" s="305"/>
      <c r="AB557" s="305"/>
      <c r="AC557" s="305"/>
      <c r="AD557" s="304"/>
      <c r="AE557" s="424"/>
    </row>
    <row r="558" spans="5:31" ht="14.15" customHeight="1" x14ac:dyDescent="0.35">
      <c r="E558" s="192">
        <v>550</v>
      </c>
      <c r="F558" s="192" t="s">
        <v>200</v>
      </c>
      <c r="G558" s="192" t="s">
        <v>411</v>
      </c>
      <c r="H558" s="192" t="s">
        <v>1045</v>
      </c>
      <c r="I558" s="192" t="s">
        <v>1046</v>
      </c>
      <c r="J558" s="192" t="s">
        <v>1050</v>
      </c>
      <c r="K558" s="192" t="s">
        <v>1047</v>
      </c>
      <c r="L558" s="192" t="str">
        <f t="shared" si="11"/>
        <v>FLAGLand useForest landMineralGrasslandRemovals</v>
      </c>
      <c r="M558" s="192" t="s">
        <v>1550</v>
      </c>
      <c r="N558" s="192" t="s">
        <v>410</v>
      </c>
      <c r="O558" s="192" t="s">
        <v>1048</v>
      </c>
      <c r="P558" s="374">
        <v>100</v>
      </c>
      <c r="Q558" s="377"/>
      <c r="R558" s="305"/>
      <c r="S558" s="305"/>
      <c r="T558" s="305"/>
      <c r="U558" s="305"/>
      <c r="V558" s="305"/>
      <c r="W558" s="304">
        <v>-0.61505712275549662</v>
      </c>
      <c r="X558" s="305"/>
      <c r="Y558" s="305"/>
      <c r="Z558" s="305"/>
      <c r="AA558" s="305"/>
      <c r="AB558" s="305"/>
      <c r="AC558" s="305"/>
      <c r="AD558" s="304"/>
      <c r="AE558" s="424"/>
    </row>
    <row r="559" spans="5:31" ht="14.15" customHeight="1" x14ac:dyDescent="0.35">
      <c r="E559" s="192">
        <v>551</v>
      </c>
      <c r="F559" s="192" t="s">
        <v>200</v>
      </c>
      <c r="G559" s="192" t="s">
        <v>411</v>
      </c>
      <c r="H559" s="192" t="s">
        <v>1045</v>
      </c>
      <c r="I559" s="192" t="s">
        <v>1046</v>
      </c>
      <c r="J559" s="192" t="s">
        <v>1051</v>
      </c>
      <c r="K559" s="192" t="s">
        <v>1047</v>
      </c>
      <c r="L559" s="192" t="str">
        <f t="shared" si="11"/>
        <v>FLAGLand useForest landMineralSettlementsRemovals</v>
      </c>
      <c r="M559" s="192" t="s">
        <v>1550</v>
      </c>
      <c r="N559" s="192" t="s">
        <v>410</v>
      </c>
      <c r="O559" s="192" t="s">
        <v>1048</v>
      </c>
      <c r="P559" s="374">
        <v>100</v>
      </c>
      <c r="Q559" s="377"/>
      <c r="R559" s="305"/>
      <c r="S559" s="305"/>
      <c r="T559" s="305"/>
      <c r="U559" s="305"/>
      <c r="V559" s="305"/>
      <c r="W559" s="304">
        <v>-0.64924055447647011</v>
      </c>
      <c r="X559" s="305"/>
      <c r="Y559" s="305"/>
      <c r="Z559" s="305"/>
      <c r="AA559" s="305"/>
      <c r="AB559" s="305"/>
      <c r="AC559" s="305"/>
      <c r="AD559" s="304"/>
      <c r="AE559" s="424"/>
    </row>
    <row r="560" spans="5:31" ht="14.15" customHeight="1" x14ac:dyDescent="0.35">
      <c r="E560" s="192">
        <v>552</v>
      </c>
      <c r="F560" s="192" t="s">
        <v>200</v>
      </c>
      <c r="G560" s="192" t="s">
        <v>411</v>
      </c>
      <c r="H560" s="192" t="s">
        <v>1049</v>
      </c>
      <c r="I560" s="192" t="s">
        <v>1046</v>
      </c>
      <c r="J560" s="192" t="s">
        <v>1045</v>
      </c>
      <c r="K560" s="192" t="s">
        <v>1052</v>
      </c>
      <c r="L560" s="192" t="str">
        <f t="shared" si="11"/>
        <v>FLAGLand useCroplandMineralForest landEmissions</v>
      </c>
      <c r="M560" s="192" t="s">
        <v>1550</v>
      </c>
      <c r="N560" s="192" t="s">
        <v>410</v>
      </c>
      <c r="O560" s="192" t="s">
        <v>1048</v>
      </c>
      <c r="P560" s="374">
        <v>100</v>
      </c>
      <c r="Q560" s="377"/>
      <c r="R560" s="305"/>
      <c r="S560" s="305"/>
      <c r="T560" s="305"/>
      <c r="U560" s="305"/>
      <c r="V560" s="305"/>
      <c r="W560" s="304">
        <v>11.037152972613276</v>
      </c>
      <c r="X560" s="305"/>
      <c r="Y560" s="305"/>
      <c r="Z560" s="305"/>
      <c r="AA560" s="305"/>
      <c r="AB560" s="305"/>
      <c r="AC560" s="305"/>
      <c r="AD560" s="304"/>
      <c r="AE560" s="424"/>
    </row>
    <row r="561" spans="5:31" ht="14.15" customHeight="1" x14ac:dyDescent="0.35">
      <c r="E561" s="192">
        <v>553</v>
      </c>
      <c r="F561" s="192" t="s">
        <v>200</v>
      </c>
      <c r="G561" s="192" t="s">
        <v>411</v>
      </c>
      <c r="H561" s="192" t="s">
        <v>1049</v>
      </c>
      <c r="I561" s="192" t="s">
        <v>1046</v>
      </c>
      <c r="J561" s="192" t="s">
        <v>1049</v>
      </c>
      <c r="K561" s="192" t="s">
        <v>1052</v>
      </c>
      <c r="L561" s="192" t="str">
        <f t="shared" si="11"/>
        <v>FLAGLand useCroplandMineralCroplandEmissions</v>
      </c>
      <c r="M561" s="192" t="s">
        <v>1550</v>
      </c>
      <c r="N561" s="192" t="s">
        <v>410</v>
      </c>
      <c r="O561" s="192" t="s">
        <v>1048</v>
      </c>
      <c r="P561" s="374">
        <v>100</v>
      </c>
      <c r="Q561" s="377"/>
      <c r="R561" s="305"/>
      <c r="S561" s="305"/>
      <c r="T561" s="305"/>
      <c r="U561" s="305"/>
      <c r="V561" s="305"/>
      <c r="W561" s="304">
        <v>1.0759157096950167</v>
      </c>
      <c r="X561" s="305"/>
      <c r="Y561" s="305"/>
      <c r="Z561" s="305"/>
      <c r="AA561" s="305"/>
      <c r="AB561" s="305"/>
      <c r="AC561" s="305"/>
      <c r="AD561" s="304"/>
      <c r="AE561" s="424"/>
    </row>
    <row r="562" spans="5:31" ht="14.15" customHeight="1" x14ac:dyDescent="0.35">
      <c r="E562" s="192">
        <v>554</v>
      </c>
      <c r="F562" s="192" t="s">
        <v>200</v>
      </c>
      <c r="G562" s="192" t="s">
        <v>411</v>
      </c>
      <c r="H562" s="192" t="s">
        <v>1049</v>
      </c>
      <c r="I562" s="192" t="s">
        <v>1046</v>
      </c>
      <c r="J562" s="192" t="s">
        <v>1050</v>
      </c>
      <c r="K562" s="192" t="s">
        <v>1052</v>
      </c>
      <c r="L562" s="192" t="str">
        <f t="shared" si="11"/>
        <v>FLAGLand useCroplandMineralGrasslandEmissions</v>
      </c>
      <c r="M562" s="192" t="s">
        <v>1550</v>
      </c>
      <c r="N562" s="192" t="s">
        <v>410</v>
      </c>
      <c r="O562" s="192" t="s">
        <v>1048</v>
      </c>
      <c r="P562" s="374">
        <v>100</v>
      </c>
      <c r="Q562" s="377"/>
      <c r="R562" s="305"/>
      <c r="S562" s="305"/>
      <c r="T562" s="305"/>
      <c r="U562" s="305"/>
      <c r="V562" s="305"/>
      <c r="W562" s="304">
        <v>4.522492155301963</v>
      </c>
      <c r="X562" s="305"/>
      <c r="Y562" s="305"/>
      <c r="Z562" s="305"/>
      <c r="AA562" s="305"/>
      <c r="AB562" s="305"/>
      <c r="AC562" s="305"/>
      <c r="AD562" s="304"/>
      <c r="AE562" s="424"/>
    </row>
    <row r="563" spans="5:31" ht="14.15" customHeight="1" x14ac:dyDescent="0.35">
      <c r="E563" s="192">
        <v>555</v>
      </c>
      <c r="F563" s="192" t="s">
        <v>200</v>
      </c>
      <c r="G563" s="192" t="s">
        <v>411</v>
      </c>
      <c r="H563" s="192" t="s">
        <v>1049</v>
      </c>
      <c r="I563" s="192" t="s">
        <v>1046</v>
      </c>
      <c r="J563" s="192" t="s">
        <v>1051</v>
      </c>
      <c r="K563" s="192" t="s">
        <v>1047</v>
      </c>
      <c r="L563" s="192" t="str">
        <f t="shared" si="11"/>
        <v>FLAGLand useCroplandMineralSettlementsRemovals</v>
      </c>
      <c r="M563" s="192" t="s">
        <v>1550</v>
      </c>
      <c r="N563" s="192" t="s">
        <v>410</v>
      </c>
      <c r="O563" s="192" t="s">
        <v>1048</v>
      </c>
      <c r="P563" s="374">
        <v>100</v>
      </c>
      <c r="Q563" s="377"/>
      <c r="R563" s="305"/>
      <c r="S563" s="305"/>
      <c r="T563" s="305"/>
      <c r="U563" s="305"/>
      <c r="V563" s="305"/>
      <c r="W563" s="304">
        <v>-3.8472916269113333</v>
      </c>
      <c r="X563" s="305"/>
      <c r="Y563" s="305"/>
      <c r="Z563" s="305"/>
      <c r="AA563" s="305"/>
      <c r="AB563" s="305"/>
      <c r="AC563" s="305"/>
      <c r="AD563" s="304"/>
      <c r="AE563" s="424"/>
    </row>
    <row r="564" spans="5:31" ht="14.15" customHeight="1" x14ac:dyDescent="0.35">
      <c r="E564" s="192">
        <v>556</v>
      </c>
      <c r="F564" s="192" t="s">
        <v>200</v>
      </c>
      <c r="G564" s="192" t="s">
        <v>411</v>
      </c>
      <c r="H564" s="192" t="s">
        <v>1050</v>
      </c>
      <c r="I564" s="192" t="s">
        <v>1046</v>
      </c>
      <c r="J564" s="192" t="s">
        <v>1045</v>
      </c>
      <c r="K564" s="192" t="s">
        <v>1052</v>
      </c>
      <c r="L564" s="192" t="str">
        <f t="shared" si="11"/>
        <v>FLAGLand useGrasslandMineralForest landEmissions</v>
      </c>
      <c r="M564" s="192" t="s">
        <v>1550</v>
      </c>
      <c r="N564" s="192" t="s">
        <v>410</v>
      </c>
      <c r="O564" s="192" t="s">
        <v>1048</v>
      </c>
      <c r="P564" s="374">
        <v>100</v>
      </c>
      <c r="Q564" s="377"/>
      <c r="R564" s="305"/>
      <c r="S564" s="305"/>
      <c r="T564" s="305"/>
      <c r="U564" s="305"/>
      <c r="V564" s="305"/>
      <c r="W564" s="304">
        <v>11.908039110349543</v>
      </c>
      <c r="X564" s="305"/>
      <c r="Y564" s="305"/>
      <c r="Z564" s="305"/>
      <c r="AA564" s="305"/>
      <c r="AB564" s="305"/>
      <c r="AC564" s="305"/>
      <c r="AD564" s="304"/>
      <c r="AE564" s="424"/>
    </row>
    <row r="565" spans="5:31" ht="14.15" customHeight="1" x14ac:dyDescent="0.35">
      <c r="E565" s="192">
        <v>557</v>
      </c>
      <c r="F565" s="192" t="s">
        <v>200</v>
      </c>
      <c r="G565" s="192" t="s">
        <v>411</v>
      </c>
      <c r="H565" s="192" t="s">
        <v>1050</v>
      </c>
      <c r="I565" s="192" t="s">
        <v>1046</v>
      </c>
      <c r="J565" s="192" t="s">
        <v>1049</v>
      </c>
      <c r="K565" s="192" t="s">
        <v>1047</v>
      </c>
      <c r="L565" s="192" t="str">
        <f t="shared" si="11"/>
        <v>FLAGLand useGrasslandMineralCroplandRemovals</v>
      </c>
      <c r="M565" s="192" t="s">
        <v>1550</v>
      </c>
      <c r="N565" s="192" t="s">
        <v>410</v>
      </c>
      <c r="O565" s="192" t="s">
        <v>1048</v>
      </c>
      <c r="P565" s="374">
        <v>100</v>
      </c>
      <c r="Q565" s="377"/>
      <c r="R565" s="305"/>
      <c r="S565" s="305"/>
      <c r="T565" s="305"/>
      <c r="U565" s="305"/>
      <c r="V565" s="305"/>
      <c r="W565" s="304">
        <v>-1.89302337208094</v>
      </c>
      <c r="X565" s="305"/>
      <c r="Y565" s="305"/>
      <c r="Z565" s="305"/>
      <c r="AA565" s="305"/>
      <c r="AB565" s="305"/>
      <c r="AC565" s="305"/>
      <c r="AD565" s="304"/>
      <c r="AE565" s="424"/>
    </row>
    <row r="566" spans="5:31" ht="14.15" customHeight="1" x14ac:dyDescent="0.35">
      <c r="E566" s="192">
        <v>558</v>
      </c>
      <c r="F566" s="192" t="s">
        <v>200</v>
      </c>
      <c r="G566" s="192" t="s">
        <v>411</v>
      </c>
      <c r="H566" s="192" t="s">
        <v>1050</v>
      </c>
      <c r="I566" s="192" t="s">
        <v>1046</v>
      </c>
      <c r="J566" s="192" t="s">
        <v>1050</v>
      </c>
      <c r="K566" s="192" t="s">
        <v>1047</v>
      </c>
      <c r="L566" s="192" t="str">
        <f t="shared" si="11"/>
        <v>FLAGLand useGrasslandMineralGrasslandRemovals</v>
      </c>
      <c r="M566" s="192" t="s">
        <v>1550</v>
      </c>
      <c r="N566" s="192" t="s">
        <v>410</v>
      </c>
      <c r="O566" s="192" t="s">
        <v>1048</v>
      </c>
      <c r="P566" s="374">
        <v>100</v>
      </c>
      <c r="Q566" s="377"/>
      <c r="R566" s="305"/>
      <c r="S566" s="305"/>
      <c r="T566" s="305"/>
      <c r="U566" s="305"/>
      <c r="V566" s="305"/>
      <c r="W566" s="304">
        <v>-1.4406919896701931</v>
      </c>
      <c r="X566" s="305"/>
      <c r="Y566" s="305"/>
      <c r="Z566" s="305"/>
      <c r="AA566" s="305"/>
      <c r="AB566" s="305"/>
      <c r="AC566" s="305"/>
      <c r="AD566" s="304"/>
      <c r="AE566" s="424"/>
    </row>
    <row r="567" spans="5:31" ht="14.15" customHeight="1" x14ac:dyDescent="0.35">
      <c r="E567" s="192">
        <v>559</v>
      </c>
      <c r="F567" s="192" t="s">
        <v>200</v>
      </c>
      <c r="G567" s="192" t="s">
        <v>411</v>
      </c>
      <c r="H567" s="192" t="s">
        <v>1050</v>
      </c>
      <c r="I567" s="192" t="s">
        <v>1046</v>
      </c>
      <c r="J567" s="192" t="s">
        <v>1051</v>
      </c>
      <c r="K567" s="192" t="s">
        <v>1047</v>
      </c>
      <c r="L567" s="192" t="str">
        <f t="shared" si="11"/>
        <v>FLAGLand useGrasslandMineralSettlementsRemovals</v>
      </c>
      <c r="M567" s="192" t="s">
        <v>1550</v>
      </c>
      <c r="N567" s="192" t="s">
        <v>410</v>
      </c>
      <c r="O567" s="192" t="s">
        <v>1048</v>
      </c>
      <c r="P567" s="374">
        <v>100</v>
      </c>
      <c r="Q567" s="377"/>
      <c r="R567" s="305"/>
      <c r="S567" s="305"/>
      <c r="T567" s="305"/>
      <c r="U567" s="305"/>
      <c r="V567" s="305"/>
      <c r="W567" s="304">
        <v>-6.7188489150450428</v>
      </c>
      <c r="X567" s="305"/>
      <c r="Y567" s="305"/>
      <c r="Z567" s="305"/>
      <c r="AA567" s="305"/>
      <c r="AB567" s="305"/>
      <c r="AC567" s="305"/>
      <c r="AD567" s="304"/>
      <c r="AE567" s="424"/>
    </row>
    <row r="568" spans="5:31" ht="14.15" customHeight="1" x14ac:dyDescent="0.35">
      <c r="E568" s="192">
        <v>560</v>
      </c>
      <c r="F568" s="192" t="s">
        <v>200</v>
      </c>
      <c r="G568" s="192" t="s">
        <v>411</v>
      </c>
      <c r="H568" s="192" t="s">
        <v>1051</v>
      </c>
      <c r="I568" s="192" t="s">
        <v>1046</v>
      </c>
      <c r="J568" s="192" t="s">
        <v>1045</v>
      </c>
      <c r="K568" s="192" t="s">
        <v>1052</v>
      </c>
      <c r="L568" s="192" t="str">
        <f t="shared" si="11"/>
        <v>FLAGLand useSettlementsMineralForest landEmissions</v>
      </c>
      <c r="M568" s="192" t="s">
        <v>1550</v>
      </c>
      <c r="N568" s="192" t="s">
        <v>410</v>
      </c>
      <c r="O568" s="192" t="s">
        <v>1048</v>
      </c>
      <c r="P568" s="374">
        <v>100</v>
      </c>
      <c r="Q568" s="377"/>
      <c r="R568" s="305"/>
      <c r="S568" s="305"/>
      <c r="T568" s="305"/>
      <c r="U568" s="305"/>
      <c r="V568" s="305"/>
      <c r="W568" s="304">
        <v>39.397076682636673</v>
      </c>
      <c r="X568" s="305"/>
      <c r="Y568" s="305"/>
      <c r="Z568" s="305"/>
      <c r="AA568" s="305"/>
      <c r="AB568" s="305"/>
      <c r="AC568" s="305"/>
      <c r="AD568" s="304"/>
      <c r="AE568" s="424"/>
    </row>
    <row r="569" spans="5:31" ht="14.15" customHeight="1" x14ac:dyDescent="0.35">
      <c r="E569" s="192">
        <v>561</v>
      </c>
      <c r="F569" s="192" t="s">
        <v>200</v>
      </c>
      <c r="G569" s="192" t="s">
        <v>411</v>
      </c>
      <c r="H569" s="192" t="s">
        <v>1051</v>
      </c>
      <c r="I569" s="192" t="s">
        <v>1046</v>
      </c>
      <c r="J569" s="192" t="s">
        <v>1049</v>
      </c>
      <c r="K569" s="192" t="s">
        <v>1052</v>
      </c>
      <c r="L569" s="192" t="str">
        <f t="shared" si="11"/>
        <v>FLAGLand useSettlementsMineralCroplandEmissions</v>
      </c>
      <c r="M569" s="192" t="s">
        <v>1550</v>
      </c>
      <c r="N569" s="192" t="s">
        <v>410</v>
      </c>
      <c r="O569" s="192" t="s">
        <v>1048</v>
      </c>
      <c r="P569" s="374">
        <v>100</v>
      </c>
      <c r="Q569" s="377"/>
      <c r="R569" s="305"/>
      <c r="S569" s="305"/>
      <c r="T569" s="305"/>
      <c r="U569" s="305"/>
      <c r="V569" s="305"/>
      <c r="W569" s="304">
        <v>7.4848823862855536</v>
      </c>
      <c r="X569" s="305"/>
      <c r="Y569" s="305"/>
      <c r="Z569" s="305"/>
      <c r="AA569" s="305"/>
      <c r="AB569" s="305"/>
      <c r="AC569" s="305"/>
      <c r="AD569" s="304"/>
      <c r="AE569" s="424"/>
    </row>
    <row r="570" spans="5:31" ht="14.15" customHeight="1" x14ac:dyDescent="0.35">
      <c r="E570" s="192">
        <v>562</v>
      </c>
      <c r="F570" s="192" t="s">
        <v>200</v>
      </c>
      <c r="G570" s="192" t="s">
        <v>411</v>
      </c>
      <c r="H570" s="192" t="s">
        <v>1051</v>
      </c>
      <c r="I570" s="192" t="s">
        <v>1046</v>
      </c>
      <c r="J570" s="192" t="s">
        <v>1050</v>
      </c>
      <c r="K570" s="192" t="s">
        <v>1052</v>
      </c>
      <c r="L570" s="192" t="str">
        <f t="shared" si="11"/>
        <v>FLAGLand useSettlementsMineralGrasslandEmissions</v>
      </c>
      <c r="M570" s="192" t="s">
        <v>1550</v>
      </c>
      <c r="N570" s="192" t="s">
        <v>410</v>
      </c>
      <c r="O570" s="192" t="s">
        <v>1048</v>
      </c>
      <c r="P570" s="374">
        <v>100</v>
      </c>
      <c r="Q570" s="377"/>
      <c r="R570" s="305"/>
      <c r="S570" s="305"/>
      <c r="T570" s="305"/>
      <c r="U570" s="305"/>
      <c r="V570" s="305"/>
      <c r="W570" s="304">
        <v>13.496644287326529</v>
      </c>
      <c r="X570" s="305"/>
      <c r="Y570" s="305"/>
      <c r="Z570" s="305"/>
      <c r="AA570" s="305"/>
      <c r="AB570" s="305"/>
      <c r="AC570" s="305"/>
      <c r="AD570" s="304"/>
      <c r="AE570" s="424"/>
    </row>
    <row r="571" spans="5:31" ht="14.15" customHeight="1" x14ac:dyDescent="0.35">
      <c r="E571" s="192">
        <v>563</v>
      </c>
      <c r="F571" s="192" t="s">
        <v>200</v>
      </c>
      <c r="G571" s="192" t="s">
        <v>411</v>
      </c>
      <c r="H571" s="192" t="s">
        <v>1051</v>
      </c>
      <c r="I571" s="192" t="s">
        <v>1046</v>
      </c>
      <c r="J571" s="192" t="s">
        <v>1051</v>
      </c>
      <c r="K571" s="192" t="s">
        <v>1052</v>
      </c>
      <c r="L571" s="192" t="str">
        <f t="shared" si="11"/>
        <v>FLAGLand useSettlementsMineralSettlementsEmissions</v>
      </c>
      <c r="M571" s="192" t="s">
        <v>1550</v>
      </c>
      <c r="N571" s="192" t="s">
        <v>410</v>
      </c>
      <c r="O571" s="192" t="s">
        <v>1048</v>
      </c>
      <c r="P571" s="374">
        <v>100</v>
      </c>
      <c r="Q571" s="377"/>
      <c r="R571" s="305"/>
      <c r="S571" s="305"/>
      <c r="T571" s="305"/>
      <c r="U571" s="305"/>
      <c r="V571" s="305"/>
      <c r="W571" s="304">
        <v>2.1049486442023602</v>
      </c>
      <c r="X571" s="305"/>
      <c r="Y571" s="305"/>
      <c r="Z571" s="305"/>
      <c r="AA571" s="305"/>
      <c r="AB571" s="305"/>
      <c r="AC571" s="305"/>
      <c r="AD571" s="304"/>
      <c r="AE571" s="424"/>
    </row>
    <row r="572" spans="5:31" ht="14.15" customHeight="1" x14ac:dyDescent="0.35">
      <c r="E572" s="192">
        <v>564</v>
      </c>
      <c r="F572" s="192" t="s">
        <v>200</v>
      </c>
      <c r="G572" s="192" t="s">
        <v>411</v>
      </c>
      <c r="H572" s="192" t="s">
        <v>1045</v>
      </c>
      <c r="I572" s="192" t="s">
        <v>1053</v>
      </c>
      <c r="J572" s="192" t="s">
        <v>1045</v>
      </c>
      <c r="K572" s="192" t="s">
        <v>1047</v>
      </c>
      <c r="L572" s="192" t="str">
        <f t="shared" si="11"/>
        <v>FLAGLand useForest landOrganicForest landRemovals</v>
      </c>
      <c r="M572" s="192" t="s">
        <v>1550</v>
      </c>
      <c r="N572" s="192" t="s">
        <v>410</v>
      </c>
      <c r="O572" s="192" t="s">
        <v>1048</v>
      </c>
      <c r="P572" s="374">
        <v>100</v>
      </c>
      <c r="Q572" s="377"/>
      <c r="R572" s="305"/>
      <c r="S572" s="305"/>
      <c r="T572" s="305"/>
      <c r="U572" s="305"/>
      <c r="V572" s="305"/>
      <c r="W572" s="304">
        <v>-7.2676167958633799</v>
      </c>
      <c r="X572" s="305"/>
      <c r="Y572" s="305"/>
      <c r="Z572" s="305"/>
      <c r="AA572" s="305"/>
      <c r="AB572" s="305"/>
      <c r="AC572" s="305"/>
      <c r="AD572" s="304"/>
      <c r="AE572" s="424"/>
    </row>
    <row r="573" spans="5:31" ht="14.15" customHeight="1" x14ac:dyDescent="0.35">
      <c r="E573" s="192">
        <v>565</v>
      </c>
      <c r="F573" s="192" t="s">
        <v>200</v>
      </c>
      <c r="G573" s="192" t="s">
        <v>411</v>
      </c>
      <c r="H573" s="192" t="s">
        <v>1045</v>
      </c>
      <c r="I573" s="192" t="s">
        <v>1053</v>
      </c>
      <c r="J573" s="192" t="s">
        <v>1049</v>
      </c>
      <c r="K573" s="192" t="s">
        <v>1052</v>
      </c>
      <c r="L573" s="192" t="str">
        <f t="shared" si="11"/>
        <v>FLAGLand useForest landOrganicCroplandEmissions</v>
      </c>
      <c r="M573" s="192" t="s">
        <v>1550</v>
      </c>
      <c r="N573" s="192" t="s">
        <v>410</v>
      </c>
      <c r="O573" s="192" t="s">
        <v>1048</v>
      </c>
      <c r="P573" s="374">
        <v>100</v>
      </c>
      <c r="Q573" s="377"/>
      <c r="R573" s="305"/>
      <c r="S573" s="305"/>
      <c r="T573" s="305"/>
      <c r="U573" s="305"/>
      <c r="V573" s="305"/>
      <c r="W573" s="304">
        <v>0.31515735532347</v>
      </c>
      <c r="X573" s="305"/>
      <c r="Y573" s="305"/>
      <c r="Z573" s="305"/>
      <c r="AA573" s="305"/>
      <c r="AB573" s="305"/>
      <c r="AC573" s="305"/>
      <c r="AD573" s="304"/>
      <c r="AE573" s="424"/>
    </row>
    <row r="574" spans="5:31" ht="14.15" customHeight="1" x14ac:dyDescent="0.35">
      <c r="E574" s="192">
        <v>566</v>
      </c>
      <c r="F574" s="192" t="s">
        <v>200</v>
      </c>
      <c r="G574" s="192" t="s">
        <v>411</v>
      </c>
      <c r="H574" s="192" t="s">
        <v>1045</v>
      </c>
      <c r="I574" s="192" t="s">
        <v>1053</v>
      </c>
      <c r="J574" s="192" t="s">
        <v>1050</v>
      </c>
      <c r="K574" s="192" t="s">
        <v>1052</v>
      </c>
      <c r="L574" s="192" t="str">
        <f t="shared" si="11"/>
        <v>FLAGLand useForest landOrganicGrasslandEmissions</v>
      </c>
      <c r="M574" s="192" t="s">
        <v>1550</v>
      </c>
      <c r="N574" s="192" t="s">
        <v>410</v>
      </c>
      <c r="O574" s="192" t="s">
        <v>1048</v>
      </c>
      <c r="P574" s="374">
        <v>100</v>
      </c>
      <c r="Q574" s="377"/>
      <c r="R574" s="305"/>
      <c r="S574" s="305"/>
      <c r="T574" s="305"/>
      <c r="U574" s="305"/>
      <c r="V574" s="305"/>
      <c r="W574" s="304">
        <v>0.81778901155864037</v>
      </c>
      <c r="X574" s="305"/>
      <c r="Y574" s="305"/>
      <c r="Z574" s="305"/>
      <c r="AA574" s="305"/>
      <c r="AB574" s="305"/>
      <c r="AC574" s="305"/>
      <c r="AD574" s="304"/>
      <c r="AE574" s="424"/>
    </row>
    <row r="575" spans="5:31" ht="14.15" customHeight="1" x14ac:dyDescent="0.35">
      <c r="E575" s="192">
        <v>567</v>
      </c>
      <c r="F575" s="192" t="s">
        <v>200</v>
      </c>
      <c r="G575" s="192" t="s">
        <v>411</v>
      </c>
      <c r="H575" s="192" t="s">
        <v>1045</v>
      </c>
      <c r="I575" s="192" t="s">
        <v>1053</v>
      </c>
      <c r="J575" s="192" t="s">
        <v>1051</v>
      </c>
      <c r="K575" s="192" t="s">
        <v>1052</v>
      </c>
      <c r="L575" s="192" t="str">
        <f t="shared" si="11"/>
        <v>FLAGLand useForest landOrganicSettlementsEmissions</v>
      </c>
      <c r="M575" s="192" t="s">
        <v>1550</v>
      </c>
      <c r="N575" s="192" t="s">
        <v>410</v>
      </c>
      <c r="O575" s="192" t="s">
        <v>1048</v>
      </c>
      <c r="P575" s="374">
        <v>100</v>
      </c>
      <c r="Q575" s="377"/>
      <c r="R575" s="305"/>
      <c r="S575" s="305"/>
      <c r="T575" s="305"/>
      <c r="U575" s="305"/>
      <c r="V575" s="305"/>
      <c r="W575" s="304">
        <v>0.71094484851364315</v>
      </c>
      <c r="X575" s="305"/>
      <c r="Y575" s="305"/>
      <c r="Z575" s="305"/>
      <c r="AA575" s="305"/>
      <c r="AB575" s="305"/>
      <c r="AC575" s="305"/>
      <c r="AD575" s="304"/>
      <c r="AE575" s="424"/>
    </row>
    <row r="576" spans="5:31" ht="14.15" customHeight="1" x14ac:dyDescent="0.35">
      <c r="E576" s="192">
        <v>568</v>
      </c>
      <c r="F576" s="192" t="s">
        <v>200</v>
      </c>
      <c r="G576" s="192" t="s">
        <v>411</v>
      </c>
      <c r="H576" s="192" t="s">
        <v>1049</v>
      </c>
      <c r="I576" s="192" t="s">
        <v>1053</v>
      </c>
      <c r="J576" s="192" t="s">
        <v>1049</v>
      </c>
      <c r="K576" s="192" t="s">
        <v>1052</v>
      </c>
      <c r="L576" s="192" t="str">
        <f t="shared" si="11"/>
        <v>FLAGLand useCroplandOrganicCroplandEmissions</v>
      </c>
      <c r="M576" s="192" t="s">
        <v>1550</v>
      </c>
      <c r="N576" s="192" t="s">
        <v>410</v>
      </c>
      <c r="O576" s="192" t="s">
        <v>1048</v>
      </c>
      <c r="P576" s="374">
        <v>100</v>
      </c>
      <c r="Q576" s="377"/>
      <c r="R576" s="305"/>
      <c r="S576" s="305"/>
      <c r="T576" s="305"/>
      <c r="U576" s="305"/>
      <c r="V576" s="305"/>
      <c r="W576" s="304">
        <v>18.340845631086658</v>
      </c>
      <c r="X576" s="305"/>
      <c r="Y576" s="305"/>
      <c r="Z576" s="305"/>
      <c r="AA576" s="305"/>
      <c r="AB576" s="305"/>
      <c r="AC576" s="305"/>
      <c r="AD576" s="304"/>
      <c r="AE576" s="424"/>
    </row>
    <row r="577" spans="5:31" ht="14.15" customHeight="1" x14ac:dyDescent="0.35">
      <c r="E577" s="192">
        <v>569</v>
      </c>
      <c r="F577" s="192" t="s">
        <v>200</v>
      </c>
      <c r="G577" s="192" t="s">
        <v>411</v>
      </c>
      <c r="H577" s="192" t="s">
        <v>1049</v>
      </c>
      <c r="I577" s="192" t="s">
        <v>1053</v>
      </c>
      <c r="J577" s="192" t="s">
        <v>1050</v>
      </c>
      <c r="K577" s="192" t="s">
        <v>1047</v>
      </c>
      <c r="L577" s="192" t="str">
        <f t="shared" si="11"/>
        <v>FLAGLand useCroplandOrganicGrasslandRemovals</v>
      </c>
      <c r="M577" s="192" t="s">
        <v>1550</v>
      </c>
      <c r="N577" s="192" t="s">
        <v>410</v>
      </c>
      <c r="O577" s="192" t="s">
        <v>1048</v>
      </c>
      <c r="P577" s="374">
        <v>100</v>
      </c>
      <c r="Q577" s="377"/>
      <c r="R577" s="305"/>
      <c r="S577" s="305"/>
      <c r="T577" s="305"/>
      <c r="U577" s="305"/>
      <c r="V577" s="305"/>
      <c r="W577" s="304">
        <v>-0.25435112326414999</v>
      </c>
      <c r="X577" s="305"/>
      <c r="Y577" s="305"/>
      <c r="Z577" s="305"/>
      <c r="AA577" s="305"/>
      <c r="AB577" s="305"/>
      <c r="AC577" s="305"/>
      <c r="AD577" s="304"/>
      <c r="AE577" s="424"/>
    </row>
    <row r="578" spans="5:31" ht="14.15" customHeight="1" x14ac:dyDescent="0.35">
      <c r="E578" s="192">
        <v>570</v>
      </c>
      <c r="F578" s="192" t="s">
        <v>200</v>
      </c>
      <c r="G578" s="192" t="s">
        <v>411</v>
      </c>
      <c r="H578" s="192" t="s">
        <v>1049</v>
      </c>
      <c r="I578" s="192" t="s">
        <v>1053</v>
      </c>
      <c r="J578" s="192" t="s">
        <v>1051</v>
      </c>
      <c r="K578" s="192" t="s">
        <v>1047</v>
      </c>
      <c r="L578" s="192" t="str">
        <f t="shared" si="11"/>
        <v>FLAGLand useCroplandOrganicSettlementsRemovals</v>
      </c>
      <c r="M578" s="192" t="s">
        <v>1550</v>
      </c>
      <c r="N578" s="192" t="s">
        <v>410</v>
      </c>
      <c r="O578" s="192" t="s">
        <v>1048</v>
      </c>
      <c r="P578" s="374">
        <v>100</v>
      </c>
      <c r="Q578" s="377"/>
      <c r="R578" s="305"/>
      <c r="S578" s="305"/>
      <c r="T578" s="305"/>
      <c r="U578" s="305"/>
      <c r="V578" s="305"/>
      <c r="W578" s="304">
        <v>-0.26954984311772001</v>
      </c>
      <c r="X578" s="305"/>
      <c r="Y578" s="305"/>
      <c r="Z578" s="305"/>
      <c r="AA578" s="305"/>
      <c r="AB578" s="305"/>
      <c r="AC578" s="305"/>
      <c r="AD578" s="304"/>
      <c r="AE578" s="424"/>
    </row>
    <row r="579" spans="5:31" ht="14.15" customHeight="1" x14ac:dyDescent="0.35">
      <c r="E579" s="192">
        <v>571</v>
      </c>
      <c r="F579" s="192" t="s">
        <v>200</v>
      </c>
      <c r="G579" s="192" t="s">
        <v>411</v>
      </c>
      <c r="H579" s="192" t="s">
        <v>1050</v>
      </c>
      <c r="I579" s="192" t="s">
        <v>1053</v>
      </c>
      <c r="J579" s="192" t="s">
        <v>1045</v>
      </c>
      <c r="K579" s="192" t="s">
        <v>1052</v>
      </c>
      <c r="L579" s="192" t="str">
        <f t="shared" si="11"/>
        <v>FLAGLand useGrasslandOrganicForest landEmissions</v>
      </c>
      <c r="M579" s="192" t="s">
        <v>1550</v>
      </c>
      <c r="N579" s="192" t="s">
        <v>410</v>
      </c>
      <c r="O579" s="192" t="s">
        <v>1048</v>
      </c>
      <c r="P579" s="374">
        <v>100</v>
      </c>
      <c r="Q579" s="377"/>
      <c r="R579" s="305"/>
      <c r="S579" s="305"/>
      <c r="T579" s="305"/>
      <c r="U579" s="305"/>
      <c r="V579" s="305"/>
      <c r="W579" s="304">
        <v>6.9637246963319566</v>
      </c>
      <c r="X579" s="305"/>
      <c r="Y579" s="305"/>
      <c r="Z579" s="305"/>
      <c r="AA579" s="305"/>
      <c r="AB579" s="305"/>
      <c r="AC579" s="305"/>
      <c r="AD579" s="304"/>
      <c r="AE579" s="424"/>
    </row>
    <row r="580" spans="5:31" ht="14.15" customHeight="1" x14ac:dyDescent="0.35">
      <c r="E580" s="192">
        <v>572</v>
      </c>
      <c r="F580" s="192" t="s">
        <v>200</v>
      </c>
      <c r="G580" s="192" t="s">
        <v>411</v>
      </c>
      <c r="H580" s="192" t="s">
        <v>1050</v>
      </c>
      <c r="I580" s="192" t="s">
        <v>1053</v>
      </c>
      <c r="J580" s="192" t="s">
        <v>1049</v>
      </c>
      <c r="K580" s="192" t="s">
        <v>1052</v>
      </c>
      <c r="L580" s="192" t="str">
        <f t="shared" si="11"/>
        <v>FLAGLand useGrasslandOrganicCroplandEmissions</v>
      </c>
      <c r="M580" s="192" t="s">
        <v>1550</v>
      </c>
      <c r="N580" s="192" t="s">
        <v>410</v>
      </c>
      <c r="O580" s="192" t="s">
        <v>1048</v>
      </c>
      <c r="P580" s="374">
        <v>100</v>
      </c>
      <c r="Q580" s="377"/>
      <c r="R580" s="305"/>
      <c r="S580" s="305"/>
      <c r="T580" s="305"/>
      <c r="U580" s="305"/>
      <c r="V580" s="305"/>
      <c r="W580" s="304">
        <v>0.27770669702750334</v>
      </c>
      <c r="X580" s="305"/>
      <c r="Y580" s="305"/>
      <c r="Z580" s="305"/>
      <c r="AA580" s="305"/>
      <c r="AB580" s="305"/>
      <c r="AC580" s="305"/>
      <c r="AD580" s="304"/>
      <c r="AE580" s="424"/>
    </row>
    <row r="581" spans="5:31" ht="14.15" customHeight="1" x14ac:dyDescent="0.35">
      <c r="E581" s="192">
        <v>573</v>
      </c>
      <c r="F581" s="192" t="s">
        <v>200</v>
      </c>
      <c r="G581" s="192" t="s">
        <v>411</v>
      </c>
      <c r="H581" s="192" t="s">
        <v>1050</v>
      </c>
      <c r="I581" s="192" t="s">
        <v>1053</v>
      </c>
      <c r="J581" s="192" t="s">
        <v>1050</v>
      </c>
      <c r="K581" s="192" t="s">
        <v>1052</v>
      </c>
      <c r="L581" s="192" t="str">
        <f t="shared" si="11"/>
        <v>FLAGLand useGrasslandOrganicGrasslandEmissions</v>
      </c>
      <c r="M581" s="192" t="s">
        <v>1550</v>
      </c>
      <c r="N581" s="192" t="s">
        <v>410</v>
      </c>
      <c r="O581" s="192" t="s">
        <v>1048</v>
      </c>
      <c r="P581" s="374">
        <v>100</v>
      </c>
      <c r="Q581" s="377"/>
      <c r="R581" s="305"/>
      <c r="S581" s="305"/>
      <c r="T581" s="305"/>
      <c r="U581" s="305"/>
      <c r="V581" s="305"/>
      <c r="W581" s="304">
        <v>1.555716669595E-2</v>
      </c>
      <c r="X581" s="305"/>
      <c r="Y581" s="305"/>
      <c r="Z581" s="305"/>
      <c r="AA581" s="305"/>
      <c r="AB581" s="305"/>
      <c r="AC581" s="305"/>
      <c r="AD581" s="304"/>
      <c r="AE581" s="424"/>
    </row>
    <row r="582" spans="5:31" ht="14.15" customHeight="1" x14ac:dyDescent="0.35">
      <c r="E582" s="192">
        <v>574</v>
      </c>
      <c r="F582" s="192" t="s">
        <v>200</v>
      </c>
      <c r="G582" s="192" t="s">
        <v>411</v>
      </c>
      <c r="H582" s="192" t="s">
        <v>1050</v>
      </c>
      <c r="I582" s="192" t="s">
        <v>1053</v>
      </c>
      <c r="J582" s="192" t="s">
        <v>1051</v>
      </c>
      <c r="K582" s="192" t="s">
        <v>1047</v>
      </c>
      <c r="L582" s="192" t="str">
        <f t="shared" si="11"/>
        <v>FLAGLand useGrasslandOrganicSettlementsRemovals</v>
      </c>
      <c r="M582" s="192" t="s">
        <v>1550</v>
      </c>
      <c r="N582" s="192" t="s">
        <v>410</v>
      </c>
      <c r="O582" s="192" t="s">
        <v>1048</v>
      </c>
      <c r="P582" s="374">
        <v>100</v>
      </c>
      <c r="Q582" s="377"/>
      <c r="R582" s="305"/>
      <c r="S582" s="305"/>
      <c r="T582" s="305"/>
      <c r="U582" s="305"/>
      <c r="V582" s="305"/>
      <c r="W582" s="304">
        <v>-0.14924774198902332</v>
      </c>
      <c r="X582" s="305"/>
      <c r="Y582" s="305"/>
      <c r="Z582" s="305"/>
      <c r="AA582" s="305"/>
      <c r="AB582" s="305"/>
      <c r="AC582" s="305"/>
      <c r="AD582" s="304"/>
      <c r="AE582" s="424"/>
    </row>
    <row r="583" spans="5:31" ht="14.15" customHeight="1" x14ac:dyDescent="0.35">
      <c r="E583" s="192">
        <v>575</v>
      </c>
      <c r="F583" s="192" t="s">
        <v>200</v>
      </c>
      <c r="G583" s="192" t="s">
        <v>411</v>
      </c>
      <c r="H583" s="192" t="s">
        <v>1051</v>
      </c>
      <c r="I583" s="192" t="s">
        <v>1053</v>
      </c>
      <c r="J583" s="192" t="s">
        <v>1045</v>
      </c>
      <c r="K583" s="192" t="s">
        <v>1052</v>
      </c>
      <c r="L583" s="192" t="str">
        <f t="shared" si="11"/>
        <v>FLAGLand useSettlementsOrganicForest landEmissions</v>
      </c>
      <c r="M583" s="192" t="s">
        <v>1550</v>
      </c>
      <c r="N583" s="192" t="s">
        <v>410</v>
      </c>
      <c r="O583" s="192" t="s">
        <v>1048</v>
      </c>
      <c r="P583" s="374">
        <v>100</v>
      </c>
      <c r="Q583" s="377"/>
      <c r="R583" s="305"/>
      <c r="S583" s="305"/>
      <c r="T583" s="305"/>
      <c r="U583" s="305"/>
      <c r="V583" s="305"/>
      <c r="W583" s="304">
        <v>15.936258760505932</v>
      </c>
      <c r="X583" s="305"/>
      <c r="Y583" s="305"/>
      <c r="Z583" s="305"/>
      <c r="AA583" s="305"/>
      <c r="AB583" s="305"/>
      <c r="AC583" s="305"/>
      <c r="AD583" s="304"/>
      <c r="AE583" s="424"/>
    </row>
    <row r="584" spans="5:31" ht="14.15" customHeight="1" x14ac:dyDescent="0.35">
      <c r="E584" s="192">
        <v>576</v>
      </c>
      <c r="F584" s="192" t="s">
        <v>200</v>
      </c>
      <c r="G584" s="192" t="s">
        <v>411</v>
      </c>
      <c r="H584" s="192" t="s">
        <v>1051</v>
      </c>
      <c r="I584" s="192" t="s">
        <v>1053</v>
      </c>
      <c r="J584" s="192" t="s">
        <v>1049</v>
      </c>
      <c r="K584" s="192" t="s">
        <v>1052</v>
      </c>
      <c r="L584" s="192" t="str">
        <f t="shared" si="11"/>
        <v>FLAGLand useSettlementsOrganicCroplandEmissions</v>
      </c>
      <c r="M584" s="192" t="s">
        <v>1550</v>
      </c>
      <c r="N584" s="192" t="s">
        <v>410</v>
      </c>
      <c r="O584" s="192" t="s">
        <v>1048</v>
      </c>
      <c r="P584" s="374">
        <v>100</v>
      </c>
      <c r="Q584" s="377"/>
      <c r="R584" s="305"/>
      <c r="S584" s="305"/>
      <c r="T584" s="305"/>
      <c r="U584" s="305"/>
      <c r="V584" s="305"/>
      <c r="W584" s="304">
        <v>0.43039542581372331</v>
      </c>
      <c r="X584" s="305"/>
      <c r="Y584" s="305"/>
      <c r="Z584" s="305"/>
      <c r="AA584" s="305"/>
      <c r="AB584" s="305"/>
      <c r="AC584" s="305"/>
      <c r="AD584" s="304"/>
      <c r="AE584" s="424"/>
    </row>
    <row r="585" spans="5:31" ht="14.15" customHeight="1" x14ac:dyDescent="0.35">
      <c r="E585" s="192">
        <v>577</v>
      </c>
      <c r="F585" s="192" t="s">
        <v>200</v>
      </c>
      <c r="G585" s="192" t="s">
        <v>411</v>
      </c>
      <c r="H585" s="192" t="s">
        <v>1051</v>
      </c>
      <c r="I585" s="192" t="s">
        <v>1053</v>
      </c>
      <c r="J585" s="192" t="s">
        <v>1050</v>
      </c>
      <c r="K585" s="192" t="s">
        <v>1052</v>
      </c>
      <c r="L585" s="192" t="str">
        <f t="shared" si="11"/>
        <v>FLAGLand useSettlementsOrganicGrasslandEmissions</v>
      </c>
      <c r="M585" s="192" t="s">
        <v>1550</v>
      </c>
      <c r="N585" s="192" t="s">
        <v>410</v>
      </c>
      <c r="O585" s="192" t="s">
        <v>1048</v>
      </c>
      <c r="P585" s="374">
        <v>100</v>
      </c>
      <c r="Q585" s="377"/>
      <c r="R585" s="305"/>
      <c r="S585" s="305"/>
      <c r="T585" s="305"/>
      <c r="U585" s="305"/>
      <c r="V585" s="305"/>
      <c r="W585" s="304">
        <v>0.11860294168176699</v>
      </c>
      <c r="X585" s="305"/>
      <c r="Y585" s="305"/>
      <c r="Z585" s="305"/>
      <c r="AA585" s="305"/>
      <c r="AB585" s="305"/>
      <c r="AC585" s="305"/>
      <c r="AD585" s="304"/>
      <c r="AE585" s="424"/>
    </row>
    <row r="586" spans="5:31" ht="14.15" customHeight="1" x14ac:dyDescent="0.35">
      <c r="E586" s="192">
        <v>578</v>
      </c>
      <c r="F586" s="192" t="s">
        <v>200</v>
      </c>
      <c r="G586" s="192" t="s">
        <v>148</v>
      </c>
      <c r="H586" s="192" t="s">
        <v>148</v>
      </c>
      <c r="I586" s="192" t="s">
        <v>1054</v>
      </c>
      <c r="J586" s="192" t="s">
        <v>1055</v>
      </c>
      <c r="K586" s="192" t="s">
        <v>1052</v>
      </c>
      <c r="L586" s="192" t="str">
        <f t="shared" si="11"/>
        <v>FLAGAgricultureAgricultureFarmland SoilsArable landEmissions</v>
      </c>
      <c r="M586" s="192" t="s">
        <v>1551</v>
      </c>
      <c r="N586" s="192" t="s">
        <v>410</v>
      </c>
      <c r="O586" s="192" t="s">
        <v>1048</v>
      </c>
      <c r="P586" s="374">
        <v>100</v>
      </c>
      <c r="Q586" s="377"/>
      <c r="R586" s="305"/>
      <c r="S586" s="305"/>
      <c r="T586" s="305"/>
      <c r="U586" s="305"/>
      <c r="V586" s="305"/>
      <c r="W586" s="304">
        <v>1186.2</v>
      </c>
      <c r="X586" s="305"/>
      <c r="Y586" s="305"/>
      <c r="Z586" s="305"/>
      <c r="AA586" s="305"/>
      <c r="AB586" s="305"/>
      <c r="AC586" s="305"/>
      <c r="AD586" s="304"/>
      <c r="AE586" s="424"/>
    </row>
    <row r="587" spans="5:31" ht="14.15" customHeight="1" x14ac:dyDescent="0.35">
      <c r="E587" s="192">
        <v>579</v>
      </c>
      <c r="F587" s="192" t="s">
        <v>200</v>
      </c>
      <c r="G587" s="192" t="s">
        <v>148</v>
      </c>
      <c r="H587" s="192" t="s">
        <v>148</v>
      </c>
      <c r="I587" s="192" t="s">
        <v>1054</v>
      </c>
      <c r="J587" s="192" t="s">
        <v>1056</v>
      </c>
      <c r="K587" s="192" t="s">
        <v>1052</v>
      </c>
      <c r="L587" s="192" t="str">
        <f t="shared" si="11"/>
        <v>FLAGAgricultureAgricultureFarmland SoilsImproved grasslandEmissions</v>
      </c>
      <c r="M587" s="192" t="s">
        <v>1551</v>
      </c>
      <c r="N587" s="192" t="s">
        <v>410</v>
      </c>
      <c r="O587" s="192" t="s">
        <v>1048</v>
      </c>
      <c r="P587" s="374">
        <v>100</v>
      </c>
      <c r="Q587" s="377"/>
      <c r="R587" s="305"/>
      <c r="S587" s="305"/>
      <c r="T587" s="305"/>
      <c r="U587" s="305"/>
      <c r="V587" s="305"/>
      <c r="W587" s="304">
        <v>289.22000000000003</v>
      </c>
      <c r="X587" s="305"/>
      <c r="Y587" s="305"/>
      <c r="Z587" s="305"/>
      <c r="AA587" s="305"/>
      <c r="AB587" s="305"/>
      <c r="AC587" s="305"/>
      <c r="AD587" s="304"/>
      <c r="AE587" s="424"/>
    </row>
    <row r="588" spans="5:31" ht="14.15" customHeight="1" x14ac:dyDescent="0.35">
      <c r="E588" s="192">
        <v>580</v>
      </c>
      <c r="F588" s="192" t="s">
        <v>200</v>
      </c>
      <c r="G588" s="192" t="s">
        <v>148</v>
      </c>
      <c r="H588" s="192" t="s">
        <v>148</v>
      </c>
      <c r="I588" s="192" t="s">
        <v>1057</v>
      </c>
      <c r="J588" s="192" t="s">
        <v>1058</v>
      </c>
      <c r="K588" s="192" t="s">
        <v>1052</v>
      </c>
      <c r="L588" s="192" t="str">
        <f t="shared" si="11"/>
        <v>FLAGAgricultureAgricultureLivestockDairy cattleEmissions</v>
      </c>
      <c r="M588" s="192" t="s">
        <v>1551</v>
      </c>
      <c r="N588" s="192" t="s">
        <v>1059</v>
      </c>
      <c r="O588" s="305"/>
      <c r="P588" s="372"/>
      <c r="Q588" s="377"/>
      <c r="R588" s="305"/>
      <c r="S588" s="305"/>
      <c r="T588" s="305"/>
      <c r="U588" s="305"/>
      <c r="V588" s="305"/>
      <c r="W588" s="304">
        <v>4726.0787226046687</v>
      </c>
      <c r="X588" s="305"/>
      <c r="Y588" s="305"/>
      <c r="Z588" s="305"/>
      <c r="AA588" s="305"/>
      <c r="AB588" s="305"/>
      <c r="AC588" s="305"/>
      <c r="AD588" s="304"/>
      <c r="AE588" s="424"/>
    </row>
    <row r="589" spans="5:31" ht="14.15" customHeight="1" x14ac:dyDescent="0.35">
      <c r="E589" s="192">
        <v>581</v>
      </c>
      <c r="F589" s="192" t="s">
        <v>200</v>
      </c>
      <c r="G589" s="192" t="s">
        <v>148</v>
      </c>
      <c r="H589" s="192" t="s">
        <v>148</v>
      </c>
      <c r="I589" s="192" t="s">
        <v>1057</v>
      </c>
      <c r="J589" s="192" t="s">
        <v>1060</v>
      </c>
      <c r="K589" s="192" t="s">
        <v>1052</v>
      </c>
      <c r="L589" s="192" t="str">
        <f t="shared" si="11"/>
        <v>FLAGAgricultureAgricultureLivestockHorsesEmissions</v>
      </c>
      <c r="M589" s="192" t="s">
        <v>1551</v>
      </c>
      <c r="N589" s="192" t="s">
        <v>1059</v>
      </c>
      <c r="O589" s="305"/>
      <c r="P589" s="372"/>
      <c r="Q589" s="377"/>
      <c r="R589" s="305"/>
      <c r="S589" s="305"/>
      <c r="T589" s="305"/>
      <c r="U589" s="305"/>
      <c r="V589" s="305"/>
      <c r="W589" s="304">
        <v>785.85391496092552</v>
      </c>
      <c r="X589" s="305"/>
      <c r="Y589" s="305"/>
      <c r="Z589" s="305"/>
      <c r="AA589" s="305"/>
      <c r="AB589" s="305"/>
      <c r="AC589" s="305"/>
      <c r="AD589" s="304"/>
      <c r="AE589" s="424"/>
    </row>
    <row r="590" spans="5:31" ht="14.15" customHeight="1" x14ac:dyDescent="0.35">
      <c r="E590" s="192">
        <v>582</v>
      </c>
      <c r="F590" s="192" t="s">
        <v>200</v>
      </c>
      <c r="G590" s="192" t="s">
        <v>148</v>
      </c>
      <c r="H590" s="192" t="s">
        <v>148</v>
      </c>
      <c r="I590" s="192" t="s">
        <v>1057</v>
      </c>
      <c r="J590" s="192" t="s">
        <v>1061</v>
      </c>
      <c r="K590" s="192" t="s">
        <v>1052</v>
      </c>
      <c r="L590" s="192" t="str">
        <f t="shared" si="11"/>
        <v>FLAGAgricultureAgricultureLivestockNon-dairy cattleEmissions</v>
      </c>
      <c r="M590" s="192" t="s">
        <v>1551</v>
      </c>
      <c r="N590" s="192" t="s">
        <v>1059</v>
      </c>
      <c r="O590" s="305"/>
      <c r="P590" s="372"/>
      <c r="Q590" s="377"/>
      <c r="R590" s="305"/>
      <c r="S590" s="305"/>
      <c r="T590" s="305"/>
      <c r="U590" s="305"/>
      <c r="V590" s="305"/>
      <c r="W590" s="304">
        <v>1870.9743780629465</v>
      </c>
      <c r="X590" s="305"/>
      <c r="Y590" s="305"/>
      <c r="Z590" s="305"/>
      <c r="AA590" s="305"/>
      <c r="AB590" s="305"/>
      <c r="AC590" s="305"/>
      <c r="AD590" s="304"/>
      <c r="AE590" s="424"/>
    </row>
    <row r="591" spans="5:31" ht="14.15" customHeight="1" x14ac:dyDescent="0.35">
      <c r="E591" s="192">
        <v>583</v>
      </c>
      <c r="F591" s="192" t="s">
        <v>200</v>
      </c>
      <c r="G591" s="192" t="s">
        <v>148</v>
      </c>
      <c r="H591" s="192" t="s">
        <v>148</v>
      </c>
      <c r="I591" s="192" t="s">
        <v>1057</v>
      </c>
      <c r="J591" s="192" t="s">
        <v>1062</v>
      </c>
      <c r="K591" s="192" t="s">
        <v>1052</v>
      </c>
      <c r="L591" s="192" t="str">
        <f t="shared" ref="L591:L678" si="12">_xlfn.CONCAT(F591:K591)</f>
        <v>FLAGAgricultureAgricultureLivestockPigsEmissions</v>
      </c>
      <c r="M591" s="192" t="s">
        <v>1551</v>
      </c>
      <c r="N591" s="192" t="s">
        <v>1059</v>
      </c>
      <c r="O591" s="305"/>
      <c r="P591" s="372"/>
      <c r="Q591" s="377"/>
      <c r="R591" s="305"/>
      <c r="S591" s="305"/>
      <c r="T591" s="305"/>
      <c r="U591" s="305"/>
      <c r="V591" s="305"/>
      <c r="W591" s="304">
        <v>228.3410090861976</v>
      </c>
      <c r="X591" s="305"/>
      <c r="Y591" s="305"/>
      <c r="Z591" s="305"/>
      <c r="AA591" s="305"/>
      <c r="AB591" s="305"/>
      <c r="AC591" s="305"/>
      <c r="AD591" s="304"/>
      <c r="AE591" s="424"/>
    </row>
    <row r="592" spans="5:31" ht="14.15" customHeight="1" x14ac:dyDescent="0.35">
      <c r="E592" s="192">
        <v>584</v>
      </c>
      <c r="F592" s="192" t="s">
        <v>200</v>
      </c>
      <c r="G592" s="192" t="s">
        <v>148</v>
      </c>
      <c r="H592" s="192" t="s">
        <v>148</v>
      </c>
      <c r="I592" s="192" t="s">
        <v>1057</v>
      </c>
      <c r="J592" s="192" t="s">
        <v>1063</v>
      </c>
      <c r="K592" s="192" t="s">
        <v>1052</v>
      </c>
      <c r="L592" s="192" t="str">
        <f t="shared" si="12"/>
        <v>FLAGAgricultureAgricultureLivestockPoultryEmissions</v>
      </c>
      <c r="M592" s="192" t="s">
        <v>1551</v>
      </c>
      <c r="N592" s="192" t="s">
        <v>1059</v>
      </c>
      <c r="O592" s="305"/>
      <c r="P592" s="372"/>
      <c r="Q592" s="377"/>
      <c r="R592" s="305"/>
      <c r="S592" s="305"/>
      <c r="T592" s="305"/>
      <c r="U592" s="305"/>
      <c r="V592" s="305"/>
      <c r="W592" s="304">
        <v>4.5933035846345422</v>
      </c>
      <c r="X592" s="305"/>
      <c r="Y592" s="305"/>
      <c r="Z592" s="305"/>
      <c r="AA592" s="305"/>
      <c r="AB592" s="305"/>
      <c r="AC592" s="305"/>
      <c r="AD592" s="304"/>
      <c r="AE592" s="424"/>
    </row>
    <row r="593" spans="5:31" ht="14.15" customHeight="1" x14ac:dyDescent="0.35">
      <c r="E593" s="192">
        <v>585</v>
      </c>
      <c r="F593" s="192" t="s">
        <v>200</v>
      </c>
      <c r="G593" s="192" t="s">
        <v>148</v>
      </c>
      <c r="H593" s="192" t="s">
        <v>148</v>
      </c>
      <c r="I593" s="192" t="s">
        <v>1057</v>
      </c>
      <c r="J593" s="192" t="s">
        <v>1064</v>
      </c>
      <c r="K593" s="192" t="s">
        <v>1052</v>
      </c>
      <c r="L593" s="192" t="str">
        <f t="shared" si="12"/>
        <v>FLAGAgricultureAgricultureLivestockSheep and goatsEmissions</v>
      </c>
      <c r="M593" s="192" t="s">
        <v>1551</v>
      </c>
      <c r="N593" s="192" t="s">
        <v>1059</v>
      </c>
      <c r="O593" s="305"/>
      <c r="P593" s="372"/>
      <c r="Q593" s="377"/>
      <c r="R593" s="305"/>
      <c r="S593" s="305"/>
      <c r="T593" s="305"/>
      <c r="U593" s="305"/>
      <c r="V593" s="305"/>
      <c r="W593" s="304">
        <v>139.1166578013202</v>
      </c>
      <c r="X593" s="305"/>
      <c r="Y593" s="305"/>
      <c r="Z593" s="305"/>
      <c r="AA593" s="305"/>
      <c r="AB593" s="305"/>
      <c r="AC593" s="305"/>
      <c r="AD593" s="304"/>
      <c r="AE593" s="424"/>
    </row>
    <row r="594" spans="5:31" ht="14.15" customHeight="1" x14ac:dyDescent="0.35">
      <c r="E594" s="192">
        <v>586</v>
      </c>
      <c r="F594" s="192" t="s">
        <v>194</v>
      </c>
      <c r="G594" s="192" t="s">
        <v>194</v>
      </c>
      <c r="H594" s="192" t="s">
        <v>376</v>
      </c>
      <c r="I594" s="192" t="s">
        <v>1868</v>
      </c>
      <c r="J594" s="192" t="s">
        <v>1065</v>
      </c>
      <c r="K594" s="192" t="s">
        <v>1857</v>
      </c>
      <c r="L594" s="192" t="str">
        <f t="shared" ref="L594:L617" si="13">_xlfn.CONCAT(F594:K594)</f>
        <v>WasteWasteMunicipalAnaerobic digestion (municipal)Organic food and drinkNot including transport</v>
      </c>
      <c r="M594" s="192" t="s">
        <v>1142</v>
      </c>
      <c r="N594" s="192" t="s">
        <v>976</v>
      </c>
      <c r="O594" s="192" t="s">
        <v>337</v>
      </c>
      <c r="P594" s="374">
        <v>1E-3</v>
      </c>
      <c r="Q594" s="377"/>
      <c r="R594" s="305"/>
      <c r="S594" s="304">
        <v>0</v>
      </c>
      <c r="T594" s="305"/>
      <c r="U594" s="305"/>
      <c r="V594" s="305"/>
      <c r="W594" s="305"/>
      <c r="X594" s="305"/>
      <c r="Y594" s="305"/>
      <c r="Z594" s="304" t="s">
        <v>1552</v>
      </c>
      <c r="AA594" s="305"/>
      <c r="AB594" s="305"/>
      <c r="AC594" s="305"/>
      <c r="AD594" s="304"/>
      <c r="AE594" s="424" t="s">
        <v>1858</v>
      </c>
    </row>
    <row r="595" spans="5:31" ht="14.15" customHeight="1" x14ac:dyDescent="0.35">
      <c r="E595" s="192">
        <v>587</v>
      </c>
      <c r="F595" s="192" t="s">
        <v>194</v>
      </c>
      <c r="G595" s="192" t="s">
        <v>194</v>
      </c>
      <c r="H595" s="192" t="s">
        <v>376</v>
      </c>
      <c r="I595" s="192" t="s">
        <v>1868</v>
      </c>
      <c r="J595" s="192" t="s">
        <v>1066</v>
      </c>
      <c r="K595" s="192" t="s">
        <v>1857</v>
      </c>
      <c r="L595" s="192" t="str">
        <f t="shared" si="13"/>
        <v>WasteWasteMunicipalAnaerobic digestion (municipal)Organic mixedNot including transport</v>
      </c>
      <c r="M595" s="192" t="s">
        <v>1142</v>
      </c>
      <c r="N595" s="192" t="s">
        <v>976</v>
      </c>
      <c r="O595" s="192" t="s">
        <v>337</v>
      </c>
      <c r="P595" s="374">
        <v>1E-3</v>
      </c>
      <c r="Q595" s="377"/>
      <c r="R595" s="305"/>
      <c r="S595" s="304">
        <v>0</v>
      </c>
      <c r="T595" s="305"/>
      <c r="U595" s="305"/>
      <c r="V595" s="305"/>
      <c r="W595" s="305"/>
      <c r="X595" s="305"/>
      <c r="Y595" s="305"/>
      <c r="Z595" s="304" t="s">
        <v>1553</v>
      </c>
      <c r="AA595" s="305"/>
      <c r="AB595" s="305"/>
      <c r="AC595" s="305"/>
      <c r="AD595" s="304"/>
      <c r="AE595" s="424" t="s">
        <v>1858</v>
      </c>
    </row>
    <row r="596" spans="5:31" ht="14.15" customHeight="1" x14ac:dyDescent="0.35">
      <c r="E596" s="192">
        <v>588</v>
      </c>
      <c r="F596" s="192" t="s">
        <v>194</v>
      </c>
      <c r="G596" s="192" t="s">
        <v>194</v>
      </c>
      <c r="H596" s="192" t="s">
        <v>376</v>
      </c>
      <c r="I596" s="192" t="s">
        <v>1867</v>
      </c>
      <c r="J596" s="192" t="s">
        <v>1067</v>
      </c>
      <c r="K596" s="192" t="s">
        <v>1857</v>
      </c>
      <c r="L596" s="192" t="str">
        <f t="shared" si="13"/>
        <v>WasteWasteMunicipalCombustion (municipal)Commercial and industrialNot including transport</v>
      </c>
      <c r="M596" s="192" t="s">
        <v>1142</v>
      </c>
      <c r="N596" s="192" t="s">
        <v>976</v>
      </c>
      <c r="O596" s="192" t="s">
        <v>337</v>
      </c>
      <c r="P596" s="374">
        <v>1E-3</v>
      </c>
      <c r="Q596" s="377"/>
      <c r="R596" s="305"/>
      <c r="S596" s="304">
        <v>0</v>
      </c>
      <c r="T596" s="305"/>
      <c r="U596" s="305"/>
      <c r="V596" s="305"/>
      <c r="W596" s="305"/>
      <c r="X596" s="305"/>
      <c r="Y596" s="305"/>
      <c r="Z596" s="304" t="s">
        <v>1554</v>
      </c>
      <c r="AA596" s="305"/>
      <c r="AB596" s="305"/>
      <c r="AC596" s="305"/>
      <c r="AD596" s="304"/>
      <c r="AE596" s="424" t="s">
        <v>1858</v>
      </c>
    </row>
    <row r="597" spans="5:31" ht="14.15" customHeight="1" x14ac:dyDescent="0.35">
      <c r="E597" s="192">
        <v>589</v>
      </c>
      <c r="F597" s="192" t="s">
        <v>194</v>
      </c>
      <c r="G597" s="192" t="s">
        <v>194</v>
      </c>
      <c r="H597" s="192" t="s">
        <v>376</v>
      </c>
      <c r="I597" s="192" t="s">
        <v>1867</v>
      </c>
      <c r="J597" s="192" t="s">
        <v>1068</v>
      </c>
      <c r="K597" s="192" t="s">
        <v>1857</v>
      </c>
      <c r="L597" s="192" t="str">
        <f t="shared" si="13"/>
        <v>WasteWasteMunicipalCombustion (municipal)Commercial and industrial wasteNot including transport</v>
      </c>
      <c r="M597" s="192" t="s">
        <v>1142</v>
      </c>
      <c r="N597" s="192" t="s">
        <v>976</v>
      </c>
      <c r="O597" s="192" t="s">
        <v>337</v>
      </c>
      <c r="P597" s="374">
        <v>1E-3</v>
      </c>
      <c r="Q597" s="377"/>
      <c r="R597" s="305"/>
      <c r="S597" s="304">
        <v>0</v>
      </c>
      <c r="T597" s="305"/>
      <c r="U597" s="305"/>
      <c r="V597" s="305"/>
      <c r="W597" s="305"/>
      <c r="X597" s="305"/>
      <c r="Y597" s="305"/>
      <c r="Z597" s="304" t="s">
        <v>1554</v>
      </c>
      <c r="AA597" s="305"/>
      <c r="AB597" s="305"/>
      <c r="AC597" s="305"/>
      <c r="AD597" s="304"/>
      <c r="AE597" s="424" t="s">
        <v>1858</v>
      </c>
    </row>
    <row r="598" spans="5:31" ht="14.15" customHeight="1" x14ac:dyDescent="0.35">
      <c r="E598" s="192">
        <v>590</v>
      </c>
      <c r="F598" s="192" t="s">
        <v>194</v>
      </c>
      <c r="G598" s="192" t="s">
        <v>194</v>
      </c>
      <c r="H598" s="192" t="s">
        <v>376</v>
      </c>
      <c r="I598" s="192" t="s">
        <v>1867</v>
      </c>
      <c r="J598" s="192" t="s">
        <v>1069</v>
      </c>
      <c r="K598" s="192" t="s">
        <v>1857</v>
      </c>
      <c r="L598" s="192" t="str">
        <f t="shared" si="13"/>
        <v>WasteWasteMunicipalCombustion (municipal)Household residual wasteNot including transport</v>
      </c>
      <c r="M598" s="192" t="s">
        <v>1142</v>
      </c>
      <c r="N598" s="192" t="s">
        <v>976</v>
      </c>
      <c r="O598" s="192" t="s">
        <v>337</v>
      </c>
      <c r="P598" s="374">
        <v>1E-3</v>
      </c>
      <c r="Q598" s="377"/>
      <c r="R598" s="305"/>
      <c r="S598" s="304">
        <v>0</v>
      </c>
      <c r="T598" s="305"/>
      <c r="U598" s="305"/>
      <c r="V598" s="305"/>
      <c r="W598" s="305"/>
      <c r="X598" s="305"/>
      <c r="Y598" s="305"/>
      <c r="Z598" s="304" t="s">
        <v>1555</v>
      </c>
      <c r="AA598" s="305"/>
      <c r="AB598" s="305"/>
      <c r="AC598" s="305"/>
      <c r="AD598" s="304"/>
      <c r="AE598" s="424" t="s">
        <v>1858</v>
      </c>
    </row>
    <row r="599" spans="5:31" ht="14.15" customHeight="1" x14ac:dyDescent="0.35">
      <c r="E599" s="192">
        <v>591</v>
      </c>
      <c r="F599" s="192" t="s">
        <v>194</v>
      </c>
      <c r="G599" s="192" t="s">
        <v>194</v>
      </c>
      <c r="H599" s="192" t="s">
        <v>376</v>
      </c>
      <c r="I599" s="192" t="s">
        <v>1867</v>
      </c>
      <c r="J599" s="192" t="s">
        <v>1070</v>
      </c>
      <c r="K599" s="192" t="s">
        <v>1857</v>
      </c>
      <c r="L599" s="192" t="str">
        <f t="shared" si="13"/>
        <v>WasteWasteMunicipalCombustion (municipal)Non infectious offensive wasteNot including transport</v>
      </c>
      <c r="M599" s="399" t="s">
        <v>1841</v>
      </c>
      <c r="N599" s="192" t="s">
        <v>976</v>
      </c>
      <c r="O599" s="192" t="s">
        <v>337</v>
      </c>
      <c r="P599" s="374">
        <v>1E-3</v>
      </c>
      <c r="Q599" s="377"/>
      <c r="R599" s="305"/>
      <c r="S599" s="304">
        <v>0</v>
      </c>
      <c r="T599" s="305"/>
      <c r="U599" s="305"/>
      <c r="V599" s="305"/>
      <c r="W599" s="305"/>
      <c r="X599" s="305"/>
      <c r="Y599" s="305"/>
      <c r="Z599" s="304"/>
      <c r="AA599" s="305"/>
      <c r="AB599" s="305"/>
      <c r="AC599" s="305"/>
      <c r="AD599" s="304"/>
      <c r="AE599" s="424" t="s">
        <v>1858</v>
      </c>
    </row>
    <row r="600" spans="5:31" ht="14.15" customHeight="1" x14ac:dyDescent="0.35">
      <c r="E600" s="192">
        <v>592</v>
      </c>
      <c r="F600" s="192" t="s">
        <v>194</v>
      </c>
      <c r="G600" s="192" t="s">
        <v>194</v>
      </c>
      <c r="H600" s="192" t="s">
        <v>376</v>
      </c>
      <c r="I600" s="192" t="s">
        <v>1867</v>
      </c>
      <c r="J600" s="192" t="s">
        <v>1065</v>
      </c>
      <c r="K600" s="192" t="s">
        <v>1857</v>
      </c>
      <c r="L600" s="192" t="str">
        <f t="shared" si="13"/>
        <v>WasteWasteMunicipalCombustion (municipal)Organic food and drinkNot including transport</v>
      </c>
      <c r="M600" s="192" t="s">
        <v>1142</v>
      </c>
      <c r="N600" s="192" t="s">
        <v>976</v>
      </c>
      <c r="O600" s="192" t="s">
        <v>337</v>
      </c>
      <c r="P600" s="374">
        <v>1E-3</v>
      </c>
      <c r="Q600" s="377"/>
      <c r="R600" s="305"/>
      <c r="S600" s="304">
        <v>0</v>
      </c>
      <c r="T600" s="305"/>
      <c r="U600" s="305"/>
      <c r="V600" s="305"/>
      <c r="W600" s="305"/>
      <c r="X600" s="305"/>
      <c r="Y600" s="305"/>
      <c r="Z600" s="304" t="s">
        <v>1556</v>
      </c>
      <c r="AA600" s="305"/>
      <c r="AB600" s="305"/>
      <c r="AC600" s="305"/>
      <c r="AD600" s="304"/>
      <c r="AE600" s="424" t="s">
        <v>1858</v>
      </c>
    </row>
    <row r="601" spans="5:31" ht="14.15" customHeight="1" x14ac:dyDescent="0.35">
      <c r="E601" s="192">
        <v>593</v>
      </c>
      <c r="F601" s="192" t="s">
        <v>194</v>
      </c>
      <c r="G601" s="192" t="s">
        <v>194</v>
      </c>
      <c r="H601" s="192" t="s">
        <v>376</v>
      </c>
      <c r="I601" s="192" t="s">
        <v>1867</v>
      </c>
      <c r="J601" s="192" t="s">
        <v>1066</v>
      </c>
      <c r="K601" s="192" t="s">
        <v>1857</v>
      </c>
      <c r="L601" s="192" t="str">
        <f t="shared" si="13"/>
        <v>WasteWasteMunicipalCombustion (municipal)Organic mixedNot including transport</v>
      </c>
      <c r="M601" s="192" t="s">
        <v>1142</v>
      </c>
      <c r="N601" s="192" t="s">
        <v>976</v>
      </c>
      <c r="O601" s="192" t="s">
        <v>337</v>
      </c>
      <c r="P601" s="374">
        <v>1E-3</v>
      </c>
      <c r="Q601" s="377"/>
      <c r="R601" s="305"/>
      <c r="S601" s="304">
        <v>0</v>
      </c>
      <c r="T601" s="305"/>
      <c r="U601" s="305"/>
      <c r="V601" s="305"/>
      <c r="W601" s="305"/>
      <c r="X601" s="305"/>
      <c r="Y601" s="305"/>
      <c r="Z601" s="304" t="s">
        <v>1557</v>
      </c>
      <c r="AA601" s="305"/>
      <c r="AB601" s="305"/>
      <c r="AC601" s="305"/>
      <c r="AD601" s="304"/>
      <c r="AE601" s="424" t="s">
        <v>1858</v>
      </c>
    </row>
    <row r="602" spans="5:31" ht="14.15" customHeight="1" x14ac:dyDescent="0.35">
      <c r="E602" s="192">
        <v>594</v>
      </c>
      <c r="F602" s="192" t="s">
        <v>194</v>
      </c>
      <c r="G602" s="192" t="s">
        <v>194</v>
      </c>
      <c r="H602" s="192" t="s">
        <v>376</v>
      </c>
      <c r="I602" s="192" t="s">
        <v>1869</v>
      </c>
      <c r="J602" s="192" t="s">
        <v>1065</v>
      </c>
      <c r="K602" s="192" t="s">
        <v>1857</v>
      </c>
      <c r="L602" s="192" t="str">
        <f t="shared" si="13"/>
        <v>WasteWasteMunicipalComposting (municipal)Organic food and drinkNot including transport</v>
      </c>
      <c r="M602" s="192" t="s">
        <v>1142</v>
      </c>
      <c r="N602" s="192" t="s">
        <v>976</v>
      </c>
      <c r="O602" s="192" t="s">
        <v>337</v>
      </c>
      <c r="P602" s="374">
        <v>1E-3</v>
      </c>
      <c r="Q602" s="377"/>
      <c r="R602" s="305"/>
      <c r="S602" s="304">
        <v>0</v>
      </c>
      <c r="T602" s="305"/>
      <c r="U602" s="305"/>
      <c r="V602" s="305"/>
      <c r="W602" s="305"/>
      <c r="X602" s="305"/>
      <c r="Y602" s="305"/>
      <c r="Z602" s="304" t="s">
        <v>1558</v>
      </c>
      <c r="AA602" s="305"/>
      <c r="AB602" s="305"/>
      <c r="AC602" s="305"/>
      <c r="AD602" s="304"/>
      <c r="AE602" s="424" t="s">
        <v>1858</v>
      </c>
    </row>
    <row r="603" spans="5:31" ht="14.15" customHeight="1" x14ac:dyDescent="0.35">
      <c r="E603" s="192">
        <v>595</v>
      </c>
      <c r="F603" s="192" t="s">
        <v>194</v>
      </c>
      <c r="G603" s="192" t="s">
        <v>194</v>
      </c>
      <c r="H603" s="192" t="s">
        <v>376</v>
      </c>
      <c r="I603" s="192" t="s">
        <v>1869</v>
      </c>
      <c r="J603" s="192" t="s">
        <v>1071</v>
      </c>
      <c r="K603" s="192" t="s">
        <v>1857</v>
      </c>
      <c r="L603" s="192" t="str">
        <f t="shared" si="13"/>
        <v>WasteWasteMunicipalComposting (municipal)Organic gardenNot including transport</v>
      </c>
      <c r="M603" s="192" t="s">
        <v>1142</v>
      </c>
      <c r="N603" s="192" t="s">
        <v>976</v>
      </c>
      <c r="O603" s="192" t="s">
        <v>337</v>
      </c>
      <c r="P603" s="374">
        <v>1E-3</v>
      </c>
      <c r="Q603" s="377"/>
      <c r="R603" s="305"/>
      <c r="S603" s="304">
        <v>0</v>
      </c>
      <c r="T603" s="305"/>
      <c r="U603" s="305"/>
      <c r="V603" s="305"/>
      <c r="W603" s="305"/>
      <c r="X603" s="305"/>
      <c r="Y603" s="305"/>
      <c r="Z603" s="304" t="s">
        <v>1559</v>
      </c>
      <c r="AA603" s="305"/>
      <c r="AB603" s="305"/>
      <c r="AC603" s="305"/>
      <c r="AD603" s="304"/>
      <c r="AE603" s="424" t="s">
        <v>1858</v>
      </c>
    </row>
    <row r="604" spans="5:31" ht="14.15" customHeight="1" x14ac:dyDescent="0.35">
      <c r="E604" s="192">
        <v>596</v>
      </c>
      <c r="F604" s="192" t="s">
        <v>194</v>
      </c>
      <c r="G604" s="192" t="s">
        <v>194</v>
      </c>
      <c r="H604" s="192" t="s">
        <v>376</v>
      </c>
      <c r="I604" s="192" t="s">
        <v>1869</v>
      </c>
      <c r="J604" s="192" t="s">
        <v>1066</v>
      </c>
      <c r="K604" s="192" t="s">
        <v>1857</v>
      </c>
      <c r="L604" s="192" t="str">
        <f t="shared" si="13"/>
        <v>WasteWasteMunicipalComposting (municipal)Organic mixedNot including transport</v>
      </c>
      <c r="M604" s="192" t="s">
        <v>1142</v>
      </c>
      <c r="N604" s="192" t="s">
        <v>976</v>
      </c>
      <c r="O604" s="192" t="s">
        <v>337</v>
      </c>
      <c r="P604" s="374">
        <v>1E-3</v>
      </c>
      <c r="Q604" s="377"/>
      <c r="R604" s="305"/>
      <c r="S604" s="304">
        <v>0</v>
      </c>
      <c r="T604" s="305"/>
      <c r="U604" s="305"/>
      <c r="V604" s="305"/>
      <c r="W604" s="305"/>
      <c r="X604" s="305"/>
      <c r="Y604" s="305"/>
      <c r="Z604" s="304" t="s">
        <v>1560</v>
      </c>
      <c r="AA604" s="305"/>
      <c r="AB604" s="305"/>
      <c r="AC604" s="305"/>
      <c r="AD604" s="304"/>
      <c r="AE604" s="424" t="s">
        <v>1858</v>
      </c>
    </row>
    <row r="605" spans="5:31" ht="14.15" customHeight="1" x14ac:dyDescent="0.35">
      <c r="E605" s="192">
        <v>597</v>
      </c>
      <c r="F605" s="192" t="s">
        <v>194</v>
      </c>
      <c r="G605" s="192" t="s">
        <v>194</v>
      </c>
      <c r="H605" s="192" t="s">
        <v>376</v>
      </c>
      <c r="I605" s="192" t="s">
        <v>1871</v>
      </c>
      <c r="J605" s="192" t="s">
        <v>1072</v>
      </c>
      <c r="K605" s="192" t="s">
        <v>1857</v>
      </c>
      <c r="L605" s="192" t="str">
        <f t="shared" si="13"/>
        <v>WasteWasteMunicipalLandfill (municipal)ClothingNot including transport</v>
      </c>
      <c r="M605" s="192" t="s">
        <v>1142</v>
      </c>
      <c r="N605" s="192" t="s">
        <v>976</v>
      </c>
      <c r="O605" s="192" t="s">
        <v>337</v>
      </c>
      <c r="P605" s="374">
        <v>1E-3</v>
      </c>
      <c r="Q605" s="377"/>
      <c r="R605" s="305"/>
      <c r="S605" s="304">
        <v>496.78228000000001</v>
      </c>
      <c r="T605" s="305"/>
      <c r="U605" s="305"/>
      <c r="V605" s="305"/>
      <c r="W605" s="305"/>
      <c r="X605" s="305"/>
      <c r="Y605" s="305"/>
      <c r="Z605" s="304" t="s">
        <v>1561</v>
      </c>
      <c r="AA605" s="305"/>
      <c r="AB605" s="305"/>
      <c r="AC605" s="305"/>
      <c r="AD605" s="304"/>
      <c r="AE605" s="424" t="s">
        <v>1735</v>
      </c>
    </row>
    <row r="606" spans="5:31" ht="14.15" customHeight="1" x14ac:dyDescent="0.35">
      <c r="E606" s="192">
        <v>598</v>
      </c>
      <c r="F606" s="192" t="s">
        <v>194</v>
      </c>
      <c r="G606" s="192" t="s">
        <v>194</v>
      </c>
      <c r="H606" s="192" t="s">
        <v>376</v>
      </c>
      <c r="I606" s="192" t="s">
        <v>1871</v>
      </c>
      <c r="J606" s="192" t="s">
        <v>1068</v>
      </c>
      <c r="K606" s="192" t="s">
        <v>1857</v>
      </c>
      <c r="L606" s="192" t="str">
        <f t="shared" si="13"/>
        <v>WasteWasteMunicipalLandfill (municipal)Commercial and industrial wasteNot including transport</v>
      </c>
      <c r="M606" s="192" t="s">
        <v>1142</v>
      </c>
      <c r="N606" s="192" t="s">
        <v>976</v>
      </c>
      <c r="O606" s="192" t="s">
        <v>337</v>
      </c>
      <c r="P606" s="374">
        <v>1E-3</v>
      </c>
      <c r="Q606" s="377"/>
      <c r="R606" s="305"/>
      <c r="S606" s="304">
        <v>520.53269999999998</v>
      </c>
      <c r="T606" s="305"/>
      <c r="U606" s="305"/>
      <c r="V606" s="305"/>
      <c r="W606" s="305"/>
      <c r="X606" s="305"/>
      <c r="Y606" s="305"/>
      <c r="Z606" s="304" t="s">
        <v>1562</v>
      </c>
      <c r="AA606" s="305"/>
      <c r="AB606" s="305"/>
      <c r="AC606" s="305"/>
      <c r="AD606" s="304"/>
      <c r="AE606" s="424"/>
    </row>
    <row r="607" spans="5:31" ht="14.15" customHeight="1" x14ac:dyDescent="0.35">
      <c r="E607" s="192">
        <v>599</v>
      </c>
      <c r="F607" s="192" t="s">
        <v>194</v>
      </c>
      <c r="G607" s="192" t="s">
        <v>194</v>
      </c>
      <c r="H607" s="192" t="s">
        <v>376</v>
      </c>
      <c r="I607" s="192" t="s">
        <v>1871</v>
      </c>
      <c r="J607" s="192" t="s">
        <v>1069</v>
      </c>
      <c r="K607" s="192" t="s">
        <v>1857</v>
      </c>
      <c r="L607" s="192" t="str">
        <f t="shared" si="13"/>
        <v>WasteWasteMunicipalLandfill (municipal)Household residual wasteNot including transport</v>
      </c>
      <c r="M607" s="192" t="s">
        <v>1142</v>
      </c>
      <c r="N607" s="192" t="s">
        <v>976</v>
      </c>
      <c r="O607" s="192" t="s">
        <v>337</v>
      </c>
      <c r="P607" s="374">
        <v>1E-3</v>
      </c>
      <c r="Q607" s="377"/>
      <c r="R607" s="305"/>
      <c r="S607" s="304">
        <v>497.24243999999999</v>
      </c>
      <c r="T607" s="305"/>
      <c r="U607" s="305"/>
      <c r="V607" s="305"/>
      <c r="W607" s="305"/>
      <c r="X607" s="305"/>
      <c r="Y607" s="305"/>
      <c r="Z607" s="304" t="s">
        <v>1563</v>
      </c>
      <c r="AA607" s="305"/>
      <c r="AB607" s="305"/>
      <c r="AC607" s="305"/>
      <c r="AD607" s="304"/>
      <c r="AE607" s="424"/>
    </row>
    <row r="608" spans="5:31" ht="14.15" customHeight="1" x14ac:dyDescent="0.35">
      <c r="E608" s="192">
        <v>600</v>
      </c>
      <c r="F608" s="192" t="s">
        <v>194</v>
      </c>
      <c r="G608" s="192" t="s">
        <v>194</v>
      </c>
      <c r="H608" s="192" t="s">
        <v>376</v>
      </c>
      <c r="I608" s="192" t="s">
        <v>1871</v>
      </c>
      <c r="J608" s="192" t="s">
        <v>1065</v>
      </c>
      <c r="K608" s="192" t="s">
        <v>1857</v>
      </c>
      <c r="L608" s="192" t="str">
        <f t="shared" si="13"/>
        <v>WasteWasteMunicipalLandfill (municipal)Organic food and drinkNot including transport</v>
      </c>
      <c r="M608" s="192" t="s">
        <v>1142</v>
      </c>
      <c r="N608" s="192" t="s">
        <v>976</v>
      </c>
      <c r="O608" s="192" t="s">
        <v>337</v>
      </c>
      <c r="P608" s="374">
        <v>1E-3</v>
      </c>
      <c r="Q608" s="377"/>
      <c r="R608" s="305"/>
      <c r="S608" s="304">
        <v>700.30885999999998</v>
      </c>
      <c r="T608" s="305"/>
      <c r="U608" s="305"/>
      <c r="V608" s="305"/>
      <c r="W608" s="305"/>
      <c r="X608" s="305"/>
      <c r="Y608" s="305"/>
      <c r="Z608" s="304" t="s">
        <v>1564</v>
      </c>
      <c r="AA608" s="305"/>
      <c r="AB608" s="305"/>
      <c r="AC608" s="305"/>
      <c r="AD608" s="304"/>
      <c r="AE608" s="424"/>
    </row>
    <row r="609" spans="5:31" ht="14.15" customHeight="1" x14ac:dyDescent="0.35">
      <c r="E609" s="192">
        <v>601</v>
      </c>
      <c r="F609" s="192" t="s">
        <v>194</v>
      </c>
      <c r="G609" s="192" t="s">
        <v>194</v>
      </c>
      <c r="H609" s="192" t="s">
        <v>376</v>
      </c>
      <c r="I609" s="192" t="s">
        <v>1872</v>
      </c>
      <c r="J609" s="192" t="s">
        <v>1073</v>
      </c>
      <c r="K609" s="192" t="s">
        <v>1857</v>
      </c>
      <c r="L609" s="192" t="str">
        <f t="shared" si="13"/>
        <v>WasteWasteMunicipalRecycling (municipal)BatteriesNot including transport</v>
      </c>
      <c r="M609" s="192" t="s">
        <v>1142</v>
      </c>
      <c r="N609" s="192" t="s">
        <v>976</v>
      </c>
      <c r="O609" s="192" t="s">
        <v>337</v>
      </c>
      <c r="P609" s="374">
        <v>1E-3</v>
      </c>
      <c r="Q609" s="377"/>
      <c r="R609" s="305"/>
      <c r="S609" s="304">
        <v>0</v>
      </c>
      <c r="T609" s="305"/>
      <c r="U609" s="305"/>
      <c r="V609" s="305"/>
      <c r="W609" s="305"/>
      <c r="X609" s="305"/>
      <c r="Y609" s="305"/>
      <c r="Z609" s="304" t="s">
        <v>1565</v>
      </c>
      <c r="AA609" s="305"/>
      <c r="AB609" s="305"/>
      <c r="AC609" s="305"/>
      <c r="AD609" s="304"/>
      <c r="AE609" s="424" t="s">
        <v>1858</v>
      </c>
    </row>
    <row r="610" spans="5:31" ht="14.15" customHeight="1" x14ac:dyDescent="0.35">
      <c r="E610" s="192">
        <v>602</v>
      </c>
      <c r="F610" s="192" t="s">
        <v>194</v>
      </c>
      <c r="G610" s="192" t="s">
        <v>194</v>
      </c>
      <c r="H610" s="192" t="s">
        <v>376</v>
      </c>
      <c r="I610" s="192" t="s">
        <v>1872</v>
      </c>
      <c r="J610" s="192" t="s">
        <v>1072</v>
      </c>
      <c r="K610" s="192" t="s">
        <v>1857</v>
      </c>
      <c r="L610" s="192" t="str">
        <f t="shared" si="13"/>
        <v>WasteWasteMunicipalRecycling (municipal)ClothingNot including transport</v>
      </c>
      <c r="M610" s="192" t="s">
        <v>1142</v>
      </c>
      <c r="N610" s="192" t="s">
        <v>976</v>
      </c>
      <c r="O610" s="192" t="s">
        <v>337</v>
      </c>
      <c r="P610" s="374">
        <v>1E-3</v>
      </c>
      <c r="Q610" s="377"/>
      <c r="R610" s="305"/>
      <c r="S610" s="304">
        <v>0</v>
      </c>
      <c r="T610" s="305"/>
      <c r="U610" s="305"/>
      <c r="V610" s="305"/>
      <c r="W610" s="305"/>
      <c r="X610" s="305"/>
      <c r="Y610" s="305"/>
      <c r="Z610" s="304" t="s">
        <v>1566</v>
      </c>
      <c r="AA610" s="305"/>
      <c r="AB610" s="305"/>
      <c r="AC610" s="305"/>
      <c r="AD610" s="304"/>
      <c r="AE610" s="424" t="s">
        <v>1858</v>
      </c>
    </row>
    <row r="611" spans="5:31" ht="14.15" customHeight="1" x14ac:dyDescent="0.35">
      <c r="E611" s="192">
        <v>603</v>
      </c>
      <c r="F611" s="192" t="s">
        <v>194</v>
      </c>
      <c r="G611" s="192" t="s">
        <v>194</v>
      </c>
      <c r="H611" s="192" t="s">
        <v>376</v>
      </c>
      <c r="I611" s="192" t="s">
        <v>1872</v>
      </c>
      <c r="J611" s="192" t="s">
        <v>1068</v>
      </c>
      <c r="K611" s="192" t="s">
        <v>1857</v>
      </c>
      <c r="L611" s="192" t="str">
        <f t="shared" si="13"/>
        <v>WasteWasteMunicipalRecycling (municipal)Commercial and industrial wasteNot including transport</v>
      </c>
      <c r="M611" s="192" t="s">
        <v>1142</v>
      </c>
      <c r="N611" s="192" t="s">
        <v>976</v>
      </c>
      <c r="O611" s="192" t="s">
        <v>337</v>
      </c>
      <c r="P611" s="374">
        <v>1E-3</v>
      </c>
      <c r="Q611" s="377"/>
      <c r="R611" s="305"/>
      <c r="S611" s="304">
        <v>0</v>
      </c>
      <c r="T611" s="305"/>
      <c r="U611" s="305"/>
      <c r="V611" s="305"/>
      <c r="W611" s="305"/>
      <c r="X611" s="305"/>
      <c r="Y611" s="305"/>
      <c r="Z611" s="304"/>
      <c r="AA611" s="305"/>
      <c r="AB611" s="305"/>
      <c r="AC611" s="305"/>
      <c r="AD611" s="304"/>
      <c r="AE611" s="424" t="s">
        <v>1858</v>
      </c>
    </row>
    <row r="612" spans="5:31" ht="14.15" customHeight="1" x14ac:dyDescent="0.35">
      <c r="E612" s="192">
        <v>604</v>
      </c>
      <c r="F612" s="192" t="s">
        <v>194</v>
      </c>
      <c r="G612" s="192" t="s">
        <v>194</v>
      </c>
      <c r="H612" s="192" t="s">
        <v>376</v>
      </c>
      <c r="I612" s="192" t="s">
        <v>1872</v>
      </c>
      <c r="J612" s="192" t="s">
        <v>1074</v>
      </c>
      <c r="K612" s="192" t="s">
        <v>1857</v>
      </c>
      <c r="L612" s="192" t="str">
        <f t="shared" si="13"/>
        <v>WasteWasteMunicipalRecycling (municipal)Mixed glassNot including transport</v>
      </c>
      <c r="M612" s="192" t="s">
        <v>1142</v>
      </c>
      <c r="N612" s="192" t="s">
        <v>976</v>
      </c>
      <c r="O612" s="192" t="s">
        <v>337</v>
      </c>
      <c r="P612" s="374">
        <v>1E-3</v>
      </c>
      <c r="Q612" s="377"/>
      <c r="R612" s="305"/>
      <c r="S612" s="304">
        <v>0</v>
      </c>
      <c r="T612" s="305"/>
      <c r="U612" s="305"/>
      <c r="V612" s="305"/>
      <c r="W612" s="305"/>
      <c r="X612" s="305"/>
      <c r="Y612" s="305"/>
      <c r="Z612" s="304" t="s">
        <v>1567</v>
      </c>
      <c r="AA612" s="305"/>
      <c r="AB612" s="305"/>
      <c r="AC612" s="305"/>
      <c r="AD612" s="304"/>
      <c r="AE612" s="424" t="s">
        <v>1858</v>
      </c>
    </row>
    <row r="613" spans="5:31" ht="14.15" customHeight="1" x14ac:dyDescent="0.35">
      <c r="E613" s="192">
        <v>605</v>
      </c>
      <c r="F613" s="192" t="s">
        <v>194</v>
      </c>
      <c r="G613" s="192" t="s">
        <v>194</v>
      </c>
      <c r="H613" s="192" t="s">
        <v>376</v>
      </c>
      <c r="I613" s="192" t="s">
        <v>1872</v>
      </c>
      <c r="J613" s="192" t="s">
        <v>1075</v>
      </c>
      <c r="K613" s="192" t="s">
        <v>1857</v>
      </c>
      <c r="L613" s="192" t="str">
        <f t="shared" si="13"/>
        <v>WasteWasteMunicipalRecycling (municipal)Mixed metal cansNot including transport</v>
      </c>
      <c r="M613" s="192" t="s">
        <v>1142</v>
      </c>
      <c r="N613" s="192" t="s">
        <v>976</v>
      </c>
      <c r="O613" s="192" t="s">
        <v>337</v>
      </c>
      <c r="P613" s="374">
        <v>1E-3</v>
      </c>
      <c r="Q613" s="377"/>
      <c r="R613" s="305"/>
      <c r="S613" s="304">
        <v>0</v>
      </c>
      <c r="T613" s="305"/>
      <c r="U613" s="305"/>
      <c r="V613" s="305"/>
      <c r="W613" s="305"/>
      <c r="X613" s="305"/>
      <c r="Y613" s="305"/>
      <c r="Z613" s="304" t="s">
        <v>1568</v>
      </c>
      <c r="AA613" s="305"/>
      <c r="AB613" s="305"/>
      <c r="AC613" s="305"/>
      <c r="AD613" s="304"/>
      <c r="AE613" s="424" t="s">
        <v>1858</v>
      </c>
    </row>
    <row r="614" spans="5:31" ht="14.15" customHeight="1" x14ac:dyDescent="0.35">
      <c r="E614" s="192">
        <v>606</v>
      </c>
      <c r="F614" s="192" t="s">
        <v>194</v>
      </c>
      <c r="G614" s="192" t="s">
        <v>194</v>
      </c>
      <c r="H614" s="192" t="s">
        <v>376</v>
      </c>
      <c r="I614" s="192" t="s">
        <v>1872</v>
      </c>
      <c r="J614" s="192" t="s">
        <v>1076</v>
      </c>
      <c r="K614" s="192" t="s">
        <v>1857</v>
      </c>
      <c r="L614" s="192" t="str">
        <f t="shared" si="13"/>
        <v>WasteWasteMunicipalRecycling (municipal)Mixed paperNot including transport</v>
      </c>
      <c r="M614" s="192" t="s">
        <v>1142</v>
      </c>
      <c r="N614" s="192" t="s">
        <v>976</v>
      </c>
      <c r="O614" s="192" t="s">
        <v>337</v>
      </c>
      <c r="P614" s="374">
        <v>1E-3</v>
      </c>
      <c r="Q614" s="377"/>
      <c r="R614" s="305"/>
      <c r="S614" s="304">
        <v>0</v>
      </c>
      <c r="T614" s="305"/>
      <c r="U614" s="305"/>
      <c r="V614" s="305"/>
      <c r="W614" s="305"/>
      <c r="X614" s="305"/>
      <c r="Y614" s="305"/>
      <c r="Z614" s="304" t="s">
        <v>1569</v>
      </c>
      <c r="AA614" s="305"/>
      <c r="AB614" s="305"/>
      <c r="AC614" s="305"/>
      <c r="AD614" s="304"/>
      <c r="AE614" s="424" t="s">
        <v>1858</v>
      </c>
    </row>
    <row r="615" spans="5:31" ht="14.15" customHeight="1" x14ac:dyDescent="0.35">
      <c r="E615" s="192">
        <v>607</v>
      </c>
      <c r="F615" s="192" t="s">
        <v>194</v>
      </c>
      <c r="G615" s="192" t="s">
        <v>194</v>
      </c>
      <c r="H615" s="192" t="s">
        <v>376</v>
      </c>
      <c r="I615" s="192" t="s">
        <v>1872</v>
      </c>
      <c r="J615" s="192" t="s">
        <v>1077</v>
      </c>
      <c r="K615" s="192" t="s">
        <v>1857</v>
      </c>
      <c r="L615" s="192" t="str">
        <f t="shared" si="13"/>
        <v>WasteWasteMunicipalRecycling (municipal)Mixed plasticsNot including transport</v>
      </c>
      <c r="M615" s="192" t="s">
        <v>1142</v>
      </c>
      <c r="N615" s="192" t="s">
        <v>976</v>
      </c>
      <c r="O615" s="192" t="s">
        <v>337</v>
      </c>
      <c r="P615" s="374">
        <v>1E-3</v>
      </c>
      <c r="Q615" s="377"/>
      <c r="R615" s="305"/>
      <c r="S615" s="304">
        <v>0</v>
      </c>
      <c r="T615" s="305"/>
      <c r="U615" s="305"/>
      <c r="V615" s="305"/>
      <c r="W615" s="305"/>
      <c r="X615" s="305"/>
      <c r="Y615" s="305"/>
      <c r="Z615" s="304" t="s">
        <v>1570</v>
      </c>
      <c r="AA615" s="305"/>
      <c r="AB615" s="305"/>
      <c r="AC615" s="305"/>
      <c r="AD615" s="304"/>
      <c r="AE615" s="424" t="s">
        <v>1858</v>
      </c>
    </row>
    <row r="616" spans="5:31" ht="14.15" customHeight="1" x14ac:dyDescent="0.35">
      <c r="E616" s="192">
        <v>608</v>
      </c>
      <c r="F616" s="192" t="s">
        <v>194</v>
      </c>
      <c r="G616" s="192" t="s">
        <v>194</v>
      </c>
      <c r="H616" s="192" t="s">
        <v>376</v>
      </c>
      <c r="I616" s="192" t="s">
        <v>1872</v>
      </c>
      <c r="J616" s="192" t="s">
        <v>1078</v>
      </c>
      <c r="K616" s="192" t="s">
        <v>1857</v>
      </c>
      <c r="L616" s="192" t="str">
        <f t="shared" si="13"/>
        <v>WasteWasteMunicipalRecycling (municipal)Mixed recyclingNot including transport</v>
      </c>
      <c r="M616" s="192" t="s">
        <v>1142</v>
      </c>
      <c r="N616" s="192" t="s">
        <v>976</v>
      </c>
      <c r="O616" s="192" t="s">
        <v>337</v>
      </c>
      <c r="P616" s="374">
        <v>1E-3</v>
      </c>
      <c r="Q616" s="377"/>
      <c r="R616" s="305"/>
      <c r="S616" s="304">
        <v>0</v>
      </c>
      <c r="T616" s="305"/>
      <c r="U616" s="305"/>
      <c r="V616" s="305"/>
      <c r="W616" s="305"/>
      <c r="X616" s="305"/>
      <c r="Y616" s="305"/>
      <c r="Z616" s="304"/>
      <c r="AA616" s="305"/>
      <c r="AB616" s="305"/>
      <c r="AC616" s="305"/>
      <c r="AD616" s="304"/>
      <c r="AE616" s="424" t="s">
        <v>1858</v>
      </c>
    </row>
    <row r="617" spans="5:31" ht="14.15" customHeight="1" x14ac:dyDescent="0.35">
      <c r="E617" s="192">
        <v>609</v>
      </c>
      <c r="F617" s="192" t="s">
        <v>194</v>
      </c>
      <c r="G617" s="192" t="s">
        <v>194</v>
      </c>
      <c r="H617" s="192" t="s">
        <v>376</v>
      </c>
      <c r="I617" s="192" t="s">
        <v>1872</v>
      </c>
      <c r="J617" s="192" t="s">
        <v>1079</v>
      </c>
      <c r="K617" s="192" t="s">
        <v>1857</v>
      </c>
      <c r="L617" s="192" t="str">
        <f t="shared" si="13"/>
        <v>WasteWasteMunicipalRecycling (municipal)Mixed WEEENot including transport</v>
      </c>
      <c r="M617" s="192" t="s">
        <v>1142</v>
      </c>
      <c r="N617" s="192" t="s">
        <v>976</v>
      </c>
      <c r="O617" s="192" t="s">
        <v>337</v>
      </c>
      <c r="P617" s="374">
        <v>1E-3</v>
      </c>
      <c r="Q617" s="377"/>
      <c r="R617" s="305"/>
      <c r="S617" s="304">
        <v>0</v>
      </c>
      <c r="T617" s="305"/>
      <c r="U617" s="305"/>
      <c r="V617" s="305"/>
      <c r="W617" s="305"/>
      <c r="X617" s="305"/>
      <c r="Y617" s="305"/>
      <c r="Z617" s="304" t="s">
        <v>1571</v>
      </c>
      <c r="AA617" s="305"/>
      <c r="AB617" s="305"/>
      <c r="AC617" s="305"/>
      <c r="AD617" s="304"/>
      <c r="AE617" s="424" t="s">
        <v>1858</v>
      </c>
    </row>
    <row r="618" spans="5:31" ht="14.15" customHeight="1" x14ac:dyDescent="0.35">
      <c r="E618" s="192">
        <v>610</v>
      </c>
      <c r="F618" s="192" t="s">
        <v>194</v>
      </c>
      <c r="G618" s="192" t="s">
        <v>194</v>
      </c>
      <c r="H618" s="192" t="s">
        <v>376</v>
      </c>
      <c r="I618" s="192" t="s">
        <v>1868</v>
      </c>
      <c r="J618" s="192" t="s">
        <v>1065</v>
      </c>
      <c r="K618" s="192" t="s">
        <v>339</v>
      </c>
      <c r="L618" s="192" t="str">
        <f t="shared" si="12"/>
        <v>WasteWasteMunicipalAnaerobic digestion (municipal)Organic food and drinkNaN</v>
      </c>
      <c r="M618" s="192" t="s">
        <v>1142</v>
      </c>
      <c r="N618" s="192" t="s">
        <v>976</v>
      </c>
      <c r="O618" s="192" t="s">
        <v>337</v>
      </c>
      <c r="P618" s="374">
        <v>1E-3</v>
      </c>
      <c r="Q618" s="377"/>
      <c r="R618" s="305"/>
      <c r="S618" s="304">
        <v>8.9831099999999999</v>
      </c>
      <c r="T618" s="305"/>
      <c r="U618" s="305"/>
      <c r="V618" s="305"/>
      <c r="W618" s="305"/>
      <c r="X618" s="305"/>
      <c r="Y618" s="305"/>
      <c r="Z618" s="304" t="s">
        <v>1552</v>
      </c>
      <c r="AA618" s="305"/>
      <c r="AB618" s="305"/>
      <c r="AC618" s="305"/>
      <c r="AD618" s="305"/>
      <c r="AE618" s="424"/>
    </row>
    <row r="619" spans="5:31" ht="14.15" customHeight="1" x14ac:dyDescent="0.35">
      <c r="E619" s="192">
        <v>611</v>
      </c>
      <c r="F619" s="192" t="s">
        <v>194</v>
      </c>
      <c r="G619" s="192" t="s">
        <v>194</v>
      </c>
      <c r="H619" s="192" t="s">
        <v>376</v>
      </c>
      <c r="I619" s="192" t="s">
        <v>1868</v>
      </c>
      <c r="J619" s="192" t="s">
        <v>1066</v>
      </c>
      <c r="K619" s="192" t="s">
        <v>339</v>
      </c>
      <c r="L619" s="192" t="str">
        <f t="shared" si="12"/>
        <v>WasteWasteMunicipalAnaerobic digestion (municipal)Organic mixedNaN</v>
      </c>
      <c r="M619" s="192" t="s">
        <v>1142</v>
      </c>
      <c r="N619" s="192" t="s">
        <v>976</v>
      </c>
      <c r="O619" s="192" t="s">
        <v>337</v>
      </c>
      <c r="P619" s="374">
        <v>1E-3</v>
      </c>
      <c r="Q619" s="377"/>
      <c r="R619" s="305"/>
      <c r="S619" s="304">
        <v>8.9831099999999999</v>
      </c>
      <c r="T619" s="305"/>
      <c r="U619" s="305"/>
      <c r="V619" s="305"/>
      <c r="W619" s="305"/>
      <c r="X619" s="305"/>
      <c r="Y619" s="305"/>
      <c r="Z619" s="304" t="s">
        <v>1553</v>
      </c>
      <c r="AA619" s="305"/>
      <c r="AB619" s="305"/>
      <c r="AC619" s="305"/>
      <c r="AD619" s="305"/>
      <c r="AE619" s="424"/>
    </row>
    <row r="620" spans="5:31" ht="14.15" customHeight="1" x14ac:dyDescent="0.35">
      <c r="E620" s="192">
        <v>612</v>
      </c>
      <c r="F620" s="192" t="s">
        <v>194</v>
      </c>
      <c r="G620" s="192" t="s">
        <v>194</v>
      </c>
      <c r="H620" s="192" t="s">
        <v>376</v>
      </c>
      <c r="I620" s="192" t="s">
        <v>1867</v>
      </c>
      <c r="J620" s="192" t="s">
        <v>1067</v>
      </c>
      <c r="K620" s="192" t="s">
        <v>339</v>
      </c>
      <c r="L620" s="192" t="str">
        <f t="shared" si="12"/>
        <v>WasteWasteMunicipalCombustion (municipal)Commercial and industrialNaN</v>
      </c>
      <c r="M620" s="192" t="s">
        <v>1142</v>
      </c>
      <c r="N620" s="192" t="s">
        <v>976</v>
      </c>
      <c r="O620" s="192" t="s">
        <v>337</v>
      </c>
      <c r="P620" s="374">
        <v>1E-3</v>
      </c>
      <c r="Q620" s="377"/>
      <c r="R620" s="305"/>
      <c r="S620" s="304">
        <v>4.6856799999999996</v>
      </c>
      <c r="T620" s="305"/>
      <c r="U620" s="305"/>
      <c r="V620" s="305"/>
      <c r="W620" s="305"/>
      <c r="X620" s="305"/>
      <c r="Y620" s="305"/>
      <c r="Z620" s="304" t="s">
        <v>1554</v>
      </c>
      <c r="AA620" s="305"/>
      <c r="AB620" s="305"/>
      <c r="AC620" s="305"/>
      <c r="AD620" s="305"/>
      <c r="AE620" s="424"/>
    </row>
    <row r="621" spans="5:31" ht="14.15" customHeight="1" x14ac:dyDescent="0.35">
      <c r="E621" s="192">
        <v>613</v>
      </c>
      <c r="F621" s="192" t="s">
        <v>194</v>
      </c>
      <c r="G621" s="192" t="s">
        <v>194</v>
      </c>
      <c r="H621" s="192" t="s">
        <v>376</v>
      </c>
      <c r="I621" s="192" t="s">
        <v>1867</v>
      </c>
      <c r="J621" s="192" t="s">
        <v>1068</v>
      </c>
      <c r="K621" s="192" t="s">
        <v>339</v>
      </c>
      <c r="L621" s="192" t="str">
        <f t="shared" si="12"/>
        <v>WasteWasteMunicipalCombustion (municipal)Commercial and industrial wasteNaN</v>
      </c>
      <c r="M621" s="192" t="s">
        <v>1142</v>
      </c>
      <c r="N621" s="192" t="s">
        <v>976</v>
      </c>
      <c r="O621" s="192" t="s">
        <v>337</v>
      </c>
      <c r="P621" s="374">
        <v>1E-3</v>
      </c>
      <c r="Q621" s="377"/>
      <c r="R621" s="305"/>
      <c r="S621" s="304">
        <v>4.6856799999999996</v>
      </c>
      <c r="T621" s="305"/>
      <c r="U621" s="305"/>
      <c r="V621" s="305"/>
      <c r="W621" s="305"/>
      <c r="X621" s="305"/>
      <c r="Y621" s="305"/>
      <c r="Z621" s="304" t="s">
        <v>1554</v>
      </c>
      <c r="AA621" s="305"/>
      <c r="AB621" s="305"/>
      <c r="AC621" s="305"/>
      <c r="AD621" s="305"/>
      <c r="AE621" s="424"/>
    </row>
    <row r="622" spans="5:31" ht="14.15" customHeight="1" x14ac:dyDescent="0.35">
      <c r="E622" s="192">
        <v>614</v>
      </c>
      <c r="F622" s="192" t="s">
        <v>194</v>
      </c>
      <c r="G622" s="192" t="s">
        <v>194</v>
      </c>
      <c r="H622" s="192" t="s">
        <v>376</v>
      </c>
      <c r="I622" s="192" t="s">
        <v>1867</v>
      </c>
      <c r="J622" s="192" t="s">
        <v>1069</v>
      </c>
      <c r="K622" s="192" t="s">
        <v>339</v>
      </c>
      <c r="L622" s="192" t="str">
        <f t="shared" si="12"/>
        <v>WasteWasteMunicipalCombustion (municipal)Household residual wasteNaN</v>
      </c>
      <c r="M622" s="192" t="s">
        <v>1142</v>
      </c>
      <c r="N622" s="192" t="s">
        <v>976</v>
      </c>
      <c r="O622" s="192" t="s">
        <v>337</v>
      </c>
      <c r="P622" s="374">
        <v>1E-3</v>
      </c>
      <c r="Q622" s="377"/>
      <c r="R622" s="305"/>
      <c r="S622" s="304">
        <v>4.6856799999999996</v>
      </c>
      <c r="T622" s="305"/>
      <c r="U622" s="305"/>
      <c r="V622" s="305"/>
      <c r="W622" s="305"/>
      <c r="X622" s="305"/>
      <c r="Y622" s="305"/>
      <c r="Z622" s="304" t="s">
        <v>1555</v>
      </c>
      <c r="AA622" s="305"/>
      <c r="AB622" s="305"/>
      <c r="AC622" s="305"/>
      <c r="AD622" s="305"/>
      <c r="AE622" s="424"/>
    </row>
    <row r="623" spans="5:31" ht="14.15" customHeight="1" x14ac:dyDescent="0.35">
      <c r="E623" s="192">
        <v>615</v>
      </c>
      <c r="F623" s="192" t="s">
        <v>194</v>
      </c>
      <c r="G623" s="192" t="s">
        <v>194</v>
      </c>
      <c r="H623" s="192" t="s">
        <v>376</v>
      </c>
      <c r="I623" s="192" t="s">
        <v>1867</v>
      </c>
      <c r="J623" s="192" t="s">
        <v>1070</v>
      </c>
      <c r="K623" s="192" t="s">
        <v>339</v>
      </c>
      <c r="L623" s="192" t="str">
        <f t="shared" si="12"/>
        <v>WasteWasteMunicipalCombustion (municipal)Non infectious offensive wasteNaN</v>
      </c>
      <c r="M623" s="399" t="s">
        <v>1841</v>
      </c>
      <c r="N623" s="192" t="s">
        <v>976</v>
      </c>
      <c r="O623" s="192" t="s">
        <v>337</v>
      </c>
      <c r="P623" s="374">
        <v>1E-3</v>
      </c>
      <c r="Q623" s="377"/>
      <c r="R623" s="305"/>
      <c r="S623" s="304">
        <v>82</v>
      </c>
      <c r="T623" s="305"/>
      <c r="U623" s="305"/>
      <c r="V623" s="305"/>
      <c r="W623" s="305"/>
      <c r="X623" s="305"/>
      <c r="Y623" s="305"/>
      <c r="Z623" s="304"/>
      <c r="AA623" s="305"/>
      <c r="AB623" s="305"/>
      <c r="AC623" s="305"/>
      <c r="AD623" s="305"/>
      <c r="AE623" s="424"/>
    </row>
    <row r="624" spans="5:31" ht="14.15" customHeight="1" x14ac:dyDescent="0.35">
      <c r="E624" s="192">
        <v>616</v>
      </c>
      <c r="F624" s="192" t="s">
        <v>194</v>
      </c>
      <c r="G624" s="192" t="s">
        <v>194</v>
      </c>
      <c r="H624" s="192" t="s">
        <v>376</v>
      </c>
      <c r="I624" s="192" t="s">
        <v>1867</v>
      </c>
      <c r="J624" s="192" t="s">
        <v>1065</v>
      </c>
      <c r="K624" s="192" t="s">
        <v>339</v>
      </c>
      <c r="L624" s="192" t="str">
        <f t="shared" si="12"/>
        <v>WasteWasteMunicipalCombustion (municipal)Organic food and drinkNaN</v>
      </c>
      <c r="M624" s="192" t="s">
        <v>1142</v>
      </c>
      <c r="N624" s="192" t="s">
        <v>976</v>
      </c>
      <c r="O624" s="192" t="s">
        <v>337</v>
      </c>
      <c r="P624" s="374">
        <v>1E-3</v>
      </c>
      <c r="Q624" s="377"/>
      <c r="R624" s="305"/>
      <c r="S624" s="304">
        <v>4.6856799999999996</v>
      </c>
      <c r="T624" s="305"/>
      <c r="U624" s="305"/>
      <c r="V624" s="305"/>
      <c r="W624" s="305"/>
      <c r="X624" s="305"/>
      <c r="Y624" s="305"/>
      <c r="Z624" s="304" t="s">
        <v>1556</v>
      </c>
      <c r="AA624" s="305"/>
      <c r="AB624" s="305"/>
      <c r="AC624" s="305"/>
      <c r="AD624" s="305"/>
      <c r="AE624" s="424"/>
    </row>
    <row r="625" spans="5:31" ht="14.15" customHeight="1" x14ac:dyDescent="0.35">
      <c r="E625" s="192">
        <v>617</v>
      </c>
      <c r="F625" s="192" t="s">
        <v>194</v>
      </c>
      <c r="G625" s="192" t="s">
        <v>194</v>
      </c>
      <c r="H625" s="192" t="s">
        <v>376</v>
      </c>
      <c r="I625" s="192" t="s">
        <v>1867</v>
      </c>
      <c r="J625" s="192" t="s">
        <v>1066</v>
      </c>
      <c r="K625" s="192" t="s">
        <v>339</v>
      </c>
      <c r="L625" s="192" t="str">
        <f t="shared" si="12"/>
        <v>WasteWasteMunicipalCombustion (municipal)Organic mixedNaN</v>
      </c>
      <c r="M625" s="192" t="s">
        <v>1142</v>
      </c>
      <c r="N625" s="192" t="s">
        <v>976</v>
      </c>
      <c r="O625" s="192" t="s">
        <v>337</v>
      </c>
      <c r="P625" s="374">
        <v>1E-3</v>
      </c>
      <c r="Q625" s="377"/>
      <c r="R625" s="305"/>
      <c r="S625" s="304">
        <v>4.6856799999999996</v>
      </c>
      <c r="T625" s="305"/>
      <c r="U625" s="305"/>
      <c r="V625" s="305"/>
      <c r="W625" s="305"/>
      <c r="X625" s="305"/>
      <c r="Y625" s="305"/>
      <c r="Z625" s="304" t="s">
        <v>1557</v>
      </c>
      <c r="AA625" s="305"/>
      <c r="AB625" s="305"/>
      <c r="AC625" s="305"/>
      <c r="AD625" s="305"/>
      <c r="AE625" s="424"/>
    </row>
    <row r="626" spans="5:31" ht="14.15" customHeight="1" x14ac:dyDescent="0.35">
      <c r="E626" s="192">
        <v>618</v>
      </c>
      <c r="F626" s="192" t="s">
        <v>194</v>
      </c>
      <c r="G626" s="192" t="s">
        <v>194</v>
      </c>
      <c r="H626" s="192" t="s">
        <v>376</v>
      </c>
      <c r="I626" s="192" t="s">
        <v>1867</v>
      </c>
      <c r="J626" s="192" t="s">
        <v>1065</v>
      </c>
      <c r="K626" s="192" t="s">
        <v>339</v>
      </c>
      <c r="L626" s="192" t="str">
        <f t="shared" si="12"/>
        <v>WasteWasteMunicipalCombustion (municipal)Organic food and drinkNaN</v>
      </c>
      <c r="M626" s="192" t="s">
        <v>1142</v>
      </c>
      <c r="N626" s="192" t="s">
        <v>976</v>
      </c>
      <c r="O626" s="192" t="s">
        <v>337</v>
      </c>
      <c r="P626" s="374">
        <v>1E-3</v>
      </c>
      <c r="Q626" s="377"/>
      <c r="R626" s="305"/>
      <c r="S626" s="304">
        <v>8.9831099999999999</v>
      </c>
      <c r="T626" s="305"/>
      <c r="U626" s="305"/>
      <c r="V626" s="305"/>
      <c r="W626" s="305"/>
      <c r="X626" s="305"/>
      <c r="Y626" s="305"/>
      <c r="Z626" s="304" t="s">
        <v>1558</v>
      </c>
      <c r="AA626" s="305"/>
      <c r="AB626" s="305"/>
      <c r="AC626" s="305"/>
      <c r="AD626" s="305"/>
      <c r="AE626" s="424"/>
    </row>
    <row r="627" spans="5:31" ht="14.15" customHeight="1" x14ac:dyDescent="0.35">
      <c r="E627" s="192">
        <v>619</v>
      </c>
      <c r="F627" s="192" t="s">
        <v>194</v>
      </c>
      <c r="G627" s="192" t="s">
        <v>194</v>
      </c>
      <c r="H627" s="192" t="s">
        <v>376</v>
      </c>
      <c r="I627" s="192" t="s">
        <v>1867</v>
      </c>
      <c r="J627" s="192" t="s">
        <v>1071</v>
      </c>
      <c r="K627" s="192" t="s">
        <v>339</v>
      </c>
      <c r="L627" s="192" t="str">
        <f t="shared" si="12"/>
        <v>WasteWasteMunicipalCombustion (municipal)Organic gardenNaN</v>
      </c>
      <c r="M627" s="192" t="s">
        <v>1142</v>
      </c>
      <c r="N627" s="192" t="s">
        <v>976</v>
      </c>
      <c r="O627" s="192" t="s">
        <v>337</v>
      </c>
      <c r="P627" s="374">
        <v>1E-3</v>
      </c>
      <c r="Q627" s="377"/>
      <c r="R627" s="305"/>
      <c r="S627" s="304">
        <v>8.9831099999999999</v>
      </c>
      <c r="T627" s="305"/>
      <c r="U627" s="305"/>
      <c r="V627" s="305"/>
      <c r="W627" s="305"/>
      <c r="X627" s="305"/>
      <c r="Y627" s="305"/>
      <c r="Z627" s="304" t="s">
        <v>1559</v>
      </c>
      <c r="AA627" s="305"/>
      <c r="AB627" s="305"/>
      <c r="AC627" s="305"/>
      <c r="AD627" s="305"/>
      <c r="AE627" s="424"/>
    </row>
    <row r="628" spans="5:31" ht="14.15" customHeight="1" x14ac:dyDescent="0.35">
      <c r="E628" s="192">
        <v>620</v>
      </c>
      <c r="F628" s="192" t="s">
        <v>194</v>
      </c>
      <c r="G628" s="192" t="s">
        <v>194</v>
      </c>
      <c r="H628" s="192" t="s">
        <v>376</v>
      </c>
      <c r="I628" s="192" t="s">
        <v>1867</v>
      </c>
      <c r="J628" s="192" t="s">
        <v>1066</v>
      </c>
      <c r="K628" s="192" t="s">
        <v>339</v>
      </c>
      <c r="L628" s="192" t="str">
        <f t="shared" si="12"/>
        <v>WasteWasteMunicipalCombustion (municipal)Organic mixedNaN</v>
      </c>
      <c r="M628" s="192" t="s">
        <v>1142</v>
      </c>
      <c r="N628" s="192" t="s">
        <v>976</v>
      </c>
      <c r="O628" s="192" t="s">
        <v>337</v>
      </c>
      <c r="P628" s="374">
        <v>1E-3</v>
      </c>
      <c r="Q628" s="377"/>
      <c r="R628" s="305"/>
      <c r="S628" s="304">
        <v>8.9831099999999999</v>
      </c>
      <c r="T628" s="305"/>
      <c r="U628" s="305"/>
      <c r="V628" s="305"/>
      <c r="W628" s="305"/>
      <c r="X628" s="305"/>
      <c r="Y628" s="305"/>
      <c r="Z628" s="304" t="s">
        <v>1560</v>
      </c>
      <c r="AA628" s="305"/>
      <c r="AB628" s="305"/>
      <c r="AC628" s="305"/>
      <c r="AD628" s="305"/>
      <c r="AE628" s="424"/>
    </row>
    <row r="629" spans="5:31" ht="14.15" customHeight="1" x14ac:dyDescent="0.35">
      <c r="E629" s="192">
        <v>621</v>
      </c>
      <c r="F629" s="192" t="s">
        <v>194</v>
      </c>
      <c r="G629" s="192" t="s">
        <v>194</v>
      </c>
      <c r="H629" s="192" t="s">
        <v>376</v>
      </c>
      <c r="I629" s="192" t="s">
        <v>1869</v>
      </c>
      <c r="J629" s="192" t="s">
        <v>1065</v>
      </c>
      <c r="K629" s="192" t="s">
        <v>339</v>
      </c>
      <c r="L629" s="192" t="str">
        <f t="shared" si="12"/>
        <v>WasteWasteMunicipalComposting (municipal)Organic food and drinkNaN</v>
      </c>
      <c r="M629" s="192" t="s">
        <v>1142</v>
      </c>
      <c r="N629" s="192" t="s">
        <v>976</v>
      </c>
      <c r="O629" s="192" t="s">
        <v>337</v>
      </c>
      <c r="P629" s="374">
        <v>1E-3</v>
      </c>
      <c r="Q629" s="377"/>
      <c r="R629" s="305"/>
      <c r="S629" s="304">
        <v>8.9831099999999999</v>
      </c>
      <c r="T629" s="305"/>
      <c r="U629" s="305"/>
      <c r="V629" s="305"/>
      <c r="W629" s="305"/>
      <c r="X629" s="305"/>
      <c r="Y629" s="305"/>
      <c r="Z629" s="304" t="s">
        <v>1558</v>
      </c>
      <c r="AA629" s="305"/>
      <c r="AB629" s="305"/>
      <c r="AC629" s="305"/>
      <c r="AD629" s="305"/>
      <c r="AE629" s="424"/>
    </row>
    <row r="630" spans="5:31" ht="14.15" customHeight="1" x14ac:dyDescent="0.35">
      <c r="E630" s="192">
        <v>622</v>
      </c>
      <c r="F630" s="192" t="s">
        <v>194</v>
      </c>
      <c r="G630" s="192" t="s">
        <v>194</v>
      </c>
      <c r="H630" s="192" t="s">
        <v>376</v>
      </c>
      <c r="I630" s="192" t="s">
        <v>1869</v>
      </c>
      <c r="J630" s="192" t="s">
        <v>1071</v>
      </c>
      <c r="K630" s="192" t="s">
        <v>339</v>
      </c>
      <c r="L630" s="192" t="str">
        <f t="shared" si="12"/>
        <v>WasteWasteMunicipalComposting (municipal)Organic gardenNaN</v>
      </c>
      <c r="M630" s="192" t="s">
        <v>1142</v>
      </c>
      <c r="N630" s="192" t="s">
        <v>976</v>
      </c>
      <c r="O630" s="192" t="s">
        <v>337</v>
      </c>
      <c r="P630" s="374">
        <v>1E-3</v>
      </c>
      <c r="Q630" s="377"/>
      <c r="R630" s="305"/>
      <c r="S630" s="304">
        <v>8.9831099999999999</v>
      </c>
      <c r="T630" s="305"/>
      <c r="U630" s="305"/>
      <c r="V630" s="305"/>
      <c r="W630" s="305"/>
      <c r="X630" s="305"/>
      <c r="Y630" s="305"/>
      <c r="Z630" s="304" t="s">
        <v>1559</v>
      </c>
      <c r="AA630" s="305"/>
      <c r="AB630" s="305"/>
      <c r="AC630" s="305"/>
      <c r="AD630" s="305"/>
      <c r="AE630" s="424"/>
    </row>
    <row r="631" spans="5:31" ht="14.15" customHeight="1" x14ac:dyDescent="0.35">
      <c r="E631" s="192">
        <v>623</v>
      </c>
      <c r="F631" s="192" t="s">
        <v>194</v>
      </c>
      <c r="G631" s="192" t="s">
        <v>194</v>
      </c>
      <c r="H631" s="192" t="s">
        <v>376</v>
      </c>
      <c r="I631" s="192" t="s">
        <v>1869</v>
      </c>
      <c r="J631" s="192" t="s">
        <v>1066</v>
      </c>
      <c r="K631" s="192" t="s">
        <v>339</v>
      </c>
      <c r="L631" s="192" t="str">
        <f t="shared" si="12"/>
        <v>WasteWasteMunicipalComposting (municipal)Organic mixedNaN</v>
      </c>
      <c r="M631" s="192" t="s">
        <v>1142</v>
      </c>
      <c r="N631" s="192" t="s">
        <v>976</v>
      </c>
      <c r="O631" s="192" t="s">
        <v>337</v>
      </c>
      <c r="P631" s="374">
        <v>1E-3</v>
      </c>
      <c r="Q631" s="377"/>
      <c r="R631" s="305"/>
      <c r="S631" s="304">
        <v>8.9831099999999999</v>
      </c>
      <c r="T631" s="305"/>
      <c r="U631" s="305"/>
      <c r="V631" s="305"/>
      <c r="W631" s="305"/>
      <c r="X631" s="305"/>
      <c r="Y631" s="305"/>
      <c r="Z631" s="304" t="s">
        <v>1560</v>
      </c>
      <c r="AA631" s="305"/>
      <c r="AB631" s="305"/>
      <c r="AC631" s="305"/>
      <c r="AD631" s="305"/>
      <c r="AE631" s="424"/>
    </row>
    <row r="632" spans="5:31" ht="14.15" customHeight="1" x14ac:dyDescent="0.35">
      <c r="E632" s="192">
        <v>624</v>
      </c>
      <c r="F632" s="192" t="s">
        <v>194</v>
      </c>
      <c r="G632" s="192" t="s">
        <v>194</v>
      </c>
      <c r="H632" s="192" t="s">
        <v>376</v>
      </c>
      <c r="I632" s="192" t="s">
        <v>1871</v>
      </c>
      <c r="J632" s="192" t="s">
        <v>1072</v>
      </c>
      <c r="K632" s="192" t="s">
        <v>339</v>
      </c>
      <c r="L632" s="192" t="str">
        <f t="shared" si="12"/>
        <v>WasteWasteMunicipalLandfill (municipal)ClothingNaN</v>
      </c>
      <c r="M632" s="192" t="s">
        <v>1142</v>
      </c>
      <c r="N632" s="192" t="s">
        <v>976</v>
      </c>
      <c r="O632" s="192" t="s">
        <v>337</v>
      </c>
      <c r="P632" s="374">
        <v>1E-3</v>
      </c>
      <c r="Q632" s="377"/>
      <c r="R632" s="305"/>
      <c r="S632" s="304">
        <v>496.78228000000001</v>
      </c>
      <c r="T632" s="305"/>
      <c r="U632" s="305"/>
      <c r="V632" s="305"/>
      <c r="W632" s="305"/>
      <c r="X632" s="305"/>
      <c r="Y632" s="305"/>
      <c r="Z632" s="304" t="s">
        <v>1561</v>
      </c>
      <c r="AA632" s="305"/>
      <c r="AB632" s="305"/>
      <c r="AC632" s="305"/>
      <c r="AD632" s="305"/>
      <c r="AE632" s="424"/>
    </row>
    <row r="633" spans="5:31" ht="14.15" customHeight="1" x14ac:dyDescent="0.35">
      <c r="E633" s="192">
        <v>625</v>
      </c>
      <c r="F633" s="192" t="s">
        <v>194</v>
      </c>
      <c r="G633" s="192" t="s">
        <v>194</v>
      </c>
      <c r="H633" s="192" t="s">
        <v>376</v>
      </c>
      <c r="I633" s="192" t="s">
        <v>1871</v>
      </c>
      <c r="J633" s="192" t="s">
        <v>1068</v>
      </c>
      <c r="K633" s="192" t="s">
        <v>339</v>
      </c>
      <c r="L633" s="192" t="str">
        <f t="shared" si="12"/>
        <v>WasteWasteMunicipalLandfill (municipal)Commercial and industrial wasteNaN</v>
      </c>
      <c r="M633" s="192" t="s">
        <v>1142</v>
      </c>
      <c r="N633" s="192" t="s">
        <v>976</v>
      </c>
      <c r="O633" s="192" t="s">
        <v>337</v>
      </c>
      <c r="P633" s="374">
        <v>1E-3</v>
      </c>
      <c r="Q633" s="377"/>
      <c r="R633" s="305"/>
      <c r="S633" s="304">
        <v>520.53269999999998</v>
      </c>
      <c r="T633" s="305"/>
      <c r="U633" s="305"/>
      <c r="V633" s="305"/>
      <c r="W633" s="305"/>
      <c r="X633" s="305"/>
      <c r="Y633" s="305"/>
      <c r="Z633" s="304" t="s">
        <v>1562</v>
      </c>
      <c r="AA633" s="305"/>
      <c r="AB633" s="305"/>
      <c r="AC633" s="305"/>
      <c r="AD633" s="305"/>
      <c r="AE633" s="424"/>
    </row>
    <row r="634" spans="5:31" ht="14.15" customHeight="1" x14ac:dyDescent="0.35">
      <c r="E634" s="192">
        <v>626</v>
      </c>
      <c r="F634" s="192" t="s">
        <v>194</v>
      </c>
      <c r="G634" s="192" t="s">
        <v>194</v>
      </c>
      <c r="H634" s="192" t="s">
        <v>376</v>
      </c>
      <c r="I634" s="192" t="s">
        <v>1871</v>
      </c>
      <c r="J634" s="192" t="s">
        <v>1069</v>
      </c>
      <c r="K634" s="192" t="s">
        <v>339</v>
      </c>
      <c r="L634" s="192" t="str">
        <f t="shared" si="12"/>
        <v>WasteWasteMunicipalLandfill (municipal)Household residual wasteNaN</v>
      </c>
      <c r="M634" s="192" t="s">
        <v>1142</v>
      </c>
      <c r="N634" s="192" t="s">
        <v>976</v>
      </c>
      <c r="O634" s="192" t="s">
        <v>337</v>
      </c>
      <c r="P634" s="374">
        <v>1E-3</v>
      </c>
      <c r="Q634" s="377"/>
      <c r="R634" s="305"/>
      <c r="S634" s="304">
        <v>497.24243999999999</v>
      </c>
      <c r="T634" s="305"/>
      <c r="U634" s="305"/>
      <c r="V634" s="305"/>
      <c r="W634" s="305"/>
      <c r="X634" s="305"/>
      <c r="Y634" s="305"/>
      <c r="Z634" s="304" t="s">
        <v>1563</v>
      </c>
      <c r="AA634" s="305"/>
      <c r="AB634" s="305"/>
      <c r="AC634" s="305"/>
      <c r="AD634" s="305"/>
      <c r="AE634" s="424"/>
    </row>
    <row r="635" spans="5:31" ht="14.15" customHeight="1" x14ac:dyDescent="0.35">
      <c r="E635" s="192">
        <v>627</v>
      </c>
      <c r="F635" s="192" t="s">
        <v>194</v>
      </c>
      <c r="G635" s="192" t="s">
        <v>194</v>
      </c>
      <c r="H635" s="192" t="s">
        <v>376</v>
      </c>
      <c r="I635" s="192" t="s">
        <v>1871</v>
      </c>
      <c r="J635" s="192" t="s">
        <v>1065</v>
      </c>
      <c r="K635" s="192" t="s">
        <v>339</v>
      </c>
      <c r="L635" s="192" t="str">
        <f t="shared" si="12"/>
        <v>WasteWasteMunicipalLandfill (municipal)Organic food and drinkNaN</v>
      </c>
      <c r="M635" s="192" t="s">
        <v>1142</v>
      </c>
      <c r="N635" s="192" t="s">
        <v>976</v>
      </c>
      <c r="O635" s="192" t="s">
        <v>337</v>
      </c>
      <c r="P635" s="374">
        <v>1E-3</v>
      </c>
      <c r="Q635" s="377"/>
      <c r="R635" s="305"/>
      <c r="S635" s="304">
        <v>700.30885999999998</v>
      </c>
      <c r="T635" s="305"/>
      <c r="U635" s="305"/>
      <c r="V635" s="305"/>
      <c r="W635" s="305"/>
      <c r="X635" s="305"/>
      <c r="Y635" s="305"/>
      <c r="Z635" s="304" t="s">
        <v>1564</v>
      </c>
      <c r="AA635" s="305"/>
      <c r="AB635" s="305"/>
      <c r="AC635" s="305"/>
      <c r="AD635" s="305"/>
      <c r="AE635" s="424"/>
    </row>
    <row r="636" spans="5:31" ht="14.15" customHeight="1" x14ac:dyDescent="0.35">
      <c r="E636" s="192">
        <v>628</v>
      </c>
      <c r="F636" s="192" t="s">
        <v>194</v>
      </c>
      <c r="G636" s="192" t="s">
        <v>194</v>
      </c>
      <c r="H636" s="192" t="s">
        <v>376</v>
      </c>
      <c r="I636" s="192" t="s">
        <v>1872</v>
      </c>
      <c r="J636" s="192" t="s">
        <v>1073</v>
      </c>
      <c r="K636" s="192" t="s">
        <v>339</v>
      </c>
      <c r="L636" s="192" t="str">
        <f t="shared" si="12"/>
        <v>WasteWasteMunicipalRecycling (municipal)BatteriesNaN</v>
      </c>
      <c r="M636" s="192" t="s">
        <v>1142</v>
      </c>
      <c r="N636" s="192" t="s">
        <v>976</v>
      </c>
      <c r="O636" s="192" t="s">
        <v>337</v>
      </c>
      <c r="P636" s="374">
        <v>1E-3</v>
      </c>
      <c r="Q636" s="377"/>
      <c r="R636" s="305"/>
      <c r="S636" s="304">
        <v>4.6856799999999996</v>
      </c>
      <c r="T636" s="305"/>
      <c r="U636" s="305"/>
      <c r="V636" s="305"/>
      <c r="W636" s="305"/>
      <c r="X636" s="305"/>
      <c r="Y636" s="305"/>
      <c r="Z636" s="304" t="s">
        <v>1565</v>
      </c>
      <c r="AA636" s="305"/>
      <c r="AB636" s="305"/>
      <c r="AC636" s="305"/>
      <c r="AD636" s="305"/>
      <c r="AE636" s="424"/>
    </row>
    <row r="637" spans="5:31" ht="14.15" customHeight="1" x14ac:dyDescent="0.35">
      <c r="E637" s="192">
        <v>629</v>
      </c>
      <c r="F637" s="192" t="s">
        <v>194</v>
      </c>
      <c r="G637" s="192" t="s">
        <v>194</v>
      </c>
      <c r="H637" s="192" t="s">
        <v>376</v>
      </c>
      <c r="I637" s="192" t="s">
        <v>1872</v>
      </c>
      <c r="J637" s="192" t="s">
        <v>1072</v>
      </c>
      <c r="K637" s="192" t="s">
        <v>339</v>
      </c>
      <c r="L637" s="192" t="str">
        <f t="shared" si="12"/>
        <v>WasteWasteMunicipalRecycling (municipal)ClothingNaN</v>
      </c>
      <c r="M637" s="192" t="s">
        <v>1142</v>
      </c>
      <c r="N637" s="192" t="s">
        <v>976</v>
      </c>
      <c r="O637" s="192" t="s">
        <v>337</v>
      </c>
      <c r="P637" s="374">
        <v>1E-3</v>
      </c>
      <c r="Q637" s="377"/>
      <c r="R637" s="305"/>
      <c r="S637" s="304">
        <v>4.6856799999999996</v>
      </c>
      <c r="T637" s="305"/>
      <c r="U637" s="305"/>
      <c r="V637" s="305"/>
      <c r="W637" s="305"/>
      <c r="X637" s="305"/>
      <c r="Y637" s="305"/>
      <c r="Z637" s="304" t="s">
        <v>1566</v>
      </c>
      <c r="AA637" s="305"/>
      <c r="AB637" s="305"/>
      <c r="AC637" s="305"/>
      <c r="AD637" s="305"/>
      <c r="AE637" s="424"/>
    </row>
    <row r="638" spans="5:31" ht="14.15" customHeight="1" x14ac:dyDescent="0.35">
      <c r="E638" s="192">
        <v>630</v>
      </c>
      <c r="F638" s="192" t="s">
        <v>194</v>
      </c>
      <c r="G638" s="192" t="s">
        <v>194</v>
      </c>
      <c r="H638" s="192" t="s">
        <v>376</v>
      </c>
      <c r="I638" s="192" t="s">
        <v>1872</v>
      </c>
      <c r="J638" s="192" t="s">
        <v>1068</v>
      </c>
      <c r="K638" s="192" t="s">
        <v>339</v>
      </c>
      <c r="L638" s="192" t="str">
        <f t="shared" si="12"/>
        <v>WasteWasteMunicipalRecycling (municipal)Commercial and industrial wasteNaN</v>
      </c>
      <c r="M638" s="192" t="s">
        <v>1142</v>
      </c>
      <c r="N638" s="192" t="s">
        <v>976</v>
      </c>
      <c r="O638" s="192" t="s">
        <v>337</v>
      </c>
      <c r="P638" s="374">
        <v>1E-3</v>
      </c>
      <c r="Q638" s="377"/>
      <c r="R638" s="305"/>
      <c r="S638" s="304">
        <v>4.6856799999999996</v>
      </c>
      <c r="T638" s="305"/>
      <c r="U638" s="305"/>
      <c r="V638" s="305"/>
      <c r="W638" s="305"/>
      <c r="X638" s="305"/>
      <c r="Y638" s="305"/>
      <c r="Z638" s="304"/>
      <c r="AA638" s="305"/>
      <c r="AB638" s="305"/>
      <c r="AC638" s="305"/>
      <c r="AD638" s="305"/>
      <c r="AE638" s="424"/>
    </row>
    <row r="639" spans="5:31" ht="14.15" customHeight="1" x14ac:dyDescent="0.35">
      <c r="E639" s="192">
        <v>631</v>
      </c>
      <c r="F639" s="192" t="s">
        <v>194</v>
      </c>
      <c r="G639" s="192" t="s">
        <v>194</v>
      </c>
      <c r="H639" s="192" t="s">
        <v>376</v>
      </c>
      <c r="I639" s="192" t="s">
        <v>1872</v>
      </c>
      <c r="J639" s="192" t="s">
        <v>1074</v>
      </c>
      <c r="K639" s="192" t="s">
        <v>339</v>
      </c>
      <c r="L639" s="192" t="str">
        <f t="shared" si="12"/>
        <v>WasteWasteMunicipalRecycling (municipal)Mixed glassNaN</v>
      </c>
      <c r="M639" s="192" t="s">
        <v>1142</v>
      </c>
      <c r="N639" s="192" t="s">
        <v>976</v>
      </c>
      <c r="O639" s="192" t="s">
        <v>337</v>
      </c>
      <c r="P639" s="374">
        <v>1E-3</v>
      </c>
      <c r="Q639" s="377"/>
      <c r="R639" s="305"/>
      <c r="S639" s="304">
        <v>4.6856799999999996</v>
      </c>
      <c r="T639" s="305"/>
      <c r="U639" s="305"/>
      <c r="V639" s="305"/>
      <c r="W639" s="305"/>
      <c r="X639" s="305"/>
      <c r="Y639" s="305"/>
      <c r="Z639" s="304" t="s">
        <v>1567</v>
      </c>
      <c r="AA639" s="305"/>
      <c r="AB639" s="305"/>
      <c r="AC639" s="305"/>
      <c r="AD639" s="305"/>
      <c r="AE639" s="424"/>
    </row>
    <row r="640" spans="5:31" ht="14.15" customHeight="1" x14ac:dyDescent="0.35">
      <c r="E640" s="192">
        <v>632</v>
      </c>
      <c r="F640" s="192" t="s">
        <v>194</v>
      </c>
      <c r="G640" s="192" t="s">
        <v>194</v>
      </c>
      <c r="H640" s="192" t="s">
        <v>376</v>
      </c>
      <c r="I640" s="192" t="s">
        <v>1872</v>
      </c>
      <c r="J640" s="192" t="s">
        <v>1075</v>
      </c>
      <c r="K640" s="192" t="s">
        <v>339</v>
      </c>
      <c r="L640" s="192" t="str">
        <f t="shared" si="12"/>
        <v>WasteWasteMunicipalRecycling (municipal)Mixed metal cansNaN</v>
      </c>
      <c r="M640" s="192" t="s">
        <v>1142</v>
      </c>
      <c r="N640" s="192" t="s">
        <v>976</v>
      </c>
      <c r="O640" s="192" t="s">
        <v>337</v>
      </c>
      <c r="P640" s="374">
        <v>1E-3</v>
      </c>
      <c r="Q640" s="377"/>
      <c r="R640" s="305"/>
      <c r="S640" s="304">
        <v>4.6856799999999996</v>
      </c>
      <c r="T640" s="305"/>
      <c r="U640" s="305"/>
      <c r="V640" s="305"/>
      <c r="W640" s="305"/>
      <c r="X640" s="305"/>
      <c r="Y640" s="305"/>
      <c r="Z640" s="304" t="s">
        <v>1568</v>
      </c>
      <c r="AA640" s="305"/>
      <c r="AB640" s="305"/>
      <c r="AC640" s="305"/>
      <c r="AD640" s="305"/>
      <c r="AE640" s="424"/>
    </row>
    <row r="641" spans="5:31" ht="14.15" customHeight="1" x14ac:dyDescent="0.35">
      <c r="E641" s="192">
        <v>633</v>
      </c>
      <c r="F641" s="192" t="s">
        <v>194</v>
      </c>
      <c r="G641" s="192" t="s">
        <v>194</v>
      </c>
      <c r="H641" s="192" t="s">
        <v>376</v>
      </c>
      <c r="I641" s="192" t="s">
        <v>1872</v>
      </c>
      <c r="J641" s="192" t="s">
        <v>1076</v>
      </c>
      <c r="K641" s="192" t="s">
        <v>339</v>
      </c>
      <c r="L641" s="192" t="str">
        <f t="shared" si="12"/>
        <v>WasteWasteMunicipalRecycling (municipal)Mixed paperNaN</v>
      </c>
      <c r="M641" s="192" t="s">
        <v>1142</v>
      </c>
      <c r="N641" s="192" t="s">
        <v>976</v>
      </c>
      <c r="O641" s="192" t="s">
        <v>337</v>
      </c>
      <c r="P641" s="374">
        <v>1E-3</v>
      </c>
      <c r="Q641" s="377"/>
      <c r="R641" s="305"/>
      <c r="S641" s="304">
        <v>4.6856799999999996</v>
      </c>
      <c r="T641" s="305"/>
      <c r="U641" s="305"/>
      <c r="V641" s="305"/>
      <c r="W641" s="305"/>
      <c r="X641" s="305"/>
      <c r="Y641" s="305"/>
      <c r="Z641" s="304" t="s">
        <v>1569</v>
      </c>
      <c r="AA641" s="305"/>
      <c r="AB641" s="305"/>
      <c r="AC641" s="305"/>
      <c r="AD641" s="305"/>
      <c r="AE641" s="424"/>
    </row>
    <row r="642" spans="5:31" ht="14.15" customHeight="1" x14ac:dyDescent="0.35">
      <c r="E642" s="192">
        <v>634</v>
      </c>
      <c r="F642" s="192" t="s">
        <v>194</v>
      </c>
      <c r="G642" s="192" t="s">
        <v>194</v>
      </c>
      <c r="H642" s="192" t="s">
        <v>376</v>
      </c>
      <c r="I642" s="192" t="s">
        <v>1872</v>
      </c>
      <c r="J642" s="192" t="s">
        <v>1077</v>
      </c>
      <c r="K642" s="192" t="s">
        <v>339</v>
      </c>
      <c r="L642" s="192" t="str">
        <f t="shared" si="12"/>
        <v>WasteWasteMunicipalRecycling (municipal)Mixed plasticsNaN</v>
      </c>
      <c r="M642" s="192" t="s">
        <v>1142</v>
      </c>
      <c r="N642" s="192" t="s">
        <v>976</v>
      </c>
      <c r="O642" s="192" t="s">
        <v>337</v>
      </c>
      <c r="P642" s="374">
        <v>1E-3</v>
      </c>
      <c r="Q642" s="377"/>
      <c r="R642" s="305"/>
      <c r="S642" s="304">
        <v>4.6856799999999996</v>
      </c>
      <c r="T642" s="305"/>
      <c r="U642" s="305"/>
      <c r="V642" s="305"/>
      <c r="W642" s="305"/>
      <c r="X642" s="305"/>
      <c r="Y642" s="305"/>
      <c r="Z642" s="304" t="s">
        <v>1570</v>
      </c>
      <c r="AA642" s="305"/>
      <c r="AB642" s="305"/>
      <c r="AC642" s="305"/>
      <c r="AD642" s="305"/>
      <c r="AE642" s="424"/>
    </row>
    <row r="643" spans="5:31" ht="14.15" customHeight="1" x14ac:dyDescent="0.35">
      <c r="E643" s="192">
        <v>635</v>
      </c>
      <c r="F643" s="192" t="s">
        <v>194</v>
      </c>
      <c r="G643" s="192" t="s">
        <v>194</v>
      </c>
      <c r="H643" s="192" t="s">
        <v>376</v>
      </c>
      <c r="I643" s="192" t="s">
        <v>1872</v>
      </c>
      <c r="J643" s="192" t="s">
        <v>1078</v>
      </c>
      <c r="K643" s="192" t="s">
        <v>339</v>
      </c>
      <c r="L643" s="192" t="str">
        <f t="shared" si="12"/>
        <v>WasteWasteMunicipalRecycling (municipal)Mixed recyclingNaN</v>
      </c>
      <c r="M643" s="192" t="s">
        <v>1142</v>
      </c>
      <c r="N643" s="192" t="s">
        <v>976</v>
      </c>
      <c r="O643" s="192" t="s">
        <v>337</v>
      </c>
      <c r="P643" s="374">
        <v>1E-3</v>
      </c>
      <c r="Q643" s="377"/>
      <c r="R643" s="305"/>
      <c r="S643" s="304">
        <v>4.6856799999999996</v>
      </c>
      <c r="T643" s="305"/>
      <c r="U643" s="305"/>
      <c r="V643" s="305"/>
      <c r="W643" s="305"/>
      <c r="X643" s="305"/>
      <c r="Y643" s="305"/>
      <c r="Z643" s="304"/>
      <c r="AA643" s="305"/>
      <c r="AB643" s="305"/>
      <c r="AC643" s="305"/>
      <c r="AD643" s="305"/>
      <c r="AE643" s="424"/>
    </row>
    <row r="644" spans="5:31" ht="14.15" customHeight="1" x14ac:dyDescent="0.35">
      <c r="E644" s="192">
        <v>636</v>
      </c>
      <c r="F644" s="192" t="s">
        <v>194</v>
      </c>
      <c r="G644" s="192" t="s">
        <v>194</v>
      </c>
      <c r="H644" s="192" t="s">
        <v>376</v>
      </c>
      <c r="I644" s="192" t="s">
        <v>1872</v>
      </c>
      <c r="J644" s="192" t="s">
        <v>1079</v>
      </c>
      <c r="K644" s="192" t="s">
        <v>339</v>
      </c>
      <c r="L644" s="192" t="str">
        <f t="shared" si="12"/>
        <v>WasteWasteMunicipalRecycling (municipal)Mixed WEEENaN</v>
      </c>
      <c r="M644" s="192" t="s">
        <v>1142</v>
      </c>
      <c r="N644" s="192" t="s">
        <v>976</v>
      </c>
      <c r="O644" s="192" t="s">
        <v>337</v>
      </c>
      <c r="P644" s="374">
        <v>1E-3</v>
      </c>
      <c r="Q644" s="377"/>
      <c r="R644" s="305"/>
      <c r="S644" s="304">
        <v>4.6856799999999996</v>
      </c>
      <c r="T644" s="305"/>
      <c r="U644" s="305"/>
      <c r="V644" s="305"/>
      <c r="W644" s="305"/>
      <c r="X644" s="305"/>
      <c r="Y644" s="305"/>
      <c r="Z644" s="304" t="s">
        <v>1571</v>
      </c>
      <c r="AA644" s="305"/>
      <c r="AB644" s="305"/>
      <c r="AC644" s="305"/>
      <c r="AD644" s="305"/>
      <c r="AE644" s="424"/>
    </row>
    <row r="645" spans="5:31" ht="14.15" customHeight="1" x14ac:dyDescent="0.35">
      <c r="E645" s="192">
        <v>637</v>
      </c>
      <c r="F645" s="192" t="s">
        <v>194</v>
      </c>
      <c r="G645" s="192" t="s">
        <v>194</v>
      </c>
      <c r="H645" s="192" t="s">
        <v>373</v>
      </c>
      <c r="I645" s="192" t="s">
        <v>1873</v>
      </c>
      <c r="J645" s="192" t="s">
        <v>1065</v>
      </c>
      <c r="K645" s="192" t="s">
        <v>339</v>
      </c>
      <c r="L645" s="192" t="str">
        <f t="shared" si="12"/>
        <v>WasteWasteOrganisationalAnaerobic digestion (organisational)Organic food and drinkNaN</v>
      </c>
      <c r="M645" s="192" t="s">
        <v>1142</v>
      </c>
      <c r="N645" s="192" t="s">
        <v>976</v>
      </c>
      <c r="O645" s="192" t="s">
        <v>337</v>
      </c>
      <c r="P645" s="374">
        <v>1E-3</v>
      </c>
      <c r="Q645" s="377"/>
      <c r="R645" s="305"/>
      <c r="S645" s="304">
        <v>8.9831099999999999</v>
      </c>
      <c r="T645" s="305"/>
      <c r="U645" s="305"/>
      <c r="V645" s="305"/>
      <c r="W645" s="305"/>
      <c r="X645" s="305"/>
      <c r="Y645" s="305"/>
      <c r="Z645" s="304" t="s">
        <v>1552</v>
      </c>
      <c r="AA645" s="305"/>
      <c r="AB645" s="305"/>
      <c r="AC645" s="305"/>
      <c r="AD645" s="305"/>
      <c r="AE645" s="424"/>
    </row>
    <row r="646" spans="5:31" ht="14.15" customHeight="1" x14ac:dyDescent="0.35">
      <c r="E646" s="192">
        <v>638</v>
      </c>
      <c r="F646" s="192" t="s">
        <v>194</v>
      </c>
      <c r="G646" s="192" t="s">
        <v>194</v>
      </c>
      <c r="H646" s="192" t="s">
        <v>373</v>
      </c>
      <c r="I646" s="192" t="s">
        <v>1873</v>
      </c>
      <c r="J646" s="192" t="s">
        <v>1071</v>
      </c>
      <c r="K646" s="192" t="s">
        <v>339</v>
      </c>
      <c r="L646" s="192" t="str">
        <f t="shared" si="12"/>
        <v>WasteWasteOrganisationalAnaerobic digestion (organisational)Organic gardenNaN</v>
      </c>
      <c r="M646" s="192" t="s">
        <v>1142</v>
      </c>
      <c r="N646" s="192" t="s">
        <v>976</v>
      </c>
      <c r="O646" s="192" t="s">
        <v>337</v>
      </c>
      <c r="P646" s="374">
        <v>1E-3</v>
      </c>
      <c r="Q646" s="377"/>
      <c r="R646" s="305"/>
      <c r="S646" s="304">
        <v>8.9831099999999999</v>
      </c>
      <c r="T646" s="305"/>
      <c r="U646" s="305"/>
      <c r="V646" s="305"/>
      <c r="W646" s="305"/>
      <c r="X646" s="305"/>
      <c r="Y646" s="305"/>
      <c r="Z646" s="304" t="s">
        <v>1572</v>
      </c>
      <c r="AA646" s="305"/>
      <c r="AB646" s="305"/>
      <c r="AC646" s="305"/>
      <c r="AD646" s="305"/>
      <c r="AE646" s="424"/>
    </row>
    <row r="647" spans="5:31" ht="14.15" customHeight="1" x14ac:dyDescent="0.35">
      <c r="E647" s="192">
        <v>639</v>
      </c>
      <c r="F647" s="192" t="s">
        <v>194</v>
      </c>
      <c r="G647" s="192" t="s">
        <v>194</v>
      </c>
      <c r="H647" s="192" t="s">
        <v>373</v>
      </c>
      <c r="I647" s="192" t="s">
        <v>1873</v>
      </c>
      <c r="J647" s="192" t="s">
        <v>1066</v>
      </c>
      <c r="K647" s="192" t="s">
        <v>339</v>
      </c>
      <c r="L647" s="192" t="str">
        <f t="shared" si="12"/>
        <v>WasteWasteOrganisationalAnaerobic digestion (organisational)Organic mixedNaN</v>
      </c>
      <c r="M647" s="192" t="s">
        <v>1142</v>
      </c>
      <c r="N647" s="192" t="s">
        <v>976</v>
      </c>
      <c r="O647" s="192" t="s">
        <v>337</v>
      </c>
      <c r="P647" s="374">
        <v>1E-3</v>
      </c>
      <c r="Q647" s="377"/>
      <c r="R647" s="305"/>
      <c r="S647" s="304">
        <v>8.9831099999999999</v>
      </c>
      <c r="T647" s="305"/>
      <c r="U647" s="305"/>
      <c r="V647" s="305"/>
      <c r="W647" s="305"/>
      <c r="X647" s="305"/>
      <c r="Y647" s="305"/>
      <c r="Z647" s="385" t="s">
        <v>1553</v>
      </c>
      <c r="AA647" s="305"/>
      <c r="AB647" s="305"/>
      <c r="AC647" s="305"/>
      <c r="AD647" s="305"/>
      <c r="AE647" s="424"/>
    </row>
    <row r="648" spans="5:31" ht="14.15" customHeight="1" x14ac:dyDescent="0.35">
      <c r="E648" s="192">
        <v>640</v>
      </c>
      <c r="F648" s="192" t="s">
        <v>194</v>
      </c>
      <c r="G648" s="192" t="s">
        <v>194</v>
      </c>
      <c r="H648" s="192" t="s">
        <v>373</v>
      </c>
      <c r="I648" s="192" t="s">
        <v>1874</v>
      </c>
      <c r="J648" s="192" t="s">
        <v>1080</v>
      </c>
      <c r="K648" s="192" t="s">
        <v>339</v>
      </c>
      <c r="L648" s="192" t="str">
        <f t="shared" si="12"/>
        <v>WasteWasteOrganisationalAutoclave treatment and combustion (organisational)Clinical wasteNaN</v>
      </c>
      <c r="M648" s="399" t="s">
        <v>1841</v>
      </c>
      <c r="N648" s="192" t="s">
        <v>976</v>
      </c>
      <c r="O648" s="192" t="s">
        <v>337</v>
      </c>
      <c r="P648" s="374">
        <v>1E-3</v>
      </c>
      <c r="Q648" s="377"/>
      <c r="R648" s="305"/>
      <c r="S648" s="304">
        <v>1074</v>
      </c>
      <c r="T648" s="305"/>
      <c r="U648" s="305"/>
      <c r="V648" s="305"/>
      <c r="W648" s="305"/>
      <c r="X648" s="305"/>
      <c r="Y648" s="305"/>
      <c r="Z648" s="304"/>
      <c r="AA648" s="305"/>
      <c r="AB648" s="305"/>
      <c r="AC648" s="305"/>
      <c r="AD648" s="305"/>
      <c r="AE648" s="424"/>
    </row>
    <row r="649" spans="5:31" ht="14.15" customHeight="1" x14ac:dyDescent="0.35">
      <c r="E649" s="192">
        <v>641</v>
      </c>
      <c r="F649" s="192" t="s">
        <v>194</v>
      </c>
      <c r="G649" s="192" t="s">
        <v>194</v>
      </c>
      <c r="H649" s="192" t="s">
        <v>373</v>
      </c>
      <c r="I649" s="192" t="s">
        <v>1874</v>
      </c>
      <c r="J649" s="192" t="s">
        <v>1081</v>
      </c>
      <c r="K649" s="192" t="s">
        <v>339</v>
      </c>
      <c r="L649" s="192" t="str">
        <f t="shared" si="12"/>
        <v>WasteWasteOrganisationalAutoclave treatment and combustion (organisational)Infectious wasteNaN</v>
      </c>
      <c r="M649" s="399" t="s">
        <v>1841</v>
      </c>
      <c r="N649" s="192" t="s">
        <v>976</v>
      </c>
      <c r="O649" s="192" t="s">
        <v>337</v>
      </c>
      <c r="P649" s="374">
        <v>1E-3</v>
      </c>
      <c r="Q649" s="377"/>
      <c r="R649" s="305"/>
      <c r="S649" s="304">
        <v>402</v>
      </c>
      <c r="T649" s="305"/>
      <c r="U649" s="305"/>
      <c r="V649" s="305"/>
      <c r="W649" s="305"/>
      <c r="X649" s="305"/>
      <c r="Y649" s="305"/>
      <c r="Z649" s="304"/>
      <c r="AA649" s="305"/>
      <c r="AB649" s="305"/>
      <c r="AC649" s="305"/>
      <c r="AD649" s="305"/>
      <c r="AE649" s="424"/>
    </row>
    <row r="650" spans="5:31" ht="14.15" customHeight="1" x14ac:dyDescent="0.35">
      <c r="E650" s="192">
        <v>642</v>
      </c>
      <c r="F650" s="192" t="s">
        <v>194</v>
      </c>
      <c r="G650" s="192" t="s">
        <v>194</v>
      </c>
      <c r="H650" s="192" t="s">
        <v>373</v>
      </c>
      <c r="I650" s="192" t="s">
        <v>1875</v>
      </c>
      <c r="J650" s="192" t="s">
        <v>1068</v>
      </c>
      <c r="K650" s="192" t="s">
        <v>339</v>
      </c>
      <c r="L650" s="192" t="str">
        <f t="shared" si="12"/>
        <v>WasteWasteOrganisationalCombustion (organisational)Commercial and industrial wasteNaN</v>
      </c>
      <c r="M650" s="192" t="s">
        <v>1142</v>
      </c>
      <c r="N650" s="192" t="s">
        <v>976</v>
      </c>
      <c r="O650" s="192" t="s">
        <v>337</v>
      </c>
      <c r="P650" s="374">
        <v>1E-3</v>
      </c>
      <c r="Q650" s="377"/>
      <c r="R650" s="305"/>
      <c r="S650" s="304">
        <v>4.6856799999999996</v>
      </c>
      <c r="T650" s="305"/>
      <c r="U650" s="305"/>
      <c r="V650" s="305"/>
      <c r="W650" s="305"/>
      <c r="X650" s="305"/>
      <c r="Y650" s="305"/>
      <c r="Z650" s="385" t="s">
        <v>1554</v>
      </c>
      <c r="AA650" s="305"/>
      <c r="AB650" s="305"/>
      <c r="AC650" s="305"/>
      <c r="AD650" s="305"/>
      <c r="AE650" s="424"/>
    </row>
    <row r="651" spans="5:31" ht="14.15" customHeight="1" x14ac:dyDescent="0.35">
      <c r="E651" s="192">
        <v>643</v>
      </c>
      <c r="F651" s="192" t="s">
        <v>194</v>
      </c>
      <c r="G651" s="192" t="s">
        <v>194</v>
      </c>
      <c r="H651" s="192" t="s">
        <v>373</v>
      </c>
      <c r="I651" s="192" t="s">
        <v>1875</v>
      </c>
      <c r="J651" s="192" t="s">
        <v>1069</v>
      </c>
      <c r="K651" s="192" t="s">
        <v>339</v>
      </c>
      <c r="L651" s="192" t="str">
        <f t="shared" si="12"/>
        <v>WasteWasteOrganisationalCombustion (organisational)Household residual wasteNaN</v>
      </c>
      <c r="M651" s="192" t="s">
        <v>1142</v>
      </c>
      <c r="N651" s="192" t="s">
        <v>976</v>
      </c>
      <c r="O651" s="192" t="s">
        <v>337</v>
      </c>
      <c r="P651" s="374">
        <v>1E-3</v>
      </c>
      <c r="Q651" s="377"/>
      <c r="R651" s="305"/>
      <c r="S651" s="304">
        <v>4.6856799999999996</v>
      </c>
      <c r="T651" s="305"/>
      <c r="U651" s="305"/>
      <c r="V651" s="305"/>
      <c r="W651" s="305"/>
      <c r="X651" s="305"/>
      <c r="Y651" s="305"/>
      <c r="Z651" s="385" t="s">
        <v>1555</v>
      </c>
      <c r="AA651" s="305"/>
      <c r="AB651" s="305"/>
      <c r="AC651" s="305"/>
      <c r="AD651" s="305"/>
      <c r="AE651" s="424"/>
    </row>
    <row r="652" spans="5:31" ht="14.15" customHeight="1" x14ac:dyDescent="0.35">
      <c r="E652" s="192">
        <v>644</v>
      </c>
      <c r="F652" s="192" t="s">
        <v>194</v>
      </c>
      <c r="G652" s="192" t="s">
        <v>194</v>
      </c>
      <c r="H652" s="192" t="s">
        <v>373</v>
      </c>
      <c r="I652" s="192" t="s">
        <v>1875</v>
      </c>
      <c r="J652" s="192" t="s">
        <v>1079</v>
      </c>
      <c r="K652" s="192" t="s">
        <v>339</v>
      </c>
      <c r="L652" s="192" t="str">
        <f t="shared" si="12"/>
        <v>WasteWasteOrganisationalCombustion (organisational)Mixed WEEENaN</v>
      </c>
      <c r="M652" s="192" t="s">
        <v>1142</v>
      </c>
      <c r="N652" s="192" t="s">
        <v>976</v>
      </c>
      <c r="O652" s="192" t="s">
        <v>337</v>
      </c>
      <c r="P652" s="374">
        <v>1E-3</v>
      </c>
      <c r="Q652" s="377"/>
      <c r="R652" s="305"/>
      <c r="S652" s="304">
        <v>4.6856799999999996</v>
      </c>
      <c r="T652" s="305"/>
      <c r="U652" s="305"/>
      <c r="V652" s="305"/>
      <c r="W652" s="305"/>
      <c r="X652" s="305"/>
      <c r="Y652" s="305"/>
      <c r="Z652" s="385" t="s">
        <v>1573</v>
      </c>
      <c r="AA652" s="305"/>
      <c r="AB652" s="305"/>
      <c r="AC652" s="305"/>
      <c r="AD652" s="305"/>
      <c r="AE652" s="424"/>
    </row>
    <row r="653" spans="5:31" ht="14.15" customHeight="1" x14ac:dyDescent="0.35">
      <c r="E653" s="192">
        <v>645</v>
      </c>
      <c r="F653" s="192" t="s">
        <v>194</v>
      </c>
      <c r="G653" s="192" t="s">
        <v>194</v>
      </c>
      <c r="H653" s="192" t="s">
        <v>373</v>
      </c>
      <c r="I653" s="192" t="s">
        <v>1875</v>
      </c>
      <c r="J653" s="192" t="s">
        <v>1070</v>
      </c>
      <c r="K653" s="192" t="s">
        <v>339</v>
      </c>
      <c r="L653" s="192" t="str">
        <f t="shared" si="12"/>
        <v>WasteWasteOrganisationalCombustion (organisational)Non infectious offensive wasteNaN</v>
      </c>
      <c r="M653" s="399" t="s">
        <v>1841</v>
      </c>
      <c r="N653" s="192" t="s">
        <v>976</v>
      </c>
      <c r="O653" s="192" t="s">
        <v>337</v>
      </c>
      <c r="P653" s="374">
        <v>1E-3</v>
      </c>
      <c r="Q653" s="377"/>
      <c r="R653" s="305"/>
      <c r="S653" s="304">
        <v>82</v>
      </c>
      <c r="T653" s="305"/>
      <c r="U653" s="305"/>
      <c r="V653" s="305"/>
      <c r="W653" s="305"/>
      <c r="X653" s="305"/>
      <c r="Y653" s="305"/>
      <c r="Z653" s="304"/>
      <c r="AA653" s="305"/>
      <c r="AB653" s="305"/>
      <c r="AC653" s="305"/>
      <c r="AD653" s="305"/>
      <c r="AE653" s="424"/>
    </row>
    <row r="654" spans="5:31" ht="14.15" customHeight="1" x14ac:dyDescent="0.35">
      <c r="E654" s="192">
        <v>646</v>
      </c>
      <c r="F654" s="192" t="s">
        <v>194</v>
      </c>
      <c r="G654" s="192" t="s">
        <v>194</v>
      </c>
      <c r="H654" s="192" t="s">
        <v>373</v>
      </c>
      <c r="I654" s="192" t="s">
        <v>1875</v>
      </c>
      <c r="J654" s="192" t="s">
        <v>1065</v>
      </c>
      <c r="K654" s="192" t="s">
        <v>339</v>
      </c>
      <c r="L654" s="192" t="str">
        <f t="shared" si="12"/>
        <v>WasteWasteOrganisationalCombustion (organisational)Organic food and drinkNaN</v>
      </c>
      <c r="M654" s="192" t="s">
        <v>1142</v>
      </c>
      <c r="N654" s="192" t="s">
        <v>976</v>
      </c>
      <c r="O654" s="192" t="s">
        <v>337</v>
      </c>
      <c r="P654" s="374">
        <v>1E-3</v>
      </c>
      <c r="Q654" s="377"/>
      <c r="R654" s="305"/>
      <c r="S654" s="304">
        <v>4.6856799999999996</v>
      </c>
      <c r="T654" s="305"/>
      <c r="U654" s="305"/>
      <c r="V654" s="305"/>
      <c r="W654" s="305"/>
      <c r="X654" s="305"/>
      <c r="Y654" s="305"/>
      <c r="Z654" s="385" t="s">
        <v>1556</v>
      </c>
      <c r="AA654" s="305"/>
      <c r="AB654" s="305"/>
      <c r="AC654" s="305"/>
      <c r="AD654" s="305"/>
      <c r="AE654" s="424"/>
    </row>
    <row r="655" spans="5:31" ht="14.15" customHeight="1" x14ac:dyDescent="0.35">
      <c r="E655" s="192">
        <v>647</v>
      </c>
      <c r="F655" s="192" t="s">
        <v>194</v>
      </c>
      <c r="G655" s="192" t="s">
        <v>194</v>
      </c>
      <c r="H655" s="192" t="s">
        <v>373</v>
      </c>
      <c r="I655" s="192" t="s">
        <v>1875</v>
      </c>
      <c r="J655" s="192" t="s">
        <v>1071</v>
      </c>
      <c r="K655" s="192" t="s">
        <v>339</v>
      </c>
      <c r="L655" s="192" t="str">
        <f t="shared" si="12"/>
        <v>WasteWasteOrganisationalCombustion (organisational)Organic gardenNaN</v>
      </c>
      <c r="M655" s="192" t="s">
        <v>1142</v>
      </c>
      <c r="N655" s="192" t="s">
        <v>976</v>
      </c>
      <c r="O655" s="192" t="s">
        <v>337</v>
      </c>
      <c r="P655" s="374">
        <v>1E-3</v>
      </c>
      <c r="Q655" s="377"/>
      <c r="R655" s="305"/>
      <c r="S655" s="304">
        <v>4.6856799999999996</v>
      </c>
      <c r="T655" s="305"/>
      <c r="U655" s="305"/>
      <c r="V655" s="305"/>
      <c r="W655" s="305"/>
      <c r="X655" s="305"/>
      <c r="Y655" s="305"/>
      <c r="Z655" s="304" t="s">
        <v>1574</v>
      </c>
      <c r="AA655" s="305"/>
      <c r="AB655" s="305"/>
      <c r="AC655" s="305"/>
      <c r="AD655" s="305"/>
      <c r="AE655" s="424"/>
    </row>
    <row r="656" spans="5:31" ht="14.15" customHeight="1" x14ac:dyDescent="0.35">
      <c r="E656" s="192">
        <v>648</v>
      </c>
      <c r="F656" s="192" t="s">
        <v>194</v>
      </c>
      <c r="G656" s="192" t="s">
        <v>194</v>
      </c>
      <c r="H656" s="192" t="s">
        <v>373</v>
      </c>
      <c r="I656" s="192" t="s">
        <v>1875</v>
      </c>
      <c r="J656" s="192" t="s">
        <v>1066</v>
      </c>
      <c r="K656" s="192" t="s">
        <v>339</v>
      </c>
      <c r="L656" s="192" t="str">
        <f t="shared" si="12"/>
        <v>WasteWasteOrganisationalCombustion (organisational)Organic mixedNaN</v>
      </c>
      <c r="M656" s="192" t="s">
        <v>1142</v>
      </c>
      <c r="N656" s="192" t="s">
        <v>976</v>
      </c>
      <c r="O656" s="192" t="s">
        <v>337</v>
      </c>
      <c r="P656" s="374">
        <v>1E-3</v>
      </c>
      <c r="Q656" s="377"/>
      <c r="R656" s="305"/>
      <c r="S656" s="304">
        <v>4.6856799999999996</v>
      </c>
      <c r="T656" s="305"/>
      <c r="U656" s="305"/>
      <c r="V656" s="305"/>
      <c r="W656" s="305"/>
      <c r="X656" s="305"/>
      <c r="Y656" s="305"/>
      <c r="Z656" s="304" t="s">
        <v>1557</v>
      </c>
      <c r="AA656" s="305"/>
      <c r="AB656" s="305"/>
      <c r="AC656" s="305"/>
      <c r="AD656" s="305"/>
      <c r="AE656" s="424"/>
    </row>
    <row r="657" spans="5:31" ht="14.15" customHeight="1" x14ac:dyDescent="0.35">
      <c r="E657" s="192">
        <v>649</v>
      </c>
      <c r="F657" s="192" t="s">
        <v>194</v>
      </c>
      <c r="G657" s="192" t="s">
        <v>194</v>
      </c>
      <c r="H657" s="192" t="s">
        <v>373</v>
      </c>
      <c r="I657" s="192" t="s">
        <v>1882</v>
      </c>
      <c r="J657" s="192" t="s">
        <v>1076</v>
      </c>
      <c r="K657" s="192" t="s">
        <v>339</v>
      </c>
      <c r="L657" s="192" t="str">
        <f t="shared" si="12"/>
        <v>WasteWasteOrganisationalComposting (organisational)Mixed paperNaN</v>
      </c>
      <c r="M657" s="192" t="s">
        <v>1142</v>
      </c>
      <c r="N657" s="192" t="s">
        <v>976</v>
      </c>
      <c r="O657" s="192" t="s">
        <v>337</v>
      </c>
      <c r="P657" s="374">
        <v>1E-3</v>
      </c>
      <c r="Q657" s="377"/>
      <c r="R657" s="305"/>
      <c r="S657" s="304">
        <v>8.9831099999999999</v>
      </c>
      <c r="T657" s="305"/>
      <c r="U657" s="305"/>
      <c r="V657" s="305"/>
      <c r="W657" s="305"/>
      <c r="X657" s="305"/>
      <c r="Y657" s="305"/>
      <c r="Z657" s="304" t="s">
        <v>1575</v>
      </c>
      <c r="AA657" s="305"/>
      <c r="AB657" s="305"/>
      <c r="AC657" s="305"/>
      <c r="AD657" s="305"/>
      <c r="AE657" s="424"/>
    </row>
    <row r="658" spans="5:31" ht="14.15" customHeight="1" x14ac:dyDescent="0.35">
      <c r="E658" s="192">
        <v>650</v>
      </c>
      <c r="F658" s="192" t="s">
        <v>194</v>
      </c>
      <c r="G658" s="192" t="s">
        <v>194</v>
      </c>
      <c r="H658" s="192" t="s">
        <v>373</v>
      </c>
      <c r="I658" s="192" t="s">
        <v>1882</v>
      </c>
      <c r="J658" s="192" t="s">
        <v>1065</v>
      </c>
      <c r="K658" s="192" t="s">
        <v>339</v>
      </c>
      <c r="L658" s="192" t="str">
        <f t="shared" si="12"/>
        <v>WasteWasteOrganisationalComposting (organisational)Organic food and drinkNaN</v>
      </c>
      <c r="M658" s="192" t="s">
        <v>1142</v>
      </c>
      <c r="N658" s="192" t="s">
        <v>976</v>
      </c>
      <c r="O658" s="192" t="s">
        <v>337</v>
      </c>
      <c r="P658" s="374">
        <v>1E-3</v>
      </c>
      <c r="Q658" s="377"/>
      <c r="R658" s="305"/>
      <c r="S658" s="304">
        <v>8.9831099999999999</v>
      </c>
      <c r="T658" s="305"/>
      <c r="U658" s="305"/>
      <c r="V658" s="305"/>
      <c r="W658" s="305"/>
      <c r="X658" s="305"/>
      <c r="Y658" s="305"/>
      <c r="Z658" s="385" t="s">
        <v>1558</v>
      </c>
      <c r="AA658" s="305"/>
      <c r="AB658" s="305"/>
      <c r="AC658" s="305"/>
      <c r="AD658" s="305"/>
      <c r="AE658" s="424"/>
    </row>
    <row r="659" spans="5:31" ht="14.15" customHeight="1" x14ac:dyDescent="0.35">
      <c r="E659" s="192">
        <v>651</v>
      </c>
      <c r="F659" s="192" t="s">
        <v>194</v>
      </c>
      <c r="G659" s="192" t="s">
        <v>194</v>
      </c>
      <c r="H659" s="192" t="s">
        <v>373</v>
      </c>
      <c r="I659" s="192" t="s">
        <v>1882</v>
      </c>
      <c r="J659" s="192" t="s">
        <v>1071</v>
      </c>
      <c r="K659" s="192" t="s">
        <v>339</v>
      </c>
      <c r="L659" s="192" t="str">
        <f t="shared" si="12"/>
        <v>WasteWasteOrganisationalComposting (organisational)Organic gardenNaN</v>
      </c>
      <c r="M659" s="192" t="s">
        <v>1142</v>
      </c>
      <c r="N659" s="192" t="s">
        <v>976</v>
      </c>
      <c r="O659" s="192" t="s">
        <v>337</v>
      </c>
      <c r="P659" s="374">
        <v>1E-3</v>
      </c>
      <c r="Q659" s="377"/>
      <c r="R659" s="305"/>
      <c r="S659" s="304">
        <v>8.9831099999999999</v>
      </c>
      <c r="T659" s="305"/>
      <c r="U659" s="305"/>
      <c r="V659" s="305"/>
      <c r="W659" s="305"/>
      <c r="X659" s="305"/>
      <c r="Y659" s="305"/>
      <c r="Z659" s="385" t="s">
        <v>1559</v>
      </c>
      <c r="AA659" s="305"/>
      <c r="AB659" s="305"/>
      <c r="AC659" s="305"/>
      <c r="AD659" s="305"/>
      <c r="AE659" s="424"/>
    </row>
    <row r="660" spans="5:31" ht="14.15" customHeight="1" x14ac:dyDescent="0.35">
      <c r="E660" s="192">
        <v>652</v>
      </c>
      <c r="F660" s="192" t="s">
        <v>194</v>
      </c>
      <c r="G660" s="192" t="s">
        <v>194</v>
      </c>
      <c r="H660" s="192" t="s">
        <v>373</v>
      </c>
      <c r="I660" s="192" t="s">
        <v>1882</v>
      </c>
      <c r="J660" s="192" t="s">
        <v>1066</v>
      </c>
      <c r="K660" s="192" t="s">
        <v>339</v>
      </c>
      <c r="L660" s="192" t="str">
        <f t="shared" si="12"/>
        <v>WasteWasteOrganisationalComposting (organisational)Organic mixedNaN</v>
      </c>
      <c r="M660" s="192" t="s">
        <v>1142</v>
      </c>
      <c r="N660" s="192" t="s">
        <v>976</v>
      </c>
      <c r="O660" s="192" t="s">
        <v>337</v>
      </c>
      <c r="P660" s="374">
        <v>1E-3</v>
      </c>
      <c r="Q660" s="377"/>
      <c r="R660" s="305"/>
      <c r="S660" s="304">
        <v>8.9831099999999999</v>
      </c>
      <c r="T660" s="305"/>
      <c r="U660" s="305"/>
      <c r="V660" s="305"/>
      <c r="W660" s="305"/>
      <c r="X660" s="305"/>
      <c r="Y660" s="305"/>
      <c r="Z660" s="304" t="s">
        <v>1560</v>
      </c>
      <c r="AA660" s="305"/>
      <c r="AB660" s="305"/>
      <c r="AC660" s="305"/>
      <c r="AD660" s="305"/>
      <c r="AE660" s="424"/>
    </row>
    <row r="661" spans="5:31" ht="14.15" customHeight="1" x14ac:dyDescent="0.35">
      <c r="E661" s="192">
        <v>653</v>
      </c>
      <c r="F661" s="192" t="s">
        <v>194</v>
      </c>
      <c r="G661" s="192" t="s">
        <v>194</v>
      </c>
      <c r="H661" s="192" t="s">
        <v>373</v>
      </c>
      <c r="I661" s="192" t="s">
        <v>1876</v>
      </c>
      <c r="J661" s="192" t="s">
        <v>1082</v>
      </c>
      <c r="K661" s="192" t="s">
        <v>339</v>
      </c>
      <c r="L661" s="192" t="str">
        <f t="shared" si="12"/>
        <v>WasteWasteOrganisationalHigh temperature incineration (organisational)Anatomical wasteNaN</v>
      </c>
      <c r="M661" s="399" t="s">
        <v>1841</v>
      </c>
      <c r="N661" s="192" t="s">
        <v>976</v>
      </c>
      <c r="O661" s="192" t="s">
        <v>337</v>
      </c>
      <c r="P661" s="374">
        <v>1E-3</v>
      </c>
      <c r="Q661" s="377"/>
      <c r="R661" s="305"/>
      <c r="S661" s="304">
        <v>1074</v>
      </c>
      <c r="T661" s="305"/>
      <c r="U661" s="305"/>
      <c r="V661" s="305"/>
      <c r="W661" s="305"/>
      <c r="X661" s="305"/>
      <c r="Y661" s="305"/>
      <c r="Z661" s="304"/>
      <c r="AA661" s="305"/>
      <c r="AB661" s="305"/>
      <c r="AC661" s="305"/>
      <c r="AD661" s="305"/>
      <c r="AE661" s="424"/>
    </row>
    <row r="662" spans="5:31" ht="14.15" customHeight="1" x14ac:dyDescent="0.35">
      <c r="E662" s="192">
        <v>654</v>
      </c>
      <c r="F662" s="192" t="s">
        <v>194</v>
      </c>
      <c r="G662" s="192" t="s">
        <v>194</v>
      </c>
      <c r="H662" s="192" t="s">
        <v>373</v>
      </c>
      <c r="I662" s="192" t="s">
        <v>1876</v>
      </c>
      <c r="J662" s="192" t="s">
        <v>1080</v>
      </c>
      <c r="K662" s="192" t="s">
        <v>339</v>
      </c>
      <c r="L662" s="192" t="str">
        <f t="shared" si="12"/>
        <v>WasteWasteOrganisationalHigh temperature incineration (organisational)Clinical wasteNaN</v>
      </c>
      <c r="M662" s="399" t="s">
        <v>1841</v>
      </c>
      <c r="N662" s="192" t="s">
        <v>976</v>
      </c>
      <c r="O662" s="192" t="s">
        <v>337</v>
      </c>
      <c r="P662" s="374">
        <v>1E-3</v>
      </c>
      <c r="Q662" s="377"/>
      <c r="R662" s="305"/>
      <c r="S662" s="304">
        <v>1074</v>
      </c>
      <c r="T662" s="305"/>
      <c r="U662" s="305"/>
      <c r="V662" s="305"/>
      <c r="W662" s="305"/>
      <c r="X662" s="305"/>
      <c r="Y662" s="305"/>
      <c r="Z662" s="304"/>
      <c r="AA662" s="305"/>
      <c r="AB662" s="305"/>
      <c r="AC662" s="305"/>
      <c r="AD662" s="305"/>
      <c r="AE662" s="424"/>
    </row>
    <row r="663" spans="5:31" ht="14.15" customHeight="1" x14ac:dyDescent="0.35">
      <c r="E663" s="192">
        <v>655</v>
      </c>
      <c r="F663" s="192" t="s">
        <v>194</v>
      </c>
      <c r="G663" s="192" t="s">
        <v>194</v>
      </c>
      <c r="H663" s="192" t="s">
        <v>373</v>
      </c>
      <c r="I663" s="192" t="s">
        <v>1876</v>
      </c>
      <c r="J663" s="192" t="s">
        <v>1083</v>
      </c>
      <c r="K663" s="192" t="s">
        <v>339</v>
      </c>
      <c r="L663" s="192" t="str">
        <f t="shared" si="12"/>
        <v>WasteWasteOrganisationalHigh temperature incineration (organisational)Medical contaminated sharps wasteNaN</v>
      </c>
      <c r="M663" s="399" t="s">
        <v>1841</v>
      </c>
      <c r="N663" s="192" t="s">
        <v>976</v>
      </c>
      <c r="O663" s="192" t="s">
        <v>337</v>
      </c>
      <c r="P663" s="374">
        <v>1E-3</v>
      </c>
      <c r="Q663" s="377"/>
      <c r="R663" s="305"/>
      <c r="S663" s="304">
        <v>1074</v>
      </c>
      <c r="T663" s="305"/>
      <c r="U663" s="305"/>
      <c r="V663" s="305"/>
      <c r="W663" s="305"/>
      <c r="X663" s="305"/>
      <c r="Y663" s="305"/>
      <c r="Z663" s="304"/>
      <c r="AA663" s="305"/>
      <c r="AB663" s="305"/>
      <c r="AC663" s="305"/>
      <c r="AD663" s="305"/>
      <c r="AE663" s="424"/>
    </row>
    <row r="664" spans="5:31" ht="14.15" customHeight="1" x14ac:dyDescent="0.35">
      <c r="E664" s="192">
        <v>656</v>
      </c>
      <c r="F664" s="192" t="s">
        <v>194</v>
      </c>
      <c r="G664" s="192" t="s">
        <v>194</v>
      </c>
      <c r="H664" s="192" t="s">
        <v>373</v>
      </c>
      <c r="I664" s="192" t="s">
        <v>1876</v>
      </c>
      <c r="J664" s="192" t="s">
        <v>1084</v>
      </c>
      <c r="K664" s="192" t="s">
        <v>339</v>
      </c>
      <c r="L664" s="192" t="str">
        <f t="shared" si="12"/>
        <v>WasteWasteOrganisationalHigh temperature incineration (organisational)Medicinal wasteNaN</v>
      </c>
      <c r="M664" s="399" t="s">
        <v>1841</v>
      </c>
      <c r="N664" s="192" t="s">
        <v>976</v>
      </c>
      <c r="O664" s="192" t="s">
        <v>337</v>
      </c>
      <c r="P664" s="374">
        <v>1E-3</v>
      </c>
      <c r="Q664" s="377"/>
      <c r="R664" s="305"/>
      <c r="S664" s="304">
        <v>1074</v>
      </c>
      <c r="T664" s="305"/>
      <c r="U664" s="305"/>
      <c r="V664" s="305"/>
      <c r="W664" s="305"/>
      <c r="X664" s="305"/>
      <c r="Y664" s="305"/>
      <c r="Z664" s="304"/>
      <c r="AA664" s="305"/>
      <c r="AB664" s="305"/>
      <c r="AC664" s="305"/>
      <c r="AD664" s="305"/>
      <c r="AE664" s="424"/>
    </row>
    <row r="665" spans="5:31" ht="14.15" customHeight="1" x14ac:dyDescent="0.35">
      <c r="E665" s="192">
        <v>657</v>
      </c>
      <c r="F665" s="192" t="s">
        <v>194</v>
      </c>
      <c r="G665" s="192" t="s">
        <v>194</v>
      </c>
      <c r="H665" s="192" t="s">
        <v>373</v>
      </c>
      <c r="I665" s="192" t="s">
        <v>1877</v>
      </c>
      <c r="J665" s="192" t="s">
        <v>1085</v>
      </c>
      <c r="K665" s="192" t="s">
        <v>339</v>
      </c>
      <c r="L665" s="192" t="str">
        <f t="shared" si="12"/>
        <v>WasteWasteOrganisationalLandfill (organisational)AsbestosNaN</v>
      </c>
      <c r="M665" s="192" t="s">
        <v>1142</v>
      </c>
      <c r="N665" s="192" t="s">
        <v>976</v>
      </c>
      <c r="O665" s="192" t="s">
        <v>337</v>
      </c>
      <c r="P665" s="374">
        <v>1E-3</v>
      </c>
      <c r="Q665" s="377"/>
      <c r="R665" s="305"/>
      <c r="S665" s="304">
        <v>5.9416000000000002</v>
      </c>
      <c r="T665" s="305"/>
      <c r="U665" s="305"/>
      <c r="V665" s="305"/>
      <c r="W665" s="305"/>
      <c r="X665" s="305"/>
      <c r="Y665" s="305"/>
      <c r="Z665" s="304" t="s">
        <v>1576</v>
      </c>
      <c r="AA665" s="305"/>
      <c r="AB665" s="305"/>
      <c r="AC665" s="305"/>
      <c r="AD665" s="305"/>
      <c r="AE665" s="424"/>
    </row>
    <row r="666" spans="5:31" ht="14.15" customHeight="1" x14ac:dyDescent="0.35">
      <c r="E666" s="192">
        <v>658</v>
      </c>
      <c r="F666" s="192" t="s">
        <v>194</v>
      </c>
      <c r="G666" s="192" t="s">
        <v>194</v>
      </c>
      <c r="H666" s="192" t="s">
        <v>373</v>
      </c>
      <c r="I666" s="192" t="s">
        <v>1877</v>
      </c>
      <c r="J666" s="192" t="s">
        <v>1072</v>
      </c>
      <c r="K666" s="192" t="s">
        <v>339</v>
      </c>
      <c r="L666" s="192" t="str">
        <f t="shared" si="12"/>
        <v>WasteWasteOrganisationalLandfill (organisational)ClothingNaN</v>
      </c>
      <c r="M666" s="192" t="s">
        <v>1142</v>
      </c>
      <c r="N666" s="192" t="s">
        <v>976</v>
      </c>
      <c r="O666" s="192" t="s">
        <v>337</v>
      </c>
      <c r="P666" s="374">
        <v>1E-3</v>
      </c>
      <c r="Q666" s="377"/>
      <c r="R666" s="305"/>
      <c r="S666" s="304">
        <v>496.78228000000001</v>
      </c>
      <c r="T666" s="305"/>
      <c r="U666" s="305"/>
      <c r="V666" s="305"/>
      <c r="W666" s="305"/>
      <c r="X666" s="305"/>
      <c r="Y666" s="305"/>
      <c r="Z666" s="385" t="s">
        <v>1561</v>
      </c>
      <c r="AA666" s="305"/>
      <c r="AB666" s="305"/>
      <c r="AC666" s="305"/>
      <c r="AD666" s="305"/>
      <c r="AE666" s="424"/>
    </row>
    <row r="667" spans="5:31" ht="14.15" customHeight="1" x14ac:dyDescent="0.35">
      <c r="E667" s="192">
        <v>659</v>
      </c>
      <c r="F667" s="192" t="s">
        <v>194</v>
      </c>
      <c r="G667" s="192" t="s">
        <v>194</v>
      </c>
      <c r="H667" s="192" t="s">
        <v>373</v>
      </c>
      <c r="I667" s="192" t="s">
        <v>1877</v>
      </c>
      <c r="J667" s="192" t="s">
        <v>1068</v>
      </c>
      <c r="K667" s="192" t="s">
        <v>339</v>
      </c>
      <c r="L667" s="192" t="str">
        <f t="shared" si="12"/>
        <v>WasteWasteOrganisationalLandfill (organisational)Commercial and industrial wasteNaN</v>
      </c>
      <c r="M667" s="192" t="s">
        <v>1142</v>
      </c>
      <c r="N667" s="192" t="s">
        <v>976</v>
      </c>
      <c r="O667" s="192" t="s">
        <v>337</v>
      </c>
      <c r="P667" s="374">
        <v>1E-3</v>
      </c>
      <c r="Q667" s="377"/>
      <c r="R667" s="305"/>
      <c r="S667" s="304">
        <v>520.53269999999998</v>
      </c>
      <c r="T667" s="305"/>
      <c r="U667" s="305"/>
      <c r="V667" s="305"/>
      <c r="W667" s="305"/>
      <c r="X667" s="305"/>
      <c r="Y667" s="305"/>
      <c r="Z667" s="304" t="s">
        <v>1562</v>
      </c>
      <c r="AA667" s="305"/>
      <c r="AB667" s="305"/>
      <c r="AC667" s="305"/>
      <c r="AD667" s="305"/>
      <c r="AE667" s="424"/>
    </row>
    <row r="668" spans="5:31" ht="14.15" customHeight="1" x14ac:dyDescent="0.35">
      <c r="E668" s="192">
        <v>660</v>
      </c>
      <c r="F668" s="192" t="s">
        <v>194</v>
      </c>
      <c r="G668" s="192" t="s">
        <v>194</v>
      </c>
      <c r="H668" s="192" t="s">
        <v>373</v>
      </c>
      <c r="I668" s="192" t="s">
        <v>1877</v>
      </c>
      <c r="J668" s="192" t="s">
        <v>1069</v>
      </c>
      <c r="K668" s="192" t="s">
        <v>339</v>
      </c>
      <c r="L668" s="192" t="str">
        <f t="shared" si="12"/>
        <v>WasteWasteOrganisationalLandfill (organisational)Household residual wasteNaN</v>
      </c>
      <c r="M668" s="192" t="s">
        <v>1142</v>
      </c>
      <c r="N668" s="192" t="s">
        <v>976</v>
      </c>
      <c r="O668" s="192" t="s">
        <v>337</v>
      </c>
      <c r="P668" s="374">
        <v>1E-3</v>
      </c>
      <c r="Q668" s="377"/>
      <c r="R668" s="305"/>
      <c r="S668" s="304">
        <v>497.24243999999999</v>
      </c>
      <c r="T668" s="305"/>
      <c r="U668" s="305"/>
      <c r="V668" s="305"/>
      <c r="W668" s="305"/>
      <c r="X668" s="305"/>
      <c r="Y668" s="305"/>
      <c r="Z668" s="304" t="s">
        <v>1563</v>
      </c>
      <c r="AA668" s="305"/>
      <c r="AB668" s="305"/>
      <c r="AC668" s="305"/>
      <c r="AD668" s="305"/>
      <c r="AE668" s="424"/>
    </row>
    <row r="669" spans="5:31" ht="14.15" customHeight="1" x14ac:dyDescent="0.35">
      <c r="E669" s="192">
        <v>661</v>
      </c>
      <c r="F669" s="192" t="s">
        <v>194</v>
      </c>
      <c r="G669" s="192" t="s">
        <v>194</v>
      </c>
      <c r="H669" s="192" t="s">
        <v>373</v>
      </c>
      <c r="I669" s="192" t="s">
        <v>1877</v>
      </c>
      <c r="J669" s="192" t="s">
        <v>1079</v>
      </c>
      <c r="K669" s="192" t="s">
        <v>339</v>
      </c>
      <c r="L669" s="192" t="str">
        <f t="shared" si="12"/>
        <v>WasteWasteOrganisationalLandfill (organisational)Mixed WEEENaN</v>
      </c>
      <c r="M669" s="192" t="s">
        <v>1142</v>
      </c>
      <c r="N669" s="192" t="s">
        <v>976</v>
      </c>
      <c r="O669" s="192" t="s">
        <v>337</v>
      </c>
      <c r="P669" s="374">
        <v>1E-3</v>
      </c>
      <c r="Q669" s="377"/>
      <c r="R669" s="305"/>
      <c r="S669" s="304">
        <v>8.9831099999999999</v>
      </c>
      <c r="T669" s="305"/>
      <c r="U669" s="305"/>
      <c r="V669" s="305"/>
      <c r="W669" s="305"/>
      <c r="X669" s="305"/>
      <c r="Y669" s="305"/>
      <c r="Z669" s="304" t="s">
        <v>1577</v>
      </c>
      <c r="AA669" s="305"/>
      <c r="AB669" s="305"/>
      <c r="AC669" s="305"/>
      <c r="AD669" s="305"/>
      <c r="AE669" s="424"/>
    </row>
    <row r="670" spans="5:31" ht="14.15" customHeight="1" x14ac:dyDescent="0.35">
      <c r="E670" s="192">
        <v>662</v>
      </c>
      <c r="F670" s="192" t="s">
        <v>194</v>
      </c>
      <c r="G670" s="192" t="s">
        <v>194</v>
      </c>
      <c r="H670" s="192" t="s">
        <v>373</v>
      </c>
      <c r="I670" s="192" t="s">
        <v>1877</v>
      </c>
      <c r="J670" s="192" t="s">
        <v>1065</v>
      </c>
      <c r="K670" s="192" t="s">
        <v>339</v>
      </c>
      <c r="L670" s="192" t="str">
        <f t="shared" si="12"/>
        <v>WasteWasteOrganisationalLandfill (organisational)Organic food and drinkNaN</v>
      </c>
      <c r="M670" s="192" t="s">
        <v>1142</v>
      </c>
      <c r="N670" s="192" t="s">
        <v>976</v>
      </c>
      <c r="O670" s="192" t="s">
        <v>337</v>
      </c>
      <c r="P670" s="374">
        <v>1E-3</v>
      </c>
      <c r="Q670" s="377"/>
      <c r="R670" s="305"/>
      <c r="S670" s="304">
        <v>700.30885999999998</v>
      </c>
      <c r="T670" s="305"/>
      <c r="U670" s="305"/>
      <c r="V670" s="305"/>
      <c r="W670" s="305"/>
      <c r="X670" s="305"/>
      <c r="Y670" s="305"/>
      <c r="Z670" s="304" t="s">
        <v>1564</v>
      </c>
      <c r="AA670" s="305"/>
      <c r="AB670" s="305"/>
      <c r="AC670" s="305"/>
      <c r="AD670" s="305"/>
      <c r="AE670" s="424"/>
    </row>
    <row r="671" spans="5:31" ht="14.15" customHeight="1" x14ac:dyDescent="0.35">
      <c r="E671" s="192">
        <v>663</v>
      </c>
      <c r="F671" s="192" t="s">
        <v>194</v>
      </c>
      <c r="G671" s="192" t="s">
        <v>194</v>
      </c>
      <c r="H671" s="192" t="s">
        <v>373</v>
      </c>
      <c r="I671" s="192" t="s">
        <v>1877</v>
      </c>
      <c r="J671" s="192" t="s">
        <v>1066</v>
      </c>
      <c r="K671" s="192" t="s">
        <v>339</v>
      </c>
      <c r="L671" s="192" t="str">
        <f t="shared" si="12"/>
        <v>WasteWasteOrganisationalLandfill (organisational)Organic mixedNaN</v>
      </c>
      <c r="M671" s="192" t="s">
        <v>1142</v>
      </c>
      <c r="N671" s="192" t="s">
        <v>976</v>
      </c>
      <c r="O671" s="192" t="s">
        <v>337</v>
      </c>
      <c r="P671" s="374">
        <v>1E-3</v>
      </c>
      <c r="Q671" s="377"/>
      <c r="R671" s="305"/>
      <c r="S671" s="304">
        <v>656.08614</v>
      </c>
      <c r="T671" s="305"/>
      <c r="U671" s="305"/>
      <c r="V671" s="305"/>
      <c r="W671" s="305"/>
      <c r="X671" s="305"/>
      <c r="Y671" s="305"/>
      <c r="Z671" s="385" t="s">
        <v>1578</v>
      </c>
      <c r="AA671" s="305"/>
      <c r="AB671" s="305"/>
      <c r="AC671" s="305"/>
      <c r="AD671" s="305"/>
      <c r="AE671" s="424"/>
    </row>
    <row r="672" spans="5:31" ht="14.15" customHeight="1" x14ac:dyDescent="0.35">
      <c r="E672" s="192">
        <v>664</v>
      </c>
      <c r="F672" s="192" t="s">
        <v>194</v>
      </c>
      <c r="G672" s="192" t="s">
        <v>194</v>
      </c>
      <c r="H672" s="192" t="s">
        <v>373</v>
      </c>
      <c r="I672" s="192" t="s">
        <v>1877</v>
      </c>
      <c r="J672" s="192" t="s">
        <v>1087</v>
      </c>
      <c r="K672" s="192" t="s">
        <v>339</v>
      </c>
      <c r="L672" s="192" t="str">
        <f t="shared" si="12"/>
        <v>WasteWasteOrganisationalLandfill (organisational)Waste SoilsNaN</v>
      </c>
      <c r="M672" s="192" t="s">
        <v>1142</v>
      </c>
      <c r="N672" s="192" t="s">
        <v>976</v>
      </c>
      <c r="O672" s="192" t="s">
        <v>337</v>
      </c>
      <c r="P672" s="374">
        <v>1E-3</v>
      </c>
      <c r="Q672" s="377"/>
      <c r="R672" s="305"/>
      <c r="S672" s="304">
        <v>19.546710000000001</v>
      </c>
      <c r="T672" s="305"/>
      <c r="U672" s="305"/>
      <c r="V672" s="305"/>
      <c r="W672" s="305"/>
      <c r="X672" s="305"/>
      <c r="Y672" s="305"/>
      <c r="Z672" s="385" t="s">
        <v>1579</v>
      </c>
      <c r="AA672" s="305"/>
      <c r="AB672" s="305"/>
      <c r="AC672" s="305"/>
      <c r="AD672" s="305"/>
      <c r="AE672" s="424"/>
    </row>
    <row r="673" spans="5:31" ht="14.15" customHeight="1" x14ac:dyDescent="0.35">
      <c r="E673" s="192">
        <v>665</v>
      </c>
      <c r="F673" s="192" t="s">
        <v>194</v>
      </c>
      <c r="G673" s="192" t="s">
        <v>194</v>
      </c>
      <c r="H673" s="192" t="s">
        <v>373</v>
      </c>
      <c r="I673" s="192" t="s">
        <v>1878</v>
      </c>
      <c r="J673" s="192" t="s">
        <v>1086</v>
      </c>
      <c r="K673" s="192" t="s">
        <v>339</v>
      </c>
      <c r="L673" s="192" t="str">
        <f t="shared" si="12"/>
        <v>WasteWasteOrganisationalRecycling (organisational)Average constructionNaN</v>
      </c>
      <c r="M673" s="192" t="s">
        <v>1142</v>
      </c>
      <c r="N673" s="192" t="s">
        <v>976</v>
      </c>
      <c r="O673" s="192" t="s">
        <v>337</v>
      </c>
      <c r="P673" s="374">
        <v>1E-3</v>
      </c>
      <c r="Q673" s="377"/>
      <c r="R673" s="305"/>
      <c r="S673" s="304">
        <v>1.0083500000000001</v>
      </c>
      <c r="T673" s="305"/>
      <c r="U673" s="305"/>
      <c r="V673" s="305"/>
      <c r="W673" s="305"/>
      <c r="X673" s="305"/>
      <c r="Y673" s="305"/>
      <c r="Z673" s="304" t="s">
        <v>1580</v>
      </c>
      <c r="AA673" s="305"/>
      <c r="AB673" s="305"/>
      <c r="AC673" s="305"/>
      <c r="AD673" s="305"/>
      <c r="AE673" s="424"/>
    </row>
    <row r="674" spans="5:31" ht="14.15" customHeight="1" x14ac:dyDescent="0.35">
      <c r="E674" s="192">
        <v>666</v>
      </c>
      <c r="F674" s="192" t="s">
        <v>194</v>
      </c>
      <c r="G674" s="192" t="s">
        <v>194</v>
      </c>
      <c r="H674" s="192" t="s">
        <v>373</v>
      </c>
      <c r="I674" s="192" t="s">
        <v>1878</v>
      </c>
      <c r="J674" s="192" t="s">
        <v>1073</v>
      </c>
      <c r="K674" s="192" t="s">
        <v>339</v>
      </c>
      <c r="L674" s="192" t="str">
        <f t="shared" si="12"/>
        <v>WasteWasteOrganisationalRecycling (organisational)BatteriesNaN</v>
      </c>
      <c r="M674" s="192" t="s">
        <v>1142</v>
      </c>
      <c r="N674" s="192" t="s">
        <v>976</v>
      </c>
      <c r="O674" s="192" t="s">
        <v>337</v>
      </c>
      <c r="P674" s="374">
        <v>1E-3</v>
      </c>
      <c r="Q674" s="377"/>
      <c r="R674" s="305"/>
      <c r="S674" s="304">
        <v>4.6856799999999996</v>
      </c>
      <c r="T674" s="305"/>
      <c r="U674" s="305"/>
      <c r="V674" s="305"/>
      <c r="W674" s="305"/>
      <c r="X674" s="305"/>
      <c r="Y674" s="305"/>
      <c r="Z674" s="304" t="s">
        <v>1565</v>
      </c>
      <c r="AA674" s="305"/>
      <c r="AB674" s="305"/>
      <c r="AC674" s="305"/>
      <c r="AD674" s="305"/>
      <c r="AE674" s="424"/>
    </row>
    <row r="675" spans="5:31" ht="14.15" customHeight="1" x14ac:dyDescent="0.35">
      <c r="E675" s="192">
        <v>667</v>
      </c>
      <c r="F675" s="192" t="s">
        <v>194</v>
      </c>
      <c r="G675" s="192" t="s">
        <v>194</v>
      </c>
      <c r="H675" s="192" t="s">
        <v>373</v>
      </c>
      <c r="I675" s="192" t="s">
        <v>1878</v>
      </c>
      <c r="J675" s="192" t="s">
        <v>1072</v>
      </c>
      <c r="K675" s="192" t="s">
        <v>339</v>
      </c>
      <c r="L675" s="192" t="str">
        <f t="shared" si="12"/>
        <v>WasteWasteOrganisationalRecycling (organisational)ClothingNaN</v>
      </c>
      <c r="M675" s="192" t="s">
        <v>1142</v>
      </c>
      <c r="N675" s="192" t="s">
        <v>976</v>
      </c>
      <c r="O675" s="192" t="s">
        <v>337</v>
      </c>
      <c r="P675" s="374">
        <v>1E-3</v>
      </c>
      <c r="Q675" s="377"/>
      <c r="R675" s="305"/>
      <c r="S675" s="304">
        <v>4.6856799999999996</v>
      </c>
      <c r="T675" s="305"/>
      <c r="U675" s="305"/>
      <c r="V675" s="305"/>
      <c r="W675" s="305"/>
      <c r="X675" s="305"/>
      <c r="Y675" s="305"/>
      <c r="Z675" s="304" t="s">
        <v>1566</v>
      </c>
      <c r="AA675" s="305"/>
      <c r="AB675" s="305"/>
      <c r="AC675" s="305"/>
      <c r="AD675" s="305"/>
      <c r="AE675" s="424"/>
    </row>
    <row r="676" spans="5:31" ht="14.15" customHeight="1" x14ac:dyDescent="0.35">
      <c r="E676" s="192">
        <v>668</v>
      </c>
      <c r="F676" s="192" t="s">
        <v>194</v>
      </c>
      <c r="G676" s="192" t="s">
        <v>194</v>
      </c>
      <c r="H676" s="192" t="s">
        <v>373</v>
      </c>
      <c r="I676" s="192" t="s">
        <v>1878</v>
      </c>
      <c r="J676" s="192" t="s">
        <v>1068</v>
      </c>
      <c r="K676" s="192" t="s">
        <v>339</v>
      </c>
      <c r="L676" s="192" t="str">
        <f t="shared" si="12"/>
        <v>WasteWasteOrganisationalRecycling (organisational)Commercial and industrial wasteNaN</v>
      </c>
      <c r="M676" s="192" t="s">
        <v>1142</v>
      </c>
      <c r="N676" s="192" t="s">
        <v>976</v>
      </c>
      <c r="O676" s="192" t="s">
        <v>337</v>
      </c>
      <c r="P676" s="374">
        <v>1E-3</v>
      </c>
      <c r="Q676" s="377"/>
      <c r="R676" s="305"/>
      <c r="S676" s="304">
        <v>4.6856799999999996</v>
      </c>
      <c r="T676" s="305"/>
      <c r="U676" s="305"/>
      <c r="V676" s="305"/>
      <c r="W676" s="305"/>
      <c r="X676" s="305"/>
      <c r="Y676" s="305"/>
      <c r="Z676" s="304"/>
      <c r="AA676" s="305"/>
      <c r="AB676" s="305"/>
      <c r="AC676" s="305"/>
      <c r="AD676" s="305"/>
      <c r="AE676" s="424"/>
    </row>
    <row r="677" spans="5:31" ht="14.15" customHeight="1" x14ac:dyDescent="0.35">
      <c r="E677" s="192">
        <v>669</v>
      </c>
      <c r="F677" s="192" t="s">
        <v>194</v>
      </c>
      <c r="G677" s="192" t="s">
        <v>194</v>
      </c>
      <c r="H677" s="192" t="s">
        <v>373</v>
      </c>
      <c r="I677" s="192" t="s">
        <v>1878</v>
      </c>
      <c r="J677" s="192" t="s">
        <v>1088</v>
      </c>
      <c r="K677" s="192" t="s">
        <v>339</v>
      </c>
      <c r="L677" s="192" t="str">
        <f t="shared" si="12"/>
        <v>WasteWasteOrganisationalRecycling (organisational)MetalsNaN</v>
      </c>
      <c r="M677" s="192" t="s">
        <v>1142</v>
      </c>
      <c r="N677" s="192" t="s">
        <v>976</v>
      </c>
      <c r="O677" s="192" t="s">
        <v>337</v>
      </c>
      <c r="P677" s="374">
        <v>1E-3</v>
      </c>
      <c r="Q677" s="377"/>
      <c r="R677" s="305"/>
      <c r="S677" s="304">
        <v>4.6856799999999996</v>
      </c>
      <c r="T677" s="305"/>
      <c r="U677" s="305"/>
      <c r="V677" s="305"/>
      <c r="W677" s="305"/>
      <c r="X677" s="305"/>
      <c r="Y677" s="305"/>
      <c r="Z677" s="304" t="s">
        <v>1581</v>
      </c>
      <c r="AA677" s="305"/>
      <c r="AB677" s="305"/>
      <c r="AC677" s="305"/>
      <c r="AD677" s="305"/>
      <c r="AE677" s="424"/>
    </row>
    <row r="678" spans="5:31" ht="14.15" customHeight="1" x14ac:dyDescent="0.35">
      <c r="E678" s="192">
        <v>670</v>
      </c>
      <c r="F678" s="192" t="s">
        <v>194</v>
      </c>
      <c r="G678" s="192" t="s">
        <v>194</v>
      </c>
      <c r="H678" s="192" t="s">
        <v>373</v>
      </c>
      <c r="I678" s="192" t="s">
        <v>1878</v>
      </c>
      <c r="J678" s="192" t="s">
        <v>1089</v>
      </c>
      <c r="K678" s="192" t="s">
        <v>339</v>
      </c>
      <c r="L678" s="192" t="str">
        <f t="shared" si="12"/>
        <v>WasteWasteOrganisationalRecycling (organisational)Mineral oilNaN</v>
      </c>
      <c r="M678" s="192" t="s">
        <v>1142</v>
      </c>
      <c r="N678" s="192" t="s">
        <v>976</v>
      </c>
      <c r="O678" s="192" t="s">
        <v>337</v>
      </c>
      <c r="P678" s="374">
        <v>1E-3</v>
      </c>
      <c r="Q678" s="377"/>
      <c r="R678" s="305"/>
      <c r="S678" s="304">
        <v>4.6856799999999996</v>
      </c>
      <c r="T678" s="305"/>
      <c r="U678" s="305"/>
      <c r="V678" s="305"/>
      <c r="W678" s="305"/>
      <c r="X678" s="305"/>
      <c r="Y678" s="305"/>
      <c r="Z678" s="304" t="s">
        <v>1582</v>
      </c>
      <c r="AA678" s="305"/>
      <c r="AB678" s="305"/>
      <c r="AC678" s="305"/>
      <c r="AD678" s="305"/>
      <c r="AE678" s="424"/>
    </row>
    <row r="679" spans="5:31" ht="14.15" customHeight="1" x14ac:dyDescent="0.35">
      <c r="E679" s="192">
        <v>671</v>
      </c>
      <c r="F679" s="192" t="s">
        <v>194</v>
      </c>
      <c r="G679" s="192" t="s">
        <v>194</v>
      </c>
      <c r="H679" s="192" t="s">
        <v>373</v>
      </c>
      <c r="I679" s="192" t="s">
        <v>1878</v>
      </c>
      <c r="J679" s="192" t="s">
        <v>1074</v>
      </c>
      <c r="K679" s="192" t="s">
        <v>339</v>
      </c>
      <c r="L679" s="192" t="str">
        <f t="shared" ref="L679:L706" si="14">_xlfn.CONCAT(F679:K679)</f>
        <v>WasteWasteOrganisationalRecycling (organisational)Mixed glassNaN</v>
      </c>
      <c r="M679" s="192" t="s">
        <v>1142</v>
      </c>
      <c r="N679" s="192" t="s">
        <v>976</v>
      </c>
      <c r="O679" s="192" t="s">
        <v>337</v>
      </c>
      <c r="P679" s="374">
        <v>1E-3</v>
      </c>
      <c r="Q679" s="377"/>
      <c r="R679" s="305"/>
      <c r="S679" s="304">
        <v>4.6856799999999996</v>
      </c>
      <c r="T679" s="305"/>
      <c r="U679" s="305"/>
      <c r="V679" s="305"/>
      <c r="W679" s="305"/>
      <c r="X679" s="305"/>
      <c r="Y679" s="305"/>
      <c r="Z679" s="304" t="s">
        <v>1583</v>
      </c>
      <c r="AA679" s="305"/>
      <c r="AB679" s="305"/>
      <c r="AC679" s="305"/>
      <c r="AD679" s="305"/>
      <c r="AE679" s="424"/>
    </row>
    <row r="680" spans="5:31" ht="14.15" customHeight="1" x14ac:dyDescent="0.35">
      <c r="E680" s="192">
        <v>672</v>
      </c>
      <c r="F680" s="192" t="s">
        <v>194</v>
      </c>
      <c r="G680" s="192" t="s">
        <v>194</v>
      </c>
      <c r="H680" s="192" t="s">
        <v>373</v>
      </c>
      <c r="I680" s="192" t="s">
        <v>1878</v>
      </c>
      <c r="J680" s="192" t="s">
        <v>1075</v>
      </c>
      <c r="K680" s="192" t="s">
        <v>339</v>
      </c>
      <c r="L680" s="192" t="str">
        <f t="shared" si="14"/>
        <v>WasteWasteOrganisationalRecycling (organisational)Mixed metal cansNaN</v>
      </c>
      <c r="M680" s="192" t="s">
        <v>1142</v>
      </c>
      <c r="N680" s="192" t="s">
        <v>976</v>
      </c>
      <c r="O680" s="192" t="s">
        <v>337</v>
      </c>
      <c r="P680" s="374">
        <v>1E-3</v>
      </c>
      <c r="Q680" s="377"/>
      <c r="R680" s="305"/>
      <c r="S680" s="304">
        <v>4.6856799999999996</v>
      </c>
      <c r="T680" s="305"/>
      <c r="U680" s="305"/>
      <c r="V680" s="305"/>
      <c r="W680" s="305"/>
      <c r="X680" s="305"/>
      <c r="Y680" s="305"/>
      <c r="Z680" s="304" t="s">
        <v>1584</v>
      </c>
      <c r="AA680" s="305"/>
      <c r="AB680" s="305"/>
      <c r="AC680" s="305"/>
      <c r="AD680" s="305"/>
      <c r="AE680" s="424"/>
    </row>
    <row r="681" spans="5:31" ht="14.15" customHeight="1" x14ac:dyDescent="0.35">
      <c r="E681" s="192">
        <v>673</v>
      </c>
      <c r="F681" s="192" t="s">
        <v>194</v>
      </c>
      <c r="G681" s="192" t="s">
        <v>194</v>
      </c>
      <c r="H681" s="192" t="s">
        <v>373</v>
      </c>
      <c r="I681" s="192" t="s">
        <v>1878</v>
      </c>
      <c r="J681" s="192" t="s">
        <v>1076</v>
      </c>
      <c r="K681" s="192" t="s">
        <v>339</v>
      </c>
      <c r="L681" s="192" t="str">
        <f t="shared" si="14"/>
        <v>WasteWasteOrganisationalRecycling (organisational)Mixed paperNaN</v>
      </c>
      <c r="M681" s="192" t="s">
        <v>1142</v>
      </c>
      <c r="N681" s="192" t="s">
        <v>976</v>
      </c>
      <c r="O681" s="192" t="s">
        <v>337</v>
      </c>
      <c r="P681" s="374">
        <v>1E-3</v>
      </c>
      <c r="Q681" s="377"/>
      <c r="R681" s="305"/>
      <c r="S681" s="304">
        <v>4.6856799999999996</v>
      </c>
      <c r="T681" s="305"/>
      <c r="U681" s="305"/>
      <c r="V681" s="305"/>
      <c r="W681" s="305"/>
      <c r="X681" s="305"/>
      <c r="Y681" s="305"/>
      <c r="Z681" s="304" t="s">
        <v>1569</v>
      </c>
      <c r="AA681" s="305"/>
      <c r="AB681" s="305"/>
      <c r="AC681" s="305"/>
      <c r="AD681" s="305"/>
      <c r="AE681" s="424"/>
    </row>
    <row r="682" spans="5:31" ht="14.15" customHeight="1" x14ac:dyDescent="0.35">
      <c r="E682" s="192">
        <v>674</v>
      </c>
      <c r="F682" s="192" t="s">
        <v>194</v>
      </c>
      <c r="G682" s="192" t="s">
        <v>194</v>
      </c>
      <c r="H682" s="192" t="s">
        <v>373</v>
      </c>
      <c r="I682" s="192" t="s">
        <v>1878</v>
      </c>
      <c r="J682" s="192" t="s">
        <v>1077</v>
      </c>
      <c r="K682" s="192" t="s">
        <v>339</v>
      </c>
      <c r="L682" s="192" t="str">
        <f t="shared" si="14"/>
        <v>WasteWasteOrganisationalRecycling (organisational)Mixed plasticsNaN</v>
      </c>
      <c r="M682" s="192" t="s">
        <v>1142</v>
      </c>
      <c r="N682" s="192" t="s">
        <v>976</v>
      </c>
      <c r="O682" s="192" t="s">
        <v>337</v>
      </c>
      <c r="P682" s="374">
        <v>1E-3</v>
      </c>
      <c r="Q682" s="377"/>
      <c r="R682" s="305"/>
      <c r="S682" s="304">
        <v>4.6856799999999996</v>
      </c>
      <c r="T682" s="305"/>
      <c r="U682" s="305"/>
      <c r="V682" s="305"/>
      <c r="W682" s="305"/>
      <c r="X682" s="305"/>
      <c r="Y682" s="305"/>
      <c r="Z682" s="304" t="s">
        <v>1585</v>
      </c>
      <c r="AA682" s="305"/>
      <c r="AB682" s="305"/>
      <c r="AC682" s="305"/>
      <c r="AD682" s="305"/>
      <c r="AE682" s="424"/>
    </row>
    <row r="683" spans="5:31" ht="14.15" customHeight="1" x14ac:dyDescent="0.35">
      <c r="E683" s="192">
        <v>675</v>
      </c>
      <c r="F683" s="192" t="s">
        <v>194</v>
      </c>
      <c r="G683" s="192" t="s">
        <v>194</v>
      </c>
      <c r="H683" s="192" t="s">
        <v>373</v>
      </c>
      <c r="I683" s="192" t="s">
        <v>1878</v>
      </c>
      <c r="J683" s="192" t="s">
        <v>1078</v>
      </c>
      <c r="K683" s="192" t="s">
        <v>339</v>
      </c>
      <c r="L683" s="192" t="str">
        <f t="shared" si="14"/>
        <v>WasteWasteOrganisationalRecycling (organisational)Mixed recyclingNaN</v>
      </c>
      <c r="M683" s="192" t="s">
        <v>1142</v>
      </c>
      <c r="N683" s="192" t="s">
        <v>976</v>
      </c>
      <c r="O683" s="192" t="s">
        <v>337</v>
      </c>
      <c r="P683" s="374">
        <v>1E-3</v>
      </c>
      <c r="Q683" s="377"/>
      <c r="R683" s="305"/>
      <c r="S683" s="304">
        <v>4.6856799999999996</v>
      </c>
      <c r="T683" s="305"/>
      <c r="U683" s="305"/>
      <c r="V683" s="305"/>
      <c r="W683" s="305"/>
      <c r="X683" s="305"/>
      <c r="Y683" s="305"/>
      <c r="AA683" s="305"/>
      <c r="AB683" s="305"/>
      <c r="AC683" s="305"/>
      <c r="AD683" s="305"/>
      <c r="AE683" s="424"/>
    </row>
    <row r="684" spans="5:31" ht="14.15" customHeight="1" x14ac:dyDescent="0.35">
      <c r="E684" s="192">
        <v>676</v>
      </c>
      <c r="F684" s="192" t="s">
        <v>194</v>
      </c>
      <c r="G684" s="192" t="s">
        <v>194</v>
      </c>
      <c r="H684" s="192" t="s">
        <v>373</v>
      </c>
      <c r="I684" s="192" t="s">
        <v>1878</v>
      </c>
      <c r="J684" s="192" t="s">
        <v>1079</v>
      </c>
      <c r="K684" s="192" t="s">
        <v>339</v>
      </c>
      <c r="L684" s="192" t="str">
        <f t="shared" si="14"/>
        <v>WasteWasteOrganisationalRecycling (organisational)Mixed WEEENaN</v>
      </c>
      <c r="M684" s="192" t="s">
        <v>1142</v>
      </c>
      <c r="N684" s="192" t="s">
        <v>976</v>
      </c>
      <c r="O684" s="192" t="s">
        <v>337</v>
      </c>
      <c r="P684" s="374">
        <v>1E-3</v>
      </c>
      <c r="Q684" s="377"/>
      <c r="R684" s="305"/>
      <c r="S684" s="304">
        <v>4.6856799999999996</v>
      </c>
      <c r="T684" s="305"/>
      <c r="U684" s="305"/>
      <c r="V684" s="305"/>
      <c r="W684" s="305"/>
      <c r="X684" s="305"/>
      <c r="Y684" s="305"/>
      <c r="Z684" s="304" t="s">
        <v>1571</v>
      </c>
      <c r="AA684" s="305"/>
      <c r="AB684" s="305"/>
      <c r="AC684" s="305"/>
      <c r="AD684" s="305"/>
      <c r="AE684" s="424"/>
    </row>
    <row r="685" spans="5:31" ht="14.15" customHeight="1" x14ac:dyDescent="0.35">
      <c r="E685" s="192">
        <v>677</v>
      </c>
      <c r="F685" s="192" t="s">
        <v>194</v>
      </c>
      <c r="G685" s="192" t="s">
        <v>194</v>
      </c>
      <c r="H685" s="192" t="s">
        <v>378</v>
      </c>
      <c r="I685" s="192" t="s">
        <v>1879</v>
      </c>
      <c r="J685" s="192" t="s">
        <v>1068</v>
      </c>
      <c r="K685" s="192" t="s">
        <v>339</v>
      </c>
      <c r="L685" s="192" t="str">
        <f t="shared" si="14"/>
        <v>WasteWasteProjectCombustion (project)Commercial and industrial wasteNaN</v>
      </c>
      <c r="M685" s="192" t="s">
        <v>1142</v>
      </c>
      <c r="N685" s="192" t="s">
        <v>976</v>
      </c>
      <c r="O685" s="192" t="s">
        <v>337</v>
      </c>
      <c r="P685" s="374">
        <v>1E-3</v>
      </c>
      <c r="Q685" s="377"/>
      <c r="R685" s="305"/>
      <c r="S685" s="304">
        <v>4.6856799999999996</v>
      </c>
      <c r="T685" s="305"/>
      <c r="U685" s="305"/>
      <c r="V685" s="305"/>
      <c r="W685" s="305"/>
      <c r="X685" s="305"/>
      <c r="Y685" s="305"/>
      <c r="Z685" s="304" t="s">
        <v>1554</v>
      </c>
      <c r="AA685" s="305"/>
      <c r="AB685" s="305"/>
      <c r="AC685" s="305"/>
      <c r="AD685" s="305"/>
      <c r="AE685" s="424"/>
    </row>
    <row r="686" spans="5:31" ht="14.15" customHeight="1" x14ac:dyDescent="0.35">
      <c r="E686" s="192">
        <v>678</v>
      </c>
      <c r="F686" s="192" t="s">
        <v>194</v>
      </c>
      <c r="G686" s="192" t="s">
        <v>194</v>
      </c>
      <c r="H686" s="192" t="s">
        <v>378</v>
      </c>
      <c r="I686" s="192" t="s">
        <v>1879</v>
      </c>
      <c r="J686" s="192" t="s">
        <v>1090</v>
      </c>
      <c r="K686" s="192" t="s">
        <v>339</v>
      </c>
      <c r="L686" s="192" t="str">
        <f t="shared" si="14"/>
        <v>WasteWasteProjectCombustion (project)WoodNaN</v>
      </c>
      <c r="M686" s="192" t="s">
        <v>1142</v>
      </c>
      <c r="N686" s="192" t="s">
        <v>976</v>
      </c>
      <c r="O686" s="192" t="s">
        <v>337</v>
      </c>
      <c r="P686" s="374">
        <v>1E-3</v>
      </c>
      <c r="Q686" s="377"/>
      <c r="R686" s="305"/>
      <c r="S686" s="304">
        <v>4.6856799999999996</v>
      </c>
      <c r="T686" s="305"/>
      <c r="U686" s="305"/>
      <c r="V686" s="305"/>
      <c r="W686" s="305"/>
      <c r="X686" s="305"/>
      <c r="Y686" s="305"/>
      <c r="Z686" s="304" t="s">
        <v>1586</v>
      </c>
      <c r="AA686" s="305"/>
      <c r="AB686" s="305"/>
      <c r="AC686" s="305"/>
      <c r="AD686" s="305"/>
      <c r="AE686" s="424"/>
    </row>
    <row r="687" spans="5:31" ht="14.15" customHeight="1" x14ac:dyDescent="0.35">
      <c r="E687" s="192">
        <v>679</v>
      </c>
      <c r="F687" s="192" t="s">
        <v>194</v>
      </c>
      <c r="G687" s="192" t="s">
        <v>194</v>
      </c>
      <c r="H687" s="192" t="s">
        <v>378</v>
      </c>
      <c r="I687" s="192" t="s">
        <v>1880</v>
      </c>
      <c r="J687" s="192" t="s">
        <v>1091</v>
      </c>
      <c r="K687" s="192" t="s">
        <v>339</v>
      </c>
      <c r="L687" s="192" t="str">
        <f t="shared" si="14"/>
        <v>WasteWasteProjectLandfill (project)AggregatesNaN</v>
      </c>
      <c r="M687" s="192" t="s">
        <v>1142</v>
      </c>
      <c r="N687" s="192" t="s">
        <v>976</v>
      </c>
      <c r="O687" s="192" t="s">
        <v>337</v>
      </c>
      <c r="P687" s="374">
        <v>1E-3</v>
      </c>
      <c r="Q687" s="377"/>
      <c r="R687" s="305"/>
      <c r="S687" s="304">
        <v>1.2633799999999999</v>
      </c>
      <c r="T687" s="305"/>
      <c r="U687" s="305"/>
      <c r="V687" s="305"/>
      <c r="W687" s="305"/>
      <c r="X687" s="305"/>
      <c r="Y687" s="305"/>
      <c r="Z687" s="304" t="s">
        <v>1587</v>
      </c>
      <c r="AA687" s="305"/>
      <c r="AB687" s="305"/>
      <c r="AC687" s="305"/>
      <c r="AD687" s="305"/>
      <c r="AE687" s="424"/>
    </row>
    <row r="688" spans="5:31" ht="14.15" customHeight="1" x14ac:dyDescent="0.35">
      <c r="E688" s="192">
        <v>680</v>
      </c>
      <c r="F688" s="192" t="s">
        <v>194</v>
      </c>
      <c r="G688" s="192" t="s">
        <v>194</v>
      </c>
      <c r="H688" s="192" t="s">
        <v>378</v>
      </c>
      <c r="I688" s="192" t="s">
        <v>1880</v>
      </c>
      <c r="J688" s="192" t="s">
        <v>1085</v>
      </c>
      <c r="K688" s="192" t="s">
        <v>339</v>
      </c>
      <c r="L688" s="192" t="str">
        <f t="shared" si="14"/>
        <v>WasteWasteProjectLandfill (project)AsbestosNaN</v>
      </c>
      <c r="M688" s="192" t="s">
        <v>1142</v>
      </c>
      <c r="N688" s="192" t="s">
        <v>976</v>
      </c>
      <c r="O688" s="192" t="s">
        <v>337</v>
      </c>
      <c r="P688" s="374">
        <v>1E-3</v>
      </c>
      <c r="Q688" s="377"/>
      <c r="R688" s="305"/>
      <c r="S688" s="304">
        <v>5.9416000000000002</v>
      </c>
      <c r="T688" s="305"/>
      <c r="U688" s="305"/>
      <c r="V688" s="305"/>
      <c r="W688" s="305"/>
      <c r="X688" s="305"/>
      <c r="Y688" s="305"/>
      <c r="Z688" s="304" t="s">
        <v>1576</v>
      </c>
      <c r="AA688" s="305"/>
      <c r="AB688" s="305"/>
      <c r="AC688" s="305"/>
      <c r="AD688" s="305"/>
      <c r="AE688" s="424"/>
    </row>
    <row r="689" spans="5:31" ht="14.15" customHeight="1" x14ac:dyDescent="0.35">
      <c r="E689" s="192">
        <v>681</v>
      </c>
      <c r="F689" s="192" t="s">
        <v>194</v>
      </c>
      <c r="G689" s="192" t="s">
        <v>194</v>
      </c>
      <c r="H689" s="192" t="s">
        <v>378</v>
      </c>
      <c r="I689" s="192" t="s">
        <v>1880</v>
      </c>
      <c r="J689" s="192" t="s">
        <v>1092</v>
      </c>
      <c r="K689" s="192" t="s">
        <v>339</v>
      </c>
      <c r="L689" s="192" t="str">
        <f t="shared" si="14"/>
        <v>WasteWasteProjectLandfill (project)BricksNaN</v>
      </c>
      <c r="M689" s="192" t="s">
        <v>1142</v>
      </c>
      <c r="N689" s="192" t="s">
        <v>976</v>
      </c>
      <c r="O689" s="192" t="s">
        <v>337</v>
      </c>
      <c r="P689" s="374">
        <v>1E-3</v>
      </c>
      <c r="Q689" s="377"/>
      <c r="R689" s="305"/>
      <c r="S689" s="304">
        <v>1.2633799999999999</v>
      </c>
      <c r="T689" s="305"/>
      <c r="U689" s="305"/>
      <c r="V689" s="305"/>
      <c r="W689" s="305"/>
      <c r="X689" s="305"/>
      <c r="Y689" s="305"/>
      <c r="Z689" s="304" t="s">
        <v>1588</v>
      </c>
      <c r="AA689" s="305"/>
      <c r="AB689" s="305"/>
      <c r="AC689" s="305"/>
      <c r="AD689" s="305"/>
      <c r="AE689" s="424"/>
    </row>
    <row r="690" spans="5:31" ht="14.15" customHeight="1" x14ac:dyDescent="0.35">
      <c r="E690" s="192">
        <v>682</v>
      </c>
      <c r="F690" s="192" t="s">
        <v>194</v>
      </c>
      <c r="G690" s="192" t="s">
        <v>194</v>
      </c>
      <c r="H690" s="192" t="s">
        <v>378</v>
      </c>
      <c r="I690" s="192" t="s">
        <v>1880</v>
      </c>
      <c r="J690" s="192" t="s">
        <v>1068</v>
      </c>
      <c r="K690" s="192" t="s">
        <v>339</v>
      </c>
      <c r="L690" s="192" t="str">
        <f t="shared" si="14"/>
        <v>WasteWasteProjectLandfill (project)Commercial and industrial wasteNaN</v>
      </c>
      <c r="M690" s="192" t="s">
        <v>1142</v>
      </c>
      <c r="N690" s="192" t="s">
        <v>976</v>
      </c>
      <c r="O690" s="192" t="s">
        <v>337</v>
      </c>
      <c r="P690" s="374">
        <v>1E-3</v>
      </c>
      <c r="Q690" s="377"/>
      <c r="R690" s="305"/>
      <c r="S690" s="304">
        <v>520.53269999999998</v>
      </c>
      <c r="T690" s="305"/>
      <c r="U690" s="305"/>
      <c r="V690" s="305"/>
      <c r="W690" s="305"/>
      <c r="X690" s="305"/>
      <c r="Y690" s="305"/>
      <c r="Z690" s="304" t="s">
        <v>1562</v>
      </c>
      <c r="AA690" s="305"/>
      <c r="AB690" s="305"/>
      <c r="AC690" s="305"/>
      <c r="AD690" s="305"/>
      <c r="AE690" s="424"/>
    </row>
    <row r="691" spans="5:31" ht="14.15" customHeight="1" x14ac:dyDescent="0.35">
      <c r="E691" s="192">
        <v>683</v>
      </c>
      <c r="F691" s="192" t="s">
        <v>194</v>
      </c>
      <c r="G691" s="192" t="s">
        <v>194</v>
      </c>
      <c r="H691" s="192" t="s">
        <v>378</v>
      </c>
      <c r="I691" s="192" t="s">
        <v>1880</v>
      </c>
      <c r="J691" s="192" t="s">
        <v>1088</v>
      </c>
      <c r="K691" s="192" t="s">
        <v>339</v>
      </c>
      <c r="L691" s="192" t="str">
        <f t="shared" si="14"/>
        <v>WasteWasteProjectLandfill (project)MetalsNaN</v>
      </c>
      <c r="M691" s="192" t="s">
        <v>1142</v>
      </c>
      <c r="N691" s="192" t="s">
        <v>976</v>
      </c>
      <c r="O691" s="192" t="s">
        <v>337</v>
      </c>
      <c r="P691" s="374">
        <v>1E-3</v>
      </c>
      <c r="Q691" s="377"/>
      <c r="R691" s="305"/>
      <c r="S691" s="304">
        <v>8.9831099999999999</v>
      </c>
      <c r="T691" s="305"/>
      <c r="U691" s="305"/>
      <c r="V691" s="305"/>
      <c r="W691" s="305"/>
      <c r="X691" s="305"/>
      <c r="Y691" s="305"/>
      <c r="Z691" s="304" t="s">
        <v>1589</v>
      </c>
      <c r="AA691" s="305"/>
      <c r="AB691" s="305"/>
      <c r="AC691" s="305"/>
      <c r="AD691" s="305"/>
      <c r="AE691" s="424"/>
    </row>
    <row r="692" spans="5:31" ht="14.15" customHeight="1" x14ac:dyDescent="0.35">
      <c r="E692" s="192">
        <v>684</v>
      </c>
      <c r="F692" s="192" t="s">
        <v>194</v>
      </c>
      <c r="G692" s="192" t="s">
        <v>194</v>
      </c>
      <c r="H692" s="192" t="s">
        <v>378</v>
      </c>
      <c r="I692" s="192" t="s">
        <v>1880</v>
      </c>
      <c r="J692" s="192" t="s">
        <v>1093</v>
      </c>
      <c r="K692" s="192" t="s">
        <v>339</v>
      </c>
      <c r="L692" s="192" t="str">
        <f t="shared" si="14"/>
        <v>WasteWasteProjectLandfill (project)PlasterboardNaN</v>
      </c>
      <c r="M692" s="192" t="s">
        <v>1142</v>
      </c>
      <c r="N692" s="192" t="s">
        <v>976</v>
      </c>
      <c r="O692" s="192" t="s">
        <v>337</v>
      </c>
      <c r="P692" s="374">
        <v>1E-3</v>
      </c>
      <c r="Q692" s="377"/>
      <c r="R692" s="305"/>
      <c r="S692" s="304">
        <v>71.95</v>
      </c>
      <c r="T692" s="305"/>
      <c r="U692" s="305"/>
      <c r="V692" s="305"/>
      <c r="W692" s="305"/>
      <c r="X692" s="305"/>
      <c r="Y692" s="305"/>
      <c r="Z692" s="304" t="s">
        <v>1590</v>
      </c>
      <c r="AA692" s="305"/>
      <c r="AB692" s="305"/>
      <c r="AC692" s="305"/>
      <c r="AD692" s="305"/>
      <c r="AE692" s="424"/>
    </row>
    <row r="693" spans="5:31" ht="14.15" customHeight="1" x14ac:dyDescent="0.35">
      <c r="E693" s="192">
        <v>685</v>
      </c>
      <c r="F693" s="192" t="s">
        <v>194</v>
      </c>
      <c r="G693" s="192" t="s">
        <v>194</v>
      </c>
      <c r="H693" s="192" t="s">
        <v>378</v>
      </c>
      <c r="I693" s="192" t="s">
        <v>1880</v>
      </c>
      <c r="J693" s="192" t="s">
        <v>1094</v>
      </c>
      <c r="K693" s="192" t="s">
        <v>339</v>
      </c>
      <c r="L693" s="192" t="str">
        <f t="shared" si="14"/>
        <v>WasteWasteProjectLandfill (project)SoilsNaN</v>
      </c>
      <c r="M693" s="192" t="s">
        <v>1142</v>
      </c>
      <c r="N693" s="192" t="s">
        <v>976</v>
      </c>
      <c r="O693" s="192" t="s">
        <v>337</v>
      </c>
      <c r="P693" s="374">
        <v>1E-3</v>
      </c>
      <c r="Q693" s="377"/>
      <c r="R693" s="305"/>
      <c r="S693" s="304">
        <v>19.546710000000001</v>
      </c>
      <c r="T693" s="305"/>
      <c r="U693" s="305"/>
      <c r="V693" s="305"/>
      <c r="W693" s="305"/>
      <c r="X693" s="305"/>
      <c r="Y693" s="305"/>
      <c r="Z693" s="304" t="s">
        <v>1579</v>
      </c>
      <c r="AA693" s="305"/>
      <c r="AB693" s="305"/>
      <c r="AC693" s="305"/>
      <c r="AD693" s="305"/>
      <c r="AE693" s="424"/>
    </row>
    <row r="694" spans="5:31" ht="14.15" customHeight="1" x14ac:dyDescent="0.35">
      <c r="E694" s="192">
        <v>686</v>
      </c>
      <c r="F694" s="192" t="s">
        <v>194</v>
      </c>
      <c r="G694" s="192" t="s">
        <v>194</v>
      </c>
      <c r="H694" s="192" t="s">
        <v>378</v>
      </c>
      <c r="I694" s="192" t="s">
        <v>1881</v>
      </c>
      <c r="J694" s="192" t="s">
        <v>1091</v>
      </c>
      <c r="K694" s="192" t="s">
        <v>339</v>
      </c>
      <c r="L694" s="192" t="str">
        <f t="shared" si="14"/>
        <v>WasteWasteProjectRecycling (project)AggregatesNaN</v>
      </c>
      <c r="M694" s="192" t="s">
        <v>1142</v>
      </c>
      <c r="N694" s="192" t="s">
        <v>976</v>
      </c>
      <c r="O694" s="192" t="s">
        <v>337</v>
      </c>
      <c r="P694" s="374">
        <v>1E-3</v>
      </c>
      <c r="Q694" s="377"/>
      <c r="R694" s="305"/>
      <c r="S694" s="304">
        <v>1.0083500000000001</v>
      </c>
      <c r="T694" s="305"/>
      <c r="U694" s="305"/>
      <c r="V694" s="305"/>
      <c r="W694" s="305"/>
      <c r="X694" s="305"/>
      <c r="Y694" s="305"/>
      <c r="Z694" s="385" t="s">
        <v>1591</v>
      </c>
      <c r="AA694" s="305"/>
      <c r="AB694" s="305"/>
      <c r="AC694" s="305"/>
      <c r="AD694" s="305"/>
      <c r="AE694" s="424"/>
    </row>
    <row r="695" spans="5:31" ht="14.15" customHeight="1" x14ac:dyDescent="0.35">
      <c r="E695" s="192">
        <v>687</v>
      </c>
      <c r="F695" s="192" t="s">
        <v>194</v>
      </c>
      <c r="G695" s="192" t="s">
        <v>194</v>
      </c>
      <c r="H695" s="192" t="s">
        <v>378</v>
      </c>
      <c r="I695" s="192" t="s">
        <v>1881</v>
      </c>
      <c r="J695" s="192" t="s">
        <v>1095</v>
      </c>
      <c r="K695" s="192" t="s">
        <v>339</v>
      </c>
      <c r="L695" s="192" t="str">
        <f t="shared" si="14"/>
        <v>WasteWasteProjectRecycling (project)AsphaltNaN</v>
      </c>
      <c r="M695" s="192" t="s">
        <v>1142</v>
      </c>
      <c r="N695" s="192" t="s">
        <v>976</v>
      </c>
      <c r="O695" s="192" t="s">
        <v>337</v>
      </c>
      <c r="P695" s="374">
        <v>1E-3</v>
      </c>
      <c r="Q695" s="377"/>
      <c r="R695" s="305"/>
      <c r="S695" s="304">
        <v>1.0083500000000001</v>
      </c>
      <c r="T695" s="305"/>
      <c r="U695" s="305"/>
      <c r="V695" s="305"/>
      <c r="W695" s="305"/>
      <c r="X695" s="305"/>
      <c r="Y695" s="305"/>
      <c r="Z695" s="304" t="s">
        <v>1592</v>
      </c>
      <c r="AA695" s="305"/>
      <c r="AB695" s="305"/>
      <c r="AC695" s="305"/>
      <c r="AD695" s="305"/>
      <c r="AE695" s="424"/>
    </row>
    <row r="696" spans="5:31" ht="14.15" customHeight="1" x14ac:dyDescent="0.35">
      <c r="E696" s="192">
        <v>688</v>
      </c>
      <c r="F696" s="192" t="s">
        <v>194</v>
      </c>
      <c r="G696" s="192" t="s">
        <v>194</v>
      </c>
      <c r="H696" s="192" t="s">
        <v>378</v>
      </c>
      <c r="I696" s="192" t="s">
        <v>1881</v>
      </c>
      <c r="J696" s="192" t="s">
        <v>1086</v>
      </c>
      <c r="K696" s="192" t="s">
        <v>339</v>
      </c>
      <c r="L696" s="192" t="str">
        <f t="shared" si="14"/>
        <v>WasteWasteProjectRecycling (project)Average constructionNaN</v>
      </c>
      <c r="M696" s="192" t="s">
        <v>1142</v>
      </c>
      <c r="N696" s="192" t="s">
        <v>976</v>
      </c>
      <c r="O696" s="192" t="s">
        <v>337</v>
      </c>
      <c r="P696" s="374">
        <v>1E-3</v>
      </c>
      <c r="Q696" s="377"/>
      <c r="R696" s="305"/>
      <c r="S696" s="304">
        <v>1.0083500000000001</v>
      </c>
      <c r="T696" s="305"/>
      <c r="U696" s="305"/>
      <c r="V696" s="305"/>
      <c r="W696" s="305"/>
      <c r="X696" s="305"/>
      <c r="Y696" s="305"/>
      <c r="Z696" s="385" t="s">
        <v>1580</v>
      </c>
      <c r="AA696" s="305"/>
      <c r="AB696" s="305"/>
      <c r="AC696" s="305"/>
      <c r="AD696" s="305"/>
      <c r="AE696" s="424"/>
    </row>
    <row r="697" spans="5:31" ht="14.15" customHeight="1" x14ac:dyDescent="0.35">
      <c r="E697" s="192">
        <v>689</v>
      </c>
      <c r="F697" s="192" t="s">
        <v>194</v>
      </c>
      <c r="G697" s="192" t="s">
        <v>194</v>
      </c>
      <c r="H697" s="192" t="s">
        <v>378</v>
      </c>
      <c r="I697" s="192" t="s">
        <v>1881</v>
      </c>
      <c r="J697" s="192" t="s">
        <v>1092</v>
      </c>
      <c r="K697" s="192" t="s">
        <v>339</v>
      </c>
      <c r="L697" s="192" t="str">
        <f t="shared" si="14"/>
        <v>WasteWasteProjectRecycling (project)BricksNaN</v>
      </c>
      <c r="M697" s="192" t="s">
        <v>1142</v>
      </c>
      <c r="N697" s="192" t="s">
        <v>976</v>
      </c>
      <c r="O697" s="192" t="s">
        <v>337</v>
      </c>
      <c r="P697" s="374">
        <v>1E-3</v>
      </c>
      <c r="Q697" s="377"/>
      <c r="R697" s="305"/>
      <c r="S697" s="304">
        <v>1.0083500000000001</v>
      </c>
      <c r="T697" s="305"/>
      <c r="U697" s="305"/>
      <c r="V697" s="305"/>
      <c r="W697" s="305"/>
      <c r="X697" s="305"/>
      <c r="Y697" s="305"/>
      <c r="Z697" s="304" t="s">
        <v>1593</v>
      </c>
      <c r="AA697" s="305"/>
      <c r="AB697" s="305"/>
      <c r="AC697" s="305"/>
      <c r="AD697" s="305"/>
      <c r="AE697" s="424"/>
    </row>
    <row r="698" spans="5:31" ht="14.15" customHeight="1" x14ac:dyDescent="0.35">
      <c r="E698" s="192">
        <v>690</v>
      </c>
      <c r="F698" s="192" t="s">
        <v>194</v>
      </c>
      <c r="G698" s="192" t="s">
        <v>194</v>
      </c>
      <c r="H698" s="192" t="s">
        <v>378</v>
      </c>
      <c r="I698" s="192" t="s">
        <v>1881</v>
      </c>
      <c r="J698" s="192" t="s">
        <v>1068</v>
      </c>
      <c r="K698" s="192" t="s">
        <v>339</v>
      </c>
      <c r="L698" s="192" t="str">
        <f t="shared" si="14"/>
        <v>WasteWasteProjectRecycling (project)Commercial and industrial wasteNaN</v>
      </c>
      <c r="M698" s="192" t="s">
        <v>1142</v>
      </c>
      <c r="N698" s="192" t="s">
        <v>976</v>
      </c>
      <c r="O698" s="192" t="s">
        <v>337</v>
      </c>
      <c r="P698" s="374">
        <v>1E-3</v>
      </c>
      <c r="Q698" s="377"/>
      <c r="R698" s="305"/>
      <c r="S698" s="304">
        <v>1.0083500000000001</v>
      </c>
      <c r="T698" s="305"/>
      <c r="U698" s="305"/>
      <c r="V698" s="305"/>
      <c r="W698" s="305"/>
      <c r="X698" s="305"/>
      <c r="Y698" s="305"/>
      <c r="Z698" s="304"/>
      <c r="AA698" s="305"/>
      <c r="AB698" s="305"/>
      <c r="AC698" s="305"/>
      <c r="AD698" s="305"/>
      <c r="AE698" s="424"/>
    </row>
    <row r="699" spans="5:31" ht="14.15" customHeight="1" x14ac:dyDescent="0.35">
      <c r="E699" s="192">
        <v>691</v>
      </c>
      <c r="F699" s="192" t="s">
        <v>194</v>
      </c>
      <c r="G699" s="192" t="s">
        <v>194</v>
      </c>
      <c r="H699" s="192" t="s">
        <v>378</v>
      </c>
      <c r="I699" s="192" t="s">
        <v>1881</v>
      </c>
      <c r="J699" s="192" t="s">
        <v>1096</v>
      </c>
      <c r="K699" s="192" t="s">
        <v>339</v>
      </c>
      <c r="L699" s="192" t="str">
        <f t="shared" si="14"/>
        <v>WasteWasteProjectRecycling (project)ConcreteNaN</v>
      </c>
      <c r="M699" s="192" t="s">
        <v>1142</v>
      </c>
      <c r="N699" s="192" t="s">
        <v>976</v>
      </c>
      <c r="O699" s="192" t="s">
        <v>337</v>
      </c>
      <c r="P699" s="374">
        <v>1E-3</v>
      </c>
      <c r="Q699" s="377"/>
      <c r="R699" s="305"/>
      <c r="S699" s="304">
        <v>1.0083500000000001</v>
      </c>
      <c r="T699" s="305"/>
      <c r="U699" s="305"/>
      <c r="V699" s="305"/>
      <c r="W699" s="305"/>
      <c r="X699" s="305"/>
      <c r="Y699" s="305"/>
      <c r="Z699" s="304" t="s">
        <v>1594</v>
      </c>
      <c r="AA699" s="305"/>
      <c r="AB699" s="305"/>
      <c r="AC699" s="305"/>
      <c r="AD699" s="305"/>
      <c r="AE699" s="424"/>
    </row>
    <row r="700" spans="5:31" ht="14.15" customHeight="1" x14ac:dyDescent="0.35">
      <c r="E700" s="192">
        <v>692</v>
      </c>
      <c r="F700" s="192" t="s">
        <v>194</v>
      </c>
      <c r="G700" s="192" t="s">
        <v>194</v>
      </c>
      <c r="H700" s="192" t="s">
        <v>378</v>
      </c>
      <c r="I700" s="192" t="s">
        <v>1881</v>
      </c>
      <c r="J700" s="192" t="s">
        <v>1097</v>
      </c>
      <c r="K700" s="192" t="s">
        <v>339</v>
      </c>
      <c r="L700" s="192" t="str">
        <f t="shared" si="14"/>
        <v>WasteWasteProjectRecycling (project)InsulationNaN</v>
      </c>
      <c r="M700" s="192" t="s">
        <v>1142</v>
      </c>
      <c r="N700" s="192" t="s">
        <v>976</v>
      </c>
      <c r="O700" s="192" t="s">
        <v>337</v>
      </c>
      <c r="P700" s="374">
        <v>1E-3</v>
      </c>
      <c r="Q700" s="377"/>
      <c r="R700" s="305"/>
      <c r="S700" s="304">
        <v>1.0083500000000001</v>
      </c>
      <c r="T700" s="305"/>
      <c r="U700" s="305"/>
      <c r="V700" s="305"/>
      <c r="W700" s="305"/>
      <c r="X700" s="305"/>
      <c r="Y700" s="305"/>
      <c r="Z700" s="304" t="s">
        <v>1595</v>
      </c>
      <c r="AA700" s="305"/>
      <c r="AB700" s="305"/>
      <c r="AC700" s="305"/>
      <c r="AD700" s="305"/>
      <c r="AE700" s="424"/>
    </row>
    <row r="701" spans="5:31" ht="14.15" customHeight="1" x14ac:dyDescent="0.35">
      <c r="E701" s="192">
        <v>693</v>
      </c>
      <c r="F701" s="192" t="s">
        <v>194</v>
      </c>
      <c r="G701" s="192" t="s">
        <v>194</v>
      </c>
      <c r="H701" s="192" t="s">
        <v>378</v>
      </c>
      <c r="I701" s="192" t="s">
        <v>1881</v>
      </c>
      <c r="J701" s="192" t="s">
        <v>1088</v>
      </c>
      <c r="K701" s="192" t="s">
        <v>339</v>
      </c>
      <c r="L701" s="192" t="str">
        <f t="shared" si="14"/>
        <v>WasteWasteProjectRecycling (project)MetalsNaN</v>
      </c>
      <c r="M701" s="192" t="s">
        <v>1142</v>
      </c>
      <c r="N701" s="192" t="s">
        <v>976</v>
      </c>
      <c r="O701" s="192" t="s">
        <v>337</v>
      </c>
      <c r="P701" s="374">
        <v>1E-3</v>
      </c>
      <c r="Q701" s="377"/>
      <c r="R701" s="305"/>
      <c r="S701" s="304">
        <v>1.0083500000000001</v>
      </c>
      <c r="T701" s="305"/>
      <c r="U701" s="305"/>
      <c r="V701" s="305"/>
      <c r="W701" s="305"/>
      <c r="X701" s="305"/>
      <c r="Y701" s="305"/>
      <c r="Z701" s="304" t="s">
        <v>1596</v>
      </c>
      <c r="AA701" s="305"/>
      <c r="AB701" s="305"/>
      <c r="AC701" s="305"/>
      <c r="AD701" s="305"/>
      <c r="AE701" s="424"/>
    </row>
    <row r="702" spans="5:31" ht="14.15" customHeight="1" x14ac:dyDescent="0.35">
      <c r="E702" s="192">
        <v>694</v>
      </c>
      <c r="F702" s="192" t="s">
        <v>194</v>
      </c>
      <c r="G702" s="192" t="s">
        <v>194</v>
      </c>
      <c r="H702" s="192" t="s">
        <v>378</v>
      </c>
      <c r="I702" s="192" t="s">
        <v>1881</v>
      </c>
      <c r="J702" s="192" t="s">
        <v>1089</v>
      </c>
      <c r="K702" s="192" t="s">
        <v>339</v>
      </c>
      <c r="L702" s="192" t="str">
        <f t="shared" si="14"/>
        <v>WasteWasteProjectRecycling (project)Mineral oilNaN</v>
      </c>
      <c r="M702" s="192" t="s">
        <v>1142</v>
      </c>
      <c r="N702" s="192" t="s">
        <v>976</v>
      </c>
      <c r="O702" s="192" t="s">
        <v>337</v>
      </c>
      <c r="P702" s="374">
        <v>1E-3</v>
      </c>
      <c r="Q702" s="377"/>
      <c r="R702" s="305"/>
      <c r="S702" s="304">
        <v>4.6856799999999996</v>
      </c>
      <c r="T702" s="305"/>
      <c r="U702" s="305"/>
      <c r="V702" s="305"/>
      <c r="W702" s="305"/>
      <c r="X702" s="305"/>
      <c r="Y702" s="305"/>
      <c r="Z702" s="385" t="s">
        <v>1582</v>
      </c>
      <c r="AA702" s="305"/>
      <c r="AB702" s="305"/>
      <c r="AC702" s="305"/>
      <c r="AD702" s="305"/>
      <c r="AE702" s="424"/>
    </row>
    <row r="703" spans="5:31" ht="14.15" customHeight="1" x14ac:dyDescent="0.35">
      <c r="E703" s="192">
        <v>695</v>
      </c>
      <c r="F703" s="192" t="s">
        <v>194</v>
      </c>
      <c r="G703" s="192" t="s">
        <v>194</v>
      </c>
      <c r="H703" s="192" t="s">
        <v>378</v>
      </c>
      <c r="I703" s="192" t="s">
        <v>1881</v>
      </c>
      <c r="J703" s="192" t="s">
        <v>1093</v>
      </c>
      <c r="K703" s="192" t="s">
        <v>339</v>
      </c>
      <c r="L703" s="192" t="str">
        <f t="shared" si="14"/>
        <v>WasteWasteProjectRecycling (project)PlasterboardNaN</v>
      </c>
      <c r="M703" s="192" t="s">
        <v>1142</v>
      </c>
      <c r="N703" s="192" t="s">
        <v>976</v>
      </c>
      <c r="O703" s="192" t="s">
        <v>337</v>
      </c>
      <c r="P703" s="374">
        <v>1E-3</v>
      </c>
      <c r="Q703" s="377"/>
      <c r="R703" s="305"/>
      <c r="S703" s="304">
        <v>4.6856799999999996</v>
      </c>
      <c r="T703" s="305"/>
      <c r="U703" s="305"/>
      <c r="V703" s="305"/>
      <c r="W703" s="305"/>
      <c r="X703" s="305"/>
      <c r="Y703" s="305"/>
      <c r="Z703" s="385" t="s">
        <v>1597</v>
      </c>
      <c r="AA703" s="305"/>
      <c r="AB703" s="305"/>
      <c r="AC703" s="305"/>
      <c r="AD703" s="305"/>
      <c r="AE703" s="424"/>
    </row>
    <row r="704" spans="5:31" ht="14.15" customHeight="1" x14ac:dyDescent="0.35">
      <c r="E704" s="192">
        <v>696</v>
      </c>
      <c r="F704" s="192" t="s">
        <v>194</v>
      </c>
      <c r="G704" s="192" t="s">
        <v>194</v>
      </c>
      <c r="H704" s="192" t="s">
        <v>378</v>
      </c>
      <c r="I704" s="192" t="s">
        <v>1881</v>
      </c>
      <c r="J704" s="192" t="s">
        <v>1094</v>
      </c>
      <c r="K704" s="192" t="s">
        <v>339</v>
      </c>
      <c r="L704" s="192" t="str">
        <f t="shared" si="14"/>
        <v>WasteWasteProjectRecycling (project)SoilsNaN</v>
      </c>
      <c r="M704" s="192" t="s">
        <v>1142</v>
      </c>
      <c r="N704" s="192" t="s">
        <v>976</v>
      </c>
      <c r="O704" s="192" t="s">
        <v>337</v>
      </c>
      <c r="P704" s="374">
        <v>1E-3</v>
      </c>
      <c r="Q704" s="377"/>
      <c r="R704" s="305"/>
      <c r="S704" s="304">
        <v>1.0083500000000001</v>
      </c>
      <c r="T704" s="305"/>
      <c r="U704" s="305"/>
      <c r="V704" s="305"/>
      <c r="W704" s="305"/>
      <c r="X704" s="305"/>
      <c r="Y704" s="305"/>
      <c r="Z704" s="304" t="s">
        <v>1598</v>
      </c>
      <c r="AA704" s="305"/>
      <c r="AB704" s="305"/>
      <c r="AC704" s="305"/>
      <c r="AD704" s="305"/>
      <c r="AE704" s="424"/>
    </row>
    <row r="705" spans="2:31" ht="14.15" customHeight="1" x14ac:dyDescent="0.35">
      <c r="E705" s="192">
        <v>697</v>
      </c>
      <c r="F705" s="192" t="s">
        <v>194</v>
      </c>
      <c r="G705" s="192" t="s">
        <v>194</v>
      </c>
      <c r="H705" s="192" t="s">
        <v>378</v>
      </c>
      <c r="I705" s="192" t="s">
        <v>1881</v>
      </c>
      <c r="J705" s="192" t="s">
        <v>1098</v>
      </c>
      <c r="K705" s="192" t="s">
        <v>339</v>
      </c>
      <c r="L705" s="192" t="str">
        <f t="shared" si="14"/>
        <v>WasteWasteProjectRecycling (project)TyresNaN</v>
      </c>
      <c r="M705" s="192" t="s">
        <v>1142</v>
      </c>
      <c r="N705" s="192" t="s">
        <v>976</v>
      </c>
      <c r="O705" s="192" t="s">
        <v>337</v>
      </c>
      <c r="P705" s="374">
        <v>1E-3</v>
      </c>
      <c r="Q705" s="377"/>
      <c r="R705" s="305"/>
      <c r="S705" s="304">
        <v>4.6856799999999996</v>
      </c>
      <c r="T705" s="305"/>
      <c r="U705" s="305"/>
      <c r="V705" s="305"/>
      <c r="W705" s="305"/>
      <c r="X705" s="305"/>
      <c r="Y705" s="305"/>
      <c r="Z705" s="304" t="s">
        <v>1599</v>
      </c>
      <c r="AA705" s="305"/>
      <c r="AB705" s="305"/>
      <c r="AC705" s="305"/>
      <c r="AD705" s="305"/>
      <c r="AE705" s="424"/>
    </row>
    <row r="706" spans="2:31" ht="14.15" customHeight="1" x14ac:dyDescent="0.35">
      <c r="E706" s="192">
        <v>698</v>
      </c>
      <c r="F706" s="192" t="s">
        <v>194</v>
      </c>
      <c r="G706" s="192" t="s">
        <v>194</v>
      </c>
      <c r="H706" s="192" t="s">
        <v>378</v>
      </c>
      <c r="I706" s="192" t="s">
        <v>1881</v>
      </c>
      <c r="J706" s="192" t="s">
        <v>1090</v>
      </c>
      <c r="K706" s="192" t="s">
        <v>339</v>
      </c>
      <c r="L706" s="192" t="str">
        <f t="shared" si="14"/>
        <v>WasteWasteProjectRecycling (project)WoodNaN</v>
      </c>
      <c r="M706" s="192" t="s">
        <v>1142</v>
      </c>
      <c r="N706" s="192" t="s">
        <v>976</v>
      </c>
      <c r="O706" s="192" t="s">
        <v>337</v>
      </c>
      <c r="P706" s="374">
        <v>1E-3</v>
      </c>
      <c r="Q706" s="377"/>
      <c r="R706" s="305"/>
      <c r="S706" s="304">
        <v>4.6856799999999996</v>
      </c>
      <c r="T706" s="305"/>
      <c r="U706" s="305"/>
      <c r="V706" s="305"/>
      <c r="W706" s="305"/>
      <c r="X706" s="305"/>
      <c r="Y706" s="305"/>
      <c r="Z706" s="304" t="s">
        <v>1600</v>
      </c>
      <c r="AA706" s="305"/>
      <c r="AB706" s="305"/>
      <c r="AC706" s="305"/>
      <c r="AD706" s="305"/>
      <c r="AE706" s="424"/>
    </row>
    <row r="707" spans="2:31" ht="14.15" customHeight="1" x14ac:dyDescent="0.35">
      <c r="E707"/>
      <c r="F707"/>
      <c r="G707"/>
      <c r="H707"/>
      <c r="I707"/>
      <c r="J707"/>
    </row>
    <row r="708" spans="2:31" ht="14.15" customHeight="1" x14ac:dyDescent="0.35">
      <c r="E708"/>
      <c r="F708"/>
      <c r="G708"/>
      <c r="H708"/>
      <c r="I708"/>
      <c r="J708"/>
    </row>
    <row r="709" spans="2:31" ht="14.15" customHeight="1" x14ac:dyDescent="0.35">
      <c r="E709"/>
      <c r="F709"/>
      <c r="G709"/>
      <c r="H709"/>
      <c r="I709"/>
      <c r="J709"/>
    </row>
    <row r="710" spans="2:31" ht="14.15" customHeight="1" x14ac:dyDescent="0.35">
      <c r="E710"/>
      <c r="F710"/>
      <c r="G710"/>
      <c r="H710"/>
      <c r="I710"/>
      <c r="J710"/>
    </row>
    <row r="711" spans="2:31" ht="14.15" customHeight="1" x14ac:dyDescent="0.35">
      <c r="E711"/>
      <c r="F711"/>
      <c r="G711"/>
      <c r="H711"/>
      <c r="I711"/>
      <c r="J711"/>
    </row>
    <row r="712" spans="2:31" ht="14.15" customHeight="1" x14ac:dyDescent="0.35">
      <c r="E712"/>
      <c r="F712"/>
      <c r="G712"/>
      <c r="H712"/>
      <c r="I712"/>
      <c r="J712"/>
    </row>
    <row r="713" spans="2:31" ht="14.15" customHeight="1" x14ac:dyDescent="0.35">
      <c r="E713"/>
      <c r="F713"/>
      <c r="G713"/>
      <c r="H713"/>
      <c r="I713"/>
      <c r="J713"/>
    </row>
    <row r="714" spans="2:31" ht="14.15" customHeight="1" x14ac:dyDescent="0.35">
      <c r="E714"/>
      <c r="F714"/>
      <c r="G714"/>
      <c r="H714"/>
      <c r="I714"/>
      <c r="J714"/>
    </row>
    <row r="715" spans="2:31" ht="14.15" customHeight="1" x14ac:dyDescent="0.35">
      <c r="E715"/>
      <c r="F715"/>
      <c r="G715"/>
      <c r="H715"/>
      <c r="I715"/>
      <c r="J715"/>
    </row>
    <row r="716" spans="2:31" ht="14.15" customHeight="1" x14ac:dyDescent="0.35">
      <c r="E716"/>
      <c r="F716"/>
      <c r="G716"/>
      <c r="H716"/>
      <c r="I716"/>
      <c r="J716"/>
    </row>
    <row r="717" spans="2:31" s="147" customFormat="1" ht="14.15" customHeight="1" x14ac:dyDescent="0.35">
      <c r="B717" s="146"/>
      <c r="E717"/>
      <c r="F717"/>
      <c r="G717"/>
      <c r="H717"/>
      <c r="I717"/>
      <c r="J717"/>
      <c r="Q717"/>
      <c r="R717" s="301"/>
      <c r="S717" s="301"/>
      <c r="T717" s="301"/>
      <c r="U717" s="301"/>
      <c r="V717" s="301"/>
      <c r="W717" s="301"/>
    </row>
    <row r="718" spans="2:31" s="147" customFormat="1" ht="14.15" customHeight="1" x14ac:dyDescent="0.35">
      <c r="B718" s="146"/>
      <c r="E718"/>
      <c r="F718"/>
      <c r="G718"/>
      <c r="H718"/>
      <c r="I718"/>
      <c r="J718"/>
      <c r="Q718"/>
      <c r="R718" s="301"/>
      <c r="S718" s="301"/>
      <c r="T718" s="301"/>
      <c r="U718" s="301"/>
      <c r="V718" s="301"/>
      <c r="W718" s="301"/>
    </row>
    <row r="719" spans="2:31" s="147" customFormat="1" ht="14.15" customHeight="1" x14ac:dyDescent="0.35">
      <c r="B719" s="146"/>
      <c r="E719"/>
      <c r="F719"/>
      <c r="G719"/>
      <c r="H719"/>
      <c r="I719"/>
      <c r="J719"/>
      <c r="Q719"/>
      <c r="R719" s="301"/>
      <c r="S719" s="301"/>
      <c r="T719" s="301"/>
      <c r="U719" s="301"/>
      <c r="V719" s="301"/>
      <c r="W719" s="301"/>
    </row>
    <row r="720" spans="2:31" s="147" customFormat="1" ht="14.15" customHeight="1" x14ac:dyDescent="0.35">
      <c r="B720" s="146"/>
      <c r="E720"/>
      <c r="F720"/>
      <c r="G720"/>
      <c r="H720"/>
      <c r="I720"/>
      <c r="J720"/>
      <c r="Q720"/>
      <c r="R720" s="301"/>
      <c r="S720" s="301"/>
      <c r="T720" s="301"/>
      <c r="U720" s="301"/>
      <c r="V720" s="301"/>
      <c r="W720" s="301"/>
    </row>
    <row r="721" spans="2:23" s="147" customFormat="1" ht="14.15" customHeight="1" x14ac:dyDescent="0.35">
      <c r="B721" s="146"/>
      <c r="E721"/>
      <c r="F721"/>
      <c r="G721"/>
      <c r="H721"/>
      <c r="I721"/>
      <c r="J721"/>
      <c r="Q721"/>
      <c r="R721" s="301"/>
      <c r="S721" s="301"/>
      <c r="T721" s="301"/>
      <c r="U721" s="301"/>
      <c r="V721" s="301"/>
      <c r="W721" s="301"/>
    </row>
    <row r="722" spans="2:23" s="147" customFormat="1" ht="14.15" customHeight="1" x14ac:dyDescent="0.35">
      <c r="B722" s="146"/>
      <c r="E722"/>
      <c r="F722"/>
      <c r="G722"/>
      <c r="H722"/>
      <c r="I722"/>
      <c r="J722"/>
      <c r="Q722"/>
      <c r="R722" s="301"/>
      <c r="S722" s="301"/>
      <c r="T722" s="301"/>
      <c r="U722" s="301"/>
      <c r="V722" s="301"/>
      <c r="W722" s="301"/>
    </row>
    <row r="723" spans="2:23" s="147" customFormat="1" ht="14.15" customHeight="1" x14ac:dyDescent="0.35">
      <c r="B723" s="146"/>
      <c r="E723"/>
      <c r="F723"/>
      <c r="G723"/>
      <c r="H723"/>
      <c r="I723"/>
      <c r="J723"/>
      <c r="Q723"/>
      <c r="R723" s="301"/>
      <c r="S723" s="301"/>
      <c r="T723" s="301"/>
      <c r="U723" s="301"/>
      <c r="V723" s="301"/>
      <c r="W723" s="301"/>
    </row>
    <row r="724" spans="2:23" s="147" customFormat="1" ht="14.15" customHeight="1" x14ac:dyDescent="0.35">
      <c r="B724" s="146"/>
      <c r="E724"/>
      <c r="F724"/>
      <c r="G724"/>
      <c r="H724"/>
      <c r="I724"/>
      <c r="J724"/>
      <c r="Q724"/>
      <c r="R724" s="301"/>
      <c r="S724" s="301"/>
      <c r="T724" s="301"/>
      <c r="U724" s="301"/>
      <c r="V724" s="301"/>
      <c r="W724" s="301"/>
    </row>
    <row r="725" spans="2:23" s="147" customFormat="1" ht="14.15" customHeight="1" x14ac:dyDescent="0.35">
      <c r="B725" s="146"/>
      <c r="E725"/>
      <c r="F725"/>
      <c r="G725"/>
      <c r="H725"/>
      <c r="I725"/>
      <c r="J725"/>
      <c r="Q725"/>
      <c r="R725" s="301"/>
      <c r="S725" s="301"/>
      <c r="T725" s="301"/>
      <c r="U725" s="301"/>
      <c r="V725" s="301"/>
      <c r="W725" s="301"/>
    </row>
    <row r="726" spans="2:23" s="147" customFormat="1" ht="14.15" customHeight="1" x14ac:dyDescent="0.35">
      <c r="B726" s="146"/>
      <c r="E726"/>
      <c r="F726"/>
      <c r="G726"/>
      <c r="H726"/>
      <c r="I726"/>
      <c r="J726"/>
      <c r="Q726"/>
      <c r="R726" s="301"/>
      <c r="S726" s="301"/>
      <c r="T726" s="301"/>
      <c r="U726" s="301"/>
      <c r="V726" s="301"/>
      <c r="W726" s="301"/>
    </row>
    <row r="727" spans="2:23" s="147" customFormat="1" ht="14.15" customHeight="1" x14ac:dyDescent="0.35">
      <c r="B727" s="146"/>
      <c r="E727"/>
      <c r="F727"/>
      <c r="G727"/>
      <c r="H727"/>
      <c r="I727"/>
      <c r="J727"/>
      <c r="Q727"/>
      <c r="R727" s="301"/>
      <c r="S727" s="301"/>
      <c r="T727" s="301"/>
      <c r="U727" s="301"/>
      <c r="V727" s="301"/>
      <c r="W727" s="301"/>
    </row>
    <row r="728" spans="2:23" s="147" customFormat="1" ht="14.15" customHeight="1" x14ac:dyDescent="0.35">
      <c r="B728" s="146"/>
      <c r="E728"/>
      <c r="F728"/>
      <c r="G728"/>
      <c r="H728"/>
      <c r="I728"/>
      <c r="J728"/>
      <c r="Q728"/>
      <c r="R728" s="301"/>
      <c r="S728" s="301"/>
      <c r="T728" s="301"/>
      <c r="U728" s="301"/>
      <c r="V728" s="301"/>
      <c r="W728" s="301"/>
    </row>
    <row r="729" spans="2:23" s="147" customFormat="1" ht="14.15" customHeight="1" x14ac:dyDescent="0.35">
      <c r="B729" s="146"/>
      <c r="E729"/>
      <c r="F729"/>
      <c r="G729"/>
      <c r="H729"/>
      <c r="I729"/>
      <c r="J729"/>
      <c r="Q729"/>
      <c r="R729" s="301"/>
      <c r="S729" s="301"/>
      <c r="T729" s="301"/>
      <c r="U729" s="301"/>
      <c r="V729" s="301"/>
      <c r="W729" s="301"/>
    </row>
    <row r="730" spans="2:23" s="147" customFormat="1" ht="14.15" customHeight="1" x14ac:dyDescent="0.35">
      <c r="B730" s="146"/>
      <c r="E730"/>
      <c r="F730"/>
      <c r="G730"/>
      <c r="H730"/>
      <c r="I730"/>
      <c r="J730"/>
      <c r="Q730"/>
      <c r="R730" s="301"/>
      <c r="S730" s="301"/>
      <c r="T730" s="301"/>
      <c r="U730" s="301"/>
      <c r="V730" s="301"/>
      <c r="W730" s="301"/>
    </row>
    <row r="731" spans="2:23" s="147" customFormat="1" ht="14.15" customHeight="1" x14ac:dyDescent="0.35">
      <c r="B731" s="146"/>
      <c r="E731"/>
      <c r="F731"/>
      <c r="G731"/>
      <c r="H731"/>
      <c r="I731"/>
      <c r="J731"/>
      <c r="Q731"/>
      <c r="R731" s="301"/>
      <c r="S731" s="301"/>
      <c r="T731" s="301"/>
      <c r="U731" s="301"/>
      <c r="V731" s="301"/>
      <c r="W731" s="301"/>
    </row>
    <row r="732" spans="2:23" s="147" customFormat="1" ht="14.15" customHeight="1" x14ac:dyDescent="0.35">
      <c r="B732" s="146"/>
      <c r="E732"/>
      <c r="F732"/>
      <c r="G732"/>
      <c r="H732"/>
      <c r="I732"/>
      <c r="J732"/>
      <c r="Q732"/>
      <c r="R732" s="301"/>
      <c r="S732" s="301"/>
      <c r="T732" s="301"/>
      <c r="U732" s="301"/>
      <c r="V732" s="301"/>
      <c r="W732" s="301"/>
    </row>
    <row r="733" spans="2:23" s="147" customFormat="1" ht="14.15" customHeight="1" x14ac:dyDescent="0.35">
      <c r="B733" s="146"/>
      <c r="E733"/>
      <c r="F733"/>
      <c r="G733"/>
      <c r="H733"/>
      <c r="I733"/>
      <c r="J733"/>
      <c r="Q733"/>
      <c r="R733" s="301"/>
      <c r="S733" s="301"/>
      <c r="T733" s="301"/>
      <c r="U733" s="301"/>
      <c r="V733" s="301"/>
      <c r="W733" s="301"/>
    </row>
    <row r="734" spans="2:23" s="147" customFormat="1" ht="14.15" customHeight="1" x14ac:dyDescent="0.35">
      <c r="B734" s="146"/>
      <c r="E734"/>
      <c r="F734"/>
      <c r="G734"/>
      <c r="H734"/>
      <c r="I734"/>
      <c r="J734"/>
      <c r="Q734"/>
      <c r="R734" s="301"/>
      <c r="S734" s="301"/>
      <c r="T734" s="301"/>
      <c r="U734" s="301"/>
      <c r="V734" s="301"/>
      <c r="W734" s="301"/>
    </row>
    <row r="735" spans="2:23" s="147" customFormat="1" ht="14.15" customHeight="1" x14ac:dyDescent="0.35">
      <c r="B735" s="146"/>
      <c r="E735"/>
      <c r="F735"/>
      <c r="G735"/>
      <c r="H735"/>
      <c r="I735"/>
      <c r="J735"/>
      <c r="Q735"/>
      <c r="R735" s="301"/>
      <c r="S735" s="301"/>
      <c r="T735" s="301"/>
      <c r="U735" s="301"/>
      <c r="V735" s="301"/>
      <c r="W735" s="301"/>
    </row>
    <row r="736" spans="2:23" s="147" customFormat="1" ht="14.15" customHeight="1" x14ac:dyDescent="0.35">
      <c r="B736" s="146"/>
      <c r="E736"/>
      <c r="F736"/>
      <c r="G736"/>
      <c r="H736"/>
      <c r="I736"/>
      <c r="J736"/>
      <c r="Q736"/>
      <c r="R736" s="301"/>
      <c r="S736" s="301"/>
      <c r="T736" s="301"/>
      <c r="U736" s="301"/>
      <c r="V736" s="301"/>
      <c r="W736" s="301"/>
    </row>
    <row r="737" spans="2:23" s="147" customFormat="1" ht="14.15" customHeight="1" x14ac:dyDescent="0.35">
      <c r="B737" s="146"/>
      <c r="E737"/>
      <c r="F737"/>
      <c r="G737"/>
      <c r="H737"/>
      <c r="I737"/>
      <c r="J737"/>
      <c r="Q737"/>
      <c r="R737" s="301"/>
      <c r="S737" s="301"/>
      <c r="T737" s="301"/>
      <c r="U737" s="301"/>
      <c r="V737" s="301"/>
      <c r="W737" s="301"/>
    </row>
    <row r="738" spans="2:23" s="147" customFormat="1" ht="14.15" customHeight="1" x14ac:dyDescent="0.35">
      <c r="B738" s="146"/>
      <c r="E738"/>
      <c r="F738"/>
      <c r="G738"/>
      <c r="H738"/>
      <c r="I738"/>
      <c r="J738"/>
      <c r="Q738"/>
      <c r="R738" s="301"/>
      <c r="S738" s="301"/>
      <c r="T738" s="301"/>
      <c r="U738" s="301"/>
      <c r="V738" s="301"/>
      <c r="W738" s="301"/>
    </row>
    <row r="739" spans="2:23" s="147" customFormat="1" ht="14.15" customHeight="1" x14ac:dyDescent="0.35">
      <c r="B739" s="146"/>
      <c r="E739"/>
      <c r="F739"/>
      <c r="G739"/>
      <c r="H739"/>
      <c r="I739"/>
      <c r="J739"/>
      <c r="Q739"/>
      <c r="R739" s="301"/>
      <c r="S739" s="301"/>
      <c r="T739" s="301"/>
      <c r="U739" s="301"/>
      <c r="V739" s="301"/>
      <c r="W739" s="301"/>
    </row>
    <row r="740" spans="2:23" s="147" customFormat="1" ht="14.15" customHeight="1" x14ac:dyDescent="0.35">
      <c r="B740" s="146"/>
      <c r="E740"/>
      <c r="F740"/>
      <c r="G740"/>
      <c r="H740"/>
      <c r="I740"/>
      <c r="J740"/>
      <c r="Q740"/>
      <c r="R740" s="301"/>
      <c r="S740" s="301"/>
      <c r="T740" s="301"/>
      <c r="U740" s="301"/>
      <c r="V740" s="301"/>
      <c r="W740" s="301"/>
    </row>
    <row r="741" spans="2:23" s="147" customFormat="1" ht="14.15" customHeight="1" x14ac:dyDescent="0.35">
      <c r="B741" s="146"/>
      <c r="E741"/>
      <c r="F741"/>
      <c r="G741"/>
      <c r="H741"/>
      <c r="I741"/>
      <c r="J741"/>
      <c r="Q741"/>
      <c r="R741" s="301"/>
      <c r="S741" s="301"/>
      <c r="T741" s="301"/>
      <c r="U741" s="301"/>
      <c r="V741" s="301"/>
      <c r="W741" s="301"/>
    </row>
    <row r="742" spans="2:23" s="147" customFormat="1" ht="14.15" customHeight="1" x14ac:dyDescent="0.35">
      <c r="B742" s="146"/>
      <c r="E742"/>
      <c r="F742"/>
      <c r="G742"/>
      <c r="H742"/>
      <c r="I742"/>
      <c r="J742"/>
      <c r="Q742"/>
      <c r="R742" s="301"/>
      <c r="S742" s="301"/>
      <c r="T742" s="301"/>
      <c r="U742" s="301"/>
      <c r="V742" s="301"/>
      <c r="W742" s="301"/>
    </row>
    <row r="743" spans="2:23" s="147" customFormat="1" ht="14.15" customHeight="1" x14ac:dyDescent="0.35">
      <c r="B743" s="146"/>
      <c r="E743"/>
      <c r="F743"/>
      <c r="G743"/>
      <c r="H743"/>
      <c r="I743"/>
      <c r="J743"/>
      <c r="Q743"/>
      <c r="R743" s="301"/>
      <c r="S743" s="301"/>
      <c r="T743" s="301"/>
      <c r="U743" s="301"/>
      <c r="V743" s="301"/>
      <c r="W743" s="301"/>
    </row>
    <row r="744" spans="2:23" s="147" customFormat="1" ht="14.15" customHeight="1" x14ac:dyDescent="0.35">
      <c r="B744" s="146"/>
      <c r="E744"/>
      <c r="F744"/>
      <c r="G744"/>
      <c r="H744"/>
      <c r="I744"/>
      <c r="J744"/>
      <c r="Q744"/>
      <c r="R744" s="301"/>
      <c r="S744" s="301"/>
      <c r="T744" s="301"/>
      <c r="U744" s="301"/>
      <c r="V744" s="301"/>
      <c r="W744" s="301"/>
    </row>
    <row r="745" spans="2:23" s="147" customFormat="1" ht="14.15" customHeight="1" x14ac:dyDescent="0.35">
      <c r="B745" s="146"/>
      <c r="E745"/>
      <c r="F745"/>
      <c r="G745"/>
      <c r="H745"/>
      <c r="I745"/>
      <c r="J745"/>
      <c r="Q745"/>
      <c r="R745" s="301"/>
      <c r="S745" s="301"/>
      <c r="T745" s="301"/>
      <c r="U745" s="301"/>
      <c r="V745" s="301"/>
      <c r="W745" s="301"/>
    </row>
    <row r="746" spans="2:23" s="147" customFormat="1" ht="14.15" customHeight="1" x14ac:dyDescent="0.35">
      <c r="B746" s="146"/>
      <c r="E746"/>
      <c r="F746"/>
      <c r="G746"/>
      <c r="H746"/>
      <c r="I746"/>
      <c r="J746"/>
      <c r="Q746"/>
      <c r="R746" s="301"/>
      <c r="S746" s="301"/>
      <c r="T746" s="301"/>
      <c r="U746" s="301"/>
      <c r="V746" s="301"/>
      <c r="W746" s="301"/>
    </row>
    <row r="747" spans="2:23" s="147" customFormat="1" ht="14.15" customHeight="1" x14ac:dyDescent="0.35">
      <c r="B747" s="146"/>
      <c r="E747"/>
      <c r="F747"/>
      <c r="G747"/>
      <c r="H747"/>
      <c r="I747"/>
      <c r="J747"/>
      <c r="Q747"/>
      <c r="R747" s="301"/>
      <c r="S747" s="301"/>
      <c r="T747" s="301"/>
      <c r="U747" s="301"/>
      <c r="V747" s="301"/>
      <c r="W747" s="301"/>
    </row>
    <row r="748" spans="2:23" s="147" customFormat="1" ht="14.15" customHeight="1" x14ac:dyDescent="0.35">
      <c r="B748" s="146"/>
      <c r="E748"/>
      <c r="F748"/>
      <c r="G748"/>
      <c r="H748"/>
      <c r="I748"/>
      <c r="J748"/>
      <c r="Q748"/>
      <c r="R748" s="301"/>
      <c r="S748" s="301"/>
      <c r="T748" s="301"/>
      <c r="U748" s="301"/>
      <c r="V748" s="301"/>
      <c r="W748" s="301"/>
    </row>
    <row r="749" spans="2:23" s="147" customFormat="1" ht="14.15" customHeight="1" x14ac:dyDescent="0.35">
      <c r="B749" s="146"/>
      <c r="E749"/>
      <c r="F749"/>
      <c r="G749"/>
      <c r="H749"/>
      <c r="I749"/>
      <c r="J749"/>
      <c r="Q749"/>
      <c r="R749" s="301"/>
      <c r="S749" s="301"/>
      <c r="T749" s="301"/>
      <c r="U749" s="301"/>
      <c r="V749" s="301"/>
      <c r="W749" s="301"/>
    </row>
    <row r="750" spans="2:23" s="147" customFormat="1" ht="14.15" customHeight="1" x14ac:dyDescent="0.35">
      <c r="B750" s="146"/>
      <c r="E750"/>
      <c r="F750"/>
      <c r="G750"/>
      <c r="H750"/>
      <c r="I750"/>
      <c r="J750"/>
      <c r="Q750"/>
      <c r="R750" s="301"/>
      <c r="S750" s="301"/>
      <c r="T750" s="301"/>
      <c r="U750" s="301"/>
      <c r="V750" s="301"/>
      <c r="W750" s="301"/>
    </row>
    <row r="751" spans="2:23" s="147" customFormat="1" ht="14.15" customHeight="1" x14ac:dyDescent="0.35">
      <c r="B751" s="146"/>
      <c r="E751"/>
      <c r="F751"/>
      <c r="G751"/>
      <c r="H751"/>
      <c r="I751"/>
      <c r="J751"/>
      <c r="Q751"/>
      <c r="R751" s="301"/>
      <c r="S751" s="301"/>
      <c r="T751" s="301"/>
      <c r="U751" s="301"/>
      <c r="V751" s="301"/>
      <c r="W751" s="301"/>
    </row>
    <row r="752" spans="2:23" s="147" customFormat="1" ht="14.15" customHeight="1" x14ac:dyDescent="0.35">
      <c r="B752" s="146"/>
      <c r="E752"/>
      <c r="F752"/>
      <c r="G752"/>
      <c r="H752"/>
      <c r="I752"/>
      <c r="J752"/>
      <c r="Q752"/>
      <c r="R752" s="301"/>
      <c r="S752" s="301"/>
      <c r="T752" s="301"/>
      <c r="U752" s="301"/>
      <c r="V752" s="301"/>
      <c r="W752" s="301"/>
    </row>
    <row r="753" spans="2:23" s="147" customFormat="1" ht="14.15" customHeight="1" x14ac:dyDescent="0.35">
      <c r="B753" s="146"/>
      <c r="E753"/>
      <c r="F753"/>
      <c r="G753"/>
      <c r="H753"/>
      <c r="I753"/>
      <c r="J753"/>
      <c r="Q753"/>
      <c r="R753" s="301"/>
      <c r="S753" s="301"/>
      <c r="T753" s="301"/>
      <c r="U753" s="301"/>
      <c r="V753" s="301"/>
      <c r="W753" s="301"/>
    </row>
    <row r="754" spans="2:23" s="147" customFormat="1" ht="14.15" customHeight="1" x14ac:dyDescent="0.35">
      <c r="B754" s="146"/>
      <c r="E754"/>
      <c r="F754"/>
      <c r="G754"/>
      <c r="H754"/>
      <c r="I754"/>
      <c r="J754"/>
      <c r="Q754"/>
      <c r="R754" s="301"/>
      <c r="S754" s="301"/>
      <c r="T754" s="301"/>
      <c r="U754" s="301"/>
      <c r="V754" s="301"/>
      <c r="W754" s="301"/>
    </row>
    <row r="755" spans="2:23" s="147" customFormat="1" ht="14.15" customHeight="1" x14ac:dyDescent="0.35">
      <c r="B755" s="146"/>
      <c r="E755"/>
      <c r="F755"/>
      <c r="G755"/>
      <c r="H755"/>
      <c r="I755"/>
      <c r="J755"/>
      <c r="Q755"/>
      <c r="R755" s="301"/>
      <c r="S755" s="301"/>
      <c r="T755" s="301"/>
      <c r="U755" s="301"/>
      <c r="V755" s="301"/>
      <c r="W755" s="301"/>
    </row>
    <row r="756" spans="2:23" s="147" customFormat="1" ht="14.15" customHeight="1" x14ac:dyDescent="0.35">
      <c r="B756" s="146"/>
      <c r="E756"/>
      <c r="F756"/>
      <c r="G756"/>
      <c r="H756"/>
      <c r="I756"/>
      <c r="J756"/>
      <c r="Q756"/>
      <c r="R756" s="301"/>
      <c r="S756" s="301"/>
      <c r="T756" s="301"/>
      <c r="U756" s="301"/>
      <c r="V756" s="301"/>
      <c r="W756" s="301"/>
    </row>
    <row r="757" spans="2:23" s="147" customFormat="1" ht="14.15" customHeight="1" x14ac:dyDescent="0.35">
      <c r="B757" s="146"/>
      <c r="E757"/>
      <c r="F757"/>
      <c r="G757"/>
      <c r="H757"/>
      <c r="I757"/>
      <c r="J757"/>
      <c r="Q757"/>
      <c r="R757" s="301"/>
      <c r="S757" s="301"/>
      <c r="T757" s="301"/>
      <c r="U757" s="301"/>
      <c r="V757" s="301"/>
      <c r="W757" s="301"/>
    </row>
    <row r="758" spans="2:23" s="147" customFormat="1" ht="14.15" customHeight="1" x14ac:dyDescent="0.35">
      <c r="B758" s="146"/>
      <c r="E758"/>
      <c r="F758"/>
      <c r="G758"/>
      <c r="H758"/>
      <c r="I758"/>
      <c r="J758"/>
      <c r="Q758"/>
      <c r="R758" s="301"/>
      <c r="S758" s="301"/>
      <c r="T758" s="301"/>
      <c r="U758" s="301"/>
      <c r="V758" s="301"/>
      <c r="W758" s="301"/>
    </row>
    <row r="759" spans="2:23" s="147" customFormat="1" ht="14.15" customHeight="1" x14ac:dyDescent="0.35">
      <c r="B759" s="146"/>
      <c r="E759"/>
      <c r="F759"/>
      <c r="G759"/>
      <c r="H759"/>
      <c r="I759"/>
      <c r="J759"/>
      <c r="Q759"/>
      <c r="R759" s="301"/>
      <c r="S759" s="301"/>
      <c r="T759" s="301"/>
      <c r="U759" s="301"/>
      <c r="V759" s="301"/>
      <c r="W759" s="301"/>
    </row>
    <row r="760" spans="2:23" s="147" customFormat="1" ht="14.15" customHeight="1" x14ac:dyDescent="0.35">
      <c r="B760" s="146"/>
      <c r="E760"/>
      <c r="F760"/>
      <c r="G760"/>
      <c r="H760"/>
      <c r="I760"/>
      <c r="J760"/>
      <c r="Q760"/>
      <c r="R760" s="301"/>
      <c r="S760" s="301"/>
      <c r="T760" s="301"/>
      <c r="U760" s="301"/>
      <c r="V760" s="301"/>
      <c r="W760" s="301"/>
    </row>
    <row r="761" spans="2:23" s="147" customFormat="1" ht="14.15" customHeight="1" x14ac:dyDescent="0.35">
      <c r="B761" s="146"/>
      <c r="E761"/>
      <c r="F761"/>
      <c r="G761"/>
      <c r="H761"/>
      <c r="I761"/>
      <c r="J761"/>
      <c r="Q761"/>
      <c r="R761" s="301"/>
      <c r="S761" s="301"/>
      <c r="T761" s="301"/>
      <c r="U761" s="301"/>
      <c r="V761" s="301"/>
      <c r="W761" s="301"/>
    </row>
    <row r="762" spans="2:23" s="147" customFormat="1" ht="14.15" customHeight="1" x14ac:dyDescent="0.35">
      <c r="B762" s="146"/>
      <c r="E762"/>
      <c r="F762"/>
      <c r="G762"/>
      <c r="H762"/>
      <c r="I762"/>
      <c r="J762"/>
      <c r="Q762"/>
      <c r="R762" s="301"/>
      <c r="S762" s="301"/>
      <c r="T762" s="301"/>
      <c r="U762" s="301"/>
      <c r="V762" s="301"/>
      <c r="W762" s="301"/>
    </row>
    <row r="763" spans="2:23" s="147" customFormat="1" ht="14.15" customHeight="1" x14ac:dyDescent="0.35">
      <c r="B763" s="146"/>
      <c r="E763"/>
      <c r="F763"/>
      <c r="G763"/>
      <c r="H763"/>
      <c r="I763"/>
      <c r="J763"/>
      <c r="Q763"/>
      <c r="R763" s="301"/>
      <c r="S763" s="301"/>
      <c r="T763" s="301"/>
      <c r="U763" s="301"/>
      <c r="V763" s="301"/>
      <c r="W763" s="301"/>
    </row>
    <row r="764" spans="2:23" s="147" customFormat="1" ht="14.15" customHeight="1" x14ac:dyDescent="0.35">
      <c r="B764" s="146"/>
      <c r="E764"/>
      <c r="F764"/>
      <c r="G764"/>
      <c r="H764"/>
      <c r="I764"/>
      <c r="J764"/>
      <c r="Q764"/>
      <c r="R764" s="301"/>
      <c r="S764" s="301"/>
      <c r="T764" s="301"/>
      <c r="U764" s="301"/>
      <c r="V764" s="301"/>
      <c r="W764" s="301"/>
    </row>
    <row r="765" spans="2:23" s="147" customFormat="1" ht="14.15" customHeight="1" x14ac:dyDescent="0.35">
      <c r="B765" s="146"/>
      <c r="E765"/>
      <c r="F765"/>
      <c r="G765"/>
      <c r="H765"/>
      <c r="I765"/>
      <c r="J765"/>
      <c r="Q765"/>
      <c r="R765" s="301"/>
      <c r="S765" s="301"/>
      <c r="T765" s="301"/>
      <c r="U765" s="301"/>
      <c r="V765" s="301"/>
      <c r="W765" s="301"/>
    </row>
    <row r="766" spans="2:23" s="147" customFormat="1" ht="14.15" customHeight="1" x14ac:dyDescent="0.35">
      <c r="B766" s="146"/>
      <c r="E766"/>
      <c r="F766"/>
      <c r="G766"/>
      <c r="H766"/>
      <c r="I766"/>
      <c r="J766"/>
      <c r="Q766"/>
      <c r="R766" s="301"/>
      <c r="S766" s="301"/>
      <c r="T766" s="301"/>
      <c r="U766" s="301"/>
      <c r="V766" s="301"/>
      <c r="W766" s="301"/>
    </row>
    <row r="767" spans="2:23" s="147" customFormat="1" ht="14.15" customHeight="1" x14ac:dyDescent="0.35">
      <c r="B767" s="146"/>
      <c r="E767"/>
      <c r="F767"/>
      <c r="G767"/>
      <c r="H767"/>
      <c r="I767"/>
      <c r="J767"/>
      <c r="Q767"/>
      <c r="R767" s="301"/>
      <c r="S767" s="301"/>
      <c r="T767" s="301"/>
      <c r="U767" s="301"/>
      <c r="V767" s="301"/>
      <c r="W767" s="301"/>
    </row>
    <row r="768" spans="2:23" s="147" customFormat="1" ht="14.15" customHeight="1" x14ac:dyDescent="0.35">
      <c r="B768" s="146"/>
      <c r="E768"/>
      <c r="F768"/>
      <c r="G768"/>
      <c r="H768"/>
      <c r="I768"/>
      <c r="J768"/>
      <c r="Q768"/>
      <c r="R768" s="301"/>
      <c r="S768" s="301"/>
      <c r="T768" s="301"/>
      <c r="U768" s="301"/>
      <c r="V768" s="301"/>
      <c r="W768" s="301"/>
    </row>
    <row r="769" spans="2:23" s="147" customFormat="1" ht="14.15" customHeight="1" x14ac:dyDescent="0.35">
      <c r="B769" s="146"/>
      <c r="E769"/>
      <c r="F769"/>
      <c r="G769"/>
      <c r="H769"/>
      <c r="I769"/>
      <c r="J769"/>
      <c r="Q769"/>
      <c r="R769" s="301"/>
      <c r="S769" s="301"/>
      <c r="T769" s="301"/>
      <c r="U769" s="301"/>
      <c r="V769" s="301"/>
      <c r="W769" s="301"/>
    </row>
    <row r="770" spans="2:23" s="147" customFormat="1" ht="14.15" customHeight="1" x14ac:dyDescent="0.35">
      <c r="B770" s="146"/>
      <c r="E770"/>
      <c r="F770"/>
      <c r="G770"/>
      <c r="H770"/>
      <c r="I770"/>
      <c r="J770"/>
      <c r="Q770"/>
      <c r="R770" s="301"/>
      <c r="S770" s="301"/>
      <c r="T770" s="301"/>
      <c r="U770" s="301"/>
      <c r="V770" s="301"/>
      <c r="W770" s="301"/>
    </row>
    <row r="771" spans="2:23" s="147" customFormat="1" ht="14.15" customHeight="1" x14ac:dyDescent="0.35">
      <c r="B771" s="146"/>
      <c r="E771"/>
      <c r="F771"/>
      <c r="G771"/>
      <c r="H771"/>
      <c r="I771"/>
      <c r="J771"/>
      <c r="Q771"/>
      <c r="R771" s="301"/>
      <c r="S771" s="301"/>
      <c r="T771" s="301"/>
      <c r="U771" s="301"/>
      <c r="V771" s="301"/>
      <c r="W771" s="301"/>
    </row>
    <row r="772" spans="2:23" s="147" customFormat="1" ht="14.15" customHeight="1" x14ac:dyDescent="0.35">
      <c r="B772" s="146"/>
      <c r="E772"/>
      <c r="F772"/>
      <c r="G772"/>
      <c r="H772"/>
      <c r="I772"/>
      <c r="J772"/>
      <c r="Q772"/>
      <c r="R772" s="301"/>
      <c r="S772" s="301"/>
      <c r="T772" s="301"/>
      <c r="U772" s="301"/>
      <c r="V772" s="301"/>
      <c r="W772" s="301"/>
    </row>
    <row r="773" spans="2:23" s="147" customFormat="1" ht="14.15" customHeight="1" x14ac:dyDescent="0.35">
      <c r="B773" s="146"/>
      <c r="E773"/>
      <c r="F773"/>
      <c r="G773"/>
      <c r="H773"/>
      <c r="I773"/>
      <c r="J773"/>
      <c r="Q773"/>
      <c r="R773" s="301"/>
      <c r="S773" s="301"/>
      <c r="T773" s="301"/>
      <c r="U773" s="301"/>
      <c r="V773" s="301"/>
      <c r="W773" s="301"/>
    </row>
    <row r="774" spans="2:23" s="147" customFormat="1" ht="14.15" customHeight="1" x14ac:dyDescent="0.35">
      <c r="B774" s="146"/>
      <c r="E774"/>
      <c r="F774"/>
      <c r="G774"/>
      <c r="H774"/>
      <c r="I774"/>
      <c r="J774"/>
      <c r="Q774"/>
      <c r="R774" s="301"/>
      <c r="S774" s="301"/>
      <c r="T774" s="301"/>
      <c r="U774" s="301"/>
      <c r="V774" s="301"/>
      <c r="W774" s="301"/>
    </row>
    <row r="775" spans="2:23" s="147" customFormat="1" ht="14.15" customHeight="1" x14ac:dyDescent="0.35">
      <c r="B775" s="146"/>
      <c r="E775"/>
      <c r="F775"/>
      <c r="G775"/>
      <c r="H775"/>
      <c r="I775"/>
      <c r="J775"/>
      <c r="Q775"/>
      <c r="R775" s="301"/>
      <c r="S775" s="301"/>
      <c r="T775" s="301"/>
      <c r="U775" s="301"/>
      <c r="V775" s="301"/>
      <c r="W775" s="301"/>
    </row>
    <row r="776" spans="2:23" s="147" customFormat="1" ht="14.15" customHeight="1" x14ac:dyDescent="0.35">
      <c r="B776" s="146"/>
      <c r="E776"/>
      <c r="F776"/>
      <c r="G776"/>
      <c r="H776"/>
      <c r="I776"/>
      <c r="J776"/>
      <c r="Q776"/>
      <c r="R776" s="301"/>
      <c r="S776" s="301"/>
      <c r="T776" s="301"/>
      <c r="U776" s="301"/>
      <c r="V776" s="301"/>
      <c r="W776" s="301"/>
    </row>
    <row r="777" spans="2:23" s="147" customFormat="1" ht="14.15" customHeight="1" x14ac:dyDescent="0.35">
      <c r="B777" s="146"/>
      <c r="E777"/>
      <c r="F777"/>
      <c r="G777"/>
      <c r="H777"/>
      <c r="I777"/>
      <c r="J777"/>
      <c r="Q777"/>
      <c r="R777" s="301"/>
      <c r="S777" s="301"/>
      <c r="T777" s="301"/>
      <c r="U777" s="301"/>
      <c r="V777" s="301"/>
      <c r="W777" s="301"/>
    </row>
    <row r="778" spans="2:23" s="147" customFormat="1" ht="14.15" customHeight="1" x14ac:dyDescent="0.35">
      <c r="B778" s="146"/>
      <c r="E778"/>
      <c r="F778"/>
      <c r="G778"/>
      <c r="H778"/>
      <c r="I778"/>
      <c r="J778"/>
      <c r="Q778"/>
      <c r="R778" s="301"/>
      <c r="S778" s="301"/>
      <c r="T778" s="301"/>
      <c r="U778" s="301"/>
      <c r="V778" s="301"/>
      <c r="W778" s="301"/>
    </row>
    <row r="779" spans="2:23" s="147" customFormat="1" ht="14.15" customHeight="1" x14ac:dyDescent="0.35">
      <c r="B779" s="146"/>
      <c r="E779"/>
      <c r="F779"/>
      <c r="G779"/>
      <c r="H779"/>
      <c r="I779"/>
      <c r="J779"/>
      <c r="Q779"/>
      <c r="R779" s="301"/>
      <c r="S779" s="301"/>
      <c r="T779" s="301"/>
      <c r="U779" s="301"/>
      <c r="V779" s="301"/>
      <c r="W779" s="301"/>
    </row>
    <row r="780" spans="2:23" s="147" customFormat="1" ht="14.15" customHeight="1" x14ac:dyDescent="0.35">
      <c r="B780" s="146"/>
      <c r="E780"/>
      <c r="F780"/>
      <c r="G780"/>
      <c r="H780"/>
      <c r="I780"/>
      <c r="J780"/>
      <c r="Q780"/>
      <c r="R780" s="301"/>
      <c r="S780" s="301"/>
      <c r="T780" s="301"/>
      <c r="U780" s="301"/>
      <c r="V780" s="301"/>
      <c r="W780" s="301"/>
    </row>
    <row r="781" spans="2:23" s="147" customFormat="1" ht="14.15" customHeight="1" x14ac:dyDescent="0.35">
      <c r="B781" s="146"/>
      <c r="E781"/>
      <c r="F781"/>
      <c r="G781"/>
      <c r="H781"/>
      <c r="I781"/>
      <c r="J781"/>
      <c r="Q781"/>
      <c r="R781" s="301"/>
      <c r="S781" s="301"/>
      <c r="T781" s="301"/>
      <c r="U781" s="301"/>
      <c r="V781" s="301"/>
      <c r="W781" s="301"/>
    </row>
    <row r="782" spans="2:23" s="147" customFormat="1" ht="14.15" customHeight="1" x14ac:dyDescent="0.35">
      <c r="B782" s="146"/>
      <c r="E782"/>
      <c r="F782"/>
      <c r="G782"/>
      <c r="H782"/>
      <c r="I782"/>
      <c r="J782"/>
      <c r="Q782"/>
      <c r="R782" s="301"/>
      <c r="S782" s="301"/>
      <c r="T782" s="301"/>
      <c r="U782" s="301"/>
      <c r="V782" s="301"/>
      <c r="W782" s="301"/>
    </row>
    <row r="783" spans="2:23" s="147" customFormat="1" ht="14.15" customHeight="1" x14ac:dyDescent="0.35">
      <c r="B783" s="146"/>
      <c r="E783"/>
      <c r="F783"/>
      <c r="G783"/>
      <c r="H783"/>
      <c r="I783"/>
      <c r="J783"/>
      <c r="Q783"/>
      <c r="R783" s="301"/>
      <c r="S783" s="301"/>
      <c r="T783" s="301"/>
      <c r="U783" s="301"/>
      <c r="V783" s="301"/>
      <c r="W783" s="301"/>
    </row>
    <row r="784" spans="2:23" s="147" customFormat="1" ht="14.15" customHeight="1" x14ac:dyDescent="0.35">
      <c r="B784" s="146"/>
      <c r="E784"/>
      <c r="F784"/>
      <c r="G784"/>
      <c r="H784"/>
      <c r="I784"/>
      <c r="J784"/>
      <c r="Q784"/>
      <c r="R784" s="301"/>
      <c r="S784" s="301"/>
      <c r="T784" s="301"/>
      <c r="U784" s="301"/>
      <c r="V784" s="301"/>
      <c r="W784" s="301"/>
    </row>
    <row r="785" spans="2:23" s="147" customFormat="1" ht="14.15" customHeight="1" x14ac:dyDescent="0.35">
      <c r="B785" s="146"/>
      <c r="E785"/>
      <c r="F785"/>
      <c r="G785"/>
      <c r="H785"/>
      <c r="I785"/>
      <c r="J785"/>
      <c r="Q785"/>
      <c r="R785" s="301"/>
      <c r="S785" s="301"/>
      <c r="T785" s="301"/>
      <c r="U785" s="301"/>
      <c r="V785" s="301"/>
      <c r="W785" s="301"/>
    </row>
    <row r="786" spans="2:23" s="147" customFormat="1" ht="14.15" customHeight="1" x14ac:dyDescent="0.35">
      <c r="B786" s="146"/>
      <c r="E786"/>
      <c r="F786"/>
      <c r="G786"/>
      <c r="H786"/>
      <c r="I786"/>
      <c r="J786"/>
      <c r="Q786"/>
      <c r="R786" s="301"/>
      <c r="S786" s="301"/>
      <c r="T786" s="301"/>
      <c r="U786" s="301"/>
      <c r="V786" s="301"/>
      <c r="W786" s="301"/>
    </row>
    <row r="787" spans="2:23" s="147" customFormat="1" ht="14.15" customHeight="1" x14ac:dyDescent="0.35">
      <c r="B787" s="146"/>
      <c r="E787"/>
      <c r="F787"/>
      <c r="G787"/>
      <c r="H787"/>
      <c r="I787"/>
      <c r="J787"/>
      <c r="Q787"/>
      <c r="R787" s="301"/>
      <c r="S787" s="301"/>
      <c r="T787" s="301"/>
      <c r="U787" s="301"/>
      <c r="V787" s="301"/>
      <c r="W787" s="301"/>
    </row>
    <row r="788" spans="2:23" s="147" customFormat="1" ht="14.15" customHeight="1" x14ac:dyDescent="0.35">
      <c r="B788" s="146"/>
      <c r="E788"/>
      <c r="F788"/>
      <c r="G788"/>
      <c r="H788"/>
      <c r="I788"/>
      <c r="J788"/>
      <c r="Q788"/>
      <c r="R788" s="301"/>
      <c r="S788" s="301"/>
      <c r="T788" s="301"/>
      <c r="U788" s="301"/>
      <c r="V788" s="301"/>
      <c r="W788" s="301"/>
    </row>
    <row r="789" spans="2:23" s="147" customFormat="1" ht="14.15" customHeight="1" x14ac:dyDescent="0.35">
      <c r="B789" s="146"/>
      <c r="E789"/>
      <c r="F789"/>
      <c r="G789"/>
      <c r="H789"/>
      <c r="I789"/>
      <c r="J789"/>
      <c r="Q789"/>
      <c r="R789" s="301"/>
      <c r="S789" s="301"/>
      <c r="T789" s="301"/>
      <c r="U789" s="301"/>
      <c r="V789" s="301"/>
      <c r="W789" s="301"/>
    </row>
    <row r="790" spans="2:23" s="147" customFormat="1" ht="14.15" customHeight="1" x14ac:dyDescent="0.35">
      <c r="B790" s="146"/>
      <c r="E790"/>
      <c r="F790"/>
      <c r="G790"/>
      <c r="H790"/>
      <c r="I790"/>
      <c r="J790"/>
      <c r="Q790"/>
      <c r="R790" s="301"/>
      <c r="S790" s="301"/>
      <c r="T790" s="301"/>
      <c r="U790" s="301"/>
      <c r="V790" s="301"/>
      <c r="W790" s="301"/>
    </row>
    <row r="791" spans="2:23" s="147" customFormat="1" ht="14.15" customHeight="1" x14ac:dyDescent="0.35">
      <c r="B791" s="146"/>
      <c r="E791"/>
      <c r="F791"/>
      <c r="G791"/>
      <c r="H791"/>
      <c r="I791"/>
      <c r="J791"/>
      <c r="Q791"/>
      <c r="R791" s="301"/>
      <c r="S791" s="301"/>
      <c r="T791" s="301"/>
      <c r="U791" s="301"/>
      <c r="V791" s="301"/>
      <c r="W791" s="301"/>
    </row>
    <row r="792" spans="2:23" s="147" customFormat="1" ht="14.15" customHeight="1" x14ac:dyDescent="0.35">
      <c r="B792" s="146"/>
      <c r="E792"/>
      <c r="F792"/>
      <c r="G792"/>
      <c r="H792"/>
      <c r="I792"/>
      <c r="J792"/>
      <c r="Q792"/>
      <c r="R792" s="301"/>
      <c r="S792" s="301"/>
      <c r="T792" s="301"/>
      <c r="U792" s="301"/>
      <c r="V792" s="301"/>
      <c r="W792" s="301"/>
    </row>
    <row r="793" spans="2:23" s="147" customFormat="1" ht="14.15" customHeight="1" x14ac:dyDescent="0.35">
      <c r="B793" s="146"/>
      <c r="E793"/>
      <c r="F793"/>
      <c r="G793"/>
      <c r="H793"/>
      <c r="I793"/>
      <c r="J793"/>
      <c r="Q793"/>
      <c r="R793" s="301"/>
      <c r="S793" s="301"/>
      <c r="T793" s="301"/>
      <c r="U793" s="301"/>
      <c r="V793" s="301"/>
      <c r="W793" s="301"/>
    </row>
    <row r="794" spans="2:23" s="147" customFormat="1" ht="14.15" customHeight="1" x14ac:dyDescent="0.35">
      <c r="B794" s="146"/>
      <c r="E794"/>
      <c r="F794"/>
      <c r="G794"/>
      <c r="H794"/>
      <c r="I794"/>
      <c r="J794"/>
      <c r="Q794"/>
      <c r="R794" s="301"/>
      <c r="S794" s="301"/>
      <c r="T794" s="301"/>
      <c r="U794" s="301"/>
      <c r="V794" s="301"/>
      <c r="W794" s="301"/>
    </row>
    <row r="795" spans="2:23" s="147" customFormat="1" ht="14.15" customHeight="1" x14ac:dyDescent="0.35">
      <c r="B795" s="146"/>
      <c r="E795"/>
      <c r="F795"/>
      <c r="G795"/>
      <c r="H795"/>
      <c r="I795"/>
      <c r="J795"/>
      <c r="Q795"/>
      <c r="R795" s="301"/>
      <c r="S795" s="301"/>
      <c r="T795" s="301"/>
      <c r="U795" s="301"/>
      <c r="V795" s="301"/>
      <c r="W795" s="301"/>
    </row>
    <row r="796" spans="2:23" s="147" customFormat="1" ht="14.15" customHeight="1" x14ac:dyDescent="0.35">
      <c r="B796" s="146"/>
      <c r="E796"/>
      <c r="F796"/>
      <c r="G796"/>
      <c r="H796"/>
      <c r="I796"/>
      <c r="J796"/>
      <c r="Q796"/>
      <c r="R796" s="301"/>
      <c r="S796" s="301"/>
      <c r="T796" s="301"/>
      <c r="U796" s="301"/>
      <c r="V796" s="301"/>
      <c r="W796" s="301"/>
    </row>
    <row r="797" spans="2:23" s="147" customFormat="1" ht="14.15" customHeight="1" x14ac:dyDescent="0.35">
      <c r="B797" s="146"/>
      <c r="E797"/>
      <c r="F797"/>
      <c r="G797"/>
      <c r="H797"/>
      <c r="I797"/>
      <c r="J797"/>
      <c r="Q797"/>
      <c r="R797" s="301"/>
      <c r="S797" s="301"/>
      <c r="T797" s="301"/>
      <c r="U797" s="301"/>
      <c r="V797" s="301"/>
      <c r="W797" s="301"/>
    </row>
    <row r="798" spans="2:23" s="147" customFormat="1" ht="14.15" customHeight="1" x14ac:dyDescent="0.35">
      <c r="B798" s="146"/>
      <c r="E798"/>
      <c r="F798"/>
      <c r="G798"/>
      <c r="H798"/>
      <c r="I798"/>
      <c r="J798"/>
      <c r="Q798"/>
      <c r="R798" s="301"/>
      <c r="S798" s="301"/>
      <c r="T798" s="301"/>
      <c r="U798" s="301"/>
      <c r="V798" s="301"/>
      <c r="W798" s="301"/>
    </row>
    <row r="799" spans="2:23" s="147" customFormat="1" ht="14.15" customHeight="1" x14ac:dyDescent="0.35">
      <c r="B799" s="146"/>
      <c r="E799"/>
      <c r="F799"/>
      <c r="G799"/>
      <c r="H799"/>
      <c r="I799"/>
      <c r="J799"/>
      <c r="Q799"/>
      <c r="R799" s="301"/>
      <c r="S799" s="301"/>
      <c r="T799" s="301"/>
      <c r="U799" s="301"/>
      <c r="V799" s="301"/>
      <c r="W799" s="301"/>
    </row>
    <row r="800" spans="2:23" s="147" customFormat="1" ht="14.15" customHeight="1" x14ac:dyDescent="0.35">
      <c r="B800" s="146"/>
      <c r="E800"/>
      <c r="F800"/>
      <c r="G800"/>
      <c r="H800"/>
      <c r="I800"/>
      <c r="J800"/>
      <c r="Q800"/>
      <c r="R800" s="301"/>
      <c r="S800" s="301"/>
      <c r="T800" s="301"/>
      <c r="U800" s="301"/>
      <c r="V800" s="301"/>
      <c r="W800" s="301"/>
    </row>
    <row r="801" spans="2:23" s="147" customFormat="1" ht="14.15" customHeight="1" x14ac:dyDescent="0.35">
      <c r="B801" s="146"/>
      <c r="E801"/>
      <c r="F801"/>
      <c r="G801"/>
      <c r="H801"/>
      <c r="I801"/>
      <c r="J801"/>
      <c r="Q801"/>
      <c r="R801" s="301"/>
      <c r="S801" s="301"/>
      <c r="T801" s="301"/>
      <c r="U801" s="301"/>
      <c r="V801" s="301"/>
      <c r="W801" s="301"/>
    </row>
    <row r="802" spans="2:23" s="147" customFormat="1" ht="14.15" customHeight="1" x14ac:dyDescent="0.35">
      <c r="B802" s="146"/>
      <c r="E802"/>
      <c r="F802"/>
      <c r="G802"/>
      <c r="H802"/>
      <c r="I802"/>
      <c r="J802"/>
      <c r="Q802"/>
      <c r="R802" s="301"/>
      <c r="S802" s="301"/>
      <c r="T802" s="301"/>
      <c r="U802" s="301"/>
      <c r="V802" s="301"/>
      <c r="W802" s="301"/>
    </row>
    <row r="803" spans="2:23" s="147" customFormat="1" ht="14.15" customHeight="1" x14ac:dyDescent="0.35">
      <c r="B803" s="146"/>
      <c r="E803"/>
      <c r="F803"/>
      <c r="G803"/>
      <c r="H803"/>
      <c r="I803"/>
      <c r="J803"/>
      <c r="Q803"/>
      <c r="R803" s="301"/>
      <c r="S803" s="301"/>
      <c r="T803" s="301"/>
      <c r="U803" s="301"/>
      <c r="V803" s="301"/>
      <c r="W803" s="301"/>
    </row>
    <row r="804" spans="2:23" s="147" customFormat="1" ht="14.15" customHeight="1" x14ac:dyDescent="0.35">
      <c r="B804" s="146"/>
      <c r="E804"/>
      <c r="F804"/>
      <c r="G804"/>
      <c r="H804"/>
      <c r="I804"/>
      <c r="J804"/>
      <c r="Q804"/>
      <c r="R804" s="301"/>
      <c r="S804" s="301"/>
      <c r="T804" s="301"/>
      <c r="U804" s="301"/>
      <c r="V804" s="301"/>
      <c r="W804" s="301"/>
    </row>
    <row r="805" spans="2:23" s="147" customFormat="1" ht="14.15" customHeight="1" x14ac:dyDescent="0.35">
      <c r="B805" s="146"/>
      <c r="E805"/>
      <c r="F805"/>
      <c r="G805"/>
      <c r="H805"/>
      <c r="I805"/>
      <c r="J805"/>
      <c r="Q805"/>
      <c r="R805" s="301"/>
      <c r="S805" s="301"/>
      <c r="T805" s="301"/>
      <c r="U805" s="301"/>
      <c r="V805" s="301"/>
      <c r="W805" s="301"/>
    </row>
    <row r="806" spans="2:23" s="147" customFormat="1" ht="14.15" customHeight="1" x14ac:dyDescent="0.35">
      <c r="B806" s="146"/>
      <c r="E806"/>
      <c r="F806"/>
      <c r="G806"/>
      <c r="H806"/>
      <c r="I806"/>
      <c r="J806"/>
      <c r="Q806"/>
      <c r="R806" s="301"/>
      <c r="S806" s="301"/>
      <c r="T806" s="301"/>
      <c r="U806" s="301"/>
      <c r="V806" s="301"/>
      <c r="W806" s="301"/>
    </row>
    <row r="807" spans="2:23" s="147" customFormat="1" ht="14.15" customHeight="1" x14ac:dyDescent="0.35">
      <c r="B807" s="146"/>
      <c r="E807"/>
      <c r="F807"/>
      <c r="G807"/>
      <c r="H807"/>
      <c r="I807"/>
      <c r="J807"/>
      <c r="Q807"/>
      <c r="R807" s="301"/>
      <c r="S807" s="301"/>
      <c r="T807" s="301"/>
      <c r="U807" s="301"/>
      <c r="V807" s="301"/>
      <c r="W807" s="301"/>
    </row>
    <row r="808" spans="2:23" s="147" customFormat="1" ht="14.15" customHeight="1" x14ac:dyDescent="0.35">
      <c r="B808" s="146"/>
      <c r="E808"/>
      <c r="F808"/>
      <c r="G808"/>
      <c r="H808"/>
      <c r="I808"/>
      <c r="J808"/>
      <c r="Q808"/>
      <c r="R808" s="301"/>
      <c r="S808" s="301"/>
      <c r="T808" s="301"/>
      <c r="U808" s="301"/>
      <c r="V808" s="301"/>
      <c r="W808" s="301"/>
    </row>
    <row r="809" spans="2:23" s="147" customFormat="1" ht="14.15" customHeight="1" x14ac:dyDescent="0.35">
      <c r="B809" s="146"/>
      <c r="E809"/>
      <c r="F809"/>
      <c r="G809"/>
      <c r="H809"/>
      <c r="I809"/>
      <c r="J809"/>
      <c r="Q809"/>
      <c r="R809" s="301"/>
      <c r="S809" s="301"/>
      <c r="T809" s="301"/>
      <c r="U809" s="301"/>
      <c r="V809" s="301"/>
      <c r="W809" s="301"/>
    </row>
    <row r="810" spans="2:23" s="147" customFormat="1" ht="14.15" customHeight="1" x14ac:dyDescent="0.35">
      <c r="B810" s="146"/>
      <c r="E810"/>
      <c r="F810"/>
      <c r="G810"/>
      <c r="H810"/>
      <c r="I810"/>
      <c r="J810"/>
      <c r="Q810"/>
      <c r="R810" s="301"/>
      <c r="S810" s="301"/>
      <c r="T810" s="301"/>
      <c r="U810" s="301"/>
      <c r="V810" s="301"/>
      <c r="W810" s="301"/>
    </row>
    <row r="811" spans="2:23" s="147" customFormat="1" ht="14.15" customHeight="1" x14ac:dyDescent="0.35">
      <c r="B811" s="146"/>
      <c r="E811"/>
      <c r="F811"/>
      <c r="G811"/>
      <c r="H811"/>
      <c r="I811"/>
      <c r="J811"/>
      <c r="Q811"/>
      <c r="R811" s="301"/>
      <c r="S811" s="301"/>
      <c r="T811" s="301"/>
      <c r="U811" s="301"/>
      <c r="V811" s="301"/>
      <c r="W811" s="301"/>
    </row>
    <row r="812" spans="2:23" s="147" customFormat="1" ht="14.15" customHeight="1" x14ac:dyDescent="0.35">
      <c r="B812" s="146"/>
      <c r="E812"/>
      <c r="F812"/>
      <c r="G812"/>
      <c r="H812"/>
      <c r="I812"/>
      <c r="J812"/>
      <c r="Q812"/>
      <c r="R812" s="301"/>
      <c r="S812" s="301"/>
      <c r="T812" s="301"/>
      <c r="U812" s="301"/>
      <c r="V812" s="301"/>
      <c r="W812" s="301"/>
    </row>
    <row r="813" spans="2:23" s="147" customFormat="1" ht="14.15" customHeight="1" x14ac:dyDescent="0.35">
      <c r="B813" s="146"/>
      <c r="E813"/>
      <c r="F813"/>
      <c r="G813"/>
      <c r="H813"/>
      <c r="I813"/>
      <c r="J813"/>
      <c r="Q813"/>
      <c r="R813" s="301"/>
      <c r="S813" s="301"/>
      <c r="T813" s="301"/>
      <c r="U813" s="301"/>
      <c r="V813" s="301"/>
      <c r="W813" s="301"/>
    </row>
    <row r="814" spans="2:23" s="147" customFormat="1" ht="14.15" customHeight="1" x14ac:dyDescent="0.35">
      <c r="B814" s="146"/>
      <c r="E814"/>
      <c r="F814"/>
      <c r="G814"/>
      <c r="H814"/>
      <c r="I814"/>
      <c r="J814"/>
      <c r="Q814"/>
      <c r="R814" s="301"/>
      <c r="S814" s="301"/>
      <c r="T814" s="301"/>
      <c r="U814" s="301"/>
      <c r="V814" s="301"/>
      <c r="W814" s="301"/>
    </row>
    <row r="815" spans="2:23" s="147" customFormat="1" ht="14.15" customHeight="1" x14ac:dyDescent="0.35">
      <c r="B815" s="146"/>
      <c r="E815"/>
      <c r="F815"/>
      <c r="G815"/>
      <c r="H815"/>
      <c r="I815"/>
      <c r="J815"/>
      <c r="Q815"/>
      <c r="R815" s="301"/>
      <c r="S815" s="301"/>
      <c r="T815" s="301"/>
      <c r="U815" s="301"/>
      <c r="V815" s="301"/>
      <c r="W815" s="301"/>
    </row>
    <row r="816" spans="2:23" s="147" customFormat="1" ht="14.15" customHeight="1" x14ac:dyDescent="0.35">
      <c r="B816" s="146"/>
      <c r="E816"/>
      <c r="F816"/>
      <c r="G816"/>
      <c r="H816"/>
      <c r="I816"/>
      <c r="J816"/>
      <c r="Q816"/>
      <c r="R816" s="301"/>
      <c r="S816" s="301"/>
      <c r="T816" s="301"/>
      <c r="U816" s="301"/>
      <c r="V816" s="301"/>
      <c r="W816" s="301"/>
    </row>
    <row r="817" spans="2:23" s="147" customFormat="1" ht="14.15" customHeight="1" x14ac:dyDescent="0.35">
      <c r="B817" s="146"/>
      <c r="E817"/>
      <c r="F817"/>
      <c r="G817"/>
      <c r="H817"/>
      <c r="I817"/>
      <c r="J817"/>
      <c r="Q817"/>
      <c r="R817" s="301"/>
      <c r="S817" s="301"/>
      <c r="T817" s="301"/>
      <c r="U817" s="301"/>
      <c r="V817" s="301"/>
      <c r="W817" s="301"/>
    </row>
    <row r="818" spans="2:23" s="147" customFormat="1" ht="14.15" customHeight="1" x14ac:dyDescent="0.35">
      <c r="B818" s="146"/>
      <c r="E818"/>
      <c r="F818"/>
      <c r="G818"/>
      <c r="H818"/>
      <c r="I818"/>
      <c r="J818"/>
      <c r="Q818"/>
      <c r="R818" s="301"/>
      <c r="S818" s="301"/>
      <c r="T818" s="301"/>
      <c r="U818" s="301"/>
      <c r="V818" s="301"/>
      <c r="W818" s="301"/>
    </row>
    <row r="819" spans="2:23" s="147" customFormat="1" ht="14.15" customHeight="1" x14ac:dyDescent="0.35">
      <c r="B819" s="146"/>
      <c r="E819"/>
      <c r="F819"/>
      <c r="G819"/>
      <c r="H819"/>
      <c r="I819"/>
      <c r="J819"/>
      <c r="Q819"/>
      <c r="R819" s="301"/>
      <c r="S819" s="301"/>
      <c r="T819" s="301"/>
      <c r="U819" s="301"/>
      <c r="V819" s="301"/>
      <c r="W819" s="301"/>
    </row>
    <row r="820" spans="2:23" s="147" customFormat="1" ht="14.15" customHeight="1" x14ac:dyDescent="0.35">
      <c r="B820" s="146"/>
      <c r="E820"/>
      <c r="F820"/>
      <c r="G820"/>
      <c r="H820"/>
      <c r="I820"/>
      <c r="J820"/>
      <c r="Q820"/>
      <c r="R820" s="301"/>
      <c r="S820" s="301"/>
      <c r="T820" s="301"/>
      <c r="U820" s="301"/>
      <c r="V820" s="301"/>
      <c r="W820" s="301"/>
    </row>
    <row r="821" spans="2:23" s="147" customFormat="1" ht="14.15" customHeight="1" x14ac:dyDescent="0.35">
      <c r="B821" s="146"/>
      <c r="E821"/>
      <c r="F821"/>
      <c r="G821"/>
      <c r="H821"/>
      <c r="I821"/>
      <c r="J821"/>
      <c r="Q821"/>
      <c r="R821" s="301"/>
      <c r="S821" s="301"/>
      <c r="T821" s="301"/>
      <c r="U821" s="301"/>
      <c r="V821" s="301"/>
      <c r="W821" s="301"/>
    </row>
    <row r="822" spans="2:23" s="147" customFormat="1" ht="14.15" customHeight="1" x14ac:dyDescent="0.35">
      <c r="B822" s="146"/>
      <c r="E822"/>
      <c r="F822"/>
      <c r="G822"/>
      <c r="H822"/>
      <c r="I822"/>
      <c r="J822"/>
      <c r="Q822"/>
      <c r="R822" s="301"/>
      <c r="S822" s="301"/>
      <c r="T822" s="301"/>
      <c r="U822" s="301"/>
      <c r="V822" s="301"/>
      <c r="W822" s="301"/>
    </row>
    <row r="823" spans="2:23" s="147" customFormat="1" ht="14.15" customHeight="1" x14ac:dyDescent="0.35">
      <c r="B823" s="146"/>
      <c r="E823"/>
      <c r="F823"/>
      <c r="G823"/>
      <c r="H823"/>
      <c r="I823"/>
      <c r="J823"/>
      <c r="Q823"/>
      <c r="R823" s="301"/>
      <c r="S823" s="301"/>
      <c r="T823" s="301"/>
      <c r="U823" s="301"/>
      <c r="V823" s="301"/>
      <c r="W823" s="301"/>
    </row>
    <row r="824" spans="2:23" s="147" customFormat="1" ht="14.15" customHeight="1" x14ac:dyDescent="0.35">
      <c r="B824" s="146"/>
      <c r="E824"/>
      <c r="F824"/>
      <c r="G824"/>
      <c r="H824"/>
      <c r="I824"/>
      <c r="J824"/>
      <c r="Q824"/>
      <c r="R824" s="301"/>
      <c r="S824" s="301"/>
      <c r="T824" s="301"/>
      <c r="U824" s="301"/>
      <c r="V824" s="301"/>
      <c r="W824" s="301"/>
    </row>
    <row r="825" spans="2:23" s="147" customFormat="1" ht="14.15" customHeight="1" x14ac:dyDescent="0.35">
      <c r="B825" s="146"/>
      <c r="E825"/>
      <c r="F825"/>
      <c r="G825"/>
      <c r="H825"/>
      <c r="I825"/>
      <c r="J825"/>
      <c r="Q825"/>
      <c r="R825" s="301"/>
      <c r="S825" s="301"/>
      <c r="T825" s="301"/>
      <c r="U825" s="301"/>
      <c r="V825" s="301"/>
      <c r="W825" s="301"/>
    </row>
    <row r="826" spans="2:23" s="147" customFormat="1" ht="14.15" customHeight="1" x14ac:dyDescent="0.35">
      <c r="B826" s="146"/>
      <c r="E826"/>
      <c r="F826"/>
      <c r="G826"/>
      <c r="H826"/>
      <c r="I826"/>
      <c r="J826"/>
      <c r="Q826"/>
      <c r="R826" s="301"/>
      <c r="S826" s="301"/>
      <c r="T826" s="301"/>
      <c r="U826" s="301"/>
      <c r="V826" s="301"/>
      <c r="W826" s="301"/>
    </row>
    <row r="827" spans="2:23" s="147" customFormat="1" ht="14.15" customHeight="1" x14ac:dyDescent="0.35">
      <c r="B827" s="146"/>
      <c r="E827"/>
      <c r="F827"/>
      <c r="G827"/>
      <c r="H827"/>
      <c r="I827"/>
      <c r="J827"/>
      <c r="Q827"/>
      <c r="R827" s="301"/>
      <c r="S827" s="301"/>
      <c r="T827" s="301"/>
      <c r="U827" s="301"/>
      <c r="V827" s="301"/>
      <c r="W827" s="301"/>
    </row>
    <row r="828" spans="2:23" s="147" customFormat="1" ht="14.15" customHeight="1" x14ac:dyDescent="0.35">
      <c r="B828" s="146"/>
      <c r="E828"/>
      <c r="F828"/>
      <c r="G828"/>
      <c r="H828"/>
      <c r="I828"/>
      <c r="J828"/>
      <c r="Q828"/>
      <c r="R828" s="301"/>
      <c r="S828" s="301"/>
      <c r="T828" s="301"/>
      <c r="U828" s="301"/>
      <c r="V828" s="301"/>
      <c r="W828" s="301"/>
    </row>
    <row r="829" spans="2:23" s="147" customFormat="1" ht="14.15" customHeight="1" x14ac:dyDescent="0.35">
      <c r="B829" s="146"/>
      <c r="E829"/>
      <c r="F829"/>
      <c r="G829"/>
      <c r="H829"/>
      <c r="I829"/>
      <c r="J829"/>
      <c r="Q829"/>
      <c r="R829" s="301"/>
      <c r="S829" s="301"/>
      <c r="T829" s="301"/>
      <c r="U829" s="301"/>
      <c r="V829" s="301"/>
      <c r="W829" s="301"/>
    </row>
    <row r="830" spans="2:23" s="147" customFormat="1" ht="14.15" customHeight="1" x14ac:dyDescent="0.35">
      <c r="B830" s="146"/>
      <c r="E830"/>
      <c r="F830"/>
      <c r="G830"/>
      <c r="H830"/>
      <c r="I830"/>
      <c r="J830"/>
      <c r="Q830"/>
      <c r="R830" s="301"/>
      <c r="S830" s="301"/>
      <c r="T830" s="301"/>
      <c r="U830" s="301"/>
      <c r="V830" s="301"/>
      <c r="W830" s="301"/>
    </row>
    <row r="831" spans="2:23" s="147" customFormat="1" ht="14.15" customHeight="1" x14ac:dyDescent="0.35">
      <c r="B831" s="146"/>
      <c r="E831"/>
      <c r="F831"/>
      <c r="G831"/>
      <c r="H831"/>
      <c r="I831"/>
      <c r="J831"/>
      <c r="Q831"/>
      <c r="R831" s="301"/>
      <c r="S831" s="301"/>
      <c r="T831" s="301"/>
      <c r="U831" s="301"/>
      <c r="V831" s="301"/>
      <c r="W831" s="301"/>
    </row>
    <row r="832" spans="2:23" s="147" customFormat="1" ht="14.15" customHeight="1" x14ac:dyDescent="0.35">
      <c r="B832" s="146"/>
      <c r="E832"/>
      <c r="F832"/>
      <c r="G832"/>
      <c r="H832"/>
      <c r="I832"/>
      <c r="J832"/>
      <c r="Q832"/>
      <c r="R832" s="301"/>
      <c r="S832" s="301"/>
      <c r="T832" s="301"/>
      <c r="U832" s="301"/>
      <c r="V832" s="301"/>
      <c r="W832" s="301"/>
    </row>
    <row r="833" spans="2:23" s="147" customFormat="1" ht="14.15" customHeight="1" x14ac:dyDescent="0.35">
      <c r="B833" s="146"/>
      <c r="E833"/>
      <c r="F833"/>
      <c r="G833"/>
      <c r="H833"/>
      <c r="I833"/>
      <c r="J833"/>
      <c r="Q833"/>
      <c r="R833" s="301"/>
      <c r="S833" s="301"/>
      <c r="T833" s="301"/>
      <c r="U833" s="301"/>
      <c r="V833" s="301"/>
      <c r="W833" s="301"/>
    </row>
    <row r="834" spans="2:23" s="147" customFormat="1" ht="14.15" customHeight="1" x14ac:dyDescent="0.35">
      <c r="B834" s="146"/>
      <c r="E834"/>
      <c r="F834"/>
      <c r="G834"/>
      <c r="H834"/>
      <c r="I834"/>
      <c r="J834"/>
      <c r="Q834"/>
      <c r="R834" s="301"/>
      <c r="S834" s="301"/>
      <c r="T834" s="301"/>
      <c r="U834" s="301"/>
      <c r="V834" s="301"/>
      <c r="W834" s="301"/>
    </row>
    <row r="835" spans="2:23" s="147" customFormat="1" ht="14.15" customHeight="1" x14ac:dyDescent="0.35">
      <c r="B835" s="146"/>
      <c r="E835"/>
      <c r="F835"/>
      <c r="G835"/>
      <c r="H835"/>
      <c r="I835"/>
      <c r="J835"/>
      <c r="Q835"/>
      <c r="R835" s="301"/>
      <c r="S835" s="301"/>
      <c r="T835" s="301"/>
      <c r="U835" s="301"/>
      <c r="V835" s="301"/>
      <c r="W835" s="301"/>
    </row>
    <row r="836" spans="2:23" s="147" customFormat="1" ht="14.15" customHeight="1" x14ac:dyDescent="0.35">
      <c r="B836" s="146"/>
      <c r="E836"/>
      <c r="F836"/>
      <c r="G836"/>
      <c r="H836"/>
      <c r="I836"/>
      <c r="J836"/>
      <c r="Q836"/>
      <c r="R836" s="301"/>
      <c r="S836" s="301"/>
      <c r="T836" s="301"/>
      <c r="U836" s="301"/>
      <c r="V836" s="301"/>
      <c r="W836" s="301"/>
    </row>
    <row r="837" spans="2:23" s="147" customFormat="1" ht="14.15" customHeight="1" x14ac:dyDescent="0.35">
      <c r="B837" s="146"/>
      <c r="E837"/>
      <c r="F837"/>
      <c r="G837"/>
      <c r="H837"/>
      <c r="I837"/>
      <c r="J837"/>
      <c r="Q837"/>
      <c r="R837" s="301"/>
      <c r="S837" s="301"/>
      <c r="T837" s="301"/>
      <c r="U837" s="301"/>
      <c r="V837" s="301"/>
      <c r="W837" s="301"/>
    </row>
    <row r="838" spans="2:23" s="147" customFormat="1" ht="14.15" customHeight="1" x14ac:dyDescent="0.35">
      <c r="B838" s="146"/>
      <c r="E838"/>
      <c r="F838"/>
      <c r="G838"/>
      <c r="H838"/>
      <c r="I838"/>
      <c r="J838"/>
      <c r="Q838"/>
      <c r="R838" s="301"/>
      <c r="S838" s="301"/>
      <c r="T838" s="301"/>
      <c r="U838" s="301"/>
      <c r="V838" s="301"/>
      <c r="W838" s="301"/>
    </row>
    <row r="839" spans="2:23" s="147" customFormat="1" ht="14.15" customHeight="1" x14ac:dyDescent="0.35">
      <c r="B839" s="146"/>
      <c r="E839"/>
      <c r="F839"/>
      <c r="G839"/>
      <c r="H839"/>
      <c r="I839"/>
      <c r="J839"/>
      <c r="Q839"/>
      <c r="R839" s="301"/>
      <c r="S839" s="301"/>
      <c r="T839" s="301"/>
      <c r="U839" s="301"/>
      <c r="V839" s="301"/>
      <c r="W839" s="301"/>
    </row>
    <row r="840" spans="2:23" s="147" customFormat="1" ht="14.15" customHeight="1" x14ac:dyDescent="0.35">
      <c r="B840" s="146"/>
      <c r="E840"/>
      <c r="F840"/>
      <c r="G840"/>
      <c r="H840"/>
      <c r="I840"/>
      <c r="J840"/>
      <c r="Q840"/>
      <c r="R840" s="301"/>
      <c r="S840" s="301"/>
      <c r="T840" s="301"/>
      <c r="U840" s="301"/>
      <c r="V840" s="301"/>
      <c r="W840" s="301"/>
    </row>
    <row r="841" spans="2:23" s="147" customFormat="1" ht="14.15" customHeight="1" x14ac:dyDescent="0.35">
      <c r="B841" s="146"/>
      <c r="E841"/>
      <c r="F841"/>
      <c r="G841"/>
      <c r="H841"/>
      <c r="I841"/>
      <c r="J841"/>
      <c r="Q841"/>
      <c r="R841" s="301"/>
      <c r="S841" s="301"/>
      <c r="T841" s="301"/>
      <c r="U841" s="301"/>
      <c r="V841" s="301"/>
      <c r="W841" s="301"/>
    </row>
    <row r="842" spans="2:23" s="147" customFormat="1" ht="14.15" customHeight="1" x14ac:dyDescent="0.35">
      <c r="B842" s="146"/>
      <c r="E842"/>
      <c r="F842"/>
      <c r="G842"/>
      <c r="H842"/>
      <c r="I842"/>
      <c r="J842"/>
      <c r="Q842"/>
      <c r="R842" s="301"/>
      <c r="S842" s="301"/>
      <c r="T842" s="301"/>
      <c r="U842" s="301"/>
      <c r="V842" s="301"/>
      <c r="W842" s="301"/>
    </row>
    <row r="843" spans="2:23" s="147" customFormat="1" ht="14.15" customHeight="1" x14ac:dyDescent="0.35">
      <c r="B843" s="146"/>
      <c r="E843"/>
      <c r="F843"/>
      <c r="G843"/>
      <c r="H843"/>
      <c r="I843"/>
      <c r="J843"/>
      <c r="Q843"/>
      <c r="R843" s="301"/>
      <c r="S843" s="301"/>
      <c r="T843" s="301"/>
      <c r="U843" s="301"/>
      <c r="V843" s="301"/>
      <c r="W843" s="301"/>
    </row>
    <row r="844" spans="2:23" s="147" customFormat="1" ht="14.15" customHeight="1" x14ac:dyDescent="0.35">
      <c r="B844" s="146"/>
      <c r="E844"/>
      <c r="F844"/>
      <c r="G844"/>
      <c r="H844"/>
      <c r="I844"/>
      <c r="J844"/>
      <c r="Q844"/>
      <c r="R844" s="301"/>
      <c r="S844" s="301"/>
      <c r="T844" s="301"/>
      <c r="U844" s="301"/>
      <c r="V844" s="301"/>
      <c r="W844" s="301"/>
    </row>
    <row r="845" spans="2:23" s="147" customFormat="1" ht="14.15" customHeight="1" x14ac:dyDescent="0.35">
      <c r="B845" s="146"/>
      <c r="E845"/>
      <c r="F845"/>
      <c r="G845"/>
      <c r="H845"/>
      <c r="I845"/>
      <c r="J845"/>
      <c r="Q845"/>
      <c r="R845" s="301"/>
      <c r="S845" s="301"/>
      <c r="T845" s="301"/>
      <c r="U845" s="301"/>
      <c r="V845" s="301"/>
      <c r="W845" s="301"/>
    </row>
    <row r="846" spans="2:23" s="147" customFormat="1" ht="14.15" customHeight="1" x14ac:dyDescent="0.35">
      <c r="B846" s="146"/>
      <c r="E846"/>
      <c r="F846"/>
      <c r="G846"/>
      <c r="H846"/>
      <c r="I846"/>
      <c r="J846"/>
      <c r="Q846"/>
      <c r="R846" s="301"/>
      <c r="S846" s="301"/>
      <c r="T846" s="301"/>
      <c r="U846" s="301"/>
      <c r="V846" s="301"/>
      <c r="W846" s="301"/>
    </row>
    <row r="847" spans="2:23" s="147" customFormat="1" ht="14.15" customHeight="1" x14ac:dyDescent="0.35">
      <c r="B847" s="146"/>
      <c r="E847"/>
      <c r="F847"/>
      <c r="G847"/>
      <c r="H847"/>
      <c r="I847"/>
      <c r="J847"/>
      <c r="Q847"/>
      <c r="R847" s="301"/>
      <c r="S847" s="301"/>
      <c r="T847" s="301"/>
      <c r="U847" s="301"/>
      <c r="V847" s="301"/>
      <c r="W847" s="301"/>
    </row>
    <row r="848" spans="2:23" s="147" customFormat="1" ht="14.15" customHeight="1" x14ac:dyDescent="0.35">
      <c r="B848" s="146"/>
      <c r="E848"/>
      <c r="F848"/>
      <c r="G848"/>
      <c r="H848"/>
      <c r="I848"/>
      <c r="J848"/>
      <c r="Q848"/>
      <c r="R848" s="301"/>
      <c r="S848" s="301"/>
      <c r="T848" s="301"/>
      <c r="U848" s="301"/>
      <c r="V848" s="301"/>
      <c r="W848" s="301"/>
    </row>
    <row r="849" spans="2:23" s="147" customFormat="1" ht="14.15" customHeight="1" x14ac:dyDescent="0.35">
      <c r="B849" s="146"/>
      <c r="E849"/>
      <c r="F849"/>
      <c r="G849"/>
      <c r="H849"/>
      <c r="I849"/>
      <c r="J849"/>
      <c r="Q849"/>
      <c r="R849" s="301"/>
      <c r="S849" s="301"/>
      <c r="T849" s="301"/>
      <c r="U849" s="301"/>
      <c r="V849" s="301"/>
      <c r="W849" s="301"/>
    </row>
    <row r="850" spans="2:23" s="147" customFormat="1" ht="14.15" customHeight="1" x14ac:dyDescent="0.35">
      <c r="B850" s="146"/>
      <c r="E850"/>
      <c r="F850"/>
      <c r="G850"/>
      <c r="H850"/>
      <c r="I850"/>
      <c r="J850"/>
      <c r="Q850"/>
      <c r="R850" s="301"/>
      <c r="S850" s="301"/>
      <c r="T850" s="301"/>
      <c r="U850" s="301"/>
      <c r="V850" s="301"/>
      <c r="W850" s="301"/>
    </row>
    <row r="851" spans="2:23" s="147" customFormat="1" ht="14.15" customHeight="1" x14ac:dyDescent="0.35">
      <c r="B851" s="146"/>
      <c r="E851"/>
      <c r="F851"/>
      <c r="G851"/>
      <c r="H851"/>
      <c r="I851"/>
      <c r="J851"/>
      <c r="Q851"/>
      <c r="R851" s="301"/>
      <c r="S851" s="301"/>
      <c r="T851" s="301"/>
      <c r="U851" s="301"/>
      <c r="V851" s="301"/>
      <c r="W851" s="301"/>
    </row>
    <row r="852" spans="2:23" s="147" customFormat="1" ht="14.15" customHeight="1" x14ac:dyDescent="0.35">
      <c r="B852" s="146"/>
      <c r="E852"/>
      <c r="F852"/>
      <c r="G852"/>
      <c r="H852"/>
      <c r="I852"/>
      <c r="J852"/>
      <c r="Q852"/>
      <c r="R852" s="301"/>
      <c r="S852" s="301"/>
      <c r="T852" s="301"/>
      <c r="U852" s="301"/>
      <c r="V852" s="301"/>
      <c r="W852" s="301"/>
    </row>
    <row r="853" spans="2:23" s="147" customFormat="1" ht="14.15" customHeight="1" x14ac:dyDescent="0.35">
      <c r="B853" s="146"/>
      <c r="E853"/>
      <c r="F853"/>
      <c r="G853"/>
      <c r="H853"/>
      <c r="I853"/>
      <c r="J853"/>
      <c r="Q853"/>
      <c r="R853" s="301"/>
      <c r="S853" s="301"/>
      <c r="T853" s="301"/>
      <c r="U853" s="301"/>
      <c r="V853" s="301"/>
      <c r="W853" s="301"/>
    </row>
    <row r="854" spans="2:23" s="147" customFormat="1" ht="14.15" customHeight="1" x14ac:dyDescent="0.35">
      <c r="B854" s="146"/>
      <c r="E854"/>
      <c r="F854"/>
      <c r="G854"/>
      <c r="H854"/>
      <c r="I854"/>
      <c r="J854"/>
      <c r="Q854"/>
      <c r="R854" s="301"/>
      <c r="S854" s="301"/>
      <c r="T854" s="301"/>
      <c r="U854" s="301"/>
      <c r="V854" s="301"/>
      <c r="W854" s="301"/>
    </row>
    <row r="855" spans="2:23" s="147" customFormat="1" ht="14.15" customHeight="1" x14ac:dyDescent="0.35">
      <c r="B855" s="146"/>
      <c r="E855"/>
      <c r="F855"/>
      <c r="G855"/>
      <c r="H855"/>
      <c r="I855"/>
      <c r="J855"/>
      <c r="Q855"/>
      <c r="R855" s="301"/>
      <c r="S855" s="301"/>
      <c r="T855" s="301"/>
      <c r="U855" s="301"/>
      <c r="V855" s="301"/>
      <c r="W855" s="301"/>
    </row>
    <row r="856" spans="2:23" s="147" customFormat="1" ht="14.15" customHeight="1" x14ac:dyDescent="0.35">
      <c r="B856" s="146"/>
      <c r="E856"/>
      <c r="F856"/>
      <c r="G856"/>
      <c r="H856"/>
      <c r="I856"/>
      <c r="J856"/>
      <c r="Q856"/>
      <c r="R856" s="301"/>
      <c r="S856" s="301"/>
      <c r="T856" s="301"/>
      <c r="U856" s="301"/>
      <c r="V856" s="301"/>
      <c r="W856" s="301"/>
    </row>
    <row r="857" spans="2:23" s="147" customFormat="1" ht="14.15" customHeight="1" x14ac:dyDescent="0.35">
      <c r="B857" s="146"/>
      <c r="E857"/>
      <c r="F857"/>
      <c r="G857"/>
      <c r="H857"/>
      <c r="I857"/>
      <c r="J857"/>
      <c r="Q857"/>
      <c r="R857" s="301"/>
      <c r="S857" s="301"/>
      <c r="T857" s="301"/>
      <c r="U857" s="301"/>
      <c r="V857" s="301"/>
      <c r="W857" s="301"/>
    </row>
    <row r="858" spans="2:23" s="147" customFormat="1" ht="14.15" customHeight="1" x14ac:dyDescent="0.35">
      <c r="B858" s="146"/>
      <c r="E858"/>
      <c r="F858"/>
      <c r="G858"/>
      <c r="H858"/>
      <c r="I858"/>
      <c r="J858"/>
      <c r="Q858"/>
      <c r="R858" s="301"/>
      <c r="S858" s="301"/>
      <c r="T858" s="301"/>
      <c r="U858" s="301"/>
      <c r="V858" s="301"/>
      <c r="W858" s="301"/>
    </row>
    <row r="859" spans="2:23" s="147" customFormat="1" ht="14.15" customHeight="1" x14ac:dyDescent="0.35">
      <c r="B859" s="146"/>
      <c r="E859"/>
      <c r="F859"/>
      <c r="G859"/>
      <c r="H859"/>
      <c r="I859"/>
      <c r="J859"/>
      <c r="Q859"/>
      <c r="R859" s="301"/>
      <c r="S859" s="301"/>
      <c r="T859" s="301"/>
      <c r="U859" s="301"/>
      <c r="V859" s="301"/>
      <c r="W859" s="301"/>
    </row>
    <row r="860" spans="2:23" s="147" customFormat="1" ht="14.15" customHeight="1" x14ac:dyDescent="0.35">
      <c r="B860" s="146"/>
      <c r="E860"/>
      <c r="F860"/>
      <c r="G860"/>
      <c r="H860"/>
      <c r="I860"/>
      <c r="J860"/>
      <c r="Q860"/>
      <c r="R860" s="301"/>
      <c r="S860" s="301"/>
      <c r="T860" s="301"/>
      <c r="U860" s="301"/>
      <c r="V860" s="301"/>
      <c r="W860" s="301"/>
    </row>
    <row r="861" spans="2:23" s="147" customFormat="1" ht="14.15" customHeight="1" x14ac:dyDescent="0.35">
      <c r="B861" s="146"/>
      <c r="E861"/>
      <c r="F861"/>
      <c r="G861"/>
      <c r="H861"/>
      <c r="I861"/>
      <c r="J861"/>
      <c r="Q861"/>
      <c r="R861" s="301"/>
      <c r="S861" s="301"/>
      <c r="T861" s="301"/>
      <c r="U861" s="301"/>
      <c r="V861" s="301"/>
      <c r="W861" s="301"/>
    </row>
    <row r="862" spans="2:23" s="147" customFormat="1" ht="14.15" customHeight="1" x14ac:dyDescent="0.35">
      <c r="B862" s="146"/>
      <c r="E862"/>
      <c r="F862"/>
      <c r="G862"/>
      <c r="H862"/>
      <c r="I862"/>
      <c r="J862"/>
      <c r="Q862"/>
      <c r="R862" s="301"/>
      <c r="S862" s="301"/>
      <c r="T862" s="301"/>
      <c r="U862" s="301"/>
      <c r="V862" s="301"/>
      <c r="W862" s="301"/>
    </row>
    <row r="863" spans="2:23" s="147" customFormat="1" ht="14.15" customHeight="1" x14ac:dyDescent="0.35">
      <c r="B863" s="146"/>
      <c r="E863"/>
      <c r="F863"/>
      <c r="G863"/>
      <c r="H863"/>
      <c r="I863"/>
      <c r="J863"/>
      <c r="Q863"/>
      <c r="R863" s="301"/>
      <c r="S863" s="301"/>
      <c r="T863" s="301"/>
      <c r="U863" s="301"/>
      <c r="V863" s="301"/>
      <c r="W863" s="301"/>
    </row>
    <row r="864" spans="2:23" s="147" customFormat="1" ht="14.15" customHeight="1" x14ac:dyDescent="0.35">
      <c r="B864" s="146"/>
      <c r="E864"/>
      <c r="F864"/>
      <c r="G864"/>
      <c r="H864"/>
      <c r="I864"/>
      <c r="J864"/>
      <c r="Q864"/>
      <c r="R864" s="301"/>
      <c r="S864" s="301"/>
      <c r="T864" s="301"/>
      <c r="U864" s="301"/>
      <c r="V864" s="301"/>
      <c r="W864" s="301"/>
    </row>
    <row r="865" spans="2:23" s="147" customFormat="1" ht="14.15" customHeight="1" x14ac:dyDescent="0.35">
      <c r="B865" s="146"/>
      <c r="E865"/>
      <c r="F865"/>
      <c r="G865"/>
      <c r="H865"/>
      <c r="I865"/>
      <c r="J865"/>
      <c r="Q865"/>
      <c r="R865" s="301"/>
      <c r="S865" s="301"/>
      <c r="T865" s="301"/>
      <c r="U865" s="301"/>
      <c r="V865" s="301"/>
      <c r="W865" s="301"/>
    </row>
    <row r="866" spans="2:23" s="147" customFormat="1" ht="14.15" customHeight="1" x14ac:dyDescent="0.35">
      <c r="B866" s="146"/>
      <c r="E866"/>
      <c r="F866"/>
      <c r="G866"/>
      <c r="H866"/>
      <c r="I866"/>
      <c r="J866"/>
      <c r="Q866"/>
      <c r="R866" s="301"/>
      <c r="S866" s="301"/>
      <c r="T866" s="301"/>
      <c r="U866" s="301"/>
      <c r="V866" s="301"/>
      <c r="W866" s="301"/>
    </row>
    <row r="867" spans="2:23" s="147" customFormat="1" ht="14.15" customHeight="1" x14ac:dyDescent="0.35">
      <c r="B867" s="146"/>
      <c r="E867"/>
      <c r="F867"/>
      <c r="G867"/>
      <c r="H867"/>
      <c r="I867"/>
      <c r="J867"/>
      <c r="Q867"/>
      <c r="R867" s="301"/>
      <c r="S867" s="301"/>
      <c r="T867" s="301"/>
      <c r="U867" s="301"/>
      <c r="V867" s="301"/>
      <c r="W867" s="301"/>
    </row>
    <row r="868" spans="2:23" s="147" customFormat="1" ht="14.15" customHeight="1" x14ac:dyDescent="0.35">
      <c r="B868" s="146"/>
      <c r="E868"/>
      <c r="F868"/>
      <c r="G868"/>
      <c r="H868"/>
      <c r="I868"/>
      <c r="J868"/>
      <c r="Q868"/>
      <c r="R868" s="301"/>
      <c r="S868" s="301"/>
      <c r="T868" s="301"/>
      <c r="U868" s="301"/>
      <c r="V868" s="301"/>
      <c r="W868" s="301"/>
    </row>
    <row r="869" spans="2:23" s="147" customFormat="1" ht="14.15" customHeight="1" x14ac:dyDescent="0.35">
      <c r="B869" s="146"/>
      <c r="E869"/>
      <c r="F869"/>
      <c r="G869"/>
      <c r="H869"/>
      <c r="I869"/>
      <c r="J869"/>
      <c r="Q869"/>
      <c r="R869" s="301"/>
      <c r="S869" s="301"/>
      <c r="T869" s="301"/>
      <c r="U869" s="301"/>
      <c r="V869" s="301"/>
      <c r="W869" s="301"/>
    </row>
    <row r="870" spans="2:23" s="147" customFormat="1" ht="14.15" customHeight="1" x14ac:dyDescent="0.35">
      <c r="B870" s="146"/>
      <c r="E870"/>
      <c r="F870"/>
      <c r="G870"/>
      <c r="H870"/>
      <c r="I870"/>
      <c r="J870"/>
      <c r="Q870"/>
      <c r="R870" s="301"/>
      <c r="S870" s="301"/>
      <c r="T870" s="301"/>
      <c r="U870" s="301"/>
      <c r="V870" s="301"/>
      <c r="W870" s="301"/>
    </row>
    <row r="871" spans="2:23" s="147" customFormat="1" ht="14.15" customHeight="1" x14ac:dyDescent="0.35">
      <c r="B871" s="146"/>
      <c r="E871"/>
      <c r="F871"/>
      <c r="G871"/>
      <c r="H871"/>
      <c r="I871"/>
      <c r="J871"/>
      <c r="Q871"/>
      <c r="R871" s="301"/>
      <c r="S871" s="301"/>
      <c r="T871" s="301"/>
      <c r="U871" s="301"/>
      <c r="V871" s="301"/>
      <c r="W871" s="301"/>
    </row>
    <row r="872" spans="2:23" s="147" customFormat="1" ht="14.15" customHeight="1" x14ac:dyDescent="0.35">
      <c r="B872" s="146"/>
      <c r="E872"/>
      <c r="F872"/>
      <c r="G872"/>
      <c r="H872"/>
      <c r="I872"/>
      <c r="J872"/>
      <c r="Q872"/>
      <c r="R872" s="301"/>
      <c r="S872" s="301"/>
      <c r="T872" s="301"/>
      <c r="U872" s="301"/>
      <c r="V872" s="301"/>
      <c r="W872" s="301"/>
    </row>
    <row r="873" spans="2:23" s="147" customFormat="1" ht="14.15" customHeight="1" x14ac:dyDescent="0.35">
      <c r="B873" s="146"/>
      <c r="E873"/>
      <c r="F873"/>
      <c r="G873"/>
      <c r="H873"/>
      <c r="I873"/>
      <c r="J873"/>
      <c r="Q873"/>
      <c r="R873" s="301"/>
      <c r="S873" s="301"/>
      <c r="T873" s="301"/>
      <c r="U873" s="301"/>
      <c r="V873" s="301"/>
      <c r="W873" s="301"/>
    </row>
    <row r="874" spans="2:23" s="147" customFormat="1" ht="14.15" customHeight="1" x14ac:dyDescent="0.35">
      <c r="B874" s="146"/>
      <c r="E874"/>
      <c r="F874"/>
      <c r="G874"/>
      <c r="H874"/>
      <c r="I874"/>
      <c r="J874"/>
      <c r="Q874"/>
      <c r="R874" s="301"/>
      <c r="S874" s="301"/>
      <c r="T874" s="301"/>
      <c r="U874" s="301"/>
      <c r="V874" s="301"/>
      <c r="W874" s="301"/>
    </row>
    <row r="875" spans="2:23" s="147" customFormat="1" ht="14.15" customHeight="1" x14ac:dyDescent="0.35">
      <c r="B875" s="146"/>
      <c r="E875"/>
      <c r="F875"/>
      <c r="G875"/>
      <c r="H875"/>
      <c r="I875"/>
      <c r="J875"/>
      <c r="Q875"/>
      <c r="R875" s="301"/>
      <c r="S875" s="301"/>
      <c r="T875" s="301"/>
      <c r="U875" s="301"/>
      <c r="V875" s="301"/>
      <c r="W875" s="301"/>
    </row>
    <row r="876" spans="2:23" s="147" customFormat="1" ht="14.15" customHeight="1" x14ac:dyDescent="0.35">
      <c r="B876" s="146"/>
      <c r="E876"/>
      <c r="F876"/>
      <c r="G876"/>
      <c r="H876"/>
      <c r="I876"/>
      <c r="J876"/>
      <c r="Q876"/>
      <c r="R876" s="301"/>
      <c r="S876" s="301"/>
      <c r="T876" s="301"/>
      <c r="U876" s="301"/>
      <c r="V876" s="301"/>
      <c r="W876" s="301"/>
    </row>
    <row r="877" spans="2:23" s="147" customFormat="1" ht="14.15" customHeight="1" x14ac:dyDescent="0.35">
      <c r="B877" s="146"/>
      <c r="E877"/>
      <c r="F877"/>
      <c r="G877"/>
      <c r="H877"/>
      <c r="I877"/>
      <c r="J877"/>
      <c r="Q877"/>
      <c r="R877" s="301"/>
      <c r="S877" s="301"/>
      <c r="T877" s="301"/>
      <c r="U877" s="301"/>
      <c r="V877" s="301"/>
      <c r="W877" s="301"/>
    </row>
    <row r="878" spans="2:23" s="147" customFormat="1" ht="14.15" customHeight="1" x14ac:dyDescent="0.35">
      <c r="B878" s="146"/>
      <c r="E878"/>
      <c r="F878"/>
      <c r="G878"/>
      <c r="H878"/>
      <c r="I878"/>
      <c r="J878"/>
      <c r="Q878"/>
      <c r="R878" s="301"/>
      <c r="S878" s="301"/>
      <c r="T878" s="301"/>
      <c r="U878" s="301"/>
      <c r="V878" s="301"/>
      <c r="W878" s="301"/>
    </row>
    <row r="879" spans="2:23" s="147" customFormat="1" ht="14.15" customHeight="1" x14ac:dyDescent="0.35">
      <c r="B879" s="146"/>
      <c r="E879"/>
      <c r="F879"/>
      <c r="G879"/>
      <c r="H879"/>
      <c r="I879"/>
      <c r="J879"/>
      <c r="Q879"/>
      <c r="R879" s="301"/>
      <c r="S879" s="301"/>
      <c r="T879" s="301"/>
      <c r="U879" s="301"/>
      <c r="V879" s="301"/>
      <c r="W879" s="301"/>
    </row>
    <row r="880" spans="2:23" s="147" customFormat="1" ht="14.15" customHeight="1" x14ac:dyDescent="0.35">
      <c r="B880" s="146"/>
      <c r="E880"/>
      <c r="F880"/>
      <c r="G880"/>
      <c r="H880"/>
      <c r="I880"/>
      <c r="J880"/>
      <c r="Q880"/>
      <c r="R880" s="301"/>
      <c r="S880" s="301"/>
      <c r="T880" s="301"/>
      <c r="U880" s="301"/>
      <c r="V880" s="301"/>
      <c r="W880" s="301"/>
    </row>
    <row r="881" spans="2:23" s="147" customFormat="1" ht="14.15" customHeight="1" x14ac:dyDescent="0.35">
      <c r="B881" s="146"/>
      <c r="E881"/>
      <c r="F881"/>
      <c r="G881"/>
      <c r="H881"/>
      <c r="I881"/>
      <c r="J881"/>
      <c r="Q881"/>
      <c r="R881" s="301"/>
      <c r="S881" s="301"/>
      <c r="T881" s="301"/>
      <c r="U881" s="301"/>
      <c r="V881" s="301"/>
      <c r="W881" s="301"/>
    </row>
    <row r="882" spans="2:23" s="147" customFormat="1" ht="14.15" customHeight="1" x14ac:dyDescent="0.35">
      <c r="B882" s="146"/>
      <c r="E882"/>
      <c r="F882"/>
      <c r="G882"/>
      <c r="H882"/>
      <c r="I882"/>
      <c r="J882"/>
      <c r="Q882"/>
      <c r="R882" s="301"/>
      <c r="S882" s="301"/>
      <c r="T882" s="301"/>
      <c r="U882" s="301"/>
      <c r="V882" s="301"/>
      <c r="W882" s="301"/>
    </row>
    <row r="883" spans="2:23" s="147" customFormat="1" ht="14.15" customHeight="1" x14ac:dyDescent="0.35">
      <c r="B883" s="146"/>
      <c r="E883"/>
      <c r="F883"/>
      <c r="G883"/>
      <c r="H883"/>
      <c r="I883"/>
      <c r="J883"/>
      <c r="Q883"/>
      <c r="R883" s="301"/>
      <c r="S883" s="301"/>
      <c r="T883" s="301"/>
      <c r="U883" s="301"/>
      <c r="V883" s="301"/>
      <c r="W883" s="301"/>
    </row>
    <row r="884" spans="2:23" s="147" customFormat="1" ht="14.15" customHeight="1" x14ac:dyDescent="0.35">
      <c r="B884" s="146"/>
      <c r="E884"/>
      <c r="F884"/>
      <c r="G884"/>
      <c r="H884"/>
      <c r="I884"/>
      <c r="J884"/>
      <c r="Q884"/>
      <c r="R884" s="301"/>
      <c r="S884" s="301"/>
      <c r="T884" s="301"/>
      <c r="U884" s="301"/>
      <c r="V884" s="301"/>
      <c r="W884" s="301"/>
    </row>
    <row r="885" spans="2:23" s="147" customFormat="1" ht="14.15" customHeight="1" x14ac:dyDescent="0.35">
      <c r="B885" s="146"/>
      <c r="E885"/>
      <c r="F885"/>
      <c r="G885"/>
      <c r="H885"/>
      <c r="I885"/>
      <c r="J885"/>
      <c r="Q885"/>
      <c r="R885" s="301"/>
      <c r="S885" s="301"/>
      <c r="T885" s="301"/>
      <c r="U885" s="301"/>
      <c r="V885" s="301"/>
      <c r="W885" s="301"/>
    </row>
    <row r="886" spans="2:23" s="147" customFormat="1" ht="14.15" customHeight="1" x14ac:dyDescent="0.35">
      <c r="B886" s="146"/>
      <c r="E886"/>
      <c r="F886"/>
      <c r="G886"/>
      <c r="H886"/>
      <c r="I886"/>
      <c r="J886"/>
      <c r="Q886"/>
      <c r="R886" s="301"/>
      <c r="S886" s="301"/>
      <c r="T886" s="301"/>
      <c r="U886" s="301"/>
      <c r="V886" s="301"/>
      <c r="W886" s="301"/>
    </row>
    <row r="887" spans="2:23" s="147" customFormat="1" ht="14.15" customHeight="1" x14ac:dyDescent="0.35">
      <c r="B887" s="146"/>
      <c r="E887"/>
      <c r="F887"/>
      <c r="G887"/>
      <c r="H887"/>
      <c r="I887"/>
      <c r="J887"/>
      <c r="Q887"/>
      <c r="R887" s="301"/>
      <c r="S887" s="301"/>
      <c r="T887" s="301"/>
      <c r="U887" s="301"/>
      <c r="V887" s="301"/>
      <c r="W887" s="301"/>
    </row>
    <row r="888" spans="2:23" s="147" customFormat="1" ht="14.15" customHeight="1" x14ac:dyDescent="0.35">
      <c r="B888" s="146"/>
      <c r="E888"/>
      <c r="F888"/>
      <c r="G888"/>
      <c r="H888"/>
      <c r="I888"/>
      <c r="J888"/>
      <c r="Q888"/>
      <c r="R888" s="301"/>
      <c r="S888" s="301"/>
      <c r="T888" s="301"/>
      <c r="U888" s="301"/>
      <c r="V888" s="301"/>
      <c r="W888" s="301"/>
    </row>
    <row r="889" spans="2:23" s="147" customFormat="1" ht="14.15" customHeight="1" x14ac:dyDescent="0.35">
      <c r="B889" s="146"/>
      <c r="E889"/>
      <c r="F889"/>
      <c r="G889"/>
      <c r="H889"/>
      <c r="I889"/>
      <c r="J889"/>
      <c r="Q889"/>
      <c r="R889" s="301"/>
      <c r="S889" s="301"/>
      <c r="T889" s="301"/>
      <c r="U889" s="301"/>
      <c r="V889" s="301"/>
      <c r="W889" s="301"/>
    </row>
    <row r="890" spans="2:23" s="147" customFormat="1" ht="14.15" customHeight="1" x14ac:dyDescent="0.35">
      <c r="B890" s="146"/>
      <c r="E890"/>
      <c r="F890"/>
      <c r="G890"/>
      <c r="H890"/>
      <c r="I890"/>
      <c r="J890"/>
      <c r="Q890"/>
      <c r="R890" s="301"/>
      <c r="S890" s="301"/>
      <c r="T890" s="301"/>
      <c r="U890" s="301"/>
      <c r="V890" s="301"/>
      <c r="W890" s="301"/>
    </row>
    <row r="891" spans="2:23" s="147" customFormat="1" ht="14.15" customHeight="1" x14ac:dyDescent="0.35">
      <c r="B891" s="146"/>
      <c r="E891"/>
      <c r="F891"/>
      <c r="G891"/>
      <c r="H891"/>
      <c r="I891"/>
      <c r="J891"/>
      <c r="Q891"/>
      <c r="R891" s="301"/>
      <c r="S891" s="301"/>
      <c r="T891" s="301"/>
      <c r="U891" s="301"/>
      <c r="V891" s="301"/>
      <c r="W891" s="301"/>
    </row>
    <row r="892" spans="2:23" s="147" customFormat="1" ht="14.15" customHeight="1" x14ac:dyDescent="0.35">
      <c r="B892" s="146"/>
      <c r="E892"/>
      <c r="F892"/>
      <c r="G892"/>
      <c r="H892"/>
      <c r="I892"/>
      <c r="J892"/>
      <c r="Q892"/>
      <c r="R892" s="301"/>
      <c r="S892" s="301"/>
      <c r="T892" s="301"/>
      <c r="U892" s="301"/>
      <c r="V892" s="301"/>
      <c r="W892" s="301"/>
    </row>
    <row r="893" spans="2:23" s="147" customFormat="1" ht="14.15" customHeight="1" x14ac:dyDescent="0.35">
      <c r="B893" s="146"/>
      <c r="E893"/>
      <c r="F893"/>
      <c r="G893"/>
      <c r="H893"/>
      <c r="I893"/>
      <c r="J893"/>
      <c r="Q893"/>
      <c r="R893" s="301"/>
      <c r="S893" s="301"/>
      <c r="T893" s="301"/>
      <c r="U893" s="301"/>
      <c r="V893" s="301"/>
      <c r="W893" s="301"/>
    </row>
    <row r="894" spans="2:23" s="147" customFormat="1" ht="14.15" customHeight="1" x14ac:dyDescent="0.35">
      <c r="B894" s="146"/>
      <c r="E894"/>
      <c r="F894"/>
      <c r="G894"/>
      <c r="H894"/>
      <c r="I894"/>
      <c r="J894"/>
      <c r="Q894"/>
      <c r="R894" s="301"/>
      <c r="S894" s="301"/>
      <c r="T894" s="301"/>
      <c r="U894" s="301"/>
      <c r="V894" s="301"/>
      <c r="W894" s="301"/>
    </row>
    <row r="895" spans="2:23" s="147" customFormat="1" ht="14.15" customHeight="1" x14ac:dyDescent="0.35">
      <c r="B895" s="146"/>
      <c r="E895"/>
      <c r="F895"/>
      <c r="G895"/>
      <c r="H895"/>
      <c r="I895"/>
      <c r="J895"/>
      <c r="Q895"/>
      <c r="R895" s="301"/>
      <c r="S895" s="301"/>
      <c r="T895" s="301"/>
      <c r="U895" s="301"/>
      <c r="V895" s="301"/>
      <c r="W895" s="301"/>
    </row>
    <row r="896" spans="2:23" s="147" customFormat="1" ht="14.15" customHeight="1" x14ac:dyDescent="0.35">
      <c r="B896" s="146"/>
      <c r="E896"/>
      <c r="F896"/>
      <c r="G896"/>
      <c r="H896"/>
      <c r="I896"/>
      <c r="J896"/>
      <c r="Q896"/>
      <c r="R896" s="301"/>
      <c r="S896" s="301"/>
      <c r="T896" s="301"/>
      <c r="U896" s="301"/>
      <c r="V896" s="301"/>
      <c r="W896" s="301"/>
    </row>
    <row r="897" spans="2:23" s="147" customFormat="1" ht="14.15" customHeight="1" x14ac:dyDescent="0.35">
      <c r="B897" s="146"/>
      <c r="E897"/>
      <c r="F897"/>
      <c r="G897"/>
      <c r="H897"/>
      <c r="I897"/>
      <c r="J897"/>
      <c r="Q897"/>
      <c r="R897" s="301"/>
      <c r="S897" s="301"/>
      <c r="T897" s="301"/>
      <c r="U897" s="301"/>
      <c r="V897" s="301"/>
      <c r="W897" s="301"/>
    </row>
    <row r="898" spans="2:23" s="147" customFormat="1" ht="14.15" customHeight="1" x14ac:dyDescent="0.35">
      <c r="B898" s="146"/>
      <c r="E898"/>
      <c r="F898"/>
      <c r="G898"/>
      <c r="H898"/>
      <c r="I898"/>
      <c r="J898"/>
      <c r="Q898"/>
      <c r="R898" s="301"/>
      <c r="S898" s="301"/>
      <c r="T898" s="301"/>
      <c r="U898" s="301"/>
      <c r="V898" s="301"/>
      <c r="W898" s="301"/>
    </row>
    <row r="899" spans="2:23" s="147" customFormat="1" ht="14.15" customHeight="1" x14ac:dyDescent="0.35">
      <c r="B899" s="146"/>
      <c r="E899"/>
      <c r="F899"/>
      <c r="G899"/>
      <c r="H899"/>
      <c r="I899"/>
      <c r="J899"/>
      <c r="Q899"/>
      <c r="R899" s="301"/>
      <c r="S899" s="301"/>
      <c r="T899" s="301"/>
      <c r="U899" s="301"/>
      <c r="V899" s="301"/>
      <c r="W899" s="301"/>
    </row>
    <row r="900" spans="2:23" s="147" customFormat="1" ht="14.15" customHeight="1" x14ac:dyDescent="0.35">
      <c r="B900" s="146"/>
      <c r="E900"/>
      <c r="F900"/>
      <c r="G900"/>
      <c r="H900"/>
      <c r="I900"/>
      <c r="J900"/>
      <c r="Q900"/>
      <c r="R900" s="301"/>
      <c r="S900" s="301"/>
      <c r="T900" s="301"/>
      <c r="U900" s="301"/>
      <c r="V900" s="301"/>
      <c r="W900" s="301"/>
    </row>
    <row r="901" spans="2:23" s="147" customFormat="1" ht="14.15" customHeight="1" x14ac:dyDescent="0.35">
      <c r="B901" s="146"/>
      <c r="E901"/>
      <c r="F901"/>
      <c r="G901"/>
      <c r="H901"/>
      <c r="I901"/>
      <c r="J901"/>
      <c r="Q901"/>
      <c r="R901" s="301"/>
      <c r="S901" s="301"/>
      <c r="T901" s="301"/>
      <c r="U901" s="301"/>
      <c r="V901" s="301"/>
      <c r="W901" s="301"/>
    </row>
    <row r="902" spans="2:23" s="147" customFormat="1" ht="14.15" customHeight="1" x14ac:dyDescent="0.35">
      <c r="B902" s="146"/>
      <c r="E902"/>
      <c r="F902"/>
      <c r="G902"/>
      <c r="H902"/>
      <c r="I902"/>
      <c r="J902"/>
      <c r="Q902"/>
      <c r="R902" s="301"/>
      <c r="S902" s="301"/>
      <c r="T902" s="301"/>
      <c r="U902" s="301"/>
      <c r="V902" s="301"/>
      <c r="W902" s="301"/>
    </row>
    <row r="903" spans="2:23" s="147" customFormat="1" ht="14.15" customHeight="1" x14ac:dyDescent="0.35">
      <c r="B903" s="146"/>
      <c r="E903"/>
      <c r="F903"/>
      <c r="G903"/>
      <c r="H903"/>
      <c r="I903"/>
      <c r="J903"/>
      <c r="Q903"/>
      <c r="R903" s="301"/>
      <c r="S903" s="301"/>
      <c r="T903" s="301"/>
      <c r="U903" s="301"/>
      <c r="V903" s="301"/>
      <c r="W903" s="301"/>
    </row>
    <row r="904" spans="2:23" s="147" customFormat="1" ht="14.15" customHeight="1" x14ac:dyDescent="0.35">
      <c r="B904" s="146"/>
      <c r="E904"/>
      <c r="F904"/>
      <c r="G904"/>
      <c r="H904"/>
      <c r="I904"/>
      <c r="J904"/>
      <c r="Q904"/>
      <c r="R904" s="301"/>
      <c r="S904" s="301"/>
      <c r="T904" s="301"/>
      <c r="U904" s="301"/>
      <c r="V904" s="301"/>
      <c r="W904" s="301"/>
    </row>
    <row r="905" spans="2:23" s="147" customFormat="1" ht="14.15" customHeight="1" x14ac:dyDescent="0.35">
      <c r="B905" s="146"/>
      <c r="E905"/>
      <c r="F905"/>
      <c r="G905"/>
      <c r="H905"/>
      <c r="I905"/>
      <c r="J905"/>
      <c r="Q905"/>
      <c r="R905" s="301"/>
      <c r="S905" s="301"/>
      <c r="T905" s="301"/>
      <c r="U905" s="301"/>
      <c r="V905" s="301"/>
      <c r="W905" s="301"/>
    </row>
    <row r="906" spans="2:23" s="147" customFormat="1" ht="14.15" customHeight="1" x14ac:dyDescent="0.35">
      <c r="B906" s="146"/>
      <c r="E906"/>
      <c r="F906"/>
      <c r="G906"/>
      <c r="H906"/>
      <c r="I906"/>
      <c r="J906"/>
      <c r="Q906"/>
      <c r="R906" s="301"/>
      <c r="S906" s="301"/>
      <c r="T906" s="301"/>
      <c r="U906" s="301"/>
      <c r="V906" s="301"/>
      <c r="W906" s="301"/>
    </row>
    <row r="907" spans="2:23" s="147" customFormat="1" ht="14.15" customHeight="1" x14ac:dyDescent="0.35">
      <c r="B907" s="146"/>
      <c r="E907"/>
      <c r="F907"/>
      <c r="G907"/>
      <c r="H907"/>
      <c r="I907"/>
      <c r="J907"/>
      <c r="Q907"/>
      <c r="R907" s="301"/>
      <c r="S907" s="301"/>
      <c r="T907" s="301"/>
      <c r="U907" s="301"/>
      <c r="V907" s="301"/>
      <c r="W907" s="301"/>
    </row>
    <row r="908" spans="2:23" s="147" customFormat="1" ht="14.15" customHeight="1" x14ac:dyDescent="0.35">
      <c r="B908" s="146"/>
      <c r="E908"/>
      <c r="F908"/>
      <c r="G908"/>
      <c r="H908"/>
      <c r="I908"/>
      <c r="J908"/>
      <c r="Q908"/>
      <c r="R908" s="301"/>
      <c r="S908" s="301"/>
      <c r="T908" s="301"/>
      <c r="U908" s="301"/>
      <c r="V908" s="301"/>
      <c r="W908" s="301"/>
    </row>
    <row r="909" spans="2:23" s="147" customFormat="1" ht="14.15" customHeight="1" x14ac:dyDescent="0.35">
      <c r="B909" s="146"/>
      <c r="E909"/>
      <c r="F909"/>
      <c r="G909"/>
      <c r="H909"/>
      <c r="I909"/>
      <c r="J909"/>
      <c r="Q909"/>
      <c r="R909" s="301"/>
      <c r="S909" s="301"/>
      <c r="T909" s="301"/>
      <c r="U909" s="301"/>
      <c r="V909" s="301"/>
      <c r="W909" s="301"/>
    </row>
    <row r="910" spans="2:23" s="147" customFormat="1" ht="14.15" customHeight="1" x14ac:dyDescent="0.35">
      <c r="B910" s="146"/>
      <c r="E910"/>
      <c r="F910"/>
      <c r="G910"/>
      <c r="H910"/>
      <c r="I910"/>
      <c r="J910"/>
      <c r="Q910"/>
      <c r="R910" s="301"/>
      <c r="S910" s="301"/>
      <c r="T910" s="301"/>
      <c r="U910" s="301"/>
      <c r="V910" s="301"/>
      <c r="W910" s="301"/>
    </row>
    <row r="911" spans="2:23" s="147" customFormat="1" ht="14.15" customHeight="1" x14ac:dyDescent="0.35">
      <c r="B911" s="146"/>
      <c r="E911"/>
      <c r="F911"/>
      <c r="G911"/>
      <c r="H911"/>
      <c r="I911"/>
      <c r="J911"/>
      <c r="Q911"/>
      <c r="R911" s="301"/>
      <c r="S911" s="301"/>
      <c r="T911" s="301"/>
      <c r="U911" s="301"/>
      <c r="V911" s="301"/>
      <c r="W911" s="301"/>
    </row>
    <row r="912" spans="2:23" s="147" customFormat="1" ht="14.15" customHeight="1" x14ac:dyDescent="0.35">
      <c r="B912" s="146"/>
      <c r="E912"/>
      <c r="F912"/>
      <c r="G912"/>
      <c r="H912"/>
      <c r="I912"/>
      <c r="J912"/>
      <c r="Q912"/>
      <c r="R912" s="301"/>
      <c r="S912" s="301"/>
      <c r="T912" s="301"/>
      <c r="U912" s="301"/>
      <c r="V912" s="301"/>
      <c r="W912" s="301"/>
    </row>
    <row r="913" spans="2:23" s="147" customFormat="1" ht="14.15" customHeight="1" x14ac:dyDescent="0.35">
      <c r="B913" s="146"/>
      <c r="E913"/>
      <c r="F913"/>
      <c r="G913"/>
      <c r="H913"/>
      <c r="I913"/>
      <c r="J913"/>
      <c r="Q913"/>
      <c r="R913" s="301"/>
      <c r="S913" s="301"/>
      <c r="T913" s="301"/>
      <c r="U913" s="301"/>
      <c r="V913" s="301"/>
      <c r="W913" s="301"/>
    </row>
    <row r="914" spans="2:23" s="147" customFormat="1" ht="14.15" customHeight="1" x14ac:dyDescent="0.35">
      <c r="B914" s="146"/>
      <c r="E914"/>
      <c r="F914"/>
      <c r="G914"/>
      <c r="H914"/>
      <c r="I914"/>
      <c r="J914"/>
      <c r="Q914"/>
      <c r="R914" s="301"/>
      <c r="S914" s="301"/>
      <c r="T914" s="301"/>
      <c r="U914" s="301"/>
      <c r="V914" s="301"/>
      <c r="W914" s="301"/>
    </row>
    <row r="915" spans="2:23" s="147" customFormat="1" ht="14.15" customHeight="1" x14ac:dyDescent="0.35">
      <c r="B915" s="146"/>
      <c r="E915"/>
      <c r="F915"/>
      <c r="G915"/>
      <c r="H915"/>
      <c r="I915"/>
      <c r="J915"/>
      <c r="Q915"/>
      <c r="R915" s="301"/>
      <c r="S915" s="301"/>
      <c r="T915" s="301"/>
      <c r="U915" s="301"/>
      <c r="V915" s="301"/>
      <c r="W915" s="301"/>
    </row>
    <row r="916" spans="2:23" s="147" customFormat="1" ht="14.15" customHeight="1" x14ac:dyDescent="0.35">
      <c r="B916" s="146"/>
      <c r="E916"/>
      <c r="F916"/>
      <c r="G916"/>
      <c r="H916"/>
      <c r="I916"/>
      <c r="J916"/>
      <c r="Q916"/>
      <c r="R916" s="301"/>
      <c r="S916" s="301"/>
      <c r="T916" s="301"/>
      <c r="U916" s="301"/>
      <c r="V916" s="301"/>
      <c r="W916" s="301"/>
    </row>
    <row r="917" spans="2:23" s="147" customFormat="1" ht="14.15" customHeight="1" x14ac:dyDescent="0.35">
      <c r="B917" s="146"/>
      <c r="E917"/>
      <c r="F917"/>
      <c r="G917"/>
      <c r="H917"/>
      <c r="I917"/>
      <c r="J917"/>
      <c r="Q917"/>
      <c r="R917" s="301"/>
      <c r="S917" s="301"/>
      <c r="T917" s="301"/>
      <c r="U917" s="301"/>
      <c r="V917" s="301"/>
      <c r="W917" s="301"/>
    </row>
    <row r="918" spans="2:23" s="147" customFormat="1" ht="14.15" customHeight="1" x14ac:dyDescent="0.35">
      <c r="B918" s="146"/>
      <c r="E918"/>
      <c r="F918"/>
      <c r="G918"/>
      <c r="H918"/>
      <c r="I918"/>
      <c r="J918"/>
      <c r="Q918"/>
      <c r="R918" s="301"/>
      <c r="S918" s="301"/>
      <c r="T918" s="301"/>
      <c r="U918" s="301"/>
      <c r="V918" s="301"/>
      <c r="W918" s="301"/>
    </row>
    <row r="919" spans="2:23" s="147" customFormat="1" ht="14.15" customHeight="1" x14ac:dyDescent="0.35">
      <c r="B919" s="146"/>
      <c r="E919"/>
      <c r="F919"/>
      <c r="G919"/>
      <c r="H919"/>
      <c r="I919"/>
      <c r="J919"/>
      <c r="Q919"/>
      <c r="R919" s="301"/>
      <c r="S919" s="301"/>
      <c r="T919" s="301"/>
      <c r="U919" s="301"/>
      <c r="V919" s="301"/>
      <c r="W919" s="301"/>
    </row>
    <row r="920" spans="2:23" s="147" customFormat="1" ht="14.15" customHeight="1" x14ac:dyDescent="0.35">
      <c r="B920" s="146"/>
      <c r="E920"/>
      <c r="F920"/>
      <c r="G920"/>
      <c r="H920"/>
      <c r="I920"/>
      <c r="J920"/>
      <c r="Q920"/>
      <c r="R920" s="301"/>
      <c r="S920" s="301"/>
      <c r="T920" s="301"/>
      <c r="U920" s="301"/>
      <c r="V920" s="301"/>
      <c r="W920" s="301"/>
    </row>
    <row r="921" spans="2:23" s="147" customFormat="1" ht="14.15" customHeight="1" x14ac:dyDescent="0.35">
      <c r="B921" s="146"/>
      <c r="E921"/>
      <c r="F921"/>
      <c r="G921"/>
      <c r="H921"/>
      <c r="I921"/>
      <c r="J921"/>
      <c r="Q921"/>
      <c r="R921" s="301"/>
      <c r="S921" s="301"/>
      <c r="T921" s="301"/>
      <c r="U921" s="301"/>
      <c r="V921" s="301"/>
      <c r="W921" s="301"/>
    </row>
    <row r="922" spans="2:23" s="147" customFormat="1" ht="14.15" customHeight="1" x14ac:dyDescent="0.35">
      <c r="B922" s="146"/>
      <c r="E922"/>
      <c r="F922"/>
      <c r="G922"/>
      <c r="H922"/>
      <c r="I922"/>
      <c r="J922"/>
      <c r="Q922"/>
      <c r="R922" s="301"/>
      <c r="S922" s="301"/>
      <c r="T922" s="301"/>
      <c r="U922" s="301"/>
      <c r="V922" s="301"/>
      <c r="W922" s="301"/>
    </row>
    <row r="923" spans="2:23" s="147" customFormat="1" ht="14.15" customHeight="1" x14ac:dyDescent="0.35">
      <c r="B923" s="146"/>
      <c r="E923"/>
      <c r="F923"/>
      <c r="G923"/>
      <c r="H923"/>
      <c r="I923"/>
      <c r="J923"/>
      <c r="Q923"/>
      <c r="R923" s="301"/>
      <c r="S923" s="301"/>
      <c r="T923" s="301"/>
      <c r="U923" s="301"/>
      <c r="V923" s="301"/>
      <c r="W923" s="301"/>
    </row>
    <row r="924" spans="2:23" s="147" customFormat="1" ht="14.15" customHeight="1" x14ac:dyDescent="0.35">
      <c r="B924" s="146"/>
      <c r="E924"/>
      <c r="F924"/>
      <c r="G924"/>
      <c r="H924"/>
      <c r="I924"/>
      <c r="J924"/>
      <c r="Q924"/>
      <c r="R924" s="301"/>
      <c r="S924" s="301"/>
      <c r="T924" s="301"/>
      <c r="U924" s="301"/>
      <c r="V924" s="301"/>
      <c r="W924" s="301"/>
    </row>
    <row r="925" spans="2:23" s="147" customFormat="1" ht="14.15" customHeight="1" x14ac:dyDescent="0.35">
      <c r="B925" s="146"/>
      <c r="E925"/>
      <c r="F925"/>
      <c r="G925"/>
      <c r="H925"/>
      <c r="I925"/>
      <c r="J925"/>
      <c r="Q925"/>
      <c r="R925" s="301"/>
      <c r="S925" s="301"/>
      <c r="T925" s="301"/>
      <c r="U925" s="301"/>
      <c r="V925" s="301"/>
      <c r="W925" s="301"/>
    </row>
    <row r="926" spans="2:23" s="147" customFormat="1" ht="14.15" customHeight="1" x14ac:dyDescent="0.35">
      <c r="B926" s="146"/>
      <c r="E926"/>
      <c r="F926"/>
      <c r="G926"/>
      <c r="H926"/>
      <c r="I926"/>
      <c r="J926"/>
      <c r="Q926"/>
      <c r="R926" s="301"/>
      <c r="S926" s="301"/>
      <c r="T926" s="301"/>
      <c r="U926" s="301"/>
      <c r="V926" s="301"/>
      <c r="W926" s="301"/>
    </row>
    <row r="927" spans="2:23" s="147" customFormat="1" ht="14.15" customHeight="1" x14ac:dyDescent="0.35">
      <c r="B927" s="146"/>
      <c r="E927"/>
      <c r="F927"/>
      <c r="G927"/>
      <c r="H927"/>
      <c r="I927"/>
      <c r="J927"/>
      <c r="Q927"/>
      <c r="R927" s="301"/>
      <c r="S927" s="301"/>
      <c r="T927" s="301"/>
      <c r="U927" s="301"/>
      <c r="V927" s="301"/>
      <c r="W927" s="301"/>
    </row>
    <row r="928" spans="2:23" s="147" customFormat="1" ht="14.15" customHeight="1" x14ac:dyDescent="0.35">
      <c r="B928" s="146"/>
      <c r="E928"/>
      <c r="F928"/>
      <c r="G928"/>
      <c r="H928"/>
      <c r="I928"/>
      <c r="J928"/>
      <c r="Q928"/>
      <c r="R928" s="301"/>
      <c r="S928" s="301"/>
      <c r="T928" s="301"/>
      <c r="U928" s="301"/>
      <c r="V928" s="301"/>
      <c r="W928" s="301"/>
    </row>
    <row r="929" spans="2:23" s="147" customFormat="1" ht="14.15" customHeight="1" x14ac:dyDescent="0.35">
      <c r="B929" s="146"/>
      <c r="E929"/>
      <c r="F929"/>
      <c r="G929"/>
      <c r="H929"/>
      <c r="I929"/>
      <c r="J929"/>
      <c r="Q929"/>
      <c r="R929" s="301"/>
      <c r="S929" s="301"/>
      <c r="T929" s="301"/>
      <c r="U929" s="301"/>
      <c r="V929" s="301"/>
      <c r="W929" s="301"/>
    </row>
    <row r="930" spans="2:23" s="147" customFormat="1" ht="14.15" customHeight="1" x14ac:dyDescent="0.35">
      <c r="B930" s="146"/>
      <c r="E930"/>
      <c r="F930"/>
      <c r="G930"/>
      <c r="H930"/>
      <c r="I930"/>
      <c r="J930"/>
      <c r="Q930"/>
      <c r="R930" s="301"/>
      <c r="S930" s="301"/>
      <c r="T930" s="301"/>
      <c r="U930" s="301"/>
      <c r="V930" s="301"/>
      <c r="W930" s="301"/>
    </row>
    <row r="931" spans="2:23" s="147" customFormat="1" ht="14.15" customHeight="1" x14ac:dyDescent="0.35">
      <c r="B931" s="146"/>
      <c r="E931"/>
      <c r="F931"/>
      <c r="G931"/>
      <c r="H931"/>
      <c r="I931"/>
      <c r="J931"/>
      <c r="Q931"/>
      <c r="R931" s="301"/>
      <c r="S931" s="301"/>
      <c r="T931" s="301"/>
      <c r="U931" s="301"/>
      <c r="V931" s="301"/>
      <c r="W931" s="301"/>
    </row>
    <row r="932" spans="2:23" s="147" customFormat="1" ht="14.15" customHeight="1" x14ac:dyDescent="0.35">
      <c r="B932" s="146"/>
      <c r="E932"/>
      <c r="F932"/>
      <c r="G932"/>
      <c r="H932"/>
      <c r="I932"/>
      <c r="J932"/>
      <c r="Q932"/>
      <c r="R932" s="301"/>
      <c r="S932" s="301"/>
      <c r="T932" s="301"/>
      <c r="U932" s="301"/>
      <c r="V932" s="301"/>
      <c r="W932" s="301"/>
    </row>
    <row r="933" spans="2:23" s="147" customFormat="1" ht="14.15" customHeight="1" x14ac:dyDescent="0.35">
      <c r="B933" s="146"/>
      <c r="E933"/>
      <c r="F933"/>
      <c r="G933"/>
      <c r="H933"/>
      <c r="I933"/>
      <c r="J933"/>
      <c r="Q933"/>
      <c r="R933" s="301"/>
      <c r="S933" s="301"/>
      <c r="T933" s="301"/>
      <c r="U933" s="301"/>
      <c r="V933" s="301"/>
      <c r="W933" s="301"/>
    </row>
    <row r="934" spans="2:23" s="147" customFormat="1" ht="14.15" customHeight="1" x14ac:dyDescent="0.35">
      <c r="B934" s="146"/>
      <c r="E934"/>
      <c r="F934"/>
      <c r="G934"/>
      <c r="H934"/>
      <c r="I934"/>
      <c r="J934"/>
      <c r="Q934"/>
      <c r="R934" s="301"/>
      <c r="S934" s="301"/>
      <c r="T934" s="301"/>
      <c r="U934" s="301"/>
      <c r="V934" s="301"/>
      <c r="W934" s="301"/>
    </row>
    <row r="935" spans="2:23" s="147" customFormat="1" ht="14.15" customHeight="1" x14ac:dyDescent="0.35">
      <c r="B935" s="146"/>
      <c r="E935"/>
      <c r="F935"/>
      <c r="G935"/>
      <c r="H935"/>
      <c r="I935"/>
      <c r="J935"/>
      <c r="Q935"/>
      <c r="R935" s="301"/>
      <c r="S935" s="301"/>
      <c r="T935" s="301"/>
      <c r="U935" s="301"/>
      <c r="V935" s="301"/>
      <c r="W935" s="301"/>
    </row>
    <row r="936" spans="2:23" s="147" customFormat="1" ht="14.15" customHeight="1" x14ac:dyDescent="0.35">
      <c r="B936" s="146"/>
      <c r="E936"/>
      <c r="F936"/>
      <c r="G936"/>
      <c r="H936"/>
      <c r="I936"/>
      <c r="J936"/>
      <c r="Q936"/>
      <c r="R936" s="301"/>
      <c r="S936" s="301"/>
      <c r="T936" s="301"/>
      <c r="U936" s="301"/>
      <c r="V936" s="301"/>
      <c r="W936" s="301"/>
    </row>
    <row r="937" spans="2:23" s="147" customFormat="1" ht="14.15" customHeight="1" x14ac:dyDescent="0.35">
      <c r="B937" s="146"/>
      <c r="E937"/>
      <c r="F937"/>
      <c r="G937"/>
      <c r="H937"/>
      <c r="I937"/>
      <c r="J937"/>
      <c r="Q937"/>
      <c r="R937" s="301"/>
      <c r="S937" s="301"/>
      <c r="T937" s="301"/>
      <c r="U937" s="301"/>
      <c r="V937" s="301"/>
      <c r="W937" s="301"/>
    </row>
    <row r="938" spans="2:23" s="147" customFormat="1" ht="14.15" customHeight="1" x14ac:dyDescent="0.35">
      <c r="B938" s="146"/>
      <c r="E938"/>
      <c r="F938"/>
      <c r="G938"/>
      <c r="H938"/>
      <c r="I938"/>
      <c r="J938"/>
      <c r="Q938"/>
      <c r="R938" s="301"/>
      <c r="S938" s="301"/>
      <c r="T938" s="301"/>
      <c r="U938" s="301"/>
      <c r="V938" s="301"/>
      <c r="W938" s="301"/>
    </row>
    <row r="939" spans="2:23" s="147" customFormat="1" ht="14.15" customHeight="1" x14ac:dyDescent="0.35">
      <c r="B939" s="146"/>
      <c r="E939"/>
      <c r="F939"/>
      <c r="G939"/>
      <c r="H939"/>
      <c r="I939"/>
      <c r="J939"/>
      <c r="Q939"/>
      <c r="R939" s="301"/>
      <c r="S939" s="301"/>
      <c r="T939" s="301"/>
      <c r="U939" s="301"/>
      <c r="V939" s="301"/>
      <c r="W939" s="301"/>
    </row>
    <row r="940" spans="2:23" s="147" customFormat="1" ht="14.15" customHeight="1" x14ac:dyDescent="0.35">
      <c r="B940" s="146"/>
      <c r="E940"/>
      <c r="F940"/>
      <c r="G940"/>
      <c r="H940"/>
      <c r="I940"/>
      <c r="J940"/>
      <c r="Q940"/>
      <c r="R940" s="301"/>
      <c r="S940" s="301"/>
      <c r="T940" s="301"/>
      <c r="U940" s="301"/>
      <c r="V940" s="301"/>
      <c r="W940" s="301"/>
    </row>
    <row r="941" spans="2:23" s="147" customFormat="1" ht="14.15" customHeight="1" x14ac:dyDescent="0.35">
      <c r="B941" s="146"/>
      <c r="E941"/>
      <c r="F941"/>
      <c r="G941"/>
      <c r="H941"/>
      <c r="I941"/>
      <c r="J941"/>
      <c r="Q941"/>
      <c r="R941" s="301"/>
      <c r="S941" s="301"/>
      <c r="T941" s="301"/>
      <c r="U941" s="301"/>
      <c r="V941" s="301"/>
      <c r="W941" s="301"/>
    </row>
    <row r="942" spans="2:23" s="147" customFormat="1" ht="14.15" customHeight="1" x14ac:dyDescent="0.35">
      <c r="B942" s="146"/>
      <c r="E942"/>
      <c r="F942"/>
      <c r="G942"/>
      <c r="H942"/>
      <c r="I942"/>
      <c r="J942"/>
      <c r="Q942"/>
      <c r="R942" s="301"/>
      <c r="S942" s="301"/>
      <c r="T942" s="301"/>
      <c r="U942" s="301"/>
      <c r="V942" s="301"/>
      <c r="W942" s="301"/>
    </row>
    <row r="943" spans="2:23" s="147" customFormat="1" ht="14.15" customHeight="1" x14ac:dyDescent="0.35">
      <c r="B943" s="146"/>
      <c r="E943"/>
      <c r="F943"/>
      <c r="G943"/>
      <c r="H943"/>
      <c r="I943"/>
      <c r="J943"/>
      <c r="Q943"/>
      <c r="R943" s="301"/>
      <c r="S943" s="301"/>
      <c r="T943" s="301"/>
      <c r="U943" s="301"/>
      <c r="V943" s="301"/>
      <c r="W943" s="301"/>
    </row>
    <row r="944" spans="2:23" s="147" customFormat="1" ht="14.15" customHeight="1" x14ac:dyDescent="0.35">
      <c r="B944" s="146"/>
      <c r="E944"/>
      <c r="F944"/>
      <c r="G944"/>
      <c r="H944"/>
      <c r="I944"/>
      <c r="J944"/>
      <c r="Q944"/>
      <c r="R944" s="301"/>
      <c r="S944" s="301"/>
      <c r="T944" s="301"/>
      <c r="U944" s="301"/>
      <c r="V944" s="301"/>
      <c r="W944" s="301"/>
    </row>
    <row r="945" spans="2:23" s="147" customFormat="1" ht="14.15" customHeight="1" x14ac:dyDescent="0.35">
      <c r="B945" s="146"/>
      <c r="E945"/>
      <c r="F945"/>
      <c r="G945"/>
      <c r="H945"/>
      <c r="I945"/>
      <c r="J945"/>
      <c r="Q945"/>
      <c r="R945" s="301"/>
      <c r="S945" s="301"/>
      <c r="T945" s="301"/>
      <c r="U945" s="301"/>
      <c r="V945" s="301"/>
      <c r="W945" s="301"/>
    </row>
    <row r="946" spans="2:23" s="147" customFormat="1" ht="14.15" customHeight="1" x14ac:dyDescent="0.35">
      <c r="B946" s="146"/>
      <c r="E946"/>
      <c r="F946"/>
      <c r="G946"/>
      <c r="H946"/>
      <c r="I946"/>
      <c r="J946"/>
      <c r="Q946"/>
      <c r="R946" s="301"/>
      <c r="S946" s="301"/>
      <c r="T946" s="301"/>
      <c r="U946" s="301"/>
      <c r="V946" s="301"/>
      <c r="W946" s="301"/>
    </row>
    <row r="947" spans="2:23" s="147" customFormat="1" ht="14.15" customHeight="1" x14ac:dyDescent="0.35">
      <c r="B947" s="146"/>
      <c r="E947"/>
      <c r="F947"/>
      <c r="G947"/>
      <c r="H947"/>
      <c r="I947"/>
      <c r="J947"/>
      <c r="Q947"/>
      <c r="R947" s="301"/>
      <c r="S947" s="301"/>
      <c r="T947" s="301"/>
      <c r="U947" s="301"/>
      <c r="V947" s="301"/>
      <c r="W947" s="301"/>
    </row>
    <row r="948" spans="2:23" s="147" customFormat="1" ht="14.15" customHeight="1" x14ac:dyDescent="0.35">
      <c r="B948" s="146"/>
      <c r="E948"/>
      <c r="F948"/>
      <c r="G948"/>
      <c r="H948"/>
      <c r="I948"/>
      <c r="J948"/>
      <c r="Q948"/>
      <c r="R948" s="301"/>
      <c r="S948" s="301"/>
      <c r="T948" s="301"/>
      <c r="U948" s="301"/>
      <c r="V948" s="301"/>
      <c r="W948" s="301"/>
    </row>
    <row r="949" spans="2:23" s="147" customFormat="1" ht="14.15" customHeight="1" x14ac:dyDescent="0.35">
      <c r="B949" s="146"/>
      <c r="E949"/>
      <c r="F949"/>
      <c r="G949"/>
      <c r="H949"/>
      <c r="I949"/>
      <c r="J949"/>
      <c r="Q949"/>
      <c r="R949" s="301"/>
      <c r="S949" s="301"/>
      <c r="T949" s="301"/>
      <c r="U949" s="301"/>
      <c r="V949" s="301"/>
      <c r="W949" s="301"/>
    </row>
    <row r="950" spans="2:23" s="147" customFormat="1" ht="14.15" customHeight="1" x14ac:dyDescent="0.35">
      <c r="B950" s="146"/>
      <c r="E950"/>
      <c r="F950"/>
      <c r="G950"/>
      <c r="H950"/>
      <c r="I950"/>
      <c r="J950"/>
      <c r="Q950"/>
      <c r="R950" s="301"/>
      <c r="S950" s="301"/>
      <c r="T950" s="301"/>
      <c r="U950" s="301"/>
      <c r="V950" s="301"/>
      <c r="W950" s="301"/>
    </row>
    <row r="951" spans="2:23" s="147" customFormat="1" ht="14.15" customHeight="1" x14ac:dyDescent="0.35">
      <c r="B951" s="146"/>
      <c r="E951"/>
      <c r="F951"/>
      <c r="G951"/>
      <c r="H951"/>
      <c r="I951"/>
      <c r="J951"/>
      <c r="Q951"/>
      <c r="R951" s="301"/>
      <c r="S951" s="301"/>
      <c r="T951" s="301"/>
      <c r="U951" s="301"/>
      <c r="V951" s="301"/>
      <c r="W951" s="301"/>
    </row>
    <row r="952" spans="2:23" s="147" customFormat="1" ht="14.15" customHeight="1" x14ac:dyDescent="0.35">
      <c r="B952" s="146"/>
      <c r="E952"/>
      <c r="F952"/>
      <c r="G952"/>
      <c r="H952"/>
      <c r="I952"/>
      <c r="J952"/>
      <c r="Q952"/>
      <c r="R952" s="301"/>
      <c r="S952" s="301"/>
      <c r="T952" s="301"/>
      <c r="U952" s="301"/>
      <c r="V952" s="301"/>
      <c r="W952" s="301"/>
    </row>
    <row r="953" spans="2:23" s="147" customFormat="1" ht="14.15" customHeight="1" x14ac:dyDescent="0.35">
      <c r="B953" s="146"/>
      <c r="E953"/>
      <c r="F953"/>
      <c r="G953"/>
      <c r="H953"/>
      <c r="I953"/>
      <c r="J953"/>
      <c r="Q953"/>
      <c r="R953" s="301"/>
      <c r="S953" s="301"/>
      <c r="T953" s="301"/>
      <c r="U953" s="301"/>
      <c r="V953" s="301"/>
      <c r="W953" s="301"/>
    </row>
    <row r="954" spans="2:23" s="147" customFormat="1" ht="14.15" customHeight="1" x14ac:dyDescent="0.35">
      <c r="B954" s="146"/>
      <c r="E954"/>
      <c r="F954"/>
      <c r="G954"/>
      <c r="H954"/>
      <c r="I954"/>
      <c r="J954"/>
      <c r="Q954"/>
      <c r="R954" s="301"/>
      <c r="S954" s="301"/>
      <c r="T954" s="301"/>
      <c r="U954" s="301"/>
      <c r="V954" s="301"/>
      <c r="W954" s="301"/>
    </row>
    <row r="955" spans="2:23" s="147" customFormat="1" ht="14.15" customHeight="1" x14ac:dyDescent="0.35">
      <c r="B955" s="146"/>
      <c r="E955"/>
      <c r="F955"/>
      <c r="G955"/>
      <c r="H955"/>
      <c r="I955"/>
      <c r="J955"/>
      <c r="Q955"/>
      <c r="R955" s="301"/>
      <c r="S955" s="301"/>
      <c r="T955" s="301"/>
      <c r="U955" s="301"/>
      <c r="V955" s="301"/>
      <c r="W955" s="301"/>
    </row>
    <row r="956" spans="2:23" s="147" customFormat="1" ht="14.15" customHeight="1" x14ac:dyDescent="0.35">
      <c r="B956" s="146"/>
      <c r="E956"/>
      <c r="F956"/>
      <c r="G956"/>
      <c r="H956"/>
      <c r="I956"/>
      <c r="J956"/>
      <c r="Q956"/>
      <c r="R956" s="301"/>
      <c r="S956" s="301"/>
      <c r="T956" s="301"/>
      <c r="U956" s="301"/>
      <c r="V956" s="301"/>
      <c r="W956" s="301"/>
    </row>
    <row r="957" spans="2:23" s="147" customFormat="1" ht="14.15" customHeight="1" x14ac:dyDescent="0.35">
      <c r="B957" s="146"/>
      <c r="E957"/>
      <c r="F957"/>
      <c r="G957"/>
      <c r="H957"/>
      <c r="I957"/>
      <c r="J957"/>
      <c r="Q957"/>
      <c r="R957" s="301"/>
      <c r="S957" s="301"/>
      <c r="T957" s="301"/>
      <c r="U957" s="301"/>
      <c r="V957" s="301"/>
      <c r="W957" s="301"/>
    </row>
    <row r="958" spans="2:23" s="147" customFormat="1" ht="14.15" customHeight="1" x14ac:dyDescent="0.35">
      <c r="B958" s="146"/>
      <c r="E958"/>
      <c r="F958"/>
      <c r="G958"/>
      <c r="H958"/>
      <c r="I958"/>
      <c r="J958"/>
      <c r="Q958"/>
      <c r="R958" s="301"/>
      <c r="S958" s="301"/>
      <c r="T958" s="301"/>
      <c r="U958" s="301"/>
      <c r="V958" s="301"/>
      <c r="W958" s="301"/>
    </row>
    <row r="959" spans="2:23" s="147" customFormat="1" ht="14.15" customHeight="1" x14ac:dyDescent="0.35">
      <c r="B959" s="146"/>
      <c r="E959"/>
      <c r="F959"/>
      <c r="G959"/>
      <c r="H959"/>
      <c r="I959"/>
      <c r="J959"/>
      <c r="Q959"/>
      <c r="R959" s="301"/>
      <c r="S959" s="301"/>
      <c r="T959" s="301"/>
      <c r="U959" s="301"/>
      <c r="V959" s="301"/>
      <c r="W959" s="301"/>
    </row>
    <row r="960" spans="2:23" s="147" customFormat="1" ht="14.15" customHeight="1" x14ac:dyDescent="0.35">
      <c r="B960" s="146"/>
      <c r="E960"/>
      <c r="F960"/>
      <c r="G960"/>
      <c r="H960"/>
      <c r="I960"/>
      <c r="J960"/>
      <c r="Q960"/>
      <c r="R960" s="301"/>
      <c r="S960" s="301"/>
      <c r="T960" s="301"/>
      <c r="U960" s="301"/>
      <c r="V960" s="301"/>
      <c r="W960" s="301"/>
    </row>
    <row r="961" spans="2:23" s="147" customFormat="1" ht="14.15" customHeight="1" x14ac:dyDescent="0.35">
      <c r="B961" s="146"/>
      <c r="E961"/>
      <c r="F961"/>
      <c r="G961"/>
      <c r="H961"/>
      <c r="I961"/>
      <c r="J961"/>
      <c r="Q961"/>
      <c r="R961" s="301"/>
      <c r="S961" s="301"/>
      <c r="T961" s="301"/>
      <c r="U961" s="301"/>
      <c r="V961" s="301"/>
      <c r="W961" s="301"/>
    </row>
    <row r="962" spans="2:23" s="147" customFormat="1" ht="14.15" customHeight="1" x14ac:dyDescent="0.35">
      <c r="B962" s="146"/>
      <c r="E962"/>
      <c r="F962"/>
      <c r="G962"/>
      <c r="H962"/>
      <c r="I962"/>
      <c r="J962"/>
      <c r="Q962"/>
      <c r="R962" s="301"/>
      <c r="S962" s="301"/>
      <c r="T962" s="301"/>
      <c r="U962" s="301"/>
      <c r="V962" s="301"/>
      <c r="W962" s="301"/>
    </row>
    <row r="963" spans="2:23" s="147" customFormat="1" ht="14.15" customHeight="1" x14ac:dyDescent="0.35">
      <c r="B963" s="146"/>
      <c r="E963"/>
      <c r="F963"/>
      <c r="G963"/>
      <c r="H963"/>
      <c r="I963"/>
      <c r="J963"/>
      <c r="Q963"/>
      <c r="R963" s="301"/>
      <c r="S963" s="301"/>
      <c r="T963" s="301"/>
      <c r="U963" s="301"/>
      <c r="V963" s="301"/>
      <c r="W963" s="301"/>
    </row>
    <row r="964" spans="2:23" s="147" customFormat="1" ht="14.15" customHeight="1" x14ac:dyDescent="0.35">
      <c r="B964" s="146"/>
      <c r="E964"/>
      <c r="F964"/>
      <c r="G964"/>
      <c r="H964"/>
      <c r="I964"/>
      <c r="J964"/>
      <c r="Q964"/>
      <c r="R964" s="301"/>
      <c r="S964" s="301"/>
      <c r="T964" s="301"/>
      <c r="U964" s="301"/>
      <c r="V964" s="301"/>
      <c r="W964" s="301"/>
    </row>
    <row r="965" spans="2:23" s="147" customFormat="1" ht="14.15" customHeight="1" x14ac:dyDescent="0.35">
      <c r="B965" s="146"/>
      <c r="E965"/>
      <c r="F965"/>
      <c r="G965"/>
      <c r="H965"/>
      <c r="I965"/>
      <c r="J965"/>
      <c r="Q965"/>
      <c r="R965" s="301"/>
      <c r="S965" s="301"/>
      <c r="T965" s="301"/>
      <c r="U965" s="301"/>
      <c r="V965" s="301"/>
      <c r="W965" s="301"/>
    </row>
    <row r="966" spans="2:23" s="147" customFormat="1" ht="14.15" customHeight="1" x14ac:dyDescent="0.35">
      <c r="B966" s="146"/>
      <c r="E966"/>
      <c r="F966"/>
      <c r="G966"/>
      <c r="H966"/>
      <c r="I966"/>
      <c r="J966"/>
      <c r="Q966"/>
      <c r="R966" s="301"/>
      <c r="S966" s="301"/>
      <c r="T966" s="301"/>
      <c r="U966" s="301"/>
      <c r="V966" s="301"/>
      <c r="W966" s="301"/>
    </row>
    <row r="967" spans="2:23" s="147" customFormat="1" ht="14.15" customHeight="1" x14ac:dyDescent="0.35">
      <c r="B967" s="146"/>
      <c r="E967"/>
      <c r="F967"/>
      <c r="G967"/>
      <c r="H967"/>
      <c r="I967"/>
      <c r="J967"/>
      <c r="Q967"/>
      <c r="R967" s="301"/>
      <c r="S967" s="301"/>
      <c r="T967" s="301"/>
      <c r="U967" s="301"/>
      <c r="V967" s="301"/>
      <c r="W967" s="301"/>
    </row>
    <row r="968" spans="2:23" s="147" customFormat="1" ht="14.15" customHeight="1" x14ac:dyDescent="0.35">
      <c r="B968" s="146"/>
      <c r="E968"/>
      <c r="F968"/>
      <c r="G968"/>
      <c r="H968"/>
      <c r="I968"/>
      <c r="J968"/>
      <c r="Q968"/>
      <c r="R968" s="301"/>
      <c r="S968" s="301"/>
      <c r="T968" s="301"/>
      <c r="U968" s="301"/>
      <c r="V968" s="301"/>
      <c r="W968" s="301"/>
    </row>
    <row r="969" spans="2:23" s="147" customFormat="1" ht="14.15" customHeight="1" x14ac:dyDescent="0.35">
      <c r="B969" s="146"/>
      <c r="E969"/>
      <c r="F969"/>
      <c r="G969"/>
      <c r="H969"/>
      <c r="I969"/>
      <c r="J969"/>
      <c r="Q969"/>
      <c r="R969" s="301"/>
      <c r="S969" s="301"/>
      <c r="T969" s="301"/>
      <c r="U969" s="301"/>
      <c r="V969" s="301"/>
      <c r="W969" s="301"/>
    </row>
    <row r="970" spans="2:23" s="147" customFormat="1" ht="14.15" customHeight="1" x14ac:dyDescent="0.35">
      <c r="B970" s="146"/>
      <c r="E970"/>
      <c r="F970"/>
      <c r="G970"/>
      <c r="H970"/>
      <c r="I970"/>
      <c r="J970"/>
      <c r="Q970"/>
      <c r="R970" s="301"/>
      <c r="S970" s="301"/>
      <c r="T970" s="301"/>
      <c r="U970" s="301"/>
      <c r="V970" s="301"/>
      <c r="W970" s="301"/>
    </row>
    <row r="971" spans="2:23" s="147" customFormat="1" ht="14.15" customHeight="1" x14ac:dyDescent="0.35">
      <c r="B971" s="146"/>
      <c r="E971"/>
      <c r="F971"/>
      <c r="G971"/>
      <c r="H971"/>
      <c r="I971"/>
      <c r="J971"/>
      <c r="Q971"/>
      <c r="R971" s="301"/>
      <c r="S971" s="301"/>
      <c r="T971" s="301"/>
      <c r="U971" s="301"/>
      <c r="V971" s="301"/>
      <c r="W971" s="301"/>
    </row>
    <row r="972" spans="2:23" s="147" customFormat="1" ht="14.15" customHeight="1" x14ac:dyDescent="0.35">
      <c r="B972" s="146"/>
      <c r="E972"/>
      <c r="F972"/>
      <c r="G972"/>
      <c r="H972"/>
      <c r="I972"/>
      <c r="J972"/>
      <c r="Q972"/>
      <c r="R972" s="301"/>
      <c r="S972" s="301"/>
      <c r="T972" s="301"/>
      <c r="U972" s="301"/>
      <c r="V972" s="301"/>
      <c r="W972" s="301"/>
    </row>
    <row r="973" spans="2:23" s="147" customFormat="1" ht="14.15" customHeight="1" x14ac:dyDescent="0.35">
      <c r="B973" s="146"/>
      <c r="E973"/>
      <c r="F973"/>
      <c r="G973"/>
      <c r="H973"/>
      <c r="I973"/>
      <c r="J973"/>
      <c r="Q973"/>
      <c r="R973" s="301"/>
      <c r="S973" s="301"/>
      <c r="T973" s="301"/>
      <c r="U973" s="301"/>
      <c r="V973" s="301"/>
      <c r="W973" s="301"/>
    </row>
    <row r="974" spans="2:23" s="147" customFormat="1" ht="14.15" customHeight="1" x14ac:dyDescent="0.35">
      <c r="B974" s="146"/>
      <c r="E974"/>
      <c r="F974"/>
      <c r="G974"/>
      <c r="H974"/>
      <c r="I974"/>
      <c r="J974"/>
      <c r="Q974"/>
      <c r="R974" s="301"/>
      <c r="S974" s="301"/>
      <c r="T974" s="301"/>
      <c r="U974" s="301"/>
      <c r="V974" s="301"/>
      <c r="W974" s="301"/>
    </row>
    <row r="975" spans="2:23" s="147" customFormat="1" ht="14.15" customHeight="1" x14ac:dyDescent="0.35">
      <c r="B975" s="146"/>
      <c r="E975"/>
      <c r="F975"/>
      <c r="G975"/>
      <c r="H975"/>
      <c r="I975"/>
      <c r="J975"/>
      <c r="Q975"/>
      <c r="R975" s="301"/>
      <c r="S975" s="301"/>
      <c r="T975" s="301"/>
      <c r="U975" s="301"/>
      <c r="V975" s="301"/>
      <c r="W975" s="301"/>
    </row>
    <row r="976" spans="2:23" s="147" customFormat="1" ht="14.15" customHeight="1" x14ac:dyDescent="0.35">
      <c r="B976" s="146"/>
      <c r="E976"/>
      <c r="F976"/>
      <c r="G976"/>
      <c r="H976"/>
      <c r="I976"/>
      <c r="J976"/>
      <c r="Q976"/>
      <c r="R976" s="301"/>
      <c r="S976" s="301"/>
      <c r="T976" s="301"/>
      <c r="U976" s="301"/>
      <c r="V976" s="301"/>
      <c r="W976" s="301"/>
    </row>
    <row r="977" spans="2:23" s="147" customFormat="1" ht="14.15" customHeight="1" x14ac:dyDescent="0.35">
      <c r="B977" s="146"/>
      <c r="E977"/>
      <c r="F977"/>
      <c r="G977"/>
      <c r="H977"/>
      <c r="I977"/>
      <c r="J977"/>
      <c r="Q977"/>
      <c r="R977" s="301"/>
      <c r="S977" s="301"/>
      <c r="T977" s="301"/>
      <c r="U977" s="301"/>
      <c r="V977" s="301"/>
      <c r="W977" s="301"/>
    </row>
    <row r="978" spans="2:23" s="147" customFormat="1" ht="14.15" customHeight="1" x14ac:dyDescent="0.35">
      <c r="B978" s="146"/>
      <c r="E978"/>
      <c r="F978"/>
      <c r="G978"/>
      <c r="H978"/>
      <c r="I978"/>
      <c r="J978"/>
      <c r="Q978"/>
      <c r="R978" s="301"/>
      <c r="S978" s="301"/>
      <c r="T978" s="301"/>
      <c r="U978" s="301"/>
      <c r="V978" s="301"/>
      <c r="W978" s="301"/>
    </row>
    <row r="979" spans="2:23" s="147" customFormat="1" ht="14.15" customHeight="1" x14ac:dyDescent="0.35">
      <c r="B979" s="146"/>
      <c r="E979"/>
      <c r="F979"/>
      <c r="G979"/>
      <c r="H979"/>
      <c r="I979"/>
      <c r="J979"/>
      <c r="Q979"/>
      <c r="R979" s="301"/>
      <c r="S979" s="301"/>
      <c r="T979" s="301"/>
      <c r="U979" s="301"/>
      <c r="V979" s="301"/>
      <c r="W979" s="301"/>
    </row>
    <row r="980" spans="2:23" s="147" customFormat="1" ht="14.15" customHeight="1" x14ac:dyDescent="0.35">
      <c r="B980" s="146"/>
      <c r="E980"/>
      <c r="F980"/>
      <c r="G980"/>
      <c r="H980"/>
      <c r="I980"/>
      <c r="J980"/>
      <c r="Q980"/>
      <c r="R980" s="301"/>
      <c r="S980" s="301"/>
      <c r="T980" s="301"/>
      <c r="U980" s="301"/>
      <c r="V980" s="301"/>
      <c r="W980" s="301"/>
    </row>
    <row r="981" spans="2:23" s="147" customFormat="1" ht="14.15" customHeight="1" x14ac:dyDescent="0.35">
      <c r="B981" s="146"/>
      <c r="E981"/>
      <c r="F981"/>
      <c r="G981"/>
      <c r="H981"/>
      <c r="I981"/>
      <c r="J981"/>
      <c r="Q981"/>
      <c r="R981" s="301"/>
      <c r="S981" s="301"/>
      <c r="T981" s="301"/>
      <c r="U981" s="301"/>
      <c r="V981" s="301"/>
      <c r="W981" s="301"/>
    </row>
    <row r="982" spans="2:23" s="147" customFormat="1" ht="14.15" customHeight="1" x14ac:dyDescent="0.35">
      <c r="B982" s="146"/>
      <c r="E982"/>
      <c r="F982"/>
      <c r="G982"/>
      <c r="H982"/>
      <c r="I982"/>
      <c r="J982"/>
      <c r="Q982"/>
      <c r="R982" s="301"/>
      <c r="S982" s="301"/>
      <c r="T982" s="301"/>
      <c r="U982" s="301"/>
      <c r="V982" s="301"/>
      <c r="W982" s="301"/>
    </row>
    <row r="983" spans="2:23" s="147" customFormat="1" ht="14.15" customHeight="1" x14ac:dyDescent="0.35">
      <c r="B983" s="146"/>
      <c r="E983"/>
      <c r="F983"/>
      <c r="G983"/>
      <c r="H983"/>
      <c r="I983"/>
      <c r="J983"/>
      <c r="Q983"/>
      <c r="R983" s="301"/>
      <c r="S983" s="301"/>
      <c r="T983" s="301"/>
      <c r="U983" s="301"/>
      <c r="V983" s="301"/>
      <c r="W983" s="301"/>
    </row>
    <row r="984" spans="2:23" s="147" customFormat="1" ht="14.15" customHeight="1" x14ac:dyDescent="0.35">
      <c r="B984" s="146"/>
      <c r="E984"/>
      <c r="F984"/>
      <c r="G984"/>
      <c r="H984"/>
      <c r="I984"/>
      <c r="J984"/>
      <c r="Q984"/>
      <c r="R984" s="301"/>
      <c r="S984" s="301"/>
      <c r="T984" s="301"/>
      <c r="U984" s="301"/>
      <c r="V984" s="301"/>
      <c r="W984" s="301"/>
    </row>
    <row r="985" spans="2:23" s="147" customFormat="1" ht="14.15" customHeight="1" x14ac:dyDescent="0.35">
      <c r="B985" s="146"/>
      <c r="E985"/>
      <c r="F985"/>
      <c r="G985"/>
      <c r="H985"/>
      <c r="I985"/>
      <c r="J985"/>
      <c r="Q985"/>
      <c r="R985" s="301"/>
      <c r="S985" s="301"/>
      <c r="T985" s="301"/>
      <c r="U985" s="301"/>
      <c r="V985" s="301"/>
      <c r="W985" s="301"/>
    </row>
    <row r="986" spans="2:23" s="147" customFormat="1" ht="14.15" customHeight="1" x14ac:dyDescent="0.35">
      <c r="B986" s="146"/>
      <c r="E986"/>
      <c r="F986"/>
      <c r="G986"/>
      <c r="H986"/>
      <c r="I986"/>
      <c r="J986"/>
      <c r="Q986"/>
      <c r="R986" s="301"/>
      <c r="S986" s="301"/>
      <c r="T986" s="301"/>
      <c r="U986" s="301"/>
      <c r="V986" s="301"/>
      <c r="W986" s="301"/>
    </row>
    <row r="987" spans="2:23" s="147" customFormat="1" ht="14.15" customHeight="1" x14ac:dyDescent="0.35">
      <c r="B987" s="146"/>
      <c r="E987"/>
      <c r="F987"/>
      <c r="G987"/>
      <c r="H987"/>
      <c r="I987"/>
      <c r="J987"/>
      <c r="Q987"/>
      <c r="R987" s="301"/>
      <c r="S987" s="301"/>
      <c r="T987" s="301"/>
      <c r="U987" s="301"/>
      <c r="V987" s="301"/>
      <c r="W987" s="301"/>
    </row>
    <row r="988" spans="2:23" s="147" customFormat="1" ht="14.15" customHeight="1" x14ac:dyDescent="0.35">
      <c r="B988" s="146"/>
      <c r="E988"/>
      <c r="F988"/>
      <c r="G988"/>
      <c r="H988"/>
      <c r="I988"/>
      <c r="J988"/>
      <c r="Q988"/>
      <c r="R988" s="301"/>
      <c r="S988" s="301"/>
      <c r="T988" s="301"/>
      <c r="U988" s="301"/>
      <c r="V988" s="301"/>
      <c r="W988" s="301"/>
    </row>
    <row r="989" spans="2:23" s="147" customFormat="1" ht="14.15" customHeight="1" x14ac:dyDescent="0.35">
      <c r="B989" s="146"/>
      <c r="E989"/>
      <c r="F989"/>
      <c r="G989"/>
      <c r="H989"/>
      <c r="I989"/>
      <c r="J989"/>
      <c r="Q989"/>
      <c r="R989" s="301"/>
      <c r="S989" s="301"/>
      <c r="T989" s="301"/>
      <c r="U989" s="301"/>
      <c r="V989" s="301"/>
      <c r="W989" s="301"/>
    </row>
    <row r="990" spans="2:23" s="147" customFormat="1" ht="14.15" customHeight="1" x14ac:dyDescent="0.35">
      <c r="B990" s="146"/>
      <c r="E990"/>
      <c r="F990"/>
      <c r="G990"/>
      <c r="H990"/>
      <c r="I990"/>
      <c r="J990"/>
      <c r="Q990"/>
      <c r="R990" s="301"/>
      <c r="S990" s="301"/>
      <c r="T990" s="301"/>
      <c r="U990" s="301"/>
      <c r="V990" s="301"/>
      <c r="W990" s="301"/>
    </row>
    <row r="991" spans="2:23" s="147" customFormat="1" ht="14.15" customHeight="1" x14ac:dyDescent="0.35">
      <c r="B991" s="146"/>
      <c r="E991"/>
      <c r="F991"/>
      <c r="G991"/>
      <c r="H991"/>
      <c r="I991"/>
      <c r="J991"/>
      <c r="Q991"/>
      <c r="R991" s="301"/>
      <c r="S991" s="301"/>
      <c r="T991" s="301"/>
      <c r="U991" s="301"/>
      <c r="V991" s="301"/>
      <c r="W991" s="301"/>
    </row>
    <row r="992" spans="2:23" s="147" customFormat="1" ht="14.15" customHeight="1" x14ac:dyDescent="0.35">
      <c r="B992" s="146"/>
      <c r="E992"/>
      <c r="F992"/>
      <c r="G992"/>
      <c r="H992"/>
      <c r="I992"/>
      <c r="J992"/>
      <c r="Q992"/>
      <c r="R992" s="301"/>
      <c r="S992" s="301"/>
      <c r="T992" s="301"/>
      <c r="U992" s="301"/>
      <c r="V992" s="301"/>
      <c r="W992" s="301"/>
    </row>
    <row r="993" spans="2:23" s="147" customFormat="1" ht="14.15" customHeight="1" x14ac:dyDescent="0.35">
      <c r="B993" s="146"/>
      <c r="E993"/>
      <c r="F993"/>
      <c r="G993"/>
      <c r="H993"/>
      <c r="I993"/>
      <c r="J993"/>
      <c r="Q993"/>
      <c r="R993" s="301"/>
      <c r="S993" s="301"/>
      <c r="T993" s="301"/>
      <c r="U993" s="301"/>
      <c r="V993" s="301"/>
      <c r="W993" s="301"/>
    </row>
    <row r="994" spans="2:23" s="147" customFormat="1" ht="14.15" customHeight="1" x14ac:dyDescent="0.35">
      <c r="B994" s="146"/>
      <c r="E994"/>
      <c r="F994"/>
      <c r="G994"/>
      <c r="H994"/>
      <c r="I994"/>
      <c r="J994"/>
      <c r="Q994"/>
      <c r="R994" s="301"/>
      <c r="S994" s="301"/>
      <c r="T994" s="301"/>
      <c r="U994" s="301"/>
      <c r="V994" s="301"/>
      <c r="W994" s="301"/>
    </row>
    <row r="995" spans="2:23" s="147" customFormat="1" ht="14.15" customHeight="1" x14ac:dyDescent="0.35">
      <c r="B995" s="146"/>
      <c r="E995"/>
      <c r="F995"/>
      <c r="G995"/>
      <c r="H995"/>
      <c r="I995"/>
      <c r="J995"/>
      <c r="Q995"/>
      <c r="R995" s="301"/>
      <c r="S995" s="301"/>
      <c r="T995" s="301"/>
      <c r="U995" s="301"/>
      <c r="V995" s="301"/>
      <c r="W995" s="301"/>
    </row>
    <row r="996" spans="2:23" s="147" customFormat="1" ht="14.15" customHeight="1" x14ac:dyDescent="0.35">
      <c r="B996" s="146"/>
      <c r="E996"/>
      <c r="F996"/>
      <c r="G996"/>
      <c r="H996"/>
      <c r="I996"/>
      <c r="J996"/>
      <c r="Q996"/>
      <c r="R996" s="301"/>
      <c r="S996" s="301"/>
      <c r="T996" s="301"/>
      <c r="U996" s="301"/>
      <c r="V996" s="301"/>
      <c r="W996" s="301"/>
    </row>
    <row r="997" spans="2:23" s="147" customFormat="1" ht="14.15" customHeight="1" x14ac:dyDescent="0.35">
      <c r="B997" s="146"/>
      <c r="E997"/>
      <c r="F997"/>
      <c r="G997"/>
      <c r="H997"/>
      <c r="I997"/>
      <c r="J997"/>
      <c r="Q997"/>
      <c r="R997" s="301"/>
      <c r="S997" s="301"/>
      <c r="T997" s="301"/>
      <c r="U997" s="301"/>
      <c r="V997" s="301"/>
      <c r="W997" s="301"/>
    </row>
    <row r="998" spans="2:23" s="147" customFormat="1" ht="14.15" customHeight="1" x14ac:dyDescent="0.35">
      <c r="B998" s="146"/>
      <c r="E998"/>
      <c r="F998"/>
      <c r="G998"/>
      <c r="H998"/>
      <c r="I998"/>
      <c r="J998"/>
      <c r="Q998"/>
      <c r="R998" s="301"/>
      <c r="S998" s="301"/>
      <c r="T998" s="301"/>
      <c r="U998" s="301"/>
      <c r="V998" s="301"/>
      <c r="W998" s="301"/>
    </row>
    <row r="999" spans="2:23" s="147" customFormat="1" ht="14.15" customHeight="1" x14ac:dyDescent="0.35">
      <c r="B999" s="146"/>
      <c r="E999"/>
      <c r="F999"/>
      <c r="G999"/>
      <c r="H999"/>
      <c r="I999"/>
      <c r="J999"/>
      <c r="Q999"/>
      <c r="R999" s="301"/>
      <c r="S999" s="301"/>
      <c r="T999" s="301"/>
      <c r="U999" s="301"/>
      <c r="V999" s="301"/>
      <c r="W999" s="301"/>
    </row>
    <row r="1000" spans="2:23" s="147" customFormat="1" ht="14.15" customHeight="1" x14ac:dyDescent="0.35">
      <c r="B1000" s="146"/>
      <c r="E1000"/>
      <c r="F1000"/>
      <c r="G1000"/>
      <c r="H1000"/>
      <c r="I1000"/>
      <c r="J1000"/>
      <c r="Q1000"/>
      <c r="R1000" s="301"/>
      <c r="S1000" s="301"/>
      <c r="T1000" s="301"/>
      <c r="U1000" s="301"/>
      <c r="V1000" s="301"/>
      <c r="W1000" s="301"/>
    </row>
    <row r="1001" spans="2:23" s="147" customFormat="1" ht="14.15" customHeight="1" x14ac:dyDescent="0.35">
      <c r="B1001" s="146"/>
      <c r="E1001"/>
      <c r="F1001"/>
      <c r="G1001"/>
      <c r="H1001"/>
      <c r="I1001"/>
      <c r="J1001"/>
      <c r="Q1001"/>
      <c r="R1001" s="301"/>
      <c r="S1001" s="301"/>
      <c r="T1001" s="301"/>
      <c r="U1001" s="301"/>
      <c r="V1001" s="301"/>
      <c r="W1001" s="301"/>
    </row>
    <row r="1002" spans="2:23" s="147" customFormat="1" ht="14.15" customHeight="1" x14ac:dyDescent="0.35">
      <c r="B1002" s="146"/>
      <c r="E1002"/>
      <c r="F1002"/>
      <c r="G1002"/>
      <c r="H1002"/>
      <c r="I1002"/>
      <c r="J1002"/>
      <c r="Q1002"/>
      <c r="R1002" s="301"/>
      <c r="S1002" s="301"/>
      <c r="T1002" s="301"/>
      <c r="U1002" s="301"/>
      <c r="V1002" s="301"/>
      <c r="W1002" s="301"/>
    </row>
    <row r="1003" spans="2:23" s="147" customFormat="1" ht="14.15" customHeight="1" x14ac:dyDescent="0.35">
      <c r="B1003" s="146"/>
      <c r="E1003"/>
      <c r="F1003"/>
      <c r="G1003"/>
      <c r="H1003"/>
      <c r="I1003"/>
      <c r="J1003"/>
      <c r="Q1003"/>
      <c r="R1003" s="301"/>
      <c r="S1003" s="301"/>
      <c r="T1003" s="301"/>
      <c r="U1003" s="301"/>
      <c r="V1003" s="301"/>
      <c r="W1003" s="301"/>
    </row>
    <row r="1004" spans="2:23" s="147" customFormat="1" ht="14.15" customHeight="1" x14ac:dyDescent="0.35">
      <c r="B1004" s="146"/>
      <c r="E1004"/>
      <c r="F1004"/>
      <c r="G1004"/>
      <c r="H1004"/>
      <c r="I1004"/>
      <c r="J1004"/>
      <c r="Q1004"/>
      <c r="R1004" s="301"/>
      <c r="S1004" s="301"/>
      <c r="T1004" s="301"/>
      <c r="U1004" s="301"/>
      <c r="V1004" s="301"/>
      <c r="W1004" s="301"/>
    </row>
    <row r="1005" spans="2:23" s="147" customFormat="1" ht="14.15" customHeight="1" x14ac:dyDescent="0.35">
      <c r="B1005" s="146"/>
      <c r="E1005"/>
      <c r="F1005"/>
      <c r="G1005"/>
      <c r="H1005"/>
      <c r="I1005"/>
      <c r="J1005"/>
      <c r="Q1005"/>
      <c r="R1005" s="301"/>
      <c r="S1005" s="301"/>
      <c r="T1005" s="301"/>
      <c r="U1005" s="301"/>
      <c r="V1005" s="301"/>
      <c r="W1005" s="301"/>
    </row>
    <row r="1006" spans="2:23" s="147" customFormat="1" ht="14.15" customHeight="1" x14ac:dyDescent="0.35">
      <c r="B1006" s="146"/>
      <c r="E1006"/>
      <c r="F1006"/>
      <c r="G1006"/>
      <c r="H1006"/>
      <c r="I1006"/>
      <c r="J1006"/>
      <c r="Q1006"/>
      <c r="R1006" s="301"/>
      <c r="S1006" s="301"/>
      <c r="T1006" s="301"/>
      <c r="U1006" s="301"/>
      <c r="V1006" s="301"/>
      <c r="W1006" s="301"/>
    </row>
    <row r="1007" spans="2:23" s="147" customFormat="1" ht="14.15" customHeight="1" x14ac:dyDescent="0.35">
      <c r="B1007" s="146"/>
      <c r="E1007"/>
      <c r="F1007"/>
      <c r="G1007"/>
      <c r="H1007"/>
      <c r="I1007"/>
      <c r="J1007"/>
      <c r="Q1007"/>
      <c r="R1007" s="301"/>
      <c r="S1007" s="301"/>
      <c r="T1007" s="301"/>
      <c r="U1007" s="301"/>
      <c r="V1007" s="301"/>
      <c r="W1007" s="301"/>
    </row>
    <row r="1008" spans="2:23" s="147" customFormat="1" ht="14.15" customHeight="1" x14ac:dyDescent="0.35">
      <c r="B1008" s="146"/>
      <c r="E1008"/>
      <c r="F1008"/>
      <c r="G1008"/>
      <c r="H1008"/>
      <c r="I1008"/>
      <c r="J1008"/>
      <c r="Q1008"/>
      <c r="R1008" s="301"/>
      <c r="S1008" s="301"/>
      <c r="T1008" s="301"/>
      <c r="U1008" s="301"/>
      <c r="V1008" s="301"/>
      <c r="W1008" s="301"/>
    </row>
    <row r="1009" spans="2:23" s="147" customFormat="1" ht="14.15" customHeight="1" x14ac:dyDescent="0.35">
      <c r="B1009" s="146"/>
      <c r="E1009"/>
      <c r="F1009"/>
      <c r="G1009"/>
      <c r="H1009"/>
      <c r="I1009"/>
      <c r="J1009"/>
      <c r="Q1009"/>
      <c r="R1009" s="301"/>
      <c r="S1009" s="301"/>
      <c r="T1009" s="301"/>
      <c r="U1009" s="301"/>
      <c r="V1009" s="301"/>
      <c r="W1009" s="301"/>
    </row>
    <row r="1010" spans="2:23" s="147" customFormat="1" ht="14.15" customHeight="1" x14ac:dyDescent="0.35">
      <c r="B1010" s="146"/>
      <c r="E1010"/>
      <c r="F1010"/>
      <c r="G1010"/>
      <c r="H1010"/>
      <c r="I1010"/>
      <c r="J1010"/>
      <c r="Q1010"/>
      <c r="R1010" s="301"/>
      <c r="S1010" s="301"/>
      <c r="T1010" s="301"/>
      <c r="U1010" s="301"/>
      <c r="V1010" s="301"/>
      <c r="W1010" s="301"/>
    </row>
    <row r="1011" spans="2:23" s="147" customFormat="1" ht="14.15" customHeight="1" x14ac:dyDescent="0.35">
      <c r="B1011" s="146"/>
      <c r="E1011"/>
      <c r="F1011"/>
      <c r="G1011"/>
      <c r="H1011"/>
      <c r="I1011"/>
      <c r="J1011"/>
      <c r="Q1011"/>
      <c r="R1011" s="301"/>
      <c r="S1011" s="301"/>
      <c r="T1011" s="301"/>
      <c r="U1011" s="301"/>
      <c r="V1011" s="301"/>
      <c r="W1011" s="301"/>
    </row>
    <row r="1012" spans="2:23" s="147" customFormat="1" ht="14.15" customHeight="1" x14ac:dyDescent="0.35">
      <c r="B1012" s="146"/>
      <c r="E1012"/>
      <c r="F1012"/>
      <c r="G1012"/>
      <c r="H1012"/>
      <c r="I1012"/>
      <c r="J1012"/>
      <c r="Q1012"/>
      <c r="R1012" s="301"/>
      <c r="S1012" s="301"/>
      <c r="T1012" s="301"/>
      <c r="U1012" s="301"/>
      <c r="V1012" s="301"/>
      <c r="W1012" s="301"/>
    </row>
    <row r="1013" spans="2:23" s="147" customFormat="1" ht="14.15" customHeight="1" x14ac:dyDescent="0.35">
      <c r="B1013" s="146"/>
      <c r="E1013"/>
      <c r="F1013"/>
      <c r="G1013"/>
      <c r="H1013"/>
      <c r="I1013"/>
      <c r="J1013"/>
      <c r="Q1013"/>
      <c r="R1013" s="301"/>
      <c r="S1013" s="301"/>
      <c r="T1013" s="301"/>
      <c r="U1013" s="301"/>
      <c r="V1013" s="301"/>
      <c r="W1013" s="301"/>
    </row>
    <row r="1014" spans="2:23" s="147" customFormat="1" ht="14.15" customHeight="1" x14ac:dyDescent="0.35">
      <c r="B1014" s="146"/>
      <c r="E1014"/>
      <c r="F1014"/>
      <c r="G1014"/>
      <c r="H1014"/>
      <c r="I1014"/>
      <c r="J1014"/>
      <c r="Q1014"/>
      <c r="R1014" s="301"/>
      <c r="S1014" s="301"/>
      <c r="T1014" s="301"/>
      <c r="U1014" s="301"/>
      <c r="V1014" s="301"/>
      <c r="W1014" s="301"/>
    </row>
    <row r="1015" spans="2:23" s="147" customFormat="1" ht="14.15" customHeight="1" x14ac:dyDescent="0.35">
      <c r="B1015" s="146"/>
      <c r="E1015"/>
      <c r="F1015"/>
      <c r="G1015"/>
      <c r="H1015"/>
      <c r="I1015"/>
      <c r="J1015"/>
      <c r="Q1015"/>
      <c r="R1015" s="301"/>
      <c r="S1015" s="301"/>
      <c r="T1015" s="301"/>
      <c r="U1015" s="301"/>
      <c r="V1015" s="301"/>
      <c r="W1015" s="301"/>
    </row>
    <row r="1016" spans="2:23" s="147" customFormat="1" ht="14.15" customHeight="1" x14ac:dyDescent="0.35">
      <c r="B1016" s="146"/>
      <c r="E1016"/>
      <c r="F1016"/>
      <c r="G1016"/>
      <c r="H1016"/>
      <c r="I1016"/>
      <c r="J1016"/>
      <c r="Q1016"/>
      <c r="R1016" s="301"/>
      <c r="S1016" s="301"/>
      <c r="T1016" s="301"/>
      <c r="U1016" s="301"/>
      <c r="V1016" s="301"/>
      <c r="W1016" s="301"/>
    </row>
    <row r="1017" spans="2:23" s="147" customFormat="1" ht="14.15" customHeight="1" x14ac:dyDescent="0.35">
      <c r="B1017" s="146"/>
      <c r="E1017"/>
      <c r="F1017"/>
      <c r="G1017"/>
      <c r="H1017"/>
      <c r="I1017"/>
      <c r="J1017"/>
      <c r="Q1017"/>
      <c r="R1017" s="301"/>
      <c r="S1017" s="301"/>
      <c r="T1017" s="301"/>
      <c r="U1017" s="301"/>
      <c r="V1017" s="301"/>
      <c r="W1017" s="301"/>
    </row>
    <row r="1018" spans="2:23" s="147" customFormat="1" ht="14.15" customHeight="1" x14ac:dyDescent="0.35">
      <c r="B1018" s="146"/>
      <c r="E1018"/>
      <c r="F1018"/>
      <c r="G1018"/>
      <c r="H1018"/>
      <c r="I1018"/>
      <c r="J1018"/>
      <c r="Q1018"/>
      <c r="R1018" s="301"/>
      <c r="S1018" s="301"/>
      <c r="T1018" s="301"/>
      <c r="U1018" s="301"/>
      <c r="V1018" s="301"/>
      <c r="W1018" s="301"/>
    </row>
    <row r="1019" spans="2:23" s="147" customFormat="1" ht="14.15" customHeight="1" x14ac:dyDescent="0.35">
      <c r="B1019" s="146"/>
      <c r="E1019"/>
      <c r="F1019"/>
      <c r="G1019"/>
      <c r="H1019"/>
      <c r="I1019"/>
      <c r="J1019"/>
      <c r="Q1019"/>
      <c r="R1019" s="301"/>
      <c r="S1019" s="301"/>
      <c r="T1019" s="301"/>
      <c r="U1019" s="301"/>
      <c r="V1019" s="301"/>
      <c r="W1019" s="301"/>
    </row>
    <row r="1020" spans="2:23" s="147" customFormat="1" ht="14.15" customHeight="1" x14ac:dyDescent="0.35">
      <c r="B1020" s="146"/>
      <c r="E1020"/>
      <c r="F1020"/>
      <c r="G1020"/>
      <c r="H1020"/>
      <c r="I1020"/>
      <c r="J1020"/>
      <c r="Q1020"/>
      <c r="R1020" s="301"/>
      <c r="S1020" s="301"/>
      <c r="T1020" s="301"/>
      <c r="U1020" s="301"/>
      <c r="V1020" s="301"/>
      <c r="W1020" s="301"/>
    </row>
    <row r="1021" spans="2:23" s="147" customFormat="1" ht="14.15" customHeight="1" x14ac:dyDescent="0.35">
      <c r="B1021" s="146"/>
      <c r="E1021"/>
      <c r="F1021"/>
      <c r="G1021"/>
      <c r="H1021"/>
      <c r="I1021"/>
      <c r="J1021"/>
      <c r="Q1021"/>
      <c r="R1021" s="301"/>
      <c r="S1021" s="301"/>
      <c r="T1021" s="301"/>
      <c r="U1021" s="301"/>
      <c r="V1021" s="301"/>
      <c r="W1021" s="301"/>
    </row>
    <row r="1022" spans="2:23" s="147" customFormat="1" ht="14.15" customHeight="1" x14ac:dyDescent="0.35">
      <c r="B1022" s="146"/>
      <c r="E1022"/>
      <c r="F1022"/>
      <c r="G1022"/>
      <c r="H1022"/>
      <c r="I1022"/>
      <c r="J1022"/>
      <c r="Q1022"/>
      <c r="R1022" s="301"/>
      <c r="S1022" s="301"/>
      <c r="T1022" s="301"/>
      <c r="U1022" s="301"/>
      <c r="V1022" s="301"/>
      <c r="W1022" s="301"/>
    </row>
    <row r="1023" spans="2:23" s="147" customFormat="1" ht="14.15" customHeight="1" x14ac:dyDescent="0.35">
      <c r="B1023" s="146"/>
      <c r="E1023"/>
      <c r="F1023"/>
      <c r="G1023"/>
      <c r="H1023"/>
      <c r="I1023"/>
      <c r="J1023"/>
      <c r="Q1023"/>
      <c r="R1023" s="301"/>
      <c r="S1023" s="301"/>
      <c r="T1023" s="301"/>
      <c r="U1023" s="301"/>
      <c r="V1023" s="301"/>
      <c r="W1023" s="301"/>
    </row>
    <row r="1024" spans="2:23" s="147" customFormat="1" ht="14.15" customHeight="1" x14ac:dyDescent="0.35">
      <c r="B1024" s="146"/>
      <c r="E1024"/>
      <c r="F1024"/>
      <c r="G1024"/>
      <c r="H1024"/>
      <c r="I1024"/>
      <c r="J1024"/>
      <c r="Q1024"/>
      <c r="R1024" s="301"/>
      <c r="S1024" s="301"/>
      <c r="T1024" s="301"/>
      <c r="U1024" s="301"/>
      <c r="V1024" s="301"/>
      <c r="W1024" s="301"/>
    </row>
    <row r="1025" spans="2:23" s="147" customFormat="1" ht="14.15" customHeight="1" x14ac:dyDescent="0.35">
      <c r="B1025" s="146"/>
      <c r="E1025"/>
      <c r="F1025"/>
      <c r="G1025"/>
      <c r="H1025"/>
      <c r="I1025"/>
      <c r="J1025"/>
      <c r="Q1025"/>
      <c r="R1025" s="301"/>
      <c r="S1025" s="301"/>
      <c r="T1025" s="301"/>
      <c r="U1025" s="301"/>
      <c r="V1025" s="301"/>
      <c r="W1025" s="301"/>
    </row>
    <row r="1026" spans="2:23" s="147" customFormat="1" ht="14.15" customHeight="1" x14ac:dyDescent="0.35">
      <c r="B1026" s="146"/>
      <c r="E1026"/>
      <c r="F1026"/>
      <c r="G1026"/>
      <c r="H1026"/>
      <c r="I1026"/>
      <c r="J1026"/>
      <c r="Q1026"/>
      <c r="R1026" s="301"/>
      <c r="S1026" s="301"/>
      <c r="T1026" s="301"/>
      <c r="U1026" s="301"/>
      <c r="V1026" s="301"/>
      <c r="W1026" s="301"/>
    </row>
    <row r="1027" spans="2:23" s="147" customFormat="1" ht="14.15" customHeight="1" x14ac:dyDescent="0.35">
      <c r="B1027" s="146"/>
      <c r="E1027"/>
      <c r="F1027"/>
      <c r="G1027"/>
      <c r="H1027"/>
      <c r="I1027"/>
      <c r="J1027"/>
      <c r="Q1027"/>
      <c r="R1027" s="301"/>
      <c r="S1027" s="301"/>
      <c r="T1027" s="301"/>
      <c r="U1027" s="301"/>
      <c r="V1027" s="301"/>
      <c r="W1027" s="301"/>
    </row>
    <row r="1028" spans="2:23" s="147" customFormat="1" ht="14.15" customHeight="1" x14ac:dyDescent="0.35">
      <c r="B1028" s="146"/>
      <c r="E1028"/>
      <c r="F1028"/>
      <c r="G1028"/>
      <c r="H1028"/>
      <c r="I1028"/>
      <c r="J1028"/>
      <c r="Q1028"/>
      <c r="R1028" s="301"/>
      <c r="S1028" s="301"/>
      <c r="T1028" s="301"/>
      <c r="U1028" s="301"/>
      <c r="V1028" s="301"/>
      <c r="W1028" s="301"/>
    </row>
    <row r="1029" spans="2:23" s="147" customFormat="1" ht="14.15" customHeight="1" x14ac:dyDescent="0.35">
      <c r="B1029" s="146"/>
      <c r="E1029"/>
      <c r="F1029"/>
      <c r="G1029"/>
      <c r="H1029"/>
      <c r="I1029"/>
      <c r="J1029"/>
      <c r="Q1029"/>
      <c r="R1029" s="301"/>
      <c r="S1029" s="301"/>
      <c r="T1029" s="301"/>
      <c r="U1029" s="301"/>
      <c r="V1029" s="301"/>
      <c r="W1029" s="301"/>
    </row>
    <row r="1030" spans="2:23" s="147" customFormat="1" ht="14.15" customHeight="1" x14ac:dyDescent="0.35">
      <c r="B1030" s="146"/>
      <c r="E1030"/>
      <c r="F1030"/>
      <c r="G1030"/>
      <c r="H1030"/>
      <c r="I1030"/>
      <c r="J1030"/>
      <c r="Q1030"/>
      <c r="R1030" s="301"/>
      <c r="S1030" s="301"/>
      <c r="T1030" s="301"/>
      <c r="U1030" s="301"/>
      <c r="V1030" s="301"/>
      <c r="W1030" s="301"/>
    </row>
    <row r="1031" spans="2:23" s="147" customFormat="1" ht="14.15" customHeight="1" x14ac:dyDescent="0.35">
      <c r="B1031" s="146"/>
      <c r="E1031"/>
      <c r="F1031"/>
      <c r="G1031"/>
      <c r="H1031"/>
      <c r="I1031"/>
      <c r="J1031"/>
      <c r="Q1031"/>
      <c r="R1031" s="301"/>
      <c r="S1031" s="301"/>
      <c r="T1031" s="301"/>
      <c r="U1031" s="301"/>
      <c r="V1031" s="301"/>
      <c r="W1031" s="301"/>
    </row>
    <row r="1032" spans="2:23" s="147" customFormat="1" ht="14.15" customHeight="1" x14ac:dyDescent="0.35">
      <c r="B1032" s="146"/>
      <c r="E1032"/>
      <c r="F1032"/>
      <c r="G1032"/>
      <c r="H1032"/>
      <c r="I1032"/>
      <c r="J1032"/>
      <c r="Q1032"/>
      <c r="R1032" s="301"/>
      <c r="S1032" s="301"/>
      <c r="T1032" s="301"/>
      <c r="U1032" s="301"/>
      <c r="V1032" s="301"/>
      <c r="W1032" s="301"/>
    </row>
    <row r="1033" spans="2:23" s="147" customFormat="1" ht="14.15" customHeight="1" x14ac:dyDescent="0.35">
      <c r="B1033" s="146"/>
      <c r="E1033"/>
      <c r="F1033"/>
      <c r="G1033"/>
      <c r="H1033"/>
      <c r="I1033"/>
      <c r="J1033"/>
      <c r="Q1033"/>
      <c r="R1033" s="301"/>
      <c r="S1033" s="301"/>
      <c r="T1033" s="301"/>
      <c r="U1033" s="301"/>
      <c r="V1033" s="301"/>
      <c r="W1033" s="301"/>
    </row>
    <row r="1034" spans="2:23" s="147" customFormat="1" ht="14.15" customHeight="1" x14ac:dyDescent="0.35">
      <c r="B1034" s="146"/>
      <c r="E1034"/>
      <c r="F1034"/>
      <c r="G1034"/>
      <c r="H1034"/>
      <c r="I1034"/>
      <c r="J1034"/>
      <c r="Q1034"/>
      <c r="R1034" s="301"/>
      <c r="S1034" s="301"/>
      <c r="T1034" s="301"/>
      <c r="U1034" s="301"/>
      <c r="V1034" s="301"/>
      <c r="W1034" s="301"/>
    </row>
    <row r="1035" spans="2:23" s="147" customFormat="1" ht="14.15" customHeight="1" x14ac:dyDescent="0.35">
      <c r="B1035" s="146"/>
      <c r="E1035"/>
      <c r="F1035"/>
      <c r="G1035"/>
      <c r="H1035"/>
      <c r="I1035"/>
      <c r="J1035"/>
      <c r="Q1035"/>
      <c r="R1035" s="301"/>
      <c r="S1035" s="301"/>
      <c r="T1035" s="301"/>
      <c r="U1035" s="301"/>
      <c r="V1035" s="301"/>
      <c r="W1035" s="301"/>
    </row>
    <row r="1036" spans="2:23" s="147" customFormat="1" ht="14.15" customHeight="1" x14ac:dyDescent="0.35">
      <c r="B1036" s="146"/>
      <c r="E1036"/>
      <c r="F1036"/>
      <c r="G1036"/>
      <c r="H1036"/>
      <c r="I1036"/>
      <c r="J1036"/>
      <c r="Q1036"/>
      <c r="R1036" s="301"/>
      <c r="S1036" s="301"/>
      <c r="T1036" s="301"/>
      <c r="U1036" s="301"/>
      <c r="V1036" s="301"/>
      <c r="W1036" s="301"/>
    </row>
    <row r="1037" spans="2:23" s="147" customFormat="1" ht="14.15" customHeight="1" x14ac:dyDescent="0.35">
      <c r="B1037" s="146"/>
      <c r="E1037"/>
      <c r="F1037"/>
      <c r="G1037"/>
      <c r="H1037"/>
      <c r="I1037"/>
      <c r="J1037"/>
      <c r="Q1037"/>
      <c r="R1037" s="301"/>
      <c r="S1037" s="301"/>
      <c r="T1037" s="301"/>
      <c r="U1037" s="301"/>
      <c r="V1037" s="301"/>
      <c r="W1037" s="301"/>
    </row>
    <row r="1038" spans="2:23" s="147" customFormat="1" ht="14.15" customHeight="1" x14ac:dyDescent="0.35">
      <c r="B1038" s="146"/>
      <c r="E1038"/>
      <c r="F1038"/>
      <c r="G1038"/>
      <c r="H1038"/>
      <c r="I1038"/>
      <c r="J1038"/>
      <c r="Q1038"/>
      <c r="R1038" s="301"/>
      <c r="S1038" s="301"/>
      <c r="T1038" s="301"/>
      <c r="U1038" s="301"/>
      <c r="V1038" s="301"/>
      <c r="W1038" s="301"/>
    </row>
    <row r="1039" spans="2:23" s="147" customFormat="1" ht="14.15" customHeight="1" x14ac:dyDescent="0.35">
      <c r="B1039" s="146"/>
      <c r="E1039"/>
      <c r="F1039"/>
      <c r="G1039"/>
      <c r="H1039"/>
      <c r="I1039"/>
      <c r="J1039"/>
      <c r="Q1039"/>
      <c r="R1039" s="301"/>
      <c r="S1039" s="301"/>
      <c r="T1039" s="301"/>
      <c r="U1039" s="301"/>
      <c r="V1039" s="301"/>
      <c r="W1039" s="301"/>
    </row>
    <row r="1040" spans="2:23" s="147" customFormat="1" ht="14.15" customHeight="1" x14ac:dyDescent="0.35">
      <c r="B1040" s="146"/>
      <c r="E1040"/>
      <c r="F1040"/>
      <c r="G1040"/>
      <c r="H1040"/>
      <c r="I1040"/>
      <c r="J1040"/>
      <c r="Q1040"/>
      <c r="R1040" s="301"/>
      <c r="S1040" s="301"/>
      <c r="T1040" s="301"/>
      <c r="U1040" s="301"/>
      <c r="V1040" s="301"/>
      <c r="W1040" s="301"/>
    </row>
    <row r="1041" spans="2:23" s="147" customFormat="1" ht="14.15" customHeight="1" x14ac:dyDescent="0.35">
      <c r="B1041" s="146"/>
      <c r="E1041"/>
      <c r="F1041"/>
      <c r="G1041"/>
      <c r="H1041"/>
      <c r="I1041"/>
      <c r="J1041"/>
      <c r="Q1041"/>
      <c r="R1041" s="301"/>
      <c r="S1041" s="301"/>
      <c r="T1041" s="301"/>
      <c r="U1041" s="301"/>
      <c r="V1041" s="301"/>
      <c r="W1041" s="301"/>
    </row>
    <row r="1042" spans="2:23" s="147" customFormat="1" ht="14.15" customHeight="1" x14ac:dyDescent="0.35">
      <c r="B1042" s="146"/>
      <c r="E1042"/>
      <c r="F1042"/>
      <c r="G1042"/>
      <c r="H1042"/>
      <c r="I1042"/>
      <c r="J1042"/>
      <c r="Q1042"/>
      <c r="R1042" s="301"/>
      <c r="S1042" s="301"/>
      <c r="T1042" s="301"/>
      <c r="U1042" s="301"/>
      <c r="V1042" s="301"/>
      <c r="W1042" s="301"/>
    </row>
    <row r="1043" spans="2:23" s="147" customFormat="1" ht="14.15" customHeight="1" x14ac:dyDescent="0.35">
      <c r="B1043" s="146"/>
      <c r="E1043"/>
      <c r="F1043"/>
      <c r="G1043"/>
      <c r="H1043"/>
      <c r="I1043"/>
      <c r="J1043"/>
      <c r="Q1043"/>
      <c r="R1043" s="301"/>
      <c r="S1043" s="301"/>
      <c r="T1043" s="301"/>
      <c r="U1043" s="301"/>
      <c r="V1043" s="301"/>
      <c r="W1043" s="301"/>
    </row>
    <row r="1044" spans="2:23" s="147" customFormat="1" ht="14.15" customHeight="1" x14ac:dyDescent="0.35">
      <c r="B1044" s="146"/>
      <c r="E1044"/>
      <c r="F1044"/>
      <c r="G1044"/>
      <c r="H1044"/>
      <c r="I1044"/>
      <c r="J1044"/>
      <c r="Q1044"/>
      <c r="R1044" s="301"/>
      <c r="S1044" s="301"/>
      <c r="T1044" s="301"/>
      <c r="U1044" s="301"/>
      <c r="V1044" s="301"/>
      <c r="W1044" s="301"/>
    </row>
    <row r="1045" spans="2:23" s="147" customFormat="1" ht="14.15" customHeight="1" x14ac:dyDescent="0.35">
      <c r="B1045" s="146"/>
      <c r="E1045"/>
      <c r="F1045"/>
      <c r="G1045"/>
      <c r="H1045"/>
      <c r="I1045"/>
      <c r="J1045"/>
      <c r="Q1045"/>
      <c r="R1045" s="301"/>
      <c r="S1045" s="301"/>
      <c r="T1045" s="301"/>
      <c r="U1045" s="301"/>
      <c r="V1045" s="301"/>
      <c r="W1045" s="301"/>
    </row>
    <row r="1046" spans="2:23" s="147" customFormat="1" ht="14.15" customHeight="1" x14ac:dyDescent="0.35">
      <c r="B1046" s="146"/>
      <c r="E1046"/>
      <c r="F1046"/>
      <c r="G1046"/>
      <c r="H1046"/>
      <c r="I1046"/>
      <c r="J1046"/>
      <c r="Q1046"/>
      <c r="R1046" s="301"/>
      <c r="S1046" s="301"/>
      <c r="T1046" s="301"/>
      <c r="U1046" s="301"/>
      <c r="V1046" s="301"/>
      <c r="W1046" s="301"/>
    </row>
    <row r="1047" spans="2:23" s="147" customFormat="1" ht="14.15" customHeight="1" x14ac:dyDescent="0.35">
      <c r="B1047" s="146"/>
      <c r="E1047"/>
      <c r="F1047"/>
      <c r="G1047"/>
      <c r="H1047"/>
      <c r="I1047"/>
      <c r="J1047"/>
      <c r="Q1047"/>
      <c r="R1047" s="301"/>
      <c r="S1047" s="301"/>
      <c r="T1047" s="301"/>
      <c r="U1047" s="301"/>
      <c r="V1047" s="301"/>
      <c r="W1047" s="301"/>
    </row>
    <row r="1048" spans="2:23" s="147" customFormat="1" ht="14.15" customHeight="1" x14ac:dyDescent="0.35">
      <c r="B1048" s="146"/>
      <c r="E1048"/>
      <c r="F1048"/>
      <c r="G1048"/>
      <c r="H1048"/>
      <c r="I1048"/>
      <c r="J1048"/>
      <c r="Q1048"/>
      <c r="R1048" s="301"/>
      <c r="S1048" s="301"/>
      <c r="T1048" s="301"/>
      <c r="U1048" s="301"/>
      <c r="V1048" s="301"/>
      <c r="W1048" s="301"/>
    </row>
    <row r="1049" spans="2:23" s="147" customFormat="1" ht="14.15" customHeight="1" x14ac:dyDescent="0.35">
      <c r="B1049" s="146"/>
      <c r="E1049"/>
      <c r="F1049"/>
      <c r="G1049"/>
      <c r="H1049"/>
      <c r="I1049"/>
      <c r="J1049"/>
      <c r="Q1049"/>
      <c r="R1049" s="301"/>
      <c r="S1049" s="301"/>
      <c r="T1049" s="301"/>
      <c r="U1049" s="301"/>
      <c r="V1049" s="301"/>
      <c r="W1049" s="301"/>
    </row>
    <row r="1050" spans="2:23" s="147" customFormat="1" ht="14.15" customHeight="1" x14ac:dyDescent="0.35">
      <c r="B1050" s="146"/>
      <c r="E1050"/>
      <c r="F1050"/>
      <c r="G1050"/>
      <c r="H1050"/>
      <c r="I1050"/>
      <c r="J1050"/>
      <c r="Q1050"/>
      <c r="R1050" s="301"/>
      <c r="S1050" s="301"/>
      <c r="T1050" s="301"/>
      <c r="U1050" s="301"/>
      <c r="V1050" s="301"/>
      <c r="W1050" s="301"/>
    </row>
    <row r="1051" spans="2:23" s="147" customFormat="1" ht="14.15" customHeight="1" x14ac:dyDescent="0.35">
      <c r="B1051" s="146"/>
      <c r="E1051"/>
      <c r="F1051"/>
      <c r="G1051"/>
      <c r="H1051"/>
      <c r="I1051"/>
      <c r="J1051"/>
      <c r="Q1051"/>
      <c r="R1051" s="301"/>
      <c r="S1051" s="301"/>
      <c r="T1051" s="301"/>
      <c r="U1051" s="301"/>
      <c r="V1051" s="301"/>
      <c r="W1051" s="301"/>
    </row>
    <row r="1052" spans="2:23" s="147" customFormat="1" ht="14.15" customHeight="1" x14ac:dyDescent="0.35">
      <c r="B1052" s="146"/>
      <c r="E1052"/>
      <c r="F1052"/>
      <c r="G1052"/>
      <c r="H1052"/>
      <c r="I1052"/>
      <c r="J1052"/>
      <c r="Q1052"/>
      <c r="R1052" s="301"/>
      <c r="S1052" s="301"/>
      <c r="T1052" s="301"/>
      <c r="U1052" s="301"/>
      <c r="V1052" s="301"/>
      <c r="W1052" s="301"/>
    </row>
    <row r="1053" spans="2:23" s="147" customFormat="1" ht="14.15" customHeight="1" x14ac:dyDescent="0.35">
      <c r="B1053" s="146"/>
      <c r="E1053"/>
      <c r="F1053"/>
      <c r="G1053"/>
      <c r="H1053"/>
      <c r="I1053"/>
      <c r="J1053"/>
      <c r="Q1053"/>
      <c r="R1053" s="301"/>
      <c r="S1053" s="301"/>
      <c r="T1053" s="301"/>
      <c r="U1053" s="301"/>
      <c r="V1053" s="301"/>
      <c r="W1053" s="301"/>
    </row>
    <row r="1054" spans="2:23" s="147" customFormat="1" ht="14.15" customHeight="1" x14ac:dyDescent="0.35">
      <c r="B1054" s="146"/>
      <c r="E1054"/>
      <c r="F1054"/>
      <c r="G1054"/>
      <c r="H1054"/>
      <c r="I1054"/>
      <c r="J1054"/>
      <c r="Q1054"/>
      <c r="R1054" s="301"/>
      <c r="S1054" s="301"/>
      <c r="T1054" s="301"/>
      <c r="U1054" s="301"/>
      <c r="V1054" s="301"/>
      <c r="W1054" s="301"/>
    </row>
    <row r="1055" spans="2:23" s="147" customFormat="1" ht="14.15" customHeight="1" x14ac:dyDescent="0.35">
      <c r="B1055" s="146"/>
      <c r="E1055"/>
      <c r="F1055"/>
      <c r="G1055"/>
      <c r="H1055"/>
      <c r="I1055"/>
      <c r="J1055"/>
      <c r="Q1055"/>
      <c r="R1055" s="301"/>
      <c r="S1055" s="301"/>
      <c r="T1055" s="301"/>
      <c r="U1055" s="301"/>
      <c r="V1055" s="301"/>
      <c r="W1055" s="301"/>
    </row>
    <row r="1056" spans="2:23" s="147" customFormat="1" ht="14.15" customHeight="1" x14ac:dyDescent="0.35">
      <c r="B1056" s="146"/>
      <c r="E1056"/>
      <c r="F1056"/>
      <c r="G1056"/>
      <c r="H1056"/>
      <c r="I1056"/>
      <c r="J1056"/>
      <c r="Q1056"/>
      <c r="R1056" s="301"/>
      <c r="S1056" s="301"/>
      <c r="T1056" s="301"/>
      <c r="U1056" s="301"/>
      <c r="V1056" s="301"/>
      <c r="W1056" s="301"/>
    </row>
    <row r="1057" spans="2:23" s="147" customFormat="1" ht="14.15" customHeight="1" x14ac:dyDescent="0.35">
      <c r="B1057" s="146"/>
      <c r="E1057"/>
      <c r="F1057"/>
      <c r="G1057"/>
      <c r="H1057"/>
      <c r="I1057"/>
      <c r="J1057"/>
      <c r="Q1057"/>
      <c r="R1057" s="301"/>
      <c r="S1057" s="301"/>
      <c r="T1057" s="301"/>
      <c r="U1057" s="301"/>
      <c r="V1057" s="301"/>
      <c r="W1057" s="301"/>
    </row>
    <row r="1058" spans="2:23" s="147" customFormat="1" ht="14.15" customHeight="1" x14ac:dyDescent="0.35">
      <c r="B1058" s="146"/>
      <c r="E1058"/>
      <c r="F1058"/>
      <c r="G1058"/>
      <c r="H1058"/>
      <c r="I1058"/>
      <c r="J1058"/>
      <c r="Q1058"/>
      <c r="R1058" s="301"/>
      <c r="S1058" s="301"/>
      <c r="T1058" s="301"/>
      <c r="U1058" s="301"/>
      <c r="V1058" s="301"/>
      <c r="W1058" s="301"/>
    </row>
    <row r="1059" spans="2:23" s="147" customFormat="1" ht="14.15" customHeight="1" x14ac:dyDescent="0.35">
      <c r="B1059" s="146"/>
      <c r="E1059"/>
      <c r="F1059"/>
      <c r="G1059"/>
      <c r="H1059"/>
      <c r="I1059"/>
      <c r="J1059"/>
      <c r="Q1059"/>
      <c r="R1059" s="301"/>
      <c r="S1059" s="301"/>
      <c r="T1059" s="301"/>
      <c r="U1059" s="301"/>
      <c r="V1059" s="301"/>
      <c r="W1059" s="301"/>
    </row>
    <row r="1060" spans="2:23" s="147" customFormat="1" ht="14.15" customHeight="1" x14ac:dyDescent="0.35">
      <c r="B1060" s="146"/>
      <c r="E1060"/>
      <c r="F1060"/>
      <c r="G1060"/>
      <c r="H1060"/>
      <c r="I1060"/>
      <c r="J1060"/>
      <c r="Q1060"/>
      <c r="R1060" s="301"/>
      <c r="S1060" s="301"/>
      <c r="T1060" s="301"/>
      <c r="U1060" s="301"/>
      <c r="V1060" s="301"/>
      <c r="W1060" s="301"/>
    </row>
    <row r="1061" spans="2:23" s="147" customFormat="1" ht="14.15" customHeight="1" x14ac:dyDescent="0.35">
      <c r="B1061" s="146"/>
      <c r="E1061"/>
      <c r="F1061"/>
      <c r="G1061"/>
      <c r="H1061"/>
      <c r="I1061"/>
      <c r="J1061"/>
      <c r="Q1061"/>
      <c r="R1061" s="301"/>
      <c r="S1061" s="301"/>
      <c r="T1061" s="301"/>
      <c r="U1061" s="301"/>
      <c r="V1061" s="301"/>
      <c r="W1061" s="301"/>
    </row>
    <row r="1062" spans="2:23" s="147" customFormat="1" ht="14.15" customHeight="1" x14ac:dyDescent="0.35">
      <c r="B1062" s="146"/>
      <c r="E1062"/>
      <c r="F1062"/>
      <c r="G1062"/>
      <c r="H1062"/>
      <c r="I1062"/>
      <c r="J1062"/>
      <c r="Q1062"/>
      <c r="R1062" s="301"/>
      <c r="S1062" s="301"/>
      <c r="T1062" s="301"/>
      <c r="U1062" s="301"/>
      <c r="V1062" s="301"/>
      <c r="W1062" s="301"/>
    </row>
    <row r="1063" spans="2:23" s="147" customFormat="1" ht="14.15" customHeight="1" x14ac:dyDescent="0.35">
      <c r="B1063" s="146"/>
      <c r="E1063"/>
      <c r="F1063"/>
      <c r="G1063"/>
      <c r="H1063"/>
      <c r="I1063"/>
      <c r="J1063"/>
      <c r="Q1063"/>
      <c r="R1063" s="301"/>
      <c r="S1063" s="301"/>
      <c r="T1063" s="301"/>
      <c r="U1063" s="301"/>
      <c r="V1063" s="301"/>
      <c r="W1063" s="301"/>
    </row>
    <row r="1064" spans="2:23" s="147" customFormat="1" ht="14.15" customHeight="1" x14ac:dyDescent="0.35">
      <c r="B1064" s="146"/>
      <c r="E1064"/>
      <c r="F1064"/>
      <c r="G1064"/>
      <c r="H1064"/>
      <c r="I1064"/>
      <c r="J1064"/>
      <c r="Q1064"/>
      <c r="R1064" s="301"/>
      <c r="S1064" s="301"/>
      <c r="T1064" s="301"/>
      <c r="U1064" s="301"/>
      <c r="V1064" s="301"/>
      <c r="W1064" s="301"/>
    </row>
    <row r="1065" spans="2:23" s="147" customFormat="1" ht="14.15" customHeight="1" x14ac:dyDescent="0.35">
      <c r="B1065" s="146"/>
      <c r="E1065"/>
      <c r="F1065"/>
      <c r="G1065"/>
      <c r="H1065"/>
      <c r="I1065"/>
      <c r="J1065"/>
      <c r="Q1065"/>
      <c r="R1065" s="301"/>
      <c r="S1065" s="301"/>
      <c r="T1065" s="301"/>
      <c r="U1065" s="301"/>
      <c r="V1065" s="301"/>
      <c r="W1065" s="301"/>
    </row>
    <row r="1066" spans="2:23" s="147" customFormat="1" ht="14.15" customHeight="1" x14ac:dyDescent="0.35">
      <c r="B1066" s="146"/>
      <c r="E1066"/>
      <c r="F1066"/>
      <c r="G1066"/>
      <c r="H1066"/>
      <c r="I1066"/>
      <c r="J1066"/>
      <c r="Q1066"/>
      <c r="R1066" s="301"/>
      <c r="S1066" s="301"/>
      <c r="T1066" s="301"/>
      <c r="U1066" s="301"/>
      <c r="V1066" s="301"/>
      <c r="W1066" s="301"/>
    </row>
    <row r="1067" spans="2:23" s="147" customFormat="1" ht="14.15" customHeight="1" x14ac:dyDescent="0.35">
      <c r="B1067" s="146"/>
      <c r="E1067"/>
      <c r="F1067"/>
      <c r="G1067"/>
      <c r="H1067"/>
      <c r="I1067"/>
      <c r="J1067"/>
      <c r="Q1067"/>
      <c r="R1067" s="301"/>
      <c r="S1067" s="301"/>
      <c r="T1067" s="301"/>
      <c r="U1067" s="301"/>
      <c r="V1067" s="301"/>
      <c r="W1067" s="301"/>
    </row>
    <row r="1068" spans="2:23" s="147" customFormat="1" ht="14.15" customHeight="1" x14ac:dyDescent="0.35">
      <c r="B1068" s="146"/>
      <c r="E1068"/>
      <c r="F1068"/>
      <c r="G1068"/>
      <c r="H1068"/>
      <c r="I1068"/>
      <c r="J1068"/>
      <c r="Q1068"/>
      <c r="R1068" s="301"/>
      <c r="S1068" s="301"/>
      <c r="T1068" s="301"/>
      <c r="U1068" s="301"/>
      <c r="V1068" s="301"/>
      <c r="W1068" s="301"/>
    </row>
    <row r="1069" spans="2:23" s="147" customFormat="1" ht="14.15" customHeight="1" x14ac:dyDescent="0.35">
      <c r="B1069" s="146"/>
      <c r="E1069"/>
      <c r="F1069"/>
      <c r="G1069"/>
      <c r="H1069"/>
      <c r="I1069"/>
      <c r="J1069"/>
      <c r="Q1069"/>
      <c r="R1069" s="301"/>
      <c r="S1069" s="301"/>
      <c r="T1069" s="301"/>
      <c r="U1069" s="301"/>
      <c r="V1069" s="301"/>
      <c r="W1069" s="301"/>
    </row>
    <row r="1070" spans="2:23" s="147" customFormat="1" ht="14.15" customHeight="1" x14ac:dyDescent="0.35">
      <c r="B1070" s="146"/>
      <c r="E1070"/>
      <c r="F1070"/>
      <c r="G1070"/>
      <c r="H1070"/>
      <c r="I1070"/>
      <c r="J1070"/>
      <c r="Q1070"/>
      <c r="R1070" s="301"/>
      <c r="S1070" s="301"/>
      <c r="T1070" s="301"/>
      <c r="U1070" s="301"/>
      <c r="V1070" s="301"/>
      <c r="W1070" s="301"/>
    </row>
    <row r="1071" spans="2:23" s="147" customFormat="1" ht="14.15" customHeight="1" x14ac:dyDescent="0.35">
      <c r="B1071" s="146"/>
      <c r="E1071"/>
      <c r="F1071"/>
      <c r="G1071"/>
      <c r="H1071"/>
      <c r="I1071"/>
      <c r="J1071"/>
      <c r="Q1071"/>
      <c r="R1071" s="301"/>
      <c r="S1071" s="301"/>
      <c r="T1071" s="301"/>
      <c r="U1071" s="301"/>
      <c r="V1071" s="301"/>
      <c r="W1071" s="301"/>
    </row>
    <row r="1072" spans="2:23" s="147" customFormat="1" ht="14.15" customHeight="1" x14ac:dyDescent="0.35">
      <c r="B1072" s="146"/>
      <c r="E1072"/>
      <c r="F1072"/>
      <c r="G1072"/>
      <c r="H1072"/>
      <c r="I1072"/>
      <c r="J1072"/>
      <c r="Q1072"/>
      <c r="R1072" s="301"/>
      <c r="S1072" s="301"/>
      <c r="T1072" s="301"/>
      <c r="U1072" s="301"/>
      <c r="V1072" s="301"/>
      <c r="W1072" s="301"/>
    </row>
    <row r="1073" spans="2:23" s="147" customFormat="1" ht="14.15" customHeight="1" x14ac:dyDescent="0.35">
      <c r="B1073" s="146"/>
      <c r="E1073"/>
      <c r="F1073"/>
      <c r="G1073"/>
      <c r="H1073"/>
      <c r="I1073"/>
      <c r="J1073"/>
      <c r="Q1073"/>
      <c r="R1073" s="301"/>
      <c r="S1073" s="301"/>
      <c r="T1073" s="301"/>
      <c r="U1073" s="301"/>
      <c r="V1073" s="301"/>
      <c r="W1073" s="301"/>
    </row>
    <row r="1074" spans="2:23" s="147" customFormat="1" ht="14.15" customHeight="1" x14ac:dyDescent="0.35">
      <c r="B1074" s="146"/>
      <c r="E1074"/>
      <c r="F1074"/>
      <c r="G1074"/>
      <c r="H1074"/>
      <c r="I1074"/>
      <c r="J1074"/>
      <c r="Q1074"/>
      <c r="R1074" s="301"/>
      <c r="S1074" s="301"/>
      <c r="T1074" s="301"/>
      <c r="U1074" s="301"/>
      <c r="V1074" s="301"/>
      <c r="W1074" s="301"/>
    </row>
    <row r="1075" spans="2:23" s="147" customFormat="1" ht="14.15" customHeight="1" x14ac:dyDescent="0.35">
      <c r="B1075" s="146"/>
      <c r="E1075"/>
      <c r="F1075"/>
      <c r="G1075"/>
      <c r="H1075"/>
      <c r="I1075"/>
      <c r="J1075"/>
      <c r="Q1075"/>
      <c r="R1075" s="301"/>
      <c r="S1075" s="301"/>
      <c r="T1075" s="301"/>
      <c r="U1075" s="301"/>
      <c r="V1075" s="301"/>
      <c r="W1075" s="301"/>
    </row>
    <row r="1076" spans="2:23" s="147" customFormat="1" ht="14.15" customHeight="1" x14ac:dyDescent="0.35">
      <c r="B1076" s="146"/>
      <c r="E1076"/>
      <c r="F1076"/>
      <c r="G1076"/>
      <c r="H1076"/>
      <c r="I1076"/>
      <c r="J1076"/>
      <c r="Q1076"/>
      <c r="R1076" s="301"/>
      <c r="S1076" s="301"/>
      <c r="T1076" s="301"/>
      <c r="U1076" s="301"/>
      <c r="V1076" s="301"/>
      <c r="W1076" s="301"/>
    </row>
    <row r="1077" spans="2:23" s="147" customFormat="1" ht="14.15" customHeight="1" x14ac:dyDescent="0.35">
      <c r="B1077" s="146"/>
      <c r="E1077"/>
      <c r="F1077"/>
      <c r="G1077"/>
      <c r="H1077"/>
      <c r="I1077"/>
      <c r="J1077"/>
      <c r="Q1077"/>
      <c r="R1077" s="301"/>
      <c r="S1077" s="301"/>
      <c r="T1077" s="301"/>
      <c r="U1077" s="301"/>
      <c r="V1077" s="301"/>
      <c r="W1077" s="301"/>
    </row>
    <row r="1078" spans="2:23" s="147" customFormat="1" ht="14.15" customHeight="1" x14ac:dyDescent="0.35">
      <c r="B1078" s="146"/>
      <c r="E1078"/>
      <c r="F1078"/>
      <c r="G1078"/>
      <c r="H1078"/>
      <c r="I1078"/>
      <c r="J1078"/>
      <c r="Q1078"/>
      <c r="R1078" s="301"/>
      <c r="S1078" s="301"/>
      <c r="T1078" s="301"/>
      <c r="U1078" s="301"/>
      <c r="V1078" s="301"/>
      <c r="W1078" s="301"/>
    </row>
    <row r="1079" spans="2:23" s="147" customFormat="1" ht="14.15" customHeight="1" x14ac:dyDescent="0.35">
      <c r="B1079" s="146"/>
      <c r="E1079"/>
      <c r="F1079"/>
      <c r="G1079"/>
      <c r="H1079"/>
      <c r="I1079"/>
      <c r="J1079"/>
      <c r="Q1079"/>
      <c r="R1079" s="301"/>
      <c r="S1079" s="301"/>
      <c r="T1079" s="301"/>
      <c r="U1079" s="301"/>
      <c r="V1079" s="301"/>
      <c r="W1079" s="301"/>
    </row>
    <row r="1080" spans="2:23" s="147" customFormat="1" ht="14.15" customHeight="1" x14ac:dyDescent="0.35">
      <c r="B1080" s="146"/>
      <c r="E1080"/>
      <c r="F1080"/>
      <c r="G1080"/>
      <c r="H1080"/>
      <c r="I1080"/>
      <c r="J1080"/>
      <c r="Q1080"/>
      <c r="R1080" s="301"/>
      <c r="S1080" s="301"/>
      <c r="T1080" s="301"/>
      <c r="U1080" s="301"/>
      <c r="V1080" s="301"/>
      <c r="W1080" s="301"/>
    </row>
    <row r="1081" spans="2:23" s="147" customFormat="1" ht="14.15" customHeight="1" x14ac:dyDescent="0.35">
      <c r="B1081" s="146"/>
      <c r="E1081"/>
      <c r="F1081"/>
      <c r="G1081"/>
      <c r="H1081"/>
      <c r="I1081"/>
      <c r="J1081"/>
      <c r="Q1081"/>
      <c r="R1081" s="301"/>
      <c r="S1081" s="301"/>
      <c r="T1081" s="301"/>
      <c r="U1081" s="301"/>
      <c r="V1081" s="301"/>
      <c r="W1081" s="301"/>
    </row>
    <row r="1082" spans="2:23" s="147" customFormat="1" ht="14.15" customHeight="1" x14ac:dyDescent="0.35">
      <c r="B1082" s="146"/>
      <c r="E1082"/>
      <c r="F1082"/>
      <c r="G1082"/>
      <c r="H1082"/>
      <c r="I1082"/>
      <c r="J1082"/>
      <c r="Q1082"/>
      <c r="R1082" s="301"/>
      <c r="S1082" s="301"/>
      <c r="T1082" s="301"/>
      <c r="U1082" s="301"/>
      <c r="V1082" s="301"/>
      <c r="W1082" s="301"/>
    </row>
    <row r="1083" spans="2:23" s="147" customFormat="1" ht="14.15" customHeight="1" x14ac:dyDescent="0.35">
      <c r="B1083" s="146"/>
      <c r="E1083"/>
      <c r="F1083"/>
      <c r="G1083"/>
      <c r="H1083"/>
      <c r="I1083"/>
      <c r="J1083"/>
      <c r="Q1083"/>
      <c r="R1083" s="301"/>
      <c r="S1083" s="301"/>
      <c r="T1083" s="301"/>
      <c r="U1083" s="301"/>
      <c r="V1083" s="301"/>
      <c r="W1083" s="301"/>
    </row>
    <row r="1084" spans="2:23" s="147" customFormat="1" ht="14.15" customHeight="1" x14ac:dyDescent="0.35">
      <c r="B1084" s="146"/>
      <c r="E1084"/>
      <c r="F1084"/>
      <c r="G1084"/>
      <c r="H1084"/>
      <c r="I1084"/>
      <c r="J1084"/>
      <c r="Q1084"/>
      <c r="R1084" s="301"/>
      <c r="S1084" s="301"/>
      <c r="T1084" s="301"/>
      <c r="U1084" s="301"/>
      <c r="V1084" s="301"/>
      <c r="W1084" s="301"/>
    </row>
    <row r="1085" spans="2:23" s="147" customFormat="1" ht="14.15" customHeight="1" x14ac:dyDescent="0.35">
      <c r="B1085" s="146"/>
      <c r="E1085"/>
      <c r="F1085"/>
      <c r="G1085"/>
      <c r="H1085"/>
      <c r="I1085"/>
      <c r="J1085"/>
      <c r="Q1085"/>
      <c r="R1085" s="301"/>
      <c r="S1085" s="301"/>
      <c r="T1085" s="301"/>
      <c r="U1085" s="301"/>
      <c r="V1085" s="301"/>
      <c r="W1085" s="301"/>
    </row>
    <row r="1086" spans="2:23" s="147" customFormat="1" ht="14.15" customHeight="1" x14ac:dyDescent="0.35">
      <c r="B1086" s="146"/>
      <c r="E1086"/>
      <c r="F1086"/>
      <c r="G1086"/>
      <c r="H1086"/>
      <c r="I1086"/>
      <c r="J1086"/>
      <c r="Q1086"/>
      <c r="R1086" s="301"/>
      <c r="S1086" s="301"/>
      <c r="T1086" s="301"/>
      <c r="U1086" s="301"/>
      <c r="V1086" s="301"/>
      <c r="W1086" s="301"/>
    </row>
    <row r="1087" spans="2:23" s="147" customFormat="1" ht="14.15" customHeight="1" x14ac:dyDescent="0.35">
      <c r="B1087" s="146"/>
      <c r="E1087"/>
      <c r="F1087"/>
      <c r="G1087"/>
      <c r="H1087"/>
      <c r="I1087"/>
      <c r="J1087"/>
      <c r="Q1087"/>
      <c r="R1087" s="301"/>
      <c r="S1087" s="301"/>
      <c r="T1087" s="301"/>
      <c r="U1087" s="301"/>
      <c r="V1087" s="301"/>
      <c r="W1087" s="301"/>
    </row>
    <row r="1088" spans="2:23" s="147" customFormat="1" ht="14.15" customHeight="1" x14ac:dyDescent="0.35">
      <c r="B1088" s="146"/>
      <c r="E1088"/>
      <c r="F1088"/>
      <c r="G1088"/>
      <c r="H1088"/>
      <c r="I1088"/>
      <c r="J1088"/>
      <c r="Q1088"/>
      <c r="R1088" s="301"/>
      <c r="S1088" s="301"/>
      <c r="T1088" s="301"/>
      <c r="U1088" s="301"/>
      <c r="V1088" s="301"/>
      <c r="W1088" s="301"/>
    </row>
    <row r="1089" spans="2:23" s="147" customFormat="1" ht="14.15" customHeight="1" x14ac:dyDescent="0.35">
      <c r="B1089" s="146"/>
      <c r="E1089"/>
      <c r="F1089"/>
      <c r="G1089"/>
      <c r="H1089"/>
      <c r="I1089"/>
      <c r="J1089"/>
      <c r="Q1089"/>
      <c r="R1089" s="301"/>
      <c r="S1089" s="301"/>
      <c r="T1089" s="301"/>
      <c r="U1089" s="301"/>
      <c r="V1089" s="301"/>
      <c r="W1089" s="301"/>
    </row>
    <row r="1090" spans="2:23" s="147" customFormat="1" ht="14.15" customHeight="1" x14ac:dyDescent="0.35">
      <c r="B1090" s="146"/>
      <c r="E1090"/>
      <c r="F1090"/>
      <c r="G1090"/>
      <c r="H1090"/>
      <c r="I1090"/>
      <c r="J1090"/>
      <c r="Q1090"/>
      <c r="R1090" s="301"/>
      <c r="S1090" s="301"/>
      <c r="T1090" s="301"/>
      <c r="U1090" s="301"/>
      <c r="V1090" s="301"/>
      <c r="W1090" s="301"/>
    </row>
    <row r="1091" spans="2:23" s="147" customFormat="1" ht="14.15" customHeight="1" x14ac:dyDescent="0.35">
      <c r="B1091" s="146"/>
      <c r="E1091"/>
      <c r="F1091"/>
      <c r="G1091"/>
      <c r="H1091"/>
      <c r="I1091"/>
      <c r="J1091"/>
      <c r="Q1091"/>
      <c r="R1091" s="301"/>
      <c r="S1091" s="301"/>
      <c r="T1091" s="301"/>
      <c r="U1091" s="301"/>
      <c r="V1091" s="301"/>
      <c r="W1091" s="301"/>
    </row>
    <row r="1092" spans="2:23" s="147" customFormat="1" ht="14.15" customHeight="1" x14ac:dyDescent="0.35">
      <c r="B1092" s="146"/>
      <c r="E1092"/>
      <c r="F1092"/>
      <c r="G1092"/>
      <c r="H1092"/>
      <c r="I1092"/>
      <c r="J1092"/>
      <c r="Q1092"/>
      <c r="R1092" s="301"/>
      <c r="S1092" s="301"/>
      <c r="T1092" s="301"/>
      <c r="U1092" s="301"/>
      <c r="V1092" s="301"/>
      <c r="W1092" s="301"/>
    </row>
    <row r="1093" spans="2:23" s="147" customFormat="1" ht="14.15" customHeight="1" x14ac:dyDescent="0.35">
      <c r="B1093" s="146"/>
      <c r="E1093"/>
      <c r="F1093"/>
      <c r="G1093"/>
      <c r="H1093"/>
      <c r="I1093"/>
      <c r="J1093"/>
      <c r="Q1093"/>
      <c r="R1093" s="301"/>
      <c r="S1093" s="301"/>
      <c r="T1093" s="301"/>
      <c r="U1093" s="301"/>
      <c r="V1093" s="301"/>
      <c r="W1093" s="301"/>
    </row>
    <row r="1094" spans="2:23" s="147" customFormat="1" ht="14.15" customHeight="1" x14ac:dyDescent="0.35">
      <c r="B1094" s="146"/>
      <c r="E1094"/>
      <c r="F1094"/>
      <c r="G1094"/>
      <c r="H1094"/>
      <c r="I1094"/>
      <c r="J1094"/>
      <c r="Q1094"/>
      <c r="R1094" s="301"/>
      <c r="S1094" s="301"/>
      <c r="T1094" s="301"/>
      <c r="U1094" s="301"/>
      <c r="V1094" s="301"/>
      <c r="W1094" s="301"/>
    </row>
    <row r="1095" spans="2:23" s="147" customFormat="1" ht="14.15" customHeight="1" x14ac:dyDescent="0.35">
      <c r="B1095" s="146"/>
      <c r="E1095"/>
      <c r="F1095"/>
      <c r="G1095"/>
      <c r="H1095"/>
      <c r="I1095"/>
      <c r="J1095"/>
      <c r="Q1095"/>
      <c r="R1095" s="301"/>
      <c r="S1095" s="301"/>
      <c r="T1095" s="301"/>
      <c r="U1095" s="301"/>
      <c r="V1095" s="301"/>
      <c r="W1095" s="301"/>
    </row>
    <row r="1096" spans="2:23" s="147" customFormat="1" ht="14.15" customHeight="1" x14ac:dyDescent="0.35">
      <c r="B1096" s="146"/>
      <c r="E1096"/>
      <c r="F1096"/>
      <c r="G1096"/>
      <c r="H1096"/>
      <c r="I1096"/>
      <c r="J1096"/>
      <c r="Q1096"/>
      <c r="R1096" s="301"/>
      <c r="S1096" s="301"/>
      <c r="T1096" s="301"/>
      <c r="U1096" s="301"/>
      <c r="V1096" s="301"/>
      <c r="W1096" s="301"/>
    </row>
    <row r="1097" spans="2:23" s="147" customFormat="1" ht="14.15" customHeight="1" x14ac:dyDescent="0.35">
      <c r="B1097" s="146"/>
      <c r="E1097"/>
      <c r="F1097"/>
      <c r="G1097"/>
      <c r="H1097"/>
      <c r="I1097"/>
      <c r="J1097"/>
      <c r="Q1097"/>
      <c r="R1097" s="301"/>
      <c r="S1097" s="301"/>
      <c r="T1097" s="301"/>
      <c r="U1097" s="301"/>
      <c r="V1097" s="301"/>
      <c r="W1097" s="301"/>
    </row>
    <row r="1098" spans="2:23" s="147" customFormat="1" ht="14.15" customHeight="1" x14ac:dyDescent="0.35">
      <c r="B1098" s="146"/>
      <c r="E1098"/>
      <c r="F1098"/>
      <c r="G1098"/>
      <c r="H1098"/>
      <c r="I1098"/>
      <c r="J1098"/>
      <c r="Q1098"/>
      <c r="R1098" s="301"/>
      <c r="S1098" s="301"/>
      <c r="T1098" s="301"/>
      <c r="U1098" s="301"/>
      <c r="V1098" s="301"/>
      <c r="W1098" s="301"/>
    </row>
    <row r="1099" spans="2:23" s="147" customFormat="1" ht="14.15" customHeight="1" x14ac:dyDescent="0.35">
      <c r="B1099" s="146"/>
      <c r="E1099"/>
      <c r="F1099"/>
      <c r="G1099"/>
      <c r="H1099"/>
      <c r="I1099"/>
      <c r="J1099"/>
      <c r="Q1099"/>
      <c r="R1099" s="301"/>
      <c r="S1099" s="301"/>
      <c r="T1099" s="301"/>
      <c r="U1099" s="301"/>
      <c r="V1099" s="301"/>
      <c r="W1099" s="301"/>
    </row>
    <row r="1100" spans="2:23" s="147" customFormat="1" ht="14.15" customHeight="1" x14ac:dyDescent="0.35">
      <c r="B1100" s="146"/>
      <c r="E1100"/>
      <c r="F1100"/>
      <c r="G1100"/>
      <c r="H1100"/>
      <c r="I1100"/>
      <c r="J1100"/>
      <c r="Q1100"/>
      <c r="R1100" s="301"/>
      <c r="S1100" s="301"/>
      <c r="T1100" s="301"/>
      <c r="U1100" s="301"/>
      <c r="V1100" s="301"/>
      <c r="W1100" s="301"/>
    </row>
    <row r="1101" spans="2:23" s="147" customFormat="1" ht="14.15" customHeight="1" x14ac:dyDescent="0.35">
      <c r="B1101" s="146"/>
      <c r="E1101"/>
      <c r="F1101"/>
      <c r="G1101"/>
      <c r="H1101"/>
      <c r="I1101"/>
      <c r="J1101"/>
      <c r="Q1101"/>
      <c r="R1101" s="301"/>
      <c r="S1101" s="301"/>
      <c r="T1101" s="301"/>
      <c r="U1101" s="301"/>
      <c r="V1101" s="301"/>
      <c r="W1101" s="301"/>
    </row>
    <row r="1102" spans="2:23" s="147" customFormat="1" ht="14.15" customHeight="1" x14ac:dyDescent="0.35">
      <c r="B1102" s="146"/>
      <c r="E1102"/>
      <c r="F1102"/>
      <c r="G1102"/>
      <c r="H1102"/>
      <c r="I1102"/>
      <c r="J1102"/>
      <c r="Q1102"/>
      <c r="R1102" s="301"/>
      <c r="S1102" s="301"/>
      <c r="T1102" s="301"/>
      <c r="U1102" s="301"/>
      <c r="V1102" s="301"/>
      <c r="W1102" s="301"/>
    </row>
    <row r="1103" spans="2:23" s="147" customFormat="1" ht="14.15" customHeight="1" x14ac:dyDescent="0.35">
      <c r="B1103" s="146"/>
      <c r="E1103"/>
      <c r="F1103"/>
      <c r="G1103"/>
      <c r="H1103"/>
      <c r="I1103"/>
      <c r="J1103"/>
      <c r="Q1103"/>
      <c r="R1103" s="301"/>
      <c r="S1103" s="301"/>
      <c r="T1103" s="301"/>
      <c r="U1103" s="301"/>
      <c r="V1103" s="301"/>
      <c r="W1103" s="301"/>
    </row>
    <row r="1104" spans="2:23" s="147" customFormat="1" ht="14.15" customHeight="1" x14ac:dyDescent="0.35">
      <c r="B1104" s="146"/>
      <c r="E1104"/>
      <c r="F1104"/>
      <c r="G1104"/>
      <c r="H1104"/>
      <c r="I1104"/>
      <c r="J1104"/>
      <c r="Q1104"/>
      <c r="R1104" s="301"/>
      <c r="S1104" s="301"/>
      <c r="T1104" s="301"/>
      <c r="U1104" s="301"/>
      <c r="V1104" s="301"/>
      <c r="W1104" s="301"/>
    </row>
    <row r="1105" spans="2:23" s="147" customFormat="1" ht="14.15" customHeight="1" x14ac:dyDescent="0.35">
      <c r="B1105" s="146"/>
      <c r="E1105"/>
      <c r="F1105"/>
      <c r="G1105"/>
      <c r="H1105"/>
      <c r="I1105"/>
      <c r="J1105"/>
      <c r="Q1105"/>
      <c r="R1105" s="301"/>
      <c r="S1105" s="301"/>
      <c r="T1105" s="301"/>
      <c r="U1105" s="301"/>
      <c r="V1105" s="301"/>
      <c r="W1105" s="301"/>
    </row>
    <row r="1106" spans="2:23" s="147" customFormat="1" ht="14.15" customHeight="1" x14ac:dyDescent="0.35">
      <c r="B1106" s="146"/>
      <c r="E1106"/>
      <c r="F1106"/>
      <c r="G1106"/>
      <c r="H1106"/>
      <c r="I1106"/>
      <c r="J1106"/>
      <c r="Q1106"/>
      <c r="R1106" s="301"/>
      <c r="S1106" s="301"/>
      <c r="T1106" s="301"/>
      <c r="U1106" s="301"/>
      <c r="V1106" s="301"/>
      <c r="W1106" s="301"/>
    </row>
    <row r="1107" spans="2:23" s="147" customFormat="1" ht="14.15" customHeight="1" x14ac:dyDescent="0.35">
      <c r="B1107" s="146"/>
      <c r="E1107"/>
      <c r="F1107"/>
      <c r="G1107"/>
      <c r="H1107"/>
      <c r="I1107"/>
      <c r="J1107"/>
      <c r="Q1107"/>
      <c r="R1107" s="301"/>
      <c r="S1107" s="301"/>
      <c r="T1107" s="301"/>
      <c r="U1107" s="301"/>
      <c r="V1107" s="301"/>
      <c r="W1107" s="301"/>
    </row>
    <row r="1108" spans="2:23" s="147" customFormat="1" ht="14.15" customHeight="1" x14ac:dyDescent="0.35">
      <c r="B1108" s="146"/>
      <c r="E1108"/>
      <c r="F1108"/>
      <c r="G1108"/>
      <c r="H1108"/>
      <c r="I1108"/>
      <c r="J1108"/>
      <c r="Q1108"/>
      <c r="R1108" s="301"/>
      <c r="S1108" s="301"/>
      <c r="T1108" s="301"/>
      <c r="U1108" s="301"/>
      <c r="V1108" s="301"/>
      <c r="W1108" s="301"/>
    </row>
    <row r="1109" spans="2:23" s="147" customFormat="1" ht="14.15" customHeight="1" x14ac:dyDescent="0.35">
      <c r="B1109" s="146"/>
      <c r="E1109"/>
      <c r="F1109"/>
      <c r="G1109"/>
      <c r="H1109"/>
      <c r="I1109"/>
      <c r="J1109"/>
      <c r="Q1109"/>
      <c r="R1109" s="301"/>
      <c r="S1109" s="301"/>
      <c r="T1109" s="301"/>
      <c r="U1109" s="301"/>
      <c r="V1109" s="301"/>
      <c r="W1109" s="301"/>
    </row>
    <row r="1110" spans="2:23" s="147" customFormat="1" ht="14.15" customHeight="1" x14ac:dyDescent="0.35">
      <c r="B1110" s="146"/>
      <c r="E1110"/>
      <c r="F1110"/>
      <c r="G1110"/>
      <c r="H1110"/>
      <c r="I1110"/>
      <c r="J1110"/>
      <c r="Q1110"/>
      <c r="R1110" s="301"/>
      <c r="S1110" s="301"/>
      <c r="T1110" s="301"/>
      <c r="U1110" s="301"/>
      <c r="V1110" s="301"/>
      <c r="W1110" s="301"/>
    </row>
    <row r="1111" spans="2:23" s="147" customFormat="1" ht="14.15" customHeight="1" x14ac:dyDescent="0.35">
      <c r="B1111" s="146"/>
      <c r="E1111"/>
      <c r="F1111"/>
      <c r="G1111"/>
      <c r="H1111"/>
      <c r="I1111"/>
      <c r="J1111"/>
      <c r="Q1111"/>
      <c r="R1111" s="301"/>
      <c r="S1111" s="301"/>
      <c r="T1111" s="301"/>
      <c r="U1111" s="301"/>
      <c r="V1111" s="301"/>
      <c r="W1111" s="301"/>
    </row>
    <row r="1112" spans="2:23" s="147" customFormat="1" ht="14.15" customHeight="1" x14ac:dyDescent="0.35">
      <c r="B1112" s="146"/>
      <c r="E1112"/>
      <c r="F1112"/>
      <c r="G1112"/>
      <c r="H1112"/>
      <c r="I1112"/>
      <c r="J1112"/>
      <c r="Q1112"/>
      <c r="R1112" s="301"/>
      <c r="S1112" s="301"/>
      <c r="T1112" s="301"/>
      <c r="U1112" s="301"/>
      <c r="V1112" s="301"/>
      <c r="W1112" s="301"/>
    </row>
    <row r="1113" spans="2:23" s="147" customFormat="1" ht="14.15" customHeight="1" x14ac:dyDescent="0.35">
      <c r="B1113" s="146"/>
      <c r="E1113"/>
      <c r="F1113"/>
      <c r="G1113"/>
      <c r="H1113"/>
      <c r="I1113"/>
      <c r="J1113"/>
      <c r="Q1113"/>
      <c r="R1113" s="301"/>
      <c r="S1113" s="301"/>
      <c r="T1113" s="301"/>
      <c r="U1113" s="301"/>
      <c r="V1113" s="301"/>
      <c r="W1113" s="301"/>
    </row>
    <row r="1114" spans="2:23" s="147" customFormat="1" ht="14.15" customHeight="1" x14ac:dyDescent="0.35">
      <c r="B1114" s="146"/>
      <c r="E1114"/>
      <c r="F1114"/>
      <c r="G1114"/>
      <c r="H1114"/>
      <c r="I1114"/>
      <c r="J1114"/>
      <c r="Q1114"/>
      <c r="R1114" s="301"/>
      <c r="S1114" s="301"/>
      <c r="T1114" s="301"/>
      <c r="U1114" s="301"/>
      <c r="V1114" s="301"/>
      <c r="W1114" s="301"/>
    </row>
    <row r="1115" spans="2:23" s="147" customFormat="1" ht="14.15" customHeight="1" x14ac:dyDescent="0.35">
      <c r="B1115" s="146"/>
      <c r="E1115"/>
      <c r="F1115"/>
      <c r="G1115"/>
      <c r="H1115"/>
      <c r="I1115"/>
      <c r="J1115"/>
      <c r="Q1115"/>
      <c r="R1115" s="301"/>
      <c r="S1115" s="301"/>
      <c r="T1115" s="301"/>
      <c r="U1115" s="301"/>
      <c r="V1115" s="301"/>
      <c r="W1115" s="301"/>
    </row>
    <row r="1116" spans="2:23" s="147" customFormat="1" ht="14.15" customHeight="1" x14ac:dyDescent="0.35">
      <c r="B1116" s="146"/>
      <c r="E1116"/>
      <c r="F1116"/>
      <c r="G1116"/>
      <c r="H1116"/>
      <c r="I1116"/>
      <c r="J1116"/>
      <c r="Q1116"/>
      <c r="R1116" s="301"/>
      <c r="S1116" s="301"/>
      <c r="T1116" s="301"/>
      <c r="U1116" s="301"/>
      <c r="V1116" s="301"/>
      <c r="W1116" s="301"/>
    </row>
    <row r="1117" spans="2:23" s="147" customFormat="1" ht="14.15" customHeight="1" x14ac:dyDescent="0.35">
      <c r="B1117" s="146"/>
      <c r="E1117"/>
      <c r="F1117"/>
      <c r="G1117"/>
      <c r="H1117"/>
      <c r="I1117"/>
      <c r="J1117"/>
      <c r="Q1117"/>
      <c r="R1117" s="301"/>
      <c r="S1117" s="301"/>
      <c r="T1117" s="301"/>
      <c r="U1117" s="301"/>
      <c r="V1117" s="301"/>
      <c r="W1117" s="301"/>
    </row>
    <row r="1118" spans="2:23" s="147" customFormat="1" ht="14.15" customHeight="1" x14ac:dyDescent="0.35">
      <c r="B1118" s="146"/>
      <c r="E1118"/>
      <c r="F1118"/>
      <c r="G1118"/>
      <c r="H1118"/>
      <c r="I1118"/>
      <c r="J1118"/>
      <c r="Q1118"/>
      <c r="R1118" s="301"/>
      <c r="S1118" s="301"/>
      <c r="T1118" s="301"/>
      <c r="U1118" s="301"/>
      <c r="V1118" s="301"/>
      <c r="W1118" s="301"/>
    </row>
    <row r="1119" spans="2:23" s="147" customFormat="1" ht="14.15" customHeight="1" x14ac:dyDescent="0.35">
      <c r="B1119" s="146"/>
      <c r="E1119"/>
      <c r="F1119"/>
      <c r="G1119"/>
      <c r="H1119"/>
      <c r="I1119"/>
      <c r="J1119"/>
      <c r="Q1119"/>
      <c r="R1119" s="301"/>
      <c r="S1119" s="301"/>
      <c r="T1119" s="301"/>
      <c r="U1119" s="301"/>
      <c r="V1119" s="301"/>
      <c r="W1119" s="301"/>
    </row>
    <row r="1120" spans="2:23" s="147" customFormat="1" ht="14.15" customHeight="1" x14ac:dyDescent="0.35">
      <c r="B1120" s="146"/>
      <c r="E1120"/>
      <c r="F1120"/>
      <c r="G1120"/>
      <c r="H1120"/>
      <c r="I1120"/>
      <c r="J1120"/>
      <c r="Q1120"/>
      <c r="R1120" s="301"/>
      <c r="S1120" s="301"/>
      <c r="T1120" s="301"/>
      <c r="U1120" s="301"/>
      <c r="V1120" s="301"/>
      <c r="W1120" s="301"/>
    </row>
    <row r="1121" spans="2:23" s="147" customFormat="1" ht="14.15" customHeight="1" x14ac:dyDescent="0.35">
      <c r="B1121" s="146"/>
      <c r="E1121"/>
      <c r="F1121"/>
      <c r="G1121"/>
      <c r="H1121"/>
      <c r="I1121"/>
      <c r="J1121"/>
      <c r="Q1121"/>
      <c r="R1121" s="301"/>
      <c r="S1121" s="301"/>
      <c r="T1121" s="301"/>
      <c r="U1121" s="301"/>
      <c r="V1121" s="301"/>
      <c r="W1121" s="301"/>
    </row>
    <row r="1122" spans="2:23" s="147" customFormat="1" ht="14.15" customHeight="1" x14ac:dyDescent="0.35">
      <c r="B1122" s="146"/>
      <c r="E1122"/>
      <c r="F1122"/>
      <c r="G1122"/>
      <c r="H1122"/>
      <c r="I1122"/>
      <c r="J1122"/>
      <c r="Q1122"/>
      <c r="R1122" s="301"/>
      <c r="S1122" s="301"/>
      <c r="T1122" s="301"/>
      <c r="U1122" s="301"/>
      <c r="V1122" s="301"/>
      <c r="W1122" s="301"/>
    </row>
    <row r="1123" spans="2:23" s="147" customFormat="1" ht="14.15" customHeight="1" x14ac:dyDescent="0.35">
      <c r="B1123" s="146"/>
      <c r="E1123"/>
      <c r="F1123"/>
      <c r="G1123"/>
      <c r="H1123"/>
      <c r="I1123"/>
      <c r="J1123"/>
      <c r="Q1123"/>
      <c r="R1123" s="301"/>
      <c r="S1123" s="301"/>
      <c r="T1123" s="301"/>
      <c r="U1123" s="301"/>
      <c r="V1123" s="301"/>
      <c r="W1123" s="301"/>
    </row>
    <row r="1124" spans="2:23" s="147" customFormat="1" ht="14.15" customHeight="1" x14ac:dyDescent="0.35">
      <c r="B1124" s="146"/>
      <c r="E1124"/>
      <c r="F1124"/>
      <c r="G1124"/>
      <c r="H1124"/>
      <c r="I1124"/>
      <c r="J1124"/>
      <c r="Q1124"/>
      <c r="R1124" s="301"/>
      <c r="S1124" s="301"/>
      <c r="T1124" s="301"/>
      <c r="U1124" s="301"/>
      <c r="V1124" s="301"/>
      <c r="W1124" s="301"/>
    </row>
    <row r="1125" spans="2:23" s="147" customFormat="1" ht="14.15" customHeight="1" x14ac:dyDescent="0.35">
      <c r="B1125" s="146"/>
      <c r="E1125"/>
      <c r="F1125"/>
      <c r="G1125"/>
      <c r="H1125"/>
      <c r="I1125"/>
      <c r="J1125"/>
      <c r="Q1125"/>
      <c r="R1125" s="301"/>
      <c r="S1125" s="301"/>
      <c r="T1125" s="301"/>
      <c r="U1125" s="301"/>
      <c r="V1125" s="301"/>
      <c r="W1125" s="301"/>
    </row>
    <row r="1126" spans="2:23" s="147" customFormat="1" ht="14.15" customHeight="1" x14ac:dyDescent="0.35">
      <c r="B1126" s="146"/>
      <c r="E1126"/>
      <c r="F1126"/>
      <c r="G1126"/>
      <c r="H1126"/>
      <c r="I1126"/>
      <c r="J1126"/>
      <c r="Q1126"/>
      <c r="R1126" s="301"/>
      <c r="S1126" s="301"/>
      <c r="T1126" s="301"/>
      <c r="U1126" s="301"/>
      <c r="V1126" s="301"/>
      <c r="W1126" s="301"/>
    </row>
    <row r="1127" spans="2:23" s="147" customFormat="1" ht="14.15" customHeight="1" x14ac:dyDescent="0.35">
      <c r="B1127" s="146"/>
      <c r="E1127"/>
      <c r="F1127"/>
      <c r="G1127"/>
      <c r="H1127"/>
      <c r="I1127"/>
      <c r="J1127"/>
      <c r="Q1127"/>
      <c r="R1127" s="301"/>
      <c r="S1127" s="301"/>
      <c r="T1127" s="301"/>
      <c r="U1127" s="301"/>
      <c r="V1127" s="301"/>
      <c r="W1127" s="301"/>
    </row>
    <row r="1128" spans="2:23" s="147" customFormat="1" ht="14.15" customHeight="1" x14ac:dyDescent="0.35">
      <c r="B1128" s="146"/>
      <c r="E1128"/>
      <c r="F1128"/>
      <c r="G1128"/>
      <c r="H1128"/>
      <c r="I1128"/>
      <c r="J1128"/>
      <c r="Q1128"/>
      <c r="R1128" s="301"/>
      <c r="S1128" s="301"/>
      <c r="T1128" s="301"/>
      <c r="U1128" s="301"/>
      <c r="V1128" s="301"/>
      <c r="W1128" s="301"/>
    </row>
    <row r="1129" spans="2:23" s="147" customFormat="1" ht="14.15" customHeight="1" x14ac:dyDescent="0.35">
      <c r="B1129" s="146"/>
      <c r="E1129"/>
      <c r="F1129"/>
      <c r="G1129"/>
      <c r="H1129"/>
      <c r="I1129"/>
      <c r="J1129"/>
      <c r="Q1129"/>
      <c r="R1129" s="301"/>
      <c r="S1129" s="301"/>
      <c r="T1129" s="301"/>
      <c r="U1129" s="301"/>
      <c r="V1129" s="301"/>
      <c r="W1129" s="301"/>
    </row>
    <row r="1130" spans="2:23" s="147" customFormat="1" ht="14.15" customHeight="1" x14ac:dyDescent="0.35">
      <c r="B1130" s="146"/>
      <c r="E1130"/>
      <c r="F1130"/>
      <c r="G1130"/>
      <c r="H1130"/>
      <c r="I1130"/>
      <c r="J1130"/>
      <c r="Q1130"/>
      <c r="R1130" s="301"/>
      <c r="S1130" s="301"/>
      <c r="T1130" s="301"/>
      <c r="U1130" s="301"/>
      <c r="V1130" s="301"/>
      <c r="W1130" s="301"/>
    </row>
    <row r="1131" spans="2:23" s="147" customFormat="1" ht="14.15" customHeight="1" x14ac:dyDescent="0.35">
      <c r="B1131" s="146"/>
      <c r="E1131"/>
      <c r="F1131"/>
      <c r="G1131"/>
      <c r="H1131"/>
      <c r="I1131"/>
      <c r="J1131"/>
      <c r="Q1131"/>
      <c r="R1131" s="301"/>
      <c r="S1131" s="301"/>
      <c r="T1131" s="301"/>
      <c r="U1131" s="301"/>
      <c r="V1131" s="301"/>
      <c r="W1131" s="301"/>
    </row>
    <row r="1132" spans="2:23" s="147" customFormat="1" ht="14.15" customHeight="1" x14ac:dyDescent="0.35">
      <c r="B1132" s="146"/>
      <c r="E1132"/>
      <c r="F1132"/>
      <c r="G1132"/>
      <c r="H1132"/>
      <c r="I1132"/>
      <c r="J1132"/>
      <c r="Q1132"/>
      <c r="R1132" s="301"/>
      <c r="S1132" s="301"/>
      <c r="T1132" s="301"/>
      <c r="U1132" s="301"/>
      <c r="V1132" s="301"/>
      <c r="W1132" s="301"/>
    </row>
    <row r="1133" spans="2:23" s="147" customFormat="1" ht="14.15" customHeight="1" x14ac:dyDescent="0.35">
      <c r="B1133" s="146"/>
      <c r="E1133"/>
      <c r="F1133"/>
      <c r="G1133"/>
      <c r="H1133"/>
      <c r="I1133"/>
      <c r="J1133"/>
      <c r="Q1133"/>
      <c r="R1133" s="301"/>
      <c r="S1133" s="301"/>
      <c r="T1133" s="301"/>
      <c r="U1133" s="301"/>
      <c r="V1133" s="301"/>
      <c r="W1133" s="301"/>
    </row>
    <row r="1134" spans="2:23" s="147" customFormat="1" ht="14.15" customHeight="1" x14ac:dyDescent="0.35">
      <c r="B1134" s="146"/>
      <c r="E1134"/>
      <c r="F1134"/>
      <c r="G1134"/>
      <c r="H1134"/>
      <c r="I1134"/>
      <c r="J1134"/>
      <c r="Q1134"/>
      <c r="R1134" s="301"/>
      <c r="S1134" s="301"/>
      <c r="T1134" s="301"/>
      <c r="U1134" s="301"/>
      <c r="V1134" s="301"/>
      <c r="W1134" s="301"/>
    </row>
    <row r="1135" spans="2:23" s="147" customFormat="1" ht="14.15" customHeight="1" x14ac:dyDescent="0.35">
      <c r="B1135" s="146"/>
      <c r="E1135"/>
      <c r="F1135"/>
      <c r="G1135"/>
      <c r="H1135"/>
      <c r="I1135"/>
      <c r="J1135"/>
      <c r="Q1135"/>
      <c r="R1135" s="301"/>
      <c r="S1135" s="301"/>
      <c r="T1135" s="301"/>
      <c r="U1135" s="301"/>
      <c r="V1135" s="301"/>
      <c r="W1135" s="301"/>
    </row>
    <row r="1136" spans="2:23" s="147" customFormat="1" ht="14.15" customHeight="1" x14ac:dyDescent="0.35">
      <c r="B1136" s="146"/>
      <c r="E1136"/>
      <c r="F1136"/>
      <c r="G1136"/>
      <c r="H1136"/>
      <c r="I1136"/>
      <c r="J1136"/>
      <c r="Q1136"/>
      <c r="R1136" s="301"/>
      <c r="S1136" s="301"/>
      <c r="T1136" s="301"/>
      <c r="U1136" s="301"/>
      <c r="V1136" s="301"/>
      <c r="W1136" s="301"/>
    </row>
    <row r="1137" spans="2:23" s="147" customFormat="1" ht="14.15" customHeight="1" x14ac:dyDescent="0.35">
      <c r="B1137" s="146"/>
      <c r="E1137"/>
      <c r="F1137"/>
      <c r="G1137"/>
      <c r="H1137"/>
      <c r="I1137"/>
      <c r="J1137"/>
      <c r="Q1137"/>
      <c r="R1137" s="301"/>
      <c r="S1137" s="301"/>
      <c r="T1137" s="301"/>
      <c r="U1137" s="301"/>
      <c r="V1137" s="301"/>
      <c r="W1137" s="301"/>
    </row>
    <row r="1138" spans="2:23" s="147" customFormat="1" ht="14.15" customHeight="1" x14ac:dyDescent="0.35">
      <c r="B1138" s="146"/>
      <c r="E1138"/>
      <c r="F1138"/>
      <c r="G1138"/>
      <c r="H1138"/>
      <c r="I1138"/>
      <c r="J1138"/>
      <c r="Q1138"/>
      <c r="R1138" s="301"/>
      <c r="S1138" s="301"/>
      <c r="T1138" s="301"/>
      <c r="U1138" s="301"/>
      <c r="V1138" s="301"/>
      <c r="W1138" s="301"/>
    </row>
    <row r="1139" spans="2:23" s="147" customFormat="1" ht="14.15" customHeight="1" x14ac:dyDescent="0.35">
      <c r="B1139" s="146"/>
      <c r="E1139"/>
      <c r="F1139"/>
      <c r="G1139"/>
      <c r="H1139"/>
      <c r="I1139"/>
      <c r="J1139"/>
      <c r="Q1139"/>
      <c r="R1139" s="301"/>
      <c r="S1139" s="301"/>
      <c r="T1139" s="301"/>
      <c r="U1139" s="301"/>
      <c r="V1139" s="301"/>
      <c r="W1139" s="301"/>
    </row>
    <row r="1140" spans="2:23" s="147" customFormat="1" ht="14.15" customHeight="1" x14ac:dyDescent="0.35">
      <c r="B1140" s="146"/>
      <c r="E1140"/>
      <c r="F1140"/>
      <c r="G1140"/>
      <c r="H1140"/>
      <c r="I1140"/>
      <c r="J1140"/>
      <c r="Q1140"/>
      <c r="R1140" s="301"/>
      <c r="S1140" s="301"/>
      <c r="T1140" s="301"/>
      <c r="U1140" s="301"/>
      <c r="V1140" s="301"/>
      <c r="W1140" s="301"/>
    </row>
    <row r="1141" spans="2:23" s="147" customFormat="1" ht="14.15" customHeight="1" x14ac:dyDescent="0.35">
      <c r="B1141" s="146"/>
      <c r="E1141"/>
      <c r="F1141"/>
      <c r="G1141"/>
      <c r="H1141"/>
      <c r="I1141"/>
      <c r="J1141"/>
      <c r="Q1141"/>
      <c r="R1141" s="301"/>
      <c r="S1141" s="301"/>
      <c r="T1141" s="301"/>
      <c r="U1141" s="301"/>
      <c r="V1141" s="301"/>
      <c r="W1141" s="301"/>
    </row>
    <row r="1142" spans="2:23" s="147" customFormat="1" ht="14.15" customHeight="1" x14ac:dyDescent="0.35">
      <c r="B1142" s="146"/>
      <c r="E1142"/>
      <c r="F1142"/>
      <c r="G1142"/>
      <c r="H1142"/>
      <c r="I1142"/>
      <c r="J1142"/>
      <c r="Q1142"/>
      <c r="R1142" s="301"/>
      <c r="S1142" s="301"/>
      <c r="T1142" s="301"/>
      <c r="U1142" s="301"/>
      <c r="V1142" s="301"/>
      <c r="W1142" s="301"/>
    </row>
    <row r="1143" spans="2:23" s="147" customFormat="1" ht="14.15" customHeight="1" x14ac:dyDescent="0.35">
      <c r="B1143" s="146"/>
      <c r="E1143"/>
      <c r="F1143"/>
      <c r="G1143"/>
      <c r="H1143"/>
      <c r="I1143"/>
      <c r="J1143"/>
      <c r="Q1143"/>
      <c r="R1143" s="301"/>
      <c r="S1143" s="301"/>
      <c r="T1143" s="301"/>
      <c r="U1143" s="301"/>
      <c r="V1143" s="301"/>
      <c r="W1143" s="301"/>
    </row>
    <row r="1144" spans="2:23" s="147" customFormat="1" ht="14.15" customHeight="1" x14ac:dyDescent="0.35">
      <c r="B1144" s="146"/>
      <c r="E1144"/>
      <c r="F1144"/>
      <c r="G1144"/>
      <c r="H1144"/>
      <c r="I1144"/>
      <c r="J1144"/>
      <c r="Q1144"/>
      <c r="R1144" s="301"/>
      <c r="S1144" s="301"/>
      <c r="T1144" s="301"/>
      <c r="U1144" s="301"/>
      <c r="V1144" s="301"/>
      <c r="W1144" s="301"/>
    </row>
    <row r="1145" spans="2:23" s="147" customFormat="1" ht="14.15" customHeight="1" x14ac:dyDescent="0.35">
      <c r="B1145" s="146"/>
      <c r="E1145"/>
      <c r="F1145"/>
      <c r="G1145"/>
      <c r="H1145"/>
      <c r="I1145"/>
      <c r="J1145"/>
      <c r="Q1145"/>
      <c r="R1145" s="301"/>
      <c r="S1145" s="301"/>
      <c r="T1145" s="301"/>
      <c r="U1145" s="301"/>
      <c r="V1145" s="301"/>
      <c r="W1145" s="301"/>
    </row>
    <row r="1146" spans="2:23" s="147" customFormat="1" ht="14.15" customHeight="1" x14ac:dyDescent="0.35">
      <c r="B1146" s="146"/>
      <c r="E1146"/>
      <c r="F1146"/>
      <c r="G1146"/>
      <c r="H1146"/>
      <c r="I1146"/>
      <c r="J1146"/>
      <c r="Q1146"/>
      <c r="R1146" s="301"/>
      <c r="S1146" s="301"/>
      <c r="T1146" s="301"/>
      <c r="U1146" s="301"/>
      <c r="V1146" s="301"/>
      <c r="W1146" s="301"/>
    </row>
    <row r="1147" spans="2:23" s="147" customFormat="1" ht="14.15" customHeight="1" x14ac:dyDescent="0.35">
      <c r="B1147" s="146"/>
      <c r="E1147"/>
      <c r="F1147"/>
      <c r="G1147"/>
      <c r="H1147"/>
      <c r="I1147"/>
      <c r="J1147"/>
      <c r="Q1147"/>
      <c r="R1147" s="301"/>
      <c r="S1147" s="301"/>
      <c r="T1147" s="301"/>
      <c r="U1147" s="301"/>
      <c r="V1147" s="301"/>
      <c r="W1147" s="301"/>
    </row>
    <row r="1148" spans="2:23" s="147" customFormat="1" ht="14.15" customHeight="1" x14ac:dyDescent="0.35">
      <c r="B1148" s="146"/>
      <c r="E1148"/>
      <c r="F1148"/>
      <c r="G1148"/>
      <c r="H1148"/>
      <c r="I1148"/>
      <c r="J1148"/>
      <c r="Q1148"/>
      <c r="R1148" s="301"/>
      <c r="S1148" s="301"/>
      <c r="T1148" s="301"/>
      <c r="U1148" s="301"/>
      <c r="V1148" s="301"/>
      <c r="W1148" s="301"/>
    </row>
    <row r="1149" spans="2:23" s="147" customFormat="1" ht="14.15" customHeight="1" x14ac:dyDescent="0.35">
      <c r="B1149" s="146"/>
      <c r="E1149"/>
      <c r="F1149"/>
      <c r="G1149"/>
      <c r="H1149"/>
      <c r="I1149"/>
      <c r="J1149"/>
      <c r="Q1149"/>
      <c r="R1149" s="301"/>
      <c r="S1149" s="301"/>
      <c r="T1149" s="301"/>
      <c r="U1149" s="301"/>
      <c r="V1149" s="301"/>
      <c r="W1149" s="301"/>
    </row>
    <row r="1150" spans="2:23" s="147" customFormat="1" ht="14.15" customHeight="1" x14ac:dyDescent="0.35">
      <c r="B1150" s="146"/>
      <c r="E1150"/>
      <c r="F1150"/>
      <c r="G1150"/>
      <c r="H1150"/>
      <c r="I1150"/>
      <c r="J1150"/>
      <c r="Q1150"/>
      <c r="R1150" s="301"/>
      <c r="S1150" s="301"/>
      <c r="T1150" s="301"/>
      <c r="U1150" s="301"/>
      <c r="V1150" s="301"/>
      <c r="W1150" s="301"/>
    </row>
    <row r="1151" spans="2:23" s="147" customFormat="1" ht="14.15" customHeight="1" x14ac:dyDescent="0.35">
      <c r="B1151" s="146"/>
      <c r="E1151"/>
      <c r="F1151"/>
      <c r="G1151"/>
      <c r="H1151"/>
      <c r="I1151"/>
      <c r="J1151"/>
      <c r="Q1151"/>
      <c r="R1151" s="301"/>
      <c r="S1151" s="301"/>
      <c r="T1151" s="301"/>
      <c r="U1151" s="301"/>
      <c r="V1151" s="301"/>
      <c r="W1151" s="301"/>
    </row>
    <row r="1152" spans="2:23" s="147" customFormat="1" ht="14.15" customHeight="1" x14ac:dyDescent="0.35">
      <c r="B1152" s="146"/>
      <c r="E1152"/>
      <c r="F1152"/>
      <c r="G1152"/>
      <c r="H1152"/>
      <c r="I1152"/>
      <c r="J1152"/>
      <c r="Q1152"/>
      <c r="R1152" s="301"/>
      <c r="S1152" s="301"/>
      <c r="T1152" s="301"/>
      <c r="U1152" s="301"/>
      <c r="V1152" s="301"/>
      <c r="W1152" s="301"/>
    </row>
    <row r="1153" spans="2:23" s="147" customFormat="1" ht="14.15" customHeight="1" x14ac:dyDescent="0.35">
      <c r="B1153" s="146"/>
      <c r="E1153"/>
      <c r="F1153"/>
      <c r="G1153"/>
      <c r="H1153"/>
      <c r="I1153"/>
      <c r="J1153"/>
      <c r="Q1153"/>
      <c r="R1153" s="301"/>
      <c r="S1153" s="301"/>
      <c r="T1153" s="301"/>
      <c r="U1153" s="301"/>
      <c r="V1153" s="301"/>
      <c r="W1153" s="301"/>
    </row>
    <row r="1154" spans="2:23" s="147" customFormat="1" ht="14.15" customHeight="1" x14ac:dyDescent="0.35">
      <c r="B1154" s="146"/>
      <c r="E1154"/>
      <c r="F1154"/>
      <c r="G1154"/>
      <c r="H1154"/>
      <c r="I1154"/>
      <c r="J1154"/>
      <c r="Q1154"/>
      <c r="R1154" s="301"/>
      <c r="S1154" s="301"/>
      <c r="T1154" s="301"/>
      <c r="U1154" s="301"/>
      <c r="V1154" s="301"/>
      <c r="W1154" s="301"/>
    </row>
    <row r="1155" spans="2:23" s="147" customFormat="1" ht="14.15" customHeight="1" x14ac:dyDescent="0.35">
      <c r="B1155" s="146"/>
      <c r="E1155"/>
      <c r="F1155"/>
      <c r="G1155"/>
      <c r="H1155"/>
      <c r="I1155"/>
      <c r="J1155"/>
      <c r="Q1155"/>
      <c r="R1155" s="301"/>
      <c r="S1155" s="301"/>
      <c r="T1155" s="301"/>
      <c r="U1155" s="301"/>
      <c r="V1155" s="301"/>
      <c r="W1155" s="301"/>
    </row>
    <row r="1156" spans="2:23" s="147" customFormat="1" ht="14.15" customHeight="1" x14ac:dyDescent="0.35">
      <c r="B1156" s="146"/>
      <c r="E1156"/>
      <c r="F1156"/>
      <c r="G1156"/>
      <c r="H1156"/>
      <c r="I1156"/>
      <c r="J1156"/>
      <c r="Q1156"/>
      <c r="R1156" s="301"/>
      <c r="S1156" s="301"/>
      <c r="T1156" s="301"/>
      <c r="U1156" s="301"/>
      <c r="V1156" s="301"/>
      <c r="W1156" s="301"/>
    </row>
    <row r="1157" spans="2:23" s="147" customFormat="1" ht="14.15" customHeight="1" x14ac:dyDescent="0.35">
      <c r="B1157" s="146"/>
      <c r="E1157"/>
      <c r="F1157"/>
      <c r="G1157"/>
      <c r="H1157"/>
      <c r="I1157"/>
      <c r="J1157"/>
      <c r="Q1157"/>
      <c r="R1157" s="301"/>
      <c r="S1157" s="301"/>
      <c r="T1157" s="301"/>
      <c r="U1157" s="301"/>
      <c r="V1157" s="301"/>
      <c r="W1157" s="301"/>
    </row>
    <row r="1158" spans="2:23" s="147" customFormat="1" ht="14.15" customHeight="1" x14ac:dyDescent="0.35">
      <c r="B1158" s="146"/>
      <c r="E1158"/>
      <c r="F1158"/>
      <c r="G1158"/>
      <c r="H1158"/>
      <c r="I1158"/>
      <c r="J1158"/>
      <c r="Q1158"/>
      <c r="R1158" s="301"/>
      <c r="S1158" s="301"/>
      <c r="T1158" s="301"/>
      <c r="U1158" s="301"/>
      <c r="V1158" s="301"/>
      <c r="W1158" s="301"/>
    </row>
    <row r="1159" spans="2:23" s="147" customFormat="1" ht="14.15" customHeight="1" x14ac:dyDescent="0.35">
      <c r="B1159" s="146"/>
      <c r="E1159"/>
      <c r="F1159"/>
      <c r="G1159"/>
      <c r="H1159"/>
      <c r="I1159"/>
      <c r="J1159"/>
      <c r="Q1159"/>
      <c r="R1159" s="301"/>
      <c r="S1159" s="301"/>
      <c r="T1159" s="301"/>
      <c r="U1159" s="301"/>
      <c r="V1159" s="301"/>
      <c r="W1159" s="301"/>
    </row>
    <row r="1160" spans="2:23" s="147" customFormat="1" ht="14.15" customHeight="1" x14ac:dyDescent="0.35">
      <c r="B1160" s="146"/>
      <c r="E1160"/>
      <c r="F1160"/>
      <c r="G1160"/>
      <c r="H1160"/>
      <c r="I1160"/>
      <c r="J1160"/>
      <c r="Q1160"/>
      <c r="R1160" s="301"/>
      <c r="S1160" s="301"/>
      <c r="T1160" s="301"/>
      <c r="U1160" s="301"/>
      <c r="V1160" s="301"/>
      <c r="W1160" s="301"/>
    </row>
    <row r="1161" spans="2:23" s="147" customFormat="1" ht="14.15" customHeight="1" x14ac:dyDescent="0.35">
      <c r="B1161" s="146"/>
      <c r="E1161"/>
      <c r="F1161"/>
      <c r="G1161"/>
      <c r="H1161"/>
      <c r="I1161"/>
      <c r="J1161"/>
      <c r="Q1161"/>
      <c r="R1161" s="301"/>
      <c r="S1161" s="301"/>
      <c r="T1161" s="301"/>
      <c r="U1161" s="301"/>
      <c r="V1161" s="301"/>
      <c r="W1161" s="301"/>
    </row>
    <row r="1162" spans="2:23" s="147" customFormat="1" ht="14.15" customHeight="1" x14ac:dyDescent="0.35">
      <c r="B1162" s="146"/>
      <c r="E1162"/>
      <c r="F1162"/>
      <c r="G1162"/>
      <c r="H1162"/>
      <c r="I1162"/>
      <c r="J1162"/>
      <c r="Q1162"/>
      <c r="R1162" s="301"/>
      <c r="S1162" s="301"/>
      <c r="T1162" s="301"/>
      <c r="U1162" s="301"/>
      <c r="V1162" s="301"/>
      <c r="W1162" s="301"/>
    </row>
    <row r="1163" spans="2:23" s="147" customFormat="1" ht="14.15" customHeight="1" x14ac:dyDescent="0.35">
      <c r="B1163" s="146"/>
      <c r="E1163"/>
      <c r="F1163"/>
      <c r="G1163"/>
      <c r="H1163"/>
      <c r="I1163"/>
      <c r="J1163"/>
      <c r="Q1163"/>
      <c r="R1163" s="301"/>
      <c r="S1163" s="301"/>
      <c r="T1163" s="301"/>
      <c r="U1163" s="301"/>
      <c r="V1163" s="301"/>
      <c r="W1163" s="301"/>
    </row>
    <row r="1164" spans="2:23" s="147" customFormat="1" ht="14.15" customHeight="1" x14ac:dyDescent="0.35">
      <c r="B1164" s="146"/>
      <c r="E1164"/>
      <c r="F1164"/>
      <c r="G1164"/>
      <c r="H1164"/>
      <c r="I1164"/>
      <c r="J1164"/>
      <c r="Q1164"/>
      <c r="R1164" s="301"/>
      <c r="S1164" s="301"/>
      <c r="T1164" s="301"/>
      <c r="U1164" s="301"/>
      <c r="V1164" s="301"/>
      <c r="W1164" s="301"/>
    </row>
    <row r="1165" spans="2:23" s="147" customFormat="1" ht="14.15" customHeight="1" x14ac:dyDescent="0.35">
      <c r="B1165" s="146"/>
      <c r="E1165"/>
      <c r="F1165"/>
      <c r="G1165"/>
      <c r="H1165"/>
      <c r="I1165"/>
      <c r="J1165"/>
      <c r="Q1165"/>
      <c r="R1165" s="301"/>
      <c r="S1165" s="301"/>
      <c r="T1165" s="301"/>
      <c r="U1165" s="301"/>
      <c r="V1165" s="301"/>
      <c r="W1165" s="301"/>
    </row>
    <row r="1166" spans="2:23" s="147" customFormat="1" ht="14.15" customHeight="1" x14ac:dyDescent="0.35">
      <c r="B1166" s="146"/>
      <c r="E1166"/>
      <c r="F1166"/>
      <c r="G1166"/>
      <c r="H1166"/>
      <c r="I1166"/>
      <c r="J1166"/>
      <c r="Q1166"/>
      <c r="R1166" s="301"/>
      <c r="S1166" s="301"/>
      <c r="T1166" s="301"/>
      <c r="U1166" s="301"/>
      <c r="V1166" s="301"/>
      <c r="W1166" s="301"/>
    </row>
    <row r="1167" spans="2:23" s="147" customFormat="1" ht="14.15" customHeight="1" x14ac:dyDescent="0.35">
      <c r="B1167" s="146"/>
      <c r="E1167"/>
      <c r="F1167"/>
      <c r="G1167"/>
      <c r="H1167"/>
      <c r="I1167"/>
      <c r="J1167"/>
      <c r="Q1167"/>
      <c r="R1167" s="301"/>
      <c r="S1167" s="301"/>
      <c r="T1167" s="301"/>
      <c r="U1167" s="301"/>
      <c r="V1167" s="301"/>
      <c r="W1167" s="301"/>
    </row>
    <row r="1168" spans="2:23" s="147" customFormat="1" ht="14.15" customHeight="1" x14ac:dyDescent="0.35">
      <c r="B1168" s="146"/>
      <c r="E1168"/>
      <c r="F1168"/>
      <c r="G1168"/>
      <c r="H1168"/>
      <c r="I1168"/>
      <c r="J1168"/>
      <c r="Q1168"/>
      <c r="R1168" s="301"/>
      <c r="S1168" s="301"/>
      <c r="T1168" s="301"/>
      <c r="U1168" s="301"/>
      <c r="V1168" s="301"/>
      <c r="W1168" s="301"/>
    </row>
    <row r="1169" spans="2:23" s="147" customFormat="1" ht="14.15" customHeight="1" x14ac:dyDescent="0.35">
      <c r="B1169" s="146"/>
      <c r="E1169"/>
      <c r="F1169"/>
      <c r="G1169"/>
      <c r="H1169"/>
      <c r="I1169"/>
      <c r="J1169"/>
      <c r="Q1169"/>
      <c r="R1169" s="301"/>
      <c r="S1169" s="301"/>
      <c r="T1169" s="301"/>
      <c r="U1169" s="301"/>
      <c r="V1169" s="301"/>
      <c r="W1169" s="301"/>
    </row>
    <row r="1170" spans="2:23" s="147" customFormat="1" ht="14.15" customHeight="1" x14ac:dyDescent="0.35">
      <c r="B1170" s="146"/>
      <c r="E1170"/>
      <c r="F1170"/>
      <c r="G1170"/>
      <c r="H1170"/>
      <c r="I1170"/>
      <c r="J1170"/>
      <c r="Q1170"/>
      <c r="R1170" s="301"/>
      <c r="S1170" s="301"/>
      <c r="T1170" s="301"/>
      <c r="U1170" s="301"/>
      <c r="V1170" s="301"/>
      <c r="W1170" s="301"/>
    </row>
    <row r="1171" spans="2:23" s="147" customFormat="1" ht="14.15" customHeight="1" x14ac:dyDescent="0.35">
      <c r="B1171" s="146"/>
      <c r="E1171"/>
      <c r="F1171"/>
      <c r="G1171"/>
      <c r="H1171"/>
      <c r="I1171"/>
      <c r="J1171"/>
      <c r="Q1171"/>
      <c r="R1171" s="301"/>
      <c r="S1171" s="301"/>
      <c r="T1171" s="301"/>
      <c r="U1171" s="301"/>
      <c r="V1171" s="301"/>
      <c r="W1171" s="301"/>
    </row>
    <row r="1172" spans="2:23" s="147" customFormat="1" ht="14.15" customHeight="1" x14ac:dyDescent="0.35">
      <c r="B1172" s="146"/>
      <c r="E1172"/>
      <c r="F1172"/>
      <c r="G1172"/>
      <c r="H1172"/>
      <c r="I1172"/>
      <c r="J1172"/>
      <c r="Q1172"/>
      <c r="R1172" s="301"/>
      <c r="S1172" s="301"/>
      <c r="T1172" s="301"/>
      <c r="U1172" s="301"/>
      <c r="V1172" s="301"/>
      <c r="W1172" s="301"/>
    </row>
    <row r="1173" spans="2:23" s="147" customFormat="1" ht="14.15" customHeight="1" x14ac:dyDescent="0.35">
      <c r="B1173" s="146"/>
      <c r="E1173"/>
      <c r="F1173"/>
      <c r="G1173"/>
      <c r="H1173"/>
      <c r="I1173"/>
      <c r="J1173"/>
      <c r="Q1173"/>
      <c r="R1173" s="301"/>
      <c r="S1173" s="301"/>
      <c r="T1173" s="301"/>
      <c r="U1173" s="301"/>
      <c r="V1173" s="301"/>
      <c r="W1173" s="301"/>
    </row>
    <row r="1174" spans="2:23" s="147" customFormat="1" ht="14.15" customHeight="1" x14ac:dyDescent="0.35">
      <c r="B1174" s="146"/>
      <c r="E1174"/>
      <c r="F1174"/>
      <c r="G1174"/>
      <c r="H1174"/>
      <c r="I1174"/>
      <c r="J1174"/>
      <c r="Q1174"/>
      <c r="R1174" s="301"/>
      <c r="S1174" s="301"/>
      <c r="T1174" s="301"/>
      <c r="U1174" s="301"/>
      <c r="V1174" s="301"/>
      <c r="W1174" s="301"/>
    </row>
    <row r="1175" spans="2:23" s="147" customFormat="1" ht="14.15" customHeight="1" x14ac:dyDescent="0.35">
      <c r="B1175" s="146"/>
      <c r="E1175"/>
      <c r="F1175"/>
      <c r="G1175"/>
      <c r="H1175"/>
      <c r="I1175"/>
      <c r="J1175"/>
      <c r="Q1175"/>
      <c r="R1175" s="301"/>
      <c r="S1175" s="301"/>
      <c r="T1175" s="301"/>
      <c r="U1175" s="301"/>
      <c r="V1175" s="301"/>
      <c r="W1175" s="301"/>
    </row>
    <row r="1176" spans="2:23" s="147" customFormat="1" ht="14.15" customHeight="1" x14ac:dyDescent="0.35">
      <c r="B1176" s="146"/>
      <c r="E1176"/>
      <c r="F1176"/>
      <c r="G1176"/>
      <c r="H1176"/>
      <c r="I1176"/>
      <c r="J1176"/>
      <c r="Q1176"/>
      <c r="R1176" s="301"/>
      <c r="S1176" s="301"/>
      <c r="T1176" s="301"/>
      <c r="U1176" s="301"/>
      <c r="V1176" s="301"/>
      <c r="W1176" s="301"/>
    </row>
    <row r="1177" spans="2:23" s="147" customFormat="1" ht="14.15" customHeight="1" x14ac:dyDescent="0.35">
      <c r="B1177" s="146"/>
      <c r="E1177"/>
      <c r="F1177"/>
      <c r="G1177"/>
      <c r="H1177"/>
      <c r="I1177"/>
      <c r="J1177"/>
      <c r="Q1177"/>
      <c r="R1177" s="301"/>
      <c r="S1177" s="301"/>
      <c r="T1177" s="301"/>
      <c r="U1177" s="301"/>
      <c r="V1177" s="301"/>
      <c r="W1177" s="301"/>
    </row>
    <row r="1178" spans="2:23" s="147" customFormat="1" ht="14.15" customHeight="1" x14ac:dyDescent="0.35">
      <c r="B1178" s="146"/>
      <c r="E1178"/>
      <c r="F1178"/>
      <c r="G1178"/>
      <c r="H1178"/>
      <c r="I1178"/>
      <c r="J1178"/>
      <c r="Q1178"/>
      <c r="R1178" s="301"/>
      <c r="S1178" s="301"/>
      <c r="T1178" s="301"/>
      <c r="U1178" s="301"/>
      <c r="V1178" s="301"/>
      <c r="W1178" s="301"/>
    </row>
    <row r="1179" spans="2:23" s="147" customFormat="1" ht="14.15" customHeight="1" x14ac:dyDescent="0.35">
      <c r="B1179" s="146"/>
      <c r="E1179"/>
      <c r="F1179"/>
      <c r="G1179"/>
      <c r="H1179"/>
      <c r="I1179"/>
      <c r="J1179"/>
      <c r="Q1179"/>
      <c r="R1179" s="301"/>
      <c r="S1179" s="301"/>
      <c r="T1179" s="301"/>
      <c r="U1179" s="301"/>
      <c r="V1179" s="301"/>
      <c r="W1179" s="301"/>
    </row>
    <row r="1180" spans="2:23" s="147" customFormat="1" ht="14.15" customHeight="1" x14ac:dyDescent="0.35">
      <c r="B1180" s="146"/>
      <c r="E1180"/>
      <c r="F1180"/>
      <c r="G1180"/>
      <c r="H1180"/>
      <c r="I1180"/>
      <c r="J1180"/>
      <c r="Q1180"/>
      <c r="R1180" s="301"/>
      <c r="S1180" s="301"/>
      <c r="T1180" s="301"/>
      <c r="U1180" s="301"/>
      <c r="V1180" s="301"/>
      <c r="W1180" s="301"/>
    </row>
    <row r="1181" spans="2:23" s="147" customFormat="1" ht="14.15" customHeight="1" x14ac:dyDescent="0.35">
      <c r="B1181" s="146"/>
      <c r="E1181"/>
      <c r="F1181"/>
      <c r="G1181"/>
      <c r="H1181"/>
      <c r="I1181"/>
      <c r="J1181"/>
      <c r="Q1181"/>
      <c r="R1181" s="301"/>
      <c r="S1181" s="301"/>
      <c r="T1181" s="301"/>
      <c r="U1181" s="301"/>
      <c r="V1181" s="301"/>
      <c r="W1181" s="301"/>
    </row>
    <row r="1182" spans="2:23" s="147" customFormat="1" ht="14.15" customHeight="1" x14ac:dyDescent="0.35">
      <c r="B1182" s="146"/>
      <c r="E1182"/>
      <c r="F1182"/>
      <c r="G1182"/>
      <c r="H1182"/>
      <c r="I1182"/>
      <c r="J1182"/>
      <c r="Q1182"/>
      <c r="R1182" s="301"/>
      <c r="S1182" s="301"/>
      <c r="T1182" s="301"/>
      <c r="U1182" s="301"/>
      <c r="V1182" s="301"/>
      <c r="W1182" s="301"/>
    </row>
    <row r="1183" spans="2:23" s="147" customFormat="1" ht="14.15" customHeight="1" x14ac:dyDescent="0.35">
      <c r="B1183" s="146"/>
      <c r="E1183"/>
      <c r="F1183"/>
      <c r="G1183"/>
      <c r="H1183"/>
      <c r="I1183"/>
      <c r="J1183"/>
      <c r="Q1183"/>
      <c r="R1183" s="301"/>
      <c r="S1183" s="301"/>
      <c r="T1183" s="301"/>
      <c r="U1183" s="301"/>
      <c r="V1183" s="301"/>
      <c r="W1183" s="301"/>
    </row>
    <row r="1184" spans="2:23" s="147" customFormat="1" ht="14.15" customHeight="1" x14ac:dyDescent="0.35">
      <c r="B1184" s="146"/>
      <c r="E1184"/>
      <c r="F1184"/>
      <c r="G1184"/>
      <c r="H1184"/>
      <c r="I1184"/>
      <c r="J1184"/>
      <c r="Q1184"/>
      <c r="R1184" s="301"/>
      <c r="S1184" s="301"/>
      <c r="T1184" s="301"/>
      <c r="U1184" s="301"/>
      <c r="V1184" s="301"/>
      <c r="W1184" s="301"/>
    </row>
    <row r="1185" spans="2:23" s="147" customFormat="1" ht="14.15" customHeight="1" x14ac:dyDescent="0.35">
      <c r="B1185" s="146"/>
      <c r="E1185"/>
      <c r="F1185"/>
      <c r="G1185"/>
      <c r="H1185"/>
      <c r="I1185"/>
      <c r="J1185"/>
      <c r="Q1185"/>
      <c r="R1185" s="301"/>
      <c r="S1185" s="301"/>
      <c r="T1185" s="301"/>
      <c r="U1185" s="301"/>
      <c r="V1185" s="301"/>
      <c r="W1185" s="301"/>
    </row>
    <row r="1186" spans="2:23" s="147" customFormat="1" ht="14.15" customHeight="1" x14ac:dyDescent="0.35">
      <c r="B1186" s="146"/>
      <c r="E1186"/>
      <c r="F1186"/>
      <c r="G1186"/>
      <c r="H1186"/>
      <c r="I1186"/>
      <c r="J1186"/>
      <c r="Q1186"/>
      <c r="R1186" s="301"/>
      <c r="S1186" s="301"/>
      <c r="T1186" s="301"/>
      <c r="U1186" s="301"/>
      <c r="V1186" s="301"/>
      <c r="W1186" s="301"/>
    </row>
    <row r="1187" spans="2:23" s="147" customFormat="1" ht="14.15" customHeight="1" x14ac:dyDescent="0.35">
      <c r="B1187" s="146"/>
      <c r="E1187"/>
      <c r="F1187"/>
      <c r="G1187"/>
      <c r="H1187"/>
      <c r="I1187"/>
      <c r="J1187"/>
      <c r="Q1187"/>
      <c r="R1187" s="301"/>
      <c r="S1187" s="301"/>
      <c r="T1187" s="301"/>
      <c r="U1187" s="301"/>
      <c r="V1187" s="301"/>
      <c r="W1187" s="301"/>
    </row>
    <row r="1188" spans="2:23" s="147" customFormat="1" ht="14.15" customHeight="1" x14ac:dyDescent="0.35">
      <c r="B1188" s="146"/>
      <c r="E1188"/>
      <c r="F1188"/>
      <c r="G1188"/>
      <c r="H1188"/>
      <c r="I1188"/>
      <c r="J1188"/>
      <c r="Q1188"/>
      <c r="R1188" s="301"/>
      <c r="S1188" s="301"/>
      <c r="T1188" s="301"/>
      <c r="U1188" s="301"/>
      <c r="V1188" s="301"/>
      <c r="W1188" s="301"/>
    </row>
    <row r="1189" spans="2:23" s="147" customFormat="1" ht="14.15" customHeight="1" x14ac:dyDescent="0.35">
      <c r="B1189" s="146"/>
      <c r="E1189"/>
      <c r="F1189"/>
      <c r="G1189"/>
      <c r="H1189"/>
      <c r="I1189"/>
      <c r="J1189"/>
      <c r="Q1189"/>
      <c r="R1189" s="301"/>
      <c r="S1189" s="301"/>
      <c r="T1189" s="301"/>
      <c r="U1189" s="301"/>
      <c r="V1189" s="301"/>
      <c r="W1189" s="301"/>
    </row>
    <row r="1190" spans="2:23" s="147" customFormat="1" ht="14.15" customHeight="1" x14ac:dyDescent="0.35">
      <c r="B1190" s="146"/>
      <c r="E1190"/>
      <c r="F1190"/>
      <c r="G1190"/>
      <c r="H1190"/>
      <c r="I1190"/>
      <c r="J1190"/>
      <c r="Q1190"/>
      <c r="R1190" s="301"/>
      <c r="S1190" s="301"/>
      <c r="T1190" s="301"/>
      <c r="U1190" s="301"/>
      <c r="V1190" s="301"/>
      <c r="W1190" s="301"/>
    </row>
    <row r="1191" spans="2:23" s="147" customFormat="1" ht="14.15" customHeight="1" x14ac:dyDescent="0.35">
      <c r="B1191" s="146"/>
      <c r="E1191"/>
      <c r="F1191"/>
      <c r="G1191"/>
      <c r="H1191"/>
      <c r="I1191"/>
      <c r="J1191"/>
      <c r="Q1191"/>
      <c r="R1191" s="301"/>
      <c r="S1191" s="301"/>
      <c r="T1191" s="301"/>
      <c r="U1191" s="301"/>
      <c r="V1191" s="301"/>
      <c r="W1191" s="301"/>
    </row>
    <row r="1192" spans="2:23" s="147" customFormat="1" ht="14.15" customHeight="1" x14ac:dyDescent="0.35">
      <c r="B1192" s="146"/>
      <c r="E1192"/>
      <c r="F1192"/>
      <c r="G1192"/>
      <c r="H1192"/>
      <c r="I1192"/>
      <c r="J1192"/>
      <c r="Q1192"/>
      <c r="R1192" s="301"/>
      <c r="S1192" s="301"/>
      <c r="T1192" s="301"/>
      <c r="U1192" s="301"/>
      <c r="V1192" s="301"/>
      <c r="W1192" s="301"/>
    </row>
    <row r="1193" spans="2:23" s="147" customFormat="1" ht="14.15" customHeight="1" x14ac:dyDescent="0.35">
      <c r="B1193" s="146"/>
      <c r="E1193"/>
      <c r="F1193"/>
      <c r="G1193"/>
      <c r="H1193"/>
      <c r="I1193"/>
      <c r="J1193"/>
      <c r="Q1193"/>
      <c r="R1193" s="301"/>
      <c r="S1193" s="301"/>
      <c r="T1193" s="301"/>
      <c r="U1193" s="301"/>
      <c r="V1193" s="301"/>
      <c r="W1193" s="301"/>
    </row>
    <row r="1194" spans="2:23" s="147" customFormat="1" ht="14.15" customHeight="1" x14ac:dyDescent="0.35">
      <c r="B1194" s="146"/>
      <c r="E1194"/>
      <c r="F1194"/>
      <c r="G1194"/>
      <c r="H1194"/>
      <c r="I1194"/>
      <c r="J1194"/>
      <c r="Q1194"/>
      <c r="R1194" s="301"/>
      <c r="S1194" s="301"/>
      <c r="T1194" s="301"/>
      <c r="U1194" s="301"/>
      <c r="V1194" s="301"/>
      <c r="W1194" s="301"/>
    </row>
    <row r="1195" spans="2:23" s="147" customFormat="1" ht="14.15" customHeight="1" x14ac:dyDescent="0.35">
      <c r="B1195" s="146"/>
      <c r="E1195"/>
      <c r="F1195"/>
      <c r="G1195"/>
      <c r="H1195"/>
      <c r="I1195"/>
      <c r="J1195"/>
      <c r="Q1195"/>
      <c r="R1195" s="301"/>
      <c r="S1195" s="301"/>
      <c r="T1195" s="301"/>
      <c r="U1195" s="301"/>
      <c r="V1195" s="301"/>
      <c r="W1195" s="301"/>
    </row>
    <row r="1196" spans="2:23" s="147" customFormat="1" ht="14.15" customHeight="1" x14ac:dyDescent="0.35">
      <c r="B1196" s="146"/>
      <c r="E1196"/>
      <c r="F1196"/>
      <c r="G1196"/>
      <c r="H1196"/>
      <c r="I1196"/>
      <c r="J1196"/>
      <c r="Q1196"/>
      <c r="R1196" s="301"/>
      <c r="S1196" s="301"/>
      <c r="T1196" s="301"/>
      <c r="U1196" s="301"/>
      <c r="V1196" s="301"/>
      <c r="W1196" s="301"/>
    </row>
    <row r="1197" spans="2:23" s="147" customFormat="1" ht="14.15" customHeight="1" x14ac:dyDescent="0.35">
      <c r="B1197" s="146"/>
      <c r="E1197"/>
      <c r="F1197"/>
      <c r="G1197"/>
      <c r="H1197"/>
      <c r="I1197"/>
      <c r="J1197"/>
      <c r="Q1197"/>
      <c r="R1197" s="301"/>
      <c r="S1197" s="301"/>
      <c r="T1197" s="301"/>
      <c r="U1197" s="301"/>
      <c r="V1197" s="301"/>
      <c r="W1197" s="301"/>
    </row>
    <row r="1198" spans="2:23" s="147" customFormat="1" ht="14.15" customHeight="1" x14ac:dyDescent="0.35">
      <c r="B1198" s="146"/>
      <c r="E1198"/>
      <c r="F1198"/>
      <c r="G1198"/>
      <c r="H1198"/>
      <c r="I1198"/>
      <c r="J1198"/>
      <c r="Q1198"/>
      <c r="R1198" s="301"/>
      <c r="S1198" s="301"/>
      <c r="T1198" s="301"/>
      <c r="U1198" s="301"/>
      <c r="V1198" s="301"/>
      <c r="W1198" s="301"/>
    </row>
    <row r="1199" spans="2:23" s="147" customFormat="1" ht="14.15" customHeight="1" x14ac:dyDescent="0.35">
      <c r="B1199" s="146"/>
      <c r="E1199"/>
      <c r="F1199"/>
      <c r="G1199"/>
      <c r="H1199"/>
      <c r="I1199"/>
      <c r="J1199"/>
      <c r="Q1199"/>
      <c r="R1199" s="301"/>
      <c r="S1199" s="301"/>
      <c r="T1199" s="301"/>
      <c r="U1199" s="301"/>
      <c r="V1199" s="301"/>
      <c r="W1199" s="301"/>
    </row>
    <row r="1200" spans="2:23" s="147" customFormat="1" ht="14.15" customHeight="1" x14ac:dyDescent="0.35">
      <c r="B1200" s="146"/>
      <c r="E1200"/>
      <c r="F1200"/>
      <c r="G1200"/>
      <c r="H1200"/>
      <c r="I1200"/>
      <c r="J1200"/>
      <c r="Q1200"/>
      <c r="R1200" s="301"/>
      <c r="S1200" s="301"/>
      <c r="T1200" s="301"/>
      <c r="U1200" s="301"/>
      <c r="V1200" s="301"/>
      <c r="W1200" s="301"/>
    </row>
    <row r="1201" spans="2:23" s="147" customFormat="1" ht="14.15" customHeight="1" x14ac:dyDescent="0.35">
      <c r="B1201" s="146"/>
      <c r="E1201"/>
      <c r="F1201"/>
      <c r="G1201"/>
      <c r="H1201"/>
      <c r="I1201"/>
      <c r="J1201"/>
      <c r="Q1201"/>
      <c r="R1201" s="301"/>
      <c r="S1201" s="301"/>
      <c r="T1201" s="301"/>
      <c r="U1201" s="301"/>
      <c r="V1201" s="301"/>
      <c r="W1201" s="301"/>
    </row>
    <row r="1202" spans="2:23" s="147" customFormat="1" ht="14.15" customHeight="1" x14ac:dyDescent="0.35">
      <c r="B1202" s="146"/>
      <c r="E1202"/>
      <c r="F1202"/>
      <c r="G1202"/>
      <c r="H1202"/>
      <c r="I1202"/>
      <c r="J1202"/>
      <c r="Q1202"/>
      <c r="R1202" s="301"/>
      <c r="S1202" s="301"/>
      <c r="T1202" s="301"/>
      <c r="U1202" s="301"/>
      <c r="V1202" s="301"/>
      <c r="W1202" s="301"/>
    </row>
    <row r="1203" spans="2:23" s="147" customFormat="1" ht="14.15" customHeight="1" x14ac:dyDescent="0.35">
      <c r="B1203" s="146"/>
      <c r="E1203"/>
      <c r="F1203"/>
      <c r="G1203"/>
      <c r="H1203"/>
      <c r="I1203"/>
      <c r="J1203"/>
      <c r="Q1203"/>
      <c r="R1203" s="301"/>
      <c r="S1203" s="301"/>
      <c r="T1203" s="301"/>
      <c r="U1203" s="301"/>
      <c r="V1203" s="301"/>
      <c r="W1203" s="301"/>
    </row>
    <row r="1204" spans="2:23" s="147" customFormat="1" ht="14.15" customHeight="1" x14ac:dyDescent="0.35">
      <c r="B1204" s="146"/>
      <c r="E1204"/>
      <c r="F1204"/>
      <c r="G1204"/>
      <c r="H1204"/>
      <c r="I1204"/>
      <c r="J1204"/>
      <c r="Q1204"/>
      <c r="R1204" s="301"/>
      <c r="S1204" s="301"/>
      <c r="T1204" s="301"/>
      <c r="U1204" s="301"/>
      <c r="V1204" s="301"/>
      <c r="W1204" s="301"/>
    </row>
    <row r="1205" spans="2:23" s="147" customFormat="1" ht="14.15" customHeight="1" x14ac:dyDescent="0.35">
      <c r="B1205" s="146"/>
      <c r="E1205"/>
      <c r="F1205"/>
      <c r="G1205"/>
      <c r="H1205"/>
      <c r="I1205"/>
      <c r="J1205"/>
      <c r="Q1205"/>
      <c r="R1205" s="301"/>
      <c r="S1205" s="301"/>
      <c r="T1205" s="301"/>
      <c r="U1205" s="301"/>
      <c r="V1205" s="301"/>
      <c r="W1205" s="301"/>
    </row>
    <row r="1206" spans="2:23" s="147" customFormat="1" ht="14.15" customHeight="1" x14ac:dyDescent="0.35">
      <c r="B1206" s="146"/>
      <c r="E1206"/>
      <c r="F1206"/>
      <c r="G1206"/>
      <c r="H1206"/>
      <c r="I1206"/>
      <c r="J1206"/>
      <c r="Q1206"/>
      <c r="R1206" s="301"/>
      <c r="S1206" s="301"/>
      <c r="T1206" s="301"/>
      <c r="U1206" s="301"/>
      <c r="V1206" s="301"/>
      <c r="W1206" s="301"/>
    </row>
    <row r="1207" spans="2:23" s="147" customFormat="1" ht="14.15" customHeight="1" x14ac:dyDescent="0.35">
      <c r="B1207" s="146"/>
      <c r="E1207"/>
      <c r="F1207"/>
      <c r="G1207"/>
      <c r="H1207"/>
      <c r="I1207"/>
      <c r="J1207"/>
      <c r="Q1207"/>
      <c r="R1207" s="301"/>
      <c r="S1207" s="301"/>
      <c r="T1207" s="301"/>
      <c r="U1207" s="301"/>
      <c r="V1207" s="301"/>
      <c r="W1207" s="301"/>
    </row>
    <row r="1208" spans="2:23" s="147" customFormat="1" ht="14.15" customHeight="1" x14ac:dyDescent="0.35">
      <c r="B1208" s="146"/>
      <c r="E1208"/>
      <c r="F1208"/>
      <c r="G1208"/>
      <c r="H1208"/>
      <c r="I1208"/>
      <c r="J1208"/>
      <c r="Q1208"/>
      <c r="R1208" s="301"/>
      <c r="S1208" s="301"/>
      <c r="T1208" s="301"/>
      <c r="U1208" s="301"/>
      <c r="V1208" s="301"/>
      <c r="W1208" s="301"/>
    </row>
    <row r="1209" spans="2:23" s="147" customFormat="1" ht="14.15" customHeight="1" x14ac:dyDescent="0.35">
      <c r="B1209" s="146"/>
      <c r="E1209"/>
      <c r="F1209"/>
      <c r="G1209"/>
      <c r="H1209"/>
      <c r="I1209"/>
      <c r="J1209"/>
      <c r="Q1209"/>
      <c r="R1209" s="301"/>
      <c r="S1209" s="301"/>
      <c r="T1209" s="301"/>
      <c r="U1209" s="301"/>
      <c r="V1209" s="301"/>
      <c r="W1209" s="301"/>
    </row>
    <row r="1210" spans="2:23" s="147" customFormat="1" ht="14.15" customHeight="1" x14ac:dyDescent="0.35">
      <c r="B1210" s="146"/>
      <c r="E1210"/>
      <c r="F1210"/>
      <c r="G1210"/>
      <c r="H1210"/>
      <c r="I1210"/>
      <c r="J1210"/>
      <c r="Q1210"/>
      <c r="R1210" s="301"/>
      <c r="S1210" s="301"/>
      <c r="T1210" s="301"/>
      <c r="U1210" s="301"/>
      <c r="V1210" s="301"/>
      <c r="W1210" s="301"/>
    </row>
    <row r="1211" spans="2:23" s="147" customFormat="1" ht="14.15" customHeight="1" x14ac:dyDescent="0.35">
      <c r="B1211" s="146"/>
      <c r="E1211"/>
      <c r="F1211"/>
      <c r="G1211"/>
      <c r="H1211"/>
      <c r="I1211"/>
      <c r="J1211"/>
      <c r="Q1211"/>
      <c r="R1211" s="301"/>
      <c r="S1211" s="301"/>
      <c r="T1211" s="301"/>
      <c r="U1211" s="301"/>
      <c r="V1211" s="301"/>
      <c r="W1211" s="301"/>
    </row>
    <row r="1212" spans="2:23" s="147" customFormat="1" ht="14.15" customHeight="1" x14ac:dyDescent="0.35">
      <c r="B1212" s="146"/>
      <c r="E1212"/>
      <c r="F1212"/>
      <c r="G1212"/>
      <c r="H1212"/>
      <c r="I1212"/>
      <c r="J1212"/>
      <c r="Q1212"/>
      <c r="R1212" s="301"/>
      <c r="S1212" s="301"/>
      <c r="T1212" s="301"/>
      <c r="U1212" s="301"/>
      <c r="V1212" s="301"/>
      <c r="W1212" s="301"/>
    </row>
    <row r="1213" spans="2:23" s="147" customFormat="1" ht="14.15" customHeight="1" x14ac:dyDescent="0.35">
      <c r="B1213" s="146"/>
      <c r="E1213"/>
      <c r="F1213"/>
      <c r="G1213"/>
      <c r="H1213"/>
      <c r="I1213"/>
      <c r="J1213"/>
      <c r="Q1213"/>
      <c r="R1213" s="301"/>
      <c r="S1213" s="301"/>
      <c r="T1213" s="301"/>
      <c r="U1213" s="301"/>
      <c r="V1213" s="301"/>
      <c r="W1213" s="301"/>
    </row>
    <row r="1214" spans="2:23" s="147" customFormat="1" ht="14.15" customHeight="1" x14ac:dyDescent="0.35">
      <c r="B1214" s="146"/>
      <c r="E1214"/>
      <c r="F1214"/>
      <c r="G1214"/>
      <c r="H1214"/>
      <c r="I1214"/>
      <c r="J1214"/>
      <c r="Q1214"/>
      <c r="R1214" s="301"/>
      <c r="S1214" s="301"/>
      <c r="T1214" s="301"/>
      <c r="U1214" s="301"/>
      <c r="V1214" s="301"/>
      <c r="W1214" s="301"/>
    </row>
    <row r="1215" spans="2:23" s="147" customFormat="1" ht="14.15" customHeight="1" x14ac:dyDescent="0.35">
      <c r="B1215" s="146"/>
      <c r="E1215"/>
      <c r="F1215"/>
      <c r="G1215"/>
      <c r="H1215"/>
      <c r="I1215"/>
      <c r="J1215"/>
      <c r="Q1215"/>
      <c r="R1215" s="301"/>
      <c r="S1215" s="301"/>
      <c r="T1215" s="301"/>
      <c r="U1215" s="301"/>
      <c r="V1215" s="301"/>
      <c r="W1215" s="301"/>
    </row>
    <row r="1216" spans="2:23" s="147" customFormat="1" ht="14.15" customHeight="1" x14ac:dyDescent="0.35">
      <c r="B1216" s="146"/>
      <c r="E1216"/>
      <c r="F1216"/>
      <c r="G1216"/>
      <c r="H1216"/>
      <c r="I1216"/>
      <c r="J1216"/>
      <c r="Q1216"/>
      <c r="R1216" s="301"/>
      <c r="S1216" s="301"/>
      <c r="T1216" s="301"/>
      <c r="U1216" s="301"/>
      <c r="V1216" s="301"/>
      <c r="W1216" s="301"/>
    </row>
    <row r="1217" spans="2:23" s="147" customFormat="1" ht="14.15" customHeight="1" x14ac:dyDescent="0.35">
      <c r="B1217" s="146"/>
      <c r="E1217"/>
      <c r="F1217"/>
      <c r="G1217"/>
      <c r="H1217"/>
      <c r="I1217"/>
      <c r="J1217"/>
      <c r="Q1217"/>
      <c r="R1217" s="301"/>
      <c r="S1217" s="301"/>
      <c r="T1217" s="301"/>
      <c r="U1217" s="301"/>
      <c r="V1217" s="301"/>
      <c r="W1217" s="301"/>
    </row>
    <row r="1218" spans="2:23" s="147" customFormat="1" ht="14.15" customHeight="1" x14ac:dyDescent="0.35">
      <c r="B1218" s="146"/>
      <c r="E1218"/>
      <c r="F1218"/>
      <c r="G1218"/>
      <c r="H1218"/>
      <c r="I1218"/>
      <c r="J1218"/>
      <c r="Q1218"/>
      <c r="R1218" s="301"/>
      <c r="S1218" s="301"/>
      <c r="T1218" s="301"/>
      <c r="U1218" s="301"/>
      <c r="V1218" s="301"/>
      <c r="W1218" s="301"/>
    </row>
    <row r="1219" spans="2:23" s="147" customFormat="1" ht="14.15" customHeight="1" x14ac:dyDescent="0.35">
      <c r="B1219" s="146"/>
      <c r="E1219"/>
      <c r="F1219"/>
      <c r="G1219"/>
      <c r="H1219"/>
      <c r="I1219"/>
      <c r="J1219"/>
      <c r="Q1219"/>
      <c r="R1219" s="301"/>
      <c r="S1219" s="301"/>
      <c r="T1219" s="301"/>
      <c r="U1219" s="301"/>
      <c r="V1219" s="301"/>
      <c r="W1219" s="301"/>
    </row>
    <row r="1220" spans="2:23" s="147" customFormat="1" ht="14.15" customHeight="1" x14ac:dyDescent="0.35">
      <c r="B1220" s="146"/>
      <c r="E1220"/>
      <c r="F1220"/>
      <c r="G1220"/>
      <c r="H1220"/>
      <c r="I1220"/>
      <c r="J1220"/>
      <c r="Q1220"/>
      <c r="R1220" s="301"/>
      <c r="S1220" s="301"/>
      <c r="T1220" s="301"/>
      <c r="U1220" s="301"/>
      <c r="V1220" s="301"/>
      <c r="W1220" s="301"/>
    </row>
    <row r="1221" spans="2:23" s="147" customFormat="1" ht="14.15" customHeight="1" x14ac:dyDescent="0.35">
      <c r="B1221" s="146"/>
      <c r="E1221"/>
      <c r="F1221"/>
      <c r="G1221"/>
      <c r="H1221"/>
      <c r="I1221"/>
      <c r="J1221"/>
      <c r="Q1221"/>
      <c r="R1221" s="301"/>
      <c r="S1221" s="301"/>
      <c r="T1221" s="301"/>
      <c r="U1221" s="301"/>
      <c r="V1221" s="301"/>
      <c r="W1221" s="301"/>
    </row>
    <row r="1222" spans="2:23" s="147" customFormat="1" ht="14.15" customHeight="1" x14ac:dyDescent="0.35">
      <c r="B1222" s="146"/>
      <c r="E1222"/>
      <c r="F1222"/>
      <c r="G1222"/>
      <c r="H1222"/>
      <c r="I1222"/>
      <c r="J1222"/>
      <c r="Q1222"/>
      <c r="R1222" s="301"/>
      <c r="S1222" s="301"/>
      <c r="T1222" s="301"/>
      <c r="U1222" s="301"/>
      <c r="V1222" s="301"/>
      <c r="W1222" s="301"/>
    </row>
    <row r="1223" spans="2:23" s="147" customFormat="1" ht="14.15" customHeight="1" x14ac:dyDescent="0.35">
      <c r="B1223" s="146"/>
      <c r="E1223"/>
      <c r="F1223"/>
      <c r="G1223"/>
      <c r="H1223"/>
      <c r="I1223"/>
      <c r="J1223"/>
      <c r="Q1223"/>
      <c r="R1223" s="301"/>
      <c r="S1223" s="301"/>
      <c r="T1223" s="301"/>
      <c r="U1223" s="301"/>
      <c r="V1223" s="301"/>
      <c r="W1223" s="301"/>
    </row>
    <row r="1224" spans="2:23" s="147" customFormat="1" ht="14.15" customHeight="1" x14ac:dyDescent="0.35">
      <c r="B1224" s="146"/>
      <c r="E1224"/>
      <c r="F1224"/>
      <c r="G1224"/>
      <c r="H1224"/>
      <c r="I1224"/>
      <c r="J1224"/>
      <c r="Q1224"/>
      <c r="R1224" s="301"/>
      <c r="S1224" s="301"/>
      <c r="T1224" s="301"/>
      <c r="U1224" s="301"/>
      <c r="V1224" s="301"/>
      <c r="W1224" s="301"/>
    </row>
    <row r="1225" spans="2:23" s="147" customFormat="1" ht="14.15" customHeight="1" x14ac:dyDescent="0.35">
      <c r="B1225" s="146"/>
      <c r="E1225"/>
      <c r="F1225"/>
      <c r="G1225"/>
      <c r="H1225"/>
      <c r="I1225"/>
      <c r="J1225"/>
      <c r="Q1225"/>
      <c r="R1225" s="301"/>
      <c r="S1225" s="301"/>
      <c r="T1225" s="301"/>
      <c r="U1225" s="301"/>
      <c r="V1225" s="301"/>
      <c r="W1225" s="301"/>
    </row>
    <row r="1226" spans="2:23" s="147" customFormat="1" ht="14.15" customHeight="1" x14ac:dyDescent="0.35">
      <c r="B1226" s="146"/>
      <c r="E1226"/>
      <c r="F1226"/>
      <c r="G1226"/>
      <c r="H1226"/>
      <c r="I1226"/>
      <c r="J1226"/>
      <c r="Q1226"/>
      <c r="R1226" s="301"/>
      <c r="S1226" s="301"/>
      <c r="T1226" s="301"/>
      <c r="U1226" s="301"/>
      <c r="V1226" s="301"/>
      <c r="W1226" s="301"/>
    </row>
    <row r="1227" spans="2:23" s="147" customFormat="1" ht="14.15" customHeight="1" x14ac:dyDescent="0.35">
      <c r="B1227" s="146"/>
      <c r="E1227"/>
      <c r="F1227"/>
      <c r="G1227"/>
      <c r="H1227"/>
      <c r="I1227"/>
      <c r="J1227"/>
      <c r="Q1227"/>
      <c r="R1227" s="301"/>
      <c r="S1227" s="301"/>
      <c r="T1227" s="301"/>
      <c r="U1227" s="301"/>
      <c r="V1227" s="301"/>
      <c r="W1227" s="301"/>
    </row>
    <row r="1228" spans="2:23" s="147" customFormat="1" ht="14.15" customHeight="1" x14ac:dyDescent="0.35">
      <c r="B1228" s="146"/>
      <c r="E1228"/>
      <c r="F1228"/>
      <c r="G1228"/>
      <c r="H1228"/>
      <c r="I1228"/>
      <c r="J1228"/>
      <c r="Q1228"/>
      <c r="R1228" s="301"/>
      <c r="S1228" s="301"/>
      <c r="T1228" s="301"/>
      <c r="U1228" s="301"/>
      <c r="V1228" s="301"/>
      <c r="W1228" s="301"/>
    </row>
    <row r="1229" spans="2:23" s="147" customFormat="1" ht="14.15" customHeight="1" x14ac:dyDescent="0.35">
      <c r="B1229" s="146"/>
      <c r="E1229"/>
      <c r="F1229"/>
      <c r="G1229"/>
      <c r="H1229"/>
      <c r="I1229"/>
      <c r="J1229"/>
      <c r="Q1229"/>
      <c r="R1229" s="301"/>
      <c r="S1229" s="301"/>
      <c r="T1229" s="301"/>
      <c r="U1229" s="301"/>
      <c r="V1229" s="301"/>
      <c r="W1229" s="301"/>
    </row>
    <row r="1230" spans="2:23" s="147" customFormat="1" ht="14.15" customHeight="1" x14ac:dyDescent="0.35">
      <c r="B1230" s="146"/>
      <c r="E1230"/>
      <c r="F1230"/>
      <c r="G1230"/>
      <c r="H1230"/>
      <c r="I1230"/>
      <c r="J1230"/>
      <c r="Q1230"/>
      <c r="R1230" s="301"/>
      <c r="S1230" s="301"/>
      <c r="T1230" s="301"/>
      <c r="U1230" s="301"/>
      <c r="V1230" s="301"/>
      <c r="W1230" s="301"/>
    </row>
    <row r="1231" spans="2:23" s="147" customFormat="1" ht="14.15" customHeight="1" x14ac:dyDescent="0.35">
      <c r="B1231" s="146"/>
      <c r="E1231"/>
      <c r="F1231"/>
      <c r="G1231"/>
      <c r="H1231"/>
      <c r="I1231"/>
      <c r="J1231"/>
      <c r="Q1231"/>
      <c r="R1231" s="301"/>
      <c r="S1231" s="301"/>
      <c r="T1231" s="301"/>
      <c r="U1231" s="301"/>
      <c r="V1231" s="301"/>
      <c r="W1231" s="301"/>
    </row>
    <row r="1232" spans="2:23" s="147" customFormat="1" ht="14.15" customHeight="1" x14ac:dyDescent="0.35">
      <c r="B1232" s="146"/>
      <c r="E1232"/>
      <c r="F1232"/>
      <c r="G1232"/>
      <c r="H1232"/>
      <c r="I1232"/>
      <c r="J1232"/>
      <c r="Q1232"/>
      <c r="R1232" s="301"/>
      <c r="S1232" s="301"/>
      <c r="T1232" s="301"/>
      <c r="U1232" s="301"/>
      <c r="V1232" s="301"/>
      <c r="W1232" s="301"/>
    </row>
    <row r="1233" spans="2:23" s="147" customFormat="1" ht="14.15" customHeight="1" x14ac:dyDescent="0.35">
      <c r="B1233" s="146"/>
      <c r="E1233"/>
      <c r="F1233"/>
      <c r="G1233"/>
      <c r="H1233"/>
      <c r="I1233"/>
      <c r="J1233"/>
      <c r="Q1233"/>
      <c r="R1233" s="301"/>
      <c r="S1233" s="301"/>
      <c r="T1233" s="301"/>
      <c r="U1233" s="301"/>
      <c r="V1233" s="301"/>
      <c r="W1233" s="301"/>
    </row>
    <row r="1234" spans="2:23" s="147" customFormat="1" ht="14.15" customHeight="1" x14ac:dyDescent="0.35">
      <c r="B1234" s="146"/>
      <c r="E1234"/>
      <c r="F1234"/>
      <c r="G1234"/>
      <c r="H1234"/>
      <c r="I1234"/>
      <c r="J1234"/>
      <c r="Q1234"/>
      <c r="R1234" s="301"/>
      <c r="S1234" s="301"/>
      <c r="T1234" s="301"/>
      <c r="U1234" s="301"/>
      <c r="V1234" s="301"/>
      <c r="W1234" s="301"/>
    </row>
    <row r="1235" spans="2:23" s="147" customFormat="1" ht="14.15" customHeight="1" x14ac:dyDescent="0.35">
      <c r="B1235" s="146"/>
      <c r="E1235"/>
      <c r="F1235"/>
      <c r="G1235"/>
      <c r="H1235"/>
      <c r="I1235"/>
      <c r="J1235"/>
      <c r="Q1235"/>
      <c r="R1235" s="301"/>
      <c r="S1235" s="301"/>
      <c r="T1235" s="301"/>
      <c r="U1235" s="301"/>
      <c r="V1235" s="301"/>
      <c r="W1235" s="301"/>
    </row>
    <row r="1236" spans="2:23" s="147" customFormat="1" ht="14.15" customHeight="1" x14ac:dyDescent="0.35">
      <c r="B1236" s="146"/>
      <c r="E1236"/>
      <c r="F1236"/>
      <c r="G1236"/>
      <c r="H1236"/>
      <c r="I1236"/>
      <c r="J1236"/>
      <c r="Q1236"/>
      <c r="R1236" s="301"/>
      <c r="S1236" s="301"/>
      <c r="T1236" s="301"/>
      <c r="U1236" s="301"/>
      <c r="V1236" s="301"/>
      <c r="W1236" s="301"/>
    </row>
    <row r="1237" spans="2:23" s="147" customFormat="1" ht="14.15" customHeight="1" x14ac:dyDescent="0.35">
      <c r="B1237" s="146"/>
      <c r="E1237"/>
      <c r="F1237"/>
      <c r="G1237"/>
      <c r="H1237"/>
      <c r="I1237"/>
      <c r="J1237"/>
      <c r="Q1237"/>
      <c r="R1237" s="301"/>
      <c r="S1237" s="301"/>
      <c r="T1237" s="301"/>
      <c r="U1237" s="301"/>
      <c r="V1237" s="301"/>
      <c r="W1237" s="301"/>
    </row>
    <row r="1238" spans="2:23" s="147" customFormat="1" ht="14.15" customHeight="1" x14ac:dyDescent="0.35">
      <c r="B1238" s="146"/>
      <c r="E1238"/>
      <c r="F1238"/>
      <c r="G1238"/>
      <c r="H1238"/>
      <c r="I1238"/>
      <c r="J1238"/>
      <c r="Q1238"/>
      <c r="R1238" s="301"/>
      <c r="S1238" s="301"/>
      <c r="T1238" s="301"/>
      <c r="U1238" s="301"/>
      <c r="V1238" s="301"/>
      <c r="W1238" s="301"/>
    </row>
    <row r="1239" spans="2:23" s="147" customFormat="1" ht="14.15" customHeight="1" x14ac:dyDescent="0.35">
      <c r="B1239" s="146"/>
      <c r="E1239"/>
      <c r="F1239"/>
      <c r="G1239"/>
      <c r="H1239"/>
      <c r="I1239"/>
      <c r="J1239"/>
      <c r="Q1239"/>
      <c r="R1239" s="301"/>
      <c r="S1239" s="301"/>
      <c r="T1239" s="301"/>
      <c r="U1239" s="301"/>
      <c r="V1239" s="301"/>
      <c r="W1239" s="301"/>
    </row>
    <row r="1240" spans="2:23" s="147" customFormat="1" ht="14.15" customHeight="1" x14ac:dyDescent="0.35">
      <c r="B1240" s="146"/>
      <c r="E1240"/>
      <c r="F1240"/>
      <c r="G1240"/>
      <c r="H1240"/>
      <c r="I1240"/>
      <c r="J1240"/>
      <c r="Q1240"/>
      <c r="R1240" s="301"/>
      <c r="S1240" s="301"/>
      <c r="T1240" s="301"/>
      <c r="U1240" s="301"/>
      <c r="V1240" s="301"/>
      <c r="W1240" s="301"/>
    </row>
    <row r="1241" spans="2:23" s="147" customFormat="1" ht="14.15" customHeight="1" x14ac:dyDescent="0.35">
      <c r="B1241" s="146"/>
      <c r="E1241"/>
      <c r="F1241"/>
      <c r="G1241"/>
      <c r="H1241"/>
      <c r="I1241"/>
      <c r="J1241"/>
      <c r="Q1241"/>
      <c r="R1241" s="301"/>
      <c r="S1241" s="301"/>
      <c r="T1241" s="301"/>
      <c r="U1241" s="301"/>
      <c r="V1241" s="301"/>
      <c r="W1241" s="301"/>
    </row>
    <row r="1242" spans="2:23" s="147" customFormat="1" ht="14.15" customHeight="1" x14ac:dyDescent="0.35">
      <c r="B1242" s="146"/>
      <c r="E1242"/>
      <c r="F1242"/>
      <c r="G1242"/>
      <c r="H1242"/>
      <c r="I1242"/>
      <c r="J1242"/>
      <c r="Q1242"/>
      <c r="R1242" s="301"/>
      <c r="S1242" s="301"/>
      <c r="T1242" s="301"/>
      <c r="U1242" s="301"/>
      <c r="V1242" s="301"/>
      <c r="W1242" s="301"/>
    </row>
    <row r="1243" spans="2:23" s="147" customFormat="1" ht="14.15" customHeight="1" x14ac:dyDescent="0.35">
      <c r="B1243" s="146"/>
      <c r="E1243"/>
      <c r="F1243"/>
      <c r="G1243"/>
      <c r="H1243"/>
      <c r="I1243"/>
      <c r="J1243"/>
      <c r="Q1243"/>
      <c r="R1243" s="301"/>
      <c r="S1243" s="301"/>
      <c r="T1243" s="301"/>
      <c r="U1243" s="301"/>
      <c r="V1243" s="301"/>
      <c r="W1243" s="301"/>
    </row>
    <row r="1244" spans="2:23" s="147" customFormat="1" ht="14.15" customHeight="1" x14ac:dyDescent="0.35">
      <c r="B1244" s="146"/>
      <c r="E1244"/>
      <c r="F1244"/>
      <c r="G1244"/>
      <c r="H1244"/>
      <c r="I1244"/>
      <c r="J1244"/>
      <c r="Q1244"/>
      <c r="R1244" s="301"/>
      <c r="S1244" s="301"/>
      <c r="T1244" s="301"/>
      <c r="U1244" s="301"/>
      <c r="V1244" s="301"/>
      <c r="W1244" s="301"/>
    </row>
    <row r="1245" spans="2:23" s="147" customFormat="1" ht="14.15" customHeight="1" x14ac:dyDescent="0.35">
      <c r="B1245" s="146"/>
      <c r="E1245"/>
      <c r="F1245"/>
      <c r="G1245"/>
      <c r="H1245"/>
      <c r="I1245"/>
      <c r="J1245"/>
      <c r="Q1245"/>
      <c r="R1245" s="301"/>
      <c r="S1245" s="301"/>
      <c r="T1245" s="301"/>
      <c r="U1245" s="301"/>
      <c r="V1245" s="301"/>
      <c r="W1245" s="301"/>
    </row>
    <row r="1246" spans="2:23" s="147" customFormat="1" ht="14.15" customHeight="1" x14ac:dyDescent="0.35">
      <c r="B1246" s="146"/>
      <c r="E1246"/>
      <c r="F1246"/>
      <c r="G1246"/>
      <c r="H1246"/>
      <c r="I1246"/>
      <c r="J1246"/>
      <c r="Q1246"/>
      <c r="R1246" s="301"/>
      <c r="S1246" s="301"/>
      <c r="T1246" s="301"/>
      <c r="U1246" s="301"/>
      <c r="V1246" s="301"/>
      <c r="W1246" s="301"/>
    </row>
    <row r="1247" spans="2:23" s="147" customFormat="1" ht="14.15" customHeight="1" x14ac:dyDescent="0.35">
      <c r="B1247" s="146"/>
      <c r="E1247"/>
      <c r="F1247"/>
      <c r="G1247"/>
      <c r="H1247"/>
      <c r="I1247"/>
      <c r="J1247"/>
      <c r="Q1247"/>
      <c r="R1247" s="301"/>
      <c r="S1247" s="301"/>
      <c r="T1247" s="301"/>
      <c r="U1247" s="301"/>
      <c r="V1247" s="301"/>
      <c r="W1247" s="301"/>
    </row>
    <row r="1248" spans="2:23" s="147" customFormat="1" ht="14.15" customHeight="1" x14ac:dyDescent="0.35">
      <c r="B1248" s="146"/>
      <c r="E1248"/>
      <c r="F1248"/>
      <c r="G1248"/>
      <c r="H1248"/>
      <c r="I1248"/>
      <c r="J1248"/>
      <c r="Q1248"/>
      <c r="R1248" s="301"/>
      <c r="S1248" s="301"/>
      <c r="T1248" s="301"/>
      <c r="U1248" s="301"/>
      <c r="V1248" s="301"/>
      <c r="W1248" s="301"/>
    </row>
    <row r="1249" spans="2:23" s="147" customFormat="1" ht="14.15" customHeight="1" x14ac:dyDescent="0.35">
      <c r="B1249" s="146"/>
      <c r="E1249"/>
      <c r="F1249"/>
      <c r="G1249"/>
      <c r="H1249"/>
      <c r="I1249"/>
      <c r="J1249"/>
      <c r="Q1249"/>
      <c r="R1249" s="301"/>
      <c r="S1249" s="301"/>
      <c r="T1249" s="301"/>
      <c r="U1249" s="301"/>
      <c r="V1249" s="301"/>
      <c r="W1249" s="301"/>
    </row>
    <row r="1250" spans="2:23" s="147" customFormat="1" ht="14.15" customHeight="1" x14ac:dyDescent="0.35">
      <c r="B1250" s="146"/>
      <c r="E1250"/>
      <c r="F1250"/>
      <c r="G1250"/>
      <c r="H1250"/>
      <c r="I1250"/>
      <c r="J1250"/>
      <c r="Q1250"/>
      <c r="R1250" s="301"/>
      <c r="S1250" s="301"/>
      <c r="T1250" s="301"/>
      <c r="U1250" s="301"/>
      <c r="V1250" s="301"/>
      <c r="W1250" s="301"/>
    </row>
    <row r="1251" spans="2:23" s="147" customFormat="1" ht="14.15" customHeight="1" x14ac:dyDescent="0.35">
      <c r="B1251" s="146"/>
      <c r="E1251"/>
      <c r="F1251"/>
      <c r="G1251"/>
      <c r="H1251"/>
      <c r="I1251"/>
      <c r="J1251"/>
      <c r="Q1251"/>
      <c r="R1251" s="301"/>
      <c r="S1251" s="301"/>
      <c r="T1251" s="301"/>
      <c r="U1251" s="301"/>
      <c r="V1251" s="301"/>
      <c r="W1251" s="301"/>
    </row>
    <row r="1252" spans="2:23" s="147" customFormat="1" ht="14.15" customHeight="1" x14ac:dyDescent="0.35">
      <c r="B1252" s="146"/>
      <c r="E1252"/>
      <c r="F1252"/>
      <c r="G1252"/>
      <c r="H1252"/>
      <c r="I1252"/>
      <c r="J1252"/>
      <c r="Q1252"/>
      <c r="R1252" s="301"/>
      <c r="S1252" s="301"/>
      <c r="T1252" s="301"/>
      <c r="U1252" s="301"/>
      <c r="V1252" s="301"/>
      <c r="W1252" s="301"/>
    </row>
    <row r="1253" spans="2:23" s="147" customFormat="1" ht="14.15" customHeight="1" x14ac:dyDescent="0.35">
      <c r="B1253" s="146"/>
      <c r="E1253"/>
      <c r="F1253"/>
      <c r="G1253"/>
      <c r="H1253"/>
      <c r="I1253"/>
      <c r="J1253"/>
      <c r="Q1253"/>
      <c r="R1253" s="301"/>
      <c r="S1253" s="301"/>
      <c r="T1253" s="301"/>
      <c r="U1253" s="301"/>
      <c r="V1253" s="301"/>
      <c r="W1253" s="301"/>
    </row>
    <row r="1254" spans="2:23" s="147" customFormat="1" ht="14.15" customHeight="1" x14ac:dyDescent="0.35">
      <c r="B1254" s="146"/>
      <c r="E1254"/>
      <c r="F1254"/>
      <c r="G1254"/>
      <c r="H1254"/>
      <c r="I1254"/>
      <c r="J1254"/>
      <c r="Q1254"/>
      <c r="R1254" s="301"/>
      <c r="S1254" s="301"/>
      <c r="T1254" s="301"/>
      <c r="U1254" s="301"/>
      <c r="V1254" s="301"/>
      <c r="W1254" s="301"/>
    </row>
    <row r="1255" spans="2:23" s="147" customFormat="1" ht="14.15" customHeight="1" x14ac:dyDescent="0.35">
      <c r="B1255" s="146"/>
      <c r="E1255"/>
      <c r="F1255"/>
      <c r="G1255"/>
      <c r="H1255"/>
      <c r="I1255"/>
      <c r="J1255"/>
      <c r="Q1255"/>
      <c r="R1255" s="301"/>
      <c r="S1255" s="301"/>
      <c r="T1255" s="301"/>
      <c r="U1255" s="301"/>
      <c r="V1255" s="301"/>
      <c r="W1255" s="301"/>
    </row>
    <row r="1256" spans="2:23" s="147" customFormat="1" ht="14.15" customHeight="1" x14ac:dyDescent="0.35">
      <c r="B1256" s="146"/>
      <c r="E1256"/>
      <c r="F1256"/>
      <c r="G1256"/>
      <c r="H1256"/>
      <c r="I1256"/>
      <c r="J1256"/>
      <c r="Q1256"/>
      <c r="R1256" s="301"/>
      <c r="S1256" s="301"/>
      <c r="T1256" s="301"/>
      <c r="U1256" s="301"/>
      <c r="V1256" s="301"/>
      <c r="W1256" s="301"/>
    </row>
    <row r="1257" spans="2:23" s="147" customFormat="1" ht="14.15" customHeight="1" x14ac:dyDescent="0.35">
      <c r="B1257" s="146"/>
      <c r="E1257"/>
      <c r="F1257"/>
      <c r="G1257"/>
      <c r="H1257"/>
      <c r="I1257"/>
      <c r="J1257"/>
      <c r="Q1257"/>
      <c r="R1257" s="301"/>
      <c r="S1257" s="301"/>
      <c r="T1257" s="301"/>
      <c r="U1257" s="301"/>
      <c r="V1257" s="301"/>
      <c r="W1257" s="301"/>
    </row>
    <row r="1258" spans="2:23" s="147" customFormat="1" ht="14.15" customHeight="1" x14ac:dyDescent="0.35">
      <c r="B1258" s="146"/>
      <c r="E1258"/>
      <c r="F1258"/>
      <c r="G1258"/>
      <c r="H1258"/>
      <c r="I1258"/>
      <c r="J1258"/>
      <c r="Q1258"/>
      <c r="R1258" s="301"/>
      <c r="S1258" s="301"/>
      <c r="T1258" s="301"/>
      <c r="U1258" s="301"/>
      <c r="V1258" s="301"/>
      <c r="W1258" s="301"/>
    </row>
    <row r="1259" spans="2:23" s="147" customFormat="1" ht="14.15" customHeight="1" x14ac:dyDescent="0.35">
      <c r="B1259" s="146"/>
      <c r="E1259"/>
      <c r="F1259"/>
      <c r="G1259"/>
      <c r="H1259"/>
      <c r="I1259"/>
      <c r="J1259"/>
      <c r="Q1259"/>
      <c r="R1259" s="301"/>
      <c r="S1259" s="301"/>
      <c r="T1259" s="301"/>
      <c r="U1259" s="301"/>
      <c r="V1259" s="301"/>
      <c r="W1259" s="301"/>
    </row>
    <row r="1260" spans="2:23" s="147" customFormat="1" ht="14.15" customHeight="1" x14ac:dyDescent="0.35">
      <c r="B1260" s="146"/>
      <c r="E1260"/>
      <c r="F1260"/>
      <c r="G1260"/>
      <c r="H1260"/>
      <c r="I1260"/>
      <c r="J1260"/>
      <c r="Q1260"/>
      <c r="R1260" s="301"/>
      <c r="S1260" s="301"/>
      <c r="T1260" s="301"/>
      <c r="U1260" s="301"/>
      <c r="V1260" s="301"/>
      <c r="W1260" s="301"/>
    </row>
    <row r="1261" spans="2:23" s="147" customFormat="1" ht="14.15" customHeight="1" x14ac:dyDescent="0.35">
      <c r="B1261" s="146"/>
      <c r="E1261"/>
      <c r="F1261"/>
      <c r="G1261"/>
      <c r="H1261"/>
      <c r="I1261"/>
      <c r="J1261"/>
      <c r="Q1261"/>
      <c r="R1261" s="301"/>
      <c r="S1261" s="301"/>
      <c r="T1261" s="301"/>
      <c r="U1261" s="301"/>
      <c r="V1261" s="301"/>
      <c r="W1261" s="301"/>
    </row>
    <row r="1262" spans="2:23" s="147" customFormat="1" ht="14.15" customHeight="1" x14ac:dyDescent="0.35">
      <c r="B1262" s="146"/>
      <c r="E1262"/>
      <c r="F1262"/>
      <c r="G1262"/>
      <c r="H1262"/>
      <c r="I1262"/>
      <c r="J1262"/>
      <c r="Q1262"/>
      <c r="R1262" s="301"/>
      <c r="S1262" s="301"/>
      <c r="T1262" s="301"/>
      <c r="U1262" s="301"/>
      <c r="V1262" s="301"/>
      <c r="W1262" s="301"/>
    </row>
    <row r="1263" spans="2:23" s="147" customFormat="1" ht="14.15" customHeight="1" x14ac:dyDescent="0.35">
      <c r="B1263" s="146"/>
      <c r="E1263"/>
      <c r="F1263"/>
      <c r="G1263"/>
      <c r="H1263"/>
      <c r="I1263"/>
      <c r="J1263"/>
      <c r="Q1263"/>
      <c r="R1263" s="301"/>
      <c r="S1263" s="301"/>
      <c r="T1263" s="301"/>
      <c r="U1263" s="301"/>
      <c r="V1263" s="301"/>
      <c r="W1263" s="301"/>
    </row>
    <row r="1264" spans="2:23" s="147" customFormat="1" ht="14.15" customHeight="1" x14ac:dyDescent="0.35">
      <c r="B1264" s="146"/>
      <c r="E1264"/>
      <c r="F1264"/>
      <c r="G1264"/>
      <c r="H1264"/>
      <c r="I1264"/>
      <c r="J1264"/>
      <c r="Q1264"/>
      <c r="R1264" s="301"/>
      <c r="S1264" s="301"/>
      <c r="T1264" s="301"/>
      <c r="U1264" s="301"/>
      <c r="V1264" s="301"/>
      <c r="W1264" s="301"/>
    </row>
    <row r="1265" spans="2:23" s="147" customFormat="1" ht="14.15" customHeight="1" x14ac:dyDescent="0.35">
      <c r="B1265" s="146"/>
      <c r="E1265"/>
      <c r="F1265"/>
      <c r="G1265"/>
      <c r="H1265"/>
      <c r="I1265"/>
      <c r="J1265"/>
      <c r="Q1265"/>
      <c r="R1265" s="301"/>
      <c r="S1265" s="301"/>
      <c r="T1265" s="301"/>
      <c r="U1265" s="301"/>
      <c r="V1265" s="301"/>
      <c r="W1265" s="301"/>
    </row>
    <row r="1266" spans="2:23" s="147" customFormat="1" ht="14.15" customHeight="1" x14ac:dyDescent="0.35">
      <c r="B1266" s="146"/>
      <c r="E1266"/>
      <c r="F1266"/>
      <c r="G1266"/>
      <c r="H1266"/>
      <c r="I1266"/>
      <c r="J1266"/>
      <c r="Q1266"/>
      <c r="R1266" s="301"/>
      <c r="S1266" s="301"/>
      <c r="T1266" s="301"/>
      <c r="U1266" s="301"/>
      <c r="V1266" s="301"/>
      <c r="W1266" s="301"/>
    </row>
    <row r="1267" spans="2:23" s="147" customFormat="1" ht="14.15" customHeight="1" x14ac:dyDescent="0.35">
      <c r="B1267" s="146"/>
      <c r="E1267"/>
      <c r="F1267"/>
      <c r="G1267"/>
      <c r="H1267"/>
      <c r="I1267"/>
      <c r="J1267"/>
      <c r="Q1267"/>
      <c r="R1267" s="301"/>
      <c r="S1267" s="301"/>
      <c r="T1267" s="301"/>
      <c r="U1267" s="301"/>
      <c r="V1267" s="301"/>
      <c r="W1267" s="301"/>
    </row>
    <row r="1268" spans="2:23" s="147" customFormat="1" ht="14.15" customHeight="1" x14ac:dyDescent="0.35">
      <c r="B1268" s="146"/>
      <c r="E1268"/>
      <c r="F1268"/>
      <c r="G1268"/>
      <c r="H1268"/>
      <c r="I1268"/>
      <c r="J1268"/>
      <c r="Q1268"/>
      <c r="R1268" s="301"/>
      <c r="S1268" s="301"/>
      <c r="T1268" s="301"/>
      <c r="U1268" s="301"/>
      <c r="V1268" s="301"/>
      <c r="W1268" s="301"/>
    </row>
    <row r="1269" spans="2:23" s="147" customFormat="1" ht="14.15" customHeight="1" x14ac:dyDescent="0.35">
      <c r="B1269" s="146"/>
      <c r="E1269"/>
      <c r="F1269"/>
      <c r="G1269"/>
      <c r="H1269"/>
      <c r="I1269"/>
      <c r="J1269"/>
      <c r="Q1269"/>
      <c r="R1269" s="301"/>
      <c r="S1269" s="301"/>
      <c r="T1269" s="301"/>
      <c r="U1269" s="301"/>
      <c r="V1269" s="301"/>
      <c r="W1269" s="301"/>
    </row>
    <row r="1270" spans="2:23" s="147" customFormat="1" ht="14.15" customHeight="1" x14ac:dyDescent="0.35">
      <c r="B1270" s="146"/>
      <c r="E1270"/>
      <c r="F1270"/>
      <c r="G1270"/>
      <c r="H1270"/>
      <c r="I1270"/>
      <c r="J1270"/>
      <c r="Q1270"/>
      <c r="R1270" s="301"/>
      <c r="S1270" s="301"/>
      <c r="T1270" s="301"/>
      <c r="U1270" s="301"/>
      <c r="V1270" s="301"/>
      <c r="W1270" s="301"/>
    </row>
    <row r="1271" spans="2:23" s="147" customFormat="1" ht="14.15" customHeight="1" x14ac:dyDescent="0.35">
      <c r="B1271" s="146"/>
      <c r="E1271"/>
      <c r="F1271"/>
      <c r="G1271"/>
      <c r="H1271"/>
      <c r="I1271"/>
      <c r="J1271"/>
      <c r="Q1271"/>
      <c r="R1271" s="301"/>
      <c r="S1271" s="301"/>
      <c r="T1271" s="301"/>
      <c r="U1271" s="301"/>
      <c r="V1271" s="301"/>
      <c r="W1271" s="301"/>
    </row>
    <row r="1272" spans="2:23" s="147" customFormat="1" ht="14.15" customHeight="1" x14ac:dyDescent="0.35">
      <c r="B1272" s="146"/>
      <c r="E1272"/>
      <c r="F1272"/>
      <c r="G1272"/>
      <c r="H1272"/>
      <c r="I1272"/>
      <c r="J1272"/>
      <c r="Q1272"/>
      <c r="R1272" s="301"/>
      <c r="S1272" s="301"/>
      <c r="T1272" s="301"/>
      <c r="U1272" s="301"/>
      <c r="V1272" s="301"/>
      <c r="W1272" s="301"/>
    </row>
    <row r="1273" spans="2:23" s="147" customFormat="1" ht="14.15" customHeight="1" x14ac:dyDescent="0.35">
      <c r="B1273" s="146"/>
      <c r="E1273"/>
      <c r="F1273"/>
      <c r="G1273"/>
      <c r="H1273"/>
      <c r="I1273"/>
      <c r="J1273"/>
      <c r="Q1273"/>
      <c r="R1273" s="301"/>
      <c r="S1273" s="301"/>
      <c r="T1273" s="301"/>
      <c r="U1273" s="301"/>
      <c r="V1273" s="301"/>
      <c r="W1273" s="301"/>
    </row>
    <row r="1274" spans="2:23" s="147" customFormat="1" ht="14.15" customHeight="1" x14ac:dyDescent="0.35">
      <c r="B1274" s="146"/>
      <c r="E1274"/>
      <c r="F1274"/>
      <c r="G1274"/>
      <c r="H1274"/>
      <c r="I1274"/>
      <c r="J1274"/>
      <c r="Q1274"/>
      <c r="R1274" s="301"/>
      <c r="S1274" s="301"/>
      <c r="T1274" s="301"/>
      <c r="U1274" s="301"/>
      <c r="V1274" s="301"/>
      <c r="W1274" s="301"/>
    </row>
    <row r="1275" spans="2:23" s="147" customFormat="1" ht="14.15" customHeight="1" x14ac:dyDescent="0.35">
      <c r="B1275" s="146"/>
      <c r="E1275"/>
      <c r="F1275"/>
      <c r="G1275"/>
      <c r="H1275"/>
      <c r="I1275"/>
      <c r="J1275"/>
      <c r="Q1275"/>
      <c r="R1275" s="301"/>
      <c r="S1275" s="301"/>
      <c r="T1275" s="301"/>
      <c r="U1275" s="301"/>
      <c r="V1275" s="301"/>
      <c r="W1275" s="301"/>
    </row>
    <row r="1276" spans="2:23" s="147" customFormat="1" ht="14.15" customHeight="1" x14ac:dyDescent="0.35">
      <c r="B1276" s="146"/>
      <c r="E1276"/>
      <c r="F1276"/>
      <c r="G1276"/>
      <c r="H1276"/>
      <c r="I1276"/>
      <c r="J1276"/>
      <c r="Q1276"/>
      <c r="R1276" s="301"/>
      <c r="S1276" s="301"/>
      <c r="T1276" s="301"/>
      <c r="U1276" s="301"/>
      <c r="V1276" s="301"/>
      <c r="W1276" s="301"/>
    </row>
    <row r="1277" spans="2:23" s="147" customFormat="1" ht="14.15" customHeight="1" x14ac:dyDescent="0.35">
      <c r="B1277" s="146"/>
      <c r="E1277"/>
      <c r="F1277"/>
      <c r="G1277"/>
      <c r="H1277"/>
      <c r="I1277"/>
      <c r="J1277"/>
      <c r="Q1277"/>
      <c r="R1277" s="301"/>
      <c r="S1277" s="301"/>
      <c r="T1277" s="301"/>
      <c r="U1277" s="301"/>
      <c r="V1277" s="301"/>
      <c r="W1277" s="301"/>
    </row>
    <row r="1278" spans="2:23" s="147" customFormat="1" ht="14.15" customHeight="1" x14ac:dyDescent="0.35">
      <c r="B1278" s="146"/>
      <c r="E1278"/>
      <c r="F1278"/>
      <c r="G1278"/>
      <c r="H1278"/>
      <c r="I1278"/>
      <c r="J1278"/>
      <c r="Q1278"/>
      <c r="R1278" s="301"/>
      <c r="S1278" s="301"/>
      <c r="T1278" s="301"/>
      <c r="U1278" s="301"/>
      <c r="V1278" s="301"/>
      <c r="W1278" s="301"/>
    </row>
    <row r="1279" spans="2:23" s="147" customFormat="1" ht="14.15" customHeight="1" x14ac:dyDescent="0.35">
      <c r="B1279" s="146"/>
      <c r="E1279"/>
      <c r="F1279"/>
      <c r="G1279"/>
      <c r="H1279"/>
      <c r="I1279"/>
      <c r="J1279"/>
      <c r="Q1279"/>
      <c r="R1279" s="301"/>
      <c r="S1279" s="301"/>
      <c r="T1279" s="301"/>
      <c r="U1279" s="301"/>
      <c r="V1279" s="301"/>
      <c r="W1279" s="301"/>
    </row>
    <row r="1280" spans="2:23" s="147" customFormat="1" ht="14.15" customHeight="1" x14ac:dyDescent="0.35">
      <c r="B1280" s="146"/>
      <c r="E1280"/>
      <c r="F1280"/>
      <c r="G1280"/>
      <c r="H1280"/>
      <c r="I1280"/>
      <c r="J1280"/>
      <c r="Q1280"/>
      <c r="R1280" s="301"/>
      <c r="S1280" s="301"/>
      <c r="T1280" s="301"/>
      <c r="U1280" s="301"/>
      <c r="V1280" s="301"/>
      <c r="W1280" s="301"/>
    </row>
    <row r="1281" spans="2:23" s="147" customFormat="1" ht="14.15" customHeight="1" x14ac:dyDescent="0.35">
      <c r="B1281" s="146"/>
      <c r="E1281"/>
      <c r="F1281"/>
      <c r="G1281"/>
      <c r="H1281"/>
      <c r="I1281"/>
      <c r="J1281"/>
      <c r="Q1281"/>
      <c r="R1281" s="301"/>
      <c r="S1281" s="301"/>
      <c r="T1281" s="301"/>
      <c r="U1281" s="301"/>
      <c r="V1281" s="301"/>
      <c r="W1281" s="301"/>
    </row>
    <row r="1282" spans="2:23" s="147" customFormat="1" ht="14.15" customHeight="1" x14ac:dyDescent="0.35">
      <c r="B1282" s="146"/>
      <c r="E1282"/>
      <c r="F1282"/>
      <c r="G1282"/>
      <c r="H1282"/>
      <c r="I1282"/>
      <c r="J1282"/>
      <c r="Q1282"/>
      <c r="R1282" s="301"/>
      <c r="S1282" s="301"/>
      <c r="T1282" s="301"/>
      <c r="U1282" s="301"/>
      <c r="V1282" s="301"/>
      <c r="W1282" s="301"/>
    </row>
    <row r="1283" spans="2:23" s="147" customFormat="1" ht="14.15" customHeight="1" x14ac:dyDescent="0.35">
      <c r="B1283" s="146"/>
      <c r="E1283"/>
      <c r="F1283"/>
      <c r="G1283"/>
      <c r="H1283"/>
      <c r="I1283"/>
      <c r="J1283"/>
      <c r="Q1283"/>
      <c r="R1283" s="301"/>
      <c r="S1283" s="301"/>
      <c r="T1283" s="301"/>
      <c r="U1283" s="301"/>
      <c r="V1283" s="301"/>
      <c r="W1283" s="301"/>
    </row>
    <row r="1284" spans="2:23" s="147" customFormat="1" ht="14.15" customHeight="1" x14ac:dyDescent="0.35">
      <c r="B1284" s="146"/>
      <c r="E1284"/>
      <c r="F1284"/>
      <c r="G1284"/>
      <c r="H1284"/>
      <c r="I1284"/>
      <c r="J1284"/>
      <c r="Q1284"/>
      <c r="R1284" s="301"/>
      <c r="S1284" s="301"/>
      <c r="T1284" s="301"/>
      <c r="U1284" s="301"/>
      <c r="V1284" s="301"/>
      <c r="W1284" s="301"/>
    </row>
    <row r="1285" spans="2:23" s="147" customFormat="1" ht="14.15" customHeight="1" x14ac:dyDescent="0.35">
      <c r="B1285" s="146"/>
      <c r="E1285"/>
      <c r="F1285"/>
      <c r="G1285"/>
      <c r="H1285"/>
      <c r="I1285"/>
      <c r="J1285"/>
      <c r="Q1285"/>
      <c r="R1285" s="301"/>
      <c r="S1285" s="301"/>
      <c r="T1285" s="301"/>
      <c r="U1285" s="301"/>
      <c r="V1285" s="301"/>
      <c r="W1285" s="301"/>
    </row>
    <row r="1286" spans="2:23" s="147" customFormat="1" ht="14.15" customHeight="1" x14ac:dyDescent="0.35">
      <c r="B1286" s="146"/>
      <c r="E1286"/>
      <c r="F1286"/>
      <c r="G1286"/>
      <c r="H1286"/>
      <c r="I1286"/>
      <c r="J1286"/>
      <c r="Q1286"/>
      <c r="R1286" s="301"/>
      <c r="S1286" s="301"/>
      <c r="T1286" s="301"/>
      <c r="U1286" s="301"/>
      <c r="V1286" s="301"/>
      <c r="W1286" s="301"/>
    </row>
    <row r="1287" spans="2:23" s="147" customFormat="1" ht="14.15" customHeight="1" x14ac:dyDescent="0.35">
      <c r="B1287" s="146"/>
      <c r="E1287"/>
      <c r="F1287"/>
      <c r="G1287"/>
      <c r="H1287"/>
      <c r="I1287"/>
      <c r="J1287"/>
      <c r="Q1287"/>
      <c r="R1287" s="301"/>
      <c r="S1287" s="301"/>
      <c r="T1287" s="301"/>
      <c r="U1287" s="301"/>
      <c r="V1287" s="301"/>
      <c r="W1287" s="301"/>
    </row>
    <row r="1288" spans="2:23" s="147" customFormat="1" ht="14.15" customHeight="1" x14ac:dyDescent="0.35">
      <c r="B1288" s="146"/>
      <c r="E1288"/>
      <c r="F1288"/>
      <c r="G1288"/>
      <c r="H1288"/>
      <c r="I1288"/>
      <c r="J1288"/>
      <c r="Q1288"/>
      <c r="R1288" s="301"/>
      <c r="S1288" s="301"/>
      <c r="T1288" s="301"/>
      <c r="U1288" s="301"/>
      <c r="V1288" s="301"/>
      <c r="W1288" s="301"/>
    </row>
    <row r="1289" spans="2:23" s="147" customFormat="1" ht="14.15" customHeight="1" x14ac:dyDescent="0.35">
      <c r="B1289" s="146"/>
      <c r="E1289"/>
      <c r="F1289"/>
      <c r="G1289"/>
      <c r="H1289"/>
      <c r="I1289"/>
      <c r="J1289"/>
      <c r="Q1289"/>
      <c r="R1289" s="301"/>
      <c r="S1289" s="301"/>
      <c r="T1289" s="301"/>
      <c r="U1289" s="301"/>
      <c r="V1289" s="301"/>
      <c r="W1289" s="301"/>
    </row>
    <row r="1290" spans="2:23" s="147" customFormat="1" ht="14.15" customHeight="1" x14ac:dyDescent="0.35">
      <c r="B1290" s="146"/>
      <c r="E1290"/>
      <c r="F1290"/>
      <c r="G1290"/>
      <c r="H1290"/>
      <c r="I1290"/>
      <c r="J1290"/>
      <c r="Q1290"/>
      <c r="R1290" s="301"/>
      <c r="S1290" s="301"/>
      <c r="T1290" s="301"/>
      <c r="U1290" s="301"/>
      <c r="V1290" s="301"/>
      <c r="W1290" s="301"/>
    </row>
    <row r="1291" spans="2:23" s="147" customFormat="1" ht="14.15" customHeight="1" x14ac:dyDescent="0.35">
      <c r="B1291" s="146"/>
      <c r="E1291"/>
      <c r="F1291"/>
      <c r="G1291"/>
      <c r="H1291"/>
      <c r="I1291"/>
      <c r="J1291"/>
      <c r="Q1291"/>
      <c r="R1291" s="301"/>
      <c r="S1291" s="301"/>
      <c r="T1291" s="301"/>
      <c r="U1291" s="301"/>
      <c r="V1291" s="301"/>
      <c r="W1291" s="301"/>
    </row>
    <row r="1292" spans="2:23" s="147" customFormat="1" ht="14.15" customHeight="1" x14ac:dyDescent="0.35">
      <c r="B1292" s="146"/>
      <c r="E1292"/>
      <c r="F1292"/>
      <c r="G1292"/>
      <c r="H1292"/>
      <c r="I1292"/>
      <c r="J1292"/>
      <c r="Q1292"/>
      <c r="R1292" s="301"/>
      <c r="S1292" s="301"/>
      <c r="T1292" s="301"/>
      <c r="U1292" s="301"/>
      <c r="V1292" s="301"/>
      <c r="W1292" s="301"/>
    </row>
    <row r="1293" spans="2:23" s="147" customFormat="1" ht="14.15" customHeight="1" x14ac:dyDescent="0.35">
      <c r="B1293" s="146"/>
      <c r="E1293"/>
      <c r="F1293"/>
      <c r="G1293"/>
      <c r="H1293"/>
      <c r="I1293"/>
      <c r="J1293"/>
      <c r="Q1293"/>
      <c r="R1293" s="301"/>
      <c r="S1293" s="301"/>
      <c r="T1293" s="301"/>
      <c r="U1293" s="301"/>
      <c r="V1293" s="301"/>
      <c r="W1293" s="301"/>
    </row>
    <row r="1294" spans="2:23" s="147" customFormat="1" ht="14.15" customHeight="1" x14ac:dyDescent="0.35">
      <c r="B1294" s="146"/>
      <c r="E1294"/>
      <c r="F1294"/>
      <c r="G1294"/>
      <c r="H1294"/>
      <c r="I1294"/>
      <c r="J1294"/>
      <c r="Q1294"/>
      <c r="R1294" s="301"/>
      <c r="S1294" s="301"/>
      <c r="T1294" s="301"/>
      <c r="U1294" s="301"/>
      <c r="V1294" s="301"/>
      <c r="W1294" s="301"/>
    </row>
    <row r="1295" spans="2:23" s="147" customFormat="1" ht="14.15" customHeight="1" x14ac:dyDescent="0.35">
      <c r="B1295" s="146"/>
      <c r="E1295"/>
      <c r="F1295"/>
      <c r="G1295"/>
      <c r="H1295"/>
      <c r="I1295"/>
      <c r="J1295"/>
      <c r="Q1295"/>
      <c r="R1295" s="301"/>
      <c r="S1295" s="301"/>
      <c r="T1295" s="301"/>
      <c r="U1295" s="301"/>
      <c r="V1295" s="301"/>
      <c r="W1295" s="301"/>
    </row>
    <row r="1296" spans="2:23" s="147" customFormat="1" ht="14.15" customHeight="1" x14ac:dyDescent="0.35">
      <c r="B1296" s="146"/>
      <c r="E1296"/>
      <c r="F1296"/>
      <c r="G1296"/>
      <c r="H1296"/>
      <c r="I1296"/>
      <c r="J1296"/>
      <c r="Q1296"/>
      <c r="R1296" s="301"/>
      <c r="S1296" s="301"/>
      <c r="T1296" s="301"/>
      <c r="U1296" s="301"/>
      <c r="V1296" s="301"/>
      <c r="W1296" s="301"/>
    </row>
    <row r="1297" spans="2:23" s="147" customFormat="1" ht="14.15" customHeight="1" x14ac:dyDescent="0.35">
      <c r="B1297" s="146"/>
      <c r="E1297"/>
      <c r="F1297"/>
      <c r="G1297"/>
      <c r="H1297"/>
      <c r="I1297"/>
      <c r="J1297"/>
      <c r="Q1297"/>
      <c r="R1297" s="301"/>
      <c r="S1297" s="301"/>
      <c r="T1297" s="301"/>
      <c r="U1297" s="301"/>
      <c r="V1297" s="301"/>
      <c r="W1297" s="301"/>
    </row>
    <row r="1298" spans="2:23" s="147" customFormat="1" ht="14.15" customHeight="1" x14ac:dyDescent="0.35">
      <c r="B1298" s="146"/>
      <c r="E1298"/>
      <c r="F1298"/>
      <c r="G1298"/>
      <c r="H1298"/>
      <c r="I1298"/>
      <c r="J1298"/>
      <c r="Q1298"/>
      <c r="R1298" s="301"/>
      <c r="S1298" s="301"/>
      <c r="T1298" s="301"/>
      <c r="U1298" s="301"/>
      <c r="V1298" s="301"/>
      <c r="W1298" s="301"/>
    </row>
    <row r="1299" spans="2:23" s="147" customFormat="1" ht="14.15" customHeight="1" x14ac:dyDescent="0.35">
      <c r="B1299" s="146"/>
      <c r="E1299"/>
      <c r="F1299"/>
      <c r="G1299"/>
      <c r="H1299"/>
      <c r="I1299"/>
      <c r="J1299"/>
      <c r="Q1299"/>
      <c r="R1299" s="301"/>
      <c r="S1299" s="301"/>
      <c r="T1299" s="301"/>
      <c r="U1299" s="301"/>
      <c r="V1299" s="301"/>
      <c r="W1299" s="301"/>
    </row>
    <row r="1300" spans="2:23" s="147" customFormat="1" ht="14.15" customHeight="1" x14ac:dyDescent="0.35">
      <c r="B1300" s="146"/>
      <c r="E1300"/>
      <c r="F1300"/>
      <c r="G1300"/>
      <c r="H1300"/>
      <c r="I1300"/>
      <c r="J1300"/>
      <c r="Q1300"/>
      <c r="R1300" s="301"/>
      <c r="S1300" s="301"/>
      <c r="T1300" s="301"/>
      <c r="U1300" s="301"/>
      <c r="V1300" s="301"/>
      <c r="W1300" s="301"/>
    </row>
    <row r="1301" spans="2:23" s="147" customFormat="1" ht="14.15" customHeight="1" x14ac:dyDescent="0.35">
      <c r="B1301" s="146"/>
      <c r="E1301"/>
      <c r="F1301"/>
      <c r="G1301"/>
      <c r="H1301"/>
      <c r="I1301"/>
      <c r="J1301"/>
      <c r="Q1301"/>
      <c r="R1301" s="301"/>
      <c r="S1301" s="301"/>
      <c r="T1301" s="301"/>
      <c r="U1301" s="301"/>
      <c r="V1301" s="301"/>
      <c r="W1301" s="301"/>
    </row>
    <row r="1302" spans="2:23" s="147" customFormat="1" ht="14.15" customHeight="1" x14ac:dyDescent="0.35">
      <c r="B1302" s="146"/>
      <c r="E1302"/>
      <c r="F1302"/>
      <c r="G1302"/>
      <c r="H1302"/>
      <c r="I1302"/>
      <c r="J1302"/>
      <c r="Q1302"/>
      <c r="R1302" s="301"/>
      <c r="S1302" s="301"/>
      <c r="T1302" s="301"/>
      <c r="U1302" s="301"/>
      <c r="V1302" s="301"/>
      <c r="W1302" s="301"/>
    </row>
    <row r="1303" spans="2:23" s="147" customFormat="1" ht="14.15" customHeight="1" x14ac:dyDescent="0.35">
      <c r="B1303" s="146"/>
      <c r="E1303"/>
      <c r="F1303"/>
      <c r="G1303"/>
      <c r="H1303"/>
      <c r="I1303"/>
      <c r="J1303"/>
      <c r="Q1303"/>
      <c r="R1303" s="301"/>
      <c r="S1303" s="301"/>
      <c r="T1303" s="301"/>
      <c r="U1303" s="301"/>
      <c r="V1303" s="301"/>
      <c r="W1303" s="301"/>
    </row>
    <row r="1304" spans="2:23" s="147" customFormat="1" ht="14.15" customHeight="1" x14ac:dyDescent="0.35">
      <c r="B1304" s="146"/>
      <c r="E1304"/>
      <c r="F1304"/>
      <c r="G1304"/>
      <c r="H1304"/>
      <c r="I1304"/>
      <c r="J1304"/>
      <c r="Q1304"/>
      <c r="R1304" s="301"/>
      <c r="S1304" s="301"/>
      <c r="T1304" s="301"/>
      <c r="U1304" s="301"/>
      <c r="V1304" s="301"/>
      <c r="W1304" s="301"/>
    </row>
    <row r="1305" spans="2:23" s="147" customFormat="1" ht="14.15" customHeight="1" x14ac:dyDescent="0.35">
      <c r="B1305" s="146"/>
      <c r="E1305"/>
      <c r="F1305"/>
      <c r="G1305"/>
      <c r="H1305"/>
      <c r="I1305"/>
      <c r="J1305"/>
      <c r="Q1305"/>
      <c r="R1305" s="301"/>
      <c r="S1305" s="301"/>
      <c r="T1305" s="301"/>
      <c r="U1305" s="301"/>
      <c r="V1305" s="301"/>
      <c r="W1305" s="301"/>
    </row>
    <row r="1306" spans="2:23" s="147" customFormat="1" ht="14.15" customHeight="1" x14ac:dyDescent="0.35">
      <c r="B1306" s="146"/>
      <c r="E1306"/>
      <c r="F1306"/>
      <c r="G1306"/>
      <c r="H1306"/>
      <c r="I1306"/>
      <c r="J1306"/>
      <c r="Q1306"/>
      <c r="R1306" s="301"/>
      <c r="S1306" s="301"/>
      <c r="T1306" s="301"/>
      <c r="U1306" s="301"/>
      <c r="V1306" s="301"/>
      <c r="W1306" s="301"/>
    </row>
    <row r="1307" spans="2:23" s="147" customFormat="1" ht="14.15" customHeight="1" x14ac:dyDescent="0.35">
      <c r="B1307" s="146"/>
      <c r="E1307"/>
      <c r="F1307"/>
      <c r="G1307"/>
      <c r="H1307"/>
      <c r="I1307"/>
      <c r="J1307"/>
      <c r="Q1307"/>
      <c r="R1307" s="301"/>
      <c r="S1307" s="301"/>
      <c r="T1307" s="301"/>
      <c r="U1307" s="301"/>
      <c r="V1307" s="301"/>
      <c r="W1307" s="301"/>
    </row>
    <row r="1308" spans="2:23" s="147" customFormat="1" ht="14.15" customHeight="1" x14ac:dyDescent="0.35">
      <c r="B1308" s="146"/>
      <c r="E1308"/>
      <c r="F1308"/>
      <c r="G1308"/>
      <c r="H1308"/>
      <c r="I1308"/>
      <c r="J1308"/>
      <c r="Q1308"/>
      <c r="R1308" s="301"/>
      <c r="S1308" s="301"/>
      <c r="T1308" s="301"/>
      <c r="U1308" s="301"/>
      <c r="V1308" s="301"/>
      <c r="W1308" s="301"/>
    </row>
    <row r="1309" spans="2:23" s="147" customFormat="1" ht="14.15" customHeight="1" x14ac:dyDescent="0.35">
      <c r="B1309" s="146"/>
      <c r="E1309"/>
      <c r="F1309"/>
      <c r="G1309"/>
      <c r="H1309"/>
      <c r="I1309"/>
      <c r="J1309"/>
      <c r="Q1309"/>
      <c r="R1309" s="301"/>
      <c r="S1309" s="301"/>
      <c r="T1309" s="301"/>
      <c r="U1309" s="301"/>
      <c r="V1309" s="301"/>
      <c r="W1309" s="301"/>
    </row>
    <row r="1310" spans="2:23" s="147" customFormat="1" ht="14.15" customHeight="1" x14ac:dyDescent="0.35">
      <c r="B1310" s="146"/>
      <c r="E1310"/>
      <c r="F1310"/>
      <c r="G1310"/>
      <c r="H1310"/>
      <c r="I1310"/>
      <c r="J1310"/>
      <c r="Q1310"/>
      <c r="R1310" s="301"/>
      <c r="S1310" s="301"/>
      <c r="T1310" s="301"/>
      <c r="U1310" s="301"/>
      <c r="V1310" s="301"/>
      <c r="W1310" s="301"/>
    </row>
    <row r="1311" spans="2:23" s="147" customFormat="1" ht="14.15" customHeight="1" x14ac:dyDescent="0.35">
      <c r="B1311" s="146"/>
      <c r="E1311"/>
      <c r="F1311"/>
      <c r="G1311"/>
      <c r="H1311"/>
      <c r="I1311"/>
      <c r="J1311"/>
      <c r="Q1311"/>
      <c r="R1311" s="301"/>
      <c r="S1311" s="301"/>
      <c r="T1311" s="301"/>
      <c r="U1311" s="301"/>
      <c r="V1311" s="301"/>
      <c r="W1311" s="301"/>
    </row>
    <row r="1312" spans="2:23" s="147" customFormat="1" ht="14.15" customHeight="1" x14ac:dyDescent="0.35">
      <c r="B1312" s="146"/>
      <c r="E1312"/>
      <c r="F1312"/>
      <c r="G1312"/>
      <c r="H1312"/>
      <c r="I1312"/>
      <c r="J1312"/>
      <c r="Q1312"/>
      <c r="R1312" s="301"/>
      <c r="S1312" s="301"/>
      <c r="T1312" s="301"/>
      <c r="U1312" s="301"/>
      <c r="V1312" s="301"/>
      <c r="W1312" s="301"/>
    </row>
    <row r="1313" spans="2:23" s="147" customFormat="1" ht="14.15" customHeight="1" x14ac:dyDescent="0.35">
      <c r="B1313" s="146"/>
      <c r="E1313"/>
      <c r="F1313"/>
      <c r="G1313"/>
      <c r="H1313"/>
      <c r="I1313"/>
      <c r="J1313"/>
      <c r="Q1313"/>
      <c r="R1313" s="301"/>
      <c r="S1313" s="301"/>
      <c r="T1313" s="301"/>
      <c r="U1313" s="301"/>
      <c r="V1313" s="301"/>
      <c r="W1313" s="301"/>
    </row>
    <row r="1314" spans="2:23" s="147" customFormat="1" ht="14.15" customHeight="1" x14ac:dyDescent="0.35">
      <c r="B1314" s="146"/>
      <c r="E1314"/>
      <c r="F1314"/>
      <c r="G1314"/>
      <c r="H1314"/>
      <c r="I1314"/>
      <c r="J1314"/>
      <c r="Q1314"/>
      <c r="R1314" s="301"/>
      <c r="S1314" s="301"/>
      <c r="T1314" s="301"/>
      <c r="U1314" s="301"/>
      <c r="V1314" s="301"/>
      <c r="W1314" s="301"/>
    </row>
    <row r="1315" spans="2:23" s="147" customFormat="1" ht="14.15" customHeight="1" x14ac:dyDescent="0.35">
      <c r="B1315" s="146"/>
      <c r="E1315"/>
      <c r="F1315"/>
      <c r="G1315"/>
      <c r="H1315"/>
      <c r="I1315"/>
      <c r="J1315"/>
      <c r="Q1315"/>
      <c r="R1315" s="301"/>
      <c r="S1315" s="301"/>
      <c r="T1315" s="301"/>
      <c r="U1315" s="301"/>
      <c r="V1315" s="301"/>
      <c r="W1315" s="301"/>
    </row>
    <row r="1316" spans="2:23" s="147" customFormat="1" ht="14.15" customHeight="1" x14ac:dyDescent="0.35">
      <c r="B1316" s="146"/>
      <c r="E1316"/>
      <c r="F1316"/>
      <c r="G1316"/>
      <c r="H1316"/>
      <c r="I1316"/>
      <c r="J1316"/>
      <c r="Q1316"/>
      <c r="R1316" s="301"/>
      <c r="S1316" s="301"/>
      <c r="T1316" s="301"/>
      <c r="U1316" s="301"/>
      <c r="V1316" s="301"/>
      <c r="W1316" s="301"/>
    </row>
    <row r="1317" spans="2:23" s="147" customFormat="1" ht="14.15" customHeight="1" x14ac:dyDescent="0.35">
      <c r="B1317" s="146"/>
      <c r="E1317"/>
      <c r="F1317"/>
      <c r="G1317"/>
      <c r="H1317"/>
      <c r="I1317"/>
      <c r="J1317"/>
      <c r="Q1317"/>
      <c r="R1317" s="301"/>
      <c r="S1317" s="301"/>
      <c r="T1317" s="301"/>
      <c r="U1317" s="301"/>
      <c r="V1317" s="301"/>
      <c r="W1317" s="301"/>
    </row>
    <row r="1318" spans="2:23" s="147" customFormat="1" ht="14.15" customHeight="1" x14ac:dyDescent="0.35">
      <c r="B1318" s="146"/>
      <c r="E1318"/>
      <c r="F1318"/>
      <c r="G1318"/>
      <c r="H1318"/>
      <c r="I1318"/>
      <c r="J1318"/>
      <c r="Q1318"/>
      <c r="R1318" s="301"/>
      <c r="S1318" s="301"/>
      <c r="T1318" s="301"/>
      <c r="U1318" s="301"/>
      <c r="V1318" s="301"/>
      <c r="W1318" s="301"/>
    </row>
    <row r="1319" spans="2:23" s="147" customFormat="1" ht="14.15" customHeight="1" x14ac:dyDescent="0.35">
      <c r="B1319" s="146"/>
      <c r="E1319"/>
      <c r="F1319"/>
      <c r="G1319"/>
      <c r="H1319"/>
      <c r="I1319"/>
      <c r="J1319"/>
      <c r="Q1319"/>
      <c r="R1319" s="301"/>
      <c r="S1319" s="301"/>
      <c r="T1319" s="301"/>
      <c r="U1319" s="301"/>
      <c r="V1319" s="301"/>
      <c r="W1319" s="301"/>
    </row>
    <row r="1320" spans="2:23" s="147" customFormat="1" ht="14.15" customHeight="1" x14ac:dyDescent="0.35">
      <c r="B1320" s="146"/>
      <c r="E1320"/>
      <c r="F1320"/>
      <c r="G1320"/>
      <c r="H1320"/>
      <c r="I1320"/>
      <c r="J1320"/>
      <c r="Q1320"/>
      <c r="R1320" s="301"/>
      <c r="S1320" s="301"/>
      <c r="T1320" s="301"/>
      <c r="U1320" s="301"/>
      <c r="V1320" s="301"/>
      <c r="W1320" s="301"/>
    </row>
    <row r="1321" spans="2:23" s="147" customFormat="1" ht="14.15" customHeight="1" x14ac:dyDescent="0.35">
      <c r="B1321" s="146"/>
      <c r="E1321"/>
      <c r="F1321"/>
      <c r="G1321"/>
      <c r="H1321"/>
      <c r="I1321"/>
      <c r="J1321"/>
      <c r="Q1321"/>
      <c r="R1321" s="301"/>
      <c r="S1321" s="301"/>
      <c r="T1321" s="301"/>
      <c r="U1321" s="301"/>
      <c r="V1321" s="301"/>
      <c r="W1321" s="301"/>
    </row>
    <row r="1322" spans="2:23" s="147" customFormat="1" ht="14.15" customHeight="1" x14ac:dyDescent="0.35">
      <c r="B1322" s="146"/>
      <c r="E1322"/>
      <c r="F1322"/>
      <c r="G1322"/>
      <c r="H1322"/>
      <c r="I1322"/>
      <c r="J1322"/>
      <c r="Q1322"/>
      <c r="R1322" s="301"/>
      <c r="S1322" s="301"/>
      <c r="T1322" s="301"/>
      <c r="U1322" s="301"/>
      <c r="V1322" s="301"/>
      <c r="W1322" s="301"/>
    </row>
    <row r="1323" spans="2:23" s="147" customFormat="1" ht="14.15" customHeight="1" x14ac:dyDescent="0.35">
      <c r="B1323" s="146"/>
      <c r="E1323"/>
      <c r="F1323"/>
      <c r="G1323"/>
      <c r="H1323"/>
      <c r="I1323"/>
      <c r="J1323"/>
      <c r="Q1323"/>
      <c r="R1323" s="301"/>
      <c r="S1323" s="301"/>
      <c r="T1323" s="301"/>
      <c r="U1323" s="301"/>
      <c r="V1323" s="301"/>
      <c r="W1323" s="301"/>
    </row>
    <row r="1324" spans="2:23" s="147" customFormat="1" ht="14.15" customHeight="1" x14ac:dyDescent="0.35">
      <c r="B1324" s="146"/>
      <c r="E1324"/>
      <c r="F1324"/>
      <c r="G1324"/>
      <c r="H1324"/>
      <c r="I1324"/>
      <c r="J1324"/>
      <c r="Q1324"/>
      <c r="R1324" s="301"/>
      <c r="S1324" s="301"/>
      <c r="T1324" s="301"/>
      <c r="U1324" s="301"/>
      <c r="V1324" s="301"/>
      <c r="W1324" s="301"/>
    </row>
    <row r="1325" spans="2:23" s="147" customFormat="1" ht="14.15" customHeight="1" x14ac:dyDescent="0.35">
      <c r="B1325" s="146"/>
      <c r="E1325"/>
      <c r="F1325"/>
      <c r="G1325"/>
      <c r="H1325"/>
      <c r="I1325"/>
      <c r="J1325"/>
      <c r="Q1325"/>
      <c r="R1325" s="301"/>
      <c r="S1325" s="301"/>
      <c r="T1325" s="301"/>
      <c r="U1325" s="301"/>
      <c r="V1325" s="301"/>
      <c r="W1325" s="301"/>
    </row>
    <row r="1326" spans="2:23" s="147" customFormat="1" ht="14.15" customHeight="1" x14ac:dyDescent="0.35">
      <c r="B1326" s="146"/>
      <c r="E1326"/>
      <c r="F1326"/>
      <c r="G1326"/>
      <c r="H1326"/>
      <c r="I1326"/>
      <c r="J1326"/>
      <c r="Q1326"/>
      <c r="R1326" s="301"/>
      <c r="S1326" s="301"/>
      <c r="T1326" s="301"/>
      <c r="U1326" s="301"/>
      <c r="V1326" s="301"/>
      <c r="W1326" s="301"/>
    </row>
    <row r="1327" spans="2:23" s="147" customFormat="1" ht="14.15" customHeight="1" x14ac:dyDescent="0.35">
      <c r="B1327" s="146"/>
      <c r="E1327"/>
      <c r="F1327"/>
      <c r="G1327"/>
      <c r="H1327"/>
      <c r="I1327"/>
      <c r="J1327"/>
      <c r="Q1327"/>
      <c r="R1327" s="301"/>
      <c r="S1327" s="301"/>
      <c r="T1327" s="301"/>
      <c r="U1327" s="301"/>
      <c r="V1327" s="301"/>
      <c r="W1327" s="301"/>
    </row>
    <row r="1328" spans="2:23" s="147" customFormat="1" ht="14.15" customHeight="1" x14ac:dyDescent="0.35">
      <c r="B1328" s="146"/>
      <c r="E1328"/>
      <c r="F1328"/>
      <c r="G1328"/>
      <c r="H1328"/>
      <c r="I1328"/>
      <c r="J1328"/>
      <c r="Q1328"/>
      <c r="R1328" s="301"/>
      <c r="S1328" s="301"/>
      <c r="T1328" s="301"/>
      <c r="U1328" s="301"/>
      <c r="V1328" s="301"/>
      <c r="W1328" s="301"/>
    </row>
    <row r="1329" spans="2:23" s="147" customFormat="1" ht="14.15" customHeight="1" x14ac:dyDescent="0.35">
      <c r="B1329" s="146"/>
      <c r="E1329"/>
      <c r="F1329"/>
      <c r="G1329"/>
      <c r="H1329"/>
      <c r="I1329"/>
      <c r="J1329"/>
      <c r="Q1329"/>
      <c r="R1329" s="301"/>
      <c r="S1329" s="301"/>
      <c r="T1329" s="301"/>
      <c r="U1329" s="301"/>
      <c r="V1329" s="301"/>
      <c r="W1329" s="301"/>
    </row>
    <row r="1330" spans="2:23" s="147" customFormat="1" ht="14.15" customHeight="1" x14ac:dyDescent="0.35">
      <c r="B1330" s="146"/>
      <c r="E1330"/>
      <c r="F1330"/>
      <c r="G1330"/>
      <c r="H1330"/>
      <c r="I1330"/>
      <c r="J1330"/>
      <c r="Q1330"/>
      <c r="R1330" s="301"/>
      <c r="S1330" s="301"/>
      <c r="T1330" s="301"/>
      <c r="U1330" s="301"/>
      <c r="V1330" s="301"/>
      <c r="W1330" s="301"/>
    </row>
    <row r="1331" spans="2:23" s="147" customFormat="1" ht="14.15" customHeight="1" x14ac:dyDescent="0.35">
      <c r="B1331" s="146"/>
      <c r="E1331"/>
      <c r="F1331"/>
      <c r="G1331"/>
      <c r="H1331"/>
      <c r="I1331"/>
      <c r="J1331"/>
      <c r="Q1331"/>
      <c r="R1331" s="301"/>
      <c r="S1331" s="301"/>
      <c r="T1331" s="301"/>
      <c r="U1331" s="301"/>
      <c r="V1331" s="301"/>
      <c r="W1331" s="301"/>
    </row>
    <row r="1332" spans="2:23" s="147" customFormat="1" ht="14.15" customHeight="1" x14ac:dyDescent="0.35">
      <c r="B1332" s="146"/>
      <c r="E1332"/>
      <c r="F1332"/>
      <c r="G1332"/>
      <c r="H1332"/>
      <c r="I1332"/>
      <c r="J1332"/>
      <c r="Q1332"/>
      <c r="R1332" s="301"/>
      <c r="S1332" s="301"/>
      <c r="T1332" s="301"/>
      <c r="U1332" s="301"/>
      <c r="V1332" s="301"/>
      <c r="W1332" s="301"/>
    </row>
    <row r="1333" spans="2:23" s="147" customFormat="1" ht="14.15" customHeight="1" x14ac:dyDescent="0.35">
      <c r="B1333" s="146"/>
      <c r="E1333"/>
      <c r="F1333"/>
      <c r="G1333"/>
      <c r="H1333"/>
      <c r="I1333"/>
      <c r="J1333"/>
      <c r="Q1333"/>
      <c r="R1333" s="301"/>
      <c r="S1333" s="301"/>
      <c r="T1333" s="301"/>
      <c r="U1333" s="301"/>
      <c r="V1333" s="301"/>
      <c r="W1333" s="301"/>
    </row>
    <row r="1334" spans="2:23" s="147" customFormat="1" ht="14.15" customHeight="1" x14ac:dyDescent="0.35">
      <c r="B1334" s="146"/>
      <c r="E1334"/>
      <c r="F1334"/>
      <c r="G1334"/>
      <c r="H1334"/>
      <c r="I1334"/>
      <c r="J1334"/>
      <c r="Q1334"/>
      <c r="R1334" s="301"/>
      <c r="S1334" s="301"/>
      <c r="T1334" s="301"/>
      <c r="U1334" s="301"/>
      <c r="V1334" s="301"/>
      <c r="W1334" s="301"/>
    </row>
    <row r="1335" spans="2:23" s="147" customFormat="1" ht="14.15" customHeight="1" x14ac:dyDescent="0.35">
      <c r="B1335" s="146"/>
      <c r="E1335"/>
      <c r="F1335"/>
      <c r="G1335"/>
      <c r="H1335"/>
      <c r="I1335"/>
      <c r="J1335"/>
      <c r="Q1335"/>
      <c r="R1335" s="301"/>
      <c r="S1335" s="301"/>
      <c r="T1335" s="301"/>
      <c r="U1335" s="301"/>
      <c r="V1335" s="301"/>
      <c r="W1335" s="301"/>
    </row>
    <row r="1336" spans="2:23" s="147" customFormat="1" ht="14.15" customHeight="1" x14ac:dyDescent="0.35">
      <c r="B1336" s="146"/>
      <c r="E1336"/>
      <c r="F1336"/>
      <c r="G1336"/>
      <c r="H1336"/>
      <c r="I1336"/>
      <c r="J1336"/>
      <c r="Q1336"/>
      <c r="R1336" s="301"/>
      <c r="S1336" s="301"/>
      <c r="T1336" s="301"/>
      <c r="U1336" s="301"/>
      <c r="V1336" s="301"/>
      <c r="W1336" s="301"/>
    </row>
    <row r="1337" spans="2:23" s="147" customFormat="1" ht="14.15" customHeight="1" x14ac:dyDescent="0.35">
      <c r="B1337" s="146"/>
      <c r="E1337"/>
      <c r="F1337"/>
      <c r="G1337"/>
      <c r="H1337"/>
      <c r="I1337"/>
      <c r="J1337"/>
      <c r="Q1337"/>
      <c r="R1337" s="301"/>
      <c r="S1337" s="301"/>
      <c r="T1337" s="301"/>
      <c r="U1337" s="301"/>
      <c r="V1337" s="301"/>
      <c r="W1337" s="301"/>
    </row>
    <row r="1338" spans="2:23" s="147" customFormat="1" ht="14.15" customHeight="1" x14ac:dyDescent="0.35">
      <c r="B1338" s="146"/>
      <c r="E1338"/>
      <c r="F1338"/>
      <c r="G1338"/>
      <c r="H1338"/>
      <c r="I1338"/>
      <c r="J1338"/>
      <c r="Q1338"/>
      <c r="R1338" s="301"/>
      <c r="S1338" s="301"/>
      <c r="T1338" s="301"/>
      <c r="U1338" s="301"/>
      <c r="V1338" s="301"/>
      <c r="W1338" s="301"/>
    </row>
    <row r="1339" spans="2:23" s="147" customFormat="1" ht="14.15" customHeight="1" x14ac:dyDescent="0.35">
      <c r="B1339" s="146"/>
      <c r="E1339"/>
      <c r="F1339"/>
      <c r="G1339"/>
      <c r="H1339"/>
      <c r="I1339"/>
      <c r="J1339"/>
      <c r="Q1339"/>
      <c r="R1339" s="301"/>
      <c r="S1339" s="301"/>
      <c r="T1339" s="301"/>
      <c r="U1339" s="301"/>
      <c r="V1339" s="301"/>
      <c r="W1339" s="301"/>
    </row>
    <row r="1340" spans="2:23" s="147" customFormat="1" ht="14.15" customHeight="1" x14ac:dyDescent="0.35">
      <c r="B1340" s="146"/>
      <c r="E1340"/>
      <c r="F1340"/>
      <c r="G1340"/>
      <c r="H1340"/>
      <c r="I1340"/>
      <c r="J1340"/>
      <c r="Q1340"/>
      <c r="R1340" s="301"/>
      <c r="S1340" s="301"/>
      <c r="T1340" s="301"/>
      <c r="U1340" s="301"/>
      <c r="V1340" s="301"/>
      <c r="W1340" s="301"/>
    </row>
    <row r="1341" spans="2:23" s="147" customFormat="1" ht="14.15" customHeight="1" x14ac:dyDescent="0.35">
      <c r="B1341" s="146"/>
      <c r="E1341"/>
      <c r="F1341"/>
      <c r="G1341"/>
      <c r="H1341"/>
      <c r="I1341"/>
      <c r="J1341"/>
      <c r="Q1341"/>
      <c r="R1341" s="301"/>
      <c r="S1341" s="301"/>
      <c r="T1341" s="301"/>
      <c r="U1341" s="301"/>
      <c r="V1341" s="301"/>
      <c r="W1341" s="301"/>
    </row>
    <row r="1342" spans="2:23" s="147" customFormat="1" ht="14.15" customHeight="1" x14ac:dyDescent="0.35">
      <c r="B1342" s="146"/>
      <c r="E1342"/>
      <c r="F1342"/>
      <c r="G1342"/>
      <c r="H1342"/>
      <c r="I1342"/>
      <c r="J1342"/>
      <c r="Q1342"/>
      <c r="R1342" s="301"/>
      <c r="S1342" s="301"/>
      <c r="T1342" s="301"/>
      <c r="U1342" s="301"/>
      <c r="V1342" s="301"/>
      <c r="W1342" s="301"/>
    </row>
    <row r="1343" spans="2:23" s="147" customFormat="1" ht="14.15" customHeight="1" x14ac:dyDescent="0.35">
      <c r="B1343" s="146"/>
      <c r="E1343"/>
      <c r="F1343"/>
      <c r="G1343"/>
      <c r="H1343"/>
      <c r="I1343"/>
      <c r="J1343"/>
      <c r="Q1343"/>
      <c r="R1343" s="301"/>
      <c r="S1343" s="301"/>
      <c r="T1343" s="301"/>
      <c r="U1343" s="301"/>
      <c r="V1343" s="301"/>
      <c r="W1343" s="301"/>
    </row>
    <row r="1344" spans="2:23" s="147" customFormat="1" ht="14.15" customHeight="1" x14ac:dyDescent="0.35">
      <c r="B1344" s="146"/>
      <c r="E1344"/>
      <c r="F1344"/>
      <c r="G1344"/>
      <c r="H1344"/>
      <c r="I1344"/>
      <c r="J1344"/>
      <c r="Q1344"/>
      <c r="R1344" s="301"/>
      <c r="S1344" s="301"/>
      <c r="T1344" s="301"/>
      <c r="U1344" s="301"/>
      <c r="V1344" s="301"/>
      <c r="W1344" s="301"/>
    </row>
    <row r="1345" spans="2:23" s="147" customFormat="1" ht="14.15" customHeight="1" x14ac:dyDescent="0.35">
      <c r="B1345" s="146"/>
      <c r="E1345"/>
      <c r="F1345"/>
      <c r="G1345"/>
      <c r="H1345"/>
      <c r="I1345"/>
      <c r="J1345"/>
      <c r="Q1345"/>
      <c r="R1345" s="301"/>
      <c r="S1345" s="301"/>
      <c r="T1345" s="301"/>
      <c r="U1345" s="301"/>
      <c r="V1345" s="301"/>
      <c r="W1345" s="301"/>
    </row>
    <row r="1346" spans="2:23" s="147" customFormat="1" ht="14.15" customHeight="1" x14ac:dyDescent="0.35">
      <c r="B1346" s="146"/>
      <c r="E1346"/>
      <c r="F1346"/>
      <c r="G1346"/>
      <c r="H1346"/>
      <c r="I1346"/>
      <c r="J1346"/>
      <c r="Q1346"/>
      <c r="R1346" s="301"/>
      <c r="S1346" s="301"/>
      <c r="T1346" s="301"/>
      <c r="U1346" s="301"/>
      <c r="V1346" s="301"/>
      <c r="W1346" s="301"/>
    </row>
    <row r="1347" spans="2:23" s="147" customFormat="1" ht="14.15" customHeight="1" x14ac:dyDescent="0.35">
      <c r="B1347" s="146"/>
      <c r="E1347"/>
      <c r="F1347"/>
      <c r="G1347"/>
      <c r="H1347"/>
      <c r="I1347"/>
      <c r="J1347"/>
      <c r="Q1347"/>
      <c r="R1347" s="301"/>
      <c r="S1347" s="301"/>
      <c r="T1347" s="301"/>
      <c r="U1347" s="301"/>
      <c r="V1347" s="301"/>
      <c r="W1347" s="301"/>
    </row>
    <row r="1348" spans="2:23" s="147" customFormat="1" ht="14.15" customHeight="1" x14ac:dyDescent="0.35">
      <c r="B1348" s="146"/>
      <c r="E1348"/>
      <c r="F1348"/>
      <c r="G1348"/>
      <c r="H1348"/>
      <c r="I1348"/>
      <c r="J1348"/>
      <c r="Q1348"/>
      <c r="R1348" s="301"/>
      <c r="S1348" s="301"/>
      <c r="T1348" s="301"/>
      <c r="U1348" s="301"/>
      <c r="V1348" s="301"/>
      <c r="W1348" s="301"/>
    </row>
    <row r="1349" spans="2:23" s="147" customFormat="1" ht="14.15" customHeight="1" x14ac:dyDescent="0.35">
      <c r="B1349" s="146"/>
      <c r="E1349"/>
      <c r="F1349"/>
      <c r="G1349"/>
      <c r="H1349"/>
      <c r="I1349"/>
      <c r="J1349"/>
      <c r="Q1349"/>
      <c r="R1349" s="301"/>
      <c r="S1349" s="301"/>
      <c r="T1349" s="301"/>
      <c r="U1349" s="301"/>
      <c r="V1349" s="301"/>
      <c r="W1349" s="301"/>
    </row>
    <row r="1350" spans="2:23" s="147" customFormat="1" ht="14.15" customHeight="1" x14ac:dyDescent="0.35">
      <c r="B1350" s="146"/>
      <c r="E1350"/>
      <c r="F1350"/>
      <c r="G1350"/>
      <c r="H1350"/>
      <c r="I1350"/>
      <c r="J1350"/>
      <c r="Q1350"/>
      <c r="R1350" s="301"/>
      <c r="S1350" s="301"/>
      <c r="T1350" s="301"/>
      <c r="U1350" s="301"/>
      <c r="V1350" s="301"/>
      <c r="W1350" s="301"/>
    </row>
    <row r="1351" spans="2:23" s="147" customFormat="1" ht="14.15" customHeight="1" x14ac:dyDescent="0.35">
      <c r="B1351" s="146"/>
      <c r="E1351"/>
      <c r="F1351"/>
      <c r="G1351"/>
      <c r="H1351"/>
      <c r="I1351"/>
      <c r="J1351"/>
      <c r="Q1351"/>
      <c r="R1351" s="301"/>
      <c r="S1351" s="301"/>
      <c r="T1351" s="301"/>
      <c r="U1351" s="301"/>
      <c r="V1351" s="301"/>
      <c r="W1351" s="301"/>
    </row>
    <row r="1352" spans="2:23" s="147" customFormat="1" ht="14.15" customHeight="1" x14ac:dyDescent="0.35">
      <c r="B1352" s="146"/>
      <c r="E1352"/>
      <c r="F1352"/>
      <c r="G1352"/>
      <c r="H1352"/>
      <c r="I1352"/>
      <c r="J1352"/>
      <c r="Q1352"/>
      <c r="R1352" s="301"/>
      <c r="S1352" s="301"/>
      <c r="T1352" s="301"/>
      <c r="U1352" s="301"/>
      <c r="V1352" s="301"/>
      <c r="W1352" s="301"/>
    </row>
    <row r="1353" spans="2:23" s="147" customFormat="1" ht="14.15" customHeight="1" x14ac:dyDescent="0.35">
      <c r="B1353" s="146"/>
      <c r="E1353"/>
      <c r="F1353"/>
      <c r="G1353"/>
      <c r="H1353"/>
      <c r="I1353"/>
      <c r="J1353"/>
      <c r="Q1353"/>
      <c r="R1353" s="301"/>
      <c r="S1353" s="301"/>
      <c r="T1353" s="301"/>
      <c r="U1353" s="301"/>
      <c r="V1353" s="301"/>
      <c r="W1353" s="301"/>
    </row>
    <row r="1354" spans="2:23" s="147" customFormat="1" ht="14.15" customHeight="1" x14ac:dyDescent="0.35">
      <c r="B1354" s="146"/>
      <c r="E1354"/>
      <c r="F1354"/>
      <c r="G1354"/>
      <c r="H1354"/>
      <c r="I1354"/>
      <c r="J1354"/>
      <c r="Q1354"/>
      <c r="R1354" s="301"/>
      <c r="S1354" s="301"/>
      <c r="T1354" s="301"/>
      <c r="U1354" s="301"/>
      <c r="V1354" s="301"/>
      <c r="W1354" s="301"/>
    </row>
    <row r="1355" spans="2:23" s="147" customFormat="1" ht="14.15" customHeight="1" x14ac:dyDescent="0.35">
      <c r="B1355" s="146"/>
      <c r="E1355"/>
      <c r="F1355"/>
      <c r="G1355"/>
      <c r="H1355"/>
      <c r="I1355"/>
      <c r="J1355"/>
      <c r="Q1355"/>
      <c r="R1355" s="301"/>
      <c r="S1355" s="301"/>
      <c r="T1355" s="301"/>
      <c r="U1355" s="301"/>
      <c r="V1355" s="301"/>
      <c r="W1355" s="301"/>
    </row>
    <row r="1356" spans="2:23" s="147" customFormat="1" ht="14.15" customHeight="1" x14ac:dyDescent="0.35">
      <c r="B1356" s="146"/>
      <c r="E1356"/>
      <c r="F1356"/>
      <c r="G1356"/>
      <c r="H1356"/>
      <c r="I1356"/>
      <c r="J1356"/>
      <c r="Q1356"/>
      <c r="R1356" s="301"/>
      <c r="S1356" s="301"/>
      <c r="T1356" s="301"/>
      <c r="U1356" s="301"/>
      <c r="V1356" s="301"/>
      <c r="W1356" s="301"/>
    </row>
    <row r="1357" spans="2:23" s="147" customFormat="1" ht="14.15" customHeight="1" x14ac:dyDescent="0.35">
      <c r="B1357" s="146"/>
      <c r="E1357"/>
      <c r="F1357"/>
      <c r="G1357"/>
      <c r="H1357"/>
      <c r="I1357"/>
      <c r="J1357"/>
      <c r="Q1357"/>
      <c r="R1357" s="301"/>
      <c r="S1357" s="301"/>
      <c r="T1357" s="301"/>
      <c r="U1357" s="301"/>
      <c r="V1357" s="301"/>
      <c r="W1357" s="301"/>
    </row>
    <row r="1358" spans="2:23" s="147" customFormat="1" ht="14.15" customHeight="1" x14ac:dyDescent="0.35">
      <c r="B1358" s="146"/>
      <c r="E1358"/>
      <c r="F1358"/>
      <c r="G1358"/>
      <c r="H1358"/>
      <c r="I1358"/>
      <c r="J1358"/>
      <c r="Q1358"/>
      <c r="R1358" s="301"/>
      <c r="S1358" s="301"/>
      <c r="T1358" s="301"/>
      <c r="U1358" s="301"/>
      <c r="V1358" s="301"/>
      <c r="W1358" s="301"/>
    </row>
    <row r="1359" spans="2:23" s="147" customFormat="1" ht="14.15" customHeight="1" x14ac:dyDescent="0.35">
      <c r="B1359" s="146"/>
      <c r="E1359"/>
      <c r="F1359"/>
      <c r="G1359"/>
      <c r="H1359"/>
      <c r="I1359"/>
      <c r="J1359"/>
      <c r="Q1359"/>
      <c r="R1359" s="301"/>
      <c r="S1359" s="301"/>
      <c r="T1359" s="301"/>
      <c r="U1359" s="301"/>
      <c r="V1359" s="301"/>
      <c r="W1359" s="301"/>
    </row>
    <row r="1360" spans="2:23" s="147" customFormat="1" ht="14.15" customHeight="1" x14ac:dyDescent="0.35">
      <c r="B1360" s="146"/>
      <c r="E1360"/>
      <c r="F1360"/>
      <c r="G1360"/>
      <c r="H1360"/>
      <c r="I1360"/>
      <c r="J1360"/>
      <c r="Q1360"/>
      <c r="R1360" s="301"/>
      <c r="S1360" s="301"/>
      <c r="T1360" s="301"/>
      <c r="U1360" s="301"/>
      <c r="V1360" s="301"/>
      <c r="W1360" s="301"/>
    </row>
    <row r="1361" spans="2:23" s="147" customFormat="1" ht="14.15" customHeight="1" x14ac:dyDescent="0.35">
      <c r="B1361" s="146"/>
      <c r="E1361"/>
      <c r="F1361"/>
      <c r="G1361"/>
      <c r="H1361"/>
      <c r="I1361"/>
      <c r="J1361"/>
      <c r="Q1361"/>
      <c r="R1361" s="301"/>
      <c r="S1361" s="301"/>
      <c r="T1361" s="301"/>
      <c r="U1361" s="301"/>
      <c r="V1361" s="301"/>
      <c r="W1361" s="301"/>
    </row>
    <row r="1362" spans="2:23" s="147" customFormat="1" ht="14.15" customHeight="1" x14ac:dyDescent="0.35">
      <c r="B1362" s="146"/>
      <c r="E1362"/>
      <c r="F1362"/>
      <c r="G1362"/>
      <c r="H1362"/>
      <c r="I1362"/>
      <c r="J1362"/>
      <c r="Q1362"/>
      <c r="R1362" s="301"/>
      <c r="S1362" s="301"/>
      <c r="T1362" s="301"/>
      <c r="U1362" s="301"/>
      <c r="V1362" s="301"/>
      <c r="W1362" s="301"/>
    </row>
    <row r="1363" spans="2:23" s="147" customFormat="1" ht="14.15" customHeight="1" x14ac:dyDescent="0.35">
      <c r="B1363" s="146"/>
      <c r="E1363"/>
      <c r="F1363"/>
      <c r="G1363"/>
      <c r="H1363"/>
      <c r="I1363"/>
      <c r="J1363"/>
      <c r="Q1363"/>
      <c r="R1363" s="301"/>
      <c r="S1363" s="301"/>
      <c r="T1363" s="301"/>
      <c r="U1363" s="301"/>
      <c r="V1363" s="301"/>
      <c r="W1363" s="301"/>
    </row>
    <row r="1364" spans="2:23" s="147" customFormat="1" ht="14.15" customHeight="1" x14ac:dyDescent="0.35">
      <c r="B1364" s="146"/>
      <c r="E1364"/>
      <c r="F1364"/>
      <c r="G1364"/>
      <c r="H1364"/>
      <c r="I1364"/>
      <c r="J1364"/>
      <c r="Q1364"/>
      <c r="R1364" s="301"/>
      <c r="S1364" s="301"/>
      <c r="T1364" s="301"/>
      <c r="U1364" s="301"/>
      <c r="V1364" s="301"/>
      <c r="W1364" s="301"/>
    </row>
    <row r="1365" spans="2:23" s="147" customFormat="1" ht="14.15" customHeight="1" x14ac:dyDescent="0.35">
      <c r="B1365" s="146"/>
      <c r="E1365"/>
      <c r="F1365"/>
      <c r="G1365"/>
      <c r="H1365"/>
      <c r="I1365"/>
      <c r="J1365"/>
      <c r="Q1365"/>
      <c r="R1365" s="301"/>
      <c r="S1365" s="301"/>
      <c r="T1365" s="301"/>
      <c r="U1365" s="301"/>
      <c r="V1365" s="301"/>
      <c r="W1365" s="301"/>
    </row>
    <row r="1366" spans="2:23" s="147" customFormat="1" ht="14.15" customHeight="1" x14ac:dyDescent="0.35">
      <c r="B1366" s="146"/>
      <c r="E1366"/>
      <c r="F1366"/>
      <c r="G1366"/>
      <c r="H1366"/>
      <c r="I1366"/>
      <c r="J1366"/>
      <c r="Q1366"/>
      <c r="R1366" s="301"/>
      <c r="S1366" s="301"/>
      <c r="T1366" s="301"/>
      <c r="U1366" s="301"/>
      <c r="V1366" s="301"/>
      <c r="W1366" s="301"/>
    </row>
    <row r="1367" spans="2:23" s="147" customFormat="1" ht="14.15" customHeight="1" x14ac:dyDescent="0.35">
      <c r="B1367" s="146"/>
      <c r="E1367"/>
      <c r="F1367"/>
      <c r="G1367"/>
      <c r="H1367"/>
      <c r="I1367"/>
      <c r="J1367"/>
      <c r="Q1367"/>
      <c r="R1367" s="301"/>
      <c r="S1367" s="301"/>
      <c r="T1367" s="301"/>
      <c r="U1367" s="301"/>
      <c r="V1367" s="301"/>
      <c r="W1367" s="301"/>
    </row>
    <row r="1368" spans="2:23" s="147" customFormat="1" ht="14.15" customHeight="1" x14ac:dyDescent="0.35">
      <c r="B1368" s="146"/>
      <c r="E1368"/>
      <c r="F1368"/>
      <c r="G1368"/>
      <c r="H1368"/>
      <c r="I1368"/>
      <c r="J1368"/>
      <c r="Q1368"/>
      <c r="R1368" s="301"/>
      <c r="S1368" s="301"/>
      <c r="T1368" s="301"/>
      <c r="U1368" s="301"/>
      <c r="V1368" s="301"/>
      <c r="W1368" s="301"/>
    </row>
    <row r="1369" spans="2:23" s="147" customFormat="1" ht="14.15" customHeight="1" x14ac:dyDescent="0.35">
      <c r="B1369" s="146"/>
      <c r="E1369"/>
      <c r="F1369"/>
      <c r="G1369"/>
      <c r="H1369"/>
      <c r="I1369"/>
      <c r="J1369"/>
      <c r="Q1369"/>
      <c r="R1369" s="301"/>
      <c r="S1369" s="301"/>
      <c r="T1369" s="301"/>
      <c r="U1369" s="301"/>
      <c r="V1369" s="301"/>
      <c r="W1369" s="301"/>
    </row>
    <row r="1370" spans="2:23" s="147" customFormat="1" ht="14.15" customHeight="1" x14ac:dyDescent="0.35">
      <c r="B1370" s="146"/>
      <c r="E1370"/>
      <c r="F1370"/>
      <c r="G1370"/>
      <c r="H1370"/>
      <c r="I1370"/>
      <c r="J1370"/>
      <c r="Q1370"/>
      <c r="R1370" s="301"/>
      <c r="S1370" s="301"/>
      <c r="T1370" s="301"/>
      <c r="U1370" s="301"/>
      <c r="V1370" s="301"/>
      <c r="W1370" s="301"/>
    </row>
    <row r="1371" spans="2:23" s="147" customFormat="1" ht="14.15" customHeight="1" x14ac:dyDescent="0.35">
      <c r="B1371" s="146"/>
      <c r="E1371"/>
      <c r="F1371"/>
      <c r="G1371"/>
      <c r="H1371"/>
      <c r="I1371"/>
      <c r="J1371"/>
      <c r="Q1371"/>
      <c r="R1371" s="301"/>
      <c r="S1371" s="301"/>
      <c r="T1371" s="301"/>
      <c r="U1371" s="301"/>
      <c r="V1371" s="301"/>
      <c r="W1371" s="301"/>
    </row>
    <row r="1372" spans="2:23" s="147" customFormat="1" ht="14.15" customHeight="1" x14ac:dyDescent="0.35">
      <c r="B1372" s="146"/>
      <c r="E1372"/>
      <c r="F1372"/>
      <c r="G1372"/>
      <c r="H1372"/>
      <c r="I1372"/>
      <c r="J1372"/>
      <c r="Q1372"/>
      <c r="R1372" s="301"/>
      <c r="S1372" s="301"/>
      <c r="T1372" s="301"/>
      <c r="U1372" s="301"/>
      <c r="V1372" s="301"/>
      <c r="W1372" s="301"/>
    </row>
    <row r="1373" spans="2:23" s="147" customFormat="1" ht="14.15" customHeight="1" x14ac:dyDescent="0.35">
      <c r="B1373" s="146"/>
      <c r="E1373"/>
      <c r="F1373"/>
      <c r="G1373"/>
      <c r="H1373"/>
      <c r="I1373"/>
      <c r="J1373"/>
      <c r="Q1373"/>
      <c r="R1373" s="301"/>
      <c r="S1373" s="301"/>
      <c r="T1373" s="301"/>
      <c r="U1373" s="301"/>
      <c r="V1373" s="301"/>
      <c r="W1373" s="301"/>
    </row>
    <row r="1374" spans="2:23" s="147" customFormat="1" ht="14.15" customHeight="1" x14ac:dyDescent="0.35">
      <c r="B1374" s="146"/>
      <c r="E1374"/>
      <c r="F1374"/>
      <c r="G1374"/>
      <c r="H1374"/>
      <c r="I1374"/>
      <c r="J1374"/>
      <c r="Q1374"/>
      <c r="R1374" s="301"/>
      <c r="S1374" s="301"/>
      <c r="T1374" s="301"/>
      <c r="U1374" s="301"/>
      <c r="V1374" s="301"/>
      <c r="W1374" s="301"/>
    </row>
    <row r="1375" spans="2:23" s="147" customFormat="1" ht="14.15" customHeight="1" x14ac:dyDescent="0.35">
      <c r="B1375" s="146"/>
      <c r="E1375"/>
      <c r="F1375"/>
      <c r="G1375"/>
      <c r="H1375"/>
      <c r="I1375"/>
      <c r="J1375"/>
      <c r="Q1375"/>
      <c r="R1375" s="301"/>
      <c r="S1375" s="301"/>
      <c r="T1375" s="301"/>
      <c r="U1375" s="301"/>
      <c r="V1375" s="301"/>
      <c r="W1375" s="301"/>
    </row>
    <row r="1376" spans="2:23" s="147" customFormat="1" ht="14.15" customHeight="1" x14ac:dyDescent="0.35">
      <c r="B1376" s="146"/>
      <c r="E1376"/>
      <c r="F1376"/>
      <c r="G1376"/>
      <c r="H1376"/>
      <c r="I1376"/>
      <c r="J1376"/>
      <c r="Q1376"/>
      <c r="R1376" s="301"/>
      <c r="S1376" s="301"/>
      <c r="T1376" s="301"/>
      <c r="U1376" s="301"/>
      <c r="V1376" s="301"/>
      <c r="W1376" s="301"/>
    </row>
    <row r="1377" spans="2:23" s="147" customFormat="1" ht="14.15" customHeight="1" x14ac:dyDescent="0.35">
      <c r="B1377" s="146"/>
      <c r="E1377"/>
      <c r="F1377"/>
      <c r="G1377"/>
      <c r="H1377"/>
      <c r="I1377"/>
      <c r="J1377"/>
      <c r="Q1377"/>
      <c r="R1377" s="301"/>
      <c r="S1377" s="301"/>
      <c r="T1377" s="301"/>
      <c r="U1377" s="301"/>
      <c r="V1377" s="301"/>
      <c r="W1377" s="301"/>
    </row>
    <row r="1378" spans="2:23" s="147" customFormat="1" ht="14.15" customHeight="1" x14ac:dyDescent="0.35">
      <c r="B1378" s="146"/>
      <c r="E1378"/>
      <c r="F1378"/>
      <c r="G1378"/>
      <c r="H1378"/>
      <c r="I1378"/>
      <c r="J1378"/>
      <c r="Q1378"/>
      <c r="R1378" s="301"/>
      <c r="S1378" s="301"/>
      <c r="T1378" s="301"/>
      <c r="U1378" s="301"/>
      <c r="V1378" s="301"/>
      <c r="W1378" s="301"/>
    </row>
    <row r="1379" spans="2:23" s="147" customFormat="1" ht="14.15" customHeight="1" x14ac:dyDescent="0.35">
      <c r="B1379" s="146"/>
      <c r="E1379"/>
      <c r="F1379"/>
      <c r="G1379"/>
      <c r="H1379"/>
      <c r="I1379"/>
      <c r="J1379"/>
      <c r="Q1379"/>
      <c r="R1379" s="301"/>
      <c r="S1379" s="301"/>
      <c r="T1379" s="301"/>
      <c r="U1379" s="301"/>
      <c r="V1379" s="301"/>
      <c r="W1379" s="301"/>
    </row>
    <row r="1380" spans="2:23" s="147" customFormat="1" ht="14.15" customHeight="1" x14ac:dyDescent="0.35">
      <c r="B1380" s="146"/>
      <c r="E1380"/>
      <c r="F1380"/>
      <c r="G1380"/>
      <c r="H1380"/>
      <c r="I1380"/>
      <c r="J1380"/>
      <c r="Q1380"/>
      <c r="R1380" s="301"/>
      <c r="S1380" s="301"/>
      <c r="T1380" s="301"/>
      <c r="U1380" s="301"/>
      <c r="V1380" s="301"/>
      <c r="W1380" s="301"/>
    </row>
    <row r="1381" spans="2:23" s="147" customFormat="1" ht="14.15" customHeight="1" x14ac:dyDescent="0.35">
      <c r="B1381" s="146"/>
      <c r="E1381"/>
      <c r="F1381"/>
      <c r="G1381"/>
      <c r="H1381"/>
      <c r="I1381"/>
      <c r="J1381"/>
      <c r="Q1381"/>
      <c r="R1381" s="301"/>
      <c r="S1381" s="301"/>
      <c r="T1381" s="301"/>
      <c r="U1381" s="301"/>
      <c r="V1381" s="301"/>
      <c r="W1381" s="301"/>
    </row>
    <row r="1382" spans="2:23" s="147" customFormat="1" ht="14.15" customHeight="1" x14ac:dyDescent="0.35">
      <c r="B1382" s="146"/>
      <c r="E1382"/>
      <c r="F1382"/>
      <c r="G1382"/>
      <c r="H1382"/>
      <c r="I1382"/>
      <c r="J1382"/>
      <c r="Q1382"/>
      <c r="R1382" s="301"/>
      <c r="S1382" s="301"/>
      <c r="T1382" s="301"/>
      <c r="U1382" s="301"/>
      <c r="V1382" s="301"/>
      <c r="W1382" s="301"/>
    </row>
    <row r="1383" spans="2:23" s="147" customFormat="1" ht="14.15" customHeight="1" x14ac:dyDescent="0.35">
      <c r="B1383" s="146"/>
      <c r="E1383"/>
      <c r="F1383"/>
      <c r="G1383"/>
      <c r="H1383"/>
      <c r="I1383"/>
      <c r="J1383"/>
      <c r="Q1383"/>
      <c r="R1383" s="301"/>
      <c r="S1383" s="301"/>
      <c r="T1383" s="301"/>
      <c r="U1383" s="301"/>
      <c r="V1383" s="301"/>
      <c r="W1383" s="301"/>
    </row>
    <row r="1384" spans="2:23" s="147" customFormat="1" ht="14.15" customHeight="1" x14ac:dyDescent="0.35">
      <c r="B1384" s="146"/>
      <c r="E1384"/>
      <c r="F1384"/>
      <c r="G1384"/>
      <c r="H1384"/>
      <c r="I1384"/>
      <c r="J1384"/>
      <c r="Q1384"/>
      <c r="R1384" s="301"/>
      <c r="S1384" s="301"/>
      <c r="T1384" s="301"/>
      <c r="U1384" s="301"/>
      <c r="V1384" s="301"/>
      <c r="W1384" s="301"/>
    </row>
    <row r="1385" spans="2:23" s="147" customFormat="1" ht="14.15" customHeight="1" x14ac:dyDescent="0.35">
      <c r="B1385" s="146"/>
      <c r="E1385"/>
      <c r="F1385"/>
      <c r="G1385"/>
      <c r="H1385"/>
      <c r="I1385"/>
      <c r="J1385"/>
      <c r="Q1385"/>
      <c r="R1385" s="301"/>
      <c r="S1385" s="301"/>
      <c r="T1385" s="301"/>
      <c r="U1385" s="301"/>
      <c r="V1385" s="301"/>
      <c r="W1385" s="301"/>
    </row>
    <row r="1386" spans="2:23" s="147" customFormat="1" ht="14.15" customHeight="1" x14ac:dyDescent="0.35">
      <c r="B1386" s="146"/>
      <c r="E1386"/>
      <c r="F1386"/>
      <c r="G1386"/>
      <c r="H1386"/>
      <c r="I1386"/>
      <c r="J1386"/>
      <c r="Q1386"/>
      <c r="R1386" s="301"/>
      <c r="S1386" s="301"/>
      <c r="T1386" s="301"/>
      <c r="U1386" s="301"/>
      <c r="V1386" s="301"/>
      <c r="W1386" s="301"/>
    </row>
    <row r="1387" spans="2:23" s="147" customFormat="1" ht="14.15" customHeight="1" x14ac:dyDescent="0.35">
      <c r="B1387" s="146"/>
      <c r="E1387"/>
      <c r="F1387"/>
      <c r="G1387"/>
      <c r="H1387"/>
      <c r="I1387"/>
      <c r="J1387"/>
      <c r="Q1387"/>
      <c r="R1387" s="301"/>
      <c r="S1387" s="301"/>
      <c r="T1387" s="301"/>
      <c r="U1387" s="301"/>
      <c r="V1387" s="301"/>
      <c r="W1387" s="301"/>
    </row>
    <row r="1388" spans="2:23" s="147" customFormat="1" ht="14.15" customHeight="1" x14ac:dyDescent="0.35">
      <c r="B1388" s="146"/>
      <c r="E1388"/>
      <c r="F1388"/>
      <c r="G1388"/>
      <c r="H1388"/>
      <c r="I1388"/>
      <c r="J1388"/>
      <c r="Q1388"/>
      <c r="R1388" s="301"/>
      <c r="S1388" s="301"/>
      <c r="T1388" s="301"/>
      <c r="U1388" s="301"/>
      <c r="V1388" s="301"/>
      <c r="W1388" s="301"/>
    </row>
    <row r="1389" spans="2:23" s="147" customFormat="1" ht="14.15" customHeight="1" x14ac:dyDescent="0.35">
      <c r="B1389" s="146"/>
      <c r="E1389"/>
      <c r="F1389"/>
      <c r="G1389"/>
      <c r="H1389"/>
      <c r="I1389"/>
      <c r="J1389"/>
      <c r="Q1389"/>
      <c r="R1389" s="301"/>
      <c r="S1389" s="301"/>
      <c r="T1389" s="301"/>
      <c r="U1389" s="301"/>
      <c r="V1389" s="301"/>
      <c r="W1389" s="301"/>
    </row>
    <row r="1390" spans="2:23" s="147" customFormat="1" ht="14.15" customHeight="1" x14ac:dyDescent="0.35">
      <c r="B1390" s="146"/>
      <c r="E1390"/>
      <c r="F1390"/>
      <c r="G1390"/>
      <c r="H1390"/>
      <c r="I1390"/>
      <c r="J1390"/>
      <c r="Q1390"/>
      <c r="R1390" s="301"/>
      <c r="S1390" s="301"/>
      <c r="T1390" s="301"/>
      <c r="U1390" s="301"/>
      <c r="V1390" s="301"/>
      <c r="W1390" s="301"/>
    </row>
    <row r="1391" spans="2:23" s="147" customFormat="1" ht="14.15" customHeight="1" x14ac:dyDescent="0.35">
      <c r="B1391" s="146"/>
      <c r="E1391"/>
      <c r="F1391"/>
      <c r="G1391"/>
      <c r="H1391"/>
      <c r="I1391"/>
      <c r="J1391"/>
      <c r="Q1391"/>
      <c r="R1391" s="301"/>
      <c r="S1391" s="301"/>
      <c r="T1391" s="301"/>
      <c r="U1391" s="301"/>
      <c r="V1391" s="301"/>
      <c r="W1391" s="301"/>
    </row>
    <row r="1392" spans="2:23" s="147" customFormat="1" ht="14.15" customHeight="1" x14ac:dyDescent="0.35">
      <c r="B1392" s="146"/>
      <c r="E1392"/>
      <c r="F1392"/>
      <c r="G1392"/>
      <c r="H1392"/>
      <c r="I1392"/>
      <c r="J1392"/>
      <c r="Q1392"/>
      <c r="R1392" s="301"/>
      <c r="S1392" s="301"/>
      <c r="T1392" s="301"/>
      <c r="U1392" s="301"/>
      <c r="V1392" s="301"/>
      <c r="W1392" s="301"/>
    </row>
    <row r="1393" spans="2:23" s="147" customFormat="1" ht="14.15" customHeight="1" x14ac:dyDescent="0.35">
      <c r="B1393" s="146"/>
      <c r="E1393"/>
      <c r="F1393"/>
      <c r="G1393"/>
      <c r="H1393"/>
      <c r="I1393"/>
      <c r="J1393"/>
      <c r="Q1393"/>
      <c r="R1393" s="301"/>
      <c r="S1393" s="301"/>
      <c r="T1393" s="301"/>
      <c r="U1393" s="301"/>
      <c r="V1393" s="301"/>
      <c r="W1393" s="301"/>
    </row>
    <row r="1394" spans="2:23" s="147" customFormat="1" ht="14.15" customHeight="1" x14ac:dyDescent="0.35">
      <c r="B1394" s="146"/>
      <c r="E1394"/>
      <c r="F1394"/>
      <c r="G1394"/>
      <c r="H1394"/>
      <c r="I1394"/>
      <c r="J1394"/>
      <c r="Q1394"/>
      <c r="R1394" s="301"/>
      <c r="S1394" s="301"/>
      <c r="T1394" s="301"/>
      <c r="U1394" s="301"/>
      <c r="V1394" s="301"/>
      <c r="W1394" s="301"/>
    </row>
    <row r="1395" spans="2:23" s="147" customFormat="1" ht="14.15" customHeight="1" x14ac:dyDescent="0.35">
      <c r="B1395" s="146"/>
      <c r="E1395"/>
      <c r="F1395"/>
      <c r="G1395"/>
      <c r="H1395"/>
      <c r="I1395"/>
      <c r="J1395"/>
      <c r="Q1395"/>
      <c r="R1395" s="301"/>
      <c r="S1395" s="301"/>
      <c r="T1395" s="301"/>
      <c r="U1395" s="301"/>
      <c r="V1395" s="301"/>
      <c r="W1395" s="301"/>
    </row>
    <row r="1396" spans="2:23" s="147" customFormat="1" ht="14.15" customHeight="1" x14ac:dyDescent="0.35">
      <c r="B1396" s="146"/>
      <c r="E1396"/>
      <c r="F1396"/>
      <c r="G1396"/>
      <c r="H1396"/>
      <c r="I1396"/>
      <c r="J1396"/>
      <c r="Q1396"/>
      <c r="R1396" s="301"/>
      <c r="S1396" s="301"/>
      <c r="T1396" s="301"/>
      <c r="U1396" s="301"/>
      <c r="V1396" s="301"/>
      <c r="W1396" s="301"/>
    </row>
    <row r="1397" spans="2:23" s="147" customFormat="1" ht="14.15" customHeight="1" x14ac:dyDescent="0.35">
      <c r="B1397" s="146"/>
      <c r="E1397"/>
      <c r="F1397"/>
      <c r="G1397"/>
      <c r="H1397"/>
      <c r="I1397"/>
      <c r="J1397"/>
      <c r="Q1397"/>
      <c r="R1397" s="301"/>
      <c r="S1397" s="301"/>
      <c r="T1397" s="301"/>
      <c r="U1397" s="301"/>
      <c r="V1397" s="301"/>
      <c r="W1397" s="301"/>
    </row>
    <row r="1398" spans="2:23" s="147" customFormat="1" ht="14.15" customHeight="1" x14ac:dyDescent="0.35">
      <c r="B1398" s="146"/>
      <c r="E1398"/>
      <c r="F1398"/>
      <c r="G1398"/>
      <c r="H1398"/>
      <c r="I1398"/>
      <c r="J1398"/>
      <c r="Q1398"/>
      <c r="R1398" s="301"/>
      <c r="S1398" s="301"/>
      <c r="T1398" s="301"/>
      <c r="U1398" s="301"/>
      <c r="V1398" s="301"/>
      <c r="W1398" s="301"/>
    </row>
    <row r="1399" spans="2:23" s="147" customFormat="1" ht="14.15" customHeight="1" x14ac:dyDescent="0.35">
      <c r="B1399" s="146"/>
      <c r="E1399"/>
      <c r="F1399"/>
      <c r="G1399"/>
      <c r="H1399"/>
      <c r="I1399"/>
      <c r="J1399"/>
      <c r="Q1399"/>
      <c r="R1399" s="301"/>
      <c r="S1399" s="301"/>
      <c r="T1399" s="301"/>
      <c r="U1399" s="301"/>
      <c r="V1399" s="301"/>
      <c r="W1399" s="301"/>
    </row>
    <row r="1400" spans="2:23" s="147" customFormat="1" ht="14.15" customHeight="1" x14ac:dyDescent="0.35">
      <c r="B1400" s="146"/>
      <c r="E1400"/>
      <c r="F1400"/>
      <c r="G1400"/>
      <c r="H1400"/>
      <c r="I1400"/>
      <c r="J1400"/>
      <c r="Q1400"/>
      <c r="R1400" s="301"/>
      <c r="S1400" s="301"/>
      <c r="T1400" s="301"/>
      <c r="U1400" s="301"/>
      <c r="V1400" s="301"/>
      <c r="W1400" s="301"/>
    </row>
    <row r="1401" spans="2:23" s="147" customFormat="1" ht="14.15" customHeight="1" x14ac:dyDescent="0.35">
      <c r="B1401" s="146"/>
      <c r="E1401"/>
      <c r="F1401"/>
      <c r="G1401"/>
      <c r="H1401"/>
      <c r="I1401"/>
      <c r="J1401"/>
      <c r="Q1401"/>
      <c r="R1401" s="301"/>
      <c r="S1401" s="301"/>
      <c r="T1401" s="301"/>
      <c r="U1401" s="301"/>
      <c r="V1401" s="301"/>
      <c r="W1401" s="301"/>
    </row>
    <row r="1402" spans="2:23" s="147" customFormat="1" ht="14.15" customHeight="1" x14ac:dyDescent="0.35">
      <c r="B1402" s="146"/>
      <c r="E1402"/>
      <c r="F1402"/>
      <c r="G1402"/>
      <c r="H1402"/>
      <c r="I1402"/>
      <c r="J1402"/>
      <c r="Q1402"/>
      <c r="R1402" s="301"/>
      <c r="S1402" s="301"/>
      <c r="T1402" s="301"/>
      <c r="U1402" s="301"/>
      <c r="V1402" s="301"/>
      <c r="W1402" s="301"/>
    </row>
    <row r="1403" spans="2:23" s="147" customFormat="1" ht="14.15" customHeight="1" x14ac:dyDescent="0.35">
      <c r="B1403" s="146"/>
      <c r="E1403"/>
      <c r="F1403"/>
      <c r="G1403"/>
      <c r="H1403"/>
      <c r="I1403"/>
      <c r="J1403"/>
      <c r="Q1403"/>
      <c r="R1403" s="301"/>
      <c r="S1403" s="301"/>
      <c r="T1403" s="301"/>
      <c r="U1403" s="301"/>
      <c r="V1403" s="301"/>
      <c r="W1403" s="301"/>
    </row>
    <row r="1404" spans="2:23" s="147" customFormat="1" ht="14.15" customHeight="1" x14ac:dyDescent="0.35">
      <c r="B1404" s="146"/>
      <c r="E1404"/>
      <c r="F1404"/>
      <c r="G1404"/>
      <c r="H1404"/>
      <c r="I1404"/>
      <c r="J1404"/>
      <c r="Q1404"/>
      <c r="R1404" s="301"/>
      <c r="S1404" s="301"/>
      <c r="T1404" s="301"/>
      <c r="U1404" s="301"/>
      <c r="V1404" s="301"/>
      <c r="W1404" s="301"/>
    </row>
    <row r="1405" spans="2:23" s="147" customFormat="1" ht="14.15" customHeight="1" x14ac:dyDescent="0.35">
      <c r="B1405" s="146"/>
      <c r="E1405"/>
      <c r="F1405"/>
      <c r="G1405"/>
      <c r="H1405"/>
      <c r="I1405"/>
      <c r="J1405"/>
      <c r="Q1405"/>
      <c r="R1405" s="301"/>
      <c r="S1405" s="301"/>
      <c r="T1405" s="301"/>
      <c r="U1405" s="301"/>
      <c r="V1405" s="301"/>
      <c r="W1405" s="301"/>
    </row>
    <row r="1406" spans="2:23" s="147" customFormat="1" ht="14.15" customHeight="1" x14ac:dyDescent="0.35">
      <c r="B1406" s="146"/>
      <c r="E1406"/>
      <c r="F1406"/>
      <c r="G1406"/>
      <c r="H1406"/>
      <c r="I1406"/>
      <c r="J1406"/>
      <c r="Q1406"/>
      <c r="R1406" s="301"/>
      <c r="S1406" s="301"/>
      <c r="T1406" s="301"/>
      <c r="U1406" s="301"/>
      <c r="V1406" s="301"/>
      <c r="W1406" s="301"/>
    </row>
    <row r="1407" spans="2:23" s="147" customFormat="1" ht="14.15" customHeight="1" x14ac:dyDescent="0.35">
      <c r="B1407" s="146"/>
      <c r="E1407"/>
      <c r="F1407"/>
      <c r="G1407"/>
      <c r="H1407"/>
      <c r="I1407"/>
      <c r="J1407"/>
      <c r="Q1407"/>
      <c r="R1407" s="301"/>
      <c r="S1407" s="301"/>
      <c r="T1407" s="301"/>
      <c r="U1407" s="301"/>
      <c r="V1407" s="301"/>
      <c r="W1407" s="301"/>
    </row>
    <row r="1408" spans="2:23" s="147" customFormat="1" ht="14.15" customHeight="1" x14ac:dyDescent="0.35">
      <c r="B1408" s="146"/>
      <c r="E1408"/>
      <c r="F1408"/>
      <c r="G1408"/>
      <c r="H1408"/>
      <c r="I1408"/>
      <c r="J1408"/>
      <c r="Q1408"/>
      <c r="R1408" s="301"/>
      <c r="S1408" s="301"/>
      <c r="T1408" s="301"/>
      <c r="U1408" s="301"/>
      <c r="V1408" s="301"/>
      <c r="W1408" s="301"/>
    </row>
    <row r="1409" spans="2:23" s="147" customFormat="1" ht="14.15" customHeight="1" x14ac:dyDescent="0.35">
      <c r="B1409" s="146"/>
      <c r="E1409"/>
      <c r="F1409"/>
      <c r="G1409"/>
      <c r="H1409"/>
      <c r="I1409"/>
      <c r="J1409"/>
      <c r="Q1409"/>
      <c r="R1409" s="301"/>
      <c r="S1409" s="301"/>
      <c r="T1409" s="301"/>
      <c r="U1409" s="301"/>
      <c r="V1409" s="301"/>
      <c r="W1409" s="301"/>
    </row>
    <row r="1410" spans="2:23" s="147" customFormat="1" ht="14.15" customHeight="1" x14ac:dyDescent="0.35">
      <c r="B1410" s="146"/>
      <c r="E1410"/>
      <c r="F1410"/>
      <c r="G1410"/>
      <c r="H1410"/>
      <c r="I1410"/>
      <c r="J1410"/>
      <c r="Q1410"/>
      <c r="R1410" s="301"/>
      <c r="S1410" s="301"/>
      <c r="T1410" s="301"/>
      <c r="U1410" s="301"/>
      <c r="V1410" s="301"/>
      <c r="W1410" s="301"/>
    </row>
    <row r="1411" spans="2:23" s="147" customFormat="1" ht="14.15" customHeight="1" x14ac:dyDescent="0.35">
      <c r="B1411" s="146"/>
      <c r="E1411"/>
      <c r="F1411"/>
      <c r="G1411"/>
      <c r="H1411"/>
      <c r="I1411"/>
      <c r="J1411"/>
      <c r="Q1411"/>
      <c r="R1411" s="301"/>
      <c r="S1411" s="301"/>
      <c r="T1411" s="301"/>
      <c r="U1411" s="301"/>
      <c r="V1411" s="301"/>
      <c r="W1411" s="301"/>
    </row>
    <row r="1412" spans="2:23" s="147" customFormat="1" ht="14.15" customHeight="1" x14ac:dyDescent="0.35">
      <c r="B1412" s="146"/>
      <c r="E1412"/>
      <c r="F1412"/>
      <c r="G1412"/>
      <c r="H1412"/>
      <c r="I1412"/>
      <c r="J1412"/>
      <c r="Q1412"/>
      <c r="R1412" s="301"/>
      <c r="S1412" s="301"/>
      <c r="T1412" s="301"/>
      <c r="U1412" s="301"/>
      <c r="V1412" s="301"/>
      <c r="W1412" s="301"/>
    </row>
    <row r="1413" spans="2:23" s="147" customFormat="1" ht="14.15" customHeight="1" x14ac:dyDescent="0.35">
      <c r="B1413" s="146"/>
      <c r="E1413"/>
      <c r="F1413"/>
      <c r="G1413"/>
      <c r="H1413"/>
      <c r="I1413"/>
      <c r="J1413"/>
      <c r="Q1413"/>
      <c r="R1413" s="301"/>
      <c r="S1413" s="301"/>
      <c r="T1413" s="301"/>
      <c r="U1413" s="301"/>
      <c r="V1413" s="301"/>
      <c r="W1413" s="301"/>
    </row>
    <row r="1414" spans="2:23" s="147" customFormat="1" ht="14.15" customHeight="1" x14ac:dyDescent="0.35">
      <c r="B1414" s="146"/>
      <c r="E1414"/>
      <c r="F1414"/>
      <c r="G1414"/>
      <c r="H1414"/>
      <c r="I1414"/>
      <c r="J1414"/>
      <c r="Q1414"/>
      <c r="R1414" s="301"/>
      <c r="S1414" s="301"/>
      <c r="T1414" s="301"/>
      <c r="U1414" s="301"/>
      <c r="V1414" s="301"/>
      <c r="W1414" s="301"/>
    </row>
    <row r="1415" spans="2:23" s="147" customFormat="1" ht="14.15" customHeight="1" x14ac:dyDescent="0.35">
      <c r="B1415" s="146"/>
      <c r="E1415"/>
      <c r="F1415"/>
      <c r="G1415"/>
      <c r="H1415"/>
      <c r="I1415"/>
      <c r="J1415"/>
      <c r="Q1415"/>
      <c r="R1415" s="301"/>
      <c r="S1415" s="301"/>
      <c r="T1415" s="301"/>
      <c r="U1415" s="301"/>
      <c r="V1415" s="301"/>
      <c r="W1415" s="301"/>
    </row>
    <row r="1416" spans="2:23" s="147" customFormat="1" ht="14.15" customHeight="1" x14ac:dyDescent="0.35">
      <c r="B1416" s="146"/>
      <c r="E1416"/>
      <c r="F1416"/>
      <c r="G1416"/>
      <c r="H1416"/>
      <c r="I1416"/>
      <c r="J1416"/>
      <c r="Q1416"/>
      <c r="R1416" s="301"/>
      <c r="S1416" s="301"/>
      <c r="T1416" s="301"/>
      <c r="U1416" s="301"/>
      <c r="V1416" s="301"/>
      <c r="W1416" s="301"/>
    </row>
    <row r="1417" spans="2:23" s="147" customFormat="1" ht="14.15" customHeight="1" x14ac:dyDescent="0.35">
      <c r="B1417" s="146"/>
      <c r="E1417"/>
      <c r="F1417"/>
      <c r="G1417"/>
      <c r="H1417"/>
      <c r="I1417"/>
      <c r="J1417"/>
      <c r="Q1417"/>
      <c r="R1417" s="301"/>
      <c r="S1417" s="301"/>
      <c r="T1417" s="301"/>
      <c r="U1417" s="301"/>
      <c r="V1417" s="301"/>
      <c r="W1417" s="301"/>
    </row>
    <row r="1418" spans="2:23" s="147" customFormat="1" ht="14.15" customHeight="1" x14ac:dyDescent="0.35">
      <c r="B1418" s="146"/>
      <c r="E1418"/>
      <c r="F1418"/>
      <c r="G1418"/>
      <c r="H1418"/>
      <c r="I1418"/>
      <c r="J1418"/>
      <c r="Q1418"/>
      <c r="R1418" s="301"/>
      <c r="S1418" s="301"/>
      <c r="T1418" s="301"/>
      <c r="U1418" s="301"/>
      <c r="V1418" s="301"/>
      <c r="W1418" s="301"/>
    </row>
    <row r="1419" spans="2:23" s="147" customFormat="1" ht="14.15" customHeight="1" x14ac:dyDescent="0.35">
      <c r="B1419" s="146"/>
      <c r="E1419"/>
      <c r="F1419"/>
      <c r="G1419"/>
      <c r="H1419"/>
      <c r="I1419"/>
      <c r="J1419"/>
      <c r="Q1419"/>
      <c r="R1419" s="301"/>
      <c r="S1419" s="301"/>
      <c r="T1419" s="301"/>
      <c r="U1419" s="301"/>
      <c r="V1419" s="301"/>
      <c r="W1419" s="301"/>
    </row>
    <row r="1420" spans="2:23" s="147" customFormat="1" ht="14.15" customHeight="1" x14ac:dyDescent="0.35">
      <c r="B1420" s="146"/>
      <c r="E1420"/>
      <c r="F1420"/>
      <c r="G1420"/>
      <c r="H1420"/>
      <c r="I1420"/>
      <c r="J1420"/>
      <c r="Q1420"/>
      <c r="R1420" s="301"/>
      <c r="S1420" s="301"/>
      <c r="T1420" s="301"/>
      <c r="U1420" s="301"/>
      <c r="V1420" s="301"/>
      <c r="W1420" s="301"/>
    </row>
    <row r="1421" spans="2:23" s="147" customFormat="1" ht="14.15" customHeight="1" x14ac:dyDescent="0.35">
      <c r="B1421" s="146"/>
      <c r="E1421"/>
      <c r="F1421"/>
      <c r="G1421"/>
      <c r="H1421"/>
      <c r="I1421"/>
      <c r="J1421"/>
      <c r="Q1421"/>
      <c r="R1421" s="301"/>
      <c r="S1421" s="301"/>
      <c r="T1421" s="301"/>
      <c r="U1421" s="301"/>
      <c r="V1421" s="301"/>
      <c r="W1421" s="301"/>
    </row>
    <row r="1422" spans="2:23" s="147" customFormat="1" ht="14.15" customHeight="1" x14ac:dyDescent="0.35">
      <c r="B1422" s="146"/>
      <c r="E1422"/>
      <c r="F1422"/>
      <c r="G1422"/>
      <c r="H1422"/>
      <c r="I1422"/>
      <c r="J1422"/>
      <c r="Q1422"/>
      <c r="R1422" s="301"/>
      <c r="S1422" s="301"/>
      <c r="T1422" s="301"/>
      <c r="U1422" s="301"/>
      <c r="V1422" s="301"/>
      <c r="W1422" s="301"/>
    </row>
    <row r="1423" spans="2:23" s="147" customFormat="1" ht="14.15" customHeight="1" x14ac:dyDescent="0.35">
      <c r="B1423" s="146"/>
      <c r="E1423"/>
      <c r="F1423"/>
      <c r="G1423"/>
      <c r="H1423"/>
      <c r="I1423"/>
      <c r="J1423"/>
      <c r="Q1423"/>
      <c r="R1423" s="301"/>
      <c r="S1423" s="301"/>
      <c r="T1423" s="301"/>
      <c r="U1423" s="301"/>
      <c r="V1423" s="301"/>
      <c r="W1423" s="301"/>
    </row>
    <row r="1424" spans="2:23" s="147" customFormat="1" ht="14.15" customHeight="1" x14ac:dyDescent="0.35">
      <c r="B1424" s="146"/>
      <c r="E1424"/>
      <c r="F1424"/>
      <c r="G1424"/>
      <c r="H1424"/>
      <c r="I1424"/>
      <c r="J1424"/>
      <c r="Q1424"/>
      <c r="R1424" s="301"/>
      <c r="S1424" s="301"/>
      <c r="T1424" s="301"/>
      <c r="U1424" s="301"/>
      <c r="V1424" s="301"/>
      <c r="W1424" s="301"/>
    </row>
    <row r="1425" spans="2:23" s="147" customFormat="1" ht="14.15" customHeight="1" x14ac:dyDescent="0.35">
      <c r="B1425" s="146"/>
      <c r="E1425"/>
      <c r="F1425"/>
      <c r="G1425"/>
      <c r="H1425"/>
      <c r="I1425"/>
      <c r="J1425"/>
      <c r="Q1425"/>
      <c r="R1425" s="301"/>
      <c r="S1425" s="301"/>
      <c r="T1425" s="301"/>
      <c r="U1425" s="301"/>
      <c r="V1425" s="301"/>
      <c r="W1425" s="301"/>
    </row>
    <row r="1426" spans="2:23" s="147" customFormat="1" ht="14.15" customHeight="1" x14ac:dyDescent="0.35">
      <c r="B1426" s="146"/>
      <c r="E1426"/>
      <c r="F1426"/>
      <c r="G1426"/>
      <c r="H1426"/>
      <c r="I1426"/>
      <c r="J1426"/>
      <c r="Q1426"/>
      <c r="R1426" s="301"/>
      <c r="S1426" s="301"/>
      <c r="T1426" s="301"/>
      <c r="U1426" s="301"/>
      <c r="V1426" s="301"/>
      <c r="W1426" s="301"/>
    </row>
    <row r="1427" spans="2:23" s="147" customFormat="1" ht="14.15" customHeight="1" x14ac:dyDescent="0.35">
      <c r="B1427" s="146"/>
      <c r="E1427"/>
      <c r="F1427"/>
      <c r="G1427"/>
      <c r="H1427"/>
      <c r="I1427"/>
      <c r="J1427"/>
      <c r="Q1427"/>
      <c r="R1427" s="301"/>
      <c r="S1427" s="301"/>
      <c r="T1427" s="301"/>
      <c r="U1427" s="301"/>
      <c r="V1427" s="301"/>
      <c r="W1427" s="301"/>
    </row>
    <row r="1428" spans="2:23" s="147" customFormat="1" ht="14.15" customHeight="1" x14ac:dyDescent="0.35">
      <c r="B1428" s="146"/>
      <c r="E1428"/>
      <c r="F1428"/>
      <c r="G1428"/>
      <c r="H1428"/>
      <c r="I1428"/>
      <c r="J1428"/>
      <c r="Q1428"/>
      <c r="R1428" s="301"/>
      <c r="S1428" s="301"/>
      <c r="T1428" s="301"/>
      <c r="U1428" s="301"/>
      <c r="V1428" s="301"/>
      <c r="W1428" s="301"/>
    </row>
    <row r="1429" spans="2:23" s="147" customFormat="1" ht="14.15" customHeight="1" x14ac:dyDescent="0.35">
      <c r="B1429" s="146"/>
      <c r="E1429"/>
      <c r="F1429"/>
      <c r="G1429"/>
      <c r="H1429"/>
      <c r="I1429"/>
      <c r="J1429"/>
      <c r="Q1429"/>
      <c r="R1429" s="301"/>
      <c r="S1429" s="301"/>
      <c r="T1429" s="301"/>
      <c r="U1429" s="301"/>
      <c r="V1429" s="301"/>
      <c r="W1429" s="301"/>
    </row>
    <row r="1430" spans="2:23" s="147" customFormat="1" ht="14.15" customHeight="1" x14ac:dyDescent="0.35">
      <c r="B1430" s="146"/>
      <c r="E1430"/>
      <c r="F1430"/>
      <c r="G1430"/>
      <c r="H1430"/>
      <c r="I1430"/>
      <c r="J1430"/>
      <c r="Q1430"/>
      <c r="R1430" s="301"/>
      <c r="S1430" s="301"/>
      <c r="T1430" s="301"/>
      <c r="U1430" s="301"/>
      <c r="V1430" s="301"/>
      <c r="W1430" s="301"/>
    </row>
    <row r="1431" spans="2:23" s="147" customFormat="1" ht="14.15" customHeight="1" x14ac:dyDescent="0.35">
      <c r="B1431" s="146"/>
      <c r="E1431"/>
      <c r="F1431"/>
      <c r="G1431"/>
      <c r="H1431"/>
      <c r="I1431"/>
      <c r="J1431"/>
      <c r="Q1431"/>
      <c r="R1431" s="301"/>
      <c r="S1431" s="301"/>
      <c r="T1431" s="301"/>
      <c r="U1431" s="301"/>
      <c r="V1431" s="301"/>
      <c r="W1431" s="301"/>
    </row>
    <row r="1432" spans="2:23" s="147" customFormat="1" ht="14.15" customHeight="1" x14ac:dyDescent="0.35">
      <c r="B1432" s="146"/>
      <c r="E1432"/>
      <c r="F1432"/>
      <c r="G1432"/>
      <c r="H1432"/>
      <c r="I1432"/>
      <c r="J1432"/>
      <c r="Q1432"/>
      <c r="R1432" s="301"/>
      <c r="S1432" s="301"/>
      <c r="T1432" s="301"/>
      <c r="U1432" s="301"/>
      <c r="V1432" s="301"/>
      <c r="W1432" s="301"/>
    </row>
    <row r="1433" spans="2:23" s="147" customFormat="1" ht="14.15" customHeight="1" x14ac:dyDescent="0.35">
      <c r="B1433" s="146"/>
      <c r="E1433"/>
      <c r="F1433"/>
      <c r="G1433"/>
      <c r="H1433"/>
      <c r="I1433"/>
      <c r="J1433"/>
      <c r="Q1433"/>
      <c r="R1433" s="301"/>
      <c r="S1433" s="301"/>
      <c r="T1433" s="301"/>
      <c r="U1433" s="301"/>
      <c r="V1433" s="301"/>
      <c r="W1433" s="301"/>
    </row>
    <row r="1434" spans="2:23" s="147" customFormat="1" ht="14.15" customHeight="1" x14ac:dyDescent="0.35">
      <c r="B1434" s="146"/>
      <c r="E1434"/>
      <c r="F1434"/>
      <c r="G1434"/>
      <c r="H1434"/>
      <c r="I1434"/>
      <c r="J1434"/>
      <c r="Q1434"/>
      <c r="R1434" s="301"/>
      <c r="S1434" s="301"/>
      <c r="T1434" s="301"/>
      <c r="U1434" s="301"/>
      <c r="V1434" s="301"/>
      <c r="W1434" s="301"/>
    </row>
    <row r="1435" spans="2:23" s="147" customFormat="1" ht="14.15" customHeight="1" x14ac:dyDescent="0.35">
      <c r="B1435" s="146"/>
      <c r="E1435"/>
      <c r="F1435"/>
      <c r="G1435"/>
      <c r="H1435"/>
      <c r="I1435"/>
      <c r="J1435"/>
      <c r="Q1435"/>
      <c r="R1435" s="301"/>
      <c r="S1435" s="301"/>
      <c r="T1435" s="301"/>
      <c r="U1435" s="301"/>
      <c r="V1435" s="301"/>
      <c r="W1435" s="301"/>
    </row>
    <row r="1436" spans="2:23" s="147" customFormat="1" ht="14.15" customHeight="1" x14ac:dyDescent="0.35">
      <c r="B1436" s="146"/>
      <c r="E1436"/>
      <c r="F1436"/>
      <c r="G1436"/>
      <c r="H1436"/>
      <c r="I1436"/>
      <c r="J1436"/>
      <c r="Q1436"/>
      <c r="R1436" s="301"/>
      <c r="S1436" s="301"/>
      <c r="T1436" s="301"/>
      <c r="U1436" s="301"/>
      <c r="V1436" s="301"/>
      <c r="W1436" s="301"/>
    </row>
    <row r="1437" spans="2:23" s="147" customFormat="1" ht="14.15" customHeight="1" x14ac:dyDescent="0.35">
      <c r="B1437" s="146"/>
      <c r="E1437"/>
      <c r="F1437"/>
      <c r="G1437"/>
      <c r="H1437"/>
      <c r="I1437"/>
      <c r="J1437"/>
      <c r="Q1437"/>
      <c r="R1437" s="301"/>
      <c r="S1437" s="301"/>
      <c r="T1437" s="301"/>
      <c r="U1437" s="301"/>
      <c r="V1437" s="301"/>
      <c r="W1437" s="301"/>
    </row>
    <row r="1438" spans="2:23" s="147" customFormat="1" ht="14.15" customHeight="1" x14ac:dyDescent="0.35">
      <c r="B1438" s="146"/>
      <c r="E1438"/>
      <c r="F1438"/>
      <c r="G1438"/>
      <c r="H1438"/>
      <c r="I1438"/>
      <c r="J1438"/>
      <c r="Q1438"/>
      <c r="R1438" s="301"/>
      <c r="S1438" s="301"/>
      <c r="T1438" s="301"/>
      <c r="U1438" s="301"/>
      <c r="V1438" s="301"/>
      <c r="W1438" s="301"/>
    </row>
    <row r="1439" spans="2:23" s="147" customFormat="1" ht="14.15" customHeight="1" x14ac:dyDescent="0.35">
      <c r="B1439" s="146"/>
      <c r="E1439"/>
      <c r="F1439"/>
      <c r="G1439"/>
      <c r="H1439"/>
      <c r="I1439"/>
      <c r="J1439"/>
      <c r="Q1439"/>
      <c r="R1439" s="301"/>
      <c r="S1439" s="301"/>
      <c r="T1439" s="301"/>
      <c r="U1439" s="301"/>
      <c r="V1439" s="301"/>
      <c r="W1439" s="301"/>
    </row>
    <row r="1440" spans="2:23" s="147" customFormat="1" ht="14.15" customHeight="1" x14ac:dyDescent="0.35">
      <c r="B1440" s="146"/>
      <c r="E1440"/>
      <c r="F1440"/>
      <c r="G1440"/>
      <c r="H1440"/>
      <c r="I1440"/>
      <c r="J1440"/>
      <c r="Q1440"/>
      <c r="R1440" s="301"/>
      <c r="S1440" s="301"/>
      <c r="T1440" s="301"/>
      <c r="U1440" s="301"/>
      <c r="V1440" s="301"/>
      <c r="W1440" s="301"/>
    </row>
    <row r="1441" spans="2:23" s="147" customFormat="1" ht="14.15" customHeight="1" x14ac:dyDescent="0.35">
      <c r="B1441" s="146"/>
      <c r="E1441"/>
      <c r="F1441"/>
      <c r="G1441"/>
      <c r="H1441"/>
      <c r="I1441"/>
      <c r="J1441"/>
      <c r="Q1441"/>
      <c r="R1441" s="301"/>
      <c r="S1441" s="301"/>
      <c r="T1441" s="301"/>
      <c r="U1441" s="301"/>
      <c r="V1441" s="301"/>
      <c r="W1441" s="301"/>
    </row>
    <row r="1442" spans="2:23" s="147" customFormat="1" ht="14.15" customHeight="1" x14ac:dyDescent="0.35">
      <c r="B1442" s="146"/>
      <c r="E1442"/>
      <c r="F1442"/>
      <c r="G1442"/>
      <c r="H1442"/>
      <c r="I1442"/>
      <c r="J1442"/>
      <c r="Q1442"/>
      <c r="R1442" s="301"/>
      <c r="S1442" s="301"/>
      <c r="T1442" s="301"/>
      <c r="U1442" s="301"/>
      <c r="V1442" s="301"/>
      <c r="W1442" s="301"/>
    </row>
    <row r="1443" spans="2:23" s="147" customFormat="1" ht="14.15" customHeight="1" x14ac:dyDescent="0.35">
      <c r="B1443" s="146"/>
      <c r="E1443"/>
      <c r="F1443"/>
      <c r="G1443"/>
      <c r="H1443"/>
      <c r="I1443"/>
      <c r="J1443"/>
      <c r="Q1443"/>
      <c r="R1443" s="301"/>
      <c r="S1443" s="301"/>
      <c r="T1443" s="301"/>
      <c r="U1443" s="301"/>
      <c r="V1443" s="301"/>
      <c r="W1443" s="301"/>
    </row>
    <row r="1444" spans="2:23" s="147" customFormat="1" ht="14.15" customHeight="1" x14ac:dyDescent="0.35">
      <c r="B1444" s="146"/>
      <c r="E1444"/>
      <c r="F1444"/>
      <c r="G1444"/>
      <c r="H1444"/>
      <c r="I1444"/>
      <c r="J1444"/>
      <c r="Q1444"/>
      <c r="R1444" s="301"/>
      <c r="S1444" s="301"/>
      <c r="T1444" s="301"/>
      <c r="U1444" s="301"/>
      <c r="V1444" s="301"/>
      <c r="W1444" s="301"/>
    </row>
    <row r="1445" spans="2:23" s="147" customFormat="1" ht="14.15" customHeight="1" x14ac:dyDescent="0.35">
      <c r="B1445" s="146"/>
      <c r="E1445"/>
      <c r="F1445"/>
      <c r="G1445"/>
      <c r="H1445"/>
      <c r="I1445"/>
      <c r="J1445"/>
      <c r="Q1445"/>
      <c r="R1445" s="301"/>
      <c r="S1445" s="301"/>
      <c r="T1445" s="301"/>
      <c r="U1445" s="301"/>
      <c r="V1445" s="301"/>
      <c r="W1445" s="301"/>
    </row>
    <row r="1446" spans="2:23" s="147" customFormat="1" ht="14.15" customHeight="1" x14ac:dyDescent="0.35">
      <c r="B1446" s="146"/>
      <c r="E1446"/>
      <c r="F1446"/>
      <c r="G1446"/>
      <c r="H1446"/>
      <c r="I1446"/>
      <c r="J1446"/>
      <c r="Q1446"/>
      <c r="R1446" s="301"/>
      <c r="S1446" s="301"/>
      <c r="T1446" s="301"/>
      <c r="U1446" s="301"/>
      <c r="V1446" s="301"/>
      <c r="W1446" s="301"/>
    </row>
    <row r="1447" spans="2:23" s="147" customFormat="1" ht="14.15" customHeight="1" x14ac:dyDescent="0.35">
      <c r="B1447" s="146"/>
      <c r="E1447"/>
      <c r="F1447"/>
      <c r="G1447"/>
      <c r="H1447"/>
      <c r="I1447"/>
      <c r="J1447"/>
      <c r="Q1447"/>
      <c r="R1447" s="301"/>
      <c r="S1447" s="301"/>
      <c r="T1447" s="301"/>
      <c r="U1447" s="301"/>
      <c r="V1447" s="301"/>
      <c r="W1447" s="301"/>
    </row>
    <row r="1448" spans="2:23" s="147" customFormat="1" ht="14.15" customHeight="1" x14ac:dyDescent="0.35">
      <c r="B1448" s="146"/>
      <c r="E1448"/>
      <c r="F1448"/>
      <c r="G1448"/>
      <c r="H1448"/>
      <c r="I1448"/>
      <c r="J1448"/>
      <c r="Q1448"/>
      <c r="R1448" s="301"/>
      <c r="S1448" s="301"/>
      <c r="T1448" s="301"/>
      <c r="U1448" s="301"/>
      <c r="V1448" s="301"/>
      <c r="W1448" s="301"/>
    </row>
    <row r="1449" spans="2:23" s="147" customFormat="1" ht="14.15" customHeight="1" x14ac:dyDescent="0.35">
      <c r="B1449" s="146"/>
      <c r="E1449"/>
      <c r="F1449"/>
      <c r="G1449"/>
      <c r="H1449"/>
      <c r="I1449"/>
      <c r="J1449"/>
      <c r="Q1449"/>
      <c r="R1449" s="301"/>
      <c r="S1449" s="301"/>
      <c r="T1449" s="301"/>
      <c r="U1449" s="301"/>
      <c r="V1449" s="301"/>
      <c r="W1449" s="301"/>
    </row>
    <row r="1450" spans="2:23" s="147" customFormat="1" ht="14.15" customHeight="1" x14ac:dyDescent="0.35">
      <c r="B1450" s="146"/>
      <c r="E1450"/>
      <c r="F1450"/>
      <c r="G1450"/>
      <c r="H1450"/>
      <c r="I1450"/>
      <c r="J1450"/>
      <c r="Q1450"/>
      <c r="R1450" s="301"/>
      <c r="S1450" s="301"/>
      <c r="T1450" s="301"/>
      <c r="U1450" s="301"/>
      <c r="V1450" s="301"/>
      <c r="W1450" s="301"/>
    </row>
    <row r="1451" spans="2:23" s="147" customFormat="1" ht="14.15" customHeight="1" x14ac:dyDescent="0.35">
      <c r="B1451" s="146"/>
      <c r="E1451"/>
      <c r="F1451"/>
      <c r="G1451"/>
      <c r="H1451"/>
      <c r="I1451"/>
      <c r="J1451"/>
      <c r="Q1451"/>
      <c r="R1451" s="301"/>
      <c r="S1451" s="301"/>
      <c r="T1451" s="301"/>
      <c r="U1451" s="301"/>
      <c r="V1451" s="301"/>
      <c r="W1451" s="301"/>
    </row>
    <row r="1452" spans="2:23" s="147" customFormat="1" ht="14.15" customHeight="1" x14ac:dyDescent="0.35">
      <c r="B1452" s="146"/>
      <c r="E1452"/>
      <c r="F1452"/>
      <c r="G1452"/>
      <c r="H1452"/>
      <c r="I1452"/>
      <c r="J1452"/>
      <c r="Q1452"/>
      <c r="R1452" s="301"/>
      <c r="S1452" s="301"/>
      <c r="T1452" s="301"/>
      <c r="U1452" s="301"/>
      <c r="V1452" s="301"/>
      <c r="W1452" s="301"/>
    </row>
    <row r="1453" spans="2:23" s="147" customFormat="1" ht="14.15" customHeight="1" x14ac:dyDescent="0.35">
      <c r="B1453" s="146"/>
      <c r="E1453"/>
      <c r="F1453"/>
      <c r="G1453"/>
      <c r="H1453"/>
      <c r="I1453"/>
      <c r="J1453"/>
      <c r="Q1453"/>
      <c r="R1453" s="301"/>
      <c r="S1453" s="301"/>
      <c r="T1453" s="301"/>
      <c r="U1453" s="301"/>
      <c r="V1453" s="301"/>
      <c r="W1453" s="301"/>
    </row>
    <row r="1454" spans="2:23" s="147" customFormat="1" ht="14.15" customHeight="1" x14ac:dyDescent="0.35">
      <c r="B1454" s="146"/>
      <c r="E1454"/>
      <c r="F1454"/>
      <c r="G1454"/>
      <c r="H1454"/>
      <c r="I1454"/>
      <c r="J1454"/>
      <c r="Q1454"/>
      <c r="R1454" s="301"/>
      <c r="S1454" s="301"/>
      <c r="T1454" s="301"/>
      <c r="U1454" s="301"/>
      <c r="V1454" s="301"/>
      <c r="W1454" s="301"/>
    </row>
    <row r="1455" spans="2:23" s="147" customFormat="1" ht="14.15" customHeight="1" x14ac:dyDescent="0.35">
      <c r="B1455" s="146"/>
      <c r="E1455"/>
      <c r="F1455"/>
      <c r="G1455"/>
      <c r="H1455"/>
      <c r="I1455"/>
      <c r="J1455"/>
      <c r="Q1455"/>
      <c r="R1455" s="301"/>
      <c r="S1455" s="301"/>
      <c r="T1455" s="301"/>
      <c r="U1455" s="301"/>
      <c r="V1455" s="301"/>
      <c r="W1455" s="301"/>
    </row>
    <row r="1456" spans="2:23" s="147" customFormat="1" ht="14.15" customHeight="1" x14ac:dyDescent="0.35">
      <c r="B1456" s="146"/>
      <c r="E1456"/>
      <c r="F1456"/>
      <c r="G1456"/>
      <c r="H1456"/>
      <c r="I1456"/>
      <c r="J1456"/>
      <c r="Q1456"/>
      <c r="R1456" s="301"/>
      <c r="S1456" s="301"/>
      <c r="T1456" s="301"/>
      <c r="U1456" s="301"/>
      <c r="V1456" s="301"/>
      <c r="W1456" s="301"/>
    </row>
    <row r="1457" spans="2:23" s="147" customFormat="1" ht="14.15" customHeight="1" x14ac:dyDescent="0.35">
      <c r="B1457" s="146"/>
      <c r="E1457"/>
      <c r="F1457"/>
      <c r="G1457"/>
      <c r="H1457"/>
      <c r="I1457"/>
      <c r="J1457"/>
      <c r="Q1457"/>
      <c r="R1457" s="301"/>
      <c r="S1457" s="301"/>
      <c r="T1457" s="301"/>
      <c r="U1457" s="301"/>
      <c r="V1457" s="301"/>
      <c r="W1457" s="301"/>
    </row>
    <row r="1458" spans="2:23" s="147" customFormat="1" ht="14.15" customHeight="1" x14ac:dyDescent="0.35">
      <c r="B1458" s="146"/>
      <c r="E1458"/>
      <c r="F1458"/>
      <c r="G1458"/>
      <c r="H1458"/>
      <c r="I1458"/>
      <c r="J1458"/>
      <c r="Q1458"/>
      <c r="R1458" s="301"/>
      <c r="S1458" s="301"/>
      <c r="T1458" s="301"/>
      <c r="U1458" s="301"/>
      <c r="V1458" s="301"/>
      <c r="W1458" s="301"/>
    </row>
    <row r="1459" spans="2:23" s="147" customFormat="1" ht="14.15" customHeight="1" x14ac:dyDescent="0.35">
      <c r="B1459" s="146"/>
      <c r="E1459"/>
      <c r="F1459"/>
      <c r="G1459"/>
      <c r="H1459"/>
      <c r="I1459"/>
      <c r="J1459"/>
      <c r="Q1459"/>
      <c r="R1459" s="301"/>
      <c r="S1459" s="301"/>
      <c r="T1459" s="301"/>
      <c r="U1459" s="301"/>
      <c r="V1459" s="301"/>
      <c r="W1459" s="301"/>
    </row>
    <row r="1460" spans="2:23" s="147" customFormat="1" ht="14.15" customHeight="1" x14ac:dyDescent="0.35">
      <c r="B1460" s="146"/>
      <c r="E1460"/>
      <c r="F1460"/>
      <c r="G1460"/>
      <c r="H1460"/>
      <c r="I1460"/>
      <c r="J1460"/>
      <c r="Q1460"/>
      <c r="R1460" s="301"/>
      <c r="S1460" s="301"/>
      <c r="T1460" s="301"/>
      <c r="U1460" s="301"/>
      <c r="V1460" s="301"/>
      <c r="W1460" s="301"/>
    </row>
    <row r="1461" spans="2:23" s="147" customFormat="1" ht="14.15" customHeight="1" x14ac:dyDescent="0.35">
      <c r="B1461" s="146"/>
      <c r="E1461"/>
      <c r="F1461"/>
      <c r="G1461"/>
      <c r="H1461"/>
      <c r="I1461"/>
      <c r="J1461"/>
      <c r="Q1461"/>
      <c r="R1461" s="301"/>
      <c r="S1461" s="301"/>
      <c r="T1461" s="301"/>
      <c r="U1461" s="301"/>
      <c r="V1461" s="301"/>
      <c r="W1461" s="301"/>
    </row>
    <row r="1462" spans="2:23" s="147" customFormat="1" ht="14.15" customHeight="1" x14ac:dyDescent="0.35">
      <c r="B1462" s="146"/>
      <c r="E1462"/>
      <c r="F1462"/>
      <c r="G1462"/>
      <c r="H1462"/>
      <c r="I1462"/>
      <c r="J1462"/>
      <c r="Q1462"/>
      <c r="R1462" s="301"/>
      <c r="S1462" s="301"/>
      <c r="T1462" s="301"/>
      <c r="U1462" s="301"/>
      <c r="V1462" s="301"/>
      <c r="W1462" s="301"/>
    </row>
    <row r="1463" spans="2:23" s="147" customFormat="1" ht="14.15" customHeight="1" x14ac:dyDescent="0.35">
      <c r="B1463" s="146"/>
      <c r="E1463"/>
      <c r="F1463"/>
      <c r="G1463"/>
      <c r="H1463"/>
      <c r="I1463"/>
      <c r="J1463"/>
      <c r="Q1463"/>
      <c r="R1463" s="301"/>
      <c r="S1463" s="301"/>
      <c r="T1463" s="301"/>
      <c r="U1463" s="301"/>
      <c r="V1463" s="301"/>
      <c r="W1463" s="301"/>
    </row>
    <row r="1464" spans="2:23" s="147" customFormat="1" ht="14.15" customHeight="1" x14ac:dyDescent="0.35">
      <c r="B1464" s="146"/>
      <c r="E1464"/>
      <c r="F1464"/>
      <c r="G1464"/>
      <c r="H1464"/>
      <c r="I1464"/>
      <c r="J1464"/>
      <c r="Q1464"/>
      <c r="R1464" s="301"/>
      <c r="S1464" s="301"/>
      <c r="T1464" s="301"/>
      <c r="U1464" s="301"/>
      <c r="V1464" s="301"/>
      <c r="W1464" s="301"/>
    </row>
    <row r="1465" spans="2:23" s="147" customFormat="1" ht="14.15" customHeight="1" x14ac:dyDescent="0.35">
      <c r="B1465" s="146"/>
      <c r="E1465"/>
      <c r="F1465"/>
      <c r="G1465"/>
      <c r="H1465"/>
      <c r="I1465"/>
      <c r="J1465"/>
      <c r="Q1465"/>
      <c r="R1465" s="301"/>
      <c r="S1465" s="301"/>
      <c r="T1465" s="301"/>
      <c r="U1465" s="301"/>
      <c r="V1465" s="301"/>
      <c r="W1465" s="301"/>
    </row>
    <row r="1466" spans="2:23" s="147" customFormat="1" ht="14.15" customHeight="1" x14ac:dyDescent="0.35">
      <c r="B1466" s="146"/>
      <c r="E1466"/>
      <c r="F1466"/>
      <c r="G1466"/>
      <c r="H1466"/>
      <c r="I1466"/>
      <c r="J1466"/>
      <c r="Q1466"/>
      <c r="R1466" s="301"/>
      <c r="S1466" s="301"/>
      <c r="T1466" s="301"/>
      <c r="U1466" s="301"/>
      <c r="V1466" s="301"/>
      <c r="W1466" s="301"/>
    </row>
    <row r="1467" spans="2:23" s="147" customFormat="1" ht="14.15" customHeight="1" x14ac:dyDescent="0.35">
      <c r="B1467" s="146"/>
      <c r="E1467"/>
      <c r="F1467"/>
      <c r="G1467"/>
      <c r="H1467"/>
      <c r="I1467"/>
      <c r="J1467"/>
      <c r="Q1467"/>
      <c r="R1467" s="301"/>
      <c r="S1467" s="301"/>
      <c r="T1467" s="301"/>
      <c r="U1467" s="301"/>
      <c r="V1467" s="301"/>
      <c r="W1467" s="301"/>
    </row>
    <row r="1468" spans="2:23" s="147" customFormat="1" ht="14.15" customHeight="1" x14ac:dyDescent="0.35">
      <c r="B1468" s="146"/>
      <c r="E1468"/>
      <c r="F1468"/>
      <c r="G1468"/>
      <c r="H1468"/>
      <c r="I1468"/>
      <c r="J1468"/>
      <c r="Q1468"/>
      <c r="R1468" s="301"/>
      <c r="S1468" s="301"/>
      <c r="T1468" s="301"/>
      <c r="U1468" s="301"/>
      <c r="V1468" s="301"/>
      <c r="W1468" s="301"/>
    </row>
    <row r="1469" spans="2:23" s="147" customFormat="1" ht="14.15" customHeight="1" x14ac:dyDescent="0.35">
      <c r="B1469" s="146"/>
      <c r="E1469"/>
      <c r="F1469"/>
      <c r="G1469"/>
      <c r="H1469"/>
      <c r="I1469"/>
      <c r="J1469"/>
      <c r="Q1469"/>
      <c r="R1469" s="301"/>
      <c r="S1469" s="301"/>
      <c r="T1469" s="301"/>
      <c r="U1469" s="301"/>
      <c r="V1469" s="301"/>
      <c r="W1469" s="301"/>
    </row>
    <row r="1470" spans="2:23" s="147" customFormat="1" ht="14.15" customHeight="1" x14ac:dyDescent="0.35">
      <c r="B1470" s="146"/>
      <c r="E1470"/>
      <c r="F1470"/>
      <c r="G1470"/>
      <c r="H1470"/>
      <c r="I1470"/>
      <c r="J1470"/>
      <c r="Q1470"/>
      <c r="R1470" s="301"/>
      <c r="S1470" s="301"/>
      <c r="T1470" s="301"/>
      <c r="U1470" s="301"/>
      <c r="V1470" s="301"/>
      <c r="W1470" s="301"/>
    </row>
    <row r="1471" spans="2:23" s="147" customFormat="1" ht="14.15" customHeight="1" x14ac:dyDescent="0.35">
      <c r="B1471" s="146"/>
      <c r="E1471"/>
      <c r="F1471"/>
      <c r="G1471"/>
      <c r="H1471"/>
      <c r="I1471"/>
      <c r="J1471"/>
      <c r="Q1471"/>
      <c r="R1471" s="301"/>
      <c r="S1471" s="301"/>
      <c r="T1471" s="301"/>
      <c r="U1471" s="301"/>
      <c r="V1471" s="301"/>
      <c r="W1471" s="301"/>
    </row>
    <row r="1472" spans="2:23" s="147" customFormat="1" ht="14.15" customHeight="1" x14ac:dyDescent="0.35">
      <c r="B1472" s="146"/>
      <c r="E1472"/>
      <c r="F1472"/>
      <c r="G1472"/>
      <c r="H1472"/>
      <c r="I1472"/>
      <c r="J1472"/>
      <c r="Q1472"/>
      <c r="R1472" s="301"/>
      <c r="S1472" s="301"/>
      <c r="T1472" s="301"/>
      <c r="U1472" s="301"/>
      <c r="V1472" s="301"/>
      <c r="W1472" s="301"/>
    </row>
    <row r="1473" spans="2:23" s="147" customFormat="1" ht="14.15" customHeight="1" x14ac:dyDescent="0.35">
      <c r="B1473" s="146"/>
      <c r="E1473"/>
      <c r="F1473"/>
      <c r="G1473"/>
      <c r="H1473"/>
      <c r="I1473"/>
      <c r="J1473"/>
      <c r="Q1473"/>
      <c r="R1473" s="301"/>
      <c r="S1473" s="301"/>
      <c r="T1473" s="301"/>
      <c r="U1473" s="301"/>
      <c r="V1473" s="301"/>
      <c r="W1473" s="301"/>
    </row>
    <row r="1474" spans="2:23" s="147" customFormat="1" ht="14.15" customHeight="1" x14ac:dyDescent="0.35">
      <c r="B1474" s="146"/>
      <c r="E1474"/>
      <c r="F1474"/>
      <c r="G1474"/>
      <c r="H1474"/>
      <c r="I1474"/>
      <c r="J1474"/>
      <c r="Q1474"/>
      <c r="R1474" s="301"/>
      <c r="S1474" s="301"/>
      <c r="T1474" s="301"/>
      <c r="U1474" s="301"/>
      <c r="V1474" s="301"/>
      <c r="W1474" s="301"/>
    </row>
    <row r="1475" spans="2:23" s="147" customFormat="1" ht="14.15" customHeight="1" x14ac:dyDescent="0.35">
      <c r="B1475" s="146"/>
      <c r="E1475"/>
      <c r="F1475"/>
      <c r="G1475"/>
      <c r="H1475"/>
      <c r="I1475"/>
      <c r="J1475"/>
      <c r="Q1475"/>
      <c r="R1475" s="301"/>
      <c r="S1475" s="301"/>
      <c r="T1475" s="301"/>
      <c r="U1475" s="301"/>
      <c r="V1475" s="301"/>
      <c r="W1475" s="301"/>
    </row>
    <row r="1476" spans="2:23" s="147" customFormat="1" ht="14.15" customHeight="1" x14ac:dyDescent="0.35">
      <c r="B1476" s="146"/>
      <c r="E1476"/>
      <c r="F1476"/>
      <c r="G1476"/>
      <c r="H1476"/>
      <c r="I1476"/>
      <c r="J1476"/>
      <c r="Q1476"/>
      <c r="R1476" s="301"/>
      <c r="S1476" s="301"/>
      <c r="T1476" s="301"/>
      <c r="U1476" s="301"/>
      <c r="V1476" s="301"/>
      <c r="W1476" s="301"/>
    </row>
    <row r="1477" spans="2:23" s="147" customFormat="1" ht="14.15" customHeight="1" x14ac:dyDescent="0.35">
      <c r="B1477" s="146"/>
      <c r="E1477"/>
      <c r="F1477"/>
      <c r="G1477"/>
      <c r="H1477"/>
      <c r="I1477"/>
      <c r="J1477"/>
      <c r="Q1477"/>
      <c r="R1477" s="301"/>
      <c r="S1477" s="301"/>
      <c r="T1477" s="301"/>
      <c r="U1477" s="301"/>
      <c r="V1477" s="301"/>
      <c r="W1477" s="301"/>
    </row>
    <row r="1478" spans="2:23" s="147" customFormat="1" ht="14.15" customHeight="1" x14ac:dyDescent="0.35">
      <c r="B1478" s="146"/>
      <c r="E1478"/>
      <c r="F1478"/>
      <c r="G1478"/>
      <c r="H1478"/>
      <c r="I1478"/>
      <c r="J1478"/>
      <c r="Q1478"/>
      <c r="R1478" s="301"/>
      <c r="S1478" s="301"/>
      <c r="T1478" s="301"/>
      <c r="U1478" s="301"/>
      <c r="V1478" s="301"/>
      <c r="W1478" s="301"/>
    </row>
    <row r="1479" spans="2:23" s="147" customFormat="1" ht="14.15" customHeight="1" x14ac:dyDescent="0.35">
      <c r="B1479" s="146"/>
      <c r="E1479"/>
      <c r="F1479"/>
      <c r="G1479"/>
      <c r="H1479"/>
      <c r="I1479"/>
      <c r="J1479"/>
      <c r="Q1479"/>
      <c r="R1479" s="301"/>
      <c r="S1479" s="301"/>
      <c r="T1479" s="301"/>
      <c r="U1479" s="301"/>
      <c r="V1479" s="301"/>
      <c r="W1479" s="301"/>
    </row>
    <row r="1480" spans="2:23" s="147" customFormat="1" ht="14.15" customHeight="1" x14ac:dyDescent="0.35">
      <c r="B1480" s="146"/>
      <c r="E1480"/>
      <c r="F1480"/>
      <c r="G1480"/>
      <c r="H1480"/>
      <c r="I1480"/>
      <c r="J1480"/>
      <c r="Q1480"/>
      <c r="R1480" s="301"/>
      <c r="S1480" s="301"/>
      <c r="T1480" s="301"/>
      <c r="U1480" s="301"/>
      <c r="V1480" s="301"/>
      <c r="W1480" s="301"/>
    </row>
    <row r="1481" spans="2:23" s="147" customFormat="1" ht="14.15" customHeight="1" x14ac:dyDescent="0.35">
      <c r="B1481" s="146"/>
      <c r="E1481"/>
      <c r="F1481"/>
      <c r="G1481"/>
      <c r="H1481"/>
      <c r="I1481"/>
      <c r="J1481"/>
      <c r="Q1481"/>
      <c r="R1481" s="301"/>
      <c r="S1481" s="301"/>
      <c r="T1481" s="301"/>
      <c r="U1481" s="301"/>
      <c r="V1481" s="301"/>
      <c r="W1481" s="301"/>
    </row>
    <row r="1482" spans="2:23" s="147" customFormat="1" ht="14.15" customHeight="1" x14ac:dyDescent="0.35">
      <c r="B1482" s="146"/>
      <c r="E1482"/>
      <c r="F1482"/>
      <c r="G1482"/>
      <c r="H1482"/>
      <c r="I1482"/>
      <c r="J1482"/>
      <c r="Q1482"/>
      <c r="R1482" s="301"/>
      <c r="S1482" s="301"/>
      <c r="T1482" s="301"/>
      <c r="U1482" s="301"/>
      <c r="V1482" s="301"/>
      <c r="W1482" s="301"/>
    </row>
    <row r="1483" spans="2:23" s="147" customFormat="1" ht="14.15" customHeight="1" x14ac:dyDescent="0.35">
      <c r="B1483" s="146"/>
      <c r="E1483"/>
      <c r="F1483"/>
      <c r="G1483"/>
      <c r="H1483"/>
      <c r="I1483"/>
      <c r="J1483"/>
      <c r="Q1483"/>
      <c r="R1483" s="301"/>
      <c r="S1483" s="301"/>
      <c r="T1483" s="301"/>
      <c r="U1483" s="301"/>
      <c r="V1483" s="301"/>
      <c r="W1483" s="301"/>
    </row>
    <row r="1484" spans="2:23" s="147" customFormat="1" ht="14.15" customHeight="1" x14ac:dyDescent="0.35">
      <c r="B1484" s="146"/>
      <c r="E1484"/>
      <c r="F1484"/>
      <c r="G1484"/>
      <c r="H1484"/>
      <c r="I1484"/>
      <c r="J1484"/>
      <c r="Q1484"/>
      <c r="R1484" s="301"/>
      <c r="S1484" s="301"/>
      <c r="T1484" s="301"/>
      <c r="U1484" s="301"/>
      <c r="V1484" s="301"/>
      <c r="W1484" s="301"/>
    </row>
    <row r="1485" spans="2:23" s="147" customFormat="1" ht="14.15" customHeight="1" x14ac:dyDescent="0.35">
      <c r="B1485" s="146"/>
      <c r="E1485"/>
      <c r="F1485"/>
      <c r="G1485"/>
      <c r="H1485"/>
      <c r="I1485"/>
      <c r="J1485"/>
      <c r="Q1485"/>
      <c r="R1485" s="301"/>
      <c r="S1485" s="301"/>
      <c r="T1485" s="301"/>
      <c r="U1485" s="301"/>
      <c r="V1485" s="301"/>
      <c r="W1485" s="301"/>
    </row>
    <row r="1486" spans="2:23" s="147" customFormat="1" ht="14.15" customHeight="1" x14ac:dyDescent="0.35">
      <c r="B1486" s="146"/>
      <c r="E1486"/>
      <c r="F1486"/>
      <c r="G1486"/>
      <c r="H1486"/>
      <c r="I1486"/>
      <c r="J1486"/>
      <c r="Q1486"/>
      <c r="R1486" s="301"/>
      <c r="S1486" s="301"/>
      <c r="T1486" s="301"/>
      <c r="U1486" s="301"/>
      <c r="V1486" s="301"/>
      <c r="W1486" s="301"/>
    </row>
    <row r="1487" spans="2:23" s="147" customFormat="1" ht="14.15" customHeight="1" x14ac:dyDescent="0.35">
      <c r="B1487" s="146"/>
      <c r="E1487"/>
      <c r="F1487"/>
      <c r="G1487"/>
      <c r="H1487"/>
      <c r="I1487"/>
      <c r="J1487"/>
      <c r="Q1487"/>
      <c r="R1487" s="301"/>
      <c r="S1487" s="301"/>
      <c r="T1487" s="301"/>
      <c r="U1487" s="301"/>
      <c r="V1487" s="301"/>
      <c r="W1487" s="301"/>
    </row>
    <row r="1488" spans="2:23" s="147" customFormat="1" ht="14.15" customHeight="1" x14ac:dyDescent="0.35">
      <c r="B1488" s="146"/>
      <c r="E1488"/>
      <c r="F1488"/>
      <c r="G1488"/>
      <c r="H1488"/>
      <c r="I1488"/>
      <c r="J1488"/>
      <c r="Q1488"/>
      <c r="R1488" s="301"/>
      <c r="S1488" s="301"/>
      <c r="T1488" s="301"/>
      <c r="U1488" s="301"/>
      <c r="V1488" s="301"/>
      <c r="W1488" s="301"/>
    </row>
    <row r="1489" spans="2:23" s="147" customFormat="1" ht="14.15" customHeight="1" x14ac:dyDescent="0.35">
      <c r="B1489" s="146"/>
      <c r="E1489"/>
      <c r="F1489"/>
      <c r="G1489"/>
      <c r="H1489"/>
      <c r="I1489"/>
      <c r="J1489"/>
      <c r="Q1489"/>
      <c r="R1489" s="301"/>
      <c r="S1489" s="301"/>
      <c r="T1489" s="301"/>
      <c r="U1489" s="301"/>
      <c r="V1489" s="301"/>
      <c r="W1489" s="301"/>
    </row>
    <row r="1490" spans="2:23" s="147" customFormat="1" ht="14.15" customHeight="1" x14ac:dyDescent="0.35">
      <c r="B1490" s="146"/>
      <c r="E1490"/>
      <c r="F1490"/>
      <c r="G1490"/>
      <c r="H1490"/>
      <c r="I1490"/>
      <c r="J1490"/>
      <c r="Q1490"/>
      <c r="R1490" s="301"/>
      <c r="S1490" s="301"/>
      <c r="T1490" s="301"/>
      <c r="U1490" s="301"/>
      <c r="V1490" s="301"/>
      <c r="W1490" s="301"/>
    </row>
    <row r="1491" spans="2:23" s="147" customFormat="1" ht="14.15" customHeight="1" x14ac:dyDescent="0.35">
      <c r="B1491" s="146"/>
      <c r="E1491"/>
      <c r="F1491"/>
      <c r="G1491"/>
      <c r="H1491"/>
      <c r="I1491"/>
      <c r="J1491"/>
      <c r="Q1491"/>
      <c r="R1491" s="301"/>
      <c r="S1491" s="301"/>
      <c r="T1491" s="301"/>
      <c r="U1491" s="301"/>
      <c r="V1491" s="301"/>
      <c r="W1491" s="301"/>
    </row>
    <row r="1492" spans="2:23" s="147" customFormat="1" ht="14.15" customHeight="1" x14ac:dyDescent="0.35">
      <c r="B1492" s="146"/>
      <c r="E1492"/>
      <c r="F1492"/>
      <c r="G1492"/>
      <c r="H1492"/>
      <c r="I1492"/>
      <c r="J1492"/>
      <c r="Q1492"/>
      <c r="R1492" s="301"/>
      <c r="S1492" s="301"/>
      <c r="T1492" s="301"/>
      <c r="U1492" s="301"/>
      <c r="V1492" s="301"/>
      <c r="W1492" s="301"/>
    </row>
    <row r="1493" spans="2:23" s="147" customFormat="1" ht="14.15" customHeight="1" x14ac:dyDescent="0.35">
      <c r="B1493" s="146"/>
      <c r="E1493"/>
      <c r="F1493"/>
      <c r="G1493"/>
      <c r="H1493"/>
      <c r="I1493"/>
      <c r="J1493"/>
      <c r="Q1493"/>
      <c r="R1493" s="301"/>
      <c r="S1493" s="301"/>
      <c r="T1493" s="301"/>
      <c r="U1493" s="301"/>
      <c r="V1493" s="301"/>
      <c r="W1493" s="301"/>
    </row>
    <row r="1494" spans="2:23" s="147" customFormat="1" ht="14.15" customHeight="1" x14ac:dyDescent="0.35">
      <c r="B1494" s="146"/>
      <c r="E1494"/>
      <c r="F1494"/>
      <c r="G1494"/>
      <c r="H1494"/>
      <c r="I1494"/>
      <c r="J1494"/>
      <c r="Q1494"/>
      <c r="R1494" s="301"/>
      <c r="S1494" s="301"/>
      <c r="T1494" s="301"/>
      <c r="U1494" s="301"/>
      <c r="V1494" s="301"/>
      <c r="W1494" s="301"/>
    </row>
    <row r="1495" spans="2:23" s="147" customFormat="1" ht="14.15" customHeight="1" x14ac:dyDescent="0.35">
      <c r="B1495" s="146"/>
      <c r="E1495"/>
      <c r="F1495"/>
      <c r="G1495"/>
      <c r="H1495"/>
      <c r="I1495"/>
      <c r="J1495"/>
      <c r="Q1495"/>
      <c r="R1495" s="301"/>
      <c r="S1495" s="301"/>
      <c r="T1495" s="301"/>
      <c r="U1495" s="301"/>
      <c r="V1495" s="301"/>
      <c r="W1495" s="301"/>
    </row>
    <row r="1496" spans="2:23" s="147" customFormat="1" ht="14.15" customHeight="1" x14ac:dyDescent="0.35">
      <c r="B1496" s="146"/>
      <c r="E1496"/>
      <c r="F1496"/>
      <c r="G1496"/>
      <c r="H1496"/>
      <c r="I1496"/>
      <c r="J1496"/>
      <c r="Q1496"/>
      <c r="R1496" s="301"/>
      <c r="S1496" s="301"/>
      <c r="T1496" s="301"/>
      <c r="U1496" s="301"/>
      <c r="V1496" s="301"/>
      <c r="W1496" s="301"/>
    </row>
    <row r="1497" spans="2:23" s="147" customFormat="1" ht="14.15" customHeight="1" x14ac:dyDescent="0.35">
      <c r="B1497" s="146"/>
      <c r="E1497"/>
      <c r="F1497"/>
      <c r="G1497"/>
      <c r="H1497"/>
      <c r="I1497"/>
      <c r="J1497"/>
      <c r="Q1497"/>
      <c r="R1497" s="301"/>
      <c r="S1497" s="301"/>
      <c r="T1497" s="301"/>
      <c r="U1497" s="301"/>
      <c r="V1497" s="301"/>
      <c r="W1497" s="301"/>
    </row>
    <row r="1498" spans="2:23" s="147" customFormat="1" ht="14.15" customHeight="1" x14ac:dyDescent="0.35">
      <c r="B1498" s="146"/>
      <c r="E1498"/>
      <c r="F1498"/>
      <c r="G1498"/>
      <c r="H1498"/>
      <c r="I1498"/>
      <c r="J1498"/>
      <c r="Q1498"/>
      <c r="R1498" s="301"/>
      <c r="S1498" s="301"/>
      <c r="T1498" s="301"/>
      <c r="U1498" s="301"/>
      <c r="V1498" s="301"/>
      <c r="W1498" s="301"/>
    </row>
    <row r="1499" spans="2:23" s="147" customFormat="1" ht="14.15" customHeight="1" x14ac:dyDescent="0.35">
      <c r="B1499" s="146"/>
      <c r="E1499"/>
      <c r="F1499"/>
      <c r="G1499"/>
      <c r="H1499"/>
      <c r="I1499"/>
      <c r="J1499"/>
      <c r="Q1499"/>
      <c r="R1499" s="301"/>
      <c r="S1499" s="301"/>
      <c r="T1499" s="301"/>
      <c r="U1499" s="301"/>
      <c r="V1499" s="301"/>
      <c r="W1499" s="301"/>
    </row>
    <row r="1500" spans="2:23" s="147" customFormat="1" ht="14.15" customHeight="1" x14ac:dyDescent="0.35">
      <c r="B1500" s="146"/>
      <c r="E1500"/>
      <c r="F1500"/>
      <c r="G1500"/>
      <c r="H1500"/>
      <c r="I1500"/>
      <c r="J1500"/>
      <c r="Q1500"/>
      <c r="R1500" s="301"/>
      <c r="S1500" s="301"/>
      <c r="T1500" s="301"/>
      <c r="U1500" s="301"/>
      <c r="V1500" s="301"/>
      <c r="W1500" s="301"/>
    </row>
    <row r="1501" spans="2:23" s="147" customFormat="1" ht="14.15" customHeight="1" x14ac:dyDescent="0.35">
      <c r="B1501" s="146"/>
      <c r="E1501"/>
      <c r="F1501"/>
      <c r="G1501"/>
      <c r="H1501"/>
      <c r="I1501"/>
      <c r="J1501"/>
      <c r="Q1501"/>
      <c r="R1501" s="301"/>
      <c r="S1501" s="301"/>
      <c r="T1501" s="301"/>
      <c r="U1501" s="301"/>
      <c r="V1501" s="301"/>
      <c r="W1501" s="301"/>
    </row>
    <row r="1502" spans="2:23" s="147" customFormat="1" ht="14.15" customHeight="1" x14ac:dyDescent="0.35">
      <c r="B1502" s="146"/>
      <c r="E1502"/>
      <c r="F1502"/>
      <c r="G1502"/>
      <c r="H1502"/>
      <c r="I1502"/>
      <c r="J1502"/>
      <c r="Q1502"/>
      <c r="R1502" s="301"/>
      <c r="S1502" s="301"/>
      <c r="T1502" s="301"/>
      <c r="U1502" s="301"/>
      <c r="V1502" s="301"/>
      <c r="W1502" s="301"/>
    </row>
    <row r="1503" spans="2:23" s="147" customFormat="1" ht="14.15" customHeight="1" x14ac:dyDescent="0.35">
      <c r="B1503" s="146"/>
      <c r="E1503"/>
      <c r="F1503"/>
      <c r="G1503"/>
      <c r="H1503"/>
      <c r="I1503"/>
      <c r="J1503"/>
      <c r="Q1503"/>
      <c r="R1503" s="301"/>
      <c r="S1503" s="301"/>
      <c r="T1503" s="301"/>
      <c r="U1503" s="301"/>
      <c r="V1503" s="301"/>
      <c r="W1503" s="301"/>
    </row>
    <row r="1504" spans="2:23" s="147" customFormat="1" ht="14.15" customHeight="1" x14ac:dyDescent="0.35">
      <c r="B1504" s="146"/>
      <c r="E1504"/>
      <c r="F1504"/>
      <c r="G1504"/>
      <c r="H1504"/>
      <c r="I1504"/>
      <c r="J1504"/>
      <c r="Q1504"/>
      <c r="R1504" s="301"/>
      <c r="S1504" s="301"/>
      <c r="T1504" s="301"/>
      <c r="U1504" s="301"/>
      <c r="V1504" s="301"/>
      <c r="W1504" s="301"/>
    </row>
    <row r="1505" spans="2:23" s="147" customFormat="1" ht="14.15" customHeight="1" x14ac:dyDescent="0.35">
      <c r="B1505" s="146"/>
      <c r="E1505"/>
      <c r="F1505"/>
      <c r="G1505"/>
      <c r="H1505"/>
      <c r="I1505"/>
      <c r="J1505"/>
      <c r="Q1505"/>
      <c r="R1505" s="301"/>
      <c r="S1505" s="301"/>
      <c r="T1505" s="301"/>
      <c r="U1505" s="301"/>
      <c r="V1505" s="301"/>
      <c r="W1505" s="301"/>
    </row>
    <row r="1506" spans="2:23" s="147" customFormat="1" ht="14.15" customHeight="1" x14ac:dyDescent="0.35">
      <c r="B1506" s="146"/>
      <c r="E1506"/>
      <c r="F1506"/>
      <c r="G1506"/>
      <c r="H1506"/>
      <c r="I1506"/>
      <c r="J1506"/>
      <c r="Q1506"/>
      <c r="R1506" s="301"/>
      <c r="S1506" s="301"/>
      <c r="T1506" s="301"/>
      <c r="U1506" s="301"/>
      <c r="V1506" s="301"/>
      <c r="W1506" s="301"/>
    </row>
    <row r="1507" spans="2:23" s="147" customFormat="1" ht="14.15" customHeight="1" x14ac:dyDescent="0.35">
      <c r="B1507" s="146"/>
      <c r="E1507"/>
      <c r="F1507"/>
      <c r="G1507"/>
      <c r="H1507"/>
      <c r="I1507"/>
      <c r="J1507"/>
      <c r="Q1507"/>
      <c r="R1507" s="301"/>
      <c r="S1507" s="301"/>
      <c r="T1507" s="301"/>
      <c r="U1507" s="301"/>
      <c r="V1507" s="301"/>
      <c r="W1507" s="301"/>
    </row>
    <row r="1508" spans="2:23" s="147" customFormat="1" ht="14.15" customHeight="1" x14ac:dyDescent="0.35">
      <c r="B1508" s="146"/>
      <c r="E1508"/>
      <c r="F1508"/>
      <c r="G1508"/>
      <c r="H1508"/>
      <c r="I1508"/>
      <c r="J1508"/>
      <c r="Q1508"/>
      <c r="R1508" s="301"/>
      <c r="S1508" s="301"/>
      <c r="T1508" s="301"/>
      <c r="U1508" s="301"/>
      <c r="V1508" s="301"/>
      <c r="W1508" s="301"/>
    </row>
    <row r="1509" spans="2:23" s="147" customFormat="1" ht="14.15" customHeight="1" x14ac:dyDescent="0.35">
      <c r="B1509" s="146"/>
      <c r="E1509"/>
      <c r="F1509"/>
      <c r="G1509"/>
      <c r="H1509"/>
      <c r="I1509"/>
      <c r="J1509"/>
      <c r="Q1509"/>
      <c r="R1509" s="301"/>
      <c r="S1509" s="301"/>
      <c r="T1509" s="301"/>
      <c r="U1509" s="301"/>
      <c r="V1509" s="301"/>
      <c r="W1509" s="301"/>
    </row>
    <row r="1510" spans="2:23" s="147" customFormat="1" ht="14.15" customHeight="1" x14ac:dyDescent="0.35">
      <c r="B1510" s="146"/>
      <c r="E1510"/>
      <c r="F1510"/>
      <c r="G1510"/>
      <c r="H1510"/>
      <c r="I1510"/>
      <c r="J1510"/>
      <c r="Q1510"/>
      <c r="R1510" s="301"/>
      <c r="S1510" s="301"/>
      <c r="T1510" s="301"/>
      <c r="U1510" s="301"/>
      <c r="V1510" s="301"/>
      <c r="W1510" s="301"/>
    </row>
    <row r="1511" spans="2:23" s="147" customFormat="1" ht="14.15" customHeight="1" x14ac:dyDescent="0.35">
      <c r="B1511" s="146"/>
      <c r="E1511"/>
      <c r="F1511"/>
      <c r="G1511"/>
      <c r="H1511"/>
      <c r="I1511"/>
      <c r="J1511"/>
      <c r="Q1511"/>
      <c r="R1511" s="301"/>
      <c r="S1511" s="301"/>
      <c r="T1511" s="301"/>
      <c r="U1511" s="301"/>
      <c r="V1511" s="301"/>
      <c r="W1511" s="301"/>
    </row>
    <row r="1512" spans="2:23" s="147" customFormat="1" ht="14.15" customHeight="1" x14ac:dyDescent="0.35">
      <c r="B1512" s="146"/>
      <c r="E1512"/>
      <c r="F1512"/>
      <c r="G1512"/>
      <c r="H1512"/>
      <c r="I1512"/>
      <c r="J1512"/>
      <c r="Q1512"/>
      <c r="R1512" s="301"/>
      <c r="S1512" s="301"/>
      <c r="T1512" s="301"/>
      <c r="U1512" s="301"/>
      <c r="V1512" s="301"/>
      <c r="W1512" s="301"/>
    </row>
    <row r="1513" spans="2:23" s="147" customFormat="1" ht="14.15" customHeight="1" x14ac:dyDescent="0.35">
      <c r="B1513" s="146"/>
      <c r="E1513"/>
      <c r="F1513"/>
      <c r="G1513"/>
      <c r="H1513"/>
      <c r="I1513"/>
      <c r="J1513"/>
      <c r="Q1513"/>
      <c r="R1513" s="301"/>
      <c r="S1513" s="301"/>
      <c r="T1513" s="301"/>
      <c r="U1513" s="301"/>
      <c r="V1513" s="301"/>
      <c r="W1513" s="301"/>
    </row>
    <row r="1514" spans="2:23" s="147" customFormat="1" ht="14.15" customHeight="1" x14ac:dyDescent="0.35">
      <c r="B1514" s="146"/>
      <c r="E1514"/>
      <c r="F1514"/>
      <c r="G1514"/>
      <c r="H1514"/>
      <c r="I1514"/>
      <c r="J1514"/>
      <c r="Q1514"/>
      <c r="R1514" s="301"/>
      <c r="S1514" s="301"/>
      <c r="T1514" s="301"/>
      <c r="U1514" s="301"/>
      <c r="V1514" s="301"/>
      <c r="W1514" s="301"/>
    </row>
    <row r="1515" spans="2:23" s="147" customFormat="1" ht="14.15" customHeight="1" x14ac:dyDescent="0.35">
      <c r="B1515" s="146"/>
      <c r="E1515"/>
      <c r="F1515"/>
      <c r="G1515"/>
      <c r="H1515"/>
      <c r="I1515"/>
      <c r="J1515"/>
      <c r="Q1515"/>
      <c r="R1515" s="301"/>
      <c r="S1515" s="301"/>
      <c r="T1515" s="301"/>
      <c r="U1515" s="301"/>
      <c r="V1515" s="301"/>
      <c r="W1515" s="301"/>
    </row>
    <row r="1516" spans="2:23" s="147" customFormat="1" ht="14.15" customHeight="1" x14ac:dyDescent="0.35">
      <c r="B1516" s="146"/>
      <c r="E1516"/>
      <c r="F1516"/>
      <c r="G1516"/>
      <c r="H1516"/>
      <c r="I1516"/>
      <c r="J1516"/>
      <c r="Q1516"/>
      <c r="R1516" s="301"/>
      <c r="S1516" s="301"/>
      <c r="T1516" s="301"/>
      <c r="U1516" s="301"/>
      <c r="V1516" s="301"/>
      <c r="W1516" s="301"/>
    </row>
    <row r="1517" spans="2:23" s="147" customFormat="1" ht="14.15" customHeight="1" x14ac:dyDescent="0.35">
      <c r="B1517" s="146"/>
      <c r="E1517"/>
      <c r="F1517"/>
      <c r="G1517"/>
      <c r="H1517"/>
      <c r="I1517"/>
      <c r="J1517"/>
      <c r="Q1517"/>
      <c r="R1517" s="301"/>
      <c r="S1517" s="301"/>
      <c r="T1517" s="301"/>
      <c r="U1517" s="301"/>
      <c r="V1517" s="301"/>
      <c r="W1517" s="301"/>
    </row>
    <row r="1518" spans="2:23" s="147" customFormat="1" ht="14.15" customHeight="1" x14ac:dyDescent="0.35">
      <c r="B1518" s="146"/>
      <c r="E1518"/>
      <c r="F1518"/>
      <c r="G1518"/>
      <c r="H1518"/>
      <c r="I1518"/>
      <c r="J1518"/>
      <c r="Q1518"/>
      <c r="R1518" s="301"/>
      <c r="S1518" s="301"/>
      <c r="T1518" s="301"/>
      <c r="U1518" s="301"/>
      <c r="V1518" s="301"/>
      <c r="W1518" s="301"/>
    </row>
    <row r="1519" spans="2:23" s="147" customFormat="1" ht="14.15" customHeight="1" x14ac:dyDescent="0.35">
      <c r="B1519" s="146"/>
      <c r="E1519"/>
      <c r="F1519"/>
      <c r="G1519"/>
      <c r="H1519"/>
      <c r="I1519"/>
      <c r="J1519"/>
      <c r="Q1519"/>
      <c r="R1519" s="301"/>
      <c r="S1519" s="301"/>
      <c r="T1519" s="301"/>
      <c r="U1519" s="301"/>
      <c r="V1519" s="301"/>
      <c r="W1519" s="301"/>
    </row>
    <row r="1520" spans="2:23" s="147" customFormat="1" ht="14.15" customHeight="1" x14ac:dyDescent="0.35">
      <c r="B1520" s="146"/>
      <c r="E1520"/>
      <c r="F1520"/>
      <c r="G1520"/>
      <c r="H1520"/>
      <c r="I1520"/>
      <c r="J1520"/>
      <c r="Q1520"/>
      <c r="R1520" s="301"/>
      <c r="S1520" s="301"/>
      <c r="T1520" s="301"/>
      <c r="U1520" s="301"/>
      <c r="V1520" s="301"/>
      <c r="W1520" s="301"/>
    </row>
    <row r="1521" spans="2:23" s="147" customFormat="1" ht="14.15" customHeight="1" x14ac:dyDescent="0.35">
      <c r="B1521" s="146"/>
      <c r="E1521"/>
      <c r="F1521"/>
      <c r="G1521"/>
      <c r="H1521"/>
      <c r="I1521"/>
      <c r="J1521"/>
      <c r="Q1521"/>
      <c r="R1521" s="301"/>
      <c r="S1521" s="301"/>
      <c r="T1521" s="301"/>
      <c r="U1521" s="301"/>
      <c r="V1521" s="301"/>
      <c r="W1521" s="301"/>
    </row>
    <row r="1522" spans="2:23" s="147" customFormat="1" ht="14.15" customHeight="1" x14ac:dyDescent="0.35">
      <c r="B1522" s="146"/>
      <c r="E1522"/>
      <c r="F1522"/>
      <c r="G1522"/>
      <c r="H1522"/>
      <c r="I1522"/>
      <c r="J1522"/>
      <c r="Q1522"/>
      <c r="R1522" s="301"/>
      <c r="S1522" s="301"/>
      <c r="T1522" s="301"/>
      <c r="U1522" s="301"/>
      <c r="V1522" s="301"/>
      <c r="W1522" s="301"/>
    </row>
    <row r="1523" spans="2:23" s="147" customFormat="1" ht="14.15" customHeight="1" x14ac:dyDescent="0.35">
      <c r="B1523" s="146"/>
      <c r="E1523"/>
      <c r="F1523"/>
      <c r="G1523"/>
      <c r="H1523"/>
      <c r="I1523"/>
      <c r="J1523"/>
      <c r="Q1523"/>
      <c r="R1523" s="301"/>
      <c r="S1523" s="301"/>
      <c r="T1523" s="301"/>
      <c r="U1523" s="301"/>
      <c r="V1523" s="301"/>
      <c r="W1523" s="301"/>
    </row>
    <row r="1524" spans="2:23" s="147" customFormat="1" ht="14.15" customHeight="1" x14ac:dyDescent="0.35">
      <c r="B1524" s="146"/>
      <c r="E1524"/>
      <c r="F1524"/>
      <c r="G1524"/>
      <c r="H1524"/>
      <c r="I1524"/>
      <c r="J1524"/>
      <c r="Q1524"/>
      <c r="R1524" s="301"/>
      <c r="S1524" s="301"/>
      <c r="T1524" s="301"/>
      <c r="U1524" s="301"/>
      <c r="V1524" s="301"/>
      <c r="W1524" s="301"/>
    </row>
    <row r="1525" spans="2:23" s="147" customFormat="1" ht="14.15" customHeight="1" x14ac:dyDescent="0.35">
      <c r="B1525" s="146"/>
      <c r="E1525"/>
      <c r="F1525"/>
      <c r="G1525"/>
      <c r="H1525"/>
      <c r="I1525"/>
      <c r="J1525"/>
      <c r="Q1525"/>
      <c r="R1525" s="301"/>
      <c r="S1525" s="301"/>
      <c r="T1525" s="301"/>
      <c r="U1525" s="301"/>
      <c r="V1525" s="301"/>
      <c r="W1525" s="301"/>
    </row>
    <row r="1526" spans="2:23" s="147" customFormat="1" ht="14.15" customHeight="1" x14ac:dyDescent="0.35">
      <c r="B1526" s="146"/>
      <c r="E1526"/>
      <c r="F1526"/>
      <c r="G1526"/>
      <c r="H1526"/>
      <c r="I1526"/>
      <c r="J1526"/>
      <c r="Q1526"/>
      <c r="R1526" s="301"/>
      <c r="S1526" s="301"/>
      <c r="T1526" s="301"/>
      <c r="U1526" s="301"/>
      <c r="V1526" s="301"/>
      <c r="W1526" s="301"/>
    </row>
    <row r="1527" spans="2:23" s="147" customFormat="1" ht="14.15" customHeight="1" x14ac:dyDescent="0.35">
      <c r="B1527" s="146"/>
      <c r="E1527"/>
      <c r="F1527"/>
      <c r="G1527"/>
      <c r="H1527"/>
      <c r="I1527"/>
      <c r="J1527"/>
      <c r="Q1527"/>
      <c r="R1527" s="301"/>
      <c r="S1527" s="301"/>
      <c r="T1527" s="301"/>
      <c r="U1527" s="301"/>
      <c r="V1527" s="301"/>
      <c r="W1527" s="301"/>
    </row>
    <row r="1528" spans="2:23" s="147" customFormat="1" ht="14.15" customHeight="1" x14ac:dyDescent="0.35">
      <c r="B1528" s="146"/>
      <c r="E1528"/>
      <c r="F1528"/>
      <c r="G1528"/>
      <c r="H1528"/>
      <c r="I1528"/>
      <c r="J1528"/>
      <c r="Q1528"/>
      <c r="R1528" s="301"/>
      <c r="S1528" s="301"/>
      <c r="T1528" s="301"/>
      <c r="U1528" s="301"/>
      <c r="V1528" s="301"/>
      <c r="W1528" s="301"/>
    </row>
    <row r="1529" spans="2:23" s="147" customFormat="1" ht="14.15" customHeight="1" x14ac:dyDescent="0.35">
      <c r="B1529" s="146"/>
      <c r="E1529"/>
      <c r="F1529"/>
      <c r="G1529"/>
      <c r="H1529"/>
      <c r="I1529"/>
      <c r="J1529"/>
      <c r="Q1529"/>
      <c r="R1529" s="301"/>
      <c r="S1529" s="301"/>
      <c r="T1529" s="301"/>
      <c r="U1529" s="301"/>
      <c r="V1529" s="301"/>
      <c r="W1529" s="301"/>
    </row>
    <row r="1530" spans="2:23" s="147" customFormat="1" ht="14.15" customHeight="1" x14ac:dyDescent="0.35">
      <c r="B1530" s="146"/>
      <c r="E1530"/>
      <c r="F1530"/>
      <c r="G1530"/>
      <c r="H1530"/>
      <c r="I1530"/>
      <c r="J1530"/>
      <c r="Q1530"/>
      <c r="R1530" s="301"/>
      <c r="S1530" s="301"/>
      <c r="T1530" s="301"/>
      <c r="U1530" s="301"/>
      <c r="V1530" s="301"/>
      <c r="W1530" s="301"/>
    </row>
    <row r="1531" spans="2:23" s="147" customFormat="1" ht="14.15" customHeight="1" x14ac:dyDescent="0.35">
      <c r="B1531" s="146"/>
      <c r="E1531"/>
      <c r="F1531"/>
      <c r="G1531"/>
      <c r="H1531"/>
      <c r="I1531"/>
      <c r="J1531"/>
      <c r="Q1531"/>
      <c r="R1531" s="301"/>
      <c r="S1531" s="301"/>
      <c r="T1531" s="301"/>
      <c r="U1531" s="301"/>
      <c r="V1531" s="301"/>
      <c r="W1531" s="301"/>
    </row>
    <row r="1532" spans="2:23" s="147" customFormat="1" ht="14.15" customHeight="1" x14ac:dyDescent="0.35">
      <c r="B1532" s="146"/>
      <c r="E1532"/>
      <c r="F1532"/>
      <c r="G1532"/>
      <c r="H1532"/>
      <c r="I1532"/>
      <c r="J1532"/>
      <c r="Q1532"/>
      <c r="R1532" s="301"/>
      <c r="S1532" s="301"/>
      <c r="T1532" s="301"/>
      <c r="U1532" s="301"/>
      <c r="V1532" s="301"/>
      <c r="W1532" s="301"/>
    </row>
    <row r="1533" spans="2:23" s="147" customFormat="1" ht="14.15" customHeight="1" x14ac:dyDescent="0.35">
      <c r="B1533" s="146"/>
      <c r="E1533"/>
      <c r="F1533"/>
      <c r="G1533"/>
      <c r="H1533"/>
      <c r="I1533"/>
      <c r="J1533"/>
      <c r="Q1533"/>
      <c r="R1533" s="301"/>
      <c r="S1533" s="301"/>
      <c r="T1533" s="301"/>
      <c r="U1533" s="301"/>
      <c r="V1533" s="301"/>
      <c r="W1533" s="301"/>
    </row>
    <row r="1534" spans="2:23" s="147" customFormat="1" ht="14.15" customHeight="1" x14ac:dyDescent="0.35">
      <c r="B1534" s="146"/>
      <c r="E1534"/>
      <c r="F1534"/>
      <c r="G1534"/>
      <c r="H1534"/>
      <c r="I1534"/>
      <c r="J1534"/>
      <c r="Q1534"/>
      <c r="R1534" s="301"/>
      <c r="S1534" s="301"/>
      <c r="T1534" s="301"/>
      <c r="U1534" s="301"/>
      <c r="V1534" s="301"/>
      <c r="W1534" s="301"/>
    </row>
    <row r="1535" spans="2:23" s="147" customFormat="1" ht="14.15" customHeight="1" x14ac:dyDescent="0.35">
      <c r="B1535" s="146"/>
      <c r="E1535"/>
      <c r="F1535"/>
      <c r="G1535"/>
      <c r="H1535"/>
      <c r="I1535"/>
      <c r="J1535"/>
      <c r="Q1535"/>
      <c r="R1535" s="301"/>
      <c r="S1535" s="301"/>
      <c r="T1535" s="301"/>
      <c r="U1535" s="301"/>
      <c r="V1535" s="301"/>
      <c r="W1535" s="301"/>
    </row>
    <row r="1536" spans="2:23" s="147" customFormat="1" ht="14.15" customHeight="1" x14ac:dyDescent="0.35">
      <c r="B1536" s="146"/>
      <c r="E1536"/>
      <c r="F1536"/>
      <c r="G1536"/>
      <c r="H1536"/>
      <c r="I1536"/>
      <c r="J1536"/>
      <c r="Q1536"/>
      <c r="R1536" s="301"/>
      <c r="S1536" s="301"/>
      <c r="T1536" s="301"/>
      <c r="U1536" s="301"/>
      <c r="V1536" s="301"/>
      <c r="W1536" s="301"/>
    </row>
    <row r="1537" spans="2:23" s="147" customFormat="1" ht="14.15" customHeight="1" x14ac:dyDescent="0.35">
      <c r="B1537" s="146"/>
      <c r="E1537"/>
      <c r="F1537"/>
      <c r="G1537"/>
      <c r="H1537"/>
      <c r="I1537"/>
      <c r="J1537"/>
      <c r="Q1537"/>
      <c r="R1537" s="301"/>
      <c r="S1537" s="301"/>
      <c r="T1537" s="301"/>
      <c r="U1537" s="301"/>
      <c r="V1537" s="301"/>
      <c r="W1537" s="301"/>
    </row>
    <row r="1538" spans="2:23" s="147" customFormat="1" ht="14.15" customHeight="1" x14ac:dyDescent="0.35">
      <c r="B1538" s="146"/>
      <c r="E1538"/>
      <c r="F1538"/>
      <c r="G1538"/>
      <c r="H1538"/>
      <c r="I1538"/>
      <c r="J1538"/>
      <c r="Q1538"/>
      <c r="R1538" s="301"/>
      <c r="S1538" s="301"/>
      <c r="T1538" s="301"/>
      <c r="U1538" s="301"/>
      <c r="V1538" s="301"/>
      <c r="W1538" s="301"/>
    </row>
    <row r="1539" spans="2:23" s="147" customFormat="1" ht="14.15" customHeight="1" x14ac:dyDescent="0.35">
      <c r="B1539" s="146"/>
      <c r="E1539"/>
      <c r="F1539"/>
      <c r="G1539"/>
      <c r="H1539"/>
      <c r="I1539"/>
      <c r="J1539"/>
      <c r="Q1539"/>
      <c r="R1539" s="301"/>
      <c r="S1539" s="301"/>
      <c r="T1539" s="301"/>
      <c r="U1539" s="301"/>
      <c r="V1539" s="301"/>
      <c r="W1539" s="301"/>
    </row>
    <row r="1540" spans="2:23" s="147" customFormat="1" ht="14.15" customHeight="1" x14ac:dyDescent="0.35">
      <c r="B1540" s="146"/>
      <c r="E1540"/>
      <c r="F1540"/>
      <c r="G1540"/>
      <c r="H1540"/>
      <c r="I1540"/>
      <c r="J1540"/>
      <c r="Q1540"/>
      <c r="R1540" s="301"/>
      <c r="S1540" s="301"/>
      <c r="T1540" s="301"/>
      <c r="U1540" s="301"/>
      <c r="V1540" s="301"/>
      <c r="W1540" s="301"/>
    </row>
    <row r="1541" spans="2:23" s="147" customFormat="1" ht="14.15" customHeight="1" x14ac:dyDescent="0.35">
      <c r="B1541" s="146"/>
      <c r="E1541"/>
      <c r="F1541"/>
      <c r="G1541"/>
      <c r="H1541"/>
      <c r="I1541"/>
      <c r="J1541"/>
      <c r="Q1541"/>
      <c r="R1541" s="301"/>
      <c r="S1541" s="301"/>
      <c r="T1541" s="301"/>
      <c r="U1541" s="301"/>
      <c r="V1541" s="301"/>
      <c r="W1541" s="301"/>
    </row>
    <row r="1542" spans="2:23" s="147" customFormat="1" ht="14.15" customHeight="1" x14ac:dyDescent="0.35">
      <c r="B1542" s="146"/>
      <c r="E1542"/>
      <c r="F1542"/>
      <c r="G1542"/>
      <c r="H1542"/>
      <c r="I1542"/>
      <c r="J1542"/>
      <c r="Q1542"/>
      <c r="R1542" s="301"/>
      <c r="S1542" s="301"/>
      <c r="T1542" s="301"/>
      <c r="U1542" s="301"/>
      <c r="V1542" s="301"/>
      <c r="W1542" s="301"/>
    </row>
    <row r="1543" spans="2:23" s="147" customFormat="1" ht="14.15" customHeight="1" x14ac:dyDescent="0.35">
      <c r="B1543" s="146"/>
      <c r="E1543"/>
      <c r="F1543"/>
      <c r="G1543"/>
      <c r="H1543"/>
      <c r="I1543"/>
      <c r="J1543"/>
      <c r="Q1543"/>
      <c r="R1543" s="301"/>
      <c r="S1543" s="301"/>
      <c r="T1543" s="301"/>
      <c r="U1543" s="301"/>
      <c r="V1543" s="301"/>
      <c r="W1543" s="301"/>
    </row>
    <row r="1544" spans="2:23" s="147" customFormat="1" ht="14.15" customHeight="1" x14ac:dyDescent="0.35">
      <c r="B1544" s="146"/>
      <c r="E1544"/>
      <c r="F1544"/>
      <c r="G1544"/>
      <c r="H1544"/>
      <c r="I1544"/>
      <c r="J1544"/>
      <c r="Q1544"/>
      <c r="R1544" s="301"/>
      <c r="S1544" s="301"/>
      <c r="T1544" s="301"/>
      <c r="U1544" s="301"/>
      <c r="V1544" s="301"/>
      <c r="W1544" s="301"/>
    </row>
    <row r="1545" spans="2:23" s="147" customFormat="1" ht="14.15" customHeight="1" x14ac:dyDescent="0.35">
      <c r="B1545" s="146"/>
      <c r="E1545"/>
      <c r="F1545"/>
      <c r="G1545"/>
      <c r="H1545"/>
      <c r="I1545"/>
      <c r="J1545"/>
      <c r="Q1545"/>
      <c r="R1545" s="301"/>
      <c r="S1545" s="301"/>
      <c r="T1545" s="301"/>
      <c r="U1545" s="301"/>
      <c r="V1545" s="301"/>
      <c r="W1545" s="301"/>
    </row>
    <row r="1546" spans="2:23" s="147" customFormat="1" ht="14.15" customHeight="1" x14ac:dyDescent="0.35">
      <c r="B1546" s="146"/>
      <c r="E1546"/>
      <c r="F1546"/>
      <c r="G1546"/>
      <c r="H1546"/>
      <c r="I1546"/>
      <c r="J1546"/>
      <c r="Q1546"/>
      <c r="R1546" s="301"/>
      <c r="S1546" s="301"/>
      <c r="T1546" s="301"/>
      <c r="U1546" s="301"/>
      <c r="V1546" s="301"/>
      <c r="W1546" s="301"/>
    </row>
    <row r="1547" spans="2:23" s="147" customFormat="1" ht="14.15" customHeight="1" x14ac:dyDescent="0.35">
      <c r="B1547" s="146"/>
      <c r="E1547"/>
      <c r="F1547"/>
      <c r="G1547"/>
      <c r="H1547"/>
      <c r="I1547"/>
      <c r="J1547"/>
      <c r="Q1547"/>
      <c r="R1547" s="301"/>
      <c r="S1547" s="301"/>
      <c r="T1547" s="301"/>
      <c r="U1547" s="301"/>
      <c r="V1547" s="301"/>
      <c r="W1547" s="301"/>
    </row>
    <row r="1548" spans="2:23" s="147" customFormat="1" ht="14.15" customHeight="1" x14ac:dyDescent="0.35">
      <c r="B1548" s="146"/>
      <c r="E1548"/>
      <c r="F1548"/>
      <c r="G1548"/>
      <c r="H1548"/>
      <c r="I1548"/>
      <c r="J1548"/>
      <c r="Q1548"/>
      <c r="R1548" s="301"/>
      <c r="S1548" s="301"/>
      <c r="T1548" s="301"/>
      <c r="U1548" s="301"/>
      <c r="V1548" s="301"/>
      <c r="W1548" s="301"/>
    </row>
    <row r="1549" spans="2:23" s="147" customFormat="1" ht="14.15" customHeight="1" x14ac:dyDescent="0.35">
      <c r="B1549" s="146"/>
      <c r="E1549"/>
      <c r="F1549"/>
      <c r="G1549"/>
      <c r="H1549"/>
      <c r="I1549"/>
      <c r="J1549"/>
      <c r="Q1549"/>
      <c r="R1549" s="301"/>
      <c r="S1549" s="301"/>
      <c r="T1549" s="301"/>
      <c r="U1549" s="301"/>
      <c r="V1549" s="301"/>
      <c r="W1549" s="301"/>
    </row>
    <row r="1550" spans="2:23" s="147" customFormat="1" ht="14.15" customHeight="1" x14ac:dyDescent="0.35">
      <c r="B1550" s="146"/>
      <c r="E1550"/>
      <c r="F1550"/>
      <c r="G1550"/>
      <c r="H1550"/>
      <c r="I1550"/>
      <c r="J1550"/>
      <c r="Q1550"/>
      <c r="R1550" s="301"/>
      <c r="S1550" s="301"/>
      <c r="T1550" s="301"/>
      <c r="U1550" s="301"/>
      <c r="V1550" s="301"/>
      <c r="W1550" s="301"/>
    </row>
    <row r="1551" spans="2:23" s="147" customFormat="1" ht="14.15" customHeight="1" x14ac:dyDescent="0.35">
      <c r="B1551" s="146"/>
      <c r="E1551"/>
      <c r="F1551"/>
      <c r="G1551"/>
      <c r="H1551"/>
      <c r="I1551"/>
      <c r="J1551"/>
      <c r="Q1551"/>
      <c r="R1551" s="301"/>
      <c r="S1551" s="301"/>
      <c r="T1551" s="301"/>
      <c r="U1551" s="301"/>
      <c r="V1551" s="301"/>
      <c r="W1551" s="301"/>
    </row>
    <row r="1552" spans="2:23" s="147" customFormat="1" ht="14.15" customHeight="1" x14ac:dyDescent="0.35">
      <c r="B1552" s="146"/>
      <c r="E1552"/>
      <c r="F1552"/>
      <c r="G1552"/>
      <c r="H1552"/>
      <c r="I1552"/>
      <c r="J1552"/>
      <c r="Q1552"/>
      <c r="R1552" s="301"/>
      <c r="S1552" s="301"/>
      <c r="T1552" s="301"/>
      <c r="U1552" s="301"/>
      <c r="V1552" s="301"/>
      <c r="W1552" s="301"/>
    </row>
    <row r="1553" spans="2:23" s="147" customFormat="1" ht="14.15" customHeight="1" x14ac:dyDescent="0.35">
      <c r="B1553" s="146"/>
      <c r="E1553"/>
      <c r="F1553"/>
      <c r="G1553"/>
      <c r="H1553"/>
      <c r="I1553"/>
      <c r="J1553"/>
      <c r="Q1553"/>
      <c r="R1553" s="301"/>
      <c r="S1553" s="301"/>
      <c r="T1553" s="301"/>
      <c r="U1553" s="301"/>
      <c r="V1553" s="301"/>
      <c r="W1553" s="301"/>
    </row>
    <row r="1554" spans="2:23" s="147" customFormat="1" ht="14.15" customHeight="1" x14ac:dyDescent="0.35">
      <c r="B1554" s="146"/>
      <c r="E1554"/>
      <c r="F1554"/>
      <c r="G1554"/>
      <c r="H1554"/>
      <c r="I1554"/>
      <c r="J1554"/>
      <c r="Q1554"/>
      <c r="R1554" s="301"/>
      <c r="S1554" s="301"/>
      <c r="T1554" s="301"/>
      <c r="U1554" s="301"/>
      <c r="V1554" s="301"/>
      <c r="W1554" s="301"/>
    </row>
    <row r="1555" spans="2:23" s="147" customFormat="1" ht="14.15" customHeight="1" x14ac:dyDescent="0.35">
      <c r="B1555" s="146"/>
      <c r="E1555"/>
      <c r="F1555"/>
      <c r="G1555"/>
      <c r="H1555"/>
      <c r="I1555"/>
      <c r="J1555"/>
      <c r="Q1555"/>
      <c r="R1555" s="301"/>
      <c r="S1555" s="301"/>
      <c r="T1555" s="301"/>
      <c r="U1555" s="301"/>
      <c r="V1555" s="301"/>
      <c r="W1555" s="301"/>
    </row>
    <row r="1556" spans="2:23" s="147" customFormat="1" ht="14.15" customHeight="1" x14ac:dyDescent="0.35">
      <c r="B1556" s="146"/>
      <c r="E1556"/>
      <c r="F1556"/>
      <c r="G1556"/>
      <c r="H1556"/>
      <c r="I1556"/>
      <c r="J1556"/>
      <c r="Q1556"/>
      <c r="R1556" s="301"/>
      <c r="S1556" s="301"/>
      <c r="T1556" s="301"/>
      <c r="U1556" s="301"/>
      <c r="V1556" s="301"/>
      <c r="W1556" s="301"/>
    </row>
    <row r="1557" spans="2:23" s="147" customFormat="1" ht="14.15" customHeight="1" x14ac:dyDescent="0.35">
      <c r="B1557" s="146"/>
      <c r="E1557"/>
      <c r="F1557"/>
      <c r="G1557"/>
      <c r="H1557"/>
      <c r="I1557"/>
      <c r="J1557"/>
      <c r="Q1557"/>
      <c r="R1557" s="301"/>
      <c r="S1557" s="301"/>
      <c r="T1557" s="301"/>
      <c r="U1557" s="301"/>
      <c r="V1557" s="301"/>
      <c r="W1557" s="301"/>
    </row>
    <row r="1558" spans="2:23" s="147" customFormat="1" ht="14.15" customHeight="1" x14ac:dyDescent="0.35">
      <c r="B1558" s="146"/>
      <c r="E1558"/>
      <c r="F1558"/>
      <c r="G1558"/>
      <c r="H1558"/>
      <c r="I1558"/>
      <c r="J1558"/>
      <c r="Q1558"/>
      <c r="R1558" s="301"/>
      <c r="S1558" s="301"/>
      <c r="T1558" s="301"/>
      <c r="U1558" s="301"/>
      <c r="V1558" s="301"/>
      <c r="W1558" s="301"/>
    </row>
    <row r="1559" spans="2:23" s="147" customFormat="1" ht="14.15" customHeight="1" x14ac:dyDescent="0.35">
      <c r="B1559" s="146"/>
      <c r="E1559"/>
      <c r="F1559"/>
      <c r="G1559"/>
      <c r="H1559"/>
      <c r="I1559"/>
      <c r="J1559"/>
      <c r="Q1559"/>
      <c r="R1559" s="301"/>
      <c r="S1559" s="301"/>
      <c r="T1559" s="301"/>
      <c r="U1559" s="301"/>
      <c r="V1559" s="301"/>
      <c r="W1559" s="301"/>
    </row>
    <row r="1560" spans="2:23" s="147" customFormat="1" ht="14.15" customHeight="1" x14ac:dyDescent="0.35">
      <c r="B1560" s="146"/>
      <c r="E1560"/>
      <c r="F1560"/>
      <c r="G1560"/>
      <c r="H1560"/>
      <c r="I1560"/>
      <c r="J1560"/>
      <c r="Q1560"/>
      <c r="R1560" s="301"/>
      <c r="S1560" s="301"/>
      <c r="T1560" s="301"/>
      <c r="U1560" s="301"/>
      <c r="V1560" s="301"/>
      <c r="W1560" s="301"/>
    </row>
    <row r="1561" spans="2:23" s="147" customFormat="1" ht="14.15" customHeight="1" x14ac:dyDescent="0.35">
      <c r="B1561" s="146"/>
      <c r="E1561"/>
      <c r="F1561"/>
      <c r="G1561"/>
      <c r="H1561"/>
      <c r="I1561"/>
      <c r="J1561"/>
      <c r="Q1561"/>
      <c r="R1561" s="301"/>
      <c r="S1561" s="301"/>
      <c r="T1561" s="301"/>
      <c r="U1561" s="301"/>
      <c r="V1561" s="301"/>
      <c r="W1561" s="301"/>
    </row>
    <row r="1562" spans="2:23" s="147" customFormat="1" ht="14.15" customHeight="1" x14ac:dyDescent="0.35">
      <c r="B1562" s="146"/>
      <c r="E1562"/>
      <c r="F1562"/>
      <c r="G1562"/>
      <c r="H1562"/>
      <c r="I1562"/>
      <c r="J1562"/>
      <c r="Q1562"/>
      <c r="R1562" s="301"/>
      <c r="S1562" s="301"/>
      <c r="T1562" s="301"/>
      <c r="U1562" s="301"/>
      <c r="V1562" s="301"/>
      <c r="W1562" s="301"/>
    </row>
    <row r="1563" spans="2:23" s="147" customFormat="1" ht="14.15" customHeight="1" x14ac:dyDescent="0.35">
      <c r="B1563" s="146"/>
      <c r="E1563"/>
      <c r="F1563"/>
      <c r="G1563"/>
      <c r="H1563"/>
      <c r="I1563"/>
      <c r="J1563"/>
      <c r="Q1563"/>
      <c r="R1563" s="301"/>
      <c r="S1563" s="301"/>
      <c r="T1563" s="301"/>
      <c r="U1563" s="301"/>
      <c r="V1563" s="301"/>
      <c r="W1563" s="301"/>
    </row>
    <row r="1564" spans="2:23" s="147" customFormat="1" ht="14.15" customHeight="1" x14ac:dyDescent="0.35">
      <c r="B1564" s="146"/>
      <c r="E1564"/>
      <c r="F1564"/>
      <c r="G1564"/>
      <c r="H1564"/>
      <c r="I1564"/>
      <c r="J1564"/>
      <c r="Q1564"/>
      <c r="R1564" s="301"/>
      <c r="S1564" s="301"/>
      <c r="T1564" s="301"/>
      <c r="U1564" s="301"/>
      <c r="V1564" s="301"/>
      <c r="W1564" s="301"/>
    </row>
    <row r="1565" spans="2:23" s="147" customFormat="1" ht="14.15" customHeight="1" x14ac:dyDescent="0.35">
      <c r="B1565" s="146"/>
      <c r="E1565"/>
      <c r="F1565"/>
      <c r="G1565"/>
      <c r="H1565"/>
      <c r="I1565"/>
      <c r="J1565"/>
      <c r="Q1565"/>
      <c r="R1565" s="301"/>
      <c r="S1565" s="301"/>
      <c r="T1565" s="301"/>
      <c r="U1565" s="301"/>
      <c r="V1565" s="301"/>
      <c r="W1565" s="301"/>
    </row>
    <row r="1566" spans="2:23" s="147" customFormat="1" ht="14.15" customHeight="1" x14ac:dyDescent="0.35">
      <c r="B1566" s="146"/>
      <c r="E1566"/>
      <c r="F1566"/>
      <c r="G1566"/>
      <c r="H1566"/>
      <c r="I1566"/>
      <c r="J1566"/>
      <c r="Q1566"/>
      <c r="R1566" s="301"/>
      <c r="S1566" s="301"/>
      <c r="T1566" s="301"/>
      <c r="U1566" s="301"/>
      <c r="V1566" s="301"/>
      <c r="W1566" s="301"/>
    </row>
    <row r="1567" spans="2:23" s="147" customFormat="1" ht="14.15" customHeight="1" x14ac:dyDescent="0.35">
      <c r="B1567" s="146"/>
      <c r="E1567"/>
      <c r="F1567"/>
      <c r="G1567"/>
      <c r="H1567"/>
      <c r="I1567"/>
      <c r="J1567"/>
      <c r="Q1567"/>
      <c r="R1567" s="301"/>
      <c r="S1567" s="301"/>
      <c r="T1567" s="301"/>
      <c r="U1567" s="301"/>
      <c r="V1567" s="301"/>
      <c r="W1567" s="301"/>
    </row>
    <row r="1568" spans="2:23" s="147" customFormat="1" ht="14.15" customHeight="1" x14ac:dyDescent="0.35">
      <c r="B1568" s="146"/>
      <c r="E1568"/>
      <c r="F1568"/>
      <c r="G1568"/>
      <c r="H1568"/>
      <c r="I1568"/>
      <c r="J1568"/>
      <c r="Q1568"/>
      <c r="R1568" s="301"/>
      <c r="S1568" s="301"/>
      <c r="T1568" s="301"/>
      <c r="U1568" s="301"/>
      <c r="V1568" s="301"/>
      <c r="W1568" s="301"/>
    </row>
    <row r="1569" spans="2:23" s="147" customFormat="1" ht="14.15" customHeight="1" x14ac:dyDescent="0.35">
      <c r="B1569" s="146"/>
      <c r="E1569"/>
      <c r="F1569"/>
      <c r="G1569"/>
      <c r="H1569"/>
      <c r="I1569"/>
      <c r="J1569"/>
      <c r="Q1569"/>
      <c r="R1569" s="301"/>
      <c r="S1569" s="301"/>
      <c r="T1569" s="301"/>
      <c r="U1569" s="301"/>
      <c r="V1569" s="301"/>
      <c r="W1569" s="301"/>
    </row>
    <row r="1570" spans="2:23" s="147" customFormat="1" ht="14.15" customHeight="1" x14ac:dyDescent="0.35">
      <c r="B1570" s="146"/>
      <c r="E1570"/>
      <c r="F1570"/>
      <c r="G1570"/>
      <c r="H1570"/>
      <c r="I1570"/>
      <c r="J1570"/>
      <c r="Q1570"/>
      <c r="R1570" s="301"/>
      <c r="S1570" s="301"/>
      <c r="T1570" s="301"/>
      <c r="U1570" s="301"/>
      <c r="V1570" s="301"/>
      <c r="W1570" s="301"/>
    </row>
    <row r="1571" spans="2:23" s="147" customFormat="1" ht="14.15" customHeight="1" x14ac:dyDescent="0.35">
      <c r="B1571" s="146"/>
      <c r="E1571"/>
      <c r="F1571"/>
      <c r="G1571"/>
      <c r="H1571"/>
      <c r="I1571"/>
      <c r="J1571"/>
      <c r="Q1571"/>
      <c r="R1571" s="301"/>
      <c r="S1571" s="301"/>
      <c r="T1571" s="301"/>
      <c r="U1571" s="301"/>
      <c r="V1571" s="301"/>
      <c r="W1571" s="301"/>
    </row>
    <row r="1572" spans="2:23" s="147" customFormat="1" ht="14.15" customHeight="1" x14ac:dyDescent="0.35">
      <c r="B1572" s="146"/>
      <c r="E1572"/>
      <c r="F1572"/>
      <c r="G1572"/>
      <c r="H1572"/>
      <c r="I1572"/>
      <c r="J1572"/>
      <c r="Q1572"/>
      <c r="R1572" s="301"/>
      <c r="S1572" s="301"/>
      <c r="T1572" s="301"/>
      <c r="U1572" s="301"/>
      <c r="V1572" s="301"/>
      <c r="W1572" s="301"/>
    </row>
    <row r="1573" spans="2:23" s="147" customFormat="1" ht="14.15" customHeight="1" x14ac:dyDescent="0.35">
      <c r="B1573" s="146"/>
      <c r="E1573"/>
      <c r="F1573"/>
      <c r="G1573"/>
      <c r="H1573"/>
      <c r="I1573"/>
      <c r="J1573"/>
      <c r="Q1573"/>
      <c r="R1573" s="301"/>
      <c r="S1573" s="301"/>
      <c r="T1573" s="301"/>
      <c r="U1573" s="301"/>
      <c r="V1573" s="301"/>
      <c r="W1573" s="301"/>
    </row>
    <row r="1574" spans="2:23" s="147" customFormat="1" ht="14.15" customHeight="1" x14ac:dyDescent="0.35">
      <c r="B1574" s="146"/>
      <c r="E1574"/>
      <c r="F1574"/>
      <c r="G1574"/>
      <c r="H1574"/>
      <c r="I1574"/>
      <c r="J1574"/>
      <c r="Q1574"/>
      <c r="R1574" s="301"/>
      <c r="S1574" s="301"/>
      <c r="T1574" s="301"/>
      <c r="U1574" s="301"/>
      <c r="V1574" s="301"/>
      <c r="W1574" s="301"/>
    </row>
    <row r="1575" spans="2:23" s="147" customFormat="1" ht="14.15" customHeight="1" x14ac:dyDescent="0.35">
      <c r="B1575" s="146"/>
      <c r="E1575"/>
      <c r="F1575"/>
      <c r="G1575"/>
      <c r="H1575"/>
      <c r="I1575"/>
      <c r="J1575"/>
      <c r="Q1575"/>
      <c r="R1575" s="301"/>
      <c r="S1575" s="301"/>
      <c r="T1575" s="301"/>
      <c r="U1575" s="301"/>
      <c r="V1575" s="301"/>
      <c r="W1575" s="301"/>
    </row>
    <row r="1576" spans="2:23" s="147" customFormat="1" ht="14.15" customHeight="1" x14ac:dyDescent="0.35">
      <c r="B1576" s="146"/>
      <c r="E1576"/>
      <c r="F1576"/>
      <c r="G1576"/>
      <c r="H1576"/>
      <c r="I1576"/>
      <c r="J1576"/>
      <c r="Q1576"/>
      <c r="R1576" s="301"/>
      <c r="S1576" s="301"/>
      <c r="T1576" s="301"/>
      <c r="U1576" s="301"/>
      <c r="V1576" s="301"/>
      <c r="W1576" s="301"/>
    </row>
    <row r="1577" spans="2:23" s="147" customFormat="1" ht="14.15" customHeight="1" x14ac:dyDescent="0.35">
      <c r="B1577" s="146"/>
      <c r="E1577"/>
      <c r="F1577"/>
      <c r="G1577"/>
      <c r="H1577"/>
      <c r="I1577"/>
      <c r="J1577"/>
      <c r="Q1577"/>
      <c r="R1577" s="301"/>
      <c r="S1577" s="301"/>
      <c r="T1577" s="301"/>
      <c r="U1577" s="301"/>
      <c r="V1577" s="301"/>
      <c r="W1577" s="301"/>
    </row>
    <row r="1578" spans="2:23" s="147" customFormat="1" ht="14.15" customHeight="1" x14ac:dyDescent="0.35">
      <c r="B1578" s="146"/>
      <c r="E1578"/>
      <c r="F1578"/>
      <c r="G1578"/>
      <c r="H1578"/>
      <c r="I1578"/>
      <c r="J1578"/>
      <c r="Q1578"/>
      <c r="R1578" s="301"/>
      <c r="S1578" s="301"/>
      <c r="T1578" s="301"/>
      <c r="U1578" s="301"/>
      <c r="V1578" s="301"/>
      <c r="W1578" s="301"/>
    </row>
    <row r="1579" spans="2:23" s="147" customFormat="1" ht="14.15" customHeight="1" x14ac:dyDescent="0.35">
      <c r="B1579" s="146"/>
      <c r="E1579"/>
      <c r="F1579"/>
      <c r="G1579"/>
      <c r="H1579"/>
      <c r="I1579"/>
      <c r="J1579"/>
      <c r="Q1579"/>
      <c r="R1579" s="301"/>
      <c r="S1579" s="301"/>
      <c r="T1579" s="301"/>
      <c r="U1579" s="301"/>
      <c r="V1579" s="301"/>
      <c r="W1579" s="301"/>
    </row>
    <row r="1580" spans="2:23" s="147" customFormat="1" ht="14.15" customHeight="1" x14ac:dyDescent="0.35">
      <c r="B1580" s="146"/>
      <c r="E1580"/>
      <c r="F1580"/>
      <c r="G1580"/>
      <c r="H1580"/>
      <c r="I1580"/>
      <c r="J1580"/>
      <c r="Q1580"/>
      <c r="R1580" s="301"/>
      <c r="S1580" s="301"/>
      <c r="T1580" s="301"/>
      <c r="U1580" s="301"/>
      <c r="V1580" s="301"/>
      <c r="W1580" s="301"/>
    </row>
    <row r="1581" spans="2:23" s="147" customFormat="1" ht="14.15" customHeight="1" x14ac:dyDescent="0.35">
      <c r="B1581" s="146"/>
      <c r="E1581"/>
      <c r="F1581"/>
      <c r="G1581"/>
      <c r="H1581"/>
      <c r="I1581"/>
      <c r="J1581"/>
      <c r="Q1581"/>
      <c r="R1581" s="301"/>
      <c r="S1581" s="301"/>
      <c r="T1581" s="301"/>
      <c r="U1581" s="301"/>
      <c r="V1581" s="301"/>
      <c r="W1581" s="301"/>
    </row>
    <row r="1582" spans="2:23" s="147" customFormat="1" ht="14.15" customHeight="1" x14ac:dyDescent="0.35">
      <c r="B1582" s="146"/>
      <c r="E1582"/>
      <c r="F1582"/>
      <c r="G1582"/>
      <c r="H1582"/>
      <c r="I1582"/>
      <c r="J1582"/>
      <c r="Q1582"/>
      <c r="R1582" s="301"/>
      <c r="S1582" s="301"/>
      <c r="T1582" s="301"/>
      <c r="U1582" s="301"/>
      <c r="V1582" s="301"/>
      <c r="W1582" s="301"/>
    </row>
    <row r="1583" spans="2:23" s="147" customFormat="1" ht="14.15" customHeight="1" x14ac:dyDescent="0.35">
      <c r="B1583" s="146"/>
      <c r="E1583"/>
      <c r="F1583"/>
      <c r="G1583"/>
      <c r="H1583"/>
      <c r="I1583"/>
      <c r="J1583"/>
      <c r="Q1583"/>
      <c r="R1583" s="301"/>
      <c r="S1583" s="301"/>
      <c r="T1583" s="301"/>
      <c r="U1583" s="301"/>
      <c r="V1583" s="301"/>
      <c r="W1583" s="301"/>
    </row>
    <row r="1584" spans="2:23" s="147" customFormat="1" ht="14.15" customHeight="1" x14ac:dyDescent="0.35">
      <c r="B1584" s="146"/>
      <c r="E1584"/>
      <c r="F1584"/>
      <c r="G1584"/>
      <c r="H1584"/>
      <c r="I1584"/>
      <c r="J1584"/>
      <c r="Q1584"/>
      <c r="R1584" s="301"/>
      <c r="S1584" s="301"/>
      <c r="T1584" s="301"/>
      <c r="U1584" s="301"/>
      <c r="V1584" s="301"/>
      <c r="W1584" s="301"/>
    </row>
    <row r="1585" spans="2:23" s="147" customFormat="1" ht="14.15" customHeight="1" x14ac:dyDescent="0.35">
      <c r="B1585" s="146"/>
      <c r="E1585"/>
      <c r="F1585"/>
      <c r="G1585"/>
      <c r="H1585"/>
      <c r="I1585"/>
      <c r="J1585"/>
      <c r="Q1585"/>
      <c r="R1585" s="301"/>
      <c r="S1585" s="301"/>
      <c r="T1585" s="301"/>
      <c r="U1585" s="301"/>
      <c r="V1585" s="301"/>
      <c r="W1585" s="301"/>
    </row>
    <row r="1586" spans="2:23" s="147" customFormat="1" ht="14.15" customHeight="1" x14ac:dyDescent="0.35">
      <c r="B1586" s="146"/>
      <c r="E1586"/>
      <c r="F1586"/>
      <c r="G1586"/>
      <c r="H1586"/>
      <c r="I1586"/>
      <c r="J1586"/>
      <c r="Q1586"/>
      <c r="R1586" s="301"/>
      <c r="S1586" s="301"/>
      <c r="T1586" s="301"/>
      <c r="U1586" s="301"/>
      <c r="V1586" s="301"/>
      <c r="W1586" s="301"/>
    </row>
    <row r="1587" spans="2:23" s="147" customFormat="1" ht="14.15" customHeight="1" x14ac:dyDescent="0.35">
      <c r="B1587" s="146"/>
      <c r="E1587"/>
      <c r="F1587"/>
      <c r="G1587"/>
      <c r="H1587"/>
      <c r="I1587"/>
      <c r="J1587"/>
      <c r="Q1587"/>
      <c r="R1587" s="301"/>
      <c r="S1587" s="301"/>
      <c r="T1587" s="301"/>
      <c r="U1587" s="301"/>
      <c r="V1587" s="301"/>
      <c r="W1587" s="301"/>
    </row>
    <row r="1588" spans="2:23" s="147" customFormat="1" ht="14.15" customHeight="1" x14ac:dyDescent="0.35">
      <c r="B1588" s="146"/>
      <c r="E1588"/>
      <c r="F1588"/>
      <c r="G1588"/>
      <c r="H1588"/>
      <c r="I1588"/>
      <c r="J1588"/>
      <c r="Q1588"/>
      <c r="R1588" s="301"/>
      <c r="S1588" s="301"/>
      <c r="T1588" s="301"/>
      <c r="U1588" s="301"/>
      <c r="V1588" s="301"/>
      <c r="W1588" s="301"/>
    </row>
    <row r="1589" spans="2:23" s="147" customFormat="1" ht="14.15" customHeight="1" x14ac:dyDescent="0.35">
      <c r="B1589" s="146"/>
      <c r="E1589"/>
      <c r="F1589"/>
      <c r="G1589"/>
      <c r="H1589"/>
      <c r="I1589"/>
      <c r="J1589"/>
      <c r="Q1589"/>
      <c r="R1589" s="301"/>
      <c r="S1589" s="301"/>
      <c r="T1589" s="301"/>
      <c r="U1589" s="301"/>
      <c r="V1589" s="301"/>
      <c r="W1589" s="301"/>
    </row>
    <row r="1590" spans="2:23" s="147" customFormat="1" ht="14.15" customHeight="1" x14ac:dyDescent="0.35">
      <c r="B1590" s="146"/>
      <c r="E1590"/>
      <c r="F1590"/>
      <c r="G1590"/>
      <c r="H1590"/>
      <c r="I1590"/>
      <c r="J1590"/>
      <c r="Q1590"/>
      <c r="R1590" s="301"/>
      <c r="S1590" s="301"/>
      <c r="T1590" s="301"/>
      <c r="U1590" s="301"/>
      <c r="V1590" s="301"/>
      <c r="W1590" s="301"/>
    </row>
  </sheetData>
  <sheetProtection algorithmName="SHA-512" hashValue="ckBU2sGpZHJVbzaDg+fs7d3EggOItZVIuhB4bbGl2a1XE93e6rVHAMbQEbg2GPESh4JTPt57zgGXYJF0moCfVA==" saltValue="zC5w1/9Jg86ktpsORrWZpg==" spinCount="100000" sheet="1" objects="1" scenarios="1"/>
  <autoFilter ref="E8:AE706" xr:uid="{39ECEC40-E33E-4475-9EB1-66D54EDC9E4E}"/>
  <sortState xmlns:xlrd2="http://schemas.microsoft.com/office/spreadsheetml/2017/richdata2" ref="F377:J435">
    <sortCondition ref="F377:F435"/>
    <sortCondition ref="G377:G435"/>
    <sortCondition ref="H377:H435"/>
    <sortCondition ref="I377:I435"/>
    <sortCondition ref="J377:J435"/>
  </sortState>
  <mergeCells count="3">
    <mergeCell ref="B4:B7"/>
    <mergeCell ref="B11:B21"/>
    <mergeCell ref="B26:B37"/>
  </mergeCells>
  <phoneticPr fontId="16" type="noConversion"/>
  <conditionalFormatting sqref="I1:J1">
    <cfRule type="containsText" dxfId="6" priority="22" operator="containsText" text="No data missing">
      <formula>NOT(ISERROR(SEARCH("No data missing",I1)))</formula>
    </cfRule>
  </conditionalFormatting>
  <conditionalFormatting sqref="W193:W208">
    <cfRule type="expression" dxfId="5" priority="6">
      <formula>W193=""</formula>
    </cfRule>
  </conditionalFormatting>
  <conditionalFormatting sqref="W286">
    <cfRule type="expression" dxfId="4" priority="5">
      <formula>W286=""</formula>
    </cfRule>
  </conditionalFormatting>
  <conditionalFormatting sqref="W296">
    <cfRule type="expression" dxfId="3" priority="4">
      <formula>W296=""</formula>
    </cfRule>
  </conditionalFormatting>
  <conditionalFormatting sqref="W299">
    <cfRule type="expression" dxfId="2" priority="3">
      <formula>W299=""</formula>
    </cfRule>
  </conditionalFormatting>
  <conditionalFormatting sqref="W310">
    <cfRule type="expression" dxfId="1" priority="2">
      <formula>W310=""</formula>
    </cfRule>
  </conditionalFormatting>
  <conditionalFormatting sqref="W320">
    <cfRule type="expression" dxfId="0" priority="1">
      <formula>W320=""</formula>
    </cfRule>
  </conditionalFormatting>
  <hyperlinks>
    <hyperlink ref="M623" r:id="rId1" xr:uid="{3B72A266-E154-4191-9A60-9D9C725812DA}"/>
    <hyperlink ref="M648" r:id="rId2" xr:uid="{CB7B0830-D895-44AF-9F75-8825954BA1F2}"/>
    <hyperlink ref="M649" r:id="rId3" xr:uid="{CAAFB5A2-B8CA-48CE-B1D5-F343DAE61E0B}"/>
    <hyperlink ref="M653" r:id="rId4" xr:uid="{A8BA68B7-EC3C-4C0A-823C-4B8CE3793D19}"/>
    <hyperlink ref="M661" r:id="rId5" xr:uid="{A069D48F-E6B4-49BF-A87B-951595F702B3}"/>
    <hyperlink ref="M662" r:id="rId6" xr:uid="{1B5765B9-F298-4673-835F-CC24B84448DA}"/>
    <hyperlink ref="M663" r:id="rId7" xr:uid="{F8BB0FE9-FE48-444C-94A3-4FC0EA8C5470}"/>
    <hyperlink ref="M664" r:id="rId8" xr:uid="{B85366B0-E602-4450-97AD-4BF7E9A8A3A8}"/>
    <hyperlink ref="M599" r:id="rId9" xr:uid="{B8899F69-0AAF-4579-9DE5-D469BD9DE0F5}"/>
    <hyperlink ref="M172" r:id="rId10" xr:uid="{A5B1E7F0-C3C5-46B7-ADE9-D0CFD5194B16}"/>
  </hyperlinks>
  <pageMargins left="0.7" right="0.7" top="0.75" bottom="0.75"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C5CAB-CB8E-423D-B598-64632EB6A101}">
  <sheetPr codeName="Sheet26">
    <tabColor theme="7" tint="0.79998168889431442"/>
  </sheetPr>
  <dimension ref="A3:BL873"/>
  <sheetViews>
    <sheetView showGridLines="0" topLeftCell="AK212" zoomScale="94" zoomScaleNormal="100" workbookViewId="0">
      <selection activeCell="BH20" sqref="BH20"/>
    </sheetView>
  </sheetViews>
  <sheetFormatPr defaultColWidth="8.7265625" defaultRowHeight="14" x14ac:dyDescent="0.3"/>
  <cols>
    <col min="1" max="1" width="3.54296875" style="147" customWidth="1"/>
    <col min="2" max="2" width="32.54296875" style="146" customWidth="1"/>
    <col min="3" max="3" width="3.54296875" style="147" customWidth="1"/>
    <col min="4" max="4" width="5.81640625" style="147" customWidth="1"/>
    <col min="5" max="37" width="15.54296875" style="147" customWidth="1"/>
    <col min="38" max="38" width="5.1796875" style="147" customWidth="1"/>
    <col min="39" max="41" width="15.54296875" style="147" customWidth="1"/>
    <col min="42" max="42" width="30" style="147" customWidth="1"/>
    <col min="43" max="44" width="15.54296875" style="147" customWidth="1"/>
    <col min="45" max="45" width="59.7265625" style="147" customWidth="1"/>
    <col min="46" max="46" width="14.54296875" style="147" bestFit="1" customWidth="1"/>
    <col min="47" max="47" width="17" style="147" bestFit="1" customWidth="1"/>
    <col min="48" max="50" width="10.81640625" style="147" bestFit="1" customWidth="1"/>
    <col min="51" max="51" width="15.81640625" style="147" customWidth="1"/>
    <col min="52" max="52" width="5.453125" style="147" customWidth="1"/>
    <col min="53" max="53" width="16.54296875" style="147" customWidth="1"/>
    <col min="54" max="54" width="14.26953125" style="147" bestFit="1" customWidth="1"/>
    <col min="55" max="55" width="14" style="147" bestFit="1" customWidth="1"/>
    <col min="56" max="56" width="14.26953125" style="147" bestFit="1" customWidth="1"/>
    <col min="57" max="57" width="18.54296875" style="147" bestFit="1" customWidth="1"/>
    <col min="58" max="58" width="26.54296875" style="147" customWidth="1"/>
    <col min="59" max="59" width="14" style="147" bestFit="1" customWidth="1"/>
    <col min="60" max="60" width="14.26953125" style="147" bestFit="1" customWidth="1"/>
    <col min="61" max="61" width="14" style="147" bestFit="1" customWidth="1"/>
    <col min="62" max="62" width="19.7265625" style="147" customWidth="1"/>
    <col min="63" max="63" width="10" style="147" customWidth="1"/>
    <col min="64" max="16384" width="8.7265625" style="147"/>
  </cols>
  <sheetData>
    <row r="3" spans="1:64" ht="14.5" x14ac:dyDescent="0.35">
      <c r="R3" s="151"/>
      <c r="Z3" s="241"/>
      <c r="AQ3" s="147" t="s">
        <v>1866</v>
      </c>
      <c r="AT3" s="147">
        <f>MATCH(AT4,AS:AS,0)</f>
        <v>553</v>
      </c>
    </row>
    <row r="4" spans="1:64" x14ac:dyDescent="0.3">
      <c r="AT4" s="147" t="s">
        <v>1887</v>
      </c>
    </row>
    <row r="6" spans="1:64" x14ac:dyDescent="0.3">
      <c r="D6" s="151" t="s">
        <v>446</v>
      </c>
      <c r="E6" s="151"/>
      <c r="F6" s="151"/>
      <c r="M6" s="151" t="s">
        <v>447</v>
      </c>
      <c r="R6" s="151" t="s">
        <v>448</v>
      </c>
      <c r="U6" s="151" t="s">
        <v>449</v>
      </c>
      <c r="V6" s="151"/>
      <c r="W6" s="151"/>
      <c r="X6" s="151"/>
      <c r="Y6" s="151"/>
      <c r="Z6" s="151"/>
      <c r="AB6" s="151" t="s">
        <v>450</v>
      </c>
      <c r="AE6" s="151" t="s">
        <v>451</v>
      </c>
      <c r="AL6" s="151" t="s">
        <v>452</v>
      </c>
      <c r="AZ6" s="151" t="s">
        <v>453</v>
      </c>
    </row>
    <row r="8" spans="1:64" s="180" customFormat="1" ht="14.5" x14ac:dyDescent="0.35">
      <c r="A8" s="147"/>
      <c r="B8" s="179" t="s">
        <v>454</v>
      </c>
      <c r="C8" s="147"/>
      <c r="D8" s="147"/>
      <c r="E8" s="181" t="s">
        <v>455</v>
      </c>
      <c r="F8" s="181" t="s">
        <v>456</v>
      </c>
      <c r="G8" s="181" t="s">
        <v>457</v>
      </c>
      <c r="H8" s="186" t="s">
        <v>458</v>
      </c>
      <c r="I8" s="181" t="s">
        <v>459</v>
      </c>
      <c r="J8" s="181" t="s">
        <v>460</v>
      </c>
      <c r="K8" s="181"/>
      <c r="L8" s="181"/>
      <c r="M8" s="181" t="s">
        <v>461</v>
      </c>
      <c r="N8" s="181" t="s">
        <v>462</v>
      </c>
      <c r="O8" s="181" t="s">
        <v>463</v>
      </c>
      <c r="P8" s="181" t="s">
        <v>464</v>
      </c>
      <c r="Q8" s="181"/>
      <c r="R8" s="181" t="s">
        <v>465</v>
      </c>
      <c r="S8" s="181"/>
      <c r="T8" s="181"/>
      <c r="U8" s="181" t="s">
        <v>466</v>
      </c>
      <c r="V8" s="181" t="s">
        <v>467</v>
      </c>
      <c r="W8" s="181" t="s">
        <v>468</v>
      </c>
      <c r="X8" s="181" t="s">
        <v>469</v>
      </c>
      <c r="Y8" s="181" t="s">
        <v>470</v>
      </c>
      <c r="Z8" s="181" t="s">
        <v>471</v>
      </c>
      <c r="AA8" s="181"/>
      <c r="AB8" s="181" t="s">
        <v>472</v>
      </c>
      <c r="AC8" s="181" t="s">
        <v>473</v>
      </c>
      <c r="AD8" s="181"/>
      <c r="AE8" s="181" t="s">
        <v>474</v>
      </c>
      <c r="AF8" s="181" t="s">
        <v>475</v>
      </c>
      <c r="AG8" s="181" t="s">
        <v>476</v>
      </c>
      <c r="AH8" s="181" t="s">
        <v>477</v>
      </c>
      <c r="AI8" s="181" t="s">
        <v>478</v>
      </c>
      <c r="AJ8" s="181" t="s">
        <v>479</v>
      </c>
      <c r="AK8" s="181"/>
      <c r="AL8" s="181"/>
      <c r="AM8" s="181" t="s">
        <v>480</v>
      </c>
      <c r="AN8" s="181" t="s">
        <v>481</v>
      </c>
      <c r="AO8" s="181" t="s">
        <v>482</v>
      </c>
      <c r="AP8" s="181" t="s">
        <v>483</v>
      </c>
      <c r="AQ8" s="181" t="s">
        <v>484</v>
      </c>
      <c r="AR8" s="181" t="s">
        <v>485</v>
      </c>
      <c r="AS8" s="181" t="s">
        <v>486</v>
      </c>
      <c r="AT8" s="181" t="s">
        <v>487</v>
      </c>
      <c r="AU8" s="181" t="s">
        <v>488</v>
      </c>
      <c r="AV8" s="181" t="s">
        <v>489</v>
      </c>
      <c r="AW8" s="181" t="s">
        <v>490</v>
      </c>
      <c r="AX8" s="233" t="s">
        <v>491</v>
      </c>
      <c r="BA8" s="180" t="s">
        <v>492</v>
      </c>
      <c r="BB8" s="180" t="s">
        <v>493</v>
      </c>
      <c r="BC8" s="180" t="s">
        <v>494</v>
      </c>
      <c r="BD8" s="180" t="s">
        <v>495</v>
      </c>
      <c r="BE8" s="180" t="s">
        <v>496</v>
      </c>
      <c r="BF8" s="180" t="s">
        <v>497</v>
      </c>
      <c r="BG8" s="180" t="s">
        <v>498</v>
      </c>
      <c r="BH8" s="180" t="s">
        <v>499</v>
      </c>
      <c r="BI8" s="180" t="s">
        <v>500</v>
      </c>
      <c r="BJ8" s="180" t="s">
        <v>501</v>
      </c>
      <c r="BK8" s="180" t="s">
        <v>502</v>
      </c>
    </row>
    <row r="9" spans="1:64" ht="42" x14ac:dyDescent="0.3">
      <c r="B9" s="187" t="s">
        <v>503</v>
      </c>
      <c r="E9" s="183" t="s">
        <v>504</v>
      </c>
      <c r="F9" s="183" t="s">
        <v>504</v>
      </c>
      <c r="G9" s="183" t="s">
        <v>505</v>
      </c>
      <c r="H9" s="184" t="s">
        <v>506</v>
      </c>
      <c r="I9" s="183" t="s">
        <v>507</v>
      </c>
      <c r="J9" s="183" t="s">
        <v>508</v>
      </c>
      <c r="K9" s="183"/>
      <c r="L9" s="183"/>
      <c r="M9" s="183" t="s">
        <v>509</v>
      </c>
      <c r="N9" s="183"/>
      <c r="O9" s="183" t="s">
        <v>510</v>
      </c>
      <c r="P9" s="183" t="s">
        <v>511</v>
      </c>
      <c r="Q9" s="183"/>
      <c r="R9" s="183"/>
      <c r="S9" s="183"/>
      <c r="T9" s="183"/>
      <c r="U9" s="183" t="s">
        <v>512</v>
      </c>
      <c r="V9" s="183" t="s">
        <v>513</v>
      </c>
      <c r="W9" s="183"/>
      <c r="X9" s="183"/>
      <c r="Y9" s="183"/>
      <c r="Z9" s="183"/>
      <c r="AA9" s="183"/>
      <c r="AB9" s="183"/>
      <c r="AC9" s="183"/>
      <c r="AD9" s="183"/>
      <c r="AE9" s="183" t="s">
        <v>514</v>
      </c>
      <c r="AF9" s="183" t="s">
        <v>515</v>
      </c>
      <c r="AG9" s="183" t="s">
        <v>516</v>
      </c>
      <c r="AH9" s="183" t="s">
        <v>517</v>
      </c>
      <c r="AI9" s="183" t="s">
        <v>518</v>
      </c>
      <c r="AJ9" s="183" t="s">
        <v>519</v>
      </c>
      <c r="AK9" s="183"/>
      <c r="AL9" s="183"/>
      <c r="AM9" s="183" t="s">
        <v>295</v>
      </c>
      <c r="AN9" s="183" t="s">
        <v>296</v>
      </c>
      <c r="AO9" s="183" t="s">
        <v>297</v>
      </c>
      <c r="AP9" s="183" t="s">
        <v>298</v>
      </c>
      <c r="AQ9" s="183" t="s">
        <v>299</v>
      </c>
      <c r="AR9" s="183" t="s">
        <v>300</v>
      </c>
      <c r="AS9" s="183" t="s">
        <v>520</v>
      </c>
      <c r="AT9" s="183" t="s">
        <v>521</v>
      </c>
      <c r="AU9" s="182" t="s">
        <v>522</v>
      </c>
      <c r="AV9" s="182" t="s">
        <v>523</v>
      </c>
      <c r="AW9" s="182" t="s">
        <v>524</v>
      </c>
      <c r="AX9" s="232" t="s">
        <v>525</v>
      </c>
      <c r="BA9" s="147" t="s">
        <v>526</v>
      </c>
      <c r="BB9" s="513" t="s">
        <v>527</v>
      </c>
      <c r="BC9" s="513"/>
      <c r="BD9" s="513" t="s">
        <v>528</v>
      </c>
      <c r="BE9" s="513"/>
      <c r="BF9" s="513" t="s">
        <v>529</v>
      </c>
      <c r="BG9" s="513"/>
      <c r="BH9" s="147" t="s">
        <v>530</v>
      </c>
      <c r="BJ9" s="513" t="s">
        <v>531</v>
      </c>
      <c r="BK9" s="513"/>
    </row>
    <row r="10" spans="1:64" x14ac:dyDescent="0.3">
      <c r="B10" s="179" t="s">
        <v>532</v>
      </c>
      <c r="E10" s="185">
        <f>COUNTA(E$11:E$550)</f>
        <v>2</v>
      </c>
      <c r="F10" s="185">
        <f t="shared" ref="F10:AJ10" si="0">COUNTA(F$11:F$550)</f>
        <v>3</v>
      </c>
      <c r="G10" s="185">
        <f t="shared" si="0"/>
        <v>3</v>
      </c>
      <c r="H10" s="185">
        <f t="shared" si="0"/>
        <v>3</v>
      </c>
      <c r="I10" s="185">
        <f t="shared" si="0"/>
        <v>2</v>
      </c>
      <c r="J10" s="185">
        <f t="shared" si="0"/>
        <v>3</v>
      </c>
      <c r="K10" s="185">
        <f t="shared" si="0"/>
        <v>0</v>
      </c>
      <c r="L10" s="185">
        <f t="shared" si="0"/>
        <v>0</v>
      </c>
      <c r="M10" s="185">
        <f t="shared" si="0"/>
        <v>9</v>
      </c>
      <c r="N10" s="185">
        <f t="shared" si="0"/>
        <v>86</v>
      </c>
      <c r="O10" s="185">
        <f t="shared" si="0"/>
        <v>86</v>
      </c>
      <c r="P10" s="185">
        <f t="shared" si="0"/>
        <v>5</v>
      </c>
      <c r="Q10" s="185">
        <f t="shared" si="0"/>
        <v>0</v>
      </c>
      <c r="R10" s="185">
        <f t="shared" si="0"/>
        <v>6</v>
      </c>
      <c r="S10" s="185">
        <f t="shared" si="0"/>
        <v>0</v>
      </c>
      <c r="T10" s="185">
        <f t="shared" si="0"/>
        <v>0</v>
      </c>
      <c r="U10" s="185">
        <f t="shared" si="0"/>
        <v>6</v>
      </c>
      <c r="V10" s="185">
        <f t="shared" si="0"/>
        <v>1</v>
      </c>
      <c r="W10" s="185">
        <f t="shared" si="0"/>
        <v>17</v>
      </c>
      <c r="X10" s="185">
        <f t="shared" si="0"/>
        <v>127</v>
      </c>
      <c r="Y10" s="185">
        <f t="shared" si="0"/>
        <v>127</v>
      </c>
      <c r="Z10" s="185">
        <f t="shared" si="0"/>
        <v>3</v>
      </c>
      <c r="AA10" s="185">
        <f t="shared" si="0"/>
        <v>0</v>
      </c>
      <c r="AB10" s="185">
        <f t="shared" si="0"/>
        <v>3</v>
      </c>
      <c r="AC10" s="185">
        <f t="shared" si="0"/>
        <v>3</v>
      </c>
      <c r="AD10" s="185">
        <f t="shared" si="0"/>
        <v>0</v>
      </c>
      <c r="AE10" s="185">
        <f t="shared" si="0"/>
        <v>2</v>
      </c>
      <c r="AF10" s="185">
        <f t="shared" si="0"/>
        <v>7</v>
      </c>
      <c r="AG10" s="185">
        <f t="shared" si="0"/>
        <v>7</v>
      </c>
      <c r="AH10" s="185">
        <f t="shared" si="0"/>
        <v>6</v>
      </c>
      <c r="AI10" s="185">
        <f t="shared" si="0"/>
        <v>8</v>
      </c>
      <c r="AJ10" s="185">
        <f t="shared" si="0"/>
        <v>8</v>
      </c>
      <c r="AK10" s="185"/>
      <c r="AL10" s="185"/>
      <c r="AM10" s="185">
        <f>COUNTA(AM$11:AM$1525)</f>
        <v>846</v>
      </c>
      <c r="AN10" s="185">
        <f t="shared" ref="AN10:AT10" si="1">COUNTA(AN$11:AN$1525)</f>
        <v>846</v>
      </c>
      <c r="AO10" s="185">
        <f t="shared" si="1"/>
        <v>846</v>
      </c>
      <c r="AP10" s="185">
        <f t="shared" si="1"/>
        <v>846</v>
      </c>
      <c r="AQ10" s="185">
        <f t="shared" si="1"/>
        <v>846</v>
      </c>
      <c r="AR10" s="185">
        <f t="shared" si="1"/>
        <v>846</v>
      </c>
      <c r="AS10" s="185">
        <f t="shared" si="1"/>
        <v>846</v>
      </c>
      <c r="AT10" s="185">
        <f t="shared" si="1"/>
        <v>690</v>
      </c>
      <c r="AU10" s="185">
        <f>AT10</f>
        <v>690</v>
      </c>
      <c r="AV10" s="185">
        <f>AT10</f>
        <v>690</v>
      </c>
      <c r="AW10" s="185">
        <f>AT10</f>
        <v>690</v>
      </c>
      <c r="AX10" s="185">
        <f>AT10</f>
        <v>690</v>
      </c>
      <c r="AY10" s="185"/>
      <c r="AZ10" s="185"/>
      <c r="BA10" s="185">
        <f>COUNTA(BA$11:BA$1525)</f>
        <v>7</v>
      </c>
      <c r="BB10" s="185">
        <f t="shared" ref="BB10:BK10" si="2">COUNTA(BB$11:BB$1525)</f>
        <v>12</v>
      </c>
      <c r="BC10" s="185">
        <f t="shared" si="2"/>
        <v>12</v>
      </c>
      <c r="BD10" s="185">
        <f t="shared" si="2"/>
        <v>30</v>
      </c>
      <c r="BE10" s="185">
        <f t="shared" si="2"/>
        <v>30</v>
      </c>
      <c r="BF10" s="185">
        <f t="shared" si="2"/>
        <v>101</v>
      </c>
      <c r="BG10" s="185">
        <f t="shared" si="2"/>
        <v>101</v>
      </c>
      <c r="BH10" s="185">
        <f t="shared" si="2"/>
        <v>512</v>
      </c>
      <c r="BI10" s="185">
        <f t="shared" si="2"/>
        <v>512</v>
      </c>
      <c r="BJ10" s="185">
        <f t="shared" si="2"/>
        <v>105</v>
      </c>
      <c r="BK10" s="185">
        <f t="shared" si="2"/>
        <v>105</v>
      </c>
      <c r="BL10" s="185"/>
    </row>
    <row r="11" spans="1:64" x14ac:dyDescent="0.3">
      <c r="B11" s="146">
        <v>1</v>
      </c>
      <c r="E11" s="182" t="s">
        <v>374</v>
      </c>
      <c r="F11" s="182" t="s">
        <v>374</v>
      </c>
      <c r="G11" s="182" t="s">
        <v>442</v>
      </c>
      <c r="H11" s="182" t="s">
        <v>441</v>
      </c>
      <c r="I11" s="182" t="s">
        <v>533</v>
      </c>
      <c r="J11" s="182" t="s">
        <v>198</v>
      </c>
      <c r="K11" s="182"/>
      <c r="L11" s="182"/>
      <c r="M11" s="182" t="s">
        <v>534</v>
      </c>
      <c r="N11" s="182" t="s">
        <v>534</v>
      </c>
      <c r="O11" s="182" t="s">
        <v>535</v>
      </c>
      <c r="P11" s="182" t="s">
        <v>536</v>
      </c>
      <c r="Q11" s="182"/>
      <c r="R11" s="182" t="s">
        <v>537</v>
      </c>
      <c r="S11" s="182"/>
      <c r="T11" s="182"/>
      <c r="U11" s="182" t="s">
        <v>183</v>
      </c>
      <c r="V11" s="182" cm="1">
        <f t="array" ref="V11">_xlfn.UNIQUE('Buildings - Site Info'!$E$13:$E$512)</f>
        <v>0</v>
      </c>
      <c r="W11" s="182" t="s">
        <v>538</v>
      </c>
      <c r="X11" s="182" t="s">
        <v>538</v>
      </c>
      <c r="Y11" s="182" t="s">
        <v>539</v>
      </c>
      <c r="Z11" s="182" t="s">
        <v>540</v>
      </c>
      <c r="AA11" s="182"/>
      <c r="AB11" s="239">
        <v>0.2</v>
      </c>
      <c r="AC11" s="182" t="s">
        <v>1884</v>
      </c>
      <c r="AD11" s="182"/>
      <c r="AE11" s="182" t="s">
        <v>437</v>
      </c>
      <c r="AF11" s="182" t="s">
        <v>438</v>
      </c>
      <c r="AG11" s="182" t="s">
        <v>439</v>
      </c>
      <c r="AH11" s="182" t="s">
        <v>440</v>
      </c>
      <c r="AI11" s="182" t="s">
        <v>444</v>
      </c>
      <c r="AJ11" s="182" t="s">
        <v>445</v>
      </c>
      <c r="AK11" s="182"/>
      <c r="AL11" s="182"/>
      <c r="AM11" s="182" t="s">
        <v>265</v>
      </c>
      <c r="AN11" s="182" t="s">
        <v>273</v>
      </c>
      <c r="AO11" s="182" t="s">
        <v>541</v>
      </c>
      <c r="AP11" s="182" t="s">
        <v>338</v>
      </c>
      <c r="AQ11" s="182" t="s">
        <v>542</v>
      </c>
      <c r="AR11" s="182" t="s">
        <v>339</v>
      </c>
      <c r="AS11" s="182" t="str">
        <f>_xlfn.CONCAT(AM11:AR11)</f>
        <v>Stationary AssetsBuildingsOur EstateRefrigerantsHFC-23NaN</v>
      </c>
      <c r="AT11" s="182" t="s">
        <v>337</v>
      </c>
      <c r="AU11" s="182"/>
      <c r="AV11" s="208"/>
      <c r="AW11" s="208"/>
      <c r="AX11" s="311">
        <v>0.1</v>
      </c>
      <c r="BA11" s="397" t="str" cm="1">
        <f t="array" ref="BA11:BA17">_xlfn.UNIQUE($AM$11:$AM$856)</f>
        <v>Stationary Assets</v>
      </c>
      <c r="BB11" s="397" t="str" cm="1">
        <f t="array" ref="BB11:BC22">_xlfn.UNIQUE($AM$11:$AN$856)</f>
        <v>Stationary Assets</v>
      </c>
      <c r="BC11" s="397" t="str">
        <v>Buildings</v>
      </c>
      <c r="BD11" s="147" t="str" cm="1">
        <f t="array" ref="BD11:BE40">_xlfn.UNIQUE($AN$11:$AO$856)</f>
        <v>Buildings</v>
      </c>
      <c r="BE11" s="147" t="str">
        <v>Our Estate</v>
      </c>
      <c r="BF11" s="147" t="str" cm="1">
        <f t="array" ref="BF11:BG111">_xlfn._xlws.SORT(_xlfn.UNIQUE($AO$11:$AP$856))</f>
        <v>Agriculture</v>
      </c>
      <c r="BG11" s="147" t="str">
        <v>Farmland Soils</v>
      </c>
      <c r="BH11" s="147" t="str" cm="1">
        <f t="array" ref="BH11:BI522">_xlfn._xlws.SORT(_xlfn.UNIQUE($AP$11:$AQ$856))</f>
        <v>Accommodation and food service activities</v>
      </c>
      <c r="BI11" s="147" t="str">
        <v>Accommodation services</v>
      </c>
      <c r="BJ11" s="147" t="str" cm="1">
        <f t="array" ref="BJ11:BK115">_xlfn._xlws.SORT(_xlfn.UNIQUE(_xlfn.HSTACK($AP$11:$AP$856,$AR$11:$AR$856)))</f>
        <v>Accommodation and food service activities</v>
      </c>
      <c r="BK11" s="147" t="str">
        <v>NaN</v>
      </c>
    </row>
    <row r="12" spans="1:64" x14ac:dyDescent="0.3">
      <c r="B12" s="146">
        <v>2</v>
      </c>
      <c r="E12" s="182" t="s">
        <v>543</v>
      </c>
      <c r="F12" s="182" t="s">
        <v>543</v>
      </c>
      <c r="G12" s="182" t="s">
        <v>544</v>
      </c>
      <c r="H12" s="182" t="s">
        <v>545</v>
      </c>
      <c r="I12" s="182" t="s">
        <v>1883</v>
      </c>
      <c r="J12" s="182" t="s">
        <v>199</v>
      </c>
      <c r="K12" s="182"/>
      <c r="L12" s="182"/>
      <c r="M12" s="182" t="s">
        <v>546</v>
      </c>
      <c r="N12" s="182" t="s">
        <v>534</v>
      </c>
      <c r="O12" s="182" t="s">
        <v>547</v>
      </c>
      <c r="P12" s="182" t="s">
        <v>548</v>
      </c>
      <c r="Q12" s="182"/>
      <c r="R12" s="182" t="s">
        <v>549</v>
      </c>
      <c r="S12" s="182"/>
      <c r="T12" s="182"/>
      <c r="U12" s="182" t="s">
        <v>550</v>
      </c>
      <c r="V12" s="182"/>
      <c r="W12" s="182" t="s">
        <v>184</v>
      </c>
      <c r="X12" s="182" t="s">
        <v>538</v>
      </c>
      <c r="Y12" s="182" t="s">
        <v>551</v>
      </c>
      <c r="Z12" s="182" t="s">
        <v>552</v>
      </c>
      <c r="AA12" s="182"/>
      <c r="AB12" s="239">
        <v>0.15</v>
      </c>
      <c r="AC12" s="182" t="s">
        <v>393</v>
      </c>
      <c r="AD12" s="182"/>
      <c r="AE12" s="182" t="s">
        <v>553</v>
      </c>
      <c r="AF12" s="182" t="s">
        <v>438</v>
      </c>
      <c r="AG12" s="182" t="s">
        <v>554</v>
      </c>
      <c r="AH12" s="182" t="s">
        <v>555</v>
      </c>
      <c r="AI12" s="182" t="s">
        <v>444</v>
      </c>
      <c r="AJ12" s="182" t="s">
        <v>556</v>
      </c>
      <c r="AK12" s="182"/>
      <c r="AL12" s="182"/>
      <c r="AM12" s="182" t="s">
        <v>265</v>
      </c>
      <c r="AN12" s="182" t="s">
        <v>273</v>
      </c>
      <c r="AO12" s="182" t="s">
        <v>541</v>
      </c>
      <c r="AP12" s="182" t="s">
        <v>338</v>
      </c>
      <c r="AQ12" s="182" t="s">
        <v>557</v>
      </c>
      <c r="AR12" s="182" t="s">
        <v>339</v>
      </c>
      <c r="AS12" s="182" t="str">
        <f t="shared" ref="AS12:AS75" si="3">_xlfn.CONCAT(AM12:AR12)</f>
        <v>Stationary AssetsBuildingsOur EstateRefrigerantsHFC-32NaN</v>
      </c>
      <c r="AT12" s="182" t="s">
        <v>337</v>
      </c>
      <c r="AU12" s="182"/>
      <c r="AV12" s="208"/>
      <c r="AW12" s="208"/>
      <c r="AX12" s="311">
        <v>0.1</v>
      </c>
      <c r="BA12" s="398" t="str">
        <v>Medical Gas</v>
      </c>
      <c r="BB12" s="398" t="str">
        <v>Stationary Assets</v>
      </c>
      <c r="BC12" s="398" t="str">
        <v>Streetlighting</v>
      </c>
      <c r="BD12" s="147" t="str">
        <v>Buildings</v>
      </c>
      <c r="BE12" s="147" t="str">
        <v>Lessee</v>
      </c>
      <c r="BF12" s="147" t="str">
        <v>Agriculture</v>
      </c>
      <c r="BG12" s="147" t="str">
        <v>Livestock</v>
      </c>
      <c r="BH12" s="147" t="str">
        <v>Accommodation and food service activities</v>
      </c>
      <c r="BI12" s="147" t="str">
        <v>Food and beverage serving services</v>
      </c>
      <c r="BJ12" s="147" t="str">
        <v>Activities of households as employers; undifferentiated goods- and services-producing activities of households for own use</v>
      </c>
      <c r="BK12" s="147" t="str">
        <v>NaN</v>
      </c>
    </row>
    <row r="13" spans="1:64" x14ac:dyDescent="0.3">
      <c r="B13" s="146">
        <v>3</v>
      </c>
      <c r="E13" s="182"/>
      <c r="F13" s="182" t="s">
        <v>558</v>
      </c>
      <c r="G13" s="182" t="s">
        <v>559</v>
      </c>
      <c r="H13" s="182" t="s">
        <v>560</v>
      </c>
      <c r="I13" s="182"/>
      <c r="J13" s="182" t="s">
        <v>336</v>
      </c>
      <c r="K13" s="182"/>
      <c r="L13" s="182"/>
      <c r="M13" s="182" t="s">
        <v>561</v>
      </c>
      <c r="N13" s="182" t="s">
        <v>534</v>
      </c>
      <c r="O13" s="182" t="s">
        <v>562</v>
      </c>
      <c r="P13" s="182" t="s">
        <v>563</v>
      </c>
      <c r="Q13" s="182"/>
      <c r="R13" s="182" t="s">
        <v>564</v>
      </c>
      <c r="S13" s="182"/>
      <c r="T13" s="182"/>
      <c r="U13" s="182" t="s">
        <v>565</v>
      </c>
      <c r="V13" s="182"/>
      <c r="W13" s="182" t="s">
        <v>566</v>
      </c>
      <c r="X13" s="182" t="s">
        <v>538</v>
      </c>
      <c r="Y13" s="182" t="s">
        <v>567</v>
      </c>
      <c r="Z13" s="182" t="s">
        <v>568</v>
      </c>
      <c r="AA13" s="182"/>
      <c r="AB13" s="239">
        <v>0.1</v>
      </c>
      <c r="AC13" s="182" t="s">
        <v>1899</v>
      </c>
      <c r="AD13" s="182"/>
      <c r="AE13" s="182"/>
      <c r="AF13" s="182" t="s">
        <v>438</v>
      </c>
      <c r="AG13" s="182" t="s">
        <v>569</v>
      </c>
      <c r="AH13" s="182" t="s">
        <v>570</v>
      </c>
      <c r="AI13" s="182" t="s">
        <v>444</v>
      </c>
      <c r="AJ13" s="182" t="s">
        <v>571</v>
      </c>
      <c r="AK13" s="182"/>
      <c r="AL13" s="182"/>
      <c r="AM13" s="182" t="s">
        <v>265</v>
      </c>
      <c r="AN13" s="182" t="s">
        <v>273</v>
      </c>
      <c r="AO13" s="182" t="s">
        <v>541</v>
      </c>
      <c r="AP13" s="182" t="s">
        <v>338</v>
      </c>
      <c r="AQ13" s="182" t="s">
        <v>572</v>
      </c>
      <c r="AR13" s="182" t="s">
        <v>339</v>
      </c>
      <c r="AS13" s="182" t="str">
        <f t="shared" si="3"/>
        <v>Stationary AssetsBuildingsOur EstateRefrigerantsHFC-41NaN</v>
      </c>
      <c r="AT13" s="182" t="s">
        <v>337</v>
      </c>
      <c r="AU13" s="182"/>
      <c r="AV13" s="208"/>
      <c r="AW13" s="208"/>
      <c r="AX13" s="311">
        <v>0.1</v>
      </c>
      <c r="BA13" s="398" t="str">
        <v>Transport</v>
      </c>
      <c r="BB13" s="398" t="str">
        <v>Medical Gas</v>
      </c>
      <c r="BC13" s="398" t="str">
        <v>Medical Gas</v>
      </c>
      <c r="BD13" s="147" t="str">
        <v>Buildings</v>
      </c>
      <c r="BE13" s="147" t="str">
        <v>Lessor</v>
      </c>
      <c r="BF13" s="147" t="str">
        <v>Cropland</v>
      </c>
      <c r="BG13" s="147" t="str">
        <v>Mineral</v>
      </c>
      <c r="BH13" s="147" t="str">
        <v>Activities of households as employers; undifferentiated goods- and services-producing activities of households for own use</v>
      </c>
      <c r="BI13" s="147" t="str">
        <v>Services of households as employers of domestic personnel</v>
      </c>
      <c r="BJ13" s="147" t="str">
        <v>Administrative and support service activities</v>
      </c>
      <c r="BK13" s="147" t="str">
        <v>NaN</v>
      </c>
    </row>
    <row r="14" spans="1:64" x14ac:dyDescent="0.3">
      <c r="B14" s="146">
        <v>4</v>
      </c>
      <c r="E14" s="182"/>
      <c r="F14" s="182"/>
      <c r="G14" s="182"/>
      <c r="H14" s="182"/>
      <c r="I14" s="182"/>
      <c r="J14" s="182"/>
      <c r="K14" s="182"/>
      <c r="L14" s="182"/>
      <c r="M14" s="182" t="s">
        <v>573</v>
      </c>
      <c r="N14" s="182" t="s">
        <v>534</v>
      </c>
      <c r="O14" s="182" t="s">
        <v>574</v>
      </c>
      <c r="P14" s="147" t="s">
        <v>1908</v>
      </c>
      <c r="Q14" s="182"/>
      <c r="R14" s="182" t="s">
        <v>571</v>
      </c>
      <c r="S14" s="182"/>
      <c r="T14" s="182"/>
      <c r="U14" s="182" t="s">
        <v>576</v>
      </c>
      <c r="V14" s="182"/>
      <c r="W14" s="182" t="s">
        <v>577</v>
      </c>
      <c r="X14" s="182" t="s">
        <v>538</v>
      </c>
      <c r="Y14" s="182" t="s">
        <v>578</v>
      </c>
      <c r="Z14" s="182"/>
      <c r="AA14" s="182"/>
      <c r="AB14" s="182"/>
      <c r="AC14" s="182"/>
      <c r="AD14" s="182"/>
      <c r="AE14" s="182"/>
      <c r="AF14" s="182" t="s">
        <v>438</v>
      </c>
      <c r="AG14" s="182" t="s">
        <v>579</v>
      </c>
      <c r="AH14" s="182" t="s">
        <v>580</v>
      </c>
      <c r="AI14" s="182" t="s">
        <v>444</v>
      </c>
      <c r="AJ14" s="182" t="s">
        <v>581</v>
      </c>
      <c r="AK14" s="182"/>
      <c r="AL14" s="182"/>
      <c r="AM14" s="182" t="s">
        <v>265</v>
      </c>
      <c r="AN14" s="182" t="s">
        <v>273</v>
      </c>
      <c r="AO14" s="182" t="s">
        <v>541</v>
      </c>
      <c r="AP14" s="182" t="s">
        <v>338</v>
      </c>
      <c r="AQ14" s="182" t="s">
        <v>582</v>
      </c>
      <c r="AR14" s="182" t="s">
        <v>339</v>
      </c>
      <c r="AS14" s="182" t="str">
        <f t="shared" si="3"/>
        <v>Stationary AssetsBuildingsOur EstateRefrigerantsHFC-125NaN</v>
      </c>
      <c r="AT14" s="182" t="s">
        <v>337</v>
      </c>
      <c r="AU14" s="182"/>
      <c r="AV14" s="208"/>
      <c r="AW14" s="208"/>
      <c r="AX14" s="311">
        <v>0.1</v>
      </c>
      <c r="BA14" s="398" t="str">
        <v>Supply Chain</v>
      </c>
      <c r="BB14" s="398" t="str">
        <v>Transport</v>
      </c>
      <c r="BC14" s="398" t="str">
        <v>Fleet</v>
      </c>
      <c r="BD14" s="147" t="str">
        <v>Buildings</v>
      </c>
      <c r="BE14" s="147" t="str">
        <v>Lessor (to PSB)</v>
      </c>
      <c r="BF14" s="147" t="str">
        <v>Cropland</v>
      </c>
      <c r="BG14" s="147" t="str">
        <v>Organic</v>
      </c>
      <c r="BH14" s="147" t="str">
        <v>Administrative and support service activities</v>
      </c>
      <c r="BI14" s="147" t="str">
        <v>Rental and leasing services</v>
      </c>
      <c r="BJ14" s="147" t="str">
        <v>Agriculture, forestry and fishing</v>
      </c>
      <c r="BK14" s="147" t="str">
        <v>NaN</v>
      </c>
    </row>
    <row r="15" spans="1:64" x14ac:dyDescent="0.3">
      <c r="B15" s="146">
        <v>5</v>
      </c>
      <c r="E15" s="182"/>
      <c r="F15" s="182"/>
      <c r="G15" s="182"/>
      <c r="H15" s="182"/>
      <c r="I15" s="182"/>
      <c r="J15" s="182"/>
      <c r="K15" s="182"/>
      <c r="L15" s="182"/>
      <c r="M15" s="182" t="s">
        <v>583</v>
      </c>
      <c r="N15" s="182" t="s">
        <v>534</v>
      </c>
      <c r="O15" s="182" t="s">
        <v>584</v>
      </c>
      <c r="P15" s="182" t="s">
        <v>575</v>
      </c>
      <c r="Q15" s="182"/>
      <c r="R15" s="182" t="s">
        <v>585</v>
      </c>
      <c r="S15" s="182"/>
      <c r="T15" s="182"/>
      <c r="U15" s="182" t="s">
        <v>586</v>
      </c>
      <c r="V15" s="182"/>
      <c r="W15" s="182" t="s">
        <v>587</v>
      </c>
      <c r="X15" s="182" t="s">
        <v>184</v>
      </c>
      <c r="Y15" s="182" t="s">
        <v>588</v>
      </c>
      <c r="Z15" s="182"/>
      <c r="AA15" s="182"/>
      <c r="AB15" s="182"/>
      <c r="AC15" s="182"/>
      <c r="AD15" s="182"/>
      <c r="AE15" s="182"/>
      <c r="AF15" s="182" t="s">
        <v>438</v>
      </c>
      <c r="AG15" s="182" t="s">
        <v>589</v>
      </c>
      <c r="AH15" s="182" t="s">
        <v>590</v>
      </c>
      <c r="AI15" s="182" t="s">
        <v>444</v>
      </c>
      <c r="AJ15" s="182" t="s">
        <v>591</v>
      </c>
      <c r="AK15" s="182"/>
      <c r="AL15" s="182"/>
      <c r="AM15" s="182" t="s">
        <v>265</v>
      </c>
      <c r="AN15" s="182" t="s">
        <v>273</v>
      </c>
      <c r="AO15" s="182" t="s">
        <v>541</v>
      </c>
      <c r="AP15" s="182" t="s">
        <v>338</v>
      </c>
      <c r="AQ15" s="182" t="s">
        <v>592</v>
      </c>
      <c r="AR15" s="182" t="s">
        <v>339</v>
      </c>
      <c r="AS15" s="182" t="str">
        <f t="shared" si="3"/>
        <v>Stationary AssetsBuildingsOur EstateRefrigerantsHFC-134NaN</v>
      </c>
      <c r="AT15" s="182" t="s">
        <v>337</v>
      </c>
      <c r="AU15" s="182"/>
      <c r="AV15" s="208"/>
      <c r="AW15" s="208"/>
      <c r="AX15" s="311">
        <v>0.1</v>
      </c>
      <c r="BA15" s="398" t="str">
        <v>FLAG</v>
      </c>
      <c r="BB15" s="398" t="str">
        <v>Transport</v>
      </c>
      <c r="BC15" s="398" t="str">
        <v>Business travel</v>
      </c>
      <c r="BD15" s="147" t="str">
        <v>Streetlighting</v>
      </c>
      <c r="BE15" s="147" t="str">
        <v>Streetlights</v>
      </c>
      <c r="BF15" s="147" t="str">
        <v>Fleet vehicle - distance</v>
      </c>
      <c r="BG15" s="147" t="str">
        <v>Pool car - distance</v>
      </c>
      <c r="BH15" s="147" t="str">
        <v>Administrative and support service activities</v>
      </c>
      <c r="BI15" s="147" t="str">
        <v>Employment services</v>
      </c>
      <c r="BJ15" s="147" t="str">
        <v>Anaerobic digestion (municipal)</v>
      </c>
      <c r="BK15" s="147" t="str">
        <v>Not including transport</v>
      </c>
    </row>
    <row r="16" spans="1:64" x14ac:dyDescent="0.3">
      <c r="B16" s="146">
        <v>6</v>
      </c>
      <c r="E16" s="182"/>
      <c r="F16" s="182"/>
      <c r="G16" s="182"/>
      <c r="H16" s="182"/>
      <c r="I16" s="182"/>
      <c r="J16" s="182"/>
      <c r="K16" s="182"/>
      <c r="L16" s="182"/>
      <c r="M16" s="182" t="s">
        <v>593</v>
      </c>
      <c r="N16" s="182" t="s">
        <v>534</v>
      </c>
      <c r="O16" s="182" t="s">
        <v>594</v>
      </c>
      <c r="P16" s="182"/>
      <c r="Q16" s="182"/>
      <c r="R16" s="182" t="s">
        <v>595</v>
      </c>
      <c r="S16" s="182"/>
      <c r="T16" s="182"/>
      <c r="U16" s="182" t="s">
        <v>596</v>
      </c>
      <c r="V16" s="182"/>
      <c r="W16" s="182" t="s">
        <v>597</v>
      </c>
      <c r="X16" s="182" t="s">
        <v>184</v>
      </c>
      <c r="Y16" s="182" t="s">
        <v>598</v>
      </c>
      <c r="Z16" s="182"/>
      <c r="AA16" s="182"/>
      <c r="AB16" s="182"/>
      <c r="AC16" s="182"/>
      <c r="AD16" s="182"/>
      <c r="AE16" s="182"/>
      <c r="AF16" s="182" t="s">
        <v>599</v>
      </c>
      <c r="AG16" s="182" t="s">
        <v>600</v>
      </c>
      <c r="AH16" s="182" t="s">
        <v>417</v>
      </c>
      <c r="AI16" s="182" t="s">
        <v>444</v>
      </c>
      <c r="AJ16" s="182" t="s">
        <v>601</v>
      </c>
      <c r="AK16" s="182"/>
      <c r="AL16" s="182"/>
      <c r="AM16" s="182" t="s">
        <v>265</v>
      </c>
      <c r="AN16" s="182" t="s">
        <v>273</v>
      </c>
      <c r="AO16" s="182" t="s">
        <v>541</v>
      </c>
      <c r="AP16" s="182" t="s">
        <v>338</v>
      </c>
      <c r="AQ16" s="182" t="s">
        <v>602</v>
      </c>
      <c r="AR16" s="182" t="s">
        <v>339</v>
      </c>
      <c r="AS16" s="182" t="str">
        <f t="shared" si="3"/>
        <v>Stationary AssetsBuildingsOur EstateRefrigerantsHFC-134aNaN</v>
      </c>
      <c r="AT16" s="182" t="s">
        <v>337</v>
      </c>
      <c r="AU16" s="182"/>
      <c r="AV16" s="208"/>
      <c r="AW16" s="208"/>
      <c r="AX16" s="311">
        <v>0.1</v>
      </c>
      <c r="BA16" s="398" t="str">
        <v>Waste</v>
      </c>
      <c r="BB16" s="398" t="str">
        <v>Transport</v>
      </c>
      <c r="BC16" s="398" t="str">
        <v>Commuting</v>
      </c>
      <c r="BD16" s="147" t="str">
        <v>Streetlighting</v>
      </c>
      <c r="BE16" s="147" t="str">
        <v>Other public lighting</v>
      </c>
      <c r="BF16" s="147" t="str">
        <v>Fleet vehicle - distance</v>
      </c>
      <c r="BG16" s="147" t="str">
        <v>Van - distance</v>
      </c>
      <c r="BH16" s="147" t="str">
        <v>Administrative and support service activities</v>
      </c>
      <c r="BI16" s="147" t="str">
        <v>Travel agency, tour operator and other reservation services and related services</v>
      </c>
      <c r="BJ16" s="147" t="str">
        <v>Anaerobic digestion (municipal)</v>
      </c>
      <c r="BK16" s="147" t="str">
        <v>NaN</v>
      </c>
    </row>
    <row r="17" spans="2:63" x14ac:dyDescent="0.3">
      <c r="B17" s="146">
        <v>7</v>
      </c>
      <c r="E17" s="182"/>
      <c r="F17" s="182"/>
      <c r="G17" s="182"/>
      <c r="H17" s="182"/>
      <c r="I17" s="182"/>
      <c r="J17" s="182"/>
      <c r="K17" s="182"/>
      <c r="L17" s="182"/>
      <c r="M17" s="182" t="s">
        <v>603</v>
      </c>
      <c r="N17" s="182" t="s">
        <v>534</v>
      </c>
      <c r="O17" s="182" t="s">
        <v>604</v>
      </c>
      <c r="P17" s="182"/>
      <c r="Q17" s="182"/>
      <c r="R17" s="182"/>
      <c r="S17" s="182"/>
      <c r="T17" s="182"/>
      <c r="U17" s="182"/>
      <c r="V17" s="182"/>
      <c r="W17" s="182" t="s">
        <v>605</v>
      </c>
      <c r="X17" s="182" t="s">
        <v>184</v>
      </c>
      <c r="Y17" s="182" t="s">
        <v>606</v>
      </c>
      <c r="Z17" s="182"/>
      <c r="AA17" s="182"/>
      <c r="AB17" s="182"/>
      <c r="AC17" s="182"/>
      <c r="AD17" s="182"/>
      <c r="AE17" s="182"/>
      <c r="AF17" s="182" t="s">
        <v>599</v>
      </c>
      <c r="AG17" s="182" t="s">
        <v>607</v>
      </c>
      <c r="AH17" s="182"/>
      <c r="AI17" s="182" t="s">
        <v>608</v>
      </c>
      <c r="AJ17" s="182" t="s">
        <v>600</v>
      </c>
      <c r="AK17" s="182"/>
      <c r="AL17" s="182"/>
      <c r="AM17" s="182" t="s">
        <v>265</v>
      </c>
      <c r="AN17" s="182" t="s">
        <v>273</v>
      </c>
      <c r="AO17" s="182" t="s">
        <v>541</v>
      </c>
      <c r="AP17" s="182" t="s">
        <v>338</v>
      </c>
      <c r="AQ17" s="182" t="s">
        <v>609</v>
      </c>
      <c r="AR17" s="182" t="s">
        <v>339</v>
      </c>
      <c r="AS17" s="182" t="str">
        <f t="shared" si="3"/>
        <v>Stationary AssetsBuildingsOur EstateRefrigerantsHFC-143NaN</v>
      </c>
      <c r="AT17" s="182" t="s">
        <v>337</v>
      </c>
      <c r="AU17" s="182"/>
      <c r="AV17" s="208"/>
      <c r="AW17" s="208"/>
      <c r="AX17" s="311">
        <v>0.1</v>
      </c>
      <c r="BA17" s="398" t="str">
        <v>Renewables</v>
      </c>
      <c r="BB17" s="398" t="str">
        <v>Transport</v>
      </c>
      <c r="BC17" s="398" t="str">
        <v>Homeworking</v>
      </c>
      <c r="BD17" s="147" t="str">
        <v>Streetlighting</v>
      </c>
      <c r="BE17" s="147" t="str">
        <v>Traffic signs</v>
      </c>
      <c r="BF17" s="147" t="str">
        <v>Fleet vehicle - distance</v>
      </c>
      <c r="BG17" s="147" t="str">
        <v>HGV - distance</v>
      </c>
      <c r="BH17" s="147" t="str">
        <v>Administrative and support service activities</v>
      </c>
      <c r="BI17" s="147" t="str">
        <v>Security and investigation services</v>
      </c>
      <c r="BJ17" s="147" t="str">
        <v>Anaerobic digestion (organisational)</v>
      </c>
      <c r="BK17" s="147" t="str">
        <v>NaN</v>
      </c>
    </row>
    <row r="18" spans="2:63" x14ac:dyDescent="0.3">
      <c r="B18" s="146">
        <v>8</v>
      </c>
      <c r="E18" s="182"/>
      <c r="F18" s="182"/>
      <c r="G18" s="182"/>
      <c r="H18" s="182"/>
      <c r="I18" s="182"/>
      <c r="J18" s="182"/>
      <c r="K18" s="182"/>
      <c r="L18" s="182"/>
      <c r="M18" s="182" t="s">
        <v>610</v>
      </c>
      <c r="N18" s="182" t="s">
        <v>534</v>
      </c>
      <c r="O18" s="182" t="s">
        <v>611</v>
      </c>
      <c r="P18" s="182"/>
      <c r="Q18" s="182"/>
      <c r="R18" s="182"/>
      <c r="S18" s="182"/>
      <c r="T18" s="182"/>
      <c r="U18" s="182"/>
      <c r="V18" s="182"/>
      <c r="W18" s="182" t="s">
        <v>612</v>
      </c>
      <c r="X18" s="182" t="s">
        <v>184</v>
      </c>
      <c r="Y18" s="182" t="s">
        <v>185</v>
      </c>
      <c r="Z18" s="182"/>
      <c r="AA18" s="182"/>
      <c r="AB18" s="182"/>
      <c r="AC18" s="182"/>
      <c r="AD18" s="182"/>
      <c r="AE18" s="182"/>
      <c r="AF18" s="182"/>
      <c r="AG18" s="182"/>
      <c r="AH18" s="182"/>
      <c r="AI18" s="182" t="s">
        <v>608</v>
      </c>
      <c r="AJ18" s="182" t="s">
        <v>607</v>
      </c>
      <c r="AK18" s="182"/>
      <c r="AL18" s="182"/>
      <c r="AM18" s="182" t="s">
        <v>265</v>
      </c>
      <c r="AN18" s="182" t="s">
        <v>273</v>
      </c>
      <c r="AO18" s="182" t="s">
        <v>541</v>
      </c>
      <c r="AP18" s="182" t="s">
        <v>338</v>
      </c>
      <c r="AQ18" s="182" t="s">
        <v>613</v>
      </c>
      <c r="AR18" s="182" t="s">
        <v>339</v>
      </c>
      <c r="AS18" s="182" t="str">
        <f t="shared" si="3"/>
        <v>Stationary AssetsBuildingsOur EstateRefrigerantsHFC-143aNaN</v>
      </c>
      <c r="AT18" s="182" t="s">
        <v>337</v>
      </c>
      <c r="AU18" s="182"/>
      <c r="AV18" s="208"/>
      <c r="AW18" s="208"/>
      <c r="AX18" s="311">
        <v>0.1</v>
      </c>
      <c r="BA18" s="398"/>
      <c r="BB18" s="398" t="str">
        <v>Supply Chain</v>
      </c>
      <c r="BC18" s="398" t="str">
        <v>Supply chain</v>
      </c>
      <c r="BD18" s="147" t="str">
        <v>Medical Gas</v>
      </c>
      <c r="BE18" s="147" t="str">
        <v>Medical Gas</v>
      </c>
      <c r="BF18" s="147" t="str">
        <v>Fleet vehicle - distance</v>
      </c>
      <c r="BG18" s="147" t="str">
        <v>Motorbike - distance</v>
      </c>
      <c r="BH18" s="147" t="str">
        <v>Administrative and support service activities</v>
      </c>
      <c r="BI18" s="147" t="str">
        <v>Services to buildings and landscape</v>
      </c>
      <c r="BJ18" s="147" t="str">
        <v>Arts, entertainment and recreation</v>
      </c>
      <c r="BK18" s="147" t="str">
        <v>NaN</v>
      </c>
    </row>
    <row r="19" spans="2:63" x14ac:dyDescent="0.3">
      <c r="B19" s="146">
        <v>9</v>
      </c>
      <c r="E19" s="182"/>
      <c r="F19" s="182"/>
      <c r="G19" s="182"/>
      <c r="H19" s="182"/>
      <c r="I19" s="182"/>
      <c r="J19" s="182"/>
      <c r="K19" s="182"/>
      <c r="L19" s="182"/>
      <c r="M19" s="182" t="s">
        <v>614</v>
      </c>
      <c r="N19" s="182" t="s">
        <v>534</v>
      </c>
      <c r="O19" s="182" t="s">
        <v>615</v>
      </c>
      <c r="P19" s="182"/>
      <c r="Q19" s="182"/>
      <c r="R19" s="182"/>
      <c r="S19" s="182"/>
      <c r="T19" s="182"/>
      <c r="U19" s="182"/>
      <c r="V19" s="182"/>
      <c r="W19" s="182" t="s">
        <v>616</v>
      </c>
      <c r="X19" s="182" t="s">
        <v>184</v>
      </c>
      <c r="Y19" s="182" t="s">
        <v>617</v>
      </c>
      <c r="Z19" s="182"/>
      <c r="AA19" s="182"/>
      <c r="AB19" s="182"/>
      <c r="AC19" s="182"/>
      <c r="AD19" s="182"/>
      <c r="AE19" s="182"/>
      <c r="AF19" s="182"/>
      <c r="AG19" s="182"/>
      <c r="AH19" s="182"/>
      <c r="AI19" s="182"/>
      <c r="AJ19" s="182"/>
      <c r="AK19" s="182"/>
      <c r="AL19" s="182"/>
      <c r="AM19" s="182" t="s">
        <v>265</v>
      </c>
      <c r="AN19" s="182" t="s">
        <v>273</v>
      </c>
      <c r="AO19" s="182" t="s">
        <v>541</v>
      </c>
      <c r="AP19" s="182" t="s">
        <v>338</v>
      </c>
      <c r="AQ19" s="182" t="s">
        <v>618</v>
      </c>
      <c r="AR19" s="182" t="s">
        <v>339</v>
      </c>
      <c r="AS19" s="182" t="str">
        <f t="shared" si="3"/>
        <v>Stationary AssetsBuildingsOur EstateRefrigerantsHFC-152aNaN</v>
      </c>
      <c r="AT19" s="182" t="s">
        <v>337</v>
      </c>
      <c r="AU19" s="182"/>
      <c r="AV19" s="208"/>
      <c r="AW19" s="208"/>
      <c r="AX19" s="311">
        <v>0.1</v>
      </c>
      <c r="BA19" s="398"/>
      <c r="BB19" s="398" t="str">
        <v>FLAG</v>
      </c>
      <c r="BC19" s="398" t="str">
        <v>Land use</v>
      </c>
      <c r="BD19" s="147" t="str">
        <v>Fleet</v>
      </c>
      <c r="BE19" s="147" t="str">
        <v>Fleet vehicle - distance</v>
      </c>
      <c r="BF19" s="147" t="str">
        <v>Fleet vehicle - fuel</v>
      </c>
      <c r="BG19" s="147" t="str">
        <v>Pool car - fuel</v>
      </c>
      <c r="BH19" s="147" t="str">
        <v>Administrative and support service activities</v>
      </c>
      <c r="BI19" s="147" t="str">
        <v>Office administrative, office support and other business support services</v>
      </c>
      <c r="BJ19" s="147" t="str">
        <v>Autoclave treatment and combustion (organisational)</v>
      </c>
      <c r="BK19" s="147" t="str">
        <v>NaN</v>
      </c>
    </row>
    <row r="20" spans="2:63" x14ac:dyDescent="0.3">
      <c r="B20" s="146">
        <v>10</v>
      </c>
      <c r="E20" s="182"/>
      <c r="F20" s="182"/>
      <c r="G20" s="182"/>
      <c r="H20" s="182"/>
      <c r="I20" s="182"/>
      <c r="J20" s="182"/>
      <c r="K20" s="182"/>
      <c r="L20" s="182"/>
      <c r="M20" s="182"/>
      <c r="N20" s="182" t="s">
        <v>534</v>
      </c>
      <c r="O20" s="182" t="s">
        <v>619</v>
      </c>
      <c r="P20" s="182"/>
      <c r="Q20" s="182"/>
      <c r="R20" s="182"/>
      <c r="S20" s="182"/>
      <c r="T20" s="182"/>
      <c r="U20" s="182"/>
      <c r="V20" s="182"/>
      <c r="W20" s="182" t="s">
        <v>620</v>
      </c>
      <c r="X20" s="182" t="s">
        <v>184</v>
      </c>
      <c r="Y20" s="182" t="s">
        <v>621</v>
      </c>
      <c r="Z20" s="182"/>
      <c r="AA20" s="182"/>
      <c r="AB20" s="182"/>
      <c r="AC20" s="182"/>
      <c r="AD20" s="182"/>
      <c r="AE20" s="182"/>
      <c r="AF20" s="182"/>
      <c r="AG20" s="182"/>
      <c r="AH20" s="182"/>
      <c r="AI20" s="182"/>
      <c r="AJ20" s="182"/>
      <c r="AK20" s="182"/>
      <c r="AL20" s="182"/>
      <c r="AM20" s="182" t="s">
        <v>265</v>
      </c>
      <c r="AN20" s="182" t="s">
        <v>273</v>
      </c>
      <c r="AO20" s="182" t="s">
        <v>541</v>
      </c>
      <c r="AP20" s="182" t="s">
        <v>338</v>
      </c>
      <c r="AQ20" s="182" t="s">
        <v>622</v>
      </c>
      <c r="AR20" s="182" t="s">
        <v>339</v>
      </c>
      <c r="AS20" s="182" t="str">
        <f t="shared" si="3"/>
        <v>Stationary AssetsBuildingsOur EstateRefrigerantsHFC-227eaNaN</v>
      </c>
      <c r="AT20" s="182" t="s">
        <v>337</v>
      </c>
      <c r="AU20" s="182"/>
      <c r="AV20" s="208"/>
      <c r="AW20" s="208"/>
      <c r="AX20" s="311">
        <v>0.1</v>
      </c>
      <c r="BA20" s="398"/>
      <c r="BB20" s="398" t="str">
        <v>FLAG</v>
      </c>
      <c r="BC20" s="398" t="str">
        <v>Agriculture</v>
      </c>
      <c r="BD20" s="147" t="str">
        <v>Fleet</v>
      </c>
      <c r="BE20" s="147" t="str">
        <v>Fleet vehicle - fuel</v>
      </c>
      <c r="BF20" s="147" t="str">
        <v>Fleet vehicle - fuel</v>
      </c>
      <c r="BG20" s="147" t="str">
        <v>Van - fuel</v>
      </c>
      <c r="BH20" s="147" t="str">
        <v>Agriculture, forestry and fishing</v>
      </c>
      <c r="BI20" s="147" t="str">
        <v>Products of agriculture, hunting and related services</v>
      </c>
      <c r="BJ20" s="147" t="str">
        <v>Bioenergy</v>
      </c>
      <c r="BK20" s="147" t="str">
        <v>NaN</v>
      </c>
    </row>
    <row r="21" spans="2:63" x14ac:dyDescent="0.3">
      <c r="B21" s="146">
        <v>11</v>
      </c>
      <c r="E21" s="182"/>
      <c r="F21" s="182"/>
      <c r="G21" s="182"/>
      <c r="H21" s="182"/>
      <c r="I21" s="182"/>
      <c r="J21" s="182"/>
      <c r="K21" s="182"/>
      <c r="L21" s="182"/>
      <c r="M21" s="182"/>
      <c r="N21" s="182" t="s">
        <v>534</v>
      </c>
      <c r="O21" s="182" t="s">
        <v>623</v>
      </c>
      <c r="P21" s="182"/>
      <c r="Q21" s="182"/>
      <c r="R21" s="182"/>
      <c r="S21" s="182"/>
      <c r="T21" s="182"/>
      <c r="U21" s="182"/>
      <c r="V21" s="182"/>
      <c r="W21" s="182" t="s">
        <v>624</v>
      </c>
      <c r="X21" s="182" t="s">
        <v>184</v>
      </c>
      <c r="Y21" s="182" t="s">
        <v>625</v>
      </c>
      <c r="Z21" s="182"/>
      <c r="AA21" s="182"/>
      <c r="AB21" s="182"/>
      <c r="AC21" s="182"/>
      <c r="AD21" s="182"/>
      <c r="AE21" s="182"/>
      <c r="AF21" s="182"/>
      <c r="AG21" s="182"/>
      <c r="AH21" s="182"/>
      <c r="AI21" s="182"/>
      <c r="AJ21" s="182"/>
      <c r="AK21" s="182"/>
      <c r="AL21" s="182"/>
      <c r="AM21" s="182" t="s">
        <v>265</v>
      </c>
      <c r="AN21" s="182" t="s">
        <v>273</v>
      </c>
      <c r="AO21" s="182" t="s">
        <v>541</v>
      </c>
      <c r="AP21" s="182" t="s">
        <v>338</v>
      </c>
      <c r="AQ21" s="182" t="s">
        <v>626</v>
      </c>
      <c r="AR21" s="182" t="s">
        <v>339</v>
      </c>
      <c r="AS21" s="182" t="str">
        <f t="shared" si="3"/>
        <v>Stationary AssetsBuildingsOur EstateRefrigerantsHFC-236faNaN</v>
      </c>
      <c r="AT21" s="182" t="s">
        <v>337</v>
      </c>
      <c r="AU21" s="182"/>
      <c r="AV21" s="208"/>
      <c r="AW21" s="208"/>
      <c r="AX21" s="311">
        <v>0.1</v>
      </c>
      <c r="BA21" s="398"/>
      <c r="BB21" s="398" t="str">
        <v>Waste</v>
      </c>
      <c r="BC21" s="398" t="str">
        <v>Waste</v>
      </c>
      <c r="BD21" s="147" t="str">
        <v>Fleet</v>
      </c>
      <c r="BE21" s="147" t="str">
        <v>Stationary fleet</v>
      </c>
      <c r="BF21" s="147" t="str">
        <v>Fleet vehicle - fuel</v>
      </c>
      <c r="BG21" s="147" t="str">
        <v>HGV - fuel</v>
      </c>
      <c r="BH21" s="147" t="str">
        <v>Agriculture, forestry and fishing</v>
      </c>
      <c r="BI21" s="147" t="str">
        <v>Products of forestry, logging and related services</v>
      </c>
      <c r="BJ21" s="147" t="str">
        <v>Bus</v>
      </c>
      <c r="BK21" s="147" t="str">
        <v>NaN</v>
      </c>
    </row>
    <row r="22" spans="2:63" x14ac:dyDescent="0.3">
      <c r="B22" s="146">
        <v>12</v>
      </c>
      <c r="E22" s="182"/>
      <c r="F22" s="182"/>
      <c r="G22" s="182"/>
      <c r="H22" s="182"/>
      <c r="I22" s="182"/>
      <c r="J22" s="182"/>
      <c r="K22" s="182"/>
      <c r="L22" s="182"/>
      <c r="M22" s="182"/>
      <c r="N22" s="182" t="s">
        <v>534</v>
      </c>
      <c r="O22" s="182" t="s">
        <v>627</v>
      </c>
      <c r="P22" s="182"/>
      <c r="Q22" s="182"/>
      <c r="R22" s="182"/>
      <c r="S22" s="182"/>
      <c r="T22" s="182"/>
      <c r="U22" s="182"/>
      <c r="V22" s="182"/>
      <c r="W22" s="182" t="s">
        <v>628</v>
      </c>
      <c r="X22" s="182" t="s">
        <v>184</v>
      </c>
      <c r="Y22" s="182" t="s">
        <v>629</v>
      </c>
      <c r="Z22" s="182"/>
      <c r="AA22" s="182"/>
      <c r="AB22" s="182"/>
      <c r="AC22" s="182"/>
      <c r="AD22" s="182"/>
      <c r="AE22" s="182"/>
      <c r="AF22" s="182"/>
      <c r="AG22" s="182"/>
      <c r="AH22" s="182"/>
      <c r="AI22" s="182"/>
      <c r="AJ22" s="182"/>
      <c r="AK22" s="182"/>
      <c r="AL22" s="182"/>
      <c r="AM22" s="182" t="s">
        <v>265</v>
      </c>
      <c r="AN22" s="182" t="s">
        <v>273</v>
      </c>
      <c r="AO22" s="182" t="s">
        <v>541</v>
      </c>
      <c r="AP22" s="182" t="s">
        <v>338</v>
      </c>
      <c r="AQ22" s="182" t="s">
        <v>630</v>
      </c>
      <c r="AR22" s="182" t="s">
        <v>339</v>
      </c>
      <c r="AS22" s="182" t="str">
        <f t="shared" si="3"/>
        <v>Stationary AssetsBuildingsOur EstateRefrigerantsHFC-245faNaN</v>
      </c>
      <c r="AT22" s="182" t="s">
        <v>337</v>
      </c>
      <c r="AU22" s="182"/>
      <c r="AV22" s="208"/>
      <c r="AW22" s="208"/>
      <c r="AX22" s="311">
        <v>0.1</v>
      </c>
      <c r="BA22" s="398"/>
      <c r="BB22" s="398" t="str">
        <v>Renewables</v>
      </c>
      <c r="BC22" s="398" t="str">
        <v>Renewables</v>
      </c>
      <c r="BD22" s="147" t="str">
        <v>Business travel</v>
      </c>
      <c r="BE22" s="147" t="str">
        <v>Vehicle</v>
      </c>
      <c r="BF22" s="147" t="str">
        <v>Fleet vehicle - fuel</v>
      </c>
      <c r="BG22" s="147" t="str">
        <v>Motorbike - fuel</v>
      </c>
      <c r="BH22" s="147" t="str">
        <v>Agriculture, forestry and fishing</v>
      </c>
      <c r="BI22" s="147" t="str">
        <v>Fish and other fishing products; aquaculture products; support services to fishing</v>
      </c>
      <c r="BJ22" s="147" t="str">
        <v>Combustion (municipal)</v>
      </c>
      <c r="BK22" s="147" t="str">
        <v>Not including transport</v>
      </c>
    </row>
    <row r="23" spans="2:63" x14ac:dyDescent="0.3">
      <c r="B23" s="146">
        <v>13</v>
      </c>
      <c r="E23" s="182"/>
      <c r="F23" s="182"/>
      <c r="G23" s="182"/>
      <c r="H23" s="182"/>
      <c r="I23" s="182"/>
      <c r="J23" s="182"/>
      <c r="K23" s="182"/>
      <c r="L23" s="182"/>
      <c r="M23" s="182"/>
      <c r="N23" s="182" t="s">
        <v>534</v>
      </c>
      <c r="O23" s="182" t="s">
        <v>631</v>
      </c>
      <c r="P23" s="182"/>
      <c r="Q23" s="182"/>
      <c r="R23" s="182"/>
      <c r="S23" s="182"/>
      <c r="T23" s="182"/>
      <c r="U23" s="182"/>
      <c r="V23" s="182"/>
      <c r="W23" s="182" t="s">
        <v>632</v>
      </c>
      <c r="X23" s="182" t="s">
        <v>184</v>
      </c>
      <c r="Y23" s="182" t="s">
        <v>633</v>
      </c>
      <c r="Z23" s="182"/>
      <c r="AA23" s="182"/>
      <c r="AB23" s="182"/>
      <c r="AC23" s="182"/>
      <c r="AD23" s="182"/>
      <c r="AE23" s="182"/>
      <c r="AF23" s="182"/>
      <c r="AG23" s="182"/>
      <c r="AH23" s="182"/>
      <c r="AI23" s="182"/>
      <c r="AJ23" s="182"/>
      <c r="AK23" s="182"/>
      <c r="AL23" s="182"/>
      <c r="AM23" s="182" t="s">
        <v>265</v>
      </c>
      <c r="AN23" s="182" t="s">
        <v>273</v>
      </c>
      <c r="AO23" s="182" t="s">
        <v>541</v>
      </c>
      <c r="AP23" s="182" t="s">
        <v>338</v>
      </c>
      <c r="AQ23" s="182" t="s">
        <v>634</v>
      </c>
      <c r="AR23" s="182" t="s">
        <v>339</v>
      </c>
      <c r="AS23" s="182" t="str">
        <f t="shared" si="3"/>
        <v>Stationary AssetsBuildingsOur EstateRefrigerantsHFC-43-I0meeNaN</v>
      </c>
      <c r="AT23" s="182" t="s">
        <v>337</v>
      </c>
      <c r="AU23" s="182"/>
      <c r="AV23" s="208"/>
      <c r="AW23" s="208"/>
      <c r="AX23" s="311">
        <v>0.1</v>
      </c>
      <c r="BA23" s="398"/>
      <c r="BB23" s="398"/>
      <c r="BC23" s="398"/>
      <c r="BD23" s="147" t="str">
        <v>Business travel</v>
      </c>
      <c r="BE23" s="147" t="str">
        <v>Flight</v>
      </c>
      <c r="BF23" s="147" t="str">
        <v>Fleet vehicle - fuel</v>
      </c>
      <c r="BG23" s="147" t="str">
        <v>Rolling stock - fuel</v>
      </c>
      <c r="BH23" s="147" t="str">
        <v>Anaerobic digestion (municipal)</v>
      </c>
      <c r="BI23" s="147" t="str">
        <v>Organic food and drink</v>
      </c>
      <c r="BJ23" s="147" t="str">
        <v>Combustion (municipal)</v>
      </c>
      <c r="BK23" s="147" t="str">
        <v>NaN</v>
      </c>
    </row>
    <row r="24" spans="2:63" x14ac:dyDescent="0.3">
      <c r="B24" s="146">
        <v>14</v>
      </c>
      <c r="E24" s="182"/>
      <c r="F24" s="182"/>
      <c r="G24" s="182"/>
      <c r="H24" s="182"/>
      <c r="I24" s="182"/>
      <c r="J24" s="182"/>
      <c r="K24" s="182"/>
      <c r="L24" s="182"/>
      <c r="M24" s="182"/>
      <c r="N24" s="182" t="s">
        <v>546</v>
      </c>
      <c r="O24" s="182" t="s">
        <v>635</v>
      </c>
      <c r="P24" s="182"/>
      <c r="Q24" s="182"/>
      <c r="R24" s="182"/>
      <c r="S24" s="182"/>
      <c r="T24" s="182"/>
      <c r="U24" s="182"/>
      <c r="V24" s="182"/>
      <c r="W24" s="182" t="s">
        <v>636</v>
      </c>
      <c r="X24" s="182" t="s">
        <v>184</v>
      </c>
      <c r="Y24" s="182" t="s">
        <v>637</v>
      </c>
      <c r="Z24" s="182"/>
      <c r="AA24" s="182"/>
      <c r="AB24" s="182"/>
      <c r="AC24" s="182"/>
      <c r="AD24" s="182"/>
      <c r="AE24" s="182"/>
      <c r="AF24" s="182"/>
      <c r="AG24" s="182"/>
      <c r="AH24" s="182"/>
      <c r="AI24" s="182"/>
      <c r="AJ24" s="182"/>
      <c r="AK24" s="182"/>
      <c r="AL24" s="182"/>
      <c r="AM24" s="182" t="s">
        <v>265</v>
      </c>
      <c r="AN24" s="182" t="s">
        <v>273</v>
      </c>
      <c r="AO24" s="182" t="s">
        <v>541</v>
      </c>
      <c r="AP24" s="182" t="s">
        <v>338</v>
      </c>
      <c r="AQ24" s="182" t="s">
        <v>638</v>
      </c>
      <c r="AR24" s="182" t="s">
        <v>339</v>
      </c>
      <c r="AS24" s="182" t="str">
        <f t="shared" si="3"/>
        <v>Stationary AssetsBuildingsOur EstateRefrigerantsPerfluoromethane (PFC-14)NaN</v>
      </c>
      <c r="AT24" s="182" t="s">
        <v>337</v>
      </c>
      <c r="AU24" s="182"/>
      <c r="AV24" s="208"/>
      <c r="AW24" s="208"/>
      <c r="AX24" s="311">
        <v>0.1</v>
      </c>
      <c r="BA24" s="398"/>
      <c r="BB24" s="398"/>
      <c r="BC24" s="398"/>
      <c r="BD24" s="147" t="str">
        <v>Business travel</v>
      </c>
      <c r="BE24" s="147" t="str">
        <v>Public transport</v>
      </c>
      <c r="BF24" s="147" t="str">
        <v>Flight</v>
      </c>
      <c r="BG24" s="147" t="str">
        <v>Domestic</v>
      </c>
      <c r="BH24" s="147" t="str">
        <v>Anaerobic digestion (municipal)</v>
      </c>
      <c r="BI24" s="147" t="str">
        <v>Organic mixed</v>
      </c>
      <c r="BJ24" s="147" t="str">
        <v>Combustion (organisational)</v>
      </c>
      <c r="BK24" s="147" t="str">
        <v>NaN</v>
      </c>
    </row>
    <row r="25" spans="2:63" x14ac:dyDescent="0.3">
      <c r="B25" s="146">
        <v>15</v>
      </c>
      <c r="E25" s="182"/>
      <c r="F25" s="182"/>
      <c r="G25" s="182"/>
      <c r="H25" s="182"/>
      <c r="I25" s="182"/>
      <c r="J25" s="182"/>
      <c r="K25" s="182"/>
      <c r="L25" s="182"/>
      <c r="M25" s="182"/>
      <c r="N25" s="182" t="s">
        <v>546</v>
      </c>
      <c r="O25" s="182" t="s">
        <v>639</v>
      </c>
      <c r="P25" s="182"/>
      <c r="Q25" s="182"/>
      <c r="R25" s="182"/>
      <c r="S25" s="182"/>
      <c r="T25" s="182"/>
      <c r="U25" s="182"/>
      <c r="V25" s="182"/>
      <c r="W25" s="182" t="s">
        <v>640</v>
      </c>
      <c r="X25" s="182" t="s">
        <v>184</v>
      </c>
      <c r="Y25" s="182" t="s">
        <v>641</v>
      </c>
      <c r="Z25" s="182"/>
      <c r="AA25" s="182"/>
      <c r="AB25" s="182"/>
      <c r="AC25" s="182"/>
      <c r="AD25" s="182"/>
      <c r="AE25" s="182"/>
      <c r="AF25" s="182"/>
      <c r="AG25" s="182"/>
      <c r="AH25" s="182"/>
      <c r="AI25" s="182"/>
      <c r="AJ25" s="182"/>
      <c r="AK25" s="182"/>
      <c r="AL25" s="182"/>
      <c r="AM25" s="182" t="s">
        <v>265</v>
      </c>
      <c r="AN25" s="182" t="s">
        <v>273</v>
      </c>
      <c r="AO25" s="182" t="s">
        <v>541</v>
      </c>
      <c r="AP25" s="182" t="s">
        <v>338</v>
      </c>
      <c r="AQ25" s="182" t="s">
        <v>642</v>
      </c>
      <c r="AR25" s="182" t="s">
        <v>339</v>
      </c>
      <c r="AS25" s="182" t="str">
        <f t="shared" si="3"/>
        <v>Stationary AssetsBuildingsOur EstateRefrigerantsPerfluoroethane (PFC-116)NaN</v>
      </c>
      <c r="AT25" s="182" t="s">
        <v>337</v>
      </c>
      <c r="AU25" s="182"/>
      <c r="AV25" s="208"/>
      <c r="AW25" s="208"/>
      <c r="AX25" s="311">
        <v>0.1</v>
      </c>
      <c r="BA25" s="398"/>
      <c r="BB25" s="398"/>
      <c r="BC25" s="398"/>
      <c r="BD25" s="147" t="str">
        <v>Commuting</v>
      </c>
      <c r="BE25" s="147" t="str">
        <v>Vehicle</v>
      </c>
      <c r="BF25" s="147" t="str">
        <v>Flight</v>
      </c>
      <c r="BG25" s="147" t="str">
        <v>Long haul</v>
      </c>
      <c r="BH25" s="147" t="str">
        <v>Anaerobic digestion (organisational)</v>
      </c>
      <c r="BI25" s="147" t="str">
        <v>Organic food and drink</v>
      </c>
      <c r="BJ25" s="147" t="str">
        <v>Combustion (project)</v>
      </c>
      <c r="BK25" s="147" t="str">
        <v>NaN</v>
      </c>
    </row>
    <row r="26" spans="2:63" x14ac:dyDescent="0.3">
      <c r="B26" s="146">
        <v>16</v>
      </c>
      <c r="E26" s="182"/>
      <c r="F26" s="182"/>
      <c r="G26" s="182"/>
      <c r="H26" s="182"/>
      <c r="I26" s="182"/>
      <c r="J26" s="182"/>
      <c r="K26" s="182"/>
      <c r="L26" s="182"/>
      <c r="M26" s="182"/>
      <c r="N26" s="182" t="s">
        <v>546</v>
      </c>
      <c r="O26" s="182" t="s">
        <v>643</v>
      </c>
      <c r="P26" s="182"/>
      <c r="Q26" s="182"/>
      <c r="R26" s="182"/>
      <c r="S26" s="182"/>
      <c r="T26" s="182"/>
      <c r="U26" s="182"/>
      <c r="V26" s="182"/>
      <c r="W26" s="182" t="s">
        <v>644</v>
      </c>
      <c r="X26" s="182" t="s">
        <v>184</v>
      </c>
      <c r="Y26" s="182" t="s">
        <v>645</v>
      </c>
      <c r="Z26" s="182"/>
      <c r="AA26" s="182"/>
      <c r="AB26" s="182"/>
      <c r="AC26" s="182"/>
      <c r="AD26" s="182"/>
      <c r="AE26" s="182"/>
      <c r="AF26" s="182"/>
      <c r="AG26" s="182"/>
      <c r="AH26" s="182"/>
      <c r="AI26" s="182"/>
      <c r="AJ26" s="182"/>
      <c r="AK26" s="182"/>
      <c r="AL26" s="182"/>
      <c r="AM26" s="182" t="s">
        <v>265</v>
      </c>
      <c r="AN26" s="182" t="s">
        <v>273</v>
      </c>
      <c r="AO26" s="182" t="s">
        <v>541</v>
      </c>
      <c r="AP26" s="182" t="s">
        <v>338</v>
      </c>
      <c r="AQ26" s="182" t="s">
        <v>646</v>
      </c>
      <c r="AR26" s="182" t="s">
        <v>339</v>
      </c>
      <c r="AS26" s="182" t="str">
        <f t="shared" si="3"/>
        <v>Stationary AssetsBuildingsOur EstateRefrigerantsPerfluoropropane (PFC-218)NaN</v>
      </c>
      <c r="AT26" s="182" t="s">
        <v>337</v>
      </c>
      <c r="AU26" s="182"/>
      <c r="AV26" s="208"/>
      <c r="AW26" s="208"/>
      <c r="AX26" s="311">
        <v>0.1</v>
      </c>
      <c r="BA26" s="398"/>
      <c r="BB26" s="398"/>
      <c r="BC26" s="398"/>
      <c r="BD26" s="147" t="str">
        <v>Commuting</v>
      </c>
      <c r="BE26" s="147" t="str">
        <v>Public transport</v>
      </c>
      <c r="BF26" s="147" t="str">
        <v>Flight</v>
      </c>
      <c r="BG26" s="147" t="str">
        <v>Short haul</v>
      </c>
      <c r="BH26" s="147" t="str">
        <v>Anaerobic digestion (organisational)</v>
      </c>
      <c r="BI26" s="147" t="str">
        <v>Organic garden</v>
      </c>
      <c r="BJ26" s="147" t="str">
        <v>Composting (municipal)</v>
      </c>
      <c r="BK26" s="147" t="str">
        <v>Not including transport</v>
      </c>
    </row>
    <row r="27" spans="2:63" x14ac:dyDescent="0.3">
      <c r="B27" s="146">
        <v>17</v>
      </c>
      <c r="E27" s="182"/>
      <c r="F27" s="182"/>
      <c r="G27" s="182"/>
      <c r="H27" s="182"/>
      <c r="I27" s="182"/>
      <c r="J27" s="182"/>
      <c r="K27" s="182"/>
      <c r="L27" s="182"/>
      <c r="M27" s="182"/>
      <c r="N27" s="182" t="s">
        <v>546</v>
      </c>
      <c r="O27" s="182" t="s">
        <v>647</v>
      </c>
      <c r="P27" s="182"/>
      <c r="Q27" s="182"/>
      <c r="R27" s="182"/>
      <c r="S27" s="182"/>
      <c r="T27" s="182"/>
      <c r="U27" s="182"/>
      <c r="V27" s="182"/>
      <c r="W27" s="182" t="s">
        <v>648</v>
      </c>
      <c r="X27" s="182" t="s">
        <v>566</v>
      </c>
      <c r="Y27" s="182" t="s">
        <v>649</v>
      </c>
      <c r="Z27" s="182"/>
      <c r="AA27" s="182"/>
      <c r="AB27" s="182"/>
      <c r="AC27" s="182"/>
      <c r="AD27" s="182"/>
      <c r="AE27" s="182"/>
      <c r="AF27" s="182"/>
      <c r="AG27" s="182"/>
      <c r="AH27" s="182"/>
      <c r="AI27" s="182"/>
      <c r="AJ27" s="182"/>
      <c r="AK27" s="182"/>
      <c r="AL27" s="182"/>
      <c r="AM27" s="182" t="s">
        <v>265</v>
      </c>
      <c r="AN27" s="182" t="s">
        <v>273</v>
      </c>
      <c r="AO27" s="182" t="s">
        <v>541</v>
      </c>
      <c r="AP27" s="182" t="s">
        <v>338</v>
      </c>
      <c r="AQ27" s="182" t="s">
        <v>650</v>
      </c>
      <c r="AR27" s="182" t="s">
        <v>339</v>
      </c>
      <c r="AS27" s="182" t="str">
        <f t="shared" si="3"/>
        <v>Stationary AssetsBuildingsOur EstateRefrigerantsPerfluorocyclobutane (PFC-318)NaN</v>
      </c>
      <c r="AT27" s="182" t="s">
        <v>337</v>
      </c>
      <c r="AU27" s="182"/>
      <c r="AV27" s="208"/>
      <c r="AW27" s="208"/>
      <c r="AX27" s="311">
        <v>0.1</v>
      </c>
      <c r="BA27" s="398"/>
      <c r="BB27" s="398"/>
      <c r="BC27" s="398"/>
      <c r="BD27" s="147" t="str">
        <v>Homeworking</v>
      </c>
      <c r="BE27" s="147" t="str">
        <v>Homeworking</v>
      </c>
      <c r="BF27" s="147" t="str">
        <v>Forest land</v>
      </c>
      <c r="BG27" s="147" t="str">
        <v>Mineral</v>
      </c>
      <c r="BH27" s="147" t="str">
        <v>Anaerobic digestion (organisational)</v>
      </c>
      <c r="BI27" s="147" t="str">
        <v>Organic mixed</v>
      </c>
      <c r="BJ27" s="147" t="str">
        <v>Composting (municipal)</v>
      </c>
      <c r="BK27" s="147" t="str">
        <v>NaN</v>
      </c>
    </row>
    <row r="28" spans="2:63" x14ac:dyDescent="0.3">
      <c r="B28" s="146">
        <v>18</v>
      </c>
      <c r="E28" s="182"/>
      <c r="F28" s="182"/>
      <c r="G28" s="182"/>
      <c r="H28" s="182"/>
      <c r="I28" s="182"/>
      <c r="J28" s="182"/>
      <c r="K28" s="182"/>
      <c r="L28" s="182"/>
      <c r="M28" s="182"/>
      <c r="N28" s="182" t="s">
        <v>561</v>
      </c>
      <c r="O28" s="182" t="s">
        <v>651</v>
      </c>
      <c r="P28" s="182"/>
      <c r="Q28" s="182"/>
      <c r="R28" s="182"/>
      <c r="S28" s="182"/>
      <c r="T28" s="182"/>
      <c r="U28" s="182"/>
      <c r="V28" s="182"/>
      <c r="W28" s="182"/>
      <c r="X28" s="182" t="s">
        <v>566</v>
      </c>
      <c r="Y28" s="182" t="s">
        <v>652</v>
      </c>
      <c r="Z28" s="182"/>
      <c r="AA28" s="182"/>
      <c r="AB28" s="182"/>
      <c r="AC28" s="182"/>
      <c r="AD28" s="182"/>
      <c r="AE28" s="182"/>
      <c r="AF28" s="182"/>
      <c r="AG28" s="182"/>
      <c r="AH28" s="182"/>
      <c r="AI28" s="182"/>
      <c r="AJ28" s="182"/>
      <c r="AK28" s="182"/>
      <c r="AL28" s="182"/>
      <c r="AM28" s="182" t="s">
        <v>265</v>
      </c>
      <c r="AN28" s="182" t="s">
        <v>273</v>
      </c>
      <c r="AO28" s="182" t="s">
        <v>541</v>
      </c>
      <c r="AP28" s="182" t="s">
        <v>338</v>
      </c>
      <c r="AQ28" s="182" t="s">
        <v>653</v>
      </c>
      <c r="AR28" s="182" t="s">
        <v>339</v>
      </c>
      <c r="AS28" s="182" t="str">
        <f t="shared" si="3"/>
        <v>Stationary AssetsBuildingsOur EstateRefrigerantsPerfluorobutane (PFC-3-1-10)NaN</v>
      </c>
      <c r="AT28" s="182" t="s">
        <v>337</v>
      </c>
      <c r="AU28" s="182"/>
      <c r="AV28" s="208"/>
      <c r="AW28" s="208"/>
      <c r="AX28" s="311">
        <v>0.1</v>
      </c>
      <c r="BA28" s="398"/>
      <c r="BB28" s="398"/>
      <c r="BC28" s="398"/>
      <c r="BD28" s="147" t="str">
        <v>Supply chain</v>
      </c>
      <c r="BE28" s="147" t="str">
        <v>Supply chain</v>
      </c>
      <c r="BF28" s="147" t="str">
        <v>Forest land</v>
      </c>
      <c r="BG28" s="147" t="str">
        <v>Organic</v>
      </c>
      <c r="BH28" s="147" t="str">
        <v>Arts, entertainment and recreation</v>
      </c>
      <c r="BI28" s="147" t="str">
        <v>Creative, arts and entertainment services</v>
      </c>
      <c r="BJ28" s="147" t="str">
        <v>Construction</v>
      </c>
      <c r="BK28" s="147" t="str">
        <v>NaN</v>
      </c>
    </row>
    <row r="29" spans="2:63" x14ac:dyDescent="0.3">
      <c r="B29" s="146">
        <v>19</v>
      </c>
      <c r="E29" s="182"/>
      <c r="F29" s="182"/>
      <c r="G29" s="182"/>
      <c r="H29" s="182"/>
      <c r="I29" s="182"/>
      <c r="J29" s="182"/>
      <c r="K29" s="182"/>
      <c r="L29" s="182"/>
      <c r="M29" s="182"/>
      <c r="N29" s="182" t="s">
        <v>561</v>
      </c>
      <c r="O29" s="182" t="s">
        <v>654</v>
      </c>
      <c r="P29" s="182"/>
      <c r="Q29" s="182"/>
      <c r="R29" s="182"/>
      <c r="S29" s="182"/>
      <c r="T29" s="182"/>
      <c r="U29" s="182"/>
      <c r="V29" s="182"/>
      <c r="W29" s="182"/>
      <c r="X29" s="182" t="s">
        <v>566</v>
      </c>
      <c r="Y29" s="182" t="s">
        <v>655</v>
      </c>
      <c r="Z29" s="182"/>
      <c r="AA29" s="182"/>
      <c r="AB29" s="182"/>
      <c r="AC29" s="182"/>
      <c r="AD29" s="182"/>
      <c r="AE29" s="182"/>
      <c r="AF29" s="182"/>
      <c r="AG29" s="182"/>
      <c r="AH29" s="182"/>
      <c r="AI29" s="182"/>
      <c r="AJ29" s="182"/>
      <c r="AK29" s="182"/>
      <c r="AL29" s="182"/>
      <c r="AM29" s="182" t="s">
        <v>265</v>
      </c>
      <c r="AN29" s="182" t="s">
        <v>273</v>
      </c>
      <c r="AO29" s="182" t="s">
        <v>541</v>
      </c>
      <c r="AP29" s="182" t="s">
        <v>338</v>
      </c>
      <c r="AQ29" s="182" t="s">
        <v>656</v>
      </c>
      <c r="AR29" s="182" t="s">
        <v>339</v>
      </c>
      <c r="AS29" s="182" t="str">
        <f t="shared" si="3"/>
        <v>Stationary AssetsBuildingsOur EstateRefrigerantsPerfluoropentane (PFC-4-1-12)NaN</v>
      </c>
      <c r="AT29" s="182" t="s">
        <v>337</v>
      </c>
      <c r="AU29" s="182"/>
      <c r="AV29" s="208"/>
      <c r="AW29" s="208"/>
      <c r="AX29" s="311">
        <v>0.1</v>
      </c>
      <c r="BA29" s="398"/>
      <c r="BB29" s="398"/>
      <c r="BC29" s="398"/>
      <c r="BD29" s="147" t="str">
        <v>Land use</v>
      </c>
      <c r="BE29" s="147" t="str">
        <v>Forest land</v>
      </c>
      <c r="BF29" s="147" t="str">
        <v>Grassland</v>
      </c>
      <c r="BG29" s="147" t="str">
        <v>Mineral</v>
      </c>
      <c r="BH29" s="147" t="str">
        <v>Arts, entertainment and recreation</v>
      </c>
      <c r="BI29" s="147" t="str">
        <v>Libraries, archives, museums and other cultural services</v>
      </c>
      <c r="BJ29" s="147" t="str">
        <v>Domestic</v>
      </c>
      <c r="BK29" s="147" t="str">
        <v>NaN</v>
      </c>
    </row>
    <row r="30" spans="2:63" x14ac:dyDescent="0.3">
      <c r="B30" s="146">
        <v>20</v>
      </c>
      <c r="E30" s="182"/>
      <c r="F30" s="182"/>
      <c r="G30" s="182"/>
      <c r="H30" s="182"/>
      <c r="I30" s="182"/>
      <c r="J30" s="182"/>
      <c r="K30" s="182"/>
      <c r="L30" s="182"/>
      <c r="M30" s="182"/>
      <c r="N30" s="182" t="s">
        <v>561</v>
      </c>
      <c r="O30" s="182" t="s">
        <v>657</v>
      </c>
      <c r="P30" s="182"/>
      <c r="Q30" s="182"/>
      <c r="R30" s="182"/>
      <c r="S30" s="182"/>
      <c r="T30" s="182"/>
      <c r="U30" s="182"/>
      <c r="V30" s="182"/>
      <c r="W30" s="182"/>
      <c r="X30" s="182" t="s">
        <v>566</v>
      </c>
      <c r="Y30" s="182" t="s">
        <v>658</v>
      </c>
      <c r="Z30" s="182"/>
      <c r="AA30" s="182"/>
      <c r="AB30" s="182"/>
      <c r="AC30" s="182"/>
      <c r="AD30" s="182"/>
      <c r="AE30" s="182"/>
      <c r="AF30" s="182"/>
      <c r="AG30" s="182"/>
      <c r="AH30" s="182"/>
      <c r="AI30" s="182"/>
      <c r="AJ30" s="182"/>
      <c r="AK30" s="182"/>
      <c r="AL30" s="182"/>
      <c r="AM30" s="182" t="s">
        <v>265</v>
      </c>
      <c r="AN30" s="182" t="s">
        <v>273</v>
      </c>
      <c r="AO30" s="182" t="s">
        <v>541</v>
      </c>
      <c r="AP30" s="182" t="s">
        <v>338</v>
      </c>
      <c r="AQ30" s="182" t="s">
        <v>659</v>
      </c>
      <c r="AR30" s="182" t="s">
        <v>339</v>
      </c>
      <c r="AS30" s="182" t="str">
        <f t="shared" si="3"/>
        <v>Stationary AssetsBuildingsOur EstateRefrigerantsPerfluorohexane (PFC-5-1-14)NaN</v>
      </c>
      <c r="AT30" s="182" t="s">
        <v>337</v>
      </c>
      <c r="AU30" s="182"/>
      <c r="AV30" s="208"/>
      <c r="AW30" s="208"/>
      <c r="AX30" s="311">
        <v>0.1</v>
      </c>
      <c r="BA30" s="398"/>
      <c r="BB30" s="398"/>
      <c r="BC30" s="398"/>
      <c r="BD30" s="147" t="str">
        <v>Land use</v>
      </c>
      <c r="BE30" s="147" t="str">
        <v>Cropland</v>
      </c>
      <c r="BF30" s="147" t="str">
        <v>Grassland</v>
      </c>
      <c r="BG30" s="147" t="str">
        <v>Organic</v>
      </c>
      <c r="BH30" s="147" t="str">
        <v>Arts, entertainment and recreation</v>
      </c>
      <c r="BI30" s="147" t="str">
        <v>Gambling and betting services</v>
      </c>
      <c r="BJ30" s="147" t="str">
        <v>Education</v>
      </c>
      <c r="BK30" s="147" t="str">
        <v>NaN</v>
      </c>
    </row>
    <row r="31" spans="2:63" x14ac:dyDescent="0.3">
      <c r="B31" s="146">
        <v>21</v>
      </c>
      <c r="E31" s="182"/>
      <c r="F31" s="182"/>
      <c r="G31" s="182"/>
      <c r="H31" s="182"/>
      <c r="I31" s="182"/>
      <c r="J31" s="182"/>
      <c r="K31" s="182"/>
      <c r="L31" s="182"/>
      <c r="M31" s="182"/>
      <c r="N31" s="182" t="s">
        <v>573</v>
      </c>
      <c r="O31" s="182" t="s">
        <v>660</v>
      </c>
      <c r="P31" s="182"/>
      <c r="Q31" s="182"/>
      <c r="R31" s="182"/>
      <c r="S31" s="182"/>
      <c r="T31" s="182"/>
      <c r="U31" s="182"/>
      <c r="V31" s="182"/>
      <c r="W31" s="182"/>
      <c r="X31" s="182" t="s">
        <v>566</v>
      </c>
      <c r="Y31" s="182" t="s">
        <v>661</v>
      </c>
      <c r="Z31" s="182"/>
      <c r="AA31" s="182"/>
      <c r="AB31" s="182"/>
      <c r="AC31" s="182"/>
      <c r="AD31" s="182"/>
      <c r="AE31" s="182"/>
      <c r="AF31" s="182"/>
      <c r="AG31" s="182"/>
      <c r="AH31" s="182"/>
      <c r="AI31" s="182"/>
      <c r="AJ31" s="182"/>
      <c r="AK31" s="182"/>
      <c r="AL31" s="182"/>
      <c r="AM31" s="182" t="s">
        <v>265</v>
      </c>
      <c r="AN31" s="182" t="s">
        <v>273</v>
      </c>
      <c r="AO31" s="182" t="s">
        <v>541</v>
      </c>
      <c r="AP31" s="182" t="s">
        <v>338</v>
      </c>
      <c r="AQ31" s="182" t="s">
        <v>662</v>
      </c>
      <c r="AR31" s="182" t="s">
        <v>339</v>
      </c>
      <c r="AS31" s="182" t="str">
        <f t="shared" si="3"/>
        <v>Stationary AssetsBuildingsOur EstateRefrigerantsPFC-9-1-18NaN</v>
      </c>
      <c r="AT31" s="182" t="s">
        <v>337</v>
      </c>
      <c r="AU31" s="182"/>
      <c r="AV31" s="208"/>
      <c r="AW31" s="208"/>
      <c r="AX31" s="311">
        <v>0.1</v>
      </c>
      <c r="BA31" s="398"/>
      <c r="BB31" s="398"/>
      <c r="BC31" s="398"/>
      <c r="BD31" s="147" t="str">
        <v>Land use</v>
      </c>
      <c r="BE31" s="147" t="str">
        <v>Grassland</v>
      </c>
      <c r="BF31" s="147" t="str">
        <v>Homeworking</v>
      </c>
      <c r="BG31" s="147" t="str">
        <v>Homeworking</v>
      </c>
      <c r="BH31" s="147" t="str">
        <v>Arts, entertainment and recreation</v>
      </c>
      <c r="BI31" s="147" t="str">
        <v>Sports services and amusement and recreation services</v>
      </c>
      <c r="BJ31" s="147" t="str">
        <v>Electricity</v>
      </c>
      <c r="BK31" s="147" t="str">
        <v>NaN</v>
      </c>
    </row>
    <row r="32" spans="2:63" x14ac:dyDescent="0.3">
      <c r="B32" s="146">
        <v>22</v>
      </c>
      <c r="E32" s="182"/>
      <c r="F32" s="182"/>
      <c r="G32" s="182"/>
      <c r="H32" s="182"/>
      <c r="I32" s="182"/>
      <c r="J32" s="182"/>
      <c r="K32" s="182"/>
      <c r="L32" s="182"/>
      <c r="M32" s="182"/>
      <c r="N32" s="182" t="s">
        <v>573</v>
      </c>
      <c r="O32" s="182" t="s">
        <v>663</v>
      </c>
      <c r="P32" s="182"/>
      <c r="Q32" s="182"/>
      <c r="R32" s="182"/>
      <c r="S32" s="182"/>
      <c r="T32" s="182"/>
      <c r="U32" s="182"/>
      <c r="V32" s="182"/>
      <c r="W32" s="182"/>
      <c r="X32" s="182" t="s">
        <v>566</v>
      </c>
      <c r="Y32" s="182" t="s">
        <v>664</v>
      </c>
      <c r="Z32" s="182"/>
      <c r="AA32" s="182"/>
      <c r="AB32" s="182"/>
      <c r="AC32" s="182"/>
      <c r="AD32" s="182"/>
      <c r="AE32" s="182"/>
      <c r="AF32" s="182"/>
      <c r="AG32" s="182"/>
      <c r="AH32" s="182"/>
      <c r="AI32" s="182"/>
      <c r="AJ32" s="182"/>
      <c r="AK32" s="182"/>
      <c r="AL32" s="182"/>
      <c r="AM32" s="182" t="s">
        <v>265</v>
      </c>
      <c r="AN32" s="182" t="s">
        <v>273</v>
      </c>
      <c r="AO32" s="182" t="s">
        <v>541</v>
      </c>
      <c r="AP32" s="182" t="s">
        <v>338</v>
      </c>
      <c r="AQ32" s="182" t="s">
        <v>665</v>
      </c>
      <c r="AR32" s="182" t="s">
        <v>339</v>
      </c>
      <c r="AS32" s="182" t="str">
        <f t="shared" si="3"/>
        <v>Stationary AssetsBuildingsOur EstateRefrigerantsPerfluorocyclopropaneNaN</v>
      </c>
      <c r="AT32" s="182" t="s">
        <v>337</v>
      </c>
      <c r="AU32" s="182"/>
      <c r="AV32" s="208"/>
      <c r="AW32" s="208"/>
      <c r="AX32" s="311">
        <v>0.1</v>
      </c>
      <c r="BA32" s="398"/>
      <c r="BB32" s="398"/>
      <c r="BC32" s="398"/>
      <c r="BD32" s="147" t="str">
        <v>Land use</v>
      </c>
      <c r="BE32" s="147" t="str">
        <v>Settlements</v>
      </c>
      <c r="BF32" s="147" t="str">
        <v>Lessee</v>
      </c>
      <c r="BG32" s="147" t="str">
        <v>Fossil Fuels</v>
      </c>
      <c r="BH32" s="147" t="str">
        <v>Autoclave treatment and combustion (organisational)</v>
      </c>
      <c r="BI32" s="147" t="str">
        <v>Clinical waste</v>
      </c>
      <c r="BJ32" s="147" t="str">
        <v>Electricity, gas, steam and air conditioning supply</v>
      </c>
      <c r="BK32" s="147" t="str">
        <v>NaN</v>
      </c>
    </row>
    <row r="33" spans="2:63" x14ac:dyDescent="0.3">
      <c r="B33" s="146">
        <v>23</v>
      </c>
      <c r="E33" s="182"/>
      <c r="F33" s="182"/>
      <c r="G33" s="182"/>
      <c r="H33" s="182"/>
      <c r="I33" s="182"/>
      <c r="J33" s="182"/>
      <c r="K33" s="182"/>
      <c r="L33" s="182"/>
      <c r="M33" s="182"/>
      <c r="N33" s="182" t="s">
        <v>573</v>
      </c>
      <c r="O33" s="182" t="s">
        <v>666</v>
      </c>
      <c r="P33" s="182"/>
      <c r="Q33" s="182"/>
      <c r="R33" s="182"/>
      <c r="S33" s="182"/>
      <c r="T33" s="182"/>
      <c r="U33" s="182"/>
      <c r="V33" s="182"/>
      <c r="W33" s="182"/>
      <c r="X33" s="182" t="s">
        <v>566</v>
      </c>
      <c r="Y33" s="182" t="s">
        <v>667</v>
      </c>
      <c r="Z33" s="182"/>
      <c r="AA33" s="182"/>
      <c r="AB33" s="182"/>
      <c r="AC33" s="182"/>
      <c r="AD33" s="182"/>
      <c r="AE33" s="182"/>
      <c r="AF33" s="182"/>
      <c r="AG33" s="182"/>
      <c r="AH33" s="182"/>
      <c r="AI33" s="182"/>
      <c r="AJ33" s="182"/>
      <c r="AK33" s="182"/>
      <c r="AL33" s="182"/>
      <c r="AM33" s="182" t="s">
        <v>265</v>
      </c>
      <c r="AN33" s="182" t="s">
        <v>273</v>
      </c>
      <c r="AO33" s="182" t="s">
        <v>541</v>
      </c>
      <c r="AP33" s="182" t="s">
        <v>338</v>
      </c>
      <c r="AQ33" s="182" t="s">
        <v>668</v>
      </c>
      <c r="AR33" s="182" t="s">
        <v>339</v>
      </c>
      <c r="AS33" s="182" t="str">
        <f t="shared" si="3"/>
        <v>Stationary AssetsBuildingsOur EstateRefrigerantsSulphur hexafluoride (SF6)NaN</v>
      </c>
      <c r="AT33" s="182" t="s">
        <v>337</v>
      </c>
      <c r="AU33" s="182"/>
      <c r="AV33" s="208"/>
      <c r="AW33" s="208"/>
      <c r="AX33" s="311">
        <v>0.1</v>
      </c>
      <c r="BA33" s="398"/>
      <c r="BB33" s="398"/>
      <c r="BC33" s="398"/>
      <c r="BD33" s="147" t="str">
        <v>Agriculture</v>
      </c>
      <c r="BE33" s="147" t="str">
        <v>Agriculture</v>
      </c>
      <c r="BF33" s="147" t="str">
        <v>Lessee</v>
      </c>
      <c r="BG33" s="147" t="str">
        <v>Bioenergy</v>
      </c>
      <c r="BH33" s="147" t="str">
        <v>Autoclave treatment and combustion (organisational)</v>
      </c>
      <c r="BI33" s="147" t="str">
        <v>Infectious waste</v>
      </c>
      <c r="BJ33" s="147" t="str">
        <v>Equipment</v>
      </c>
      <c r="BK33" s="147" t="str">
        <v>Average</v>
      </c>
    </row>
    <row r="34" spans="2:63" x14ac:dyDescent="0.3">
      <c r="B34" s="146">
        <v>24</v>
      </c>
      <c r="E34" s="182"/>
      <c r="F34" s="182"/>
      <c r="G34" s="182"/>
      <c r="H34" s="182"/>
      <c r="I34" s="182"/>
      <c r="J34" s="182"/>
      <c r="K34" s="182"/>
      <c r="L34" s="182"/>
      <c r="M34" s="182"/>
      <c r="N34" s="182" t="s">
        <v>573</v>
      </c>
      <c r="O34" s="182" t="s">
        <v>669</v>
      </c>
      <c r="P34" s="182"/>
      <c r="Q34" s="182"/>
      <c r="R34" s="182"/>
      <c r="S34" s="182"/>
      <c r="T34" s="182"/>
      <c r="U34" s="182"/>
      <c r="V34" s="182"/>
      <c r="W34" s="182"/>
      <c r="X34" s="182" t="s">
        <v>566</v>
      </c>
      <c r="Y34" s="182" t="s">
        <v>670</v>
      </c>
      <c r="Z34" s="182"/>
      <c r="AA34" s="182"/>
      <c r="AB34" s="182"/>
      <c r="AC34" s="182"/>
      <c r="AD34" s="182"/>
      <c r="AE34" s="182"/>
      <c r="AF34" s="182"/>
      <c r="AG34" s="182"/>
      <c r="AH34" s="182"/>
      <c r="AI34" s="182"/>
      <c r="AJ34" s="182"/>
      <c r="AK34" s="182"/>
      <c r="AL34" s="182"/>
      <c r="AM34" s="182" t="s">
        <v>265</v>
      </c>
      <c r="AN34" s="182" t="s">
        <v>273</v>
      </c>
      <c r="AO34" s="182" t="s">
        <v>541</v>
      </c>
      <c r="AP34" s="182" t="s">
        <v>338</v>
      </c>
      <c r="AQ34" s="182" t="s">
        <v>671</v>
      </c>
      <c r="AR34" s="182" t="s">
        <v>339</v>
      </c>
      <c r="AS34" s="182" t="str">
        <f t="shared" si="3"/>
        <v>Stationary AssetsBuildingsOur EstateRefrigerantsHFC-152NaN</v>
      </c>
      <c r="AT34" s="182" t="s">
        <v>337</v>
      </c>
      <c r="AU34" s="182"/>
      <c r="AV34" s="208"/>
      <c r="AW34" s="208"/>
      <c r="AX34" s="311">
        <v>0.1</v>
      </c>
      <c r="BA34" s="398"/>
      <c r="BB34" s="398"/>
      <c r="BC34" s="398"/>
      <c r="BD34" s="147" t="str">
        <v>Waste</v>
      </c>
      <c r="BE34" s="147" t="str">
        <v>Municipal</v>
      </c>
      <c r="BF34" s="147" t="str">
        <v>Lessee</v>
      </c>
      <c r="BG34" s="147" t="str">
        <v>Electricity</v>
      </c>
      <c r="BH34" s="147" t="str">
        <v>Bioenergy</v>
      </c>
      <c r="BI34" s="147" t="str">
        <v>HVO</v>
      </c>
      <c r="BJ34" s="147" t="str">
        <v>Farmland Soils</v>
      </c>
      <c r="BK34" s="147" t="str">
        <v>Emissions</v>
      </c>
    </row>
    <row r="35" spans="2:63" x14ac:dyDescent="0.3">
      <c r="B35" s="146">
        <v>25</v>
      </c>
      <c r="E35" s="182"/>
      <c r="F35" s="182"/>
      <c r="G35" s="182"/>
      <c r="H35" s="182"/>
      <c r="I35" s="182"/>
      <c r="J35" s="182"/>
      <c r="K35" s="182"/>
      <c r="L35" s="182"/>
      <c r="M35" s="182"/>
      <c r="N35" s="182" t="s">
        <v>573</v>
      </c>
      <c r="O35" s="182" t="s">
        <v>672</v>
      </c>
      <c r="P35" s="182"/>
      <c r="Q35" s="182"/>
      <c r="R35" s="182"/>
      <c r="S35" s="182"/>
      <c r="T35" s="182"/>
      <c r="U35" s="182"/>
      <c r="V35" s="182"/>
      <c r="W35" s="182"/>
      <c r="X35" s="182" t="s">
        <v>566</v>
      </c>
      <c r="Y35" s="182" t="s">
        <v>673</v>
      </c>
      <c r="Z35" s="182"/>
      <c r="AA35" s="182"/>
      <c r="AB35" s="182"/>
      <c r="AC35" s="182"/>
      <c r="AD35" s="182"/>
      <c r="AE35" s="182"/>
      <c r="AF35" s="182"/>
      <c r="AG35" s="182"/>
      <c r="AH35" s="182"/>
      <c r="AI35" s="182"/>
      <c r="AJ35" s="182"/>
      <c r="AK35" s="182"/>
      <c r="AL35" s="182"/>
      <c r="AM35" s="182" t="s">
        <v>265</v>
      </c>
      <c r="AN35" s="182" t="s">
        <v>273</v>
      </c>
      <c r="AO35" s="182" t="s">
        <v>541</v>
      </c>
      <c r="AP35" s="182" t="s">
        <v>338</v>
      </c>
      <c r="AQ35" s="182" t="s">
        <v>674</v>
      </c>
      <c r="AR35" s="182" t="s">
        <v>339</v>
      </c>
      <c r="AS35" s="182" t="str">
        <f t="shared" si="3"/>
        <v>Stationary AssetsBuildingsOur EstateRefrigerantsHFC-161NaN</v>
      </c>
      <c r="AT35" s="182" t="s">
        <v>337</v>
      </c>
      <c r="AU35" s="182"/>
      <c r="AV35" s="208"/>
      <c r="AW35" s="208"/>
      <c r="AX35" s="311">
        <v>0.1</v>
      </c>
      <c r="BA35" s="398"/>
      <c r="BB35" s="398"/>
      <c r="BC35" s="398"/>
      <c r="BD35" s="147" t="str">
        <v>Waste</v>
      </c>
      <c r="BE35" s="147" t="str">
        <v>Organisational</v>
      </c>
      <c r="BF35" s="147" t="str">
        <v>Lessee</v>
      </c>
      <c r="BG35" s="147" t="str">
        <v>Heat &amp; Steam</v>
      </c>
      <c r="BH35" s="147" t="str">
        <v>Bioenergy</v>
      </c>
      <c r="BI35" s="147" t="str">
        <v>Wood pellets</v>
      </c>
      <c r="BJ35" s="147" t="str">
        <v>Ferry</v>
      </c>
      <c r="BK35" s="147" t="str">
        <v>NaN</v>
      </c>
    </row>
    <row r="36" spans="2:63" x14ac:dyDescent="0.3">
      <c r="B36" s="146">
        <v>26</v>
      </c>
      <c r="E36" s="182"/>
      <c r="F36" s="182"/>
      <c r="G36" s="182"/>
      <c r="H36" s="182"/>
      <c r="I36" s="182"/>
      <c r="J36" s="182"/>
      <c r="K36" s="182"/>
      <c r="L36" s="182"/>
      <c r="M36" s="182"/>
      <c r="N36" s="182" t="s">
        <v>573</v>
      </c>
      <c r="O36" s="182" t="s">
        <v>675</v>
      </c>
      <c r="P36" s="182"/>
      <c r="Q36" s="182"/>
      <c r="R36" s="182"/>
      <c r="S36" s="182"/>
      <c r="T36" s="182"/>
      <c r="U36" s="182"/>
      <c r="V36" s="182"/>
      <c r="W36" s="182"/>
      <c r="X36" s="182" t="s">
        <v>577</v>
      </c>
      <c r="Y36" s="182" t="s">
        <v>676</v>
      </c>
      <c r="Z36" s="182"/>
      <c r="AA36" s="182"/>
      <c r="AB36" s="182"/>
      <c r="AC36" s="182"/>
      <c r="AD36" s="182"/>
      <c r="AE36" s="182"/>
      <c r="AF36" s="182"/>
      <c r="AG36" s="182"/>
      <c r="AH36" s="182"/>
      <c r="AI36" s="182"/>
      <c r="AJ36" s="182"/>
      <c r="AK36" s="182"/>
      <c r="AL36" s="182"/>
      <c r="AM36" s="182" t="s">
        <v>265</v>
      </c>
      <c r="AN36" s="182" t="s">
        <v>273</v>
      </c>
      <c r="AO36" s="182" t="s">
        <v>541</v>
      </c>
      <c r="AP36" s="182" t="s">
        <v>338</v>
      </c>
      <c r="AQ36" s="182" t="s">
        <v>677</v>
      </c>
      <c r="AR36" s="182" t="s">
        <v>339</v>
      </c>
      <c r="AS36" s="182" t="str">
        <f t="shared" si="3"/>
        <v>Stationary AssetsBuildingsOur EstateRefrigerantsHFC-236cbNaN</v>
      </c>
      <c r="AT36" s="182" t="s">
        <v>337</v>
      </c>
      <c r="AU36" s="182"/>
      <c r="AV36" s="208"/>
      <c r="AW36" s="208"/>
      <c r="AX36" s="311">
        <v>0.1</v>
      </c>
      <c r="BA36" s="398"/>
      <c r="BB36" s="398"/>
      <c r="BC36" s="398"/>
      <c r="BD36" s="147" t="str">
        <v>Waste</v>
      </c>
      <c r="BE36" s="147" t="str">
        <v>Project</v>
      </c>
      <c r="BF36" s="147" t="str">
        <v>Lessee</v>
      </c>
      <c r="BG36" s="147" t="str">
        <v>Water</v>
      </c>
      <c r="BH36" s="147" t="str">
        <v>Bioenergy</v>
      </c>
      <c r="BI36" s="147" t="str">
        <v>Wood chips</v>
      </c>
      <c r="BJ36" s="147" t="str">
        <v>Financial and insurance activities</v>
      </c>
      <c r="BK36" s="147" t="str">
        <v>NaN</v>
      </c>
    </row>
    <row r="37" spans="2:63" x14ac:dyDescent="0.3">
      <c r="B37" s="146">
        <v>27</v>
      </c>
      <c r="E37" s="182"/>
      <c r="F37" s="182"/>
      <c r="G37" s="182"/>
      <c r="H37" s="182"/>
      <c r="I37" s="182"/>
      <c r="J37" s="182"/>
      <c r="K37" s="182"/>
      <c r="L37" s="182"/>
      <c r="M37" s="182"/>
      <c r="N37" s="182" t="s">
        <v>573</v>
      </c>
      <c r="O37" s="182" t="s">
        <v>678</v>
      </c>
      <c r="P37" s="182"/>
      <c r="Q37" s="182"/>
      <c r="R37" s="182"/>
      <c r="S37" s="182"/>
      <c r="T37" s="182"/>
      <c r="U37" s="182"/>
      <c r="V37" s="182"/>
      <c r="W37" s="182"/>
      <c r="X37" s="182" t="s">
        <v>577</v>
      </c>
      <c r="Y37" s="182" t="s">
        <v>679</v>
      </c>
      <c r="Z37" s="182"/>
      <c r="AA37" s="182"/>
      <c r="AB37" s="182"/>
      <c r="AC37" s="182"/>
      <c r="AD37" s="182"/>
      <c r="AE37" s="182"/>
      <c r="AF37" s="182"/>
      <c r="AG37" s="182"/>
      <c r="AH37" s="182"/>
      <c r="AI37" s="182"/>
      <c r="AJ37" s="182"/>
      <c r="AK37" s="182"/>
      <c r="AL37" s="182"/>
      <c r="AM37" s="182" t="s">
        <v>265</v>
      </c>
      <c r="AN37" s="182" t="s">
        <v>273</v>
      </c>
      <c r="AO37" s="182" t="s">
        <v>541</v>
      </c>
      <c r="AP37" s="182" t="s">
        <v>338</v>
      </c>
      <c r="AQ37" s="182" t="s">
        <v>680</v>
      </c>
      <c r="AR37" s="182" t="s">
        <v>339</v>
      </c>
      <c r="AS37" s="182" t="str">
        <f t="shared" si="3"/>
        <v>Stationary AssetsBuildingsOur EstateRefrigerantsHFC-236eaNaN</v>
      </c>
      <c r="AT37" s="182" t="s">
        <v>337</v>
      </c>
      <c r="AU37" s="182"/>
      <c r="AV37" s="208"/>
      <c r="AW37" s="208"/>
      <c r="AX37" s="311">
        <v>0.1</v>
      </c>
      <c r="BA37" s="398"/>
      <c r="BB37" s="398"/>
      <c r="BC37" s="398"/>
      <c r="BD37" s="147" t="str">
        <v>Renewables</v>
      </c>
      <c r="BE37" s="147" t="str">
        <v>Renewable electricity</v>
      </c>
      <c r="BF37" s="147" t="str">
        <v>Lessor</v>
      </c>
      <c r="BG37" s="147" t="str">
        <v>Fossil Fuels</v>
      </c>
      <c r="BH37" s="147" t="str">
        <v>Bioenergy</v>
      </c>
      <c r="BI37" s="147" t="str">
        <v>Biogas</v>
      </c>
      <c r="BJ37" s="147" t="str">
        <v>Fossil Fuels</v>
      </c>
      <c r="BK37" s="147" t="str">
        <v>NaN</v>
      </c>
    </row>
    <row r="38" spans="2:63" x14ac:dyDescent="0.3">
      <c r="B38" s="146">
        <v>28</v>
      </c>
      <c r="E38" s="182"/>
      <c r="F38" s="182"/>
      <c r="G38" s="182"/>
      <c r="H38" s="182"/>
      <c r="I38" s="182"/>
      <c r="J38" s="182"/>
      <c r="K38" s="182"/>
      <c r="L38" s="182"/>
      <c r="M38" s="182"/>
      <c r="N38" s="182" t="s">
        <v>573</v>
      </c>
      <c r="O38" s="182" t="s">
        <v>681</v>
      </c>
      <c r="P38" s="182"/>
      <c r="Q38" s="182"/>
      <c r="R38" s="182"/>
      <c r="S38" s="182"/>
      <c r="T38" s="182"/>
      <c r="U38" s="182"/>
      <c r="V38" s="182"/>
      <c r="W38" s="182"/>
      <c r="X38" s="182" t="s">
        <v>577</v>
      </c>
      <c r="Y38" s="182" t="s">
        <v>682</v>
      </c>
      <c r="Z38" s="182"/>
      <c r="AA38" s="182"/>
      <c r="AB38" s="182"/>
      <c r="AC38" s="182"/>
      <c r="AD38" s="182"/>
      <c r="AE38" s="182"/>
      <c r="AF38" s="182"/>
      <c r="AG38" s="182"/>
      <c r="AH38" s="182"/>
      <c r="AI38" s="182"/>
      <c r="AJ38" s="182"/>
      <c r="AK38" s="182"/>
      <c r="AL38" s="182"/>
      <c r="AM38" s="182" t="s">
        <v>265</v>
      </c>
      <c r="AN38" s="182" t="s">
        <v>273</v>
      </c>
      <c r="AO38" s="182" t="s">
        <v>541</v>
      </c>
      <c r="AP38" s="182" t="s">
        <v>338</v>
      </c>
      <c r="AQ38" s="182" t="s">
        <v>683</v>
      </c>
      <c r="AR38" s="182" t="s">
        <v>339</v>
      </c>
      <c r="AS38" s="182" t="str">
        <f t="shared" si="3"/>
        <v>Stationary AssetsBuildingsOur EstateRefrigerantsHFC-245caNaN</v>
      </c>
      <c r="AT38" s="182" t="s">
        <v>337</v>
      </c>
      <c r="AU38" s="182"/>
      <c r="AV38" s="208"/>
      <c r="AW38" s="208"/>
      <c r="AX38" s="311">
        <v>0.1</v>
      </c>
      <c r="BA38" s="398"/>
      <c r="BB38" s="398"/>
      <c r="BC38" s="398"/>
      <c r="BD38" s="147" t="str">
        <v>Renewables</v>
      </c>
      <c r="BE38" s="147" t="str">
        <v>Renewable electricity CHP</v>
      </c>
      <c r="BF38" s="147" t="str">
        <v>Lessor</v>
      </c>
      <c r="BG38" s="147" t="str">
        <v>Bioenergy</v>
      </c>
      <c r="BH38" s="147" t="str">
        <v>Bus</v>
      </c>
      <c r="BI38" s="147" t="str">
        <v>Average local bus</v>
      </c>
      <c r="BJ38" s="147" t="str">
        <v>Generator</v>
      </c>
      <c r="BK38" s="147" t="str">
        <v>Average</v>
      </c>
    </row>
    <row r="39" spans="2:63" x14ac:dyDescent="0.3">
      <c r="B39" s="146">
        <v>29</v>
      </c>
      <c r="E39" s="182"/>
      <c r="F39" s="182"/>
      <c r="G39" s="182"/>
      <c r="H39" s="182"/>
      <c r="I39" s="182"/>
      <c r="J39" s="182"/>
      <c r="K39" s="182"/>
      <c r="L39" s="182"/>
      <c r="M39" s="182"/>
      <c r="N39" s="182" t="s">
        <v>573</v>
      </c>
      <c r="O39" s="182" t="s">
        <v>684</v>
      </c>
      <c r="P39" s="182"/>
      <c r="Q39" s="182"/>
      <c r="R39" s="182"/>
      <c r="S39" s="182"/>
      <c r="T39" s="182"/>
      <c r="U39" s="182"/>
      <c r="V39" s="182"/>
      <c r="W39" s="182"/>
      <c r="X39" s="182" t="s">
        <v>577</v>
      </c>
      <c r="Y39" s="182" t="s">
        <v>685</v>
      </c>
      <c r="Z39" s="182"/>
      <c r="AA39" s="182"/>
      <c r="AB39" s="182"/>
      <c r="AC39" s="182"/>
      <c r="AD39" s="182"/>
      <c r="AE39" s="182"/>
      <c r="AF39" s="182"/>
      <c r="AG39" s="182"/>
      <c r="AH39" s="182"/>
      <c r="AI39" s="182"/>
      <c r="AJ39" s="182"/>
      <c r="AK39" s="182"/>
      <c r="AL39" s="182"/>
      <c r="AM39" s="182" t="s">
        <v>265</v>
      </c>
      <c r="AN39" s="182" t="s">
        <v>273</v>
      </c>
      <c r="AO39" s="182" t="s">
        <v>541</v>
      </c>
      <c r="AP39" s="182" t="s">
        <v>338</v>
      </c>
      <c r="AQ39" s="182" t="s">
        <v>686</v>
      </c>
      <c r="AR39" s="182" t="s">
        <v>339</v>
      </c>
      <c r="AS39" s="182" t="str">
        <f t="shared" si="3"/>
        <v>Stationary AssetsBuildingsOur EstateRefrigerantsHFC-365mfcNaN</v>
      </c>
      <c r="AT39" s="182" t="s">
        <v>337</v>
      </c>
      <c r="AU39" s="182"/>
      <c r="AV39" s="208"/>
      <c r="AW39" s="208"/>
      <c r="AX39" s="311">
        <v>0.1</v>
      </c>
      <c r="BA39" s="398"/>
      <c r="BB39" s="398"/>
      <c r="BC39" s="398"/>
      <c r="BD39" s="147" t="str">
        <v>Renewables</v>
      </c>
      <c r="BE39" s="147" t="str">
        <v>Renewable heat</v>
      </c>
      <c r="BF39" s="147" t="str">
        <v>Lessor</v>
      </c>
      <c r="BG39" s="147" t="str">
        <v>Electricity</v>
      </c>
      <c r="BH39" s="147" t="str">
        <v>Bus</v>
      </c>
      <c r="BI39" s="147" t="str">
        <v>Coach</v>
      </c>
      <c r="BJ39" s="147" t="str">
        <v>Heat &amp; Steam</v>
      </c>
      <c r="BK39" s="147" t="str">
        <v>NaN</v>
      </c>
    </row>
    <row r="40" spans="2:63" x14ac:dyDescent="0.3">
      <c r="B40" s="146">
        <v>30</v>
      </c>
      <c r="E40" s="182"/>
      <c r="F40" s="182"/>
      <c r="G40" s="182"/>
      <c r="H40" s="182"/>
      <c r="I40" s="182"/>
      <c r="J40" s="182"/>
      <c r="K40" s="182"/>
      <c r="L40" s="182"/>
      <c r="M40" s="182"/>
      <c r="N40" s="182" t="s">
        <v>573</v>
      </c>
      <c r="O40" s="182" t="s">
        <v>687</v>
      </c>
      <c r="P40" s="182"/>
      <c r="Q40" s="182"/>
      <c r="R40" s="182"/>
      <c r="S40" s="182"/>
      <c r="T40" s="182"/>
      <c r="U40" s="182"/>
      <c r="V40" s="182"/>
      <c r="W40" s="182"/>
      <c r="X40" s="182" t="s">
        <v>577</v>
      </c>
      <c r="Y40" s="182" t="s">
        <v>688</v>
      </c>
      <c r="Z40" s="182"/>
      <c r="AA40" s="182"/>
      <c r="AB40" s="182"/>
      <c r="AC40" s="182"/>
      <c r="AD40" s="182"/>
      <c r="AE40" s="182"/>
      <c r="AF40" s="182"/>
      <c r="AG40" s="182"/>
      <c r="AH40" s="182"/>
      <c r="AI40" s="182"/>
      <c r="AJ40" s="182"/>
      <c r="AK40" s="182"/>
      <c r="AL40" s="182"/>
      <c r="AM40" s="182" t="s">
        <v>265</v>
      </c>
      <c r="AN40" s="182" t="s">
        <v>273</v>
      </c>
      <c r="AO40" s="182" t="s">
        <v>541</v>
      </c>
      <c r="AP40" s="182" t="s">
        <v>338</v>
      </c>
      <c r="AQ40" s="182" t="s">
        <v>689</v>
      </c>
      <c r="AR40" s="182" t="s">
        <v>339</v>
      </c>
      <c r="AS40" s="182" t="str">
        <f t="shared" si="3"/>
        <v>Stationary AssetsBuildingsOur EstateRefrigerantsNitrogen trifluorideNaN</v>
      </c>
      <c r="AT40" s="182" t="s">
        <v>337</v>
      </c>
      <c r="AU40" s="182"/>
      <c r="AV40" s="208"/>
      <c r="AW40" s="208"/>
      <c r="AX40" s="311">
        <v>0.1</v>
      </c>
      <c r="BA40" s="398"/>
      <c r="BB40" s="398"/>
      <c r="BC40" s="398"/>
      <c r="BD40" s="147" t="str">
        <v>Renewables</v>
      </c>
      <c r="BE40" s="147" t="str">
        <v>Renewable CHP heat</v>
      </c>
      <c r="BF40" s="147" t="str">
        <v>Lessor</v>
      </c>
      <c r="BG40" s="147" t="str">
        <v>Heat &amp; Steam</v>
      </c>
      <c r="BH40" s="147" t="str">
        <v>Combustion (municipal)</v>
      </c>
      <c r="BI40" s="147" t="str">
        <v>Commercial and industrial</v>
      </c>
      <c r="BJ40" s="147" t="str">
        <v>HGV - distance</v>
      </c>
      <c r="BK40" s="147" t="str">
        <v>Average rigid</v>
      </c>
    </row>
    <row r="41" spans="2:63" x14ac:dyDescent="0.3">
      <c r="B41" s="146">
        <v>31</v>
      </c>
      <c r="E41" s="182"/>
      <c r="F41" s="182"/>
      <c r="G41" s="182"/>
      <c r="H41" s="182"/>
      <c r="I41" s="182"/>
      <c r="J41" s="182"/>
      <c r="K41" s="182"/>
      <c r="L41" s="182"/>
      <c r="M41" s="182"/>
      <c r="N41" s="182" t="s">
        <v>573</v>
      </c>
      <c r="O41" s="182" t="s">
        <v>690</v>
      </c>
      <c r="P41" s="182"/>
      <c r="Q41" s="182"/>
      <c r="R41" s="182"/>
      <c r="S41" s="182"/>
      <c r="T41" s="182"/>
      <c r="U41" s="182"/>
      <c r="V41" s="182"/>
      <c r="W41" s="182"/>
      <c r="X41" s="182" t="s">
        <v>577</v>
      </c>
      <c r="Y41" s="182" t="s">
        <v>691</v>
      </c>
      <c r="Z41" s="182"/>
      <c r="AA41" s="182"/>
      <c r="AB41" s="182"/>
      <c r="AC41" s="182"/>
      <c r="AD41" s="182"/>
      <c r="AE41" s="182"/>
      <c r="AF41" s="182"/>
      <c r="AG41" s="182"/>
      <c r="AH41" s="182"/>
      <c r="AI41" s="182"/>
      <c r="AJ41" s="182"/>
      <c r="AK41" s="182"/>
      <c r="AL41" s="182"/>
      <c r="AM41" s="182" t="s">
        <v>265</v>
      </c>
      <c r="AN41" s="182" t="s">
        <v>273</v>
      </c>
      <c r="AO41" s="182" t="s">
        <v>541</v>
      </c>
      <c r="AP41" s="182" t="s">
        <v>338</v>
      </c>
      <c r="AQ41" s="182" t="s">
        <v>692</v>
      </c>
      <c r="AR41" s="182" t="s">
        <v>339</v>
      </c>
      <c r="AS41" s="182" t="str">
        <f t="shared" si="3"/>
        <v>Stationary AssetsBuildingsOur EstateRefrigerantsR401ANaN</v>
      </c>
      <c r="AT41" s="182" t="s">
        <v>337</v>
      </c>
      <c r="AU41" s="182"/>
      <c r="AV41" s="208"/>
      <c r="AW41" s="208"/>
      <c r="AX41" s="311">
        <v>0.1</v>
      </c>
      <c r="BA41" s="398"/>
      <c r="BB41" s="398"/>
      <c r="BC41" s="398"/>
      <c r="BF41" s="147" t="str">
        <v>Lessor</v>
      </c>
      <c r="BG41" s="147" t="str">
        <v>Water</v>
      </c>
      <c r="BH41" s="147" t="str">
        <v>Combustion (municipal)</v>
      </c>
      <c r="BI41" s="147" t="str">
        <v>Commercial and industrial waste</v>
      </c>
      <c r="BJ41" s="147" t="str">
        <v>HGV - distance</v>
      </c>
      <c r="BK41" s="147" t="str">
        <v>Average articulated</v>
      </c>
    </row>
    <row r="42" spans="2:63" x14ac:dyDescent="0.3">
      <c r="B42" s="146">
        <v>32</v>
      </c>
      <c r="E42" s="182"/>
      <c r="F42" s="182"/>
      <c r="G42" s="182"/>
      <c r="H42" s="182"/>
      <c r="I42" s="182"/>
      <c r="J42" s="182"/>
      <c r="K42" s="182"/>
      <c r="L42" s="182"/>
      <c r="M42" s="182"/>
      <c r="N42" s="182" t="s">
        <v>573</v>
      </c>
      <c r="O42" s="182" t="s">
        <v>693</v>
      </c>
      <c r="P42" s="182"/>
      <c r="Q42" s="182"/>
      <c r="R42" s="182"/>
      <c r="S42" s="182"/>
      <c r="T42" s="182"/>
      <c r="U42" s="182"/>
      <c r="V42" s="182"/>
      <c r="W42" s="182"/>
      <c r="X42" s="182" t="s">
        <v>577</v>
      </c>
      <c r="Y42" s="182" t="s">
        <v>694</v>
      </c>
      <c r="Z42" s="182"/>
      <c r="AA42" s="182"/>
      <c r="AB42" s="182"/>
      <c r="AC42" s="182"/>
      <c r="AD42" s="182"/>
      <c r="AE42" s="182"/>
      <c r="AF42" s="182"/>
      <c r="AG42" s="182"/>
      <c r="AH42" s="182"/>
      <c r="AI42" s="182"/>
      <c r="AJ42" s="182"/>
      <c r="AK42" s="182"/>
      <c r="AL42" s="182"/>
      <c r="AM42" s="182" t="s">
        <v>265</v>
      </c>
      <c r="AN42" s="182" t="s">
        <v>273</v>
      </c>
      <c r="AO42" s="182" t="s">
        <v>541</v>
      </c>
      <c r="AP42" s="182" t="s">
        <v>338</v>
      </c>
      <c r="AQ42" s="182" t="s">
        <v>695</v>
      </c>
      <c r="AR42" s="182" t="s">
        <v>339</v>
      </c>
      <c r="AS42" s="182" t="str">
        <f t="shared" si="3"/>
        <v>Stationary AssetsBuildingsOur EstateRefrigerantsR401BNaN</v>
      </c>
      <c r="AT42" s="182" t="s">
        <v>337</v>
      </c>
      <c r="AU42" s="182"/>
      <c r="AV42" s="208"/>
      <c r="AW42" s="208"/>
      <c r="AX42" s="311">
        <v>0.1</v>
      </c>
      <c r="BA42" s="398"/>
      <c r="BB42" s="398"/>
      <c r="BC42" s="398"/>
      <c r="BF42" s="147" t="str">
        <v>Lessor (to PSB)</v>
      </c>
      <c r="BG42" s="147" t="str">
        <v>Fossil Fuels</v>
      </c>
      <c r="BH42" s="147" t="str">
        <v>Combustion (municipal)</v>
      </c>
      <c r="BI42" s="147" t="str">
        <v>Household residual waste</v>
      </c>
      <c r="BJ42" s="147" t="str">
        <v>HGV - distance</v>
      </c>
      <c r="BK42" s="147" t="str">
        <v>Average</v>
      </c>
    </row>
    <row r="43" spans="2:63" x14ac:dyDescent="0.3">
      <c r="B43" s="146">
        <v>33</v>
      </c>
      <c r="E43" s="182"/>
      <c r="F43" s="182"/>
      <c r="G43" s="182"/>
      <c r="H43" s="182"/>
      <c r="I43" s="182"/>
      <c r="J43" s="182"/>
      <c r="K43" s="182"/>
      <c r="L43" s="182"/>
      <c r="M43" s="182"/>
      <c r="N43" s="182" t="s">
        <v>573</v>
      </c>
      <c r="O43" s="182" t="s">
        <v>696</v>
      </c>
      <c r="P43" s="182"/>
      <c r="Q43" s="182"/>
      <c r="R43" s="182"/>
      <c r="S43" s="182"/>
      <c r="T43" s="182"/>
      <c r="U43" s="182"/>
      <c r="V43" s="182"/>
      <c r="W43" s="182"/>
      <c r="X43" s="182" t="s">
        <v>577</v>
      </c>
      <c r="Y43" s="182" t="s">
        <v>697</v>
      </c>
      <c r="Z43" s="182"/>
      <c r="AA43" s="182"/>
      <c r="AB43" s="182"/>
      <c r="AC43" s="182"/>
      <c r="AD43" s="182"/>
      <c r="AE43" s="182"/>
      <c r="AF43" s="182"/>
      <c r="AG43" s="182"/>
      <c r="AH43" s="182"/>
      <c r="AI43" s="182"/>
      <c r="AJ43" s="182"/>
      <c r="AK43" s="182"/>
      <c r="AL43" s="182"/>
      <c r="AM43" s="182" t="s">
        <v>265</v>
      </c>
      <c r="AN43" s="182" t="s">
        <v>273</v>
      </c>
      <c r="AO43" s="182" t="s">
        <v>541</v>
      </c>
      <c r="AP43" s="182" t="s">
        <v>338</v>
      </c>
      <c r="AQ43" s="182" t="s">
        <v>698</v>
      </c>
      <c r="AR43" s="182" t="s">
        <v>339</v>
      </c>
      <c r="AS43" s="182" t="str">
        <f t="shared" si="3"/>
        <v>Stationary AssetsBuildingsOur EstateRefrigerantsR401CNaN</v>
      </c>
      <c r="AT43" s="182" t="s">
        <v>337</v>
      </c>
      <c r="AU43" s="182"/>
      <c r="AV43" s="208"/>
      <c r="AW43" s="208"/>
      <c r="AX43" s="311">
        <v>0.1</v>
      </c>
      <c r="BA43" s="398"/>
      <c r="BB43" s="398"/>
      <c r="BC43" s="398"/>
      <c r="BF43" s="147" t="str">
        <v>Lessor (to PSB)</v>
      </c>
      <c r="BG43" s="147" t="str">
        <v>Bioenergy</v>
      </c>
      <c r="BH43" s="147" t="str">
        <v>Combustion (municipal)</v>
      </c>
      <c r="BI43" s="147" t="str">
        <v>Non infectious offensive waste</v>
      </c>
      <c r="BJ43" s="147" t="str">
        <v>HGV - fuel</v>
      </c>
      <c r="BK43" s="147" t="str">
        <v>Average</v>
      </c>
    </row>
    <row r="44" spans="2:63" x14ac:dyDescent="0.3">
      <c r="B44" s="146">
        <v>34</v>
      </c>
      <c r="E44" s="182"/>
      <c r="F44" s="182"/>
      <c r="G44" s="182"/>
      <c r="H44" s="182"/>
      <c r="I44" s="182"/>
      <c r="J44" s="182"/>
      <c r="K44" s="182"/>
      <c r="L44" s="182"/>
      <c r="M44" s="182"/>
      <c r="N44" s="182" t="s">
        <v>573</v>
      </c>
      <c r="O44" s="182" t="s">
        <v>699</v>
      </c>
      <c r="P44" s="182"/>
      <c r="Q44" s="182"/>
      <c r="R44" s="182"/>
      <c r="S44" s="182"/>
      <c r="T44" s="182"/>
      <c r="U44" s="182"/>
      <c r="V44" s="182"/>
      <c r="W44" s="182"/>
      <c r="X44" s="182" t="s">
        <v>577</v>
      </c>
      <c r="Y44" s="182" t="s">
        <v>700</v>
      </c>
      <c r="Z44" s="182"/>
      <c r="AA44" s="182"/>
      <c r="AB44" s="182"/>
      <c r="AC44" s="182"/>
      <c r="AD44" s="182"/>
      <c r="AE44" s="182"/>
      <c r="AF44" s="182"/>
      <c r="AG44" s="182"/>
      <c r="AH44" s="182"/>
      <c r="AI44" s="182"/>
      <c r="AJ44" s="182"/>
      <c r="AK44" s="182"/>
      <c r="AL44" s="182"/>
      <c r="AM44" s="182" t="s">
        <v>265</v>
      </c>
      <c r="AN44" s="182" t="s">
        <v>273</v>
      </c>
      <c r="AO44" s="182" t="s">
        <v>541</v>
      </c>
      <c r="AP44" s="182" t="s">
        <v>338</v>
      </c>
      <c r="AQ44" s="182" t="s">
        <v>701</v>
      </c>
      <c r="AR44" s="182" t="s">
        <v>339</v>
      </c>
      <c r="AS44" s="182" t="str">
        <f t="shared" si="3"/>
        <v>Stationary AssetsBuildingsOur EstateRefrigerantsR402ANaN</v>
      </c>
      <c r="AT44" s="182" t="s">
        <v>337</v>
      </c>
      <c r="AU44" s="182"/>
      <c r="AV44" s="208"/>
      <c r="AW44" s="208"/>
      <c r="AX44" s="311">
        <v>0.1</v>
      </c>
      <c r="BA44" s="398"/>
      <c r="BB44" s="398"/>
      <c r="BC44" s="398"/>
      <c r="BF44" s="147" t="str">
        <v>Lessor (to PSB)</v>
      </c>
      <c r="BG44" s="147" t="str">
        <v>Electricity</v>
      </c>
      <c r="BH44" s="147" t="str">
        <v>Combustion (municipal)</v>
      </c>
      <c r="BI44" s="147" t="str">
        <v>Organic food and drink</v>
      </c>
      <c r="BJ44" s="147" t="str">
        <v>High temperature incineration (municipal)</v>
      </c>
      <c r="BK44" s="147" t="str">
        <v>Not including transport</v>
      </c>
    </row>
    <row r="45" spans="2:63" x14ac:dyDescent="0.3">
      <c r="B45" s="146">
        <v>35</v>
      </c>
      <c r="E45" s="182"/>
      <c r="F45" s="182"/>
      <c r="G45" s="182"/>
      <c r="H45" s="182"/>
      <c r="I45" s="182"/>
      <c r="J45" s="182"/>
      <c r="K45" s="182"/>
      <c r="L45" s="182"/>
      <c r="M45" s="182"/>
      <c r="N45" s="182" t="s">
        <v>573</v>
      </c>
      <c r="O45" s="182" t="s">
        <v>702</v>
      </c>
      <c r="P45" s="182"/>
      <c r="Q45" s="182"/>
      <c r="R45" s="182"/>
      <c r="S45" s="182"/>
      <c r="T45" s="182"/>
      <c r="U45" s="182"/>
      <c r="V45" s="182"/>
      <c r="W45" s="182"/>
      <c r="X45" s="182" t="s">
        <v>577</v>
      </c>
      <c r="Y45" s="182" t="s">
        <v>703</v>
      </c>
      <c r="Z45" s="182"/>
      <c r="AA45" s="182"/>
      <c r="AB45" s="182"/>
      <c r="AC45" s="182"/>
      <c r="AD45" s="182"/>
      <c r="AE45" s="182"/>
      <c r="AF45" s="182"/>
      <c r="AG45" s="182"/>
      <c r="AH45" s="182"/>
      <c r="AI45" s="182"/>
      <c r="AJ45" s="182"/>
      <c r="AK45" s="182"/>
      <c r="AL45" s="182"/>
      <c r="AM45" s="182" t="s">
        <v>265</v>
      </c>
      <c r="AN45" s="182" t="s">
        <v>273</v>
      </c>
      <c r="AO45" s="182" t="s">
        <v>541</v>
      </c>
      <c r="AP45" s="182" t="s">
        <v>338</v>
      </c>
      <c r="AQ45" s="182" t="s">
        <v>704</v>
      </c>
      <c r="AR45" s="182" t="s">
        <v>339</v>
      </c>
      <c r="AS45" s="182" t="str">
        <f t="shared" si="3"/>
        <v>Stationary AssetsBuildingsOur EstateRefrigerantsR402BNaN</v>
      </c>
      <c r="AT45" s="182" t="s">
        <v>337</v>
      </c>
      <c r="AU45" s="182"/>
      <c r="AV45" s="208"/>
      <c r="AW45" s="208"/>
      <c r="AX45" s="311">
        <v>0.1</v>
      </c>
      <c r="BA45" s="398"/>
      <c r="BB45" s="398"/>
      <c r="BC45" s="398"/>
      <c r="BF45" s="147" t="str">
        <v>Lessor (to PSB)</v>
      </c>
      <c r="BG45" s="147" t="str">
        <v>Heat &amp; Steam</v>
      </c>
      <c r="BH45" s="147" t="str">
        <v>Combustion (municipal)</v>
      </c>
      <c r="BI45" s="147" t="str">
        <v>Organic mixed</v>
      </c>
      <c r="BJ45" s="147" t="str">
        <v>High temperature incineration (organisational)</v>
      </c>
      <c r="BK45" s="147" t="str">
        <v>NaN</v>
      </c>
    </row>
    <row r="46" spans="2:63" x14ac:dyDescent="0.3">
      <c r="B46" s="146">
        <v>36</v>
      </c>
      <c r="E46" s="182"/>
      <c r="F46" s="182"/>
      <c r="G46" s="182"/>
      <c r="H46" s="182"/>
      <c r="I46" s="182"/>
      <c r="J46" s="182"/>
      <c r="K46" s="182"/>
      <c r="L46" s="182"/>
      <c r="M46" s="182"/>
      <c r="N46" s="182" t="s">
        <v>573</v>
      </c>
      <c r="O46" s="182" t="s">
        <v>705</v>
      </c>
      <c r="P46" s="182"/>
      <c r="Q46" s="182"/>
      <c r="R46" s="182"/>
      <c r="S46" s="182"/>
      <c r="T46" s="182"/>
      <c r="U46" s="182"/>
      <c r="V46" s="182"/>
      <c r="W46" s="182"/>
      <c r="X46" s="182" t="s">
        <v>577</v>
      </c>
      <c r="Y46" s="182" t="s">
        <v>706</v>
      </c>
      <c r="Z46" s="182"/>
      <c r="AA46" s="182"/>
      <c r="AB46" s="182"/>
      <c r="AC46" s="182"/>
      <c r="AD46" s="182"/>
      <c r="AE46" s="182"/>
      <c r="AF46" s="182"/>
      <c r="AG46" s="182"/>
      <c r="AH46" s="182"/>
      <c r="AI46" s="182"/>
      <c r="AJ46" s="182"/>
      <c r="AK46" s="182"/>
      <c r="AL46" s="182"/>
      <c r="AM46" s="182" t="s">
        <v>265</v>
      </c>
      <c r="AN46" s="182" t="s">
        <v>273</v>
      </c>
      <c r="AO46" s="182" t="s">
        <v>541</v>
      </c>
      <c r="AP46" s="182" t="s">
        <v>338</v>
      </c>
      <c r="AQ46" s="182" t="s">
        <v>707</v>
      </c>
      <c r="AR46" s="182" t="s">
        <v>339</v>
      </c>
      <c r="AS46" s="182" t="str">
        <f t="shared" si="3"/>
        <v>Stationary AssetsBuildingsOur EstateRefrigerantsR403ANaN</v>
      </c>
      <c r="AT46" s="182" t="s">
        <v>337</v>
      </c>
      <c r="AU46" s="182"/>
      <c r="AV46" s="208"/>
      <c r="AW46" s="208"/>
      <c r="AX46" s="311">
        <v>0.1</v>
      </c>
      <c r="BA46" s="398"/>
      <c r="BB46" s="398"/>
      <c r="BC46" s="398"/>
      <c r="BF46" s="147" t="str">
        <v>Lessor (to PSB)</v>
      </c>
      <c r="BG46" s="147" t="str">
        <v>Water</v>
      </c>
      <c r="BH46" s="147" t="str">
        <v>Combustion (organisational)</v>
      </c>
      <c r="BI46" s="147" t="str">
        <v>Commercial and industrial waste</v>
      </c>
      <c r="BJ46" s="147" t="str">
        <v>Hire car</v>
      </c>
      <c r="BK46" s="147" t="str">
        <v>Small</v>
      </c>
    </row>
    <row r="47" spans="2:63" x14ac:dyDescent="0.3">
      <c r="B47" s="146">
        <v>37</v>
      </c>
      <c r="E47" s="182"/>
      <c r="F47" s="182"/>
      <c r="G47" s="182"/>
      <c r="H47" s="182"/>
      <c r="I47" s="182"/>
      <c r="J47" s="182"/>
      <c r="K47" s="182"/>
      <c r="L47" s="182"/>
      <c r="M47" s="182"/>
      <c r="N47" s="182" t="s">
        <v>573</v>
      </c>
      <c r="O47" s="182" t="s">
        <v>708</v>
      </c>
      <c r="P47" s="182"/>
      <c r="Q47" s="182"/>
      <c r="R47" s="182"/>
      <c r="S47" s="182"/>
      <c r="T47" s="182"/>
      <c r="U47" s="182"/>
      <c r="V47" s="182"/>
      <c r="W47" s="182"/>
      <c r="X47" s="182" t="s">
        <v>577</v>
      </c>
      <c r="Y47" s="182" t="s">
        <v>709</v>
      </c>
      <c r="Z47" s="182"/>
      <c r="AA47" s="182"/>
      <c r="AB47" s="182"/>
      <c r="AC47" s="182"/>
      <c r="AD47" s="182"/>
      <c r="AE47" s="182"/>
      <c r="AF47" s="182"/>
      <c r="AG47" s="182"/>
      <c r="AH47" s="182"/>
      <c r="AI47" s="182"/>
      <c r="AJ47" s="182"/>
      <c r="AK47" s="182"/>
      <c r="AL47" s="182"/>
      <c r="AM47" s="182" t="s">
        <v>265</v>
      </c>
      <c r="AN47" s="182" t="s">
        <v>273</v>
      </c>
      <c r="AO47" s="182" t="s">
        <v>541</v>
      </c>
      <c r="AP47" s="182" t="s">
        <v>338</v>
      </c>
      <c r="AQ47" s="182" t="s">
        <v>710</v>
      </c>
      <c r="AR47" s="182" t="s">
        <v>339</v>
      </c>
      <c r="AS47" s="182" t="str">
        <f t="shared" si="3"/>
        <v>Stationary AssetsBuildingsOur EstateRefrigerantsR403BNaN</v>
      </c>
      <c r="AT47" s="182" t="s">
        <v>337</v>
      </c>
      <c r="AU47" s="182"/>
      <c r="AV47" s="208"/>
      <c r="AW47" s="208"/>
      <c r="AX47" s="311">
        <v>0.1</v>
      </c>
      <c r="BA47" s="398"/>
      <c r="BB47" s="398"/>
      <c r="BC47" s="398"/>
      <c r="BF47" s="147" t="str">
        <v>Medical Gas</v>
      </c>
      <c r="BG47" s="147" t="str">
        <v>Medical Gas</v>
      </c>
      <c r="BH47" s="147" t="str">
        <v>Combustion (organisational)</v>
      </c>
      <c r="BI47" s="147" t="str">
        <v>Household residual waste</v>
      </c>
      <c r="BJ47" s="147" t="str">
        <v>Hire car</v>
      </c>
      <c r="BK47" s="147" t="str">
        <v>Medium</v>
      </c>
    </row>
    <row r="48" spans="2:63" x14ac:dyDescent="0.3">
      <c r="B48" s="146">
        <v>38</v>
      </c>
      <c r="E48" s="182"/>
      <c r="F48" s="182"/>
      <c r="G48" s="182"/>
      <c r="H48" s="182"/>
      <c r="I48" s="182"/>
      <c r="J48" s="182"/>
      <c r="K48" s="182"/>
      <c r="L48" s="182"/>
      <c r="M48" s="182"/>
      <c r="N48" s="182" t="s">
        <v>573</v>
      </c>
      <c r="O48" s="182" t="s">
        <v>711</v>
      </c>
      <c r="P48" s="182"/>
      <c r="Q48" s="182"/>
      <c r="R48" s="182"/>
      <c r="S48" s="182"/>
      <c r="T48" s="182"/>
      <c r="U48" s="182"/>
      <c r="V48" s="182"/>
      <c r="W48" s="182"/>
      <c r="X48" s="182" t="s">
        <v>587</v>
      </c>
      <c r="Y48" s="182" t="s">
        <v>712</v>
      </c>
      <c r="Z48" s="182"/>
      <c r="AA48" s="182"/>
      <c r="AB48" s="182"/>
      <c r="AC48" s="182"/>
      <c r="AD48" s="182"/>
      <c r="AE48" s="182"/>
      <c r="AF48" s="182"/>
      <c r="AG48" s="182"/>
      <c r="AH48" s="182"/>
      <c r="AI48" s="182"/>
      <c r="AJ48" s="182"/>
      <c r="AK48" s="182"/>
      <c r="AL48" s="182"/>
      <c r="AM48" s="182" t="s">
        <v>265</v>
      </c>
      <c r="AN48" s="182" t="s">
        <v>273</v>
      </c>
      <c r="AO48" s="182" t="s">
        <v>541</v>
      </c>
      <c r="AP48" s="182" t="s">
        <v>338</v>
      </c>
      <c r="AQ48" s="182" t="s">
        <v>713</v>
      </c>
      <c r="AR48" s="182" t="s">
        <v>339</v>
      </c>
      <c r="AS48" s="182" t="str">
        <f t="shared" si="3"/>
        <v>Stationary AssetsBuildingsOur EstateRefrigerantsR404ANaN</v>
      </c>
      <c r="AT48" s="182" t="s">
        <v>337</v>
      </c>
      <c r="AU48" s="182"/>
      <c r="AV48" s="208"/>
      <c r="AW48" s="208"/>
      <c r="AX48" s="311">
        <v>0.1</v>
      </c>
      <c r="BA48" s="398"/>
      <c r="BB48" s="398"/>
      <c r="BC48" s="398"/>
      <c r="BF48" s="147" t="str">
        <v>Municipal</v>
      </c>
      <c r="BG48" s="147" t="str">
        <v>Anaerobic digestion (municipal)</v>
      </c>
      <c r="BH48" s="147" t="str">
        <v>Combustion (organisational)</v>
      </c>
      <c r="BI48" s="147" t="str">
        <v>Mixed WEEE</v>
      </c>
      <c r="BJ48" s="147" t="str">
        <v>Hire car</v>
      </c>
      <c r="BK48" s="147" t="str">
        <v>Large</v>
      </c>
    </row>
    <row r="49" spans="2:63" x14ac:dyDescent="0.3">
      <c r="B49" s="146">
        <v>39</v>
      </c>
      <c r="E49" s="182"/>
      <c r="F49" s="182"/>
      <c r="G49" s="182"/>
      <c r="H49" s="182"/>
      <c r="I49" s="182"/>
      <c r="J49" s="182"/>
      <c r="K49" s="182"/>
      <c r="L49" s="182"/>
      <c r="M49" s="182"/>
      <c r="N49" s="182" t="s">
        <v>573</v>
      </c>
      <c r="O49" s="182" t="s">
        <v>714</v>
      </c>
      <c r="P49" s="182"/>
      <c r="Q49" s="182"/>
      <c r="R49" s="182"/>
      <c r="S49" s="182"/>
      <c r="T49" s="182"/>
      <c r="U49" s="182"/>
      <c r="V49" s="182"/>
      <c r="W49" s="182"/>
      <c r="X49" s="182" t="s">
        <v>587</v>
      </c>
      <c r="Y49" s="182" t="s">
        <v>715</v>
      </c>
      <c r="Z49" s="182"/>
      <c r="AA49" s="182"/>
      <c r="AB49" s="182"/>
      <c r="AC49" s="182"/>
      <c r="AD49" s="182"/>
      <c r="AE49" s="182"/>
      <c r="AF49" s="182"/>
      <c r="AG49" s="182"/>
      <c r="AH49" s="182"/>
      <c r="AI49" s="182"/>
      <c r="AJ49" s="182"/>
      <c r="AK49" s="182"/>
      <c r="AL49" s="182"/>
      <c r="AM49" s="182" t="s">
        <v>265</v>
      </c>
      <c r="AN49" s="182" t="s">
        <v>273</v>
      </c>
      <c r="AO49" s="182" t="s">
        <v>541</v>
      </c>
      <c r="AP49" s="182" t="s">
        <v>338</v>
      </c>
      <c r="AQ49" s="182" t="s">
        <v>716</v>
      </c>
      <c r="AR49" s="182" t="s">
        <v>339</v>
      </c>
      <c r="AS49" s="182" t="str">
        <f t="shared" si="3"/>
        <v>Stationary AssetsBuildingsOur EstateRefrigerantsR405ANaN</v>
      </c>
      <c r="AT49" s="182" t="s">
        <v>337</v>
      </c>
      <c r="AU49" s="182"/>
      <c r="AV49" s="208"/>
      <c r="AW49" s="208"/>
      <c r="AX49" s="311">
        <v>0.1</v>
      </c>
      <c r="BA49" s="398"/>
      <c r="BB49" s="398"/>
      <c r="BC49" s="398"/>
      <c r="BF49" s="147" t="str">
        <v>Municipal</v>
      </c>
      <c r="BG49" s="147" t="str">
        <v>Combustion (municipal)</v>
      </c>
      <c r="BH49" s="147" t="str">
        <v>Combustion (organisational)</v>
      </c>
      <c r="BI49" s="147" t="str">
        <v>Non infectious offensive waste</v>
      </c>
      <c r="BJ49" s="147" t="str">
        <v>Hire car</v>
      </c>
      <c r="BK49" s="147" t="str">
        <v>Average</v>
      </c>
    </row>
    <row r="50" spans="2:63" x14ac:dyDescent="0.3">
      <c r="B50" s="146">
        <v>40</v>
      </c>
      <c r="E50" s="182"/>
      <c r="F50" s="182"/>
      <c r="G50" s="182"/>
      <c r="H50" s="182"/>
      <c r="I50" s="182"/>
      <c r="J50" s="182"/>
      <c r="K50" s="182"/>
      <c r="L50" s="182"/>
      <c r="M50" s="182"/>
      <c r="N50" s="182" t="s">
        <v>573</v>
      </c>
      <c r="O50" s="182" t="s">
        <v>717</v>
      </c>
      <c r="P50" s="182"/>
      <c r="Q50" s="182"/>
      <c r="R50" s="182"/>
      <c r="S50" s="182"/>
      <c r="T50" s="182"/>
      <c r="U50" s="182"/>
      <c r="V50" s="182"/>
      <c r="W50" s="182"/>
      <c r="X50" s="182" t="s">
        <v>587</v>
      </c>
      <c r="Y50" s="182" t="s">
        <v>718</v>
      </c>
      <c r="Z50" s="182"/>
      <c r="AA50" s="182"/>
      <c r="AB50" s="182"/>
      <c r="AC50" s="182"/>
      <c r="AD50" s="182"/>
      <c r="AE50" s="182"/>
      <c r="AF50" s="182"/>
      <c r="AG50" s="182"/>
      <c r="AH50" s="182"/>
      <c r="AI50" s="182"/>
      <c r="AJ50" s="182"/>
      <c r="AK50" s="182"/>
      <c r="AL50" s="182"/>
      <c r="AM50" s="182" t="s">
        <v>265</v>
      </c>
      <c r="AN50" s="182" t="s">
        <v>273</v>
      </c>
      <c r="AO50" s="182" t="s">
        <v>541</v>
      </c>
      <c r="AP50" s="182" t="s">
        <v>338</v>
      </c>
      <c r="AQ50" s="182" t="s">
        <v>719</v>
      </c>
      <c r="AR50" s="182" t="s">
        <v>339</v>
      </c>
      <c r="AS50" s="182" t="str">
        <f t="shared" si="3"/>
        <v>Stationary AssetsBuildingsOur EstateRefrigerantsR406ANaN</v>
      </c>
      <c r="AT50" s="182" t="s">
        <v>337</v>
      </c>
      <c r="AU50" s="182"/>
      <c r="AV50" s="208"/>
      <c r="AW50" s="208"/>
      <c r="AX50" s="311">
        <v>0.1</v>
      </c>
      <c r="BA50" s="398"/>
      <c r="BB50" s="398"/>
      <c r="BC50" s="398"/>
      <c r="BF50" s="147" t="str">
        <v>Municipal</v>
      </c>
      <c r="BG50" s="147" t="str">
        <v>Composting (municipal)</v>
      </c>
      <c r="BH50" s="147" t="str">
        <v>Combustion (organisational)</v>
      </c>
      <c r="BI50" s="147" t="str">
        <v>Organic food and drink</v>
      </c>
      <c r="BJ50" s="147" t="str">
        <v>Homeworking</v>
      </c>
      <c r="BK50" s="147" t="str">
        <v>NaN</v>
      </c>
    </row>
    <row r="51" spans="2:63" x14ac:dyDescent="0.3">
      <c r="B51" s="146">
        <v>41</v>
      </c>
      <c r="E51" s="182"/>
      <c r="F51" s="182"/>
      <c r="G51" s="182"/>
      <c r="H51" s="182"/>
      <c r="I51" s="182"/>
      <c r="J51" s="182"/>
      <c r="K51" s="182"/>
      <c r="L51" s="182"/>
      <c r="M51" s="182"/>
      <c r="N51" s="182" t="s">
        <v>573</v>
      </c>
      <c r="O51" s="182" t="s">
        <v>720</v>
      </c>
      <c r="P51" s="182"/>
      <c r="Q51" s="182"/>
      <c r="R51" s="182"/>
      <c r="S51" s="182"/>
      <c r="T51" s="182"/>
      <c r="U51" s="182"/>
      <c r="V51" s="182"/>
      <c r="W51" s="182"/>
      <c r="X51" s="182" t="s">
        <v>587</v>
      </c>
      <c r="Y51" s="182" t="s">
        <v>721</v>
      </c>
      <c r="Z51" s="182"/>
      <c r="AA51" s="182"/>
      <c r="AB51" s="182"/>
      <c r="AC51" s="182"/>
      <c r="AD51" s="182"/>
      <c r="AE51" s="182"/>
      <c r="AF51" s="182"/>
      <c r="AG51" s="182"/>
      <c r="AH51" s="182"/>
      <c r="AI51" s="182"/>
      <c r="AJ51" s="182"/>
      <c r="AK51" s="182"/>
      <c r="AL51" s="182"/>
      <c r="AM51" s="182" t="s">
        <v>265</v>
      </c>
      <c r="AN51" s="182" t="s">
        <v>273</v>
      </c>
      <c r="AO51" s="182" t="s">
        <v>541</v>
      </c>
      <c r="AP51" s="182" t="s">
        <v>338</v>
      </c>
      <c r="AQ51" s="182" t="s">
        <v>722</v>
      </c>
      <c r="AR51" s="182" t="s">
        <v>339</v>
      </c>
      <c r="AS51" s="182" t="str">
        <f t="shared" si="3"/>
        <v>Stationary AssetsBuildingsOur EstateRefrigerantsR407ANaN</v>
      </c>
      <c r="AT51" s="182" t="s">
        <v>337</v>
      </c>
      <c r="AU51" s="182"/>
      <c r="AV51" s="208"/>
      <c r="AW51" s="208"/>
      <c r="AX51" s="311">
        <v>0.1</v>
      </c>
      <c r="BA51" s="398"/>
      <c r="BB51" s="398"/>
      <c r="BC51" s="398"/>
      <c r="BF51" s="147" t="str">
        <v>Municipal</v>
      </c>
      <c r="BG51" s="147" t="str">
        <v>High temperature incineration (municipal)</v>
      </c>
      <c r="BH51" s="147" t="str">
        <v>Combustion (organisational)</v>
      </c>
      <c r="BI51" s="147" t="str">
        <v>Organic garden</v>
      </c>
      <c r="BJ51" s="147" t="str">
        <v>Human health and social work activities</v>
      </c>
      <c r="BK51" s="147" t="str">
        <v>NaN</v>
      </c>
    </row>
    <row r="52" spans="2:63" x14ac:dyDescent="0.3">
      <c r="B52" s="146">
        <v>42</v>
      </c>
      <c r="E52" s="182"/>
      <c r="F52" s="182"/>
      <c r="G52" s="182"/>
      <c r="H52" s="182"/>
      <c r="I52" s="182"/>
      <c r="J52" s="182"/>
      <c r="K52" s="182"/>
      <c r="L52" s="182"/>
      <c r="M52" s="182"/>
      <c r="N52" s="182" t="s">
        <v>573</v>
      </c>
      <c r="O52" s="182" t="s">
        <v>723</v>
      </c>
      <c r="P52" s="182"/>
      <c r="Q52" s="182"/>
      <c r="R52" s="182"/>
      <c r="S52" s="182"/>
      <c r="T52" s="182"/>
      <c r="U52" s="182"/>
      <c r="V52" s="182"/>
      <c r="W52" s="182"/>
      <c r="X52" s="182" t="s">
        <v>597</v>
      </c>
      <c r="Y52" s="182" t="s">
        <v>724</v>
      </c>
      <c r="Z52" s="182"/>
      <c r="AA52" s="182"/>
      <c r="AB52" s="182"/>
      <c r="AC52" s="182"/>
      <c r="AD52" s="182"/>
      <c r="AE52" s="182"/>
      <c r="AF52" s="182"/>
      <c r="AG52" s="182"/>
      <c r="AH52" s="182"/>
      <c r="AI52" s="182"/>
      <c r="AJ52" s="182"/>
      <c r="AK52" s="182"/>
      <c r="AL52" s="182"/>
      <c r="AM52" s="182" t="s">
        <v>265</v>
      </c>
      <c r="AN52" s="182" t="s">
        <v>273</v>
      </c>
      <c r="AO52" s="182" t="s">
        <v>541</v>
      </c>
      <c r="AP52" s="182" t="s">
        <v>338</v>
      </c>
      <c r="AQ52" s="182" t="s">
        <v>725</v>
      </c>
      <c r="AR52" s="182" t="s">
        <v>339</v>
      </c>
      <c r="AS52" s="182" t="str">
        <f t="shared" si="3"/>
        <v>Stationary AssetsBuildingsOur EstateRefrigerantsR407BNaN</v>
      </c>
      <c r="AT52" s="182" t="s">
        <v>337</v>
      </c>
      <c r="AU52" s="182"/>
      <c r="AV52" s="208"/>
      <c r="AW52" s="208"/>
      <c r="AX52" s="311">
        <v>0.1</v>
      </c>
      <c r="BA52" s="398"/>
      <c r="BB52" s="398"/>
      <c r="BC52" s="398"/>
      <c r="BF52" s="147" t="str">
        <v>Municipal</v>
      </c>
      <c r="BG52" s="147" t="str">
        <v>Landfill (municipal)</v>
      </c>
      <c r="BH52" s="147" t="str">
        <v>Combustion (organisational)</v>
      </c>
      <c r="BI52" s="147" t="str">
        <v>Organic mixed</v>
      </c>
      <c r="BJ52" s="147" t="str">
        <v>Information and communication</v>
      </c>
      <c r="BK52" s="147" t="str">
        <v>NaN</v>
      </c>
    </row>
    <row r="53" spans="2:63" x14ac:dyDescent="0.3">
      <c r="B53" s="146">
        <v>43</v>
      </c>
      <c r="E53" s="182"/>
      <c r="F53" s="182"/>
      <c r="G53" s="182"/>
      <c r="H53" s="182"/>
      <c r="I53" s="182"/>
      <c r="J53" s="182"/>
      <c r="K53" s="182"/>
      <c r="L53" s="182"/>
      <c r="M53" s="182"/>
      <c r="N53" s="182" t="s">
        <v>583</v>
      </c>
      <c r="O53" s="182" t="s">
        <v>726</v>
      </c>
      <c r="P53" s="182"/>
      <c r="Q53" s="182"/>
      <c r="R53" s="182"/>
      <c r="S53" s="182"/>
      <c r="T53" s="182"/>
      <c r="U53" s="182"/>
      <c r="V53" s="182"/>
      <c r="W53" s="182"/>
      <c r="X53" s="182" t="s">
        <v>597</v>
      </c>
      <c r="Y53" s="182" t="s">
        <v>727</v>
      </c>
      <c r="Z53" s="182"/>
      <c r="AA53" s="182"/>
      <c r="AB53" s="182"/>
      <c r="AC53" s="182"/>
      <c r="AD53" s="182"/>
      <c r="AE53" s="182"/>
      <c r="AF53" s="182"/>
      <c r="AG53" s="182"/>
      <c r="AH53" s="182"/>
      <c r="AI53" s="182"/>
      <c r="AJ53" s="182"/>
      <c r="AK53" s="182"/>
      <c r="AL53" s="182"/>
      <c r="AM53" s="182" t="s">
        <v>265</v>
      </c>
      <c r="AN53" s="182" t="s">
        <v>273</v>
      </c>
      <c r="AO53" s="182" t="s">
        <v>541</v>
      </c>
      <c r="AP53" s="182" t="s">
        <v>338</v>
      </c>
      <c r="AQ53" s="182" t="s">
        <v>728</v>
      </c>
      <c r="AR53" s="182" t="s">
        <v>339</v>
      </c>
      <c r="AS53" s="182" t="str">
        <f t="shared" si="3"/>
        <v>Stationary AssetsBuildingsOur EstateRefrigerantsR407CNaN</v>
      </c>
      <c r="AT53" s="182" t="s">
        <v>337</v>
      </c>
      <c r="AU53" s="182"/>
      <c r="AV53" s="208"/>
      <c r="AW53" s="208"/>
      <c r="AX53" s="311">
        <v>0.1</v>
      </c>
      <c r="BA53" s="398"/>
      <c r="BB53" s="398"/>
      <c r="BC53" s="398"/>
      <c r="BF53" s="147" t="str">
        <v>Municipal</v>
      </c>
      <c r="BG53" s="147" t="str">
        <v>Recycling (municipal)</v>
      </c>
      <c r="BH53" s="147" t="str">
        <v>Combustion (project)</v>
      </c>
      <c r="BI53" s="147" t="str">
        <v>Commercial and industrial waste</v>
      </c>
      <c r="BJ53" s="147" t="str">
        <v>Landfill (municipal)</v>
      </c>
      <c r="BK53" s="147" t="str">
        <v>Not including transport</v>
      </c>
    </row>
    <row r="54" spans="2:63" x14ac:dyDescent="0.3">
      <c r="B54" s="146">
        <v>44</v>
      </c>
      <c r="E54" s="182"/>
      <c r="F54" s="182"/>
      <c r="G54" s="182"/>
      <c r="H54" s="182"/>
      <c r="I54" s="182"/>
      <c r="J54" s="182"/>
      <c r="K54" s="182"/>
      <c r="L54" s="182"/>
      <c r="M54" s="182"/>
      <c r="N54" s="182" t="s">
        <v>583</v>
      </c>
      <c r="O54" s="182" t="s">
        <v>729</v>
      </c>
      <c r="P54" s="182"/>
      <c r="Q54" s="182"/>
      <c r="R54" s="182"/>
      <c r="S54" s="182"/>
      <c r="T54" s="182"/>
      <c r="U54" s="182"/>
      <c r="V54" s="182"/>
      <c r="W54" s="182"/>
      <c r="X54" s="182" t="s">
        <v>597</v>
      </c>
      <c r="Y54" s="182" t="s">
        <v>730</v>
      </c>
      <c r="Z54" s="182"/>
      <c r="AA54" s="182"/>
      <c r="AB54" s="182"/>
      <c r="AC54" s="182"/>
      <c r="AD54" s="182"/>
      <c r="AE54" s="182"/>
      <c r="AF54" s="182"/>
      <c r="AG54" s="182"/>
      <c r="AH54" s="182"/>
      <c r="AI54" s="182"/>
      <c r="AJ54" s="182"/>
      <c r="AK54" s="182"/>
      <c r="AL54" s="182"/>
      <c r="AM54" s="182" t="s">
        <v>265</v>
      </c>
      <c r="AN54" s="182" t="s">
        <v>273</v>
      </c>
      <c r="AO54" s="182" t="s">
        <v>541</v>
      </c>
      <c r="AP54" s="182" t="s">
        <v>338</v>
      </c>
      <c r="AQ54" s="182" t="s">
        <v>731</v>
      </c>
      <c r="AR54" s="182" t="s">
        <v>339</v>
      </c>
      <c r="AS54" s="182" t="str">
        <f t="shared" si="3"/>
        <v>Stationary AssetsBuildingsOur EstateRefrigerantsR407DNaN</v>
      </c>
      <c r="AT54" s="182" t="s">
        <v>337</v>
      </c>
      <c r="AU54" s="182"/>
      <c r="AV54" s="208"/>
      <c r="AW54" s="208"/>
      <c r="AX54" s="311">
        <v>0.1</v>
      </c>
      <c r="BA54" s="398"/>
      <c r="BB54" s="398"/>
      <c r="BC54" s="398"/>
      <c r="BF54" s="147" t="str">
        <v>Organisational</v>
      </c>
      <c r="BG54" s="147" t="str">
        <v>Anaerobic digestion (organisational)</v>
      </c>
      <c r="BH54" s="147" t="str">
        <v>Combustion (project)</v>
      </c>
      <c r="BI54" s="147" t="str">
        <v>Wood</v>
      </c>
      <c r="BJ54" s="147" t="str">
        <v>Landfill (municipal)</v>
      </c>
      <c r="BK54" s="147" t="str">
        <v>NaN</v>
      </c>
    </row>
    <row r="55" spans="2:63" x14ac:dyDescent="0.3">
      <c r="B55" s="146">
        <v>45</v>
      </c>
      <c r="E55" s="182"/>
      <c r="F55" s="182"/>
      <c r="G55" s="182"/>
      <c r="H55" s="182"/>
      <c r="I55" s="182"/>
      <c r="J55" s="182"/>
      <c r="K55" s="182"/>
      <c r="L55" s="182"/>
      <c r="M55" s="182"/>
      <c r="N55" s="182" t="s">
        <v>583</v>
      </c>
      <c r="O55" s="182" t="s">
        <v>732</v>
      </c>
      <c r="P55" s="182"/>
      <c r="Q55" s="182"/>
      <c r="R55" s="182"/>
      <c r="S55" s="182"/>
      <c r="T55" s="182"/>
      <c r="U55" s="182"/>
      <c r="V55" s="182"/>
      <c r="W55" s="182"/>
      <c r="X55" s="182" t="s">
        <v>597</v>
      </c>
      <c r="Y55" s="182" t="s">
        <v>733</v>
      </c>
      <c r="Z55" s="182"/>
      <c r="AA55" s="182"/>
      <c r="AB55" s="182"/>
      <c r="AC55" s="182"/>
      <c r="AD55" s="182"/>
      <c r="AE55" s="182"/>
      <c r="AF55" s="182"/>
      <c r="AG55" s="182"/>
      <c r="AH55" s="182"/>
      <c r="AI55" s="182"/>
      <c r="AJ55" s="182"/>
      <c r="AK55" s="182"/>
      <c r="AL55" s="182"/>
      <c r="AM55" s="182" t="s">
        <v>265</v>
      </c>
      <c r="AN55" s="182" t="s">
        <v>273</v>
      </c>
      <c r="AO55" s="182" t="s">
        <v>541</v>
      </c>
      <c r="AP55" s="182" t="s">
        <v>338</v>
      </c>
      <c r="AQ55" s="182" t="s">
        <v>734</v>
      </c>
      <c r="AR55" s="182" t="s">
        <v>339</v>
      </c>
      <c r="AS55" s="182" t="str">
        <f t="shared" si="3"/>
        <v>Stationary AssetsBuildingsOur EstateRefrigerantsR407ENaN</v>
      </c>
      <c r="AT55" s="182" t="s">
        <v>337</v>
      </c>
      <c r="AU55" s="182"/>
      <c r="AV55" s="208"/>
      <c r="AW55" s="208"/>
      <c r="AX55" s="311">
        <v>0.1</v>
      </c>
      <c r="BA55" s="398"/>
      <c r="BB55" s="398"/>
      <c r="BC55" s="398"/>
      <c r="BF55" s="147" t="str">
        <v>Organisational</v>
      </c>
      <c r="BG55" s="147" t="str">
        <v>Autoclave treatment and combustion (organisational)</v>
      </c>
      <c r="BH55" s="147" t="str">
        <v>Composting (municipal)</v>
      </c>
      <c r="BI55" s="147" t="str">
        <v>Organic food and drink</v>
      </c>
      <c r="BJ55" s="147" t="str">
        <v>Landfill (organisational)</v>
      </c>
      <c r="BK55" s="147" t="str">
        <v>NaN</v>
      </c>
    </row>
    <row r="56" spans="2:63" x14ac:dyDescent="0.3">
      <c r="B56" s="146">
        <v>46</v>
      </c>
      <c r="E56" s="182"/>
      <c r="F56" s="182"/>
      <c r="G56" s="182"/>
      <c r="H56" s="182"/>
      <c r="I56" s="182"/>
      <c r="J56" s="182"/>
      <c r="K56" s="182"/>
      <c r="L56" s="182"/>
      <c r="M56" s="182"/>
      <c r="N56" s="182" t="s">
        <v>593</v>
      </c>
      <c r="O56" s="182" t="s">
        <v>735</v>
      </c>
      <c r="P56" s="182"/>
      <c r="Q56" s="182"/>
      <c r="R56" s="182"/>
      <c r="S56" s="182"/>
      <c r="T56" s="182"/>
      <c r="U56" s="182"/>
      <c r="V56" s="182"/>
      <c r="W56" s="182"/>
      <c r="X56" s="182" t="s">
        <v>605</v>
      </c>
      <c r="Y56" s="182" t="s">
        <v>736</v>
      </c>
      <c r="Z56" s="182"/>
      <c r="AA56" s="182"/>
      <c r="AB56" s="182"/>
      <c r="AC56" s="182"/>
      <c r="AD56" s="182"/>
      <c r="AE56" s="182"/>
      <c r="AF56" s="182"/>
      <c r="AG56" s="182"/>
      <c r="AH56" s="182"/>
      <c r="AI56" s="182"/>
      <c r="AJ56" s="182"/>
      <c r="AK56" s="182"/>
      <c r="AL56" s="182"/>
      <c r="AM56" s="182" t="s">
        <v>265</v>
      </c>
      <c r="AN56" s="182" t="s">
        <v>273</v>
      </c>
      <c r="AO56" s="182" t="s">
        <v>541</v>
      </c>
      <c r="AP56" s="182" t="s">
        <v>338</v>
      </c>
      <c r="AQ56" s="182" t="s">
        <v>737</v>
      </c>
      <c r="AR56" s="182" t="s">
        <v>339</v>
      </c>
      <c r="AS56" s="182" t="str">
        <f t="shared" si="3"/>
        <v>Stationary AssetsBuildingsOur EstateRefrigerantsR407FNaN</v>
      </c>
      <c r="AT56" s="182" t="s">
        <v>337</v>
      </c>
      <c r="AU56" s="182"/>
      <c r="AV56" s="208"/>
      <c r="AW56" s="208"/>
      <c r="AX56" s="311">
        <v>0.1</v>
      </c>
      <c r="BA56" s="398"/>
      <c r="BB56" s="398"/>
      <c r="BC56" s="398"/>
      <c r="BF56" s="147" t="str">
        <v>Organisational</v>
      </c>
      <c r="BG56" s="147" t="str">
        <v>Combustion (organisational)</v>
      </c>
      <c r="BH56" s="147" t="str">
        <v>Composting (municipal)</v>
      </c>
      <c r="BI56" s="147" t="str">
        <v>Organic garden</v>
      </c>
      <c r="BJ56" s="147" t="str">
        <v>Landfill (project)</v>
      </c>
      <c r="BK56" s="147" t="str">
        <v>NaN</v>
      </c>
    </row>
    <row r="57" spans="2:63" x14ac:dyDescent="0.3">
      <c r="B57" s="146">
        <v>47</v>
      </c>
      <c r="E57" s="182"/>
      <c r="F57" s="182"/>
      <c r="G57" s="182"/>
      <c r="H57" s="182"/>
      <c r="I57" s="182"/>
      <c r="J57" s="182"/>
      <c r="K57" s="182"/>
      <c r="L57" s="182"/>
      <c r="M57" s="182"/>
      <c r="N57" s="182" t="s">
        <v>593</v>
      </c>
      <c r="O57" s="182" t="s">
        <v>738</v>
      </c>
      <c r="P57" s="182"/>
      <c r="Q57" s="182"/>
      <c r="R57" s="182"/>
      <c r="S57" s="182"/>
      <c r="T57" s="182"/>
      <c r="U57" s="182"/>
      <c r="V57" s="182"/>
      <c r="W57" s="182"/>
      <c r="X57" s="182" t="s">
        <v>605</v>
      </c>
      <c r="Y57" s="182" t="s">
        <v>739</v>
      </c>
      <c r="Z57" s="182"/>
      <c r="AA57" s="182"/>
      <c r="AB57" s="182"/>
      <c r="AC57" s="182"/>
      <c r="AD57" s="182"/>
      <c r="AE57" s="182"/>
      <c r="AF57" s="182"/>
      <c r="AG57" s="182"/>
      <c r="AH57" s="182"/>
      <c r="AI57" s="182"/>
      <c r="AJ57" s="182"/>
      <c r="AK57" s="182"/>
      <c r="AL57" s="182"/>
      <c r="AM57" s="182" t="s">
        <v>265</v>
      </c>
      <c r="AN57" s="182" t="s">
        <v>273</v>
      </c>
      <c r="AO57" s="182" t="s">
        <v>541</v>
      </c>
      <c r="AP57" s="182" t="s">
        <v>338</v>
      </c>
      <c r="AQ57" s="182" t="s">
        <v>740</v>
      </c>
      <c r="AR57" s="182" t="s">
        <v>339</v>
      </c>
      <c r="AS57" s="182" t="str">
        <f t="shared" si="3"/>
        <v>Stationary AssetsBuildingsOur EstateRefrigerantsR408ANaN</v>
      </c>
      <c r="AT57" s="182" t="s">
        <v>337</v>
      </c>
      <c r="AU57" s="182"/>
      <c r="AV57" s="208"/>
      <c r="AW57" s="208"/>
      <c r="AX57" s="311">
        <v>0.1</v>
      </c>
      <c r="BA57" s="398"/>
      <c r="BB57" s="398"/>
      <c r="BC57" s="398"/>
      <c r="BF57" s="147" t="str">
        <v>Organisational</v>
      </c>
      <c r="BG57" s="147" t="str">
        <v>High temperature incineration (organisational)</v>
      </c>
      <c r="BH57" s="147" t="str">
        <v>Composting (municipal)</v>
      </c>
      <c r="BI57" s="147" t="str">
        <v>Organic mixed</v>
      </c>
      <c r="BJ57" s="147" t="str">
        <v>Livestock</v>
      </c>
      <c r="BK57" s="147" t="str">
        <v>Emissions</v>
      </c>
    </row>
    <row r="58" spans="2:63" x14ac:dyDescent="0.3">
      <c r="B58" s="146">
        <v>48</v>
      </c>
      <c r="E58" s="182"/>
      <c r="F58" s="182"/>
      <c r="G58" s="182"/>
      <c r="H58" s="182"/>
      <c r="I58" s="182"/>
      <c r="J58" s="182"/>
      <c r="K58" s="182"/>
      <c r="L58" s="182"/>
      <c r="M58" s="182"/>
      <c r="N58" s="182" t="s">
        <v>593</v>
      </c>
      <c r="O58" s="182" t="s">
        <v>741</v>
      </c>
      <c r="P58" s="182"/>
      <c r="Q58" s="182"/>
      <c r="R58" s="182"/>
      <c r="S58" s="182"/>
      <c r="T58" s="182"/>
      <c r="U58" s="182"/>
      <c r="V58" s="182"/>
      <c r="W58" s="182"/>
      <c r="X58" s="182" t="s">
        <v>605</v>
      </c>
      <c r="Y58" s="182" t="s">
        <v>742</v>
      </c>
      <c r="Z58" s="182"/>
      <c r="AA58" s="182"/>
      <c r="AB58" s="182"/>
      <c r="AC58" s="182"/>
      <c r="AD58" s="182"/>
      <c r="AE58" s="182"/>
      <c r="AF58" s="182"/>
      <c r="AG58" s="182"/>
      <c r="AH58" s="182"/>
      <c r="AI58" s="182"/>
      <c r="AJ58" s="182"/>
      <c r="AK58" s="182"/>
      <c r="AL58" s="182"/>
      <c r="AM58" s="182" t="s">
        <v>265</v>
      </c>
      <c r="AN58" s="182" t="s">
        <v>273</v>
      </c>
      <c r="AO58" s="182" t="s">
        <v>541</v>
      </c>
      <c r="AP58" s="182" t="s">
        <v>338</v>
      </c>
      <c r="AQ58" s="182" t="s">
        <v>743</v>
      </c>
      <c r="AR58" s="182" t="s">
        <v>339</v>
      </c>
      <c r="AS58" s="182" t="str">
        <f t="shared" si="3"/>
        <v>Stationary AssetsBuildingsOur EstateRefrigerantsR409ANaN</v>
      </c>
      <c r="AT58" s="182" t="s">
        <v>337</v>
      </c>
      <c r="AU58" s="182"/>
      <c r="AV58" s="208"/>
      <c r="AW58" s="208"/>
      <c r="AX58" s="311">
        <v>0.1</v>
      </c>
      <c r="BA58" s="398"/>
      <c r="BB58" s="398"/>
      <c r="BC58" s="398"/>
      <c r="BF58" s="147" t="str">
        <v>Organisational</v>
      </c>
      <c r="BG58" s="147" t="str">
        <v>Landfill (organisational)</v>
      </c>
      <c r="BH58" s="147" t="str">
        <v>Construction</v>
      </c>
      <c r="BI58" s="147" t="str">
        <v>Buildings and building construction works</v>
      </c>
      <c r="BJ58" s="147" t="str">
        <v>Long haul</v>
      </c>
      <c r="BK58" s="147" t="str">
        <v>NaN</v>
      </c>
    </row>
    <row r="59" spans="2:63" x14ac:dyDescent="0.3">
      <c r="B59" s="146">
        <v>49</v>
      </c>
      <c r="E59" s="182"/>
      <c r="F59" s="182"/>
      <c r="G59" s="182"/>
      <c r="H59" s="182"/>
      <c r="I59" s="182"/>
      <c r="J59" s="182"/>
      <c r="K59" s="182"/>
      <c r="L59" s="182"/>
      <c r="M59" s="182"/>
      <c r="N59" s="182" t="s">
        <v>593</v>
      </c>
      <c r="O59" s="182" t="s">
        <v>744</v>
      </c>
      <c r="P59" s="182"/>
      <c r="Q59" s="182"/>
      <c r="R59" s="182"/>
      <c r="S59" s="182"/>
      <c r="T59" s="182"/>
      <c r="U59" s="182"/>
      <c r="V59" s="182"/>
      <c r="W59" s="182"/>
      <c r="X59" s="182" t="s">
        <v>605</v>
      </c>
      <c r="Y59" s="182" t="s">
        <v>745</v>
      </c>
      <c r="Z59" s="182"/>
      <c r="AA59" s="182"/>
      <c r="AB59" s="182"/>
      <c r="AC59" s="182"/>
      <c r="AD59" s="182"/>
      <c r="AE59" s="182"/>
      <c r="AF59" s="182"/>
      <c r="AG59" s="182"/>
      <c r="AH59" s="182"/>
      <c r="AI59" s="182"/>
      <c r="AJ59" s="182"/>
      <c r="AK59" s="182"/>
      <c r="AL59" s="182"/>
      <c r="AM59" s="182" t="s">
        <v>265</v>
      </c>
      <c r="AN59" s="182" t="s">
        <v>273</v>
      </c>
      <c r="AO59" s="182" t="s">
        <v>541</v>
      </c>
      <c r="AP59" s="182" t="s">
        <v>338</v>
      </c>
      <c r="AQ59" s="182" t="s">
        <v>746</v>
      </c>
      <c r="AR59" s="182" t="s">
        <v>339</v>
      </c>
      <c r="AS59" s="182" t="str">
        <f t="shared" si="3"/>
        <v>Stationary AssetsBuildingsOur EstateRefrigerantsR409BNaN</v>
      </c>
      <c r="AT59" s="182" t="s">
        <v>337</v>
      </c>
      <c r="AU59" s="182"/>
      <c r="AV59" s="208"/>
      <c r="AW59" s="208"/>
      <c r="AX59" s="311">
        <v>0.1</v>
      </c>
      <c r="BA59" s="398"/>
      <c r="BB59" s="398"/>
      <c r="BC59" s="398"/>
      <c r="BF59" s="147" t="str">
        <v>Organisational</v>
      </c>
      <c r="BG59" s="147" t="str">
        <v>Recycling (organisational)</v>
      </c>
      <c r="BH59" s="147" t="str">
        <v>Construction</v>
      </c>
      <c r="BI59" s="147" t="str">
        <v>Constructions and construction works for civil engineering</v>
      </c>
      <c r="BJ59" s="147" t="str">
        <v>Manufacturing</v>
      </c>
      <c r="BK59" s="147" t="str">
        <v>NaN</v>
      </c>
    </row>
    <row r="60" spans="2:63" x14ac:dyDescent="0.3">
      <c r="B60" s="146">
        <v>50</v>
      </c>
      <c r="E60" s="182"/>
      <c r="F60" s="182"/>
      <c r="G60" s="182"/>
      <c r="H60" s="182"/>
      <c r="I60" s="182"/>
      <c r="J60" s="182"/>
      <c r="K60" s="182"/>
      <c r="L60" s="182"/>
      <c r="M60" s="182"/>
      <c r="N60" s="182" t="s">
        <v>593</v>
      </c>
      <c r="O60" s="182" t="s">
        <v>747</v>
      </c>
      <c r="P60" s="182"/>
      <c r="Q60" s="182"/>
      <c r="R60" s="182"/>
      <c r="S60" s="182"/>
      <c r="T60" s="182"/>
      <c r="U60" s="182"/>
      <c r="V60" s="182"/>
      <c r="W60" s="182"/>
      <c r="X60" s="182" t="s">
        <v>612</v>
      </c>
      <c r="Y60" s="182" t="s">
        <v>748</v>
      </c>
      <c r="Z60" s="182"/>
      <c r="AA60" s="182"/>
      <c r="AB60" s="182"/>
      <c r="AC60" s="182"/>
      <c r="AD60" s="182"/>
      <c r="AE60" s="182"/>
      <c r="AF60" s="182"/>
      <c r="AG60" s="182"/>
      <c r="AH60" s="182"/>
      <c r="AI60" s="182"/>
      <c r="AJ60" s="182"/>
      <c r="AK60" s="182"/>
      <c r="AL60" s="182"/>
      <c r="AM60" s="182" t="s">
        <v>265</v>
      </c>
      <c r="AN60" s="182" t="s">
        <v>273</v>
      </c>
      <c r="AO60" s="182" t="s">
        <v>541</v>
      </c>
      <c r="AP60" s="182" t="s">
        <v>338</v>
      </c>
      <c r="AQ60" s="182" t="s">
        <v>749</v>
      </c>
      <c r="AR60" s="182" t="s">
        <v>339</v>
      </c>
      <c r="AS60" s="182" t="str">
        <f t="shared" si="3"/>
        <v>Stationary AssetsBuildingsOur EstateRefrigerantsR410ANaN</v>
      </c>
      <c r="AT60" s="182" t="s">
        <v>337</v>
      </c>
      <c r="AU60" s="182"/>
      <c r="AV60" s="208"/>
      <c r="AW60" s="208"/>
      <c r="AX60" s="311">
        <v>0.1</v>
      </c>
      <c r="BA60" s="398"/>
      <c r="BB60" s="398"/>
      <c r="BC60" s="398"/>
      <c r="BF60" s="147" t="str">
        <v>Other public lighting</v>
      </c>
      <c r="BG60" s="147" t="str">
        <v>Electricity</v>
      </c>
      <c r="BH60" s="147" t="str">
        <v>Construction</v>
      </c>
      <c r="BI60" s="147" t="str">
        <v>Specialised construction works</v>
      </c>
      <c r="BJ60" s="147" t="str">
        <v>Medical Gas</v>
      </c>
      <c r="BK60" s="147" t="str">
        <v>NaN</v>
      </c>
    </row>
    <row r="61" spans="2:63" x14ac:dyDescent="0.3">
      <c r="B61" s="146">
        <v>51</v>
      </c>
      <c r="E61" s="182"/>
      <c r="F61" s="182"/>
      <c r="G61" s="182"/>
      <c r="H61" s="182"/>
      <c r="I61" s="182"/>
      <c r="J61" s="182"/>
      <c r="K61" s="182"/>
      <c r="L61" s="182"/>
      <c r="M61" s="182"/>
      <c r="N61" s="182" t="s">
        <v>593</v>
      </c>
      <c r="O61" s="182" t="s">
        <v>750</v>
      </c>
      <c r="P61" s="182"/>
      <c r="Q61" s="182"/>
      <c r="R61" s="182"/>
      <c r="S61" s="182"/>
      <c r="T61" s="182"/>
      <c r="U61" s="182"/>
      <c r="V61" s="182"/>
      <c r="W61" s="182"/>
      <c r="X61" s="182" t="s">
        <v>612</v>
      </c>
      <c r="Y61" s="182" t="s">
        <v>751</v>
      </c>
      <c r="Z61" s="182"/>
      <c r="AA61" s="182"/>
      <c r="AB61" s="182"/>
      <c r="AC61" s="182"/>
      <c r="AD61" s="182"/>
      <c r="AE61" s="182"/>
      <c r="AF61" s="182"/>
      <c r="AG61" s="182"/>
      <c r="AH61" s="182"/>
      <c r="AI61" s="182"/>
      <c r="AJ61" s="182"/>
      <c r="AK61" s="182"/>
      <c r="AL61" s="182"/>
      <c r="AM61" s="182" t="s">
        <v>265</v>
      </c>
      <c r="AN61" s="182" t="s">
        <v>273</v>
      </c>
      <c r="AO61" s="182" t="s">
        <v>541</v>
      </c>
      <c r="AP61" s="182" t="s">
        <v>338</v>
      </c>
      <c r="AQ61" s="182" t="s">
        <v>752</v>
      </c>
      <c r="AR61" s="182" t="s">
        <v>339</v>
      </c>
      <c r="AS61" s="182" t="str">
        <f t="shared" si="3"/>
        <v>Stationary AssetsBuildingsOur EstateRefrigerantsR410BNaN</v>
      </c>
      <c r="AT61" s="182" t="s">
        <v>337</v>
      </c>
      <c r="AU61" s="182"/>
      <c r="AV61" s="208"/>
      <c r="AW61" s="208"/>
      <c r="AX61" s="311">
        <v>0.1</v>
      </c>
      <c r="BA61" s="398"/>
      <c r="BB61" s="398"/>
      <c r="BC61" s="398"/>
      <c r="BF61" s="147" t="str">
        <v>Our Estate</v>
      </c>
      <c r="BG61" s="147" t="str">
        <v>Refrigerants</v>
      </c>
      <c r="BH61" s="147" t="str">
        <v>Domestic</v>
      </c>
      <c r="BI61" s="147" t="str">
        <v>Average</v>
      </c>
      <c r="BJ61" s="147" t="str">
        <v>Mineral</v>
      </c>
      <c r="BK61" s="147" t="str">
        <v>Removals</v>
      </c>
    </row>
    <row r="62" spans="2:63" x14ac:dyDescent="0.3">
      <c r="B62" s="146">
        <v>52</v>
      </c>
      <c r="E62" s="182"/>
      <c r="F62" s="182"/>
      <c r="G62" s="182"/>
      <c r="H62" s="182"/>
      <c r="I62" s="182"/>
      <c r="J62" s="182"/>
      <c r="K62" s="182"/>
      <c r="L62" s="182"/>
      <c r="M62" s="182"/>
      <c r="N62" s="182" t="s">
        <v>593</v>
      </c>
      <c r="O62" s="182" t="s">
        <v>753</v>
      </c>
      <c r="P62" s="182"/>
      <c r="Q62" s="182"/>
      <c r="R62" s="182"/>
      <c r="S62" s="182"/>
      <c r="T62" s="182"/>
      <c r="U62" s="182"/>
      <c r="V62" s="182"/>
      <c r="W62" s="182"/>
      <c r="X62" s="182" t="s">
        <v>612</v>
      </c>
      <c r="Y62" s="182" t="s">
        <v>754</v>
      </c>
      <c r="Z62" s="182"/>
      <c r="AA62" s="182"/>
      <c r="AB62" s="182"/>
      <c r="AC62" s="182"/>
      <c r="AD62" s="182"/>
      <c r="AE62" s="182"/>
      <c r="AF62" s="182"/>
      <c r="AG62" s="182"/>
      <c r="AH62" s="182"/>
      <c r="AI62" s="182"/>
      <c r="AJ62" s="182"/>
      <c r="AK62" s="182"/>
      <c r="AL62" s="182"/>
      <c r="AM62" s="182" t="s">
        <v>265</v>
      </c>
      <c r="AN62" s="182" t="s">
        <v>273</v>
      </c>
      <c r="AO62" s="182" t="s">
        <v>541</v>
      </c>
      <c r="AP62" s="182" t="s">
        <v>338</v>
      </c>
      <c r="AQ62" s="182" t="s">
        <v>755</v>
      </c>
      <c r="AR62" s="182" t="s">
        <v>339</v>
      </c>
      <c r="AS62" s="182" t="str">
        <f t="shared" si="3"/>
        <v>Stationary AssetsBuildingsOur EstateRefrigerantsR411ANaN</v>
      </c>
      <c r="AT62" s="182" t="s">
        <v>337</v>
      </c>
      <c r="AU62" s="182"/>
      <c r="AV62" s="208"/>
      <c r="AW62" s="208"/>
      <c r="AX62" s="311">
        <v>0.1</v>
      </c>
      <c r="BA62" s="398"/>
      <c r="BB62" s="398"/>
      <c r="BC62" s="398"/>
      <c r="BF62" s="147" t="str">
        <v>Our Estate</v>
      </c>
      <c r="BG62" s="147" t="str">
        <v>Fossil Fuels</v>
      </c>
      <c r="BH62" s="147" t="str">
        <v>Education</v>
      </c>
      <c r="BI62" s="147" t="str">
        <v>Education services</v>
      </c>
      <c r="BJ62" s="147" t="str">
        <v>Mineral</v>
      </c>
      <c r="BK62" s="147" t="str">
        <v>Emissions</v>
      </c>
    </row>
    <row r="63" spans="2:63" x14ac:dyDescent="0.3">
      <c r="B63" s="146">
        <v>53</v>
      </c>
      <c r="E63" s="182"/>
      <c r="F63" s="182"/>
      <c r="G63" s="182"/>
      <c r="H63" s="182"/>
      <c r="I63" s="182"/>
      <c r="J63" s="182"/>
      <c r="K63" s="182"/>
      <c r="L63" s="182"/>
      <c r="M63" s="182"/>
      <c r="N63" s="182" t="s">
        <v>593</v>
      </c>
      <c r="O63" s="182" t="s">
        <v>756</v>
      </c>
      <c r="P63" s="182"/>
      <c r="Q63" s="182"/>
      <c r="R63" s="182"/>
      <c r="S63" s="182"/>
      <c r="T63" s="182"/>
      <c r="U63" s="182"/>
      <c r="V63" s="182"/>
      <c r="W63" s="182"/>
      <c r="X63" s="182" t="s">
        <v>616</v>
      </c>
      <c r="Y63" s="182" t="s">
        <v>757</v>
      </c>
      <c r="Z63" s="182"/>
      <c r="AA63" s="182"/>
      <c r="AB63" s="182"/>
      <c r="AC63" s="182"/>
      <c r="AD63" s="182"/>
      <c r="AE63" s="182"/>
      <c r="AF63" s="182"/>
      <c r="AG63" s="182"/>
      <c r="AH63" s="182"/>
      <c r="AI63" s="182"/>
      <c r="AJ63" s="182"/>
      <c r="AK63" s="182"/>
      <c r="AL63" s="182"/>
      <c r="AM63" s="182" t="s">
        <v>265</v>
      </c>
      <c r="AN63" s="182" t="s">
        <v>273</v>
      </c>
      <c r="AO63" s="182" t="s">
        <v>541</v>
      </c>
      <c r="AP63" s="182" t="s">
        <v>338</v>
      </c>
      <c r="AQ63" s="182" t="s">
        <v>758</v>
      </c>
      <c r="AR63" s="182" t="s">
        <v>339</v>
      </c>
      <c r="AS63" s="182" t="str">
        <f t="shared" si="3"/>
        <v>Stationary AssetsBuildingsOur EstateRefrigerantsR411BNaN</v>
      </c>
      <c r="AT63" s="182" t="s">
        <v>337</v>
      </c>
      <c r="AU63" s="182"/>
      <c r="AV63" s="208"/>
      <c r="AW63" s="208"/>
      <c r="AX63" s="311">
        <v>0.1</v>
      </c>
      <c r="BA63" s="398"/>
      <c r="BB63" s="398"/>
      <c r="BC63" s="398"/>
      <c r="BF63" s="147" t="str">
        <v>Our Estate</v>
      </c>
      <c r="BG63" s="147" t="str">
        <v>Bioenergy</v>
      </c>
      <c r="BH63" s="147" t="str">
        <v>Electricity</v>
      </c>
      <c r="BI63" s="147" t="str">
        <v>Electricity</v>
      </c>
      <c r="BJ63" s="147" t="str">
        <v>Mining and quarrying</v>
      </c>
      <c r="BK63" s="147" t="str">
        <v>NaN</v>
      </c>
    </row>
    <row r="64" spans="2:63" x14ac:dyDescent="0.3">
      <c r="B64" s="146">
        <v>54</v>
      </c>
      <c r="E64" s="182"/>
      <c r="F64" s="182"/>
      <c r="G64" s="182"/>
      <c r="H64" s="182"/>
      <c r="I64" s="182"/>
      <c r="J64" s="182"/>
      <c r="K64" s="182"/>
      <c r="L64" s="182"/>
      <c r="M64" s="182"/>
      <c r="N64" s="182" t="s">
        <v>593</v>
      </c>
      <c r="O64" s="182" t="s">
        <v>759</v>
      </c>
      <c r="P64" s="182"/>
      <c r="Q64" s="182"/>
      <c r="R64" s="182"/>
      <c r="S64" s="182"/>
      <c r="T64" s="182"/>
      <c r="U64" s="182"/>
      <c r="V64" s="182"/>
      <c r="W64" s="182"/>
      <c r="X64" s="182" t="s">
        <v>616</v>
      </c>
      <c r="Y64" s="182" t="s">
        <v>760</v>
      </c>
      <c r="Z64" s="182"/>
      <c r="AA64" s="182"/>
      <c r="AB64" s="182"/>
      <c r="AC64" s="182"/>
      <c r="AD64" s="182"/>
      <c r="AE64" s="182"/>
      <c r="AF64" s="182"/>
      <c r="AG64" s="182"/>
      <c r="AH64" s="182"/>
      <c r="AI64" s="182"/>
      <c r="AJ64" s="182"/>
      <c r="AK64" s="182"/>
      <c r="AL64" s="182"/>
      <c r="AM64" s="182" t="s">
        <v>265</v>
      </c>
      <c r="AN64" s="182" t="s">
        <v>273</v>
      </c>
      <c r="AO64" s="182" t="s">
        <v>541</v>
      </c>
      <c r="AP64" s="182" t="s">
        <v>338</v>
      </c>
      <c r="AQ64" s="182" t="s">
        <v>761</v>
      </c>
      <c r="AR64" s="182" t="s">
        <v>339</v>
      </c>
      <c r="AS64" s="182" t="str">
        <f t="shared" si="3"/>
        <v>Stationary AssetsBuildingsOur EstateRefrigerantsR412ANaN</v>
      </c>
      <c r="AT64" s="182" t="s">
        <v>337</v>
      </c>
      <c r="AU64" s="182"/>
      <c r="AV64" s="208"/>
      <c r="AW64" s="208"/>
      <c r="AX64" s="311">
        <v>0.1</v>
      </c>
      <c r="BA64" s="398"/>
      <c r="BB64" s="398"/>
      <c r="BC64" s="398"/>
      <c r="BF64" s="147" t="str">
        <v>Our Estate</v>
      </c>
      <c r="BG64" s="147" t="str">
        <v>Electricity</v>
      </c>
      <c r="BH64" s="147" t="str">
        <v>Electricity, gas, steam and air conditioning supply</v>
      </c>
      <c r="BI64" s="147" t="str">
        <v>Electricity, transmission and distribution</v>
      </c>
      <c r="BJ64" s="147" t="str">
        <v>Motorbike</v>
      </c>
      <c r="BK64" s="147" t="str">
        <v>Small</v>
      </c>
    </row>
    <row r="65" spans="2:63" x14ac:dyDescent="0.3">
      <c r="B65" s="146">
        <v>55</v>
      </c>
      <c r="E65" s="182"/>
      <c r="F65" s="182"/>
      <c r="G65" s="182"/>
      <c r="H65" s="182"/>
      <c r="I65" s="182"/>
      <c r="J65" s="182"/>
      <c r="K65" s="182"/>
      <c r="L65" s="182"/>
      <c r="M65" s="182"/>
      <c r="N65" s="182" t="s">
        <v>593</v>
      </c>
      <c r="O65" s="182" t="s">
        <v>762</v>
      </c>
      <c r="P65" s="182"/>
      <c r="Q65" s="182"/>
      <c r="R65" s="182"/>
      <c r="S65" s="182"/>
      <c r="T65" s="182"/>
      <c r="U65" s="182"/>
      <c r="V65" s="182"/>
      <c r="W65" s="182"/>
      <c r="X65" s="182" t="s">
        <v>616</v>
      </c>
      <c r="Y65" s="182" t="s">
        <v>763</v>
      </c>
      <c r="Z65" s="182"/>
      <c r="AA65" s="182"/>
      <c r="AB65" s="182"/>
      <c r="AC65" s="182"/>
      <c r="AD65" s="182"/>
      <c r="AE65" s="182"/>
      <c r="AF65" s="182"/>
      <c r="AG65" s="182"/>
      <c r="AH65" s="182"/>
      <c r="AI65" s="182"/>
      <c r="AJ65" s="182"/>
      <c r="AK65" s="182"/>
      <c r="AL65" s="182"/>
      <c r="AM65" s="182" t="s">
        <v>265</v>
      </c>
      <c r="AN65" s="182" t="s">
        <v>273</v>
      </c>
      <c r="AO65" s="182" t="s">
        <v>541</v>
      </c>
      <c r="AP65" s="182" t="s">
        <v>338</v>
      </c>
      <c r="AQ65" s="182" t="s">
        <v>764</v>
      </c>
      <c r="AR65" s="182" t="s">
        <v>339</v>
      </c>
      <c r="AS65" s="182" t="str">
        <f t="shared" si="3"/>
        <v>Stationary AssetsBuildingsOur EstateRefrigerantsR413ANaN</v>
      </c>
      <c r="AT65" s="182" t="s">
        <v>337</v>
      </c>
      <c r="AU65" s="182"/>
      <c r="AV65" s="208"/>
      <c r="AW65" s="208"/>
      <c r="AX65" s="311">
        <v>0.1</v>
      </c>
      <c r="BA65" s="398"/>
      <c r="BB65" s="398"/>
      <c r="BC65" s="398"/>
      <c r="BF65" s="147" t="str">
        <v>Our Estate</v>
      </c>
      <c r="BG65" s="147" t="str">
        <v>Heat &amp; Steam</v>
      </c>
      <c r="BH65" s="147" t="str">
        <v>Electricity, gas, steam and air conditioning supply</v>
      </c>
      <c r="BI65" s="147" t="str">
        <v>Gas; distribution of gaseous fuels through mains; steam and air conditioning supply</v>
      </c>
      <c r="BJ65" s="147" t="str">
        <v>Motorbike</v>
      </c>
      <c r="BK65" s="147" t="str">
        <v>Medium</v>
      </c>
    </row>
    <row r="66" spans="2:63" x14ac:dyDescent="0.3">
      <c r="B66" s="146">
        <v>56</v>
      </c>
      <c r="E66" s="182"/>
      <c r="F66" s="182"/>
      <c r="G66" s="182"/>
      <c r="H66" s="182"/>
      <c r="I66" s="182"/>
      <c r="J66" s="182"/>
      <c r="K66" s="182"/>
      <c r="L66" s="182"/>
      <c r="M66" s="182"/>
      <c r="N66" s="182" t="s">
        <v>593</v>
      </c>
      <c r="O66" s="182" t="s">
        <v>765</v>
      </c>
      <c r="P66" s="182"/>
      <c r="Q66" s="182"/>
      <c r="R66" s="182"/>
      <c r="S66" s="182"/>
      <c r="T66" s="182"/>
      <c r="U66" s="182"/>
      <c r="V66" s="182"/>
      <c r="W66" s="182"/>
      <c r="X66" s="182" t="s">
        <v>616</v>
      </c>
      <c r="Y66" s="182" t="s">
        <v>766</v>
      </c>
      <c r="Z66" s="182"/>
      <c r="AA66" s="182"/>
      <c r="AB66" s="182"/>
      <c r="AC66" s="182"/>
      <c r="AD66" s="182"/>
      <c r="AE66" s="182"/>
      <c r="AF66" s="182"/>
      <c r="AG66" s="182"/>
      <c r="AH66" s="182"/>
      <c r="AI66" s="182"/>
      <c r="AJ66" s="182"/>
      <c r="AK66" s="182"/>
      <c r="AL66" s="182"/>
      <c r="AM66" s="182" t="s">
        <v>265</v>
      </c>
      <c r="AN66" s="182" t="s">
        <v>273</v>
      </c>
      <c r="AO66" s="182" t="s">
        <v>541</v>
      </c>
      <c r="AP66" s="182" t="s">
        <v>338</v>
      </c>
      <c r="AQ66" s="182" t="s">
        <v>767</v>
      </c>
      <c r="AR66" s="182" t="s">
        <v>339</v>
      </c>
      <c r="AS66" s="182" t="str">
        <f t="shared" si="3"/>
        <v>Stationary AssetsBuildingsOur EstateRefrigerantsR414ANaN</v>
      </c>
      <c r="AT66" s="182" t="s">
        <v>337</v>
      </c>
      <c r="AU66" s="182"/>
      <c r="AV66" s="208"/>
      <c r="AW66" s="208"/>
      <c r="AX66" s="311">
        <v>0.1</v>
      </c>
      <c r="BA66" s="398"/>
      <c r="BB66" s="398"/>
      <c r="BC66" s="398"/>
      <c r="BF66" s="147" t="str">
        <v>Our Estate</v>
      </c>
      <c r="BG66" s="147" t="str">
        <v>Water</v>
      </c>
      <c r="BH66" s="147" t="str">
        <v>Equipment</v>
      </c>
      <c r="BI66" s="147" t="str">
        <v>Petrol</v>
      </c>
      <c r="BJ66" s="147" t="str">
        <v>Motorbike</v>
      </c>
      <c r="BK66" s="147" t="str">
        <v>Large</v>
      </c>
    </row>
    <row r="67" spans="2:63" x14ac:dyDescent="0.3">
      <c r="B67" s="146">
        <v>57</v>
      </c>
      <c r="E67" s="182"/>
      <c r="F67" s="182"/>
      <c r="G67" s="182"/>
      <c r="H67" s="182"/>
      <c r="I67" s="182"/>
      <c r="J67" s="182"/>
      <c r="K67" s="182"/>
      <c r="L67" s="182"/>
      <c r="M67" s="182"/>
      <c r="N67" s="182" t="s">
        <v>593</v>
      </c>
      <c r="O67" s="182" t="s">
        <v>768</v>
      </c>
      <c r="P67" s="182"/>
      <c r="Q67" s="182"/>
      <c r="R67" s="182"/>
      <c r="S67" s="182"/>
      <c r="T67" s="182"/>
      <c r="U67" s="182"/>
      <c r="V67" s="182"/>
      <c r="W67" s="182"/>
      <c r="X67" s="182" t="s">
        <v>620</v>
      </c>
      <c r="Y67" s="182" t="s">
        <v>769</v>
      </c>
      <c r="Z67" s="182"/>
      <c r="AA67" s="182"/>
      <c r="AB67" s="182"/>
      <c r="AC67" s="182"/>
      <c r="AD67" s="182"/>
      <c r="AE67" s="182"/>
      <c r="AF67" s="182"/>
      <c r="AG67" s="182"/>
      <c r="AH67" s="182"/>
      <c r="AI67" s="182"/>
      <c r="AJ67" s="182"/>
      <c r="AK67" s="182"/>
      <c r="AL67" s="182"/>
      <c r="AM67" s="182" t="s">
        <v>265</v>
      </c>
      <c r="AN67" s="182" t="s">
        <v>273</v>
      </c>
      <c r="AO67" s="182" t="s">
        <v>541</v>
      </c>
      <c r="AP67" s="182" t="s">
        <v>338</v>
      </c>
      <c r="AQ67" s="182" t="s">
        <v>770</v>
      </c>
      <c r="AR67" s="182" t="s">
        <v>339</v>
      </c>
      <c r="AS67" s="182" t="str">
        <f t="shared" si="3"/>
        <v>Stationary AssetsBuildingsOur EstateRefrigerantsR414BNaN</v>
      </c>
      <c r="AT67" s="182" t="s">
        <v>337</v>
      </c>
      <c r="AU67" s="182"/>
      <c r="AV67" s="208"/>
      <c r="AW67" s="208"/>
      <c r="AX67" s="311">
        <v>0.1</v>
      </c>
      <c r="BA67" s="398"/>
      <c r="BB67" s="398"/>
      <c r="BC67" s="398"/>
      <c r="BF67" s="147" t="str">
        <v>Project</v>
      </c>
      <c r="BG67" s="147" t="str">
        <v>Combustion (project)</v>
      </c>
      <c r="BH67" s="147" t="str">
        <v>Equipment</v>
      </c>
      <c r="BI67" s="147" t="str">
        <v>Petrol - 100% mineral</v>
      </c>
      <c r="BJ67" s="147" t="str">
        <v>Motorbike</v>
      </c>
      <c r="BK67" s="147" t="str">
        <v>Average</v>
      </c>
    </row>
    <row r="68" spans="2:63" x14ac:dyDescent="0.3">
      <c r="B68" s="146">
        <v>58</v>
      </c>
      <c r="E68" s="182"/>
      <c r="F68" s="182"/>
      <c r="G68" s="182"/>
      <c r="H68" s="182"/>
      <c r="I68" s="182"/>
      <c r="J68" s="182"/>
      <c r="K68" s="182"/>
      <c r="L68" s="182"/>
      <c r="M68" s="182"/>
      <c r="N68" s="182" t="s">
        <v>593</v>
      </c>
      <c r="O68" s="182" t="s">
        <v>771</v>
      </c>
      <c r="P68" s="182"/>
      <c r="Q68" s="182"/>
      <c r="R68" s="182"/>
      <c r="S68" s="182"/>
      <c r="T68" s="182"/>
      <c r="U68" s="182"/>
      <c r="V68" s="182"/>
      <c r="W68" s="182"/>
      <c r="X68" s="182" t="s">
        <v>620</v>
      </c>
      <c r="Y68" s="182" t="s">
        <v>772</v>
      </c>
      <c r="Z68" s="182"/>
      <c r="AA68" s="182"/>
      <c r="AB68" s="182"/>
      <c r="AC68" s="182"/>
      <c r="AD68" s="182"/>
      <c r="AE68" s="182"/>
      <c r="AF68" s="182"/>
      <c r="AG68" s="182"/>
      <c r="AH68" s="182"/>
      <c r="AI68" s="182"/>
      <c r="AJ68" s="182"/>
      <c r="AK68" s="182"/>
      <c r="AL68" s="182"/>
      <c r="AM68" s="182" t="s">
        <v>265</v>
      </c>
      <c r="AN68" s="182" t="s">
        <v>273</v>
      </c>
      <c r="AO68" s="182" t="s">
        <v>541</v>
      </c>
      <c r="AP68" s="182" t="s">
        <v>338</v>
      </c>
      <c r="AQ68" s="182" t="s">
        <v>773</v>
      </c>
      <c r="AR68" s="182" t="s">
        <v>339</v>
      </c>
      <c r="AS68" s="182" t="str">
        <f t="shared" si="3"/>
        <v>Stationary AssetsBuildingsOur EstateRefrigerantsR415ANaN</v>
      </c>
      <c r="AT68" s="182" t="s">
        <v>337</v>
      </c>
      <c r="AU68" s="182"/>
      <c r="AV68" s="208"/>
      <c r="AW68" s="208"/>
      <c r="AX68" s="311">
        <v>0.1</v>
      </c>
      <c r="BA68" s="398"/>
      <c r="BB68" s="398"/>
      <c r="BC68" s="398"/>
      <c r="BF68" s="147" t="str">
        <v>Project</v>
      </c>
      <c r="BG68" s="147" t="str">
        <v>Landfill (project)</v>
      </c>
      <c r="BH68" s="147" t="str">
        <v>Equipment</v>
      </c>
      <c r="BI68" s="147" t="str">
        <v>Diesel</v>
      </c>
      <c r="BJ68" s="147" t="str">
        <v>Motorbike - distance</v>
      </c>
      <c r="BK68" s="147" t="str">
        <v>Small</v>
      </c>
    </row>
    <row r="69" spans="2:63" x14ac:dyDescent="0.3">
      <c r="B69" s="146">
        <v>59</v>
      </c>
      <c r="E69" s="182"/>
      <c r="F69" s="182"/>
      <c r="G69" s="182"/>
      <c r="H69" s="182"/>
      <c r="I69" s="182"/>
      <c r="J69" s="182"/>
      <c r="K69" s="182"/>
      <c r="L69" s="182"/>
      <c r="M69" s="182"/>
      <c r="N69" s="182" t="s">
        <v>603</v>
      </c>
      <c r="O69" s="182" t="s">
        <v>774</v>
      </c>
      <c r="P69" s="182"/>
      <c r="Q69" s="182"/>
      <c r="R69" s="182"/>
      <c r="S69" s="182"/>
      <c r="T69" s="182"/>
      <c r="U69" s="182"/>
      <c r="V69" s="182"/>
      <c r="W69" s="182"/>
      <c r="X69" s="182" t="s">
        <v>620</v>
      </c>
      <c r="Y69" s="182" t="s">
        <v>775</v>
      </c>
      <c r="Z69" s="182"/>
      <c r="AA69" s="182"/>
      <c r="AB69" s="182"/>
      <c r="AC69" s="182"/>
      <c r="AD69" s="182"/>
      <c r="AE69" s="182"/>
      <c r="AF69" s="182"/>
      <c r="AG69" s="182"/>
      <c r="AH69" s="182"/>
      <c r="AI69" s="182"/>
      <c r="AJ69" s="182"/>
      <c r="AK69" s="182"/>
      <c r="AL69" s="182"/>
      <c r="AM69" s="182" t="s">
        <v>265</v>
      </c>
      <c r="AN69" s="182" t="s">
        <v>273</v>
      </c>
      <c r="AO69" s="182" t="s">
        <v>541</v>
      </c>
      <c r="AP69" s="182" t="s">
        <v>338</v>
      </c>
      <c r="AQ69" s="182" t="s">
        <v>776</v>
      </c>
      <c r="AR69" s="182" t="s">
        <v>339</v>
      </c>
      <c r="AS69" s="182" t="str">
        <f t="shared" si="3"/>
        <v>Stationary AssetsBuildingsOur EstateRefrigerantsR415BNaN</v>
      </c>
      <c r="AT69" s="182" t="s">
        <v>337</v>
      </c>
      <c r="AU69" s="182"/>
      <c r="AV69" s="208"/>
      <c r="AW69" s="208"/>
      <c r="AX69" s="311">
        <v>0.1</v>
      </c>
      <c r="BA69" s="398"/>
      <c r="BB69" s="398"/>
      <c r="BC69" s="398"/>
      <c r="BF69" s="147" t="str">
        <v>Project</v>
      </c>
      <c r="BG69" s="147" t="str">
        <v>Recycling (project)</v>
      </c>
      <c r="BH69" s="147" t="str">
        <v>Equipment</v>
      </c>
      <c r="BI69" s="147" t="str">
        <v>Diesel - 100% mineral</v>
      </c>
      <c r="BJ69" s="147" t="str">
        <v>Motorbike - distance</v>
      </c>
      <c r="BK69" s="147" t="str">
        <v>Medium</v>
      </c>
    </row>
    <row r="70" spans="2:63" x14ac:dyDescent="0.3">
      <c r="B70" s="146">
        <v>60</v>
      </c>
      <c r="E70" s="182"/>
      <c r="F70" s="182"/>
      <c r="G70" s="182"/>
      <c r="H70" s="182"/>
      <c r="I70" s="182"/>
      <c r="J70" s="182"/>
      <c r="K70" s="182"/>
      <c r="L70" s="182"/>
      <c r="M70" s="182"/>
      <c r="N70" s="182" t="s">
        <v>603</v>
      </c>
      <c r="O70" s="182" t="s">
        <v>777</v>
      </c>
      <c r="P70" s="182"/>
      <c r="Q70" s="182"/>
      <c r="R70" s="182"/>
      <c r="S70" s="182"/>
      <c r="T70" s="182"/>
      <c r="U70" s="182"/>
      <c r="V70" s="182"/>
      <c r="W70" s="182"/>
      <c r="X70" s="182" t="s">
        <v>620</v>
      </c>
      <c r="Y70" s="182" t="s">
        <v>778</v>
      </c>
      <c r="Z70" s="182"/>
      <c r="AA70" s="182"/>
      <c r="AB70" s="182"/>
      <c r="AC70" s="182"/>
      <c r="AD70" s="182"/>
      <c r="AE70" s="182"/>
      <c r="AF70" s="182"/>
      <c r="AG70" s="182"/>
      <c r="AH70" s="182"/>
      <c r="AI70" s="182"/>
      <c r="AJ70" s="182"/>
      <c r="AK70" s="182"/>
      <c r="AL70" s="182"/>
      <c r="AM70" s="182" t="s">
        <v>265</v>
      </c>
      <c r="AN70" s="182" t="s">
        <v>273</v>
      </c>
      <c r="AO70" s="182" t="s">
        <v>541</v>
      </c>
      <c r="AP70" s="182" t="s">
        <v>338</v>
      </c>
      <c r="AQ70" s="182" t="s">
        <v>779</v>
      </c>
      <c r="AR70" s="182" t="s">
        <v>339</v>
      </c>
      <c r="AS70" s="182" t="str">
        <f t="shared" si="3"/>
        <v>Stationary AssetsBuildingsOur EstateRefrigerantsR416ANaN</v>
      </c>
      <c r="AT70" s="182" t="s">
        <v>337</v>
      </c>
      <c r="AU70" s="182"/>
      <c r="AV70" s="208"/>
      <c r="AW70" s="208"/>
      <c r="AX70" s="311">
        <v>0.1</v>
      </c>
      <c r="BA70" s="398"/>
      <c r="BB70" s="398"/>
      <c r="BC70" s="398"/>
      <c r="BF70" s="147" t="str">
        <v>Public transport</v>
      </c>
      <c r="BG70" s="147" t="str">
        <v>Bus</v>
      </c>
      <c r="BH70" s="147" t="str">
        <v>Equipment</v>
      </c>
      <c r="BI70" s="147" t="str">
        <v>Electricity</v>
      </c>
      <c r="BJ70" s="147" t="str">
        <v>Motorbike - distance</v>
      </c>
      <c r="BK70" s="147" t="str">
        <v>Large</v>
      </c>
    </row>
    <row r="71" spans="2:63" x14ac:dyDescent="0.3">
      <c r="B71" s="146">
        <v>61</v>
      </c>
      <c r="E71" s="182"/>
      <c r="F71" s="182"/>
      <c r="G71" s="182"/>
      <c r="H71" s="182"/>
      <c r="I71" s="182"/>
      <c r="J71" s="182"/>
      <c r="K71" s="182"/>
      <c r="L71" s="182"/>
      <c r="M71" s="182"/>
      <c r="N71" s="182" t="s">
        <v>603</v>
      </c>
      <c r="O71" s="182" t="s">
        <v>780</v>
      </c>
      <c r="P71" s="182"/>
      <c r="Q71" s="182"/>
      <c r="R71" s="182"/>
      <c r="S71" s="182"/>
      <c r="T71" s="182"/>
      <c r="U71" s="182"/>
      <c r="V71" s="182"/>
      <c r="W71" s="182"/>
      <c r="X71" s="182" t="s">
        <v>620</v>
      </c>
      <c r="Y71" s="182" t="s">
        <v>781</v>
      </c>
      <c r="Z71" s="182"/>
      <c r="AA71" s="182"/>
      <c r="AB71" s="182"/>
      <c r="AC71" s="182"/>
      <c r="AD71" s="182"/>
      <c r="AE71" s="182"/>
      <c r="AF71" s="182"/>
      <c r="AG71" s="182"/>
      <c r="AH71" s="182"/>
      <c r="AI71" s="182"/>
      <c r="AJ71" s="182"/>
      <c r="AK71" s="182"/>
      <c r="AL71" s="182"/>
      <c r="AM71" s="182" t="s">
        <v>265</v>
      </c>
      <c r="AN71" s="182" t="s">
        <v>273</v>
      </c>
      <c r="AO71" s="182" t="s">
        <v>541</v>
      </c>
      <c r="AP71" s="182" t="s">
        <v>338</v>
      </c>
      <c r="AQ71" s="182" t="s">
        <v>782</v>
      </c>
      <c r="AR71" s="182" t="s">
        <v>339</v>
      </c>
      <c r="AS71" s="182" t="str">
        <f t="shared" si="3"/>
        <v>Stationary AssetsBuildingsOur EstateRefrigerantsR417ANaN</v>
      </c>
      <c r="AT71" s="182" t="s">
        <v>337</v>
      </c>
      <c r="AU71" s="182"/>
      <c r="AV71" s="208"/>
      <c r="AW71" s="208"/>
      <c r="AX71" s="311">
        <v>0.1</v>
      </c>
      <c r="BA71" s="398"/>
      <c r="BB71" s="398"/>
      <c r="BC71" s="398"/>
      <c r="BF71" s="147" t="str">
        <v>Public transport</v>
      </c>
      <c r="BG71" s="147" t="str">
        <v>Ferry</v>
      </c>
      <c r="BH71" s="147" t="str">
        <v>Equipment</v>
      </c>
      <c r="BI71" s="147" t="str">
        <v>HVO</v>
      </c>
      <c r="BJ71" s="147" t="str">
        <v>Motorbike - distance</v>
      </c>
      <c r="BK71" s="147" t="str">
        <v>Average</v>
      </c>
    </row>
    <row r="72" spans="2:63" x14ac:dyDescent="0.3">
      <c r="B72" s="146">
        <v>62</v>
      </c>
      <c r="E72" s="182"/>
      <c r="F72" s="182"/>
      <c r="G72" s="182"/>
      <c r="H72" s="182"/>
      <c r="I72" s="182"/>
      <c r="J72" s="182"/>
      <c r="K72" s="182"/>
      <c r="L72" s="182"/>
      <c r="M72" s="182"/>
      <c r="N72" s="182" t="s">
        <v>603</v>
      </c>
      <c r="O72" s="182" t="s">
        <v>783</v>
      </c>
      <c r="P72" s="182"/>
      <c r="Q72" s="182"/>
      <c r="R72" s="182"/>
      <c r="S72" s="182"/>
      <c r="T72" s="182"/>
      <c r="U72" s="182"/>
      <c r="V72" s="182"/>
      <c r="W72" s="182"/>
      <c r="X72" s="182" t="s">
        <v>620</v>
      </c>
      <c r="Y72" s="182" t="s">
        <v>784</v>
      </c>
      <c r="Z72" s="182"/>
      <c r="AA72" s="182"/>
      <c r="AB72" s="182"/>
      <c r="AC72" s="182"/>
      <c r="AD72" s="182"/>
      <c r="AE72" s="182"/>
      <c r="AF72" s="182"/>
      <c r="AG72" s="182"/>
      <c r="AH72" s="182"/>
      <c r="AI72" s="182"/>
      <c r="AJ72" s="182"/>
      <c r="AK72" s="182"/>
      <c r="AL72" s="182"/>
      <c r="AM72" s="182" t="s">
        <v>265</v>
      </c>
      <c r="AN72" s="182" t="s">
        <v>273</v>
      </c>
      <c r="AO72" s="182" t="s">
        <v>541</v>
      </c>
      <c r="AP72" s="182" t="s">
        <v>338</v>
      </c>
      <c r="AQ72" s="182" t="s">
        <v>785</v>
      </c>
      <c r="AR72" s="182" t="s">
        <v>339</v>
      </c>
      <c r="AS72" s="182" t="str">
        <f t="shared" si="3"/>
        <v>Stationary AssetsBuildingsOur EstateRefrigerantsR417BNaN</v>
      </c>
      <c r="AT72" s="182" t="s">
        <v>337</v>
      </c>
      <c r="AU72" s="182"/>
      <c r="AV72" s="208"/>
      <c r="AW72" s="208"/>
      <c r="AX72" s="311">
        <v>0.1</v>
      </c>
      <c r="BA72" s="398"/>
      <c r="BB72" s="398"/>
      <c r="BC72" s="398"/>
      <c r="BF72" s="147" t="str">
        <v>Public transport</v>
      </c>
      <c r="BG72" s="147" t="str">
        <v>Rail</v>
      </c>
      <c r="BH72" s="147" t="str">
        <v>Equipment</v>
      </c>
      <c r="BI72" s="147" t="str">
        <v>ME</v>
      </c>
      <c r="BJ72" s="147" t="str">
        <v>Motorbike - fuel</v>
      </c>
      <c r="BK72" s="147" t="str">
        <v>Average</v>
      </c>
    </row>
    <row r="73" spans="2:63" x14ac:dyDescent="0.3">
      <c r="B73" s="146">
        <v>63</v>
      </c>
      <c r="E73" s="182"/>
      <c r="F73" s="182"/>
      <c r="G73" s="182"/>
      <c r="H73" s="182"/>
      <c r="I73" s="182"/>
      <c r="J73" s="182"/>
      <c r="K73" s="182"/>
      <c r="L73" s="182"/>
      <c r="M73" s="182"/>
      <c r="N73" s="182" t="s">
        <v>603</v>
      </c>
      <c r="O73" s="182" t="s">
        <v>786</v>
      </c>
      <c r="P73" s="182"/>
      <c r="Q73" s="182"/>
      <c r="R73" s="182"/>
      <c r="S73" s="182"/>
      <c r="T73" s="182"/>
      <c r="U73" s="182"/>
      <c r="V73" s="182"/>
      <c r="W73" s="182"/>
      <c r="X73" s="182" t="s">
        <v>620</v>
      </c>
      <c r="Y73" s="182" t="s">
        <v>787</v>
      </c>
      <c r="Z73" s="182"/>
      <c r="AA73" s="182"/>
      <c r="AB73" s="182"/>
      <c r="AC73" s="182"/>
      <c r="AD73" s="182"/>
      <c r="AE73" s="182"/>
      <c r="AF73" s="182"/>
      <c r="AG73" s="182"/>
      <c r="AH73" s="182"/>
      <c r="AI73" s="182"/>
      <c r="AJ73" s="182"/>
      <c r="AK73" s="182"/>
      <c r="AL73" s="182"/>
      <c r="AM73" s="182" t="s">
        <v>265</v>
      </c>
      <c r="AN73" s="182" t="s">
        <v>273</v>
      </c>
      <c r="AO73" s="182" t="s">
        <v>541</v>
      </c>
      <c r="AP73" s="182" t="s">
        <v>338</v>
      </c>
      <c r="AQ73" s="182" t="s">
        <v>788</v>
      </c>
      <c r="AR73" s="182" t="s">
        <v>339</v>
      </c>
      <c r="AS73" s="182" t="str">
        <f t="shared" si="3"/>
        <v>Stationary AssetsBuildingsOur EstateRefrigerantsR417CNaN</v>
      </c>
      <c r="AT73" s="182" t="s">
        <v>337</v>
      </c>
      <c r="AU73" s="182"/>
      <c r="AV73" s="208"/>
      <c r="AW73" s="208"/>
      <c r="AX73" s="311">
        <v>0.1</v>
      </c>
      <c r="BA73" s="398"/>
      <c r="BB73" s="398"/>
      <c r="BC73" s="398"/>
      <c r="BF73" s="147" t="str">
        <v>Public transport</v>
      </c>
      <c r="BG73" s="147" t="str">
        <v>Taxi</v>
      </c>
      <c r="BH73" s="147" t="str">
        <v>Equipment</v>
      </c>
      <c r="BI73" s="147" t="str">
        <v>100% Biopetrol</v>
      </c>
      <c r="BJ73" s="147" t="str">
        <v>Offsite</v>
      </c>
      <c r="BK73" s="147" t="str">
        <v>Public</v>
      </c>
    </row>
    <row r="74" spans="2:63" x14ac:dyDescent="0.3">
      <c r="B74" s="146">
        <v>64</v>
      </c>
      <c r="E74" s="182"/>
      <c r="F74" s="182"/>
      <c r="G74" s="182"/>
      <c r="H74" s="182"/>
      <c r="I74" s="182"/>
      <c r="J74" s="182"/>
      <c r="K74" s="182"/>
      <c r="L74" s="182"/>
      <c r="M74" s="182"/>
      <c r="N74" s="182" t="s">
        <v>603</v>
      </c>
      <c r="O74" s="182" t="s">
        <v>789</v>
      </c>
      <c r="P74" s="182"/>
      <c r="Q74" s="182"/>
      <c r="R74" s="182"/>
      <c r="S74" s="182"/>
      <c r="T74" s="182"/>
      <c r="U74" s="182"/>
      <c r="V74" s="182"/>
      <c r="W74" s="182"/>
      <c r="X74" s="182" t="s">
        <v>620</v>
      </c>
      <c r="Y74" s="182" t="s">
        <v>790</v>
      </c>
      <c r="Z74" s="182"/>
      <c r="AA74" s="182"/>
      <c r="AB74" s="182"/>
      <c r="AC74" s="182"/>
      <c r="AD74" s="182"/>
      <c r="AE74" s="182"/>
      <c r="AF74" s="182"/>
      <c r="AG74" s="182"/>
      <c r="AH74" s="182"/>
      <c r="AI74" s="182"/>
      <c r="AJ74" s="182"/>
      <c r="AK74" s="182"/>
      <c r="AL74" s="182"/>
      <c r="AM74" s="182" t="s">
        <v>265</v>
      </c>
      <c r="AN74" s="182" t="s">
        <v>273</v>
      </c>
      <c r="AO74" s="182" t="s">
        <v>541</v>
      </c>
      <c r="AP74" s="182" t="s">
        <v>338</v>
      </c>
      <c r="AQ74" s="182" t="s">
        <v>791</v>
      </c>
      <c r="AR74" s="182" t="s">
        <v>339</v>
      </c>
      <c r="AS74" s="182" t="str">
        <f t="shared" si="3"/>
        <v>Stationary AssetsBuildingsOur EstateRefrigerantsR418ANaN</v>
      </c>
      <c r="AT74" s="182" t="s">
        <v>337</v>
      </c>
      <c r="AU74" s="182"/>
      <c r="AV74" s="208"/>
      <c r="AW74" s="208"/>
      <c r="AX74" s="311">
        <v>0.1</v>
      </c>
      <c r="BA74" s="398"/>
      <c r="BB74" s="398"/>
      <c r="BC74" s="398"/>
      <c r="BF74" s="147" t="str">
        <v>Renewable CHP heat</v>
      </c>
      <c r="BG74" s="147" t="str">
        <v>Onsite</v>
      </c>
      <c r="BH74" s="147" t="str">
        <v>Equipment</v>
      </c>
      <c r="BI74" s="147" t="str">
        <v>Gas oil</v>
      </c>
      <c r="BJ74" s="147" t="str">
        <v>Offsite</v>
      </c>
      <c r="BK74" s="147" t="str">
        <v>Shared</v>
      </c>
    </row>
    <row r="75" spans="2:63" x14ac:dyDescent="0.3">
      <c r="B75" s="146">
        <v>65</v>
      </c>
      <c r="E75" s="182"/>
      <c r="F75" s="182"/>
      <c r="G75" s="182"/>
      <c r="H75" s="182"/>
      <c r="I75" s="182"/>
      <c r="J75" s="182"/>
      <c r="K75" s="182"/>
      <c r="L75" s="182"/>
      <c r="M75" s="182"/>
      <c r="N75" s="182" t="s">
        <v>603</v>
      </c>
      <c r="O75" s="182" t="s">
        <v>792</v>
      </c>
      <c r="P75" s="182"/>
      <c r="Q75" s="182"/>
      <c r="R75" s="182"/>
      <c r="S75" s="182"/>
      <c r="T75" s="182"/>
      <c r="U75" s="182"/>
      <c r="V75" s="182"/>
      <c r="W75" s="182"/>
      <c r="X75" s="182" t="s">
        <v>620</v>
      </c>
      <c r="Y75" s="182" t="s">
        <v>793</v>
      </c>
      <c r="Z75" s="182"/>
      <c r="AA75" s="182"/>
      <c r="AB75" s="182"/>
      <c r="AC75" s="182"/>
      <c r="AD75" s="182"/>
      <c r="AE75" s="182"/>
      <c r="AF75" s="182"/>
      <c r="AG75" s="182"/>
      <c r="AH75" s="182"/>
      <c r="AI75" s="182"/>
      <c r="AJ75" s="182"/>
      <c r="AK75" s="182"/>
      <c r="AL75" s="182"/>
      <c r="AM75" s="182" t="s">
        <v>265</v>
      </c>
      <c r="AN75" s="182" t="s">
        <v>273</v>
      </c>
      <c r="AO75" s="182" t="s">
        <v>541</v>
      </c>
      <c r="AP75" s="182" t="s">
        <v>338</v>
      </c>
      <c r="AQ75" s="182" t="s">
        <v>794</v>
      </c>
      <c r="AR75" s="182" t="s">
        <v>339</v>
      </c>
      <c r="AS75" s="182" t="str">
        <f t="shared" si="3"/>
        <v>Stationary AssetsBuildingsOur EstateRefrigerantsR419ANaN</v>
      </c>
      <c r="AT75" s="182" t="s">
        <v>337</v>
      </c>
      <c r="AU75" s="182"/>
      <c r="AV75" s="208"/>
      <c r="AW75" s="208"/>
      <c r="AX75" s="311">
        <v>0.1</v>
      </c>
      <c r="BA75" s="398"/>
      <c r="BB75" s="398"/>
      <c r="BC75" s="398"/>
      <c r="BF75" s="147" t="str">
        <v>Renewable CHP heat</v>
      </c>
      <c r="BG75" s="147" t="str">
        <v>Offsite</v>
      </c>
      <c r="BH75" s="147" t="str">
        <v>Equipment</v>
      </c>
      <c r="BI75" s="147" t="str">
        <v>LPG</v>
      </c>
      <c r="BJ75" s="147" t="str">
        <v>Offsite</v>
      </c>
      <c r="BK75" s="147" t="str">
        <v>Community</v>
      </c>
    </row>
    <row r="76" spans="2:63" x14ac:dyDescent="0.3">
      <c r="B76" s="146">
        <v>66</v>
      </c>
      <c r="E76" s="182"/>
      <c r="F76" s="182"/>
      <c r="G76" s="182"/>
      <c r="H76" s="182"/>
      <c r="I76" s="182"/>
      <c r="J76" s="182"/>
      <c r="K76" s="182"/>
      <c r="L76" s="182"/>
      <c r="M76" s="182"/>
      <c r="N76" s="182" t="s">
        <v>603</v>
      </c>
      <c r="O76" s="182" t="s">
        <v>795</v>
      </c>
      <c r="P76" s="182"/>
      <c r="Q76" s="182"/>
      <c r="R76" s="182"/>
      <c r="S76" s="182"/>
      <c r="T76" s="182"/>
      <c r="U76" s="182"/>
      <c r="V76" s="182"/>
      <c r="W76" s="182"/>
      <c r="X76" s="182" t="s">
        <v>624</v>
      </c>
      <c r="Y76" s="182" t="s">
        <v>796</v>
      </c>
      <c r="Z76" s="182"/>
      <c r="AA76" s="182"/>
      <c r="AB76" s="182"/>
      <c r="AC76" s="182"/>
      <c r="AD76" s="182"/>
      <c r="AE76" s="182"/>
      <c r="AF76" s="182"/>
      <c r="AG76" s="182"/>
      <c r="AH76" s="182"/>
      <c r="AI76" s="182"/>
      <c r="AJ76" s="182"/>
      <c r="AK76" s="182"/>
      <c r="AL76" s="182"/>
      <c r="AM76" s="182" t="s">
        <v>265</v>
      </c>
      <c r="AN76" s="182" t="s">
        <v>273</v>
      </c>
      <c r="AO76" s="182" t="s">
        <v>541</v>
      </c>
      <c r="AP76" s="182" t="s">
        <v>338</v>
      </c>
      <c r="AQ76" s="182" t="s">
        <v>797</v>
      </c>
      <c r="AR76" s="182" t="s">
        <v>339</v>
      </c>
      <c r="AS76" s="182" t="str">
        <f t="shared" ref="AS76:AS139" si="4">_xlfn.CONCAT(AM76:AR76)</f>
        <v>Stationary AssetsBuildingsOur EstateRefrigerantsR419BNaN</v>
      </c>
      <c r="AT76" s="182" t="s">
        <v>337</v>
      </c>
      <c r="AU76" s="182"/>
      <c r="AV76" s="208"/>
      <c r="AW76" s="208"/>
      <c r="AX76" s="311">
        <v>0.1</v>
      </c>
      <c r="BA76" s="398"/>
      <c r="BB76" s="398"/>
      <c r="BC76" s="398"/>
      <c r="BF76" s="147" t="str">
        <v>Renewable electricity</v>
      </c>
      <c r="BG76" s="147" t="str">
        <v>Onsite</v>
      </c>
      <c r="BH76" s="147" t="str">
        <v>Farmland Soils</v>
      </c>
      <c r="BI76" s="147" t="str">
        <v>Arable land</v>
      </c>
      <c r="BJ76" s="147" t="str">
        <v>Offsite</v>
      </c>
      <c r="BK76" s="147" t="str">
        <v>Private (Welsh)</v>
      </c>
    </row>
    <row r="77" spans="2:63" x14ac:dyDescent="0.3">
      <c r="B77" s="146">
        <v>67</v>
      </c>
      <c r="E77" s="182"/>
      <c r="F77" s="182"/>
      <c r="G77" s="182"/>
      <c r="H77" s="182"/>
      <c r="I77" s="182"/>
      <c r="J77" s="182"/>
      <c r="K77" s="182"/>
      <c r="L77" s="182"/>
      <c r="M77" s="182"/>
      <c r="N77" s="182" t="s">
        <v>603</v>
      </c>
      <c r="O77" s="182" t="s">
        <v>798</v>
      </c>
      <c r="P77" s="182"/>
      <c r="Q77" s="182"/>
      <c r="R77" s="182"/>
      <c r="S77" s="182"/>
      <c r="T77" s="182"/>
      <c r="U77" s="182"/>
      <c r="V77" s="182"/>
      <c r="W77" s="182"/>
      <c r="X77" s="182" t="s">
        <v>624</v>
      </c>
      <c r="Y77" s="182" t="s">
        <v>799</v>
      </c>
      <c r="Z77" s="182"/>
      <c r="AA77" s="182"/>
      <c r="AB77" s="182"/>
      <c r="AC77" s="182"/>
      <c r="AD77" s="182"/>
      <c r="AE77" s="182"/>
      <c r="AF77" s="182"/>
      <c r="AG77" s="182"/>
      <c r="AH77" s="182"/>
      <c r="AI77" s="182"/>
      <c r="AJ77" s="182"/>
      <c r="AK77" s="182"/>
      <c r="AL77" s="182"/>
      <c r="AM77" s="182" t="s">
        <v>265</v>
      </c>
      <c r="AN77" s="182" t="s">
        <v>273</v>
      </c>
      <c r="AO77" s="182" t="s">
        <v>541</v>
      </c>
      <c r="AP77" s="182" t="s">
        <v>338</v>
      </c>
      <c r="AQ77" s="182" t="s">
        <v>800</v>
      </c>
      <c r="AR77" s="182" t="s">
        <v>339</v>
      </c>
      <c r="AS77" s="182" t="str">
        <f t="shared" si="4"/>
        <v>Stationary AssetsBuildingsOur EstateRefrigerantsR420ANaN</v>
      </c>
      <c r="AT77" s="182" t="s">
        <v>337</v>
      </c>
      <c r="AU77" s="182"/>
      <c r="AV77" s="208"/>
      <c r="AW77" s="208"/>
      <c r="AX77" s="311">
        <v>0.1</v>
      </c>
      <c r="BA77" s="398"/>
      <c r="BB77" s="398"/>
      <c r="BC77" s="398"/>
      <c r="BF77" s="147" t="str">
        <v>Renewable electricity</v>
      </c>
      <c r="BG77" s="147" t="str">
        <v>Offsite</v>
      </c>
      <c r="BH77" s="147" t="str">
        <v>Farmland Soils</v>
      </c>
      <c r="BI77" s="147" t="str">
        <v>Improved grassland</v>
      </c>
      <c r="BJ77" s="147" t="str">
        <v>Offsite</v>
      </c>
      <c r="BK77" s="147" t="str">
        <v>Private (Non-Welsh)</v>
      </c>
    </row>
    <row r="78" spans="2:63" x14ac:dyDescent="0.3">
      <c r="B78" s="146">
        <v>68</v>
      </c>
      <c r="E78" s="182"/>
      <c r="F78" s="182"/>
      <c r="G78" s="182"/>
      <c r="H78" s="182"/>
      <c r="I78" s="182"/>
      <c r="J78" s="182"/>
      <c r="K78" s="182"/>
      <c r="L78" s="182"/>
      <c r="M78" s="182"/>
      <c r="N78" s="182" t="s">
        <v>603</v>
      </c>
      <c r="O78" s="182" t="s">
        <v>801</v>
      </c>
      <c r="P78" s="182"/>
      <c r="Q78" s="182"/>
      <c r="R78" s="182"/>
      <c r="S78" s="182"/>
      <c r="T78" s="182"/>
      <c r="U78" s="182"/>
      <c r="V78" s="182"/>
      <c r="W78" s="182"/>
      <c r="X78" s="182" t="s">
        <v>624</v>
      </c>
      <c r="Y78" s="182" t="s">
        <v>802</v>
      </c>
      <c r="Z78" s="182"/>
      <c r="AA78" s="182"/>
      <c r="AB78" s="182"/>
      <c r="AC78" s="182"/>
      <c r="AD78" s="182"/>
      <c r="AE78" s="182"/>
      <c r="AF78" s="182"/>
      <c r="AG78" s="182"/>
      <c r="AH78" s="182"/>
      <c r="AI78" s="182"/>
      <c r="AJ78" s="182"/>
      <c r="AK78" s="182"/>
      <c r="AL78" s="182"/>
      <c r="AM78" s="182" t="s">
        <v>265</v>
      </c>
      <c r="AN78" s="182" t="s">
        <v>273</v>
      </c>
      <c r="AO78" s="182" t="s">
        <v>541</v>
      </c>
      <c r="AP78" s="182" t="s">
        <v>338</v>
      </c>
      <c r="AQ78" s="182" t="s">
        <v>803</v>
      </c>
      <c r="AR78" s="182" t="s">
        <v>339</v>
      </c>
      <c r="AS78" s="182" t="str">
        <f t="shared" si="4"/>
        <v>Stationary AssetsBuildingsOur EstateRefrigerantsR421ANaN</v>
      </c>
      <c r="AT78" s="182" t="s">
        <v>337</v>
      </c>
      <c r="AU78" s="182"/>
      <c r="AV78" s="208"/>
      <c r="AW78" s="208"/>
      <c r="AX78" s="311">
        <v>0.1</v>
      </c>
      <c r="BA78" s="398"/>
      <c r="BB78" s="398"/>
      <c r="BC78" s="398"/>
      <c r="BF78" s="147" t="str">
        <v>Renewable electricity CHP</v>
      </c>
      <c r="BG78" s="147" t="str">
        <v>Onsite</v>
      </c>
      <c r="BH78" s="147" t="str">
        <v>Ferry</v>
      </c>
      <c r="BI78" s="147" t="str">
        <v>Ferry</v>
      </c>
      <c r="BJ78" s="147" t="str">
        <v>Offsite</v>
      </c>
      <c r="BK78" s="147" t="str">
        <v>Unknown</v>
      </c>
    </row>
    <row r="79" spans="2:63" x14ac:dyDescent="0.3">
      <c r="B79" s="146">
        <v>69</v>
      </c>
      <c r="E79" s="182"/>
      <c r="F79" s="182"/>
      <c r="G79" s="182"/>
      <c r="H79" s="182"/>
      <c r="I79" s="182"/>
      <c r="J79" s="182"/>
      <c r="K79" s="182"/>
      <c r="L79" s="182"/>
      <c r="M79" s="182"/>
      <c r="N79" s="182" t="s">
        <v>603</v>
      </c>
      <c r="O79" s="182" t="s">
        <v>804</v>
      </c>
      <c r="P79" s="182"/>
      <c r="Q79" s="182"/>
      <c r="R79" s="182"/>
      <c r="S79" s="182"/>
      <c r="T79" s="182"/>
      <c r="U79" s="182"/>
      <c r="V79" s="182"/>
      <c r="W79" s="182"/>
      <c r="X79" s="182" t="s">
        <v>624</v>
      </c>
      <c r="Y79" s="182" t="s">
        <v>805</v>
      </c>
      <c r="Z79" s="182"/>
      <c r="AA79" s="182"/>
      <c r="AB79" s="182"/>
      <c r="AC79" s="182"/>
      <c r="AD79" s="182"/>
      <c r="AE79" s="182"/>
      <c r="AF79" s="182"/>
      <c r="AG79" s="182"/>
      <c r="AH79" s="182"/>
      <c r="AI79" s="182"/>
      <c r="AJ79" s="182"/>
      <c r="AK79" s="182"/>
      <c r="AL79" s="182"/>
      <c r="AM79" s="182" t="s">
        <v>265</v>
      </c>
      <c r="AN79" s="182" t="s">
        <v>273</v>
      </c>
      <c r="AO79" s="182" t="s">
        <v>541</v>
      </c>
      <c r="AP79" s="182" t="s">
        <v>338</v>
      </c>
      <c r="AQ79" s="182" t="s">
        <v>806</v>
      </c>
      <c r="AR79" s="182" t="s">
        <v>339</v>
      </c>
      <c r="AS79" s="182" t="str">
        <f t="shared" si="4"/>
        <v>Stationary AssetsBuildingsOur EstateRefrigerantsR421BNaN</v>
      </c>
      <c r="AT79" s="182" t="s">
        <v>337</v>
      </c>
      <c r="AU79" s="182"/>
      <c r="AV79" s="208"/>
      <c r="AW79" s="208"/>
      <c r="AX79" s="311">
        <v>0.1</v>
      </c>
      <c r="BA79" s="398"/>
      <c r="BB79" s="398"/>
      <c r="BC79" s="398"/>
      <c r="BF79" s="147" t="str">
        <v>Renewable electricity CHP</v>
      </c>
      <c r="BG79" s="147" t="str">
        <v>Offsite</v>
      </c>
      <c r="BH79" s="147" t="str">
        <v>Financial and insurance activities</v>
      </c>
      <c r="BI79" s="147" t="str">
        <v>Financial services, except insurance and pension funding</v>
      </c>
      <c r="BJ79" s="147" t="str">
        <v>Onsite</v>
      </c>
      <c r="BK79" s="147" t="str">
        <v>Public</v>
      </c>
    </row>
    <row r="80" spans="2:63" x14ac:dyDescent="0.3">
      <c r="B80" s="146">
        <v>70</v>
      </c>
      <c r="E80" s="182"/>
      <c r="F80" s="182"/>
      <c r="G80" s="182"/>
      <c r="H80" s="182"/>
      <c r="I80" s="182"/>
      <c r="J80" s="182"/>
      <c r="K80" s="182"/>
      <c r="L80" s="182"/>
      <c r="M80" s="182"/>
      <c r="N80" s="182" t="s">
        <v>603</v>
      </c>
      <c r="O80" s="182" t="s">
        <v>807</v>
      </c>
      <c r="P80" s="182"/>
      <c r="Q80" s="182"/>
      <c r="R80" s="182"/>
      <c r="S80" s="182"/>
      <c r="T80" s="182"/>
      <c r="U80" s="182"/>
      <c r="V80" s="182"/>
      <c r="W80" s="182"/>
      <c r="X80" s="182" t="s">
        <v>624</v>
      </c>
      <c r="Y80" s="182" t="s">
        <v>808</v>
      </c>
      <c r="Z80" s="182"/>
      <c r="AA80" s="182"/>
      <c r="AB80" s="182"/>
      <c r="AC80" s="182"/>
      <c r="AD80" s="182"/>
      <c r="AE80" s="182"/>
      <c r="AF80" s="182"/>
      <c r="AG80" s="182"/>
      <c r="AH80" s="182"/>
      <c r="AI80" s="182"/>
      <c r="AJ80" s="182"/>
      <c r="AK80" s="182"/>
      <c r="AL80" s="182"/>
      <c r="AM80" s="182" t="s">
        <v>265</v>
      </c>
      <c r="AN80" s="182" t="s">
        <v>273</v>
      </c>
      <c r="AO80" s="182" t="s">
        <v>541</v>
      </c>
      <c r="AP80" s="182" t="s">
        <v>338</v>
      </c>
      <c r="AQ80" s="182" t="s">
        <v>809</v>
      </c>
      <c r="AR80" s="182" t="s">
        <v>339</v>
      </c>
      <c r="AS80" s="182" t="str">
        <f t="shared" si="4"/>
        <v>Stationary AssetsBuildingsOur EstateRefrigerantsR422ANaN</v>
      </c>
      <c r="AT80" s="182" t="s">
        <v>337</v>
      </c>
      <c r="AU80" s="182"/>
      <c r="AV80" s="208"/>
      <c r="AW80" s="208"/>
      <c r="AX80" s="311">
        <v>0.1</v>
      </c>
      <c r="BA80" s="398"/>
      <c r="BB80" s="398"/>
      <c r="BC80" s="398"/>
      <c r="BF80" s="147" t="str">
        <v>Renewable heat</v>
      </c>
      <c r="BG80" s="147" t="str">
        <v>Onsite</v>
      </c>
      <c r="BH80" s="147" t="str">
        <v>Financial and insurance activities</v>
      </c>
      <c r="BI80" s="147" t="str">
        <v>Insurance and reinsurance services, except compulsory social security</v>
      </c>
      <c r="BJ80" s="147" t="str">
        <v>Onsite</v>
      </c>
      <c r="BK80" s="147" t="str">
        <v>Shared</v>
      </c>
    </row>
    <row r="81" spans="2:63" x14ac:dyDescent="0.3">
      <c r="B81" s="146">
        <v>71</v>
      </c>
      <c r="E81" s="182"/>
      <c r="F81" s="182"/>
      <c r="G81" s="182"/>
      <c r="H81" s="182"/>
      <c r="I81" s="182"/>
      <c r="J81" s="182"/>
      <c r="K81" s="182"/>
      <c r="L81" s="182"/>
      <c r="M81" s="182"/>
      <c r="N81" s="182" t="s">
        <v>603</v>
      </c>
      <c r="O81" s="182" t="s">
        <v>810</v>
      </c>
      <c r="P81" s="182"/>
      <c r="Q81" s="182"/>
      <c r="R81" s="182"/>
      <c r="S81" s="182"/>
      <c r="T81" s="182"/>
      <c r="U81" s="182"/>
      <c r="V81" s="182"/>
      <c r="W81" s="182"/>
      <c r="X81" s="182" t="s">
        <v>624</v>
      </c>
      <c r="Y81" s="182" t="s">
        <v>811</v>
      </c>
      <c r="Z81" s="182"/>
      <c r="AA81" s="182"/>
      <c r="AB81" s="182"/>
      <c r="AC81" s="182"/>
      <c r="AD81" s="182"/>
      <c r="AE81" s="182"/>
      <c r="AF81" s="182"/>
      <c r="AG81" s="182"/>
      <c r="AH81" s="182"/>
      <c r="AI81" s="182"/>
      <c r="AJ81" s="182"/>
      <c r="AK81" s="182"/>
      <c r="AL81" s="182"/>
      <c r="AM81" s="182" t="s">
        <v>265</v>
      </c>
      <c r="AN81" s="182" t="s">
        <v>273</v>
      </c>
      <c r="AO81" s="182" t="s">
        <v>541</v>
      </c>
      <c r="AP81" s="182" t="s">
        <v>338</v>
      </c>
      <c r="AQ81" s="182" t="s">
        <v>812</v>
      </c>
      <c r="AR81" s="182" t="s">
        <v>339</v>
      </c>
      <c r="AS81" s="182" t="str">
        <f t="shared" si="4"/>
        <v>Stationary AssetsBuildingsOur EstateRefrigerantsR422BNaN</v>
      </c>
      <c r="AT81" s="182" t="s">
        <v>337</v>
      </c>
      <c r="AU81" s="182"/>
      <c r="AV81" s="208"/>
      <c r="AW81" s="208"/>
      <c r="AX81" s="311">
        <v>0.1</v>
      </c>
      <c r="BA81" s="398"/>
      <c r="BB81" s="398"/>
      <c r="BC81" s="398"/>
      <c r="BF81" s="147" t="str">
        <v>Renewable heat</v>
      </c>
      <c r="BG81" s="147" t="str">
        <v>Offsite</v>
      </c>
      <c r="BH81" s="147" t="str">
        <v>Financial and insurance activities</v>
      </c>
      <c r="BI81" s="147" t="str">
        <v>Services auxiliary to financial services and insurance services</v>
      </c>
      <c r="BJ81" s="147" t="str">
        <v>Onsite</v>
      </c>
      <c r="BK81" s="147" t="str">
        <v>Community</v>
      </c>
    </row>
    <row r="82" spans="2:63" x14ac:dyDescent="0.3">
      <c r="B82" s="146">
        <v>72</v>
      </c>
      <c r="E82" s="182"/>
      <c r="F82" s="182"/>
      <c r="G82" s="182"/>
      <c r="H82" s="182"/>
      <c r="I82" s="182"/>
      <c r="J82" s="182"/>
      <c r="K82" s="182"/>
      <c r="L82" s="182"/>
      <c r="M82" s="182"/>
      <c r="N82" s="182" t="s">
        <v>603</v>
      </c>
      <c r="O82" s="182" t="s">
        <v>813</v>
      </c>
      <c r="P82" s="182"/>
      <c r="Q82" s="182"/>
      <c r="R82" s="182"/>
      <c r="S82" s="182"/>
      <c r="T82" s="182"/>
      <c r="U82" s="182"/>
      <c r="V82" s="182"/>
      <c r="W82" s="182"/>
      <c r="X82" s="182" t="s">
        <v>624</v>
      </c>
      <c r="Y82" s="182" t="s">
        <v>814</v>
      </c>
      <c r="Z82" s="182"/>
      <c r="AA82" s="182"/>
      <c r="AB82" s="182"/>
      <c r="AC82" s="182"/>
      <c r="AD82" s="182"/>
      <c r="AE82" s="182"/>
      <c r="AF82" s="182"/>
      <c r="AG82" s="182"/>
      <c r="AH82" s="182"/>
      <c r="AI82" s="182"/>
      <c r="AJ82" s="182"/>
      <c r="AK82" s="182"/>
      <c r="AL82" s="182"/>
      <c r="AM82" s="182" t="s">
        <v>265</v>
      </c>
      <c r="AN82" s="182" t="s">
        <v>273</v>
      </c>
      <c r="AO82" s="182" t="s">
        <v>541</v>
      </c>
      <c r="AP82" s="182" t="s">
        <v>338</v>
      </c>
      <c r="AQ82" s="182" t="s">
        <v>815</v>
      </c>
      <c r="AR82" s="182" t="s">
        <v>339</v>
      </c>
      <c r="AS82" s="182" t="str">
        <f t="shared" si="4"/>
        <v>Stationary AssetsBuildingsOur EstateRefrigerantsR422CNaN</v>
      </c>
      <c r="AT82" s="182" t="s">
        <v>337</v>
      </c>
      <c r="AU82" s="182"/>
      <c r="AV82" s="208"/>
      <c r="AW82" s="208"/>
      <c r="AX82" s="311">
        <v>0.1</v>
      </c>
      <c r="BA82" s="398"/>
      <c r="BB82" s="398"/>
      <c r="BC82" s="398"/>
      <c r="BF82" s="147" t="str">
        <v>Settlements</v>
      </c>
      <c r="BG82" s="147" t="str">
        <v>Mineral</v>
      </c>
      <c r="BH82" s="147" t="str">
        <v>Fossil Fuels</v>
      </c>
      <c r="BI82" s="147" t="str">
        <v>Coal</v>
      </c>
      <c r="BJ82" s="147" t="str">
        <v>Onsite</v>
      </c>
      <c r="BK82" s="147" t="str">
        <v>Private (Welsh)</v>
      </c>
    </row>
    <row r="83" spans="2:63" x14ac:dyDescent="0.3">
      <c r="B83" s="146">
        <v>73</v>
      </c>
      <c r="E83" s="182"/>
      <c r="F83" s="182"/>
      <c r="G83" s="182"/>
      <c r="H83" s="182"/>
      <c r="I83" s="182"/>
      <c r="J83" s="182"/>
      <c r="K83" s="182"/>
      <c r="L83" s="182"/>
      <c r="M83" s="182"/>
      <c r="N83" s="182" t="s">
        <v>603</v>
      </c>
      <c r="O83" s="182" t="s">
        <v>816</v>
      </c>
      <c r="P83" s="182"/>
      <c r="Q83" s="182"/>
      <c r="R83" s="182"/>
      <c r="S83" s="182"/>
      <c r="T83" s="182"/>
      <c r="U83" s="182"/>
      <c r="V83" s="182"/>
      <c r="W83" s="182"/>
      <c r="X83" s="182" t="s">
        <v>624</v>
      </c>
      <c r="Y83" s="182" t="s">
        <v>817</v>
      </c>
      <c r="Z83" s="182"/>
      <c r="AA83" s="182"/>
      <c r="AB83" s="182"/>
      <c r="AC83" s="182"/>
      <c r="AD83" s="182"/>
      <c r="AE83" s="182"/>
      <c r="AF83" s="182"/>
      <c r="AG83" s="182"/>
      <c r="AH83" s="182"/>
      <c r="AI83" s="182"/>
      <c r="AJ83" s="182"/>
      <c r="AK83" s="182"/>
      <c r="AL83" s="182"/>
      <c r="AM83" s="182" t="s">
        <v>265</v>
      </c>
      <c r="AN83" s="182" t="s">
        <v>273</v>
      </c>
      <c r="AO83" s="182" t="s">
        <v>541</v>
      </c>
      <c r="AP83" s="182" t="s">
        <v>338</v>
      </c>
      <c r="AQ83" s="182" t="s">
        <v>818</v>
      </c>
      <c r="AR83" s="182" t="s">
        <v>339</v>
      </c>
      <c r="AS83" s="182" t="str">
        <f t="shared" si="4"/>
        <v>Stationary AssetsBuildingsOur EstateRefrigerantsR422DNaN</v>
      </c>
      <c r="AT83" s="182" t="s">
        <v>337</v>
      </c>
      <c r="AU83" s="182"/>
      <c r="AV83" s="208"/>
      <c r="AW83" s="208"/>
      <c r="AX83" s="311">
        <v>0.1</v>
      </c>
      <c r="BA83" s="398"/>
      <c r="BB83" s="398"/>
      <c r="BC83" s="398"/>
      <c r="BF83" s="147" t="str">
        <v>Settlements</v>
      </c>
      <c r="BG83" s="147" t="str">
        <v>Organic</v>
      </c>
      <c r="BH83" s="147" t="str">
        <v>Fossil Fuels</v>
      </c>
      <c r="BI83" s="147" t="str">
        <v>Gas oil</v>
      </c>
      <c r="BJ83" s="147" t="str">
        <v>Onsite</v>
      </c>
      <c r="BK83" s="147" t="str">
        <v>Private (Non-Welsh)</v>
      </c>
    </row>
    <row r="84" spans="2:63" x14ac:dyDescent="0.3">
      <c r="B84" s="146">
        <v>74</v>
      </c>
      <c r="E84" s="182"/>
      <c r="F84" s="182"/>
      <c r="G84" s="182"/>
      <c r="H84" s="182"/>
      <c r="I84" s="182"/>
      <c r="J84" s="182"/>
      <c r="K84" s="182"/>
      <c r="L84" s="182"/>
      <c r="M84" s="182"/>
      <c r="N84" s="182" t="s">
        <v>603</v>
      </c>
      <c r="O84" s="182" t="s">
        <v>819</v>
      </c>
      <c r="P84" s="182"/>
      <c r="Q84" s="182"/>
      <c r="R84" s="182"/>
      <c r="S84" s="182"/>
      <c r="T84" s="182"/>
      <c r="U84" s="182"/>
      <c r="V84" s="182"/>
      <c r="W84" s="182"/>
      <c r="X84" s="182" t="s">
        <v>628</v>
      </c>
      <c r="Y84" s="182" t="s">
        <v>820</v>
      </c>
      <c r="Z84" s="182"/>
      <c r="AA84" s="182"/>
      <c r="AB84" s="182"/>
      <c r="AC84" s="182"/>
      <c r="AD84" s="182"/>
      <c r="AE84" s="182"/>
      <c r="AF84" s="182"/>
      <c r="AG84" s="182"/>
      <c r="AH84" s="182"/>
      <c r="AI84" s="182"/>
      <c r="AJ84" s="182"/>
      <c r="AK84" s="182"/>
      <c r="AL84" s="182"/>
      <c r="AM84" s="182" t="s">
        <v>265</v>
      </c>
      <c r="AN84" s="182" t="s">
        <v>273</v>
      </c>
      <c r="AO84" s="182" t="s">
        <v>541</v>
      </c>
      <c r="AP84" s="182" t="s">
        <v>338</v>
      </c>
      <c r="AQ84" s="182" t="s">
        <v>821</v>
      </c>
      <c r="AR84" s="182" t="s">
        <v>339</v>
      </c>
      <c r="AS84" s="182" t="str">
        <f t="shared" si="4"/>
        <v>Stationary AssetsBuildingsOur EstateRefrigerantsR422ENaN</v>
      </c>
      <c r="AT84" s="182" t="s">
        <v>337</v>
      </c>
      <c r="AU84" s="182"/>
      <c r="AV84" s="208"/>
      <c r="AW84" s="208"/>
      <c r="AX84" s="311">
        <v>0.1</v>
      </c>
      <c r="BA84" s="398"/>
      <c r="BB84" s="398"/>
      <c r="BC84" s="398"/>
      <c r="BF84" s="147" t="str">
        <v>Stationary fleet</v>
      </c>
      <c r="BG84" s="147" t="str">
        <v>Generator</v>
      </c>
      <c r="BH84" s="147" t="str">
        <v>Fossil Fuels</v>
      </c>
      <c r="BI84" s="147" t="str">
        <v>Natural gas</v>
      </c>
      <c r="BJ84" s="147" t="str">
        <v>Onsite</v>
      </c>
      <c r="BK84" s="147" t="str">
        <v>Unknown</v>
      </c>
    </row>
    <row r="85" spans="2:63" x14ac:dyDescent="0.3">
      <c r="B85" s="146">
        <v>75</v>
      </c>
      <c r="E85" s="182"/>
      <c r="F85" s="182"/>
      <c r="G85" s="182"/>
      <c r="H85" s="182"/>
      <c r="I85" s="182"/>
      <c r="J85" s="182"/>
      <c r="K85" s="182"/>
      <c r="L85" s="182"/>
      <c r="M85" s="182"/>
      <c r="N85" s="182" t="s">
        <v>603</v>
      </c>
      <c r="O85" s="182" t="s">
        <v>822</v>
      </c>
      <c r="P85" s="182"/>
      <c r="Q85" s="182"/>
      <c r="R85" s="182"/>
      <c r="S85" s="182"/>
      <c r="T85" s="182"/>
      <c r="U85" s="182"/>
      <c r="V85" s="182"/>
      <c r="W85" s="182"/>
      <c r="X85" s="182" t="s">
        <v>628</v>
      </c>
      <c r="Y85" s="182" t="s">
        <v>823</v>
      </c>
      <c r="Z85" s="182"/>
      <c r="AA85" s="182"/>
      <c r="AB85" s="182"/>
      <c r="AC85" s="182"/>
      <c r="AD85" s="182"/>
      <c r="AE85" s="182"/>
      <c r="AF85" s="182"/>
      <c r="AG85" s="182"/>
      <c r="AH85" s="182"/>
      <c r="AI85" s="182"/>
      <c r="AJ85" s="182"/>
      <c r="AK85" s="182"/>
      <c r="AL85" s="182"/>
      <c r="AM85" s="182" t="s">
        <v>265</v>
      </c>
      <c r="AN85" s="182" t="s">
        <v>273</v>
      </c>
      <c r="AO85" s="182" t="s">
        <v>541</v>
      </c>
      <c r="AP85" s="182" t="s">
        <v>338</v>
      </c>
      <c r="AQ85" s="182" t="s">
        <v>824</v>
      </c>
      <c r="AR85" s="182" t="s">
        <v>339</v>
      </c>
      <c r="AS85" s="182" t="str">
        <f t="shared" si="4"/>
        <v>Stationary AssetsBuildingsOur EstateRefrigerantsR423ANaN</v>
      </c>
      <c r="AT85" s="182" t="s">
        <v>337</v>
      </c>
      <c r="AU85" s="182"/>
      <c r="AV85" s="208"/>
      <c r="AW85" s="208"/>
      <c r="AX85" s="311">
        <v>0.1</v>
      </c>
      <c r="BA85" s="398"/>
      <c r="BB85" s="398"/>
      <c r="BC85" s="398"/>
      <c r="BF85" s="147" t="str">
        <v>Stationary fleet</v>
      </c>
      <c r="BG85" s="147" t="str">
        <v>Equipment</v>
      </c>
      <c r="BH85" s="147" t="str">
        <v>Fossil Fuels</v>
      </c>
      <c r="BI85" s="147" t="str">
        <v>Kerosene</v>
      </c>
      <c r="BJ85" s="147" t="str">
        <v>Organic</v>
      </c>
      <c r="BK85" s="147" t="str">
        <v>Removals</v>
      </c>
    </row>
    <row r="86" spans="2:63" x14ac:dyDescent="0.3">
      <c r="B86" s="146">
        <v>76</v>
      </c>
      <c r="E86" s="182"/>
      <c r="F86" s="182"/>
      <c r="G86" s="182"/>
      <c r="H86" s="182"/>
      <c r="I86" s="182"/>
      <c r="J86" s="182"/>
      <c r="K86" s="182"/>
      <c r="L86" s="182"/>
      <c r="M86" s="182"/>
      <c r="N86" s="182" t="s">
        <v>603</v>
      </c>
      <c r="O86" s="182" t="s">
        <v>825</v>
      </c>
      <c r="P86" s="182"/>
      <c r="Q86" s="182"/>
      <c r="R86" s="182"/>
      <c r="S86" s="182"/>
      <c r="T86" s="182"/>
      <c r="U86" s="182"/>
      <c r="V86" s="182"/>
      <c r="W86" s="182"/>
      <c r="X86" s="182" t="s">
        <v>628</v>
      </c>
      <c r="Y86" s="182" t="s">
        <v>826</v>
      </c>
      <c r="Z86" s="182"/>
      <c r="AA86" s="182"/>
      <c r="AB86" s="182"/>
      <c r="AC86" s="182"/>
      <c r="AD86" s="182"/>
      <c r="AE86" s="182"/>
      <c r="AF86" s="182"/>
      <c r="AG86" s="182"/>
      <c r="AH86" s="182"/>
      <c r="AI86" s="182"/>
      <c r="AJ86" s="182"/>
      <c r="AK86" s="182"/>
      <c r="AL86" s="182"/>
      <c r="AM86" s="182" t="s">
        <v>265</v>
      </c>
      <c r="AN86" s="182" t="s">
        <v>273</v>
      </c>
      <c r="AO86" s="182" t="s">
        <v>541</v>
      </c>
      <c r="AP86" s="182" t="s">
        <v>338</v>
      </c>
      <c r="AQ86" s="182" t="s">
        <v>827</v>
      </c>
      <c r="AR86" s="182" t="s">
        <v>339</v>
      </c>
      <c r="AS86" s="182" t="str">
        <f t="shared" si="4"/>
        <v>Stationary AssetsBuildingsOur EstateRefrigerantsR424ANaN</v>
      </c>
      <c r="AT86" s="182" t="s">
        <v>337</v>
      </c>
      <c r="AU86" s="182"/>
      <c r="AV86" s="208"/>
      <c r="AW86" s="208"/>
      <c r="AX86" s="311">
        <v>0.1</v>
      </c>
      <c r="BA86" s="398"/>
      <c r="BB86" s="398"/>
      <c r="BC86" s="398"/>
      <c r="BF86" s="147" t="str">
        <v>Streetlights</v>
      </c>
      <c r="BG86" s="147" t="str">
        <v>Electricity</v>
      </c>
      <c r="BH86" s="147" t="str">
        <v>Fossil Fuels</v>
      </c>
      <c r="BI86" s="147" t="str">
        <v>LPG</v>
      </c>
      <c r="BJ86" s="147" t="str">
        <v>Organic</v>
      </c>
      <c r="BK86" s="147" t="str">
        <v>Emissions</v>
      </c>
    </row>
    <row r="87" spans="2:63" x14ac:dyDescent="0.3">
      <c r="B87" s="146">
        <v>77</v>
      </c>
      <c r="E87" s="182"/>
      <c r="F87" s="182"/>
      <c r="G87" s="182"/>
      <c r="H87" s="182"/>
      <c r="I87" s="182"/>
      <c r="J87" s="182"/>
      <c r="K87" s="182"/>
      <c r="L87" s="182"/>
      <c r="M87" s="182"/>
      <c r="N87" s="182" t="s">
        <v>603</v>
      </c>
      <c r="O87" s="182" t="s">
        <v>828</v>
      </c>
      <c r="P87" s="182"/>
      <c r="Q87" s="182"/>
      <c r="R87" s="182"/>
      <c r="S87" s="182"/>
      <c r="T87" s="182"/>
      <c r="U87" s="182"/>
      <c r="V87" s="182"/>
      <c r="W87" s="182"/>
      <c r="X87" s="182" t="s">
        <v>628</v>
      </c>
      <c r="Y87" s="182" t="s">
        <v>829</v>
      </c>
      <c r="Z87" s="182"/>
      <c r="AA87" s="182"/>
      <c r="AB87" s="182"/>
      <c r="AC87" s="182"/>
      <c r="AD87" s="182"/>
      <c r="AE87" s="182"/>
      <c r="AF87" s="182"/>
      <c r="AG87" s="182"/>
      <c r="AH87" s="182"/>
      <c r="AI87" s="182"/>
      <c r="AJ87" s="182"/>
      <c r="AK87" s="182"/>
      <c r="AL87" s="182"/>
      <c r="AM87" s="182" t="s">
        <v>265</v>
      </c>
      <c r="AN87" s="182" t="s">
        <v>273</v>
      </c>
      <c r="AO87" s="182" t="s">
        <v>541</v>
      </c>
      <c r="AP87" s="182" t="s">
        <v>338</v>
      </c>
      <c r="AQ87" s="182" t="s">
        <v>830</v>
      </c>
      <c r="AR87" s="182" t="s">
        <v>339</v>
      </c>
      <c r="AS87" s="182" t="str">
        <f t="shared" si="4"/>
        <v>Stationary AssetsBuildingsOur EstateRefrigerantsR425ANaN</v>
      </c>
      <c r="AT87" s="182" t="s">
        <v>337</v>
      </c>
      <c r="AU87" s="182"/>
      <c r="AV87" s="208"/>
      <c r="AW87" s="208"/>
      <c r="AX87" s="311">
        <v>0.1</v>
      </c>
      <c r="BA87" s="398"/>
      <c r="BB87" s="398"/>
      <c r="BC87" s="398"/>
      <c r="BF87" s="147" t="str">
        <v>Supply chain</v>
      </c>
      <c r="BG87" s="147" t="str">
        <v>Agriculture, forestry and fishing</v>
      </c>
      <c r="BH87" s="147" t="str">
        <v>Generator</v>
      </c>
      <c r="BI87" s="147" t="str">
        <v>Petrol</v>
      </c>
      <c r="BJ87" s="147" t="str">
        <v>Other service activities</v>
      </c>
      <c r="BK87" s="147" t="str">
        <v>NaN</v>
      </c>
    </row>
    <row r="88" spans="2:63" x14ac:dyDescent="0.3">
      <c r="B88" s="146">
        <v>78</v>
      </c>
      <c r="E88" s="182"/>
      <c r="F88" s="182"/>
      <c r="G88" s="182"/>
      <c r="H88" s="182"/>
      <c r="I88" s="182"/>
      <c r="J88" s="182"/>
      <c r="K88" s="182"/>
      <c r="L88" s="182"/>
      <c r="M88" s="182"/>
      <c r="N88" s="182" t="s">
        <v>610</v>
      </c>
      <c r="O88" s="182" t="s">
        <v>831</v>
      </c>
      <c r="P88" s="182"/>
      <c r="Q88" s="182"/>
      <c r="R88" s="182"/>
      <c r="S88" s="182"/>
      <c r="T88" s="182"/>
      <c r="U88" s="182"/>
      <c r="V88" s="182"/>
      <c r="W88" s="182"/>
      <c r="X88" s="182" t="s">
        <v>628</v>
      </c>
      <c r="Y88" s="182" t="s">
        <v>832</v>
      </c>
      <c r="Z88" s="182"/>
      <c r="AA88" s="182"/>
      <c r="AB88" s="182"/>
      <c r="AC88" s="182"/>
      <c r="AD88" s="182"/>
      <c r="AE88" s="182"/>
      <c r="AF88" s="182"/>
      <c r="AG88" s="182"/>
      <c r="AH88" s="182"/>
      <c r="AI88" s="182"/>
      <c r="AJ88" s="182"/>
      <c r="AK88" s="182"/>
      <c r="AL88" s="182"/>
      <c r="AM88" s="182" t="s">
        <v>265</v>
      </c>
      <c r="AN88" s="182" t="s">
        <v>273</v>
      </c>
      <c r="AO88" s="182" t="s">
        <v>541</v>
      </c>
      <c r="AP88" s="182" t="s">
        <v>338</v>
      </c>
      <c r="AQ88" s="182" t="s">
        <v>833</v>
      </c>
      <c r="AR88" s="182" t="s">
        <v>339</v>
      </c>
      <c r="AS88" s="182" t="str">
        <f t="shared" si="4"/>
        <v>Stationary AssetsBuildingsOur EstateRefrigerantsR426ANaN</v>
      </c>
      <c r="AT88" s="182" t="s">
        <v>337</v>
      </c>
      <c r="AU88" s="182"/>
      <c r="AV88" s="208"/>
      <c r="AW88" s="208"/>
      <c r="AX88" s="311">
        <v>0.1</v>
      </c>
      <c r="BA88" s="398"/>
      <c r="BB88" s="398"/>
      <c r="BC88" s="398"/>
      <c r="BF88" s="147" t="str">
        <v>Supply chain</v>
      </c>
      <c r="BG88" s="147" t="str">
        <v>Mining and quarrying</v>
      </c>
      <c r="BH88" s="147" t="str">
        <v>Generator</v>
      </c>
      <c r="BI88" s="147" t="str">
        <v>Petrol - 100% mineral</v>
      </c>
      <c r="BJ88" s="147" t="str">
        <v>Pool car - distance</v>
      </c>
      <c r="BK88" s="147" t="str">
        <v>Small</v>
      </c>
    </row>
    <row r="89" spans="2:63" x14ac:dyDescent="0.3">
      <c r="B89" s="146">
        <v>79</v>
      </c>
      <c r="E89" s="182"/>
      <c r="F89" s="182"/>
      <c r="G89" s="182"/>
      <c r="H89" s="182"/>
      <c r="I89" s="182"/>
      <c r="J89" s="182"/>
      <c r="K89" s="182"/>
      <c r="L89" s="182"/>
      <c r="M89" s="182"/>
      <c r="N89" s="182" t="s">
        <v>610</v>
      </c>
      <c r="O89" s="182" t="s">
        <v>834</v>
      </c>
      <c r="P89" s="182"/>
      <c r="Q89" s="182"/>
      <c r="R89" s="182"/>
      <c r="S89" s="182"/>
      <c r="T89" s="182"/>
      <c r="U89" s="182"/>
      <c r="V89" s="182"/>
      <c r="W89" s="182"/>
      <c r="X89" s="182" t="s">
        <v>628</v>
      </c>
      <c r="Y89" s="182" t="s">
        <v>835</v>
      </c>
      <c r="Z89" s="182"/>
      <c r="AA89" s="182"/>
      <c r="AB89" s="182"/>
      <c r="AC89" s="182"/>
      <c r="AD89" s="182"/>
      <c r="AE89" s="182"/>
      <c r="AF89" s="182"/>
      <c r="AG89" s="182"/>
      <c r="AH89" s="182"/>
      <c r="AI89" s="182"/>
      <c r="AJ89" s="182"/>
      <c r="AK89" s="182"/>
      <c r="AL89" s="182"/>
      <c r="AM89" s="182" t="s">
        <v>265</v>
      </c>
      <c r="AN89" s="182" t="s">
        <v>273</v>
      </c>
      <c r="AO89" s="182" t="s">
        <v>541</v>
      </c>
      <c r="AP89" s="182" t="s">
        <v>338</v>
      </c>
      <c r="AQ89" s="182" t="s">
        <v>836</v>
      </c>
      <c r="AR89" s="182" t="s">
        <v>339</v>
      </c>
      <c r="AS89" s="182" t="str">
        <f t="shared" si="4"/>
        <v>Stationary AssetsBuildingsOur EstateRefrigerantsR427ANaN</v>
      </c>
      <c r="AT89" s="182" t="s">
        <v>337</v>
      </c>
      <c r="AU89" s="182"/>
      <c r="AV89" s="208"/>
      <c r="AW89" s="208"/>
      <c r="AX89" s="311">
        <v>0.1</v>
      </c>
      <c r="BA89" s="398"/>
      <c r="BB89" s="398"/>
      <c r="BC89" s="398"/>
      <c r="BF89" s="147" t="str">
        <v>Supply chain</v>
      </c>
      <c r="BG89" s="147" t="str">
        <v>Manufacturing</v>
      </c>
      <c r="BH89" s="147" t="str">
        <v>Generator</v>
      </c>
      <c r="BI89" s="147" t="str">
        <v>Diesel</v>
      </c>
      <c r="BJ89" s="147" t="str">
        <v>Pool car - distance</v>
      </c>
      <c r="BK89" s="147" t="str">
        <v>Medium</v>
      </c>
    </row>
    <row r="90" spans="2:63" x14ac:dyDescent="0.3">
      <c r="B90" s="146">
        <v>80</v>
      </c>
      <c r="E90" s="182"/>
      <c r="F90" s="182"/>
      <c r="G90" s="182"/>
      <c r="H90" s="182"/>
      <c r="I90" s="182"/>
      <c r="J90" s="182"/>
      <c r="K90" s="182"/>
      <c r="L90" s="182"/>
      <c r="M90" s="182"/>
      <c r="N90" s="182" t="s">
        <v>610</v>
      </c>
      <c r="O90" s="182" t="s">
        <v>837</v>
      </c>
      <c r="P90" s="182"/>
      <c r="Q90" s="182"/>
      <c r="R90" s="182"/>
      <c r="S90" s="182"/>
      <c r="T90" s="182"/>
      <c r="U90" s="182"/>
      <c r="V90" s="182"/>
      <c r="W90" s="182"/>
      <c r="X90" s="182" t="s">
        <v>632</v>
      </c>
      <c r="Y90" s="182" t="s">
        <v>838</v>
      </c>
      <c r="Z90" s="182"/>
      <c r="AA90" s="182"/>
      <c r="AB90" s="182"/>
      <c r="AC90" s="182"/>
      <c r="AD90" s="182"/>
      <c r="AE90" s="182"/>
      <c r="AF90" s="182"/>
      <c r="AG90" s="182"/>
      <c r="AH90" s="182"/>
      <c r="AI90" s="182"/>
      <c r="AJ90" s="182"/>
      <c r="AK90" s="182"/>
      <c r="AL90" s="182"/>
      <c r="AM90" s="182" t="s">
        <v>265</v>
      </c>
      <c r="AN90" s="182" t="s">
        <v>273</v>
      </c>
      <c r="AO90" s="182" t="s">
        <v>541</v>
      </c>
      <c r="AP90" s="182" t="s">
        <v>338</v>
      </c>
      <c r="AQ90" s="182" t="s">
        <v>839</v>
      </c>
      <c r="AR90" s="182" t="s">
        <v>339</v>
      </c>
      <c r="AS90" s="182" t="str">
        <f t="shared" si="4"/>
        <v>Stationary AssetsBuildingsOur EstateRefrigerantsR428ANaN</v>
      </c>
      <c r="AT90" s="182" t="s">
        <v>337</v>
      </c>
      <c r="AU90" s="182"/>
      <c r="AV90" s="208"/>
      <c r="AW90" s="208"/>
      <c r="AX90" s="311">
        <v>0.1</v>
      </c>
      <c r="BA90" s="398"/>
      <c r="BB90" s="398"/>
      <c r="BC90" s="398"/>
      <c r="BF90" s="147" t="str">
        <v>Supply chain</v>
      </c>
      <c r="BG90" s="147" t="str">
        <v>Electricity, gas, steam and air conditioning supply</v>
      </c>
      <c r="BH90" s="147" t="str">
        <v>Generator</v>
      </c>
      <c r="BI90" s="147" t="str">
        <v>Diesel - 100% mineral</v>
      </c>
      <c r="BJ90" s="147" t="str">
        <v>Pool car - distance</v>
      </c>
      <c r="BK90" s="147" t="str">
        <v>Large</v>
      </c>
    </row>
    <row r="91" spans="2:63" x14ac:dyDescent="0.3">
      <c r="B91" s="146">
        <v>81</v>
      </c>
      <c r="E91" s="182"/>
      <c r="F91" s="182"/>
      <c r="G91" s="182"/>
      <c r="H91" s="182"/>
      <c r="I91" s="182"/>
      <c r="J91" s="182"/>
      <c r="K91" s="182"/>
      <c r="L91" s="182"/>
      <c r="M91" s="182"/>
      <c r="N91" s="182" t="s">
        <v>610</v>
      </c>
      <c r="O91" s="182" t="s">
        <v>840</v>
      </c>
      <c r="P91" s="182"/>
      <c r="Q91" s="182"/>
      <c r="R91" s="182"/>
      <c r="S91" s="182"/>
      <c r="T91" s="182"/>
      <c r="U91" s="182"/>
      <c r="V91" s="182"/>
      <c r="W91" s="182"/>
      <c r="X91" s="182" t="s">
        <v>632</v>
      </c>
      <c r="Y91" s="182" t="s">
        <v>841</v>
      </c>
      <c r="Z91" s="182"/>
      <c r="AA91" s="182"/>
      <c r="AB91" s="182"/>
      <c r="AC91" s="182"/>
      <c r="AD91" s="182"/>
      <c r="AE91" s="182"/>
      <c r="AF91" s="182"/>
      <c r="AG91" s="182"/>
      <c r="AH91" s="182"/>
      <c r="AI91" s="182"/>
      <c r="AJ91" s="182"/>
      <c r="AK91" s="182"/>
      <c r="AL91" s="182"/>
      <c r="AM91" s="182" t="s">
        <v>265</v>
      </c>
      <c r="AN91" s="182" t="s">
        <v>273</v>
      </c>
      <c r="AO91" s="182" t="s">
        <v>541</v>
      </c>
      <c r="AP91" s="182" t="s">
        <v>338</v>
      </c>
      <c r="AQ91" s="182" t="s">
        <v>842</v>
      </c>
      <c r="AR91" s="182" t="s">
        <v>339</v>
      </c>
      <c r="AS91" s="182" t="str">
        <f t="shared" si="4"/>
        <v>Stationary AssetsBuildingsOur EstateRefrigerantsR429ANaN</v>
      </c>
      <c r="AT91" s="182" t="s">
        <v>337</v>
      </c>
      <c r="AU91" s="182"/>
      <c r="AV91" s="208"/>
      <c r="AW91" s="208"/>
      <c r="AX91" s="311">
        <v>0.1</v>
      </c>
      <c r="BA91" s="398"/>
      <c r="BB91" s="398"/>
      <c r="BC91" s="398"/>
      <c r="BF91" s="147" t="str">
        <v>Supply chain</v>
      </c>
      <c r="BG91" s="147" t="str">
        <v>Water supply; sewerage, waste management and remediation activities</v>
      </c>
      <c r="BH91" s="147" t="str">
        <v>Generator</v>
      </c>
      <c r="BI91" s="147" t="str">
        <v>HVO</v>
      </c>
      <c r="BJ91" s="147" t="str">
        <v>Pool car - distance</v>
      </c>
      <c r="BK91" s="147" t="str">
        <v>Average</v>
      </c>
    </row>
    <row r="92" spans="2:63" x14ac:dyDescent="0.3">
      <c r="B92" s="146">
        <v>82</v>
      </c>
      <c r="E92" s="182"/>
      <c r="F92" s="182"/>
      <c r="G92" s="182"/>
      <c r="H92" s="182"/>
      <c r="I92" s="182"/>
      <c r="J92" s="182"/>
      <c r="K92" s="182"/>
      <c r="L92" s="182"/>
      <c r="M92" s="182"/>
      <c r="N92" s="182" t="s">
        <v>610</v>
      </c>
      <c r="O92" s="182" t="s">
        <v>843</v>
      </c>
      <c r="P92" s="182"/>
      <c r="Q92" s="182"/>
      <c r="R92" s="182"/>
      <c r="S92" s="182"/>
      <c r="T92" s="182"/>
      <c r="U92" s="182"/>
      <c r="V92" s="182"/>
      <c r="W92" s="182"/>
      <c r="X92" s="182" t="s">
        <v>636</v>
      </c>
      <c r="Y92" s="182" t="s">
        <v>844</v>
      </c>
      <c r="Z92" s="182"/>
      <c r="AA92" s="182"/>
      <c r="AB92" s="182"/>
      <c r="AC92" s="182"/>
      <c r="AD92" s="182"/>
      <c r="AE92" s="182"/>
      <c r="AF92" s="182"/>
      <c r="AG92" s="182"/>
      <c r="AH92" s="182"/>
      <c r="AI92" s="182"/>
      <c r="AJ92" s="182"/>
      <c r="AK92" s="182"/>
      <c r="AL92" s="182"/>
      <c r="AM92" s="182" t="s">
        <v>265</v>
      </c>
      <c r="AN92" s="182" t="s">
        <v>273</v>
      </c>
      <c r="AO92" s="182" t="s">
        <v>541</v>
      </c>
      <c r="AP92" s="182" t="s">
        <v>338</v>
      </c>
      <c r="AQ92" s="182" t="s">
        <v>845</v>
      </c>
      <c r="AR92" s="182" t="s">
        <v>339</v>
      </c>
      <c r="AS92" s="182" t="str">
        <f t="shared" si="4"/>
        <v>Stationary AssetsBuildingsOur EstateRefrigerantsR430ANaN</v>
      </c>
      <c r="AT92" s="182" t="s">
        <v>337</v>
      </c>
      <c r="AU92" s="182"/>
      <c r="AV92" s="208"/>
      <c r="AW92" s="208"/>
      <c r="AX92" s="311">
        <v>0.1</v>
      </c>
      <c r="BA92" s="398"/>
      <c r="BB92" s="398"/>
      <c r="BC92" s="398"/>
      <c r="BF92" s="147" t="str">
        <v>Supply chain</v>
      </c>
      <c r="BG92" s="147" t="str">
        <v>Construction</v>
      </c>
      <c r="BH92" s="147" t="str">
        <v>Generator</v>
      </c>
      <c r="BI92" s="147" t="str">
        <v>ME</v>
      </c>
      <c r="BJ92" s="147" t="str">
        <v>Pool car - fuel</v>
      </c>
      <c r="BK92" s="147" t="str">
        <v>Average</v>
      </c>
    </row>
    <row r="93" spans="2:63" x14ac:dyDescent="0.3">
      <c r="B93" s="146">
        <v>83</v>
      </c>
      <c r="E93" s="182"/>
      <c r="F93" s="182"/>
      <c r="G93" s="182"/>
      <c r="H93" s="182"/>
      <c r="I93" s="182"/>
      <c r="J93" s="182"/>
      <c r="K93" s="182"/>
      <c r="L93" s="182"/>
      <c r="M93" s="182"/>
      <c r="N93" s="182" t="s">
        <v>610</v>
      </c>
      <c r="O93" s="182" t="s">
        <v>846</v>
      </c>
      <c r="P93" s="182"/>
      <c r="Q93" s="182"/>
      <c r="R93" s="182"/>
      <c r="S93" s="182"/>
      <c r="T93" s="182"/>
      <c r="U93" s="182"/>
      <c r="V93" s="182"/>
      <c r="W93" s="182"/>
      <c r="X93" s="182" t="s">
        <v>636</v>
      </c>
      <c r="Y93" s="182" t="s">
        <v>847</v>
      </c>
      <c r="Z93" s="182"/>
      <c r="AA93" s="182"/>
      <c r="AB93" s="182"/>
      <c r="AC93" s="182"/>
      <c r="AD93" s="182"/>
      <c r="AE93" s="182"/>
      <c r="AF93" s="182"/>
      <c r="AG93" s="182"/>
      <c r="AH93" s="182"/>
      <c r="AI93" s="182"/>
      <c r="AJ93" s="182"/>
      <c r="AK93" s="182"/>
      <c r="AL93" s="182"/>
      <c r="AM93" s="182" t="s">
        <v>265</v>
      </c>
      <c r="AN93" s="182" t="s">
        <v>273</v>
      </c>
      <c r="AO93" s="182" t="s">
        <v>541</v>
      </c>
      <c r="AP93" s="182" t="s">
        <v>338</v>
      </c>
      <c r="AQ93" s="182" t="s">
        <v>848</v>
      </c>
      <c r="AR93" s="182" t="s">
        <v>339</v>
      </c>
      <c r="AS93" s="182" t="str">
        <f t="shared" si="4"/>
        <v>Stationary AssetsBuildingsOur EstateRefrigerantsR431ANaN</v>
      </c>
      <c r="AT93" s="182" t="s">
        <v>337</v>
      </c>
      <c r="AU93" s="182"/>
      <c r="AV93" s="208"/>
      <c r="AW93" s="208"/>
      <c r="AX93" s="311">
        <v>0.1</v>
      </c>
      <c r="BA93" s="398"/>
      <c r="BB93" s="398"/>
      <c r="BC93" s="398"/>
      <c r="BF93" s="147" t="str">
        <v>Supply chain</v>
      </c>
      <c r="BG93" s="147" t="str">
        <v>Wholesale and retail trade; repair of motor vehicles and motorcycles</v>
      </c>
      <c r="BH93" s="147" t="str">
        <v>Generator</v>
      </c>
      <c r="BI93" s="147" t="str">
        <v>100% Biopetrol</v>
      </c>
      <c r="BJ93" s="147" t="str">
        <v>Private car</v>
      </c>
      <c r="BK93" s="147" t="str">
        <v>Small</v>
      </c>
    </row>
    <row r="94" spans="2:63" x14ac:dyDescent="0.3">
      <c r="B94" s="146">
        <v>84</v>
      </c>
      <c r="E94" s="182"/>
      <c r="F94" s="182"/>
      <c r="G94" s="182"/>
      <c r="H94" s="182"/>
      <c r="I94" s="182"/>
      <c r="J94" s="182"/>
      <c r="K94" s="182"/>
      <c r="L94" s="182"/>
      <c r="M94" s="182"/>
      <c r="N94" s="182" t="s">
        <v>610</v>
      </c>
      <c r="O94" s="182" t="s">
        <v>849</v>
      </c>
      <c r="P94" s="182"/>
      <c r="Q94" s="182"/>
      <c r="R94" s="182"/>
      <c r="S94" s="182"/>
      <c r="T94" s="182"/>
      <c r="U94" s="182"/>
      <c r="V94" s="182"/>
      <c r="W94" s="182"/>
      <c r="X94" s="182" t="s">
        <v>636</v>
      </c>
      <c r="Y94" s="182" t="s">
        <v>850</v>
      </c>
      <c r="Z94" s="182"/>
      <c r="AA94" s="182"/>
      <c r="AB94" s="182"/>
      <c r="AC94" s="182"/>
      <c r="AD94" s="182"/>
      <c r="AE94" s="182"/>
      <c r="AF94" s="182"/>
      <c r="AG94" s="182"/>
      <c r="AH94" s="182"/>
      <c r="AI94" s="182"/>
      <c r="AJ94" s="182"/>
      <c r="AK94" s="182"/>
      <c r="AL94" s="182"/>
      <c r="AM94" s="182" t="s">
        <v>265</v>
      </c>
      <c r="AN94" s="182" t="s">
        <v>273</v>
      </c>
      <c r="AO94" s="182" t="s">
        <v>541</v>
      </c>
      <c r="AP94" s="182" t="s">
        <v>338</v>
      </c>
      <c r="AQ94" s="182" t="s">
        <v>851</v>
      </c>
      <c r="AR94" s="182" t="s">
        <v>339</v>
      </c>
      <c r="AS94" s="182" t="str">
        <f t="shared" si="4"/>
        <v>Stationary AssetsBuildingsOur EstateRefrigerantsR432ANaN</v>
      </c>
      <c r="AT94" s="182" t="s">
        <v>337</v>
      </c>
      <c r="AU94" s="182"/>
      <c r="AV94" s="208"/>
      <c r="AW94" s="208"/>
      <c r="AX94" s="311">
        <v>0.1</v>
      </c>
      <c r="BA94" s="398"/>
      <c r="BB94" s="398"/>
      <c r="BC94" s="398"/>
      <c r="BF94" s="147" t="str">
        <v>Supply chain</v>
      </c>
      <c r="BG94" s="147" t="str">
        <v>Transportation and storage</v>
      </c>
      <c r="BH94" s="147" t="str">
        <v>Generator</v>
      </c>
      <c r="BI94" s="147" t="str">
        <v>Gas oil</v>
      </c>
      <c r="BJ94" s="147" t="str">
        <v>Private car</v>
      </c>
      <c r="BK94" s="147" t="str">
        <v>Medium</v>
      </c>
    </row>
    <row r="95" spans="2:63" x14ac:dyDescent="0.3">
      <c r="B95" s="146">
        <v>85</v>
      </c>
      <c r="E95" s="182"/>
      <c r="F95" s="182"/>
      <c r="G95" s="182"/>
      <c r="H95" s="182"/>
      <c r="I95" s="182"/>
      <c r="J95" s="182"/>
      <c r="K95" s="182"/>
      <c r="L95" s="182"/>
      <c r="M95" s="182"/>
      <c r="N95" s="182" t="s">
        <v>610</v>
      </c>
      <c r="O95" s="182" t="s">
        <v>852</v>
      </c>
      <c r="P95" s="182"/>
      <c r="Q95" s="182"/>
      <c r="R95" s="182"/>
      <c r="S95" s="182"/>
      <c r="T95" s="182"/>
      <c r="U95" s="182"/>
      <c r="V95" s="182"/>
      <c r="W95" s="182"/>
      <c r="X95" s="182" t="s">
        <v>636</v>
      </c>
      <c r="Y95" s="182" t="s">
        <v>853</v>
      </c>
      <c r="Z95" s="182"/>
      <c r="AA95" s="182"/>
      <c r="AB95" s="182"/>
      <c r="AC95" s="182"/>
      <c r="AD95" s="182"/>
      <c r="AE95" s="182"/>
      <c r="AF95" s="182"/>
      <c r="AG95" s="182"/>
      <c r="AH95" s="182"/>
      <c r="AI95" s="182"/>
      <c r="AJ95" s="182"/>
      <c r="AK95" s="182"/>
      <c r="AL95" s="182"/>
      <c r="AM95" s="182" t="s">
        <v>265</v>
      </c>
      <c r="AN95" s="182" t="s">
        <v>273</v>
      </c>
      <c r="AO95" s="182" t="s">
        <v>541</v>
      </c>
      <c r="AP95" s="182" t="s">
        <v>338</v>
      </c>
      <c r="AQ95" s="182" t="s">
        <v>854</v>
      </c>
      <c r="AR95" s="182" t="s">
        <v>339</v>
      </c>
      <c r="AS95" s="182" t="str">
        <f t="shared" si="4"/>
        <v>Stationary AssetsBuildingsOur EstateRefrigerantsR433ANaN</v>
      </c>
      <c r="AT95" s="182" t="s">
        <v>337</v>
      </c>
      <c r="AU95" s="182"/>
      <c r="AV95" s="208"/>
      <c r="AW95" s="208"/>
      <c r="AX95" s="311">
        <v>0.1</v>
      </c>
      <c r="BA95" s="398"/>
      <c r="BB95" s="398"/>
      <c r="BC95" s="398"/>
      <c r="BF95" s="147" t="str">
        <v>Supply chain</v>
      </c>
      <c r="BG95" s="147" t="str">
        <v>Accommodation and food service activities</v>
      </c>
      <c r="BH95" s="147" t="str">
        <v>Generator</v>
      </c>
      <c r="BI95" s="147" t="str">
        <v>LPG</v>
      </c>
      <c r="BJ95" s="147" t="str">
        <v>Private car</v>
      </c>
      <c r="BK95" s="147" t="str">
        <v>Large</v>
      </c>
    </row>
    <row r="96" spans="2:63" x14ac:dyDescent="0.3">
      <c r="B96" s="146">
        <v>86</v>
      </c>
      <c r="E96" s="182"/>
      <c r="F96" s="182"/>
      <c r="G96" s="182"/>
      <c r="H96" s="182"/>
      <c r="I96" s="182"/>
      <c r="J96" s="182"/>
      <c r="K96" s="182"/>
      <c r="L96" s="182"/>
      <c r="M96" s="182"/>
      <c r="N96" s="182" t="s">
        <v>614</v>
      </c>
      <c r="O96" s="182" t="s">
        <v>614</v>
      </c>
      <c r="P96" s="182"/>
      <c r="Q96" s="182"/>
      <c r="R96" s="182"/>
      <c r="S96" s="182"/>
      <c r="T96" s="182"/>
      <c r="U96" s="182"/>
      <c r="V96" s="182"/>
      <c r="W96" s="182"/>
      <c r="X96" s="182" t="s">
        <v>636</v>
      </c>
      <c r="Y96" s="182" t="s">
        <v>855</v>
      </c>
      <c r="Z96" s="182"/>
      <c r="AA96" s="182"/>
      <c r="AB96" s="182"/>
      <c r="AC96" s="182"/>
      <c r="AD96" s="182"/>
      <c r="AE96" s="182"/>
      <c r="AF96" s="182"/>
      <c r="AG96" s="182"/>
      <c r="AH96" s="182"/>
      <c r="AI96" s="182"/>
      <c r="AJ96" s="182"/>
      <c r="AK96" s="182"/>
      <c r="AL96" s="182"/>
      <c r="AM96" s="182" t="s">
        <v>265</v>
      </c>
      <c r="AN96" s="182" t="s">
        <v>273</v>
      </c>
      <c r="AO96" s="182" t="s">
        <v>541</v>
      </c>
      <c r="AP96" s="182" t="s">
        <v>338</v>
      </c>
      <c r="AQ96" s="182" t="s">
        <v>856</v>
      </c>
      <c r="AR96" s="182" t="s">
        <v>339</v>
      </c>
      <c r="AS96" s="182" t="str">
        <f t="shared" si="4"/>
        <v>Stationary AssetsBuildingsOur EstateRefrigerantsR433BNaN</v>
      </c>
      <c r="AT96" s="182" t="s">
        <v>337</v>
      </c>
      <c r="AU96" s="182"/>
      <c r="AV96" s="208"/>
      <c r="AW96" s="208"/>
      <c r="AX96" s="311">
        <v>0.1</v>
      </c>
      <c r="BA96" s="398"/>
      <c r="BB96" s="398"/>
      <c r="BC96" s="398"/>
      <c r="BF96" s="147" t="str">
        <v>Supply chain</v>
      </c>
      <c r="BG96" s="147" t="str">
        <v>Information and communication</v>
      </c>
      <c r="BH96" s="147" t="str">
        <v>Heat &amp; Steam</v>
      </c>
      <c r="BI96" s="147" t="str">
        <v>Onsite Heat &amp; Steam</v>
      </c>
      <c r="BJ96" s="147" t="str">
        <v>Private car</v>
      </c>
      <c r="BK96" s="147" t="str">
        <v>Average</v>
      </c>
    </row>
    <row r="97" spans="2:63" x14ac:dyDescent="0.3">
      <c r="B97" s="146">
        <v>87</v>
      </c>
      <c r="E97" s="182"/>
      <c r="F97" s="182"/>
      <c r="G97" s="182"/>
      <c r="H97" s="182"/>
      <c r="I97" s="182"/>
      <c r="J97" s="182"/>
      <c r="K97" s="182"/>
      <c r="L97" s="182"/>
      <c r="M97" s="182"/>
      <c r="N97" s="182"/>
      <c r="O97" s="182"/>
      <c r="P97" s="182"/>
      <c r="Q97" s="182"/>
      <c r="R97" s="182"/>
      <c r="S97" s="182"/>
      <c r="T97" s="182"/>
      <c r="U97" s="182"/>
      <c r="V97" s="182"/>
      <c r="W97" s="182"/>
      <c r="X97" s="182" t="s">
        <v>636</v>
      </c>
      <c r="Y97" s="182" t="s">
        <v>857</v>
      </c>
      <c r="Z97" s="182"/>
      <c r="AA97" s="182"/>
      <c r="AB97" s="182"/>
      <c r="AC97" s="182"/>
      <c r="AD97" s="182"/>
      <c r="AE97" s="182"/>
      <c r="AF97" s="182"/>
      <c r="AG97" s="182"/>
      <c r="AH97" s="182"/>
      <c r="AI97" s="182"/>
      <c r="AJ97" s="182"/>
      <c r="AK97" s="182"/>
      <c r="AL97" s="182"/>
      <c r="AM97" s="182" t="s">
        <v>265</v>
      </c>
      <c r="AN97" s="182" t="s">
        <v>273</v>
      </c>
      <c r="AO97" s="182" t="s">
        <v>541</v>
      </c>
      <c r="AP97" s="182" t="s">
        <v>338</v>
      </c>
      <c r="AQ97" s="182" t="s">
        <v>858</v>
      </c>
      <c r="AR97" s="182" t="s">
        <v>339</v>
      </c>
      <c r="AS97" s="182" t="str">
        <f t="shared" si="4"/>
        <v>Stationary AssetsBuildingsOur EstateRefrigerantsR433CNaN</v>
      </c>
      <c r="AT97" s="182" t="s">
        <v>337</v>
      </c>
      <c r="AU97" s="182"/>
      <c r="AV97" s="208"/>
      <c r="AW97" s="208"/>
      <c r="AX97" s="311">
        <v>0.1</v>
      </c>
      <c r="BA97" s="398"/>
      <c r="BB97" s="398"/>
      <c r="BC97" s="398"/>
      <c r="BF97" s="147" t="str">
        <v>Supply chain</v>
      </c>
      <c r="BG97" s="147" t="str">
        <v>Financial and insurance activities</v>
      </c>
      <c r="BH97" s="147" t="str">
        <v>Heat &amp; Steam</v>
      </c>
      <c r="BI97" s="147" t="str">
        <v>District Heat &amp; Steam</v>
      </c>
      <c r="BJ97" s="147" t="str">
        <v>Professional, scientific and technical activities</v>
      </c>
      <c r="BK97" s="147" t="str">
        <v>NaN</v>
      </c>
    </row>
    <row r="98" spans="2:63" x14ac:dyDescent="0.3">
      <c r="B98" s="146">
        <v>88</v>
      </c>
      <c r="E98" s="182"/>
      <c r="F98" s="182"/>
      <c r="G98" s="182"/>
      <c r="H98" s="182"/>
      <c r="I98" s="182"/>
      <c r="J98" s="182"/>
      <c r="K98" s="182"/>
      <c r="L98" s="182"/>
      <c r="M98" s="182"/>
      <c r="N98" s="182"/>
      <c r="O98" s="182"/>
      <c r="P98" s="182"/>
      <c r="Q98" s="182"/>
      <c r="R98" s="182"/>
      <c r="S98" s="182"/>
      <c r="T98" s="182"/>
      <c r="U98" s="182"/>
      <c r="V98" s="182"/>
      <c r="W98" s="182"/>
      <c r="X98" s="182" t="s">
        <v>636</v>
      </c>
      <c r="Y98" s="182" t="s">
        <v>859</v>
      </c>
      <c r="Z98" s="182"/>
      <c r="AA98" s="182"/>
      <c r="AB98" s="182"/>
      <c r="AC98" s="182"/>
      <c r="AD98" s="182"/>
      <c r="AE98" s="182"/>
      <c r="AF98" s="182"/>
      <c r="AG98" s="182"/>
      <c r="AH98" s="182"/>
      <c r="AI98" s="182"/>
      <c r="AJ98" s="182"/>
      <c r="AK98" s="182"/>
      <c r="AL98" s="182"/>
      <c r="AM98" s="182" t="s">
        <v>265</v>
      </c>
      <c r="AN98" s="182" t="s">
        <v>273</v>
      </c>
      <c r="AO98" s="182" t="s">
        <v>541</v>
      </c>
      <c r="AP98" s="182" t="s">
        <v>338</v>
      </c>
      <c r="AQ98" s="182" t="s">
        <v>860</v>
      </c>
      <c r="AR98" s="182" t="s">
        <v>339</v>
      </c>
      <c r="AS98" s="182" t="str">
        <f t="shared" si="4"/>
        <v>Stationary AssetsBuildingsOur EstateRefrigerantsR434ANaN</v>
      </c>
      <c r="AT98" s="182" t="s">
        <v>337</v>
      </c>
      <c r="AU98" s="182"/>
      <c r="AV98" s="208"/>
      <c r="AW98" s="208"/>
      <c r="AX98" s="311">
        <v>0.1</v>
      </c>
      <c r="BA98" s="398"/>
      <c r="BB98" s="398"/>
      <c r="BC98" s="398"/>
      <c r="BF98" s="147" t="str">
        <v>Supply chain</v>
      </c>
      <c r="BG98" s="147" t="str">
        <v>Real estate activities</v>
      </c>
      <c r="BH98" s="147" t="str">
        <v>HGV - distance</v>
      </c>
      <c r="BI98" s="147" t="str">
        <v>Diesel</v>
      </c>
      <c r="BJ98" s="147" t="str">
        <v>Public administration and defence; compulsory social security</v>
      </c>
      <c r="BK98" s="147" t="str">
        <v>NaN</v>
      </c>
    </row>
    <row r="99" spans="2:63" x14ac:dyDescent="0.3">
      <c r="B99" s="146">
        <v>89</v>
      </c>
      <c r="E99" s="182"/>
      <c r="F99" s="182"/>
      <c r="G99" s="182"/>
      <c r="H99" s="182"/>
      <c r="I99" s="182"/>
      <c r="J99" s="182"/>
      <c r="K99" s="182"/>
      <c r="L99" s="182"/>
      <c r="M99" s="182"/>
      <c r="N99" s="182"/>
      <c r="O99" s="182"/>
      <c r="P99" s="182"/>
      <c r="Q99" s="182"/>
      <c r="R99" s="182"/>
      <c r="S99" s="182"/>
      <c r="T99" s="182"/>
      <c r="U99" s="182"/>
      <c r="V99" s="182"/>
      <c r="W99" s="182"/>
      <c r="X99" s="182" t="s">
        <v>636</v>
      </c>
      <c r="Y99" s="182" t="s">
        <v>861</v>
      </c>
      <c r="Z99" s="182"/>
      <c r="AA99" s="182"/>
      <c r="AB99" s="182"/>
      <c r="AC99" s="182"/>
      <c r="AD99" s="182"/>
      <c r="AE99" s="182"/>
      <c r="AF99" s="182"/>
      <c r="AG99" s="182"/>
      <c r="AH99" s="182"/>
      <c r="AI99" s="182"/>
      <c r="AJ99" s="182"/>
      <c r="AK99" s="182"/>
      <c r="AL99" s="182"/>
      <c r="AM99" s="182" t="s">
        <v>265</v>
      </c>
      <c r="AN99" s="182" t="s">
        <v>273</v>
      </c>
      <c r="AO99" s="182" t="s">
        <v>541</v>
      </c>
      <c r="AP99" s="182" t="s">
        <v>338</v>
      </c>
      <c r="AQ99" s="182" t="s">
        <v>862</v>
      </c>
      <c r="AR99" s="182" t="s">
        <v>339</v>
      </c>
      <c r="AS99" s="182" t="str">
        <f t="shared" si="4"/>
        <v>Stationary AssetsBuildingsOur EstateRefrigerantsR435ANaN</v>
      </c>
      <c r="AT99" s="182" t="s">
        <v>337</v>
      </c>
      <c r="AU99" s="182"/>
      <c r="AV99" s="208"/>
      <c r="AW99" s="208"/>
      <c r="AX99" s="311">
        <v>0.1</v>
      </c>
      <c r="BA99" s="398"/>
      <c r="BB99" s="398"/>
      <c r="BC99" s="398"/>
      <c r="BF99" s="147" t="str">
        <v>Supply chain</v>
      </c>
      <c r="BG99" s="147" t="str">
        <v>Professional, scientific and technical activities</v>
      </c>
      <c r="BH99" s="147" t="str">
        <v>HGV - fuel</v>
      </c>
      <c r="BI99" s="147" t="str">
        <v>HVO</v>
      </c>
      <c r="BJ99" s="147" t="str">
        <v>Rail</v>
      </c>
      <c r="BK99" s="147" t="str">
        <v>NaN</v>
      </c>
    </row>
    <row r="100" spans="2:63" x14ac:dyDescent="0.3">
      <c r="B100" s="146">
        <v>90</v>
      </c>
      <c r="E100" s="182"/>
      <c r="F100" s="182"/>
      <c r="G100" s="182"/>
      <c r="H100" s="182"/>
      <c r="I100" s="182"/>
      <c r="J100" s="182"/>
      <c r="K100" s="182"/>
      <c r="L100" s="182"/>
      <c r="M100" s="182"/>
      <c r="N100" s="182"/>
      <c r="O100" s="182"/>
      <c r="P100" s="182"/>
      <c r="Q100" s="182"/>
      <c r="R100" s="182"/>
      <c r="S100" s="182"/>
      <c r="T100" s="182"/>
      <c r="U100" s="182"/>
      <c r="V100" s="182"/>
      <c r="W100" s="182"/>
      <c r="X100" s="182" t="s">
        <v>636</v>
      </c>
      <c r="Y100" s="182" t="s">
        <v>863</v>
      </c>
      <c r="Z100" s="182"/>
      <c r="AA100" s="182"/>
      <c r="AB100" s="182"/>
      <c r="AC100" s="182"/>
      <c r="AD100" s="182"/>
      <c r="AE100" s="182"/>
      <c r="AF100" s="182"/>
      <c r="AG100" s="182"/>
      <c r="AH100" s="182"/>
      <c r="AI100" s="182"/>
      <c r="AJ100" s="182"/>
      <c r="AK100" s="182"/>
      <c r="AL100" s="182"/>
      <c r="AM100" s="182" t="s">
        <v>265</v>
      </c>
      <c r="AN100" s="182" t="s">
        <v>273</v>
      </c>
      <c r="AO100" s="182" t="s">
        <v>541</v>
      </c>
      <c r="AP100" s="182" t="s">
        <v>338</v>
      </c>
      <c r="AQ100" s="182" t="s">
        <v>864</v>
      </c>
      <c r="AR100" s="182" t="s">
        <v>339</v>
      </c>
      <c r="AS100" s="182" t="str">
        <f t="shared" si="4"/>
        <v>Stationary AssetsBuildingsOur EstateRefrigerantsR436ANaN</v>
      </c>
      <c r="AT100" s="182" t="s">
        <v>337</v>
      </c>
      <c r="AU100" s="182"/>
      <c r="AV100" s="208"/>
      <c r="AW100" s="208"/>
      <c r="AX100" s="311">
        <v>0.1</v>
      </c>
      <c r="BA100" s="398"/>
      <c r="BB100" s="398"/>
      <c r="BC100" s="398"/>
      <c r="BF100" s="147" t="str">
        <v>Supply chain</v>
      </c>
      <c r="BG100" s="147" t="str">
        <v>Administrative and support service activities</v>
      </c>
      <c r="BH100" s="147" t="str">
        <v>HGV - fuel</v>
      </c>
      <c r="BI100" s="147" t="str">
        <v>ME</v>
      </c>
      <c r="BJ100" s="147" t="str">
        <v>Real estate activities</v>
      </c>
      <c r="BK100" s="147" t="str">
        <v>NaN</v>
      </c>
    </row>
    <row r="101" spans="2:63" x14ac:dyDescent="0.3">
      <c r="B101" s="146">
        <v>91</v>
      </c>
      <c r="E101" s="182"/>
      <c r="F101" s="182"/>
      <c r="G101" s="182"/>
      <c r="H101" s="182"/>
      <c r="I101" s="182"/>
      <c r="J101" s="182"/>
      <c r="K101" s="182"/>
      <c r="L101" s="182"/>
      <c r="M101" s="182"/>
      <c r="N101" s="182"/>
      <c r="O101" s="182"/>
      <c r="P101" s="182"/>
      <c r="Q101" s="182"/>
      <c r="R101" s="182"/>
      <c r="S101" s="182"/>
      <c r="T101" s="182"/>
      <c r="U101" s="182"/>
      <c r="V101" s="182"/>
      <c r="W101" s="182"/>
      <c r="X101" s="182" t="s">
        <v>636</v>
      </c>
      <c r="Y101" s="182" t="s">
        <v>865</v>
      </c>
      <c r="Z101" s="182"/>
      <c r="AA101" s="182"/>
      <c r="AB101" s="182"/>
      <c r="AC101" s="182"/>
      <c r="AD101" s="182"/>
      <c r="AE101" s="182"/>
      <c r="AF101" s="182"/>
      <c r="AG101" s="182"/>
      <c r="AH101" s="182"/>
      <c r="AI101" s="182"/>
      <c r="AJ101" s="182"/>
      <c r="AK101" s="182"/>
      <c r="AL101" s="182"/>
      <c r="AM101" s="182" t="s">
        <v>265</v>
      </c>
      <c r="AN101" s="182" t="s">
        <v>273</v>
      </c>
      <c r="AO101" s="182" t="s">
        <v>541</v>
      </c>
      <c r="AP101" s="182" t="s">
        <v>338</v>
      </c>
      <c r="AQ101" s="182" t="s">
        <v>866</v>
      </c>
      <c r="AR101" s="182" t="s">
        <v>339</v>
      </c>
      <c r="AS101" s="182" t="str">
        <f t="shared" si="4"/>
        <v>Stationary AssetsBuildingsOur EstateRefrigerantsR436BNaN</v>
      </c>
      <c r="AT101" s="182" t="s">
        <v>337</v>
      </c>
      <c r="AU101" s="182"/>
      <c r="AV101" s="208"/>
      <c r="AW101" s="208"/>
      <c r="AX101" s="311">
        <v>0.1</v>
      </c>
      <c r="BA101" s="398"/>
      <c r="BB101" s="398"/>
      <c r="BC101" s="398"/>
      <c r="BF101" s="147" t="str">
        <v>Supply chain</v>
      </c>
      <c r="BG101" s="147" t="str">
        <v>Public administration and defence; compulsory social security</v>
      </c>
      <c r="BH101" s="147" t="str">
        <v>HGV - fuel</v>
      </c>
      <c r="BI101" s="147" t="str">
        <v>Diesel</v>
      </c>
      <c r="BJ101" s="147" t="str">
        <v>Recycling (municipal)</v>
      </c>
      <c r="BK101" s="147" t="str">
        <v>Not including transport</v>
      </c>
    </row>
    <row r="102" spans="2:63" x14ac:dyDescent="0.3">
      <c r="B102" s="146">
        <v>92</v>
      </c>
      <c r="E102" s="182"/>
      <c r="F102" s="182"/>
      <c r="G102" s="182"/>
      <c r="H102" s="182"/>
      <c r="I102" s="182"/>
      <c r="J102" s="182"/>
      <c r="K102" s="182"/>
      <c r="L102" s="182"/>
      <c r="M102" s="182"/>
      <c r="N102" s="182"/>
      <c r="O102" s="182"/>
      <c r="P102" s="182"/>
      <c r="Q102" s="182"/>
      <c r="R102" s="182"/>
      <c r="S102" s="182"/>
      <c r="T102" s="182"/>
      <c r="U102" s="182"/>
      <c r="V102" s="182"/>
      <c r="W102" s="182"/>
      <c r="X102" s="182" t="s">
        <v>636</v>
      </c>
      <c r="Y102" s="182" t="s">
        <v>867</v>
      </c>
      <c r="Z102" s="182"/>
      <c r="AA102" s="182"/>
      <c r="AB102" s="182"/>
      <c r="AC102" s="182"/>
      <c r="AD102" s="182"/>
      <c r="AE102" s="182"/>
      <c r="AF102" s="182"/>
      <c r="AG102" s="182"/>
      <c r="AH102" s="182"/>
      <c r="AI102" s="182"/>
      <c r="AJ102" s="182"/>
      <c r="AK102" s="182"/>
      <c r="AL102" s="182"/>
      <c r="AM102" s="182" t="s">
        <v>265</v>
      </c>
      <c r="AN102" s="182" t="s">
        <v>273</v>
      </c>
      <c r="AO102" s="182" t="s">
        <v>541</v>
      </c>
      <c r="AP102" s="182" t="s">
        <v>338</v>
      </c>
      <c r="AQ102" s="182" t="s">
        <v>868</v>
      </c>
      <c r="AR102" s="182" t="s">
        <v>339</v>
      </c>
      <c r="AS102" s="182" t="str">
        <f t="shared" si="4"/>
        <v>Stationary AssetsBuildingsOur EstateRefrigerantsR437ANaN</v>
      </c>
      <c r="AT102" s="182" t="s">
        <v>337</v>
      </c>
      <c r="AU102" s="182"/>
      <c r="AV102" s="208"/>
      <c r="AW102" s="208"/>
      <c r="AX102" s="311">
        <v>0.1</v>
      </c>
      <c r="BA102" s="398"/>
      <c r="BB102" s="398"/>
      <c r="BC102" s="398"/>
      <c r="BF102" s="147" t="str">
        <v>Supply chain</v>
      </c>
      <c r="BG102" s="147" t="str">
        <v>Education</v>
      </c>
      <c r="BH102" s="147" t="str">
        <v>HGV - fuel</v>
      </c>
      <c r="BI102" s="147" t="str">
        <v>Diesel - 100% mineral</v>
      </c>
      <c r="BJ102" s="147" t="str">
        <v>Recycling (municipal)</v>
      </c>
      <c r="BK102" s="147" t="str">
        <v>NaN</v>
      </c>
    </row>
    <row r="103" spans="2:63" x14ac:dyDescent="0.3">
      <c r="B103" s="146">
        <v>93</v>
      </c>
      <c r="E103" s="182"/>
      <c r="F103" s="182"/>
      <c r="G103" s="182"/>
      <c r="H103" s="182"/>
      <c r="I103" s="182"/>
      <c r="J103" s="182"/>
      <c r="K103" s="182"/>
      <c r="L103" s="182"/>
      <c r="M103" s="182"/>
      <c r="N103" s="182"/>
      <c r="O103" s="182"/>
      <c r="P103" s="182"/>
      <c r="Q103" s="182"/>
      <c r="R103" s="182"/>
      <c r="S103" s="182"/>
      <c r="T103" s="182"/>
      <c r="U103" s="182"/>
      <c r="V103" s="182"/>
      <c r="W103" s="182"/>
      <c r="X103" s="182" t="s">
        <v>636</v>
      </c>
      <c r="Y103" s="182" t="s">
        <v>869</v>
      </c>
      <c r="Z103" s="182"/>
      <c r="AA103" s="182"/>
      <c r="AB103" s="182"/>
      <c r="AC103" s="182"/>
      <c r="AD103" s="182"/>
      <c r="AE103" s="182"/>
      <c r="AF103" s="182"/>
      <c r="AG103" s="182"/>
      <c r="AH103" s="182"/>
      <c r="AI103" s="182"/>
      <c r="AJ103" s="182"/>
      <c r="AK103" s="182"/>
      <c r="AL103" s="182"/>
      <c r="AM103" s="182" t="s">
        <v>265</v>
      </c>
      <c r="AN103" s="182" t="s">
        <v>273</v>
      </c>
      <c r="AO103" s="182" t="s">
        <v>541</v>
      </c>
      <c r="AP103" s="182" t="s">
        <v>338</v>
      </c>
      <c r="AQ103" s="182" t="s">
        <v>870</v>
      </c>
      <c r="AR103" s="182" t="s">
        <v>339</v>
      </c>
      <c r="AS103" s="182" t="str">
        <f t="shared" si="4"/>
        <v>Stationary AssetsBuildingsOur EstateRefrigerantsR438ANaN</v>
      </c>
      <c r="AT103" s="182" t="s">
        <v>337</v>
      </c>
      <c r="AU103" s="182"/>
      <c r="AV103" s="208"/>
      <c r="AW103" s="208"/>
      <c r="AX103" s="311">
        <v>0.1</v>
      </c>
      <c r="BA103" s="398"/>
      <c r="BB103" s="398"/>
      <c r="BC103" s="398"/>
      <c r="BF103" s="147" t="str">
        <v>Supply chain</v>
      </c>
      <c r="BG103" s="147" t="str">
        <v>Human health and social work activities</v>
      </c>
      <c r="BH103" s="147" t="str">
        <v>HGV - fuel</v>
      </c>
      <c r="BI103" s="147" t="str">
        <v>Battery Electric Vehicle</v>
      </c>
      <c r="BJ103" s="147" t="str">
        <v>Recycling (organisational)</v>
      </c>
      <c r="BK103" s="147" t="str">
        <v>NaN</v>
      </c>
    </row>
    <row r="104" spans="2:63" x14ac:dyDescent="0.3">
      <c r="B104" s="146">
        <v>94</v>
      </c>
      <c r="E104" s="182"/>
      <c r="F104" s="182"/>
      <c r="G104" s="182"/>
      <c r="H104" s="182"/>
      <c r="I104" s="182"/>
      <c r="J104" s="182"/>
      <c r="K104" s="182"/>
      <c r="L104" s="182"/>
      <c r="M104" s="182"/>
      <c r="N104" s="182"/>
      <c r="O104" s="182"/>
      <c r="P104" s="182"/>
      <c r="Q104" s="182"/>
      <c r="R104" s="182"/>
      <c r="S104" s="182"/>
      <c r="T104" s="182"/>
      <c r="U104" s="182"/>
      <c r="V104" s="182"/>
      <c r="W104" s="182"/>
      <c r="X104" s="182" t="s">
        <v>640</v>
      </c>
      <c r="Y104" s="182" t="s">
        <v>871</v>
      </c>
      <c r="Z104" s="182"/>
      <c r="AA104" s="182"/>
      <c r="AB104" s="182"/>
      <c r="AC104" s="182"/>
      <c r="AD104" s="182"/>
      <c r="AE104" s="182"/>
      <c r="AF104" s="182"/>
      <c r="AG104" s="182"/>
      <c r="AH104" s="182"/>
      <c r="AI104" s="182"/>
      <c r="AJ104" s="182"/>
      <c r="AK104" s="182"/>
      <c r="AL104" s="182"/>
      <c r="AM104" s="182" t="s">
        <v>265</v>
      </c>
      <c r="AN104" s="182" t="s">
        <v>273</v>
      </c>
      <c r="AO104" s="182" t="s">
        <v>541</v>
      </c>
      <c r="AP104" s="182" t="s">
        <v>338</v>
      </c>
      <c r="AQ104" s="182" t="s">
        <v>872</v>
      </c>
      <c r="AR104" s="182" t="s">
        <v>339</v>
      </c>
      <c r="AS104" s="182" t="str">
        <f t="shared" si="4"/>
        <v>Stationary AssetsBuildingsOur EstateRefrigerantsR439ANaN</v>
      </c>
      <c r="AT104" s="182" t="s">
        <v>337</v>
      </c>
      <c r="AU104" s="182"/>
      <c r="AV104" s="208"/>
      <c r="AW104" s="208"/>
      <c r="AX104" s="311">
        <v>0.1</v>
      </c>
      <c r="BA104" s="398"/>
      <c r="BB104" s="398"/>
      <c r="BC104" s="398"/>
      <c r="BF104" s="147" t="str">
        <v>Supply chain</v>
      </c>
      <c r="BG104" s="147" t="str">
        <v>Arts, entertainment and recreation</v>
      </c>
      <c r="BH104" s="147" t="str">
        <v>High temperature incineration (municipal)</v>
      </c>
      <c r="BI104" s="147" t="str">
        <v>Non infectious offensive waste</v>
      </c>
      <c r="BJ104" s="147" t="str">
        <v>Recycling (project)</v>
      </c>
      <c r="BK104" s="147" t="str">
        <v>NaN</v>
      </c>
    </row>
    <row r="105" spans="2:63" x14ac:dyDescent="0.3">
      <c r="B105" s="146">
        <v>95</v>
      </c>
      <c r="E105" s="182"/>
      <c r="F105" s="182"/>
      <c r="G105" s="182"/>
      <c r="H105" s="182"/>
      <c r="I105" s="182"/>
      <c r="J105" s="182"/>
      <c r="K105" s="182"/>
      <c r="L105" s="182"/>
      <c r="M105" s="182"/>
      <c r="N105" s="182"/>
      <c r="O105" s="182"/>
      <c r="P105" s="182"/>
      <c r="Q105" s="182"/>
      <c r="R105" s="182"/>
      <c r="S105" s="182"/>
      <c r="T105" s="182"/>
      <c r="U105" s="182"/>
      <c r="V105" s="182"/>
      <c r="W105" s="182"/>
      <c r="X105" s="182" t="s">
        <v>640</v>
      </c>
      <c r="Y105" s="182" t="s">
        <v>873</v>
      </c>
      <c r="Z105" s="182"/>
      <c r="AA105" s="182"/>
      <c r="AB105" s="182"/>
      <c r="AC105" s="182"/>
      <c r="AD105" s="182"/>
      <c r="AE105" s="182"/>
      <c r="AF105" s="182"/>
      <c r="AG105" s="182"/>
      <c r="AH105" s="182"/>
      <c r="AI105" s="182"/>
      <c r="AJ105" s="182"/>
      <c r="AK105" s="182"/>
      <c r="AL105" s="182"/>
      <c r="AM105" s="182" t="s">
        <v>265</v>
      </c>
      <c r="AN105" s="182" t="s">
        <v>273</v>
      </c>
      <c r="AO105" s="182" t="s">
        <v>541</v>
      </c>
      <c r="AP105" s="182" t="s">
        <v>338</v>
      </c>
      <c r="AQ105" s="182" t="s">
        <v>874</v>
      </c>
      <c r="AR105" s="182" t="s">
        <v>339</v>
      </c>
      <c r="AS105" s="182" t="str">
        <f t="shared" si="4"/>
        <v>Stationary AssetsBuildingsOur EstateRefrigerantsR440ANaN</v>
      </c>
      <c r="AT105" s="182" t="s">
        <v>337</v>
      </c>
      <c r="AU105" s="182"/>
      <c r="AV105" s="208"/>
      <c r="AW105" s="208"/>
      <c r="AX105" s="311">
        <v>0.1</v>
      </c>
      <c r="BA105" s="398"/>
      <c r="BB105" s="398"/>
      <c r="BC105" s="398"/>
      <c r="BF105" s="147" t="str">
        <v>Supply chain</v>
      </c>
      <c r="BG105" s="147" t="str">
        <v>Other service activities</v>
      </c>
      <c r="BH105" s="147" t="str">
        <v>High temperature incineration (organisational)</v>
      </c>
      <c r="BI105" s="147" t="str">
        <v>Anatomical waste</v>
      </c>
      <c r="BJ105" s="147" t="str">
        <v>Refrigerants</v>
      </c>
      <c r="BK105" s="147" t="str">
        <v>NaN</v>
      </c>
    </row>
    <row r="106" spans="2:63" x14ac:dyDescent="0.3">
      <c r="B106" s="146">
        <v>96</v>
      </c>
      <c r="E106" s="182"/>
      <c r="F106" s="182"/>
      <c r="G106" s="182"/>
      <c r="H106" s="182"/>
      <c r="I106" s="182"/>
      <c r="J106" s="182"/>
      <c r="K106" s="182"/>
      <c r="L106" s="182"/>
      <c r="M106" s="182"/>
      <c r="N106" s="182"/>
      <c r="O106" s="182"/>
      <c r="P106" s="182"/>
      <c r="Q106" s="182"/>
      <c r="R106" s="182"/>
      <c r="S106" s="182"/>
      <c r="T106" s="182"/>
      <c r="U106" s="182"/>
      <c r="V106" s="182"/>
      <c r="W106" s="182"/>
      <c r="X106" s="182" t="s">
        <v>640</v>
      </c>
      <c r="Y106" s="182" t="s">
        <v>875</v>
      </c>
      <c r="Z106" s="182"/>
      <c r="AA106" s="182"/>
      <c r="AB106" s="182"/>
      <c r="AC106" s="182"/>
      <c r="AD106" s="182"/>
      <c r="AE106" s="182"/>
      <c r="AF106" s="182"/>
      <c r="AG106" s="182"/>
      <c r="AH106" s="182"/>
      <c r="AI106" s="182"/>
      <c r="AJ106" s="182"/>
      <c r="AK106" s="182"/>
      <c r="AL106" s="182"/>
      <c r="AM106" s="182" t="s">
        <v>265</v>
      </c>
      <c r="AN106" s="182" t="s">
        <v>273</v>
      </c>
      <c r="AO106" s="182" t="s">
        <v>541</v>
      </c>
      <c r="AP106" s="182" t="s">
        <v>338</v>
      </c>
      <c r="AQ106" s="182" t="s">
        <v>876</v>
      </c>
      <c r="AR106" s="182" t="s">
        <v>339</v>
      </c>
      <c r="AS106" s="182" t="str">
        <f t="shared" si="4"/>
        <v>Stationary AssetsBuildingsOur EstateRefrigerantsR441ANaN</v>
      </c>
      <c r="AT106" s="182" t="s">
        <v>337</v>
      </c>
      <c r="AU106" s="182"/>
      <c r="AV106" s="208"/>
      <c r="AW106" s="208"/>
      <c r="AX106" s="311">
        <v>0.1</v>
      </c>
      <c r="BA106" s="398"/>
      <c r="BB106" s="398"/>
      <c r="BC106" s="398"/>
      <c r="BF106" s="147" t="str">
        <v>Supply chain</v>
      </c>
      <c r="BG106" s="147" t="str">
        <v>Activities of households as employers; undifferentiated goods- and services-producing activities of households for own use</v>
      </c>
      <c r="BH106" s="147" t="str">
        <v>High temperature incineration (organisational)</v>
      </c>
      <c r="BI106" s="147" t="str">
        <v>Clinical waste</v>
      </c>
      <c r="BJ106" s="147" t="str">
        <v>Rolling stock - fuel</v>
      </c>
      <c r="BK106" s="147" t="str">
        <v>Average</v>
      </c>
    </row>
    <row r="107" spans="2:63" x14ac:dyDescent="0.3">
      <c r="B107" s="146">
        <v>97</v>
      </c>
      <c r="E107" s="182"/>
      <c r="F107" s="182"/>
      <c r="G107" s="182"/>
      <c r="H107" s="182"/>
      <c r="I107" s="182"/>
      <c r="J107" s="182"/>
      <c r="K107" s="182"/>
      <c r="L107" s="182"/>
      <c r="M107" s="182"/>
      <c r="N107" s="182"/>
      <c r="O107" s="182"/>
      <c r="P107" s="182"/>
      <c r="Q107" s="182"/>
      <c r="R107" s="182"/>
      <c r="S107" s="182"/>
      <c r="T107" s="182"/>
      <c r="U107" s="182"/>
      <c r="V107" s="182"/>
      <c r="W107" s="182"/>
      <c r="X107" s="182" t="s">
        <v>640</v>
      </c>
      <c r="Y107" s="182" t="s">
        <v>877</v>
      </c>
      <c r="Z107" s="182"/>
      <c r="AA107" s="182"/>
      <c r="AB107" s="182"/>
      <c r="AC107" s="182"/>
      <c r="AD107" s="182"/>
      <c r="AE107" s="182"/>
      <c r="AF107" s="182"/>
      <c r="AG107" s="182"/>
      <c r="AH107" s="182"/>
      <c r="AI107" s="182"/>
      <c r="AJ107" s="182"/>
      <c r="AK107" s="182"/>
      <c r="AL107" s="182"/>
      <c r="AM107" s="182" t="s">
        <v>265</v>
      </c>
      <c r="AN107" s="182" t="s">
        <v>273</v>
      </c>
      <c r="AO107" s="182" t="s">
        <v>541</v>
      </c>
      <c r="AP107" s="182" t="s">
        <v>338</v>
      </c>
      <c r="AQ107" s="182" t="s">
        <v>878</v>
      </c>
      <c r="AR107" s="182" t="s">
        <v>339</v>
      </c>
      <c r="AS107" s="182" t="str">
        <f t="shared" si="4"/>
        <v>Stationary AssetsBuildingsOur EstateRefrigerantsR442ANaN</v>
      </c>
      <c r="AT107" s="182" t="s">
        <v>337</v>
      </c>
      <c r="AU107" s="182"/>
      <c r="AV107" s="208"/>
      <c r="AW107" s="208"/>
      <c r="AX107" s="311">
        <v>0.1</v>
      </c>
      <c r="BA107" s="398"/>
      <c r="BB107" s="398"/>
      <c r="BC107" s="398"/>
      <c r="BF107" s="147" t="str">
        <v>Traffic signs</v>
      </c>
      <c r="BG107" s="147" t="str">
        <v>Electricity</v>
      </c>
      <c r="BH107" s="147" t="str">
        <v>High temperature incineration (organisational)</v>
      </c>
      <c r="BI107" s="147" t="str">
        <v>Medical contaminated sharps waste</v>
      </c>
      <c r="BJ107" s="147" t="str">
        <v>Short haul</v>
      </c>
      <c r="BK107" s="147" t="str">
        <v>NaN</v>
      </c>
    </row>
    <row r="108" spans="2:63" x14ac:dyDescent="0.3">
      <c r="B108" s="146">
        <v>98</v>
      </c>
      <c r="E108" s="182"/>
      <c r="F108" s="182"/>
      <c r="G108" s="182"/>
      <c r="H108" s="182"/>
      <c r="I108" s="182"/>
      <c r="J108" s="182"/>
      <c r="K108" s="182"/>
      <c r="L108" s="182"/>
      <c r="M108" s="182"/>
      <c r="N108" s="182"/>
      <c r="O108" s="182"/>
      <c r="P108" s="182"/>
      <c r="Q108" s="182"/>
      <c r="R108" s="182"/>
      <c r="S108" s="182"/>
      <c r="T108" s="182"/>
      <c r="U108" s="182"/>
      <c r="V108" s="182"/>
      <c r="W108" s="182"/>
      <c r="X108" s="182" t="s">
        <v>640</v>
      </c>
      <c r="Y108" s="182" t="s">
        <v>879</v>
      </c>
      <c r="Z108" s="182"/>
      <c r="AA108" s="182"/>
      <c r="AB108" s="182"/>
      <c r="AC108" s="182"/>
      <c r="AD108" s="182"/>
      <c r="AE108" s="182"/>
      <c r="AF108" s="182"/>
      <c r="AG108" s="182"/>
      <c r="AH108" s="182"/>
      <c r="AI108" s="182"/>
      <c r="AJ108" s="182"/>
      <c r="AK108" s="182"/>
      <c r="AL108" s="182"/>
      <c r="AM108" s="182" t="s">
        <v>265</v>
      </c>
      <c r="AN108" s="182" t="s">
        <v>273</v>
      </c>
      <c r="AO108" s="182" t="s">
        <v>541</v>
      </c>
      <c r="AP108" s="182" t="s">
        <v>338</v>
      </c>
      <c r="AQ108" s="182" t="s">
        <v>880</v>
      </c>
      <c r="AR108" s="182" t="s">
        <v>339</v>
      </c>
      <c r="AS108" s="182" t="str">
        <f t="shared" si="4"/>
        <v>Stationary AssetsBuildingsOur EstateRefrigerantsR443ANaN</v>
      </c>
      <c r="AT108" s="182" t="s">
        <v>337</v>
      </c>
      <c r="AU108" s="182"/>
      <c r="AV108" s="208"/>
      <c r="AW108" s="208"/>
      <c r="AX108" s="311">
        <v>0.1</v>
      </c>
      <c r="BA108" s="398"/>
      <c r="BB108" s="398"/>
      <c r="BC108" s="398"/>
      <c r="BF108" s="147" t="str">
        <v>Vehicle</v>
      </c>
      <c r="BG108" s="147" t="str">
        <v>Private car</v>
      </c>
      <c r="BH108" s="147" t="str">
        <v>High temperature incineration (organisational)</v>
      </c>
      <c r="BI108" s="147" t="str">
        <v>Medicinal waste</v>
      </c>
      <c r="BJ108" s="147" t="str">
        <v>Taxi</v>
      </c>
      <c r="BK108" s="147" t="str">
        <v>NaN</v>
      </c>
    </row>
    <row r="109" spans="2:63" x14ac:dyDescent="0.3">
      <c r="B109" s="146">
        <v>99</v>
      </c>
      <c r="E109" s="182"/>
      <c r="F109" s="182"/>
      <c r="G109" s="182"/>
      <c r="H109" s="182"/>
      <c r="I109" s="182"/>
      <c r="J109" s="182"/>
      <c r="K109" s="182"/>
      <c r="L109" s="182"/>
      <c r="M109" s="182"/>
      <c r="N109" s="182"/>
      <c r="O109" s="182"/>
      <c r="P109" s="182"/>
      <c r="Q109" s="182"/>
      <c r="R109" s="182"/>
      <c r="S109" s="182"/>
      <c r="T109" s="182"/>
      <c r="U109" s="182"/>
      <c r="V109" s="182"/>
      <c r="W109" s="182"/>
      <c r="X109" s="182" t="s">
        <v>640</v>
      </c>
      <c r="Y109" s="182" t="s">
        <v>881</v>
      </c>
      <c r="Z109" s="182"/>
      <c r="AA109" s="182"/>
      <c r="AB109" s="182"/>
      <c r="AC109" s="182"/>
      <c r="AD109" s="182"/>
      <c r="AE109" s="182"/>
      <c r="AF109" s="182"/>
      <c r="AG109" s="182"/>
      <c r="AH109" s="182"/>
      <c r="AI109" s="182"/>
      <c r="AJ109" s="182"/>
      <c r="AK109" s="182"/>
      <c r="AL109" s="182"/>
      <c r="AM109" s="182" t="s">
        <v>265</v>
      </c>
      <c r="AN109" s="182" t="s">
        <v>273</v>
      </c>
      <c r="AO109" s="182" t="s">
        <v>541</v>
      </c>
      <c r="AP109" s="182" t="s">
        <v>338</v>
      </c>
      <c r="AQ109" s="182" t="s">
        <v>882</v>
      </c>
      <c r="AR109" s="182" t="s">
        <v>339</v>
      </c>
      <c r="AS109" s="182" t="str">
        <f t="shared" si="4"/>
        <v>Stationary AssetsBuildingsOur EstateRefrigerantsR444ANaN</v>
      </c>
      <c r="AT109" s="182" t="s">
        <v>337</v>
      </c>
      <c r="AU109" s="182"/>
      <c r="AV109" s="208"/>
      <c r="AW109" s="208"/>
      <c r="AX109" s="311">
        <v>0.1</v>
      </c>
      <c r="BA109" s="398"/>
      <c r="BB109" s="398"/>
      <c r="BC109" s="398"/>
      <c r="BF109" s="147" t="str">
        <v>Vehicle</v>
      </c>
      <c r="BG109" s="147" t="str">
        <v>Hire car</v>
      </c>
      <c r="BH109" s="147" t="str">
        <v>Hire car</v>
      </c>
      <c r="BI109" s="147" t="str">
        <v>Petrol</v>
      </c>
      <c r="BJ109" s="147" t="str">
        <v>Transportation and storage</v>
      </c>
      <c r="BK109" s="147" t="str">
        <v>NaN</v>
      </c>
    </row>
    <row r="110" spans="2:63" x14ac:dyDescent="0.3">
      <c r="B110" s="146">
        <v>100</v>
      </c>
      <c r="E110" s="182"/>
      <c r="F110" s="182"/>
      <c r="G110" s="182"/>
      <c r="H110" s="182"/>
      <c r="I110" s="182"/>
      <c r="J110" s="182"/>
      <c r="K110" s="182"/>
      <c r="L110" s="182"/>
      <c r="M110" s="182"/>
      <c r="N110" s="182"/>
      <c r="O110" s="182"/>
      <c r="P110" s="182"/>
      <c r="Q110" s="182"/>
      <c r="R110" s="182"/>
      <c r="S110" s="182"/>
      <c r="T110" s="182"/>
      <c r="U110" s="182"/>
      <c r="V110" s="182"/>
      <c r="W110" s="182"/>
      <c r="X110" s="182" t="s">
        <v>640</v>
      </c>
      <c r="Y110" s="182" t="s">
        <v>883</v>
      </c>
      <c r="Z110" s="182"/>
      <c r="AA110" s="182"/>
      <c r="AB110" s="182"/>
      <c r="AC110" s="182"/>
      <c r="AD110" s="182"/>
      <c r="AE110" s="182"/>
      <c r="AF110" s="182"/>
      <c r="AG110" s="182"/>
      <c r="AH110" s="182"/>
      <c r="AI110" s="182"/>
      <c r="AJ110" s="182"/>
      <c r="AK110" s="182"/>
      <c r="AL110" s="182"/>
      <c r="AM110" s="182" t="s">
        <v>265</v>
      </c>
      <c r="AN110" s="182" t="s">
        <v>273</v>
      </c>
      <c r="AO110" s="182" t="s">
        <v>541</v>
      </c>
      <c r="AP110" s="182" t="s">
        <v>338</v>
      </c>
      <c r="AQ110" s="182" t="s">
        <v>884</v>
      </c>
      <c r="AR110" s="182" t="s">
        <v>339</v>
      </c>
      <c r="AS110" s="182" t="str">
        <f t="shared" si="4"/>
        <v>Stationary AssetsBuildingsOur EstateRefrigerantsR445ANaN</v>
      </c>
      <c r="AT110" s="182" t="s">
        <v>337</v>
      </c>
      <c r="AU110" s="182"/>
      <c r="AV110" s="208"/>
      <c r="AW110" s="208"/>
      <c r="AX110" s="311">
        <v>0.1</v>
      </c>
      <c r="BA110" s="398"/>
      <c r="BB110" s="398"/>
      <c r="BC110" s="398"/>
      <c r="BF110" s="147" t="str">
        <v>Vehicle</v>
      </c>
      <c r="BG110" s="147" t="str">
        <v>Van</v>
      </c>
      <c r="BH110" s="147" t="str">
        <v>Hire car</v>
      </c>
      <c r="BI110" s="147" t="str">
        <v>Diesel</v>
      </c>
      <c r="BJ110" s="147" t="str">
        <v>Van</v>
      </c>
      <c r="BK110" s="147" t="str">
        <v>Average</v>
      </c>
    </row>
    <row r="111" spans="2:63" x14ac:dyDescent="0.3">
      <c r="B111" s="146">
        <v>101</v>
      </c>
      <c r="E111" s="182"/>
      <c r="F111" s="182"/>
      <c r="G111" s="182"/>
      <c r="H111" s="182"/>
      <c r="I111" s="182"/>
      <c r="J111" s="182"/>
      <c r="K111" s="182"/>
      <c r="L111" s="182"/>
      <c r="M111" s="182"/>
      <c r="N111" s="182"/>
      <c r="O111" s="182"/>
      <c r="P111" s="182"/>
      <c r="Q111" s="182"/>
      <c r="R111" s="182"/>
      <c r="S111" s="182"/>
      <c r="T111" s="182"/>
      <c r="U111" s="182"/>
      <c r="V111" s="182"/>
      <c r="W111" s="182"/>
      <c r="X111" s="182" t="s">
        <v>640</v>
      </c>
      <c r="Y111" s="182" t="s">
        <v>885</v>
      </c>
      <c r="Z111" s="182"/>
      <c r="AA111" s="182"/>
      <c r="AB111" s="182"/>
      <c r="AC111" s="182"/>
      <c r="AD111" s="182"/>
      <c r="AE111" s="182"/>
      <c r="AF111" s="182"/>
      <c r="AG111" s="182"/>
      <c r="AH111" s="182"/>
      <c r="AI111" s="182"/>
      <c r="AJ111" s="182"/>
      <c r="AK111" s="182"/>
      <c r="AL111" s="182"/>
      <c r="AM111" s="182" t="s">
        <v>265</v>
      </c>
      <c r="AN111" s="182" t="s">
        <v>273</v>
      </c>
      <c r="AO111" s="182" t="s">
        <v>541</v>
      </c>
      <c r="AP111" s="182" t="s">
        <v>338</v>
      </c>
      <c r="AQ111" s="182" t="s">
        <v>886</v>
      </c>
      <c r="AR111" s="182" t="s">
        <v>339</v>
      </c>
      <c r="AS111" s="182" t="str">
        <f t="shared" si="4"/>
        <v>Stationary AssetsBuildingsOur EstateRefrigerantsR500NaN</v>
      </c>
      <c r="AT111" s="182" t="s">
        <v>337</v>
      </c>
      <c r="AU111" s="182"/>
      <c r="AV111" s="208"/>
      <c r="AW111" s="208"/>
      <c r="AX111" s="311">
        <v>0.1</v>
      </c>
      <c r="BA111" s="398"/>
      <c r="BB111" s="398"/>
      <c r="BC111" s="398"/>
      <c r="BF111" s="147" t="str">
        <v>Vehicle</v>
      </c>
      <c r="BG111" s="147" t="str">
        <v>Motorbike</v>
      </c>
      <c r="BH111" s="147" t="str">
        <v>Hire car</v>
      </c>
      <c r="BI111" s="147" t="str">
        <v>Battery Electric Vehicle</v>
      </c>
      <c r="BJ111" s="147" t="str">
        <v>Van - distance</v>
      </c>
      <c r="BK111" s="147" t="str">
        <v>Average</v>
      </c>
    </row>
    <row r="112" spans="2:63" x14ac:dyDescent="0.3">
      <c r="B112" s="146">
        <v>102</v>
      </c>
      <c r="E112" s="182"/>
      <c r="F112" s="182"/>
      <c r="G112" s="182"/>
      <c r="H112" s="182"/>
      <c r="I112" s="182"/>
      <c r="J112" s="182"/>
      <c r="K112" s="182"/>
      <c r="L112" s="182"/>
      <c r="M112" s="182"/>
      <c r="N112" s="182"/>
      <c r="O112" s="182"/>
      <c r="P112" s="182"/>
      <c r="Q112" s="182"/>
      <c r="R112" s="182"/>
      <c r="S112" s="182"/>
      <c r="T112" s="182"/>
      <c r="U112" s="182"/>
      <c r="V112" s="182"/>
      <c r="W112" s="182"/>
      <c r="X112" s="182" t="s">
        <v>640</v>
      </c>
      <c r="Y112" s="182" t="s">
        <v>887</v>
      </c>
      <c r="Z112" s="182"/>
      <c r="AA112" s="182"/>
      <c r="AB112" s="182"/>
      <c r="AC112" s="182"/>
      <c r="AD112" s="182"/>
      <c r="AE112" s="182"/>
      <c r="AF112" s="182"/>
      <c r="AG112" s="182"/>
      <c r="AH112" s="182"/>
      <c r="AI112" s="182"/>
      <c r="AJ112" s="182"/>
      <c r="AK112" s="182"/>
      <c r="AL112" s="182"/>
      <c r="AM112" s="182" t="s">
        <v>265</v>
      </c>
      <c r="AN112" s="182" t="s">
        <v>273</v>
      </c>
      <c r="AO112" s="182" t="s">
        <v>541</v>
      </c>
      <c r="AP112" s="182" t="s">
        <v>338</v>
      </c>
      <c r="AQ112" s="182" t="s">
        <v>888</v>
      </c>
      <c r="AR112" s="182" t="s">
        <v>339</v>
      </c>
      <c r="AS112" s="182" t="str">
        <f t="shared" si="4"/>
        <v>Stationary AssetsBuildingsOur EstateRefrigerantsR501NaN</v>
      </c>
      <c r="AT112" s="182" t="s">
        <v>337</v>
      </c>
      <c r="AU112" s="182"/>
      <c r="AV112" s="208"/>
      <c r="AW112" s="208"/>
      <c r="AX112" s="311">
        <v>0.1</v>
      </c>
      <c r="BA112" s="398"/>
      <c r="BB112" s="398"/>
      <c r="BC112" s="398"/>
      <c r="BH112" s="147" t="str">
        <v>Hire car</v>
      </c>
      <c r="BI112" s="147" t="str">
        <v>Hybrid</v>
      </c>
      <c r="BJ112" s="147" t="str">
        <v>Van - fuel</v>
      </c>
      <c r="BK112" s="147" t="str">
        <v>Average</v>
      </c>
    </row>
    <row r="113" spans="2:63" x14ac:dyDescent="0.3">
      <c r="B113" s="146">
        <v>103</v>
      </c>
      <c r="E113" s="182"/>
      <c r="F113" s="182"/>
      <c r="G113" s="182"/>
      <c r="H113" s="182"/>
      <c r="I113" s="182"/>
      <c r="J113" s="182"/>
      <c r="K113" s="182"/>
      <c r="L113" s="182"/>
      <c r="M113" s="182"/>
      <c r="N113" s="182"/>
      <c r="O113" s="182"/>
      <c r="P113" s="182"/>
      <c r="Q113" s="182"/>
      <c r="R113" s="182"/>
      <c r="S113" s="182"/>
      <c r="T113" s="182"/>
      <c r="U113" s="182"/>
      <c r="V113" s="182"/>
      <c r="W113" s="182"/>
      <c r="X113" s="182" t="s">
        <v>640</v>
      </c>
      <c r="Y113" s="182" t="s">
        <v>889</v>
      </c>
      <c r="Z113" s="182"/>
      <c r="AA113" s="182"/>
      <c r="AB113" s="182"/>
      <c r="AC113" s="182"/>
      <c r="AD113" s="182"/>
      <c r="AE113" s="182"/>
      <c r="AF113" s="182"/>
      <c r="AG113" s="182"/>
      <c r="AH113" s="182"/>
      <c r="AI113" s="182"/>
      <c r="AJ113" s="182"/>
      <c r="AK113" s="182"/>
      <c r="AL113" s="182"/>
      <c r="AM113" s="182" t="s">
        <v>265</v>
      </c>
      <c r="AN113" s="182" t="s">
        <v>273</v>
      </c>
      <c r="AO113" s="182" t="s">
        <v>541</v>
      </c>
      <c r="AP113" s="182" t="s">
        <v>338</v>
      </c>
      <c r="AQ113" s="182" t="s">
        <v>890</v>
      </c>
      <c r="AR113" s="182" t="s">
        <v>339</v>
      </c>
      <c r="AS113" s="182" t="str">
        <f t="shared" si="4"/>
        <v>Stationary AssetsBuildingsOur EstateRefrigerantsR502NaN</v>
      </c>
      <c r="AT113" s="182" t="s">
        <v>337</v>
      </c>
      <c r="AU113" s="182"/>
      <c r="AV113" s="208"/>
      <c r="AW113" s="208"/>
      <c r="AX113" s="311">
        <v>0.1</v>
      </c>
      <c r="BA113" s="398"/>
      <c r="BB113" s="398"/>
      <c r="BC113" s="398"/>
      <c r="BH113" s="147" t="str">
        <v>Hire car</v>
      </c>
      <c r="BI113" s="147" t="str">
        <v>Plug-in Hybrid Electric Vehicle</v>
      </c>
      <c r="BJ113" s="147" t="str">
        <v>Water</v>
      </c>
      <c r="BK113" s="147" t="str">
        <v>NaN</v>
      </c>
    </row>
    <row r="114" spans="2:63" x14ac:dyDescent="0.3">
      <c r="B114" s="146">
        <v>104</v>
      </c>
      <c r="E114" s="182"/>
      <c r="F114" s="182"/>
      <c r="G114" s="182"/>
      <c r="H114" s="182"/>
      <c r="I114" s="182"/>
      <c r="J114" s="182"/>
      <c r="K114" s="182"/>
      <c r="L114" s="182"/>
      <c r="M114" s="182"/>
      <c r="N114" s="182"/>
      <c r="O114" s="182"/>
      <c r="P114" s="182"/>
      <c r="Q114" s="182"/>
      <c r="R114" s="182"/>
      <c r="S114" s="182"/>
      <c r="T114" s="182"/>
      <c r="U114" s="182"/>
      <c r="V114" s="182"/>
      <c r="W114" s="182"/>
      <c r="X114" s="182" t="s">
        <v>640</v>
      </c>
      <c r="Y114" s="182" t="s">
        <v>891</v>
      </c>
      <c r="Z114" s="182"/>
      <c r="AA114" s="182"/>
      <c r="AB114" s="182"/>
      <c r="AC114" s="182"/>
      <c r="AD114" s="182"/>
      <c r="AE114" s="182"/>
      <c r="AF114" s="182"/>
      <c r="AG114" s="182"/>
      <c r="AH114" s="182"/>
      <c r="AI114" s="182"/>
      <c r="AJ114" s="182"/>
      <c r="AK114" s="182"/>
      <c r="AL114" s="182"/>
      <c r="AM114" s="182" t="s">
        <v>265</v>
      </c>
      <c r="AN114" s="182" t="s">
        <v>273</v>
      </c>
      <c r="AO114" s="182" t="s">
        <v>541</v>
      </c>
      <c r="AP114" s="182" t="s">
        <v>338</v>
      </c>
      <c r="AQ114" s="182" t="s">
        <v>892</v>
      </c>
      <c r="AR114" s="182" t="s">
        <v>339</v>
      </c>
      <c r="AS114" s="182" t="str">
        <f t="shared" si="4"/>
        <v>Stationary AssetsBuildingsOur EstateRefrigerantsR503NaN</v>
      </c>
      <c r="AT114" s="182" t="s">
        <v>337</v>
      </c>
      <c r="AU114" s="182"/>
      <c r="AV114" s="208"/>
      <c r="AW114" s="208"/>
      <c r="AX114" s="311">
        <v>0.1</v>
      </c>
      <c r="BA114" s="398"/>
      <c r="BB114" s="398"/>
      <c r="BC114" s="398"/>
      <c r="BH114" s="147" t="str">
        <v>Hire car</v>
      </c>
      <c r="BI114" s="147" t="str">
        <v>Unknown fuel</v>
      </c>
      <c r="BJ114" s="147" t="str">
        <v>Water supply; sewerage, waste management and remediation activities</v>
      </c>
      <c r="BK114" s="147" t="str">
        <v>NaN</v>
      </c>
    </row>
    <row r="115" spans="2:63" x14ac:dyDescent="0.3">
      <c r="B115" s="146">
        <v>105</v>
      </c>
      <c r="E115" s="182"/>
      <c r="F115" s="182"/>
      <c r="G115" s="182"/>
      <c r="H115" s="182"/>
      <c r="I115" s="182"/>
      <c r="J115" s="182"/>
      <c r="K115" s="182"/>
      <c r="L115" s="182"/>
      <c r="M115" s="182"/>
      <c r="N115" s="182"/>
      <c r="O115" s="182"/>
      <c r="P115" s="182"/>
      <c r="Q115" s="182"/>
      <c r="R115" s="182"/>
      <c r="S115" s="182"/>
      <c r="T115" s="182"/>
      <c r="U115" s="182"/>
      <c r="V115" s="182"/>
      <c r="W115" s="182"/>
      <c r="X115" s="182" t="s">
        <v>640</v>
      </c>
      <c r="Y115" s="182" t="s">
        <v>893</v>
      </c>
      <c r="Z115" s="182"/>
      <c r="AA115" s="182"/>
      <c r="AB115" s="182"/>
      <c r="AC115" s="182"/>
      <c r="AD115" s="182"/>
      <c r="AE115" s="182"/>
      <c r="AF115" s="182"/>
      <c r="AG115" s="182"/>
      <c r="AH115" s="182"/>
      <c r="AI115" s="182"/>
      <c r="AJ115" s="182"/>
      <c r="AK115" s="182"/>
      <c r="AL115" s="182"/>
      <c r="AM115" s="182" t="s">
        <v>265</v>
      </c>
      <c r="AN115" s="182" t="s">
        <v>273</v>
      </c>
      <c r="AO115" s="182" t="s">
        <v>541</v>
      </c>
      <c r="AP115" s="182" t="s">
        <v>338</v>
      </c>
      <c r="AQ115" s="182" t="s">
        <v>894</v>
      </c>
      <c r="AR115" s="182" t="s">
        <v>339</v>
      </c>
      <c r="AS115" s="182" t="str">
        <f t="shared" si="4"/>
        <v>Stationary AssetsBuildingsOur EstateRefrigerantsR504NaN</v>
      </c>
      <c r="AT115" s="182" t="s">
        <v>337</v>
      </c>
      <c r="AU115" s="182"/>
      <c r="AV115" s="208"/>
      <c r="AW115" s="208"/>
      <c r="AX115" s="311">
        <v>0.1</v>
      </c>
      <c r="BA115" s="398"/>
      <c r="BB115" s="398"/>
      <c r="BC115" s="398"/>
      <c r="BH115" s="147" t="str">
        <v>Homeworking</v>
      </c>
      <c r="BI115" s="147" t="str">
        <v>Homeworking</v>
      </c>
      <c r="BJ115" s="147" t="str">
        <v>Wholesale and retail trade; repair of motor vehicles and motorcycles</v>
      </c>
      <c r="BK115" s="147" t="str">
        <v>NaN</v>
      </c>
    </row>
    <row r="116" spans="2:63" x14ac:dyDescent="0.3">
      <c r="B116" s="146">
        <v>106</v>
      </c>
      <c r="E116" s="182"/>
      <c r="F116" s="182"/>
      <c r="G116" s="182"/>
      <c r="H116" s="182"/>
      <c r="I116" s="182"/>
      <c r="J116" s="182"/>
      <c r="K116" s="182"/>
      <c r="L116" s="182"/>
      <c r="M116" s="182"/>
      <c r="N116" s="182"/>
      <c r="O116" s="182"/>
      <c r="P116" s="182"/>
      <c r="Q116" s="182"/>
      <c r="R116" s="182"/>
      <c r="S116" s="182"/>
      <c r="T116" s="182"/>
      <c r="U116" s="182"/>
      <c r="V116" s="182"/>
      <c r="W116" s="182"/>
      <c r="X116" s="182" t="s">
        <v>640</v>
      </c>
      <c r="Y116" s="182" t="s">
        <v>895</v>
      </c>
      <c r="Z116" s="182"/>
      <c r="AA116" s="182"/>
      <c r="AB116" s="182"/>
      <c r="AC116" s="182"/>
      <c r="AD116" s="182"/>
      <c r="AE116" s="182"/>
      <c r="AF116" s="182"/>
      <c r="AG116" s="182"/>
      <c r="AH116" s="182"/>
      <c r="AI116" s="182"/>
      <c r="AJ116" s="182"/>
      <c r="AK116" s="182"/>
      <c r="AL116" s="182"/>
      <c r="AM116" s="182" t="s">
        <v>265</v>
      </c>
      <c r="AN116" s="182" t="s">
        <v>273</v>
      </c>
      <c r="AO116" s="182" t="s">
        <v>541</v>
      </c>
      <c r="AP116" s="182" t="s">
        <v>338</v>
      </c>
      <c r="AQ116" s="182" t="s">
        <v>896</v>
      </c>
      <c r="AR116" s="182" t="s">
        <v>339</v>
      </c>
      <c r="AS116" s="182" t="str">
        <f t="shared" si="4"/>
        <v>Stationary AssetsBuildingsOur EstateRefrigerantsR505NaN</v>
      </c>
      <c r="AT116" s="182" t="s">
        <v>337</v>
      </c>
      <c r="AU116" s="182"/>
      <c r="AV116" s="208"/>
      <c r="AW116" s="208"/>
      <c r="AX116" s="311">
        <v>0.1</v>
      </c>
      <c r="BA116" s="398"/>
      <c r="BB116" s="398"/>
      <c r="BC116" s="398"/>
      <c r="BH116" s="147" t="str">
        <v>Human health and social work activities</v>
      </c>
      <c r="BI116" s="147" t="str">
        <v>Human health services</v>
      </c>
    </row>
    <row r="117" spans="2:63" x14ac:dyDescent="0.3">
      <c r="B117" s="146">
        <v>107</v>
      </c>
      <c r="E117" s="182"/>
      <c r="F117" s="182"/>
      <c r="G117" s="182"/>
      <c r="H117" s="182"/>
      <c r="I117" s="182"/>
      <c r="J117" s="182"/>
      <c r="K117" s="182"/>
      <c r="L117" s="182"/>
      <c r="M117" s="182"/>
      <c r="N117" s="182"/>
      <c r="O117" s="182"/>
      <c r="P117" s="182"/>
      <c r="Q117" s="182"/>
      <c r="R117" s="182"/>
      <c r="S117" s="182"/>
      <c r="T117" s="182"/>
      <c r="U117" s="182"/>
      <c r="V117" s="182"/>
      <c r="W117" s="182"/>
      <c r="X117" s="182" t="s">
        <v>640</v>
      </c>
      <c r="Y117" s="182" t="s">
        <v>897</v>
      </c>
      <c r="Z117" s="182"/>
      <c r="AA117" s="182"/>
      <c r="AB117" s="182"/>
      <c r="AC117" s="182"/>
      <c r="AD117" s="182"/>
      <c r="AE117" s="182"/>
      <c r="AF117" s="182"/>
      <c r="AG117" s="182"/>
      <c r="AH117" s="182"/>
      <c r="AI117" s="182"/>
      <c r="AJ117" s="182"/>
      <c r="AK117" s="182"/>
      <c r="AL117" s="182"/>
      <c r="AM117" s="182" t="s">
        <v>265</v>
      </c>
      <c r="AN117" s="182" t="s">
        <v>273</v>
      </c>
      <c r="AO117" s="182" t="s">
        <v>541</v>
      </c>
      <c r="AP117" s="182" t="s">
        <v>338</v>
      </c>
      <c r="AQ117" s="182" t="s">
        <v>898</v>
      </c>
      <c r="AR117" s="182" t="s">
        <v>339</v>
      </c>
      <c r="AS117" s="182" t="str">
        <f t="shared" si="4"/>
        <v>Stationary AssetsBuildingsOur EstateRefrigerantsR506NaN</v>
      </c>
      <c r="AT117" s="182" t="s">
        <v>337</v>
      </c>
      <c r="AU117" s="182"/>
      <c r="AV117" s="208"/>
      <c r="AW117" s="208"/>
      <c r="AX117" s="311">
        <v>0.1</v>
      </c>
      <c r="BA117" s="398"/>
      <c r="BB117" s="398"/>
      <c r="BC117" s="398"/>
      <c r="BH117" s="147" t="str">
        <v>Human health and social work activities</v>
      </c>
      <c r="BI117" s="147" t="str">
        <v>Residential care services</v>
      </c>
    </row>
    <row r="118" spans="2:63" x14ac:dyDescent="0.3">
      <c r="B118" s="146">
        <v>108</v>
      </c>
      <c r="E118" s="182"/>
      <c r="F118" s="182"/>
      <c r="G118" s="182"/>
      <c r="H118" s="182"/>
      <c r="I118" s="182"/>
      <c r="J118" s="182"/>
      <c r="K118" s="182"/>
      <c r="L118" s="182"/>
      <c r="M118" s="182"/>
      <c r="N118" s="182"/>
      <c r="O118" s="182"/>
      <c r="P118" s="182"/>
      <c r="Q118" s="182"/>
      <c r="R118" s="182"/>
      <c r="S118" s="182"/>
      <c r="T118" s="182"/>
      <c r="U118" s="182"/>
      <c r="V118" s="182"/>
      <c r="W118" s="182"/>
      <c r="X118" s="182" t="s">
        <v>640</v>
      </c>
      <c r="Y118" s="182" t="s">
        <v>899</v>
      </c>
      <c r="Z118" s="182"/>
      <c r="AA118" s="182"/>
      <c r="AB118" s="182"/>
      <c r="AC118" s="182"/>
      <c r="AD118" s="182"/>
      <c r="AE118" s="182"/>
      <c r="AF118" s="182"/>
      <c r="AG118" s="182"/>
      <c r="AH118" s="182"/>
      <c r="AI118" s="182"/>
      <c r="AJ118" s="182"/>
      <c r="AK118" s="182"/>
      <c r="AL118" s="182"/>
      <c r="AM118" s="182" t="s">
        <v>265</v>
      </c>
      <c r="AN118" s="182" t="s">
        <v>273</v>
      </c>
      <c r="AO118" s="182" t="s">
        <v>541</v>
      </c>
      <c r="AP118" s="182" t="s">
        <v>338</v>
      </c>
      <c r="AQ118" s="182" t="s">
        <v>900</v>
      </c>
      <c r="AR118" s="182" t="s">
        <v>339</v>
      </c>
      <c r="AS118" s="182" t="str">
        <f t="shared" si="4"/>
        <v>Stationary AssetsBuildingsOur EstateRefrigerantsR507ANaN</v>
      </c>
      <c r="AT118" s="182" t="s">
        <v>337</v>
      </c>
      <c r="AU118" s="182"/>
      <c r="AV118" s="208"/>
      <c r="AW118" s="208"/>
      <c r="AX118" s="311">
        <v>0.1</v>
      </c>
      <c r="BA118" s="398"/>
      <c r="BB118" s="398"/>
      <c r="BC118" s="398"/>
      <c r="BH118" s="147" t="str">
        <v>Human health and social work activities</v>
      </c>
      <c r="BI118" s="147" t="str">
        <v>Social work services without accommodation</v>
      </c>
    </row>
    <row r="119" spans="2:63" x14ac:dyDescent="0.3">
      <c r="B119" s="146">
        <v>109</v>
      </c>
      <c r="E119" s="182"/>
      <c r="F119" s="182"/>
      <c r="G119" s="182"/>
      <c r="H119" s="182"/>
      <c r="I119" s="182"/>
      <c r="J119" s="182"/>
      <c r="K119" s="182"/>
      <c r="L119" s="182"/>
      <c r="M119" s="182"/>
      <c r="N119" s="182"/>
      <c r="O119" s="182"/>
      <c r="P119" s="182"/>
      <c r="Q119" s="182"/>
      <c r="R119" s="182"/>
      <c r="S119" s="182"/>
      <c r="T119" s="182"/>
      <c r="U119" s="182"/>
      <c r="V119" s="182"/>
      <c r="W119" s="182"/>
      <c r="X119" s="182" t="s">
        <v>640</v>
      </c>
      <c r="Y119" s="182" t="s">
        <v>901</v>
      </c>
      <c r="Z119" s="182"/>
      <c r="AA119" s="182"/>
      <c r="AB119" s="182"/>
      <c r="AC119" s="182"/>
      <c r="AD119" s="182"/>
      <c r="AE119" s="182"/>
      <c r="AF119" s="182"/>
      <c r="AG119" s="182"/>
      <c r="AH119" s="182"/>
      <c r="AI119" s="182"/>
      <c r="AJ119" s="182"/>
      <c r="AK119" s="182"/>
      <c r="AL119" s="182"/>
      <c r="AM119" s="182" t="s">
        <v>265</v>
      </c>
      <c r="AN119" s="182" t="s">
        <v>273</v>
      </c>
      <c r="AO119" s="182" t="s">
        <v>541</v>
      </c>
      <c r="AP119" s="182" t="s">
        <v>338</v>
      </c>
      <c r="AQ119" s="182" t="s">
        <v>902</v>
      </c>
      <c r="AR119" s="182" t="s">
        <v>339</v>
      </c>
      <c r="AS119" s="182" t="str">
        <f t="shared" si="4"/>
        <v>Stationary AssetsBuildingsOur EstateRefrigerantsR508ANaN</v>
      </c>
      <c r="AT119" s="182" t="s">
        <v>337</v>
      </c>
      <c r="AU119" s="182"/>
      <c r="AV119" s="208"/>
      <c r="AW119" s="208"/>
      <c r="AX119" s="311">
        <v>0.1</v>
      </c>
      <c r="BA119" s="398"/>
      <c r="BB119" s="398"/>
      <c r="BC119" s="398"/>
      <c r="BH119" s="147" t="str">
        <v>Information and communication</v>
      </c>
      <c r="BI119" s="147" t="str">
        <v>Publishing services</v>
      </c>
    </row>
    <row r="120" spans="2:63" x14ac:dyDescent="0.3">
      <c r="B120" s="146">
        <v>110</v>
      </c>
      <c r="E120" s="182"/>
      <c r="F120" s="182"/>
      <c r="G120" s="182"/>
      <c r="H120" s="182"/>
      <c r="I120" s="182"/>
      <c r="J120" s="182"/>
      <c r="K120" s="182"/>
      <c r="L120" s="182"/>
      <c r="M120" s="182"/>
      <c r="N120" s="182"/>
      <c r="O120" s="182"/>
      <c r="P120" s="182"/>
      <c r="Q120" s="182"/>
      <c r="R120" s="182"/>
      <c r="S120" s="182"/>
      <c r="T120" s="182"/>
      <c r="U120" s="182"/>
      <c r="V120" s="182"/>
      <c r="W120" s="182"/>
      <c r="X120" s="182" t="s">
        <v>640</v>
      </c>
      <c r="Y120" s="182" t="s">
        <v>903</v>
      </c>
      <c r="Z120" s="182"/>
      <c r="AA120" s="182"/>
      <c r="AB120" s="182"/>
      <c r="AC120" s="182"/>
      <c r="AD120" s="182"/>
      <c r="AE120" s="182"/>
      <c r="AF120" s="182"/>
      <c r="AG120" s="182"/>
      <c r="AH120" s="182"/>
      <c r="AI120" s="182"/>
      <c r="AJ120" s="182"/>
      <c r="AK120" s="182"/>
      <c r="AL120" s="182"/>
      <c r="AM120" s="182" t="s">
        <v>265</v>
      </c>
      <c r="AN120" s="182" t="s">
        <v>273</v>
      </c>
      <c r="AO120" s="182" t="s">
        <v>541</v>
      </c>
      <c r="AP120" s="182" t="s">
        <v>338</v>
      </c>
      <c r="AQ120" s="182" t="s">
        <v>904</v>
      </c>
      <c r="AR120" s="182" t="s">
        <v>339</v>
      </c>
      <c r="AS120" s="182" t="str">
        <f t="shared" si="4"/>
        <v>Stationary AssetsBuildingsOur EstateRefrigerantsR508BNaN</v>
      </c>
      <c r="AT120" s="182" t="s">
        <v>337</v>
      </c>
      <c r="AU120" s="182"/>
      <c r="AV120" s="208"/>
      <c r="AW120" s="208"/>
      <c r="AX120" s="311">
        <v>0.1</v>
      </c>
      <c r="BA120" s="398"/>
      <c r="BB120" s="398"/>
      <c r="BC120" s="398"/>
      <c r="BH120" s="147" t="str">
        <v>Information and communication</v>
      </c>
      <c r="BI120" s="147" t="str">
        <v>Motion picture, video and TV programme production services, sound recording &amp; music publishing</v>
      </c>
    </row>
    <row r="121" spans="2:63" x14ac:dyDescent="0.3">
      <c r="Q121" s="182"/>
      <c r="X121" s="147" t="s">
        <v>640</v>
      </c>
      <c r="Y121" s="147" t="s">
        <v>905</v>
      </c>
      <c r="AM121" s="182" t="s">
        <v>265</v>
      </c>
      <c r="AN121" s="182" t="s">
        <v>273</v>
      </c>
      <c r="AO121" s="182" t="s">
        <v>541</v>
      </c>
      <c r="AP121" s="147" t="s">
        <v>338</v>
      </c>
      <c r="AQ121" s="147" t="s">
        <v>906</v>
      </c>
      <c r="AR121" s="182" t="s">
        <v>339</v>
      </c>
      <c r="AS121" s="182" t="str">
        <f t="shared" si="4"/>
        <v>Stationary AssetsBuildingsOur EstateRefrigerantsR509ANaN</v>
      </c>
      <c r="AT121" s="182" t="s">
        <v>337</v>
      </c>
      <c r="AU121" s="182"/>
      <c r="AV121" s="208"/>
      <c r="AW121" s="208"/>
      <c r="AX121" s="311">
        <v>0.1</v>
      </c>
      <c r="BA121" s="398"/>
      <c r="BB121" s="398"/>
      <c r="BC121" s="398"/>
      <c r="BH121" s="147" t="str">
        <v>Information and communication</v>
      </c>
      <c r="BI121" s="147" t="str">
        <v>Programming and broadcasting services</v>
      </c>
    </row>
    <row r="122" spans="2:63" x14ac:dyDescent="0.3">
      <c r="Q122" s="182"/>
      <c r="X122" s="147" t="s">
        <v>640</v>
      </c>
      <c r="Y122" s="147" t="s">
        <v>907</v>
      </c>
      <c r="AM122" s="182" t="s">
        <v>265</v>
      </c>
      <c r="AN122" s="182" t="s">
        <v>273</v>
      </c>
      <c r="AO122" s="182" t="s">
        <v>541</v>
      </c>
      <c r="AP122" s="147" t="s">
        <v>338</v>
      </c>
      <c r="AQ122" s="147" t="s">
        <v>908</v>
      </c>
      <c r="AR122" s="182" t="s">
        <v>339</v>
      </c>
      <c r="AS122" s="182" t="str">
        <f t="shared" si="4"/>
        <v>Stationary AssetsBuildingsOur EstateRefrigerantsR510ANaN</v>
      </c>
      <c r="AT122" s="182" t="s">
        <v>337</v>
      </c>
      <c r="AU122" s="182"/>
      <c r="AV122" s="208"/>
      <c r="AW122" s="208"/>
      <c r="AX122" s="311">
        <v>0.1</v>
      </c>
      <c r="BA122" s="398"/>
      <c r="BB122" s="398"/>
      <c r="BC122" s="398"/>
      <c r="BH122" s="147" t="str">
        <v>Information and communication</v>
      </c>
      <c r="BI122" s="147" t="str">
        <v>Telecommunications services</v>
      </c>
    </row>
    <row r="123" spans="2:63" x14ac:dyDescent="0.3">
      <c r="Q123" s="182"/>
      <c r="X123" s="147" t="s">
        <v>640</v>
      </c>
      <c r="Y123" s="147" t="s">
        <v>909</v>
      </c>
      <c r="AM123" s="182" t="s">
        <v>265</v>
      </c>
      <c r="AN123" s="182" t="s">
        <v>273</v>
      </c>
      <c r="AO123" s="182" t="s">
        <v>541</v>
      </c>
      <c r="AP123" s="147" t="s">
        <v>338</v>
      </c>
      <c r="AQ123" s="147" t="s">
        <v>910</v>
      </c>
      <c r="AR123" s="182" t="s">
        <v>339</v>
      </c>
      <c r="AS123" s="182" t="str">
        <f t="shared" si="4"/>
        <v>Stationary AssetsBuildingsOur EstateRefrigerantsR511ANaN</v>
      </c>
      <c r="AT123" s="182" t="s">
        <v>337</v>
      </c>
      <c r="AU123" s="182"/>
      <c r="AV123" s="208"/>
      <c r="AW123" s="208"/>
      <c r="AX123" s="311">
        <v>0.1</v>
      </c>
      <c r="BA123" s="398"/>
      <c r="BB123" s="398"/>
      <c r="BC123" s="398"/>
      <c r="BH123" s="147" t="str">
        <v>Information and communication</v>
      </c>
      <c r="BI123" s="147" t="str">
        <v>Computer programming, consultancy and related services</v>
      </c>
    </row>
    <row r="124" spans="2:63" x14ac:dyDescent="0.3">
      <c r="Q124" s="182"/>
      <c r="X124" s="147" t="s">
        <v>640</v>
      </c>
      <c r="Y124" s="147" t="s">
        <v>911</v>
      </c>
      <c r="AM124" s="182" t="s">
        <v>265</v>
      </c>
      <c r="AN124" s="182" t="s">
        <v>273</v>
      </c>
      <c r="AO124" s="182" t="s">
        <v>541</v>
      </c>
      <c r="AP124" s="147" t="s">
        <v>338</v>
      </c>
      <c r="AQ124" s="147" t="s">
        <v>912</v>
      </c>
      <c r="AR124" s="182" t="s">
        <v>339</v>
      </c>
      <c r="AS124" s="182" t="str">
        <f t="shared" si="4"/>
        <v>Stationary AssetsBuildingsOur EstateRefrigerantsR512ANaN</v>
      </c>
      <c r="AT124" s="182" t="s">
        <v>337</v>
      </c>
      <c r="AU124" s="182"/>
      <c r="AV124" s="208"/>
      <c r="AW124" s="208"/>
      <c r="AX124" s="311">
        <v>0.1</v>
      </c>
      <c r="BA124" s="398"/>
      <c r="BB124" s="398"/>
      <c r="BC124" s="398"/>
      <c r="BH124" s="147" t="str">
        <v>Information and communication</v>
      </c>
      <c r="BI124" s="147" t="str">
        <v>Information services</v>
      </c>
    </row>
    <row r="125" spans="2:63" x14ac:dyDescent="0.3">
      <c r="Q125" s="182"/>
      <c r="X125" s="147" t="s">
        <v>640</v>
      </c>
      <c r="Y125" s="147" t="s">
        <v>913</v>
      </c>
      <c r="AM125" s="182" t="s">
        <v>265</v>
      </c>
      <c r="AN125" s="182" t="s">
        <v>273</v>
      </c>
      <c r="AO125" s="182" t="s">
        <v>541</v>
      </c>
      <c r="AP125" s="147" t="s">
        <v>338</v>
      </c>
      <c r="AQ125" s="147" t="s">
        <v>914</v>
      </c>
      <c r="AR125" s="182" t="s">
        <v>339</v>
      </c>
      <c r="AS125" s="182" t="str">
        <f t="shared" si="4"/>
        <v>Stationary AssetsBuildingsOur EstateRefrigerantsCFC-11/R11 = trichlorofluoromethaneNaN</v>
      </c>
      <c r="AT125" s="182" t="s">
        <v>337</v>
      </c>
      <c r="AU125" s="182"/>
      <c r="AV125" s="208"/>
      <c r="AW125" s="208"/>
      <c r="AX125" s="311">
        <v>0.1</v>
      </c>
      <c r="BA125" s="398"/>
      <c r="BB125" s="398"/>
      <c r="BC125" s="398"/>
      <c r="BH125" s="147" t="str">
        <v>Landfill (municipal)</v>
      </c>
      <c r="BI125" s="147" t="str">
        <v>Clothing</v>
      </c>
    </row>
    <row r="126" spans="2:63" x14ac:dyDescent="0.3">
      <c r="Q126" s="182"/>
      <c r="X126" s="147" t="s">
        <v>640</v>
      </c>
      <c r="Y126" s="147" t="s">
        <v>915</v>
      </c>
      <c r="AM126" s="182" t="s">
        <v>265</v>
      </c>
      <c r="AN126" s="182" t="s">
        <v>273</v>
      </c>
      <c r="AO126" s="182" t="s">
        <v>541</v>
      </c>
      <c r="AP126" s="147" t="s">
        <v>338</v>
      </c>
      <c r="AQ126" s="147" t="s">
        <v>916</v>
      </c>
      <c r="AR126" s="182" t="s">
        <v>339</v>
      </c>
      <c r="AS126" s="182" t="str">
        <f t="shared" si="4"/>
        <v>Stationary AssetsBuildingsOur EstateRefrigerantsCFC-12/R12 = dichlorodifluoromethaneNaN</v>
      </c>
      <c r="AT126" s="182" t="s">
        <v>337</v>
      </c>
      <c r="AU126" s="182"/>
      <c r="AV126" s="208"/>
      <c r="AW126" s="208"/>
      <c r="AX126" s="311">
        <v>0.1</v>
      </c>
      <c r="BA126" s="398"/>
      <c r="BB126" s="398"/>
      <c r="BC126" s="398"/>
      <c r="BH126" s="147" t="str">
        <v>Landfill (municipal)</v>
      </c>
      <c r="BI126" s="147" t="str">
        <v>Commercial and industrial waste</v>
      </c>
    </row>
    <row r="127" spans="2:63" x14ac:dyDescent="0.3">
      <c r="Q127" s="182"/>
      <c r="X127" s="147" t="s">
        <v>640</v>
      </c>
      <c r="Y127" s="147" t="s">
        <v>917</v>
      </c>
      <c r="AM127" s="182" t="s">
        <v>265</v>
      </c>
      <c r="AN127" s="182" t="s">
        <v>273</v>
      </c>
      <c r="AO127" s="182" t="s">
        <v>541</v>
      </c>
      <c r="AP127" s="147" t="s">
        <v>338</v>
      </c>
      <c r="AQ127" s="147" t="s">
        <v>918</v>
      </c>
      <c r="AR127" s="182" t="s">
        <v>339</v>
      </c>
      <c r="AS127" s="182" t="str">
        <f t="shared" si="4"/>
        <v>Stationary AssetsBuildingsOur EstateRefrigerantsCFC-13NaN</v>
      </c>
      <c r="AT127" s="182" t="s">
        <v>337</v>
      </c>
      <c r="AU127" s="182"/>
      <c r="AV127" s="208"/>
      <c r="AW127" s="208"/>
      <c r="AX127" s="311">
        <v>0.1</v>
      </c>
      <c r="BA127" s="398"/>
      <c r="BB127" s="398"/>
      <c r="BC127" s="398"/>
      <c r="BH127" s="147" t="str">
        <v>Landfill (municipal)</v>
      </c>
      <c r="BI127" s="147" t="str">
        <v>Household residual waste</v>
      </c>
    </row>
    <row r="128" spans="2:63" x14ac:dyDescent="0.3">
      <c r="Q128" s="182"/>
      <c r="X128" s="147" t="s">
        <v>640</v>
      </c>
      <c r="Y128" s="147" t="s">
        <v>919</v>
      </c>
      <c r="AM128" s="182" t="s">
        <v>265</v>
      </c>
      <c r="AN128" s="182" t="s">
        <v>273</v>
      </c>
      <c r="AO128" s="182" t="s">
        <v>541</v>
      </c>
      <c r="AP128" s="147" t="s">
        <v>338</v>
      </c>
      <c r="AQ128" s="147" t="s">
        <v>920</v>
      </c>
      <c r="AR128" s="182" t="s">
        <v>339</v>
      </c>
      <c r="AS128" s="182" t="str">
        <f t="shared" si="4"/>
        <v>Stationary AssetsBuildingsOur EstateRefrigerantsCFC-113NaN</v>
      </c>
      <c r="AT128" s="182" t="s">
        <v>337</v>
      </c>
      <c r="AU128" s="182"/>
      <c r="AV128" s="208"/>
      <c r="AW128" s="208"/>
      <c r="AX128" s="311">
        <v>0.1</v>
      </c>
      <c r="BA128" s="398"/>
      <c r="BB128" s="398"/>
      <c r="BC128" s="398"/>
      <c r="BH128" s="147" t="str">
        <v>Landfill (municipal)</v>
      </c>
      <c r="BI128" s="147" t="str">
        <v>Organic food and drink</v>
      </c>
    </row>
    <row r="129" spans="17:61" x14ac:dyDescent="0.3">
      <c r="Q129" s="182"/>
      <c r="X129" s="147" t="s">
        <v>640</v>
      </c>
      <c r="Y129" s="147" t="s">
        <v>921</v>
      </c>
      <c r="AM129" s="182" t="s">
        <v>265</v>
      </c>
      <c r="AN129" s="182" t="s">
        <v>273</v>
      </c>
      <c r="AO129" s="182" t="s">
        <v>541</v>
      </c>
      <c r="AP129" s="147" t="s">
        <v>338</v>
      </c>
      <c r="AQ129" s="147" t="s">
        <v>922</v>
      </c>
      <c r="AR129" s="182" t="s">
        <v>339</v>
      </c>
      <c r="AS129" s="182" t="str">
        <f t="shared" si="4"/>
        <v>Stationary AssetsBuildingsOur EstateRefrigerantsCFC-114NaN</v>
      </c>
      <c r="AT129" s="182" t="s">
        <v>337</v>
      </c>
      <c r="AU129" s="182"/>
      <c r="AV129" s="208"/>
      <c r="AW129" s="208"/>
      <c r="AX129" s="311">
        <v>0.1</v>
      </c>
      <c r="BA129" s="398"/>
      <c r="BB129" s="398"/>
      <c r="BC129" s="398"/>
      <c r="BH129" s="147" t="str">
        <v>Landfill (organisational)</v>
      </c>
      <c r="BI129" s="147" t="str">
        <v>Asbestos</v>
      </c>
    </row>
    <row r="130" spans="17:61" x14ac:dyDescent="0.3">
      <c r="Q130" s="182"/>
      <c r="X130" s="147" t="s">
        <v>644</v>
      </c>
      <c r="Y130" s="147" t="s">
        <v>923</v>
      </c>
      <c r="AM130" s="182" t="s">
        <v>265</v>
      </c>
      <c r="AN130" s="182" t="s">
        <v>273</v>
      </c>
      <c r="AO130" s="182" t="s">
        <v>541</v>
      </c>
      <c r="AP130" s="147" t="s">
        <v>338</v>
      </c>
      <c r="AQ130" s="147" t="s">
        <v>924</v>
      </c>
      <c r="AR130" s="182" t="s">
        <v>339</v>
      </c>
      <c r="AS130" s="182" t="str">
        <f t="shared" si="4"/>
        <v>Stationary AssetsBuildingsOur EstateRefrigerantsCFC-115NaN</v>
      </c>
      <c r="AT130" s="182" t="s">
        <v>337</v>
      </c>
      <c r="AU130" s="182"/>
      <c r="AV130" s="208"/>
      <c r="AW130" s="208"/>
      <c r="AX130" s="311">
        <v>0.1</v>
      </c>
      <c r="BA130" s="398"/>
      <c r="BB130" s="398"/>
      <c r="BC130" s="398"/>
      <c r="BH130" s="147" t="str">
        <v>Landfill (organisational)</v>
      </c>
      <c r="BI130" s="147" t="str">
        <v>Clothing</v>
      </c>
    </row>
    <row r="131" spans="17:61" x14ac:dyDescent="0.3">
      <c r="Q131" s="182"/>
      <c r="X131" s="147" t="s">
        <v>644</v>
      </c>
      <c r="Y131" s="147" t="s">
        <v>925</v>
      </c>
      <c r="AM131" s="182" t="s">
        <v>265</v>
      </c>
      <c r="AN131" s="182" t="s">
        <v>273</v>
      </c>
      <c r="AO131" s="182" t="s">
        <v>541</v>
      </c>
      <c r="AP131" s="147" t="s">
        <v>338</v>
      </c>
      <c r="AQ131" s="147" t="s">
        <v>926</v>
      </c>
      <c r="AR131" s="182" t="s">
        <v>339</v>
      </c>
      <c r="AS131" s="182" t="str">
        <f t="shared" si="4"/>
        <v>Stationary AssetsBuildingsOur EstateRefrigerantsHalon-1211NaN</v>
      </c>
      <c r="AT131" s="182" t="s">
        <v>337</v>
      </c>
      <c r="AU131" s="182"/>
      <c r="AV131" s="208"/>
      <c r="AW131" s="208"/>
      <c r="AX131" s="311">
        <v>0.1</v>
      </c>
      <c r="BA131" s="398"/>
      <c r="BB131" s="398"/>
      <c r="BC131" s="398"/>
      <c r="BH131" s="147" t="str">
        <v>Landfill (organisational)</v>
      </c>
      <c r="BI131" s="147" t="str">
        <v>Commercial and industrial waste</v>
      </c>
    </row>
    <row r="132" spans="17:61" x14ac:dyDescent="0.3">
      <c r="Q132" s="182"/>
      <c r="X132" s="147" t="s">
        <v>644</v>
      </c>
      <c r="Y132" s="147" t="s">
        <v>927</v>
      </c>
      <c r="AM132" s="182" t="s">
        <v>265</v>
      </c>
      <c r="AN132" s="182" t="s">
        <v>273</v>
      </c>
      <c r="AO132" s="182" t="s">
        <v>541</v>
      </c>
      <c r="AP132" s="147" t="s">
        <v>338</v>
      </c>
      <c r="AQ132" s="147" t="s">
        <v>928</v>
      </c>
      <c r="AR132" s="182" t="s">
        <v>339</v>
      </c>
      <c r="AS132" s="182" t="str">
        <f t="shared" si="4"/>
        <v>Stationary AssetsBuildingsOur EstateRefrigerantsHalon-1301NaN</v>
      </c>
      <c r="AT132" s="182" t="s">
        <v>337</v>
      </c>
      <c r="AU132" s="182"/>
      <c r="AV132" s="208"/>
      <c r="AW132" s="208"/>
      <c r="AX132" s="311">
        <v>0.1</v>
      </c>
      <c r="BA132" s="398"/>
      <c r="BB132" s="398"/>
      <c r="BC132" s="398"/>
      <c r="BH132" s="147" t="str">
        <v>Landfill (organisational)</v>
      </c>
      <c r="BI132" s="147" t="str">
        <v>Household residual waste</v>
      </c>
    </row>
    <row r="133" spans="17:61" x14ac:dyDescent="0.3">
      <c r="Q133" s="182"/>
      <c r="X133" s="147" t="s">
        <v>644</v>
      </c>
      <c r="Y133" s="147" t="s">
        <v>929</v>
      </c>
      <c r="AM133" s="182" t="s">
        <v>265</v>
      </c>
      <c r="AN133" s="182" t="s">
        <v>273</v>
      </c>
      <c r="AO133" s="182" t="s">
        <v>541</v>
      </c>
      <c r="AP133" s="147" t="s">
        <v>338</v>
      </c>
      <c r="AQ133" s="147" t="s">
        <v>930</v>
      </c>
      <c r="AR133" s="182" t="s">
        <v>339</v>
      </c>
      <c r="AS133" s="182" t="str">
        <f t="shared" si="4"/>
        <v>Stationary AssetsBuildingsOur EstateRefrigerantsHalon-2402NaN</v>
      </c>
      <c r="AT133" s="182" t="s">
        <v>337</v>
      </c>
      <c r="AU133" s="182"/>
      <c r="AV133" s="208"/>
      <c r="AW133" s="208"/>
      <c r="AX133" s="311">
        <v>0.1</v>
      </c>
      <c r="BA133" s="398"/>
      <c r="BB133" s="398"/>
      <c r="BC133" s="398"/>
      <c r="BH133" s="147" t="str">
        <v>Landfill (organisational)</v>
      </c>
      <c r="BI133" s="147" t="str">
        <v>Mixed WEEE</v>
      </c>
    </row>
    <row r="134" spans="17:61" x14ac:dyDescent="0.3">
      <c r="Q134" s="182"/>
      <c r="X134" s="147" t="s">
        <v>644</v>
      </c>
      <c r="Y134" s="147" t="s">
        <v>931</v>
      </c>
      <c r="AM134" s="182" t="s">
        <v>265</v>
      </c>
      <c r="AN134" s="182" t="s">
        <v>273</v>
      </c>
      <c r="AO134" s="182" t="s">
        <v>541</v>
      </c>
      <c r="AP134" s="147" t="s">
        <v>338</v>
      </c>
      <c r="AQ134" s="147" t="s">
        <v>932</v>
      </c>
      <c r="AR134" s="182" t="s">
        <v>339</v>
      </c>
      <c r="AS134" s="182" t="str">
        <f t="shared" si="4"/>
        <v>Stationary AssetsBuildingsOur EstateRefrigerantsCarbon tetrachlorideNaN</v>
      </c>
      <c r="AT134" s="182" t="s">
        <v>337</v>
      </c>
      <c r="AU134" s="182"/>
      <c r="AV134" s="208"/>
      <c r="AW134" s="208"/>
      <c r="AX134" s="311">
        <v>0.1</v>
      </c>
      <c r="BA134" s="398"/>
      <c r="BB134" s="398"/>
      <c r="BC134" s="398"/>
      <c r="BH134" s="147" t="str">
        <v>Landfill (organisational)</v>
      </c>
      <c r="BI134" s="147" t="str">
        <v>Organic food and drink</v>
      </c>
    </row>
    <row r="135" spans="17:61" x14ac:dyDescent="0.3">
      <c r="Q135" s="182"/>
      <c r="X135" s="147" t="s">
        <v>644</v>
      </c>
      <c r="Y135" s="147" t="s">
        <v>933</v>
      </c>
      <c r="AM135" s="182" t="s">
        <v>265</v>
      </c>
      <c r="AN135" s="182" t="s">
        <v>273</v>
      </c>
      <c r="AO135" s="182" t="s">
        <v>541</v>
      </c>
      <c r="AP135" s="147" t="s">
        <v>338</v>
      </c>
      <c r="AQ135" s="147" t="s">
        <v>934</v>
      </c>
      <c r="AR135" s="182" t="s">
        <v>339</v>
      </c>
      <c r="AS135" s="182" t="str">
        <f t="shared" si="4"/>
        <v>Stationary AssetsBuildingsOur EstateRefrigerantsMethyl bromideNaN</v>
      </c>
      <c r="AT135" s="182" t="s">
        <v>337</v>
      </c>
      <c r="AU135" s="182"/>
      <c r="AV135" s="208"/>
      <c r="AW135" s="208"/>
      <c r="AX135" s="311">
        <v>0.1</v>
      </c>
      <c r="BA135" s="398"/>
      <c r="BB135" s="398"/>
      <c r="BC135" s="398"/>
      <c r="BH135" s="147" t="str">
        <v>Landfill (organisational)</v>
      </c>
      <c r="BI135" s="147" t="str">
        <v>Organic mixed</v>
      </c>
    </row>
    <row r="136" spans="17:61" x14ac:dyDescent="0.3">
      <c r="Q136" s="182"/>
      <c r="X136" s="147" t="s">
        <v>644</v>
      </c>
      <c r="Y136" s="147" t="s">
        <v>935</v>
      </c>
      <c r="AM136" s="182" t="s">
        <v>265</v>
      </c>
      <c r="AN136" s="182" t="s">
        <v>273</v>
      </c>
      <c r="AO136" s="182" t="s">
        <v>541</v>
      </c>
      <c r="AP136" s="147" t="s">
        <v>338</v>
      </c>
      <c r="AQ136" s="147" t="s">
        <v>936</v>
      </c>
      <c r="AR136" s="182" t="s">
        <v>339</v>
      </c>
      <c r="AS136" s="182" t="str">
        <f t="shared" si="4"/>
        <v>Stationary AssetsBuildingsOur EstateRefrigerantsMethyl chloroformNaN</v>
      </c>
      <c r="AT136" s="182" t="s">
        <v>337</v>
      </c>
      <c r="AU136" s="182"/>
      <c r="AV136" s="208"/>
      <c r="AW136" s="208"/>
      <c r="AX136" s="311">
        <v>0.1</v>
      </c>
      <c r="BA136" s="398"/>
      <c r="BB136" s="398"/>
      <c r="BC136" s="398"/>
      <c r="BH136" s="147" t="str">
        <v>Landfill (organisational)</v>
      </c>
      <c r="BI136" s="147" t="str">
        <v>Waste Soils</v>
      </c>
    </row>
    <row r="137" spans="17:61" x14ac:dyDescent="0.3">
      <c r="Q137" s="182"/>
      <c r="X137" s="147" t="s">
        <v>648</v>
      </c>
      <c r="Y137" s="147" t="s">
        <v>648</v>
      </c>
      <c r="AM137" s="182" t="s">
        <v>265</v>
      </c>
      <c r="AN137" s="182" t="s">
        <v>273</v>
      </c>
      <c r="AO137" s="182" t="s">
        <v>541</v>
      </c>
      <c r="AP137" s="147" t="s">
        <v>338</v>
      </c>
      <c r="AQ137" s="147" t="s">
        <v>937</v>
      </c>
      <c r="AR137" s="182" t="s">
        <v>339</v>
      </c>
      <c r="AS137" s="182" t="str">
        <f t="shared" si="4"/>
        <v>Stationary AssetsBuildingsOur EstateRefrigerantsHCFC-22/R22 = chlorodifluoromethaneNaN</v>
      </c>
      <c r="AT137" s="182" t="s">
        <v>337</v>
      </c>
      <c r="AU137" s="182"/>
      <c r="AV137" s="208"/>
      <c r="AW137" s="208"/>
      <c r="AX137" s="311">
        <v>0.1</v>
      </c>
      <c r="BA137" s="398"/>
      <c r="BB137" s="398"/>
      <c r="BC137" s="398"/>
      <c r="BH137" s="147" t="str">
        <v>Landfill (project)</v>
      </c>
      <c r="BI137" s="147" t="str">
        <v>Aggregates</v>
      </c>
    </row>
    <row r="138" spans="17:61" x14ac:dyDescent="0.3">
      <c r="Q138" s="182"/>
      <c r="AM138" s="182" t="s">
        <v>265</v>
      </c>
      <c r="AN138" s="182" t="s">
        <v>273</v>
      </c>
      <c r="AO138" s="182" t="s">
        <v>541</v>
      </c>
      <c r="AP138" s="147" t="s">
        <v>338</v>
      </c>
      <c r="AQ138" s="147" t="s">
        <v>938</v>
      </c>
      <c r="AR138" s="182" t="s">
        <v>339</v>
      </c>
      <c r="AS138" s="182" t="str">
        <f t="shared" si="4"/>
        <v>Stationary AssetsBuildingsOur EstateRefrigerantsHCFC-123NaN</v>
      </c>
      <c r="AT138" s="182" t="s">
        <v>337</v>
      </c>
      <c r="AU138" s="182"/>
      <c r="AV138" s="208"/>
      <c r="AW138" s="208"/>
      <c r="AX138" s="311">
        <v>0.1</v>
      </c>
      <c r="BA138" s="398"/>
      <c r="BB138" s="398"/>
      <c r="BC138" s="398"/>
      <c r="BH138" s="147" t="str">
        <v>Landfill (project)</v>
      </c>
      <c r="BI138" s="147" t="str">
        <v>Asbestos</v>
      </c>
    </row>
    <row r="139" spans="17:61" x14ac:dyDescent="0.3">
      <c r="Q139" s="182"/>
      <c r="AM139" s="182" t="s">
        <v>265</v>
      </c>
      <c r="AN139" s="182" t="s">
        <v>273</v>
      </c>
      <c r="AO139" s="182" t="s">
        <v>541</v>
      </c>
      <c r="AP139" s="147" t="s">
        <v>338</v>
      </c>
      <c r="AQ139" s="147" t="s">
        <v>939</v>
      </c>
      <c r="AR139" s="182" t="s">
        <v>339</v>
      </c>
      <c r="AS139" s="182" t="str">
        <f t="shared" si="4"/>
        <v>Stationary AssetsBuildingsOur EstateRefrigerantsHCFC-124NaN</v>
      </c>
      <c r="AT139" s="182" t="s">
        <v>337</v>
      </c>
      <c r="AU139" s="182"/>
      <c r="AV139" s="208"/>
      <c r="AW139" s="208"/>
      <c r="AX139" s="311">
        <v>0.1</v>
      </c>
      <c r="BA139" s="398"/>
      <c r="BB139" s="398"/>
      <c r="BC139" s="398"/>
      <c r="BH139" s="147" t="str">
        <v>Landfill (project)</v>
      </c>
      <c r="BI139" s="147" t="str">
        <v>Bricks</v>
      </c>
    </row>
    <row r="140" spans="17:61" x14ac:dyDescent="0.3">
      <c r="Q140" s="182"/>
      <c r="AM140" s="182" t="s">
        <v>265</v>
      </c>
      <c r="AN140" s="182" t="s">
        <v>273</v>
      </c>
      <c r="AO140" s="182" t="s">
        <v>541</v>
      </c>
      <c r="AP140" s="147" t="s">
        <v>338</v>
      </c>
      <c r="AQ140" s="147" t="s">
        <v>940</v>
      </c>
      <c r="AR140" s="182" t="s">
        <v>339</v>
      </c>
      <c r="AS140" s="182" t="str">
        <f t="shared" ref="AS140:AS174" si="5">_xlfn.CONCAT(AM140:AR140)</f>
        <v>Stationary AssetsBuildingsOur EstateRefrigerantsHCFC-141bNaN</v>
      </c>
      <c r="AT140" s="182" t="s">
        <v>337</v>
      </c>
      <c r="AU140" s="182"/>
      <c r="AV140" s="208"/>
      <c r="AW140" s="208"/>
      <c r="AX140" s="311">
        <v>0.1</v>
      </c>
      <c r="BA140" s="398"/>
      <c r="BB140" s="398"/>
      <c r="BC140" s="398"/>
      <c r="BH140" s="147" t="str">
        <v>Landfill (project)</v>
      </c>
      <c r="BI140" s="147" t="str">
        <v>Commercial and industrial waste</v>
      </c>
    </row>
    <row r="141" spans="17:61" x14ac:dyDescent="0.3">
      <c r="Q141" s="182"/>
      <c r="AM141" s="182" t="s">
        <v>265</v>
      </c>
      <c r="AN141" s="182" t="s">
        <v>273</v>
      </c>
      <c r="AO141" s="182" t="s">
        <v>541</v>
      </c>
      <c r="AP141" s="147" t="s">
        <v>338</v>
      </c>
      <c r="AQ141" s="147" t="s">
        <v>941</v>
      </c>
      <c r="AR141" s="182" t="s">
        <v>339</v>
      </c>
      <c r="AS141" s="182" t="str">
        <f t="shared" si="5"/>
        <v>Stationary AssetsBuildingsOur EstateRefrigerantsHCFC-142bNaN</v>
      </c>
      <c r="AT141" s="182" t="s">
        <v>337</v>
      </c>
      <c r="AU141" s="182"/>
      <c r="AV141" s="208"/>
      <c r="AW141" s="208"/>
      <c r="AX141" s="311">
        <v>0.1</v>
      </c>
      <c r="BA141" s="398"/>
      <c r="BB141" s="398"/>
      <c r="BC141" s="398"/>
      <c r="BH141" s="147" t="str">
        <v>Landfill (project)</v>
      </c>
      <c r="BI141" s="147" t="str">
        <v>Metals</v>
      </c>
    </row>
    <row r="142" spans="17:61" x14ac:dyDescent="0.3">
      <c r="Q142" s="182"/>
      <c r="AM142" s="182" t="s">
        <v>265</v>
      </c>
      <c r="AN142" s="182" t="s">
        <v>273</v>
      </c>
      <c r="AO142" s="182" t="s">
        <v>541</v>
      </c>
      <c r="AP142" s="147" t="s">
        <v>338</v>
      </c>
      <c r="AQ142" s="147" t="s">
        <v>942</v>
      </c>
      <c r="AR142" s="182" t="s">
        <v>339</v>
      </c>
      <c r="AS142" s="182" t="str">
        <f t="shared" si="5"/>
        <v>Stationary AssetsBuildingsOur EstateRefrigerantsHCFC-225caNaN</v>
      </c>
      <c r="AT142" s="182" t="s">
        <v>337</v>
      </c>
      <c r="AU142" s="182"/>
      <c r="AV142" s="208"/>
      <c r="AW142" s="208"/>
      <c r="AX142" s="311">
        <v>0.1</v>
      </c>
      <c r="BA142" s="398"/>
      <c r="BB142" s="398"/>
      <c r="BC142" s="398"/>
      <c r="BH142" s="147" t="str">
        <v>Landfill (project)</v>
      </c>
      <c r="BI142" s="147" t="str">
        <v>Plasterboard</v>
      </c>
    </row>
    <row r="143" spans="17:61" x14ac:dyDescent="0.3">
      <c r="Q143" s="182"/>
      <c r="AM143" s="182" t="s">
        <v>265</v>
      </c>
      <c r="AN143" s="182" t="s">
        <v>273</v>
      </c>
      <c r="AO143" s="182" t="s">
        <v>541</v>
      </c>
      <c r="AP143" s="147" t="s">
        <v>338</v>
      </c>
      <c r="AQ143" s="147" t="s">
        <v>943</v>
      </c>
      <c r="AR143" s="182" t="s">
        <v>339</v>
      </c>
      <c r="AS143" s="182" t="str">
        <f t="shared" si="5"/>
        <v>Stationary AssetsBuildingsOur EstateRefrigerantsHCFC-225cbNaN</v>
      </c>
      <c r="AT143" s="182" t="s">
        <v>337</v>
      </c>
      <c r="AU143" s="182"/>
      <c r="AV143" s="208"/>
      <c r="AW143" s="208"/>
      <c r="AX143" s="311">
        <v>0.1</v>
      </c>
      <c r="BA143" s="398"/>
      <c r="BB143" s="398"/>
      <c r="BC143" s="398"/>
      <c r="BH143" s="147" t="str">
        <v>Landfill (project)</v>
      </c>
      <c r="BI143" s="147" t="str">
        <v>Soils</v>
      </c>
    </row>
    <row r="144" spans="17:61" x14ac:dyDescent="0.3">
      <c r="Q144" s="182"/>
      <c r="AM144" s="182" t="s">
        <v>265</v>
      </c>
      <c r="AN144" s="182" t="s">
        <v>273</v>
      </c>
      <c r="AO144" s="182" t="s">
        <v>541</v>
      </c>
      <c r="AP144" s="147" t="s">
        <v>338</v>
      </c>
      <c r="AQ144" s="147" t="s">
        <v>944</v>
      </c>
      <c r="AR144" s="182" t="s">
        <v>339</v>
      </c>
      <c r="AS144" s="182" t="str">
        <f t="shared" si="5"/>
        <v>Stationary AssetsBuildingsOur EstateRefrigerantsHCFC-21NaN</v>
      </c>
      <c r="AT144" s="182" t="s">
        <v>337</v>
      </c>
      <c r="AU144" s="182"/>
      <c r="AV144" s="208"/>
      <c r="AW144" s="208"/>
      <c r="AX144" s="311">
        <v>0.1</v>
      </c>
      <c r="BA144" s="398"/>
      <c r="BB144" s="398"/>
      <c r="BC144" s="398"/>
      <c r="BH144" s="147" t="str">
        <v>Livestock</v>
      </c>
      <c r="BI144" s="147" t="str">
        <v>Dairy cattle</v>
      </c>
    </row>
    <row r="145" spans="17:61" x14ac:dyDescent="0.3">
      <c r="Q145" s="182"/>
      <c r="AM145" s="182" t="s">
        <v>265</v>
      </c>
      <c r="AN145" s="182" t="s">
        <v>273</v>
      </c>
      <c r="AO145" s="182" t="s">
        <v>541</v>
      </c>
      <c r="AP145" s="147" t="s">
        <v>338</v>
      </c>
      <c r="AQ145" s="147" t="s">
        <v>945</v>
      </c>
      <c r="AR145" s="182" t="s">
        <v>339</v>
      </c>
      <c r="AS145" s="182" t="str">
        <f t="shared" si="5"/>
        <v>Stationary AssetsBuildingsOur EstateRefrigerantsHFE-125NaN</v>
      </c>
      <c r="AT145" s="182" t="s">
        <v>337</v>
      </c>
      <c r="AU145" s="182"/>
      <c r="AV145" s="208"/>
      <c r="AW145" s="208"/>
      <c r="AX145" s="311">
        <v>0.1</v>
      </c>
      <c r="BA145" s="398"/>
      <c r="BB145" s="398"/>
      <c r="BC145" s="398"/>
      <c r="BH145" s="147" t="str">
        <v>Livestock</v>
      </c>
      <c r="BI145" s="147" t="str">
        <v>Horses</v>
      </c>
    </row>
    <row r="146" spans="17:61" x14ac:dyDescent="0.3">
      <c r="Q146" s="182"/>
      <c r="AM146" s="182" t="s">
        <v>265</v>
      </c>
      <c r="AN146" s="182" t="s">
        <v>273</v>
      </c>
      <c r="AO146" s="182" t="s">
        <v>541</v>
      </c>
      <c r="AP146" s="147" t="s">
        <v>338</v>
      </c>
      <c r="AQ146" s="147" t="s">
        <v>946</v>
      </c>
      <c r="AR146" s="182" t="s">
        <v>339</v>
      </c>
      <c r="AS146" s="182" t="str">
        <f t="shared" si="5"/>
        <v>Stationary AssetsBuildingsOur EstateRefrigerantsHFE-134NaN</v>
      </c>
      <c r="AT146" s="182" t="s">
        <v>337</v>
      </c>
      <c r="AU146" s="182"/>
      <c r="AV146" s="208"/>
      <c r="AW146" s="208"/>
      <c r="AX146" s="311">
        <v>0.1</v>
      </c>
      <c r="BA146" s="398"/>
      <c r="BB146" s="398"/>
      <c r="BC146" s="398"/>
      <c r="BH146" s="147" t="str">
        <v>Livestock</v>
      </c>
      <c r="BI146" s="147" t="str">
        <v>Non-dairy cattle</v>
      </c>
    </row>
    <row r="147" spans="17:61" x14ac:dyDescent="0.3">
      <c r="Q147" s="182"/>
      <c r="AM147" s="182" t="s">
        <v>265</v>
      </c>
      <c r="AN147" s="182" t="s">
        <v>273</v>
      </c>
      <c r="AO147" s="182" t="s">
        <v>541</v>
      </c>
      <c r="AP147" s="147" t="s">
        <v>338</v>
      </c>
      <c r="AQ147" s="147" t="s">
        <v>947</v>
      </c>
      <c r="AR147" s="182" t="s">
        <v>339</v>
      </c>
      <c r="AS147" s="182" t="str">
        <f t="shared" si="5"/>
        <v>Stationary AssetsBuildingsOur EstateRefrigerantsHFE-143aNaN</v>
      </c>
      <c r="AT147" s="182" t="s">
        <v>337</v>
      </c>
      <c r="AU147" s="182"/>
      <c r="AV147" s="208"/>
      <c r="AW147" s="208"/>
      <c r="AX147" s="311">
        <v>0.1</v>
      </c>
      <c r="BA147" s="398"/>
      <c r="BB147" s="398"/>
      <c r="BC147" s="398"/>
      <c r="BH147" s="147" t="str">
        <v>Livestock</v>
      </c>
      <c r="BI147" s="147" t="str">
        <v>Pigs</v>
      </c>
    </row>
    <row r="148" spans="17:61" x14ac:dyDescent="0.3">
      <c r="Q148" s="182"/>
      <c r="AM148" s="182" t="s">
        <v>265</v>
      </c>
      <c r="AN148" s="182" t="s">
        <v>273</v>
      </c>
      <c r="AO148" s="182" t="s">
        <v>541</v>
      </c>
      <c r="AP148" s="147" t="s">
        <v>338</v>
      </c>
      <c r="AQ148" s="147" t="s">
        <v>948</v>
      </c>
      <c r="AR148" s="182" t="s">
        <v>339</v>
      </c>
      <c r="AS148" s="182" t="str">
        <f t="shared" si="5"/>
        <v>Stationary AssetsBuildingsOur EstateRefrigerantsHCFE-235da2NaN</v>
      </c>
      <c r="AT148" s="182" t="s">
        <v>337</v>
      </c>
      <c r="AU148" s="182"/>
      <c r="AV148" s="208"/>
      <c r="AW148" s="208"/>
      <c r="AX148" s="311">
        <v>0.1</v>
      </c>
      <c r="BA148" s="398"/>
      <c r="BB148" s="398"/>
      <c r="BC148" s="398"/>
      <c r="BH148" s="147" t="str">
        <v>Livestock</v>
      </c>
      <c r="BI148" s="147" t="str">
        <v>Poultry</v>
      </c>
    </row>
    <row r="149" spans="17:61" x14ac:dyDescent="0.3">
      <c r="Q149" s="182"/>
      <c r="AM149" s="182" t="s">
        <v>265</v>
      </c>
      <c r="AN149" s="182" t="s">
        <v>273</v>
      </c>
      <c r="AO149" s="182" t="s">
        <v>541</v>
      </c>
      <c r="AP149" s="147" t="s">
        <v>338</v>
      </c>
      <c r="AQ149" s="147" t="s">
        <v>949</v>
      </c>
      <c r="AR149" s="182" t="s">
        <v>339</v>
      </c>
      <c r="AS149" s="182" t="str">
        <f t="shared" si="5"/>
        <v>Stationary AssetsBuildingsOur EstateRefrigerantsHFE-245cb2NaN</v>
      </c>
      <c r="AT149" s="182" t="s">
        <v>337</v>
      </c>
      <c r="AU149" s="182"/>
      <c r="AV149" s="208"/>
      <c r="AW149" s="208"/>
      <c r="AX149" s="311">
        <v>0.1</v>
      </c>
      <c r="BA149" s="398"/>
      <c r="BB149" s="398"/>
      <c r="BC149" s="398"/>
      <c r="BH149" s="147" t="str">
        <v>Livestock</v>
      </c>
      <c r="BI149" s="147" t="str">
        <v>Sheep and goats</v>
      </c>
    </row>
    <row r="150" spans="17:61" x14ac:dyDescent="0.3">
      <c r="Q150" s="182"/>
      <c r="AM150" s="182" t="s">
        <v>265</v>
      </c>
      <c r="AN150" s="182" t="s">
        <v>273</v>
      </c>
      <c r="AO150" s="182" t="s">
        <v>541</v>
      </c>
      <c r="AP150" s="147" t="s">
        <v>338</v>
      </c>
      <c r="AQ150" s="147" t="s">
        <v>950</v>
      </c>
      <c r="AR150" s="182" t="s">
        <v>339</v>
      </c>
      <c r="AS150" s="182" t="str">
        <f t="shared" si="5"/>
        <v>Stationary AssetsBuildingsOur EstateRefrigerantsHFE-245fa2NaN</v>
      </c>
      <c r="AT150" s="182" t="s">
        <v>337</v>
      </c>
      <c r="AU150" s="182"/>
      <c r="AV150" s="208"/>
      <c r="AW150" s="208"/>
      <c r="AX150" s="311">
        <v>0.1</v>
      </c>
      <c r="BA150" s="398"/>
      <c r="BB150" s="398"/>
      <c r="BC150" s="398"/>
      <c r="BH150" s="147" t="str">
        <v>Long haul</v>
      </c>
      <c r="BI150" s="147" t="str">
        <v>Average</v>
      </c>
    </row>
    <row r="151" spans="17:61" x14ac:dyDescent="0.3">
      <c r="Q151" s="182"/>
      <c r="AM151" s="182" t="s">
        <v>265</v>
      </c>
      <c r="AN151" s="182" t="s">
        <v>273</v>
      </c>
      <c r="AO151" s="182" t="s">
        <v>541</v>
      </c>
      <c r="AP151" s="147" t="s">
        <v>338</v>
      </c>
      <c r="AQ151" s="147" t="s">
        <v>951</v>
      </c>
      <c r="AR151" s="182" t="s">
        <v>339</v>
      </c>
      <c r="AS151" s="182" t="str">
        <f t="shared" si="5"/>
        <v>Stationary AssetsBuildingsOur EstateRefrigerantsHFE-254cb2NaN</v>
      </c>
      <c r="AT151" s="182" t="s">
        <v>337</v>
      </c>
      <c r="AU151" s="182"/>
      <c r="AV151" s="208"/>
      <c r="AW151" s="208"/>
      <c r="AX151" s="311">
        <v>0.1</v>
      </c>
      <c r="BA151" s="398"/>
      <c r="BB151" s="398"/>
      <c r="BC151" s="398"/>
      <c r="BH151" s="147" t="str">
        <v>Long haul</v>
      </c>
      <c r="BI151" s="147" t="str">
        <v>Business</v>
      </c>
    </row>
    <row r="152" spans="17:61" x14ac:dyDescent="0.3">
      <c r="Q152" s="182"/>
      <c r="AM152" s="182" t="s">
        <v>265</v>
      </c>
      <c r="AN152" s="182" t="s">
        <v>273</v>
      </c>
      <c r="AO152" s="182" t="s">
        <v>541</v>
      </c>
      <c r="AP152" s="147" t="s">
        <v>338</v>
      </c>
      <c r="AQ152" s="147" t="s">
        <v>952</v>
      </c>
      <c r="AR152" s="182" t="s">
        <v>339</v>
      </c>
      <c r="AS152" s="182" t="str">
        <f t="shared" si="5"/>
        <v>Stationary AssetsBuildingsOur EstateRefrigerantsHFE-347mcc3NaN</v>
      </c>
      <c r="AT152" s="182" t="s">
        <v>337</v>
      </c>
      <c r="AU152" s="182"/>
      <c r="AV152" s="208"/>
      <c r="AW152" s="208"/>
      <c r="AX152" s="311">
        <v>0.1</v>
      </c>
      <c r="BA152" s="398"/>
      <c r="BB152" s="398"/>
      <c r="BC152" s="398"/>
      <c r="BH152" s="147" t="str">
        <v>Long haul</v>
      </c>
      <c r="BI152" s="147" t="str">
        <v>Economy</v>
      </c>
    </row>
    <row r="153" spans="17:61" x14ac:dyDescent="0.3">
      <c r="Q153" s="182"/>
      <c r="AM153" s="182" t="s">
        <v>265</v>
      </c>
      <c r="AN153" s="182" t="s">
        <v>273</v>
      </c>
      <c r="AO153" s="182" t="s">
        <v>541</v>
      </c>
      <c r="AP153" s="147" t="s">
        <v>338</v>
      </c>
      <c r="AQ153" s="147" t="s">
        <v>953</v>
      </c>
      <c r="AR153" s="182" t="s">
        <v>339</v>
      </c>
      <c r="AS153" s="182" t="str">
        <f t="shared" si="5"/>
        <v>Stationary AssetsBuildingsOur EstateRefrigerantsHFE-347pcf2NaN</v>
      </c>
      <c r="AT153" s="182" t="s">
        <v>337</v>
      </c>
      <c r="AU153" s="182"/>
      <c r="AV153" s="208"/>
      <c r="AW153" s="208"/>
      <c r="AX153" s="311">
        <v>0.1</v>
      </c>
      <c r="BA153" s="398"/>
      <c r="BB153" s="398"/>
      <c r="BC153" s="398"/>
      <c r="BH153" s="147" t="str">
        <v>Manufacturing</v>
      </c>
      <c r="BI153" s="147" t="str">
        <v>Preserved meat and meat products</v>
      </c>
    </row>
    <row r="154" spans="17:61" x14ac:dyDescent="0.3">
      <c r="Q154" s="182"/>
      <c r="AM154" s="182" t="s">
        <v>265</v>
      </c>
      <c r="AN154" s="182" t="s">
        <v>273</v>
      </c>
      <c r="AO154" s="182" t="s">
        <v>541</v>
      </c>
      <c r="AP154" s="147" t="s">
        <v>338</v>
      </c>
      <c r="AQ154" s="147" t="s">
        <v>954</v>
      </c>
      <c r="AR154" s="182" t="s">
        <v>339</v>
      </c>
      <c r="AS154" s="182" t="str">
        <f t="shared" si="5"/>
        <v>Stationary AssetsBuildingsOur EstateRefrigerantsHFE-356pcc3NaN</v>
      </c>
      <c r="AT154" s="182" t="s">
        <v>337</v>
      </c>
      <c r="AU154" s="182"/>
      <c r="AV154" s="208"/>
      <c r="AW154" s="208"/>
      <c r="AX154" s="311">
        <v>0.1</v>
      </c>
      <c r="BA154" s="398"/>
      <c r="BB154" s="398"/>
      <c r="BC154" s="398"/>
      <c r="BH154" s="147" t="str">
        <v>Manufacturing</v>
      </c>
      <c r="BI154" s="147" t="str">
        <v>Processed and preserved fish, crustaceans, molluscs, fruit and vegetables</v>
      </c>
    </row>
    <row r="155" spans="17:61" x14ac:dyDescent="0.3">
      <c r="Q155" s="182"/>
      <c r="AM155" s="182" t="s">
        <v>265</v>
      </c>
      <c r="AN155" s="182" t="s">
        <v>273</v>
      </c>
      <c r="AO155" s="182" t="s">
        <v>541</v>
      </c>
      <c r="AP155" s="147" t="s">
        <v>338</v>
      </c>
      <c r="AQ155" s="147" t="s">
        <v>955</v>
      </c>
      <c r="AR155" s="182" t="s">
        <v>339</v>
      </c>
      <c r="AS155" s="182" t="str">
        <f t="shared" si="5"/>
        <v>Stationary AssetsBuildingsOur EstateRefrigerantsHFE-449sl (HFE-7100)NaN</v>
      </c>
      <c r="AT155" s="182" t="s">
        <v>337</v>
      </c>
      <c r="AU155" s="182"/>
      <c r="AV155" s="208"/>
      <c r="AW155" s="208"/>
      <c r="AX155" s="311">
        <v>0.1</v>
      </c>
      <c r="BA155" s="398"/>
      <c r="BB155" s="398"/>
      <c r="BC155" s="398"/>
      <c r="BH155" s="147" t="str">
        <v>Manufacturing</v>
      </c>
      <c r="BI155" s="147" t="str">
        <v>Vegetable and animal oils and fats</v>
      </c>
    </row>
    <row r="156" spans="17:61" x14ac:dyDescent="0.3">
      <c r="Q156" s="182"/>
      <c r="AM156" s="182" t="s">
        <v>265</v>
      </c>
      <c r="AN156" s="182" t="s">
        <v>273</v>
      </c>
      <c r="AO156" s="182" t="s">
        <v>541</v>
      </c>
      <c r="AP156" s="147" t="s">
        <v>338</v>
      </c>
      <c r="AQ156" s="147" t="s">
        <v>956</v>
      </c>
      <c r="AR156" s="182" t="s">
        <v>339</v>
      </c>
      <c r="AS156" s="182" t="str">
        <f t="shared" si="5"/>
        <v>Stationary AssetsBuildingsOur EstateRefrigerantsHFE-569sf2 (HFE-7200)NaN</v>
      </c>
      <c r="AT156" s="182" t="s">
        <v>337</v>
      </c>
      <c r="AU156" s="182"/>
      <c r="AV156" s="208"/>
      <c r="AW156" s="208"/>
      <c r="AX156" s="311">
        <v>0.1</v>
      </c>
      <c r="BA156" s="398"/>
      <c r="BB156" s="398"/>
      <c r="BC156" s="398"/>
      <c r="BH156" s="147" t="str">
        <v>Manufacturing</v>
      </c>
      <c r="BI156" s="147" t="str">
        <v>Dairy products</v>
      </c>
    </row>
    <row r="157" spans="17:61" x14ac:dyDescent="0.3">
      <c r="Q157" s="182"/>
      <c r="AM157" s="182" t="s">
        <v>265</v>
      </c>
      <c r="AN157" s="182" t="s">
        <v>273</v>
      </c>
      <c r="AO157" s="182" t="s">
        <v>541</v>
      </c>
      <c r="AP157" s="147" t="s">
        <v>338</v>
      </c>
      <c r="AQ157" s="147" t="s">
        <v>957</v>
      </c>
      <c r="AR157" s="182" t="s">
        <v>339</v>
      </c>
      <c r="AS157" s="182" t="str">
        <f t="shared" si="5"/>
        <v>Stationary AssetsBuildingsOur EstateRefrigerantsHFE-43-10pccc124 (H-Galden1040x)NaN</v>
      </c>
      <c r="AT157" s="182" t="s">
        <v>337</v>
      </c>
      <c r="AU157" s="182"/>
      <c r="AV157" s="208"/>
      <c r="AW157" s="208"/>
      <c r="AX157" s="311">
        <v>0.1</v>
      </c>
      <c r="BA157" s="398"/>
      <c r="BB157" s="398"/>
      <c r="BC157" s="398"/>
      <c r="BH157" s="147" t="str">
        <v>Manufacturing</v>
      </c>
      <c r="BI157" s="147" t="str">
        <v>Grain mill products, starches and starch products</v>
      </c>
    </row>
    <row r="158" spans="17:61" x14ac:dyDescent="0.3">
      <c r="Q158" s="182"/>
      <c r="AM158" s="182" t="s">
        <v>265</v>
      </c>
      <c r="AN158" s="182" t="s">
        <v>273</v>
      </c>
      <c r="AO158" s="182" t="s">
        <v>541</v>
      </c>
      <c r="AP158" s="147" t="s">
        <v>338</v>
      </c>
      <c r="AQ158" s="147" t="s">
        <v>958</v>
      </c>
      <c r="AR158" s="182" t="s">
        <v>339</v>
      </c>
      <c r="AS158" s="182" t="str">
        <f t="shared" si="5"/>
        <v>Stationary AssetsBuildingsOur EstateRefrigerantsHFE-236ca12 (HG-10)NaN</v>
      </c>
      <c r="AT158" s="182" t="s">
        <v>337</v>
      </c>
      <c r="AU158" s="182"/>
      <c r="AV158" s="208"/>
      <c r="AW158" s="208"/>
      <c r="AX158" s="311">
        <v>0.1</v>
      </c>
      <c r="BA158" s="398"/>
      <c r="BB158" s="398"/>
      <c r="BC158" s="398"/>
      <c r="BH158" s="147" t="str">
        <v>Manufacturing</v>
      </c>
      <c r="BI158" s="147" t="str">
        <v>Bakery and farinaceous products</v>
      </c>
    </row>
    <row r="159" spans="17:61" x14ac:dyDescent="0.3">
      <c r="Q159" s="182"/>
      <c r="AM159" s="182" t="s">
        <v>265</v>
      </c>
      <c r="AN159" s="182" t="s">
        <v>273</v>
      </c>
      <c r="AO159" s="182" t="s">
        <v>541</v>
      </c>
      <c r="AP159" s="147" t="s">
        <v>338</v>
      </c>
      <c r="AQ159" s="147" t="s">
        <v>959</v>
      </c>
      <c r="AR159" s="182" t="s">
        <v>339</v>
      </c>
      <c r="AS159" s="182" t="str">
        <f t="shared" si="5"/>
        <v>Stationary AssetsBuildingsOur EstateRefrigerantsHFE-338pcc13 (HG-01)NaN</v>
      </c>
      <c r="AT159" s="182" t="s">
        <v>337</v>
      </c>
      <c r="AU159" s="182"/>
      <c r="AV159" s="208"/>
      <c r="AW159" s="208"/>
      <c r="AX159" s="311">
        <v>0.1</v>
      </c>
      <c r="BA159" s="398"/>
      <c r="BB159" s="398"/>
      <c r="BC159" s="398"/>
      <c r="BH159" s="147" t="str">
        <v>Manufacturing</v>
      </c>
      <c r="BI159" s="147" t="str">
        <v>Other food products</v>
      </c>
    </row>
    <row r="160" spans="17:61" x14ac:dyDescent="0.3">
      <c r="Q160" s="182"/>
      <c r="AM160" s="182" t="s">
        <v>265</v>
      </c>
      <c r="AN160" s="182" t="s">
        <v>273</v>
      </c>
      <c r="AO160" s="182" t="s">
        <v>541</v>
      </c>
      <c r="AP160" s="147" t="s">
        <v>338</v>
      </c>
      <c r="AQ160" s="147" t="s">
        <v>960</v>
      </c>
      <c r="AR160" s="182" t="s">
        <v>339</v>
      </c>
      <c r="AS160" s="182" t="str">
        <f t="shared" si="5"/>
        <v>Stationary AssetsBuildingsOur EstateRefrigerantsTrifluoromethyl sulphur pentafluorideNaN</v>
      </c>
      <c r="AT160" s="182" t="s">
        <v>337</v>
      </c>
      <c r="AU160" s="182"/>
      <c r="AV160" s="208"/>
      <c r="AW160" s="208"/>
      <c r="AX160" s="311">
        <v>0.1</v>
      </c>
      <c r="BA160" s="398"/>
      <c r="BB160" s="398"/>
      <c r="BC160" s="398"/>
      <c r="BH160" s="147" t="str">
        <v>Manufacturing</v>
      </c>
      <c r="BI160" s="147" t="str">
        <v>Prepared animal feeds</v>
      </c>
    </row>
    <row r="161" spans="17:61" x14ac:dyDescent="0.3">
      <c r="Q161" s="182"/>
      <c r="AM161" s="182" t="s">
        <v>265</v>
      </c>
      <c r="AN161" s="182" t="s">
        <v>273</v>
      </c>
      <c r="AO161" s="182" t="s">
        <v>541</v>
      </c>
      <c r="AP161" s="147" t="s">
        <v>338</v>
      </c>
      <c r="AQ161" s="147" t="s">
        <v>961</v>
      </c>
      <c r="AR161" s="182" t="s">
        <v>339</v>
      </c>
      <c r="AS161" s="182" t="str">
        <f t="shared" si="5"/>
        <v>Stationary AssetsBuildingsOur EstateRefrigerantsPFPMIENaN</v>
      </c>
      <c r="AT161" s="182" t="s">
        <v>337</v>
      </c>
      <c r="AU161" s="182"/>
      <c r="AV161" s="208"/>
      <c r="AW161" s="208"/>
      <c r="AX161" s="311">
        <v>0.1</v>
      </c>
      <c r="BA161" s="398"/>
      <c r="BB161" s="398"/>
      <c r="BC161" s="398"/>
      <c r="BH161" s="147" t="str">
        <v>Manufacturing</v>
      </c>
      <c r="BI161" s="147" t="str">
        <v>Alcoholic beverages</v>
      </c>
    </row>
    <row r="162" spans="17:61" x14ac:dyDescent="0.3">
      <c r="Q162" s="182"/>
      <c r="AM162" s="182" t="s">
        <v>265</v>
      </c>
      <c r="AN162" s="182" t="s">
        <v>273</v>
      </c>
      <c r="AO162" s="182" t="s">
        <v>541</v>
      </c>
      <c r="AP162" s="147" t="s">
        <v>338</v>
      </c>
      <c r="AQ162" s="147" t="s">
        <v>962</v>
      </c>
      <c r="AR162" s="182" t="s">
        <v>339</v>
      </c>
      <c r="AS162" s="182" t="str">
        <f t="shared" si="5"/>
        <v>Stationary AssetsBuildingsOur EstateRefrigerantsDimethyletherNaN</v>
      </c>
      <c r="AT162" s="182" t="s">
        <v>337</v>
      </c>
      <c r="AU162" s="182"/>
      <c r="AV162" s="208"/>
      <c r="AW162" s="208"/>
      <c r="AX162" s="311">
        <v>0.1</v>
      </c>
      <c r="BA162" s="398"/>
      <c r="BB162" s="398"/>
      <c r="BC162" s="398"/>
      <c r="BH162" s="147" t="str">
        <v>Manufacturing</v>
      </c>
      <c r="BI162" s="147" t="str">
        <v>Soft drinks</v>
      </c>
    </row>
    <row r="163" spans="17:61" x14ac:dyDescent="0.3">
      <c r="Q163" s="182"/>
      <c r="AM163" s="182" t="s">
        <v>265</v>
      </c>
      <c r="AN163" s="182" t="s">
        <v>273</v>
      </c>
      <c r="AO163" s="182" t="s">
        <v>541</v>
      </c>
      <c r="AP163" s="147" t="s">
        <v>338</v>
      </c>
      <c r="AQ163" s="147" t="s">
        <v>963</v>
      </c>
      <c r="AR163" s="182" t="s">
        <v>339</v>
      </c>
      <c r="AS163" s="182" t="str">
        <f t="shared" si="5"/>
        <v>Stationary AssetsBuildingsOur EstateRefrigerantsMethylene chlorideNaN</v>
      </c>
      <c r="AT163" s="182" t="s">
        <v>337</v>
      </c>
      <c r="AU163" s="182"/>
      <c r="AV163" s="208"/>
      <c r="AW163" s="208"/>
      <c r="AX163" s="311">
        <v>0.1</v>
      </c>
      <c r="BA163" s="398"/>
      <c r="BB163" s="398"/>
      <c r="BC163" s="398"/>
      <c r="BH163" s="147" t="str">
        <v>Manufacturing</v>
      </c>
      <c r="BI163" s="147" t="str">
        <v>Tobacco products</v>
      </c>
    </row>
    <row r="164" spans="17:61" x14ac:dyDescent="0.3">
      <c r="Q164" s="182"/>
      <c r="AM164" s="182" t="s">
        <v>265</v>
      </c>
      <c r="AN164" s="182" t="s">
        <v>273</v>
      </c>
      <c r="AO164" s="182" t="s">
        <v>541</v>
      </c>
      <c r="AP164" s="147" t="s">
        <v>338</v>
      </c>
      <c r="AQ164" s="147" t="s">
        <v>964</v>
      </c>
      <c r="AR164" s="182" t="s">
        <v>339</v>
      </c>
      <c r="AS164" s="182" t="str">
        <f t="shared" si="5"/>
        <v>Stationary AssetsBuildingsOur EstateRefrigerantsMethyl chlorideNaN</v>
      </c>
      <c r="AT164" s="182" t="s">
        <v>337</v>
      </c>
      <c r="AU164" s="182"/>
      <c r="AV164" s="208"/>
      <c r="AW164" s="208"/>
      <c r="AX164" s="311">
        <v>0.1</v>
      </c>
      <c r="BA164" s="398"/>
      <c r="BB164" s="398"/>
      <c r="BC164" s="398"/>
      <c r="BH164" s="147" t="str">
        <v>Manufacturing</v>
      </c>
      <c r="BI164" s="147" t="str">
        <v>Textiles</v>
      </c>
    </row>
    <row r="165" spans="17:61" x14ac:dyDescent="0.3">
      <c r="Q165" s="182"/>
      <c r="AM165" s="182" t="s">
        <v>265</v>
      </c>
      <c r="AN165" s="182" t="s">
        <v>273</v>
      </c>
      <c r="AO165" s="182" t="s">
        <v>541</v>
      </c>
      <c r="AP165" s="147" t="s">
        <v>338</v>
      </c>
      <c r="AQ165" s="147" t="s">
        <v>965</v>
      </c>
      <c r="AR165" s="182" t="s">
        <v>339</v>
      </c>
      <c r="AS165" s="182" t="str">
        <f t="shared" si="5"/>
        <v>Stationary AssetsBuildingsOur EstateRefrigerantsR290 = propaneNaN</v>
      </c>
      <c r="AT165" s="182" t="s">
        <v>337</v>
      </c>
      <c r="AU165" s="182"/>
      <c r="AV165" s="208"/>
      <c r="AW165" s="208"/>
      <c r="AX165" s="311">
        <v>0.1</v>
      </c>
      <c r="BA165" s="398"/>
      <c r="BB165" s="398"/>
      <c r="BC165" s="398"/>
      <c r="BH165" s="147" t="str">
        <v>Manufacturing</v>
      </c>
      <c r="BI165" s="147" t="str">
        <v>Wearing apparel</v>
      </c>
    </row>
    <row r="166" spans="17:61" x14ac:dyDescent="0.3">
      <c r="Q166" s="182"/>
      <c r="AM166" s="182" t="s">
        <v>265</v>
      </c>
      <c r="AN166" s="182" t="s">
        <v>273</v>
      </c>
      <c r="AO166" s="182" t="s">
        <v>541</v>
      </c>
      <c r="AP166" s="147" t="s">
        <v>338</v>
      </c>
      <c r="AQ166" s="147" t="s">
        <v>966</v>
      </c>
      <c r="AR166" s="182" t="s">
        <v>339</v>
      </c>
      <c r="AS166" s="182" t="str">
        <f t="shared" si="5"/>
        <v>Stationary AssetsBuildingsOur EstateRefrigerantsR600A = isobutaneNaN</v>
      </c>
      <c r="AT166" s="182" t="s">
        <v>337</v>
      </c>
      <c r="AU166" s="182"/>
      <c r="AV166" s="208"/>
      <c r="AW166" s="208"/>
      <c r="AX166" s="311">
        <v>0.1</v>
      </c>
      <c r="BA166" s="398"/>
      <c r="BB166" s="398"/>
      <c r="BC166" s="398"/>
      <c r="BH166" s="147" t="str">
        <v>Manufacturing</v>
      </c>
      <c r="BI166" s="147" t="str">
        <v>Leather and related products</v>
      </c>
    </row>
    <row r="167" spans="17:61" x14ac:dyDescent="0.3">
      <c r="Q167" s="182"/>
      <c r="AM167" s="182" t="s">
        <v>265</v>
      </c>
      <c r="AN167" s="182" t="s">
        <v>273</v>
      </c>
      <c r="AO167" s="182" t="s">
        <v>541</v>
      </c>
      <c r="AP167" s="147" t="s">
        <v>338</v>
      </c>
      <c r="AQ167" s="147" t="s">
        <v>967</v>
      </c>
      <c r="AR167" s="182" t="s">
        <v>339</v>
      </c>
      <c r="AS167" s="182" t="str">
        <f t="shared" si="5"/>
        <v>Stationary AssetsBuildingsOur EstateRefrigerantsR600 = butaneNaN</v>
      </c>
      <c r="AT167" s="182" t="s">
        <v>337</v>
      </c>
      <c r="AU167" s="182"/>
      <c r="AV167" s="208"/>
      <c r="AW167" s="208"/>
      <c r="AX167" s="311">
        <v>0.1</v>
      </c>
      <c r="BA167" s="398"/>
      <c r="BB167" s="398"/>
      <c r="BC167" s="398"/>
      <c r="BH167" s="147" t="str">
        <v>Manufacturing</v>
      </c>
      <c r="BI167" s="147" t="str">
        <v>Wood and of products of wood and cork, except furniture; articles of straw and plaiting materials</v>
      </c>
    </row>
    <row r="168" spans="17:61" x14ac:dyDescent="0.3">
      <c r="Q168" s="182"/>
      <c r="AM168" s="182" t="s">
        <v>265</v>
      </c>
      <c r="AN168" s="182" t="s">
        <v>273</v>
      </c>
      <c r="AO168" s="182" t="s">
        <v>541</v>
      </c>
      <c r="AP168" s="147" t="s">
        <v>338</v>
      </c>
      <c r="AQ168" s="147" t="s">
        <v>968</v>
      </c>
      <c r="AR168" s="182" t="s">
        <v>339</v>
      </c>
      <c r="AS168" s="182" t="str">
        <f t="shared" si="5"/>
        <v>Stationary AssetsBuildingsOur EstateRefrigerantsR601 = pentaneNaN</v>
      </c>
      <c r="AT168" s="182" t="s">
        <v>337</v>
      </c>
      <c r="AU168" s="182"/>
      <c r="AV168" s="208"/>
      <c r="AW168" s="208"/>
      <c r="AX168" s="311">
        <v>0.1</v>
      </c>
      <c r="BA168" s="398"/>
      <c r="BB168" s="398"/>
      <c r="BC168" s="398"/>
      <c r="BH168" s="147" t="str">
        <v>Manufacturing</v>
      </c>
      <c r="BI168" s="147" t="str">
        <v>Paper and paper products</v>
      </c>
    </row>
    <row r="169" spans="17:61" x14ac:dyDescent="0.3">
      <c r="Q169" s="182"/>
      <c r="AM169" s="182" t="s">
        <v>265</v>
      </c>
      <c r="AN169" s="182" t="s">
        <v>273</v>
      </c>
      <c r="AO169" s="182" t="s">
        <v>541</v>
      </c>
      <c r="AP169" s="147" t="s">
        <v>338</v>
      </c>
      <c r="AQ169" s="147" t="s">
        <v>969</v>
      </c>
      <c r="AR169" s="182" t="s">
        <v>339</v>
      </c>
      <c r="AS169" s="182" t="str">
        <f t="shared" si="5"/>
        <v>Stationary AssetsBuildingsOur EstateRefrigerantsR601A = isopentaneNaN</v>
      </c>
      <c r="AT169" s="182" t="s">
        <v>337</v>
      </c>
      <c r="AU169" s="182"/>
      <c r="AV169" s="208"/>
      <c r="AW169" s="208"/>
      <c r="AX169" s="311">
        <v>0.1</v>
      </c>
      <c r="BA169" s="398"/>
      <c r="BB169" s="398"/>
      <c r="BC169" s="398"/>
      <c r="BH169" s="147" t="str">
        <v>Manufacturing</v>
      </c>
      <c r="BI169" s="147" t="str">
        <v>Printing and recording services</v>
      </c>
    </row>
    <row r="170" spans="17:61" x14ac:dyDescent="0.3">
      <c r="Q170" s="182"/>
      <c r="AM170" s="182" t="s">
        <v>265</v>
      </c>
      <c r="AN170" s="182" t="s">
        <v>273</v>
      </c>
      <c r="AO170" s="182" t="s">
        <v>541</v>
      </c>
      <c r="AP170" s="147" t="s">
        <v>338</v>
      </c>
      <c r="AQ170" s="147" t="s">
        <v>970</v>
      </c>
      <c r="AR170" s="182" t="s">
        <v>339</v>
      </c>
      <c r="AS170" s="182" t="str">
        <f t="shared" si="5"/>
        <v>Stationary AssetsBuildingsOur EstateRefrigerantsR170 = ethaneNaN</v>
      </c>
      <c r="AT170" s="182" t="s">
        <v>337</v>
      </c>
      <c r="AU170" s="182"/>
      <c r="AV170" s="208"/>
      <c r="AW170" s="208"/>
      <c r="AX170" s="311">
        <v>0.1</v>
      </c>
      <c r="BA170" s="398"/>
      <c r="BB170" s="398"/>
      <c r="BC170" s="398"/>
      <c r="BH170" s="147" t="str">
        <v>Manufacturing</v>
      </c>
      <c r="BI170" s="147" t="str">
        <v>Coke and refined petroleum products</v>
      </c>
    </row>
    <row r="171" spans="17:61" x14ac:dyDescent="0.3">
      <c r="Q171" s="182"/>
      <c r="AM171" s="182" t="s">
        <v>265</v>
      </c>
      <c r="AN171" s="182" t="s">
        <v>273</v>
      </c>
      <c r="AO171" s="182" t="s">
        <v>541</v>
      </c>
      <c r="AP171" s="147" t="s">
        <v>338</v>
      </c>
      <c r="AQ171" s="147" t="s">
        <v>971</v>
      </c>
      <c r="AR171" s="182" t="s">
        <v>339</v>
      </c>
      <c r="AS171" s="182" t="str">
        <f t="shared" si="5"/>
        <v>Stationary AssetsBuildingsOur EstateRefrigerantsR1270 = propeneNaN</v>
      </c>
      <c r="AT171" s="182" t="s">
        <v>337</v>
      </c>
      <c r="AU171" s="182"/>
      <c r="AV171" s="208"/>
      <c r="AW171" s="208"/>
      <c r="AX171" s="311">
        <v>0.1</v>
      </c>
      <c r="BA171" s="398"/>
      <c r="BB171" s="398"/>
      <c r="BC171" s="398"/>
      <c r="BH171" s="147" t="str">
        <v>Manufacturing</v>
      </c>
      <c r="BI171" s="147" t="str">
        <v>Paints, varnishes and similar coatings, printing ink and mastics</v>
      </c>
    </row>
    <row r="172" spans="17:61" x14ac:dyDescent="0.3">
      <c r="AM172" s="182" t="s">
        <v>265</v>
      </c>
      <c r="AN172" s="182" t="s">
        <v>273</v>
      </c>
      <c r="AO172" s="182" t="s">
        <v>541</v>
      </c>
      <c r="AP172" s="147" t="s">
        <v>338</v>
      </c>
      <c r="AQ172" s="147" t="s">
        <v>972</v>
      </c>
      <c r="AR172" s="182" t="s">
        <v>339</v>
      </c>
      <c r="AS172" s="182" t="str">
        <f t="shared" si="5"/>
        <v>Stationary AssetsBuildingsOur EstateRefrigerantsR1234yfNaN</v>
      </c>
      <c r="AT172" s="182" t="s">
        <v>337</v>
      </c>
      <c r="AU172" s="182"/>
      <c r="AV172" s="208"/>
      <c r="AW172" s="208"/>
      <c r="AX172" s="311">
        <v>0.1</v>
      </c>
      <c r="BA172" s="398"/>
      <c r="BB172" s="398"/>
      <c r="BC172" s="398"/>
      <c r="BH172" s="147" t="str">
        <v>Manufacturing</v>
      </c>
      <c r="BI172" s="147" t="str">
        <v>Soap and detergents, cleaning and polishing preparations, perfumes and toilet preparations</v>
      </c>
    </row>
    <row r="173" spans="17:61" x14ac:dyDescent="0.3">
      <c r="AM173" s="182" t="s">
        <v>265</v>
      </c>
      <c r="AN173" s="182" t="s">
        <v>273</v>
      </c>
      <c r="AO173" s="182" t="s">
        <v>541</v>
      </c>
      <c r="AP173" s="147" t="s">
        <v>338</v>
      </c>
      <c r="AQ173" s="147" t="s">
        <v>973</v>
      </c>
      <c r="AR173" s="182" t="s">
        <v>339</v>
      </c>
      <c r="AS173" s="182" t="str">
        <f t="shared" si="5"/>
        <v>Stationary AssetsBuildingsOur EstateRefrigerantsR1234zeNaN</v>
      </c>
      <c r="AT173" s="182" t="s">
        <v>337</v>
      </c>
      <c r="AU173" s="182"/>
      <c r="AV173" s="208"/>
      <c r="AW173" s="208"/>
      <c r="AX173" s="311">
        <v>0.1</v>
      </c>
      <c r="BA173" s="398"/>
      <c r="BB173" s="398"/>
      <c r="BC173" s="398"/>
      <c r="BH173" s="147" t="str">
        <v>Manufacturing</v>
      </c>
      <c r="BI173" s="147" t="str">
        <v>Other chemical products</v>
      </c>
    </row>
    <row r="174" spans="17:61" x14ac:dyDescent="0.3">
      <c r="AM174" s="182" t="s">
        <v>265</v>
      </c>
      <c r="AN174" s="182" t="s">
        <v>273</v>
      </c>
      <c r="AO174" s="182" t="s">
        <v>541</v>
      </c>
      <c r="AP174" s="147" t="s">
        <v>338</v>
      </c>
      <c r="AQ174" s="147" t="s">
        <v>1906</v>
      </c>
      <c r="AR174" s="182" t="s">
        <v>339</v>
      </c>
      <c r="AS174" s="182" t="str">
        <f t="shared" si="5"/>
        <v>Stationary AssetsBuildingsOur EstateRefrigerantsR449ANaN</v>
      </c>
      <c r="AT174" s="182" t="s">
        <v>337</v>
      </c>
      <c r="AU174" s="182"/>
      <c r="AV174" s="208"/>
      <c r="AW174" s="208"/>
      <c r="AX174" s="311">
        <v>0.1</v>
      </c>
      <c r="AY174" s="310"/>
      <c r="BA174" s="398"/>
      <c r="BB174" s="398"/>
      <c r="BC174" s="398"/>
      <c r="BH174" s="147" t="str">
        <v>Manufacturing</v>
      </c>
      <c r="BI174" s="147" t="str">
        <v>Industrial gases, inorganics and fertilisers (all inorganic chemicals) - 20.11/13/15</v>
      </c>
    </row>
    <row r="175" spans="17:61" x14ac:dyDescent="0.3">
      <c r="AM175" s="182" t="s">
        <v>265</v>
      </c>
      <c r="AN175" s="182" t="s">
        <v>273</v>
      </c>
      <c r="AO175" s="182" t="s">
        <v>541</v>
      </c>
      <c r="AP175" s="147" t="s">
        <v>974</v>
      </c>
      <c r="AQ175" s="147" t="s">
        <v>975</v>
      </c>
      <c r="AR175" s="182" t="s">
        <v>339</v>
      </c>
      <c r="AS175" s="182" t="str">
        <f t="shared" ref="AS175:AS204" si="6">_xlfn.CONCAT(AM175:AR175)</f>
        <v>Stationary AssetsBuildingsOur EstateFossil FuelsCoalNaN</v>
      </c>
      <c r="AT175" s="182" t="s">
        <v>316</v>
      </c>
      <c r="AU175" s="182" t="s">
        <v>976</v>
      </c>
      <c r="AV175" s="208">
        <v>0.15</v>
      </c>
      <c r="AW175" s="208">
        <v>0.1</v>
      </c>
      <c r="AX175" s="311">
        <v>0.05</v>
      </c>
      <c r="AY175" s="310"/>
      <c r="BA175" s="398"/>
      <c r="BB175" s="398"/>
      <c r="BC175" s="398"/>
      <c r="BH175" s="147" t="str">
        <v>Manufacturing</v>
      </c>
      <c r="BI175" s="147" t="str">
        <v>Petrochemicals - 20.14/16/17/60</v>
      </c>
    </row>
    <row r="176" spans="17:61" x14ac:dyDescent="0.3">
      <c r="AM176" s="182" t="s">
        <v>265</v>
      </c>
      <c r="AN176" s="182" t="s">
        <v>273</v>
      </c>
      <c r="AO176" s="182" t="s">
        <v>541</v>
      </c>
      <c r="AP176" s="147" t="s">
        <v>974</v>
      </c>
      <c r="AQ176" s="147" t="s">
        <v>977</v>
      </c>
      <c r="AR176" s="182" t="s">
        <v>339</v>
      </c>
      <c r="AS176" s="182" t="str">
        <f t="shared" si="6"/>
        <v>Stationary AssetsBuildingsOur EstateFossil FuelsGas oilNaN</v>
      </c>
      <c r="AT176" s="182" t="s">
        <v>316</v>
      </c>
      <c r="AU176" s="182" t="s">
        <v>343</v>
      </c>
      <c r="AV176" s="208">
        <v>0.125</v>
      </c>
      <c r="AW176" s="208">
        <v>7.4999999999999997E-2</v>
      </c>
      <c r="AX176" s="311">
        <v>0.05</v>
      </c>
      <c r="AY176" s="310"/>
      <c r="BA176" s="398"/>
      <c r="BB176" s="398"/>
      <c r="BC176" s="398"/>
      <c r="BH176" s="147" t="str">
        <v>Manufacturing</v>
      </c>
      <c r="BI176" s="147" t="str">
        <v>Dyestuffs, agro-chemicals - 20.12/20</v>
      </c>
    </row>
    <row r="177" spans="39:61" x14ac:dyDescent="0.3">
      <c r="AM177" s="182" t="s">
        <v>265</v>
      </c>
      <c r="AN177" s="182" t="s">
        <v>273</v>
      </c>
      <c r="AO177" s="182" t="s">
        <v>541</v>
      </c>
      <c r="AP177" s="147" t="s">
        <v>974</v>
      </c>
      <c r="AQ177" s="147" t="s">
        <v>978</v>
      </c>
      <c r="AR177" s="182" t="s">
        <v>339</v>
      </c>
      <c r="AS177" s="182" t="str">
        <f t="shared" si="6"/>
        <v>Stationary AssetsBuildingsOur EstateFossil FuelsNatural gasNaN</v>
      </c>
      <c r="AT177" s="182" t="s">
        <v>316</v>
      </c>
      <c r="AU177" s="182" t="s">
        <v>979</v>
      </c>
      <c r="AV177" s="208">
        <v>0.1</v>
      </c>
      <c r="AW177" s="208">
        <v>0.05</v>
      </c>
      <c r="AX177" s="311">
        <v>2.5000000000000001E-2</v>
      </c>
      <c r="AY177" s="310"/>
      <c r="BA177" s="398"/>
      <c r="BB177" s="398"/>
      <c r="BC177" s="398"/>
      <c r="BH177" s="147" t="str">
        <v>Manufacturing</v>
      </c>
      <c r="BI177" s="147" t="str">
        <v>Basic pharmaceutical products and pharmaceutical preparations</v>
      </c>
    </row>
    <row r="178" spans="39:61" x14ac:dyDescent="0.3">
      <c r="AM178" s="182" t="s">
        <v>265</v>
      </c>
      <c r="AN178" s="182" t="s">
        <v>273</v>
      </c>
      <c r="AO178" s="182" t="s">
        <v>541</v>
      </c>
      <c r="AP178" s="147" t="s">
        <v>974</v>
      </c>
      <c r="AQ178" s="147" t="s">
        <v>980</v>
      </c>
      <c r="AR178" s="182" t="s">
        <v>339</v>
      </c>
      <c r="AS178" s="182" t="str">
        <f t="shared" si="6"/>
        <v>Stationary AssetsBuildingsOur EstateFossil FuelsKeroseneNaN</v>
      </c>
      <c r="AT178" s="182" t="s">
        <v>316</v>
      </c>
      <c r="AU178" s="182" t="s">
        <v>343</v>
      </c>
      <c r="AV178" s="208">
        <v>0.125</v>
      </c>
      <c r="AW178" s="208">
        <v>7.4999999999999997E-2</v>
      </c>
      <c r="AX178" s="311">
        <v>0.05</v>
      </c>
      <c r="AY178" s="310"/>
      <c r="BA178" s="398"/>
      <c r="BB178" s="398"/>
      <c r="BC178" s="398"/>
      <c r="BH178" s="147" t="str">
        <v>Manufacturing</v>
      </c>
      <c r="BI178" s="147" t="str">
        <v>Rubber and plastic products</v>
      </c>
    </row>
    <row r="179" spans="39:61" x14ac:dyDescent="0.3">
      <c r="AM179" s="182" t="s">
        <v>265</v>
      </c>
      <c r="AN179" s="182" t="s">
        <v>273</v>
      </c>
      <c r="AO179" s="182" t="s">
        <v>541</v>
      </c>
      <c r="AP179" s="147" t="s">
        <v>974</v>
      </c>
      <c r="AQ179" s="147" t="s">
        <v>981</v>
      </c>
      <c r="AR179" s="182" t="s">
        <v>339</v>
      </c>
      <c r="AS179" s="182" t="str">
        <f t="shared" si="6"/>
        <v>Stationary AssetsBuildingsOur EstateFossil FuelsLPGNaN</v>
      </c>
      <c r="AT179" s="182" t="s">
        <v>316</v>
      </c>
      <c r="AU179" s="182" t="s">
        <v>343</v>
      </c>
      <c r="AV179" s="208">
        <v>0.125</v>
      </c>
      <c r="AW179" s="208">
        <v>7.4999999999999997E-2</v>
      </c>
      <c r="AX179" s="311">
        <v>0.05</v>
      </c>
      <c r="AY179" s="310"/>
      <c r="BA179" s="398"/>
      <c r="BB179" s="398"/>
      <c r="BC179" s="398"/>
      <c r="BH179" s="147" t="str">
        <v>Manufacturing</v>
      </c>
      <c r="BI179" s="147" t="str">
        <v>Cement, lime, plaster and articles of concrete, cement and plaster</v>
      </c>
    </row>
    <row r="180" spans="39:61" x14ac:dyDescent="0.3">
      <c r="AM180" s="182" t="s">
        <v>265</v>
      </c>
      <c r="AN180" s="182" t="s">
        <v>273</v>
      </c>
      <c r="AO180" s="147" t="s">
        <v>982</v>
      </c>
      <c r="AP180" s="147" t="s">
        <v>974</v>
      </c>
      <c r="AQ180" s="147" t="s">
        <v>975</v>
      </c>
      <c r="AR180" s="182" t="s">
        <v>339</v>
      </c>
      <c r="AS180" s="182" t="str">
        <f t="shared" si="6"/>
        <v>Stationary AssetsBuildingsLesseeFossil FuelsCoalNaN</v>
      </c>
      <c r="AT180" s="182" t="s">
        <v>316</v>
      </c>
      <c r="AU180" s="182" t="s">
        <v>976</v>
      </c>
      <c r="AV180" s="208">
        <v>0.15</v>
      </c>
      <c r="AW180" s="208">
        <v>0.1</v>
      </c>
      <c r="AX180" s="311">
        <v>0.05</v>
      </c>
      <c r="AY180" s="310"/>
      <c r="BA180" s="398"/>
      <c r="BB180" s="398"/>
      <c r="BC180" s="398"/>
      <c r="BH180" s="147" t="str">
        <v>Manufacturing</v>
      </c>
      <c r="BI180" s="147" t="str">
        <v>Glass, refractory, clay, other porcelain and ceramic, stone and abrasive products - 23.1-4/7-9</v>
      </c>
    </row>
    <row r="181" spans="39:61" x14ac:dyDescent="0.3">
      <c r="AM181" s="182" t="s">
        <v>265</v>
      </c>
      <c r="AN181" s="182" t="s">
        <v>273</v>
      </c>
      <c r="AO181" s="147" t="s">
        <v>982</v>
      </c>
      <c r="AP181" s="147" t="s">
        <v>974</v>
      </c>
      <c r="AQ181" s="147" t="s">
        <v>977</v>
      </c>
      <c r="AR181" s="182" t="s">
        <v>339</v>
      </c>
      <c r="AS181" s="182" t="str">
        <f t="shared" si="6"/>
        <v>Stationary AssetsBuildingsLesseeFossil FuelsGas oilNaN</v>
      </c>
      <c r="AT181" s="182" t="s">
        <v>316</v>
      </c>
      <c r="AU181" s="182" t="s">
        <v>343</v>
      </c>
      <c r="AV181" s="208">
        <v>0.125</v>
      </c>
      <c r="AW181" s="208">
        <v>7.4999999999999997E-2</v>
      </c>
      <c r="AX181" s="311">
        <v>0.05</v>
      </c>
      <c r="AY181" s="310"/>
      <c r="BA181" s="398"/>
      <c r="BB181" s="398"/>
      <c r="BC181" s="398"/>
      <c r="BH181" s="147" t="str">
        <v>Manufacturing</v>
      </c>
      <c r="BI181" s="147" t="str">
        <v>Basic iron and steel</v>
      </c>
    </row>
    <row r="182" spans="39:61" x14ac:dyDescent="0.3">
      <c r="AM182" s="182" t="s">
        <v>265</v>
      </c>
      <c r="AN182" s="182" t="s">
        <v>273</v>
      </c>
      <c r="AO182" s="147" t="s">
        <v>982</v>
      </c>
      <c r="AP182" s="147" t="s">
        <v>974</v>
      </c>
      <c r="AQ182" s="147" t="s">
        <v>978</v>
      </c>
      <c r="AR182" s="182" t="s">
        <v>339</v>
      </c>
      <c r="AS182" s="182" t="str">
        <f t="shared" si="6"/>
        <v>Stationary AssetsBuildingsLesseeFossil FuelsNatural gasNaN</v>
      </c>
      <c r="AT182" s="182" t="s">
        <v>316</v>
      </c>
      <c r="AU182" s="182" t="s">
        <v>979</v>
      </c>
      <c r="AV182" s="208">
        <v>0.1</v>
      </c>
      <c r="AW182" s="208">
        <v>0.05</v>
      </c>
      <c r="AX182" s="311">
        <v>2.5000000000000001E-2</v>
      </c>
      <c r="AY182" s="310"/>
      <c r="BA182" s="398"/>
      <c r="BB182" s="398"/>
      <c r="BC182" s="398"/>
      <c r="BH182" s="147" t="str">
        <v>Manufacturing</v>
      </c>
      <c r="BI182" s="147" t="str">
        <v>Other basic metals and casting</v>
      </c>
    </row>
    <row r="183" spans="39:61" x14ac:dyDescent="0.3">
      <c r="AM183" s="182" t="s">
        <v>265</v>
      </c>
      <c r="AN183" s="182" t="s">
        <v>273</v>
      </c>
      <c r="AO183" s="147" t="s">
        <v>982</v>
      </c>
      <c r="AP183" s="147" t="s">
        <v>974</v>
      </c>
      <c r="AQ183" s="147" t="s">
        <v>980</v>
      </c>
      <c r="AR183" s="182" t="s">
        <v>339</v>
      </c>
      <c r="AS183" s="182" t="str">
        <f t="shared" si="6"/>
        <v>Stationary AssetsBuildingsLesseeFossil FuelsKeroseneNaN</v>
      </c>
      <c r="AT183" s="182" t="s">
        <v>316</v>
      </c>
      <c r="AU183" s="182" t="s">
        <v>343</v>
      </c>
      <c r="AV183" s="208">
        <v>0.125</v>
      </c>
      <c r="AW183" s="208">
        <v>7.4999999999999997E-2</v>
      </c>
      <c r="AX183" s="311">
        <v>0.05</v>
      </c>
      <c r="AY183" s="310"/>
      <c r="BA183" s="398"/>
      <c r="BB183" s="398"/>
      <c r="BC183" s="398"/>
      <c r="BH183" s="147" t="str">
        <v>Manufacturing</v>
      </c>
      <c r="BI183" s="147" t="str">
        <v>Weapons and ammunition</v>
      </c>
    </row>
    <row r="184" spans="39:61" x14ac:dyDescent="0.3">
      <c r="AM184" s="182" t="s">
        <v>265</v>
      </c>
      <c r="AN184" s="182" t="s">
        <v>273</v>
      </c>
      <c r="AO184" s="147" t="s">
        <v>982</v>
      </c>
      <c r="AP184" s="147" t="s">
        <v>974</v>
      </c>
      <c r="AQ184" s="147" t="s">
        <v>981</v>
      </c>
      <c r="AR184" s="182" t="s">
        <v>339</v>
      </c>
      <c r="AS184" s="182" t="str">
        <f t="shared" si="6"/>
        <v>Stationary AssetsBuildingsLesseeFossil FuelsLPGNaN</v>
      </c>
      <c r="AT184" s="182" t="s">
        <v>316</v>
      </c>
      <c r="AU184" s="182" t="s">
        <v>343</v>
      </c>
      <c r="AV184" s="208">
        <v>0.125</v>
      </c>
      <c r="AW184" s="208">
        <v>7.4999999999999997E-2</v>
      </c>
      <c r="AX184" s="311">
        <v>0.05</v>
      </c>
      <c r="AY184" s="310"/>
      <c r="BA184" s="398"/>
      <c r="BB184" s="398"/>
      <c r="BC184" s="398"/>
      <c r="BH184" s="147" t="str">
        <v>Manufacturing</v>
      </c>
      <c r="BI184" s="147" t="str">
        <v>Fabricated metal products, excl. machinery and equipment and weapons &amp; ammunition - 25.1-3/25.5-9</v>
      </c>
    </row>
    <row r="185" spans="39:61" x14ac:dyDescent="0.3">
      <c r="AM185" s="182" t="s">
        <v>265</v>
      </c>
      <c r="AN185" s="182" t="s">
        <v>273</v>
      </c>
      <c r="AO185" s="147" t="s">
        <v>983</v>
      </c>
      <c r="AP185" s="147" t="s">
        <v>974</v>
      </c>
      <c r="AQ185" s="147" t="s">
        <v>975</v>
      </c>
      <c r="AR185" s="182" t="s">
        <v>339</v>
      </c>
      <c r="AS185" s="182" t="str">
        <f t="shared" si="6"/>
        <v>Stationary AssetsBuildingsLessorFossil FuelsCoalNaN</v>
      </c>
      <c r="AT185" s="182" t="s">
        <v>316</v>
      </c>
      <c r="AU185" s="182" t="s">
        <v>976</v>
      </c>
      <c r="AV185" s="208">
        <v>0.15</v>
      </c>
      <c r="AW185" s="208">
        <v>0.1</v>
      </c>
      <c r="AX185" s="311">
        <v>0.05</v>
      </c>
      <c r="AY185" s="310"/>
      <c r="BA185" s="398"/>
      <c r="BB185" s="398"/>
      <c r="BC185" s="398"/>
      <c r="BH185" s="147" t="str">
        <v>Manufacturing</v>
      </c>
      <c r="BI185" s="147" t="str">
        <v>Computer, electronic and optical products</v>
      </c>
    </row>
    <row r="186" spans="39:61" x14ac:dyDescent="0.3">
      <c r="AM186" s="182" t="s">
        <v>265</v>
      </c>
      <c r="AN186" s="182" t="s">
        <v>273</v>
      </c>
      <c r="AO186" s="147" t="s">
        <v>983</v>
      </c>
      <c r="AP186" s="147" t="s">
        <v>974</v>
      </c>
      <c r="AQ186" s="147" t="s">
        <v>977</v>
      </c>
      <c r="AR186" s="182" t="s">
        <v>339</v>
      </c>
      <c r="AS186" s="182" t="str">
        <f t="shared" si="6"/>
        <v>Stationary AssetsBuildingsLessorFossil FuelsGas oilNaN</v>
      </c>
      <c r="AT186" s="182" t="s">
        <v>316</v>
      </c>
      <c r="AU186" s="182" t="s">
        <v>343</v>
      </c>
      <c r="AV186" s="208">
        <v>0.125</v>
      </c>
      <c r="AW186" s="208">
        <v>7.4999999999999997E-2</v>
      </c>
      <c r="AX186" s="311">
        <v>0.05</v>
      </c>
      <c r="AY186" s="310"/>
      <c r="BA186" s="398"/>
      <c r="BB186" s="398"/>
      <c r="BC186" s="398"/>
      <c r="BH186" s="147" t="str">
        <v>Manufacturing</v>
      </c>
      <c r="BI186" s="147" t="str">
        <v>Electrical equipment</v>
      </c>
    </row>
    <row r="187" spans="39:61" x14ac:dyDescent="0.3">
      <c r="AM187" s="182" t="s">
        <v>265</v>
      </c>
      <c r="AN187" s="182" t="s">
        <v>273</v>
      </c>
      <c r="AO187" s="147" t="s">
        <v>983</v>
      </c>
      <c r="AP187" s="147" t="s">
        <v>974</v>
      </c>
      <c r="AQ187" s="147" t="s">
        <v>978</v>
      </c>
      <c r="AR187" s="182" t="s">
        <v>339</v>
      </c>
      <c r="AS187" s="182" t="str">
        <f t="shared" si="6"/>
        <v>Stationary AssetsBuildingsLessorFossil FuelsNatural gasNaN</v>
      </c>
      <c r="AT187" s="182" t="s">
        <v>316</v>
      </c>
      <c r="AU187" s="182" t="s">
        <v>979</v>
      </c>
      <c r="AV187" s="208">
        <v>0.1</v>
      </c>
      <c r="AW187" s="208">
        <v>0.05</v>
      </c>
      <c r="AX187" s="311">
        <v>2.5000000000000001E-2</v>
      </c>
      <c r="AY187" s="310"/>
      <c r="BA187" s="398"/>
      <c r="BB187" s="398"/>
      <c r="BC187" s="398"/>
      <c r="BH187" s="147" t="str">
        <v>Manufacturing</v>
      </c>
      <c r="BI187" s="147" t="str">
        <v>Machinery and equipment n.e.c.</v>
      </c>
    </row>
    <row r="188" spans="39:61" x14ac:dyDescent="0.3">
      <c r="AM188" s="182" t="s">
        <v>265</v>
      </c>
      <c r="AN188" s="182" t="s">
        <v>273</v>
      </c>
      <c r="AO188" s="147" t="s">
        <v>983</v>
      </c>
      <c r="AP188" s="147" t="s">
        <v>974</v>
      </c>
      <c r="AQ188" s="147" t="s">
        <v>980</v>
      </c>
      <c r="AR188" s="182" t="s">
        <v>339</v>
      </c>
      <c r="AS188" s="182" t="str">
        <f t="shared" si="6"/>
        <v>Stationary AssetsBuildingsLessorFossil FuelsKeroseneNaN</v>
      </c>
      <c r="AT188" s="182" t="s">
        <v>316</v>
      </c>
      <c r="AU188" s="182" t="s">
        <v>343</v>
      </c>
      <c r="AV188" s="208">
        <v>0.125</v>
      </c>
      <c r="AW188" s="208">
        <v>7.4999999999999997E-2</v>
      </c>
      <c r="AX188" s="311">
        <v>0.05</v>
      </c>
      <c r="AY188" s="310"/>
      <c r="BA188" s="398"/>
      <c r="BB188" s="398"/>
      <c r="BC188" s="398"/>
      <c r="BH188" s="147" t="str">
        <v>Manufacturing</v>
      </c>
      <c r="BI188" s="147" t="str">
        <v>Motor vehicles, trailers and semi-trailers</v>
      </c>
    </row>
    <row r="189" spans="39:61" x14ac:dyDescent="0.3">
      <c r="AM189" s="182" t="s">
        <v>265</v>
      </c>
      <c r="AN189" s="182" t="s">
        <v>273</v>
      </c>
      <c r="AO189" s="147" t="s">
        <v>983</v>
      </c>
      <c r="AP189" s="147" t="s">
        <v>974</v>
      </c>
      <c r="AQ189" s="147" t="s">
        <v>981</v>
      </c>
      <c r="AR189" s="182" t="s">
        <v>339</v>
      </c>
      <c r="AS189" s="182" t="str">
        <f t="shared" si="6"/>
        <v>Stationary AssetsBuildingsLessorFossil FuelsLPGNaN</v>
      </c>
      <c r="AT189" s="182" t="s">
        <v>316</v>
      </c>
      <c r="AU189" s="182" t="s">
        <v>343</v>
      </c>
      <c r="AV189" s="208">
        <v>0.125</v>
      </c>
      <c r="AW189" s="208">
        <v>7.4999999999999997E-2</v>
      </c>
      <c r="AX189" s="311">
        <v>0.05</v>
      </c>
      <c r="AY189" s="310"/>
      <c r="BA189" s="398"/>
      <c r="BB189" s="398"/>
      <c r="BC189" s="398"/>
      <c r="BH189" s="147" t="str">
        <v>Manufacturing</v>
      </c>
      <c r="BI189" s="147" t="str">
        <v>Ships and boats</v>
      </c>
    </row>
    <row r="190" spans="39:61" x14ac:dyDescent="0.3">
      <c r="AM190" s="182" t="s">
        <v>265</v>
      </c>
      <c r="AN190" s="182" t="s">
        <v>273</v>
      </c>
      <c r="AO190" s="147" t="s">
        <v>984</v>
      </c>
      <c r="AP190" s="147" t="s">
        <v>974</v>
      </c>
      <c r="AQ190" s="147" t="s">
        <v>975</v>
      </c>
      <c r="AR190" s="182" t="s">
        <v>339</v>
      </c>
      <c r="AS190" s="182" t="str">
        <f t="shared" si="6"/>
        <v>Stationary AssetsBuildingsLessor (to PSB)Fossil FuelsCoalNaN</v>
      </c>
      <c r="AT190" s="182" t="s">
        <v>316</v>
      </c>
      <c r="AU190" s="182" t="s">
        <v>976</v>
      </c>
      <c r="AV190" s="208">
        <v>0.15</v>
      </c>
      <c r="AW190" s="208">
        <v>0.1</v>
      </c>
      <c r="AX190" s="311">
        <v>0.05</v>
      </c>
      <c r="AY190" s="310"/>
      <c r="BA190" s="398"/>
      <c r="BB190" s="398"/>
      <c r="BC190" s="398"/>
      <c r="BH190" s="147" t="str">
        <v>Manufacturing</v>
      </c>
      <c r="BI190" s="147" t="str">
        <v>Air and spacecraft and related machinery</v>
      </c>
    </row>
    <row r="191" spans="39:61" x14ac:dyDescent="0.3">
      <c r="AM191" s="182" t="s">
        <v>265</v>
      </c>
      <c r="AN191" s="182" t="s">
        <v>273</v>
      </c>
      <c r="AO191" s="147" t="s">
        <v>984</v>
      </c>
      <c r="AP191" s="147" t="s">
        <v>974</v>
      </c>
      <c r="AQ191" s="147" t="s">
        <v>977</v>
      </c>
      <c r="AR191" s="182" t="s">
        <v>339</v>
      </c>
      <c r="AS191" s="182" t="str">
        <f t="shared" si="6"/>
        <v>Stationary AssetsBuildingsLessor (to PSB)Fossil FuelsGas oilNaN</v>
      </c>
      <c r="AT191" s="182" t="s">
        <v>316</v>
      </c>
      <c r="AU191" s="182" t="s">
        <v>343</v>
      </c>
      <c r="AV191" s="208">
        <v>0.125</v>
      </c>
      <c r="AW191" s="208">
        <v>7.4999999999999997E-2</v>
      </c>
      <c r="AX191" s="311">
        <v>0.05</v>
      </c>
      <c r="AY191" s="310"/>
      <c r="BA191" s="398"/>
      <c r="BB191" s="398"/>
      <c r="BC191" s="398"/>
      <c r="BH191" s="147" t="str">
        <v>Manufacturing</v>
      </c>
      <c r="BI191" s="147" t="str">
        <v>Other transport equipment - 30.2/4/9</v>
      </c>
    </row>
    <row r="192" spans="39:61" x14ac:dyDescent="0.3">
      <c r="AM192" s="182" t="s">
        <v>265</v>
      </c>
      <c r="AN192" s="182" t="s">
        <v>273</v>
      </c>
      <c r="AO192" s="147" t="s">
        <v>984</v>
      </c>
      <c r="AP192" s="147" t="s">
        <v>974</v>
      </c>
      <c r="AQ192" s="147" t="s">
        <v>978</v>
      </c>
      <c r="AR192" s="182" t="s">
        <v>339</v>
      </c>
      <c r="AS192" s="182" t="str">
        <f t="shared" si="6"/>
        <v>Stationary AssetsBuildingsLessor (to PSB)Fossil FuelsNatural gasNaN</v>
      </c>
      <c r="AT192" s="182" t="s">
        <v>316</v>
      </c>
      <c r="AU192" s="182" t="s">
        <v>979</v>
      </c>
      <c r="AV192" s="208">
        <v>0.1</v>
      </c>
      <c r="AW192" s="208">
        <v>0.05</v>
      </c>
      <c r="AX192" s="311">
        <v>2.5000000000000001E-2</v>
      </c>
      <c r="AY192" s="310"/>
      <c r="BA192" s="398"/>
      <c r="BB192" s="398"/>
      <c r="BC192" s="398"/>
      <c r="BH192" s="147" t="str">
        <v>Manufacturing</v>
      </c>
      <c r="BI192" s="147" t="str">
        <v>Furniture</v>
      </c>
    </row>
    <row r="193" spans="39:61" x14ac:dyDescent="0.3">
      <c r="AM193" s="182" t="s">
        <v>265</v>
      </c>
      <c r="AN193" s="182" t="s">
        <v>273</v>
      </c>
      <c r="AO193" s="147" t="s">
        <v>984</v>
      </c>
      <c r="AP193" s="147" t="s">
        <v>974</v>
      </c>
      <c r="AQ193" s="147" t="s">
        <v>980</v>
      </c>
      <c r="AR193" s="182" t="s">
        <v>339</v>
      </c>
      <c r="AS193" s="182" t="str">
        <f t="shared" si="6"/>
        <v>Stationary AssetsBuildingsLessor (to PSB)Fossil FuelsKeroseneNaN</v>
      </c>
      <c r="AT193" s="182" t="s">
        <v>316</v>
      </c>
      <c r="AU193" s="182" t="s">
        <v>343</v>
      </c>
      <c r="AV193" s="208">
        <v>0.125</v>
      </c>
      <c r="AW193" s="208">
        <v>7.4999999999999997E-2</v>
      </c>
      <c r="AX193" s="311">
        <v>0.05</v>
      </c>
      <c r="AY193" s="310"/>
      <c r="BA193" s="398"/>
      <c r="BB193" s="398"/>
      <c r="BC193" s="398"/>
      <c r="BH193" s="147" t="str">
        <v>Manufacturing</v>
      </c>
      <c r="BI193" s="147" t="str">
        <v>Other manufactured goods</v>
      </c>
    </row>
    <row r="194" spans="39:61" x14ac:dyDescent="0.3">
      <c r="AM194" s="182" t="s">
        <v>265</v>
      </c>
      <c r="AN194" s="182" t="s">
        <v>273</v>
      </c>
      <c r="AO194" s="147" t="s">
        <v>984</v>
      </c>
      <c r="AP194" s="147" t="s">
        <v>974</v>
      </c>
      <c r="AQ194" s="147" t="s">
        <v>981</v>
      </c>
      <c r="AR194" s="182" t="s">
        <v>339</v>
      </c>
      <c r="AS194" s="182" t="str">
        <f t="shared" si="6"/>
        <v>Stationary AssetsBuildingsLessor (to PSB)Fossil FuelsLPGNaN</v>
      </c>
      <c r="AT194" s="182" t="s">
        <v>316</v>
      </c>
      <c r="AU194" s="182" t="s">
        <v>343</v>
      </c>
      <c r="AV194" s="208">
        <v>0.125</v>
      </c>
      <c r="AW194" s="208">
        <v>7.4999999999999997E-2</v>
      </c>
      <c r="AX194" s="311">
        <v>0.05</v>
      </c>
      <c r="AY194" s="310"/>
      <c r="BA194" s="398"/>
      <c r="BB194" s="398"/>
      <c r="BC194" s="398"/>
      <c r="BH194" s="147" t="str">
        <v>Manufacturing</v>
      </c>
      <c r="BI194" s="147" t="str">
        <v>Repair and maintenance of ships and boats</v>
      </c>
    </row>
    <row r="195" spans="39:61" x14ac:dyDescent="0.3">
      <c r="AM195" s="182" t="s">
        <v>265</v>
      </c>
      <c r="AN195" s="182" t="s">
        <v>273</v>
      </c>
      <c r="AO195" s="147" t="s">
        <v>541</v>
      </c>
      <c r="AP195" s="147" t="s">
        <v>326</v>
      </c>
      <c r="AQ195" s="147" t="s">
        <v>985</v>
      </c>
      <c r="AR195" s="182" t="s">
        <v>339</v>
      </c>
      <c r="AS195" s="182" t="str">
        <f t="shared" si="6"/>
        <v>Stationary AssetsBuildingsOur EstateBioenergyHVONaN</v>
      </c>
      <c r="AT195" s="182" t="s">
        <v>316</v>
      </c>
      <c r="AU195" s="182" t="s">
        <v>343</v>
      </c>
      <c r="AV195" s="208">
        <v>0.125</v>
      </c>
      <c r="AW195" s="208">
        <v>7.4999999999999997E-2</v>
      </c>
      <c r="AX195" s="311">
        <v>0.05</v>
      </c>
      <c r="AY195" s="310"/>
      <c r="BA195" s="398"/>
      <c r="BB195" s="398"/>
      <c r="BC195" s="398"/>
      <c r="BH195" s="147" t="str">
        <v>Manufacturing</v>
      </c>
      <c r="BI195" s="147" t="str">
        <v>Repair and maintenance of aircraft and spacecraft</v>
      </c>
    </row>
    <row r="196" spans="39:61" x14ac:dyDescent="0.3">
      <c r="AM196" s="182" t="s">
        <v>265</v>
      </c>
      <c r="AN196" s="182" t="s">
        <v>273</v>
      </c>
      <c r="AO196" s="147" t="s">
        <v>541</v>
      </c>
      <c r="AP196" s="147" t="s">
        <v>326</v>
      </c>
      <c r="AQ196" s="147" t="s">
        <v>986</v>
      </c>
      <c r="AR196" s="182" t="s">
        <v>339</v>
      </c>
      <c r="AS196" s="182" t="str">
        <f t="shared" si="6"/>
        <v>Stationary AssetsBuildingsOur EstateBioenergyWood pelletsNaN</v>
      </c>
      <c r="AT196" s="182" t="s">
        <v>316</v>
      </c>
      <c r="AU196" s="182" t="s">
        <v>976</v>
      </c>
      <c r="AV196" s="208">
        <v>0.125</v>
      </c>
      <c r="AW196" s="208">
        <v>7.4999999999999997E-2</v>
      </c>
      <c r="AX196" s="311">
        <v>0.05</v>
      </c>
      <c r="AY196" s="310"/>
      <c r="BA196" s="398"/>
      <c r="BB196" s="398"/>
      <c r="BC196" s="398"/>
      <c r="BH196" s="147" t="str">
        <v>Manufacturing</v>
      </c>
      <c r="BI196" s="147" t="str">
        <v>Rest of repair; Installation - 33.11-14/17/19/20</v>
      </c>
    </row>
    <row r="197" spans="39:61" x14ac:dyDescent="0.3">
      <c r="AM197" s="182" t="s">
        <v>265</v>
      </c>
      <c r="AN197" s="182" t="s">
        <v>273</v>
      </c>
      <c r="AO197" s="147" t="s">
        <v>541</v>
      </c>
      <c r="AP197" s="147" t="s">
        <v>326</v>
      </c>
      <c r="AQ197" s="147" t="s">
        <v>987</v>
      </c>
      <c r="AR197" s="182" t="s">
        <v>339</v>
      </c>
      <c r="AS197" s="182" t="str">
        <f t="shared" si="6"/>
        <v>Stationary AssetsBuildingsOur EstateBioenergyWood chipsNaN</v>
      </c>
      <c r="AT197" s="182" t="s">
        <v>316</v>
      </c>
      <c r="AU197" s="182" t="s">
        <v>976</v>
      </c>
      <c r="AV197" s="208">
        <v>0.125</v>
      </c>
      <c r="AW197" s="208">
        <v>7.4999999999999997E-2</v>
      </c>
      <c r="AX197" s="311">
        <v>0.05</v>
      </c>
      <c r="AY197" s="310"/>
      <c r="BA197" s="398"/>
      <c r="BB197" s="398"/>
      <c r="BC197" s="398"/>
      <c r="BH197" s="147" t="str">
        <v>Medical Gas</v>
      </c>
      <c r="BI197" s="147" t="str">
        <v>Desflurane</v>
      </c>
    </row>
    <row r="198" spans="39:61" x14ac:dyDescent="0.3">
      <c r="AM198" s="182" t="s">
        <v>265</v>
      </c>
      <c r="AN198" s="182" t="s">
        <v>273</v>
      </c>
      <c r="AO198" s="147" t="s">
        <v>541</v>
      </c>
      <c r="AP198" s="147" t="s">
        <v>326</v>
      </c>
      <c r="AQ198" s="147" t="s">
        <v>988</v>
      </c>
      <c r="AR198" s="182" t="s">
        <v>339</v>
      </c>
      <c r="AS198" s="182" t="str">
        <f t="shared" si="6"/>
        <v>Stationary AssetsBuildingsOur EstateBioenergyBiogasNaN</v>
      </c>
      <c r="AT198" s="182" t="s">
        <v>316</v>
      </c>
      <c r="AU198" s="182" t="s">
        <v>976</v>
      </c>
      <c r="AV198" s="208">
        <v>0.125</v>
      </c>
      <c r="AW198" s="208">
        <v>7.4999999999999997E-2</v>
      </c>
      <c r="AX198" s="311">
        <v>0.05</v>
      </c>
      <c r="AY198" s="310"/>
      <c r="BA198" s="398"/>
      <c r="BB198" s="398"/>
      <c r="BC198" s="398"/>
      <c r="BH198" s="147" t="str">
        <v>Medical Gas</v>
      </c>
      <c r="BI198" s="147" t="str">
        <v>Entonox</v>
      </c>
    </row>
    <row r="199" spans="39:61" x14ac:dyDescent="0.3">
      <c r="AM199" s="182" t="s">
        <v>265</v>
      </c>
      <c r="AN199" s="182" t="s">
        <v>273</v>
      </c>
      <c r="AO199" s="147" t="s">
        <v>982</v>
      </c>
      <c r="AP199" s="147" t="s">
        <v>326</v>
      </c>
      <c r="AQ199" s="147" t="s">
        <v>985</v>
      </c>
      <c r="AR199" s="182" t="s">
        <v>339</v>
      </c>
      <c r="AS199" s="182" t="str">
        <f t="shared" si="6"/>
        <v>Stationary AssetsBuildingsLesseeBioenergyHVONaN</v>
      </c>
      <c r="AT199" s="182" t="s">
        <v>316</v>
      </c>
      <c r="AU199" s="182" t="s">
        <v>343</v>
      </c>
      <c r="AV199" s="208">
        <v>0.125</v>
      </c>
      <c r="AW199" s="208">
        <v>7.4999999999999997E-2</v>
      </c>
      <c r="AX199" s="311">
        <v>0.05</v>
      </c>
      <c r="AY199" s="310"/>
      <c r="BA199" s="398"/>
      <c r="BB199" s="398"/>
      <c r="BC199" s="398"/>
      <c r="BH199" s="147" t="str">
        <v>Medical Gas</v>
      </c>
      <c r="BI199" s="147" t="str">
        <v>Isoflurane</v>
      </c>
    </row>
    <row r="200" spans="39:61" x14ac:dyDescent="0.3">
      <c r="AM200" s="182" t="s">
        <v>265</v>
      </c>
      <c r="AN200" s="182" t="s">
        <v>273</v>
      </c>
      <c r="AO200" s="147" t="s">
        <v>982</v>
      </c>
      <c r="AP200" s="147" t="s">
        <v>326</v>
      </c>
      <c r="AQ200" s="147" t="s">
        <v>986</v>
      </c>
      <c r="AR200" s="182" t="s">
        <v>339</v>
      </c>
      <c r="AS200" s="182" t="str">
        <f t="shared" si="6"/>
        <v>Stationary AssetsBuildingsLesseeBioenergyWood pelletsNaN</v>
      </c>
      <c r="AT200" s="182" t="s">
        <v>316</v>
      </c>
      <c r="AU200" s="182" t="s">
        <v>976</v>
      </c>
      <c r="AV200" s="208">
        <v>0.125</v>
      </c>
      <c r="AW200" s="208">
        <v>7.4999999999999997E-2</v>
      </c>
      <c r="AX200" s="311">
        <v>0.05</v>
      </c>
      <c r="AY200" s="310"/>
      <c r="BA200" s="398"/>
      <c r="BB200" s="398"/>
      <c r="BC200" s="398"/>
      <c r="BH200" s="147" t="str">
        <v>Medical Gas</v>
      </c>
      <c r="BI200" s="147" t="str">
        <v>Nitrous oxide</v>
      </c>
    </row>
    <row r="201" spans="39:61" x14ac:dyDescent="0.3">
      <c r="AM201" s="182" t="s">
        <v>265</v>
      </c>
      <c r="AN201" s="182" t="s">
        <v>273</v>
      </c>
      <c r="AO201" s="147" t="s">
        <v>982</v>
      </c>
      <c r="AP201" s="147" t="s">
        <v>326</v>
      </c>
      <c r="AQ201" s="147" t="s">
        <v>987</v>
      </c>
      <c r="AR201" s="182" t="s">
        <v>339</v>
      </c>
      <c r="AS201" s="182" t="str">
        <f t="shared" si="6"/>
        <v>Stationary AssetsBuildingsLesseeBioenergyWood chipsNaN</v>
      </c>
      <c r="AT201" s="182" t="s">
        <v>316</v>
      </c>
      <c r="AU201" s="182" t="s">
        <v>976</v>
      </c>
      <c r="AV201" s="208">
        <v>0.125</v>
      </c>
      <c r="AW201" s="208">
        <v>7.4999999999999997E-2</v>
      </c>
      <c r="AX201" s="311">
        <v>0.05</v>
      </c>
      <c r="AY201" s="310"/>
      <c r="BA201" s="398"/>
      <c r="BB201" s="398"/>
      <c r="BC201" s="398"/>
      <c r="BH201" s="147" t="str">
        <v>Medical Gas</v>
      </c>
      <c r="BI201" s="147" t="str">
        <v>Penthrox</v>
      </c>
    </row>
    <row r="202" spans="39:61" x14ac:dyDescent="0.3">
      <c r="AM202" s="182" t="s">
        <v>265</v>
      </c>
      <c r="AN202" s="182" t="s">
        <v>273</v>
      </c>
      <c r="AO202" s="147" t="s">
        <v>982</v>
      </c>
      <c r="AP202" s="147" t="s">
        <v>326</v>
      </c>
      <c r="AQ202" s="147" t="s">
        <v>988</v>
      </c>
      <c r="AR202" s="182" t="s">
        <v>339</v>
      </c>
      <c r="AS202" s="182" t="str">
        <f t="shared" si="6"/>
        <v>Stationary AssetsBuildingsLesseeBioenergyBiogasNaN</v>
      </c>
      <c r="AT202" s="182" t="s">
        <v>316</v>
      </c>
      <c r="AU202" s="182" t="s">
        <v>979</v>
      </c>
      <c r="AV202" s="208">
        <v>0.125</v>
      </c>
      <c r="AW202" s="208">
        <v>7.4999999999999997E-2</v>
      </c>
      <c r="AX202" s="311">
        <v>0.05</v>
      </c>
      <c r="AY202" s="310"/>
      <c r="BA202" s="398"/>
      <c r="BB202" s="398"/>
      <c r="BC202" s="398"/>
      <c r="BH202" s="147" t="str">
        <v>Medical Gas</v>
      </c>
      <c r="BI202" s="147" t="str">
        <v>Sevoflurane</v>
      </c>
    </row>
    <row r="203" spans="39:61" x14ac:dyDescent="0.3">
      <c r="AM203" s="182" t="s">
        <v>265</v>
      </c>
      <c r="AN203" s="182" t="s">
        <v>273</v>
      </c>
      <c r="AO203" s="147" t="s">
        <v>983</v>
      </c>
      <c r="AP203" s="147" t="s">
        <v>326</v>
      </c>
      <c r="AQ203" s="147" t="s">
        <v>985</v>
      </c>
      <c r="AR203" s="182" t="s">
        <v>339</v>
      </c>
      <c r="AS203" s="182" t="str">
        <f t="shared" si="6"/>
        <v>Stationary AssetsBuildingsLessorBioenergyHVONaN</v>
      </c>
      <c r="AT203" s="182" t="s">
        <v>316</v>
      </c>
      <c r="AU203" s="182" t="s">
        <v>343</v>
      </c>
      <c r="AV203" s="208">
        <v>0.125</v>
      </c>
      <c r="AW203" s="208">
        <v>7.4999999999999997E-2</v>
      </c>
      <c r="AX203" s="311">
        <v>0.05</v>
      </c>
      <c r="AY203" s="310"/>
      <c r="BA203" s="398"/>
      <c r="BB203" s="398"/>
      <c r="BC203" s="398"/>
      <c r="BH203" s="147" t="str">
        <v>Mineral</v>
      </c>
      <c r="BI203" s="147" t="str">
        <v>Forest land</v>
      </c>
    </row>
    <row r="204" spans="39:61" x14ac:dyDescent="0.3">
      <c r="AM204" s="182" t="s">
        <v>265</v>
      </c>
      <c r="AN204" s="182" t="s">
        <v>273</v>
      </c>
      <c r="AO204" s="147" t="s">
        <v>983</v>
      </c>
      <c r="AP204" s="147" t="s">
        <v>326</v>
      </c>
      <c r="AQ204" s="147" t="s">
        <v>986</v>
      </c>
      <c r="AR204" s="182" t="s">
        <v>339</v>
      </c>
      <c r="AS204" s="182" t="str">
        <f t="shared" si="6"/>
        <v>Stationary AssetsBuildingsLessorBioenergyWood pelletsNaN</v>
      </c>
      <c r="AT204" s="182" t="s">
        <v>316</v>
      </c>
      <c r="AU204" s="182" t="s">
        <v>976</v>
      </c>
      <c r="AV204" s="208">
        <v>0.125</v>
      </c>
      <c r="AW204" s="208">
        <v>7.4999999999999997E-2</v>
      </c>
      <c r="AX204" s="311">
        <v>0.05</v>
      </c>
      <c r="AY204" s="310"/>
      <c r="BA204" s="398"/>
      <c r="BB204" s="398"/>
      <c r="BC204" s="398"/>
      <c r="BH204" s="147" t="str">
        <v>Mineral</v>
      </c>
      <c r="BI204" s="147" t="str">
        <v>Cropland</v>
      </c>
    </row>
    <row r="205" spans="39:61" x14ac:dyDescent="0.3">
      <c r="AM205" s="182" t="s">
        <v>265</v>
      </c>
      <c r="AN205" s="182" t="s">
        <v>273</v>
      </c>
      <c r="AO205" s="147" t="s">
        <v>983</v>
      </c>
      <c r="AP205" s="147" t="s">
        <v>326</v>
      </c>
      <c r="AQ205" s="147" t="s">
        <v>987</v>
      </c>
      <c r="AR205" s="182" t="s">
        <v>339</v>
      </c>
      <c r="AS205" s="182" t="str">
        <f t="shared" ref="AS205:AS268" si="7">_xlfn.CONCAT(AM205:AR205)</f>
        <v>Stationary AssetsBuildingsLessorBioenergyWood chipsNaN</v>
      </c>
      <c r="AT205" s="182" t="s">
        <v>316</v>
      </c>
      <c r="AU205" s="182" t="s">
        <v>976</v>
      </c>
      <c r="AV205" s="208">
        <v>0.125</v>
      </c>
      <c r="AW205" s="208">
        <v>7.4999999999999997E-2</v>
      </c>
      <c r="AX205" s="311">
        <v>0.05</v>
      </c>
      <c r="AY205" s="310"/>
      <c r="BA205" s="398"/>
      <c r="BB205" s="398"/>
      <c r="BC205" s="398"/>
      <c r="BH205" s="147" t="str">
        <v>Mineral</v>
      </c>
      <c r="BI205" s="147" t="str">
        <v>Grassland</v>
      </c>
    </row>
    <row r="206" spans="39:61" x14ac:dyDescent="0.3">
      <c r="AM206" s="182" t="s">
        <v>265</v>
      </c>
      <c r="AN206" s="182" t="s">
        <v>273</v>
      </c>
      <c r="AO206" s="147" t="s">
        <v>983</v>
      </c>
      <c r="AP206" s="147" t="s">
        <v>326</v>
      </c>
      <c r="AQ206" s="147" t="s">
        <v>988</v>
      </c>
      <c r="AR206" s="182" t="s">
        <v>339</v>
      </c>
      <c r="AS206" s="182" t="str">
        <f t="shared" si="7"/>
        <v>Stationary AssetsBuildingsLessorBioenergyBiogasNaN</v>
      </c>
      <c r="AT206" s="182" t="s">
        <v>316</v>
      </c>
      <c r="AU206" s="182" t="s">
        <v>976</v>
      </c>
      <c r="AV206" s="208">
        <v>0.125</v>
      </c>
      <c r="AW206" s="208">
        <v>7.4999999999999997E-2</v>
      </c>
      <c r="AX206" s="311">
        <v>0.05</v>
      </c>
      <c r="AY206" s="310"/>
      <c r="BA206" s="398"/>
      <c r="BB206" s="398"/>
      <c r="BC206" s="398"/>
      <c r="BH206" s="147" t="str">
        <v>Mineral</v>
      </c>
      <c r="BI206" s="147" t="str">
        <v>Settlements</v>
      </c>
    </row>
    <row r="207" spans="39:61" x14ac:dyDescent="0.3">
      <c r="AM207" s="182" t="s">
        <v>265</v>
      </c>
      <c r="AN207" s="182" t="s">
        <v>273</v>
      </c>
      <c r="AO207" s="147" t="s">
        <v>984</v>
      </c>
      <c r="AP207" s="147" t="s">
        <v>326</v>
      </c>
      <c r="AQ207" s="147" t="s">
        <v>985</v>
      </c>
      <c r="AR207" s="182" t="s">
        <v>339</v>
      </c>
      <c r="AS207" s="182" t="str">
        <f t="shared" si="7"/>
        <v>Stationary AssetsBuildingsLessor (to PSB)BioenergyHVONaN</v>
      </c>
      <c r="AT207" s="182" t="s">
        <v>316</v>
      </c>
      <c r="AU207" s="182" t="s">
        <v>343</v>
      </c>
      <c r="AV207" s="208">
        <v>0.125</v>
      </c>
      <c r="AW207" s="208">
        <v>7.4999999999999997E-2</v>
      </c>
      <c r="AX207" s="311">
        <v>0.05</v>
      </c>
      <c r="AY207" s="310"/>
      <c r="BA207" s="398"/>
      <c r="BB207" s="398"/>
      <c r="BC207" s="398"/>
      <c r="BH207" s="147" t="str">
        <v>Mining and quarrying</v>
      </c>
      <c r="BI207" s="147" t="str">
        <v>Coal and lignite</v>
      </c>
    </row>
    <row r="208" spans="39:61" x14ac:dyDescent="0.3">
      <c r="AM208" s="182" t="s">
        <v>265</v>
      </c>
      <c r="AN208" s="182" t="s">
        <v>273</v>
      </c>
      <c r="AO208" s="147" t="s">
        <v>984</v>
      </c>
      <c r="AP208" s="147" t="s">
        <v>326</v>
      </c>
      <c r="AQ208" s="147" t="s">
        <v>986</v>
      </c>
      <c r="AR208" s="182" t="s">
        <v>339</v>
      </c>
      <c r="AS208" s="182" t="str">
        <f t="shared" si="7"/>
        <v>Stationary AssetsBuildingsLessor (to PSB)BioenergyWood pelletsNaN</v>
      </c>
      <c r="AT208" s="182" t="s">
        <v>316</v>
      </c>
      <c r="AU208" s="182" t="s">
        <v>976</v>
      </c>
      <c r="AV208" s="208">
        <v>0.125</v>
      </c>
      <c r="AW208" s="208">
        <v>7.4999999999999997E-2</v>
      </c>
      <c r="AX208" s="311">
        <v>0.05</v>
      </c>
      <c r="AY208" s="310"/>
      <c r="BA208" s="398"/>
      <c r="BB208" s="398"/>
      <c r="BC208" s="398"/>
      <c r="BH208" s="147" t="str">
        <v>Mining and quarrying</v>
      </c>
      <c r="BI208" s="147" t="str">
        <v>Crude petroleum and natural gas</v>
      </c>
    </row>
    <row r="209" spans="39:61" x14ac:dyDescent="0.3">
      <c r="AM209" s="182" t="s">
        <v>265</v>
      </c>
      <c r="AN209" s="182" t="s">
        <v>273</v>
      </c>
      <c r="AO209" s="147" t="s">
        <v>984</v>
      </c>
      <c r="AP209" s="147" t="s">
        <v>326</v>
      </c>
      <c r="AQ209" s="147" t="s">
        <v>987</v>
      </c>
      <c r="AR209" s="182" t="s">
        <v>339</v>
      </c>
      <c r="AS209" s="182" t="str">
        <f t="shared" si="7"/>
        <v>Stationary AssetsBuildingsLessor (to PSB)BioenergyWood chipsNaN</v>
      </c>
      <c r="AT209" s="182" t="s">
        <v>316</v>
      </c>
      <c r="AU209" s="182" t="s">
        <v>976</v>
      </c>
      <c r="AV209" s="208">
        <v>0.125</v>
      </c>
      <c r="AW209" s="208">
        <v>7.4999999999999997E-2</v>
      </c>
      <c r="AX209" s="311">
        <v>0.05</v>
      </c>
      <c r="AY209" s="310"/>
      <c r="BA209" s="398"/>
      <c r="BB209" s="398"/>
      <c r="BC209" s="398"/>
      <c r="BH209" s="147" t="str">
        <v>Mining and quarrying</v>
      </c>
      <c r="BI209" s="147" t="str">
        <v>Other mining and quarrying products</v>
      </c>
    </row>
    <row r="210" spans="39:61" x14ac:dyDescent="0.3">
      <c r="AM210" s="182" t="s">
        <v>265</v>
      </c>
      <c r="AN210" s="182" t="s">
        <v>273</v>
      </c>
      <c r="AO210" s="147" t="s">
        <v>984</v>
      </c>
      <c r="AP210" s="147" t="s">
        <v>326</v>
      </c>
      <c r="AQ210" s="147" t="s">
        <v>988</v>
      </c>
      <c r="AR210" s="182" t="s">
        <v>339</v>
      </c>
      <c r="AS210" s="182" t="str">
        <f t="shared" si="7"/>
        <v>Stationary AssetsBuildingsLessor (to PSB)BioenergyBiogasNaN</v>
      </c>
      <c r="AT210" s="182" t="s">
        <v>316</v>
      </c>
      <c r="AU210" s="182" t="s">
        <v>976</v>
      </c>
      <c r="AV210" s="208">
        <v>0.125</v>
      </c>
      <c r="AW210" s="208">
        <v>7.4999999999999997E-2</v>
      </c>
      <c r="AX210" s="311">
        <v>0.05</v>
      </c>
      <c r="AY210" s="310"/>
      <c r="BA210" s="398"/>
      <c r="BB210" s="398"/>
      <c r="BC210" s="398"/>
      <c r="BH210" s="147" t="str">
        <v>Mining and quarrying</v>
      </c>
      <c r="BI210" s="147" t="str">
        <v>Mining support services</v>
      </c>
    </row>
    <row r="211" spans="39:61" x14ac:dyDescent="0.3">
      <c r="AM211" s="182" t="s">
        <v>265</v>
      </c>
      <c r="AN211" s="182" t="s">
        <v>273</v>
      </c>
      <c r="AO211" s="147" t="s">
        <v>541</v>
      </c>
      <c r="AP211" s="147" t="s">
        <v>281</v>
      </c>
      <c r="AQ211" s="147" t="s">
        <v>281</v>
      </c>
      <c r="AR211" s="182" t="s">
        <v>339</v>
      </c>
      <c r="AS211" s="182" t="str">
        <f t="shared" si="7"/>
        <v>Stationary AssetsBuildingsOur EstateElectricityElectricityNaN</v>
      </c>
      <c r="AT211" s="182" t="s">
        <v>316</v>
      </c>
      <c r="AU211" s="182"/>
      <c r="AV211" s="208">
        <v>0.1</v>
      </c>
      <c r="AW211" s="208">
        <v>0.05</v>
      </c>
      <c r="AX211" s="311">
        <v>2.5000000000000001E-2</v>
      </c>
      <c r="AY211" s="310"/>
      <c r="BA211" s="398"/>
      <c r="BB211" s="398"/>
      <c r="BC211" s="398"/>
      <c r="BH211" s="147" t="str">
        <v>Motorbike</v>
      </c>
      <c r="BI211" s="147" t="str">
        <v>Petrol</v>
      </c>
    </row>
    <row r="212" spans="39:61" x14ac:dyDescent="0.3">
      <c r="AM212" s="182" t="s">
        <v>265</v>
      </c>
      <c r="AN212" s="182" t="s">
        <v>273</v>
      </c>
      <c r="AO212" s="147" t="s">
        <v>982</v>
      </c>
      <c r="AP212" s="147" t="s">
        <v>281</v>
      </c>
      <c r="AQ212" s="147" t="s">
        <v>281</v>
      </c>
      <c r="AR212" s="182" t="s">
        <v>339</v>
      </c>
      <c r="AS212" s="182" t="str">
        <f t="shared" si="7"/>
        <v>Stationary AssetsBuildingsLesseeElectricityElectricityNaN</v>
      </c>
      <c r="AT212" s="182" t="s">
        <v>316</v>
      </c>
      <c r="AU212" s="182"/>
      <c r="AV212" s="208">
        <v>0.1</v>
      </c>
      <c r="AW212" s="208">
        <v>0.05</v>
      </c>
      <c r="AX212" s="311">
        <v>2.5000000000000001E-2</v>
      </c>
      <c r="AY212" s="310"/>
      <c r="BA212" s="398"/>
      <c r="BB212" s="398"/>
      <c r="BC212" s="398"/>
      <c r="BH212" s="147" t="str">
        <v>Motorbike - distance</v>
      </c>
      <c r="BI212" s="147" t="str">
        <v>Petrol</v>
      </c>
    </row>
    <row r="213" spans="39:61" x14ac:dyDescent="0.3">
      <c r="AM213" s="182" t="s">
        <v>265</v>
      </c>
      <c r="AN213" s="182" t="s">
        <v>273</v>
      </c>
      <c r="AO213" s="147" t="s">
        <v>983</v>
      </c>
      <c r="AP213" s="147" t="s">
        <v>281</v>
      </c>
      <c r="AQ213" s="147" t="s">
        <v>281</v>
      </c>
      <c r="AR213" s="182" t="s">
        <v>339</v>
      </c>
      <c r="AS213" s="182" t="str">
        <f t="shared" si="7"/>
        <v>Stationary AssetsBuildingsLessorElectricityElectricityNaN</v>
      </c>
      <c r="AT213" s="182" t="s">
        <v>316</v>
      </c>
      <c r="AU213" s="182"/>
      <c r="AV213" s="208">
        <v>0.1</v>
      </c>
      <c r="AW213" s="208">
        <v>0.05</v>
      </c>
      <c r="AX213" s="311">
        <v>2.5000000000000001E-2</v>
      </c>
      <c r="AY213" s="310"/>
      <c r="BA213" s="398"/>
      <c r="BB213" s="398"/>
      <c r="BC213" s="398"/>
      <c r="BH213" s="147" t="str">
        <v>Motorbike - fuel</v>
      </c>
      <c r="BI213" s="147" t="str">
        <v>Petrol</v>
      </c>
    </row>
    <row r="214" spans="39:61" x14ac:dyDescent="0.3">
      <c r="AM214" s="182" t="s">
        <v>265</v>
      </c>
      <c r="AN214" s="182" t="s">
        <v>273</v>
      </c>
      <c r="AO214" s="147" t="s">
        <v>984</v>
      </c>
      <c r="AP214" s="147" t="s">
        <v>281</v>
      </c>
      <c r="AQ214" s="147" t="s">
        <v>281</v>
      </c>
      <c r="AR214" s="182" t="s">
        <v>339</v>
      </c>
      <c r="AS214" s="182" t="str">
        <f t="shared" si="7"/>
        <v>Stationary AssetsBuildingsLessor (to PSB)ElectricityElectricityNaN</v>
      </c>
      <c r="AT214" s="182" t="s">
        <v>316</v>
      </c>
      <c r="AU214" s="182"/>
      <c r="AV214" s="208">
        <v>0.1</v>
      </c>
      <c r="AW214" s="208">
        <v>0.05</v>
      </c>
      <c r="AX214" s="311">
        <v>2.5000000000000001E-2</v>
      </c>
      <c r="AY214" s="310"/>
      <c r="BA214" s="398"/>
      <c r="BB214" s="398"/>
      <c r="BC214" s="398"/>
      <c r="BH214" s="147" t="str">
        <v>Offsite</v>
      </c>
      <c r="BI214" s="147" t="str">
        <v>Wind</v>
      </c>
    </row>
    <row r="215" spans="39:61" x14ac:dyDescent="0.3">
      <c r="AM215" s="182" t="s">
        <v>265</v>
      </c>
      <c r="AN215" s="147" t="s">
        <v>187</v>
      </c>
      <c r="AO215" s="147" t="s">
        <v>1885</v>
      </c>
      <c r="AP215" s="147" t="s">
        <v>281</v>
      </c>
      <c r="AQ215" s="147" t="s">
        <v>281</v>
      </c>
      <c r="AR215" s="182" t="s">
        <v>339</v>
      </c>
      <c r="AS215" s="182" t="str">
        <f t="shared" si="7"/>
        <v>Stationary AssetsStreetlightingStreetlightsElectricityElectricityNaN</v>
      </c>
      <c r="AT215" s="182" t="s">
        <v>316</v>
      </c>
      <c r="AU215" s="182"/>
      <c r="AV215" s="208">
        <v>0.1</v>
      </c>
      <c r="AW215" s="208">
        <v>0.05</v>
      </c>
      <c r="AX215" s="311">
        <v>2.5000000000000001E-2</v>
      </c>
      <c r="AY215" s="310"/>
      <c r="BA215" s="398"/>
      <c r="BB215" s="398"/>
      <c r="BC215" s="398"/>
      <c r="BH215" s="147" t="str">
        <v>Offsite</v>
      </c>
      <c r="BI215" s="147" t="str">
        <v>Rooftop Solar PV</v>
      </c>
    </row>
    <row r="216" spans="39:61" x14ac:dyDescent="0.3">
      <c r="AM216" s="182" t="s">
        <v>265</v>
      </c>
      <c r="AN216" s="147" t="s">
        <v>187</v>
      </c>
      <c r="AO216" s="147" t="s">
        <v>989</v>
      </c>
      <c r="AP216" s="147" t="s">
        <v>281</v>
      </c>
      <c r="AQ216" s="147" t="s">
        <v>281</v>
      </c>
      <c r="AR216" s="182" t="s">
        <v>339</v>
      </c>
      <c r="AS216" s="182" t="str">
        <f t="shared" si="7"/>
        <v>Stationary AssetsStreetlightingOther public lightingElectricityElectricityNaN</v>
      </c>
      <c r="AT216" s="182" t="s">
        <v>316</v>
      </c>
      <c r="AU216" s="182"/>
      <c r="AV216" s="208">
        <v>0.1</v>
      </c>
      <c r="AW216" s="208">
        <v>0.05</v>
      </c>
      <c r="AX216" s="311">
        <v>2.5000000000000001E-2</v>
      </c>
      <c r="AY216" s="310"/>
      <c r="BA216" s="398"/>
      <c r="BB216" s="398"/>
      <c r="BC216" s="398"/>
      <c r="BH216" s="147" t="str">
        <v>Offsite</v>
      </c>
      <c r="BI216" s="147" t="str">
        <v>Ground Solar PV</v>
      </c>
    </row>
    <row r="217" spans="39:61" x14ac:dyDescent="0.3">
      <c r="AM217" s="182" t="s">
        <v>265</v>
      </c>
      <c r="AN217" s="147" t="s">
        <v>187</v>
      </c>
      <c r="AO217" s="147" t="s">
        <v>990</v>
      </c>
      <c r="AP217" s="147" t="s">
        <v>281</v>
      </c>
      <c r="AQ217" s="147" t="s">
        <v>281</v>
      </c>
      <c r="AR217" s="182" t="s">
        <v>339</v>
      </c>
      <c r="AS217" s="182" t="str">
        <f t="shared" si="7"/>
        <v>Stationary AssetsStreetlightingTraffic signsElectricityElectricityNaN</v>
      </c>
      <c r="AT217" s="182" t="s">
        <v>316</v>
      </c>
      <c r="AU217" s="182"/>
      <c r="AV217" s="208">
        <v>0.1</v>
      </c>
      <c r="AW217" s="208">
        <v>0.05</v>
      </c>
      <c r="AX217" s="311">
        <v>2.5000000000000001E-2</v>
      </c>
      <c r="AY217" s="310"/>
      <c r="BA217" s="398"/>
      <c r="BB217" s="398"/>
      <c r="BC217" s="398"/>
      <c r="BH217" s="147" t="str">
        <v>Offsite</v>
      </c>
      <c r="BI217" s="147" t="str">
        <v>Solar Canopy</v>
      </c>
    </row>
    <row r="218" spans="39:61" x14ac:dyDescent="0.3">
      <c r="AM218" s="182" t="s">
        <v>265</v>
      </c>
      <c r="AN218" s="147" t="s">
        <v>273</v>
      </c>
      <c r="AO218" s="147" t="s">
        <v>541</v>
      </c>
      <c r="AP218" s="147" t="s">
        <v>991</v>
      </c>
      <c r="AQ218" s="147" t="s">
        <v>992</v>
      </c>
      <c r="AR218" s="182" t="s">
        <v>339</v>
      </c>
      <c r="AS218" s="182" t="str">
        <f t="shared" si="7"/>
        <v>Stationary AssetsBuildingsOur EstateHeat &amp; SteamOnsite Heat &amp; SteamNaN</v>
      </c>
      <c r="AT218" s="182" t="s">
        <v>316</v>
      </c>
      <c r="AU218" s="182"/>
      <c r="AV218" s="208">
        <v>0.15</v>
      </c>
      <c r="AW218" s="208">
        <v>0.1</v>
      </c>
      <c r="AX218" s="311">
        <v>0.05</v>
      </c>
      <c r="AY218" s="310"/>
      <c r="BA218" s="398"/>
      <c r="BB218" s="398"/>
      <c r="BC218" s="398"/>
      <c r="BH218" s="147" t="str">
        <v>Offsite</v>
      </c>
      <c r="BI218" s="147" t="str">
        <v>Hydro</v>
      </c>
    </row>
    <row r="219" spans="39:61" x14ac:dyDescent="0.3">
      <c r="AM219" s="182" t="s">
        <v>265</v>
      </c>
      <c r="AN219" s="147" t="s">
        <v>273</v>
      </c>
      <c r="AO219" s="147" t="s">
        <v>541</v>
      </c>
      <c r="AP219" s="147" t="s">
        <v>991</v>
      </c>
      <c r="AQ219" s="147" t="s">
        <v>993</v>
      </c>
      <c r="AR219" s="182" t="s">
        <v>339</v>
      </c>
      <c r="AS219" s="182" t="str">
        <f t="shared" si="7"/>
        <v>Stationary AssetsBuildingsOur EstateHeat &amp; SteamDistrict Heat &amp; SteamNaN</v>
      </c>
      <c r="AT219" s="182" t="s">
        <v>316</v>
      </c>
      <c r="AU219" s="182"/>
      <c r="AV219" s="208">
        <v>0.15</v>
      </c>
      <c r="AW219" s="208">
        <v>0.1</v>
      </c>
      <c r="AX219" s="311">
        <v>0.05</v>
      </c>
      <c r="AY219" s="310"/>
      <c r="BA219" s="398"/>
      <c r="BB219" s="398"/>
      <c r="BC219" s="398"/>
      <c r="BH219" s="147" t="str">
        <v>Offsite</v>
      </c>
      <c r="BI219" s="147" t="str">
        <v>Biomass CHP</v>
      </c>
    </row>
    <row r="220" spans="39:61" x14ac:dyDescent="0.3">
      <c r="AM220" s="182" t="s">
        <v>265</v>
      </c>
      <c r="AN220" s="147" t="s">
        <v>273</v>
      </c>
      <c r="AO220" s="147" t="s">
        <v>983</v>
      </c>
      <c r="AP220" s="147" t="s">
        <v>991</v>
      </c>
      <c r="AQ220" s="147" t="s">
        <v>992</v>
      </c>
      <c r="AR220" s="182" t="s">
        <v>339</v>
      </c>
      <c r="AS220" s="182" t="str">
        <f t="shared" si="7"/>
        <v>Stationary AssetsBuildingsLessorHeat &amp; SteamOnsite Heat &amp; SteamNaN</v>
      </c>
      <c r="AT220" s="182" t="s">
        <v>316</v>
      </c>
      <c r="AU220" s="182"/>
      <c r="AV220" s="208">
        <v>0.15</v>
      </c>
      <c r="AW220" s="208">
        <v>0.1</v>
      </c>
      <c r="AX220" s="311">
        <v>0.05</v>
      </c>
      <c r="AY220" s="310"/>
      <c r="BA220" s="398"/>
      <c r="BB220" s="398"/>
      <c r="BC220" s="398"/>
      <c r="BH220" s="147" t="str">
        <v>Offsite</v>
      </c>
      <c r="BI220" s="147" t="str">
        <v>Biogas CHP</v>
      </c>
    </row>
    <row r="221" spans="39:61" x14ac:dyDescent="0.3">
      <c r="AM221" s="182" t="s">
        <v>265</v>
      </c>
      <c r="AN221" s="147" t="s">
        <v>273</v>
      </c>
      <c r="AO221" s="147" t="s">
        <v>983</v>
      </c>
      <c r="AP221" s="147" t="s">
        <v>991</v>
      </c>
      <c r="AQ221" s="147" t="s">
        <v>993</v>
      </c>
      <c r="AR221" s="182" t="s">
        <v>339</v>
      </c>
      <c r="AS221" s="182" t="str">
        <f t="shared" si="7"/>
        <v>Stationary AssetsBuildingsLessorHeat &amp; SteamDistrict Heat &amp; SteamNaN</v>
      </c>
      <c r="AT221" s="182" t="s">
        <v>316</v>
      </c>
      <c r="AU221" s="182"/>
      <c r="AV221" s="208">
        <v>0.15</v>
      </c>
      <c r="AW221" s="208">
        <v>0.1</v>
      </c>
      <c r="AX221" s="311">
        <v>0.05</v>
      </c>
      <c r="AY221" s="310"/>
      <c r="BA221" s="398"/>
      <c r="BB221" s="398"/>
      <c r="BC221" s="398"/>
      <c r="BH221" s="147" t="str">
        <v>Offsite</v>
      </c>
      <c r="BI221" s="147" t="str">
        <v>Air source heat pump</v>
      </c>
    </row>
    <row r="222" spans="39:61" x14ac:dyDescent="0.3">
      <c r="AM222" s="182" t="s">
        <v>265</v>
      </c>
      <c r="AN222" s="147" t="s">
        <v>273</v>
      </c>
      <c r="AO222" s="147" t="s">
        <v>982</v>
      </c>
      <c r="AP222" s="147" t="s">
        <v>991</v>
      </c>
      <c r="AQ222" s="147" t="s">
        <v>992</v>
      </c>
      <c r="AR222" s="182" t="s">
        <v>339</v>
      </c>
      <c r="AS222" s="182" t="str">
        <f t="shared" si="7"/>
        <v>Stationary AssetsBuildingsLesseeHeat &amp; SteamOnsite Heat &amp; SteamNaN</v>
      </c>
      <c r="AT222" s="182" t="s">
        <v>316</v>
      </c>
      <c r="AU222" s="182"/>
      <c r="AV222" s="208">
        <v>0.15</v>
      </c>
      <c r="AW222" s="208">
        <v>0.1</v>
      </c>
      <c r="AX222" s="311">
        <v>0.05</v>
      </c>
      <c r="AY222" s="310"/>
      <c r="BA222" s="398"/>
      <c r="BB222" s="398"/>
      <c r="BC222" s="398"/>
      <c r="BH222" s="147" t="str">
        <v>Offsite</v>
      </c>
      <c r="BI222" s="147" t="str">
        <v>Water source heat pump</v>
      </c>
    </row>
    <row r="223" spans="39:61" x14ac:dyDescent="0.3">
      <c r="AM223" s="182" t="s">
        <v>265</v>
      </c>
      <c r="AN223" s="147" t="s">
        <v>273</v>
      </c>
      <c r="AO223" s="147" t="s">
        <v>982</v>
      </c>
      <c r="AP223" s="147" t="s">
        <v>991</v>
      </c>
      <c r="AQ223" s="147" t="s">
        <v>993</v>
      </c>
      <c r="AR223" s="182" t="s">
        <v>339</v>
      </c>
      <c r="AS223" s="182" t="str">
        <f t="shared" si="7"/>
        <v>Stationary AssetsBuildingsLesseeHeat &amp; SteamDistrict Heat &amp; SteamNaN</v>
      </c>
      <c r="AT223" s="182" t="s">
        <v>316</v>
      </c>
      <c r="AU223" s="182"/>
      <c r="AV223" s="208">
        <v>0.15</v>
      </c>
      <c r="AW223" s="208">
        <v>0.1</v>
      </c>
      <c r="AX223" s="311">
        <v>0.05</v>
      </c>
      <c r="AY223" s="310"/>
      <c r="BA223" s="398"/>
      <c r="BB223" s="398"/>
      <c r="BC223" s="398"/>
      <c r="BH223" s="147" t="str">
        <v>Offsite</v>
      </c>
      <c r="BI223" s="147" t="str">
        <v>Ground source heat pump</v>
      </c>
    </row>
    <row r="224" spans="39:61" x14ac:dyDescent="0.3">
      <c r="AM224" s="182" t="s">
        <v>265</v>
      </c>
      <c r="AN224" s="147" t="s">
        <v>273</v>
      </c>
      <c r="AO224" s="147" t="s">
        <v>984</v>
      </c>
      <c r="AP224" s="147" t="s">
        <v>991</v>
      </c>
      <c r="AQ224" s="147" t="s">
        <v>992</v>
      </c>
      <c r="AR224" s="182" t="s">
        <v>339</v>
      </c>
      <c r="AS224" s="182" t="str">
        <f t="shared" si="7"/>
        <v>Stationary AssetsBuildingsLessor (to PSB)Heat &amp; SteamOnsite Heat &amp; SteamNaN</v>
      </c>
      <c r="AT224" s="182" t="s">
        <v>316</v>
      </c>
      <c r="AU224" s="182"/>
      <c r="AV224" s="208">
        <v>0.15</v>
      </c>
      <c r="AW224" s="208">
        <v>0.1</v>
      </c>
      <c r="AX224" s="311">
        <v>0.05</v>
      </c>
      <c r="AY224" s="310"/>
      <c r="BA224" s="398"/>
      <c r="BB224" s="398"/>
      <c r="BC224" s="398"/>
      <c r="BH224" s="147" t="str">
        <v>Offsite</v>
      </c>
      <c r="BI224" s="147" t="str">
        <v>Solar thermal</v>
      </c>
    </row>
    <row r="225" spans="39:61" x14ac:dyDescent="0.3">
      <c r="AM225" s="182" t="s">
        <v>265</v>
      </c>
      <c r="AN225" s="147" t="s">
        <v>273</v>
      </c>
      <c r="AO225" s="147" t="s">
        <v>984</v>
      </c>
      <c r="AP225" s="147" t="s">
        <v>991</v>
      </c>
      <c r="AQ225" s="147" t="s">
        <v>993</v>
      </c>
      <c r="AR225" s="182" t="s">
        <v>339</v>
      </c>
      <c r="AS225" s="182" t="str">
        <f t="shared" si="7"/>
        <v>Stationary AssetsBuildingsLessor (to PSB)Heat &amp; SteamDistrict Heat &amp; SteamNaN</v>
      </c>
      <c r="AT225" s="182" t="s">
        <v>316</v>
      </c>
      <c r="AU225" s="182"/>
      <c r="AV225" s="208">
        <v>0.15</v>
      </c>
      <c r="AW225" s="208">
        <v>0.1</v>
      </c>
      <c r="AX225" s="311">
        <v>0.05</v>
      </c>
      <c r="AY225" s="310"/>
      <c r="BA225" s="398"/>
      <c r="BB225" s="398"/>
      <c r="BC225" s="398"/>
      <c r="BH225" s="147" t="str">
        <v>Offsite</v>
      </c>
      <c r="BI225" s="147" t="str">
        <v>Biomass boiler</v>
      </c>
    </row>
    <row r="226" spans="39:61" x14ac:dyDescent="0.3">
      <c r="AM226" s="182" t="s">
        <v>265</v>
      </c>
      <c r="AN226" s="147" t="s">
        <v>273</v>
      </c>
      <c r="AO226" s="147" t="s">
        <v>541</v>
      </c>
      <c r="AP226" s="147" t="s">
        <v>327</v>
      </c>
      <c r="AQ226" s="147" t="s">
        <v>994</v>
      </c>
      <c r="AR226" s="182" t="s">
        <v>339</v>
      </c>
      <c r="AS226" s="182" t="str">
        <f t="shared" si="7"/>
        <v>Stationary AssetsBuildingsOur EstateWaterSupplyNaN</v>
      </c>
      <c r="AT226" s="182" t="s">
        <v>979</v>
      </c>
      <c r="AU226" s="182" t="s">
        <v>343</v>
      </c>
      <c r="AV226" s="208">
        <v>0.125</v>
      </c>
      <c r="AW226" s="208">
        <v>7.4999999999999997E-2</v>
      </c>
      <c r="AX226" s="311">
        <v>0.05</v>
      </c>
      <c r="AY226" s="310"/>
      <c r="BA226" s="398"/>
      <c r="BB226" s="398"/>
      <c r="BC226" s="398"/>
      <c r="BH226" s="147" t="str">
        <v>Offsite</v>
      </c>
      <c r="BI226" s="147" t="str">
        <v>Biogas boiler</v>
      </c>
    </row>
    <row r="227" spans="39:61" x14ac:dyDescent="0.3">
      <c r="AM227" s="182" t="s">
        <v>265</v>
      </c>
      <c r="AN227" s="147" t="s">
        <v>273</v>
      </c>
      <c r="AO227" s="147" t="s">
        <v>541</v>
      </c>
      <c r="AP227" s="147" t="s">
        <v>327</v>
      </c>
      <c r="AQ227" s="147" t="s">
        <v>995</v>
      </c>
      <c r="AR227" s="182" t="s">
        <v>339</v>
      </c>
      <c r="AS227" s="182" t="str">
        <f t="shared" si="7"/>
        <v>Stationary AssetsBuildingsOur EstateWaterTreatmentNaN</v>
      </c>
      <c r="AT227" s="182" t="s">
        <v>979</v>
      </c>
      <c r="AU227" s="182" t="s">
        <v>343</v>
      </c>
      <c r="AV227" s="208">
        <v>0.125</v>
      </c>
      <c r="AW227" s="208">
        <v>7.4999999999999997E-2</v>
      </c>
      <c r="AX227" s="311">
        <v>0.05</v>
      </c>
      <c r="AY227" s="310"/>
      <c r="BA227" s="398"/>
      <c r="BB227" s="398"/>
      <c r="BC227" s="398"/>
      <c r="BH227" s="147" t="str">
        <v>Onsite</v>
      </c>
      <c r="BI227" s="147" t="str">
        <v>Wind</v>
      </c>
    </row>
    <row r="228" spans="39:61" x14ac:dyDescent="0.3">
      <c r="AM228" s="182" t="s">
        <v>265</v>
      </c>
      <c r="AN228" s="147" t="s">
        <v>273</v>
      </c>
      <c r="AO228" s="147" t="s">
        <v>983</v>
      </c>
      <c r="AP228" s="147" t="s">
        <v>327</v>
      </c>
      <c r="AQ228" s="147" t="s">
        <v>994</v>
      </c>
      <c r="AR228" s="182" t="s">
        <v>339</v>
      </c>
      <c r="AS228" s="182" t="str">
        <f t="shared" si="7"/>
        <v>Stationary AssetsBuildingsLessorWaterSupplyNaN</v>
      </c>
      <c r="AT228" s="182" t="s">
        <v>979</v>
      </c>
      <c r="AU228" s="182" t="s">
        <v>343</v>
      </c>
      <c r="AV228" s="208">
        <v>0.125</v>
      </c>
      <c r="AW228" s="208">
        <v>7.4999999999999997E-2</v>
      </c>
      <c r="AX228" s="311">
        <v>0.05</v>
      </c>
      <c r="AY228" s="310"/>
      <c r="BA228" s="398"/>
      <c r="BB228" s="398"/>
      <c r="BC228" s="398"/>
      <c r="BH228" s="147" t="str">
        <v>Onsite</v>
      </c>
      <c r="BI228" s="147" t="str">
        <v>Rooftop Solar PV</v>
      </c>
    </row>
    <row r="229" spans="39:61" x14ac:dyDescent="0.3">
      <c r="AM229" s="182" t="s">
        <v>265</v>
      </c>
      <c r="AN229" s="147" t="s">
        <v>273</v>
      </c>
      <c r="AO229" s="147" t="s">
        <v>983</v>
      </c>
      <c r="AP229" s="147" t="s">
        <v>327</v>
      </c>
      <c r="AQ229" s="147" t="s">
        <v>995</v>
      </c>
      <c r="AR229" s="182" t="s">
        <v>339</v>
      </c>
      <c r="AS229" s="182" t="str">
        <f t="shared" si="7"/>
        <v>Stationary AssetsBuildingsLessorWaterTreatmentNaN</v>
      </c>
      <c r="AT229" s="182" t="s">
        <v>979</v>
      </c>
      <c r="AU229" s="182" t="s">
        <v>343</v>
      </c>
      <c r="AV229" s="208">
        <v>0.125</v>
      </c>
      <c r="AW229" s="208">
        <v>7.4999999999999997E-2</v>
      </c>
      <c r="AX229" s="311">
        <v>0.05</v>
      </c>
      <c r="AY229" s="310"/>
      <c r="BA229" s="398"/>
      <c r="BB229" s="398"/>
      <c r="BC229" s="398"/>
      <c r="BH229" s="147" t="str">
        <v>Onsite</v>
      </c>
      <c r="BI229" s="147" t="str">
        <v>Ground Solar PV</v>
      </c>
    </row>
    <row r="230" spans="39:61" x14ac:dyDescent="0.3">
      <c r="AM230" s="182" t="s">
        <v>265</v>
      </c>
      <c r="AN230" s="147" t="s">
        <v>273</v>
      </c>
      <c r="AO230" s="147" t="s">
        <v>982</v>
      </c>
      <c r="AP230" s="147" t="s">
        <v>327</v>
      </c>
      <c r="AQ230" s="147" t="s">
        <v>994</v>
      </c>
      <c r="AR230" s="182" t="s">
        <v>339</v>
      </c>
      <c r="AS230" s="182" t="str">
        <f t="shared" si="7"/>
        <v>Stationary AssetsBuildingsLesseeWaterSupplyNaN</v>
      </c>
      <c r="AT230" s="182" t="s">
        <v>979</v>
      </c>
      <c r="AU230" s="182" t="s">
        <v>343</v>
      </c>
      <c r="AV230" s="208">
        <v>0.125</v>
      </c>
      <c r="AW230" s="208">
        <v>7.4999999999999997E-2</v>
      </c>
      <c r="AX230" s="311">
        <v>0.05</v>
      </c>
      <c r="AY230" s="310"/>
      <c r="BA230" s="398"/>
      <c r="BB230" s="398"/>
      <c r="BC230" s="398"/>
      <c r="BH230" s="147" t="str">
        <v>Onsite</v>
      </c>
      <c r="BI230" s="147" t="str">
        <v>Solar Canopy</v>
      </c>
    </row>
    <row r="231" spans="39:61" x14ac:dyDescent="0.3">
      <c r="AM231" s="182" t="s">
        <v>265</v>
      </c>
      <c r="AN231" s="147" t="s">
        <v>273</v>
      </c>
      <c r="AO231" s="147" t="s">
        <v>982</v>
      </c>
      <c r="AP231" s="147" t="s">
        <v>327</v>
      </c>
      <c r="AQ231" s="147" t="s">
        <v>995</v>
      </c>
      <c r="AR231" s="182" t="s">
        <v>339</v>
      </c>
      <c r="AS231" s="182" t="str">
        <f t="shared" si="7"/>
        <v>Stationary AssetsBuildingsLesseeWaterTreatmentNaN</v>
      </c>
      <c r="AT231" s="182" t="s">
        <v>979</v>
      </c>
      <c r="AU231" s="182" t="s">
        <v>343</v>
      </c>
      <c r="AV231" s="208">
        <v>0.125</v>
      </c>
      <c r="AW231" s="208">
        <v>7.4999999999999997E-2</v>
      </c>
      <c r="AX231" s="311">
        <v>0.05</v>
      </c>
      <c r="AY231" s="310"/>
      <c r="BA231" s="398"/>
      <c r="BB231" s="398"/>
      <c r="BC231" s="398"/>
      <c r="BH231" s="147" t="str">
        <v>Onsite</v>
      </c>
      <c r="BI231" s="147" t="str">
        <v>Hydro</v>
      </c>
    </row>
    <row r="232" spans="39:61" x14ac:dyDescent="0.3">
      <c r="AM232" s="182" t="s">
        <v>265</v>
      </c>
      <c r="AN232" s="147" t="s">
        <v>273</v>
      </c>
      <c r="AO232" s="147" t="s">
        <v>984</v>
      </c>
      <c r="AP232" s="147" t="s">
        <v>327</v>
      </c>
      <c r="AQ232" s="147" t="s">
        <v>994</v>
      </c>
      <c r="AR232" s="182" t="s">
        <v>339</v>
      </c>
      <c r="AS232" s="182" t="str">
        <f t="shared" si="7"/>
        <v>Stationary AssetsBuildingsLessor (to PSB)WaterSupplyNaN</v>
      </c>
      <c r="AT232" s="182" t="s">
        <v>979</v>
      </c>
      <c r="AU232" s="182" t="s">
        <v>343</v>
      </c>
      <c r="AV232" s="208">
        <v>0.125</v>
      </c>
      <c r="AW232" s="208">
        <v>7.4999999999999997E-2</v>
      </c>
      <c r="AX232" s="311">
        <v>0.05</v>
      </c>
      <c r="AY232" s="310"/>
      <c r="BA232" s="398"/>
      <c r="BB232" s="398"/>
      <c r="BC232" s="398"/>
      <c r="BH232" s="147" t="str">
        <v>Onsite</v>
      </c>
      <c r="BI232" s="147" t="str">
        <v>Biomass CHP</v>
      </c>
    </row>
    <row r="233" spans="39:61" x14ac:dyDescent="0.3">
      <c r="AM233" s="182" t="s">
        <v>265</v>
      </c>
      <c r="AN233" s="147" t="s">
        <v>273</v>
      </c>
      <c r="AO233" s="147" t="s">
        <v>984</v>
      </c>
      <c r="AP233" s="147" t="s">
        <v>327</v>
      </c>
      <c r="AQ233" s="147" t="s">
        <v>995</v>
      </c>
      <c r="AR233" s="182" t="s">
        <v>339</v>
      </c>
      <c r="AS233" s="182" t="str">
        <f t="shared" si="7"/>
        <v>Stationary AssetsBuildingsLessor (to PSB)WaterTreatmentNaN</v>
      </c>
      <c r="AT233" s="182" t="s">
        <v>979</v>
      </c>
      <c r="AU233" s="182" t="s">
        <v>343</v>
      </c>
      <c r="AV233" s="208">
        <v>0.125</v>
      </c>
      <c r="AW233" s="208">
        <v>7.4999999999999997E-2</v>
      </c>
      <c r="AX233" s="311">
        <v>0.05</v>
      </c>
      <c r="AY233" s="310"/>
      <c r="BA233" s="398"/>
      <c r="BB233" s="398"/>
      <c r="BC233" s="398"/>
      <c r="BH233" s="147" t="str">
        <v>Onsite</v>
      </c>
      <c r="BI233" s="147" t="str">
        <v>Biogas CHP</v>
      </c>
    </row>
    <row r="234" spans="39:61" x14ac:dyDescent="0.3">
      <c r="AM234" s="182" t="s">
        <v>265</v>
      </c>
      <c r="AN234" s="147" t="s">
        <v>273</v>
      </c>
      <c r="AO234" s="147" t="s">
        <v>984</v>
      </c>
      <c r="AP234" s="147" t="s">
        <v>327</v>
      </c>
      <c r="AQ234" s="147" t="s">
        <v>996</v>
      </c>
      <c r="AR234" s="182" t="s">
        <v>339</v>
      </c>
      <c r="AS234" s="182" t="str">
        <f t="shared" si="7"/>
        <v>Stationary AssetsBuildingsLessor (to PSB)WaterSupply &amp; TreatmentNaN</v>
      </c>
      <c r="AT234" s="182" t="s">
        <v>979</v>
      </c>
      <c r="AU234" s="182" t="s">
        <v>343</v>
      </c>
      <c r="AV234" s="208">
        <v>0.125</v>
      </c>
      <c r="AW234" s="208">
        <v>7.4999999999999997E-2</v>
      </c>
      <c r="AX234" s="311">
        <v>0.05</v>
      </c>
      <c r="AY234" s="310"/>
      <c r="BA234" s="398"/>
      <c r="BB234" s="398"/>
      <c r="BC234" s="398"/>
      <c r="BH234" s="147" t="str">
        <v>Onsite</v>
      </c>
      <c r="BI234" s="147" t="str">
        <v>Air source heat pump</v>
      </c>
    </row>
    <row r="235" spans="39:61" x14ac:dyDescent="0.3">
      <c r="AM235" s="182" t="s">
        <v>265</v>
      </c>
      <c r="AN235" s="147" t="s">
        <v>273</v>
      </c>
      <c r="AO235" s="147" t="s">
        <v>541</v>
      </c>
      <c r="AP235" s="147" t="s">
        <v>327</v>
      </c>
      <c r="AQ235" s="147" t="s">
        <v>996</v>
      </c>
      <c r="AR235" s="182" t="s">
        <v>339</v>
      </c>
      <c r="AS235" s="182" t="str">
        <f t="shared" si="7"/>
        <v>Stationary AssetsBuildingsOur EstateWaterSupply &amp; TreatmentNaN</v>
      </c>
      <c r="AT235" s="182" t="s">
        <v>979</v>
      </c>
      <c r="AU235" s="182" t="s">
        <v>343</v>
      </c>
      <c r="AV235" s="208">
        <v>0.125</v>
      </c>
      <c r="AW235" s="208">
        <v>7.4999999999999997E-2</v>
      </c>
      <c r="AX235" s="311">
        <v>0.05</v>
      </c>
      <c r="AY235" s="310"/>
      <c r="BA235" s="398"/>
      <c r="BB235" s="398"/>
      <c r="BC235" s="398"/>
      <c r="BH235" s="147" t="str">
        <v>Onsite</v>
      </c>
      <c r="BI235" s="147" t="str">
        <v>Water source heat pump</v>
      </c>
    </row>
    <row r="236" spans="39:61" x14ac:dyDescent="0.3">
      <c r="AM236" s="182" t="s">
        <v>265</v>
      </c>
      <c r="AN236" s="147" t="s">
        <v>273</v>
      </c>
      <c r="AO236" s="147" t="s">
        <v>983</v>
      </c>
      <c r="AP236" s="147" t="s">
        <v>327</v>
      </c>
      <c r="AQ236" s="147" t="s">
        <v>996</v>
      </c>
      <c r="AR236" s="182" t="s">
        <v>339</v>
      </c>
      <c r="AS236" s="182" t="str">
        <f t="shared" si="7"/>
        <v>Stationary AssetsBuildingsLessorWaterSupply &amp; TreatmentNaN</v>
      </c>
      <c r="AT236" s="182" t="s">
        <v>979</v>
      </c>
      <c r="AU236" s="182" t="s">
        <v>343</v>
      </c>
      <c r="AV236" s="208">
        <v>0.125</v>
      </c>
      <c r="AW236" s="208">
        <v>7.4999999999999997E-2</v>
      </c>
      <c r="AX236" s="311">
        <v>0.05</v>
      </c>
      <c r="AY236" s="310"/>
      <c r="BA236" s="398"/>
      <c r="BB236" s="398"/>
      <c r="BC236" s="398"/>
      <c r="BH236" s="147" t="str">
        <v>Onsite</v>
      </c>
      <c r="BI236" s="147" t="str">
        <v>Ground source heat pump</v>
      </c>
    </row>
    <row r="237" spans="39:61" x14ac:dyDescent="0.3">
      <c r="AM237" s="182" t="s">
        <v>265</v>
      </c>
      <c r="AN237" s="147" t="s">
        <v>273</v>
      </c>
      <c r="AO237" s="147" t="s">
        <v>982</v>
      </c>
      <c r="AP237" s="147" t="s">
        <v>327</v>
      </c>
      <c r="AQ237" s="147" t="s">
        <v>996</v>
      </c>
      <c r="AR237" s="182" t="s">
        <v>339</v>
      </c>
      <c r="AS237" s="182" t="str">
        <f t="shared" si="7"/>
        <v>Stationary AssetsBuildingsLesseeWaterSupply &amp; TreatmentNaN</v>
      </c>
      <c r="AT237" s="182" t="s">
        <v>979</v>
      </c>
      <c r="AU237" s="182" t="s">
        <v>343</v>
      </c>
      <c r="AV237" s="208">
        <v>0.125</v>
      </c>
      <c r="AW237" s="208">
        <v>7.4999999999999997E-2</v>
      </c>
      <c r="AX237" s="311">
        <v>0.05</v>
      </c>
      <c r="BA237" s="398"/>
      <c r="BB237" s="398"/>
      <c r="BC237" s="398"/>
      <c r="BH237" s="147" t="str">
        <v>Onsite</v>
      </c>
      <c r="BI237" s="147" t="str">
        <v>Solar thermal</v>
      </c>
    </row>
    <row r="238" spans="39:61" x14ac:dyDescent="0.3">
      <c r="AM238" s="147" t="s">
        <v>344</v>
      </c>
      <c r="AN238" s="147" t="s">
        <v>344</v>
      </c>
      <c r="AO238" s="147" t="s">
        <v>344</v>
      </c>
      <c r="AP238" s="147" t="s">
        <v>344</v>
      </c>
      <c r="AQ238" s="147" t="s">
        <v>997</v>
      </c>
      <c r="AR238" s="182" t="s">
        <v>339</v>
      </c>
      <c r="AS238" s="182" t="str">
        <f t="shared" si="7"/>
        <v>Medical GasMedical GasMedical GasMedical GasDesfluraneNaN</v>
      </c>
      <c r="AT238" s="182" t="s">
        <v>343</v>
      </c>
      <c r="AU238" s="182"/>
      <c r="AV238" s="208"/>
      <c r="AW238" s="208"/>
      <c r="AX238" s="311">
        <v>0.1</v>
      </c>
      <c r="BA238" s="398"/>
      <c r="BB238" s="398"/>
      <c r="BC238" s="398"/>
      <c r="BH238" s="147" t="str">
        <v>Onsite</v>
      </c>
      <c r="BI238" s="147" t="str">
        <v>Biomass boiler</v>
      </c>
    </row>
    <row r="239" spans="39:61" x14ac:dyDescent="0.3">
      <c r="AM239" s="147" t="s">
        <v>344</v>
      </c>
      <c r="AN239" s="147" t="s">
        <v>344</v>
      </c>
      <c r="AO239" s="147" t="s">
        <v>344</v>
      </c>
      <c r="AP239" s="147" t="s">
        <v>344</v>
      </c>
      <c r="AQ239" s="147" t="s">
        <v>998</v>
      </c>
      <c r="AR239" s="182" t="s">
        <v>339</v>
      </c>
      <c r="AS239" s="182" t="str">
        <f t="shared" si="7"/>
        <v>Medical GasMedical GasMedical GasMedical GasEntonoxNaN</v>
      </c>
      <c r="AT239" s="182" t="s">
        <v>343</v>
      </c>
      <c r="AU239" s="182"/>
      <c r="AV239" s="208"/>
      <c r="AW239" s="208"/>
      <c r="AX239" s="311">
        <v>0.1</v>
      </c>
      <c r="BA239" s="398"/>
      <c r="BB239" s="398"/>
      <c r="BC239" s="398"/>
      <c r="BH239" s="147" t="str">
        <v>Onsite</v>
      </c>
      <c r="BI239" s="147" t="str">
        <v>Biogas boiler</v>
      </c>
    </row>
    <row r="240" spans="39:61" x14ac:dyDescent="0.3">
      <c r="AM240" s="147" t="s">
        <v>344</v>
      </c>
      <c r="AN240" s="147" t="s">
        <v>344</v>
      </c>
      <c r="AO240" s="147" t="s">
        <v>344</v>
      </c>
      <c r="AP240" s="147" t="s">
        <v>344</v>
      </c>
      <c r="AQ240" s="147" t="s">
        <v>999</v>
      </c>
      <c r="AR240" s="182" t="s">
        <v>339</v>
      </c>
      <c r="AS240" s="182" t="str">
        <f t="shared" si="7"/>
        <v>Medical GasMedical GasMedical GasMedical GasIsofluraneNaN</v>
      </c>
      <c r="AT240" s="182" t="s">
        <v>343</v>
      </c>
      <c r="AU240" s="182"/>
      <c r="AV240" s="208"/>
      <c r="AW240" s="208"/>
      <c r="AX240" s="311">
        <v>0.1</v>
      </c>
      <c r="BA240" s="398"/>
      <c r="BB240" s="398"/>
      <c r="BC240" s="398"/>
      <c r="BH240" s="147" t="str">
        <v>Organic</v>
      </c>
      <c r="BI240" s="147" t="str">
        <v>Forest land</v>
      </c>
    </row>
    <row r="241" spans="39:61" x14ac:dyDescent="0.3">
      <c r="AM241" s="147" t="s">
        <v>344</v>
      </c>
      <c r="AN241" s="147" t="s">
        <v>344</v>
      </c>
      <c r="AO241" s="147" t="s">
        <v>344</v>
      </c>
      <c r="AP241" s="147" t="s">
        <v>344</v>
      </c>
      <c r="AQ241" s="147" t="s">
        <v>1000</v>
      </c>
      <c r="AR241" s="182" t="s">
        <v>339</v>
      </c>
      <c r="AS241" s="182" t="str">
        <f t="shared" si="7"/>
        <v>Medical GasMedical GasMedical GasMedical GasNitrous oxideNaN</v>
      </c>
      <c r="AT241" s="182" t="s">
        <v>343</v>
      </c>
      <c r="AU241" s="182"/>
      <c r="AV241" s="208"/>
      <c r="AW241" s="208"/>
      <c r="AX241" s="311">
        <v>0.1</v>
      </c>
      <c r="BA241" s="398"/>
      <c r="BB241" s="398"/>
      <c r="BC241" s="398"/>
      <c r="BH241" s="147" t="str">
        <v>Organic</v>
      </c>
      <c r="BI241" s="147" t="str">
        <v>Cropland</v>
      </c>
    </row>
    <row r="242" spans="39:61" x14ac:dyDescent="0.3">
      <c r="AM242" s="147" t="s">
        <v>344</v>
      </c>
      <c r="AN242" s="147" t="s">
        <v>344</v>
      </c>
      <c r="AO242" s="147" t="s">
        <v>344</v>
      </c>
      <c r="AP242" s="147" t="s">
        <v>344</v>
      </c>
      <c r="AQ242" s="147" t="s">
        <v>1001</v>
      </c>
      <c r="AR242" s="182" t="s">
        <v>339</v>
      </c>
      <c r="AS242" s="182" t="str">
        <f t="shared" si="7"/>
        <v>Medical GasMedical GasMedical GasMedical GasPenthroxNaN</v>
      </c>
      <c r="AT242" s="182" t="s">
        <v>343</v>
      </c>
      <c r="AU242" s="182"/>
      <c r="AV242" s="208"/>
      <c r="AW242" s="208"/>
      <c r="AX242" s="311">
        <v>0.1</v>
      </c>
      <c r="BA242" s="398"/>
      <c r="BB242" s="398"/>
      <c r="BC242" s="398"/>
      <c r="BH242" s="147" t="str">
        <v>Organic</v>
      </c>
      <c r="BI242" s="147" t="str">
        <v>Grassland</v>
      </c>
    </row>
    <row r="243" spans="39:61" x14ac:dyDescent="0.3">
      <c r="AM243" s="147" t="s">
        <v>344</v>
      </c>
      <c r="AN243" s="147" t="s">
        <v>344</v>
      </c>
      <c r="AO243" s="147" t="s">
        <v>344</v>
      </c>
      <c r="AP243" s="147" t="s">
        <v>344</v>
      </c>
      <c r="AQ243" s="147" t="s">
        <v>1002</v>
      </c>
      <c r="AR243" s="182" t="s">
        <v>339</v>
      </c>
      <c r="AS243" s="182" t="str">
        <f t="shared" si="7"/>
        <v>Medical GasMedical GasMedical GasMedical GasSevofluraneNaN</v>
      </c>
      <c r="AT243" s="182" t="s">
        <v>343</v>
      </c>
      <c r="AU243" s="182"/>
      <c r="AV243" s="208"/>
      <c r="AW243" s="208"/>
      <c r="AX243" s="311">
        <v>0.1</v>
      </c>
      <c r="AY243" s="310"/>
      <c r="BA243" s="398"/>
      <c r="BB243" s="398"/>
      <c r="BC243" s="398"/>
      <c r="BH243" s="147" t="str">
        <v>Organic</v>
      </c>
      <c r="BI243" s="147" t="str">
        <v>Settlements</v>
      </c>
    </row>
    <row r="244" spans="39:61" x14ac:dyDescent="0.3">
      <c r="AM244" s="147" t="s">
        <v>220</v>
      </c>
      <c r="AN244" s="147" t="s">
        <v>352</v>
      </c>
      <c r="AO244" s="147" t="s">
        <v>1859</v>
      </c>
      <c r="AP244" s="147" t="s">
        <v>1888</v>
      </c>
      <c r="AQ244" s="147" t="s">
        <v>351</v>
      </c>
      <c r="AR244" s="147" t="s">
        <v>754</v>
      </c>
      <c r="AS244" s="182" t="str">
        <f t="shared" si="7"/>
        <v>TransportFleetFleet vehicle - distancePool car - distancePetrolSmall</v>
      </c>
      <c r="AT244" s="182" t="s">
        <v>356</v>
      </c>
      <c r="AU244" s="182" t="s">
        <v>1003</v>
      </c>
      <c r="AV244" s="208">
        <v>0.125</v>
      </c>
      <c r="AW244" s="208">
        <v>7.4999999999999997E-2</v>
      </c>
      <c r="AX244" s="311">
        <v>0.05</v>
      </c>
      <c r="AY244" s="310"/>
      <c r="BA244" s="398"/>
      <c r="BB244" s="398"/>
      <c r="BC244" s="398"/>
      <c r="BH244" s="147" t="str">
        <v>Other service activities</v>
      </c>
      <c r="BI244" s="147" t="str">
        <v>Services furnished by membership organisations</v>
      </c>
    </row>
    <row r="245" spans="39:61" x14ac:dyDescent="0.3">
      <c r="AM245" s="147" t="s">
        <v>220</v>
      </c>
      <c r="AN245" s="147" t="s">
        <v>352</v>
      </c>
      <c r="AO245" s="147" t="s">
        <v>1859</v>
      </c>
      <c r="AP245" s="147" t="s">
        <v>1888</v>
      </c>
      <c r="AQ245" s="147" t="s">
        <v>351</v>
      </c>
      <c r="AR245" s="147" t="s">
        <v>1004</v>
      </c>
      <c r="AS245" s="182" t="str">
        <f t="shared" si="7"/>
        <v>TransportFleetFleet vehicle - distancePool car - distancePetrolMedium</v>
      </c>
      <c r="AT245" s="182" t="s">
        <v>356</v>
      </c>
      <c r="AU245" s="182" t="s">
        <v>1003</v>
      </c>
      <c r="AV245" s="208">
        <v>0.125</v>
      </c>
      <c r="AW245" s="208">
        <v>7.4999999999999997E-2</v>
      </c>
      <c r="AX245" s="311">
        <v>0.05</v>
      </c>
      <c r="AY245" s="310"/>
      <c r="BA245" s="398"/>
      <c r="BB245" s="398"/>
      <c r="BC245" s="398"/>
      <c r="BH245" s="147" t="str">
        <v>Other service activities</v>
      </c>
      <c r="BI245" s="147" t="str">
        <v>Repair services of computers and personal and household goods</v>
      </c>
    </row>
    <row r="246" spans="39:61" x14ac:dyDescent="0.3">
      <c r="AM246" s="147" t="s">
        <v>220</v>
      </c>
      <c r="AN246" s="147" t="s">
        <v>352</v>
      </c>
      <c r="AO246" s="147" t="s">
        <v>1859</v>
      </c>
      <c r="AP246" s="147" t="s">
        <v>1888</v>
      </c>
      <c r="AQ246" s="147" t="s">
        <v>351</v>
      </c>
      <c r="AR246" s="147" t="s">
        <v>1005</v>
      </c>
      <c r="AS246" s="182" t="str">
        <f t="shared" si="7"/>
        <v>TransportFleetFleet vehicle - distancePool car - distancePetrolLarge</v>
      </c>
      <c r="AT246" s="182" t="s">
        <v>356</v>
      </c>
      <c r="AU246" s="182" t="s">
        <v>1003</v>
      </c>
      <c r="AV246" s="208">
        <v>0.125</v>
      </c>
      <c r="AW246" s="208">
        <v>7.4999999999999997E-2</v>
      </c>
      <c r="AX246" s="311">
        <v>0.05</v>
      </c>
      <c r="AY246" s="310"/>
      <c r="BA246" s="398"/>
      <c r="BB246" s="398"/>
      <c r="BC246" s="398"/>
      <c r="BH246" s="147" t="str">
        <v>Other service activities</v>
      </c>
      <c r="BI246" s="147" t="str">
        <v>Other personal services</v>
      </c>
    </row>
    <row r="247" spans="39:61" x14ac:dyDescent="0.3">
      <c r="AM247" s="147" t="s">
        <v>220</v>
      </c>
      <c r="AN247" s="147" t="s">
        <v>352</v>
      </c>
      <c r="AO247" s="147" t="s">
        <v>1859</v>
      </c>
      <c r="AP247" s="147" t="s">
        <v>1888</v>
      </c>
      <c r="AQ247" s="147" t="s">
        <v>351</v>
      </c>
      <c r="AR247" s="147" t="s">
        <v>353</v>
      </c>
      <c r="AS247" s="182" t="str">
        <f t="shared" si="7"/>
        <v>TransportFleetFleet vehicle - distancePool car - distancePetrolAverage</v>
      </c>
      <c r="AT247" s="182" t="s">
        <v>356</v>
      </c>
      <c r="AU247" s="182" t="s">
        <v>1003</v>
      </c>
      <c r="AV247" s="208">
        <v>0.125</v>
      </c>
      <c r="AW247" s="208">
        <v>7.4999999999999997E-2</v>
      </c>
      <c r="AX247" s="311">
        <v>0.05</v>
      </c>
      <c r="AY247" s="310"/>
      <c r="BA247" s="398"/>
      <c r="BB247" s="398"/>
      <c r="BC247" s="398"/>
      <c r="BH247" s="147" t="str">
        <v>Pool car - distance</v>
      </c>
      <c r="BI247" s="147" t="str">
        <v>Petrol</v>
      </c>
    </row>
    <row r="248" spans="39:61" x14ac:dyDescent="0.3">
      <c r="AM248" s="147" t="s">
        <v>220</v>
      </c>
      <c r="AN248" s="147" t="s">
        <v>352</v>
      </c>
      <c r="AO248" s="147" t="s">
        <v>1859</v>
      </c>
      <c r="AP248" s="147" t="s">
        <v>1888</v>
      </c>
      <c r="AQ248" s="147" t="s">
        <v>1006</v>
      </c>
      <c r="AR248" s="147" t="s">
        <v>754</v>
      </c>
      <c r="AS248" s="182" t="str">
        <f t="shared" si="7"/>
        <v>TransportFleetFleet vehicle - distancePool car - distanceDieselSmall</v>
      </c>
      <c r="AT248" s="182" t="s">
        <v>356</v>
      </c>
      <c r="AU248" s="182" t="s">
        <v>1003</v>
      </c>
      <c r="AV248" s="208">
        <v>0.125</v>
      </c>
      <c r="AW248" s="208">
        <v>7.4999999999999997E-2</v>
      </c>
      <c r="AX248" s="311">
        <v>0.05</v>
      </c>
      <c r="AY248" s="310"/>
      <c r="BA248" s="398"/>
      <c r="BB248" s="398"/>
      <c r="BC248" s="398"/>
      <c r="BH248" s="147" t="str">
        <v>Pool car - distance</v>
      </c>
      <c r="BI248" s="147" t="str">
        <v>Diesel</v>
      </c>
    </row>
    <row r="249" spans="39:61" x14ac:dyDescent="0.3">
      <c r="AM249" s="147" t="s">
        <v>220</v>
      </c>
      <c r="AN249" s="147" t="s">
        <v>352</v>
      </c>
      <c r="AO249" s="147" t="s">
        <v>1859</v>
      </c>
      <c r="AP249" s="147" t="s">
        <v>1888</v>
      </c>
      <c r="AQ249" s="147" t="s">
        <v>1006</v>
      </c>
      <c r="AR249" s="147" t="s">
        <v>1004</v>
      </c>
      <c r="AS249" s="182" t="str">
        <f t="shared" si="7"/>
        <v>TransportFleetFleet vehicle - distancePool car - distanceDieselMedium</v>
      </c>
      <c r="AT249" s="182" t="s">
        <v>356</v>
      </c>
      <c r="AU249" s="182" t="s">
        <v>1003</v>
      </c>
      <c r="AV249" s="208">
        <v>0.125</v>
      </c>
      <c r="AW249" s="208">
        <v>7.4999999999999997E-2</v>
      </c>
      <c r="AX249" s="311">
        <v>0.05</v>
      </c>
      <c r="AY249" s="310"/>
      <c r="BA249" s="398"/>
      <c r="BB249" s="398"/>
      <c r="BC249" s="398"/>
      <c r="BH249" s="147" t="str">
        <v>Pool car - distance</v>
      </c>
      <c r="BI249" s="147" t="str">
        <v>Battery Electric Vehicle</v>
      </c>
    </row>
    <row r="250" spans="39:61" x14ac:dyDescent="0.3">
      <c r="AM250" s="147" t="s">
        <v>220</v>
      </c>
      <c r="AN250" s="147" t="s">
        <v>352</v>
      </c>
      <c r="AO250" s="147" t="s">
        <v>1859</v>
      </c>
      <c r="AP250" s="147" t="s">
        <v>1888</v>
      </c>
      <c r="AQ250" s="147" t="s">
        <v>1006</v>
      </c>
      <c r="AR250" s="147" t="s">
        <v>1005</v>
      </c>
      <c r="AS250" s="182" t="str">
        <f t="shared" si="7"/>
        <v>TransportFleetFleet vehicle - distancePool car - distanceDieselLarge</v>
      </c>
      <c r="AT250" s="182" t="s">
        <v>356</v>
      </c>
      <c r="AU250" s="182" t="s">
        <v>1003</v>
      </c>
      <c r="AV250" s="208">
        <v>0.125</v>
      </c>
      <c r="AW250" s="208">
        <v>7.4999999999999997E-2</v>
      </c>
      <c r="AX250" s="311">
        <v>0.05</v>
      </c>
      <c r="AY250" s="310"/>
      <c r="BA250" s="398"/>
      <c r="BB250" s="398"/>
      <c r="BC250" s="398"/>
      <c r="BH250" s="147" t="str">
        <v>Pool car - distance</v>
      </c>
      <c r="BI250" s="147" t="str">
        <v>Hybrid</v>
      </c>
    </row>
    <row r="251" spans="39:61" x14ac:dyDescent="0.3">
      <c r="AM251" s="147" t="s">
        <v>220</v>
      </c>
      <c r="AN251" s="147" t="s">
        <v>352</v>
      </c>
      <c r="AO251" s="147" t="s">
        <v>1859</v>
      </c>
      <c r="AP251" s="147" t="s">
        <v>1888</v>
      </c>
      <c r="AQ251" s="147" t="s">
        <v>1006</v>
      </c>
      <c r="AR251" s="147" t="s">
        <v>353</v>
      </c>
      <c r="AS251" s="182" t="str">
        <f t="shared" si="7"/>
        <v>TransportFleetFleet vehicle - distancePool car - distanceDieselAverage</v>
      </c>
      <c r="AT251" s="182" t="s">
        <v>356</v>
      </c>
      <c r="AU251" s="182" t="s">
        <v>1003</v>
      </c>
      <c r="AV251" s="208">
        <v>0.125</v>
      </c>
      <c r="AW251" s="208">
        <v>7.4999999999999997E-2</v>
      </c>
      <c r="AX251" s="311">
        <v>0.05</v>
      </c>
      <c r="AY251" s="310"/>
      <c r="BA251" s="398"/>
      <c r="BB251" s="398"/>
      <c r="BC251" s="398"/>
      <c r="BH251" s="147" t="str">
        <v>Pool car - distance</v>
      </c>
      <c r="BI251" s="147" t="str">
        <v>Plug-in Hybrid Electric Vehicle</v>
      </c>
    </row>
    <row r="252" spans="39:61" x14ac:dyDescent="0.3">
      <c r="AM252" s="147" t="s">
        <v>220</v>
      </c>
      <c r="AN252" s="147" t="s">
        <v>352</v>
      </c>
      <c r="AO252" s="147" t="s">
        <v>1859</v>
      </c>
      <c r="AP252" s="147" t="s">
        <v>1888</v>
      </c>
      <c r="AQ252" s="147" t="s">
        <v>1007</v>
      </c>
      <c r="AR252" s="147" t="s">
        <v>754</v>
      </c>
      <c r="AS252" s="182" t="str">
        <f t="shared" si="7"/>
        <v>TransportFleetFleet vehicle - distancePool car - distanceBattery Electric VehicleSmall</v>
      </c>
      <c r="AT252" s="182" t="s">
        <v>356</v>
      </c>
      <c r="AU252" s="182" t="s">
        <v>1003</v>
      </c>
      <c r="AV252" s="208">
        <v>0.125</v>
      </c>
      <c r="AW252" s="208">
        <v>7.4999999999999997E-2</v>
      </c>
      <c r="AX252" s="311">
        <v>0.05</v>
      </c>
      <c r="AY252" s="310"/>
      <c r="BA252" s="398"/>
      <c r="BB252" s="398"/>
      <c r="BC252" s="398"/>
      <c r="BH252" s="147" t="str">
        <v>Pool car - distance</v>
      </c>
      <c r="BI252" s="147" t="str">
        <v>Unknown fuel</v>
      </c>
    </row>
    <row r="253" spans="39:61" x14ac:dyDescent="0.3">
      <c r="AM253" s="147" t="s">
        <v>220</v>
      </c>
      <c r="AN253" s="147" t="s">
        <v>352</v>
      </c>
      <c r="AO253" s="147" t="s">
        <v>1859</v>
      </c>
      <c r="AP253" s="147" t="s">
        <v>1888</v>
      </c>
      <c r="AQ253" s="147" t="s">
        <v>1007</v>
      </c>
      <c r="AR253" s="147" t="s">
        <v>1004</v>
      </c>
      <c r="AS253" s="182" t="str">
        <f t="shared" si="7"/>
        <v>TransportFleetFleet vehicle - distancePool car - distanceBattery Electric VehicleMedium</v>
      </c>
      <c r="AT253" s="182" t="s">
        <v>356</v>
      </c>
      <c r="AU253" s="182" t="s">
        <v>1003</v>
      </c>
      <c r="AV253" s="208">
        <v>0.125</v>
      </c>
      <c r="AW253" s="208">
        <v>7.4999999999999997E-2</v>
      </c>
      <c r="AX253" s="311">
        <v>0.05</v>
      </c>
      <c r="AY253" s="310"/>
      <c r="BA253" s="398"/>
      <c r="BB253" s="398"/>
      <c r="BC253" s="398"/>
      <c r="BH253" s="147" t="str">
        <v>Pool car - fuel</v>
      </c>
      <c r="BI253" s="147" t="str">
        <v>Petrol</v>
      </c>
    </row>
    <row r="254" spans="39:61" x14ac:dyDescent="0.3">
      <c r="AM254" s="147" t="s">
        <v>220</v>
      </c>
      <c r="AN254" s="147" t="s">
        <v>352</v>
      </c>
      <c r="AO254" s="147" t="s">
        <v>1859</v>
      </c>
      <c r="AP254" s="147" t="s">
        <v>1888</v>
      </c>
      <c r="AQ254" s="147" t="s">
        <v>1007</v>
      </c>
      <c r="AR254" s="147" t="s">
        <v>1005</v>
      </c>
      <c r="AS254" s="182" t="str">
        <f t="shared" si="7"/>
        <v>TransportFleetFleet vehicle - distancePool car - distanceBattery Electric VehicleLarge</v>
      </c>
      <c r="AT254" s="182" t="s">
        <v>356</v>
      </c>
      <c r="AU254" s="182" t="s">
        <v>1003</v>
      </c>
      <c r="AV254" s="208">
        <v>0.125</v>
      </c>
      <c r="AW254" s="208">
        <v>7.4999999999999997E-2</v>
      </c>
      <c r="AX254" s="311">
        <v>0.05</v>
      </c>
      <c r="AY254" s="310"/>
      <c r="BA254" s="398"/>
      <c r="BB254" s="398"/>
      <c r="BC254" s="398"/>
      <c r="BH254" s="147" t="str">
        <v>Pool car - fuel</v>
      </c>
      <c r="BI254" s="147" t="str">
        <v>Petrol - 100% mineral</v>
      </c>
    </row>
    <row r="255" spans="39:61" x14ac:dyDescent="0.3">
      <c r="AM255" s="147" t="s">
        <v>220</v>
      </c>
      <c r="AN255" s="147" t="s">
        <v>352</v>
      </c>
      <c r="AO255" s="147" t="s">
        <v>1859</v>
      </c>
      <c r="AP255" s="147" t="s">
        <v>1888</v>
      </c>
      <c r="AQ255" s="147" t="s">
        <v>1007</v>
      </c>
      <c r="AR255" s="147" t="s">
        <v>353</v>
      </c>
      <c r="AS255" s="182" t="str">
        <f t="shared" si="7"/>
        <v>TransportFleetFleet vehicle - distancePool car - distanceBattery Electric VehicleAverage</v>
      </c>
      <c r="AT255" s="182" t="s">
        <v>356</v>
      </c>
      <c r="AU255" s="182" t="s">
        <v>1003</v>
      </c>
      <c r="AV255" s="208">
        <v>0.125</v>
      </c>
      <c r="AW255" s="208">
        <v>7.4999999999999997E-2</v>
      </c>
      <c r="AX255" s="311">
        <v>0.05</v>
      </c>
      <c r="AY255" s="310"/>
      <c r="BA255" s="398"/>
      <c r="BB255" s="398"/>
      <c r="BC255" s="398"/>
      <c r="BH255" s="147" t="str">
        <v>Pool car - fuel</v>
      </c>
      <c r="BI255" s="147" t="str">
        <v>Diesel</v>
      </c>
    </row>
    <row r="256" spans="39:61" x14ac:dyDescent="0.3">
      <c r="AM256" s="147" t="s">
        <v>220</v>
      </c>
      <c r="AN256" s="147" t="s">
        <v>352</v>
      </c>
      <c r="AO256" s="147" t="s">
        <v>1859</v>
      </c>
      <c r="AP256" s="147" t="s">
        <v>1888</v>
      </c>
      <c r="AQ256" s="147" t="s">
        <v>1008</v>
      </c>
      <c r="AR256" s="147" t="s">
        <v>754</v>
      </c>
      <c r="AS256" s="182" t="str">
        <f t="shared" si="7"/>
        <v>TransportFleetFleet vehicle - distancePool car - distanceHybridSmall</v>
      </c>
      <c r="AT256" s="182" t="s">
        <v>356</v>
      </c>
      <c r="AU256" s="182" t="s">
        <v>1003</v>
      </c>
      <c r="AV256" s="208">
        <v>0.125</v>
      </c>
      <c r="AW256" s="208">
        <v>7.4999999999999997E-2</v>
      </c>
      <c r="AX256" s="311">
        <v>0.05</v>
      </c>
      <c r="AY256" s="310"/>
      <c r="BA256" s="398"/>
      <c r="BB256" s="398"/>
      <c r="BC256" s="398"/>
      <c r="BH256" s="147" t="str">
        <v>Pool car - fuel</v>
      </c>
      <c r="BI256" s="147" t="str">
        <v>Diesel - 100% mineral</v>
      </c>
    </row>
    <row r="257" spans="39:61" x14ac:dyDescent="0.3">
      <c r="AM257" s="147" t="s">
        <v>220</v>
      </c>
      <c r="AN257" s="147" t="s">
        <v>352</v>
      </c>
      <c r="AO257" s="147" t="s">
        <v>1859</v>
      </c>
      <c r="AP257" s="147" t="s">
        <v>1888</v>
      </c>
      <c r="AQ257" s="147" t="s">
        <v>1008</v>
      </c>
      <c r="AR257" s="147" t="s">
        <v>1004</v>
      </c>
      <c r="AS257" s="182" t="str">
        <f t="shared" si="7"/>
        <v>TransportFleetFleet vehicle - distancePool car - distanceHybridMedium</v>
      </c>
      <c r="AT257" s="182" t="s">
        <v>356</v>
      </c>
      <c r="AU257" s="182" t="s">
        <v>1003</v>
      </c>
      <c r="AV257" s="208">
        <v>0.125</v>
      </c>
      <c r="AW257" s="208">
        <v>7.4999999999999997E-2</v>
      </c>
      <c r="AX257" s="311">
        <v>0.05</v>
      </c>
      <c r="AY257" s="310"/>
      <c r="BA257" s="398"/>
      <c r="BB257" s="398"/>
      <c r="BC257" s="398"/>
      <c r="BH257" s="147" t="str">
        <v>Pool car - fuel</v>
      </c>
      <c r="BI257" s="147" t="str">
        <v>Battery Electric Vehicle</v>
      </c>
    </row>
    <row r="258" spans="39:61" x14ac:dyDescent="0.3">
      <c r="AM258" s="147" t="s">
        <v>220</v>
      </c>
      <c r="AN258" s="147" t="s">
        <v>352</v>
      </c>
      <c r="AO258" s="147" t="s">
        <v>1859</v>
      </c>
      <c r="AP258" s="147" t="s">
        <v>1888</v>
      </c>
      <c r="AQ258" s="147" t="s">
        <v>1008</v>
      </c>
      <c r="AR258" s="147" t="s">
        <v>1005</v>
      </c>
      <c r="AS258" s="182" t="str">
        <f t="shared" si="7"/>
        <v>TransportFleetFleet vehicle - distancePool car - distanceHybridLarge</v>
      </c>
      <c r="AT258" s="182" t="s">
        <v>356</v>
      </c>
      <c r="AU258" s="182" t="s">
        <v>1003</v>
      </c>
      <c r="AV258" s="208">
        <v>0.125</v>
      </c>
      <c r="AW258" s="208">
        <v>7.4999999999999997E-2</v>
      </c>
      <c r="AX258" s="311">
        <v>0.05</v>
      </c>
      <c r="AY258" s="310"/>
      <c r="BA258" s="398"/>
      <c r="BB258" s="398"/>
      <c r="BC258" s="398"/>
      <c r="BH258" s="147" t="str">
        <v>Pool car - fuel</v>
      </c>
      <c r="BI258" s="147" t="str">
        <v>Hybrid</v>
      </c>
    </row>
    <row r="259" spans="39:61" x14ac:dyDescent="0.3">
      <c r="AM259" s="147" t="s">
        <v>220</v>
      </c>
      <c r="AN259" s="147" t="s">
        <v>352</v>
      </c>
      <c r="AO259" s="147" t="s">
        <v>1859</v>
      </c>
      <c r="AP259" s="147" t="s">
        <v>1888</v>
      </c>
      <c r="AQ259" s="147" t="s">
        <v>1008</v>
      </c>
      <c r="AR259" s="147" t="s">
        <v>353</v>
      </c>
      <c r="AS259" s="182" t="str">
        <f t="shared" si="7"/>
        <v>TransportFleetFleet vehicle - distancePool car - distanceHybridAverage</v>
      </c>
      <c r="AT259" s="182" t="s">
        <v>356</v>
      </c>
      <c r="AU259" s="182" t="s">
        <v>1003</v>
      </c>
      <c r="AV259" s="208">
        <v>0.125</v>
      </c>
      <c r="AW259" s="208">
        <v>7.4999999999999997E-2</v>
      </c>
      <c r="AX259" s="311">
        <v>0.05</v>
      </c>
      <c r="AY259" s="310"/>
      <c r="BA259" s="398"/>
      <c r="BB259" s="398"/>
      <c r="BC259" s="398"/>
      <c r="BH259" s="147" t="str">
        <v>Pool car - fuel</v>
      </c>
      <c r="BI259" s="147" t="str">
        <v>HVO</v>
      </c>
    </row>
    <row r="260" spans="39:61" x14ac:dyDescent="0.3">
      <c r="AM260" s="147" t="s">
        <v>220</v>
      </c>
      <c r="AN260" s="147" t="s">
        <v>352</v>
      </c>
      <c r="AO260" s="147" t="s">
        <v>1859</v>
      </c>
      <c r="AP260" s="147" t="s">
        <v>1888</v>
      </c>
      <c r="AQ260" s="147" t="s">
        <v>1009</v>
      </c>
      <c r="AR260" s="147" t="s">
        <v>754</v>
      </c>
      <c r="AS260" s="182" t="str">
        <f t="shared" si="7"/>
        <v>TransportFleetFleet vehicle - distancePool car - distancePlug-in Hybrid Electric VehicleSmall</v>
      </c>
      <c r="AT260" s="182" t="s">
        <v>356</v>
      </c>
      <c r="AU260" s="182" t="s">
        <v>1003</v>
      </c>
      <c r="AV260" s="208">
        <v>0.125</v>
      </c>
      <c r="AW260" s="208">
        <v>7.4999999999999997E-2</v>
      </c>
      <c r="AX260" s="311">
        <v>0.05</v>
      </c>
      <c r="AY260" s="310"/>
      <c r="BA260" s="398"/>
      <c r="BB260" s="398"/>
      <c r="BC260" s="398"/>
      <c r="BH260" s="147" t="str">
        <v>Pool car - fuel</v>
      </c>
      <c r="BI260" s="147" t="str">
        <v>ME</v>
      </c>
    </row>
    <row r="261" spans="39:61" x14ac:dyDescent="0.3">
      <c r="AM261" s="147" t="s">
        <v>220</v>
      </c>
      <c r="AN261" s="147" t="s">
        <v>352</v>
      </c>
      <c r="AO261" s="147" t="s">
        <v>1859</v>
      </c>
      <c r="AP261" s="147" t="s">
        <v>1888</v>
      </c>
      <c r="AQ261" s="147" t="s">
        <v>1009</v>
      </c>
      <c r="AR261" s="147" t="s">
        <v>1004</v>
      </c>
      <c r="AS261" s="182" t="str">
        <f t="shared" si="7"/>
        <v>TransportFleetFleet vehicle - distancePool car - distancePlug-in Hybrid Electric VehicleMedium</v>
      </c>
      <c r="AT261" s="182" t="s">
        <v>356</v>
      </c>
      <c r="AU261" s="182" t="s">
        <v>1003</v>
      </c>
      <c r="AV261" s="208">
        <v>0.125</v>
      </c>
      <c r="AW261" s="208">
        <v>7.4999999999999997E-2</v>
      </c>
      <c r="AX261" s="311">
        <v>0.05</v>
      </c>
      <c r="AY261" s="310"/>
      <c r="BA261" s="398"/>
      <c r="BB261" s="398"/>
      <c r="BC261" s="398"/>
      <c r="BH261" s="147" t="str">
        <v>Pool car - fuel</v>
      </c>
      <c r="BI261" s="147" t="str">
        <v>100% Biopetrol</v>
      </c>
    </row>
    <row r="262" spans="39:61" x14ac:dyDescent="0.3">
      <c r="AM262" s="147" t="s">
        <v>220</v>
      </c>
      <c r="AN262" s="147" t="s">
        <v>352</v>
      </c>
      <c r="AO262" s="147" t="s">
        <v>1859</v>
      </c>
      <c r="AP262" s="147" t="s">
        <v>1888</v>
      </c>
      <c r="AQ262" s="147" t="s">
        <v>1009</v>
      </c>
      <c r="AR262" s="147" t="s">
        <v>1005</v>
      </c>
      <c r="AS262" s="182" t="str">
        <f t="shared" si="7"/>
        <v>TransportFleetFleet vehicle - distancePool car - distancePlug-in Hybrid Electric VehicleLarge</v>
      </c>
      <c r="AT262" s="182" t="s">
        <v>356</v>
      </c>
      <c r="AU262" s="182" t="s">
        <v>1003</v>
      </c>
      <c r="AV262" s="208">
        <v>0.125</v>
      </c>
      <c r="AW262" s="208">
        <v>7.4999999999999997E-2</v>
      </c>
      <c r="AX262" s="311">
        <v>0.05</v>
      </c>
      <c r="AY262" s="310"/>
      <c r="BA262" s="398"/>
      <c r="BB262" s="398"/>
      <c r="BC262" s="398"/>
      <c r="BH262" s="147" t="str">
        <v>Private car</v>
      </c>
      <c r="BI262" s="147" t="str">
        <v>Petrol</v>
      </c>
    </row>
    <row r="263" spans="39:61" x14ac:dyDescent="0.3">
      <c r="AM263" s="147" t="s">
        <v>220</v>
      </c>
      <c r="AN263" s="147" t="s">
        <v>352</v>
      </c>
      <c r="AO263" s="147" t="s">
        <v>1859</v>
      </c>
      <c r="AP263" s="147" t="s">
        <v>1888</v>
      </c>
      <c r="AQ263" s="147" t="s">
        <v>1009</v>
      </c>
      <c r="AR263" s="147" t="s">
        <v>353</v>
      </c>
      <c r="AS263" s="182" t="str">
        <f t="shared" si="7"/>
        <v>TransportFleetFleet vehicle - distancePool car - distancePlug-in Hybrid Electric VehicleAverage</v>
      </c>
      <c r="AT263" s="182" t="s">
        <v>356</v>
      </c>
      <c r="AU263" s="182" t="s">
        <v>1003</v>
      </c>
      <c r="AV263" s="208">
        <v>0.125</v>
      </c>
      <c r="AW263" s="208">
        <v>7.4999999999999997E-2</v>
      </c>
      <c r="AX263" s="311">
        <v>0.05</v>
      </c>
      <c r="AY263" s="310"/>
      <c r="BA263" s="398"/>
      <c r="BB263" s="398"/>
      <c r="BC263" s="398"/>
      <c r="BH263" s="147" t="str">
        <v>Private car</v>
      </c>
      <c r="BI263" s="147" t="str">
        <v>Diesel</v>
      </c>
    </row>
    <row r="264" spans="39:61" x14ac:dyDescent="0.3">
      <c r="AM264" s="147" t="s">
        <v>220</v>
      </c>
      <c r="AN264" s="147" t="s">
        <v>352</v>
      </c>
      <c r="AO264" s="147" t="s">
        <v>1859</v>
      </c>
      <c r="AP264" s="147" t="s">
        <v>1888</v>
      </c>
      <c r="AQ264" s="147" t="s">
        <v>1010</v>
      </c>
      <c r="AR264" s="147" t="s">
        <v>754</v>
      </c>
      <c r="AS264" s="182" t="str">
        <f t="shared" si="7"/>
        <v>TransportFleetFleet vehicle - distancePool car - distanceUnknown fuelSmall</v>
      </c>
      <c r="AT264" s="182" t="s">
        <v>356</v>
      </c>
      <c r="AU264" s="182" t="s">
        <v>1003</v>
      </c>
      <c r="AV264" s="208">
        <v>0.125</v>
      </c>
      <c r="AW264" s="208">
        <v>7.4999999999999997E-2</v>
      </c>
      <c r="AX264" s="311">
        <v>0.05</v>
      </c>
      <c r="AY264" s="310"/>
      <c r="BA264" s="398"/>
      <c r="BB264" s="398"/>
      <c r="BC264" s="398"/>
      <c r="BH264" s="147" t="str">
        <v>Private car</v>
      </c>
      <c r="BI264" s="147" t="str">
        <v>Battery Electric Vehicle</v>
      </c>
    </row>
    <row r="265" spans="39:61" x14ac:dyDescent="0.3">
      <c r="AM265" s="147" t="s">
        <v>220</v>
      </c>
      <c r="AN265" s="147" t="s">
        <v>352</v>
      </c>
      <c r="AO265" s="147" t="s">
        <v>1859</v>
      </c>
      <c r="AP265" s="147" t="s">
        <v>1888</v>
      </c>
      <c r="AQ265" s="147" t="s">
        <v>1010</v>
      </c>
      <c r="AR265" s="147" t="s">
        <v>1004</v>
      </c>
      <c r="AS265" s="182" t="str">
        <f t="shared" si="7"/>
        <v>TransportFleetFleet vehicle - distancePool car - distanceUnknown fuelMedium</v>
      </c>
      <c r="AT265" s="182" t="s">
        <v>356</v>
      </c>
      <c r="AU265" s="182" t="s">
        <v>1003</v>
      </c>
      <c r="AV265" s="208">
        <v>0.125</v>
      </c>
      <c r="AW265" s="208">
        <v>7.4999999999999997E-2</v>
      </c>
      <c r="AX265" s="311">
        <v>0.05</v>
      </c>
      <c r="AY265" s="310"/>
      <c r="BA265" s="398"/>
      <c r="BB265" s="398"/>
      <c r="BC265" s="398"/>
      <c r="BH265" s="147" t="str">
        <v>Private car</v>
      </c>
      <c r="BI265" s="147" t="str">
        <v>Hybrid</v>
      </c>
    </row>
    <row r="266" spans="39:61" x14ac:dyDescent="0.3">
      <c r="AM266" s="147" t="s">
        <v>220</v>
      </c>
      <c r="AN266" s="147" t="s">
        <v>352</v>
      </c>
      <c r="AO266" s="147" t="s">
        <v>1859</v>
      </c>
      <c r="AP266" s="147" t="s">
        <v>1888</v>
      </c>
      <c r="AQ266" s="147" t="s">
        <v>1010</v>
      </c>
      <c r="AR266" s="147" t="s">
        <v>1005</v>
      </c>
      <c r="AS266" s="182" t="str">
        <f t="shared" si="7"/>
        <v>TransportFleetFleet vehicle - distancePool car - distanceUnknown fuelLarge</v>
      </c>
      <c r="AT266" s="182" t="s">
        <v>356</v>
      </c>
      <c r="AU266" s="182" t="s">
        <v>1003</v>
      </c>
      <c r="AV266" s="208">
        <v>0.125</v>
      </c>
      <c r="AW266" s="208">
        <v>7.4999999999999997E-2</v>
      </c>
      <c r="AX266" s="311">
        <v>0.05</v>
      </c>
      <c r="AY266" s="310"/>
      <c r="BA266" s="398"/>
      <c r="BB266" s="398"/>
      <c r="BC266" s="398"/>
      <c r="BH266" s="147" t="str">
        <v>Private car</v>
      </c>
      <c r="BI266" s="147" t="str">
        <v>Plug-in Hybrid Electric Vehicle</v>
      </c>
    </row>
    <row r="267" spans="39:61" x14ac:dyDescent="0.3">
      <c r="AM267" s="147" t="s">
        <v>220</v>
      </c>
      <c r="AN267" s="147" t="s">
        <v>352</v>
      </c>
      <c r="AO267" s="147" t="s">
        <v>1859</v>
      </c>
      <c r="AP267" s="147" t="s">
        <v>1888</v>
      </c>
      <c r="AQ267" s="147" t="s">
        <v>1010</v>
      </c>
      <c r="AR267" s="147" t="s">
        <v>353</v>
      </c>
      <c r="AS267" s="182" t="str">
        <f t="shared" si="7"/>
        <v>TransportFleetFleet vehicle - distancePool car - distanceUnknown fuelAverage</v>
      </c>
      <c r="AT267" s="182" t="s">
        <v>356</v>
      </c>
      <c r="AU267" s="182" t="s">
        <v>1003</v>
      </c>
      <c r="AV267" s="208">
        <v>0.125</v>
      </c>
      <c r="AW267" s="208">
        <v>7.4999999999999997E-2</v>
      </c>
      <c r="AX267" s="311">
        <v>0.05</v>
      </c>
      <c r="AY267" s="310"/>
      <c r="BA267" s="398"/>
      <c r="BB267" s="398"/>
      <c r="BC267" s="398"/>
      <c r="BH267" s="147" t="str">
        <v>Private car</v>
      </c>
      <c r="BI267" s="147" t="str">
        <v>Unknown fuel</v>
      </c>
    </row>
    <row r="268" spans="39:61" x14ac:dyDescent="0.3">
      <c r="AM268" s="147" t="s">
        <v>220</v>
      </c>
      <c r="AN268" s="147" t="s">
        <v>352</v>
      </c>
      <c r="AO268" s="147" t="s">
        <v>1859</v>
      </c>
      <c r="AP268" s="147" t="s">
        <v>1889</v>
      </c>
      <c r="AQ268" s="147" t="s">
        <v>1006</v>
      </c>
      <c r="AR268" s="147" t="s">
        <v>353</v>
      </c>
      <c r="AS268" s="182" t="str">
        <f t="shared" si="7"/>
        <v>TransportFleetFleet vehicle - distanceVan - distanceDieselAverage</v>
      </c>
      <c r="AT268" s="182" t="s">
        <v>356</v>
      </c>
      <c r="AU268" s="182" t="s">
        <v>1003</v>
      </c>
      <c r="AV268" s="208">
        <v>0.125</v>
      </c>
      <c r="AW268" s="208">
        <v>7.4999999999999997E-2</v>
      </c>
      <c r="AX268" s="311">
        <v>0.05</v>
      </c>
      <c r="AY268" s="310"/>
      <c r="BA268" s="398"/>
      <c r="BB268" s="398"/>
      <c r="BC268" s="398"/>
      <c r="BH268" s="147" t="str">
        <v>Professional, scientific and technical activities</v>
      </c>
      <c r="BI268" s="147" t="str">
        <v>Legal services</v>
      </c>
    </row>
    <row r="269" spans="39:61" x14ac:dyDescent="0.3">
      <c r="AM269" s="147" t="s">
        <v>220</v>
      </c>
      <c r="AN269" s="147" t="s">
        <v>352</v>
      </c>
      <c r="AO269" s="147" t="s">
        <v>1859</v>
      </c>
      <c r="AP269" s="147" t="s">
        <v>1889</v>
      </c>
      <c r="AQ269" s="147" t="s">
        <v>351</v>
      </c>
      <c r="AR269" s="147" t="s">
        <v>353</v>
      </c>
      <c r="AS269" s="182" t="str">
        <f t="shared" ref="AS269:AS286" si="8">_xlfn.CONCAT(AM269:AR269)</f>
        <v>TransportFleetFleet vehicle - distanceVan - distancePetrolAverage</v>
      </c>
      <c r="AT269" s="182" t="s">
        <v>356</v>
      </c>
      <c r="AU269" s="182" t="s">
        <v>1003</v>
      </c>
      <c r="AV269" s="208">
        <v>0.125</v>
      </c>
      <c r="AW269" s="208">
        <v>7.4999999999999997E-2</v>
      </c>
      <c r="AX269" s="311">
        <v>0.05</v>
      </c>
      <c r="AY269" s="310"/>
      <c r="BA269" s="398"/>
      <c r="BB269" s="398"/>
      <c r="BC269" s="398"/>
      <c r="BH269" s="147" t="str">
        <v>Professional, scientific and technical activities</v>
      </c>
      <c r="BI269" s="147" t="str">
        <v>Accounting, bookkeeping and auditing services; tax consulting services</v>
      </c>
    </row>
    <row r="270" spans="39:61" x14ac:dyDescent="0.3">
      <c r="AM270" s="147" t="s">
        <v>220</v>
      </c>
      <c r="AN270" s="147" t="s">
        <v>352</v>
      </c>
      <c r="AO270" s="147" t="s">
        <v>1859</v>
      </c>
      <c r="AP270" s="147" t="s">
        <v>1889</v>
      </c>
      <c r="AQ270" s="147" t="s">
        <v>981</v>
      </c>
      <c r="AR270" s="147" t="s">
        <v>353</v>
      </c>
      <c r="AS270" s="182" t="str">
        <f t="shared" si="8"/>
        <v>TransportFleetFleet vehicle - distanceVan - distanceLPGAverage</v>
      </c>
      <c r="AT270" s="182" t="s">
        <v>356</v>
      </c>
      <c r="AU270" s="182" t="s">
        <v>1003</v>
      </c>
      <c r="AV270" s="208">
        <v>0.125</v>
      </c>
      <c r="AW270" s="208">
        <v>7.4999999999999997E-2</v>
      </c>
      <c r="AX270" s="311">
        <v>0.05</v>
      </c>
      <c r="AY270" s="310"/>
      <c r="BA270" s="398"/>
      <c r="BB270" s="398"/>
      <c r="BC270" s="398"/>
      <c r="BH270" s="147" t="str">
        <v>Professional, scientific and technical activities</v>
      </c>
      <c r="BI270" s="147" t="str">
        <v>Services of head offices; management consulting services</v>
      </c>
    </row>
    <row r="271" spans="39:61" x14ac:dyDescent="0.3">
      <c r="AM271" s="147" t="s">
        <v>220</v>
      </c>
      <c r="AN271" s="147" t="s">
        <v>352</v>
      </c>
      <c r="AO271" s="147" t="s">
        <v>1859</v>
      </c>
      <c r="AP271" s="147" t="s">
        <v>1889</v>
      </c>
      <c r="AQ271" s="147" t="s">
        <v>1007</v>
      </c>
      <c r="AR271" s="147" t="s">
        <v>353</v>
      </c>
      <c r="AS271" s="182" t="str">
        <f t="shared" si="8"/>
        <v>TransportFleetFleet vehicle - distanceVan - distanceBattery Electric VehicleAverage</v>
      </c>
      <c r="AT271" s="182" t="s">
        <v>356</v>
      </c>
      <c r="AU271" s="182" t="s">
        <v>1003</v>
      </c>
      <c r="AV271" s="208">
        <v>0.125</v>
      </c>
      <c r="AW271" s="208">
        <v>7.4999999999999997E-2</v>
      </c>
      <c r="AX271" s="311">
        <v>0.05</v>
      </c>
      <c r="AY271" s="310"/>
      <c r="BA271" s="398"/>
      <c r="BB271" s="398"/>
      <c r="BC271" s="398"/>
      <c r="BH271" s="147" t="str">
        <v>Professional, scientific and technical activities</v>
      </c>
      <c r="BI271" s="147" t="str">
        <v>Architectural and engineering services; technical testing and analysis services</v>
      </c>
    </row>
    <row r="272" spans="39:61" x14ac:dyDescent="0.3">
      <c r="AM272" s="147" t="s">
        <v>220</v>
      </c>
      <c r="AN272" s="147" t="s">
        <v>352</v>
      </c>
      <c r="AO272" s="147" t="s">
        <v>1859</v>
      </c>
      <c r="AP272" s="147" t="s">
        <v>1889</v>
      </c>
      <c r="AQ272" s="147" t="s">
        <v>981</v>
      </c>
      <c r="AR272" s="147" t="s">
        <v>353</v>
      </c>
      <c r="AS272" s="182" t="str">
        <f t="shared" si="8"/>
        <v>TransportFleetFleet vehicle - distanceVan - distanceLPGAverage</v>
      </c>
      <c r="AT272" s="182" t="s">
        <v>356</v>
      </c>
      <c r="AU272" s="182" t="s">
        <v>1003</v>
      </c>
      <c r="AV272" s="208">
        <v>0.125</v>
      </c>
      <c r="AW272" s="208">
        <v>7.4999999999999997E-2</v>
      </c>
      <c r="AX272" s="311">
        <v>0.05</v>
      </c>
      <c r="AY272" s="310"/>
      <c r="BA272" s="398"/>
      <c r="BB272" s="398"/>
      <c r="BC272" s="398"/>
      <c r="BH272" s="147" t="str">
        <v>Professional, scientific and technical activities</v>
      </c>
      <c r="BI272" s="147" t="str">
        <v>Scientific research and development services</v>
      </c>
    </row>
    <row r="273" spans="39:61" x14ac:dyDescent="0.3">
      <c r="AM273" s="147" t="s">
        <v>220</v>
      </c>
      <c r="AN273" s="147" t="s">
        <v>352</v>
      </c>
      <c r="AO273" s="147" t="s">
        <v>1859</v>
      </c>
      <c r="AP273" s="147" t="s">
        <v>1889</v>
      </c>
      <c r="AQ273" s="147" t="s">
        <v>1010</v>
      </c>
      <c r="AR273" s="147" t="s">
        <v>353</v>
      </c>
      <c r="AS273" s="182" t="str">
        <f t="shared" si="8"/>
        <v>TransportFleetFleet vehicle - distanceVan - distanceUnknown fuelAverage</v>
      </c>
      <c r="AT273" s="182" t="s">
        <v>356</v>
      </c>
      <c r="AU273" s="182" t="s">
        <v>1003</v>
      </c>
      <c r="AV273" s="208">
        <v>0.125</v>
      </c>
      <c r="AW273" s="208">
        <v>7.4999999999999997E-2</v>
      </c>
      <c r="AX273" s="311">
        <v>0.05</v>
      </c>
      <c r="AY273" s="310"/>
      <c r="BA273" s="398"/>
      <c r="BB273" s="398"/>
      <c r="BC273" s="398"/>
      <c r="BH273" s="147" t="str">
        <v>Professional, scientific and technical activities</v>
      </c>
      <c r="BI273" s="147" t="str">
        <v>Advertising and market research services</v>
      </c>
    </row>
    <row r="274" spans="39:61" x14ac:dyDescent="0.3">
      <c r="AM274" s="147" t="s">
        <v>220</v>
      </c>
      <c r="AN274" s="147" t="s">
        <v>352</v>
      </c>
      <c r="AO274" s="147" t="s">
        <v>1859</v>
      </c>
      <c r="AP274" s="147" t="s">
        <v>1890</v>
      </c>
      <c r="AQ274" s="147" t="s">
        <v>1006</v>
      </c>
      <c r="AR274" s="147" t="s">
        <v>1013</v>
      </c>
      <c r="AS274" s="182" t="str">
        <f t="shared" si="8"/>
        <v>TransportFleetFleet vehicle - distanceHGV - distanceDieselAverage rigid</v>
      </c>
      <c r="AT274" s="182" t="s">
        <v>356</v>
      </c>
      <c r="AU274" s="182" t="s">
        <v>1003</v>
      </c>
      <c r="AV274" s="208">
        <v>0.125</v>
      </c>
      <c r="AW274" s="208">
        <v>7.4999999999999997E-2</v>
      </c>
      <c r="AX274" s="311">
        <v>0.05</v>
      </c>
      <c r="AY274" s="310"/>
      <c r="BA274" s="398"/>
      <c r="BB274" s="398"/>
      <c r="BC274" s="398"/>
      <c r="BH274" s="147" t="str">
        <v>Professional, scientific and technical activities</v>
      </c>
      <c r="BI274" s="147" t="str">
        <v>Other professional, scientific and technical services</v>
      </c>
    </row>
    <row r="275" spans="39:61" x14ac:dyDescent="0.3">
      <c r="AM275" s="147" t="s">
        <v>220</v>
      </c>
      <c r="AN275" s="147" t="s">
        <v>352</v>
      </c>
      <c r="AO275" s="147" t="s">
        <v>1859</v>
      </c>
      <c r="AP275" s="147" t="s">
        <v>1890</v>
      </c>
      <c r="AQ275" s="147" t="s">
        <v>1006</v>
      </c>
      <c r="AR275" s="147" t="s">
        <v>1014</v>
      </c>
      <c r="AS275" s="182" t="str">
        <f t="shared" si="8"/>
        <v>TransportFleetFleet vehicle - distanceHGV - distanceDieselAverage articulated</v>
      </c>
      <c r="AT275" s="182" t="s">
        <v>356</v>
      </c>
      <c r="AU275" s="182" t="s">
        <v>1003</v>
      </c>
      <c r="AV275" s="208">
        <v>0.125</v>
      </c>
      <c r="AW275" s="208">
        <v>7.4999999999999997E-2</v>
      </c>
      <c r="AX275" s="311">
        <v>0.05</v>
      </c>
      <c r="AY275" s="310"/>
      <c r="BA275" s="398"/>
      <c r="BB275" s="398"/>
      <c r="BC275" s="398"/>
      <c r="BH275" s="147" t="str">
        <v>Professional, scientific and technical activities</v>
      </c>
      <c r="BI275" s="147" t="str">
        <v>Veterinary services</v>
      </c>
    </row>
    <row r="276" spans="39:61" x14ac:dyDescent="0.3">
      <c r="AM276" s="147" t="s">
        <v>220</v>
      </c>
      <c r="AN276" s="147" t="s">
        <v>352</v>
      </c>
      <c r="AO276" s="147" t="s">
        <v>1859</v>
      </c>
      <c r="AP276" s="147" t="s">
        <v>1890</v>
      </c>
      <c r="AQ276" s="147" t="s">
        <v>1006</v>
      </c>
      <c r="AR276" s="147" t="s">
        <v>353</v>
      </c>
      <c r="AS276" s="182" t="str">
        <f t="shared" si="8"/>
        <v>TransportFleetFleet vehicle - distanceHGV - distanceDieselAverage</v>
      </c>
      <c r="AT276" s="182" t="s">
        <v>356</v>
      </c>
      <c r="AU276" s="182" t="s">
        <v>1003</v>
      </c>
      <c r="AV276" s="208">
        <v>0.125</v>
      </c>
      <c r="AW276" s="208">
        <v>7.4999999999999997E-2</v>
      </c>
      <c r="AX276" s="311">
        <v>0.05</v>
      </c>
      <c r="AY276" s="310"/>
      <c r="BA276" s="398"/>
      <c r="BB276" s="398"/>
      <c r="BC276" s="398"/>
      <c r="BH276" s="147" t="str">
        <v>Public administration and defence; compulsory social security</v>
      </c>
      <c r="BI276" s="147" t="str">
        <v>Public administration and defence services; compulsory social security services</v>
      </c>
    </row>
    <row r="277" spans="39:61" x14ac:dyDescent="0.3">
      <c r="AM277" s="147" t="s">
        <v>220</v>
      </c>
      <c r="AN277" s="147" t="s">
        <v>352</v>
      </c>
      <c r="AO277" s="147" t="s">
        <v>1859</v>
      </c>
      <c r="AP277" s="147" t="s">
        <v>1891</v>
      </c>
      <c r="AQ277" s="147" t="s">
        <v>351</v>
      </c>
      <c r="AR277" s="147" t="s">
        <v>754</v>
      </c>
      <c r="AS277" s="182" t="str">
        <f t="shared" si="8"/>
        <v>TransportFleetFleet vehicle - distanceMotorbike - distancePetrolSmall</v>
      </c>
      <c r="AT277" s="182" t="s">
        <v>356</v>
      </c>
      <c r="AU277" s="182" t="s">
        <v>1003</v>
      </c>
      <c r="AV277" s="208">
        <v>0.125</v>
      </c>
      <c r="AW277" s="208">
        <v>7.4999999999999997E-2</v>
      </c>
      <c r="AX277" s="311">
        <v>0.05</v>
      </c>
      <c r="AY277" s="310"/>
      <c r="BA277" s="398"/>
      <c r="BB277" s="398"/>
      <c r="BC277" s="398"/>
      <c r="BH277" s="147" t="str">
        <v>Rail</v>
      </c>
      <c r="BI277" s="147" t="str">
        <v>National rail</v>
      </c>
    </row>
    <row r="278" spans="39:61" x14ac:dyDescent="0.3">
      <c r="AM278" s="147" t="s">
        <v>220</v>
      </c>
      <c r="AN278" s="147" t="s">
        <v>352</v>
      </c>
      <c r="AO278" s="147" t="s">
        <v>1859</v>
      </c>
      <c r="AP278" s="147" t="s">
        <v>1891</v>
      </c>
      <c r="AQ278" s="147" t="s">
        <v>351</v>
      </c>
      <c r="AR278" s="147" t="s">
        <v>1004</v>
      </c>
      <c r="AS278" s="182" t="str">
        <f t="shared" si="8"/>
        <v>TransportFleetFleet vehicle - distanceMotorbike - distancePetrolMedium</v>
      </c>
      <c r="AT278" s="182" t="s">
        <v>356</v>
      </c>
      <c r="AU278" s="182" t="s">
        <v>1003</v>
      </c>
      <c r="AV278" s="208">
        <v>0.125</v>
      </c>
      <c r="AW278" s="208">
        <v>7.4999999999999997E-2</v>
      </c>
      <c r="AX278" s="311">
        <v>0.05</v>
      </c>
      <c r="AY278" s="310"/>
      <c r="BA278" s="398"/>
      <c r="BB278" s="398"/>
      <c r="BC278" s="398"/>
      <c r="BH278" s="147" t="str">
        <v>Rail</v>
      </c>
      <c r="BI278" s="147" t="str">
        <v>International rail</v>
      </c>
    </row>
    <row r="279" spans="39:61" x14ac:dyDescent="0.3">
      <c r="AM279" s="147" t="s">
        <v>220</v>
      </c>
      <c r="AN279" s="147" t="s">
        <v>352</v>
      </c>
      <c r="AO279" s="147" t="s">
        <v>1859</v>
      </c>
      <c r="AP279" s="147" t="s">
        <v>1891</v>
      </c>
      <c r="AQ279" s="147" t="s">
        <v>351</v>
      </c>
      <c r="AR279" s="147" t="s">
        <v>1005</v>
      </c>
      <c r="AS279" s="182" t="str">
        <f t="shared" si="8"/>
        <v>TransportFleetFleet vehicle - distanceMotorbike - distancePetrolLarge</v>
      </c>
      <c r="AT279" s="182" t="s">
        <v>356</v>
      </c>
      <c r="AU279" s="182" t="s">
        <v>1003</v>
      </c>
      <c r="AV279" s="208">
        <v>0.125</v>
      </c>
      <c r="AW279" s="208">
        <v>7.4999999999999997E-2</v>
      </c>
      <c r="AX279" s="311">
        <v>0.05</v>
      </c>
      <c r="AY279" s="310"/>
      <c r="BA279" s="398"/>
      <c r="BB279" s="398"/>
      <c r="BC279" s="398"/>
      <c r="BH279" s="147" t="str">
        <v>Rail</v>
      </c>
      <c r="BI279" s="147" t="str">
        <v>Light rail and tram</v>
      </c>
    </row>
    <row r="280" spans="39:61" x14ac:dyDescent="0.3">
      <c r="AM280" s="147" t="s">
        <v>220</v>
      </c>
      <c r="AN280" s="147" t="s">
        <v>352</v>
      </c>
      <c r="AO280" s="147" t="s">
        <v>1859</v>
      </c>
      <c r="AP280" s="147" t="s">
        <v>1891</v>
      </c>
      <c r="AQ280" s="147" t="s">
        <v>351</v>
      </c>
      <c r="AR280" s="147" t="s">
        <v>353</v>
      </c>
      <c r="AS280" s="182" t="str">
        <f t="shared" si="8"/>
        <v>TransportFleetFleet vehicle - distanceMotorbike - distancePetrolAverage</v>
      </c>
      <c r="AT280" s="182" t="s">
        <v>356</v>
      </c>
      <c r="AU280" s="182" t="s">
        <v>1003</v>
      </c>
      <c r="AV280" s="208">
        <v>0.125</v>
      </c>
      <c r="AW280" s="208">
        <v>7.4999999999999997E-2</v>
      </c>
      <c r="AX280" s="311">
        <v>0.05</v>
      </c>
      <c r="AY280" s="310"/>
      <c r="BA280" s="398"/>
      <c r="BB280" s="398"/>
      <c r="BC280" s="398"/>
      <c r="BH280" s="147" t="str">
        <v>Rail</v>
      </c>
      <c r="BI280" s="147" t="str">
        <v>London Underground</v>
      </c>
    </row>
    <row r="281" spans="39:61" x14ac:dyDescent="0.3">
      <c r="AM281" s="147" t="s">
        <v>220</v>
      </c>
      <c r="AN281" s="147" t="s">
        <v>352</v>
      </c>
      <c r="AO281" s="147" t="s">
        <v>1860</v>
      </c>
      <c r="AP281" s="147" t="s">
        <v>1892</v>
      </c>
      <c r="AQ281" s="147" t="s">
        <v>351</v>
      </c>
      <c r="AR281" s="147" t="s">
        <v>353</v>
      </c>
      <c r="AS281" s="182" t="str">
        <f t="shared" si="8"/>
        <v>TransportFleetFleet vehicle - fuelPool car - fuelPetrolAverage</v>
      </c>
      <c r="AT281" s="182" t="s">
        <v>316</v>
      </c>
      <c r="AU281" s="182" t="s">
        <v>343</v>
      </c>
      <c r="AV281" s="208">
        <v>0.125</v>
      </c>
      <c r="AW281" s="208">
        <v>7.4999999999999997E-2</v>
      </c>
      <c r="AX281" s="311">
        <v>0.05</v>
      </c>
      <c r="AY281" s="310"/>
      <c r="BA281" s="398"/>
      <c r="BB281" s="398"/>
      <c r="BC281" s="398"/>
      <c r="BH281" s="147" t="str">
        <v>Real estate activities</v>
      </c>
      <c r="BI281" s="147" t="str">
        <v>Real estate services, excluding on a fee or contract basis and imputed rent</v>
      </c>
    </row>
    <row r="282" spans="39:61" x14ac:dyDescent="0.3">
      <c r="AM282" s="147" t="s">
        <v>220</v>
      </c>
      <c r="AN282" s="147" t="s">
        <v>352</v>
      </c>
      <c r="AO282" s="147" t="s">
        <v>1860</v>
      </c>
      <c r="AP282" s="147" t="s">
        <v>1892</v>
      </c>
      <c r="AQ282" s="147" t="s">
        <v>1016</v>
      </c>
      <c r="AR282" s="147" t="s">
        <v>353</v>
      </c>
      <c r="AS282" s="182" t="str">
        <f t="shared" si="8"/>
        <v>TransportFleetFleet vehicle - fuelPool car - fuelPetrol - 100% mineralAverage</v>
      </c>
      <c r="AT282" s="182" t="s">
        <v>316</v>
      </c>
      <c r="AU282" s="182" t="s">
        <v>343</v>
      </c>
      <c r="AV282" s="208">
        <v>0.125</v>
      </c>
      <c r="AW282" s="208">
        <v>7.4999999999999997E-2</v>
      </c>
      <c r="AX282" s="311">
        <v>0.05</v>
      </c>
      <c r="AY282" s="310"/>
      <c r="BA282" s="398"/>
      <c r="BB282" s="398"/>
      <c r="BC282" s="398"/>
      <c r="BH282" s="147" t="str">
        <v>Real estate activities</v>
      </c>
      <c r="BI282" s="147" t="str">
        <v>Owner-Occupiers' Housing Services</v>
      </c>
    </row>
    <row r="283" spans="39:61" x14ac:dyDescent="0.3">
      <c r="AM283" s="147" t="s">
        <v>220</v>
      </c>
      <c r="AN283" s="147" t="s">
        <v>352</v>
      </c>
      <c r="AO283" s="147" t="s">
        <v>1860</v>
      </c>
      <c r="AP283" s="147" t="s">
        <v>1892</v>
      </c>
      <c r="AQ283" s="147" t="s">
        <v>1006</v>
      </c>
      <c r="AR283" s="147" t="s">
        <v>353</v>
      </c>
      <c r="AS283" s="182" t="str">
        <f t="shared" si="8"/>
        <v>TransportFleetFleet vehicle - fuelPool car - fuelDieselAverage</v>
      </c>
      <c r="AT283" s="182" t="s">
        <v>316</v>
      </c>
      <c r="AU283" s="182" t="s">
        <v>343</v>
      </c>
      <c r="AV283" s="208">
        <v>0.125</v>
      </c>
      <c r="AW283" s="208">
        <v>7.4999999999999997E-2</v>
      </c>
      <c r="AX283" s="311">
        <v>0.05</v>
      </c>
      <c r="AY283" s="310"/>
      <c r="BA283" s="398"/>
      <c r="BB283" s="398"/>
      <c r="BC283" s="398"/>
      <c r="BH283" s="147" t="str">
        <v>Real estate activities</v>
      </c>
      <c r="BI283" s="147" t="str">
        <v>Real estate services on a fee or contract basis</v>
      </c>
    </row>
    <row r="284" spans="39:61" x14ac:dyDescent="0.3">
      <c r="AM284" s="147" t="s">
        <v>220</v>
      </c>
      <c r="AN284" s="147" t="s">
        <v>352</v>
      </c>
      <c r="AO284" s="147" t="s">
        <v>1860</v>
      </c>
      <c r="AP284" s="147" t="s">
        <v>1892</v>
      </c>
      <c r="AQ284" s="147" t="s">
        <v>1017</v>
      </c>
      <c r="AR284" s="147" t="s">
        <v>353</v>
      </c>
      <c r="AS284" s="182" t="str">
        <f t="shared" si="8"/>
        <v>TransportFleetFleet vehicle - fuelPool car - fuelDiesel - 100% mineralAverage</v>
      </c>
      <c r="AT284" s="182" t="s">
        <v>316</v>
      </c>
      <c r="AU284" s="182" t="s">
        <v>343</v>
      </c>
      <c r="AV284" s="208">
        <v>0.125</v>
      </c>
      <c r="AW284" s="208">
        <v>7.4999999999999997E-2</v>
      </c>
      <c r="AX284" s="311">
        <v>0.05</v>
      </c>
      <c r="AY284" s="310"/>
      <c r="BA284" s="398"/>
      <c r="BB284" s="398"/>
      <c r="BC284" s="398"/>
      <c r="BH284" s="147" t="str">
        <v>Recycling (municipal)</v>
      </c>
      <c r="BI284" s="147" t="str">
        <v>Batteries</v>
      </c>
    </row>
    <row r="285" spans="39:61" x14ac:dyDescent="0.3">
      <c r="AM285" s="147" t="s">
        <v>220</v>
      </c>
      <c r="AN285" s="147" t="s">
        <v>352</v>
      </c>
      <c r="AO285" s="147" t="s">
        <v>1860</v>
      </c>
      <c r="AP285" s="147" t="s">
        <v>1892</v>
      </c>
      <c r="AQ285" s="147" t="s">
        <v>1007</v>
      </c>
      <c r="AR285" s="147" t="s">
        <v>353</v>
      </c>
      <c r="AS285" s="182" t="str">
        <f t="shared" si="8"/>
        <v>TransportFleetFleet vehicle - fuelPool car - fuelBattery Electric VehicleAverage</v>
      </c>
      <c r="AT285" s="182" t="s">
        <v>316</v>
      </c>
      <c r="AU285" s="182"/>
      <c r="AV285" s="208">
        <v>0.1</v>
      </c>
      <c r="AW285" s="208">
        <v>0.05</v>
      </c>
      <c r="AX285" s="311">
        <v>2.5000000000000001E-2</v>
      </c>
      <c r="AY285" s="310"/>
      <c r="BA285" s="398"/>
      <c r="BB285" s="398"/>
      <c r="BC285" s="398"/>
      <c r="BH285" s="147" t="str">
        <v>Recycling (municipal)</v>
      </c>
      <c r="BI285" s="147" t="str">
        <v>Clothing</v>
      </c>
    </row>
    <row r="286" spans="39:61" x14ac:dyDescent="0.3">
      <c r="AM286" s="147" t="s">
        <v>220</v>
      </c>
      <c r="AN286" s="147" t="s">
        <v>352</v>
      </c>
      <c r="AO286" s="147" t="s">
        <v>1860</v>
      </c>
      <c r="AP286" s="147" t="s">
        <v>1892</v>
      </c>
      <c r="AQ286" s="147" t="s">
        <v>1008</v>
      </c>
      <c r="AR286" s="147" t="s">
        <v>353</v>
      </c>
      <c r="AS286" s="182" t="str">
        <f t="shared" si="8"/>
        <v>TransportFleetFleet vehicle - fuelPool car - fuelHybridAverage</v>
      </c>
      <c r="AT286" s="182" t="s">
        <v>316</v>
      </c>
      <c r="AU286" s="182" t="s">
        <v>343</v>
      </c>
      <c r="AV286" s="208">
        <v>0.125</v>
      </c>
      <c r="AW286" s="208">
        <v>7.4999999999999997E-2</v>
      </c>
      <c r="AX286" s="311">
        <v>0.05</v>
      </c>
      <c r="AY286" s="310"/>
      <c r="BA286" s="398"/>
      <c r="BB286" s="398"/>
      <c r="BC286" s="398"/>
      <c r="BH286" s="147" t="str">
        <v>Recycling (municipal)</v>
      </c>
      <c r="BI286" s="147" t="str">
        <v>Commercial and industrial waste</v>
      </c>
    </row>
    <row r="287" spans="39:61" x14ac:dyDescent="0.3">
      <c r="AM287" s="147" t="s">
        <v>220</v>
      </c>
      <c r="AN287" s="147" t="s">
        <v>352</v>
      </c>
      <c r="AO287" s="147" t="s">
        <v>1860</v>
      </c>
      <c r="AP287" s="147" t="s">
        <v>1892</v>
      </c>
      <c r="AQ287" s="147" t="s">
        <v>985</v>
      </c>
      <c r="AR287" s="147" t="s">
        <v>353</v>
      </c>
      <c r="AS287" s="182" t="str">
        <f t="shared" ref="AS287:AS314" si="9">_xlfn.CONCAT(AM287:AR287)</f>
        <v>TransportFleetFleet vehicle - fuelPool car - fuelHVOAverage</v>
      </c>
      <c r="AT287" s="182" t="s">
        <v>316</v>
      </c>
      <c r="AU287" s="182" t="s">
        <v>343</v>
      </c>
      <c r="AV287" s="208">
        <v>0.125</v>
      </c>
      <c r="AW287" s="208">
        <v>7.4999999999999997E-2</v>
      </c>
      <c r="AX287" s="311">
        <v>0.05</v>
      </c>
      <c r="AY287" s="310"/>
      <c r="BA287" s="398"/>
      <c r="BB287" s="398"/>
      <c r="BC287" s="398"/>
      <c r="BH287" s="147" t="str">
        <v>Recycling (municipal)</v>
      </c>
      <c r="BI287" s="147" t="str">
        <v>Mixed glass</v>
      </c>
    </row>
    <row r="288" spans="39:61" x14ac:dyDescent="0.3">
      <c r="AM288" s="147" t="s">
        <v>220</v>
      </c>
      <c r="AN288" s="147" t="s">
        <v>352</v>
      </c>
      <c r="AO288" s="147" t="s">
        <v>1860</v>
      </c>
      <c r="AP288" s="147" t="s">
        <v>1892</v>
      </c>
      <c r="AQ288" s="147" t="s">
        <v>1018</v>
      </c>
      <c r="AR288" s="147" t="s">
        <v>353</v>
      </c>
      <c r="AS288" s="182" t="str">
        <f t="shared" si="9"/>
        <v>TransportFleetFleet vehicle - fuelPool car - fuelMEAverage</v>
      </c>
      <c r="AT288" s="182" t="s">
        <v>316</v>
      </c>
      <c r="AU288" s="182" t="s">
        <v>343</v>
      </c>
      <c r="AV288" s="208">
        <v>0.125</v>
      </c>
      <c r="AW288" s="208">
        <v>7.4999999999999997E-2</v>
      </c>
      <c r="AX288" s="311">
        <v>0.05</v>
      </c>
      <c r="AY288" s="310"/>
      <c r="BA288" s="398"/>
      <c r="BB288" s="398"/>
      <c r="BC288" s="398"/>
      <c r="BH288" s="147" t="str">
        <v>Recycling (municipal)</v>
      </c>
      <c r="BI288" s="147" t="str">
        <v>Mixed metal cans</v>
      </c>
    </row>
    <row r="289" spans="39:61" x14ac:dyDescent="0.3">
      <c r="AM289" s="147" t="s">
        <v>220</v>
      </c>
      <c r="AN289" s="147" t="s">
        <v>352</v>
      </c>
      <c r="AO289" s="147" t="s">
        <v>1860</v>
      </c>
      <c r="AP289" s="147" t="s">
        <v>1892</v>
      </c>
      <c r="AQ289" s="147" t="s">
        <v>1019</v>
      </c>
      <c r="AR289" s="147" t="s">
        <v>353</v>
      </c>
      <c r="AS289" s="182" t="str">
        <f t="shared" si="9"/>
        <v>TransportFleetFleet vehicle - fuelPool car - fuel100% BiopetrolAverage</v>
      </c>
      <c r="AT289" s="182" t="s">
        <v>316</v>
      </c>
      <c r="AU289" s="182" t="s">
        <v>343</v>
      </c>
      <c r="AV289" s="208">
        <v>0.125</v>
      </c>
      <c r="AW289" s="208">
        <v>7.4999999999999997E-2</v>
      </c>
      <c r="AX289" s="311">
        <v>0.05</v>
      </c>
      <c r="AY289" s="310"/>
      <c r="BA289" s="398"/>
      <c r="BB289" s="398"/>
      <c r="BC289" s="398"/>
      <c r="BH289" s="147" t="str">
        <v>Recycling (municipal)</v>
      </c>
      <c r="BI289" s="147" t="str">
        <v>Mixed paper</v>
      </c>
    </row>
    <row r="290" spans="39:61" x14ac:dyDescent="0.3">
      <c r="AM290" s="147" t="s">
        <v>220</v>
      </c>
      <c r="AN290" s="147" t="s">
        <v>352</v>
      </c>
      <c r="AO290" s="147" t="s">
        <v>1860</v>
      </c>
      <c r="AP290" s="147" t="s">
        <v>1893</v>
      </c>
      <c r="AQ290" s="147" t="s">
        <v>351</v>
      </c>
      <c r="AR290" s="147" t="s">
        <v>353</v>
      </c>
      <c r="AS290" s="182" t="str">
        <f t="shared" si="9"/>
        <v>TransportFleetFleet vehicle - fuelVan - fuelPetrolAverage</v>
      </c>
      <c r="AT290" s="182" t="s">
        <v>316</v>
      </c>
      <c r="AU290" s="182" t="s">
        <v>343</v>
      </c>
      <c r="AV290" s="208">
        <v>0.125</v>
      </c>
      <c r="AW290" s="208">
        <v>7.4999999999999997E-2</v>
      </c>
      <c r="AX290" s="311">
        <v>0.05</v>
      </c>
      <c r="AY290" s="310"/>
      <c r="BA290" s="398"/>
      <c r="BB290" s="398"/>
      <c r="BC290" s="398"/>
      <c r="BH290" s="147" t="str">
        <v>Recycling (municipal)</v>
      </c>
      <c r="BI290" s="147" t="str">
        <v>Mixed plastics</v>
      </c>
    </row>
    <row r="291" spans="39:61" x14ac:dyDescent="0.3">
      <c r="AM291" s="147" t="s">
        <v>220</v>
      </c>
      <c r="AN291" s="147" t="s">
        <v>352</v>
      </c>
      <c r="AO291" s="147" t="s">
        <v>1860</v>
      </c>
      <c r="AP291" s="147" t="s">
        <v>1893</v>
      </c>
      <c r="AQ291" s="147" t="s">
        <v>1016</v>
      </c>
      <c r="AR291" s="147" t="s">
        <v>353</v>
      </c>
      <c r="AS291" s="182" t="str">
        <f t="shared" si="9"/>
        <v>TransportFleetFleet vehicle - fuelVan - fuelPetrol - 100% mineralAverage</v>
      </c>
      <c r="AT291" s="182" t="s">
        <v>316</v>
      </c>
      <c r="AU291" s="182" t="s">
        <v>343</v>
      </c>
      <c r="AV291" s="208">
        <v>0.125</v>
      </c>
      <c r="AW291" s="208">
        <v>7.4999999999999997E-2</v>
      </c>
      <c r="AX291" s="311">
        <v>0.05</v>
      </c>
      <c r="AY291" s="310"/>
      <c r="BA291" s="398"/>
      <c r="BB291" s="398"/>
      <c r="BC291" s="398"/>
      <c r="BH291" s="147" t="str">
        <v>Recycling (municipal)</v>
      </c>
      <c r="BI291" s="147" t="str">
        <v>Mixed recycling</v>
      </c>
    </row>
    <row r="292" spans="39:61" x14ac:dyDescent="0.3">
      <c r="AM292" s="147" t="s">
        <v>220</v>
      </c>
      <c r="AN292" s="147" t="s">
        <v>352</v>
      </c>
      <c r="AO292" s="147" t="s">
        <v>1860</v>
      </c>
      <c r="AP292" s="147" t="s">
        <v>1893</v>
      </c>
      <c r="AQ292" s="147" t="s">
        <v>1006</v>
      </c>
      <c r="AR292" s="147" t="s">
        <v>353</v>
      </c>
      <c r="AS292" s="182" t="str">
        <f t="shared" si="9"/>
        <v>TransportFleetFleet vehicle - fuelVan - fuelDieselAverage</v>
      </c>
      <c r="AT292" s="182" t="s">
        <v>316</v>
      </c>
      <c r="AU292" s="182" t="s">
        <v>343</v>
      </c>
      <c r="AV292" s="208">
        <v>0.125</v>
      </c>
      <c r="AW292" s="208">
        <v>7.4999999999999997E-2</v>
      </c>
      <c r="AX292" s="311">
        <v>0.05</v>
      </c>
      <c r="AY292" s="310"/>
      <c r="BA292" s="398"/>
      <c r="BB292" s="398"/>
      <c r="BC292" s="398"/>
      <c r="BH292" s="147" t="str">
        <v>Recycling (municipal)</v>
      </c>
      <c r="BI292" s="147" t="str">
        <v>Mixed WEEE</v>
      </c>
    </row>
    <row r="293" spans="39:61" x14ac:dyDescent="0.3">
      <c r="AM293" s="147" t="s">
        <v>220</v>
      </c>
      <c r="AN293" s="147" t="s">
        <v>352</v>
      </c>
      <c r="AO293" s="147" t="s">
        <v>1860</v>
      </c>
      <c r="AP293" s="147" t="s">
        <v>1893</v>
      </c>
      <c r="AQ293" s="147" t="s">
        <v>1017</v>
      </c>
      <c r="AR293" s="147" t="s">
        <v>353</v>
      </c>
      <c r="AS293" s="182" t="str">
        <f t="shared" si="9"/>
        <v>TransportFleetFleet vehicle - fuelVan - fuelDiesel - 100% mineralAverage</v>
      </c>
      <c r="AT293" s="182" t="s">
        <v>316</v>
      </c>
      <c r="AU293" s="182" t="s">
        <v>343</v>
      </c>
      <c r="AV293" s="208">
        <v>0.125</v>
      </c>
      <c r="AW293" s="208">
        <v>7.4999999999999997E-2</v>
      </c>
      <c r="AX293" s="311">
        <v>0.05</v>
      </c>
      <c r="AY293" s="310"/>
      <c r="BA293" s="398"/>
      <c r="BB293" s="398"/>
      <c r="BC293" s="398"/>
      <c r="BH293" s="147" t="str">
        <v>Recycling (organisational)</v>
      </c>
      <c r="BI293" s="147" t="str">
        <v>Average construction</v>
      </c>
    </row>
    <row r="294" spans="39:61" x14ac:dyDescent="0.3">
      <c r="AM294" s="147" t="s">
        <v>220</v>
      </c>
      <c r="AN294" s="147" t="s">
        <v>352</v>
      </c>
      <c r="AO294" s="147" t="s">
        <v>1860</v>
      </c>
      <c r="AP294" s="147" t="s">
        <v>1893</v>
      </c>
      <c r="AQ294" s="147" t="s">
        <v>1007</v>
      </c>
      <c r="AR294" s="147" t="s">
        <v>353</v>
      </c>
      <c r="AS294" s="182" t="str">
        <f t="shared" si="9"/>
        <v>TransportFleetFleet vehicle - fuelVan - fuelBattery Electric VehicleAverage</v>
      </c>
      <c r="AT294" s="182" t="s">
        <v>316</v>
      </c>
      <c r="AU294" s="182"/>
      <c r="AV294" s="208">
        <v>0.1</v>
      </c>
      <c r="AW294" s="208">
        <v>0.05</v>
      </c>
      <c r="AX294" s="311">
        <v>2.5000000000000001E-2</v>
      </c>
      <c r="AY294" s="310"/>
      <c r="BA294" s="398"/>
      <c r="BB294" s="398"/>
      <c r="BC294" s="398"/>
      <c r="BH294" s="147" t="str">
        <v>Recycling (organisational)</v>
      </c>
      <c r="BI294" s="147" t="str">
        <v>Batteries</v>
      </c>
    </row>
    <row r="295" spans="39:61" x14ac:dyDescent="0.3">
      <c r="AM295" s="147" t="s">
        <v>220</v>
      </c>
      <c r="AN295" s="147" t="s">
        <v>352</v>
      </c>
      <c r="AO295" s="147" t="s">
        <v>1860</v>
      </c>
      <c r="AP295" s="147" t="s">
        <v>1893</v>
      </c>
      <c r="AQ295" s="147" t="s">
        <v>1008</v>
      </c>
      <c r="AR295" s="147" t="s">
        <v>353</v>
      </c>
      <c r="AS295" s="182" t="str">
        <f t="shared" si="9"/>
        <v>TransportFleetFleet vehicle - fuelVan - fuelHybridAverage</v>
      </c>
      <c r="AT295" s="182" t="s">
        <v>316</v>
      </c>
      <c r="AU295" s="182" t="s">
        <v>343</v>
      </c>
      <c r="AV295" s="208">
        <v>0.125</v>
      </c>
      <c r="AW295" s="208">
        <v>7.4999999999999997E-2</v>
      </c>
      <c r="AX295" s="311">
        <v>0.05</v>
      </c>
      <c r="AY295" s="310"/>
      <c r="BA295" s="398"/>
      <c r="BB295" s="398"/>
      <c r="BC295" s="398"/>
      <c r="BH295" s="147" t="str">
        <v>Recycling (organisational)</v>
      </c>
      <c r="BI295" s="147" t="str">
        <v>Clothing</v>
      </c>
    </row>
    <row r="296" spans="39:61" x14ac:dyDescent="0.3">
      <c r="AM296" s="147" t="s">
        <v>220</v>
      </c>
      <c r="AN296" s="147" t="s">
        <v>352</v>
      </c>
      <c r="AO296" s="147" t="s">
        <v>1860</v>
      </c>
      <c r="AP296" s="147" t="s">
        <v>1893</v>
      </c>
      <c r="AQ296" s="147" t="s">
        <v>985</v>
      </c>
      <c r="AR296" s="147" t="s">
        <v>353</v>
      </c>
      <c r="AS296" s="182" t="str">
        <f t="shared" si="9"/>
        <v>TransportFleetFleet vehicle - fuelVan - fuelHVOAverage</v>
      </c>
      <c r="AT296" s="182" t="s">
        <v>316</v>
      </c>
      <c r="AU296" s="182" t="s">
        <v>343</v>
      </c>
      <c r="AV296" s="208">
        <v>0.125</v>
      </c>
      <c r="AW296" s="208">
        <v>7.4999999999999997E-2</v>
      </c>
      <c r="AX296" s="311">
        <v>0.05</v>
      </c>
      <c r="AY296" s="310"/>
      <c r="BA296" s="398"/>
      <c r="BB296" s="398"/>
      <c r="BC296" s="398"/>
      <c r="BH296" s="147" t="str">
        <v>Recycling (organisational)</v>
      </c>
      <c r="BI296" s="147" t="str">
        <v>Commercial and industrial waste</v>
      </c>
    </row>
    <row r="297" spans="39:61" x14ac:dyDescent="0.3">
      <c r="AM297" s="147" t="s">
        <v>220</v>
      </c>
      <c r="AN297" s="147" t="s">
        <v>352</v>
      </c>
      <c r="AO297" s="147" t="s">
        <v>1860</v>
      </c>
      <c r="AP297" s="147" t="s">
        <v>1893</v>
      </c>
      <c r="AQ297" s="147" t="s">
        <v>1018</v>
      </c>
      <c r="AR297" s="147" t="s">
        <v>353</v>
      </c>
      <c r="AS297" s="182" t="str">
        <f t="shared" si="9"/>
        <v>TransportFleetFleet vehicle - fuelVan - fuelMEAverage</v>
      </c>
      <c r="AT297" s="182" t="s">
        <v>316</v>
      </c>
      <c r="AU297" s="182" t="s">
        <v>343</v>
      </c>
      <c r="AV297" s="208">
        <v>0.125</v>
      </c>
      <c r="AW297" s="208">
        <v>7.4999999999999997E-2</v>
      </c>
      <c r="AX297" s="311">
        <v>0.05</v>
      </c>
      <c r="AY297" s="310"/>
      <c r="BA297" s="398"/>
      <c r="BB297" s="398"/>
      <c r="BC297" s="398"/>
      <c r="BH297" s="147" t="str">
        <v>Recycling (organisational)</v>
      </c>
      <c r="BI297" s="147" t="str">
        <v>Metals</v>
      </c>
    </row>
    <row r="298" spans="39:61" x14ac:dyDescent="0.3">
      <c r="AM298" s="147" t="s">
        <v>220</v>
      </c>
      <c r="AN298" s="147" t="s">
        <v>352</v>
      </c>
      <c r="AO298" s="147" t="s">
        <v>1860</v>
      </c>
      <c r="AP298" s="147" t="s">
        <v>1893</v>
      </c>
      <c r="AQ298" s="147" t="s">
        <v>1019</v>
      </c>
      <c r="AR298" s="147" t="s">
        <v>353</v>
      </c>
      <c r="AS298" s="182" t="str">
        <f t="shared" si="9"/>
        <v>TransportFleetFleet vehicle - fuelVan - fuel100% BiopetrolAverage</v>
      </c>
      <c r="AT298" s="182" t="s">
        <v>316</v>
      </c>
      <c r="AU298" s="182" t="s">
        <v>343</v>
      </c>
      <c r="AV298" s="208">
        <v>0.125</v>
      </c>
      <c r="AW298" s="208">
        <v>7.4999999999999997E-2</v>
      </c>
      <c r="AX298" s="311">
        <v>0.05</v>
      </c>
      <c r="AY298" s="310"/>
      <c r="BA298" s="398"/>
      <c r="BB298" s="398"/>
      <c r="BC298" s="398"/>
      <c r="BH298" s="147" t="str">
        <v>Recycling (organisational)</v>
      </c>
      <c r="BI298" s="147" t="str">
        <v>Mineral oil</v>
      </c>
    </row>
    <row r="299" spans="39:61" x14ac:dyDescent="0.3">
      <c r="AM299" s="147" t="s">
        <v>220</v>
      </c>
      <c r="AN299" s="147" t="s">
        <v>352</v>
      </c>
      <c r="AO299" s="147" t="s">
        <v>1860</v>
      </c>
      <c r="AP299" s="147" t="s">
        <v>1894</v>
      </c>
      <c r="AQ299" s="147" t="s">
        <v>985</v>
      </c>
      <c r="AR299" s="147" t="s">
        <v>353</v>
      </c>
      <c r="AS299" s="182" t="str">
        <f t="shared" si="9"/>
        <v>TransportFleetFleet vehicle - fuelHGV - fuelHVOAverage</v>
      </c>
      <c r="AT299" s="182" t="s">
        <v>316</v>
      </c>
      <c r="AU299" s="182" t="s">
        <v>343</v>
      </c>
      <c r="AV299" s="208">
        <v>0.125</v>
      </c>
      <c r="AW299" s="208">
        <v>7.4999999999999997E-2</v>
      </c>
      <c r="AX299" s="311">
        <v>0.05</v>
      </c>
      <c r="AY299" s="310"/>
      <c r="BA299" s="398"/>
      <c r="BB299" s="398"/>
      <c r="BC299" s="398"/>
      <c r="BH299" s="147" t="str">
        <v>Recycling (organisational)</v>
      </c>
      <c r="BI299" s="147" t="str">
        <v>Mixed glass</v>
      </c>
    </row>
    <row r="300" spans="39:61" x14ac:dyDescent="0.3">
      <c r="AM300" s="147" t="s">
        <v>220</v>
      </c>
      <c r="AN300" s="147" t="s">
        <v>352</v>
      </c>
      <c r="AO300" s="147" t="s">
        <v>1860</v>
      </c>
      <c r="AP300" s="147" t="s">
        <v>1894</v>
      </c>
      <c r="AQ300" s="147" t="s">
        <v>1018</v>
      </c>
      <c r="AR300" s="147" t="s">
        <v>353</v>
      </c>
      <c r="AS300" s="182" t="str">
        <f t="shared" si="9"/>
        <v>TransportFleetFleet vehicle - fuelHGV - fuelMEAverage</v>
      </c>
      <c r="AT300" s="182" t="s">
        <v>316</v>
      </c>
      <c r="AU300" s="182" t="s">
        <v>343</v>
      </c>
      <c r="AV300" s="208">
        <v>0.125</v>
      </c>
      <c r="AW300" s="208">
        <v>7.4999999999999997E-2</v>
      </c>
      <c r="AX300" s="311">
        <v>0.05</v>
      </c>
      <c r="AY300" s="310"/>
      <c r="BA300" s="398"/>
      <c r="BB300" s="398"/>
      <c r="BC300" s="398"/>
      <c r="BH300" s="147" t="str">
        <v>Recycling (organisational)</v>
      </c>
      <c r="BI300" s="147" t="str">
        <v>Mixed metal cans</v>
      </c>
    </row>
    <row r="301" spans="39:61" x14ac:dyDescent="0.3">
      <c r="AM301" s="147" t="s">
        <v>220</v>
      </c>
      <c r="AN301" s="147" t="s">
        <v>352</v>
      </c>
      <c r="AO301" s="147" t="s">
        <v>1860</v>
      </c>
      <c r="AP301" s="147" t="s">
        <v>1894</v>
      </c>
      <c r="AQ301" s="147" t="s">
        <v>1006</v>
      </c>
      <c r="AR301" s="147" t="s">
        <v>353</v>
      </c>
      <c r="AS301" s="182" t="str">
        <f t="shared" si="9"/>
        <v>TransportFleetFleet vehicle - fuelHGV - fuelDieselAverage</v>
      </c>
      <c r="AT301" s="182" t="s">
        <v>316</v>
      </c>
      <c r="AU301" s="182" t="s">
        <v>343</v>
      </c>
      <c r="AV301" s="208">
        <v>0.125</v>
      </c>
      <c r="AW301" s="208">
        <v>7.4999999999999997E-2</v>
      </c>
      <c r="AX301" s="311">
        <v>0.05</v>
      </c>
      <c r="AY301" s="310"/>
      <c r="BA301" s="398"/>
      <c r="BB301" s="398"/>
      <c r="BC301" s="398"/>
      <c r="BH301" s="147" t="str">
        <v>Recycling (organisational)</v>
      </c>
      <c r="BI301" s="147" t="str">
        <v>Mixed paper</v>
      </c>
    </row>
    <row r="302" spans="39:61" x14ac:dyDescent="0.3">
      <c r="AM302" s="147" t="s">
        <v>220</v>
      </c>
      <c r="AN302" s="147" t="s">
        <v>352</v>
      </c>
      <c r="AO302" s="147" t="s">
        <v>1860</v>
      </c>
      <c r="AP302" s="147" t="s">
        <v>1894</v>
      </c>
      <c r="AQ302" s="147" t="s">
        <v>1017</v>
      </c>
      <c r="AR302" s="147" t="s">
        <v>353</v>
      </c>
      <c r="AS302" s="182" t="str">
        <f t="shared" si="9"/>
        <v>TransportFleetFleet vehicle - fuelHGV - fuelDiesel - 100% mineralAverage</v>
      </c>
      <c r="AT302" s="182" t="s">
        <v>316</v>
      </c>
      <c r="AU302" s="182" t="s">
        <v>343</v>
      </c>
      <c r="AV302" s="208">
        <v>0.125</v>
      </c>
      <c r="AW302" s="208">
        <v>7.4999999999999997E-2</v>
      </c>
      <c r="AX302" s="311">
        <v>0.05</v>
      </c>
      <c r="AY302" s="310"/>
      <c r="BA302" s="398"/>
      <c r="BB302" s="398"/>
      <c r="BC302" s="398"/>
      <c r="BH302" s="147" t="str">
        <v>Recycling (organisational)</v>
      </c>
      <c r="BI302" s="147" t="str">
        <v>Mixed plastics</v>
      </c>
    </row>
    <row r="303" spans="39:61" x14ac:dyDescent="0.3">
      <c r="AM303" s="147" t="s">
        <v>220</v>
      </c>
      <c r="AN303" s="147" t="s">
        <v>352</v>
      </c>
      <c r="AO303" s="147" t="s">
        <v>1860</v>
      </c>
      <c r="AP303" s="147" t="s">
        <v>1894</v>
      </c>
      <c r="AQ303" s="147" t="s">
        <v>1007</v>
      </c>
      <c r="AR303" s="147" t="s">
        <v>353</v>
      </c>
      <c r="AS303" s="182" t="str">
        <f t="shared" si="9"/>
        <v>TransportFleetFleet vehicle - fuelHGV - fuelBattery Electric VehicleAverage</v>
      </c>
      <c r="AT303" s="182" t="s">
        <v>316</v>
      </c>
      <c r="AU303" s="182"/>
      <c r="AV303" s="208">
        <v>0.1</v>
      </c>
      <c r="AW303" s="208">
        <v>0.05</v>
      </c>
      <c r="AX303" s="311">
        <v>2.5000000000000001E-2</v>
      </c>
      <c r="AY303" s="310"/>
      <c r="BA303" s="398"/>
      <c r="BB303" s="398"/>
      <c r="BC303" s="398"/>
      <c r="BH303" s="147" t="str">
        <v>Recycling (organisational)</v>
      </c>
      <c r="BI303" s="147" t="str">
        <v>Mixed recycling</v>
      </c>
    </row>
    <row r="304" spans="39:61" x14ac:dyDescent="0.3">
      <c r="AM304" s="147" t="s">
        <v>220</v>
      </c>
      <c r="AN304" s="147" t="s">
        <v>352</v>
      </c>
      <c r="AO304" s="147" t="s">
        <v>1860</v>
      </c>
      <c r="AP304" s="147" t="s">
        <v>1895</v>
      </c>
      <c r="AQ304" s="147" t="s">
        <v>351</v>
      </c>
      <c r="AR304" s="147" t="s">
        <v>353</v>
      </c>
      <c r="AS304" s="182" t="str">
        <f t="shared" si="9"/>
        <v>TransportFleetFleet vehicle - fuelMotorbike - fuelPetrolAverage</v>
      </c>
      <c r="AT304" s="182" t="s">
        <v>316</v>
      </c>
      <c r="AU304" s="182" t="s">
        <v>343</v>
      </c>
      <c r="AV304" s="208">
        <v>0.125</v>
      </c>
      <c r="AW304" s="208">
        <v>7.4999999999999997E-2</v>
      </c>
      <c r="AX304" s="311">
        <v>0.05</v>
      </c>
      <c r="AY304" s="310"/>
      <c r="BA304" s="398"/>
      <c r="BB304" s="398"/>
      <c r="BC304" s="398"/>
      <c r="BH304" s="147" t="str">
        <v>Recycling (organisational)</v>
      </c>
      <c r="BI304" s="147" t="str">
        <v>Mixed WEEE</v>
      </c>
    </row>
    <row r="305" spans="39:61" x14ac:dyDescent="0.3">
      <c r="AM305" s="147" t="s">
        <v>220</v>
      </c>
      <c r="AN305" s="147" t="s">
        <v>352</v>
      </c>
      <c r="AO305" s="147" t="s">
        <v>1860</v>
      </c>
      <c r="AP305" s="147" t="s">
        <v>1896</v>
      </c>
      <c r="AQ305" s="147" t="s">
        <v>977</v>
      </c>
      <c r="AR305" s="147" t="s">
        <v>353</v>
      </c>
      <c r="AS305" s="182" t="str">
        <f t="shared" si="9"/>
        <v>TransportFleetFleet vehicle - fuelRolling stock - fuelGas oilAverage</v>
      </c>
      <c r="AT305" s="182" t="s">
        <v>316</v>
      </c>
      <c r="AU305" s="182" t="s">
        <v>343</v>
      </c>
      <c r="AV305" s="208">
        <v>0.125</v>
      </c>
      <c r="AW305" s="208">
        <v>7.4999999999999997E-2</v>
      </c>
      <c r="AX305" s="311">
        <v>0.05</v>
      </c>
      <c r="AY305" s="310"/>
      <c r="BA305" s="398"/>
      <c r="BB305" s="398"/>
      <c r="BC305" s="398"/>
      <c r="BH305" s="147" t="str">
        <v>Recycling (project)</v>
      </c>
      <c r="BI305" s="147" t="str">
        <v>Aggregates</v>
      </c>
    </row>
    <row r="306" spans="39:61" x14ac:dyDescent="0.3">
      <c r="AM306" s="147" t="s">
        <v>220</v>
      </c>
      <c r="AN306" s="147" t="s">
        <v>352</v>
      </c>
      <c r="AO306" s="147" t="s">
        <v>1020</v>
      </c>
      <c r="AP306" s="147" t="s">
        <v>1021</v>
      </c>
      <c r="AQ306" s="147" t="s">
        <v>351</v>
      </c>
      <c r="AR306" s="147" t="s">
        <v>353</v>
      </c>
      <c r="AS306" s="182" t="str">
        <f t="shared" si="9"/>
        <v>TransportFleetStationary fleetGeneratorPetrolAverage</v>
      </c>
      <c r="AT306" s="182" t="s">
        <v>316</v>
      </c>
      <c r="AU306" s="182" t="s">
        <v>343</v>
      </c>
      <c r="AV306" s="208">
        <v>0.125</v>
      </c>
      <c r="AW306" s="208">
        <v>7.4999999999999997E-2</v>
      </c>
      <c r="AX306" s="311">
        <v>0.05</v>
      </c>
      <c r="AY306" s="310"/>
      <c r="BA306" s="398"/>
      <c r="BB306" s="398"/>
      <c r="BC306" s="398"/>
      <c r="BH306" s="147" t="str">
        <v>Recycling (project)</v>
      </c>
      <c r="BI306" s="147" t="str">
        <v>Asphalt</v>
      </c>
    </row>
    <row r="307" spans="39:61" x14ac:dyDescent="0.3">
      <c r="AM307" s="147" t="s">
        <v>220</v>
      </c>
      <c r="AN307" s="147" t="s">
        <v>352</v>
      </c>
      <c r="AO307" s="147" t="s">
        <v>1020</v>
      </c>
      <c r="AP307" s="147" t="s">
        <v>1021</v>
      </c>
      <c r="AQ307" s="147" t="s">
        <v>1016</v>
      </c>
      <c r="AR307" s="147" t="s">
        <v>353</v>
      </c>
      <c r="AS307" s="182" t="str">
        <f t="shared" si="9"/>
        <v>TransportFleetStationary fleetGeneratorPetrol - 100% mineralAverage</v>
      </c>
      <c r="AT307" s="182" t="s">
        <v>316</v>
      </c>
      <c r="AU307" s="182" t="s">
        <v>343</v>
      </c>
      <c r="AV307" s="208">
        <v>0.125</v>
      </c>
      <c r="AW307" s="208">
        <v>7.4999999999999997E-2</v>
      </c>
      <c r="AX307" s="311">
        <v>0.05</v>
      </c>
      <c r="AY307" s="310"/>
      <c r="BA307" s="398"/>
      <c r="BB307" s="398"/>
      <c r="BC307" s="398"/>
      <c r="BH307" s="147" t="str">
        <v>Recycling (project)</v>
      </c>
      <c r="BI307" s="147" t="str">
        <v>Average construction</v>
      </c>
    </row>
    <row r="308" spans="39:61" x14ac:dyDescent="0.3">
      <c r="AM308" s="147" t="s">
        <v>220</v>
      </c>
      <c r="AN308" s="147" t="s">
        <v>352</v>
      </c>
      <c r="AO308" s="147" t="s">
        <v>1020</v>
      </c>
      <c r="AP308" s="147" t="s">
        <v>1021</v>
      </c>
      <c r="AQ308" s="147" t="s">
        <v>1006</v>
      </c>
      <c r="AR308" s="147" t="s">
        <v>353</v>
      </c>
      <c r="AS308" s="182" t="str">
        <f t="shared" si="9"/>
        <v>TransportFleetStationary fleetGeneratorDieselAverage</v>
      </c>
      <c r="AT308" s="182" t="s">
        <v>316</v>
      </c>
      <c r="AU308" s="182" t="s">
        <v>343</v>
      </c>
      <c r="AV308" s="208">
        <v>0.125</v>
      </c>
      <c r="AW308" s="208">
        <v>7.4999999999999997E-2</v>
      </c>
      <c r="AX308" s="311">
        <v>0.05</v>
      </c>
      <c r="AY308" s="310"/>
      <c r="BA308" s="398"/>
      <c r="BB308" s="398"/>
      <c r="BC308" s="398"/>
      <c r="BH308" s="147" t="str">
        <v>Recycling (project)</v>
      </c>
      <c r="BI308" s="147" t="str">
        <v>Bricks</v>
      </c>
    </row>
    <row r="309" spans="39:61" x14ac:dyDescent="0.3">
      <c r="AM309" s="147" t="s">
        <v>220</v>
      </c>
      <c r="AN309" s="147" t="s">
        <v>352</v>
      </c>
      <c r="AO309" s="147" t="s">
        <v>1020</v>
      </c>
      <c r="AP309" s="147" t="s">
        <v>1021</v>
      </c>
      <c r="AQ309" s="147" t="s">
        <v>1017</v>
      </c>
      <c r="AR309" s="147" t="s">
        <v>353</v>
      </c>
      <c r="AS309" s="182" t="str">
        <f t="shared" si="9"/>
        <v>TransportFleetStationary fleetGeneratorDiesel - 100% mineralAverage</v>
      </c>
      <c r="AT309" s="182" t="s">
        <v>316</v>
      </c>
      <c r="AU309" s="182" t="s">
        <v>343</v>
      </c>
      <c r="AV309" s="208">
        <v>0.125</v>
      </c>
      <c r="AW309" s="208">
        <v>7.4999999999999997E-2</v>
      </c>
      <c r="AX309" s="311">
        <v>0.05</v>
      </c>
      <c r="AY309" s="310"/>
      <c r="BA309" s="398"/>
      <c r="BB309" s="398"/>
      <c r="BC309" s="398"/>
      <c r="BH309" s="147" t="str">
        <v>Recycling (project)</v>
      </c>
      <c r="BI309" s="147" t="str">
        <v>Commercial and industrial waste</v>
      </c>
    </row>
    <row r="310" spans="39:61" x14ac:dyDescent="0.3">
      <c r="AM310" s="147" t="s">
        <v>220</v>
      </c>
      <c r="AN310" s="147" t="s">
        <v>352</v>
      </c>
      <c r="AO310" s="147" t="s">
        <v>1020</v>
      </c>
      <c r="AP310" s="147" t="s">
        <v>1021</v>
      </c>
      <c r="AQ310" s="147" t="s">
        <v>985</v>
      </c>
      <c r="AR310" s="147" t="s">
        <v>353</v>
      </c>
      <c r="AS310" s="182" t="str">
        <f t="shared" si="9"/>
        <v>TransportFleetStationary fleetGeneratorHVOAverage</v>
      </c>
      <c r="AT310" s="182" t="s">
        <v>316</v>
      </c>
      <c r="AU310" s="182" t="s">
        <v>343</v>
      </c>
      <c r="AV310" s="208">
        <v>0.125</v>
      </c>
      <c r="AW310" s="208">
        <v>7.4999999999999997E-2</v>
      </c>
      <c r="AX310" s="311">
        <v>0.05</v>
      </c>
      <c r="AY310" s="310"/>
      <c r="BA310" s="398"/>
      <c r="BB310" s="398"/>
      <c r="BC310" s="398"/>
      <c r="BH310" s="147" t="str">
        <v>Recycling (project)</v>
      </c>
      <c r="BI310" s="147" t="str">
        <v>Concrete</v>
      </c>
    </row>
    <row r="311" spans="39:61" x14ac:dyDescent="0.3">
      <c r="AM311" s="147" t="s">
        <v>220</v>
      </c>
      <c r="AN311" s="147" t="s">
        <v>352</v>
      </c>
      <c r="AO311" s="147" t="s">
        <v>1020</v>
      </c>
      <c r="AP311" s="147" t="s">
        <v>1021</v>
      </c>
      <c r="AQ311" s="147" t="s">
        <v>1018</v>
      </c>
      <c r="AR311" s="147" t="s">
        <v>353</v>
      </c>
      <c r="AS311" s="182" t="str">
        <f t="shared" si="9"/>
        <v>TransportFleetStationary fleetGeneratorMEAverage</v>
      </c>
      <c r="AT311" s="182" t="s">
        <v>316</v>
      </c>
      <c r="AU311" s="182" t="s">
        <v>343</v>
      </c>
      <c r="AV311" s="208">
        <v>0.125</v>
      </c>
      <c r="AW311" s="208">
        <v>7.4999999999999997E-2</v>
      </c>
      <c r="AX311" s="311">
        <v>0.05</v>
      </c>
      <c r="AY311" s="310"/>
      <c r="BA311" s="398"/>
      <c r="BB311" s="398"/>
      <c r="BC311" s="398"/>
      <c r="BH311" s="147" t="str">
        <v>Recycling (project)</v>
      </c>
      <c r="BI311" s="147" t="str">
        <v>Insulation</v>
      </c>
    </row>
    <row r="312" spans="39:61" x14ac:dyDescent="0.3">
      <c r="AM312" s="147" t="s">
        <v>220</v>
      </c>
      <c r="AN312" s="147" t="s">
        <v>352</v>
      </c>
      <c r="AO312" s="147" t="s">
        <v>1020</v>
      </c>
      <c r="AP312" s="147" t="s">
        <v>1021</v>
      </c>
      <c r="AQ312" s="147" t="s">
        <v>1019</v>
      </c>
      <c r="AR312" s="147" t="s">
        <v>353</v>
      </c>
      <c r="AS312" s="182" t="str">
        <f t="shared" si="9"/>
        <v>TransportFleetStationary fleetGenerator100% BiopetrolAverage</v>
      </c>
      <c r="AT312" s="182" t="s">
        <v>316</v>
      </c>
      <c r="AU312" s="182" t="s">
        <v>343</v>
      </c>
      <c r="AV312" s="208">
        <v>0.125</v>
      </c>
      <c r="AW312" s="208">
        <v>7.4999999999999997E-2</v>
      </c>
      <c r="AX312" s="311">
        <v>0.05</v>
      </c>
      <c r="AY312" s="310"/>
      <c r="BA312" s="398"/>
      <c r="BB312" s="398"/>
      <c r="BC312" s="398"/>
      <c r="BH312" s="147" t="str">
        <v>Recycling (project)</v>
      </c>
      <c r="BI312" s="147" t="str">
        <v>Metals</v>
      </c>
    </row>
    <row r="313" spans="39:61" x14ac:dyDescent="0.3">
      <c r="AM313" s="147" t="s">
        <v>220</v>
      </c>
      <c r="AN313" s="147" t="s">
        <v>352</v>
      </c>
      <c r="AO313" s="147" t="s">
        <v>1020</v>
      </c>
      <c r="AP313" s="147" t="s">
        <v>1021</v>
      </c>
      <c r="AQ313" s="147" t="s">
        <v>977</v>
      </c>
      <c r="AR313" s="147" t="s">
        <v>353</v>
      </c>
      <c r="AS313" s="182" t="str">
        <f t="shared" si="9"/>
        <v>TransportFleetStationary fleetGeneratorGas oilAverage</v>
      </c>
      <c r="AT313" s="182" t="s">
        <v>316</v>
      </c>
      <c r="AU313" s="182" t="s">
        <v>343</v>
      </c>
      <c r="AV313" s="208">
        <v>0.125</v>
      </c>
      <c r="AW313" s="208">
        <v>7.4999999999999997E-2</v>
      </c>
      <c r="AX313" s="311">
        <v>0.05</v>
      </c>
      <c r="AY313" s="310"/>
      <c r="BA313" s="398"/>
      <c r="BB313" s="398"/>
      <c r="BC313" s="398"/>
      <c r="BH313" s="147" t="str">
        <v>Recycling (project)</v>
      </c>
      <c r="BI313" s="147" t="str">
        <v>Mineral oil</v>
      </c>
    </row>
    <row r="314" spans="39:61" x14ac:dyDescent="0.3">
      <c r="AM314" s="147" t="s">
        <v>220</v>
      </c>
      <c r="AN314" s="147" t="s">
        <v>352</v>
      </c>
      <c r="AO314" s="147" t="s">
        <v>1020</v>
      </c>
      <c r="AP314" s="147" t="s">
        <v>1021</v>
      </c>
      <c r="AQ314" s="147" t="s">
        <v>981</v>
      </c>
      <c r="AR314" s="147" t="s">
        <v>353</v>
      </c>
      <c r="AS314" s="182" t="str">
        <f t="shared" si="9"/>
        <v>TransportFleetStationary fleetGeneratorLPGAverage</v>
      </c>
      <c r="AT314" s="182" t="s">
        <v>316</v>
      </c>
      <c r="AU314" s="182" t="s">
        <v>343</v>
      </c>
      <c r="AV314" s="208">
        <v>0.125</v>
      </c>
      <c r="AW314" s="208">
        <v>7.4999999999999997E-2</v>
      </c>
      <c r="AX314" s="311">
        <v>0.05</v>
      </c>
      <c r="AY314" s="310"/>
      <c r="BA314" s="398"/>
      <c r="BB314" s="398"/>
      <c r="BC314" s="398"/>
      <c r="BH314" s="147" t="str">
        <v>Recycling (project)</v>
      </c>
      <c r="BI314" s="147" t="str">
        <v>Plasterboard</v>
      </c>
    </row>
    <row r="315" spans="39:61" x14ac:dyDescent="0.3">
      <c r="AM315" s="147" t="s">
        <v>220</v>
      </c>
      <c r="AN315" s="147" t="s">
        <v>352</v>
      </c>
      <c r="AO315" s="147" t="s">
        <v>1020</v>
      </c>
      <c r="AP315" s="147" t="s">
        <v>1022</v>
      </c>
      <c r="AQ315" s="147" t="s">
        <v>351</v>
      </c>
      <c r="AR315" s="147" t="s">
        <v>353</v>
      </c>
      <c r="AS315" s="182" t="str">
        <f t="shared" ref="AS315:AS322" si="10">_xlfn.CONCAT(AM315:AR315)</f>
        <v>TransportFleetStationary fleetEquipmentPetrolAverage</v>
      </c>
      <c r="AT315" s="182" t="s">
        <v>316</v>
      </c>
      <c r="AU315" s="182" t="s">
        <v>343</v>
      </c>
      <c r="AV315" s="208">
        <v>0.125</v>
      </c>
      <c r="AW315" s="208">
        <v>7.4999999999999997E-2</v>
      </c>
      <c r="AX315" s="311">
        <v>0.05</v>
      </c>
      <c r="AY315" s="310"/>
      <c r="BA315" s="398"/>
      <c r="BB315" s="398"/>
      <c r="BC315" s="398"/>
      <c r="BH315" s="147" t="str">
        <v>Recycling (project)</v>
      </c>
      <c r="BI315" s="147" t="str">
        <v>Soils</v>
      </c>
    </row>
    <row r="316" spans="39:61" x14ac:dyDescent="0.3">
      <c r="AM316" s="147" t="s">
        <v>220</v>
      </c>
      <c r="AN316" s="147" t="s">
        <v>352</v>
      </c>
      <c r="AO316" s="147" t="s">
        <v>1020</v>
      </c>
      <c r="AP316" s="147" t="s">
        <v>1022</v>
      </c>
      <c r="AQ316" s="147" t="s">
        <v>1016</v>
      </c>
      <c r="AR316" s="147" t="s">
        <v>353</v>
      </c>
      <c r="AS316" s="182" t="str">
        <f t="shared" si="10"/>
        <v>TransportFleetStationary fleetEquipmentPetrol - 100% mineralAverage</v>
      </c>
      <c r="AT316" s="182" t="s">
        <v>316</v>
      </c>
      <c r="AU316" s="182" t="s">
        <v>343</v>
      </c>
      <c r="AV316" s="208">
        <v>0.125</v>
      </c>
      <c r="AW316" s="208">
        <v>7.4999999999999997E-2</v>
      </c>
      <c r="AX316" s="311">
        <v>0.05</v>
      </c>
      <c r="AY316" s="310"/>
      <c r="BA316" s="398"/>
      <c r="BB316" s="398"/>
      <c r="BC316" s="398"/>
      <c r="BH316" s="147" t="str">
        <v>Recycling (project)</v>
      </c>
      <c r="BI316" s="147" t="str">
        <v>Tyres</v>
      </c>
    </row>
    <row r="317" spans="39:61" x14ac:dyDescent="0.3">
      <c r="AM317" s="147" t="s">
        <v>220</v>
      </c>
      <c r="AN317" s="147" t="s">
        <v>352</v>
      </c>
      <c r="AO317" s="147" t="s">
        <v>1020</v>
      </c>
      <c r="AP317" s="147" t="s">
        <v>1022</v>
      </c>
      <c r="AQ317" s="147" t="s">
        <v>1006</v>
      </c>
      <c r="AR317" s="147" t="s">
        <v>353</v>
      </c>
      <c r="AS317" s="182" t="str">
        <f t="shared" si="10"/>
        <v>TransportFleetStationary fleetEquipmentDieselAverage</v>
      </c>
      <c r="AT317" s="182" t="s">
        <v>316</v>
      </c>
      <c r="AU317" s="182" t="s">
        <v>343</v>
      </c>
      <c r="AV317" s="208">
        <v>0.125</v>
      </c>
      <c r="AW317" s="208">
        <v>7.4999999999999997E-2</v>
      </c>
      <c r="AX317" s="311">
        <v>0.05</v>
      </c>
      <c r="AY317" s="310"/>
      <c r="BA317" s="398"/>
      <c r="BB317" s="398"/>
      <c r="BC317" s="398"/>
      <c r="BH317" s="147" t="str">
        <v>Recycling (project)</v>
      </c>
      <c r="BI317" s="147" t="str">
        <v>Wood</v>
      </c>
    </row>
    <row r="318" spans="39:61" x14ac:dyDescent="0.3">
      <c r="AM318" s="147" t="s">
        <v>220</v>
      </c>
      <c r="AN318" s="147" t="s">
        <v>352</v>
      </c>
      <c r="AO318" s="147" t="s">
        <v>1020</v>
      </c>
      <c r="AP318" s="147" t="s">
        <v>1022</v>
      </c>
      <c r="AQ318" s="147" t="s">
        <v>1017</v>
      </c>
      <c r="AR318" s="147" t="s">
        <v>353</v>
      </c>
      <c r="AS318" s="182" t="str">
        <f t="shared" si="10"/>
        <v>TransportFleetStationary fleetEquipmentDiesel - 100% mineralAverage</v>
      </c>
      <c r="AT318" s="182" t="s">
        <v>316</v>
      </c>
      <c r="AU318" s="182" t="s">
        <v>343</v>
      </c>
      <c r="AV318" s="208">
        <v>0.125</v>
      </c>
      <c r="AW318" s="208">
        <v>7.4999999999999997E-2</v>
      </c>
      <c r="AX318" s="311">
        <v>0.05</v>
      </c>
      <c r="AY318" s="310"/>
      <c r="BA318" s="398"/>
      <c r="BB318" s="398"/>
      <c r="BC318" s="398"/>
      <c r="BH318" s="147" t="str">
        <v>Refrigerants</v>
      </c>
      <c r="BI318" s="147" t="str">
        <v>HFC-23</v>
      </c>
    </row>
    <row r="319" spans="39:61" x14ac:dyDescent="0.3">
      <c r="AM319" s="147" t="s">
        <v>220</v>
      </c>
      <c r="AN319" s="147" t="s">
        <v>352</v>
      </c>
      <c r="AO319" s="147" t="s">
        <v>1020</v>
      </c>
      <c r="AP319" s="147" t="s">
        <v>1022</v>
      </c>
      <c r="AQ319" s="147" t="s">
        <v>281</v>
      </c>
      <c r="AR319" s="147" t="s">
        <v>353</v>
      </c>
      <c r="AS319" s="182" t="str">
        <f t="shared" si="10"/>
        <v>TransportFleetStationary fleetEquipmentElectricityAverage</v>
      </c>
      <c r="AT319" s="182" t="s">
        <v>316</v>
      </c>
      <c r="AU319" s="182"/>
      <c r="AV319" s="208">
        <v>0.1</v>
      </c>
      <c r="AW319" s="208">
        <v>0.05</v>
      </c>
      <c r="AX319" s="311">
        <v>2.5000000000000001E-2</v>
      </c>
      <c r="AY319" s="310"/>
      <c r="BA319" s="398"/>
      <c r="BB319" s="398"/>
      <c r="BC319" s="398"/>
      <c r="BH319" s="147" t="str">
        <v>Refrigerants</v>
      </c>
      <c r="BI319" s="147" t="str">
        <v>HFC-32</v>
      </c>
    </row>
    <row r="320" spans="39:61" x14ac:dyDescent="0.3">
      <c r="AM320" s="147" t="s">
        <v>220</v>
      </c>
      <c r="AN320" s="147" t="s">
        <v>352</v>
      </c>
      <c r="AO320" s="147" t="s">
        <v>1020</v>
      </c>
      <c r="AP320" s="147" t="s">
        <v>1022</v>
      </c>
      <c r="AQ320" s="147" t="s">
        <v>985</v>
      </c>
      <c r="AR320" s="147" t="s">
        <v>353</v>
      </c>
      <c r="AS320" s="182" t="str">
        <f t="shared" si="10"/>
        <v>TransportFleetStationary fleetEquipmentHVOAverage</v>
      </c>
      <c r="AT320" s="182" t="s">
        <v>316</v>
      </c>
      <c r="AU320" s="182" t="s">
        <v>343</v>
      </c>
      <c r="AV320" s="208">
        <v>0.125</v>
      </c>
      <c r="AW320" s="208">
        <v>7.4999999999999997E-2</v>
      </c>
      <c r="AX320" s="311">
        <v>0.05</v>
      </c>
      <c r="AY320" s="310"/>
      <c r="BA320" s="398"/>
      <c r="BB320" s="398"/>
      <c r="BC320" s="398"/>
      <c r="BH320" s="147" t="str">
        <v>Refrigerants</v>
      </c>
      <c r="BI320" s="147" t="str">
        <v>HFC-41</v>
      </c>
    </row>
    <row r="321" spans="39:61" x14ac:dyDescent="0.3">
      <c r="AM321" s="147" t="s">
        <v>220</v>
      </c>
      <c r="AN321" s="147" t="s">
        <v>352</v>
      </c>
      <c r="AO321" s="147" t="s">
        <v>1020</v>
      </c>
      <c r="AP321" s="147" t="s">
        <v>1022</v>
      </c>
      <c r="AQ321" s="147" t="s">
        <v>1018</v>
      </c>
      <c r="AR321" s="147" t="s">
        <v>353</v>
      </c>
      <c r="AS321" s="182" t="str">
        <f t="shared" si="10"/>
        <v>TransportFleetStationary fleetEquipmentMEAverage</v>
      </c>
      <c r="AT321" s="182" t="s">
        <v>316</v>
      </c>
      <c r="AU321" s="182" t="s">
        <v>343</v>
      </c>
      <c r="AV321" s="208">
        <v>0.125</v>
      </c>
      <c r="AW321" s="208">
        <v>7.4999999999999997E-2</v>
      </c>
      <c r="AX321" s="311">
        <v>0.05</v>
      </c>
      <c r="AY321" s="310"/>
      <c r="BA321" s="398"/>
      <c r="BB321" s="398"/>
      <c r="BC321" s="398"/>
      <c r="BH321" s="147" t="str">
        <v>Refrigerants</v>
      </c>
      <c r="BI321" s="147" t="str">
        <v>HFC-125</v>
      </c>
    </row>
    <row r="322" spans="39:61" x14ac:dyDescent="0.3">
      <c r="AM322" s="147" t="s">
        <v>220</v>
      </c>
      <c r="AN322" s="147" t="s">
        <v>352</v>
      </c>
      <c r="AO322" s="147" t="s">
        <v>1020</v>
      </c>
      <c r="AP322" s="147" t="s">
        <v>1022</v>
      </c>
      <c r="AQ322" s="147" t="s">
        <v>1019</v>
      </c>
      <c r="AR322" s="147" t="s">
        <v>353</v>
      </c>
      <c r="AS322" s="182" t="str">
        <f t="shared" si="10"/>
        <v>TransportFleetStationary fleetEquipment100% BiopetrolAverage</v>
      </c>
      <c r="AT322" s="182" t="s">
        <v>316</v>
      </c>
      <c r="AU322" s="182" t="s">
        <v>343</v>
      </c>
      <c r="AV322" s="208">
        <v>0.125</v>
      </c>
      <c r="AW322" s="208">
        <v>7.4999999999999997E-2</v>
      </c>
      <c r="AX322" s="311">
        <v>0.05</v>
      </c>
      <c r="AY322" s="310"/>
      <c r="BA322" s="398"/>
      <c r="BB322" s="398"/>
      <c r="BC322" s="398"/>
      <c r="BH322" s="147" t="str">
        <v>Refrigerants</v>
      </c>
      <c r="BI322" s="147" t="str">
        <v>HFC-134</v>
      </c>
    </row>
    <row r="323" spans="39:61" x14ac:dyDescent="0.3">
      <c r="AM323" s="147" t="s">
        <v>220</v>
      </c>
      <c r="AN323" s="147" t="s">
        <v>352</v>
      </c>
      <c r="AO323" s="147" t="s">
        <v>1020</v>
      </c>
      <c r="AP323" s="147" t="s">
        <v>1022</v>
      </c>
      <c r="AQ323" s="147" t="s">
        <v>977</v>
      </c>
      <c r="AR323" s="147" t="s">
        <v>353</v>
      </c>
      <c r="AS323" s="182" t="str">
        <f t="shared" ref="AS323:AS324" si="11">_xlfn.CONCAT(AM323:AR323)</f>
        <v>TransportFleetStationary fleetEquipmentGas oilAverage</v>
      </c>
      <c r="AT323" s="182" t="s">
        <v>316</v>
      </c>
      <c r="AU323" s="182" t="s">
        <v>343</v>
      </c>
      <c r="AV323" s="208">
        <v>0.125</v>
      </c>
      <c r="AW323" s="208">
        <v>7.4999999999999997E-2</v>
      </c>
      <c r="AX323" s="311">
        <v>0.05</v>
      </c>
      <c r="AY323" s="310"/>
      <c r="BA323" s="398"/>
      <c r="BB323" s="398"/>
      <c r="BC323" s="398"/>
      <c r="BH323" s="147" t="str">
        <v>Refrigerants</v>
      </c>
      <c r="BI323" s="147" t="str">
        <v>HFC-134a</v>
      </c>
    </row>
    <row r="324" spans="39:61" x14ac:dyDescent="0.3">
      <c r="AM324" s="147" t="s">
        <v>220</v>
      </c>
      <c r="AN324" s="147" t="s">
        <v>352</v>
      </c>
      <c r="AO324" s="147" t="s">
        <v>1020</v>
      </c>
      <c r="AP324" s="147" t="s">
        <v>1022</v>
      </c>
      <c r="AQ324" s="147" t="s">
        <v>981</v>
      </c>
      <c r="AR324" s="147" t="s">
        <v>353</v>
      </c>
      <c r="AS324" s="182" t="str">
        <f t="shared" si="11"/>
        <v>TransportFleetStationary fleetEquipmentLPGAverage</v>
      </c>
      <c r="AT324" s="182" t="s">
        <v>316</v>
      </c>
      <c r="AU324" s="182" t="s">
        <v>343</v>
      </c>
      <c r="AV324" s="208">
        <v>0.125</v>
      </c>
      <c r="AW324" s="208">
        <v>7.4999999999999997E-2</v>
      </c>
      <c r="AX324" s="311">
        <v>0.05</v>
      </c>
      <c r="AY324" s="310"/>
      <c r="BA324" s="398"/>
      <c r="BB324" s="398"/>
      <c r="BC324" s="398"/>
      <c r="BH324" s="147" t="str">
        <v>Refrigerants</v>
      </c>
      <c r="BI324" s="147" t="str">
        <v>HFC-143</v>
      </c>
    </row>
    <row r="325" spans="39:61" x14ac:dyDescent="0.3">
      <c r="AM325" s="147" t="s">
        <v>220</v>
      </c>
      <c r="AN325" s="147" t="s">
        <v>191</v>
      </c>
      <c r="AO325" s="147" t="s">
        <v>350</v>
      </c>
      <c r="AP325" s="147" t="s">
        <v>1023</v>
      </c>
      <c r="AQ325" s="147" t="s">
        <v>351</v>
      </c>
      <c r="AR325" s="147" t="s">
        <v>754</v>
      </c>
      <c r="AS325" s="182" t="str">
        <f t="shared" ref="AS325:AS335" si="12">_xlfn.CONCAT(AM325:AR325)</f>
        <v>TransportBusiness travelVehiclePrivate carPetrolSmall</v>
      </c>
      <c r="AT325" s="182" t="s">
        <v>356</v>
      </c>
      <c r="AU325" s="182" t="s">
        <v>1003</v>
      </c>
      <c r="AV325" s="208">
        <v>0.125</v>
      </c>
      <c r="AW325" s="208">
        <v>7.4999999999999997E-2</v>
      </c>
      <c r="AX325" s="311">
        <v>0.05</v>
      </c>
      <c r="AY325" s="310"/>
      <c r="BA325" s="398"/>
      <c r="BB325" s="398"/>
      <c r="BC325" s="398"/>
      <c r="BH325" s="147" t="str">
        <v>Refrigerants</v>
      </c>
      <c r="BI325" s="147" t="str">
        <v>HFC-143a</v>
      </c>
    </row>
    <row r="326" spans="39:61" x14ac:dyDescent="0.3">
      <c r="AM326" s="147" t="s">
        <v>220</v>
      </c>
      <c r="AN326" s="147" t="s">
        <v>191</v>
      </c>
      <c r="AO326" s="147" t="s">
        <v>350</v>
      </c>
      <c r="AP326" s="147" t="s">
        <v>1023</v>
      </c>
      <c r="AQ326" s="147" t="s">
        <v>351</v>
      </c>
      <c r="AR326" s="147" t="s">
        <v>1004</v>
      </c>
      <c r="AS326" s="182" t="str">
        <f t="shared" si="12"/>
        <v>TransportBusiness travelVehiclePrivate carPetrolMedium</v>
      </c>
      <c r="AT326" s="182" t="s">
        <v>356</v>
      </c>
      <c r="AU326" s="182" t="s">
        <v>1003</v>
      </c>
      <c r="AV326" s="208">
        <v>0.125</v>
      </c>
      <c r="AW326" s="208">
        <v>7.4999999999999997E-2</v>
      </c>
      <c r="AX326" s="311">
        <v>0.05</v>
      </c>
      <c r="AY326" s="310"/>
      <c r="BA326" s="398"/>
      <c r="BB326" s="398"/>
      <c r="BC326" s="398"/>
      <c r="BH326" s="147" t="str">
        <v>Refrigerants</v>
      </c>
      <c r="BI326" s="147" t="str">
        <v>HFC-152a</v>
      </c>
    </row>
    <row r="327" spans="39:61" x14ac:dyDescent="0.3">
      <c r="AM327" s="147" t="s">
        <v>220</v>
      </c>
      <c r="AN327" s="147" t="s">
        <v>191</v>
      </c>
      <c r="AO327" s="147" t="s">
        <v>350</v>
      </c>
      <c r="AP327" s="147" t="s">
        <v>1023</v>
      </c>
      <c r="AQ327" s="147" t="s">
        <v>351</v>
      </c>
      <c r="AR327" s="147" t="s">
        <v>1005</v>
      </c>
      <c r="AS327" s="182" t="str">
        <f t="shared" si="12"/>
        <v>TransportBusiness travelVehiclePrivate carPetrolLarge</v>
      </c>
      <c r="AT327" s="182" t="s">
        <v>356</v>
      </c>
      <c r="AU327" s="182" t="s">
        <v>1003</v>
      </c>
      <c r="AV327" s="208">
        <v>0.125</v>
      </c>
      <c r="AW327" s="208">
        <v>7.4999999999999997E-2</v>
      </c>
      <c r="AX327" s="311">
        <v>0.05</v>
      </c>
      <c r="AY327" s="310"/>
      <c r="BA327" s="398"/>
      <c r="BB327" s="398"/>
      <c r="BC327" s="398"/>
      <c r="BH327" s="147" t="str">
        <v>Refrigerants</v>
      </c>
      <c r="BI327" s="147" t="str">
        <v>HFC-227ea</v>
      </c>
    </row>
    <row r="328" spans="39:61" x14ac:dyDescent="0.3">
      <c r="AM328" s="147" t="s">
        <v>220</v>
      </c>
      <c r="AN328" s="147" t="s">
        <v>191</v>
      </c>
      <c r="AO328" s="147" t="s">
        <v>350</v>
      </c>
      <c r="AP328" s="147" t="s">
        <v>1023</v>
      </c>
      <c r="AQ328" s="147" t="s">
        <v>351</v>
      </c>
      <c r="AR328" s="147" t="s">
        <v>353</v>
      </c>
      <c r="AS328" s="182" t="str">
        <f t="shared" si="12"/>
        <v>TransportBusiness travelVehiclePrivate carPetrolAverage</v>
      </c>
      <c r="AT328" s="182" t="s">
        <v>356</v>
      </c>
      <c r="AU328" s="182" t="s">
        <v>1003</v>
      </c>
      <c r="AV328" s="208">
        <v>0.125</v>
      </c>
      <c r="AW328" s="208">
        <v>7.4999999999999997E-2</v>
      </c>
      <c r="AX328" s="311">
        <v>0.05</v>
      </c>
      <c r="AY328" s="310"/>
      <c r="BA328" s="398"/>
      <c r="BB328" s="398"/>
      <c r="BC328" s="398"/>
      <c r="BH328" s="147" t="str">
        <v>Refrigerants</v>
      </c>
      <c r="BI328" s="147" t="str">
        <v>HFC-236fa</v>
      </c>
    </row>
    <row r="329" spans="39:61" x14ac:dyDescent="0.3">
      <c r="AM329" s="147" t="s">
        <v>220</v>
      </c>
      <c r="AN329" s="147" t="s">
        <v>191</v>
      </c>
      <c r="AO329" s="147" t="s">
        <v>350</v>
      </c>
      <c r="AP329" s="147" t="s">
        <v>1023</v>
      </c>
      <c r="AQ329" s="147" t="s">
        <v>1006</v>
      </c>
      <c r="AR329" s="147" t="s">
        <v>754</v>
      </c>
      <c r="AS329" s="182" t="str">
        <f t="shared" si="12"/>
        <v>TransportBusiness travelVehiclePrivate carDieselSmall</v>
      </c>
      <c r="AT329" s="182" t="s">
        <v>356</v>
      </c>
      <c r="AU329" s="182" t="s">
        <v>1003</v>
      </c>
      <c r="AV329" s="208">
        <v>0.125</v>
      </c>
      <c r="AW329" s="208">
        <v>7.4999999999999997E-2</v>
      </c>
      <c r="AX329" s="311">
        <v>0.05</v>
      </c>
      <c r="AY329" s="310"/>
      <c r="BA329" s="398"/>
      <c r="BB329" s="398"/>
      <c r="BC329" s="398"/>
      <c r="BH329" s="147" t="str">
        <v>Refrigerants</v>
      </c>
      <c r="BI329" s="147" t="str">
        <v>HFC-245fa</v>
      </c>
    </row>
    <row r="330" spans="39:61" x14ac:dyDescent="0.3">
      <c r="AM330" s="147" t="s">
        <v>220</v>
      </c>
      <c r="AN330" s="147" t="s">
        <v>191</v>
      </c>
      <c r="AO330" s="147" t="s">
        <v>350</v>
      </c>
      <c r="AP330" s="147" t="s">
        <v>1023</v>
      </c>
      <c r="AQ330" s="147" t="s">
        <v>1006</v>
      </c>
      <c r="AR330" s="147" t="s">
        <v>1004</v>
      </c>
      <c r="AS330" s="182" t="str">
        <f t="shared" si="12"/>
        <v>TransportBusiness travelVehiclePrivate carDieselMedium</v>
      </c>
      <c r="AT330" s="182" t="s">
        <v>356</v>
      </c>
      <c r="AU330" s="182" t="s">
        <v>1003</v>
      </c>
      <c r="AV330" s="208">
        <v>0.125</v>
      </c>
      <c r="AW330" s="208">
        <v>7.4999999999999997E-2</v>
      </c>
      <c r="AX330" s="311">
        <v>0.05</v>
      </c>
      <c r="AY330" s="310"/>
      <c r="BA330" s="398"/>
      <c r="BB330" s="398"/>
      <c r="BC330" s="398"/>
      <c r="BH330" s="147" t="str">
        <v>Refrigerants</v>
      </c>
      <c r="BI330" s="147" t="str">
        <v>HFC-43-I0mee</v>
      </c>
    </row>
    <row r="331" spans="39:61" x14ac:dyDescent="0.3">
      <c r="AM331" s="147" t="s">
        <v>220</v>
      </c>
      <c r="AN331" s="147" t="s">
        <v>191</v>
      </c>
      <c r="AO331" s="147" t="s">
        <v>350</v>
      </c>
      <c r="AP331" s="147" t="s">
        <v>1023</v>
      </c>
      <c r="AQ331" s="147" t="s">
        <v>1006</v>
      </c>
      <c r="AR331" s="147" t="s">
        <v>1005</v>
      </c>
      <c r="AS331" s="182" t="str">
        <f t="shared" si="12"/>
        <v>TransportBusiness travelVehiclePrivate carDieselLarge</v>
      </c>
      <c r="AT331" s="182" t="s">
        <v>356</v>
      </c>
      <c r="AU331" s="182" t="s">
        <v>1003</v>
      </c>
      <c r="AV331" s="208">
        <v>0.125</v>
      </c>
      <c r="AW331" s="208">
        <v>7.4999999999999997E-2</v>
      </c>
      <c r="AX331" s="311">
        <v>0.05</v>
      </c>
      <c r="AY331" s="310"/>
      <c r="BA331" s="398"/>
      <c r="BB331" s="398"/>
      <c r="BC331" s="398"/>
      <c r="BH331" s="147" t="str">
        <v>Refrigerants</v>
      </c>
      <c r="BI331" s="147" t="str">
        <v>Perfluoromethane (PFC-14)</v>
      </c>
    </row>
    <row r="332" spans="39:61" x14ac:dyDescent="0.3">
      <c r="AM332" s="147" t="s">
        <v>220</v>
      </c>
      <c r="AN332" s="147" t="s">
        <v>191</v>
      </c>
      <c r="AO332" s="147" t="s">
        <v>350</v>
      </c>
      <c r="AP332" s="147" t="s">
        <v>1023</v>
      </c>
      <c r="AQ332" s="147" t="s">
        <v>1006</v>
      </c>
      <c r="AR332" s="147" t="s">
        <v>353</v>
      </c>
      <c r="AS332" s="182" t="str">
        <f t="shared" si="12"/>
        <v>TransportBusiness travelVehiclePrivate carDieselAverage</v>
      </c>
      <c r="AT332" s="182" t="s">
        <v>356</v>
      </c>
      <c r="AU332" s="182" t="s">
        <v>1003</v>
      </c>
      <c r="AV332" s="208">
        <v>0.125</v>
      </c>
      <c r="AW332" s="208">
        <v>7.4999999999999997E-2</v>
      </c>
      <c r="AX332" s="311">
        <v>0.05</v>
      </c>
      <c r="AY332" s="310"/>
      <c r="BA332" s="398"/>
      <c r="BB332" s="398"/>
      <c r="BC332" s="398"/>
      <c r="BH332" s="147" t="str">
        <v>Refrigerants</v>
      </c>
      <c r="BI332" s="147" t="str">
        <v>Perfluoroethane (PFC-116)</v>
      </c>
    </row>
    <row r="333" spans="39:61" x14ac:dyDescent="0.3">
      <c r="AM333" s="147" t="s">
        <v>220</v>
      </c>
      <c r="AN333" s="147" t="s">
        <v>191</v>
      </c>
      <c r="AO333" s="147" t="s">
        <v>350</v>
      </c>
      <c r="AP333" s="147" t="s">
        <v>1023</v>
      </c>
      <c r="AQ333" s="147" t="s">
        <v>1007</v>
      </c>
      <c r="AR333" s="147" t="s">
        <v>754</v>
      </c>
      <c r="AS333" s="182" t="str">
        <f t="shared" si="12"/>
        <v>TransportBusiness travelVehiclePrivate carBattery Electric VehicleSmall</v>
      </c>
      <c r="AT333" s="182" t="s">
        <v>356</v>
      </c>
      <c r="AU333" s="182" t="s">
        <v>1003</v>
      </c>
      <c r="AV333" s="208">
        <v>0.125</v>
      </c>
      <c r="AW333" s="208">
        <v>7.4999999999999997E-2</v>
      </c>
      <c r="AX333" s="311">
        <v>0.05</v>
      </c>
      <c r="AY333" s="310"/>
      <c r="BA333" s="398"/>
      <c r="BB333" s="398"/>
      <c r="BC333" s="398"/>
      <c r="BH333" s="147" t="str">
        <v>Refrigerants</v>
      </c>
      <c r="BI333" s="147" t="str">
        <v>Perfluoropropane (PFC-218)</v>
      </c>
    </row>
    <row r="334" spans="39:61" x14ac:dyDescent="0.3">
      <c r="AM334" s="147" t="s">
        <v>220</v>
      </c>
      <c r="AN334" s="147" t="s">
        <v>191</v>
      </c>
      <c r="AO334" s="147" t="s">
        <v>350</v>
      </c>
      <c r="AP334" s="147" t="s">
        <v>1023</v>
      </c>
      <c r="AQ334" s="147" t="s">
        <v>1007</v>
      </c>
      <c r="AR334" s="147" t="s">
        <v>1004</v>
      </c>
      <c r="AS334" s="182" t="str">
        <f t="shared" si="12"/>
        <v>TransportBusiness travelVehiclePrivate carBattery Electric VehicleMedium</v>
      </c>
      <c r="AT334" s="182" t="s">
        <v>356</v>
      </c>
      <c r="AU334" s="182" t="s">
        <v>1003</v>
      </c>
      <c r="AV334" s="208">
        <v>0.125</v>
      </c>
      <c r="AW334" s="208">
        <v>7.4999999999999997E-2</v>
      </c>
      <c r="AX334" s="311">
        <v>0.05</v>
      </c>
      <c r="AY334" s="310"/>
      <c r="BA334" s="398"/>
      <c r="BB334" s="398"/>
      <c r="BC334" s="398"/>
      <c r="BH334" s="147" t="str">
        <v>Refrigerants</v>
      </c>
      <c r="BI334" s="147" t="str">
        <v>Perfluorocyclobutane (PFC-318)</v>
      </c>
    </row>
    <row r="335" spans="39:61" x14ac:dyDescent="0.3">
      <c r="AM335" s="147" t="s">
        <v>220</v>
      </c>
      <c r="AN335" s="147" t="s">
        <v>191</v>
      </c>
      <c r="AO335" s="147" t="s">
        <v>350</v>
      </c>
      <c r="AP335" s="147" t="s">
        <v>1023</v>
      </c>
      <c r="AQ335" s="147" t="s">
        <v>1007</v>
      </c>
      <c r="AR335" s="147" t="s">
        <v>1005</v>
      </c>
      <c r="AS335" s="182" t="str">
        <f t="shared" si="12"/>
        <v>TransportBusiness travelVehiclePrivate carBattery Electric VehicleLarge</v>
      </c>
      <c r="AT335" s="182" t="s">
        <v>356</v>
      </c>
      <c r="AU335" s="182" t="s">
        <v>1003</v>
      </c>
      <c r="AV335" s="208">
        <v>0.125</v>
      </c>
      <c r="AW335" s="208">
        <v>7.4999999999999997E-2</v>
      </c>
      <c r="AX335" s="311">
        <v>0.05</v>
      </c>
      <c r="AY335" s="310"/>
      <c r="BA335" s="398"/>
      <c r="BB335" s="398"/>
      <c r="BC335" s="398"/>
      <c r="BH335" s="147" t="str">
        <v>Refrigerants</v>
      </c>
      <c r="BI335" s="147" t="str">
        <v>Perfluorobutane (PFC-3-1-10)</v>
      </c>
    </row>
    <row r="336" spans="39:61" x14ac:dyDescent="0.3">
      <c r="AM336" s="147" t="s">
        <v>220</v>
      </c>
      <c r="AN336" s="147" t="s">
        <v>191</v>
      </c>
      <c r="AO336" s="147" t="s">
        <v>350</v>
      </c>
      <c r="AP336" s="147" t="s">
        <v>1023</v>
      </c>
      <c r="AQ336" s="147" t="s">
        <v>1007</v>
      </c>
      <c r="AR336" s="147" t="s">
        <v>353</v>
      </c>
      <c r="AS336" s="182" t="str">
        <f t="shared" ref="AS336:AS399" si="13">_xlfn.CONCAT(AM336:AR336)</f>
        <v>TransportBusiness travelVehiclePrivate carBattery Electric VehicleAverage</v>
      </c>
      <c r="AT336" s="182" t="s">
        <v>356</v>
      </c>
      <c r="AU336" s="182" t="s">
        <v>1003</v>
      </c>
      <c r="AV336" s="208">
        <v>0.125</v>
      </c>
      <c r="AW336" s="208">
        <v>7.4999999999999997E-2</v>
      </c>
      <c r="AX336" s="311">
        <v>0.05</v>
      </c>
      <c r="AY336" s="310"/>
      <c r="BA336" s="398"/>
      <c r="BB336" s="398"/>
      <c r="BC336" s="398"/>
      <c r="BH336" s="147" t="str">
        <v>Refrigerants</v>
      </c>
      <c r="BI336" s="147" t="str">
        <v>Perfluoropentane (PFC-4-1-12)</v>
      </c>
    </row>
    <row r="337" spans="39:61" x14ac:dyDescent="0.3">
      <c r="AM337" s="147" t="s">
        <v>220</v>
      </c>
      <c r="AN337" s="147" t="s">
        <v>191</v>
      </c>
      <c r="AO337" s="147" t="s">
        <v>350</v>
      </c>
      <c r="AP337" s="147" t="s">
        <v>1023</v>
      </c>
      <c r="AQ337" s="147" t="s">
        <v>1008</v>
      </c>
      <c r="AR337" s="147" t="s">
        <v>754</v>
      </c>
      <c r="AS337" s="182" t="str">
        <f t="shared" si="13"/>
        <v>TransportBusiness travelVehiclePrivate carHybridSmall</v>
      </c>
      <c r="AT337" s="182" t="s">
        <v>356</v>
      </c>
      <c r="AU337" s="182" t="s">
        <v>1003</v>
      </c>
      <c r="AV337" s="208">
        <v>0.125</v>
      </c>
      <c r="AW337" s="208">
        <v>7.4999999999999997E-2</v>
      </c>
      <c r="AX337" s="311">
        <v>0.05</v>
      </c>
      <c r="AY337" s="310"/>
      <c r="BA337" s="398"/>
      <c r="BB337" s="398"/>
      <c r="BC337" s="398"/>
      <c r="BH337" s="147" t="str">
        <v>Refrigerants</v>
      </c>
      <c r="BI337" s="147" t="str">
        <v>Perfluorohexane (PFC-5-1-14)</v>
      </c>
    </row>
    <row r="338" spans="39:61" x14ac:dyDescent="0.3">
      <c r="AM338" s="147" t="s">
        <v>220</v>
      </c>
      <c r="AN338" s="147" t="s">
        <v>191</v>
      </c>
      <c r="AO338" s="147" t="s">
        <v>350</v>
      </c>
      <c r="AP338" s="147" t="s">
        <v>1023</v>
      </c>
      <c r="AQ338" s="147" t="s">
        <v>1008</v>
      </c>
      <c r="AR338" s="147" t="s">
        <v>1004</v>
      </c>
      <c r="AS338" s="182" t="str">
        <f t="shared" si="13"/>
        <v>TransportBusiness travelVehiclePrivate carHybridMedium</v>
      </c>
      <c r="AT338" s="182" t="s">
        <v>356</v>
      </c>
      <c r="AU338" s="182" t="s">
        <v>1003</v>
      </c>
      <c r="AV338" s="208">
        <v>0.125</v>
      </c>
      <c r="AW338" s="208">
        <v>7.4999999999999997E-2</v>
      </c>
      <c r="AX338" s="311">
        <v>0.05</v>
      </c>
      <c r="AY338" s="310"/>
      <c r="BA338" s="398"/>
      <c r="BB338" s="398"/>
      <c r="BC338" s="398"/>
      <c r="BH338" s="147" t="str">
        <v>Refrigerants</v>
      </c>
      <c r="BI338" s="147" t="str">
        <v>PFC-9-1-18</v>
      </c>
    </row>
    <row r="339" spans="39:61" x14ac:dyDescent="0.3">
      <c r="AM339" s="147" t="s">
        <v>220</v>
      </c>
      <c r="AN339" s="147" t="s">
        <v>191</v>
      </c>
      <c r="AO339" s="147" t="s">
        <v>350</v>
      </c>
      <c r="AP339" s="147" t="s">
        <v>1023</v>
      </c>
      <c r="AQ339" s="147" t="s">
        <v>1008</v>
      </c>
      <c r="AR339" s="147" t="s">
        <v>1005</v>
      </c>
      <c r="AS339" s="182" t="str">
        <f t="shared" si="13"/>
        <v>TransportBusiness travelVehiclePrivate carHybridLarge</v>
      </c>
      <c r="AT339" s="182" t="s">
        <v>356</v>
      </c>
      <c r="AU339" s="182" t="s">
        <v>1003</v>
      </c>
      <c r="AV339" s="208">
        <v>0.125</v>
      </c>
      <c r="AW339" s="208">
        <v>7.4999999999999997E-2</v>
      </c>
      <c r="AX339" s="311">
        <v>0.05</v>
      </c>
      <c r="AY339" s="310"/>
      <c r="BA339" s="398"/>
      <c r="BB339" s="398"/>
      <c r="BC339" s="398"/>
      <c r="BH339" s="147" t="str">
        <v>Refrigerants</v>
      </c>
      <c r="BI339" s="147" t="str">
        <v>Perfluorocyclopropane</v>
      </c>
    </row>
    <row r="340" spans="39:61" x14ac:dyDescent="0.3">
      <c r="AM340" s="147" t="s">
        <v>220</v>
      </c>
      <c r="AN340" s="147" t="s">
        <v>191</v>
      </c>
      <c r="AO340" s="147" t="s">
        <v>350</v>
      </c>
      <c r="AP340" s="147" t="s">
        <v>1023</v>
      </c>
      <c r="AQ340" s="147" t="s">
        <v>1008</v>
      </c>
      <c r="AR340" s="147" t="s">
        <v>353</v>
      </c>
      <c r="AS340" s="182" t="str">
        <f t="shared" si="13"/>
        <v>TransportBusiness travelVehiclePrivate carHybridAverage</v>
      </c>
      <c r="AT340" s="182" t="s">
        <v>356</v>
      </c>
      <c r="AU340" s="182" t="s">
        <v>1003</v>
      </c>
      <c r="AV340" s="208">
        <v>0.125</v>
      </c>
      <c r="AW340" s="208">
        <v>7.4999999999999997E-2</v>
      </c>
      <c r="AX340" s="311">
        <v>0.05</v>
      </c>
      <c r="AY340" s="310"/>
      <c r="BA340" s="398"/>
      <c r="BB340" s="398"/>
      <c r="BC340" s="398"/>
      <c r="BH340" s="147" t="str">
        <v>Refrigerants</v>
      </c>
      <c r="BI340" s="147" t="str">
        <v>Sulphur hexafluoride (SF6)</v>
      </c>
    </row>
    <row r="341" spans="39:61" x14ac:dyDescent="0.3">
      <c r="AM341" s="147" t="s">
        <v>220</v>
      </c>
      <c r="AN341" s="147" t="s">
        <v>191</v>
      </c>
      <c r="AO341" s="147" t="s">
        <v>350</v>
      </c>
      <c r="AP341" s="147" t="s">
        <v>1023</v>
      </c>
      <c r="AQ341" s="147" t="s">
        <v>1009</v>
      </c>
      <c r="AR341" s="147" t="s">
        <v>754</v>
      </c>
      <c r="AS341" s="182" t="str">
        <f t="shared" si="13"/>
        <v>TransportBusiness travelVehiclePrivate carPlug-in Hybrid Electric VehicleSmall</v>
      </c>
      <c r="AT341" s="182" t="s">
        <v>356</v>
      </c>
      <c r="AU341" s="182" t="s">
        <v>1003</v>
      </c>
      <c r="AV341" s="208">
        <v>0.125</v>
      </c>
      <c r="AW341" s="208">
        <v>7.4999999999999997E-2</v>
      </c>
      <c r="AX341" s="311">
        <v>0.05</v>
      </c>
      <c r="AY341" s="310"/>
      <c r="BA341" s="398"/>
      <c r="BB341" s="398"/>
      <c r="BC341" s="398"/>
      <c r="BH341" s="147" t="str">
        <v>Refrigerants</v>
      </c>
      <c r="BI341" s="147" t="str">
        <v>HFC-152</v>
      </c>
    </row>
    <row r="342" spans="39:61" x14ac:dyDescent="0.3">
      <c r="AM342" s="147" t="s">
        <v>220</v>
      </c>
      <c r="AN342" s="147" t="s">
        <v>191</v>
      </c>
      <c r="AO342" s="147" t="s">
        <v>350</v>
      </c>
      <c r="AP342" s="147" t="s">
        <v>1023</v>
      </c>
      <c r="AQ342" s="147" t="s">
        <v>1009</v>
      </c>
      <c r="AR342" s="147" t="s">
        <v>1004</v>
      </c>
      <c r="AS342" s="182" t="str">
        <f t="shared" si="13"/>
        <v>TransportBusiness travelVehiclePrivate carPlug-in Hybrid Electric VehicleMedium</v>
      </c>
      <c r="AT342" s="182" t="s">
        <v>356</v>
      </c>
      <c r="AU342" s="182" t="s">
        <v>1003</v>
      </c>
      <c r="AV342" s="208">
        <v>0.125</v>
      </c>
      <c r="AW342" s="208">
        <v>7.4999999999999997E-2</v>
      </c>
      <c r="AX342" s="311">
        <v>0.05</v>
      </c>
      <c r="AY342" s="310"/>
      <c r="BA342" s="398"/>
      <c r="BB342" s="398"/>
      <c r="BC342" s="398"/>
      <c r="BH342" s="147" t="str">
        <v>Refrigerants</v>
      </c>
      <c r="BI342" s="147" t="str">
        <v>HFC-161</v>
      </c>
    </row>
    <row r="343" spans="39:61" x14ac:dyDescent="0.3">
      <c r="AM343" s="147" t="s">
        <v>220</v>
      </c>
      <c r="AN343" s="147" t="s">
        <v>191</v>
      </c>
      <c r="AO343" s="147" t="s">
        <v>350</v>
      </c>
      <c r="AP343" s="147" t="s">
        <v>1023</v>
      </c>
      <c r="AQ343" s="147" t="s">
        <v>1009</v>
      </c>
      <c r="AR343" s="147" t="s">
        <v>1005</v>
      </c>
      <c r="AS343" s="182" t="str">
        <f t="shared" si="13"/>
        <v>TransportBusiness travelVehiclePrivate carPlug-in Hybrid Electric VehicleLarge</v>
      </c>
      <c r="AT343" s="182" t="s">
        <v>356</v>
      </c>
      <c r="AU343" s="182" t="s">
        <v>1003</v>
      </c>
      <c r="AV343" s="208">
        <v>0.125</v>
      </c>
      <c r="AW343" s="208">
        <v>7.4999999999999997E-2</v>
      </c>
      <c r="AX343" s="311">
        <v>0.05</v>
      </c>
      <c r="AY343" s="310"/>
      <c r="BA343" s="398"/>
      <c r="BB343" s="398"/>
      <c r="BC343" s="398"/>
      <c r="BH343" s="147" t="str">
        <v>Refrigerants</v>
      </c>
      <c r="BI343" s="147" t="str">
        <v>HFC-236cb</v>
      </c>
    </row>
    <row r="344" spans="39:61" x14ac:dyDescent="0.3">
      <c r="AM344" s="147" t="s">
        <v>220</v>
      </c>
      <c r="AN344" s="147" t="s">
        <v>191</v>
      </c>
      <c r="AO344" s="147" t="s">
        <v>350</v>
      </c>
      <c r="AP344" s="147" t="s">
        <v>1023</v>
      </c>
      <c r="AQ344" s="147" t="s">
        <v>1009</v>
      </c>
      <c r="AR344" s="147" t="s">
        <v>353</v>
      </c>
      <c r="AS344" s="182" t="str">
        <f t="shared" si="13"/>
        <v>TransportBusiness travelVehiclePrivate carPlug-in Hybrid Electric VehicleAverage</v>
      </c>
      <c r="AT344" s="182" t="s">
        <v>356</v>
      </c>
      <c r="AU344" s="182" t="s">
        <v>1003</v>
      </c>
      <c r="AV344" s="208">
        <v>0.125</v>
      </c>
      <c r="AW344" s="208">
        <v>7.4999999999999997E-2</v>
      </c>
      <c r="AX344" s="311">
        <v>0.05</v>
      </c>
      <c r="AY344" s="310"/>
      <c r="BA344" s="398"/>
      <c r="BB344" s="398"/>
      <c r="BC344" s="398"/>
      <c r="BH344" s="147" t="str">
        <v>Refrigerants</v>
      </c>
      <c r="BI344" s="147" t="str">
        <v>HFC-236ea</v>
      </c>
    </row>
    <row r="345" spans="39:61" x14ac:dyDescent="0.3">
      <c r="AM345" s="147" t="s">
        <v>220</v>
      </c>
      <c r="AN345" s="147" t="s">
        <v>191</v>
      </c>
      <c r="AO345" s="147" t="s">
        <v>350</v>
      </c>
      <c r="AP345" s="147" t="s">
        <v>1023</v>
      </c>
      <c r="AQ345" s="147" t="s">
        <v>1010</v>
      </c>
      <c r="AR345" s="147" t="s">
        <v>754</v>
      </c>
      <c r="AS345" s="182" t="str">
        <f t="shared" si="13"/>
        <v>TransportBusiness travelVehiclePrivate carUnknown fuelSmall</v>
      </c>
      <c r="AT345" s="182" t="s">
        <v>356</v>
      </c>
      <c r="AU345" s="182" t="s">
        <v>1003</v>
      </c>
      <c r="AV345" s="208">
        <v>0.125</v>
      </c>
      <c r="AW345" s="208">
        <v>7.4999999999999997E-2</v>
      </c>
      <c r="AX345" s="311">
        <v>0.05</v>
      </c>
      <c r="AY345" s="310"/>
      <c r="BA345" s="398"/>
      <c r="BB345" s="398"/>
      <c r="BC345" s="398"/>
      <c r="BH345" s="147" t="str">
        <v>Refrigerants</v>
      </c>
      <c r="BI345" s="147" t="str">
        <v>HFC-245ca</v>
      </c>
    </row>
    <row r="346" spans="39:61" x14ac:dyDescent="0.3">
      <c r="AM346" s="147" t="s">
        <v>220</v>
      </c>
      <c r="AN346" s="147" t="s">
        <v>191</v>
      </c>
      <c r="AO346" s="147" t="s">
        <v>350</v>
      </c>
      <c r="AP346" s="147" t="s">
        <v>1023</v>
      </c>
      <c r="AQ346" s="147" t="s">
        <v>1010</v>
      </c>
      <c r="AR346" s="147" t="s">
        <v>1004</v>
      </c>
      <c r="AS346" s="182" t="str">
        <f t="shared" si="13"/>
        <v>TransportBusiness travelVehiclePrivate carUnknown fuelMedium</v>
      </c>
      <c r="AT346" s="182" t="s">
        <v>356</v>
      </c>
      <c r="AU346" s="182" t="s">
        <v>1003</v>
      </c>
      <c r="AV346" s="208">
        <v>0.125</v>
      </c>
      <c r="AW346" s="208">
        <v>7.4999999999999997E-2</v>
      </c>
      <c r="AX346" s="311">
        <v>0.05</v>
      </c>
      <c r="AY346" s="310"/>
      <c r="BA346" s="398"/>
      <c r="BB346" s="398"/>
      <c r="BC346" s="398"/>
      <c r="BH346" s="147" t="str">
        <v>Refrigerants</v>
      </c>
      <c r="BI346" s="147" t="str">
        <v>HFC-365mfc</v>
      </c>
    </row>
    <row r="347" spans="39:61" x14ac:dyDescent="0.3">
      <c r="AM347" s="147" t="s">
        <v>220</v>
      </c>
      <c r="AN347" s="147" t="s">
        <v>191</v>
      </c>
      <c r="AO347" s="147" t="s">
        <v>350</v>
      </c>
      <c r="AP347" s="147" t="s">
        <v>1023</v>
      </c>
      <c r="AQ347" s="147" t="s">
        <v>1010</v>
      </c>
      <c r="AR347" s="147" t="s">
        <v>1005</v>
      </c>
      <c r="AS347" s="182" t="str">
        <f t="shared" si="13"/>
        <v>TransportBusiness travelVehiclePrivate carUnknown fuelLarge</v>
      </c>
      <c r="AT347" s="182" t="s">
        <v>356</v>
      </c>
      <c r="AU347" s="182" t="s">
        <v>1003</v>
      </c>
      <c r="AV347" s="208">
        <v>0.125</v>
      </c>
      <c r="AW347" s="208">
        <v>7.4999999999999997E-2</v>
      </c>
      <c r="AX347" s="311">
        <v>0.05</v>
      </c>
      <c r="AY347" s="310"/>
      <c r="BA347" s="398"/>
      <c r="BB347" s="398"/>
      <c r="BC347" s="398"/>
      <c r="BH347" s="147" t="str">
        <v>Refrigerants</v>
      </c>
      <c r="BI347" s="147" t="str">
        <v>Nitrogen trifluoride</v>
      </c>
    </row>
    <row r="348" spans="39:61" x14ac:dyDescent="0.3">
      <c r="AM348" s="147" t="s">
        <v>220</v>
      </c>
      <c r="AN348" s="147" t="s">
        <v>191</v>
      </c>
      <c r="AO348" s="147" t="s">
        <v>350</v>
      </c>
      <c r="AP348" s="147" t="s">
        <v>1023</v>
      </c>
      <c r="AQ348" s="147" t="s">
        <v>1010</v>
      </c>
      <c r="AR348" s="147" t="s">
        <v>353</v>
      </c>
      <c r="AS348" s="182" t="str">
        <f t="shared" si="13"/>
        <v>TransportBusiness travelVehiclePrivate carUnknown fuelAverage</v>
      </c>
      <c r="AT348" s="182" t="s">
        <v>356</v>
      </c>
      <c r="AU348" s="182" t="s">
        <v>1003</v>
      </c>
      <c r="AV348" s="208">
        <v>0.125</v>
      </c>
      <c r="AW348" s="208">
        <v>7.4999999999999997E-2</v>
      </c>
      <c r="AX348" s="311">
        <v>0.05</v>
      </c>
      <c r="AY348" s="310"/>
      <c r="BA348" s="398"/>
      <c r="BB348" s="398"/>
      <c r="BC348" s="398"/>
      <c r="BH348" s="147" t="str">
        <v>Refrigerants</v>
      </c>
      <c r="BI348" s="147" t="str">
        <v>R401A</v>
      </c>
    </row>
    <row r="349" spans="39:61" x14ac:dyDescent="0.3">
      <c r="AM349" s="147" t="s">
        <v>220</v>
      </c>
      <c r="AN349" s="147" t="s">
        <v>191</v>
      </c>
      <c r="AO349" s="147" t="s">
        <v>350</v>
      </c>
      <c r="AP349" s="147" t="s">
        <v>1024</v>
      </c>
      <c r="AQ349" s="147" t="s">
        <v>351</v>
      </c>
      <c r="AR349" s="147" t="s">
        <v>754</v>
      </c>
      <c r="AS349" s="182" t="str">
        <f t="shared" si="13"/>
        <v>TransportBusiness travelVehicleHire carPetrolSmall</v>
      </c>
      <c r="AT349" s="182" t="s">
        <v>356</v>
      </c>
      <c r="AU349" s="182" t="s">
        <v>1003</v>
      </c>
      <c r="AV349" s="208">
        <v>0.125</v>
      </c>
      <c r="AW349" s="208">
        <v>7.4999999999999997E-2</v>
      </c>
      <c r="AX349" s="311">
        <v>0.05</v>
      </c>
      <c r="AY349" s="310"/>
      <c r="BA349" s="398"/>
      <c r="BB349" s="398"/>
      <c r="BC349" s="398"/>
      <c r="BH349" s="147" t="str">
        <v>Refrigerants</v>
      </c>
      <c r="BI349" s="147" t="str">
        <v>R401B</v>
      </c>
    </row>
    <row r="350" spans="39:61" x14ac:dyDescent="0.3">
      <c r="AM350" s="147" t="s">
        <v>220</v>
      </c>
      <c r="AN350" s="147" t="s">
        <v>191</v>
      </c>
      <c r="AO350" s="147" t="s">
        <v>350</v>
      </c>
      <c r="AP350" s="147" t="s">
        <v>1024</v>
      </c>
      <c r="AQ350" s="147" t="s">
        <v>351</v>
      </c>
      <c r="AR350" s="147" t="s">
        <v>1004</v>
      </c>
      <c r="AS350" s="182" t="str">
        <f t="shared" si="13"/>
        <v>TransportBusiness travelVehicleHire carPetrolMedium</v>
      </c>
      <c r="AT350" s="182" t="s">
        <v>356</v>
      </c>
      <c r="AU350" s="182" t="s">
        <v>1003</v>
      </c>
      <c r="AV350" s="208">
        <v>0.125</v>
      </c>
      <c r="AW350" s="208">
        <v>7.4999999999999997E-2</v>
      </c>
      <c r="AX350" s="311">
        <v>0.05</v>
      </c>
      <c r="AY350" s="310"/>
      <c r="BA350" s="398"/>
      <c r="BB350" s="398"/>
      <c r="BC350" s="398"/>
      <c r="BH350" s="147" t="str">
        <v>Refrigerants</v>
      </c>
      <c r="BI350" s="147" t="str">
        <v>R401C</v>
      </c>
    </row>
    <row r="351" spans="39:61" x14ac:dyDescent="0.3">
      <c r="AM351" s="147" t="s">
        <v>220</v>
      </c>
      <c r="AN351" s="147" t="s">
        <v>191</v>
      </c>
      <c r="AO351" s="147" t="s">
        <v>350</v>
      </c>
      <c r="AP351" s="147" t="s">
        <v>1024</v>
      </c>
      <c r="AQ351" s="147" t="s">
        <v>351</v>
      </c>
      <c r="AR351" s="147" t="s">
        <v>1005</v>
      </c>
      <c r="AS351" s="182" t="str">
        <f t="shared" si="13"/>
        <v>TransportBusiness travelVehicleHire carPetrolLarge</v>
      </c>
      <c r="AT351" s="182" t="s">
        <v>356</v>
      </c>
      <c r="AU351" s="182" t="s">
        <v>1003</v>
      </c>
      <c r="AV351" s="208">
        <v>0.125</v>
      </c>
      <c r="AW351" s="208">
        <v>7.4999999999999997E-2</v>
      </c>
      <c r="AX351" s="311">
        <v>0.05</v>
      </c>
      <c r="AY351" s="310"/>
      <c r="BA351" s="398"/>
      <c r="BB351" s="398"/>
      <c r="BC351" s="398"/>
      <c r="BH351" s="147" t="str">
        <v>Refrigerants</v>
      </c>
      <c r="BI351" s="147" t="str">
        <v>R402A</v>
      </c>
    </row>
    <row r="352" spans="39:61" x14ac:dyDescent="0.3">
      <c r="AM352" s="147" t="s">
        <v>220</v>
      </c>
      <c r="AN352" s="147" t="s">
        <v>191</v>
      </c>
      <c r="AO352" s="147" t="s">
        <v>350</v>
      </c>
      <c r="AP352" s="147" t="s">
        <v>1024</v>
      </c>
      <c r="AQ352" s="147" t="s">
        <v>351</v>
      </c>
      <c r="AR352" s="147" t="s">
        <v>353</v>
      </c>
      <c r="AS352" s="182" t="str">
        <f t="shared" si="13"/>
        <v>TransportBusiness travelVehicleHire carPetrolAverage</v>
      </c>
      <c r="AT352" s="182" t="s">
        <v>356</v>
      </c>
      <c r="AU352" s="182" t="s">
        <v>1003</v>
      </c>
      <c r="AV352" s="208">
        <v>0.125</v>
      </c>
      <c r="AW352" s="208">
        <v>7.4999999999999997E-2</v>
      </c>
      <c r="AX352" s="311">
        <v>0.05</v>
      </c>
      <c r="AY352" s="310"/>
      <c r="BA352" s="398"/>
      <c r="BB352" s="398"/>
      <c r="BC352" s="398"/>
      <c r="BH352" s="147" t="str">
        <v>Refrigerants</v>
      </c>
      <c r="BI352" s="147" t="str">
        <v>R402B</v>
      </c>
    </row>
    <row r="353" spans="39:61" x14ac:dyDescent="0.3">
      <c r="AM353" s="147" t="s">
        <v>220</v>
      </c>
      <c r="AN353" s="147" t="s">
        <v>191</v>
      </c>
      <c r="AO353" s="147" t="s">
        <v>350</v>
      </c>
      <c r="AP353" s="147" t="s">
        <v>1024</v>
      </c>
      <c r="AQ353" s="147" t="s">
        <v>1006</v>
      </c>
      <c r="AR353" s="147" t="s">
        <v>754</v>
      </c>
      <c r="AS353" s="182" t="str">
        <f t="shared" si="13"/>
        <v>TransportBusiness travelVehicleHire carDieselSmall</v>
      </c>
      <c r="AT353" s="182" t="s">
        <v>356</v>
      </c>
      <c r="AU353" s="182" t="s">
        <v>1003</v>
      </c>
      <c r="AV353" s="208">
        <v>0.125</v>
      </c>
      <c r="AW353" s="208">
        <v>7.4999999999999997E-2</v>
      </c>
      <c r="AX353" s="311">
        <v>0.05</v>
      </c>
      <c r="AY353" s="310"/>
      <c r="BA353" s="398"/>
      <c r="BB353" s="398"/>
      <c r="BC353" s="398"/>
      <c r="BH353" s="147" t="str">
        <v>Refrigerants</v>
      </c>
      <c r="BI353" s="147" t="str">
        <v>R403A</v>
      </c>
    </row>
    <row r="354" spans="39:61" x14ac:dyDescent="0.3">
      <c r="AM354" s="147" t="s">
        <v>220</v>
      </c>
      <c r="AN354" s="147" t="s">
        <v>191</v>
      </c>
      <c r="AO354" s="147" t="s">
        <v>350</v>
      </c>
      <c r="AP354" s="147" t="s">
        <v>1024</v>
      </c>
      <c r="AQ354" s="147" t="s">
        <v>1006</v>
      </c>
      <c r="AR354" s="147" t="s">
        <v>1004</v>
      </c>
      <c r="AS354" s="182" t="str">
        <f t="shared" si="13"/>
        <v>TransportBusiness travelVehicleHire carDieselMedium</v>
      </c>
      <c r="AT354" s="182" t="s">
        <v>356</v>
      </c>
      <c r="AU354" s="182" t="s">
        <v>1003</v>
      </c>
      <c r="AV354" s="208">
        <v>0.125</v>
      </c>
      <c r="AW354" s="208">
        <v>7.4999999999999997E-2</v>
      </c>
      <c r="AX354" s="311">
        <v>0.05</v>
      </c>
      <c r="AY354" s="310"/>
      <c r="BA354" s="398"/>
      <c r="BB354" s="398"/>
      <c r="BC354" s="398"/>
      <c r="BH354" s="147" t="str">
        <v>Refrigerants</v>
      </c>
      <c r="BI354" s="147" t="str">
        <v>R403B</v>
      </c>
    </row>
    <row r="355" spans="39:61" x14ac:dyDescent="0.3">
      <c r="AM355" s="147" t="s">
        <v>220</v>
      </c>
      <c r="AN355" s="147" t="s">
        <v>191</v>
      </c>
      <c r="AO355" s="147" t="s">
        <v>350</v>
      </c>
      <c r="AP355" s="147" t="s">
        <v>1024</v>
      </c>
      <c r="AQ355" s="147" t="s">
        <v>1006</v>
      </c>
      <c r="AR355" s="147" t="s">
        <v>1005</v>
      </c>
      <c r="AS355" s="182" t="str">
        <f t="shared" si="13"/>
        <v>TransportBusiness travelVehicleHire carDieselLarge</v>
      </c>
      <c r="AT355" s="182" t="s">
        <v>356</v>
      </c>
      <c r="AU355" s="182" t="s">
        <v>1003</v>
      </c>
      <c r="AV355" s="208">
        <v>0.125</v>
      </c>
      <c r="AW355" s="208">
        <v>7.4999999999999997E-2</v>
      </c>
      <c r="AX355" s="311">
        <v>0.05</v>
      </c>
      <c r="AY355" s="310"/>
      <c r="BA355" s="398"/>
      <c r="BB355" s="398"/>
      <c r="BC355" s="398"/>
      <c r="BH355" s="147" t="str">
        <v>Refrigerants</v>
      </c>
      <c r="BI355" s="147" t="str">
        <v>R404A</v>
      </c>
    </row>
    <row r="356" spans="39:61" x14ac:dyDescent="0.3">
      <c r="AM356" s="147" t="s">
        <v>220</v>
      </c>
      <c r="AN356" s="147" t="s">
        <v>191</v>
      </c>
      <c r="AO356" s="147" t="s">
        <v>350</v>
      </c>
      <c r="AP356" s="147" t="s">
        <v>1024</v>
      </c>
      <c r="AQ356" s="147" t="s">
        <v>1006</v>
      </c>
      <c r="AR356" s="147" t="s">
        <v>353</v>
      </c>
      <c r="AS356" s="182" t="str">
        <f t="shared" si="13"/>
        <v>TransportBusiness travelVehicleHire carDieselAverage</v>
      </c>
      <c r="AT356" s="182" t="s">
        <v>356</v>
      </c>
      <c r="AU356" s="182" t="s">
        <v>1003</v>
      </c>
      <c r="AV356" s="208">
        <v>0.125</v>
      </c>
      <c r="AW356" s="208">
        <v>7.4999999999999997E-2</v>
      </c>
      <c r="AX356" s="311">
        <v>0.05</v>
      </c>
      <c r="AY356" s="310"/>
      <c r="BA356" s="398"/>
      <c r="BB356" s="398"/>
      <c r="BC356" s="398"/>
      <c r="BH356" s="147" t="str">
        <v>Refrigerants</v>
      </c>
      <c r="BI356" s="147" t="str">
        <v>R405A</v>
      </c>
    </row>
    <row r="357" spans="39:61" x14ac:dyDescent="0.3">
      <c r="AM357" s="147" t="s">
        <v>220</v>
      </c>
      <c r="AN357" s="147" t="s">
        <v>191</v>
      </c>
      <c r="AO357" s="147" t="s">
        <v>350</v>
      </c>
      <c r="AP357" s="147" t="s">
        <v>1024</v>
      </c>
      <c r="AQ357" s="147" t="s">
        <v>1007</v>
      </c>
      <c r="AR357" s="147" t="s">
        <v>754</v>
      </c>
      <c r="AS357" s="182" t="str">
        <f t="shared" si="13"/>
        <v>TransportBusiness travelVehicleHire carBattery Electric VehicleSmall</v>
      </c>
      <c r="AT357" s="182" t="s">
        <v>356</v>
      </c>
      <c r="AU357" s="182" t="s">
        <v>1003</v>
      </c>
      <c r="AV357" s="208">
        <v>0.125</v>
      </c>
      <c r="AW357" s="208">
        <v>7.4999999999999997E-2</v>
      </c>
      <c r="AX357" s="311">
        <v>0.05</v>
      </c>
      <c r="AY357" s="310"/>
      <c r="BA357" s="398"/>
      <c r="BB357" s="398"/>
      <c r="BC357" s="398"/>
      <c r="BH357" s="147" t="str">
        <v>Refrigerants</v>
      </c>
      <c r="BI357" s="147" t="str">
        <v>R406A</v>
      </c>
    </row>
    <row r="358" spans="39:61" x14ac:dyDescent="0.3">
      <c r="AM358" s="147" t="s">
        <v>220</v>
      </c>
      <c r="AN358" s="147" t="s">
        <v>191</v>
      </c>
      <c r="AO358" s="147" t="s">
        <v>350</v>
      </c>
      <c r="AP358" s="147" t="s">
        <v>1024</v>
      </c>
      <c r="AQ358" s="147" t="s">
        <v>1007</v>
      </c>
      <c r="AR358" s="147" t="s">
        <v>1004</v>
      </c>
      <c r="AS358" s="182" t="str">
        <f t="shared" si="13"/>
        <v>TransportBusiness travelVehicleHire carBattery Electric VehicleMedium</v>
      </c>
      <c r="AT358" s="182" t="s">
        <v>356</v>
      </c>
      <c r="AU358" s="182" t="s">
        <v>1003</v>
      </c>
      <c r="AV358" s="208">
        <v>0.125</v>
      </c>
      <c r="AW358" s="208">
        <v>7.4999999999999997E-2</v>
      </c>
      <c r="AX358" s="311">
        <v>0.05</v>
      </c>
      <c r="AY358" s="310"/>
      <c r="BA358" s="398"/>
      <c r="BB358" s="398"/>
      <c r="BC358" s="398"/>
      <c r="BH358" s="147" t="str">
        <v>Refrigerants</v>
      </c>
      <c r="BI358" s="147" t="str">
        <v>R407A</v>
      </c>
    </row>
    <row r="359" spans="39:61" x14ac:dyDescent="0.3">
      <c r="AM359" s="147" t="s">
        <v>220</v>
      </c>
      <c r="AN359" s="147" t="s">
        <v>191</v>
      </c>
      <c r="AO359" s="147" t="s">
        <v>350</v>
      </c>
      <c r="AP359" s="147" t="s">
        <v>1024</v>
      </c>
      <c r="AQ359" s="147" t="s">
        <v>1007</v>
      </c>
      <c r="AR359" s="147" t="s">
        <v>1005</v>
      </c>
      <c r="AS359" s="182" t="str">
        <f t="shared" si="13"/>
        <v>TransportBusiness travelVehicleHire carBattery Electric VehicleLarge</v>
      </c>
      <c r="AT359" s="182" t="s">
        <v>356</v>
      </c>
      <c r="AU359" s="182" t="s">
        <v>1003</v>
      </c>
      <c r="AV359" s="208">
        <v>0.125</v>
      </c>
      <c r="AW359" s="208">
        <v>7.4999999999999997E-2</v>
      </c>
      <c r="AX359" s="311">
        <v>0.05</v>
      </c>
      <c r="AY359" s="310"/>
      <c r="BA359" s="398"/>
      <c r="BB359" s="398"/>
      <c r="BC359" s="398"/>
      <c r="BH359" s="147" t="str">
        <v>Refrigerants</v>
      </c>
      <c r="BI359" s="147" t="str">
        <v>R407B</v>
      </c>
    </row>
    <row r="360" spans="39:61" x14ac:dyDescent="0.3">
      <c r="AM360" s="147" t="s">
        <v>220</v>
      </c>
      <c r="AN360" s="147" t="s">
        <v>191</v>
      </c>
      <c r="AO360" s="147" t="s">
        <v>350</v>
      </c>
      <c r="AP360" s="147" t="s">
        <v>1024</v>
      </c>
      <c r="AQ360" s="147" t="s">
        <v>1007</v>
      </c>
      <c r="AR360" s="147" t="s">
        <v>353</v>
      </c>
      <c r="AS360" s="182" t="str">
        <f t="shared" si="13"/>
        <v>TransportBusiness travelVehicleHire carBattery Electric VehicleAverage</v>
      </c>
      <c r="AT360" s="182" t="s">
        <v>356</v>
      </c>
      <c r="AU360" s="182" t="s">
        <v>1003</v>
      </c>
      <c r="AV360" s="208">
        <v>0.125</v>
      </c>
      <c r="AW360" s="208">
        <v>7.4999999999999997E-2</v>
      </c>
      <c r="AX360" s="311">
        <v>0.05</v>
      </c>
      <c r="AY360" s="310"/>
      <c r="BA360" s="398"/>
      <c r="BB360" s="398"/>
      <c r="BC360" s="398"/>
      <c r="BH360" s="147" t="str">
        <v>Refrigerants</v>
      </c>
      <c r="BI360" s="147" t="str">
        <v>R407C</v>
      </c>
    </row>
    <row r="361" spans="39:61" x14ac:dyDescent="0.3">
      <c r="AM361" s="147" t="s">
        <v>220</v>
      </c>
      <c r="AN361" s="147" t="s">
        <v>191</v>
      </c>
      <c r="AO361" s="147" t="s">
        <v>350</v>
      </c>
      <c r="AP361" s="147" t="s">
        <v>1024</v>
      </c>
      <c r="AQ361" s="147" t="s">
        <v>1008</v>
      </c>
      <c r="AR361" s="147" t="s">
        <v>754</v>
      </c>
      <c r="AS361" s="182" t="str">
        <f t="shared" si="13"/>
        <v>TransportBusiness travelVehicleHire carHybridSmall</v>
      </c>
      <c r="AT361" s="182" t="s">
        <v>356</v>
      </c>
      <c r="AU361" s="182" t="s">
        <v>1003</v>
      </c>
      <c r="AV361" s="208">
        <v>0.125</v>
      </c>
      <c r="AW361" s="208">
        <v>7.4999999999999997E-2</v>
      </c>
      <c r="AX361" s="311">
        <v>0.05</v>
      </c>
      <c r="AY361" s="310"/>
      <c r="BA361" s="398"/>
      <c r="BB361" s="398"/>
      <c r="BC361" s="398"/>
      <c r="BH361" s="147" t="str">
        <v>Refrigerants</v>
      </c>
      <c r="BI361" s="147" t="str">
        <v>R407D</v>
      </c>
    </row>
    <row r="362" spans="39:61" x14ac:dyDescent="0.3">
      <c r="AM362" s="147" t="s">
        <v>220</v>
      </c>
      <c r="AN362" s="147" t="s">
        <v>191</v>
      </c>
      <c r="AO362" s="147" t="s">
        <v>350</v>
      </c>
      <c r="AP362" s="147" t="s">
        <v>1024</v>
      </c>
      <c r="AQ362" s="147" t="s">
        <v>1008</v>
      </c>
      <c r="AR362" s="147" t="s">
        <v>1004</v>
      </c>
      <c r="AS362" s="182" t="str">
        <f t="shared" si="13"/>
        <v>TransportBusiness travelVehicleHire carHybridMedium</v>
      </c>
      <c r="AT362" s="182" t="s">
        <v>356</v>
      </c>
      <c r="AU362" s="182" t="s">
        <v>1003</v>
      </c>
      <c r="AV362" s="208">
        <v>0.125</v>
      </c>
      <c r="AW362" s="208">
        <v>7.4999999999999997E-2</v>
      </c>
      <c r="AX362" s="311">
        <v>0.05</v>
      </c>
      <c r="AY362" s="310"/>
      <c r="BA362" s="398"/>
      <c r="BB362" s="398"/>
      <c r="BC362" s="398"/>
      <c r="BH362" s="147" t="str">
        <v>Refrigerants</v>
      </c>
      <c r="BI362" s="147" t="str">
        <v>R407E</v>
      </c>
    </row>
    <row r="363" spans="39:61" x14ac:dyDescent="0.3">
      <c r="AM363" s="147" t="s">
        <v>220</v>
      </c>
      <c r="AN363" s="147" t="s">
        <v>191</v>
      </c>
      <c r="AO363" s="147" t="s">
        <v>350</v>
      </c>
      <c r="AP363" s="147" t="s">
        <v>1024</v>
      </c>
      <c r="AQ363" s="147" t="s">
        <v>1008</v>
      </c>
      <c r="AR363" s="147" t="s">
        <v>1005</v>
      </c>
      <c r="AS363" s="182" t="str">
        <f t="shared" si="13"/>
        <v>TransportBusiness travelVehicleHire carHybridLarge</v>
      </c>
      <c r="AT363" s="182" t="s">
        <v>356</v>
      </c>
      <c r="AU363" s="182" t="s">
        <v>1003</v>
      </c>
      <c r="AV363" s="208">
        <v>0.125</v>
      </c>
      <c r="AW363" s="208">
        <v>7.4999999999999997E-2</v>
      </c>
      <c r="AX363" s="311">
        <v>0.05</v>
      </c>
      <c r="AY363" s="310"/>
      <c r="BA363" s="398"/>
      <c r="BB363" s="398"/>
      <c r="BC363" s="398"/>
      <c r="BH363" s="147" t="str">
        <v>Refrigerants</v>
      </c>
      <c r="BI363" s="147" t="str">
        <v>R407F</v>
      </c>
    </row>
    <row r="364" spans="39:61" x14ac:dyDescent="0.3">
      <c r="AM364" s="147" t="s">
        <v>220</v>
      </c>
      <c r="AN364" s="147" t="s">
        <v>191</v>
      </c>
      <c r="AO364" s="147" t="s">
        <v>350</v>
      </c>
      <c r="AP364" s="147" t="s">
        <v>1024</v>
      </c>
      <c r="AQ364" s="147" t="s">
        <v>1008</v>
      </c>
      <c r="AR364" s="147" t="s">
        <v>353</v>
      </c>
      <c r="AS364" s="182" t="str">
        <f t="shared" si="13"/>
        <v>TransportBusiness travelVehicleHire carHybridAverage</v>
      </c>
      <c r="AT364" s="182" t="s">
        <v>356</v>
      </c>
      <c r="AU364" s="182" t="s">
        <v>1003</v>
      </c>
      <c r="AV364" s="208">
        <v>0.125</v>
      </c>
      <c r="AW364" s="208">
        <v>7.4999999999999997E-2</v>
      </c>
      <c r="AX364" s="311">
        <v>0.05</v>
      </c>
      <c r="AY364" s="310"/>
      <c r="BA364" s="398"/>
      <c r="BB364" s="398"/>
      <c r="BC364" s="398"/>
      <c r="BH364" s="147" t="str">
        <v>Refrigerants</v>
      </c>
      <c r="BI364" s="147" t="str">
        <v>R408A</v>
      </c>
    </row>
    <row r="365" spans="39:61" x14ac:dyDescent="0.3">
      <c r="AM365" s="147" t="s">
        <v>220</v>
      </c>
      <c r="AN365" s="147" t="s">
        <v>191</v>
      </c>
      <c r="AO365" s="147" t="s">
        <v>350</v>
      </c>
      <c r="AP365" s="147" t="s">
        <v>1024</v>
      </c>
      <c r="AQ365" s="147" t="s">
        <v>1009</v>
      </c>
      <c r="AR365" s="147" t="s">
        <v>754</v>
      </c>
      <c r="AS365" s="182" t="str">
        <f t="shared" si="13"/>
        <v>TransportBusiness travelVehicleHire carPlug-in Hybrid Electric VehicleSmall</v>
      </c>
      <c r="AT365" s="182" t="s">
        <v>356</v>
      </c>
      <c r="AU365" s="182" t="s">
        <v>1003</v>
      </c>
      <c r="AV365" s="208">
        <v>0.125</v>
      </c>
      <c r="AW365" s="208">
        <v>7.4999999999999997E-2</v>
      </c>
      <c r="AX365" s="311">
        <v>0.05</v>
      </c>
      <c r="AY365" s="310"/>
      <c r="BA365" s="398"/>
      <c r="BB365" s="398"/>
      <c r="BC365" s="398"/>
      <c r="BH365" s="147" t="str">
        <v>Refrigerants</v>
      </c>
      <c r="BI365" s="147" t="str">
        <v>R409A</v>
      </c>
    </row>
    <row r="366" spans="39:61" x14ac:dyDescent="0.3">
      <c r="AM366" s="147" t="s">
        <v>220</v>
      </c>
      <c r="AN366" s="147" t="s">
        <v>191</v>
      </c>
      <c r="AO366" s="147" t="s">
        <v>350</v>
      </c>
      <c r="AP366" s="147" t="s">
        <v>1024</v>
      </c>
      <c r="AQ366" s="147" t="s">
        <v>1009</v>
      </c>
      <c r="AR366" s="147" t="s">
        <v>1004</v>
      </c>
      <c r="AS366" s="182" t="str">
        <f t="shared" si="13"/>
        <v>TransportBusiness travelVehicleHire carPlug-in Hybrid Electric VehicleMedium</v>
      </c>
      <c r="AT366" s="182" t="s">
        <v>356</v>
      </c>
      <c r="AU366" s="182" t="s">
        <v>1003</v>
      </c>
      <c r="AV366" s="208">
        <v>0.125</v>
      </c>
      <c r="AW366" s="208">
        <v>7.4999999999999997E-2</v>
      </c>
      <c r="AX366" s="311">
        <v>0.05</v>
      </c>
      <c r="AY366" s="310"/>
      <c r="BA366" s="398"/>
      <c r="BB366" s="398"/>
      <c r="BC366" s="398"/>
      <c r="BH366" s="147" t="str">
        <v>Refrigerants</v>
      </c>
      <c r="BI366" s="147" t="str">
        <v>R409B</v>
      </c>
    </row>
    <row r="367" spans="39:61" x14ac:dyDescent="0.3">
      <c r="AM367" s="147" t="s">
        <v>220</v>
      </c>
      <c r="AN367" s="147" t="s">
        <v>191</v>
      </c>
      <c r="AO367" s="147" t="s">
        <v>350</v>
      </c>
      <c r="AP367" s="147" t="s">
        <v>1024</v>
      </c>
      <c r="AQ367" s="147" t="s">
        <v>1009</v>
      </c>
      <c r="AR367" s="147" t="s">
        <v>1005</v>
      </c>
      <c r="AS367" s="182" t="str">
        <f t="shared" si="13"/>
        <v>TransportBusiness travelVehicleHire carPlug-in Hybrid Electric VehicleLarge</v>
      </c>
      <c r="AT367" s="182" t="s">
        <v>356</v>
      </c>
      <c r="AU367" s="182" t="s">
        <v>1003</v>
      </c>
      <c r="AV367" s="208">
        <v>0.125</v>
      </c>
      <c r="AW367" s="208">
        <v>7.4999999999999997E-2</v>
      </c>
      <c r="AX367" s="311">
        <v>0.05</v>
      </c>
      <c r="AY367" s="310"/>
      <c r="BA367" s="398"/>
      <c r="BB367" s="398"/>
      <c r="BC367" s="398"/>
      <c r="BH367" s="147" t="str">
        <v>Refrigerants</v>
      </c>
      <c r="BI367" s="147" t="str">
        <v>R410A</v>
      </c>
    </row>
    <row r="368" spans="39:61" x14ac:dyDescent="0.3">
      <c r="AM368" s="147" t="s">
        <v>220</v>
      </c>
      <c r="AN368" s="147" t="s">
        <v>191</v>
      </c>
      <c r="AO368" s="147" t="s">
        <v>350</v>
      </c>
      <c r="AP368" s="147" t="s">
        <v>1024</v>
      </c>
      <c r="AQ368" s="147" t="s">
        <v>1009</v>
      </c>
      <c r="AR368" s="147" t="s">
        <v>353</v>
      </c>
      <c r="AS368" s="182" t="str">
        <f t="shared" si="13"/>
        <v>TransportBusiness travelVehicleHire carPlug-in Hybrid Electric VehicleAverage</v>
      </c>
      <c r="AT368" s="182" t="s">
        <v>356</v>
      </c>
      <c r="AU368" s="182" t="s">
        <v>1003</v>
      </c>
      <c r="AV368" s="208">
        <v>0.125</v>
      </c>
      <c r="AW368" s="208">
        <v>7.4999999999999997E-2</v>
      </c>
      <c r="AX368" s="311">
        <v>0.05</v>
      </c>
      <c r="AY368" s="310"/>
      <c r="BA368" s="398"/>
      <c r="BB368" s="398"/>
      <c r="BC368" s="398"/>
      <c r="BH368" s="147" t="str">
        <v>Refrigerants</v>
      </c>
      <c r="BI368" s="147" t="str">
        <v>R410B</v>
      </c>
    </row>
    <row r="369" spans="39:61" x14ac:dyDescent="0.3">
      <c r="AM369" s="147" t="s">
        <v>220</v>
      </c>
      <c r="AN369" s="147" t="s">
        <v>191</v>
      </c>
      <c r="AO369" s="147" t="s">
        <v>350</v>
      </c>
      <c r="AP369" s="147" t="s">
        <v>1024</v>
      </c>
      <c r="AQ369" s="147" t="s">
        <v>1010</v>
      </c>
      <c r="AR369" s="147" t="s">
        <v>754</v>
      </c>
      <c r="AS369" s="182" t="str">
        <f t="shared" si="13"/>
        <v>TransportBusiness travelVehicleHire carUnknown fuelSmall</v>
      </c>
      <c r="AT369" s="182" t="s">
        <v>356</v>
      </c>
      <c r="AU369" s="182" t="s">
        <v>1003</v>
      </c>
      <c r="AV369" s="208">
        <v>0.125</v>
      </c>
      <c r="AW369" s="208">
        <v>7.4999999999999997E-2</v>
      </c>
      <c r="AX369" s="311">
        <v>0.05</v>
      </c>
      <c r="AY369" s="310"/>
      <c r="BA369" s="398"/>
      <c r="BB369" s="398"/>
      <c r="BC369" s="398"/>
      <c r="BH369" s="147" t="str">
        <v>Refrigerants</v>
      </c>
      <c r="BI369" s="147" t="str">
        <v>R411A</v>
      </c>
    </row>
    <row r="370" spans="39:61" x14ac:dyDescent="0.3">
      <c r="AM370" s="147" t="s">
        <v>220</v>
      </c>
      <c r="AN370" s="147" t="s">
        <v>191</v>
      </c>
      <c r="AO370" s="147" t="s">
        <v>350</v>
      </c>
      <c r="AP370" s="147" t="s">
        <v>1024</v>
      </c>
      <c r="AQ370" s="147" t="s">
        <v>1010</v>
      </c>
      <c r="AR370" s="147" t="s">
        <v>1004</v>
      </c>
      <c r="AS370" s="182" t="str">
        <f t="shared" si="13"/>
        <v>TransportBusiness travelVehicleHire carUnknown fuelMedium</v>
      </c>
      <c r="AT370" s="182" t="s">
        <v>356</v>
      </c>
      <c r="AU370" s="182" t="s">
        <v>1003</v>
      </c>
      <c r="AV370" s="208">
        <v>0.125</v>
      </c>
      <c r="AW370" s="208">
        <v>7.4999999999999997E-2</v>
      </c>
      <c r="AX370" s="311">
        <v>0.05</v>
      </c>
      <c r="AY370" s="310"/>
      <c r="BA370" s="398"/>
      <c r="BB370" s="398"/>
      <c r="BC370" s="398"/>
      <c r="BH370" s="147" t="str">
        <v>Refrigerants</v>
      </c>
      <c r="BI370" s="147" t="str">
        <v>R411B</v>
      </c>
    </row>
    <row r="371" spans="39:61" x14ac:dyDescent="0.3">
      <c r="AM371" s="147" t="s">
        <v>220</v>
      </c>
      <c r="AN371" s="147" t="s">
        <v>191</v>
      </c>
      <c r="AO371" s="147" t="s">
        <v>350</v>
      </c>
      <c r="AP371" s="147" t="s">
        <v>1024</v>
      </c>
      <c r="AQ371" s="147" t="s">
        <v>1010</v>
      </c>
      <c r="AR371" s="147" t="s">
        <v>1005</v>
      </c>
      <c r="AS371" s="182" t="str">
        <f t="shared" si="13"/>
        <v>TransportBusiness travelVehicleHire carUnknown fuelLarge</v>
      </c>
      <c r="AT371" s="182" t="s">
        <v>356</v>
      </c>
      <c r="AU371" s="182" t="s">
        <v>1003</v>
      </c>
      <c r="AV371" s="208">
        <v>0.125</v>
      </c>
      <c r="AW371" s="208">
        <v>7.4999999999999997E-2</v>
      </c>
      <c r="AX371" s="311">
        <v>0.05</v>
      </c>
      <c r="AY371" s="310"/>
      <c r="BA371" s="398"/>
      <c r="BB371" s="398"/>
      <c r="BC371" s="398"/>
      <c r="BH371" s="147" t="str">
        <v>Refrigerants</v>
      </c>
      <c r="BI371" s="147" t="str">
        <v>R412A</v>
      </c>
    </row>
    <row r="372" spans="39:61" x14ac:dyDescent="0.3">
      <c r="AM372" s="147" t="s">
        <v>220</v>
      </c>
      <c r="AN372" s="147" t="s">
        <v>191</v>
      </c>
      <c r="AO372" s="147" t="s">
        <v>350</v>
      </c>
      <c r="AP372" s="147" t="s">
        <v>1024</v>
      </c>
      <c r="AQ372" s="147" t="s">
        <v>1010</v>
      </c>
      <c r="AR372" s="147" t="s">
        <v>353</v>
      </c>
      <c r="AS372" s="182" t="str">
        <f t="shared" si="13"/>
        <v>TransportBusiness travelVehicleHire carUnknown fuelAverage</v>
      </c>
      <c r="AT372" s="182" t="s">
        <v>356</v>
      </c>
      <c r="AU372" s="182" t="s">
        <v>1003</v>
      </c>
      <c r="AV372" s="208">
        <v>0.125</v>
      </c>
      <c r="AW372" s="208">
        <v>7.4999999999999997E-2</v>
      </c>
      <c r="AX372" s="311">
        <v>0.05</v>
      </c>
      <c r="AY372" s="310"/>
      <c r="BA372" s="398"/>
      <c r="BB372" s="398"/>
      <c r="BC372" s="398"/>
      <c r="BH372" s="147" t="str">
        <v>Refrigerants</v>
      </c>
      <c r="BI372" s="147" t="str">
        <v>R413A</v>
      </c>
    </row>
    <row r="373" spans="39:61" x14ac:dyDescent="0.3">
      <c r="AM373" s="147" t="s">
        <v>220</v>
      </c>
      <c r="AN373" s="147" t="s">
        <v>191</v>
      </c>
      <c r="AO373" s="147" t="s">
        <v>350</v>
      </c>
      <c r="AP373" s="147" t="s">
        <v>1011</v>
      </c>
      <c r="AQ373" s="147" t="s">
        <v>1006</v>
      </c>
      <c r="AR373" s="147" t="s">
        <v>353</v>
      </c>
      <c r="AS373" s="182" t="str">
        <f t="shared" si="13"/>
        <v>TransportBusiness travelVehicleVanDieselAverage</v>
      </c>
      <c r="AT373" s="182" t="s">
        <v>356</v>
      </c>
      <c r="AU373" s="182" t="s">
        <v>1003</v>
      </c>
      <c r="AV373" s="208">
        <v>0.125</v>
      </c>
      <c r="AW373" s="208">
        <v>7.4999999999999997E-2</v>
      </c>
      <c r="AX373" s="311">
        <v>0.05</v>
      </c>
      <c r="AY373" s="310"/>
      <c r="BA373" s="398"/>
      <c r="BB373" s="398"/>
      <c r="BC373" s="398"/>
      <c r="BH373" s="147" t="str">
        <v>Refrigerants</v>
      </c>
      <c r="BI373" s="147" t="str">
        <v>R414A</v>
      </c>
    </row>
    <row r="374" spans="39:61" x14ac:dyDescent="0.3">
      <c r="AM374" s="147" t="s">
        <v>220</v>
      </c>
      <c r="AN374" s="147" t="s">
        <v>191</v>
      </c>
      <c r="AO374" s="147" t="s">
        <v>350</v>
      </c>
      <c r="AP374" s="147" t="s">
        <v>1011</v>
      </c>
      <c r="AQ374" s="147" t="s">
        <v>351</v>
      </c>
      <c r="AR374" s="147" t="s">
        <v>353</v>
      </c>
      <c r="AS374" s="182" t="str">
        <f t="shared" si="13"/>
        <v>TransportBusiness travelVehicleVanPetrolAverage</v>
      </c>
      <c r="AT374" s="182" t="s">
        <v>356</v>
      </c>
      <c r="AU374" s="182" t="s">
        <v>1003</v>
      </c>
      <c r="AV374" s="208">
        <v>0.125</v>
      </c>
      <c r="AW374" s="208">
        <v>7.4999999999999997E-2</v>
      </c>
      <c r="AX374" s="311">
        <v>0.05</v>
      </c>
      <c r="AY374" s="310"/>
      <c r="BA374" s="398"/>
      <c r="BB374" s="398"/>
      <c r="BC374" s="398"/>
      <c r="BH374" s="147" t="str">
        <v>Refrigerants</v>
      </c>
      <c r="BI374" s="147" t="str">
        <v>R414B</v>
      </c>
    </row>
    <row r="375" spans="39:61" x14ac:dyDescent="0.3">
      <c r="AM375" s="147" t="s">
        <v>220</v>
      </c>
      <c r="AN375" s="147" t="s">
        <v>191</v>
      </c>
      <c r="AO375" s="147" t="s">
        <v>350</v>
      </c>
      <c r="AP375" s="147" t="s">
        <v>1011</v>
      </c>
      <c r="AQ375" s="147" t="s">
        <v>981</v>
      </c>
      <c r="AR375" s="147" t="s">
        <v>353</v>
      </c>
      <c r="AS375" s="182" t="str">
        <f t="shared" si="13"/>
        <v>TransportBusiness travelVehicleVanLPGAverage</v>
      </c>
      <c r="AT375" s="182" t="s">
        <v>356</v>
      </c>
      <c r="AU375" s="182" t="s">
        <v>1003</v>
      </c>
      <c r="AV375" s="208">
        <v>0.125</v>
      </c>
      <c r="AW375" s="208">
        <v>7.4999999999999997E-2</v>
      </c>
      <c r="AX375" s="311">
        <v>0.05</v>
      </c>
      <c r="AY375" s="310"/>
      <c r="BA375" s="398"/>
      <c r="BB375" s="398"/>
      <c r="BC375" s="398"/>
      <c r="BH375" s="147" t="str">
        <v>Refrigerants</v>
      </c>
      <c r="BI375" s="147" t="str">
        <v>R415A</v>
      </c>
    </row>
    <row r="376" spans="39:61" x14ac:dyDescent="0.3">
      <c r="AM376" s="147" t="s">
        <v>220</v>
      </c>
      <c r="AN376" s="147" t="s">
        <v>191</v>
      </c>
      <c r="AO376" s="147" t="s">
        <v>350</v>
      </c>
      <c r="AP376" s="147" t="s">
        <v>1011</v>
      </c>
      <c r="AQ376" s="147" t="s">
        <v>1007</v>
      </c>
      <c r="AR376" s="147" t="s">
        <v>353</v>
      </c>
      <c r="AS376" s="182" t="str">
        <f t="shared" si="13"/>
        <v>TransportBusiness travelVehicleVanBattery Electric VehicleAverage</v>
      </c>
      <c r="AT376" s="182" t="s">
        <v>356</v>
      </c>
      <c r="AU376" s="182" t="s">
        <v>1003</v>
      </c>
      <c r="AV376" s="208">
        <v>0.125</v>
      </c>
      <c r="AW376" s="208">
        <v>7.4999999999999997E-2</v>
      </c>
      <c r="AX376" s="311">
        <v>0.05</v>
      </c>
      <c r="AY376" s="310"/>
      <c r="BA376" s="398"/>
      <c r="BB376" s="398"/>
      <c r="BC376" s="398"/>
      <c r="BH376" s="147" t="str">
        <v>Refrigerants</v>
      </c>
      <c r="BI376" s="147" t="str">
        <v>R415B</v>
      </c>
    </row>
    <row r="377" spans="39:61" x14ac:dyDescent="0.3">
      <c r="AM377" s="147" t="s">
        <v>220</v>
      </c>
      <c r="AN377" s="147" t="s">
        <v>191</v>
      </c>
      <c r="AO377" s="147" t="s">
        <v>350</v>
      </c>
      <c r="AP377" s="147" t="s">
        <v>1011</v>
      </c>
      <c r="AQ377" s="147" t="s">
        <v>981</v>
      </c>
      <c r="AR377" s="147" t="s">
        <v>353</v>
      </c>
      <c r="AS377" s="182" t="str">
        <f t="shared" si="13"/>
        <v>TransportBusiness travelVehicleVanLPGAverage</v>
      </c>
      <c r="AT377" s="182" t="s">
        <v>356</v>
      </c>
      <c r="AU377" s="182" t="s">
        <v>1003</v>
      </c>
      <c r="AV377" s="208">
        <v>0.125</v>
      </c>
      <c r="AW377" s="208">
        <v>7.4999999999999997E-2</v>
      </c>
      <c r="AX377" s="311">
        <v>0.05</v>
      </c>
      <c r="AY377" s="310"/>
      <c r="BA377" s="398"/>
      <c r="BB377" s="398"/>
      <c r="BC377" s="398"/>
      <c r="BH377" s="147" t="str">
        <v>Refrigerants</v>
      </c>
      <c r="BI377" s="147" t="str">
        <v>R416A</v>
      </c>
    </row>
    <row r="378" spans="39:61" x14ac:dyDescent="0.3">
      <c r="AM378" s="147" t="s">
        <v>220</v>
      </c>
      <c r="AN378" s="147" t="s">
        <v>191</v>
      </c>
      <c r="AO378" s="147" t="s">
        <v>350</v>
      </c>
      <c r="AP378" s="147" t="s">
        <v>1011</v>
      </c>
      <c r="AQ378" s="147" t="s">
        <v>1010</v>
      </c>
      <c r="AR378" s="147" t="s">
        <v>353</v>
      </c>
      <c r="AS378" s="182" t="str">
        <f t="shared" si="13"/>
        <v>TransportBusiness travelVehicleVanUnknown fuelAverage</v>
      </c>
      <c r="AT378" s="182" t="s">
        <v>356</v>
      </c>
      <c r="AU378" s="182" t="s">
        <v>1003</v>
      </c>
      <c r="AV378" s="208">
        <v>0.125</v>
      </c>
      <c r="AW378" s="208">
        <v>7.4999999999999997E-2</v>
      </c>
      <c r="AX378" s="311">
        <v>0.05</v>
      </c>
      <c r="AY378" s="310"/>
      <c r="BA378" s="398"/>
      <c r="BB378" s="398"/>
      <c r="BC378" s="398"/>
      <c r="BH378" s="147" t="str">
        <v>Refrigerants</v>
      </c>
      <c r="BI378" s="147" t="str">
        <v>R417A</v>
      </c>
    </row>
    <row r="379" spans="39:61" x14ac:dyDescent="0.3">
      <c r="AM379" s="147" t="s">
        <v>220</v>
      </c>
      <c r="AN379" s="147" t="s">
        <v>191</v>
      </c>
      <c r="AO379" s="147" t="s">
        <v>350</v>
      </c>
      <c r="AP379" s="147" t="s">
        <v>1015</v>
      </c>
      <c r="AQ379" s="147" t="s">
        <v>351</v>
      </c>
      <c r="AR379" s="147" t="s">
        <v>754</v>
      </c>
      <c r="AS379" s="182" t="str">
        <f t="shared" si="13"/>
        <v>TransportBusiness travelVehicleMotorbikePetrolSmall</v>
      </c>
      <c r="AT379" s="182" t="s">
        <v>356</v>
      </c>
      <c r="AU379" s="182" t="s">
        <v>1003</v>
      </c>
      <c r="AV379" s="208">
        <v>0.125</v>
      </c>
      <c r="AW379" s="208">
        <v>7.4999999999999997E-2</v>
      </c>
      <c r="AX379" s="311">
        <v>0.05</v>
      </c>
      <c r="AY379" s="310"/>
      <c r="BA379" s="398"/>
      <c r="BB379" s="398"/>
      <c r="BC379" s="398"/>
      <c r="BH379" s="147" t="str">
        <v>Refrigerants</v>
      </c>
      <c r="BI379" s="147" t="str">
        <v>R417B</v>
      </c>
    </row>
    <row r="380" spans="39:61" x14ac:dyDescent="0.3">
      <c r="AM380" s="147" t="s">
        <v>220</v>
      </c>
      <c r="AN380" s="147" t="s">
        <v>191</v>
      </c>
      <c r="AO380" s="147" t="s">
        <v>350</v>
      </c>
      <c r="AP380" s="147" t="s">
        <v>1015</v>
      </c>
      <c r="AQ380" s="147" t="s">
        <v>351</v>
      </c>
      <c r="AR380" s="147" t="s">
        <v>1004</v>
      </c>
      <c r="AS380" s="182" t="str">
        <f t="shared" si="13"/>
        <v>TransportBusiness travelVehicleMotorbikePetrolMedium</v>
      </c>
      <c r="AT380" s="182" t="s">
        <v>356</v>
      </c>
      <c r="AU380" s="182" t="s">
        <v>1003</v>
      </c>
      <c r="AV380" s="208">
        <v>0.125</v>
      </c>
      <c r="AW380" s="208">
        <v>7.4999999999999997E-2</v>
      </c>
      <c r="AX380" s="311">
        <v>0.05</v>
      </c>
      <c r="AY380" s="310"/>
      <c r="BA380" s="398"/>
      <c r="BB380" s="398"/>
      <c r="BC380" s="398"/>
      <c r="BH380" s="147" t="str">
        <v>Refrigerants</v>
      </c>
      <c r="BI380" s="147" t="str">
        <v>R417C</v>
      </c>
    </row>
    <row r="381" spans="39:61" x14ac:dyDescent="0.3">
      <c r="AM381" s="147" t="s">
        <v>220</v>
      </c>
      <c r="AN381" s="147" t="s">
        <v>191</v>
      </c>
      <c r="AO381" s="147" t="s">
        <v>350</v>
      </c>
      <c r="AP381" s="147" t="s">
        <v>1015</v>
      </c>
      <c r="AQ381" s="147" t="s">
        <v>351</v>
      </c>
      <c r="AR381" s="147" t="s">
        <v>1005</v>
      </c>
      <c r="AS381" s="182" t="str">
        <f t="shared" si="13"/>
        <v>TransportBusiness travelVehicleMotorbikePetrolLarge</v>
      </c>
      <c r="AT381" s="182" t="s">
        <v>356</v>
      </c>
      <c r="AU381" s="182" t="s">
        <v>1003</v>
      </c>
      <c r="AV381" s="208">
        <v>0.125</v>
      </c>
      <c r="AW381" s="208">
        <v>7.4999999999999997E-2</v>
      </c>
      <c r="AX381" s="311">
        <v>0.05</v>
      </c>
      <c r="AY381" s="310"/>
      <c r="BA381" s="398"/>
      <c r="BB381" s="398"/>
      <c r="BC381" s="398"/>
      <c r="BH381" s="147" t="str">
        <v>Refrigerants</v>
      </c>
      <c r="BI381" s="147" t="str">
        <v>R418A</v>
      </c>
    </row>
    <row r="382" spans="39:61" x14ac:dyDescent="0.3">
      <c r="AM382" s="147" t="s">
        <v>220</v>
      </c>
      <c r="AN382" s="147" t="s">
        <v>191</v>
      </c>
      <c r="AO382" s="147" t="s">
        <v>350</v>
      </c>
      <c r="AP382" s="147" t="s">
        <v>1015</v>
      </c>
      <c r="AQ382" s="147" t="s">
        <v>351</v>
      </c>
      <c r="AR382" s="147" t="s">
        <v>353</v>
      </c>
      <c r="AS382" s="182" t="str">
        <f t="shared" si="13"/>
        <v>TransportBusiness travelVehicleMotorbikePetrolAverage</v>
      </c>
      <c r="AT382" s="182" t="s">
        <v>356</v>
      </c>
      <c r="AU382" s="182" t="s">
        <v>1003</v>
      </c>
      <c r="AV382" s="208">
        <v>0.125</v>
      </c>
      <c r="AW382" s="208">
        <v>7.4999999999999997E-2</v>
      </c>
      <c r="AX382" s="311">
        <v>0.05</v>
      </c>
      <c r="AY382" s="310"/>
      <c r="BA382" s="398"/>
      <c r="BB382" s="398"/>
      <c r="BC382" s="398"/>
      <c r="BH382" s="147" t="str">
        <v>Refrigerants</v>
      </c>
      <c r="BI382" s="147" t="str">
        <v>R419A</v>
      </c>
    </row>
    <row r="383" spans="39:61" x14ac:dyDescent="0.3">
      <c r="AM383" s="147" t="s">
        <v>220</v>
      </c>
      <c r="AN383" s="147" t="s">
        <v>191</v>
      </c>
      <c r="AO383" s="147" t="s">
        <v>1025</v>
      </c>
      <c r="AP383" s="147" t="s">
        <v>184</v>
      </c>
      <c r="AQ383" s="147" t="s">
        <v>353</v>
      </c>
      <c r="AR383" s="147" t="s">
        <v>339</v>
      </c>
      <c r="AS383" s="182" t="str">
        <f t="shared" si="13"/>
        <v>TransportBusiness travelFlightDomesticAverageNaN</v>
      </c>
      <c r="AT383" s="182" t="s">
        <v>1026</v>
      </c>
      <c r="AU383" s="182" t="s">
        <v>1027</v>
      </c>
      <c r="AV383" s="208"/>
      <c r="AW383" s="208">
        <v>0.125</v>
      </c>
      <c r="AX383" s="311">
        <v>7.4999999999999997E-2</v>
      </c>
      <c r="BA383" s="398"/>
      <c r="BB383" s="398"/>
      <c r="BC383" s="398"/>
      <c r="BH383" s="147" t="str">
        <v>Refrigerants</v>
      </c>
      <c r="BI383" s="147" t="str">
        <v>R419B</v>
      </c>
    </row>
    <row r="384" spans="39:61" x14ac:dyDescent="0.3">
      <c r="AM384" s="147" t="s">
        <v>220</v>
      </c>
      <c r="AN384" s="147" t="s">
        <v>191</v>
      </c>
      <c r="AO384" s="147" t="s">
        <v>1025</v>
      </c>
      <c r="AP384" s="147" t="s">
        <v>1028</v>
      </c>
      <c r="AQ384" s="147" t="s">
        <v>353</v>
      </c>
      <c r="AR384" s="147" t="s">
        <v>339</v>
      </c>
      <c r="AS384" s="182" t="str">
        <f t="shared" si="13"/>
        <v>TransportBusiness travelFlightLong haulAverageNaN</v>
      </c>
      <c r="AT384" s="182" t="s">
        <v>1026</v>
      </c>
      <c r="AU384" s="182" t="s">
        <v>1027</v>
      </c>
      <c r="AV384" s="208"/>
      <c r="AW384" s="208">
        <v>0.125</v>
      </c>
      <c r="AX384" s="311">
        <v>7.4999999999999997E-2</v>
      </c>
      <c r="BA384" s="398"/>
      <c r="BB384" s="398"/>
      <c r="BC384" s="398"/>
      <c r="BH384" s="147" t="str">
        <v>Refrigerants</v>
      </c>
      <c r="BI384" s="147" t="str">
        <v>R420A</v>
      </c>
    </row>
    <row r="385" spans="39:61" x14ac:dyDescent="0.3">
      <c r="AM385" s="147" t="s">
        <v>220</v>
      </c>
      <c r="AN385" s="147" t="s">
        <v>191</v>
      </c>
      <c r="AO385" s="147" t="s">
        <v>1025</v>
      </c>
      <c r="AP385" s="147" t="s">
        <v>1028</v>
      </c>
      <c r="AQ385" s="147" t="s">
        <v>1029</v>
      </c>
      <c r="AR385" s="147" t="s">
        <v>339</v>
      </c>
      <c r="AS385" s="182" t="str">
        <f t="shared" si="13"/>
        <v>TransportBusiness travelFlightLong haulBusinessNaN</v>
      </c>
      <c r="AT385" s="182" t="s">
        <v>1026</v>
      </c>
      <c r="AU385" s="182" t="s">
        <v>1027</v>
      </c>
      <c r="AV385" s="208"/>
      <c r="AW385" s="208">
        <v>0.125</v>
      </c>
      <c r="AX385" s="311">
        <v>7.4999999999999997E-2</v>
      </c>
      <c r="BA385" s="398"/>
      <c r="BB385" s="398"/>
      <c r="BC385" s="398"/>
      <c r="BH385" s="147" t="str">
        <v>Refrigerants</v>
      </c>
      <c r="BI385" s="147" t="str">
        <v>R421A</v>
      </c>
    </row>
    <row r="386" spans="39:61" x14ac:dyDescent="0.3">
      <c r="AM386" s="147" t="s">
        <v>220</v>
      </c>
      <c r="AN386" s="147" t="s">
        <v>191</v>
      </c>
      <c r="AO386" s="147" t="s">
        <v>1025</v>
      </c>
      <c r="AP386" s="147" t="s">
        <v>1028</v>
      </c>
      <c r="AQ386" s="147" t="s">
        <v>1030</v>
      </c>
      <c r="AR386" s="147" t="s">
        <v>339</v>
      </c>
      <c r="AS386" s="182" t="str">
        <f t="shared" si="13"/>
        <v>TransportBusiness travelFlightLong haulEconomyNaN</v>
      </c>
      <c r="AT386" s="182" t="s">
        <v>1026</v>
      </c>
      <c r="AU386" s="182" t="s">
        <v>1027</v>
      </c>
      <c r="AV386" s="208"/>
      <c r="AW386" s="208">
        <v>0.125</v>
      </c>
      <c r="AX386" s="311">
        <v>7.4999999999999997E-2</v>
      </c>
      <c r="BA386" s="398"/>
      <c r="BB386" s="398"/>
      <c r="BC386" s="398"/>
      <c r="BH386" s="147" t="str">
        <v>Refrigerants</v>
      </c>
      <c r="BI386" s="147" t="str">
        <v>R421B</v>
      </c>
    </row>
    <row r="387" spans="39:61" x14ac:dyDescent="0.3">
      <c r="AM387" s="147" t="s">
        <v>220</v>
      </c>
      <c r="AN387" s="147" t="s">
        <v>191</v>
      </c>
      <c r="AO387" s="147" t="s">
        <v>1025</v>
      </c>
      <c r="AP387" s="147" t="s">
        <v>1031</v>
      </c>
      <c r="AQ387" s="147" t="s">
        <v>353</v>
      </c>
      <c r="AR387" s="147" t="s">
        <v>339</v>
      </c>
      <c r="AS387" s="182" t="str">
        <f t="shared" si="13"/>
        <v>TransportBusiness travelFlightShort haulAverageNaN</v>
      </c>
      <c r="AT387" s="182" t="s">
        <v>1026</v>
      </c>
      <c r="AU387" s="182" t="s">
        <v>1027</v>
      </c>
      <c r="AV387" s="208"/>
      <c r="AW387" s="208">
        <v>0.125</v>
      </c>
      <c r="AX387" s="311">
        <v>7.4999999999999997E-2</v>
      </c>
      <c r="BA387" s="398"/>
      <c r="BB387" s="398"/>
      <c r="BC387" s="398"/>
      <c r="BH387" s="147" t="str">
        <v>Refrigerants</v>
      </c>
      <c r="BI387" s="147" t="str">
        <v>R422A</v>
      </c>
    </row>
    <row r="388" spans="39:61" x14ac:dyDescent="0.3">
      <c r="AM388" s="147" t="s">
        <v>220</v>
      </c>
      <c r="AN388" s="147" t="s">
        <v>191</v>
      </c>
      <c r="AO388" s="147" t="s">
        <v>1025</v>
      </c>
      <c r="AP388" s="147" t="s">
        <v>1031</v>
      </c>
      <c r="AQ388" s="147" t="s">
        <v>1029</v>
      </c>
      <c r="AR388" s="147" t="s">
        <v>339</v>
      </c>
      <c r="AS388" s="182" t="str">
        <f t="shared" si="13"/>
        <v>TransportBusiness travelFlightShort haulBusinessNaN</v>
      </c>
      <c r="AT388" s="182" t="s">
        <v>1026</v>
      </c>
      <c r="AU388" s="182" t="s">
        <v>1027</v>
      </c>
      <c r="AV388" s="208"/>
      <c r="AW388" s="208">
        <v>0.125</v>
      </c>
      <c r="AX388" s="311">
        <v>7.4999999999999997E-2</v>
      </c>
      <c r="BA388" s="398"/>
      <c r="BB388" s="398"/>
      <c r="BC388" s="398"/>
      <c r="BH388" s="147" t="str">
        <v>Refrigerants</v>
      </c>
      <c r="BI388" s="147" t="str">
        <v>R422B</v>
      </c>
    </row>
    <row r="389" spans="39:61" x14ac:dyDescent="0.3">
      <c r="AM389" s="147" t="s">
        <v>220</v>
      </c>
      <c r="AN389" s="147" t="s">
        <v>191</v>
      </c>
      <c r="AO389" s="147" t="s">
        <v>1025</v>
      </c>
      <c r="AP389" s="147" t="s">
        <v>1031</v>
      </c>
      <c r="AQ389" s="147" t="s">
        <v>1030</v>
      </c>
      <c r="AR389" s="147" t="s">
        <v>339</v>
      </c>
      <c r="AS389" s="182" t="str">
        <f t="shared" si="13"/>
        <v>TransportBusiness travelFlightShort haulEconomyNaN</v>
      </c>
      <c r="AT389" s="182" t="s">
        <v>1026</v>
      </c>
      <c r="AU389" s="182" t="s">
        <v>1027</v>
      </c>
      <c r="AV389" s="208"/>
      <c r="AW389" s="208">
        <v>0.125</v>
      </c>
      <c r="AX389" s="311">
        <v>7.4999999999999997E-2</v>
      </c>
      <c r="BA389" s="398"/>
      <c r="BB389" s="398"/>
      <c r="BC389" s="398"/>
      <c r="BH389" s="147" t="str">
        <v>Refrigerants</v>
      </c>
      <c r="BI389" s="147" t="str">
        <v>R422C</v>
      </c>
    </row>
    <row r="390" spans="39:61" x14ac:dyDescent="0.3">
      <c r="AM390" s="147" t="s">
        <v>220</v>
      </c>
      <c r="AN390" s="147" t="s">
        <v>191</v>
      </c>
      <c r="AO390" s="147" t="s">
        <v>1032</v>
      </c>
      <c r="AP390" s="147" t="s">
        <v>1033</v>
      </c>
      <c r="AQ390" s="147" t="s">
        <v>1034</v>
      </c>
      <c r="AR390" s="147" t="s">
        <v>339</v>
      </c>
      <c r="AS390" s="182" t="str">
        <f t="shared" si="13"/>
        <v>TransportBusiness travelPublic transportBusAverage local busNaN</v>
      </c>
      <c r="AT390" s="182" t="s">
        <v>1026</v>
      </c>
      <c r="AU390" s="182" t="s">
        <v>1027</v>
      </c>
      <c r="AV390" s="208"/>
      <c r="AW390" s="208">
        <v>0.15</v>
      </c>
      <c r="AX390" s="311">
        <v>0.1</v>
      </c>
      <c r="BA390" s="398"/>
      <c r="BB390" s="398"/>
      <c r="BC390" s="398"/>
      <c r="BH390" s="147" t="str">
        <v>Refrigerants</v>
      </c>
      <c r="BI390" s="147" t="str">
        <v>R422D</v>
      </c>
    </row>
    <row r="391" spans="39:61" x14ac:dyDescent="0.3">
      <c r="AM391" s="147" t="s">
        <v>220</v>
      </c>
      <c r="AN391" s="147" t="s">
        <v>191</v>
      </c>
      <c r="AO391" s="147" t="s">
        <v>1032</v>
      </c>
      <c r="AP391" s="147" t="s">
        <v>1033</v>
      </c>
      <c r="AQ391" s="147" t="s">
        <v>1035</v>
      </c>
      <c r="AR391" s="147" t="s">
        <v>339</v>
      </c>
      <c r="AS391" s="182" t="str">
        <f t="shared" si="13"/>
        <v>TransportBusiness travelPublic transportBusCoachNaN</v>
      </c>
      <c r="AT391" s="182" t="s">
        <v>1026</v>
      </c>
      <c r="AU391" s="182" t="s">
        <v>1027</v>
      </c>
      <c r="AV391" s="208"/>
      <c r="AW391" s="208">
        <v>0.15</v>
      </c>
      <c r="AX391" s="311">
        <v>0.1</v>
      </c>
      <c r="BA391" s="398"/>
      <c r="BB391" s="398"/>
      <c r="BC391" s="398"/>
      <c r="BH391" s="147" t="str">
        <v>Refrigerants</v>
      </c>
      <c r="BI391" s="147" t="str">
        <v>R422E</v>
      </c>
    </row>
    <row r="392" spans="39:61" x14ac:dyDescent="0.3">
      <c r="AM392" s="147" t="s">
        <v>220</v>
      </c>
      <c r="AN392" s="147" t="s">
        <v>191</v>
      </c>
      <c r="AO392" s="147" t="s">
        <v>1032</v>
      </c>
      <c r="AP392" s="147" t="s">
        <v>1036</v>
      </c>
      <c r="AQ392" s="147" t="s">
        <v>1036</v>
      </c>
      <c r="AR392" s="147" t="s">
        <v>339</v>
      </c>
      <c r="AS392" s="182" t="str">
        <f t="shared" si="13"/>
        <v>TransportBusiness travelPublic transportFerryFerryNaN</v>
      </c>
      <c r="AT392" s="182" t="s">
        <v>1026</v>
      </c>
      <c r="AU392" s="182" t="s">
        <v>1027</v>
      </c>
      <c r="AV392" s="208"/>
      <c r="AW392" s="208">
        <v>0.15</v>
      </c>
      <c r="AX392" s="311">
        <v>0.1</v>
      </c>
      <c r="BA392" s="398"/>
      <c r="BB392" s="398"/>
      <c r="BC392" s="398"/>
      <c r="BH392" s="147" t="str">
        <v>Refrigerants</v>
      </c>
      <c r="BI392" s="147" t="str">
        <v>R423A</v>
      </c>
    </row>
    <row r="393" spans="39:61" x14ac:dyDescent="0.3">
      <c r="AM393" s="147" t="s">
        <v>220</v>
      </c>
      <c r="AN393" s="147" t="s">
        <v>191</v>
      </c>
      <c r="AO393" s="147" t="s">
        <v>1032</v>
      </c>
      <c r="AP393" s="147" t="s">
        <v>1037</v>
      </c>
      <c r="AQ393" s="147" t="s">
        <v>1038</v>
      </c>
      <c r="AR393" s="147" t="s">
        <v>339</v>
      </c>
      <c r="AS393" s="182" t="str">
        <f t="shared" si="13"/>
        <v>TransportBusiness travelPublic transportRailNational railNaN</v>
      </c>
      <c r="AT393" s="182" t="s">
        <v>1026</v>
      </c>
      <c r="AU393" s="182" t="s">
        <v>1027</v>
      </c>
      <c r="AV393" s="208"/>
      <c r="AW393" s="208">
        <v>0.15</v>
      </c>
      <c r="AX393" s="311">
        <v>0.1</v>
      </c>
      <c r="BA393" s="398"/>
      <c r="BB393" s="398"/>
      <c r="BC393" s="398"/>
      <c r="BH393" s="147" t="str">
        <v>Refrigerants</v>
      </c>
      <c r="BI393" s="147" t="str">
        <v>R424A</v>
      </c>
    </row>
    <row r="394" spans="39:61" x14ac:dyDescent="0.3">
      <c r="AM394" s="147" t="s">
        <v>220</v>
      </c>
      <c r="AN394" s="147" t="s">
        <v>191</v>
      </c>
      <c r="AO394" s="147" t="s">
        <v>1032</v>
      </c>
      <c r="AP394" s="147" t="s">
        <v>1037</v>
      </c>
      <c r="AQ394" s="147" t="s">
        <v>1039</v>
      </c>
      <c r="AR394" s="147" t="s">
        <v>339</v>
      </c>
      <c r="AS394" s="182" t="str">
        <f t="shared" si="13"/>
        <v>TransportBusiness travelPublic transportRailInternational railNaN</v>
      </c>
      <c r="AT394" s="182" t="s">
        <v>1026</v>
      </c>
      <c r="AU394" s="182" t="s">
        <v>1027</v>
      </c>
      <c r="AV394" s="208"/>
      <c r="AW394" s="208">
        <v>0.15</v>
      </c>
      <c r="AX394" s="311">
        <v>0.1</v>
      </c>
      <c r="BA394" s="398"/>
      <c r="BB394" s="398"/>
      <c r="BC394" s="398"/>
      <c r="BH394" s="147" t="str">
        <v>Refrigerants</v>
      </c>
      <c r="BI394" s="147" t="str">
        <v>R425A</v>
      </c>
    </row>
    <row r="395" spans="39:61" x14ac:dyDescent="0.3">
      <c r="AM395" s="147" t="s">
        <v>220</v>
      </c>
      <c r="AN395" s="147" t="s">
        <v>191</v>
      </c>
      <c r="AO395" s="147" t="s">
        <v>1032</v>
      </c>
      <c r="AP395" s="147" t="s">
        <v>1037</v>
      </c>
      <c r="AQ395" s="147" t="s">
        <v>1040</v>
      </c>
      <c r="AR395" s="147" t="s">
        <v>339</v>
      </c>
      <c r="AS395" s="182" t="str">
        <f t="shared" si="13"/>
        <v>TransportBusiness travelPublic transportRailLight rail and tramNaN</v>
      </c>
      <c r="AT395" s="182" t="s">
        <v>1026</v>
      </c>
      <c r="AU395" s="182" t="s">
        <v>1027</v>
      </c>
      <c r="AV395" s="208"/>
      <c r="AW395" s="208">
        <v>0.15</v>
      </c>
      <c r="AX395" s="311">
        <v>0.1</v>
      </c>
      <c r="BA395" s="398"/>
      <c r="BB395" s="398"/>
      <c r="BC395" s="398"/>
      <c r="BH395" s="147" t="str">
        <v>Refrigerants</v>
      </c>
      <c r="BI395" s="147" t="str">
        <v>R426A</v>
      </c>
    </row>
    <row r="396" spans="39:61" x14ac:dyDescent="0.3">
      <c r="AM396" s="147" t="s">
        <v>220</v>
      </c>
      <c r="AN396" s="147" t="s">
        <v>191</v>
      </c>
      <c r="AO396" s="147" t="s">
        <v>1032</v>
      </c>
      <c r="AP396" s="147" t="s">
        <v>1037</v>
      </c>
      <c r="AQ396" s="147" t="s">
        <v>1041</v>
      </c>
      <c r="AR396" s="147" t="s">
        <v>339</v>
      </c>
      <c r="AS396" s="182" t="str">
        <f t="shared" si="13"/>
        <v>TransportBusiness travelPublic transportRailLondon UndergroundNaN</v>
      </c>
      <c r="AT396" s="182" t="s">
        <v>1026</v>
      </c>
      <c r="AU396" s="182" t="s">
        <v>1027</v>
      </c>
      <c r="AV396" s="208"/>
      <c r="AW396" s="208">
        <v>0.15</v>
      </c>
      <c r="AX396" s="311">
        <v>0.1</v>
      </c>
      <c r="BA396" s="398"/>
      <c r="BB396" s="398"/>
      <c r="BC396" s="398"/>
      <c r="BH396" s="147" t="str">
        <v>Refrigerants</v>
      </c>
      <c r="BI396" s="147" t="str">
        <v>R427A</v>
      </c>
    </row>
    <row r="397" spans="39:61" x14ac:dyDescent="0.3">
      <c r="AM397" s="147" t="s">
        <v>220</v>
      </c>
      <c r="AN397" s="147" t="s">
        <v>191</v>
      </c>
      <c r="AO397" s="147" t="s">
        <v>1032</v>
      </c>
      <c r="AP397" s="147" t="s">
        <v>1042</v>
      </c>
      <c r="AQ397" s="147" t="s">
        <v>1043</v>
      </c>
      <c r="AR397" s="147" t="s">
        <v>339</v>
      </c>
      <c r="AS397" s="182" t="str">
        <f t="shared" si="13"/>
        <v>TransportBusiness travelPublic transportTaxiTaxi - RegularNaN</v>
      </c>
      <c r="AT397" s="182" t="s">
        <v>1026</v>
      </c>
      <c r="AU397" s="182" t="s">
        <v>1027</v>
      </c>
      <c r="AV397" s="208"/>
      <c r="AW397" s="208">
        <v>0.15</v>
      </c>
      <c r="AX397" s="311">
        <v>0.1</v>
      </c>
      <c r="BA397" s="398"/>
      <c r="BB397" s="398"/>
      <c r="BC397" s="398"/>
      <c r="BH397" s="147" t="str">
        <v>Refrigerants</v>
      </c>
      <c r="BI397" s="147" t="str">
        <v>R428A</v>
      </c>
    </row>
    <row r="398" spans="39:61" x14ac:dyDescent="0.3">
      <c r="AM398" s="147" t="s">
        <v>220</v>
      </c>
      <c r="AN398" s="147" t="s">
        <v>191</v>
      </c>
      <c r="AO398" s="147" t="s">
        <v>1032</v>
      </c>
      <c r="AP398" s="147" t="s">
        <v>1042</v>
      </c>
      <c r="AQ398" s="147" t="s">
        <v>1044</v>
      </c>
      <c r="AR398" s="147" t="s">
        <v>339</v>
      </c>
      <c r="AS398" s="182" t="str">
        <f t="shared" si="13"/>
        <v>TransportBusiness travelPublic transportTaxiTaxi - Black cabNaN</v>
      </c>
      <c r="AT398" s="182" t="s">
        <v>1026</v>
      </c>
      <c r="AU398" s="182" t="s">
        <v>1027</v>
      </c>
      <c r="AV398" s="208"/>
      <c r="AW398" s="208">
        <v>0.15</v>
      </c>
      <c r="AX398" s="311">
        <v>0.1</v>
      </c>
      <c r="BA398" s="398"/>
      <c r="BB398" s="398"/>
      <c r="BC398" s="398"/>
      <c r="BH398" s="147" t="str">
        <v>Refrigerants</v>
      </c>
      <c r="BI398" s="147" t="str">
        <v>R429A</v>
      </c>
    </row>
    <row r="399" spans="39:61" x14ac:dyDescent="0.3">
      <c r="AM399" s="147" t="s">
        <v>220</v>
      </c>
      <c r="AN399" s="147" t="s">
        <v>192</v>
      </c>
      <c r="AO399" s="147" t="s">
        <v>350</v>
      </c>
      <c r="AP399" s="147" t="s">
        <v>1023</v>
      </c>
      <c r="AQ399" s="147" t="s">
        <v>351</v>
      </c>
      <c r="AR399" s="147" t="s">
        <v>754</v>
      </c>
      <c r="AS399" s="182" t="str">
        <f t="shared" si="13"/>
        <v>TransportCommutingVehiclePrivate carPetrolSmall</v>
      </c>
      <c r="AT399" s="182" t="s">
        <v>356</v>
      </c>
      <c r="AU399" s="182" t="s">
        <v>1003</v>
      </c>
      <c r="AV399" s="208">
        <v>0.125</v>
      </c>
      <c r="AW399" s="208">
        <v>7.4999999999999997E-2</v>
      </c>
      <c r="AX399" s="311">
        <v>0.05</v>
      </c>
      <c r="BA399" s="398"/>
      <c r="BB399" s="398"/>
      <c r="BC399" s="398"/>
      <c r="BH399" s="147" t="str">
        <v>Refrigerants</v>
      </c>
      <c r="BI399" s="147" t="str">
        <v>R430A</v>
      </c>
    </row>
    <row r="400" spans="39:61" x14ac:dyDescent="0.3">
      <c r="AM400" s="147" t="s">
        <v>220</v>
      </c>
      <c r="AN400" s="147" t="s">
        <v>192</v>
      </c>
      <c r="AO400" s="147" t="s">
        <v>350</v>
      </c>
      <c r="AP400" s="147" t="s">
        <v>1023</v>
      </c>
      <c r="AQ400" s="147" t="s">
        <v>351</v>
      </c>
      <c r="AR400" s="147" t="s">
        <v>1004</v>
      </c>
      <c r="AS400" s="182" t="str">
        <f t="shared" ref="AS400:AS463" si="14">_xlfn.CONCAT(AM400:AR400)</f>
        <v>TransportCommutingVehiclePrivate carPetrolMedium</v>
      </c>
      <c r="AT400" s="182" t="s">
        <v>356</v>
      </c>
      <c r="AU400" s="182" t="s">
        <v>1003</v>
      </c>
      <c r="AV400" s="208">
        <v>0.125</v>
      </c>
      <c r="AW400" s="208">
        <v>7.4999999999999997E-2</v>
      </c>
      <c r="AX400" s="311">
        <v>0.05</v>
      </c>
      <c r="BA400" s="398"/>
      <c r="BB400" s="398"/>
      <c r="BC400" s="398"/>
      <c r="BH400" s="147" t="str">
        <v>Refrigerants</v>
      </c>
      <c r="BI400" s="147" t="str">
        <v>R431A</v>
      </c>
    </row>
    <row r="401" spans="39:61" x14ac:dyDescent="0.3">
      <c r="AM401" s="147" t="s">
        <v>220</v>
      </c>
      <c r="AN401" s="147" t="s">
        <v>192</v>
      </c>
      <c r="AO401" s="147" t="s">
        <v>350</v>
      </c>
      <c r="AP401" s="147" t="s">
        <v>1023</v>
      </c>
      <c r="AQ401" s="147" t="s">
        <v>351</v>
      </c>
      <c r="AR401" s="147" t="s">
        <v>1005</v>
      </c>
      <c r="AS401" s="182" t="str">
        <f t="shared" si="14"/>
        <v>TransportCommutingVehiclePrivate carPetrolLarge</v>
      </c>
      <c r="AT401" s="182" t="s">
        <v>356</v>
      </c>
      <c r="AU401" s="182" t="s">
        <v>1003</v>
      </c>
      <c r="AV401" s="208">
        <v>0.125</v>
      </c>
      <c r="AW401" s="208">
        <v>7.4999999999999997E-2</v>
      </c>
      <c r="AX401" s="311">
        <v>0.05</v>
      </c>
      <c r="BA401" s="398"/>
      <c r="BB401" s="398"/>
      <c r="BC401" s="398"/>
      <c r="BH401" s="147" t="str">
        <v>Refrigerants</v>
      </c>
      <c r="BI401" s="147" t="str">
        <v>R432A</v>
      </c>
    </row>
    <row r="402" spans="39:61" x14ac:dyDescent="0.3">
      <c r="AM402" s="147" t="s">
        <v>220</v>
      </c>
      <c r="AN402" s="147" t="s">
        <v>192</v>
      </c>
      <c r="AO402" s="147" t="s">
        <v>350</v>
      </c>
      <c r="AP402" s="147" t="s">
        <v>1023</v>
      </c>
      <c r="AQ402" s="147" t="s">
        <v>351</v>
      </c>
      <c r="AR402" s="147" t="s">
        <v>353</v>
      </c>
      <c r="AS402" s="182" t="str">
        <f t="shared" si="14"/>
        <v>TransportCommutingVehiclePrivate carPetrolAverage</v>
      </c>
      <c r="AT402" s="182" t="s">
        <v>356</v>
      </c>
      <c r="AU402" s="182" t="s">
        <v>1003</v>
      </c>
      <c r="AV402" s="208">
        <v>0.125</v>
      </c>
      <c r="AW402" s="208">
        <v>7.4999999999999997E-2</v>
      </c>
      <c r="AX402" s="311">
        <v>0.05</v>
      </c>
      <c r="BA402" s="398"/>
      <c r="BB402" s="398"/>
      <c r="BC402" s="398"/>
      <c r="BH402" s="147" t="str">
        <v>Refrigerants</v>
      </c>
      <c r="BI402" s="147" t="str">
        <v>R433A</v>
      </c>
    </row>
    <row r="403" spans="39:61" x14ac:dyDescent="0.3">
      <c r="AM403" s="147" t="s">
        <v>220</v>
      </c>
      <c r="AN403" s="147" t="s">
        <v>192</v>
      </c>
      <c r="AO403" s="147" t="s">
        <v>350</v>
      </c>
      <c r="AP403" s="147" t="s">
        <v>1023</v>
      </c>
      <c r="AQ403" s="147" t="s">
        <v>1006</v>
      </c>
      <c r="AR403" s="147" t="s">
        <v>754</v>
      </c>
      <c r="AS403" s="182" t="str">
        <f t="shared" si="14"/>
        <v>TransportCommutingVehiclePrivate carDieselSmall</v>
      </c>
      <c r="AT403" s="182" t="s">
        <v>356</v>
      </c>
      <c r="AU403" s="182" t="s">
        <v>1003</v>
      </c>
      <c r="AV403" s="208">
        <v>0.125</v>
      </c>
      <c r="AW403" s="208">
        <v>7.4999999999999997E-2</v>
      </c>
      <c r="AX403" s="311">
        <v>0.05</v>
      </c>
      <c r="BA403" s="398"/>
      <c r="BB403" s="398"/>
      <c r="BC403" s="398"/>
      <c r="BH403" s="147" t="str">
        <v>Refrigerants</v>
      </c>
      <c r="BI403" s="147" t="str">
        <v>R433B</v>
      </c>
    </row>
    <row r="404" spans="39:61" x14ac:dyDescent="0.3">
      <c r="AM404" s="147" t="s">
        <v>220</v>
      </c>
      <c r="AN404" s="147" t="s">
        <v>192</v>
      </c>
      <c r="AO404" s="147" t="s">
        <v>350</v>
      </c>
      <c r="AP404" s="147" t="s">
        <v>1023</v>
      </c>
      <c r="AQ404" s="147" t="s">
        <v>1006</v>
      </c>
      <c r="AR404" s="147" t="s">
        <v>1004</v>
      </c>
      <c r="AS404" s="182" t="str">
        <f t="shared" si="14"/>
        <v>TransportCommutingVehiclePrivate carDieselMedium</v>
      </c>
      <c r="AT404" s="182" t="s">
        <v>356</v>
      </c>
      <c r="AU404" s="182" t="s">
        <v>1003</v>
      </c>
      <c r="AV404" s="208">
        <v>0.125</v>
      </c>
      <c r="AW404" s="208">
        <v>7.4999999999999997E-2</v>
      </c>
      <c r="AX404" s="311">
        <v>0.05</v>
      </c>
      <c r="BA404" s="398"/>
      <c r="BB404" s="398"/>
      <c r="BC404" s="398"/>
      <c r="BH404" s="147" t="str">
        <v>Refrigerants</v>
      </c>
      <c r="BI404" s="147" t="str">
        <v>R433C</v>
      </c>
    </row>
    <row r="405" spans="39:61" x14ac:dyDescent="0.3">
      <c r="AM405" s="147" t="s">
        <v>220</v>
      </c>
      <c r="AN405" s="147" t="s">
        <v>192</v>
      </c>
      <c r="AO405" s="147" t="s">
        <v>350</v>
      </c>
      <c r="AP405" s="147" t="s">
        <v>1023</v>
      </c>
      <c r="AQ405" s="147" t="s">
        <v>1006</v>
      </c>
      <c r="AR405" s="147" t="s">
        <v>1005</v>
      </c>
      <c r="AS405" s="182" t="str">
        <f t="shared" si="14"/>
        <v>TransportCommutingVehiclePrivate carDieselLarge</v>
      </c>
      <c r="AT405" s="182" t="s">
        <v>356</v>
      </c>
      <c r="AU405" s="182" t="s">
        <v>1003</v>
      </c>
      <c r="AV405" s="208">
        <v>0.125</v>
      </c>
      <c r="AW405" s="208">
        <v>7.4999999999999997E-2</v>
      </c>
      <c r="AX405" s="311">
        <v>0.05</v>
      </c>
      <c r="BA405" s="398"/>
      <c r="BB405" s="398"/>
      <c r="BC405" s="398"/>
      <c r="BH405" s="147" t="str">
        <v>Refrigerants</v>
      </c>
      <c r="BI405" s="147" t="str">
        <v>R434A</v>
      </c>
    </row>
    <row r="406" spans="39:61" x14ac:dyDescent="0.3">
      <c r="AM406" s="147" t="s">
        <v>220</v>
      </c>
      <c r="AN406" s="147" t="s">
        <v>192</v>
      </c>
      <c r="AO406" s="147" t="s">
        <v>350</v>
      </c>
      <c r="AP406" s="147" t="s">
        <v>1023</v>
      </c>
      <c r="AQ406" s="147" t="s">
        <v>1006</v>
      </c>
      <c r="AR406" s="147" t="s">
        <v>353</v>
      </c>
      <c r="AS406" s="182" t="str">
        <f t="shared" si="14"/>
        <v>TransportCommutingVehiclePrivate carDieselAverage</v>
      </c>
      <c r="AT406" s="182" t="s">
        <v>356</v>
      </c>
      <c r="AU406" s="182" t="s">
        <v>1003</v>
      </c>
      <c r="AV406" s="208">
        <v>0.125</v>
      </c>
      <c r="AW406" s="208">
        <v>7.4999999999999997E-2</v>
      </c>
      <c r="AX406" s="311">
        <v>0.05</v>
      </c>
      <c r="BA406" s="398"/>
      <c r="BB406" s="398"/>
      <c r="BC406" s="398"/>
      <c r="BH406" s="147" t="str">
        <v>Refrigerants</v>
      </c>
      <c r="BI406" s="147" t="str">
        <v>R435A</v>
      </c>
    </row>
    <row r="407" spans="39:61" x14ac:dyDescent="0.3">
      <c r="AM407" s="147" t="s">
        <v>220</v>
      </c>
      <c r="AN407" s="147" t="s">
        <v>192</v>
      </c>
      <c r="AO407" s="147" t="s">
        <v>350</v>
      </c>
      <c r="AP407" s="147" t="s">
        <v>1023</v>
      </c>
      <c r="AQ407" s="147" t="s">
        <v>1007</v>
      </c>
      <c r="AR407" s="147" t="s">
        <v>754</v>
      </c>
      <c r="AS407" s="182" t="str">
        <f t="shared" si="14"/>
        <v>TransportCommutingVehiclePrivate carBattery Electric VehicleSmall</v>
      </c>
      <c r="AT407" s="182" t="s">
        <v>356</v>
      </c>
      <c r="AU407" s="182" t="s">
        <v>1003</v>
      </c>
      <c r="AV407" s="208">
        <v>0.125</v>
      </c>
      <c r="AW407" s="208">
        <v>7.4999999999999997E-2</v>
      </c>
      <c r="AX407" s="311">
        <v>0.05</v>
      </c>
      <c r="BA407" s="398"/>
      <c r="BB407" s="398"/>
      <c r="BC407" s="398"/>
      <c r="BH407" s="147" t="str">
        <v>Refrigerants</v>
      </c>
      <c r="BI407" s="147" t="str">
        <v>R436A</v>
      </c>
    </row>
    <row r="408" spans="39:61" x14ac:dyDescent="0.3">
      <c r="AM408" s="147" t="s">
        <v>220</v>
      </c>
      <c r="AN408" s="147" t="s">
        <v>192</v>
      </c>
      <c r="AO408" s="147" t="s">
        <v>350</v>
      </c>
      <c r="AP408" s="147" t="s">
        <v>1023</v>
      </c>
      <c r="AQ408" s="147" t="s">
        <v>1007</v>
      </c>
      <c r="AR408" s="147" t="s">
        <v>1004</v>
      </c>
      <c r="AS408" s="182" t="str">
        <f t="shared" si="14"/>
        <v>TransportCommutingVehiclePrivate carBattery Electric VehicleMedium</v>
      </c>
      <c r="AT408" s="182" t="s">
        <v>356</v>
      </c>
      <c r="AU408" s="182" t="s">
        <v>1003</v>
      </c>
      <c r="AV408" s="208">
        <v>0.125</v>
      </c>
      <c r="AW408" s="208">
        <v>7.4999999999999997E-2</v>
      </c>
      <c r="AX408" s="311">
        <v>0.05</v>
      </c>
      <c r="BA408" s="398"/>
      <c r="BB408" s="398"/>
      <c r="BC408" s="398"/>
      <c r="BH408" s="147" t="str">
        <v>Refrigerants</v>
      </c>
      <c r="BI408" s="147" t="str">
        <v>R436B</v>
      </c>
    </row>
    <row r="409" spans="39:61" x14ac:dyDescent="0.3">
      <c r="AM409" s="147" t="s">
        <v>220</v>
      </c>
      <c r="AN409" s="147" t="s">
        <v>192</v>
      </c>
      <c r="AO409" s="147" t="s">
        <v>350</v>
      </c>
      <c r="AP409" s="147" t="s">
        <v>1023</v>
      </c>
      <c r="AQ409" s="147" t="s">
        <v>1007</v>
      </c>
      <c r="AR409" s="147" t="s">
        <v>1005</v>
      </c>
      <c r="AS409" s="182" t="str">
        <f t="shared" si="14"/>
        <v>TransportCommutingVehiclePrivate carBattery Electric VehicleLarge</v>
      </c>
      <c r="AT409" s="182" t="s">
        <v>356</v>
      </c>
      <c r="AU409" s="182" t="s">
        <v>1003</v>
      </c>
      <c r="AV409" s="208">
        <v>0.125</v>
      </c>
      <c r="AW409" s="208">
        <v>7.4999999999999997E-2</v>
      </c>
      <c r="AX409" s="311">
        <v>0.05</v>
      </c>
      <c r="BA409" s="398"/>
      <c r="BB409" s="398"/>
      <c r="BC409" s="398"/>
      <c r="BH409" s="147" t="str">
        <v>Refrigerants</v>
      </c>
      <c r="BI409" s="147" t="str">
        <v>R437A</v>
      </c>
    </row>
    <row r="410" spans="39:61" x14ac:dyDescent="0.3">
      <c r="AM410" s="147" t="s">
        <v>220</v>
      </c>
      <c r="AN410" s="147" t="s">
        <v>192</v>
      </c>
      <c r="AO410" s="147" t="s">
        <v>350</v>
      </c>
      <c r="AP410" s="147" t="s">
        <v>1023</v>
      </c>
      <c r="AQ410" s="147" t="s">
        <v>1007</v>
      </c>
      <c r="AR410" s="147" t="s">
        <v>353</v>
      </c>
      <c r="AS410" s="182" t="str">
        <f t="shared" si="14"/>
        <v>TransportCommutingVehiclePrivate carBattery Electric VehicleAverage</v>
      </c>
      <c r="AT410" s="182" t="s">
        <v>356</v>
      </c>
      <c r="AU410" s="182" t="s">
        <v>1003</v>
      </c>
      <c r="AV410" s="208">
        <v>0.125</v>
      </c>
      <c r="AW410" s="208">
        <v>7.4999999999999997E-2</v>
      </c>
      <c r="AX410" s="311">
        <v>0.05</v>
      </c>
      <c r="BA410" s="398"/>
      <c r="BB410" s="398"/>
      <c r="BC410" s="398"/>
      <c r="BH410" s="147" t="str">
        <v>Refrigerants</v>
      </c>
      <c r="BI410" s="147" t="str">
        <v>R438A</v>
      </c>
    </row>
    <row r="411" spans="39:61" x14ac:dyDescent="0.3">
      <c r="AM411" s="147" t="s">
        <v>220</v>
      </c>
      <c r="AN411" s="147" t="s">
        <v>192</v>
      </c>
      <c r="AO411" s="147" t="s">
        <v>350</v>
      </c>
      <c r="AP411" s="147" t="s">
        <v>1023</v>
      </c>
      <c r="AQ411" s="147" t="s">
        <v>1008</v>
      </c>
      <c r="AR411" s="147" t="s">
        <v>754</v>
      </c>
      <c r="AS411" s="182" t="str">
        <f t="shared" si="14"/>
        <v>TransportCommutingVehiclePrivate carHybridSmall</v>
      </c>
      <c r="AT411" s="182" t="s">
        <v>356</v>
      </c>
      <c r="AU411" s="182" t="s">
        <v>1003</v>
      </c>
      <c r="AV411" s="208">
        <v>0.125</v>
      </c>
      <c r="AW411" s="208">
        <v>7.4999999999999997E-2</v>
      </c>
      <c r="AX411" s="311">
        <v>0.05</v>
      </c>
      <c r="BA411" s="398"/>
      <c r="BB411" s="398"/>
      <c r="BC411" s="398"/>
      <c r="BH411" s="147" t="str">
        <v>Refrigerants</v>
      </c>
      <c r="BI411" s="147" t="str">
        <v>R439A</v>
      </c>
    </row>
    <row r="412" spans="39:61" x14ac:dyDescent="0.3">
      <c r="AM412" s="147" t="s">
        <v>220</v>
      </c>
      <c r="AN412" s="147" t="s">
        <v>192</v>
      </c>
      <c r="AO412" s="147" t="s">
        <v>350</v>
      </c>
      <c r="AP412" s="147" t="s">
        <v>1023</v>
      </c>
      <c r="AQ412" s="147" t="s">
        <v>1008</v>
      </c>
      <c r="AR412" s="147" t="s">
        <v>1004</v>
      </c>
      <c r="AS412" s="182" t="str">
        <f t="shared" si="14"/>
        <v>TransportCommutingVehiclePrivate carHybridMedium</v>
      </c>
      <c r="AT412" s="182" t="s">
        <v>356</v>
      </c>
      <c r="AU412" s="182" t="s">
        <v>1003</v>
      </c>
      <c r="AV412" s="208">
        <v>0.125</v>
      </c>
      <c r="AW412" s="208">
        <v>7.4999999999999997E-2</v>
      </c>
      <c r="AX412" s="311">
        <v>0.05</v>
      </c>
      <c r="BA412" s="398"/>
      <c r="BB412" s="398"/>
      <c r="BC412" s="398"/>
      <c r="BH412" s="147" t="str">
        <v>Refrigerants</v>
      </c>
      <c r="BI412" s="147" t="str">
        <v>R440A</v>
      </c>
    </row>
    <row r="413" spans="39:61" x14ac:dyDescent="0.3">
      <c r="AM413" s="147" t="s">
        <v>220</v>
      </c>
      <c r="AN413" s="147" t="s">
        <v>192</v>
      </c>
      <c r="AO413" s="147" t="s">
        <v>350</v>
      </c>
      <c r="AP413" s="147" t="s">
        <v>1023</v>
      </c>
      <c r="AQ413" s="147" t="s">
        <v>1008</v>
      </c>
      <c r="AR413" s="147" t="s">
        <v>1005</v>
      </c>
      <c r="AS413" s="182" t="str">
        <f t="shared" si="14"/>
        <v>TransportCommutingVehiclePrivate carHybridLarge</v>
      </c>
      <c r="AT413" s="182" t="s">
        <v>356</v>
      </c>
      <c r="AU413" s="182" t="s">
        <v>1003</v>
      </c>
      <c r="AV413" s="208">
        <v>0.125</v>
      </c>
      <c r="AW413" s="208">
        <v>7.4999999999999997E-2</v>
      </c>
      <c r="AX413" s="311">
        <v>0.05</v>
      </c>
      <c r="BA413" s="398"/>
      <c r="BB413" s="398"/>
      <c r="BC413" s="398"/>
      <c r="BH413" s="147" t="str">
        <v>Refrigerants</v>
      </c>
      <c r="BI413" s="147" t="str">
        <v>R441A</v>
      </c>
    </row>
    <row r="414" spans="39:61" x14ac:dyDescent="0.3">
      <c r="AM414" s="147" t="s">
        <v>220</v>
      </c>
      <c r="AN414" s="147" t="s">
        <v>192</v>
      </c>
      <c r="AO414" s="147" t="s">
        <v>350</v>
      </c>
      <c r="AP414" s="147" t="s">
        <v>1023</v>
      </c>
      <c r="AQ414" s="147" t="s">
        <v>1008</v>
      </c>
      <c r="AR414" s="147" t="s">
        <v>353</v>
      </c>
      <c r="AS414" s="182" t="str">
        <f t="shared" si="14"/>
        <v>TransportCommutingVehiclePrivate carHybridAverage</v>
      </c>
      <c r="AT414" s="182" t="s">
        <v>356</v>
      </c>
      <c r="AU414" s="182" t="s">
        <v>1003</v>
      </c>
      <c r="AV414" s="208">
        <v>0.125</v>
      </c>
      <c r="AW414" s="208">
        <v>7.4999999999999997E-2</v>
      </c>
      <c r="AX414" s="311">
        <v>0.05</v>
      </c>
      <c r="BA414" s="398"/>
      <c r="BB414" s="398"/>
      <c r="BC414" s="398"/>
      <c r="BH414" s="147" t="str">
        <v>Refrigerants</v>
      </c>
      <c r="BI414" s="147" t="str">
        <v>R442A</v>
      </c>
    </row>
    <row r="415" spans="39:61" x14ac:dyDescent="0.3">
      <c r="AM415" s="147" t="s">
        <v>220</v>
      </c>
      <c r="AN415" s="147" t="s">
        <v>192</v>
      </c>
      <c r="AO415" s="147" t="s">
        <v>350</v>
      </c>
      <c r="AP415" s="147" t="s">
        <v>1023</v>
      </c>
      <c r="AQ415" s="147" t="s">
        <v>1009</v>
      </c>
      <c r="AR415" s="147" t="s">
        <v>754</v>
      </c>
      <c r="AS415" s="182" t="str">
        <f t="shared" si="14"/>
        <v>TransportCommutingVehiclePrivate carPlug-in Hybrid Electric VehicleSmall</v>
      </c>
      <c r="AT415" s="182" t="s">
        <v>356</v>
      </c>
      <c r="AU415" s="182" t="s">
        <v>1003</v>
      </c>
      <c r="AV415" s="208">
        <v>0.125</v>
      </c>
      <c r="AW415" s="208">
        <v>7.4999999999999997E-2</v>
      </c>
      <c r="AX415" s="311">
        <v>0.05</v>
      </c>
      <c r="BA415" s="398"/>
      <c r="BB415" s="398"/>
      <c r="BC415" s="398"/>
      <c r="BH415" s="147" t="str">
        <v>Refrigerants</v>
      </c>
      <c r="BI415" s="147" t="str">
        <v>R443A</v>
      </c>
    </row>
    <row r="416" spans="39:61" x14ac:dyDescent="0.3">
      <c r="AM416" s="147" t="s">
        <v>220</v>
      </c>
      <c r="AN416" s="147" t="s">
        <v>192</v>
      </c>
      <c r="AO416" s="147" t="s">
        <v>350</v>
      </c>
      <c r="AP416" s="147" t="s">
        <v>1023</v>
      </c>
      <c r="AQ416" s="147" t="s">
        <v>1009</v>
      </c>
      <c r="AR416" s="147" t="s">
        <v>1004</v>
      </c>
      <c r="AS416" s="182" t="str">
        <f t="shared" si="14"/>
        <v>TransportCommutingVehiclePrivate carPlug-in Hybrid Electric VehicleMedium</v>
      </c>
      <c r="AT416" s="182" t="s">
        <v>356</v>
      </c>
      <c r="AU416" s="182" t="s">
        <v>1003</v>
      </c>
      <c r="AV416" s="208">
        <v>0.125</v>
      </c>
      <c r="AW416" s="208">
        <v>7.4999999999999997E-2</v>
      </c>
      <c r="AX416" s="311">
        <v>0.05</v>
      </c>
      <c r="BA416" s="398"/>
      <c r="BB416" s="398"/>
      <c r="BC416" s="398"/>
      <c r="BH416" s="147" t="str">
        <v>Refrigerants</v>
      </c>
      <c r="BI416" s="147" t="str">
        <v>R444A</v>
      </c>
    </row>
    <row r="417" spans="39:61" x14ac:dyDescent="0.3">
      <c r="AM417" s="147" t="s">
        <v>220</v>
      </c>
      <c r="AN417" s="147" t="s">
        <v>192</v>
      </c>
      <c r="AO417" s="147" t="s">
        <v>350</v>
      </c>
      <c r="AP417" s="147" t="s">
        <v>1023</v>
      </c>
      <c r="AQ417" s="147" t="s">
        <v>1009</v>
      </c>
      <c r="AR417" s="147" t="s">
        <v>1005</v>
      </c>
      <c r="AS417" s="182" t="str">
        <f t="shared" si="14"/>
        <v>TransportCommutingVehiclePrivate carPlug-in Hybrid Electric VehicleLarge</v>
      </c>
      <c r="AT417" s="182" t="s">
        <v>356</v>
      </c>
      <c r="AU417" s="182" t="s">
        <v>1003</v>
      </c>
      <c r="AV417" s="208">
        <v>0.125</v>
      </c>
      <c r="AW417" s="208">
        <v>7.4999999999999997E-2</v>
      </c>
      <c r="AX417" s="311">
        <v>0.05</v>
      </c>
      <c r="BA417" s="398"/>
      <c r="BB417" s="398"/>
      <c r="BC417" s="398"/>
      <c r="BH417" s="147" t="str">
        <v>Refrigerants</v>
      </c>
      <c r="BI417" s="147" t="str">
        <v>R445A</v>
      </c>
    </row>
    <row r="418" spans="39:61" x14ac:dyDescent="0.3">
      <c r="AM418" s="147" t="s">
        <v>220</v>
      </c>
      <c r="AN418" s="147" t="s">
        <v>192</v>
      </c>
      <c r="AO418" s="147" t="s">
        <v>350</v>
      </c>
      <c r="AP418" s="147" t="s">
        <v>1023</v>
      </c>
      <c r="AQ418" s="147" t="s">
        <v>1009</v>
      </c>
      <c r="AR418" s="147" t="s">
        <v>353</v>
      </c>
      <c r="AS418" s="182" t="str">
        <f t="shared" si="14"/>
        <v>TransportCommutingVehiclePrivate carPlug-in Hybrid Electric VehicleAverage</v>
      </c>
      <c r="AT418" s="182" t="s">
        <v>356</v>
      </c>
      <c r="AU418" s="182" t="s">
        <v>1003</v>
      </c>
      <c r="AV418" s="208">
        <v>0.125</v>
      </c>
      <c r="AW418" s="208">
        <v>7.4999999999999997E-2</v>
      </c>
      <c r="AX418" s="311">
        <v>0.05</v>
      </c>
      <c r="BA418" s="398"/>
      <c r="BB418" s="398"/>
      <c r="BC418" s="398"/>
      <c r="BH418" s="147" t="str">
        <v>Refrigerants</v>
      </c>
      <c r="BI418" s="147" t="str">
        <v>R500</v>
      </c>
    </row>
    <row r="419" spans="39:61" x14ac:dyDescent="0.3">
      <c r="AM419" s="147" t="s">
        <v>220</v>
      </c>
      <c r="AN419" s="147" t="s">
        <v>192</v>
      </c>
      <c r="AO419" s="147" t="s">
        <v>350</v>
      </c>
      <c r="AP419" s="147" t="s">
        <v>1023</v>
      </c>
      <c r="AQ419" s="147" t="s">
        <v>1010</v>
      </c>
      <c r="AR419" s="147" t="s">
        <v>754</v>
      </c>
      <c r="AS419" s="182" t="str">
        <f t="shared" si="14"/>
        <v>TransportCommutingVehiclePrivate carUnknown fuelSmall</v>
      </c>
      <c r="AT419" s="182" t="s">
        <v>356</v>
      </c>
      <c r="AU419" s="182" t="s">
        <v>1003</v>
      </c>
      <c r="AV419" s="208">
        <v>0.125</v>
      </c>
      <c r="AW419" s="208">
        <v>7.4999999999999997E-2</v>
      </c>
      <c r="AX419" s="311">
        <v>0.05</v>
      </c>
      <c r="BA419" s="398"/>
      <c r="BB419" s="398"/>
      <c r="BC419" s="398"/>
      <c r="BH419" s="147" t="str">
        <v>Refrigerants</v>
      </c>
      <c r="BI419" s="147" t="str">
        <v>R501</v>
      </c>
    </row>
    <row r="420" spans="39:61" x14ac:dyDescent="0.3">
      <c r="AM420" s="147" t="s">
        <v>220</v>
      </c>
      <c r="AN420" s="147" t="s">
        <v>192</v>
      </c>
      <c r="AO420" s="147" t="s">
        <v>350</v>
      </c>
      <c r="AP420" s="147" t="s">
        <v>1023</v>
      </c>
      <c r="AQ420" s="147" t="s">
        <v>1010</v>
      </c>
      <c r="AR420" s="147" t="s">
        <v>1004</v>
      </c>
      <c r="AS420" s="182" t="str">
        <f t="shared" si="14"/>
        <v>TransportCommutingVehiclePrivate carUnknown fuelMedium</v>
      </c>
      <c r="AT420" s="182" t="s">
        <v>356</v>
      </c>
      <c r="AU420" s="182" t="s">
        <v>1003</v>
      </c>
      <c r="AV420" s="208">
        <v>0.125</v>
      </c>
      <c r="AW420" s="208">
        <v>7.4999999999999997E-2</v>
      </c>
      <c r="AX420" s="311">
        <v>0.05</v>
      </c>
      <c r="BA420" s="398"/>
      <c r="BB420" s="398"/>
      <c r="BC420" s="398"/>
      <c r="BH420" s="147" t="str">
        <v>Refrigerants</v>
      </c>
      <c r="BI420" s="147" t="str">
        <v>R502</v>
      </c>
    </row>
    <row r="421" spans="39:61" x14ac:dyDescent="0.3">
      <c r="AM421" s="147" t="s">
        <v>220</v>
      </c>
      <c r="AN421" s="147" t="s">
        <v>192</v>
      </c>
      <c r="AO421" s="147" t="s">
        <v>350</v>
      </c>
      <c r="AP421" s="147" t="s">
        <v>1023</v>
      </c>
      <c r="AQ421" s="147" t="s">
        <v>1010</v>
      </c>
      <c r="AR421" s="147" t="s">
        <v>1005</v>
      </c>
      <c r="AS421" s="182" t="str">
        <f t="shared" si="14"/>
        <v>TransportCommutingVehiclePrivate carUnknown fuelLarge</v>
      </c>
      <c r="AT421" s="182" t="s">
        <v>356</v>
      </c>
      <c r="AU421" s="182" t="s">
        <v>1003</v>
      </c>
      <c r="AV421" s="208">
        <v>0.125</v>
      </c>
      <c r="AW421" s="208">
        <v>7.4999999999999997E-2</v>
      </c>
      <c r="AX421" s="311">
        <v>0.05</v>
      </c>
      <c r="BA421" s="398"/>
      <c r="BB421" s="398"/>
      <c r="BC421" s="398"/>
      <c r="BH421" s="147" t="str">
        <v>Refrigerants</v>
      </c>
      <c r="BI421" s="147" t="str">
        <v>R503</v>
      </c>
    </row>
    <row r="422" spans="39:61" x14ac:dyDescent="0.3">
      <c r="AM422" s="147" t="s">
        <v>220</v>
      </c>
      <c r="AN422" s="147" t="s">
        <v>192</v>
      </c>
      <c r="AO422" s="147" t="s">
        <v>350</v>
      </c>
      <c r="AP422" s="147" t="s">
        <v>1023</v>
      </c>
      <c r="AQ422" s="147" t="s">
        <v>1010</v>
      </c>
      <c r="AR422" s="147" t="s">
        <v>353</v>
      </c>
      <c r="AS422" s="182" t="str">
        <f t="shared" si="14"/>
        <v>TransportCommutingVehiclePrivate carUnknown fuelAverage</v>
      </c>
      <c r="AT422" s="182" t="s">
        <v>356</v>
      </c>
      <c r="AU422" s="182" t="s">
        <v>1003</v>
      </c>
      <c r="AV422" s="208">
        <v>0.125</v>
      </c>
      <c r="AW422" s="208">
        <v>7.4999999999999997E-2</v>
      </c>
      <c r="AX422" s="311">
        <v>0.05</v>
      </c>
      <c r="BA422" s="398"/>
      <c r="BB422" s="398"/>
      <c r="BC422" s="398"/>
      <c r="BH422" s="147" t="str">
        <v>Refrigerants</v>
      </c>
      <c r="BI422" s="147" t="str">
        <v>R504</v>
      </c>
    </row>
    <row r="423" spans="39:61" x14ac:dyDescent="0.3">
      <c r="AM423" s="147" t="s">
        <v>220</v>
      </c>
      <c r="AN423" s="147" t="s">
        <v>192</v>
      </c>
      <c r="AO423" s="147" t="s">
        <v>350</v>
      </c>
      <c r="AP423" s="147" t="s">
        <v>1011</v>
      </c>
      <c r="AQ423" s="147" t="s">
        <v>1006</v>
      </c>
      <c r="AR423" s="147" t="s">
        <v>353</v>
      </c>
      <c r="AS423" s="182" t="str">
        <f t="shared" si="14"/>
        <v>TransportCommutingVehicleVanDieselAverage</v>
      </c>
      <c r="AT423" s="182" t="s">
        <v>356</v>
      </c>
      <c r="AU423" s="182" t="s">
        <v>1003</v>
      </c>
      <c r="AV423" s="208">
        <v>0.125</v>
      </c>
      <c r="AW423" s="208">
        <v>7.4999999999999997E-2</v>
      </c>
      <c r="AX423" s="311">
        <v>0.05</v>
      </c>
      <c r="BA423" s="398"/>
      <c r="BB423" s="398"/>
      <c r="BC423" s="398"/>
      <c r="BH423" s="147" t="str">
        <v>Refrigerants</v>
      </c>
      <c r="BI423" s="147" t="str">
        <v>R505</v>
      </c>
    </row>
    <row r="424" spans="39:61" x14ac:dyDescent="0.3">
      <c r="AM424" s="147" t="s">
        <v>220</v>
      </c>
      <c r="AN424" s="147" t="s">
        <v>192</v>
      </c>
      <c r="AO424" s="147" t="s">
        <v>350</v>
      </c>
      <c r="AP424" s="147" t="s">
        <v>1011</v>
      </c>
      <c r="AQ424" s="147" t="s">
        <v>351</v>
      </c>
      <c r="AR424" s="147" t="s">
        <v>353</v>
      </c>
      <c r="AS424" s="182" t="str">
        <f t="shared" si="14"/>
        <v>TransportCommutingVehicleVanPetrolAverage</v>
      </c>
      <c r="AT424" s="182" t="s">
        <v>356</v>
      </c>
      <c r="AU424" s="182" t="s">
        <v>1003</v>
      </c>
      <c r="AV424" s="208">
        <v>0.125</v>
      </c>
      <c r="AW424" s="208">
        <v>7.4999999999999997E-2</v>
      </c>
      <c r="AX424" s="311">
        <v>0.05</v>
      </c>
      <c r="BA424" s="398"/>
      <c r="BB424" s="398"/>
      <c r="BC424" s="398"/>
      <c r="BH424" s="147" t="str">
        <v>Refrigerants</v>
      </c>
      <c r="BI424" s="147" t="str">
        <v>R506</v>
      </c>
    </row>
    <row r="425" spans="39:61" x14ac:dyDescent="0.3">
      <c r="AM425" s="147" t="s">
        <v>220</v>
      </c>
      <c r="AN425" s="147" t="s">
        <v>192</v>
      </c>
      <c r="AO425" s="147" t="s">
        <v>350</v>
      </c>
      <c r="AP425" s="147" t="s">
        <v>1011</v>
      </c>
      <c r="AQ425" s="147" t="s">
        <v>981</v>
      </c>
      <c r="AR425" s="147" t="s">
        <v>353</v>
      </c>
      <c r="AS425" s="182" t="str">
        <f t="shared" si="14"/>
        <v>TransportCommutingVehicleVanLPGAverage</v>
      </c>
      <c r="AT425" s="182" t="s">
        <v>356</v>
      </c>
      <c r="AU425" s="182" t="s">
        <v>1003</v>
      </c>
      <c r="AV425" s="208">
        <v>0.125</v>
      </c>
      <c r="AW425" s="208">
        <v>7.4999999999999997E-2</v>
      </c>
      <c r="AX425" s="311">
        <v>0.05</v>
      </c>
      <c r="BA425" s="398"/>
      <c r="BB425" s="398"/>
      <c r="BC425" s="398"/>
      <c r="BH425" s="147" t="str">
        <v>Refrigerants</v>
      </c>
      <c r="BI425" s="147" t="str">
        <v>R507A</v>
      </c>
    </row>
    <row r="426" spans="39:61" x14ac:dyDescent="0.3">
      <c r="AM426" s="147" t="s">
        <v>220</v>
      </c>
      <c r="AN426" s="147" t="s">
        <v>192</v>
      </c>
      <c r="AO426" s="147" t="s">
        <v>350</v>
      </c>
      <c r="AP426" s="147" t="s">
        <v>1011</v>
      </c>
      <c r="AQ426" s="147" t="s">
        <v>1007</v>
      </c>
      <c r="AR426" s="147" t="s">
        <v>353</v>
      </c>
      <c r="AS426" s="182" t="str">
        <f t="shared" si="14"/>
        <v>TransportCommutingVehicleVanBattery Electric VehicleAverage</v>
      </c>
      <c r="AT426" s="182" t="s">
        <v>356</v>
      </c>
      <c r="AU426" s="182" t="s">
        <v>1003</v>
      </c>
      <c r="AV426" s="208">
        <v>0.125</v>
      </c>
      <c r="AW426" s="208">
        <v>7.4999999999999997E-2</v>
      </c>
      <c r="AX426" s="311">
        <v>0.05</v>
      </c>
      <c r="BA426" s="398"/>
      <c r="BB426" s="398"/>
      <c r="BC426" s="398"/>
      <c r="BH426" s="147" t="str">
        <v>Refrigerants</v>
      </c>
      <c r="BI426" s="147" t="str">
        <v>R508A</v>
      </c>
    </row>
    <row r="427" spans="39:61" x14ac:dyDescent="0.3">
      <c r="AM427" s="147" t="s">
        <v>220</v>
      </c>
      <c r="AN427" s="147" t="s">
        <v>192</v>
      </c>
      <c r="AO427" s="147" t="s">
        <v>350</v>
      </c>
      <c r="AP427" s="147" t="s">
        <v>1011</v>
      </c>
      <c r="AQ427" s="147" t="s">
        <v>981</v>
      </c>
      <c r="AR427" s="147" t="s">
        <v>353</v>
      </c>
      <c r="AS427" s="182" t="str">
        <f t="shared" si="14"/>
        <v>TransportCommutingVehicleVanLPGAverage</v>
      </c>
      <c r="AT427" s="182" t="s">
        <v>356</v>
      </c>
      <c r="AU427" s="182" t="s">
        <v>1003</v>
      </c>
      <c r="AV427" s="208">
        <v>0.125</v>
      </c>
      <c r="AW427" s="208">
        <v>7.4999999999999997E-2</v>
      </c>
      <c r="AX427" s="311">
        <v>0.05</v>
      </c>
      <c r="BA427" s="398"/>
      <c r="BB427" s="398"/>
      <c r="BC427" s="398"/>
      <c r="BH427" s="147" t="str">
        <v>Refrigerants</v>
      </c>
      <c r="BI427" s="147" t="str">
        <v>R508B</v>
      </c>
    </row>
    <row r="428" spans="39:61" x14ac:dyDescent="0.3">
      <c r="AM428" s="147" t="s">
        <v>220</v>
      </c>
      <c r="AN428" s="147" t="s">
        <v>192</v>
      </c>
      <c r="AO428" s="147" t="s">
        <v>350</v>
      </c>
      <c r="AP428" s="147" t="s">
        <v>1011</v>
      </c>
      <c r="AQ428" s="147" t="s">
        <v>1010</v>
      </c>
      <c r="AR428" s="147" t="s">
        <v>353</v>
      </c>
      <c r="AS428" s="182" t="str">
        <f t="shared" si="14"/>
        <v>TransportCommutingVehicleVanUnknown fuelAverage</v>
      </c>
      <c r="AT428" s="182" t="s">
        <v>356</v>
      </c>
      <c r="AU428" s="182" t="s">
        <v>1003</v>
      </c>
      <c r="AV428" s="208">
        <v>0.125</v>
      </c>
      <c r="AW428" s="208">
        <v>7.4999999999999997E-2</v>
      </c>
      <c r="AX428" s="311">
        <v>0.05</v>
      </c>
      <c r="BA428" s="398"/>
      <c r="BB428" s="398"/>
      <c r="BC428" s="398"/>
      <c r="BH428" s="147" t="str">
        <v>Refrigerants</v>
      </c>
      <c r="BI428" s="147" t="str">
        <v>R509A</v>
      </c>
    </row>
    <row r="429" spans="39:61" x14ac:dyDescent="0.3">
      <c r="AM429" s="147" t="s">
        <v>220</v>
      </c>
      <c r="AN429" s="147" t="s">
        <v>192</v>
      </c>
      <c r="AO429" s="147" t="s">
        <v>350</v>
      </c>
      <c r="AP429" s="147" t="s">
        <v>1015</v>
      </c>
      <c r="AQ429" s="147" t="s">
        <v>351</v>
      </c>
      <c r="AR429" s="147" t="s">
        <v>754</v>
      </c>
      <c r="AS429" s="182" t="str">
        <f t="shared" si="14"/>
        <v>TransportCommutingVehicleMotorbikePetrolSmall</v>
      </c>
      <c r="AT429" s="182" t="s">
        <v>356</v>
      </c>
      <c r="AU429" s="182" t="s">
        <v>1003</v>
      </c>
      <c r="AV429" s="208">
        <v>0.125</v>
      </c>
      <c r="AW429" s="208">
        <v>7.4999999999999997E-2</v>
      </c>
      <c r="AX429" s="311">
        <v>0.05</v>
      </c>
      <c r="BA429" s="398"/>
      <c r="BB429" s="398"/>
      <c r="BC429" s="398"/>
      <c r="BH429" s="147" t="str">
        <v>Refrigerants</v>
      </c>
      <c r="BI429" s="147" t="str">
        <v>R510A</v>
      </c>
    </row>
    <row r="430" spans="39:61" x14ac:dyDescent="0.3">
      <c r="AM430" s="147" t="s">
        <v>220</v>
      </c>
      <c r="AN430" s="147" t="s">
        <v>192</v>
      </c>
      <c r="AO430" s="147" t="s">
        <v>350</v>
      </c>
      <c r="AP430" s="147" t="s">
        <v>1015</v>
      </c>
      <c r="AQ430" s="147" t="s">
        <v>351</v>
      </c>
      <c r="AR430" s="147" t="s">
        <v>1004</v>
      </c>
      <c r="AS430" s="182" t="str">
        <f t="shared" si="14"/>
        <v>TransportCommutingVehicleMotorbikePetrolMedium</v>
      </c>
      <c r="AT430" s="182" t="s">
        <v>356</v>
      </c>
      <c r="AU430" s="182" t="s">
        <v>1003</v>
      </c>
      <c r="AV430" s="208">
        <v>0.125</v>
      </c>
      <c r="AW430" s="208">
        <v>7.4999999999999997E-2</v>
      </c>
      <c r="AX430" s="311">
        <v>0.05</v>
      </c>
      <c r="BA430" s="398"/>
      <c r="BB430" s="398"/>
      <c r="BC430" s="398"/>
      <c r="BH430" s="147" t="str">
        <v>Refrigerants</v>
      </c>
      <c r="BI430" s="147" t="str">
        <v>R511A</v>
      </c>
    </row>
    <row r="431" spans="39:61" x14ac:dyDescent="0.3">
      <c r="AM431" s="147" t="s">
        <v>220</v>
      </c>
      <c r="AN431" s="147" t="s">
        <v>192</v>
      </c>
      <c r="AO431" s="147" t="s">
        <v>350</v>
      </c>
      <c r="AP431" s="147" t="s">
        <v>1015</v>
      </c>
      <c r="AQ431" s="147" t="s">
        <v>351</v>
      </c>
      <c r="AR431" s="147" t="s">
        <v>1005</v>
      </c>
      <c r="AS431" s="182" t="str">
        <f t="shared" si="14"/>
        <v>TransportCommutingVehicleMotorbikePetrolLarge</v>
      </c>
      <c r="AT431" s="182" t="s">
        <v>356</v>
      </c>
      <c r="AU431" s="182" t="s">
        <v>1003</v>
      </c>
      <c r="AV431" s="208">
        <v>0.125</v>
      </c>
      <c r="AW431" s="208">
        <v>7.4999999999999997E-2</v>
      </c>
      <c r="AX431" s="311">
        <v>0.05</v>
      </c>
      <c r="BA431" s="398"/>
      <c r="BB431" s="398"/>
      <c r="BC431" s="398"/>
      <c r="BH431" s="147" t="str">
        <v>Refrigerants</v>
      </c>
      <c r="BI431" s="147" t="str">
        <v>R512A</v>
      </c>
    </row>
    <row r="432" spans="39:61" x14ac:dyDescent="0.3">
      <c r="AM432" s="147" t="s">
        <v>220</v>
      </c>
      <c r="AN432" s="147" t="s">
        <v>192</v>
      </c>
      <c r="AO432" s="147" t="s">
        <v>350</v>
      </c>
      <c r="AP432" s="147" t="s">
        <v>1015</v>
      </c>
      <c r="AQ432" s="147" t="s">
        <v>351</v>
      </c>
      <c r="AR432" s="147" t="s">
        <v>353</v>
      </c>
      <c r="AS432" s="182" t="str">
        <f t="shared" si="14"/>
        <v>TransportCommutingVehicleMotorbikePetrolAverage</v>
      </c>
      <c r="AT432" s="182" t="s">
        <v>356</v>
      </c>
      <c r="AU432" s="182" t="s">
        <v>1003</v>
      </c>
      <c r="AV432" s="208">
        <v>0.125</v>
      </c>
      <c r="AW432" s="208">
        <v>7.4999999999999997E-2</v>
      </c>
      <c r="AX432" s="311">
        <v>0.05</v>
      </c>
      <c r="BA432" s="398"/>
      <c r="BB432" s="398"/>
      <c r="BC432" s="398"/>
      <c r="BH432" s="147" t="str">
        <v>Refrigerants</v>
      </c>
      <c r="BI432" s="147" t="str">
        <v>CFC-11/R11 = trichlorofluoromethane</v>
      </c>
    </row>
    <row r="433" spans="39:61" x14ac:dyDescent="0.3">
      <c r="AM433" s="147" t="s">
        <v>220</v>
      </c>
      <c r="AN433" s="147" t="s">
        <v>192</v>
      </c>
      <c r="AO433" s="147" t="s">
        <v>1032</v>
      </c>
      <c r="AP433" s="147" t="s">
        <v>1033</v>
      </c>
      <c r="AQ433" s="147" t="s">
        <v>1034</v>
      </c>
      <c r="AR433" s="147" t="s">
        <v>339</v>
      </c>
      <c r="AS433" s="182" t="str">
        <f t="shared" si="14"/>
        <v>TransportCommutingPublic transportBusAverage local busNaN</v>
      </c>
      <c r="AT433" s="182" t="s">
        <v>1026</v>
      </c>
      <c r="AU433" s="182" t="s">
        <v>1027</v>
      </c>
      <c r="AV433" s="208"/>
      <c r="AW433" s="208">
        <v>0.15</v>
      </c>
      <c r="AX433" s="311">
        <v>0.1</v>
      </c>
      <c r="BA433" s="398"/>
      <c r="BB433" s="398"/>
      <c r="BC433" s="398"/>
      <c r="BH433" s="147" t="str">
        <v>Refrigerants</v>
      </c>
      <c r="BI433" s="147" t="str">
        <v>CFC-12/R12 = dichlorodifluoromethane</v>
      </c>
    </row>
    <row r="434" spans="39:61" x14ac:dyDescent="0.3">
      <c r="AM434" s="147" t="s">
        <v>220</v>
      </c>
      <c r="AN434" s="147" t="s">
        <v>192</v>
      </c>
      <c r="AO434" s="147" t="s">
        <v>1032</v>
      </c>
      <c r="AP434" s="147" t="s">
        <v>1033</v>
      </c>
      <c r="AQ434" s="147" t="s">
        <v>1035</v>
      </c>
      <c r="AR434" s="147" t="s">
        <v>339</v>
      </c>
      <c r="AS434" s="182" t="str">
        <f t="shared" si="14"/>
        <v>TransportCommutingPublic transportBusCoachNaN</v>
      </c>
      <c r="AT434" s="182" t="s">
        <v>1026</v>
      </c>
      <c r="AU434" s="182" t="s">
        <v>1027</v>
      </c>
      <c r="AV434" s="208"/>
      <c r="AW434" s="208">
        <v>0.15</v>
      </c>
      <c r="AX434" s="311">
        <v>0.1</v>
      </c>
      <c r="BA434" s="398"/>
      <c r="BB434" s="398"/>
      <c r="BC434" s="398"/>
      <c r="BH434" s="147" t="str">
        <v>Refrigerants</v>
      </c>
      <c r="BI434" s="147" t="str">
        <v>CFC-13</v>
      </c>
    </row>
    <row r="435" spans="39:61" x14ac:dyDescent="0.3">
      <c r="AM435" s="147" t="s">
        <v>220</v>
      </c>
      <c r="AN435" s="147" t="s">
        <v>192</v>
      </c>
      <c r="AO435" s="147" t="s">
        <v>1032</v>
      </c>
      <c r="AP435" s="147" t="s">
        <v>1036</v>
      </c>
      <c r="AQ435" s="147" t="s">
        <v>1036</v>
      </c>
      <c r="AR435" s="147" t="s">
        <v>339</v>
      </c>
      <c r="AS435" s="182" t="str">
        <f t="shared" si="14"/>
        <v>TransportCommutingPublic transportFerryFerryNaN</v>
      </c>
      <c r="AT435" s="182" t="s">
        <v>1026</v>
      </c>
      <c r="AU435" s="182" t="s">
        <v>1027</v>
      </c>
      <c r="AV435" s="208"/>
      <c r="AW435" s="208">
        <v>0.15</v>
      </c>
      <c r="AX435" s="311">
        <v>0.1</v>
      </c>
      <c r="BA435" s="398"/>
      <c r="BB435" s="398"/>
      <c r="BC435" s="398"/>
      <c r="BH435" s="147" t="str">
        <v>Refrigerants</v>
      </c>
      <c r="BI435" s="147" t="str">
        <v>CFC-113</v>
      </c>
    </row>
    <row r="436" spans="39:61" x14ac:dyDescent="0.3">
      <c r="AM436" s="147" t="s">
        <v>220</v>
      </c>
      <c r="AN436" s="147" t="s">
        <v>192</v>
      </c>
      <c r="AO436" s="147" t="s">
        <v>1032</v>
      </c>
      <c r="AP436" s="147" t="s">
        <v>1037</v>
      </c>
      <c r="AQ436" s="147" t="s">
        <v>1038</v>
      </c>
      <c r="AR436" s="147" t="s">
        <v>339</v>
      </c>
      <c r="AS436" s="182" t="str">
        <f t="shared" si="14"/>
        <v>TransportCommutingPublic transportRailNational railNaN</v>
      </c>
      <c r="AT436" s="182" t="s">
        <v>1026</v>
      </c>
      <c r="AU436" s="182" t="s">
        <v>1027</v>
      </c>
      <c r="AV436" s="208"/>
      <c r="AW436" s="208">
        <v>0.15</v>
      </c>
      <c r="AX436" s="311">
        <v>0.1</v>
      </c>
      <c r="BA436" s="398"/>
      <c r="BB436" s="398"/>
      <c r="BC436" s="398"/>
      <c r="BH436" s="147" t="str">
        <v>Refrigerants</v>
      </c>
      <c r="BI436" s="147" t="str">
        <v>CFC-114</v>
      </c>
    </row>
    <row r="437" spans="39:61" x14ac:dyDescent="0.3">
      <c r="AM437" s="147" t="s">
        <v>220</v>
      </c>
      <c r="AN437" s="147" t="s">
        <v>192</v>
      </c>
      <c r="AO437" s="147" t="s">
        <v>1032</v>
      </c>
      <c r="AP437" s="147" t="s">
        <v>1037</v>
      </c>
      <c r="AQ437" s="147" t="s">
        <v>1039</v>
      </c>
      <c r="AR437" s="147" t="s">
        <v>339</v>
      </c>
      <c r="AS437" s="182" t="str">
        <f t="shared" si="14"/>
        <v>TransportCommutingPublic transportRailInternational railNaN</v>
      </c>
      <c r="AT437" s="182" t="s">
        <v>1026</v>
      </c>
      <c r="AU437" s="182" t="s">
        <v>1027</v>
      </c>
      <c r="AV437" s="208"/>
      <c r="AW437" s="208">
        <v>0.15</v>
      </c>
      <c r="AX437" s="311">
        <v>0.1</v>
      </c>
      <c r="BA437" s="398"/>
      <c r="BB437" s="398"/>
      <c r="BC437" s="398"/>
      <c r="BH437" s="147" t="str">
        <v>Refrigerants</v>
      </c>
      <c r="BI437" s="147" t="str">
        <v>CFC-115</v>
      </c>
    </row>
    <row r="438" spans="39:61" x14ac:dyDescent="0.3">
      <c r="AM438" s="147" t="s">
        <v>220</v>
      </c>
      <c r="AN438" s="147" t="s">
        <v>192</v>
      </c>
      <c r="AO438" s="147" t="s">
        <v>1032</v>
      </c>
      <c r="AP438" s="147" t="s">
        <v>1037</v>
      </c>
      <c r="AQ438" s="147" t="s">
        <v>1040</v>
      </c>
      <c r="AR438" s="147" t="s">
        <v>339</v>
      </c>
      <c r="AS438" s="182" t="str">
        <f t="shared" si="14"/>
        <v>TransportCommutingPublic transportRailLight rail and tramNaN</v>
      </c>
      <c r="AT438" s="182" t="s">
        <v>1026</v>
      </c>
      <c r="AU438" s="182" t="s">
        <v>1027</v>
      </c>
      <c r="AV438" s="208"/>
      <c r="AW438" s="208">
        <v>0.15</v>
      </c>
      <c r="AX438" s="311">
        <v>0.1</v>
      </c>
      <c r="BA438" s="398"/>
      <c r="BB438" s="398"/>
      <c r="BC438" s="398"/>
      <c r="BH438" s="147" t="str">
        <v>Refrigerants</v>
      </c>
      <c r="BI438" s="147" t="str">
        <v>Halon-1211</v>
      </c>
    </row>
    <row r="439" spans="39:61" x14ac:dyDescent="0.3">
      <c r="AM439" s="147" t="s">
        <v>220</v>
      </c>
      <c r="AN439" s="147" t="s">
        <v>192</v>
      </c>
      <c r="AO439" s="147" t="s">
        <v>1032</v>
      </c>
      <c r="AP439" s="147" t="s">
        <v>1037</v>
      </c>
      <c r="AQ439" s="147" t="s">
        <v>1041</v>
      </c>
      <c r="AR439" s="147" t="s">
        <v>339</v>
      </c>
      <c r="AS439" s="182" t="str">
        <f t="shared" si="14"/>
        <v>TransportCommutingPublic transportRailLondon UndergroundNaN</v>
      </c>
      <c r="AT439" s="182" t="s">
        <v>1026</v>
      </c>
      <c r="AU439" s="182" t="s">
        <v>1027</v>
      </c>
      <c r="AV439" s="208"/>
      <c r="AW439" s="208">
        <v>0.15</v>
      </c>
      <c r="AX439" s="311">
        <v>0.1</v>
      </c>
      <c r="BA439" s="398"/>
      <c r="BB439" s="398"/>
      <c r="BC439" s="398"/>
      <c r="BH439" s="147" t="str">
        <v>Refrigerants</v>
      </c>
      <c r="BI439" s="147" t="str">
        <v>Halon-1301</v>
      </c>
    </row>
    <row r="440" spans="39:61" x14ac:dyDescent="0.3">
      <c r="AM440" s="147" t="s">
        <v>220</v>
      </c>
      <c r="AN440" s="147" t="s">
        <v>192</v>
      </c>
      <c r="AO440" s="147" t="s">
        <v>1032</v>
      </c>
      <c r="AP440" s="147" t="s">
        <v>1042</v>
      </c>
      <c r="AQ440" s="147" t="s">
        <v>1043</v>
      </c>
      <c r="AR440" s="147" t="s">
        <v>339</v>
      </c>
      <c r="AS440" s="182" t="str">
        <f t="shared" si="14"/>
        <v>TransportCommutingPublic transportTaxiTaxi - RegularNaN</v>
      </c>
      <c r="AT440" s="182" t="s">
        <v>1026</v>
      </c>
      <c r="AU440" s="182" t="s">
        <v>1027</v>
      </c>
      <c r="AV440" s="208"/>
      <c r="AW440" s="208">
        <v>0.15</v>
      </c>
      <c r="AX440" s="311">
        <v>0.1</v>
      </c>
      <c r="BA440" s="398"/>
      <c r="BB440" s="398"/>
      <c r="BC440" s="398"/>
      <c r="BH440" s="147" t="str">
        <v>Refrigerants</v>
      </c>
      <c r="BI440" s="147" t="str">
        <v>Halon-2402</v>
      </c>
    </row>
    <row r="441" spans="39:61" x14ac:dyDescent="0.3">
      <c r="AM441" s="147" t="s">
        <v>220</v>
      </c>
      <c r="AN441" s="147" t="s">
        <v>192</v>
      </c>
      <c r="AO441" s="147" t="s">
        <v>1032</v>
      </c>
      <c r="AP441" s="147" t="s">
        <v>1042</v>
      </c>
      <c r="AQ441" s="147" t="s">
        <v>1044</v>
      </c>
      <c r="AR441" s="147" t="s">
        <v>339</v>
      </c>
      <c r="AS441" s="182" t="str">
        <f t="shared" si="14"/>
        <v>TransportCommutingPublic transportTaxiTaxi - Black cabNaN</v>
      </c>
      <c r="AT441" s="182" t="s">
        <v>1026</v>
      </c>
      <c r="AU441" s="182" t="s">
        <v>1027</v>
      </c>
      <c r="AV441" s="208"/>
      <c r="AW441" s="208">
        <v>0.15</v>
      </c>
      <c r="AX441" s="311">
        <v>0.1</v>
      </c>
      <c r="BA441" s="398"/>
      <c r="BB441" s="398"/>
      <c r="BC441" s="398"/>
      <c r="BH441" s="147" t="str">
        <v>Refrigerants</v>
      </c>
      <c r="BI441" s="147" t="str">
        <v>Carbon tetrachloride</v>
      </c>
    </row>
    <row r="442" spans="39:61" x14ac:dyDescent="0.3">
      <c r="AM442" s="147" t="s">
        <v>220</v>
      </c>
      <c r="AN442" s="147" t="s">
        <v>193</v>
      </c>
      <c r="AO442" s="147" t="s">
        <v>193</v>
      </c>
      <c r="AP442" s="147" t="s">
        <v>193</v>
      </c>
      <c r="AQ442" s="147" t="s">
        <v>193</v>
      </c>
      <c r="AR442" s="147" t="s">
        <v>339</v>
      </c>
      <c r="AS442" s="182" t="str">
        <f t="shared" si="14"/>
        <v>TransportHomeworkingHomeworkingHomeworkingHomeworkingNaN</v>
      </c>
      <c r="AT442" s="182" t="s">
        <v>368</v>
      </c>
      <c r="AU442" s="182"/>
      <c r="AV442" s="208"/>
      <c r="AW442" s="208">
        <v>0.2</v>
      </c>
      <c r="AX442" s="311"/>
      <c r="BA442" s="398"/>
      <c r="BB442" s="398"/>
      <c r="BC442" s="398"/>
      <c r="BH442" s="147" t="str">
        <v>Refrigerants</v>
      </c>
      <c r="BI442" s="147" t="str">
        <v>Methyl bromide</v>
      </c>
    </row>
    <row r="443" spans="39:61" x14ac:dyDescent="0.3">
      <c r="AM443" s="147" t="s">
        <v>267</v>
      </c>
      <c r="AN443" s="147" t="s">
        <v>385</v>
      </c>
      <c r="AO443" s="147" t="s">
        <v>385</v>
      </c>
      <c r="AP443" s="147" t="s">
        <v>224</v>
      </c>
      <c r="AQ443" s="147" t="s">
        <v>1736</v>
      </c>
      <c r="AR443" s="147" t="s">
        <v>339</v>
      </c>
      <c r="AS443" s="182" t="str">
        <f t="shared" si="14"/>
        <v>Supply ChainSupply chainSupply chainAgriculture, forestry and fishingProducts of agriculture, hunting and related servicesNaN</v>
      </c>
      <c r="AT443" s="182" t="s">
        <v>383</v>
      </c>
      <c r="AU443" s="182"/>
      <c r="AV443" s="208">
        <v>0.25</v>
      </c>
      <c r="AW443" s="208">
        <v>0.125</v>
      </c>
      <c r="AX443" s="311"/>
      <c r="BA443" s="398"/>
      <c r="BB443" s="398"/>
      <c r="BC443" s="398"/>
      <c r="BH443" s="147" t="str">
        <v>Refrigerants</v>
      </c>
      <c r="BI443" s="147" t="str">
        <v>Methyl chloroform</v>
      </c>
    </row>
    <row r="444" spans="39:61" x14ac:dyDescent="0.3">
      <c r="AM444" s="147" t="s">
        <v>267</v>
      </c>
      <c r="AN444" s="147" t="s">
        <v>385</v>
      </c>
      <c r="AO444" s="147" t="s">
        <v>385</v>
      </c>
      <c r="AP444" s="147" t="s">
        <v>224</v>
      </c>
      <c r="AQ444" s="147" t="s">
        <v>1737</v>
      </c>
      <c r="AR444" s="147" t="s">
        <v>339</v>
      </c>
      <c r="AS444" s="182" t="str">
        <f t="shared" si="14"/>
        <v>Supply ChainSupply chainSupply chainAgriculture, forestry and fishingProducts of forestry, logging and related servicesNaN</v>
      </c>
      <c r="AT444" s="182" t="s">
        <v>383</v>
      </c>
      <c r="AU444" s="182"/>
      <c r="AV444" s="208">
        <v>0.25</v>
      </c>
      <c r="AW444" s="208">
        <v>0.125</v>
      </c>
      <c r="AX444" s="311"/>
      <c r="BA444" s="398"/>
      <c r="BB444" s="398"/>
      <c r="BC444" s="398"/>
      <c r="BH444" s="147" t="str">
        <v>Refrigerants</v>
      </c>
      <c r="BI444" s="147" t="str">
        <v>HCFC-22/R22 = chlorodifluoromethane</v>
      </c>
    </row>
    <row r="445" spans="39:61" x14ac:dyDescent="0.3">
      <c r="AM445" s="147" t="s">
        <v>267</v>
      </c>
      <c r="AN445" s="147" t="s">
        <v>385</v>
      </c>
      <c r="AO445" s="147" t="s">
        <v>385</v>
      </c>
      <c r="AP445" s="147" t="s">
        <v>224</v>
      </c>
      <c r="AQ445" s="147" t="s">
        <v>1738</v>
      </c>
      <c r="AR445" s="147" t="s">
        <v>339</v>
      </c>
      <c r="AS445" s="182" t="str">
        <f t="shared" si="14"/>
        <v>Supply ChainSupply chainSupply chainAgriculture, forestry and fishingFish and other fishing products; aquaculture products; support services to fishingNaN</v>
      </c>
      <c r="AT445" s="182" t="s">
        <v>383</v>
      </c>
      <c r="AU445" s="182"/>
      <c r="AV445" s="208">
        <v>0.25</v>
      </c>
      <c r="AW445" s="208">
        <v>0.125</v>
      </c>
      <c r="AX445" s="311"/>
      <c r="BA445" s="398"/>
      <c r="BB445" s="398"/>
      <c r="BC445" s="398"/>
      <c r="BH445" s="147" t="str">
        <v>Refrigerants</v>
      </c>
      <c r="BI445" s="147" t="str">
        <v>HCFC-123</v>
      </c>
    </row>
    <row r="446" spans="39:61" x14ac:dyDescent="0.3">
      <c r="AM446" s="147" t="s">
        <v>267</v>
      </c>
      <c r="AN446" s="147" t="s">
        <v>385</v>
      </c>
      <c r="AO446" s="147" t="s">
        <v>385</v>
      </c>
      <c r="AP446" s="147" t="s">
        <v>225</v>
      </c>
      <c r="AQ446" s="147" t="s">
        <v>1739</v>
      </c>
      <c r="AR446" s="147" t="s">
        <v>339</v>
      </c>
      <c r="AS446" s="182" t="str">
        <f t="shared" si="14"/>
        <v>Supply ChainSupply chainSupply chainMining and quarryingCoal and ligniteNaN</v>
      </c>
      <c r="AT446" s="182" t="s">
        <v>383</v>
      </c>
      <c r="AU446" s="182"/>
      <c r="AV446" s="208">
        <v>0.25</v>
      </c>
      <c r="AW446" s="208">
        <v>0.125</v>
      </c>
      <c r="AX446" s="311"/>
      <c r="BA446" s="398"/>
      <c r="BB446" s="398"/>
      <c r="BC446" s="398"/>
      <c r="BH446" s="147" t="str">
        <v>Refrigerants</v>
      </c>
      <c r="BI446" s="147" t="str">
        <v>HCFC-124</v>
      </c>
    </row>
    <row r="447" spans="39:61" x14ac:dyDescent="0.3">
      <c r="AM447" s="147" t="s">
        <v>267</v>
      </c>
      <c r="AN447" s="147" t="s">
        <v>385</v>
      </c>
      <c r="AO447" s="147" t="s">
        <v>385</v>
      </c>
      <c r="AP447" s="147" t="s">
        <v>225</v>
      </c>
      <c r="AQ447" s="147" t="s">
        <v>1740</v>
      </c>
      <c r="AR447" s="147" t="s">
        <v>339</v>
      </c>
      <c r="AS447" s="182" t="str">
        <f t="shared" si="14"/>
        <v>Supply ChainSupply chainSupply chainMining and quarryingCrude petroleum and natural gasNaN</v>
      </c>
      <c r="AT447" s="182" t="s">
        <v>383</v>
      </c>
      <c r="AU447" s="182"/>
      <c r="AV447" s="208">
        <v>0.25</v>
      </c>
      <c r="AW447" s="208">
        <v>0.125</v>
      </c>
      <c r="AX447" s="311"/>
      <c r="BA447" s="398"/>
      <c r="BB447" s="398"/>
      <c r="BC447" s="398"/>
      <c r="BH447" s="147" t="str">
        <v>Refrigerants</v>
      </c>
      <c r="BI447" s="147" t="str">
        <v>HCFC-141b</v>
      </c>
    </row>
    <row r="448" spans="39:61" x14ac:dyDescent="0.3">
      <c r="AM448" s="147" t="s">
        <v>267</v>
      </c>
      <c r="AN448" s="147" t="s">
        <v>385</v>
      </c>
      <c r="AO448" s="147" t="s">
        <v>385</v>
      </c>
      <c r="AP448" s="147" t="s">
        <v>225</v>
      </c>
      <c r="AQ448" s="147" t="s">
        <v>1741</v>
      </c>
      <c r="AR448" s="147" t="s">
        <v>339</v>
      </c>
      <c r="AS448" s="182" t="str">
        <f t="shared" si="14"/>
        <v>Supply ChainSupply chainSupply chainMining and quarryingOther mining and quarrying productsNaN</v>
      </c>
      <c r="AT448" s="182" t="s">
        <v>383</v>
      </c>
      <c r="AU448" s="182"/>
      <c r="AV448" s="208">
        <v>0.25</v>
      </c>
      <c r="AW448" s="208">
        <v>0.125</v>
      </c>
      <c r="AX448" s="311"/>
      <c r="BA448" s="398"/>
      <c r="BB448" s="398"/>
      <c r="BC448" s="398"/>
      <c r="BH448" s="147" t="str">
        <v>Refrigerants</v>
      </c>
      <c r="BI448" s="147" t="str">
        <v>HCFC-142b</v>
      </c>
    </row>
    <row r="449" spans="39:61" x14ac:dyDescent="0.3">
      <c r="AM449" s="147" t="s">
        <v>267</v>
      </c>
      <c r="AN449" s="147" t="s">
        <v>385</v>
      </c>
      <c r="AO449" s="147" t="s">
        <v>385</v>
      </c>
      <c r="AP449" s="147" t="s">
        <v>225</v>
      </c>
      <c r="AQ449" s="147" t="s">
        <v>1742</v>
      </c>
      <c r="AR449" s="147" t="s">
        <v>339</v>
      </c>
      <c r="AS449" s="182" t="str">
        <f t="shared" si="14"/>
        <v>Supply ChainSupply chainSupply chainMining and quarryingMining support servicesNaN</v>
      </c>
      <c r="AT449" s="182" t="s">
        <v>383</v>
      </c>
      <c r="AU449" s="182"/>
      <c r="AV449" s="208">
        <v>0.25</v>
      </c>
      <c r="AW449" s="208">
        <v>0.125</v>
      </c>
      <c r="AX449" s="311"/>
      <c r="BA449" s="398"/>
      <c r="BB449" s="398"/>
      <c r="BC449" s="398"/>
      <c r="BH449" s="147" t="str">
        <v>Refrigerants</v>
      </c>
      <c r="BI449" s="147" t="str">
        <v>HCFC-225ca</v>
      </c>
    </row>
    <row r="450" spans="39:61" x14ac:dyDescent="0.3">
      <c r="AM450" s="147" t="s">
        <v>267</v>
      </c>
      <c r="AN450" s="147" t="s">
        <v>385</v>
      </c>
      <c r="AO450" s="147" t="s">
        <v>385</v>
      </c>
      <c r="AP450" s="147" t="s">
        <v>226</v>
      </c>
      <c r="AQ450" s="147" t="s">
        <v>1743</v>
      </c>
      <c r="AR450" s="147" t="s">
        <v>339</v>
      </c>
      <c r="AS450" s="182" t="str">
        <f t="shared" si="14"/>
        <v>Supply ChainSupply chainSupply chainManufacturingPreserved meat and meat productsNaN</v>
      </c>
      <c r="AT450" s="182" t="s">
        <v>383</v>
      </c>
      <c r="AU450" s="182"/>
      <c r="AV450" s="208">
        <v>0.25</v>
      </c>
      <c r="AW450" s="208">
        <v>0.125</v>
      </c>
      <c r="AX450" s="311"/>
      <c r="BA450" s="398"/>
      <c r="BB450" s="398"/>
      <c r="BC450" s="398"/>
      <c r="BH450" s="147" t="str">
        <v>Refrigerants</v>
      </c>
      <c r="BI450" s="147" t="str">
        <v>HCFC-225cb</v>
      </c>
    </row>
    <row r="451" spans="39:61" x14ac:dyDescent="0.3">
      <c r="AM451" s="147" t="s">
        <v>267</v>
      </c>
      <c r="AN451" s="147" t="s">
        <v>385</v>
      </c>
      <c r="AO451" s="147" t="s">
        <v>385</v>
      </c>
      <c r="AP451" s="147" t="s">
        <v>226</v>
      </c>
      <c r="AQ451" s="147" t="s">
        <v>1744</v>
      </c>
      <c r="AR451" s="147" t="s">
        <v>339</v>
      </c>
      <c r="AS451" s="182" t="str">
        <f t="shared" si="14"/>
        <v>Supply ChainSupply chainSupply chainManufacturingProcessed and preserved fish, crustaceans, molluscs, fruit and vegetablesNaN</v>
      </c>
      <c r="AT451" s="182" t="s">
        <v>383</v>
      </c>
      <c r="AU451" s="182"/>
      <c r="AV451" s="208">
        <v>0.25</v>
      </c>
      <c r="AW451" s="208">
        <v>0.125</v>
      </c>
      <c r="AX451" s="311"/>
      <c r="BA451" s="398"/>
      <c r="BB451" s="398"/>
      <c r="BC451" s="398"/>
      <c r="BH451" s="147" t="str">
        <v>Refrigerants</v>
      </c>
      <c r="BI451" s="147" t="str">
        <v>HCFC-21</v>
      </c>
    </row>
    <row r="452" spans="39:61" x14ac:dyDescent="0.3">
      <c r="AM452" s="147" t="s">
        <v>267</v>
      </c>
      <c r="AN452" s="147" t="s">
        <v>385</v>
      </c>
      <c r="AO452" s="147" t="s">
        <v>385</v>
      </c>
      <c r="AP452" s="147" t="s">
        <v>226</v>
      </c>
      <c r="AQ452" s="147" t="s">
        <v>1745</v>
      </c>
      <c r="AR452" s="147" t="s">
        <v>339</v>
      </c>
      <c r="AS452" s="182" t="str">
        <f t="shared" si="14"/>
        <v>Supply ChainSupply chainSupply chainManufacturingVegetable and animal oils and fatsNaN</v>
      </c>
      <c r="AT452" s="182" t="s">
        <v>383</v>
      </c>
      <c r="AU452" s="182"/>
      <c r="AV452" s="208">
        <v>0.25</v>
      </c>
      <c r="AW452" s="208">
        <v>0.125</v>
      </c>
      <c r="AX452" s="311"/>
      <c r="BA452" s="398"/>
      <c r="BB452" s="398"/>
      <c r="BC452" s="398"/>
      <c r="BH452" s="147" t="str">
        <v>Refrigerants</v>
      </c>
      <c r="BI452" s="147" t="str">
        <v>HFE-125</v>
      </c>
    </row>
    <row r="453" spans="39:61" x14ac:dyDescent="0.3">
      <c r="AM453" s="147" t="s">
        <v>267</v>
      </c>
      <c r="AN453" s="147" t="s">
        <v>385</v>
      </c>
      <c r="AO453" s="147" t="s">
        <v>385</v>
      </c>
      <c r="AP453" s="147" t="s">
        <v>226</v>
      </c>
      <c r="AQ453" s="147" t="s">
        <v>1746</v>
      </c>
      <c r="AR453" s="147" t="s">
        <v>339</v>
      </c>
      <c r="AS453" s="182" t="str">
        <f t="shared" si="14"/>
        <v>Supply ChainSupply chainSupply chainManufacturingDairy productsNaN</v>
      </c>
      <c r="AT453" s="182" t="s">
        <v>383</v>
      </c>
      <c r="AU453" s="182"/>
      <c r="AV453" s="208">
        <v>0.25</v>
      </c>
      <c r="AW453" s="208">
        <v>0.125</v>
      </c>
      <c r="AX453" s="311"/>
      <c r="BH453" s="147" t="str">
        <v>Refrigerants</v>
      </c>
      <c r="BI453" s="147" t="str">
        <v>HFE-134</v>
      </c>
    </row>
    <row r="454" spans="39:61" x14ac:dyDescent="0.3">
      <c r="AM454" s="147" t="s">
        <v>267</v>
      </c>
      <c r="AN454" s="147" t="s">
        <v>385</v>
      </c>
      <c r="AO454" s="147" t="s">
        <v>385</v>
      </c>
      <c r="AP454" s="147" t="s">
        <v>226</v>
      </c>
      <c r="AQ454" s="147" t="s">
        <v>1747</v>
      </c>
      <c r="AR454" s="147" t="s">
        <v>339</v>
      </c>
      <c r="AS454" s="182" t="str">
        <f t="shared" si="14"/>
        <v>Supply ChainSupply chainSupply chainManufacturingGrain mill products, starches and starch productsNaN</v>
      </c>
      <c r="AT454" s="182" t="s">
        <v>383</v>
      </c>
      <c r="AU454" s="182"/>
      <c r="AV454" s="208">
        <v>0.25</v>
      </c>
      <c r="AW454" s="208">
        <v>0.125</v>
      </c>
      <c r="AX454" s="311"/>
      <c r="BH454" s="147" t="str">
        <v>Refrigerants</v>
      </c>
      <c r="BI454" s="147" t="str">
        <v>HFE-143a</v>
      </c>
    </row>
    <row r="455" spans="39:61" x14ac:dyDescent="0.3">
      <c r="AM455" s="147" t="s">
        <v>267</v>
      </c>
      <c r="AN455" s="147" t="s">
        <v>385</v>
      </c>
      <c r="AO455" s="147" t="s">
        <v>385</v>
      </c>
      <c r="AP455" s="147" t="s">
        <v>226</v>
      </c>
      <c r="AQ455" s="147" t="s">
        <v>1748</v>
      </c>
      <c r="AR455" s="147" t="s">
        <v>339</v>
      </c>
      <c r="AS455" s="182" t="str">
        <f t="shared" si="14"/>
        <v>Supply ChainSupply chainSupply chainManufacturingBakery and farinaceous productsNaN</v>
      </c>
      <c r="AT455" s="182" t="s">
        <v>383</v>
      </c>
      <c r="AU455" s="182"/>
      <c r="AV455" s="208">
        <v>0.25</v>
      </c>
      <c r="AW455" s="208">
        <v>0.125</v>
      </c>
      <c r="AX455" s="311"/>
      <c r="BH455" s="147" t="str">
        <v>Refrigerants</v>
      </c>
      <c r="BI455" s="147" t="str">
        <v>HCFE-235da2</v>
      </c>
    </row>
    <row r="456" spans="39:61" x14ac:dyDescent="0.3">
      <c r="AM456" s="147" t="s">
        <v>267</v>
      </c>
      <c r="AN456" s="147" t="s">
        <v>385</v>
      </c>
      <c r="AO456" s="147" t="s">
        <v>385</v>
      </c>
      <c r="AP456" s="147" t="s">
        <v>226</v>
      </c>
      <c r="AQ456" s="147" t="s">
        <v>1749</v>
      </c>
      <c r="AR456" s="147" t="s">
        <v>339</v>
      </c>
      <c r="AS456" s="182" t="str">
        <f t="shared" si="14"/>
        <v>Supply ChainSupply chainSupply chainManufacturingOther food productsNaN</v>
      </c>
      <c r="AT456" s="182" t="s">
        <v>383</v>
      </c>
      <c r="AU456" s="182"/>
      <c r="AV456" s="208">
        <v>0.25</v>
      </c>
      <c r="AW456" s="208">
        <v>0.125</v>
      </c>
      <c r="AX456" s="311"/>
      <c r="BH456" s="147" t="str">
        <v>Refrigerants</v>
      </c>
      <c r="BI456" s="147" t="str">
        <v>HFE-245cb2</v>
      </c>
    </row>
    <row r="457" spans="39:61" x14ac:dyDescent="0.3">
      <c r="AM457" s="147" t="s">
        <v>267</v>
      </c>
      <c r="AN457" s="147" t="s">
        <v>385</v>
      </c>
      <c r="AO457" s="147" t="s">
        <v>385</v>
      </c>
      <c r="AP457" s="147" t="s">
        <v>226</v>
      </c>
      <c r="AQ457" s="147" t="s">
        <v>1750</v>
      </c>
      <c r="AR457" s="147" t="s">
        <v>339</v>
      </c>
      <c r="AS457" s="182" t="str">
        <f t="shared" si="14"/>
        <v>Supply ChainSupply chainSupply chainManufacturingPrepared animal feedsNaN</v>
      </c>
      <c r="AT457" s="182" t="s">
        <v>383</v>
      </c>
      <c r="AU457" s="182"/>
      <c r="AV457" s="208">
        <v>0.25</v>
      </c>
      <c r="AW457" s="208">
        <v>0.125</v>
      </c>
      <c r="AX457" s="311"/>
      <c r="BH457" s="147" t="str">
        <v>Refrigerants</v>
      </c>
      <c r="BI457" s="147" t="str">
        <v>HFE-245fa2</v>
      </c>
    </row>
    <row r="458" spans="39:61" x14ac:dyDescent="0.3">
      <c r="AM458" s="147" t="s">
        <v>267</v>
      </c>
      <c r="AN458" s="147" t="s">
        <v>385</v>
      </c>
      <c r="AO458" s="147" t="s">
        <v>385</v>
      </c>
      <c r="AP458" s="147" t="s">
        <v>226</v>
      </c>
      <c r="AQ458" s="147" t="s">
        <v>1751</v>
      </c>
      <c r="AR458" s="147" t="s">
        <v>339</v>
      </c>
      <c r="AS458" s="182" t="str">
        <f t="shared" si="14"/>
        <v>Supply ChainSupply chainSupply chainManufacturingAlcoholic beveragesNaN</v>
      </c>
      <c r="AT458" s="182" t="s">
        <v>383</v>
      </c>
      <c r="AU458" s="182"/>
      <c r="AV458" s="208">
        <v>0.25</v>
      </c>
      <c r="AW458" s="208">
        <v>0.125</v>
      </c>
      <c r="AX458" s="311"/>
      <c r="BH458" s="147" t="str">
        <v>Refrigerants</v>
      </c>
      <c r="BI458" s="147" t="str">
        <v>HFE-254cb2</v>
      </c>
    </row>
    <row r="459" spans="39:61" x14ac:dyDescent="0.3">
      <c r="AM459" s="147" t="s">
        <v>267</v>
      </c>
      <c r="AN459" s="147" t="s">
        <v>385</v>
      </c>
      <c r="AO459" s="147" t="s">
        <v>385</v>
      </c>
      <c r="AP459" s="147" t="s">
        <v>226</v>
      </c>
      <c r="AQ459" s="147" t="s">
        <v>1752</v>
      </c>
      <c r="AR459" s="147" t="s">
        <v>339</v>
      </c>
      <c r="AS459" s="182" t="str">
        <f t="shared" si="14"/>
        <v>Supply ChainSupply chainSupply chainManufacturingSoft drinksNaN</v>
      </c>
      <c r="AT459" s="182" t="s">
        <v>383</v>
      </c>
      <c r="AU459" s="182"/>
      <c r="AV459" s="208">
        <v>0.25</v>
      </c>
      <c r="AW459" s="208">
        <v>0.125</v>
      </c>
      <c r="AX459" s="311"/>
      <c r="BH459" s="147" t="str">
        <v>Refrigerants</v>
      </c>
      <c r="BI459" s="147" t="str">
        <v>HFE-347mcc3</v>
      </c>
    </row>
    <row r="460" spans="39:61" x14ac:dyDescent="0.3">
      <c r="AM460" s="147" t="s">
        <v>267</v>
      </c>
      <c r="AN460" s="147" t="s">
        <v>385</v>
      </c>
      <c r="AO460" s="147" t="s">
        <v>385</v>
      </c>
      <c r="AP460" s="147" t="s">
        <v>226</v>
      </c>
      <c r="AQ460" s="147" t="s">
        <v>1753</v>
      </c>
      <c r="AR460" s="147" t="s">
        <v>339</v>
      </c>
      <c r="AS460" s="182" t="str">
        <f t="shared" si="14"/>
        <v>Supply ChainSupply chainSupply chainManufacturingTobacco productsNaN</v>
      </c>
      <c r="AT460" s="182" t="s">
        <v>383</v>
      </c>
      <c r="AU460" s="182"/>
      <c r="AV460" s="208">
        <v>0.25</v>
      </c>
      <c r="AW460" s="208">
        <v>0.125</v>
      </c>
      <c r="AX460" s="311"/>
      <c r="BH460" s="147" t="str">
        <v>Refrigerants</v>
      </c>
      <c r="BI460" s="147" t="str">
        <v>HFE-347pcf2</v>
      </c>
    </row>
    <row r="461" spans="39:61" x14ac:dyDescent="0.3">
      <c r="AM461" s="147" t="s">
        <v>267</v>
      </c>
      <c r="AN461" s="147" t="s">
        <v>385</v>
      </c>
      <c r="AO461" s="147" t="s">
        <v>385</v>
      </c>
      <c r="AP461" s="147" t="s">
        <v>226</v>
      </c>
      <c r="AQ461" s="147" t="s">
        <v>1754</v>
      </c>
      <c r="AR461" s="147" t="s">
        <v>339</v>
      </c>
      <c r="AS461" s="182" t="str">
        <f t="shared" si="14"/>
        <v>Supply ChainSupply chainSupply chainManufacturingTextilesNaN</v>
      </c>
      <c r="AT461" s="182" t="s">
        <v>383</v>
      </c>
      <c r="AU461" s="182"/>
      <c r="AV461" s="208">
        <v>0.25</v>
      </c>
      <c r="AW461" s="208">
        <v>0.125</v>
      </c>
      <c r="AX461" s="311"/>
      <c r="BH461" s="147" t="str">
        <v>Refrigerants</v>
      </c>
      <c r="BI461" s="147" t="str">
        <v>HFE-356pcc3</v>
      </c>
    </row>
    <row r="462" spans="39:61" x14ac:dyDescent="0.3">
      <c r="AM462" s="147" t="s">
        <v>267</v>
      </c>
      <c r="AN462" s="147" t="s">
        <v>385</v>
      </c>
      <c r="AO462" s="147" t="s">
        <v>385</v>
      </c>
      <c r="AP462" s="147" t="s">
        <v>226</v>
      </c>
      <c r="AQ462" s="147" t="s">
        <v>1755</v>
      </c>
      <c r="AR462" s="147" t="s">
        <v>339</v>
      </c>
      <c r="AS462" s="182" t="str">
        <f t="shared" si="14"/>
        <v>Supply ChainSupply chainSupply chainManufacturingWearing apparelNaN</v>
      </c>
      <c r="AT462" s="182" t="s">
        <v>383</v>
      </c>
      <c r="AU462" s="182"/>
      <c r="AV462" s="208">
        <v>0.25</v>
      </c>
      <c r="AW462" s="208">
        <v>0.125</v>
      </c>
      <c r="AX462" s="311"/>
      <c r="BH462" s="147" t="str">
        <v>Refrigerants</v>
      </c>
      <c r="BI462" s="147" t="str">
        <v>HFE-449sl (HFE-7100)</v>
      </c>
    </row>
    <row r="463" spans="39:61" x14ac:dyDescent="0.3">
      <c r="AM463" s="147" t="s">
        <v>267</v>
      </c>
      <c r="AN463" s="147" t="s">
        <v>385</v>
      </c>
      <c r="AO463" s="147" t="s">
        <v>385</v>
      </c>
      <c r="AP463" s="147" t="s">
        <v>226</v>
      </c>
      <c r="AQ463" s="147" t="s">
        <v>1756</v>
      </c>
      <c r="AR463" s="147" t="s">
        <v>339</v>
      </c>
      <c r="AS463" s="182" t="str">
        <f t="shared" si="14"/>
        <v>Supply ChainSupply chainSupply chainManufacturingLeather and related productsNaN</v>
      </c>
      <c r="AT463" s="182" t="s">
        <v>383</v>
      </c>
      <c r="AU463" s="182"/>
      <c r="AV463" s="208">
        <v>0.25</v>
      </c>
      <c r="AW463" s="208">
        <v>0.125</v>
      </c>
      <c r="AX463" s="311"/>
      <c r="BH463" s="147" t="str">
        <v>Refrigerants</v>
      </c>
      <c r="BI463" s="147" t="str">
        <v>HFE-569sf2 (HFE-7200)</v>
      </c>
    </row>
    <row r="464" spans="39:61" x14ac:dyDescent="0.3">
      <c r="AM464" s="147" t="s">
        <v>267</v>
      </c>
      <c r="AN464" s="147" t="s">
        <v>385</v>
      </c>
      <c r="AO464" s="147" t="s">
        <v>385</v>
      </c>
      <c r="AP464" s="147" t="s">
        <v>226</v>
      </c>
      <c r="AQ464" s="147" t="s">
        <v>386</v>
      </c>
      <c r="AR464" s="147" t="s">
        <v>339</v>
      </c>
      <c r="AS464" s="182" t="str">
        <f t="shared" ref="AS464:AS527" si="15">_xlfn.CONCAT(AM464:AR464)</f>
        <v>Supply ChainSupply chainSupply chainManufacturingWood and of products of wood and cork, except furniture; articles of straw and plaiting materialsNaN</v>
      </c>
      <c r="AT464" s="182" t="s">
        <v>383</v>
      </c>
      <c r="AU464" s="182"/>
      <c r="AV464" s="208">
        <v>0.25</v>
      </c>
      <c r="AW464" s="208">
        <v>0.125</v>
      </c>
      <c r="AX464" s="311"/>
      <c r="BH464" s="147" t="str">
        <v>Refrigerants</v>
      </c>
      <c r="BI464" s="147" t="str">
        <v>HFE-43-10pccc124 (H-Galden1040x)</v>
      </c>
    </row>
    <row r="465" spans="39:61" x14ac:dyDescent="0.3">
      <c r="AM465" s="147" t="s">
        <v>267</v>
      </c>
      <c r="AN465" s="147" t="s">
        <v>385</v>
      </c>
      <c r="AO465" s="147" t="s">
        <v>385</v>
      </c>
      <c r="AP465" s="147" t="s">
        <v>226</v>
      </c>
      <c r="AQ465" s="147" t="s">
        <v>1757</v>
      </c>
      <c r="AR465" s="147" t="s">
        <v>339</v>
      </c>
      <c r="AS465" s="182" t="str">
        <f t="shared" si="15"/>
        <v>Supply ChainSupply chainSupply chainManufacturingPaper and paper productsNaN</v>
      </c>
      <c r="AT465" s="182" t="s">
        <v>383</v>
      </c>
      <c r="AU465" s="182"/>
      <c r="AV465" s="208">
        <v>0.25</v>
      </c>
      <c r="AW465" s="208">
        <v>0.125</v>
      </c>
      <c r="AX465" s="311"/>
      <c r="BH465" s="147" t="str">
        <v>Refrigerants</v>
      </c>
      <c r="BI465" s="147" t="str">
        <v>HFE-236ca12 (HG-10)</v>
      </c>
    </row>
    <row r="466" spans="39:61" x14ac:dyDescent="0.3">
      <c r="AM466" s="147" t="s">
        <v>267</v>
      </c>
      <c r="AN466" s="147" t="s">
        <v>385</v>
      </c>
      <c r="AO466" s="147" t="s">
        <v>385</v>
      </c>
      <c r="AP466" s="147" t="s">
        <v>226</v>
      </c>
      <c r="AQ466" s="147" t="s">
        <v>1758</v>
      </c>
      <c r="AR466" s="147" t="s">
        <v>339</v>
      </c>
      <c r="AS466" s="182" t="str">
        <f t="shared" si="15"/>
        <v>Supply ChainSupply chainSupply chainManufacturingPrinting and recording servicesNaN</v>
      </c>
      <c r="AT466" s="182" t="s">
        <v>383</v>
      </c>
      <c r="AU466" s="182"/>
      <c r="AV466" s="208">
        <v>0.25</v>
      </c>
      <c r="AW466" s="208">
        <v>0.125</v>
      </c>
      <c r="AX466" s="311"/>
      <c r="BH466" s="147" t="str">
        <v>Refrigerants</v>
      </c>
      <c r="BI466" s="147" t="str">
        <v>HFE-338pcc13 (HG-01)</v>
      </c>
    </row>
    <row r="467" spans="39:61" x14ac:dyDescent="0.3">
      <c r="AM467" s="147" t="s">
        <v>267</v>
      </c>
      <c r="AN467" s="147" t="s">
        <v>385</v>
      </c>
      <c r="AO467" s="147" t="s">
        <v>385</v>
      </c>
      <c r="AP467" s="147" t="s">
        <v>226</v>
      </c>
      <c r="AQ467" s="147" t="s">
        <v>1759</v>
      </c>
      <c r="AR467" s="147" t="s">
        <v>339</v>
      </c>
      <c r="AS467" s="182" t="str">
        <f t="shared" si="15"/>
        <v>Supply ChainSupply chainSupply chainManufacturingCoke and refined petroleum productsNaN</v>
      </c>
      <c r="AT467" s="182" t="s">
        <v>383</v>
      </c>
      <c r="AU467" s="182"/>
      <c r="AV467" s="208">
        <v>0.25</v>
      </c>
      <c r="AW467" s="208">
        <v>0.125</v>
      </c>
      <c r="AX467" s="311"/>
      <c r="BH467" s="147" t="str">
        <v>Refrigerants</v>
      </c>
      <c r="BI467" s="147" t="str">
        <v>Trifluoromethyl sulphur pentafluoride</v>
      </c>
    </row>
    <row r="468" spans="39:61" x14ac:dyDescent="0.3">
      <c r="AM468" s="147" t="s">
        <v>267</v>
      </c>
      <c r="AN468" s="147" t="s">
        <v>385</v>
      </c>
      <c r="AO468" s="147" t="s">
        <v>385</v>
      </c>
      <c r="AP468" s="147" t="s">
        <v>226</v>
      </c>
      <c r="AQ468" s="147" t="s">
        <v>1760</v>
      </c>
      <c r="AR468" s="147" t="s">
        <v>339</v>
      </c>
      <c r="AS468" s="182" t="str">
        <f t="shared" si="15"/>
        <v>Supply ChainSupply chainSupply chainManufacturingPaints, varnishes and similar coatings, printing ink and masticsNaN</v>
      </c>
      <c r="AT468" s="182" t="s">
        <v>383</v>
      </c>
      <c r="AU468" s="182"/>
      <c r="AV468" s="208">
        <v>0.25</v>
      </c>
      <c r="AW468" s="208">
        <v>0.125</v>
      </c>
      <c r="AX468" s="311"/>
      <c r="BH468" s="147" t="str">
        <v>Refrigerants</v>
      </c>
      <c r="BI468" s="147" t="str">
        <v>PFPMIE</v>
      </c>
    </row>
    <row r="469" spans="39:61" x14ac:dyDescent="0.3">
      <c r="AM469" s="147" t="s">
        <v>267</v>
      </c>
      <c r="AN469" s="147" t="s">
        <v>385</v>
      </c>
      <c r="AO469" s="147" t="s">
        <v>385</v>
      </c>
      <c r="AP469" s="147" t="s">
        <v>226</v>
      </c>
      <c r="AQ469" s="147" t="s">
        <v>1761</v>
      </c>
      <c r="AR469" s="147" t="s">
        <v>339</v>
      </c>
      <c r="AS469" s="182" t="str">
        <f t="shared" si="15"/>
        <v>Supply ChainSupply chainSupply chainManufacturingSoap and detergents, cleaning and polishing preparations, perfumes and toilet preparationsNaN</v>
      </c>
      <c r="AT469" s="182" t="s">
        <v>383</v>
      </c>
      <c r="AU469" s="182"/>
      <c r="AV469" s="208">
        <v>0.25</v>
      </c>
      <c r="AW469" s="208">
        <v>0.125</v>
      </c>
      <c r="AX469" s="311"/>
      <c r="BH469" s="147" t="str">
        <v>Refrigerants</v>
      </c>
      <c r="BI469" s="147" t="str">
        <v>Dimethylether</v>
      </c>
    </row>
    <row r="470" spans="39:61" x14ac:dyDescent="0.3">
      <c r="AM470" s="147" t="s">
        <v>267</v>
      </c>
      <c r="AN470" s="147" t="s">
        <v>385</v>
      </c>
      <c r="AO470" s="147" t="s">
        <v>385</v>
      </c>
      <c r="AP470" s="147" t="s">
        <v>226</v>
      </c>
      <c r="AQ470" s="147" t="s">
        <v>1762</v>
      </c>
      <c r="AR470" s="147" t="s">
        <v>339</v>
      </c>
      <c r="AS470" s="182" t="str">
        <f t="shared" si="15"/>
        <v>Supply ChainSupply chainSupply chainManufacturingOther chemical productsNaN</v>
      </c>
      <c r="AT470" s="182" t="s">
        <v>383</v>
      </c>
      <c r="AU470" s="182"/>
      <c r="AV470" s="208">
        <v>0.25</v>
      </c>
      <c r="AW470" s="208">
        <v>0.125</v>
      </c>
      <c r="AX470" s="311"/>
      <c r="BH470" s="147" t="str">
        <v>Refrigerants</v>
      </c>
      <c r="BI470" s="147" t="str">
        <v>Methylene chloride</v>
      </c>
    </row>
    <row r="471" spans="39:61" x14ac:dyDescent="0.3">
      <c r="AM471" s="147" t="s">
        <v>267</v>
      </c>
      <c r="AN471" s="147" t="s">
        <v>385</v>
      </c>
      <c r="AO471" s="147" t="s">
        <v>385</v>
      </c>
      <c r="AP471" s="147" t="s">
        <v>226</v>
      </c>
      <c r="AQ471" s="147" t="s">
        <v>1763</v>
      </c>
      <c r="AR471" s="147" t="s">
        <v>339</v>
      </c>
      <c r="AS471" s="182" t="str">
        <f t="shared" si="15"/>
        <v>Supply ChainSupply chainSupply chainManufacturingIndustrial gases, inorganics and fertilisers (all inorganic chemicals) - 20.11/13/15NaN</v>
      </c>
      <c r="AT471" s="182" t="s">
        <v>383</v>
      </c>
      <c r="AU471" s="182"/>
      <c r="AV471" s="208">
        <v>0.25</v>
      </c>
      <c r="AW471" s="208">
        <v>0.125</v>
      </c>
      <c r="AX471" s="311"/>
      <c r="BH471" s="147" t="str">
        <v>Refrigerants</v>
      </c>
      <c r="BI471" s="147" t="str">
        <v>Methyl chloride</v>
      </c>
    </row>
    <row r="472" spans="39:61" x14ac:dyDescent="0.3">
      <c r="AM472" s="147" t="s">
        <v>267</v>
      </c>
      <c r="AN472" s="147" t="s">
        <v>385</v>
      </c>
      <c r="AO472" s="147" t="s">
        <v>385</v>
      </c>
      <c r="AP472" s="147" t="s">
        <v>226</v>
      </c>
      <c r="AQ472" s="147" t="s">
        <v>1764</v>
      </c>
      <c r="AR472" s="147" t="s">
        <v>339</v>
      </c>
      <c r="AS472" s="182" t="str">
        <f t="shared" si="15"/>
        <v>Supply ChainSupply chainSupply chainManufacturingPetrochemicals - 20.14/16/17/60NaN</v>
      </c>
      <c r="AT472" s="182" t="s">
        <v>383</v>
      </c>
      <c r="AU472" s="182"/>
      <c r="AV472" s="208">
        <v>0.25</v>
      </c>
      <c r="AW472" s="208">
        <v>0.125</v>
      </c>
      <c r="AX472" s="311"/>
      <c r="BH472" s="147" t="str">
        <v>Refrigerants</v>
      </c>
      <c r="BI472" s="147" t="str">
        <v>R290 = propane</v>
      </c>
    </row>
    <row r="473" spans="39:61" x14ac:dyDescent="0.3">
      <c r="AM473" s="147" t="s">
        <v>267</v>
      </c>
      <c r="AN473" s="147" t="s">
        <v>385</v>
      </c>
      <c r="AO473" s="147" t="s">
        <v>385</v>
      </c>
      <c r="AP473" s="147" t="s">
        <v>226</v>
      </c>
      <c r="AQ473" s="147" t="s">
        <v>1765</v>
      </c>
      <c r="AR473" s="147" t="s">
        <v>339</v>
      </c>
      <c r="AS473" s="182" t="str">
        <f t="shared" si="15"/>
        <v>Supply ChainSupply chainSupply chainManufacturingDyestuffs, agro-chemicals - 20.12/20NaN</v>
      </c>
      <c r="AT473" s="182" t="s">
        <v>383</v>
      </c>
      <c r="AU473" s="182"/>
      <c r="AV473" s="208">
        <v>0.25</v>
      </c>
      <c r="AW473" s="208">
        <v>0.125</v>
      </c>
      <c r="AX473" s="311"/>
      <c r="BH473" s="147" t="str">
        <v>Refrigerants</v>
      </c>
      <c r="BI473" s="147" t="str">
        <v>R600A = isobutane</v>
      </c>
    </row>
    <row r="474" spans="39:61" x14ac:dyDescent="0.3">
      <c r="AM474" s="147" t="s">
        <v>267</v>
      </c>
      <c r="AN474" s="147" t="s">
        <v>385</v>
      </c>
      <c r="AO474" s="147" t="s">
        <v>385</v>
      </c>
      <c r="AP474" s="147" t="s">
        <v>226</v>
      </c>
      <c r="AQ474" s="147" t="s">
        <v>1766</v>
      </c>
      <c r="AR474" s="147" t="s">
        <v>339</v>
      </c>
      <c r="AS474" s="182" t="str">
        <f t="shared" si="15"/>
        <v>Supply ChainSupply chainSupply chainManufacturingBasic pharmaceutical products and pharmaceutical preparationsNaN</v>
      </c>
      <c r="AT474" s="182" t="s">
        <v>383</v>
      </c>
      <c r="AU474" s="182"/>
      <c r="AV474" s="208">
        <v>0.25</v>
      </c>
      <c r="AW474" s="208">
        <v>0.125</v>
      </c>
      <c r="AX474" s="311"/>
      <c r="BH474" s="147" t="str">
        <v>Refrigerants</v>
      </c>
      <c r="BI474" s="147" t="str">
        <v>R600 = butane</v>
      </c>
    </row>
    <row r="475" spans="39:61" x14ac:dyDescent="0.3">
      <c r="AM475" s="147" t="s">
        <v>267</v>
      </c>
      <c r="AN475" s="147" t="s">
        <v>385</v>
      </c>
      <c r="AO475" s="147" t="s">
        <v>385</v>
      </c>
      <c r="AP475" s="147" t="s">
        <v>226</v>
      </c>
      <c r="AQ475" s="147" t="s">
        <v>1767</v>
      </c>
      <c r="AR475" s="147" t="s">
        <v>339</v>
      </c>
      <c r="AS475" s="182" t="str">
        <f t="shared" si="15"/>
        <v>Supply ChainSupply chainSupply chainManufacturingRubber and plastic productsNaN</v>
      </c>
      <c r="AT475" s="182" t="s">
        <v>383</v>
      </c>
      <c r="AU475" s="182"/>
      <c r="AV475" s="208">
        <v>0.25</v>
      </c>
      <c r="AW475" s="208">
        <v>0.125</v>
      </c>
      <c r="AX475" s="311"/>
      <c r="BH475" s="147" t="str">
        <v>Refrigerants</v>
      </c>
      <c r="BI475" s="147" t="str">
        <v>R601 = pentane</v>
      </c>
    </row>
    <row r="476" spans="39:61" x14ac:dyDescent="0.3">
      <c r="AM476" s="147" t="s">
        <v>267</v>
      </c>
      <c r="AN476" s="147" t="s">
        <v>385</v>
      </c>
      <c r="AO476" s="147" t="s">
        <v>385</v>
      </c>
      <c r="AP476" s="147" t="s">
        <v>226</v>
      </c>
      <c r="AQ476" s="147" t="s">
        <v>1768</v>
      </c>
      <c r="AR476" s="147" t="s">
        <v>339</v>
      </c>
      <c r="AS476" s="182" t="str">
        <f t="shared" si="15"/>
        <v>Supply ChainSupply chainSupply chainManufacturingCement, lime, plaster and articles of concrete, cement and plasterNaN</v>
      </c>
      <c r="AT476" s="182" t="s">
        <v>383</v>
      </c>
      <c r="AU476" s="182"/>
      <c r="AV476" s="208">
        <v>0.25</v>
      </c>
      <c r="AW476" s="208">
        <v>0.125</v>
      </c>
      <c r="AX476" s="311"/>
      <c r="BH476" s="147" t="str">
        <v>Refrigerants</v>
      </c>
      <c r="BI476" s="147" t="str">
        <v>R601A = isopentane</v>
      </c>
    </row>
    <row r="477" spans="39:61" x14ac:dyDescent="0.3">
      <c r="AM477" s="147" t="s">
        <v>267</v>
      </c>
      <c r="AN477" s="147" t="s">
        <v>385</v>
      </c>
      <c r="AO477" s="147" t="s">
        <v>385</v>
      </c>
      <c r="AP477" s="147" t="s">
        <v>226</v>
      </c>
      <c r="AQ477" s="147" t="s">
        <v>1769</v>
      </c>
      <c r="AR477" s="147" t="s">
        <v>339</v>
      </c>
      <c r="AS477" s="182" t="str">
        <f t="shared" si="15"/>
        <v>Supply ChainSupply chainSupply chainManufacturingGlass, refractory, clay, other porcelain and ceramic, stone and abrasive products - 23.1-4/7-9NaN</v>
      </c>
      <c r="AT477" s="182" t="s">
        <v>383</v>
      </c>
      <c r="AU477" s="182"/>
      <c r="AV477" s="208">
        <v>0.25</v>
      </c>
      <c r="AW477" s="208">
        <v>0.125</v>
      </c>
      <c r="AX477" s="311"/>
      <c r="BH477" s="147" t="str">
        <v>Refrigerants</v>
      </c>
      <c r="BI477" s="147" t="str">
        <v>R170 = ethane</v>
      </c>
    </row>
    <row r="478" spans="39:61" x14ac:dyDescent="0.3">
      <c r="AM478" s="147" t="s">
        <v>267</v>
      </c>
      <c r="AN478" s="147" t="s">
        <v>385</v>
      </c>
      <c r="AO478" s="147" t="s">
        <v>385</v>
      </c>
      <c r="AP478" s="147" t="s">
        <v>226</v>
      </c>
      <c r="AQ478" s="147" t="s">
        <v>1770</v>
      </c>
      <c r="AR478" s="147" t="s">
        <v>339</v>
      </c>
      <c r="AS478" s="182" t="str">
        <f t="shared" si="15"/>
        <v>Supply ChainSupply chainSupply chainManufacturingBasic iron and steelNaN</v>
      </c>
      <c r="AT478" s="182" t="s">
        <v>383</v>
      </c>
      <c r="AU478" s="182"/>
      <c r="AV478" s="208">
        <v>0.25</v>
      </c>
      <c r="AW478" s="208">
        <v>0.125</v>
      </c>
      <c r="AX478" s="311"/>
      <c r="BH478" s="147" t="str">
        <v>Refrigerants</v>
      </c>
      <c r="BI478" s="147" t="str">
        <v>R1270 = propene</v>
      </c>
    </row>
    <row r="479" spans="39:61" x14ac:dyDescent="0.3">
      <c r="AM479" s="147" t="s">
        <v>267</v>
      </c>
      <c r="AN479" s="147" t="s">
        <v>385</v>
      </c>
      <c r="AO479" s="147" t="s">
        <v>385</v>
      </c>
      <c r="AP479" s="147" t="s">
        <v>226</v>
      </c>
      <c r="AQ479" s="147" t="s">
        <v>1771</v>
      </c>
      <c r="AR479" s="147" t="s">
        <v>339</v>
      </c>
      <c r="AS479" s="182" t="str">
        <f t="shared" si="15"/>
        <v>Supply ChainSupply chainSupply chainManufacturingOther basic metals and castingNaN</v>
      </c>
      <c r="AT479" s="182" t="s">
        <v>383</v>
      </c>
      <c r="AU479" s="182"/>
      <c r="AV479" s="208">
        <v>0.25</v>
      </c>
      <c r="AW479" s="208">
        <v>0.125</v>
      </c>
      <c r="AX479" s="311"/>
      <c r="BH479" s="147" t="str">
        <v>Refrigerants</v>
      </c>
      <c r="BI479" s="147" t="str">
        <v>R1234yf</v>
      </c>
    </row>
    <row r="480" spans="39:61" x14ac:dyDescent="0.3">
      <c r="AM480" s="147" t="s">
        <v>267</v>
      </c>
      <c r="AN480" s="147" t="s">
        <v>385</v>
      </c>
      <c r="AO480" s="147" t="s">
        <v>385</v>
      </c>
      <c r="AP480" s="147" t="s">
        <v>226</v>
      </c>
      <c r="AQ480" s="147" t="s">
        <v>1772</v>
      </c>
      <c r="AR480" s="147" t="s">
        <v>339</v>
      </c>
      <c r="AS480" s="182" t="str">
        <f t="shared" si="15"/>
        <v>Supply ChainSupply chainSupply chainManufacturingWeapons and ammunitionNaN</v>
      </c>
      <c r="AT480" s="182" t="s">
        <v>383</v>
      </c>
      <c r="AU480" s="182"/>
      <c r="AV480" s="208">
        <v>0.25</v>
      </c>
      <c r="AW480" s="208">
        <v>0.125</v>
      </c>
      <c r="AX480" s="311"/>
      <c r="BH480" s="147" t="str">
        <v>Refrigerants</v>
      </c>
      <c r="BI480" s="147" t="str">
        <v>R1234ze</v>
      </c>
    </row>
    <row r="481" spans="39:61" x14ac:dyDescent="0.3">
      <c r="AM481" s="147" t="s">
        <v>267</v>
      </c>
      <c r="AN481" s="147" t="s">
        <v>385</v>
      </c>
      <c r="AO481" s="147" t="s">
        <v>385</v>
      </c>
      <c r="AP481" s="147" t="s">
        <v>226</v>
      </c>
      <c r="AQ481" s="147" t="s">
        <v>1773</v>
      </c>
      <c r="AR481" s="147" t="s">
        <v>339</v>
      </c>
      <c r="AS481" s="182" t="str">
        <f t="shared" si="15"/>
        <v>Supply ChainSupply chainSupply chainManufacturingFabricated metal products, excl. machinery and equipment and weapons &amp; ammunition - 25.1-3/25.5-9NaN</v>
      </c>
      <c r="AT481" s="182" t="s">
        <v>383</v>
      </c>
      <c r="AU481" s="182"/>
      <c r="AV481" s="208">
        <v>0.25</v>
      </c>
      <c r="AW481" s="208">
        <v>0.125</v>
      </c>
      <c r="AX481" s="311"/>
      <c r="BH481" s="147" t="str">
        <v>Refrigerants</v>
      </c>
      <c r="BI481" s="147" t="str">
        <v>R449A</v>
      </c>
    </row>
    <row r="482" spans="39:61" x14ac:dyDescent="0.3">
      <c r="AM482" s="147" t="s">
        <v>267</v>
      </c>
      <c r="AN482" s="147" t="s">
        <v>385</v>
      </c>
      <c r="AO482" s="147" t="s">
        <v>385</v>
      </c>
      <c r="AP482" s="147" t="s">
        <v>226</v>
      </c>
      <c r="AQ482" s="147" t="s">
        <v>400</v>
      </c>
      <c r="AR482" s="147" t="s">
        <v>339</v>
      </c>
      <c r="AS482" s="182" t="str">
        <f t="shared" si="15"/>
        <v>Supply ChainSupply chainSupply chainManufacturingComputer, electronic and optical productsNaN</v>
      </c>
      <c r="AT482" s="182" t="s">
        <v>383</v>
      </c>
      <c r="AU482" s="182"/>
      <c r="AV482" s="208">
        <v>0.25</v>
      </c>
      <c r="AW482" s="208">
        <v>0.125</v>
      </c>
      <c r="AX482" s="311"/>
      <c r="BH482" s="147" t="str">
        <v>Rolling stock - fuel</v>
      </c>
      <c r="BI482" s="147" t="str">
        <v>Gas oil</v>
      </c>
    </row>
    <row r="483" spans="39:61" x14ac:dyDescent="0.3">
      <c r="AM483" s="147" t="s">
        <v>267</v>
      </c>
      <c r="AN483" s="147" t="s">
        <v>385</v>
      </c>
      <c r="AO483" s="147" t="s">
        <v>385</v>
      </c>
      <c r="AP483" s="147" t="s">
        <v>226</v>
      </c>
      <c r="AQ483" s="147" t="s">
        <v>399</v>
      </c>
      <c r="AR483" s="147" t="s">
        <v>339</v>
      </c>
      <c r="AS483" s="182" t="str">
        <f t="shared" si="15"/>
        <v>Supply ChainSupply chainSupply chainManufacturingElectrical equipmentNaN</v>
      </c>
      <c r="AT483" s="182" t="s">
        <v>383</v>
      </c>
      <c r="AU483" s="182"/>
      <c r="AV483" s="208">
        <v>0.25</v>
      </c>
      <c r="AW483" s="208">
        <v>0.125</v>
      </c>
      <c r="AX483" s="311"/>
      <c r="BH483" s="147" t="str">
        <v>Short haul</v>
      </c>
      <c r="BI483" s="147" t="str">
        <v>Average</v>
      </c>
    </row>
    <row r="484" spans="39:61" x14ac:dyDescent="0.3">
      <c r="AM484" s="147" t="s">
        <v>267</v>
      </c>
      <c r="AN484" s="147" t="s">
        <v>385</v>
      </c>
      <c r="AO484" s="147" t="s">
        <v>385</v>
      </c>
      <c r="AP484" s="147" t="s">
        <v>226</v>
      </c>
      <c r="AQ484" s="147" t="s">
        <v>1774</v>
      </c>
      <c r="AR484" s="147" t="s">
        <v>339</v>
      </c>
      <c r="AS484" s="182" t="str">
        <f t="shared" si="15"/>
        <v>Supply ChainSupply chainSupply chainManufacturingMachinery and equipment n.e.c.NaN</v>
      </c>
      <c r="AT484" s="182" t="s">
        <v>383</v>
      </c>
      <c r="AU484" s="182"/>
      <c r="AV484" s="208">
        <v>0.25</v>
      </c>
      <c r="AW484" s="208">
        <v>0.125</v>
      </c>
      <c r="AX484" s="311"/>
      <c r="BH484" s="147" t="str">
        <v>Short haul</v>
      </c>
      <c r="BI484" s="147" t="str">
        <v>Business</v>
      </c>
    </row>
    <row r="485" spans="39:61" x14ac:dyDescent="0.3">
      <c r="AM485" s="147" t="s">
        <v>267</v>
      </c>
      <c r="AN485" s="147" t="s">
        <v>385</v>
      </c>
      <c r="AO485" s="147" t="s">
        <v>385</v>
      </c>
      <c r="AP485" s="147" t="s">
        <v>226</v>
      </c>
      <c r="AQ485" s="147" t="s">
        <v>1775</v>
      </c>
      <c r="AR485" s="147" t="s">
        <v>339</v>
      </c>
      <c r="AS485" s="182" t="str">
        <f t="shared" si="15"/>
        <v>Supply ChainSupply chainSupply chainManufacturingMotor vehicles, trailers and semi-trailersNaN</v>
      </c>
      <c r="AT485" s="182" t="s">
        <v>383</v>
      </c>
      <c r="AU485" s="182"/>
      <c r="AV485" s="208">
        <v>0.25</v>
      </c>
      <c r="AW485" s="208">
        <v>0.125</v>
      </c>
      <c r="AX485" s="311"/>
      <c r="BH485" s="147" t="str">
        <v>Short haul</v>
      </c>
      <c r="BI485" s="147" t="str">
        <v>Economy</v>
      </c>
    </row>
    <row r="486" spans="39:61" x14ac:dyDescent="0.3">
      <c r="AM486" s="147" t="s">
        <v>267</v>
      </c>
      <c r="AN486" s="147" t="s">
        <v>385</v>
      </c>
      <c r="AO486" s="147" t="s">
        <v>385</v>
      </c>
      <c r="AP486" s="147" t="s">
        <v>226</v>
      </c>
      <c r="AQ486" s="147" t="s">
        <v>1776</v>
      </c>
      <c r="AR486" s="147" t="s">
        <v>339</v>
      </c>
      <c r="AS486" s="182" t="str">
        <f t="shared" si="15"/>
        <v>Supply ChainSupply chainSupply chainManufacturingShips and boatsNaN</v>
      </c>
      <c r="AT486" s="182" t="s">
        <v>383</v>
      </c>
      <c r="AU486" s="182"/>
      <c r="AV486" s="208">
        <v>0.25</v>
      </c>
      <c r="AW486" s="208">
        <v>0.125</v>
      </c>
      <c r="AX486" s="311"/>
      <c r="BH486" s="147" t="str">
        <v>Taxi</v>
      </c>
      <c r="BI486" s="147" t="str">
        <v>Taxi - Regular</v>
      </c>
    </row>
    <row r="487" spans="39:61" x14ac:dyDescent="0.3">
      <c r="AM487" s="147" t="s">
        <v>267</v>
      </c>
      <c r="AN487" s="147" t="s">
        <v>385</v>
      </c>
      <c r="AO487" s="147" t="s">
        <v>385</v>
      </c>
      <c r="AP487" s="147" t="s">
        <v>226</v>
      </c>
      <c r="AQ487" s="147" t="s">
        <v>1777</v>
      </c>
      <c r="AR487" s="147" t="s">
        <v>339</v>
      </c>
      <c r="AS487" s="182" t="str">
        <f t="shared" si="15"/>
        <v>Supply ChainSupply chainSupply chainManufacturingAir and spacecraft and related machineryNaN</v>
      </c>
      <c r="AT487" s="182" t="s">
        <v>383</v>
      </c>
      <c r="AU487" s="182"/>
      <c r="AV487" s="208">
        <v>0.25</v>
      </c>
      <c r="AW487" s="208">
        <v>0.125</v>
      </c>
      <c r="AX487" s="311"/>
      <c r="BH487" s="147" t="str">
        <v>Taxi</v>
      </c>
      <c r="BI487" s="147" t="str">
        <v>Taxi - Black cab</v>
      </c>
    </row>
    <row r="488" spans="39:61" x14ac:dyDescent="0.3">
      <c r="AM488" s="147" t="s">
        <v>267</v>
      </c>
      <c r="AN488" s="147" t="s">
        <v>385</v>
      </c>
      <c r="AO488" s="147" t="s">
        <v>385</v>
      </c>
      <c r="AP488" s="147" t="s">
        <v>226</v>
      </c>
      <c r="AQ488" s="147" t="s">
        <v>1778</v>
      </c>
      <c r="AR488" s="147" t="s">
        <v>339</v>
      </c>
      <c r="AS488" s="182" t="str">
        <f t="shared" si="15"/>
        <v>Supply ChainSupply chainSupply chainManufacturingOther transport equipment - 30.2/4/9NaN</v>
      </c>
      <c r="AT488" s="182" t="s">
        <v>383</v>
      </c>
      <c r="AU488" s="182"/>
      <c r="AV488" s="208">
        <v>0.25</v>
      </c>
      <c r="AW488" s="208">
        <v>0.125</v>
      </c>
      <c r="AX488" s="311"/>
      <c r="BH488" s="147" t="str">
        <v>Transportation and storage</v>
      </c>
      <c r="BI488" s="147" t="str">
        <v>Rail transport services</v>
      </c>
    </row>
    <row r="489" spans="39:61" x14ac:dyDescent="0.3">
      <c r="AM489" s="147" t="s">
        <v>267</v>
      </c>
      <c r="AN489" s="147" t="s">
        <v>385</v>
      </c>
      <c r="AO489" s="147" t="s">
        <v>385</v>
      </c>
      <c r="AP489" s="147" t="s">
        <v>226</v>
      </c>
      <c r="AQ489" s="147" t="s">
        <v>1779</v>
      </c>
      <c r="AR489" s="147" t="s">
        <v>339</v>
      </c>
      <c r="AS489" s="182" t="str">
        <f t="shared" si="15"/>
        <v>Supply ChainSupply chainSupply chainManufacturingFurnitureNaN</v>
      </c>
      <c r="AT489" s="182" t="s">
        <v>383</v>
      </c>
      <c r="AU489" s="182"/>
      <c r="AV489" s="208">
        <v>0.25</v>
      </c>
      <c r="AW489" s="208">
        <v>0.125</v>
      </c>
      <c r="AX489" s="311"/>
      <c r="BH489" s="147" t="str">
        <v>Transportation and storage</v>
      </c>
      <c r="BI489" s="147" t="str">
        <v>Land transport services and transport services via pipelines, excluding rail transport</v>
      </c>
    </row>
    <row r="490" spans="39:61" x14ac:dyDescent="0.3">
      <c r="AM490" s="147" t="s">
        <v>267</v>
      </c>
      <c r="AN490" s="147" t="s">
        <v>385</v>
      </c>
      <c r="AO490" s="147" t="s">
        <v>385</v>
      </c>
      <c r="AP490" s="147" t="s">
        <v>226</v>
      </c>
      <c r="AQ490" s="147" t="s">
        <v>1780</v>
      </c>
      <c r="AR490" s="147" t="s">
        <v>339</v>
      </c>
      <c r="AS490" s="182" t="str">
        <f t="shared" si="15"/>
        <v>Supply ChainSupply chainSupply chainManufacturingOther manufactured goodsNaN</v>
      </c>
      <c r="AT490" s="182" t="s">
        <v>383</v>
      </c>
      <c r="AU490" s="182"/>
      <c r="AV490" s="208">
        <v>0.25</v>
      </c>
      <c r="AW490" s="208">
        <v>0.125</v>
      </c>
      <c r="AX490" s="311"/>
      <c r="BH490" s="147" t="str">
        <v>Transportation and storage</v>
      </c>
      <c r="BI490" s="147" t="str">
        <v>Water transport services</v>
      </c>
    </row>
    <row r="491" spans="39:61" x14ac:dyDescent="0.3">
      <c r="AM491" s="147" t="s">
        <v>267</v>
      </c>
      <c r="AN491" s="147" t="s">
        <v>385</v>
      </c>
      <c r="AO491" s="147" t="s">
        <v>385</v>
      </c>
      <c r="AP491" s="147" t="s">
        <v>226</v>
      </c>
      <c r="AQ491" s="147" t="s">
        <v>1781</v>
      </c>
      <c r="AR491" s="147" t="s">
        <v>339</v>
      </c>
      <c r="AS491" s="182" t="str">
        <f t="shared" si="15"/>
        <v>Supply ChainSupply chainSupply chainManufacturingRepair and maintenance of ships and boatsNaN</v>
      </c>
      <c r="AT491" s="182" t="s">
        <v>383</v>
      </c>
      <c r="AU491" s="182"/>
      <c r="AV491" s="208">
        <v>0.25</v>
      </c>
      <c r="AW491" s="208">
        <v>0.125</v>
      </c>
      <c r="AX491" s="311"/>
      <c r="BH491" s="147" t="str">
        <v>Transportation and storage</v>
      </c>
      <c r="BI491" s="147" t="str">
        <v>Air transport services</v>
      </c>
    </row>
    <row r="492" spans="39:61" x14ac:dyDescent="0.3">
      <c r="AM492" s="147" t="s">
        <v>267</v>
      </c>
      <c r="AN492" s="147" t="s">
        <v>385</v>
      </c>
      <c r="AO492" s="147" t="s">
        <v>385</v>
      </c>
      <c r="AP492" s="147" t="s">
        <v>226</v>
      </c>
      <c r="AQ492" s="147" t="s">
        <v>1782</v>
      </c>
      <c r="AR492" s="147" t="s">
        <v>339</v>
      </c>
      <c r="AS492" s="182" t="str">
        <f t="shared" si="15"/>
        <v>Supply ChainSupply chainSupply chainManufacturingRepair and maintenance of aircraft and spacecraftNaN</v>
      </c>
      <c r="AT492" s="182" t="s">
        <v>383</v>
      </c>
      <c r="AU492" s="182"/>
      <c r="AV492" s="208">
        <v>0.25</v>
      </c>
      <c r="AW492" s="208">
        <v>0.125</v>
      </c>
      <c r="AX492" s="311"/>
      <c r="BH492" s="147" t="str">
        <v>Transportation and storage</v>
      </c>
      <c r="BI492" s="147" t="str">
        <v>Warehousing and support services for transportation</v>
      </c>
    </row>
    <row r="493" spans="39:61" x14ac:dyDescent="0.3">
      <c r="AM493" s="147" t="s">
        <v>267</v>
      </c>
      <c r="AN493" s="147" t="s">
        <v>385</v>
      </c>
      <c r="AO493" s="147" t="s">
        <v>385</v>
      </c>
      <c r="AP493" s="147" t="s">
        <v>226</v>
      </c>
      <c r="AQ493" s="147" t="s">
        <v>1783</v>
      </c>
      <c r="AR493" s="147" t="s">
        <v>339</v>
      </c>
      <c r="AS493" s="182" t="str">
        <f t="shared" si="15"/>
        <v>Supply ChainSupply chainSupply chainManufacturingRest of repair; Installation - 33.11-14/17/19/20NaN</v>
      </c>
      <c r="AT493" s="182" t="s">
        <v>383</v>
      </c>
      <c r="AU493" s="182"/>
      <c r="AV493" s="208">
        <v>0.25</v>
      </c>
      <c r="AW493" s="208">
        <v>0.125</v>
      </c>
      <c r="AX493" s="311"/>
      <c r="BH493" s="147" t="str">
        <v>Transportation and storage</v>
      </c>
      <c r="BI493" s="147" t="str">
        <v>Postal and courier services</v>
      </c>
    </row>
    <row r="494" spans="39:61" x14ac:dyDescent="0.3">
      <c r="AM494" s="147" t="s">
        <v>267</v>
      </c>
      <c r="AN494" s="147" t="s">
        <v>385</v>
      </c>
      <c r="AO494" s="147" t="s">
        <v>385</v>
      </c>
      <c r="AP494" s="147" t="s">
        <v>227</v>
      </c>
      <c r="AQ494" s="147" t="s">
        <v>387</v>
      </c>
      <c r="AR494" s="147" t="s">
        <v>339</v>
      </c>
      <c r="AS494" s="182" t="str">
        <f t="shared" si="15"/>
        <v>Supply ChainSupply chainSupply chainElectricity, gas, steam and air conditioning supplyElectricity, transmission and distributionNaN</v>
      </c>
      <c r="AT494" s="182" t="s">
        <v>383</v>
      </c>
      <c r="AU494" s="182"/>
      <c r="AV494" s="208">
        <v>0.25</v>
      </c>
      <c r="AW494" s="208">
        <v>0.125</v>
      </c>
      <c r="AX494" s="311"/>
      <c r="BH494" s="147" t="str">
        <v>Van</v>
      </c>
      <c r="BI494" s="147" t="str">
        <v>Diesel</v>
      </c>
    </row>
    <row r="495" spans="39:61" x14ac:dyDescent="0.3">
      <c r="AM495" s="147" t="s">
        <v>267</v>
      </c>
      <c r="AN495" s="147" t="s">
        <v>385</v>
      </c>
      <c r="AO495" s="147" t="s">
        <v>385</v>
      </c>
      <c r="AP495" s="147" t="s">
        <v>227</v>
      </c>
      <c r="AQ495" s="147" t="s">
        <v>1784</v>
      </c>
      <c r="AR495" s="147" t="s">
        <v>339</v>
      </c>
      <c r="AS495" s="182" t="str">
        <f t="shared" si="15"/>
        <v>Supply ChainSupply chainSupply chainElectricity, gas, steam and air conditioning supplyGas; distribution of gaseous fuels through mains; steam and air conditioning supplyNaN</v>
      </c>
      <c r="AT495" s="182" t="s">
        <v>383</v>
      </c>
      <c r="AU495" s="182"/>
      <c r="AV495" s="208">
        <v>0.25</v>
      </c>
      <c r="AW495" s="208">
        <v>0.125</v>
      </c>
      <c r="AX495" s="311"/>
      <c r="BH495" s="147" t="str">
        <v>Van</v>
      </c>
      <c r="BI495" s="147" t="str">
        <v>Petrol</v>
      </c>
    </row>
    <row r="496" spans="39:61" x14ac:dyDescent="0.3">
      <c r="AM496" s="147" t="s">
        <v>267</v>
      </c>
      <c r="AN496" s="147" t="s">
        <v>385</v>
      </c>
      <c r="AO496" s="147" t="s">
        <v>385</v>
      </c>
      <c r="AP496" s="147" t="s">
        <v>228</v>
      </c>
      <c r="AQ496" s="147" t="s">
        <v>1785</v>
      </c>
      <c r="AR496" s="147" t="s">
        <v>339</v>
      </c>
      <c r="AS496" s="182" t="str">
        <f t="shared" si="15"/>
        <v>Supply ChainSupply chainSupply chainWater supply; sewerage, waste management and remediation activitiesNatural water; water treatment and supply servicesNaN</v>
      </c>
      <c r="AT496" s="182" t="s">
        <v>383</v>
      </c>
      <c r="AU496" s="182"/>
      <c r="AV496" s="208">
        <v>0.25</v>
      </c>
      <c r="AW496" s="208">
        <v>0.125</v>
      </c>
      <c r="AX496" s="311"/>
      <c r="BH496" s="147" t="str">
        <v>Van</v>
      </c>
      <c r="BI496" s="147" t="str">
        <v>LPG</v>
      </c>
    </row>
    <row r="497" spans="39:61" x14ac:dyDescent="0.3">
      <c r="AM497" s="147" t="s">
        <v>267</v>
      </c>
      <c r="AN497" s="147" t="s">
        <v>385</v>
      </c>
      <c r="AO497" s="147" t="s">
        <v>385</v>
      </c>
      <c r="AP497" s="147" t="s">
        <v>228</v>
      </c>
      <c r="AQ497" s="147" t="s">
        <v>1786</v>
      </c>
      <c r="AR497" s="147" t="s">
        <v>339</v>
      </c>
      <c r="AS497" s="182" t="str">
        <f t="shared" si="15"/>
        <v>Supply ChainSupply chainSupply chainWater supply; sewerage, waste management and remediation activitiesSewerage services; sewage sludgeNaN</v>
      </c>
      <c r="AT497" s="182" t="s">
        <v>383</v>
      </c>
      <c r="AU497" s="182"/>
      <c r="AV497" s="208">
        <v>0.25</v>
      </c>
      <c r="AW497" s="208">
        <v>0.125</v>
      </c>
      <c r="AX497" s="311"/>
      <c r="BH497" s="147" t="str">
        <v>Van</v>
      </c>
      <c r="BI497" s="147" t="str">
        <v>Battery Electric Vehicle</v>
      </c>
    </row>
    <row r="498" spans="39:61" x14ac:dyDescent="0.3">
      <c r="AM498" s="147" t="s">
        <v>267</v>
      </c>
      <c r="AN498" s="147" t="s">
        <v>385</v>
      </c>
      <c r="AO498" s="147" t="s">
        <v>385</v>
      </c>
      <c r="AP498" s="147" t="s">
        <v>228</v>
      </c>
      <c r="AQ498" s="147" t="s">
        <v>1787</v>
      </c>
      <c r="AR498" s="147" t="s">
        <v>339</v>
      </c>
      <c r="AS498" s="182" t="str">
        <f t="shared" si="15"/>
        <v>Supply ChainSupply chainSupply chainWater supply; sewerage, waste management and remediation activitiesWaste collection, treatment and disposal services; materials recovery servicesNaN</v>
      </c>
      <c r="AT498" s="182" t="s">
        <v>383</v>
      </c>
      <c r="AU498" s="182"/>
      <c r="AV498" s="208">
        <v>0.25</v>
      </c>
      <c r="AW498" s="208">
        <v>0.125</v>
      </c>
      <c r="AX498" s="311"/>
      <c r="BH498" s="147" t="str">
        <v>Van</v>
      </c>
      <c r="BI498" s="147" t="str">
        <v>Unknown fuel</v>
      </c>
    </row>
    <row r="499" spans="39:61" x14ac:dyDescent="0.3">
      <c r="AM499" s="147" t="s">
        <v>267</v>
      </c>
      <c r="AN499" s="147" t="s">
        <v>385</v>
      </c>
      <c r="AO499" s="147" t="s">
        <v>385</v>
      </c>
      <c r="AP499" s="147" t="s">
        <v>228</v>
      </c>
      <c r="AQ499" s="147" t="s">
        <v>1788</v>
      </c>
      <c r="AR499" s="147" t="s">
        <v>339</v>
      </c>
      <c r="AS499" s="182" t="str">
        <f t="shared" si="15"/>
        <v>Supply ChainSupply chainSupply chainWater supply; sewerage, waste management and remediation activitiesRemediation services and other waste management servicesNaN</v>
      </c>
      <c r="AT499" s="182" t="s">
        <v>383</v>
      </c>
      <c r="AU499" s="182"/>
      <c r="AV499" s="208">
        <v>0.25</v>
      </c>
      <c r="AW499" s="208">
        <v>0.125</v>
      </c>
      <c r="AX499" s="311"/>
      <c r="BH499" s="147" t="str">
        <v>Van - distance</v>
      </c>
      <c r="BI499" s="147" t="str">
        <v>Diesel</v>
      </c>
    </row>
    <row r="500" spans="39:61" x14ac:dyDescent="0.3">
      <c r="AM500" s="147" t="s">
        <v>267</v>
      </c>
      <c r="AN500" s="147" t="s">
        <v>385</v>
      </c>
      <c r="AO500" s="147" t="s">
        <v>385</v>
      </c>
      <c r="AP500" s="147" t="s">
        <v>229</v>
      </c>
      <c r="AQ500" s="147" t="s">
        <v>1789</v>
      </c>
      <c r="AR500" s="147" t="s">
        <v>339</v>
      </c>
      <c r="AS500" s="182" t="str">
        <f t="shared" si="15"/>
        <v>Supply ChainSupply chainSupply chainConstructionBuildings and building construction worksNaN</v>
      </c>
      <c r="AT500" s="182" t="s">
        <v>383</v>
      </c>
      <c r="AU500" s="182"/>
      <c r="AV500" s="208">
        <v>0.25</v>
      </c>
      <c r="AW500" s="208">
        <v>0.125</v>
      </c>
      <c r="AX500" s="311"/>
      <c r="BH500" s="147" t="str">
        <v>Van - distance</v>
      </c>
      <c r="BI500" s="147" t="str">
        <v>Petrol</v>
      </c>
    </row>
    <row r="501" spans="39:61" x14ac:dyDescent="0.3">
      <c r="AM501" s="147" t="s">
        <v>267</v>
      </c>
      <c r="AN501" s="147" t="s">
        <v>385</v>
      </c>
      <c r="AO501" s="147" t="s">
        <v>385</v>
      </c>
      <c r="AP501" s="147" t="s">
        <v>229</v>
      </c>
      <c r="AQ501" s="147" t="s">
        <v>1790</v>
      </c>
      <c r="AR501" s="147" t="s">
        <v>339</v>
      </c>
      <c r="AS501" s="182" t="str">
        <f t="shared" si="15"/>
        <v>Supply ChainSupply chainSupply chainConstructionConstructions and construction works for civil engineeringNaN</v>
      </c>
      <c r="AT501" s="182" t="s">
        <v>383</v>
      </c>
      <c r="AU501" s="182"/>
      <c r="AV501" s="208">
        <v>0.25</v>
      </c>
      <c r="AW501" s="208">
        <v>0.125</v>
      </c>
      <c r="AX501" s="311"/>
      <c r="BH501" s="147" t="str">
        <v>Van - distance</v>
      </c>
      <c r="BI501" s="147" t="str">
        <v>LPG</v>
      </c>
    </row>
    <row r="502" spans="39:61" x14ac:dyDescent="0.3">
      <c r="AM502" s="147" t="s">
        <v>267</v>
      </c>
      <c r="AN502" s="147" t="s">
        <v>385</v>
      </c>
      <c r="AO502" s="147" t="s">
        <v>385</v>
      </c>
      <c r="AP502" s="147" t="s">
        <v>229</v>
      </c>
      <c r="AQ502" s="147" t="s">
        <v>1791</v>
      </c>
      <c r="AR502" s="147" t="s">
        <v>339</v>
      </c>
      <c r="AS502" s="182" t="str">
        <f t="shared" si="15"/>
        <v>Supply ChainSupply chainSupply chainConstructionSpecialised construction worksNaN</v>
      </c>
      <c r="AT502" s="182" t="s">
        <v>383</v>
      </c>
      <c r="AU502" s="182"/>
      <c r="AV502" s="208">
        <v>0.25</v>
      </c>
      <c r="AW502" s="208">
        <v>0.125</v>
      </c>
      <c r="AX502" s="311"/>
      <c r="BH502" s="147" t="str">
        <v>Van - distance</v>
      </c>
      <c r="BI502" s="147" t="str">
        <v>Battery Electric Vehicle</v>
      </c>
    </row>
    <row r="503" spans="39:61" x14ac:dyDescent="0.3">
      <c r="AM503" s="147" t="s">
        <v>267</v>
      </c>
      <c r="AN503" s="147" t="s">
        <v>385</v>
      </c>
      <c r="AO503" s="147" t="s">
        <v>385</v>
      </c>
      <c r="AP503" s="147" t="s">
        <v>230</v>
      </c>
      <c r="AQ503" s="147" t="s">
        <v>1792</v>
      </c>
      <c r="AR503" s="147" t="s">
        <v>339</v>
      </c>
      <c r="AS503" s="182" t="str">
        <f t="shared" si="15"/>
        <v>Supply ChainSupply chainSupply chainWholesale and retail trade; repair of motor vehicles and motorcyclesWholesale and retail trade and repair services of motor vehicles and motorcyclesNaN</v>
      </c>
      <c r="AT503" s="182" t="s">
        <v>383</v>
      </c>
      <c r="AU503" s="182"/>
      <c r="AV503" s="208">
        <v>0.25</v>
      </c>
      <c r="AW503" s="208">
        <v>0.125</v>
      </c>
      <c r="AX503" s="311"/>
      <c r="BH503" s="147" t="str">
        <v>Van - distance</v>
      </c>
      <c r="BI503" s="147" t="str">
        <v>Unknown fuel</v>
      </c>
    </row>
    <row r="504" spans="39:61" x14ac:dyDescent="0.3">
      <c r="AM504" s="147" t="s">
        <v>267</v>
      </c>
      <c r="AN504" s="147" t="s">
        <v>385</v>
      </c>
      <c r="AO504" s="147" t="s">
        <v>385</v>
      </c>
      <c r="AP504" s="147" t="s">
        <v>230</v>
      </c>
      <c r="AQ504" s="147" t="s">
        <v>1793</v>
      </c>
      <c r="AR504" s="147" t="s">
        <v>339</v>
      </c>
      <c r="AS504" s="182" t="str">
        <f t="shared" si="15"/>
        <v>Supply ChainSupply chainSupply chainWholesale and retail trade; repair of motor vehicles and motorcyclesWholesale trade services, except of motor vehicles and motorcyclesNaN</v>
      </c>
      <c r="AT504" s="182" t="s">
        <v>383</v>
      </c>
      <c r="AU504" s="182"/>
      <c r="AV504" s="208">
        <v>0.25</v>
      </c>
      <c r="AW504" s="208">
        <v>0.125</v>
      </c>
      <c r="AX504" s="311"/>
      <c r="BH504" s="147" t="str">
        <v>Van - fuel</v>
      </c>
      <c r="BI504" s="147" t="str">
        <v>Petrol</v>
      </c>
    </row>
    <row r="505" spans="39:61" x14ac:dyDescent="0.3">
      <c r="AM505" s="147" t="s">
        <v>267</v>
      </c>
      <c r="AN505" s="147" t="s">
        <v>385</v>
      </c>
      <c r="AO505" s="147" t="s">
        <v>385</v>
      </c>
      <c r="AP505" s="147" t="s">
        <v>230</v>
      </c>
      <c r="AQ505" s="147" t="s">
        <v>1794</v>
      </c>
      <c r="AR505" s="147" t="s">
        <v>339</v>
      </c>
      <c r="AS505" s="182" t="str">
        <f t="shared" si="15"/>
        <v>Supply ChainSupply chainSupply chainWholesale and retail trade; repair of motor vehicles and motorcyclesRetail trade services, except of motor vehicles and motorcyclesNaN</v>
      </c>
      <c r="AT505" s="182" t="s">
        <v>383</v>
      </c>
      <c r="AU505" s="182"/>
      <c r="AV505" s="208">
        <v>0.25</v>
      </c>
      <c r="AW505" s="208">
        <v>0.125</v>
      </c>
      <c r="AX505" s="311"/>
      <c r="BH505" s="147" t="str">
        <v>Van - fuel</v>
      </c>
      <c r="BI505" s="147" t="str">
        <v>Petrol - 100% mineral</v>
      </c>
    </row>
    <row r="506" spans="39:61" x14ac:dyDescent="0.3">
      <c r="AM506" s="147" t="s">
        <v>267</v>
      </c>
      <c r="AN506" s="147" t="s">
        <v>385</v>
      </c>
      <c r="AO506" s="147" t="s">
        <v>385</v>
      </c>
      <c r="AP506" s="147" t="s">
        <v>231</v>
      </c>
      <c r="AQ506" s="147" t="s">
        <v>1795</v>
      </c>
      <c r="AR506" s="147" t="s">
        <v>339</v>
      </c>
      <c r="AS506" s="182" t="str">
        <f t="shared" si="15"/>
        <v>Supply ChainSupply chainSupply chainTransportation and storageRail transport servicesNaN</v>
      </c>
      <c r="AT506" s="182" t="s">
        <v>383</v>
      </c>
      <c r="AU506" s="182"/>
      <c r="AV506" s="208">
        <v>0.25</v>
      </c>
      <c r="AW506" s="208">
        <v>0.125</v>
      </c>
      <c r="AX506" s="311"/>
      <c r="BH506" s="147" t="str">
        <v>Van - fuel</v>
      </c>
      <c r="BI506" s="147" t="str">
        <v>Diesel</v>
      </c>
    </row>
    <row r="507" spans="39:61" x14ac:dyDescent="0.3">
      <c r="AM507" s="147" t="s">
        <v>267</v>
      </c>
      <c r="AN507" s="147" t="s">
        <v>385</v>
      </c>
      <c r="AO507" s="147" t="s">
        <v>385</v>
      </c>
      <c r="AP507" s="147" t="s">
        <v>231</v>
      </c>
      <c r="AQ507" s="147" t="s">
        <v>1796</v>
      </c>
      <c r="AR507" s="147" t="s">
        <v>339</v>
      </c>
      <c r="AS507" s="182" t="str">
        <f t="shared" si="15"/>
        <v>Supply ChainSupply chainSupply chainTransportation and storageLand transport services and transport services via pipelines, excluding rail transportNaN</v>
      </c>
      <c r="AT507" s="182" t="s">
        <v>383</v>
      </c>
      <c r="AU507" s="182"/>
      <c r="AV507" s="208">
        <v>0.25</v>
      </c>
      <c r="AW507" s="208">
        <v>0.125</v>
      </c>
      <c r="AX507" s="311"/>
      <c r="BH507" s="147" t="str">
        <v>Van - fuel</v>
      </c>
      <c r="BI507" s="147" t="str">
        <v>Diesel - 100% mineral</v>
      </c>
    </row>
    <row r="508" spans="39:61" x14ac:dyDescent="0.3">
      <c r="AM508" s="147" t="s">
        <v>267</v>
      </c>
      <c r="AN508" s="147" t="s">
        <v>385</v>
      </c>
      <c r="AO508" s="147" t="s">
        <v>385</v>
      </c>
      <c r="AP508" s="147" t="s">
        <v>231</v>
      </c>
      <c r="AQ508" s="147" t="s">
        <v>1797</v>
      </c>
      <c r="AR508" s="147" t="s">
        <v>339</v>
      </c>
      <c r="AS508" s="182" t="str">
        <f t="shared" si="15"/>
        <v>Supply ChainSupply chainSupply chainTransportation and storageWater transport servicesNaN</v>
      </c>
      <c r="AT508" s="182" t="s">
        <v>383</v>
      </c>
      <c r="AU508" s="182"/>
      <c r="AV508" s="208">
        <v>0.25</v>
      </c>
      <c r="AW508" s="208">
        <v>0.125</v>
      </c>
      <c r="AX508" s="311"/>
      <c r="BH508" s="147" t="str">
        <v>Van - fuel</v>
      </c>
      <c r="BI508" s="147" t="str">
        <v>Battery Electric Vehicle</v>
      </c>
    </row>
    <row r="509" spans="39:61" x14ac:dyDescent="0.3">
      <c r="AM509" s="147" t="s">
        <v>267</v>
      </c>
      <c r="AN509" s="147" t="s">
        <v>385</v>
      </c>
      <c r="AO509" s="147" t="s">
        <v>385</v>
      </c>
      <c r="AP509" s="147" t="s">
        <v>231</v>
      </c>
      <c r="AQ509" s="147" t="s">
        <v>1798</v>
      </c>
      <c r="AR509" s="147" t="s">
        <v>339</v>
      </c>
      <c r="AS509" s="182" t="str">
        <f t="shared" si="15"/>
        <v>Supply ChainSupply chainSupply chainTransportation and storageAir transport servicesNaN</v>
      </c>
      <c r="AT509" s="182" t="s">
        <v>383</v>
      </c>
      <c r="AU509" s="182"/>
      <c r="AV509" s="208">
        <v>0.25</v>
      </c>
      <c r="AW509" s="208">
        <v>0.125</v>
      </c>
      <c r="AX509" s="311"/>
      <c r="BH509" s="147" t="str">
        <v>Van - fuel</v>
      </c>
      <c r="BI509" s="147" t="str">
        <v>Hybrid</v>
      </c>
    </row>
    <row r="510" spans="39:61" x14ac:dyDescent="0.3">
      <c r="AM510" s="147" t="s">
        <v>267</v>
      </c>
      <c r="AN510" s="147" t="s">
        <v>385</v>
      </c>
      <c r="AO510" s="147" t="s">
        <v>385</v>
      </c>
      <c r="AP510" s="147" t="s">
        <v>231</v>
      </c>
      <c r="AQ510" s="147" t="s">
        <v>1799</v>
      </c>
      <c r="AR510" s="147" t="s">
        <v>339</v>
      </c>
      <c r="AS510" s="182" t="str">
        <f t="shared" si="15"/>
        <v>Supply ChainSupply chainSupply chainTransportation and storageWarehousing and support services for transportationNaN</v>
      </c>
      <c r="AT510" s="182" t="s">
        <v>383</v>
      </c>
      <c r="AU510" s="182"/>
      <c r="AV510" s="208">
        <v>0.25</v>
      </c>
      <c r="AW510" s="208">
        <v>0.125</v>
      </c>
      <c r="AX510" s="311"/>
      <c r="BH510" s="147" t="str">
        <v>Van - fuel</v>
      </c>
      <c r="BI510" s="147" t="str">
        <v>HVO</v>
      </c>
    </row>
    <row r="511" spans="39:61" x14ac:dyDescent="0.3">
      <c r="AM511" s="147" t="s">
        <v>267</v>
      </c>
      <c r="AN511" s="147" t="s">
        <v>385</v>
      </c>
      <c r="AO511" s="147" t="s">
        <v>385</v>
      </c>
      <c r="AP511" s="147" t="s">
        <v>231</v>
      </c>
      <c r="AQ511" s="147" t="s">
        <v>1800</v>
      </c>
      <c r="AR511" s="147" t="s">
        <v>339</v>
      </c>
      <c r="AS511" s="182" t="str">
        <f t="shared" si="15"/>
        <v>Supply ChainSupply chainSupply chainTransportation and storagePostal and courier servicesNaN</v>
      </c>
      <c r="AT511" s="182" t="s">
        <v>383</v>
      </c>
      <c r="AU511" s="182"/>
      <c r="AV511" s="208">
        <v>0.25</v>
      </c>
      <c r="AW511" s="208">
        <v>0.125</v>
      </c>
      <c r="AX511" s="311"/>
      <c r="BH511" s="147" t="str">
        <v>Van - fuel</v>
      </c>
      <c r="BI511" s="147" t="str">
        <v>ME</v>
      </c>
    </row>
    <row r="512" spans="39:61" x14ac:dyDescent="0.3">
      <c r="AM512" s="147" t="s">
        <v>267</v>
      </c>
      <c r="AN512" s="147" t="s">
        <v>385</v>
      </c>
      <c r="AO512" s="147" t="s">
        <v>385</v>
      </c>
      <c r="AP512" s="147" t="s">
        <v>232</v>
      </c>
      <c r="AQ512" s="147" t="s">
        <v>1801</v>
      </c>
      <c r="AR512" s="147" t="s">
        <v>339</v>
      </c>
      <c r="AS512" s="182" t="str">
        <f t="shared" si="15"/>
        <v>Supply ChainSupply chainSupply chainAccommodation and food service activitiesAccommodation servicesNaN</v>
      </c>
      <c r="AT512" s="182" t="s">
        <v>383</v>
      </c>
      <c r="AU512" s="182"/>
      <c r="AV512" s="208">
        <v>0.25</v>
      </c>
      <c r="AW512" s="208">
        <v>0.125</v>
      </c>
      <c r="AX512" s="311"/>
      <c r="BH512" s="147" t="str">
        <v>Van - fuel</v>
      </c>
      <c r="BI512" s="147" t="str">
        <v>100% Biopetrol</v>
      </c>
    </row>
    <row r="513" spans="39:61" x14ac:dyDescent="0.3">
      <c r="AM513" s="147" t="s">
        <v>267</v>
      </c>
      <c r="AN513" s="147" t="s">
        <v>385</v>
      </c>
      <c r="AO513" s="147" t="s">
        <v>385</v>
      </c>
      <c r="AP513" s="147" t="s">
        <v>232</v>
      </c>
      <c r="AQ513" s="147" t="s">
        <v>1802</v>
      </c>
      <c r="AR513" s="147" t="s">
        <v>339</v>
      </c>
      <c r="AS513" s="182" t="str">
        <f t="shared" si="15"/>
        <v>Supply ChainSupply chainSupply chainAccommodation and food service activitiesFood and beverage serving servicesNaN</v>
      </c>
      <c r="AT513" s="182" t="s">
        <v>383</v>
      </c>
      <c r="AU513" s="182"/>
      <c r="AV513" s="208">
        <v>0.25</v>
      </c>
      <c r="AW513" s="208">
        <v>0.125</v>
      </c>
      <c r="AX513" s="311"/>
      <c r="BH513" s="147" t="str">
        <v>Water</v>
      </c>
      <c r="BI513" s="147" t="str">
        <v>Supply</v>
      </c>
    </row>
    <row r="514" spans="39:61" x14ac:dyDescent="0.3">
      <c r="AM514" s="147" t="s">
        <v>267</v>
      </c>
      <c r="AN514" s="147" t="s">
        <v>385</v>
      </c>
      <c r="AO514" s="147" t="s">
        <v>385</v>
      </c>
      <c r="AP514" s="147" t="s">
        <v>233</v>
      </c>
      <c r="AQ514" s="147" t="s">
        <v>1803</v>
      </c>
      <c r="AR514" s="147" t="s">
        <v>339</v>
      </c>
      <c r="AS514" s="182" t="str">
        <f t="shared" si="15"/>
        <v>Supply ChainSupply chainSupply chainInformation and communicationPublishing servicesNaN</v>
      </c>
      <c r="AT514" s="182" t="s">
        <v>383</v>
      </c>
      <c r="AU514" s="182"/>
      <c r="AV514" s="208">
        <v>0.25</v>
      </c>
      <c r="AW514" s="208">
        <v>0.125</v>
      </c>
      <c r="AX514" s="311"/>
      <c r="BH514" s="147" t="str">
        <v>Water</v>
      </c>
      <c r="BI514" s="147" t="str">
        <v>Treatment</v>
      </c>
    </row>
    <row r="515" spans="39:61" x14ac:dyDescent="0.3">
      <c r="AM515" s="147" t="s">
        <v>267</v>
      </c>
      <c r="AN515" s="147" t="s">
        <v>385</v>
      </c>
      <c r="AO515" s="147" t="s">
        <v>385</v>
      </c>
      <c r="AP515" s="147" t="s">
        <v>233</v>
      </c>
      <c r="AQ515" s="147" t="s">
        <v>1804</v>
      </c>
      <c r="AR515" s="147" t="s">
        <v>339</v>
      </c>
      <c r="AS515" s="182" t="str">
        <f t="shared" si="15"/>
        <v>Supply ChainSupply chainSupply chainInformation and communicationMotion picture, video and TV programme production services, sound recording &amp; music publishingNaN</v>
      </c>
      <c r="AT515" s="182" t="s">
        <v>383</v>
      </c>
      <c r="AU515" s="182"/>
      <c r="AV515" s="208">
        <v>0.25</v>
      </c>
      <c r="AW515" s="208">
        <v>0.125</v>
      </c>
      <c r="AX515" s="311"/>
      <c r="BH515" s="147" t="str">
        <v>Water</v>
      </c>
      <c r="BI515" s="147" t="str">
        <v>Supply &amp; Treatment</v>
      </c>
    </row>
    <row r="516" spans="39:61" x14ac:dyDescent="0.3">
      <c r="AM516" s="147" t="s">
        <v>267</v>
      </c>
      <c r="AN516" s="147" t="s">
        <v>385</v>
      </c>
      <c r="AO516" s="147" t="s">
        <v>385</v>
      </c>
      <c r="AP516" s="147" t="s">
        <v>233</v>
      </c>
      <c r="AQ516" s="147" t="s">
        <v>1805</v>
      </c>
      <c r="AR516" s="147" t="s">
        <v>339</v>
      </c>
      <c r="AS516" s="182" t="str">
        <f t="shared" si="15"/>
        <v>Supply ChainSupply chainSupply chainInformation and communicationProgramming and broadcasting servicesNaN</v>
      </c>
      <c r="AT516" s="182" t="s">
        <v>383</v>
      </c>
      <c r="AU516" s="182"/>
      <c r="AV516" s="208">
        <v>0.25</v>
      </c>
      <c r="AW516" s="208">
        <v>0.125</v>
      </c>
      <c r="AX516" s="311"/>
      <c r="BH516" s="147" t="str">
        <v>Water supply; sewerage, waste management and remediation activities</v>
      </c>
      <c r="BI516" s="147" t="str">
        <v>Natural water; water treatment and supply services</v>
      </c>
    </row>
    <row r="517" spans="39:61" x14ac:dyDescent="0.3">
      <c r="AM517" s="147" t="s">
        <v>267</v>
      </c>
      <c r="AN517" s="147" t="s">
        <v>385</v>
      </c>
      <c r="AO517" s="147" t="s">
        <v>385</v>
      </c>
      <c r="AP517" s="147" t="s">
        <v>233</v>
      </c>
      <c r="AQ517" s="147" t="s">
        <v>1806</v>
      </c>
      <c r="AR517" s="147" t="s">
        <v>339</v>
      </c>
      <c r="AS517" s="182" t="str">
        <f t="shared" si="15"/>
        <v>Supply ChainSupply chainSupply chainInformation and communicationTelecommunications servicesNaN</v>
      </c>
      <c r="AT517" s="182" t="s">
        <v>383</v>
      </c>
      <c r="AU517" s="182"/>
      <c r="AV517" s="208">
        <v>0.25</v>
      </c>
      <c r="AW517" s="208">
        <v>0.125</v>
      </c>
      <c r="AX517" s="311"/>
      <c r="BH517" s="147" t="str">
        <v>Water supply; sewerage, waste management and remediation activities</v>
      </c>
      <c r="BI517" s="147" t="str">
        <v>Sewerage services; sewage sludge</v>
      </c>
    </row>
    <row r="518" spans="39:61" x14ac:dyDescent="0.3">
      <c r="AM518" s="147" t="s">
        <v>267</v>
      </c>
      <c r="AN518" s="147" t="s">
        <v>385</v>
      </c>
      <c r="AO518" s="147" t="s">
        <v>385</v>
      </c>
      <c r="AP518" s="147" t="s">
        <v>233</v>
      </c>
      <c r="AQ518" s="147" t="s">
        <v>1807</v>
      </c>
      <c r="AR518" s="147" t="s">
        <v>339</v>
      </c>
      <c r="AS518" s="182" t="str">
        <f t="shared" si="15"/>
        <v>Supply ChainSupply chainSupply chainInformation and communicationComputer programming, consultancy and related servicesNaN</v>
      </c>
      <c r="AT518" s="182" t="s">
        <v>383</v>
      </c>
      <c r="AU518" s="182"/>
      <c r="AV518" s="208">
        <v>0.25</v>
      </c>
      <c r="AW518" s="208">
        <v>0.125</v>
      </c>
      <c r="AX518" s="311"/>
      <c r="BH518" s="147" t="str">
        <v>Water supply; sewerage, waste management and remediation activities</v>
      </c>
      <c r="BI518" s="147" t="str">
        <v>Waste collection, treatment and disposal services; materials recovery services</v>
      </c>
    </row>
    <row r="519" spans="39:61" x14ac:dyDescent="0.3">
      <c r="AM519" s="147" t="s">
        <v>267</v>
      </c>
      <c r="AN519" s="147" t="s">
        <v>385</v>
      </c>
      <c r="AO519" s="147" t="s">
        <v>385</v>
      </c>
      <c r="AP519" s="147" t="s">
        <v>233</v>
      </c>
      <c r="AQ519" s="147" t="s">
        <v>1808</v>
      </c>
      <c r="AR519" s="147" t="s">
        <v>339</v>
      </c>
      <c r="AS519" s="182" t="str">
        <f t="shared" si="15"/>
        <v>Supply ChainSupply chainSupply chainInformation and communicationInformation servicesNaN</v>
      </c>
      <c r="AT519" s="182" t="s">
        <v>383</v>
      </c>
      <c r="AU519" s="182"/>
      <c r="AV519" s="208">
        <v>0.25</v>
      </c>
      <c r="AW519" s="208">
        <v>0.125</v>
      </c>
      <c r="AX519" s="311"/>
      <c r="BH519" s="147" t="str">
        <v>Water supply; sewerage, waste management and remediation activities</v>
      </c>
      <c r="BI519" s="147" t="str">
        <v>Remediation services and other waste management services</v>
      </c>
    </row>
    <row r="520" spans="39:61" x14ac:dyDescent="0.3">
      <c r="AM520" s="147" t="s">
        <v>267</v>
      </c>
      <c r="AN520" s="147" t="s">
        <v>385</v>
      </c>
      <c r="AO520" s="147" t="s">
        <v>385</v>
      </c>
      <c r="AP520" s="147" t="s">
        <v>234</v>
      </c>
      <c r="AQ520" s="147" t="s">
        <v>1809</v>
      </c>
      <c r="AR520" s="147" t="s">
        <v>339</v>
      </c>
      <c r="AS520" s="182" t="str">
        <f t="shared" si="15"/>
        <v>Supply ChainSupply chainSupply chainFinancial and insurance activitiesFinancial services, except insurance and pension fundingNaN</v>
      </c>
      <c r="AT520" s="182" t="s">
        <v>383</v>
      </c>
      <c r="AU520" s="182"/>
      <c r="AV520" s="208">
        <v>0.25</v>
      </c>
      <c r="AW520" s="208">
        <v>0.125</v>
      </c>
      <c r="AX520" s="311"/>
      <c r="BH520" s="147" t="str">
        <v>Wholesale and retail trade; repair of motor vehicles and motorcycles</v>
      </c>
      <c r="BI520" s="147" t="str">
        <v>Wholesale and retail trade and repair services of motor vehicles and motorcycles</v>
      </c>
    </row>
    <row r="521" spans="39:61" x14ac:dyDescent="0.3">
      <c r="AM521" s="147" t="s">
        <v>267</v>
      </c>
      <c r="AN521" s="147" t="s">
        <v>385</v>
      </c>
      <c r="AO521" s="147" t="s">
        <v>385</v>
      </c>
      <c r="AP521" s="147" t="s">
        <v>234</v>
      </c>
      <c r="AQ521" s="147" t="s">
        <v>1810</v>
      </c>
      <c r="AR521" s="147" t="s">
        <v>339</v>
      </c>
      <c r="AS521" s="182" t="str">
        <f t="shared" si="15"/>
        <v>Supply ChainSupply chainSupply chainFinancial and insurance activitiesInsurance and reinsurance services, except compulsory social securityNaN</v>
      </c>
      <c r="AT521" s="182" t="s">
        <v>383</v>
      </c>
      <c r="AU521" s="182"/>
      <c r="AV521" s="208">
        <v>0.25</v>
      </c>
      <c r="AW521" s="208">
        <v>0.125</v>
      </c>
      <c r="AX521" s="311"/>
      <c r="BH521" s="147" t="str">
        <v>Wholesale and retail trade; repair of motor vehicles and motorcycles</v>
      </c>
      <c r="BI521" s="147" t="str">
        <v>Wholesale trade services, except of motor vehicles and motorcycles</v>
      </c>
    </row>
    <row r="522" spans="39:61" x14ac:dyDescent="0.3">
      <c r="AM522" s="147" t="s">
        <v>267</v>
      </c>
      <c r="AN522" s="147" t="s">
        <v>385</v>
      </c>
      <c r="AO522" s="147" t="s">
        <v>385</v>
      </c>
      <c r="AP522" s="147" t="s">
        <v>234</v>
      </c>
      <c r="AQ522" s="147" t="s">
        <v>1811</v>
      </c>
      <c r="AR522" s="147" t="s">
        <v>339</v>
      </c>
      <c r="AS522" s="182" t="str">
        <f t="shared" si="15"/>
        <v>Supply ChainSupply chainSupply chainFinancial and insurance activitiesServices auxiliary to financial services and insurance servicesNaN</v>
      </c>
      <c r="AT522" s="182" t="s">
        <v>383</v>
      </c>
      <c r="AU522" s="182"/>
      <c r="AV522" s="208">
        <v>0.25</v>
      </c>
      <c r="AW522" s="208">
        <v>0.125</v>
      </c>
      <c r="AX522" s="311"/>
      <c r="BH522" s="147" t="str">
        <v>Wholesale and retail trade; repair of motor vehicles and motorcycles</v>
      </c>
      <c r="BI522" s="147" t="str">
        <v>Retail trade services, except of motor vehicles and motorcycles</v>
      </c>
    </row>
    <row r="523" spans="39:61" x14ac:dyDescent="0.3">
      <c r="AM523" s="147" t="s">
        <v>267</v>
      </c>
      <c r="AN523" s="147" t="s">
        <v>385</v>
      </c>
      <c r="AO523" s="147" t="s">
        <v>385</v>
      </c>
      <c r="AP523" s="147" t="s">
        <v>235</v>
      </c>
      <c r="AQ523" s="147" t="s">
        <v>1812</v>
      </c>
      <c r="AR523" s="147" t="s">
        <v>339</v>
      </c>
      <c r="AS523" s="182" t="str">
        <f t="shared" si="15"/>
        <v>Supply ChainSupply chainSupply chainReal estate activitiesReal estate services, excluding on a fee or contract basis and imputed rentNaN</v>
      </c>
      <c r="AT523" s="182" t="s">
        <v>383</v>
      </c>
      <c r="AU523" s="182"/>
      <c r="AV523" s="208">
        <v>0.25</v>
      </c>
      <c r="AW523" s="208">
        <v>0.125</v>
      </c>
      <c r="AX523" s="311"/>
    </row>
    <row r="524" spans="39:61" x14ac:dyDescent="0.3">
      <c r="AM524" s="147" t="s">
        <v>267</v>
      </c>
      <c r="AN524" s="147" t="s">
        <v>385</v>
      </c>
      <c r="AO524" s="147" t="s">
        <v>385</v>
      </c>
      <c r="AP524" s="147" t="s">
        <v>235</v>
      </c>
      <c r="AQ524" s="147" t="s">
        <v>388</v>
      </c>
      <c r="AR524" s="147" t="s">
        <v>339</v>
      </c>
      <c r="AS524" s="182" t="str">
        <f t="shared" si="15"/>
        <v>Supply ChainSupply chainSupply chainReal estate activitiesOwner-Occupiers' Housing ServicesNaN</v>
      </c>
      <c r="AT524" s="182" t="s">
        <v>383</v>
      </c>
      <c r="AU524" s="182"/>
      <c r="AV524" s="208">
        <v>0.25</v>
      </c>
      <c r="AW524" s="208">
        <v>0.125</v>
      </c>
      <c r="AX524" s="311"/>
    </row>
    <row r="525" spans="39:61" x14ac:dyDescent="0.3">
      <c r="AM525" s="147" t="s">
        <v>267</v>
      </c>
      <c r="AN525" s="147" t="s">
        <v>385</v>
      </c>
      <c r="AO525" s="147" t="s">
        <v>385</v>
      </c>
      <c r="AP525" s="147" t="s">
        <v>235</v>
      </c>
      <c r="AQ525" s="147" t="s">
        <v>1813</v>
      </c>
      <c r="AR525" s="147" t="s">
        <v>339</v>
      </c>
      <c r="AS525" s="182" t="str">
        <f t="shared" si="15"/>
        <v>Supply ChainSupply chainSupply chainReal estate activitiesReal estate services on a fee or contract basisNaN</v>
      </c>
      <c r="AT525" s="182" t="s">
        <v>383</v>
      </c>
      <c r="AU525" s="182"/>
      <c r="AV525" s="208">
        <v>0.25</v>
      </c>
      <c r="AW525" s="208">
        <v>0.125</v>
      </c>
      <c r="AX525" s="311"/>
    </row>
    <row r="526" spans="39:61" x14ac:dyDescent="0.3">
      <c r="AM526" s="147" t="s">
        <v>267</v>
      </c>
      <c r="AN526" s="147" t="s">
        <v>385</v>
      </c>
      <c r="AO526" s="147" t="s">
        <v>385</v>
      </c>
      <c r="AP526" s="147" t="s">
        <v>236</v>
      </c>
      <c r="AQ526" s="147" t="s">
        <v>1814</v>
      </c>
      <c r="AR526" s="147" t="s">
        <v>339</v>
      </c>
      <c r="AS526" s="182" t="str">
        <f t="shared" si="15"/>
        <v>Supply ChainSupply chainSupply chainProfessional, scientific and technical activitiesLegal servicesNaN</v>
      </c>
      <c r="AT526" s="182" t="s">
        <v>383</v>
      </c>
      <c r="AU526" s="182"/>
      <c r="AV526" s="208">
        <v>0.25</v>
      </c>
      <c r="AW526" s="208">
        <v>0.125</v>
      </c>
      <c r="AX526" s="311"/>
    </row>
    <row r="527" spans="39:61" x14ac:dyDescent="0.3">
      <c r="AM527" s="147" t="s">
        <v>267</v>
      </c>
      <c r="AN527" s="147" t="s">
        <v>385</v>
      </c>
      <c r="AO527" s="147" t="s">
        <v>385</v>
      </c>
      <c r="AP527" s="147" t="s">
        <v>236</v>
      </c>
      <c r="AQ527" s="147" t="s">
        <v>1815</v>
      </c>
      <c r="AR527" s="147" t="s">
        <v>339</v>
      </c>
      <c r="AS527" s="182" t="str">
        <f t="shared" si="15"/>
        <v>Supply ChainSupply chainSupply chainProfessional, scientific and technical activitiesAccounting, bookkeeping and auditing services; tax consulting servicesNaN</v>
      </c>
      <c r="AT527" s="182" t="s">
        <v>383</v>
      </c>
      <c r="AU527" s="182"/>
      <c r="AV527" s="208">
        <v>0.25</v>
      </c>
      <c r="AW527" s="208">
        <v>0.125</v>
      </c>
      <c r="AX527" s="311"/>
    </row>
    <row r="528" spans="39:61" x14ac:dyDescent="0.3">
      <c r="AM528" s="147" t="s">
        <v>267</v>
      </c>
      <c r="AN528" s="147" t="s">
        <v>385</v>
      </c>
      <c r="AO528" s="147" t="s">
        <v>385</v>
      </c>
      <c r="AP528" s="147" t="s">
        <v>236</v>
      </c>
      <c r="AQ528" s="147" t="s">
        <v>1816</v>
      </c>
      <c r="AR528" s="147" t="s">
        <v>339</v>
      </c>
      <c r="AS528" s="182" t="str">
        <f t="shared" ref="AS528:AS591" si="16">_xlfn.CONCAT(AM528:AR528)</f>
        <v>Supply ChainSupply chainSupply chainProfessional, scientific and technical activitiesServices of head offices; management consulting servicesNaN</v>
      </c>
      <c r="AT528" s="182" t="s">
        <v>383</v>
      </c>
      <c r="AU528" s="182"/>
      <c r="AV528" s="208">
        <v>0.25</v>
      </c>
      <c r="AW528" s="208">
        <v>0.125</v>
      </c>
      <c r="AX528" s="311"/>
    </row>
    <row r="529" spans="39:50" x14ac:dyDescent="0.3">
      <c r="AM529" s="147" t="s">
        <v>267</v>
      </c>
      <c r="AN529" s="147" t="s">
        <v>385</v>
      </c>
      <c r="AO529" s="147" t="s">
        <v>385</v>
      </c>
      <c r="AP529" s="147" t="s">
        <v>236</v>
      </c>
      <c r="AQ529" s="147" t="s">
        <v>1817</v>
      </c>
      <c r="AR529" s="147" t="s">
        <v>339</v>
      </c>
      <c r="AS529" s="182" t="str">
        <f t="shared" si="16"/>
        <v>Supply ChainSupply chainSupply chainProfessional, scientific and technical activitiesArchitectural and engineering services; technical testing and analysis servicesNaN</v>
      </c>
      <c r="AT529" s="182" t="s">
        <v>383</v>
      </c>
      <c r="AU529" s="182"/>
      <c r="AV529" s="208">
        <v>0.25</v>
      </c>
      <c r="AW529" s="208">
        <v>0.125</v>
      </c>
      <c r="AX529" s="311"/>
    </row>
    <row r="530" spans="39:50" x14ac:dyDescent="0.3">
      <c r="AM530" s="147" t="s">
        <v>267</v>
      </c>
      <c r="AN530" s="147" t="s">
        <v>385</v>
      </c>
      <c r="AO530" s="147" t="s">
        <v>385</v>
      </c>
      <c r="AP530" s="147" t="s">
        <v>236</v>
      </c>
      <c r="AQ530" s="147" t="s">
        <v>1818</v>
      </c>
      <c r="AR530" s="147" t="s">
        <v>339</v>
      </c>
      <c r="AS530" s="182" t="str">
        <f t="shared" si="16"/>
        <v>Supply ChainSupply chainSupply chainProfessional, scientific and technical activitiesScientific research and development servicesNaN</v>
      </c>
      <c r="AT530" s="182" t="s">
        <v>383</v>
      </c>
      <c r="AU530" s="182"/>
      <c r="AV530" s="208">
        <v>0.25</v>
      </c>
      <c r="AW530" s="208">
        <v>0.125</v>
      </c>
      <c r="AX530" s="311"/>
    </row>
    <row r="531" spans="39:50" x14ac:dyDescent="0.3">
      <c r="AM531" s="147" t="s">
        <v>267</v>
      </c>
      <c r="AN531" s="147" t="s">
        <v>385</v>
      </c>
      <c r="AO531" s="147" t="s">
        <v>385</v>
      </c>
      <c r="AP531" s="147" t="s">
        <v>236</v>
      </c>
      <c r="AQ531" s="147" t="s">
        <v>1819</v>
      </c>
      <c r="AR531" s="147" t="s">
        <v>339</v>
      </c>
      <c r="AS531" s="182" t="str">
        <f t="shared" si="16"/>
        <v>Supply ChainSupply chainSupply chainProfessional, scientific and technical activitiesAdvertising and market research servicesNaN</v>
      </c>
      <c r="AT531" s="182" t="s">
        <v>383</v>
      </c>
      <c r="AU531" s="182"/>
      <c r="AV531" s="208">
        <v>0.25</v>
      </c>
      <c r="AW531" s="208">
        <v>0.125</v>
      </c>
      <c r="AX531" s="311"/>
    </row>
    <row r="532" spans="39:50" x14ac:dyDescent="0.3">
      <c r="AM532" s="147" t="s">
        <v>267</v>
      </c>
      <c r="AN532" s="147" t="s">
        <v>385</v>
      </c>
      <c r="AO532" s="147" t="s">
        <v>385</v>
      </c>
      <c r="AP532" s="147" t="s">
        <v>236</v>
      </c>
      <c r="AQ532" s="147" t="s">
        <v>1820</v>
      </c>
      <c r="AR532" s="147" t="s">
        <v>339</v>
      </c>
      <c r="AS532" s="182" t="str">
        <f t="shared" si="16"/>
        <v>Supply ChainSupply chainSupply chainProfessional, scientific and technical activitiesOther professional, scientific and technical servicesNaN</v>
      </c>
      <c r="AT532" s="182" t="s">
        <v>383</v>
      </c>
      <c r="AU532" s="182"/>
      <c r="AV532" s="208">
        <v>0.25</v>
      </c>
      <c r="AW532" s="208">
        <v>0.125</v>
      </c>
      <c r="AX532" s="311"/>
    </row>
    <row r="533" spans="39:50" x14ac:dyDescent="0.3">
      <c r="AM533" s="147" t="s">
        <v>267</v>
      </c>
      <c r="AN533" s="147" t="s">
        <v>385</v>
      </c>
      <c r="AO533" s="147" t="s">
        <v>385</v>
      </c>
      <c r="AP533" s="147" t="s">
        <v>236</v>
      </c>
      <c r="AQ533" s="147" t="s">
        <v>1821</v>
      </c>
      <c r="AR533" s="147" t="s">
        <v>339</v>
      </c>
      <c r="AS533" s="182" t="str">
        <f t="shared" si="16"/>
        <v>Supply ChainSupply chainSupply chainProfessional, scientific and technical activitiesVeterinary servicesNaN</v>
      </c>
      <c r="AT533" s="182" t="s">
        <v>383</v>
      </c>
      <c r="AU533" s="182"/>
      <c r="AV533" s="208">
        <v>0.25</v>
      </c>
      <c r="AW533" s="208">
        <v>0.125</v>
      </c>
      <c r="AX533" s="311"/>
    </row>
    <row r="534" spans="39:50" x14ac:dyDescent="0.3">
      <c r="AM534" s="147" t="s">
        <v>267</v>
      </c>
      <c r="AN534" s="147" t="s">
        <v>385</v>
      </c>
      <c r="AO534" s="147" t="s">
        <v>385</v>
      </c>
      <c r="AP534" s="147" t="s">
        <v>237</v>
      </c>
      <c r="AQ534" s="147" t="s">
        <v>1822</v>
      </c>
      <c r="AR534" s="147" t="s">
        <v>339</v>
      </c>
      <c r="AS534" s="182" t="str">
        <f t="shared" si="16"/>
        <v>Supply ChainSupply chainSupply chainAdministrative and support service activitiesRental and leasing servicesNaN</v>
      </c>
      <c r="AT534" s="182" t="s">
        <v>383</v>
      </c>
      <c r="AU534" s="182"/>
      <c r="AV534" s="208">
        <v>0.25</v>
      </c>
      <c r="AW534" s="208">
        <v>0.125</v>
      </c>
      <c r="AX534" s="311"/>
    </row>
    <row r="535" spans="39:50" x14ac:dyDescent="0.3">
      <c r="AM535" s="147" t="s">
        <v>267</v>
      </c>
      <c r="AN535" s="147" t="s">
        <v>385</v>
      </c>
      <c r="AO535" s="147" t="s">
        <v>385</v>
      </c>
      <c r="AP535" s="147" t="s">
        <v>237</v>
      </c>
      <c r="AQ535" s="147" t="s">
        <v>1823</v>
      </c>
      <c r="AR535" s="147" t="s">
        <v>339</v>
      </c>
      <c r="AS535" s="182" t="str">
        <f t="shared" si="16"/>
        <v>Supply ChainSupply chainSupply chainAdministrative and support service activitiesEmployment servicesNaN</v>
      </c>
      <c r="AT535" s="182" t="s">
        <v>383</v>
      </c>
      <c r="AU535" s="182"/>
      <c r="AV535" s="208">
        <v>0.25</v>
      </c>
      <c r="AW535" s="208">
        <v>0.125</v>
      </c>
      <c r="AX535" s="311"/>
    </row>
    <row r="536" spans="39:50" x14ac:dyDescent="0.3">
      <c r="AM536" s="147" t="s">
        <v>267</v>
      </c>
      <c r="AN536" s="147" t="s">
        <v>385</v>
      </c>
      <c r="AO536" s="147" t="s">
        <v>385</v>
      </c>
      <c r="AP536" s="147" t="s">
        <v>237</v>
      </c>
      <c r="AQ536" s="147" t="s">
        <v>1824</v>
      </c>
      <c r="AR536" s="147" t="s">
        <v>339</v>
      </c>
      <c r="AS536" s="182" t="str">
        <f t="shared" si="16"/>
        <v>Supply ChainSupply chainSupply chainAdministrative and support service activitiesTravel agency, tour operator and other reservation services and related servicesNaN</v>
      </c>
      <c r="AT536" s="182" t="s">
        <v>383</v>
      </c>
      <c r="AU536" s="182"/>
      <c r="AV536" s="208">
        <v>0.25</v>
      </c>
      <c r="AW536" s="208">
        <v>0.125</v>
      </c>
      <c r="AX536" s="311"/>
    </row>
    <row r="537" spans="39:50" x14ac:dyDescent="0.3">
      <c r="AM537" s="147" t="s">
        <v>267</v>
      </c>
      <c r="AN537" s="147" t="s">
        <v>385</v>
      </c>
      <c r="AO537" s="147" t="s">
        <v>385</v>
      </c>
      <c r="AP537" s="147" t="s">
        <v>237</v>
      </c>
      <c r="AQ537" s="147" t="s">
        <v>1825</v>
      </c>
      <c r="AR537" s="147" t="s">
        <v>339</v>
      </c>
      <c r="AS537" s="182" t="str">
        <f t="shared" si="16"/>
        <v>Supply ChainSupply chainSupply chainAdministrative and support service activitiesSecurity and investigation servicesNaN</v>
      </c>
      <c r="AT537" s="182" t="s">
        <v>383</v>
      </c>
      <c r="AU537" s="182"/>
      <c r="AV537" s="208">
        <v>0.25</v>
      </c>
      <c r="AW537" s="208">
        <v>0.125</v>
      </c>
      <c r="AX537" s="311"/>
    </row>
    <row r="538" spans="39:50" x14ac:dyDescent="0.3">
      <c r="AM538" s="147" t="s">
        <v>267</v>
      </c>
      <c r="AN538" s="147" t="s">
        <v>385</v>
      </c>
      <c r="AO538" s="147" t="s">
        <v>385</v>
      </c>
      <c r="AP538" s="147" t="s">
        <v>237</v>
      </c>
      <c r="AQ538" s="147" t="s">
        <v>1826</v>
      </c>
      <c r="AR538" s="147" t="s">
        <v>339</v>
      </c>
      <c r="AS538" s="182" t="str">
        <f t="shared" si="16"/>
        <v>Supply ChainSupply chainSupply chainAdministrative and support service activitiesServices to buildings and landscapeNaN</v>
      </c>
      <c r="AT538" s="182" t="s">
        <v>383</v>
      </c>
      <c r="AU538" s="182"/>
      <c r="AV538" s="208">
        <v>0.25</v>
      </c>
      <c r="AW538" s="208">
        <v>0.125</v>
      </c>
      <c r="AX538" s="311"/>
    </row>
    <row r="539" spans="39:50" x14ac:dyDescent="0.3">
      <c r="AM539" s="147" t="s">
        <v>267</v>
      </c>
      <c r="AN539" s="147" t="s">
        <v>385</v>
      </c>
      <c r="AO539" s="147" t="s">
        <v>385</v>
      </c>
      <c r="AP539" s="147" t="s">
        <v>237</v>
      </c>
      <c r="AQ539" s="147" t="s">
        <v>1827</v>
      </c>
      <c r="AR539" s="147" t="s">
        <v>339</v>
      </c>
      <c r="AS539" s="182" t="str">
        <f t="shared" si="16"/>
        <v>Supply ChainSupply chainSupply chainAdministrative and support service activitiesOffice administrative, office support and other business support servicesNaN</v>
      </c>
      <c r="AT539" s="182" t="s">
        <v>383</v>
      </c>
      <c r="AU539" s="182"/>
      <c r="AV539" s="208">
        <v>0.25</v>
      </c>
      <c r="AW539" s="208">
        <v>0.125</v>
      </c>
      <c r="AX539" s="311"/>
    </row>
    <row r="540" spans="39:50" x14ac:dyDescent="0.3">
      <c r="AM540" s="147" t="s">
        <v>267</v>
      </c>
      <c r="AN540" s="147" t="s">
        <v>385</v>
      </c>
      <c r="AO540" s="147" t="s">
        <v>385</v>
      </c>
      <c r="AP540" s="147" t="s">
        <v>238</v>
      </c>
      <c r="AQ540" s="147" t="s">
        <v>1828</v>
      </c>
      <c r="AR540" s="147" t="s">
        <v>339</v>
      </c>
      <c r="AS540" s="182" t="str">
        <f t="shared" si="16"/>
        <v>Supply ChainSupply chainSupply chainPublic administration and defence; compulsory social securityPublic administration and defence services; compulsory social security servicesNaN</v>
      </c>
      <c r="AT540" s="182" t="s">
        <v>383</v>
      </c>
      <c r="AU540" s="182"/>
      <c r="AV540" s="208">
        <v>0.25</v>
      </c>
      <c r="AW540" s="208">
        <v>0.125</v>
      </c>
      <c r="AX540" s="311"/>
    </row>
    <row r="541" spans="39:50" x14ac:dyDescent="0.3">
      <c r="AM541" s="147" t="s">
        <v>267</v>
      </c>
      <c r="AN541" s="147" t="s">
        <v>385</v>
      </c>
      <c r="AO541" s="147" t="s">
        <v>385</v>
      </c>
      <c r="AP541" s="147" t="s">
        <v>239</v>
      </c>
      <c r="AQ541" s="147" t="s">
        <v>1829</v>
      </c>
      <c r="AR541" s="147" t="s">
        <v>339</v>
      </c>
      <c r="AS541" s="182" t="str">
        <f t="shared" si="16"/>
        <v>Supply ChainSupply chainSupply chainEducationEducation servicesNaN</v>
      </c>
      <c r="AT541" s="182" t="s">
        <v>383</v>
      </c>
      <c r="AU541" s="182"/>
      <c r="AV541" s="208">
        <v>0.25</v>
      </c>
      <c r="AW541" s="208">
        <v>0.125</v>
      </c>
      <c r="AX541" s="311"/>
    </row>
    <row r="542" spans="39:50" x14ac:dyDescent="0.3">
      <c r="AM542" s="147" t="s">
        <v>267</v>
      </c>
      <c r="AN542" s="147" t="s">
        <v>385</v>
      </c>
      <c r="AO542" s="147" t="s">
        <v>385</v>
      </c>
      <c r="AP542" s="147" t="s">
        <v>240</v>
      </c>
      <c r="AQ542" s="147" t="s">
        <v>1830</v>
      </c>
      <c r="AR542" s="147" t="s">
        <v>339</v>
      </c>
      <c r="AS542" s="182" t="str">
        <f t="shared" si="16"/>
        <v>Supply ChainSupply chainSupply chainHuman health and social work activitiesHuman health servicesNaN</v>
      </c>
      <c r="AT542" s="182" t="s">
        <v>383</v>
      </c>
      <c r="AU542" s="182"/>
      <c r="AV542" s="208">
        <v>0.25</v>
      </c>
      <c r="AW542" s="208">
        <v>0.125</v>
      </c>
      <c r="AX542" s="311"/>
    </row>
    <row r="543" spans="39:50" x14ac:dyDescent="0.3">
      <c r="AM543" s="147" t="s">
        <v>267</v>
      </c>
      <c r="AN543" s="147" t="s">
        <v>385</v>
      </c>
      <c r="AO543" s="147" t="s">
        <v>385</v>
      </c>
      <c r="AP543" s="147" t="s">
        <v>240</v>
      </c>
      <c r="AQ543" s="147" t="s">
        <v>1831</v>
      </c>
      <c r="AR543" s="147" t="s">
        <v>339</v>
      </c>
      <c r="AS543" s="182" t="str">
        <f t="shared" si="16"/>
        <v>Supply ChainSupply chainSupply chainHuman health and social work activitiesResidential care servicesNaN</v>
      </c>
      <c r="AT543" s="182" t="s">
        <v>383</v>
      </c>
      <c r="AU543" s="182"/>
      <c r="AV543" s="208">
        <v>0.25</v>
      </c>
      <c r="AW543" s="208">
        <v>0.125</v>
      </c>
      <c r="AX543" s="311"/>
    </row>
    <row r="544" spans="39:50" x14ac:dyDescent="0.3">
      <c r="AM544" s="147" t="s">
        <v>267</v>
      </c>
      <c r="AN544" s="147" t="s">
        <v>385</v>
      </c>
      <c r="AO544" s="147" t="s">
        <v>385</v>
      </c>
      <c r="AP544" s="147" t="s">
        <v>240</v>
      </c>
      <c r="AQ544" s="147" t="s">
        <v>1832</v>
      </c>
      <c r="AR544" s="147" t="s">
        <v>339</v>
      </c>
      <c r="AS544" s="182" t="str">
        <f t="shared" si="16"/>
        <v>Supply ChainSupply chainSupply chainHuman health and social work activitiesSocial work services without accommodationNaN</v>
      </c>
      <c r="AT544" s="182" t="s">
        <v>383</v>
      </c>
      <c r="AU544" s="182"/>
      <c r="AV544" s="208">
        <v>0.25</v>
      </c>
      <c r="AW544" s="208">
        <v>0.125</v>
      </c>
      <c r="AX544" s="311"/>
    </row>
    <row r="545" spans="39:50" x14ac:dyDescent="0.3">
      <c r="AM545" s="147" t="s">
        <v>267</v>
      </c>
      <c r="AN545" s="147" t="s">
        <v>385</v>
      </c>
      <c r="AO545" s="147" t="s">
        <v>385</v>
      </c>
      <c r="AP545" s="147" t="s">
        <v>241</v>
      </c>
      <c r="AQ545" s="147" t="s">
        <v>1833</v>
      </c>
      <c r="AR545" s="147" t="s">
        <v>339</v>
      </c>
      <c r="AS545" s="182" t="str">
        <f t="shared" si="16"/>
        <v>Supply ChainSupply chainSupply chainArts, entertainment and recreationCreative, arts and entertainment servicesNaN</v>
      </c>
      <c r="AT545" s="182" t="s">
        <v>383</v>
      </c>
      <c r="AU545" s="182"/>
      <c r="AV545" s="208">
        <v>0.25</v>
      </c>
      <c r="AW545" s="208">
        <v>0.125</v>
      </c>
      <c r="AX545" s="311"/>
    </row>
    <row r="546" spans="39:50" x14ac:dyDescent="0.3">
      <c r="AM546" s="147" t="s">
        <v>267</v>
      </c>
      <c r="AN546" s="147" t="s">
        <v>385</v>
      </c>
      <c r="AO546" s="147" t="s">
        <v>385</v>
      </c>
      <c r="AP546" s="147" t="s">
        <v>241</v>
      </c>
      <c r="AQ546" s="147" t="s">
        <v>1834</v>
      </c>
      <c r="AR546" s="147" t="s">
        <v>339</v>
      </c>
      <c r="AS546" s="182" t="str">
        <f t="shared" si="16"/>
        <v>Supply ChainSupply chainSupply chainArts, entertainment and recreationLibraries, archives, museums and other cultural servicesNaN</v>
      </c>
      <c r="AT546" s="182" t="s">
        <v>383</v>
      </c>
      <c r="AU546" s="182"/>
      <c r="AV546" s="208">
        <v>0.25</v>
      </c>
      <c r="AW546" s="208">
        <v>0.125</v>
      </c>
      <c r="AX546" s="311"/>
    </row>
    <row r="547" spans="39:50" x14ac:dyDescent="0.3">
      <c r="AM547" s="147" t="s">
        <v>267</v>
      </c>
      <c r="AN547" s="147" t="s">
        <v>385</v>
      </c>
      <c r="AO547" s="147" t="s">
        <v>385</v>
      </c>
      <c r="AP547" s="147" t="s">
        <v>241</v>
      </c>
      <c r="AQ547" s="147" t="s">
        <v>1835</v>
      </c>
      <c r="AR547" s="147" t="s">
        <v>339</v>
      </c>
      <c r="AS547" s="182" t="str">
        <f t="shared" si="16"/>
        <v>Supply ChainSupply chainSupply chainArts, entertainment and recreationGambling and betting servicesNaN</v>
      </c>
      <c r="AT547" s="182" t="s">
        <v>383</v>
      </c>
      <c r="AU547" s="182"/>
      <c r="AV547" s="208">
        <v>0.25</v>
      </c>
      <c r="AW547" s="208">
        <v>0.125</v>
      </c>
      <c r="AX547" s="311"/>
    </row>
    <row r="548" spans="39:50" x14ac:dyDescent="0.3">
      <c r="AM548" s="147" t="s">
        <v>267</v>
      </c>
      <c r="AN548" s="147" t="s">
        <v>385</v>
      </c>
      <c r="AO548" s="147" t="s">
        <v>385</v>
      </c>
      <c r="AP548" s="147" t="s">
        <v>241</v>
      </c>
      <c r="AQ548" s="147" t="s">
        <v>1836</v>
      </c>
      <c r="AR548" s="147" t="s">
        <v>339</v>
      </c>
      <c r="AS548" s="182" t="str">
        <f t="shared" si="16"/>
        <v>Supply ChainSupply chainSupply chainArts, entertainment and recreationSports services and amusement and recreation servicesNaN</v>
      </c>
      <c r="AT548" s="182" t="s">
        <v>383</v>
      </c>
      <c r="AU548" s="182"/>
      <c r="AV548" s="208">
        <v>0.25</v>
      </c>
      <c r="AW548" s="208">
        <v>0.125</v>
      </c>
      <c r="AX548" s="311"/>
    </row>
    <row r="549" spans="39:50" x14ac:dyDescent="0.3">
      <c r="AM549" s="147" t="s">
        <v>267</v>
      </c>
      <c r="AN549" s="147" t="s">
        <v>385</v>
      </c>
      <c r="AO549" s="147" t="s">
        <v>385</v>
      </c>
      <c r="AP549" s="147" t="s">
        <v>242</v>
      </c>
      <c r="AQ549" s="147" t="s">
        <v>1837</v>
      </c>
      <c r="AR549" s="147" t="s">
        <v>339</v>
      </c>
      <c r="AS549" s="182" t="str">
        <f t="shared" si="16"/>
        <v>Supply ChainSupply chainSupply chainOther service activitiesServices furnished by membership organisationsNaN</v>
      </c>
      <c r="AT549" s="182" t="s">
        <v>383</v>
      </c>
      <c r="AU549" s="182"/>
      <c r="AV549" s="208">
        <v>0.25</v>
      </c>
      <c r="AW549" s="208">
        <v>0.125</v>
      </c>
      <c r="AX549" s="311"/>
    </row>
    <row r="550" spans="39:50" x14ac:dyDescent="0.3">
      <c r="AM550" s="147" t="s">
        <v>267</v>
      </c>
      <c r="AN550" s="147" t="s">
        <v>385</v>
      </c>
      <c r="AO550" s="147" t="s">
        <v>385</v>
      </c>
      <c r="AP550" s="147" t="s">
        <v>242</v>
      </c>
      <c r="AQ550" s="147" t="s">
        <v>1838</v>
      </c>
      <c r="AR550" s="147" t="s">
        <v>339</v>
      </c>
      <c r="AS550" s="182" t="str">
        <f t="shared" si="16"/>
        <v>Supply ChainSupply chainSupply chainOther service activitiesRepair services of computers and personal and household goodsNaN</v>
      </c>
      <c r="AT550" s="182" t="s">
        <v>383</v>
      </c>
      <c r="AU550" s="182"/>
      <c r="AV550" s="208">
        <v>0.25</v>
      </c>
      <c r="AW550" s="208">
        <v>0.125</v>
      </c>
      <c r="AX550" s="311"/>
    </row>
    <row r="551" spans="39:50" x14ac:dyDescent="0.3">
      <c r="AM551" s="147" t="s">
        <v>267</v>
      </c>
      <c r="AN551" s="147" t="s">
        <v>385</v>
      </c>
      <c r="AO551" s="147" t="s">
        <v>385</v>
      </c>
      <c r="AP551" s="147" t="s">
        <v>242</v>
      </c>
      <c r="AQ551" s="147" t="s">
        <v>1839</v>
      </c>
      <c r="AR551" s="147" t="s">
        <v>339</v>
      </c>
      <c r="AS551" s="182" t="str">
        <f t="shared" si="16"/>
        <v>Supply ChainSupply chainSupply chainOther service activitiesOther personal servicesNaN</v>
      </c>
      <c r="AT551" s="182" t="s">
        <v>383</v>
      </c>
      <c r="AU551" s="182"/>
      <c r="AV551" s="208">
        <v>0.25</v>
      </c>
      <c r="AW551" s="208">
        <v>0.125</v>
      </c>
      <c r="AX551" s="311"/>
    </row>
    <row r="552" spans="39:50" x14ac:dyDescent="0.3">
      <c r="AM552" s="147" t="s">
        <v>267</v>
      </c>
      <c r="AN552" s="147" t="s">
        <v>385</v>
      </c>
      <c r="AO552" s="147" t="s">
        <v>385</v>
      </c>
      <c r="AP552" s="147" t="s">
        <v>243</v>
      </c>
      <c r="AQ552" s="147" t="s">
        <v>1840</v>
      </c>
      <c r="AR552" s="147" t="s">
        <v>339</v>
      </c>
      <c r="AS552" s="182" t="str">
        <f t="shared" si="16"/>
        <v>Supply ChainSupply chainSupply chainActivities of households as employers; undifferentiated goods- and services-producing activities of households for own useServices of households as employers of domestic personnelNaN</v>
      </c>
      <c r="AT552" s="182" t="s">
        <v>383</v>
      </c>
      <c r="AU552" s="182"/>
      <c r="AV552" s="208">
        <v>0.25</v>
      </c>
      <c r="AW552" s="208">
        <v>0.125</v>
      </c>
      <c r="AX552" s="311"/>
    </row>
    <row r="553" spans="39:50" x14ac:dyDescent="0.3">
      <c r="AM553" s="147" t="s">
        <v>200</v>
      </c>
      <c r="AN553" s="147" t="s">
        <v>411</v>
      </c>
      <c r="AO553" s="147" t="s">
        <v>1045</v>
      </c>
      <c r="AP553" s="147" t="s">
        <v>1046</v>
      </c>
      <c r="AQ553" s="147" t="s">
        <v>1045</v>
      </c>
      <c r="AR553" s="147" t="s">
        <v>1047</v>
      </c>
      <c r="AS553" s="182" t="str">
        <f t="shared" si="16"/>
        <v>FLAGLand useForest landMineralForest landRemovals</v>
      </c>
      <c r="AT553" s="182" t="s">
        <v>410</v>
      </c>
      <c r="AU553" s="182" t="s">
        <v>1048</v>
      </c>
      <c r="AV553" s="208">
        <v>0.25</v>
      </c>
      <c r="AW553" s="208">
        <v>0.15</v>
      </c>
      <c r="AX553" s="311">
        <v>0.1</v>
      </c>
    </row>
    <row r="554" spans="39:50" x14ac:dyDescent="0.3">
      <c r="AM554" s="147" t="s">
        <v>200</v>
      </c>
      <c r="AN554" s="147" t="s">
        <v>411</v>
      </c>
      <c r="AO554" s="147" t="s">
        <v>1045</v>
      </c>
      <c r="AP554" s="147" t="s">
        <v>1046</v>
      </c>
      <c r="AQ554" s="147" t="s">
        <v>1049</v>
      </c>
      <c r="AR554" s="147" t="s">
        <v>1047</v>
      </c>
      <c r="AS554" s="182" t="str">
        <f t="shared" si="16"/>
        <v>FLAGLand useForest landMineralCroplandRemovals</v>
      </c>
      <c r="AT554" s="182" t="s">
        <v>410</v>
      </c>
      <c r="AU554" s="182" t="s">
        <v>1048</v>
      </c>
      <c r="AV554" s="208">
        <v>0.25</v>
      </c>
      <c r="AW554" s="208">
        <v>0.15</v>
      </c>
      <c r="AX554" s="311">
        <v>0.1</v>
      </c>
    </row>
    <row r="555" spans="39:50" x14ac:dyDescent="0.3">
      <c r="AM555" s="147" t="s">
        <v>200</v>
      </c>
      <c r="AN555" s="147" t="s">
        <v>411</v>
      </c>
      <c r="AO555" s="147" t="s">
        <v>1045</v>
      </c>
      <c r="AP555" s="147" t="s">
        <v>1046</v>
      </c>
      <c r="AQ555" s="147" t="s">
        <v>1050</v>
      </c>
      <c r="AR555" s="147" t="s">
        <v>1047</v>
      </c>
      <c r="AS555" s="182" t="str">
        <f t="shared" si="16"/>
        <v>FLAGLand useForest landMineralGrasslandRemovals</v>
      </c>
      <c r="AT555" s="182" t="s">
        <v>410</v>
      </c>
      <c r="AU555" s="182" t="s">
        <v>1048</v>
      </c>
      <c r="AV555" s="208">
        <v>0.25</v>
      </c>
      <c r="AW555" s="208">
        <v>0.15</v>
      </c>
      <c r="AX555" s="311">
        <v>0.1</v>
      </c>
    </row>
    <row r="556" spans="39:50" x14ac:dyDescent="0.3">
      <c r="AM556" s="147" t="s">
        <v>200</v>
      </c>
      <c r="AN556" s="147" t="s">
        <v>411</v>
      </c>
      <c r="AO556" s="147" t="s">
        <v>1045</v>
      </c>
      <c r="AP556" s="147" t="s">
        <v>1046</v>
      </c>
      <c r="AQ556" s="147" t="s">
        <v>1051</v>
      </c>
      <c r="AR556" s="147" t="s">
        <v>1047</v>
      </c>
      <c r="AS556" s="182" t="str">
        <f t="shared" si="16"/>
        <v>FLAGLand useForest landMineralSettlementsRemovals</v>
      </c>
      <c r="AT556" s="182" t="s">
        <v>410</v>
      </c>
      <c r="AU556" s="182" t="s">
        <v>1048</v>
      </c>
      <c r="AV556" s="208">
        <v>0.25</v>
      </c>
      <c r="AW556" s="208">
        <v>0.15</v>
      </c>
      <c r="AX556" s="311">
        <v>0.1</v>
      </c>
    </row>
    <row r="557" spans="39:50" x14ac:dyDescent="0.3">
      <c r="AM557" s="147" t="s">
        <v>200</v>
      </c>
      <c r="AN557" s="147" t="s">
        <v>411</v>
      </c>
      <c r="AO557" s="147" t="s">
        <v>1049</v>
      </c>
      <c r="AP557" s="147" t="s">
        <v>1046</v>
      </c>
      <c r="AQ557" s="147" t="s">
        <v>1045</v>
      </c>
      <c r="AR557" s="147" t="s">
        <v>1052</v>
      </c>
      <c r="AS557" s="182" t="str">
        <f t="shared" si="16"/>
        <v>FLAGLand useCroplandMineralForest landEmissions</v>
      </c>
      <c r="AT557" s="182" t="s">
        <v>410</v>
      </c>
      <c r="AU557" s="182" t="s">
        <v>1048</v>
      </c>
      <c r="AV557" s="208">
        <v>0.25</v>
      </c>
      <c r="AW557" s="208">
        <v>0.15</v>
      </c>
      <c r="AX557" s="311">
        <v>0.1</v>
      </c>
    </row>
    <row r="558" spans="39:50" x14ac:dyDescent="0.3">
      <c r="AM558" s="147" t="s">
        <v>200</v>
      </c>
      <c r="AN558" s="147" t="s">
        <v>411</v>
      </c>
      <c r="AO558" s="147" t="s">
        <v>1049</v>
      </c>
      <c r="AP558" s="147" t="s">
        <v>1046</v>
      </c>
      <c r="AQ558" s="147" t="s">
        <v>1049</v>
      </c>
      <c r="AR558" s="147" t="s">
        <v>1052</v>
      </c>
      <c r="AS558" s="182" t="str">
        <f t="shared" si="16"/>
        <v>FLAGLand useCroplandMineralCroplandEmissions</v>
      </c>
      <c r="AT558" s="182" t="s">
        <v>410</v>
      </c>
      <c r="AU558" s="182" t="s">
        <v>1048</v>
      </c>
      <c r="AV558" s="208">
        <v>0.25</v>
      </c>
      <c r="AW558" s="208">
        <v>0.15</v>
      </c>
      <c r="AX558" s="311">
        <v>0.1</v>
      </c>
    </row>
    <row r="559" spans="39:50" x14ac:dyDescent="0.3">
      <c r="AM559" s="147" t="s">
        <v>200</v>
      </c>
      <c r="AN559" s="147" t="s">
        <v>411</v>
      </c>
      <c r="AO559" s="147" t="s">
        <v>1049</v>
      </c>
      <c r="AP559" s="147" t="s">
        <v>1046</v>
      </c>
      <c r="AQ559" s="147" t="s">
        <v>1050</v>
      </c>
      <c r="AR559" s="147" t="s">
        <v>1052</v>
      </c>
      <c r="AS559" s="182" t="str">
        <f t="shared" si="16"/>
        <v>FLAGLand useCroplandMineralGrasslandEmissions</v>
      </c>
      <c r="AT559" s="182" t="s">
        <v>410</v>
      </c>
      <c r="AU559" s="182" t="s">
        <v>1048</v>
      </c>
      <c r="AV559" s="208">
        <v>0.25</v>
      </c>
      <c r="AW559" s="208">
        <v>0.15</v>
      </c>
      <c r="AX559" s="311">
        <v>0.1</v>
      </c>
    </row>
    <row r="560" spans="39:50" x14ac:dyDescent="0.3">
      <c r="AM560" s="147" t="s">
        <v>200</v>
      </c>
      <c r="AN560" s="147" t="s">
        <v>411</v>
      </c>
      <c r="AO560" s="147" t="s">
        <v>1049</v>
      </c>
      <c r="AP560" s="147" t="s">
        <v>1046</v>
      </c>
      <c r="AQ560" s="147" t="s">
        <v>1051</v>
      </c>
      <c r="AR560" s="147" t="s">
        <v>1047</v>
      </c>
      <c r="AS560" s="182" t="str">
        <f t="shared" si="16"/>
        <v>FLAGLand useCroplandMineralSettlementsRemovals</v>
      </c>
      <c r="AT560" s="182" t="s">
        <v>410</v>
      </c>
      <c r="AU560" s="182" t="s">
        <v>1048</v>
      </c>
      <c r="AV560" s="208">
        <v>0.25</v>
      </c>
      <c r="AW560" s="208">
        <v>0.15</v>
      </c>
      <c r="AX560" s="311">
        <v>0.1</v>
      </c>
    </row>
    <row r="561" spans="39:50" x14ac:dyDescent="0.3">
      <c r="AM561" s="147" t="s">
        <v>200</v>
      </c>
      <c r="AN561" s="147" t="s">
        <v>411</v>
      </c>
      <c r="AO561" s="147" t="s">
        <v>1050</v>
      </c>
      <c r="AP561" s="147" t="s">
        <v>1046</v>
      </c>
      <c r="AQ561" s="147" t="s">
        <v>1045</v>
      </c>
      <c r="AR561" s="147" t="s">
        <v>1052</v>
      </c>
      <c r="AS561" s="182" t="str">
        <f t="shared" si="16"/>
        <v>FLAGLand useGrasslandMineralForest landEmissions</v>
      </c>
      <c r="AT561" s="182" t="s">
        <v>410</v>
      </c>
      <c r="AU561" s="182" t="s">
        <v>1048</v>
      </c>
      <c r="AV561" s="208">
        <v>0.25</v>
      </c>
      <c r="AW561" s="208">
        <v>0.15</v>
      </c>
      <c r="AX561" s="311">
        <v>0.1</v>
      </c>
    </row>
    <row r="562" spans="39:50" x14ac:dyDescent="0.3">
      <c r="AM562" s="147" t="s">
        <v>200</v>
      </c>
      <c r="AN562" s="147" t="s">
        <v>411</v>
      </c>
      <c r="AO562" s="147" t="s">
        <v>1050</v>
      </c>
      <c r="AP562" s="147" t="s">
        <v>1046</v>
      </c>
      <c r="AQ562" s="147" t="s">
        <v>1049</v>
      </c>
      <c r="AR562" s="147" t="s">
        <v>1047</v>
      </c>
      <c r="AS562" s="182" t="str">
        <f t="shared" si="16"/>
        <v>FLAGLand useGrasslandMineralCroplandRemovals</v>
      </c>
      <c r="AT562" s="182" t="s">
        <v>410</v>
      </c>
      <c r="AU562" s="182" t="s">
        <v>1048</v>
      </c>
      <c r="AV562" s="208">
        <v>0.25</v>
      </c>
      <c r="AW562" s="208">
        <v>0.15</v>
      </c>
      <c r="AX562" s="311">
        <v>0.1</v>
      </c>
    </row>
    <row r="563" spans="39:50" x14ac:dyDescent="0.3">
      <c r="AM563" s="147" t="s">
        <v>200</v>
      </c>
      <c r="AN563" s="147" t="s">
        <v>411</v>
      </c>
      <c r="AO563" s="147" t="s">
        <v>1050</v>
      </c>
      <c r="AP563" s="147" t="s">
        <v>1046</v>
      </c>
      <c r="AQ563" s="147" t="s">
        <v>1050</v>
      </c>
      <c r="AR563" s="147" t="s">
        <v>1047</v>
      </c>
      <c r="AS563" s="182" t="str">
        <f t="shared" si="16"/>
        <v>FLAGLand useGrasslandMineralGrasslandRemovals</v>
      </c>
      <c r="AT563" s="182" t="s">
        <v>410</v>
      </c>
      <c r="AU563" s="182" t="s">
        <v>1048</v>
      </c>
      <c r="AV563" s="208">
        <v>0.25</v>
      </c>
      <c r="AW563" s="208">
        <v>0.15</v>
      </c>
      <c r="AX563" s="311">
        <v>0.1</v>
      </c>
    </row>
    <row r="564" spans="39:50" x14ac:dyDescent="0.3">
      <c r="AM564" s="147" t="s">
        <v>200</v>
      </c>
      <c r="AN564" s="147" t="s">
        <v>411</v>
      </c>
      <c r="AO564" s="147" t="s">
        <v>1050</v>
      </c>
      <c r="AP564" s="147" t="s">
        <v>1046</v>
      </c>
      <c r="AQ564" s="147" t="s">
        <v>1051</v>
      </c>
      <c r="AR564" s="147" t="s">
        <v>1047</v>
      </c>
      <c r="AS564" s="182" t="str">
        <f t="shared" si="16"/>
        <v>FLAGLand useGrasslandMineralSettlementsRemovals</v>
      </c>
      <c r="AT564" s="182" t="s">
        <v>410</v>
      </c>
      <c r="AU564" s="182" t="s">
        <v>1048</v>
      </c>
      <c r="AV564" s="208">
        <v>0.25</v>
      </c>
      <c r="AW564" s="208">
        <v>0.15</v>
      </c>
      <c r="AX564" s="311">
        <v>0.1</v>
      </c>
    </row>
    <row r="565" spans="39:50" x14ac:dyDescent="0.3">
      <c r="AM565" s="147" t="s">
        <v>200</v>
      </c>
      <c r="AN565" s="147" t="s">
        <v>411</v>
      </c>
      <c r="AO565" s="147" t="s">
        <v>1051</v>
      </c>
      <c r="AP565" s="147" t="s">
        <v>1046</v>
      </c>
      <c r="AQ565" s="147" t="s">
        <v>1045</v>
      </c>
      <c r="AR565" s="147" t="s">
        <v>1052</v>
      </c>
      <c r="AS565" s="182" t="str">
        <f t="shared" si="16"/>
        <v>FLAGLand useSettlementsMineralForest landEmissions</v>
      </c>
      <c r="AT565" s="182" t="s">
        <v>410</v>
      </c>
      <c r="AU565" s="182" t="s">
        <v>1048</v>
      </c>
      <c r="AV565" s="208">
        <v>0.25</v>
      </c>
      <c r="AW565" s="208">
        <v>0.15</v>
      </c>
      <c r="AX565" s="311">
        <v>0.1</v>
      </c>
    </row>
    <row r="566" spans="39:50" x14ac:dyDescent="0.3">
      <c r="AM566" s="147" t="s">
        <v>200</v>
      </c>
      <c r="AN566" s="147" t="s">
        <v>411</v>
      </c>
      <c r="AO566" s="147" t="s">
        <v>1051</v>
      </c>
      <c r="AP566" s="147" t="s">
        <v>1046</v>
      </c>
      <c r="AQ566" s="147" t="s">
        <v>1049</v>
      </c>
      <c r="AR566" s="147" t="s">
        <v>1052</v>
      </c>
      <c r="AS566" s="182" t="str">
        <f t="shared" si="16"/>
        <v>FLAGLand useSettlementsMineralCroplandEmissions</v>
      </c>
      <c r="AT566" s="182" t="s">
        <v>410</v>
      </c>
      <c r="AU566" s="182" t="s">
        <v>1048</v>
      </c>
      <c r="AV566" s="208">
        <v>0.25</v>
      </c>
      <c r="AW566" s="208">
        <v>0.15</v>
      </c>
      <c r="AX566" s="311">
        <v>0.1</v>
      </c>
    </row>
    <row r="567" spans="39:50" x14ac:dyDescent="0.3">
      <c r="AM567" s="147" t="s">
        <v>200</v>
      </c>
      <c r="AN567" s="147" t="s">
        <v>411</v>
      </c>
      <c r="AO567" s="147" t="s">
        <v>1051</v>
      </c>
      <c r="AP567" s="147" t="s">
        <v>1046</v>
      </c>
      <c r="AQ567" s="147" t="s">
        <v>1050</v>
      </c>
      <c r="AR567" s="147" t="s">
        <v>1052</v>
      </c>
      <c r="AS567" s="182" t="str">
        <f t="shared" si="16"/>
        <v>FLAGLand useSettlementsMineralGrasslandEmissions</v>
      </c>
      <c r="AT567" s="182" t="s">
        <v>410</v>
      </c>
      <c r="AU567" s="182" t="s">
        <v>1048</v>
      </c>
      <c r="AV567" s="208">
        <v>0.25</v>
      </c>
      <c r="AW567" s="208">
        <v>0.15</v>
      </c>
      <c r="AX567" s="311">
        <v>0.1</v>
      </c>
    </row>
    <row r="568" spans="39:50" x14ac:dyDescent="0.3">
      <c r="AM568" s="147" t="s">
        <v>200</v>
      </c>
      <c r="AN568" s="147" t="s">
        <v>411</v>
      </c>
      <c r="AO568" s="147" t="s">
        <v>1051</v>
      </c>
      <c r="AP568" s="147" t="s">
        <v>1046</v>
      </c>
      <c r="AQ568" s="147" t="s">
        <v>1051</v>
      </c>
      <c r="AR568" s="147" t="s">
        <v>1052</v>
      </c>
      <c r="AS568" s="182" t="str">
        <f t="shared" si="16"/>
        <v>FLAGLand useSettlementsMineralSettlementsEmissions</v>
      </c>
      <c r="AT568" s="182" t="s">
        <v>410</v>
      </c>
      <c r="AU568" s="182" t="s">
        <v>1048</v>
      </c>
      <c r="AV568" s="208">
        <v>0.25</v>
      </c>
      <c r="AW568" s="208">
        <v>0.15</v>
      </c>
      <c r="AX568" s="311">
        <v>0.1</v>
      </c>
    </row>
    <row r="569" spans="39:50" x14ac:dyDescent="0.3">
      <c r="AM569" s="147" t="s">
        <v>200</v>
      </c>
      <c r="AN569" s="147" t="s">
        <v>411</v>
      </c>
      <c r="AO569" s="147" t="s">
        <v>1045</v>
      </c>
      <c r="AP569" s="147" t="s">
        <v>1053</v>
      </c>
      <c r="AQ569" s="147" t="s">
        <v>1045</v>
      </c>
      <c r="AR569" s="147" t="s">
        <v>1047</v>
      </c>
      <c r="AS569" s="182" t="str">
        <f t="shared" si="16"/>
        <v>FLAGLand useForest landOrganicForest landRemovals</v>
      </c>
      <c r="AT569" s="182" t="s">
        <v>410</v>
      </c>
      <c r="AU569" s="182" t="s">
        <v>1048</v>
      </c>
      <c r="AV569" s="208">
        <v>0.25</v>
      </c>
      <c r="AW569" s="208">
        <v>0.15</v>
      </c>
      <c r="AX569" s="311">
        <v>0.1</v>
      </c>
    </row>
    <row r="570" spans="39:50" x14ac:dyDescent="0.3">
      <c r="AM570" s="147" t="s">
        <v>200</v>
      </c>
      <c r="AN570" s="147" t="s">
        <v>411</v>
      </c>
      <c r="AO570" s="147" t="s">
        <v>1045</v>
      </c>
      <c r="AP570" s="147" t="s">
        <v>1053</v>
      </c>
      <c r="AQ570" s="147" t="s">
        <v>1049</v>
      </c>
      <c r="AR570" s="147" t="s">
        <v>1052</v>
      </c>
      <c r="AS570" s="182" t="str">
        <f t="shared" si="16"/>
        <v>FLAGLand useForest landOrganicCroplandEmissions</v>
      </c>
      <c r="AT570" s="182" t="s">
        <v>410</v>
      </c>
      <c r="AU570" s="182" t="s">
        <v>1048</v>
      </c>
      <c r="AV570" s="208">
        <v>0.25</v>
      </c>
      <c r="AW570" s="208">
        <v>0.15</v>
      </c>
      <c r="AX570" s="311">
        <v>0.1</v>
      </c>
    </row>
    <row r="571" spans="39:50" x14ac:dyDescent="0.3">
      <c r="AM571" s="147" t="s">
        <v>200</v>
      </c>
      <c r="AN571" s="147" t="s">
        <v>411</v>
      </c>
      <c r="AO571" s="147" t="s">
        <v>1045</v>
      </c>
      <c r="AP571" s="147" t="s">
        <v>1053</v>
      </c>
      <c r="AQ571" s="147" t="s">
        <v>1050</v>
      </c>
      <c r="AR571" s="147" t="s">
        <v>1052</v>
      </c>
      <c r="AS571" s="182" t="str">
        <f t="shared" si="16"/>
        <v>FLAGLand useForest landOrganicGrasslandEmissions</v>
      </c>
      <c r="AT571" s="182" t="s">
        <v>410</v>
      </c>
      <c r="AU571" s="182" t="s">
        <v>1048</v>
      </c>
      <c r="AV571" s="208">
        <v>0.25</v>
      </c>
      <c r="AW571" s="208">
        <v>0.15</v>
      </c>
      <c r="AX571" s="311">
        <v>0.1</v>
      </c>
    </row>
    <row r="572" spans="39:50" x14ac:dyDescent="0.3">
      <c r="AM572" s="147" t="s">
        <v>200</v>
      </c>
      <c r="AN572" s="147" t="s">
        <v>411</v>
      </c>
      <c r="AO572" s="147" t="s">
        <v>1045</v>
      </c>
      <c r="AP572" s="147" t="s">
        <v>1053</v>
      </c>
      <c r="AQ572" s="147" t="s">
        <v>1051</v>
      </c>
      <c r="AR572" s="147" t="s">
        <v>1052</v>
      </c>
      <c r="AS572" s="182" t="str">
        <f t="shared" si="16"/>
        <v>FLAGLand useForest landOrganicSettlementsEmissions</v>
      </c>
      <c r="AT572" s="182" t="s">
        <v>410</v>
      </c>
      <c r="AU572" s="182" t="s">
        <v>1048</v>
      </c>
      <c r="AV572" s="208">
        <v>0.25</v>
      </c>
      <c r="AW572" s="208">
        <v>0.15</v>
      </c>
      <c r="AX572" s="311">
        <v>0.1</v>
      </c>
    </row>
    <row r="573" spans="39:50" x14ac:dyDescent="0.3">
      <c r="AM573" s="147" t="s">
        <v>200</v>
      </c>
      <c r="AN573" s="147" t="s">
        <v>411</v>
      </c>
      <c r="AO573" s="147" t="s">
        <v>1049</v>
      </c>
      <c r="AP573" s="147" t="s">
        <v>1053</v>
      </c>
      <c r="AQ573" s="147" t="s">
        <v>1049</v>
      </c>
      <c r="AR573" s="147" t="s">
        <v>1052</v>
      </c>
      <c r="AS573" s="182" t="str">
        <f t="shared" si="16"/>
        <v>FLAGLand useCroplandOrganicCroplandEmissions</v>
      </c>
      <c r="AT573" s="182" t="s">
        <v>410</v>
      </c>
      <c r="AU573" s="182" t="s">
        <v>1048</v>
      </c>
      <c r="AV573" s="208">
        <v>0.25</v>
      </c>
      <c r="AW573" s="208">
        <v>0.15</v>
      </c>
      <c r="AX573" s="311">
        <v>0.1</v>
      </c>
    </row>
    <row r="574" spans="39:50" x14ac:dyDescent="0.3">
      <c r="AM574" s="147" t="s">
        <v>200</v>
      </c>
      <c r="AN574" s="147" t="s">
        <v>411</v>
      </c>
      <c r="AO574" s="147" t="s">
        <v>1049</v>
      </c>
      <c r="AP574" s="147" t="s">
        <v>1053</v>
      </c>
      <c r="AQ574" s="147" t="s">
        <v>1050</v>
      </c>
      <c r="AR574" s="147" t="s">
        <v>1047</v>
      </c>
      <c r="AS574" s="182" t="str">
        <f t="shared" si="16"/>
        <v>FLAGLand useCroplandOrganicGrasslandRemovals</v>
      </c>
      <c r="AT574" s="182" t="s">
        <v>410</v>
      </c>
      <c r="AU574" s="182" t="s">
        <v>1048</v>
      </c>
      <c r="AV574" s="208">
        <v>0.25</v>
      </c>
      <c r="AW574" s="208">
        <v>0.15</v>
      </c>
      <c r="AX574" s="311">
        <v>0.1</v>
      </c>
    </row>
    <row r="575" spans="39:50" x14ac:dyDescent="0.3">
      <c r="AM575" s="147" t="s">
        <v>200</v>
      </c>
      <c r="AN575" s="147" t="s">
        <v>411</v>
      </c>
      <c r="AO575" s="147" t="s">
        <v>1049</v>
      </c>
      <c r="AP575" s="147" t="s">
        <v>1053</v>
      </c>
      <c r="AQ575" s="147" t="s">
        <v>1051</v>
      </c>
      <c r="AR575" s="147" t="s">
        <v>1047</v>
      </c>
      <c r="AS575" s="182" t="str">
        <f t="shared" si="16"/>
        <v>FLAGLand useCroplandOrganicSettlementsRemovals</v>
      </c>
      <c r="AT575" s="182" t="s">
        <v>410</v>
      </c>
      <c r="AU575" s="182" t="s">
        <v>1048</v>
      </c>
      <c r="AV575" s="208">
        <v>0.25</v>
      </c>
      <c r="AW575" s="208">
        <v>0.15</v>
      </c>
      <c r="AX575" s="311">
        <v>0.1</v>
      </c>
    </row>
    <row r="576" spans="39:50" x14ac:dyDescent="0.3">
      <c r="AM576" s="147" t="s">
        <v>200</v>
      </c>
      <c r="AN576" s="147" t="s">
        <v>411</v>
      </c>
      <c r="AO576" s="147" t="s">
        <v>1050</v>
      </c>
      <c r="AP576" s="147" t="s">
        <v>1053</v>
      </c>
      <c r="AQ576" s="147" t="s">
        <v>1045</v>
      </c>
      <c r="AR576" s="147" t="s">
        <v>1052</v>
      </c>
      <c r="AS576" s="182" t="str">
        <f t="shared" si="16"/>
        <v>FLAGLand useGrasslandOrganicForest landEmissions</v>
      </c>
      <c r="AT576" s="182" t="s">
        <v>410</v>
      </c>
      <c r="AU576" s="182" t="s">
        <v>1048</v>
      </c>
      <c r="AV576" s="208">
        <v>0.25</v>
      </c>
      <c r="AW576" s="208">
        <v>0.15</v>
      </c>
      <c r="AX576" s="311">
        <v>0.1</v>
      </c>
    </row>
    <row r="577" spans="39:50" x14ac:dyDescent="0.3">
      <c r="AM577" s="147" t="s">
        <v>200</v>
      </c>
      <c r="AN577" s="147" t="s">
        <v>411</v>
      </c>
      <c r="AO577" s="147" t="s">
        <v>1050</v>
      </c>
      <c r="AP577" s="147" t="s">
        <v>1053</v>
      </c>
      <c r="AQ577" s="147" t="s">
        <v>1049</v>
      </c>
      <c r="AR577" s="147" t="s">
        <v>1052</v>
      </c>
      <c r="AS577" s="182" t="str">
        <f t="shared" si="16"/>
        <v>FLAGLand useGrasslandOrganicCroplandEmissions</v>
      </c>
      <c r="AT577" s="182" t="s">
        <v>410</v>
      </c>
      <c r="AU577" s="182" t="s">
        <v>1048</v>
      </c>
      <c r="AV577" s="208">
        <v>0.25</v>
      </c>
      <c r="AW577" s="208">
        <v>0.15</v>
      </c>
      <c r="AX577" s="311">
        <v>0.1</v>
      </c>
    </row>
    <row r="578" spans="39:50" x14ac:dyDescent="0.3">
      <c r="AM578" s="147" t="s">
        <v>200</v>
      </c>
      <c r="AN578" s="147" t="s">
        <v>411</v>
      </c>
      <c r="AO578" s="147" t="s">
        <v>1050</v>
      </c>
      <c r="AP578" s="147" t="s">
        <v>1053</v>
      </c>
      <c r="AQ578" s="147" t="s">
        <v>1050</v>
      </c>
      <c r="AR578" s="147" t="s">
        <v>1052</v>
      </c>
      <c r="AS578" s="182" t="str">
        <f t="shared" si="16"/>
        <v>FLAGLand useGrasslandOrganicGrasslandEmissions</v>
      </c>
      <c r="AT578" s="182" t="s">
        <v>410</v>
      </c>
      <c r="AU578" s="182" t="s">
        <v>1048</v>
      </c>
      <c r="AV578" s="208">
        <v>0.25</v>
      </c>
      <c r="AW578" s="208">
        <v>0.15</v>
      </c>
      <c r="AX578" s="311">
        <v>0.1</v>
      </c>
    </row>
    <row r="579" spans="39:50" x14ac:dyDescent="0.3">
      <c r="AM579" s="147" t="s">
        <v>200</v>
      </c>
      <c r="AN579" s="147" t="s">
        <v>411</v>
      </c>
      <c r="AO579" s="147" t="s">
        <v>1050</v>
      </c>
      <c r="AP579" s="147" t="s">
        <v>1053</v>
      </c>
      <c r="AQ579" s="147" t="s">
        <v>1051</v>
      </c>
      <c r="AR579" s="147" t="s">
        <v>1047</v>
      </c>
      <c r="AS579" s="182" t="str">
        <f t="shared" si="16"/>
        <v>FLAGLand useGrasslandOrganicSettlementsRemovals</v>
      </c>
      <c r="AT579" s="182" t="s">
        <v>410</v>
      </c>
      <c r="AU579" s="182" t="s">
        <v>1048</v>
      </c>
      <c r="AV579" s="208">
        <v>0.25</v>
      </c>
      <c r="AW579" s="208">
        <v>0.15</v>
      </c>
      <c r="AX579" s="311">
        <v>0.1</v>
      </c>
    </row>
    <row r="580" spans="39:50" x14ac:dyDescent="0.3">
      <c r="AM580" s="147" t="s">
        <v>200</v>
      </c>
      <c r="AN580" s="147" t="s">
        <v>411</v>
      </c>
      <c r="AO580" s="147" t="s">
        <v>1051</v>
      </c>
      <c r="AP580" s="147" t="s">
        <v>1053</v>
      </c>
      <c r="AQ580" s="147" t="s">
        <v>1045</v>
      </c>
      <c r="AR580" s="147" t="s">
        <v>1052</v>
      </c>
      <c r="AS580" s="182" t="str">
        <f t="shared" si="16"/>
        <v>FLAGLand useSettlementsOrganicForest landEmissions</v>
      </c>
      <c r="AT580" s="182" t="s">
        <v>410</v>
      </c>
      <c r="AU580" s="182" t="s">
        <v>1048</v>
      </c>
      <c r="AV580" s="208">
        <v>0.25</v>
      </c>
      <c r="AW580" s="208">
        <v>0.15</v>
      </c>
      <c r="AX580" s="311">
        <v>0.1</v>
      </c>
    </row>
    <row r="581" spans="39:50" x14ac:dyDescent="0.3">
      <c r="AM581" s="147" t="s">
        <v>200</v>
      </c>
      <c r="AN581" s="147" t="s">
        <v>411</v>
      </c>
      <c r="AO581" s="147" t="s">
        <v>1051</v>
      </c>
      <c r="AP581" s="147" t="s">
        <v>1053</v>
      </c>
      <c r="AQ581" s="147" t="s">
        <v>1049</v>
      </c>
      <c r="AR581" s="147" t="s">
        <v>1052</v>
      </c>
      <c r="AS581" s="182" t="str">
        <f t="shared" si="16"/>
        <v>FLAGLand useSettlementsOrganicCroplandEmissions</v>
      </c>
      <c r="AT581" s="182" t="s">
        <v>410</v>
      </c>
      <c r="AU581" s="182" t="s">
        <v>1048</v>
      </c>
      <c r="AV581" s="208">
        <v>0.25</v>
      </c>
      <c r="AW581" s="208">
        <v>0.15</v>
      </c>
      <c r="AX581" s="311">
        <v>0.1</v>
      </c>
    </row>
    <row r="582" spans="39:50" x14ac:dyDescent="0.3">
      <c r="AM582" s="147" t="s">
        <v>200</v>
      </c>
      <c r="AN582" s="147" t="s">
        <v>411</v>
      </c>
      <c r="AO582" s="147" t="s">
        <v>1051</v>
      </c>
      <c r="AP582" s="147" t="s">
        <v>1053</v>
      </c>
      <c r="AQ582" s="147" t="s">
        <v>1050</v>
      </c>
      <c r="AR582" s="147" t="s">
        <v>1052</v>
      </c>
      <c r="AS582" s="182" t="str">
        <f t="shared" si="16"/>
        <v>FLAGLand useSettlementsOrganicGrasslandEmissions</v>
      </c>
      <c r="AT582" s="182" t="s">
        <v>410</v>
      </c>
      <c r="AU582" s="182" t="s">
        <v>1048</v>
      </c>
      <c r="AV582" s="208">
        <v>0.25</v>
      </c>
      <c r="AW582" s="208">
        <v>0.15</v>
      </c>
      <c r="AX582" s="311">
        <v>0.1</v>
      </c>
    </row>
    <row r="583" spans="39:50" x14ac:dyDescent="0.3">
      <c r="AM583" s="147" t="s">
        <v>200</v>
      </c>
      <c r="AN583" s="147" t="s">
        <v>148</v>
      </c>
      <c r="AO583" s="147" t="s">
        <v>148</v>
      </c>
      <c r="AP583" s="147" t="s">
        <v>1054</v>
      </c>
      <c r="AQ583" s="147" t="s">
        <v>1055</v>
      </c>
      <c r="AR583" s="147" t="s">
        <v>1052</v>
      </c>
      <c r="AS583" s="182" t="str">
        <f t="shared" si="16"/>
        <v>FLAGAgricultureAgricultureFarmland SoilsArable landEmissions</v>
      </c>
      <c r="AT583" s="182" t="s">
        <v>410</v>
      </c>
      <c r="AU583" s="182" t="s">
        <v>1048</v>
      </c>
      <c r="AV583" s="208">
        <v>0.25</v>
      </c>
      <c r="AW583" s="208">
        <v>0.15</v>
      </c>
      <c r="AX583" s="311">
        <v>0.1</v>
      </c>
    </row>
    <row r="584" spans="39:50" x14ac:dyDescent="0.3">
      <c r="AM584" s="147" t="s">
        <v>200</v>
      </c>
      <c r="AN584" s="147" t="s">
        <v>148</v>
      </c>
      <c r="AO584" s="147" t="s">
        <v>148</v>
      </c>
      <c r="AP584" s="147" t="s">
        <v>1054</v>
      </c>
      <c r="AQ584" s="147" t="s">
        <v>1056</v>
      </c>
      <c r="AR584" s="147" t="s">
        <v>1052</v>
      </c>
      <c r="AS584" s="182" t="str">
        <f t="shared" si="16"/>
        <v>FLAGAgricultureAgricultureFarmland SoilsImproved grasslandEmissions</v>
      </c>
      <c r="AT584" s="182" t="s">
        <v>410</v>
      </c>
      <c r="AU584" s="182" t="s">
        <v>1048</v>
      </c>
      <c r="AV584" s="208">
        <v>0.25</v>
      </c>
      <c r="AW584" s="208">
        <v>0.15</v>
      </c>
      <c r="AX584" s="311">
        <v>0.1</v>
      </c>
    </row>
    <row r="585" spans="39:50" x14ac:dyDescent="0.3">
      <c r="AM585" s="147" t="s">
        <v>200</v>
      </c>
      <c r="AN585" s="147" t="s">
        <v>148</v>
      </c>
      <c r="AO585" s="147" t="s">
        <v>148</v>
      </c>
      <c r="AP585" s="147" t="s">
        <v>1057</v>
      </c>
      <c r="AQ585" s="147" t="s">
        <v>1058</v>
      </c>
      <c r="AR585" s="147" t="s">
        <v>1052</v>
      </c>
      <c r="AS585" s="182" t="str">
        <f t="shared" si="16"/>
        <v>FLAGAgricultureAgricultureLivestockDairy cattleEmissions</v>
      </c>
      <c r="AT585" s="182" t="s">
        <v>1059</v>
      </c>
      <c r="AU585" s="182"/>
      <c r="AV585" s="208">
        <v>0.2</v>
      </c>
      <c r="AW585" s="208"/>
      <c r="AX585" s="311"/>
    </row>
    <row r="586" spans="39:50" x14ac:dyDescent="0.3">
      <c r="AM586" s="147" t="s">
        <v>200</v>
      </c>
      <c r="AN586" s="147" t="s">
        <v>148</v>
      </c>
      <c r="AO586" s="147" t="s">
        <v>148</v>
      </c>
      <c r="AP586" s="147" t="s">
        <v>1057</v>
      </c>
      <c r="AQ586" s="147" t="s">
        <v>1060</v>
      </c>
      <c r="AR586" s="147" t="s">
        <v>1052</v>
      </c>
      <c r="AS586" s="182" t="str">
        <f t="shared" si="16"/>
        <v>FLAGAgricultureAgricultureLivestockHorsesEmissions</v>
      </c>
      <c r="AT586" s="182" t="s">
        <v>1059</v>
      </c>
      <c r="AU586" s="182"/>
      <c r="AV586" s="208">
        <v>0.2</v>
      </c>
      <c r="AW586" s="208"/>
      <c r="AX586" s="311"/>
    </row>
    <row r="587" spans="39:50" x14ac:dyDescent="0.3">
      <c r="AM587" s="147" t="s">
        <v>200</v>
      </c>
      <c r="AN587" s="147" t="s">
        <v>148</v>
      </c>
      <c r="AO587" s="147" t="s">
        <v>148</v>
      </c>
      <c r="AP587" s="147" t="s">
        <v>1057</v>
      </c>
      <c r="AQ587" s="147" t="s">
        <v>1061</v>
      </c>
      <c r="AR587" s="147" t="s">
        <v>1052</v>
      </c>
      <c r="AS587" s="182" t="str">
        <f t="shared" si="16"/>
        <v>FLAGAgricultureAgricultureLivestockNon-dairy cattleEmissions</v>
      </c>
      <c r="AT587" s="182" t="s">
        <v>1059</v>
      </c>
      <c r="AU587" s="182"/>
      <c r="AV587" s="208">
        <v>0.2</v>
      </c>
      <c r="AW587" s="208"/>
      <c r="AX587" s="311"/>
    </row>
    <row r="588" spans="39:50" x14ac:dyDescent="0.3">
      <c r="AM588" s="147" t="s">
        <v>200</v>
      </c>
      <c r="AN588" s="147" t="s">
        <v>148</v>
      </c>
      <c r="AO588" s="147" t="s">
        <v>148</v>
      </c>
      <c r="AP588" s="147" t="s">
        <v>1057</v>
      </c>
      <c r="AQ588" s="147" t="s">
        <v>1062</v>
      </c>
      <c r="AR588" s="147" t="s">
        <v>1052</v>
      </c>
      <c r="AS588" s="182" t="str">
        <f t="shared" si="16"/>
        <v>FLAGAgricultureAgricultureLivestockPigsEmissions</v>
      </c>
      <c r="AT588" s="182" t="s">
        <v>1059</v>
      </c>
      <c r="AU588" s="182"/>
      <c r="AV588" s="208">
        <v>0.2</v>
      </c>
      <c r="AW588" s="208"/>
      <c r="AX588" s="311"/>
    </row>
    <row r="589" spans="39:50" x14ac:dyDescent="0.3">
      <c r="AM589" s="147" t="s">
        <v>200</v>
      </c>
      <c r="AN589" s="147" t="s">
        <v>148</v>
      </c>
      <c r="AO589" s="147" t="s">
        <v>148</v>
      </c>
      <c r="AP589" s="147" t="s">
        <v>1057</v>
      </c>
      <c r="AQ589" s="147" t="s">
        <v>1063</v>
      </c>
      <c r="AR589" s="147" t="s">
        <v>1052</v>
      </c>
      <c r="AS589" s="182" t="str">
        <f t="shared" si="16"/>
        <v>FLAGAgricultureAgricultureLivestockPoultryEmissions</v>
      </c>
      <c r="AT589" s="182" t="s">
        <v>1059</v>
      </c>
      <c r="AU589" s="182"/>
      <c r="AV589" s="208">
        <v>0.2</v>
      </c>
      <c r="AW589" s="208"/>
      <c r="AX589" s="311"/>
    </row>
    <row r="590" spans="39:50" x14ac:dyDescent="0.3">
      <c r="AM590" s="147" t="s">
        <v>200</v>
      </c>
      <c r="AN590" s="147" t="s">
        <v>148</v>
      </c>
      <c r="AO590" s="147" t="s">
        <v>148</v>
      </c>
      <c r="AP590" s="147" t="s">
        <v>1057</v>
      </c>
      <c r="AQ590" s="147" t="s">
        <v>1064</v>
      </c>
      <c r="AR590" s="147" t="s">
        <v>1052</v>
      </c>
      <c r="AS590" s="182" t="str">
        <f t="shared" si="16"/>
        <v>FLAGAgricultureAgricultureLivestockSheep and goatsEmissions</v>
      </c>
      <c r="AT590" s="182" t="s">
        <v>1059</v>
      </c>
      <c r="AU590" s="182"/>
      <c r="AV590" s="208">
        <v>0.2</v>
      </c>
      <c r="AW590" s="208"/>
      <c r="AX590" s="311"/>
    </row>
    <row r="591" spans="39:50" x14ac:dyDescent="0.3">
      <c r="AM591" s="147" t="s">
        <v>194</v>
      </c>
      <c r="AN591" s="147" t="s">
        <v>194</v>
      </c>
      <c r="AO591" s="147" t="s">
        <v>376</v>
      </c>
      <c r="AP591" s="147" t="s">
        <v>1868</v>
      </c>
      <c r="AQ591" s="147" t="s">
        <v>1065</v>
      </c>
      <c r="AR591" s="147" t="s">
        <v>1857</v>
      </c>
      <c r="AS591" s="182" t="str">
        <f t="shared" si="16"/>
        <v>WasteWasteMunicipalAnaerobic digestion (municipal)Organic food and drinkNot including transport</v>
      </c>
      <c r="AT591" s="182" t="s">
        <v>976</v>
      </c>
      <c r="AU591" s="182"/>
      <c r="AV591" s="208">
        <v>0.15</v>
      </c>
      <c r="AW591" s="208">
        <v>0.1</v>
      </c>
      <c r="AX591" s="311">
        <v>0.05</v>
      </c>
    </row>
    <row r="592" spans="39:50" x14ac:dyDescent="0.3">
      <c r="AM592" s="147" t="s">
        <v>194</v>
      </c>
      <c r="AN592" s="147" t="s">
        <v>194</v>
      </c>
      <c r="AO592" s="147" t="s">
        <v>376</v>
      </c>
      <c r="AP592" s="147" t="s">
        <v>1868</v>
      </c>
      <c r="AQ592" s="147" t="s">
        <v>1066</v>
      </c>
      <c r="AR592" s="147" t="s">
        <v>1857</v>
      </c>
      <c r="AS592" s="182" t="str">
        <f t="shared" ref="AS592:AS655" si="17">_xlfn.CONCAT(AM592:AR592)</f>
        <v>WasteWasteMunicipalAnaerobic digestion (municipal)Organic mixedNot including transport</v>
      </c>
      <c r="AT592" s="182" t="s">
        <v>976</v>
      </c>
      <c r="AU592" s="182"/>
      <c r="AV592" s="208">
        <v>0.15</v>
      </c>
      <c r="AW592" s="208">
        <v>0.1</v>
      </c>
      <c r="AX592" s="311">
        <v>0.05</v>
      </c>
    </row>
    <row r="593" spans="39:50" x14ac:dyDescent="0.3">
      <c r="AM593" s="147" t="s">
        <v>194</v>
      </c>
      <c r="AN593" s="147" t="s">
        <v>194</v>
      </c>
      <c r="AO593" s="147" t="s">
        <v>376</v>
      </c>
      <c r="AP593" s="147" t="s">
        <v>1867</v>
      </c>
      <c r="AQ593" s="147" t="s">
        <v>1067</v>
      </c>
      <c r="AR593" s="147" t="s">
        <v>1857</v>
      </c>
      <c r="AS593" s="182" t="str">
        <f t="shared" si="17"/>
        <v>WasteWasteMunicipalCombustion (municipal)Commercial and industrialNot including transport</v>
      </c>
      <c r="AT593" s="182" t="s">
        <v>976</v>
      </c>
      <c r="AU593" s="182"/>
      <c r="AV593" s="208">
        <v>0.15</v>
      </c>
      <c r="AW593" s="208">
        <v>0.1</v>
      </c>
      <c r="AX593" s="311">
        <v>0.05</v>
      </c>
    </row>
    <row r="594" spans="39:50" x14ac:dyDescent="0.3">
      <c r="AM594" s="147" t="s">
        <v>194</v>
      </c>
      <c r="AN594" s="147" t="s">
        <v>194</v>
      </c>
      <c r="AO594" s="147" t="s">
        <v>376</v>
      </c>
      <c r="AP594" s="147" t="s">
        <v>1867</v>
      </c>
      <c r="AQ594" s="147" t="s">
        <v>1068</v>
      </c>
      <c r="AR594" s="147" t="s">
        <v>1857</v>
      </c>
      <c r="AS594" s="182" t="str">
        <f t="shared" si="17"/>
        <v>WasteWasteMunicipalCombustion (municipal)Commercial and industrial wasteNot including transport</v>
      </c>
      <c r="AT594" s="182" t="s">
        <v>976</v>
      </c>
      <c r="AU594" s="182"/>
      <c r="AV594" s="208">
        <v>0.15</v>
      </c>
      <c r="AW594" s="208">
        <v>0.1</v>
      </c>
      <c r="AX594" s="311">
        <v>0.05</v>
      </c>
    </row>
    <row r="595" spans="39:50" x14ac:dyDescent="0.3">
      <c r="AM595" s="147" t="s">
        <v>194</v>
      </c>
      <c r="AN595" s="147" t="s">
        <v>194</v>
      </c>
      <c r="AO595" s="147" t="s">
        <v>376</v>
      </c>
      <c r="AP595" s="147" t="s">
        <v>1867</v>
      </c>
      <c r="AQ595" s="147" t="s">
        <v>1069</v>
      </c>
      <c r="AR595" s="147" t="s">
        <v>1857</v>
      </c>
      <c r="AS595" s="182" t="str">
        <f t="shared" si="17"/>
        <v>WasteWasteMunicipalCombustion (municipal)Household residual wasteNot including transport</v>
      </c>
      <c r="AT595" s="182" t="s">
        <v>976</v>
      </c>
      <c r="AU595" s="182"/>
      <c r="AV595" s="208">
        <v>0.15</v>
      </c>
      <c r="AW595" s="208">
        <v>0.1</v>
      </c>
      <c r="AX595" s="311">
        <v>0.05</v>
      </c>
    </row>
    <row r="596" spans="39:50" x14ac:dyDescent="0.3">
      <c r="AM596" s="147" t="s">
        <v>194</v>
      </c>
      <c r="AN596" s="147" t="s">
        <v>194</v>
      </c>
      <c r="AO596" s="147" t="s">
        <v>376</v>
      </c>
      <c r="AP596" s="147" t="s">
        <v>1867</v>
      </c>
      <c r="AQ596" s="147" t="s">
        <v>1070</v>
      </c>
      <c r="AR596" s="147" t="s">
        <v>1857</v>
      </c>
      <c r="AS596" s="182" t="str">
        <f t="shared" si="17"/>
        <v>WasteWasteMunicipalCombustion (municipal)Non infectious offensive wasteNot including transport</v>
      </c>
      <c r="AT596" s="182" t="s">
        <v>976</v>
      </c>
      <c r="AU596" s="182"/>
      <c r="AV596" s="208">
        <v>0.15</v>
      </c>
      <c r="AW596" s="208">
        <v>0.1</v>
      </c>
      <c r="AX596" s="311">
        <v>0.05</v>
      </c>
    </row>
    <row r="597" spans="39:50" x14ac:dyDescent="0.3">
      <c r="AM597" s="147" t="s">
        <v>194</v>
      </c>
      <c r="AN597" s="147" t="s">
        <v>194</v>
      </c>
      <c r="AO597" s="147" t="s">
        <v>376</v>
      </c>
      <c r="AP597" s="147" t="s">
        <v>1867</v>
      </c>
      <c r="AQ597" s="147" t="s">
        <v>1065</v>
      </c>
      <c r="AR597" s="147" t="s">
        <v>1857</v>
      </c>
      <c r="AS597" s="182" t="str">
        <f t="shared" si="17"/>
        <v>WasteWasteMunicipalCombustion (municipal)Organic food and drinkNot including transport</v>
      </c>
      <c r="AT597" s="182" t="s">
        <v>976</v>
      </c>
      <c r="AU597" s="182"/>
      <c r="AV597" s="208">
        <v>0.15</v>
      </c>
      <c r="AW597" s="208">
        <v>0.1</v>
      </c>
      <c r="AX597" s="311">
        <v>0.05</v>
      </c>
    </row>
    <row r="598" spans="39:50" x14ac:dyDescent="0.3">
      <c r="AM598" s="147" t="s">
        <v>194</v>
      </c>
      <c r="AN598" s="147" t="s">
        <v>194</v>
      </c>
      <c r="AO598" s="147" t="s">
        <v>376</v>
      </c>
      <c r="AP598" s="147" t="s">
        <v>1867</v>
      </c>
      <c r="AQ598" s="147" t="s">
        <v>1066</v>
      </c>
      <c r="AR598" s="147" t="s">
        <v>1857</v>
      </c>
      <c r="AS598" s="182" t="str">
        <f t="shared" si="17"/>
        <v>WasteWasteMunicipalCombustion (municipal)Organic mixedNot including transport</v>
      </c>
      <c r="AT598" s="182" t="s">
        <v>976</v>
      </c>
      <c r="AU598" s="182"/>
      <c r="AV598" s="208">
        <v>0.15</v>
      </c>
      <c r="AW598" s="208">
        <v>0.1</v>
      </c>
      <c r="AX598" s="311">
        <v>0.05</v>
      </c>
    </row>
    <row r="599" spans="39:50" x14ac:dyDescent="0.3">
      <c r="AM599" s="147" t="s">
        <v>194</v>
      </c>
      <c r="AN599" s="147" t="s">
        <v>194</v>
      </c>
      <c r="AO599" s="147" t="s">
        <v>376</v>
      </c>
      <c r="AP599" s="147" t="s">
        <v>1869</v>
      </c>
      <c r="AQ599" s="147" t="s">
        <v>1065</v>
      </c>
      <c r="AR599" s="147" t="s">
        <v>1857</v>
      </c>
      <c r="AS599" s="182" t="str">
        <f t="shared" si="17"/>
        <v>WasteWasteMunicipalComposting (municipal)Organic food and drinkNot including transport</v>
      </c>
      <c r="AT599" s="182" t="s">
        <v>976</v>
      </c>
      <c r="AU599" s="182"/>
      <c r="AV599" s="208">
        <v>0.15</v>
      </c>
      <c r="AW599" s="208">
        <v>0.1</v>
      </c>
      <c r="AX599" s="311">
        <v>0.05</v>
      </c>
    </row>
    <row r="600" spans="39:50" x14ac:dyDescent="0.3">
      <c r="AM600" s="147" t="s">
        <v>194</v>
      </c>
      <c r="AN600" s="147" t="s">
        <v>194</v>
      </c>
      <c r="AO600" s="147" t="s">
        <v>376</v>
      </c>
      <c r="AP600" s="147" t="s">
        <v>1869</v>
      </c>
      <c r="AQ600" s="147" t="s">
        <v>1071</v>
      </c>
      <c r="AR600" s="147" t="s">
        <v>1857</v>
      </c>
      <c r="AS600" s="182" t="str">
        <f t="shared" si="17"/>
        <v>WasteWasteMunicipalComposting (municipal)Organic gardenNot including transport</v>
      </c>
      <c r="AT600" s="182" t="s">
        <v>976</v>
      </c>
      <c r="AU600" s="182"/>
      <c r="AV600" s="208">
        <v>0.15</v>
      </c>
      <c r="AW600" s="208">
        <v>0.1</v>
      </c>
      <c r="AX600" s="311">
        <v>0.05</v>
      </c>
    </row>
    <row r="601" spans="39:50" x14ac:dyDescent="0.3">
      <c r="AM601" s="147" t="s">
        <v>194</v>
      </c>
      <c r="AN601" s="147" t="s">
        <v>194</v>
      </c>
      <c r="AO601" s="147" t="s">
        <v>376</v>
      </c>
      <c r="AP601" s="147" t="s">
        <v>1869</v>
      </c>
      <c r="AQ601" s="147" t="s">
        <v>1066</v>
      </c>
      <c r="AR601" s="147" t="s">
        <v>1857</v>
      </c>
      <c r="AS601" s="182" t="str">
        <f t="shared" si="17"/>
        <v>WasteWasteMunicipalComposting (municipal)Organic mixedNot including transport</v>
      </c>
      <c r="AT601" s="182" t="s">
        <v>976</v>
      </c>
      <c r="AU601" s="182"/>
      <c r="AV601" s="208">
        <v>0.15</v>
      </c>
      <c r="AW601" s="208">
        <v>0.1</v>
      </c>
      <c r="AX601" s="311">
        <v>0.05</v>
      </c>
    </row>
    <row r="602" spans="39:50" x14ac:dyDescent="0.3">
      <c r="AM602" s="147" t="s">
        <v>194</v>
      </c>
      <c r="AN602" s="147" t="s">
        <v>194</v>
      </c>
      <c r="AO602" s="147" t="s">
        <v>376</v>
      </c>
      <c r="AP602" s="147" t="s">
        <v>1870</v>
      </c>
      <c r="AQ602" s="147" t="s">
        <v>1070</v>
      </c>
      <c r="AR602" s="147" t="s">
        <v>1857</v>
      </c>
      <c r="AS602" s="182" t="str">
        <f t="shared" si="17"/>
        <v>WasteWasteMunicipalHigh temperature incineration (municipal)Non infectious offensive wasteNot including transport</v>
      </c>
      <c r="AT602" s="182" t="s">
        <v>976</v>
      </c>
      <c r="AU602" s="182"/>
      <c r="AV602" s="208">
        <v>0.15</v>
      </c>
      <c r="AW602" s="208">
        <v>0.1</v>
      </c>
      <c r="AX602" s="311">
        <v>0.05</v>
      </c>
    </row>
    <row r="603" spans="39:50" x14ac:dyDescent="0.3">
      <c r="AM603" s="147" t="s">
        <v>194</v>
      </c>
      <c r="AN603" s="147" t="s">
        <v>194</v>
      </c>
      <c r="AO603" s="147" t="s">
        <v>376</v>
      </c>
      <c r="AP603" s="147" t="s">
        <v>1871</v>
      </c>
      <c r="AQ603" s="147" t="s">
        <v>1072</v>
      </c>
      <c r="AR603" s="147" t="s">
        <v>1857</v>
      </c>
      <c r="AS603" s="182" t="str">
        <f t="shared" si="17"/>
        <v>WasteWasteMunicipalLandfill (municipal)ClothingNot including transport</v>
      </c>
      <c r="AT603" s="182" t="s">
        <v>976</v>
      </c>
      <c r="AU603" s="182"/>
      <c r="AV603" s="208">
        <v>0.15</v>
      </c>
      <c r="AW603" s="208">
        <v>0.1</v>
      </c>
      <c r="AX603" s="311">
        <v>0.05</v>
      </c>
    </row>
    <row r="604" spans="39:50" x14ac:dyDescent="0.3">
      <c r="AM604" s="147" t="s">
        <v>194</v>
      </c>
      <c r="AN604" s="147" t="s">
        <v>194</v>
      </c>
      <c r="AO604" s="147" t="s">
        <v>376</v>
      </c>
      <c r="AP604" s="147" t="s">
        <v>1871</v>
      </c>
      <c r="AQ604" s="147" t="s">
        <v>1068</v>
      </c>
      <c r="AR604" s="147" t="s">
        <v>1857</v>
      </c>
      <c r="AS604" s="182" t="str">
        <f t="shared" si="17"/>
        <v>WasteWasteMunicipalLandfill (municipal)Commercial and industrial wasteNot including transport</v>
      </c>
      <c r="AT604" s="182" t="s">
        <v>976</v>
      </c>
      <c r="AU604" s="182"/>
      <c r="AV604" s="208">
        <v>0.15</v>
      </c>
      <c r="AW604" s="208">
        <v>0.1</v>
      </c>
      <c r="AX604" s="311">
        <v>0.05</v>
      </c>
    </row>
    <row r="605" spans="39:50" x14ac:dyDescent="0.3">
      <c r="AM605" s="147" t="s">
        <v>194</v>
      </c>
      <c r="AN605" s="147" t="s">
        <v>194</v>
      </c>
      <c r="AO605" s="147" t="s">
        <v>376</v>
      </c>
      <c r="AP605" s="147" t="s">
        <v>1871</v>
      </c>
      <c r="AQ605" s="147" t="s">
        <v>1069</v>
      </c>
      <c r="AR605" s="147" t="s">
        <v>1857</v>
      </c>
      <c r="AS605" s="182" t="str">
        <f t="shared" si="17"/>
        <v>WasteWasteMunicipalLandfill (municipal)Household residual wasteNot including transport</v>
      </c>
      <c r="AT605" s="182" t="s">
        <v>976</v>
      </c>
      <c r="AU605" s="182"/>
      <c r="AV605" s="208">
        <v>0.15</v>
      </c>
      <c r="AW605" s="208">
        <v>0.1</v>
      </c>
      <c r="AX605" s="311">
        <v>0.05</v>
      </c>
    </row>
    <row r="606" spans="39:50" x14ac:dyDescent="0.3">
      <c r="AM606" s="147" t="s">
        <v>194</v>
      </c>
      <c r="AN606" s="147" t="s">
        <v>194</v>
      </c>
      <c r="AO606" s="147" t="s">
        <v>376</v>
      </c>
      <c r="AP606" s="147" t="s">
        <v>1871</v>
      </c>
      <c r="AQ606" s="147" t="s">
        <v>1065</v>
      </c>
      <c r="AR606" s="147" t="s">
        <v>1857</v>
      </c>
      <c r="AS606" s="182" t="str">
        <f t="shared" si="17"/>
        <v>WasteWasteMunicipalLandfill (municipal)Organic food and drinkNot including transport</v>
      </c>
      <c r="AT606" s="182" t="s">
        <v>976</v>
      </c>
      <c r="AU606" s="182"/>
      <c r="AV606" s="208">
        <v>0.15</v>
      </c>
      <c r="AW606" s="208">
        <v>0.1</v>
      </c>
      <c r="AX606" s="311">
        <v>0.05</v>
      </c>
    </row>
    <row r="607" spans="39:50" x14ac:dyDescent="0.3">
      <c r="AM607" s="147" t="s">
        <v>194</v>
      </c>
      <c r="AN607" s="147" t="s">
        <v>194</v>
      </c>
      <c r="AO607" s="147" t="s">
        <v>376</v>
      </c>
      <c r="AP607" s="147" t="s">
        <v>1872</v>
      </c>
      <c r="AQ607" s="147" t="s">
        <v>1073</v>
      </c>
      <c r="AR607" s="147" t="s">
        <v>1857</v>
      </c>
      <c r="AS607" s="182" t="str">
        <f t="shared" si="17"/>
        <v>WasteWasteMunicipalRecycling (municipal)BatteriesNot including transport</v>
      </c>
      <c r="AT607" s="182" t="s">
        <v>976</v>
      </c>
      <c r="AU607" s="182"/>
      <c r="AV607" s="208">
        <v>0.15</v>
      </c>
      <c r="AW607" s="208">
        <v>0.1</v>
      </c>
      <c r="AX607" s="311">
        <v>0.05</v>
      </c>
    </row>
    <row r="608" spans="39:50" x14ac:dyDescent="0.3">
      <c r="AM608" s="147" t="s">
        <v>194</v>
      </c>
      <c r="AN608" s="147" t="s">
        <v>194</v>
      </c>
      <c r="AO608" s="147" t="s">
        <v>376</v>
      </c>
      <c r="AP608" s="147" t="s">
        <v>1872</v>
      </c>
      <c r="AQ608" s="147" t="s">
        <v>1072</v>
      </c>
      <c r="AR608" s="147" t="s">
        <v>1857</v>
      </c>
      <c r="AS608" s="182" t="str">
        <f t="shared" si="17"/>
        <v>WasteWasteMunicipalRecycling (municipal)ClothingNot including transport</v>
      </c>
      <c r="AT608" s="182" t="s">
        <v>976</v>
      </c>
      <c r="AU608" s="182"/>
      <c r="AV608" s="208">
        <v>0.15</v>
      </c>
      <c r="AW608" s="208">
        <v>0.1</v>
      </c>
      <c r="AX608" s="311">
        <v>0.05</v>
      </c>
    </row>
    <row r="609" spans="39:50" x14ac:dyDescent="0.3">
      <c r="AM609" s="147" t="s">
        <v>194</v>
      </c>
      <c r="AN609" s="147" t="s">
        <v>194</v>
      </c>
      <c r="AO609" s="147" t="s">
        <v>376</v>
      </c>
      <c r="AP609" s="147" t="s">
        <v>1872</v>
      </c>
      <c r="AQ609" s="147" t="s">
        <v>1068</v>
      </c>
      <c r="AR609" s="147" t="s">
        <v>1857</v>
      </c>
      <c r="AS609" s="182" t="str">
        <f t="shared" si="17"/>
        <v>WasteWasteMunicipalRecycling (municipal)Commercial and industrial wasteNot including transport</v>
      </c>
      <c r="AT609" s="182" t="s">
        <v>976</v>
      </c>
      <c r="AU609" s="182"/>
      <c r="AV609" s="208">
        <v>0.15</v>
      </c>
      <c r="AW609" s="208">
        <v>0.1</v>
      </c>
      <c r="AX609" s="311">
        <v>0.05</v>
      </c>
    </row>
    <row r="610" spans="39:50" x14ac:dyDescent="0.3">
      <c r="AM610" s="147" t="s">
        <v>194</v>
      </c>
      <c r="AN610" s="147" t="s">
        <v>194</v>
      </c>
      <c r="AO610" s="147" t="s">
        <v>376</v>
      </c>
      <c r="AP610" s="147" t="s">
        <v>1872</v>
      </c>
      <c r="AQ610" s="147" t="s">
        <v>1074</v>
      </c>
      <c r="AR610" s="147" t="s">
        <v>1857</v>
      </c>
      <c r="AS610" s="182" t="str">
        <f t="shared" si="17"/>
        <v>WasteWasteMunicipalRecycling (municipal)Mixed glassNot including transport</v>
      </c>
      <c r="AT610" s="182" t="s">
        <v>976</v>
      </c>
      <c r="AU610" s="182"/>
      <c r="AV610" s="208">
        <v>0.15</v>
      </c>
      <c r="AW610" s="208">
        <v>0.1</v>
      </c>
      <c r="AX610" s="311">
        <v>0.05</v>
      </c>
    </row>
    <row r="611" spans="39:50" x14ac:dyDescent="0.3">
      <c r="AM611" s="147" t="s">
        <v>194</v>
      </c>
      <c r="AN611" s="147" t="s">
        <v>194</v>
      </c>
      <c r="AO611" s="147" t="s">
        <v>376</v>
      </c>
      <c r="AP611" s="147" t="s">
        <v>1872</v>
      </c>
      <c r="AQ611" s="147" t="s">
        <v>1075</v>
      </c>
      <c r="AR611" s="147" t="s">
        <v>1857</v>
      </c>
      <c r="AS611" s="182" t="str">
        <f t="shared" si="17"/>
        <v>WasteWasteMunicipalRecycling (municipal)Mixed metal cansNot including transport</v>
      </c>
      <c r="AT611" s="182" t="s">
        <v>976</v>
      </c>
      <c r="AU611" s="182"/>
      <c r="AV611" s="208">
        <v>0.15</v>
      </c>
      <c r="AW611" s="208">
        <v>0.1</v>
      </c>
      <c r="AX611" s="311">
        <v>0.05</v>
      </c>
    </row>
    <row r="612" spans="39:50" x14ac:dyDescent="0.3">
      <c r="AM612" s="147" t="s">
        <v>194</v>
      </c>
      <c r="AN612" s="147" t="s">
        <v>194</v>
      </c>
      <c r="AO612" s="147" t="s">
        <v>376</v>
      </c>
      <c r="AP612" s="147" t="s">
        <v>1872</v>
      </c>
      <c r="AQ612" s="147" t="s">
        <v>1076</v>
      </c>
      <c r="AR612" s="147" t="s">
        <v>1857</v>
      </c>
      <c r="AS612" s="182" t="str">
        <f t="shared" si="17"/>
        <v>WasteWasteMunicipalRecycling (municipal)Mixed paperNot including transport</v>
      </c>
      <c r="AT612" s="182" t="s">
        <v>976</v>
      </c>
      <c r="AU612" s="182"/>
      <c r="AV612" s="208">
        <v>0.15</v>
      </c>
      <c r="AW612" s="208">
        <v>0.1</v>
      </c>
      <c r="AX612" s="311">
        <v>0.05</v>
      </c>
    </row>
    <row r="613" spans="39:50" x14ac:dyDescent="0.3">
      <c r="AM613" s="147" t="s">
        <v>194</v>
      </c>
      <c r="AN613" s="147" t="s">
        <v>194</v>
      </c>
      <c r="AO613" s="147" t="s">
        <v>376</v>
      </c>
      <c r="AP613" s="147" t="s">
        <v>1872</v>
      </c>
      <c r="AQ613" s="147" t="s">
        <v>1077</v>
      </c>
      <c r="AR613" s="147" t="s">
        <v>1857</v>
      </c>
      <c r="AS613" s="182" t="str">
        <f t="shared" si="17"/>
        <v>WasteWasteMunicipalRecycling (municipal)Mixed plasticsNot including transport</v>
      </c>
      <c r="AT613" s="182" t="s">
        <v>976</v>
      </c>
      <c r="AU613" s="182"/>
      <c r="AV613" s="208">
        <v>0.15</v>
      </c>
      <c r="AW613" s="208">
        <v>0.1</v>
      </c>
      <c r="AX613" s="311">
        <v>0.05</v>
      </c>
    </row>
    <row r="614" spans="39:50" x14ac:dyDescent="0.3">
      <c r="AM614" s="147" t="s">
        <v>194</v>
      </c>
      <c r="AN614" s="147" t="s">
        <v>194</v>
      </c>
      <c r="AO614" s="147" t="s">
        <v>376</v>
      </c>
      <c r="AP614" s="147" t="s">
        <v>1872</v>
      </c>
      <c r="AQ614" s="147" t="s">
        <v>1078</v>
      </c>
      <c r="AR614" s="147" t="s">
        <v>1857</v>
      </c>
      <c r="AS614" s="182" t="str">
        <f t="shared" si="17"/>
        <v>WasteWasteMunicipalRecycling (municipal)Mixed recyclingNot including transport</v>
      </c>
      <c r="AT614" s="182" t="s">
        <v>976</v>
      </c>
      <c r="AU614" s="182"/>
      <c r="AV614" s="208">
        <v>0.15</v>
      </c>
      <c r="AW614" s="208">
        <v>0.1</v>
      </c>
      <c r="AX614" s="311">
        <v>0.05</v>
      </c>
    </row>
    <row r="615" spans="39:50" x14ac:dyDescent="0.3">
      <c r="AM615" s="147" t="s">
        <v>194</v>
      </c>
      <c r="AN615" s="147" t="s">
        <v>194</v>
      </c>
      <c r="AO615" s="147" t="s">
        <v>376</v>
      </c>
      <c r="AP615" s="147" t="s">
        <v>1872</v>
      </c>
      <c r="AQ615" s="147" t="s">
        <v>1079</v>
      </c>
      <c r="AR615" s="147" t="s">
        <v>1857</v>
      </c>
      <c r="AS615" s="182" t="str">
        <f t="shared" si="17"/>
        <v>WasteWasteMunicipalRecycling (municipal)Mixed WEEENot including transport</v>
      </c>
      <c r="AT615" s="182" t="s">
        <v>976</v>
      </c>
      <c r="AU615" s="182"/>
      <c r="AV615" s="208">
        <v>0.15</v>
      </c>
      <c r="AW615" s="208">
        <v>0.1</v>
      </c>
      <c r="AX615" s="311">
        <v>0.05</v>
      </c>
    </row>
    <row r="616" spans="39:50" x14ac:dyDescent="0.3">
      <c r="AM616" s="147" t="s">
        <v>194</v>
      </c>
      <c r="AN616" s="147" t="s">
        <v>194</v>
      </c>
      <c r="AO616" s="147" t="s">
        <v>376</v>
      </c>
      <c r="AP616" s="147" t="s">
        <v>1868</v>
      </c>
      <c r="AQ616" s="147" t="s">
        <v>1065</v>
      </c>
      <c r="AR616" s="147" t="s">
        <v>339</v>
      </c>
      <c r="AS616" s="182" t="str">
        <f t="shared" si="17"/>
        <v>WasteWasteMunicipalAnaerobic digestion (municipal)Organic food and drinkNaN</v>
      </c>
      <c r="AT616" s="182" t="s">
        <v>976</v>
      </c>
      <c r="AU616" s="182"/>
      <c r="AV616" s="208">
        <v>0.15</v>
      </c>
      <c r="AW616" s="208">
        <v>0.1</v>
      </c>
      <c r="AX616" s="311">
        <v>0.05</v>
      </c>
    </row>
    <row r="617" spans="39:50" x14ac:dyDescent="0.3">
      <c r="AM617" s="147" t="s">
        <v>194</v>
      </c>
      <c r="AN617" s="147" t="s">
        <v>194</v>
      </c>
      <c r="AO617" s="147" t="s">
        <v>376</v>
      </c>
      <c r="AP617" s="147" t="s">
        <v>1868</v>
      </c>
      <c r="AQ617" s="147" t="s">
        <v>1066</v>
      </c>
      <c r="AR617" s="147" t="s">
        <v>339</v>
      </c>
      <c r="AS617" s="182" t="str">
        <f t="shared" si="17"/>
        <v>WasteWasteMunicipalAnaerobic digestion (municipal)Organic mixedNaN</v>
      </c>
      <c r="AT617" s="182" t="s">
        <v>976</v>
      </c>
      <c r="AU617" s="182"/>
      <c r="AV617" s="208">
        <v>0.15</v>
      </c>
      <c r="AW617" s="208">
        <v>0.1</v>
      </c>
      <c r="AX617" s="311">
        <v>0.05</v>
      </c>
    </row>
    <row r="618" spans="39:50" x14ac:dyDescent="0.3">
      <c r="AM618" s="147" t="s">
        <v>194</v>
      </c>
      <c r="AN618" s="147" t="s">
        <v>194</v>
      </c>
      <c r="AO618" s="147" t="s">
        <v>376</v>
      </c>
      <c r="AP618" s="147" t="s">
        <v>1867</v>
      </c>
      <c r="AQ618" s="147" t="s">
        <v>1067</v>
      </c>
      <c r="AR618" s="147" t="s">
        <v>339</v>
      </c>
      <c r="AS618" s="182" t="str">
        <f t="shared" si="17"/>
        <v>WasteWasteMunicipalCombustion (municipal)Commercial and industrialNaN</v>
      </c>
      <c r="AT618" s="182" t="s">
        <v>976</v>
      </c>
      <c r="AU618" s="182"/>
      <c r="AV618" s="208">
        <v>0.15</v>
      </c>
      <c r="AW618" s="208">
        <v>0.1</v>
      </c>
      <c r="AX618" s="311">
        <v>0.05</v>
      </c>
    </row>
    <row r="619" spans="39:50" x14ac:dyDescent="0.3">
      <c r="AM619" s="147" t="s">
        <v>194</v>
      </c>
      <c r="AN619" s="147" t="s">
        <v>194</v>
      </c>
      <c r="AO619" s="147" t="s">
        <v>376</v>
      </c>
      <c r="AP619" s="147" t="s">
        <v>1867</v>
      </c>
      <c r="AQ619" s="147" t="s">
        <v>1068</v>
      </c>
      <c r="AR619" s="147" t="s">
        <v>339</v>
      </c>
      <c r="AS619" s="182" t="str">
        <f t="shared" si="17"/>
        <v>WasteWasteMunicipalCombustion (municipal)Commercial and industrial wasteNaN</v>
      </c>
      <c r="AT619" s="182" t="s">
        <v>976</v>
      </c>
      <c r="AU619" s="182"/>
      <c r="AV619" s="208">
        <v>0.15</v>
      </c>
      <c r="AW619" s="208">
        <v>0.1</v>
      </c>
      <c r="AX619" s="311">
        <v>0.05</v>
      </c>
    </row>
    <row r="620" spans="39:50" x14ac:dyDescent="0.3">
      <c r="AM620" s="147" t="s">
        <v>194</v>
      </c>
      <c r="AN620" s="147" t="s">
        <v>194</v>
      </c>
      <c r="AO620" s="147" t="s">
        <v>376</v>
      </c>
      <c r="AP620" s="147" t="s">
        <v>1867</v>
      </c>
      <c r="AQ620" s="147" t="s">
        <v>1069</v>
      </c>
      <c r="AR620" s="147" t="s">
        <v>339</v>
      </c>
      <c r="AS620" s="182" t="str">
        <f t="shared" si="17"/>
        <v>WasteWasteMunicipalCombustion (municipal)Household residual wasteNaN</v>
      </c>
      <c r="AT620" s="182" t="s">
        <v>976</v>
      </c>
      <c r="AU620" s="182"/>
      <c r="AV620" s="208">
        <v>0.15</v>
      </c>
      <c r="AW620" s="208">
        <v>0.1</v>
      </c>
      <c r="AX620" s="311">
        <v>0.05</v>
      </c>
    </row>
    <row r="621" spans="39:50" x14ac:dyDescent="0.3">
      <c r="AM621" s="147" t="s">
        <v>194</v>
      </c>
      <c r="AN621" s="147" t="s">
        <v>194</v>
      </c>
      <c r="AO621" s="147" t="s">
        <v>376</v>
      </c>
      <c r="AP621" s="147" t="s">
        <v>1867</v>
      </c>
      <c r="AQ621" s="147" t="s">
        <v>1070</v>
      </c>
      <c r="AR621" s="147" t="s">
        <v>339</v>
      </c>
      <c r="AS621" s="182" t="str">
        <f t="shared" si="17"/>
        <v>WasteWasteMunicipalCombustion (municipal)Non infectious offensive wasteNaN</v>
      </c>
      <c r="AT621" s="182" t="s">
        <v>976</v>
      </c>
      <c r="AU621" s="182"/>
      <c r="AV621" s="208">
        <v>0.15</v>
      </c>
      <c r="AW621" s="208">
        <v>0.1</v>
      </c>
      <c r="AX621" s="311">
        <v>0.05</v>
      </c>
    </row>
    <row r="622" spans="39:50" x14ac:dyDescent="0.3">
      <c r="AM622" s="147" t="s">
        <v>194</v>
      </c>
      <c r="AN622" s="147" t="s">
        <v>194</v>
      </c>
      <c r="AO622" s="147" t="s">
        <v>376</v>
      </c>
      <c r="AP622" s="147" t="s">
        <v>1867</v>
      </c>
      <c r="AQ622" s="147" t="s">
        <v>1065</v>
      </c>
      <c r="AR622" s="147" t="s">
        <v>339</v>
      </c>
      <c r="AS622" s="182" t="str">
        <f t="shared" si="17"/>
        <v>WasteWasteMunicipalCombustion (municipal)Organic food and drinkNaN</v>
      </c>
      <c r="AT622" s="182" t="s">
        <v>976</v>
      </c>
      <c r="AU622" s="182"/>
      <c r="AV622" s="208">
        <v>0.15</v>
      </c>
      <c r="AW622" s="208">
        <v>0.1</v>
      </c>
      <c r="AX622" s="311">
        <v>0.05</v>
      </c>
    </row>
    <row r="623" spans="39:50" x14ac:dyDescent="0.3">
      <c r="AM623" s="147" t="s">
        <v>194</v>
      </c>
      <c r="AN623" s="147" t="s">
        <v>194</v>
      </c>
      <c r="AO623" s="147" t="s">
        <v>376</v>
      </c>
      <c r="AP623" s="147" t="s">
        <v>1867</v>
      </c>
      <c r="AQ623" s="147" t="s">
        <v>1066</v>
      </c>
      <c r="AR623" s="147" t="s">
        <v>339</v>
      </c>
      <c r="AS623" s="182" t="str">
        <f t="shared" si="17"/>
        <v>WasteWasteMunicipalCombustion (municipal)Organic mixedNaN</v>
      </c>
      <c r="AT623" s="182" t="s">
        <v>976</v>
      </c>
      <c r="AU623" s="182"/>
      <c r="AV623" s="208">
        <v>0.15</v>
      </c>
      <c r="AW623" s="208">
        <v>0.1</v>
      </c>
      <c r="AX623" s="311">
        <v>0.05</v>
      </c>
    </row>
    <row r="624" spans="39:50" x14ac:dyDescent="0.3">
      <c r="AM624" s="147" t="s">
        <v>194</v>
      </c>
      <c r="AN624" s="147" t="s">
        <v>194</v>
      </c>
      <c r="AO624" s="147" t="s">
        <v>376</v>
      </c>
      <c r="AP624" s="147" t="s">
        <v>1869</v>
      </c>
      <c r="AQ624" s="147" t="s">
        <v>1065</v>
      </c>
      <c r="AR624" s="147" t="s">
        <v>339</v>
      </c>
      <c r="AS624" s="182" t="str">
        <f t="shared" si="17"/>
        <v>WasteWasteMunicipalComposting (municipal)Organic food and drinkNaN</v>
      </c>
      <c r="AT624" s="182" t="s">
        <v>976</v>
      </c>
      <c r="AU624" s="182"/>
      <c r="AV624" s="208">
        <v>0.15</v>
      </c>
      <c r="AW624" s="208">
        <v>0.1</v>
      </c>
      <c r="AX624" s="311">
        <v>0.05</v>
      </c>
    </row>
    <row r="625" spans="39:50" x14ac:dyDescent="0.3">
      <c r="AM625" s="147" t="s">
        <v>194</v>
      </c>
      <c r="AN625" s="147" t="s">
        <v>194</v>
      </c>
      <c r="AO625" s="147" t="s">
        <v>376</v>
      </c>
      <c r="AP625" s="147" t="s">
        <v>1869</v>
      </c>
      <c r="AQ625" s="147" t="s">
        <v>1071</v>
      </c>
      <c r="AR625" s="147" t="s">
        <v>339</v>
      </c>
      <c r="AS625" s="182" t="str">
        <f t="shared" si="17"/>
        <v>WasteWasteMunicipalComposting (municipal)Organic gardenNaN</v>
      </c>
      <c r="AT625" s="182" t="s">
        <v>976</v>
      </c>
      <c r="AU625" s="182"/>
      <c r="AV625" s="208">
        <v>0.15</v>
      </c>
      <c r="AW625" s="208">
        <v>0.1</v>
      </c>
      <c r="AX625" s="311">
        <v>0.05</v>
      </c>
    </row>
    <row r="626" spans="39:50" x14ac:dyDescent="0.3">
      <c r="AM626" s="147" t="s">
        <v>194</v>
      </c>
      <c r="AN626" s="147" t="s">
        <v>194</v>
      </c>
      <c r="AO626" s="147" t="s">
        <v>376</v>
      </c>
      <c r="AP626" s="147" t="s">
        <v>1869</v>
      </c>
      <c r="AQ626" s="147" t="s">
        <v>1066</v>
      </c>
      <c r="AR626" s="147" t="s">
        <v>339</v>
      </c>
      <c r="AS626" s="182" t="str">
        <f t="shared" si="17"/>
        <v>WasteWasteMunicipalComposting (municipal)Organic mixedNaN</v>
      </c>
      <c r="AT626" s="182" t="s">
        <v>976</v>
      </c>
      <c r="AU626" s="182"/>
      <c r="AV626" s="208">
        <v>0.15</v>
      </c>
      <c r="AW626" s="208">
        <v>0.1</v>
      </c>
      <c r="AX626" s="311">
        <v>0.05</v>
      </c>
    </row>
    <row r="627" spans="39:50" x14ac:dyDescent="0.3">
      <c r="AM627" s="147" t="s">
        <v>194</v>
      </c>
      <c r="AN627" s="147" t="s">
        <v>194</v>
      </c>
      <c r="AO627" s="147" t="s">
        <v>376</v>
      </c>
      <c r="AP627" s="147" t="s">
        <v>1871</v>
      </c>
      <c r="AQ627" s="147" t="s">
        <v>1072</v>
      </c>
      <c r="AR627" s="147" t="s">
        <v>339</v>
      </c>
      <c r="AS627" s="182" t="str">
        <f t="shared" si="17"/>
        <v>WasteWasteMunicipalLandfill (municipal)ClothingNaN</v>
      </c>
      <c r="AT627" s="182" t="s">
        <v>976</v>
      </c>
      <c r="AU627" s="182"/>
      <c r="AV627" s="208">
        <v>0.15</v>
      </c>
      <c r="AW627" s="208">
        <v>0.1</v>
      </c>
      <c r="AX627" s="311">
        <v>0.05</v>
      </c>
    </row>
    <row r="628" spans="39:50" x14ac:dyDescent="0.3">
      <c r="AM628" s="147" t="s">
        <v>194</v>
      </c>
      <c r="AN628" s="147" t="s">
        <v>194</v>
      </c>
      <c r="AO628" s="147" t="s">
        <v>376</v>
      </c>
      <c r="AP628" s="147" t="s">
        <v>1871</v>
      </c>
      <c r="AQ628" s="147" t="s">
        <v>1068</v>
      </c>
      <c r="AR628" s="147" t="s">
        <v>339</v>
      </c>
      <c r="AS628" s="182" t="str">
        <f t="shared" si="17"/>
        <v>WasteWasteMunicipalLandfill (municipal)Commercial and industrial wasteNaN</v>
      </c>
      <c r="AT628" s="182" t="s">
        <v>976</v>
      </c>
      <c r="AU628" s="182"/>
      <c r="AV628" s="208">
        <v>0.15</v>
      </c>
      <c r="AW628" s="208">
        <v>0.1</v>
      </c>
      <c r="AX628" s="311">
        <v>0.05</v>
      </c>
    </row>
    <row r="629" spans="39:50" x14ac:dyDescent="0.3">
      <c r="AM629" s="147" t="s">
        <v>194</v>
      </c>
      <c r="AN629" s="147" t="s">
        <v>194</v>
      </c>
      <c r="AO629" s="147" t="s">
        <v>376</v>
      </c>
      <c r="AP629" s="147" t="s">
        <v>1871</v>
      </c>
      <c r="AQ629" s="147" t="s">
        <v>1069</v>
      </c>
      <c r="AR629" s="147" t="s">
        <v>339</v>
      </c>
      <c r="AS629" s="182" t="str">
        <f t="shared" si="17"/>
        <v>WasteWasteMunicipalLandfill (municipal)Household residual wasteNaN</v>
      </c>
      <c r="AT629" s="182" t="s">
        <v>976</v>
      </c>
      <c r="AU629" s="182"/>
      <c r="AV629" s="208">
        <v>0.15</v>
      </c>
      <c r="AW629" s="208">
        <v>0.1</v>
      </c>
      <c r="AX629" s="311">
        <v>0.05</v>
      </c>
    </row>
    <row r="630" spans="39:50" x14ac:dyDescent="0.3">
      <c r="AM630" s="147" t="s">
        <v>194</v>
      </c>
      <c r="AN630" s="147" t="s">
        <v>194</v>
      </c>
      <c r="AO630" s="147" t="s">
        <v>376</v>
      </c>
      <c r="AP630" s="147" t="s">
        <v>1871</v>
      </c>
      <c r="AQ630" s="147" t="s">
        <v>1065</v>
      </c>
      <c r="AR630" s="147" t="s">
        <v>339</v>
      </c>
      <c r="AS630" s="182" t="str">
        <f t="shared" si="17"/>
        <v>WasteWasteMunicipalLandfill (municipal)Organic food and drinkNaN</v>
      </c>
      <c r="AT630" s="182" t="s">
        <v>976</v>
      </c>
      <c r="AU630" s="182"/>
      <c r="AV630" s="208">
        <v>0.15</v>
      </c>
      <c r="AW630" s="208">
        <v>0.1</v>
      </c>
      <c r="AX630" s="311">
        <v>0.05</v>
      </c>
    </row>
    <row r="631" spans="39:50" x14ac:dyDescent="0.3">
      <c r="AM631" s="147" t="s">
        <v>194</v>
      </c>
      <c r="AN631" s="147" t="s">
        <v>194</v>
      </c>
      <c r="AO631" s="147" t="s">
        <v>376</v>
      </c>
      <c r="AP631" s="147" t="s">
        <v>1872</v>
      </c>
      <c r="AQ631" s="147" t="s">
        <v>1073</v>
      </c>
      <c r="AR631" s="147" t="s">
        <v>339</v>
      </c>
      <c r="AS631" s="182" t="str">
        <f t="shared" si="17"/>
        <v>WasteWasteMunicipalRecycling (municipal)BatteriesNaN</v>
      </c>
      <c r="AT631" s="182" t="s">
        <v>976</v>
      </c>
      <c r="AU631" s="182"/>
      <c r="AV631" s="208">
        <v>0.15</v>
      </c>
      <c r="AW631" s="208">
        <v>0.1</v>
      </c>
      <c r="AX631" s="311">
        <v>0.05</v>
      </c>
    </row>
    <row r="632" spans="39:50" x14ac:dyDescent="0.3">
      <c r="AM632" s="147" t="s">
        <v>194</v>
      </c>
      <c r="AN632" s="147" t="s">
        <v>194</v>
      </c>
      <c r="AO632" s="147" t="s">
        <v>376</v>
      </c>
      <c r="AP632" s="147" t="s">
        <v>1872</v>
      </c>
      <c r="AQ632" s="147" t="s">
        <v>1072</v>
      </c>
      <c r="AR632" s="147" t="s">
        <v>339</v>
      </c>
      <c r="AS632" s="182" t="str">
        <f t="shared" si="17"/>
        <v>WasteWasteMunicipalRecycling (municipal)ClothingNaN</v>
      </c>
      <c r="AT632" s="182" t="s">
        <v>976</v>
      </c>
      <c r="AU632" s="182"/>
      <c r="AV632" s="208">
        <v>0.15</v>
      </c>
      <c r="AW632" s="208">
        <v>0.1</v>
      </c>
      <c r="AX632" s="311">
        <v>0.05</v>
      </c>
    </row>
    <row r="633" spans="39:50" x14ac:dyDescent="0.3">
      <c r="AM633" s="147" t="s">
        <v>194</v>
      </c>
      <c r="AN633" s="147" t="s">
        <v>194</v>
      </c>
      <c r="AO633" s="147" t="s">
        <v>376</v>
      </c>
      <c r="AP633" s="147" t="s">
        <v>1872</v>
      </c>
      <c r="AQ633" s="147" t="s">
        <v>1068</v>
      </c>
      <c r="AR633" s="147" t="s">
        <v>339</v>
      </c>
      <c r="AS633" s="182" t="str">
        <f t="shared" si="17"/>
        <v>WasteWasteMunicipalRecycling (municipal)Commercial and industrial wasteNaN</v>
      </c>
      <c r="AT633" s="182" t="s">
        <v>976</v>
      </c>
      <c r="AU633" s="182"/>
      <c r="AV633" s="208">
        <v>0.15</v>
      </c>
      <c r="AW633" s="208">
        <v>0.1</v>
      </c>
      <c r="AX633" s="311">
        <v>0.05</v>
      </c>
    </row>
    <row r="634" spans="39:50" x14ac:dyDescent="0.3">
      <c r="AM634" s="147" t="s">
        <v>194</v>
      </c>
      <c r="AN634" s="147" t="s">
        <v>194</v>
      </c>
      <c r="AO634" s="147" t="s">
        <v>376</v>
      </c>
      <c r="AP634" s="147" t="s">
        <v>1872</v>
      </c>
      <c r="AQ634" s="147" t="s">
        <v>1074</v>
      </c>
      <c r="AR634" s="147" t="s">
        <v>339</v>
      </c>
      <c r="AS634" s="182" t="str">
        <f t="shared" si="17"/>
        <v>WasteWasteMunicipalRecycling (municipal)Mixed glassNaN</v>
      </c>
      <c r="AT634" s="182" t="s">
        <v>976</v>
      </c>
      <c r="AU634" s="182"/>
      <c r="AV634" s="208">
        <v>0.15</v>
      </c>
      <c r="AW634" s="208">
        <v>0.1</v>
      </c>
      <c r="AX634" s="311">
        <v>0.05</v>
      </c>
    </row>
    <row r="635" spans="39:50" x14ac:dyDescent="0.3">
      <c r="AM635" s="147" t="s">
        <v>194</v>
      </c>
      <c r="AN635" s="147" t="s">
        <v>194</v>
      </c>
      <c r="AO635" s="147" t="s">
        <v>376</v>
      </c>
      <c r="AP635" s="147" t="s">
        <v>1872</v>
      </c>
      <c r="AQ635" s="147" t="s">
        <v>1075</v>
      </c>
      <c r="AR635" s="147" t="s">
        <v>339</v>
      </c>
      <c r="AS635" s="182" t="str">
        <f t="shared" si="17"/>
        <v>WasteWasteMunicipalRecycling (municipal)Mixed metal cansNaN</v>
      </c>
      <c r="AT635" s="182" t="s">
        <v>976</v>
      </c>
      <c r="AU635" s="182"/>
      <c r="AV635" s="208">
        <v>0.15</v>
      </c>
      <c r="AW635" s="208">
        <v>0.1</v>
      </c>
      <c r="AX635" s="311">
        <v>0.05</v>
      </c>
    </row>
    <row r="636" spans="39:50" x14ac:dyDescent="0.3">
      <c r="AM636" s="147" t="s">
        <v>194</v>
      </c>
      <c r="AN636" s="147" t="s">
        <v>194</v>
      </c>
      <c r="AO636" s="147" t="s">
        <v>376</v>
      </c>
      <c r="AP636" s="147" t="s">
        <v>1872</v>
      </c>
      <c r="AQ636" s="147" t="s">
        <v>1076</v>
      </c>
      <c r="AR636" s="147" t="s">
        <v>339</v>
      </c>
      <c r="AS636" s="182" t="str">
        <f t="shared" si="17"/>
        <v>WasteWasteMunicipalRecycling (municipal)Mixed paperNaN</v>
      </c>
      <c r="AT636" s="182" t="s">
        <v>976</v>
      </c>
      <c r="AU636" s="182"/>
      <c r="AV636" s="208">
        <v>0.15</v>
      </c>
      <c r="AW636" s="208">
        <v>0.1</v>
      </c>
      <c r="AX636" s="311">
        <v>0.05</v>
      </c>
    </row>
    <row r="637" spans="39:50" x14ac:dyDescent="0.3">
      <c r="AM637" s="147" t="s">
        <v>194</v>
      </c>
      <c r="AN637" s="147" t="s">
        <v>194</v>
      </c>
      <c r="AO637" s="147" t="s">
        <v>376</v>
      </c>
      <c r="AP637" s="147" t="s">
        <v>1872</v>
      </c>
      <c r="AQ637" s="147" t="s">
        <v>1077</v>
      </c>
      <c r="AR637" s="147" t="s">
        <v>339</v>
      </c>
      <c r="AS637" s="182" t="str">
        <f t="shared" si="17"/>
        <v>WasteWasteMunicipalRecycling (municipal)Mixed plasticsNaN</v>
      </c>
      <c r="AT637" s="182" t="s">
        <v>976</v>
      </c>
      <c r="AU637" s="182"/>
      <c r="AV637" s="208">
        <v>0.15</v>
      </c>
      <c r="AW637" s="208">
        <v>0.1</v>
      </c>
      <c r="AX637" s="311">
        <v>0.05</v>
      </c>
    </row>
    <row r="638" spans="39:50" x14ac:dyDescent="0.3">
      <c r="AM638" s="147" t="s">
        <v>194</v>
      </c>
      <c r="AN638" s="147" t="s">
        <v>194</v>
      </c>
      <c r="AO638" s="147" t="s">
        <v>376</v>
      </c>
      <c r="AP638" s="147" t="s">
        <v>1872</v>
      </c>
      <c r="AQ638" s="147" t="s">
        <v>1078</v>
      </c>
      <c r="AR638" s="147" t="s">
        <v>339</v>
      </c>
      <c r="AS638" s="182" t="str">
        <f t="shared" si="17"/>
        <v>WasteWasteMunicipalRecycling (municipal)Mixed recyclingNaN</v>
      </c>
      <c r="AT638" s="182" t="s">
        <v>976</v>
      </c>
      <c r="AU638" s="182"/>
      <c r="AV638" s="208">
        <v>0.15</v>
      </c>
      <c r="AW638" s="208">
        <v>0.1</v>
      </c>
      <c r="AX638" s="311">
        <v>0.05</v>
      </c>
    </row>
    <row r="639" spans="39:50" x14ac:dyDescent="0.3">
      <c r="AM639" s="147" t="s">
        <v>194</v>
      </c>
      <c r="AN639" s="147" t="s">
        <v>194</v>
      </c>
      <c r="AO639" s="147" t="s">
        <v>376</v>
      </c>
      <c r="AP639" s="147" t="s">
        <v>1872</v>
      </c>
      <c r="AQ639" s="147" t="s">
        <v>1079</v>
      </c>
      <c r="AR639" s="147" t="s">
        <v>339</v>
      </c>
      <c r="AS639" s="182" t="str">
        <f t="shared" si="17"/>
        <v>WasteWasteMunicipalRecycling (municipal)Mixed WEEENaN</v>
      </c>
      <c r="AT639" s="182" t="s">
        <v>976</v>
      </c>
      <c r="AU639" s="182"/>
      <c r="AV639" s="208">
        <v>0.15</v>
      </c>
      <c r="AW639" s="208">
        <v>0.1</v>
      </c>
      <c r="AX639" s="311">
        <v>0.05</v>
      </c>
    </row>
    <row r="640" spans="39:50" x14ac:dyDescent="0.3">
      <c r="AM640" s="147" t="s">
        <v>194</v>
      </c>
      <c r="AN640" s="147" t="s">
        <v>194</v>
      </c>
      <c r="AO640" s="147" t="s">
        <v>373</v>
      </c>
      <c r="AP640" s="147" t="s">
        <v>1873</v>
      </c>
      <c r="AQ640" s="147" t="s">
        <v>1065</v>
      </c>
      <c r="AR640" s="147" t="s">
        <v>339</v>
      </c>
      <c r="AS640" s="182" t="str">
        <f t="shared" si="17"/>
        <v>WasteWasteOrganisationalAnaerobic digestion (organisational)Organic food and drinkNaN</v>
      </c>
      <c r="AT640" s="182" t="s">
        <v>976</v>
      </c>
      <c r="AU640" s="182"/>
      <c r="AV640" s="208">
        <v>0.15</v>
      </c>
      <c r="AW640" s="208">
        <v>0.1</v>
      </c>
      <c r="AX640" s="311">
        <v>0.05</v>
      </c>
    </row>
    <row r="641" spans="39:50" x14ac:dyDescent="0.3">
      <c r="AM641" s="147" t="s">
        <v>194</v>
      </c>
      <c r="AN641" s="147" t="s">
        <v>194</v>
      </c>
      <c r="AO641" s="147" t="s">
        <v>373</v>
      </c>
      <c r="AP641" s="147" t="s">
        <v>1873</v>
      </c>
      <c r="AQ641" s="147" t="s">
        <v>1071</v>
      </c>
      <c r="AR641" s="147" t="s">
        <v>339</v>
      </c>
      <c r="AS641" s="182" t="str">
        <f t="shared" si="17"/>
        <v>WasteWasteOrganisationalAnaerobic digestion (organisational)Organic gardenNaN</v>
      </c>
      <c r="AT641" s="182" t="s">
        <v>976</v>
      </c>
      <c r="AU641" s="182"/>
      <c r="AV641" s="208">
        <v>0.15</v>
      </c>
      <c r="AW641" s="208">
        <v>0.1</v>
      </c>
      <c r="AX641" s="311">
        <v>0.05</v>
      </c>
    </row>
    <row r="642" spans="39:50" x14ac:dyDescent="0.3">
      <c r="AM642" s="147" t="s">
        <v>194</v>
      </c>
      <c r="AN642" s="147" t="s">
        <v>194</v>
      </c>
      <c r="AO642" s="147" t="s">
        <v>373</v>
      </c>
      <c r="AP642" s="147" t="s">
        <v>1873</v>
      </c>
      <c r="AQ642" s="147" t="s">
        <v>1066</v>
      </c>
      <c r="AR642" s="147" t="s">
        <v>339</v>
      </c>
      <c r="AS642" s="182" t="str">
        <f t="shared" si="17"/>
        <v>WasteWasteOrganisationalAnaerobic digestion (organisational)Organic mixedNaN</v>
      </c>
      <c r="AT642" s="182" t="s">
        <v>976</v>
      </c>
      <c r="AU642" s="182"/>
      <c r="AV642" s="208">
        <v>0.15</v>
      </c>
      <c r="AW642" s="208">
        <v>0.1</v>
      </c>
      <c r="AX642" s="311">
        <v>0.05</v>
      </c>
    </row>
    <row r="643" spans="39:50" x14ac:dyDescent="0.3">
      <c r="AM643" s="147" t="s">
        <v>194</v>
      </c>
      <c r="AN643" s="147" t="s">
        <v>194</v>
      </c>
      <c r="AO643" s="147" t="s">
        <v>373</v>
      </c>
      <c r="AP643" s="147" t="s">
        <v>1874</v>
      </c>
      <c r="AQ643" s="147" t="s">
        <v>1080</v>
      </c>
      <c r="AR643" s="147" t="s">
        <v>339</v>
      </c>
      <c r="AS643" s="182" t="str">
        <f t="shared" si="17"/>
        <v>WasteWasteOrganisationalAutoclave treatment and combustion (organisational)Clinical wasteNaN</v>
      </c>
      <c r="AT643" s="182" t="s">
        <v>976</v>
      </c>
      <c r="AU643" s="182"/>
      <c r="AV643" s="208">
        <v>0.15</v>
      </c>
      <c r="AW643" s="208">
        <v>0.1</v>
      </c>
      <c r="AX643" s="311">
        <v>0.05</v>
      </c>
    </row>
    <row r="644" spans="39:50" x14ac:dyDescent="0.3">
      <c r="AM644" s="147" t="s">
        <v>194</v>
      </c>
      <c r="AN644" s="147" t="s">
        <v>194</v>
      </c>
      <c r="AO644" s="147" t="s">
        <v>373</v>
      </c>
      <c r="AP644" s="147" t="s">
        <v>1874</v>
      </c>
      <c r="AQ644" s="147" t="s">
        <v>1081</v>
      </c>
      <c r="AR644" s="147" t="s">
        <v>339</v>
      </c>
      <c r="AS644" s="182" t="str">
        <f t="shared" si="17"/>
        <v>WasteWasteOrganisationalAutoclave treatment and combustion (organisational)Infectious wasteNaN</v>
      </c>
      <c r="AT644" s="182" t="s">
        <v>976</v>
      </c>
      <c r="AU644" s="182"/>
      <c r="AV644" s="208">
        <v>0.15</v>
      </c>
      <c r="AW644" s="208">
        <v>0.1</v>
      </c>
      <c r="AX644" s="311">
        <v>0.05</v>
      </c>
    </row>
    <row r="645" spans="39:50" x14ac:dyDescent="0.3">
      <c r="AM645" s="147" t="s">
        <v>194</v>
      </c>
      <c r="AN645" s="147" t="s">
        <v>194</v>
      </c>
      <c r="AO645" s="147" t="s">
        <v>373</v>
      </c>
      <c r="AP645" s="147" t="s">
        <v>1875</v>
      </c>
      <c r="AQ645" s="147" t="s">
        <v>1068</v>
      </c>
      <c r="AR645" s="147" t="s">
        <v>339</v>
      </c>
      <c r="AS645" s="182" t="str">
        <f t="shared" si="17"/>
        <v>WasteWasteOrganisationalCombustion (organisational)Commercial and industrial wasteNaN</v>
      </c>
      <c r="AT645" s="182" t="s">
        <v>976</v>
      </c>
      <c r="AU645" s="182"/>
      <c r="AV645" s="208">
        <v>0.15</v>
      </c>
      <c r="AW645" s="208">
        <v>0.1</v>
      </c>
      <c r="AX645" s="311">
        <v>0.05</v>
      </c>
    </row>
    <row r="646" spans="39:50" x14ac:dyDescent="0.3">
      <c r="AM646" s="147" t="s">
        <v>194</v>
      </c>
      <c r="AN646" s="147" t="s">
        <v>194</v>
      </c>
      <c r="AO646" s="147" t="s">
        <v>373</v>
      </c>
      <c r="AP646" s="147" t="s">
        <v>1875</v>
      </c>
      <c r="AQ646" s="147" t="s">
        <v>1069</v>
      </c>
      <c r="AR646" s="147" t="s">
        <v>339</v>
      </c>
      <c r="AS646" s="182" t="str">
        <f t="shared" si="17"/>
        <v>WasteWasteOrganisationalCombustion (organisational)Household residual wasteNaN</v>
      </c>
      <c r="AT646" s="182" t="s">
        <v>976</v>
      </c>
      <c r="AU646" s="182"/>
      <c r="AV646" s="208">
        <v>0.15</v>
      </c>
      <c r="AW646" s="208">
        <v>0.1</v>
      </c>
      <c r="AX646" s="311">
        <v>0.05</v>
      </c>
    </row>
    <row r="647" spans="39:50" x14ac:dyDescent="0.3">
      <c r="AM647" s="147" t="s">
        <v>194</v>
      </c>
      <c r="AN647" s="147" t="s">
        <v>194</v>
      </c>
      <c r="AO647" s="147" t="s">
        <v>373</v>
      </c>
      <c r="AP647" s="147" t="s">
        <v>1875</v>
      </c>
      <c r="AQ647" s="147" t="s">
        <v>1079</v>
      </c>
      <c r="AR647" s="147" t="s">
        <v>339</v>
      </c>
      <c r="AS647" s="182" t="str">
        <f t="shared" si="17"/>
        <v>WasteWasteOrganisationalCombustion (organisational)Mixed WEEENaN</v>
      </c>
      <c r="AT647" s="182" t="s">
        <v>976</v>
      </c>
      <c r="AU647" s="182"/>
      <c r="AV647" s="208">
        <v>0.15</v>
      </c>
      <c r="AW647" s="208">
        <v>0.1</v>
      </c>
      <c r="AX647" s="311">
        <v>0.05</v>
      </c>
    </row>
    <row r="648" spans="39:50" x14ac:dyDescent="0.3">
      <c r="AM648" s="147" t="s">
        <v>194</v>
      </c>
      <c r="AN648" s="147" t="s">
        <v>194</v>
      </c>
      <c r="AO648" s="147" t="s">
        <v>373</v>
      </c>
      <c r="AP648" s="147" t="s">
        <v>1875</v>
      </c>
      <c r="AQ648" s="147" t="s">
        <v>1070</v>
      </c>
      <c r="AR648" s="147" t="s">
        <v>339</v>
      </c>
      <c r="AS648" s="182" t="str">
        <f t="shared" si="17"/>
        <v>WasteWasteOrganisationalCombustion (organisational)Non infectious offensive wasteNaN</v>
      </c>
      <c r="AT648" s="182" t="s">
        <v>976</v>
      </c>
      <c r="AU648" s="182"/>
      <c r="AV648" s="208">
        <v>0.15</v>
      </c>
      <c r="AW648" s="208">
        <v>0.1</v>
      </c>
      <c r="AX648" s="311">
        <v>0.05</v>
      </c>
    </row>
    <row r="649" spans="39:50" x14ac:dyDescent="0.3">
      <c r="AM649" s="147" t="s">
        <v>194</v>
      </c>
      <c r="AN649" s="147" t="s">
        <v>194</v>
      </c>
      <c r="AO649" s="147" t="s">
        <v>373</v>
      </c>
      <c r="AP649" s="147" t="s">
        <v>1875</v>
      </c>
      <c r="AQ649" s="147" t="s">
        <v>1065</v>
      </c>
      <c r="AR649" s="147" t="s">
        <v>339</v>
      </c>
      <c r="AS649" s="182" t="str">
        <f t="shared" si="17"/>
        <v>WasteWasteOrganisationalCombustion (organisational)Organic food and drinkNaN</v>
      </c>
      <c r="AT649" s="182" t="s">
        <v>976</v>
      </c>
      <c r="AU649" s="182"/>
      <c r="AV649" s="208">
        <v>0.15</v>
      </c>
      <c r="AW649" s="208">
        <v>0.1</v>
      </c>
      <c r="AX649" s="311">
        <v>0.05</v>
      </c>
    </row>
    <row r="650" spans="39:50" x14ac:dyDescent="0.3">
      <c r="AM650" s="147" t="s">
        <v>194</v>
      </c>
      <c r="AN650" s="147" t="s">
        <v>194</v>
      </c>
      <c r="AO650" s="147" t="s">
        <v>373</v>
      </c>
      <c r="AP650" s="147" t="s">
        <v>1875</v>
      </c>
      <c r="AQ650" s="147" t="s">
        <v>1071</v>
      </c>
      <c r="AR650" s="147" t="s">
        <v>339</v>
      </c>
      <c r="AS650" s="182" t="str">
        <f t="shared" si="17"/>
        <v>WasteWasteOrganisationalCombustion (organisational)Organic gardenNaN</v>
      </c>
      <c r="AT650" s="182" t="s">
        <v>976</v>
      </c>
      <c r="AU650" s="182"/>
      <c r="AV650" s="208">
        <v>0.15</v>
      </c>
      <c r="AW650" s="208">
        <v>0.1</v>
      </c>
      <c r="AX650" s="311">
        <v>0.05</v>
      </c>
    </row>
    <row r="651" spans="39:50" x14ac:dyDescent="0.3">
      <c r="AM651" s="147" t="s">
        <v>194</v>
      </c>
      <c r="AN651" s="147" t="s">
        <v>194</v>
      </c>
      <c r="AO651" s="147" t="s">
        <v>373</v>
      </c>
      <c r="AP651" s="147" t="s">
        <v>1875</v>
      </c>
      <c r="AQ651" s="147" t="s">
        <v>1066</v>
      </c>
      <c r="AR651" s="147" t="s">
        <v>339</v>
      </c>
      <c r="AS651" s="182" t="str">
        <f t="shared" si="17"/>
        <v>WasteWasteOrganisationalCombustion (organisational)Organic mixedNaN</v>
      </c>
      <c r="AT651" s="182" t="s">
        <v>976</v>
      </c>
      <c r="AU651" s="182"/>
      <c r="AV651" s="208">
        <v>0.15</v>
      </c>
      <c r="AW651" s="208">
        <v>0.1</v>
      </c>
      <c r="AX651" s="311">
        <v>0.05</v>
      </c>
    </row>
    <row r="652" spans="39:50" x14ac:dyDescent="0.3">
      <c r="AM652" s="147" t="s">
        <v>194</v>
      </c>
      <c r="AN652" s="147" t="s">
        <v>194</v>
      </c>
      <c r="AO652" s="147" t="s">
        <v>373</v>
      </c>
      <c r="AP652" s="147" t="s">
        <v>1875</v>
      </c>
      <c r="AQ652" s="147" t="s">
        <v>1065</v>
      </c>
      <c r="AR652" s="147" t="s">
        <v>339</v>
      </c>
      <c r="AS652" s="182" t="str">
        <f t="shared" si="17"/>
        <v>WasteWasteOrganisationalCombustion (organisational)Organic food and drinkNaN</v>
      </c>
      <c r="AT652" s="182" t="s">
        <v>976</v>
      </c>
      <c r="AU652" s="182"/>
      <c r="AV652" s="208">
        <v>0.15</v>
      </c>
      <c r="AW652" s="208">
        <v>0.1</v>
      </c>
      <c r="AX652" s="311">
        <v>0.05</v>
      </c>
    </row>
    <row r="653" spans="39:50" x14ac:dyDescent="0.3">
      <c r="AM653" s="147" t="s">
        <v>194</v>
      </c>
      <c r="AN653" s="147" t="s">
        <v>194</v>
      </c>
      <c r="AO653" s="147" t="s">
        <v>373</v>
      </c>
      <c r="AP653" s="147" t="s">
        <v>1875</v>
      </c>
      <c r="AQ653" s="147" t="s">
        <v>1071</v>
      </c>
      <c r="AR653" s="147" t="s">
        <v>339</v>
      </c>
      <c r="AS653" s="182" t="str">
        <f t="shared" si="17"/>
        <v>WasteWasteOrganisationalCombustion (organisational)Organic gardenNaN</v>
      </c>
      <c r="AT653" s="182" t="s">
        <v>976</v>
      </c>
      <c r="AU653" s="182"/>
      <c r="AV653" s="208">
        <v>0.15</v>
      </c>
      <c r="AW653" s="208">
        <v>0.1</v>
      </c>
      <c r="AX653" s="311">
        <v>0.05</v>
      </c>
    </row>
    <row r="654" spans="39:50" x14ac:dyDescent="0.3">
      <c r="AM654" s="147" t="s">
        <v>194</v>
      </c>
      <c r="AN654" s="147" t="s">
        <v>194</v>
      </c>
      <c r="AO654" s="147" t="s">
        <v>373</v>
      </c>
      <c r="AP654" s="147" t="s">
        <v>1875</v>
      </c>
      <c r="AQ654" s="147" t="s">
        <v>1066</v>
      </c>
      <c r="AR654" s="147" t="s">
        <v>339</v>
      </c>
      <c r="AS654" s="182" t="str">
        <f t="shared" si="17"/>
        <v>WasteWasteOrganisationalCombustion (organisational)Organic mixedNaN</v>
      </c>
      <c r="AT654" s="182" t="s">
        <v>976</v>
      </c>
      <c r="AU654" s="182"/>
      <c r="AV654" s="208">
        <v>0.15</v>
      </c>
      <c r="AW654" s="208">
        <v>0.1</v>
      </c>
      <c r="AX654" s="311">
        <v>0.05</v>
      </c>
    </row>
    <row r="655" spans="39:50" x14ac:dyDescent="0.3">
      <c r="AM655" s="147" t="s">
        <v>194</v>
      </c>
      <c r="AN655" s="147" t="s">
        <v>194</v>
      </c>
      <c r="AO655" s="147" t="s">
        <v>373</v>
      </c>
      <c r="AP655" s="147" t="s">
        <v>1876</v>
      </c>
      <c r="AQ655" s="147" t="s">
        <v>1082</v>
      </c>
      <c r="AR655" s="147" t="s">
        <v>339</v>
      </c>
      <c r="AS655" s="182" t="str">
        <f t="shared" si="17"/>
        <v>WasteWasteOrganisationalHigh temperature incineration (organisational)Anatomical wasteNaN</v>
      </c>
      <c r="AT655" s="182" t="s">
        <v>976</v>
      </c>
      <c r="AU655" s="182"/>
      <c r="AV655" s="208">
        <v>0.15</v>
      </c>
      <c r="AW655" s="208">
        <v>0.1</v>
      </c>
      <c r="AX655" s="311">
        <v>0.05</v>
      </c>
    </row>
    <row r="656" spans="39:50" x14ac:dyDescent="0.3">
      <c r="AM656" s="147" t="s">
        <v>194</v>
      </c>
      <c r="AN656" s="147" t="s">
        <v>194</v>
      </c>
      <c r="AO656" s="147" t="s">
        <v>373</v>
      </c>
      <c r="AP656" s="147" t="s">
        <v>1876</v>
      </c>
      <c r="AQ656" s="147" t="s">
        <v>1080</v>
      </c>
      <c r="AR656" s="147" t="s">
        <v>339</v>
      </c>
      <c r="AS656" s="182" t="str">
        <f t="shared" ref="AS656:AS719" si="18">_xlfn.CONCAT(AM656:AR656)</f>
        <v>WasteWasteOrganisationalHigh temperature incineration (organisational)Clinical wasteNaN</v>
      </c>
      <c r="AT656" s="182" t="s">
        <v>976</v>
      </c>
      <c r="AU656" s="182"/>
      <c r="AV656" s="208">
        <v>0.15</v>
      </c>
      <c r="AW656" s="208">
        <v>0.1</v>
      </c>
      <c r="AX656" s="311">
        <v>0.05</v>
      </c>
    </row>
    <row r="657" spans="39:50" x14ac:dyDescent="0.3">
      <c r="AM657" s="147" t="s">
        <v>194</v>
      </c>
      <c r="AN657" s="147" t="s">
        <v>194</v>
      </c>
      <c r="AO657" s="147" t="s">
        <v>373</v>
      </c>
      <c r="AP657" s="147" t="s">
        <v>1876</v>
      </c>
      <c r="AQ657" s="147" t="s">
        <v>1083</v>
      </c>
      <c r="AR657" s="147" t="s">
        <v>339</v>
      </c>
      <c r="AS657" s="182" t="str">
        <f t="shared" si="18"/>
        <v>WasteWasteOrganisationalHigh temperature incineration (organisational)Medical contaminated sharps wasteNaN</v>
      </c>
      <c r="AT657" s="182" t="s">
        <v>976</v>
      </c>
      <c r="AU657" s="182"/>
      <c r="AV657" s="208">
        <v>0.15</v>
      </c>
      <c r="AW657" s="208">
        <v>0.1</v>
      </c>
      <c r="AX657" s="311">
        <v>0.05</v>
      </c>
    </row>
    <row r="658" spans="39:50" x14ac:dyDescent="0.3">
      <c r="AM658" s="147" t="s">
        <v>194</v>
      </c>
      <c r="AN658" s="147" t="s">
        <v>194</v>
      </c>
      <c r="AO658" s="147" t="s">
        <v>373</v>
      </c>
      <c r="AP658" s="147" t="s">
        <v>1876</v>
      </c>
      <c r="AQ658" s="147" t="s">
        <v>1084</v>
      </c>
      <c r="AR658" s="147" t="s">
        <v>339</v>
      </c>
      <c r="AS658" s="182" t="str">
        <f t="shared" si="18"/>
        <v>WasteWasteOrganisationalHigh temperature incineration (organisational)Medicinal wasteNaN</v>
      </c>
      <c r="AT658" s="182" t="s">
        <v>976</v>
      </c>
      <c r="AU658" s="182"/>
      <c r="AV658" s="208">
        <v>0.15</v>
      </c>
      <c r="AW658" s="208">
        <v>0.1</v>
      </c>
      <c r="AX658" s="311">
        <v>0.05</v>
      </c>
    </row>
    <row r="659" spans="39:50" x14ac:dyDescent="0.3">
      <c r="AM659" s="147" t="s">
        <v>194</v>
      </c>
      <c r="AN659" s="147" t="s">
        <v>194</v>
      </c>
      <c r="AO659" s="147" t="s">
        <v>373</v>
      </c>
      <c r="AP659" s="147" t="s">
        <v>1877</v>
      </c>
      <c r="AQ659" s="147" t="s">
        <v>1085</v>
      </c>
      <c r="AR659" s="147" t="s">
        <v>339</v>
      </c>
      <c r="AS659" s="182" t="str">
        <f t="shared" si="18"/>
        <v>WasteWasteOrganisationalLandfill (organisational)AsbestosNaN</v>
      </c>
      <c r="AT659" s="182" t="s">
        <v>976</v>
      </c>
      <c r="AU659" s="182"/>
      <c r="AV659" s="208">
        <v>0.15</v>
      </c>
      <c r="AW659" s="208">
        <v>0.1</v>
      </c>
      <c r="AX659" s="311">
        <v>0.05</v>
      </c>
    </row>
    <row r="660" spans="39:50" x14ac:dyDescent="0.3">
      <c r="AM660" s="147" t="s">
        <v>194</v>
      </c>
      <c r="AN660" s="147" t="s">
        <v>194</v>
      </c>
      <c r="AO660" s="147" t="s">
        <v>373</v>
      </c>
      <c r="AP660" s="147" t="s">
        <v>1877</v>
      </c>
      <c r="AQ660" s="147" t="s">
        <v>1072</v>
      </c>
      <c r="AR660" s="147" t="s">
        <v>339</v>
      </c>
      <c r="AS660" s="182" t="str">
        <f t="shared" si="18"/>
        <v>WasteWasteOrganisationalLandfill (organisational)ClothingNaN</v>
      </c>
      <c r="AT660" s="182" t="s">
        <v>976</v>
      </c>
      <c r="AU660" s="182"/>
      <c r="AV660" s="208">
        <v>0.15</v>
      </c>
      <c r="AW660" s="208">
        <v>0.1</v>
      </c>
      <c r="AX660" s="311">
        <v>0.05</v>
      </c>
    </row>
    <row r="661" spans="39:50" x14ac:dyDescent="0.3">
      <c r="AM661" s="147" t="s">
        <v>194</v>
      </c>
      <c r="AN661" s="147" t="s">
        <v>194</v>
      </c>
      <c r="AO661" s="147" t="s">
        <v>373</v>
      </c>
      <c r="AP661" s="147" t="s">
        <v>1877</v>
      </c>
      <c r="AQ661" s="147" t="s">
        <v>1068</v>
      </c>
      <c r="AR661" s="147" t="s">
        <v>339</v>
      </c>
      <c r="AS661" s="182" t="str">
        <f t="shared" si="18"/>
        <v>WasteWasteOrganisationalLandfill (organisational)Commercial and industrial wasteNaN</v>
      </c>
      <c r="AT661" s="182" t="s">
        <v>976</v>
      </c>
      <c r="AU661" s="182"/>
      <c r="AV661" s="208">
        <v>0.15</v>
      </c>
      <c r="AW661" s="208">
        <v>0.1</v>
      </c>
      <c r="AX661" s="311">
        <v>0.05</v>
      </c>
    </row>
    <row r="662" spans="39:50" x14ac:dyDescent="0.3">
      <c r="AM662" s="147" t="s">
        <v>194</v>
      </c>
      <c r="AN662" s="147" t="s">
        <v>194</v>
      </c>
      <c r="AO662" s="147" t="s">
        <v>373</v>
      </c>
      <c r="AP662" s="147" t="s">
        <v>1877</v>
      </c>
      <c r="AQ662" s="147" t="s">
        <v>1069</v>
      </c>
      <c r="AR662" s="147" t="s">
        <v>339</v>
      </c>
      <c r="AS662" s="182" t="str">
        <f t="shared" si="18"/>
        <v>WasteWasteOrganisationalLandfill (organisational)Household residual wasteNaN</v>
      </c>
      <c r="AT662" s="182" t="s">
        <v>976</v>
      </c>
      <c r="AU662" s="182"/>
      <c r="AV662" s="208">
        <v>0.15</v>
      </c>
      <c r="AW662" s="208">
        <v>0.1</v>
      </c>
      <c r="AX662" s="311">
        <v>0.05</v>
      </c>
    </row>
    <row r="663" spans="39:50" x14ac:dyDescent="0.3">
      <c r="AM663" s="147" t="s">
        <v>194</v>
      </c>
      <c r="AN663" s="147" t="s">
        <v>194</v>
      </c>
      <c r="AO663" s="147" t="s">
        <v>373</v>
      </c>
      <c r="AP663" s="147" t="s">
        <v>1877</v>
      </c>
      <c r="AQ663" s="147" t="s">
        <v>1079</v>
      </c>
      <c r="AR663" s="147" t="s">
        <v>339</v>
      </c>
      <c r="AS663" s="182" t="str">
        <f t="shared" si="18"/>
        <v>WasteWasteOrganisationalLandfill (organisational)Mixed WEEENaN</v>
      </c>
      <c r="AT663" s="182" t="s">
        <v>976</v>
      </c>
      <c r="AU663" s="182"/>
      <c r="AV663" s="208">
        <v>0.15</v>
      </c>
      <c r="AW663" s="208">
        <v>0.1</v>
      </c>
      <c r="AX663" s="311">
        <v>0.05</v>
      </c>
    </row>
    <row r="664" spans="39:50" x14ac:dyDescent="0.3">
      <c r="AM664" s="147" t="s">
        <v>194</v>
      </c>
      <c r="AN664" s="147" t="s">
        <v>194</v>
      </c>
      <c r="AO664" s="147" t="s">
        <v>373</v>
      </c>
      <c r="AP664" s="147" t="s">
        <v>1877</v>
      </c>
      <c r="AQ664" s="147" t="s">
        <v>1065</v>
      </c>
      <c r="AR664" s="147" t="s">
        <v>339</v>
      </c>
      <c r="AS664" s="182" t="str">
        <f t="shared" si="18"/>
        <v>WasteWasteOrganisationalLandfill (organisational)Organic food and drinkNaN</v>
      </c>
      <c r="AT664" s="182" t="s">
        <v>976</v>
      </c>
      <c r="AU664" s="182"/>
      <c r="AV664" s="208">
        <v>0.15</v>
      </c>
      <c r="AW664" s="208">
        <v>0.1</v>
      </c>
      <c r="AX664" s="311">
        <v>0.05</v>
      </c>
    </row>
    <row r="665" spans="39:50" x14ac:dyDescent="0.3">
      <c r="AM665" s="147" t="s">
        <v>194</v>
      </c>
      <c r="AN665" s="147" t="s">
        <v>194</v>
      </c>
      <c r="AO665" s="147" t="s">
        <v>373</v>
      </c>
      <c r="AP665" s="147" t="s">
        <v>1877</v>
      </c>
      <c r="AQ665" s="147" t="s">
        <v>1066</v>
      </c>
      <c r="AR665" s="147" t="s">
        <v>339</v>
      </c>
      <c r="AS665" s="182" t="str">
        <f t="shared" si="18"/>
        <v>WasteWasteOrganisationalLandfill (organisational)Organic mixedNaN</v>
      </c>
      <c r="AT665" s="182" t="s">
        <v>976</v>
      </c>
      <c r="AU665" s="182"/>
      <c r="AV665" s="208">
        <v>0.15</v>
      </c>
      <c r="AW665" s="208">
        <v>0.1</v>
      </c>
      <c r="AX665" s="311">
        <v>0.05</v>
      </c>
    </row>
    <row r="666" spans="39:50" x14ac:dyDescent="0.3">
      <c r="AM666" s="147" t="s">
        <v>194</v>
      </c>
      <c r="AN666" s="147" t="s">
        <v>194</v>
      </c>
      <c r="AO666" s="147" t="s">
        <v>373</v>
      </c>
      <c r="AP666" s="147" t="s">
        <v>1877</v>
      </c>
      <c r="AQ666" s="147" t="s">
        <v>1087</v>
      </c>
      <c r="AR666" s="147" t="s">
        <v>339</v>
      </c>
      <c r="AS666" s="182" t="str">
        <f t="shared" si="18"/>
        <v>WasteWasteOrganisationalLandfill (organisational)Waste SoilsNaN</v>
      </c>
      <c r="AT666" s="182" t="s">
        <v>976</v>
      </c>
      <c r="AU666" s="182"/>
      <c r="AV666" s="208">
        <v>0.15</v>
      </c>
      <c r="AW666" s="208">
        <v>0.1</v>
      </c>
      <c r="AX666" s="311">
        <v>0.05</v>
      </c>
    </row>
    <row r="667" spans="39:50" x14ac:dyDescent="0.3">
      <c r="AM667" s="147" t="s">
        <v>194</v>
      </c>
      <c r="AN667" s="147" t="s">
        <v>194</v>
      </c>
      <c r="AO667" s="147" t="s">
        <v>373</v>
      </c>
      <c r="AP667" s="147" t="s">
        <v>1878</v>
      </c>
      <c r="AQ667" s="147" t="s">
        <v>1086</v>
      </c>
      <c r="AR667" s="147" t="s">
        <v>339</v>
      </c>
      <c r="AS667" s="182" t="str">
        <f t="shared" si="18"/>
        <v>WasteWasteOrganisationalRecycling (organisational)Average constructionNaN</v>
      </c>
      <c r="AT667" s="182" t="s">
        <v>976</v>
      </c>
      <c r="AU667" s="182"/>
      <c r="AV667" s="208">
        <v>0.15</v>
      </c>
      <c r="AW667" s="208">
        <v>0.1</v>
      </c>
      <c r="AX667" s="311">
        <v>0.05</v>
      </c>
    </row>
    <row r="668" spans="39:50" x14ac:dyDescent="0.3">
      <c r="AM668" s="147" t="s">
        <v>194</v>
      </c>
      <c r="AN668" s="147" t="s">
        <v>194</v>
      </c>
      <c r="AO668" s="147" t="s">
        <v>373</v>
      </c>
      <c r="AP668" s="147" t="s">
        <v>1878</v>
      </c>
      <c r="AQ668" s="147" t="s">
        <v>1073</v>
      </c>
      <c r="AR668" s="147" t="s">
        <v>339</v>
      </c>
      <c r="AS668" s="182" t="str">
        <f t="shared" si="18"/>
        <v>WasteWasteOrganisationalRecycling (organisational)BatteriesNaN</v>
      </c>
      <c r="AT668" s="182" t="s">
        <v>976</v>
      </c>
      <c r="AU668" s="182"/>
      <c r="AV668" s="208">
        <v>0.15</v>
      </c>
      <c r="AW668" s="208">
        <v>0.1</v>
      </c>
      <c r="AX668" s="311">
        <v>0.05</v>
      </c>
    </row>
    <row r="669" spans="39:50" x14ac:dyDescent="0.3">
      <c r="AM669" s="147" t="s">
        <v>194</v>
      </c>
      <c r="AN669" s="147" t="s">
        <v>194</v>
      </c>
      <c r="AO669" s="147" t="s">
        <v>373</v>
      </c>
      <c r="AP669" s="147" t="s">
        <v>1878</v>
      </c>
      <c r="AQ669" s="147" t="s">
        <v>1072</v>
      </c>
      <c r="AR669" s="147" t="s">
        <v>339</v>
      </c>
      <c r="AS669" s="182" t="str">
        <f t="shared" si="18"/>
        <v>WasteWasteOrganisationalRecycling (organisational)ClothingNaN</v>
      </c>
      <c r="AT669" s="182" t="s">
        <v>976</v>
      </c>
      <c r="AU669" s="182"/>
      <c r="AV669" s="208">
        <v>0.15</v>
      </c>
      <c r="AW669" s="208">
        <v>0.1</v>
      </c>
      <c r="AX669" s="311">
        <v>0.05</v>
      </c>
    </row>
    <row r="670" spans="39:50" x14ac:dyDescent="0.3">
      <c r="AM670" s="147" t="s">
        <v>194</v>
      </c>
      <c r="AN670" s="147" t="s">
        <v>194</v>
      </c>
      <c r="AO670" s="147" t="s">
        <v>373</v>
      </c>
      <c r="AP670" s="147" t="s">
        <v>1878</v>
      </c>
      <c r="AQ670" s="147" t="s">
        <v>1068</v>
      </c>
      <c r="AR670" s="147" t="s">
        <v>339</v>
      </c>
      <c r="AS670" s="182" t="str">
        <f t="shared" si="18"/>
        <v>WasteWasteOrganisationalRecycling (organisational)Commercial and industrial wasteNaN</v>
      </c>
      <c r="AT670" s="182" t="s">
        <v>976</v>
      </c>
      <c r="AU670" s="182"/>
      <c r="AV670" s="208">
        <v>0.15</v>
      </c>
      <c r="AW670" s="208">
        <v>0.1</v>
      </c>
      <c r="AX670" s="311">
        <v>0.05</v>
      </c>
    </row>
    <row r="671" spans="39:50" x14ac:dyDescent="0.3">
      <c r="AM671" s="147" t="s">
        <v>194</v>
      </c>
      <c r="AN671" s="147" t="s">
        <v>194</v>
      </c>
      <c r="AO671" s="147" t="s">
        <v>373</v>
      </c>
      <c r="AP671" s="147" t="s">
        <v>1878</v>
      </c>
      <c r="AQ671" s="147" t="s">
        <v>1088</v>
      </c>
      <c r="AR671" s="147" t="s">
        <v>339</v>
      </c>
      <c r="AS671" s="182" t="str">
        <f t="shared" si="18"/>
        <v>WasteWasteOrganisationalRecycling (organisational)MetalsNaN</v>
      </c>
      <c r="AT671" s="182" t="s">
        <v>976</v>
      </c>
      <c r="AU671" s="182"/>
      <c r="AV671" s="208">
        <v>0.15</v>
      </c>
      <c r="AW671" s="208">
        <v>0.1</v>
      </c>
      <c r="AX671" s="311">
        <v>0.05</v>
      </c>
    </row>
    <row r="672" spans="39:50" x14ac:dyDescent="0.3">
      <c r="AM672" s="147" t="s">
        <v>194</v>
      </c>
      <c r="AN672" s="147" t="s">
        <v>194</v>
      </c>
      <c r="AO672" s="147" t="s">
        <v>373</v>
      </c>
      <c r="AP672" s="147" t="s">
        <v>1878</v>
      </c>
      <c r="AQ672" s="147" t="s">
        <v>1089</v>
      </c>
      <c r="AR672" s="147" t="s">
        <v>339</v>
      </c>
      <c r="AS672" s="182" t="str">
        <f t="shared" si="18"/>
        <v>WasteWasteOrganisationalRecycling (organisational)Mineral oilNaN</v>
      </c>
      <c r="AT672" s="182" t="s">
        <v>976</v>
      </c>
      <c r="AU672" s="182"/>
      <c r="AV672" s="208">
        <v>0.15</v>
      </c>
      <c r="AW672" s="208">
        <v>0.1</v>
      </c>
      <c r="AX672" s="311">
        <v>0.05</v>
      </c>
    </row>
    <row r="673" spans="39:50" x14ac:dyDescent="0.3">
      <c r="AM673" s="147" t="s">
        <v>194</v>
      </c>
      <c r="AN673" s="147" t="s">
        <v>194</v>
      </c>
      <c r="AO673" s="147" t="s">
        <v>373</v>
      </c>
      <c r="AP673" s="147" t="s">
        <v>1878</v>
      </c>
      <c r="AQ673" s="147" t="s">
        <v>1074</v>
      </c>
      <c r="AR673" s="147" t="s">
        <v>339</v>
      </c>
      <c r="AS673" s="182" t="str">
        <f t="shared" si="18"/>
        <v>WasteWasteOrganisationalRecycling (organisational)Mixed glassNaN</v>
      </c>
      <c r="AT673" s="182" t="s">
        <v>976</v>
      </c>
      <c r="AU673" s="182"/>
      <c r="AV673" s="208">
        <v>0.15</v>
      </c>
      <c r="AW673" s="208">
        <v>0.1</v>
      </c>
      <c r="AX673" s="311">
        <v>0.05</v>
      </c>
    </row>
    <row r="674" spans="39:50" x14ac:dyDescent="0.3">
      <c r="AM674" s="147" t="s">
        <v>194</v>
      </c>
      <c r="AN674" s="147" t="s">
        <v>194</v>
      </c>
      <c r="AO674" s="147" t="s">
        <v>373</v>
      </c>
      <c r="AP674" s="147" t="s">
        <v>1878</v>
      </c>
      <c r="AQ674" s="147" t="s">
        <v>1075</v>
      </c>
      <c r="AR674" s="147" t="s">
        <v>339</v>
      </c>
      <c r="AS674" s="182" t="str">
        <f t="shared" si="18"/>
        <v>WasteWasteOrganisationalRecycling (organisational)Mixed metal cansNaN</v>
      </c>
      <c r="AT674" s="182" t="s">
        <v>976</v>
      </c>
      <c r="AU674" s="182"/>
      <c r="AV674" s="208">
        <v>0.15</v>
      </c>
      <c r="AW674" s="208">
        <v>0.1</v>
      </c>
      <c r="AX674" s="311">
        <v>0.05</v>
      </c>
    </row>
    <row r="675" spans="39:50" x14ac:dyDescent="0.3">
      <c r="AM675" s="147" t="s">
        <v>194</v>
      </c>
      <c r="AN675" s="147" t="s">
        <v>194</v>
      </c>
      <c r="AO675" s="147" t="s">
        <v>373</v>
      </c>
      <c r="AP675" s="147" t="s">
        <v>1878</v>
      </c>
      <c r="AQ675" s="147" t="s">
        <v>1076</v>
      </c>
      <c r="AR675" s="147" t="s">
        <v>339</v>
      </c>
      <c r="AS675" s="182" t="str">
        <f t="shared" si="18"/>
        <v>WasteWasteOrganisationalRecycling (organisational)Mixed paperNaN</v>
      </c>
      <c r="AT675" s="182" t="s">
        <v>976</v>
      </c>
      <c r="AU675" s="182"/>
      <c r="AV675" s="208">
        <v>0.15</v>
      </c>
      <c r="AW675" s="208">
        <v>0.1</v>
      </c>
      <c r="AX675" s="311">
        <v>0.05</v>
      </c>
    </row>
    <row r="676" spans="39:50" x14ac:dyDescent="0.3">
      <c r="AM676" s="147" t="s">
        <v>194</v>
      </c>
      <c r="AN676" s="147" t="s">
        <v>194</v>
      </c>
      <c r="AO676" s="147" t="s">
        <v>373</v>
      </c>
      <c r="AP676" s="147" t="s">
        <v>1878</v>
      </c>
      <c r="AQ676" s="147" t="s">
        <v>1077</v>
      </c>
      <c r="AR676" s="147" t="s">
        <v>339</v>
      </c>
      <c r="AS676" s="182" t="str">
        <f t="shared" si="18"/>
        <v>WasteWasteOrganisationalRecycling (organisational)Mixed plasticsNaN</v>
      </c>
      <c r="AT676" s="182" t="s">
        <v>976</v>
      </c>
      <c r="AU676" s="182"/>
      <c r="AV676" s="208">
        <v>0.15</v>
      </c>
      <c r="AW676" s="208">
        <v>0.1</v>
      </c>
      <c r="AX676" s="311">
        <v>0.05</v>
      </c>
    </row>
    <row r="677" spans="39:50" x14ac:dyDescent="0.3">
      <c r="AM677" s="147" t="s">
        <v>194</v>
      </c>
      <c r="AN677" s="147" t="s">
        <v>194</v>
      </c>
      <c r="AO677" s="147" t="s">
        <v>373</v>
      </c>
      <c r="AP677" s="147" t="s">
        <v>1878</v>
      </c>
      <c r="AQ677" s="147" t="s">
        <v>1078</v>
      </c>
      <c r="AR677" s="147" t="s">
        <v>339</v>
      </c>
      <c r="AS677" s="182" t="str">
        <f t="shared" si="18"/>
        <v>WasteWasteOrganisationalRecycling (organisational)Mixed recyclingNaN</v>
      </c>
      <c r="AT677" s="182" t="s">
        <v>976</v>
      </c>
      <c r="AU677" s="182"/>
      <c r="AV677" s="208">
        <v>0.15</v>
      </c>
      <c r="AW677" s="208">
        <v>0.1</v>
      </c>
      <c r="AX677" s="311">
        <v>0.05</v>
      </c>
    </row>
    <row r="678" spans="39:50" x14ac:dyDescent="0.3">
      <c r="AM678" s="147" t="s">
        <v>194</v>
      </c>
      <c r="AN678" s="147" t="s">
        <v>194</v>
      </c>
      <c r="AO678" s="147" t="s">
        <v>373</v>
      </c>
      <c r="AP678" s="147" t="s">
        <v>1878</v>
      </c>
      <c r="AQ678" s="147" t="s">
        <v>1079</v>
      </c>
      <c r="AR678" s="147" t="s">
        <v>339</v>
      </c>
      <c r="AS678" s="182" t="str">
        <f t="shared" si="18"/>
        <v>WasteWasteOrganisationalRecycling (organisational)Mixed WEEENaN</v>
      </c>
      <c r="AT678" s="182" t="s">
        <v>976</v>
      </c>
      <c r="AU678" s="182"/>
      <c r="AV678" s="208">
        <v>0.15</v>
      </c>
      <c r="AW678" s="208">
        <v>0.1</v>
      </c>
      <c r="AX678" s="311">
        <v>0.05</v>
      </c>
    </row>
    <row r="679" spans="39:50" x14ac:dyDescent="0.3">
      <c r="AM679" s="147" t="s">
        <v>194</v>
      </c>
      <c r="AN679" s="147" t="s">
        <v>194</v>
      </c>
      <c r="AO679" s="147" t="s">
        <v>378</v>
      </c>
      <c r="AP679" s="147" t="s">
        <v>1879</v>
      </c>
      <c r="AQ679" s="147" t="s">
        <v>1068</v>
      </c>
      <c r="AR679" s="147" t="s">
        <v>339</v>
      </c>
      <c r="AS679" s="182" t="str">
        <f t="shared" si="18"/>
        <v>WasteWasteProjectCombustion (project)Commercial and industrial wasteNaN</v>
      </c>
      <c r="AT679" s="182" t="s">
        <v>976</v>
      </c>
      <c r="AU679" s="182"/>
      <c r="AV679" s="208">
        <v>0.15</v>
      </c>
      <c r="AW679" s="208">
        <v>0.1</v>
      </c>
      <c r="AX679" s="311">
        <v>0.05</v>
      </c>
    </row>
    <row r="680" spans="39:50" x14ac:dyDescent="0.3">
      <c r="AM680" s="147" t="s">
        <v>194</v>
      </c>
      <c r="AN680" s="147" t="s">
        <v>194</v>
      </c>
      <c r="AO680" s="147" t="s">
        <v>378</v>
      </c>
      <c r="AP680" s="147" t="s">
        <v>1879</v>
      </c>
      <c r="AQ680" s="147" t="s">
        <v>1090</v>
      </c>
      <c r="AR680" s="147" t="s">
        <v>339</v>
      </c>
      <c r="AS680" s="182" t="str">
        <f t="shared" si="18"/>
        <v>WasteWasteProjectCombustion (project)WoodNaN</v>
      </c>
      <c r="AT680" s="182" t="s">
        <v>976</v>
      </c>
      <c r="AU680" s="182"/>
      <c r="AV680" s="208">
        <v>0.15</v>
      </c>
      <c r="AW680" s="208">
        <v>0.1</v>
      </c>
      <c r="AX680" s="311">
        <v>0.05</v>
      </c>
    </row>
    <row r="681" spans="39:50" x14ac:dyDescent="0.3">
      <c r="AM681" s="147" t="s">
        <v>194</v>
      </c>
      <c r="AN681" s="147" t="s">
        <v>194</v>
      </c>
      <c r="AO681" s="147" t="s">
        <v>378</v>
      </c>
      <c r="AP681" s="147" t="s">
        <v>1880</v>
      </c>
      <c r="AQ681" s="147" t="s">
        <v>1091</v>
      </c>
      <c r="AR681" s="147" t="s">
        <v>339</v>
      </c>
      <c r="AS681" s="182" t="str">
        <f t="shared" si="18"/>
        <v>WasteWasteProjectLandfill (project)AggregatesNaN</v>
      </c>
      <c r="AT681" s="182" t="s">
        <v>976</v>
      </c>
      <c r="AU681" s="182"/>
      <c r="AV681" s="208">
        <v>0.15</v>
      </c>
      <c r="AW681" s="208">
        <v>0.1</v>
      </c>
      <c r="AX681" s="311">
        <v>0.05</v>
      </c>
    </row>
    <row r="682" spans="39:50" x14ac:dyDescent="0.3">
      <c r="AM682" s="147" t="s">
        <v>194</v>
      </c>
      <c r="AN682" s="147" t="s">
        <v>194</v>
      </c>
      <c r="AO682" s="147" t="s">
        <v>378</v>
      </c>
      <c r="AP682" s="147" t="s">
        <v>1880</v>
      </c>
      <c r="AQ682" s="147" t="s">
        <v>1085</v>
      </c>
      <c r="AR682" s="147" t="s">
        <v>339</v>
      </c>
      <c r="AS682" s="182" t="str">
        <f t="shared" si="18"/>
        <v>WasteWasteProjectLandfill (project)AsbestosNaN</v>
      </c>
      <c r="AT682" s="182" t="s">
        <v>976</v>
      </c>
      <c r="AU682" s="182"/>
      <c r="AV682" s="208">
        <v>0.15</v>
      </c>
      <c r="AW682" s="208">
        <v>0.1</v>
      </c>
      <c r="AX682" s="311">
        <v>0.05</v>
      </c>
    </row>
    <row r="683" spans="39:50" x14ac:dyDescent="0.3">
      <c r="AM683" s="147" t="s">
        <v>194</v>
      </c>
      <c r="AN683" s="147" t="s">
        <v>194</v>
      </c>
      <c r="AO683" s="147" t="s">
        <v>378</v>
      </c>
      <c r="AP683" s="147" t="s">
        <v>1880</v>
      </c>
      <c r="AQ683" s="147" t="s">
        <v>1092</v>
      </c>
      <c r="AR683" s="147" t="s">
        <v>339</v>
      </c>
      <c r="AS683" s="182" t="str">
        <f t="shared" si="18"/>
        <v>WasteWasteProjectLandfill (project)BricksNaN</v>
      </c>
      <c r="AT683" s="182" t="s">
        <v>976</v>
      </c>
      <c r="AU683" s="182"/>
      <c r="AV683" s="208">
        <v>0.15</v>
      </c>
      <c r="AW683" s="208">
        <v>0.1</v>
      </c>
      <c r="AX683" s="311">
        <v>0.05</v>
      </c>
    </row>
    <row r="684" spans="39:50" x14ac:dyDescent="0.3">
      <c r="AM684" s="147" t="s">
        <v>194</v>
      </c>
      <c r="AN684" s="147" t="s">
        <v>194</v>
      </c>
      <c r="AO684" s="147" t="s">
        <v>378</v>
      </c>
      <c r="AP684" s="147" t="s">
        <v>1880</v>
      </c>
      <c r="AQ684" s="147" t="s">
        <v>1068</v>
      </c>
      <c r="AR684" s="147" t="s">
        <v>339</v>
      </c>
      <c r="AS684" s="182" t="str">
        <f t="shared" si="18"/>
        <v>WasteWasteProjectLandfill (project)Commercial and industrial wasteNaN</v>
      </c>
      <c r="AT684" s="182" t="s">
        <v>976</v>
      </c>
      <c r="AU684" s="182"/>
      <c r="AV684" s="208">
        <v>0.15</v>
      </c>
      <c r="AW684" s="208">
        <v>0.1</v>
      </c>
      <c r="AX684" s="311">
        <v>0.05</v>
      </c>
    </row>
    <row r="685" spans="39:50" x14ac:dyDescent="0.3">
      <c r="AM685" s="147" t="s">
        <v>194</v>
      </c>
      <c r="AN685" s="147" t="s">
        <v>194</v>
      </c>
      <c r="AO685" s="147" t="s">
        <v>378</v>
      </c>
      <c r="AP685" s="147" t="s">
        <v>1880</v>
      </c>
      <c r="AQ685" s="147" t="s">
        <v>1088</v>
      </c>
      <c r="AR685" s="147" t="s">
        <v>339</v>
      </c>
      <c r="AS685" s="182" t="str">
        <f t="shared" si="18"/>
        <v>WasteWasteProjectLandfill (project)MetalsNaN</v>
      </c>
      <c r="AT685" s="182" t="s">
        <v>976</v>
      </c>
      <c r="AU685" s="182"/>
      <c r="AV685" s="208">
        <v>0.15</v>
      </c>
      <c r="AW685" s="208">
        <v>0.1</v>
      </c>
      <c r="AX685" s="311">
        <v>0.05</v>
      </c>
    </row>
    <row r="686" spans="39:50" x14ac:dyDescent="0.3">
      <c r="AM686" s="147" t="s">
        <v>194</v>
      </c>
      <c r="AN686" s="147" t="s">
        <v>194</v>
      </c>
      <c r="AO686" s="147" t="s">
        <v>378</v>
      </c>
      <c r="AP686" s="147" t="s">
        <v>1880</v>
      </c>
      <c r="AQ686" s="147" t="s">
        <v>1093</v>
      </c>
      <c r="AR686" s="147" t="s">
        <v>339</v>
      </c>
      <c r="AS686" s="182" t="str">
        <f t="shared" si="18"/>
        <v>WasteWasteProjectLandfill (project)PlasterboardNaN</v>
      </c>
      <c r="AT686" s="182" t="s">
        <v>976</v>
      </c>
      <c r="AU686" s="182"/>
      <c r="AV686" s="208">
        <v>0.15</v>
      </c>
      <c r="AW686" s="208">
        <v>0.1</v>
      </c>
      <c r="AX686" s="311">
        <v>0.05</v>
      </c>
    </row>
    <row r="687" spans="39:50" x14ac:dyDescent="0.3">
      <c r="AM687" s="147" t="s">
        <v>194</v>
      </c>
      <c r="AN687" s="147" t="s">
        <v>194</v>
      </c>
      <c r="AO687" s="147" t="s">
        <v>378</v>
      </c>
      <c r="AP687" s="147" t="s">
        <v>1880</v>
      </c>
      <c r="AQ687" s="147" t="s">
        <v>1094</v>
      </c>
      <c r="AR687" s="147" t="s">
        <v>339</v>
      </c>
      <c r="AS687" s="182" t="str">
        <f t="shared" si="18"/>
        <v>WasteWasteProjectLandfill (project)SoilsNaN</v>
      </c>
      <c r="AT687" s="182" t="s">
        <v>976</v>
      </c>
      <c r="AU687" s="182"/>
      <c r="AV687" s="208">
        <v>0.15</v>
      </c>
      <c r="AW687" s="208">
        <v>0.1</v>
      </c>
      <c r="AX687" s="311">
        <v>0.05</v>
      </c>
    </row>
    <row r="688" spans="39:50" x14ac:dyDescent="0.3">
      <c r="AM688" s="147" t="s">
        <v>194</v>
      </c>
      <c r="AN688" s="147" t="s">
        <v>194</v>
      </c>
      <c r="AO688" s="147" t="s">
        <v>378</v>
      </c>
      <c r="AP688" s="147" t="s">
        <v>1881</v>
      </c>
      <c r="AQ688" s="147" t="s">
        <v>1091</v>
      </c>
      <c r="AR688" s="147" t="s">
        <v>339</v>
      </c>
      <c r="AS688" s="182" t="str">
        <f t="shared" si="18"/>
        <v>WasteWasteProjectRecycling (project)AggregatesNaN</v>
      </c>
      <c r="AT688" s="182" t="s">
        <v>976</v>
      </c>
      <c r="AU688" s="182"/>
      <c r="AV688" s="208">
        <v>0.15</v>
      </c>
      <c r="AW688" s="208">
        <v>0.1</v>
      </c>
      <c r="AX688" s="311">
        <v>0.05</v>
      </c>
    </row>
    <row r="689" spans="39:50" x14ac:dyDescent="0.3">
      <c r="AM689" s="147" t="s">
        <v>194</v>
      </c>
      <c r="AN689" s="147" t="s">
        <v>194</v>
      </c>
      <c r="AO689" s="147" t="s">
        <v>378</v>
      </c>
      <c r="AP689" s="147" t="s">
        <v>1881</v>
      </c>
      <c r="AQ689" s="147" t="s">
        <v>1095</v>
      </c>
      <c r="AR689" s="147" t="s">
        <v>339</v>
      </c>
      <c r="AS689" s="182" t="str">
        <f t="shared" si="18"/>
        <v>WasteWasteProjectRecycling (project)AsphaltNaN</v>
      </c>
      <c r="AT689" s="182" t="s">
        <v>976</v>
      </c>
      <c r="AU689" s="182"/>
      <c r="AV689" s="208">
        <v>0.15</v>
      </c>
      <c r="AW689" s="208">
        <v>0.1</v>
      </c>
      <c r="AX689" s="311">
        <v>0.05</v>
      </c>
    </row>
    <row r="690" spans="39:50" x14ac:dyDescent="0.3">
      <c r="AM690" s="147" t="s">
        <v>194</v>
      </c>
      <c r="AN690" s="147" t="s">
        <v>194</v>
      </c>
      <c r="AO690" s="147" t="s">
        <v>378</v>
      </c>
      <c r="AP690" s="147" t="s">
        <v>1881</v>
      </c>
      <c r="AQ690" s="147" t="s">
        <v>1086</v>
      </c>
      <c r="AR690" s="147" t="s">
        <v>339</v>
      </c>
      <c r="AS690" s="182" t="str">
        <f t="shared" si="18"/>
        <v>WasteWasteProjectRecycling (project)Average constructionNaN</v>
      </c>
      <c r="AT690" s="182" t="s">
        <v>976</v>
      </c>
      <c r="AU690" s="182"/>
      <c r="AV690" s="208">
        <v>0.15</v>
      </c>
      <c r="AW690" s="208">
        <v>0.1</v>
      </c>
      <c r="AX690" s="311">
        <v>0.05</v>
      </c>
    </row>
    <row r="691" spans="39:50" x14ac:dyDescent="0.3">
      <c r="AM691" s="147" t="s">
        <v>194</v>
      </c>
      <c r="AN691" s="147" t="s">
        <v>194</v>
      </c>
      <c r="AO691" s="147" t="s">
        <v>378</v>
      </c>
      <c r="AP691" s="147" t="s">
        <v>1881</v>
      </c>
      <c r="AQ691" s="147" t="s">
        <v>1092</v>
      </c>
      <c r="AR691" s="147" t="s">
        <v>339</v>
      </c>
      <c r="AS691" s="182" t="str">
        <f t="shared" si="18"/>
        <v>WasteWasteProjectRecycling (project)BricksNaN</v>
      </c>
      <c r="AT691" s="182" t="s">
        <v>976</v>
      </c>
      <c r="AU691" s="182"/>
      <c r="AV691" s="208">
        <v>0.15</v>
      </c>
      <c r="AW691" s="208">
        <v>0.1</v>
      </c>
      <c r="AX691" s="311">
        <v>0.05</v>
      </c>
    </row>
    <row r="692" spans="39:50" x14ac:dyDescent="0.3">
      <c r="AM692" s="147" t="s">
        <v>194</v>
      </c>
      <c r="AN692" s="147" t="s">
        <v>194</v>
      </c>
      <c r="AO692" s="147" t="s">
        <v>378</v>
      </c>
      <c r="AP692" s="147" t="s">
        <v>1881</v>
      </c>
      <c r="AQ692" s="147" t="s">
        <v>1068</v>
      </c>
      <c r="AR692" s="147" t="s">
        <v>339</v>
      </c>
      <c r="AS692" s="182" t="str">
        <f t="shared" si="18"/>
        <v>WasteWasteProjectRecycling (project)Commercial and industrial wasteNaN</v>
      </c>
      <c r="AT692" s="182" t="s">
        <v>976</v>
      </c>
      <c r="AU692" s="182"/>
      <c r="AV692" s="208">
        <v>0.15</v>
      </c>
      <c r="AW692" s="208">
        <v>0.1</v>
      </c>
      <c r="AX692" s="311">
        <v>0.05</v>
      </c>
    </row>
    <row r="693" spans="39:50" x14ac:dyDescent="0.3">
      <c r="AM693" s="147" t="s">
        <v>194</v>
      </c>
      <c r="AN693" s="147" t="s">
        <v>194</v>
      </c>
      <c r="AO693" s="147" t="s">
        <v>378</v>
      </c>
      <c r="AP693" s="147" t="s">
        <v>1881</v>
      </c>
      <c r="AQ693" s="147" t="s">
        <v>1096</v>
      </c>
      <c r="AR693" s="147" t="s">
        <v>339</v>
      </c>
      <c r="AS693" s="182" t="str">
        <f t="shared" si="18"/>
        <v>WasteWasteProjectRecycling (project)ConcreteNaN</v>
      </c>
      <c r="AT693" s="182" t="s">
        <v>976</v>
      </c>
      <c r="AU693" s="182"/>
      <c r="AV693" s="208">
        <v>0.15</v>
      </c>
      <c r="AW693" s="208">
        <v>0.1</v>
      </c>
      <c r="AX693" s="311">
        <v>0.05</v>
      </c>
    </row>
    <row r="694" spans="39:50" x14ac:dyDescent="0.3">
      <c r="AM694" s="147" t="s">
        <v>194</v>
      </c>
      <c r="AN694" s="147" t="s">
        <v>194</v>
      </c>
      <c r="AO694" s="147" t="s">
        <v>378</v>
      </c>
      <c r="AP694" s="147" t="s">
        <v>1881</v>
      </c>
      <c r="AQ694" s="147" t="s">
        <v>1097</v>
      </c>
      <c r="AR694" s="147" t="s">
        <v>339</v>
      </c>
      <c r="AS694" s="182" t="str">
        <f t="shared" si="18"/>
        <v>WasteWasteProjectRecycling (project)InsulationNaN</v>
      </c>
      <c r="AT694" s="182" t="s">
        <v>976</v>
      </c>
      <c r="AU694" s="182"/>
      <c r="AV694" s="208">
        <v>0.15</v>
      </c>
      <c r="AW694" s="208">
        <v>0.1</v>
      </c>
      <c r="AX694" s="311">
        <v>0.05</v>
      </c>
    </row>
    <row r="695" spans="39:50" x14ac:dyDescent="0.3">
      <c r="AM695" s="147" t="s">
        <v>194</v>
      </c>
      <c r="AN695" s="147" t="s">
        <v>194</v>
      </c>
      <c r="AO695" s="147" t="s">
        <v>378</v>
      </c>
      <c r="AP695" s="147" t="s">
        <v>1881</v>
      </c>
      <c r="AQ695" s="147" t="s">
        <v>1088</v>
      </c>
      <c r="AR695" s="147" t="s">
        <v>339</v>
      </c>
      <c r="AS695" s="182" t="str">
        <f t="shared" si="18"/>
        <v>WasteWasteProjectRecycling (project)MetalsNaN</v>
      </c>
      <c r="AT695" s="182" t="s">
        <v>976</v>
      </c>
      <c r="AU695" s="182"/>
      <c r="AV695" s="208">
        <v>0.15</v>
      </c>
      <c r="AW695" s="208">
        <v>0.1</v>
      </c>
      <c r="AX695" s="311">
        <v>0.05</v>
      </c>
    </row>
    <row r="696" spans="39:50" x14ac:dyDescent="0.3">
      <c r="AM696" s="147" t="s">
        <v>194</v>
      </c>
      <c r="AN696" s="147" t="s">
        <v>194</v>
      </c>
      <c r="AO696" s="147" t="s">
        <v>378</v>
      </c>
      <c r="AP696" s="147" t="s">
        <v>1881</v>
      </c>
      <c r="AQ696" s="147" t="s">
        <v>1089</v>
      </c>
      <c r="AR696" s="147" t="s">
        <v>339</v>
      </c>
      <c r="AS696" s="182" t="str">
        <f t="shared" si="18"/>
        <v>WasteWasteProjectRecycling (project)Mineral oilNaN</v>
      </c>
      <c r="AT696" s="182" t="s">
        <v>976</v>
      </c>
      <c r="AU696" s="182"/>
      <c r="AV696" s="208">
        <v>0.15</v>
      </c>
      <c r="AW696" s="208">
        <v>0.1</v>
      </c>
      <c r="AX696" s="311">
        <v>0.05</v>
      </c>
    </row>
    <row r="697" spans="39:50" x14ac:dyDescent="0.3">
      <c r="AM697" s="147" t="s">
        <v>194</v>
      </c>
      <c r="AN697" s="147" t="s">
        <v>194</v>
      </c>
      <c r="AO697" s="147" t="s">
        <v>378</v>
      </c>
      <c r="AP697" s="147" t="s">
        <v>1881</v>
      </c>
      <c r="AQ697" s="147" t="s">
        <v>1093</v>
      </c>
      <c r="AR697" s="147" t="s">
        <v>339</v>
      </c>
      <c r="AS697" s="182" t="str">
        <f t="shared" si="18"/>
        <v>WasteWasteProjectRecycling (project)PlasterboardNaN</v>
      </c>
      <c r="AT697" s="182" t="s">
        <v>976</v>
      </c>
      <c r="AU697" s="182"/>
      <c r="AV697" s="208">
        <v>0.15</v>
      </c>
      <c r="AW697" s="208">
        <v>0.1</v>
      </c>
      <c r="AX697" s="311">
        <v>0.05</v>
      </c>
    </row>
    <row r="698" spans="39:50" x14ac:dyDescent="0.3">
      <c r="AM698" s="147" t="s">
        <v>194</v>
      </c>
      <c r="AN698" s="147" t="s">
        <v>194</v>
      </c>
      <c r="AO698" s="147" t="s">
        <v>378</v>
      </c>
      <c r="AP698" s="147" t="s">
        <v>1881</v>
      </c>
      <c r="AQ698" s="147" t="s">
        <v>1094</v>
      </c>
      <c r="AR698" s="147" t="s">
        <v>339</v>
      </c>
      <c r="AS698" s="182" t="str">
        <f t="shared" si="18"/>
        <v>WasteWasteProjectRecycling (project)SoilsNaN</v>
      </c>
      <c r="AT698" s="182" t="s">
        <v>976</v>
      </c>
      <c r="AU698" s="182"/>
      <c r="AV698" s="208">
        <v>0.15</v>
      </c>
      <c r="AW698" s="208">
        <v>0.1</v>
      </c>
      <c r="AX698" s="311">
        <v>0.05</v>
      </c>
    </row>
    <row r="699" spans="39:50" x14ac:dyDescent="0.3">
      <c r="AM699" s="147" t="s">
        <v>194</v>
      </c>
      <c r="AN699" s="147" t="s">
        <v>194</v>
      </c>
      <c r="AO699" s="147" t="s">
        <v>378</v>
      </c>
      <c r="AP699" s="147" t="s">
        <v>1881</v>
      </c>
      <c r="AQ699" s="147" t="s">
        <v>1098</v>
      </c>
      <c r="AR699" s="147" t="s">
        <v>339</v>
      </c>
      <c r="AS699" s="182" t="str">
        <f t="shared" si="18"/>
        <v>WasteWasteProjectRecycling (project)TyresNaN</v>
      </c>
      <c r="AT699" s="182" t="s">
        <v>976</v>
      </c>
      <c r="AU699" s="182"/>
      <c r="AV699" s="208">
        <v>0.15</v>
      </c>
      <c r="AW699" s="208">
        <v>0.1</v>
      </c>
      <c r="AX699" s="311">
        <v>0.05</v>
      </c>
    </row>
    <row r="700" spans="39:50" x14ac:dyDescent="0.3">
      <c r="AM700" s="147" t="s">
        <v>194</v>
      </c>
      <c r="AN700" s="147" t="s">
        <v>194</v>
      </c>
      <c r="AO700" s="147" t="s">
        <v>378</v>
      </c>
      <c r="AP700" s="147" t="s">
        <v>1881</v>
      </c>
      <c r="AQ700" s="147" t="s">
        <v>1090</v>
      </c>
      <c r="AR700" s="147" t="s">
        <v>339</v>
      </c>
      <c r="AS700" s="182" t="str">
        <f t="shared" si="18"/>
        <v>WasteWasteProjectRecycling (project)WoodNaN</v>
      </c>
      <c r="AT700" s="182" t="s">
        <v>976</v>
      </c>
      <c r="AU700" s="182"/>
      <c r="AV700" s="208">
        <v>0.15</v>
      </c>
      <c r="AW700" s="208">
        <v>0.1</v>
      </c>
      <c r="AX700" s="311">
        <v>0.05</v>
      </c>
    </row>
    <row r="701" spans="39:50" x14ac:dyDescent="0.3">
      <c r="AM701" s="147" t="s">
        <v>149</v>
      </c>
      <c r="AN701" s="147" t="s">
        <v>149</v>
      </c>
      <c r="AO701" s="147" t="s">
        <v>438</v>
      </c>
      <c r="AP701" s="147" t="s">
        <v>437</v>
      </c>
      <c r="AQ701" s="147" t="s">
        <v>439</v>
      </c>
      <c r="AR701" s="147" t="s">
        <v>440</v>
      </c>
      <c r="AS701" s="182" t="str">
        <f t="shared" si="18"/>
        <v>RenewablesRenewablesRenewable electricityOnsiteWindPublic</v>
      </c>
      <c r="AU701" s="182"/>
      <c r="AV701" s="208">
        <v>0.15</v>
      </c>
      <c r="AW701" s="208">
        <v>0.1</v>
      </c>
      <c r="AX701" s="311">
        <v>0.05</v>
      </c>
    </row>
    <row r="702" spans="39:50" x14ac:dyDescent="0.3">
      <c r="AM702" s="147" t="s">
        <v>149</v>
      </c>
      <c r="AN702" s="147" t="s">
        <v>149</v>
      </c>
      <c r="AO702" s="147" t="s">
        <v>438</v>
      </c>
      <c r="AP702" s="147" t="s">
        <v>437</v>
      </c>
      <c r="AQ702" s="147" t="s">
        <v>439</v>
      </c>
      <c r="AR702" s="147" t="s">
        <v>555</v>
      </c>
      <c r="AS702" s="182" t="str">
        <f t="shared" si="18"/>
        <v>RenewablesRenewablesRenewable electricityOnsiteWindShared</v>
      </c>
      <c r="AU702" s="182"/>
      <c r="AV702" s="208">
        <v>0.15</v>
      </c>
      <c r="AW702" s="208">
        <v>0.1</v>
      </c>
      <c r="AX702" s="311">
        <v>0.05</v>
      </c>
    </row>
    <row r="703" spans="39:50" x14ac:dyDescent="0.3">
      <c r="AM703" s="147" t="s">
        <v>149</v>
      </c>
      <c r="AN703" s="147" t="s">
        <v>149</v>
      </c>
      <c r="AO703" s="147" t="s">
        <v>438</v>
      </c>
      <c r="AP703" s="147" t="s">
        <v>437</v>
      </c>
      <c r="AQ703" s="147" t="s">
        <v>439</v>
      </c>
      <c r="AR703" s="147" t="s">
        <v>570</v>
      </c>
      <c r="AS703" s="182" t="str">
        <f t="shared" si="18"/>
        <v>RenewablesRenewablesRenewable electricityOnsiteWindCommunity</v>
      </c>
      <c r="AV703" s="410">
        <v>0.1</v>
      </c>
      <c r="AW703" s="410">
        <v>0.05</v>
      </c>
      <c r="AX703" s="410">
        <v>0.03</v>
      </c>
    </row>
    <row r="704" spans="39:50" x14ac:dyDescent="0.3">
      <c r="AM704" s="147" t="s">
        <v>149</v>
      </c>
      <c r="AN704" s="147" t="s">
        <v>149</v>
      </c>
      <c r="AO704" s="147" t="s">
        <v>438</v>
      </c>
      <c r="AP704" s="147" t="s">
        <v>437</v>
      </c>
      <c r="AQ704" s="147" t="s">
        <v>439</v>
      </c>
      <c r="AR704" s="147" t="s">
        <v>580</v>
      </c>
      <c r="AS704" s="182" t="str">
        <f t="shared" si="18"/>
        <v>RenewablesRenewablesRenewable electricityOnsiteWindPrivate (Welsh)</v>
      </c>
      <c r="AV704" s="410">
        <v>0.1</v>
      </c>
      <c r="AW704" s="410">
        <v>0.05</v>
      </c>
      <c r="AX704" s="410">
        <v>0.03</v>
      </c>
    </row>
    <row r="705" spans="39:50" x14ac:dyDescent="0.3">
      <c r="AM705" s="147" t="s">
        <v>149</v>
      </c>
      <c r="AN705" s="147" t="s">
        <v>149</v>
      </c>
      <c r="AO705" s="147" t="s">
        <v>438</v>
      </c>
      <c r="AP705" s="147" t="s">
        <v>437</v>
      </c>
      <c r="AQ705" s="147" t="s">
        <v>439</v>
      </c>
      <c r="AR705" s="147" t="s">
        <v>590</v>
      </c>
      <c r="AS705" s="182" t="str">
        <f t="shared" si="18"/>
        <v>RenewablesRenewablesRenewable electricityOnsiteWindPrivate (Non-Welsh)</v>
      </c>
      <c r="AV705" s="410">
        <v>0.1</v>
      </c>
      <c r="AW705" s="410">
        <v>0.05</v>
      </c>
      <c r="AX705" s="410">
        <v>0.03</v>
      </c>
    </row>
    <row r="706" spans="39:50" x14ac:dyDescent="0.3">
      <c r="AM706" s="147" t="s">
        <v>149</v>
      </c>
      <c r="AN706" s="147" t="s">
        <v>149</v>
      </c>
      <c r="AO706" s="147" t="s">
        <v>438</v>
      </c>
      <c r="AP706" s="147" t="s">
        <v>437</v>
      </c>
      <c r="AQ706" s="147" t="s">
        <v>439</v>
      </c>
      <c r="AR706" s="147" t="s">
        <v>417</v>
      </c>
      <c r="AS706" s="182" t="str">
        <f t="shared" si="18"/>
        <v>RenewablesRenewablesRenewable electricityOnsiteWindUnknown</v>
      </c>
      <c r="AV706" s="410">
        <v>0.1</v>
      </c>
      <c r="AW706" s="410">
        <v>0.05</v>
      </c>
      <c r="AX706" s="410">
        <v>0.03</v>
      </c>
    </row>
    <row r="707" spans="39:50" x14ac:dyDescent="0.3">
      <c r="AM707" s="147" t="s">
        <v>149</v>
      </c>
      <c r="AN707" s="147" t="s">
        <v>149</v>
      </c>
      <c r="AO707" s="147" t="s">
        <v>438</v>
      </c>
      <c r="AP707" s="147" t="s">
        <v>437</v>
      </c>
      <c r="AQ707" s="147" t="s">
        <v>554</v>
      </c>
      <c r="AR707" s="147" t="s">
        <v>440</v>
      </c>
      <c r="AS707" s="182" t="str">
        <f t="shared" si="18"/>
        <v>RenewablesRenewablesRenewable electricityOnsiteRooftop Solar PVPublic</v>
      </c>
      <c r="AV707" s="410">
        <v>0.1</v>
      </c>
      <c r="AW707" s="410">
        <v>0.05</v>
      </c>
      <c r="AX707" s="410">
        <v>0.03</v>
      </c>
    </row>
    <row r="708" spans="39:50" x14ac:dyDescent="0.3">
      <c r="AM708" s="147" t="s">
        <v>149</v>
      </c>
      <c r="AN708" s="147" t="s">
        <v>149</v>
      </c>
      <c r="AO708" s="147" t="s">
        <v>438</v>
      </c>
      <c r="AP708" s="147" t="s">
        <v>437</v>
      </c>
      <c r="AQ708" s="147" t="s">
        <v>554</v>
      </c>
      <c r="AR708" s="147" t="s">
        <v>555</v>
      </c>
      <c r="AS708" s="182" t="str">
        <f t="shared" si="18"/>
        <v>RenewablesRenewablesRenewable electricityOnsiteRooftop Solar PVShared</v>
      </c>
      <c r="AV708" s="410">
        <v>0.1</v>
      </c>
      <c r="AW708" s="410">
        <v>0.05</v>
      </c>
      <c r="AX708" s="410">
        <v>0.03</v>
      </c>
    </row>
    <row r="709" spans="39:50" x14ac:dyDescent="0.3">
      <c r="AM709" s="147" t="s">
        <v>149</v>
      </c>
      <c r="AN709" s="147" t="s">
        <v>149</v>
      </c>
      <c r="AO709" s="147" t="s">
        <v>438</v>
      </c>
      <c r="AP709" s="147" t="s">
        <v>437</v>
      </c>
      <c r="AQ709" s="147" t="s">
        <v>554</v>
      </c>
      <c r="AR709" s="147" t="s">
        <v>570</v>
      </c>
      <c r="AS709" s="182" t="str">
        <f t="shared" si="18"/>
        <v>RenewablesRenewablesRenewable electricityOnsiteRooftop Solar PVCommunity</v>
      </c>
      <c r="AV709" s="410">
        <v>0.1</v>
      </c>
      <c r="AW709" s="410">
        <v>0.05</v>
      </c>
      <c r="AX709" s="410">
        <v>0.03</v>
      </c>
    </row>
    <row r="710" spans="39:50" x14ac:dyDescent="0.3">
      <c r="AM710" s="147" t="s">
        <v>149</v>
      </c>
      <c r="AN710" s="147" t="s">
        <v>149</v>
      </c>
      <c r="AO710" s="147" t="s">
        <v>438</v>
      </c>
      <c r="AP710" s="147" t="s">
        <v>437</v>
      </c>
      <c r="AQ710" s="147" t="s">
        <v>554</v>
      </c>
      <c r="AR710" s="147" t="s">
        <v>580</v>
      </c>
      <c r="AS710" s="182" t="str">
        <f t="shared" si="18"/>
        <v>RenewablesRenewablesRenewable electricityOnsiteRooftop Solar PVPrivate (Welsh)</v>
      </c>
      <c r="AV710" s="410">
        <v>0.1</v>
      </c>
      <c r="AW710" s="410">
        <v>0.05</v>
      </c>
      <c r="AX710" s="410">
        <v>0.03</v>
      </c>
    </row>
    <row r="711" spans="39:50" x14ac:dyDescent="0.3">
      <c r="AM711" s="147" t="s">
        <v>149</v>
      </c>
      <c r="AN711" s="147" t="s">
        <v>149</v>
      </c>
      <c r="AO711" s="147" t="s">
        <v>438</v>
      </c>
      <c r="AP711" s="147" t="s">
        <v>437</v>
      </c>
      <c r="AQ711" s="147" t="s">
        <v>554</v>
      </c>
      <c r="AR711" s="147" t="s">
        <v>590</v>
      </c>
      <c r="AS711" s="182" t="str">
        <f t="shared" si="18"/>
        <v>RenewablesRenewablesRenewable electricityOnsiteRooftop Solar PVPrivate (Non-Welsh)</v>
      </c>
      <c r="AV711" s="410">
        <v>0.1</v>
      </c>
      <c r="AW711" s="410">
        <v>0.05</v>
      </c>
      <c r="AX711" s="410">
        <v>0.03</v>
      </c>
    </row>
    <row r="712" spans="39:50" x14ac:dyDescent="0.3">
      <c r="AM712" s="147" t="s">
        <v>149</v>
      </c>
      <c r="AN712" s="147" t="s">
        <v>149</v>
      </c>
      <c r="AO712" s="147" t="s">
        <v>438</v>
      </c>
      <c r="AP712" s="147" t="s">
        <v>437</v>
      </c>
      <c r="AQ712" s="147" t="s">
        <v>554</v>
      </c>
      <c r="AR712" s="147" t="s">
        <v>417</v>
      </c>
      <c r="AS712" s="182" t="str">
        <f t="shared" si="18"/>
        <v>RenewablesRenewablesRenewable electricityOnsiteRooftop Solar PVUnknown</v>
      </c>
      <c r="AV712" s="410">
        <v>0.1</v>
      </c>
      <c r="AW712" s="410">
        <v>0.05</v>
      </c>
      <c r="AX712" s="410">
        <v>0.03</v>
      </c>
    </row>
    <row r="713" spans="39:50" x14ac:dyDescent="0.3">
      <c r="AM713" s="147" t="s">
        <v>149</v>
      </c>
      <c r="AN713" s="147" t="s">
        <v>149</v>
      </c>
      <c r="AO713" s="147" t="s">
        <v>438</v>
      </c>
      <c r="AP713" s="147" t="s">
        <v>437</v>
      </c>
      <c r="AQ713" s="147" t="s">
        <v>569</v>
      </c>
      <c r="AR713" s="147" t="s">
        <v>440</v>
      </c>
      <c r="AS713" s="182" t="str">
        <f t="shared" si="18"/>
        <v>RenewablesRenewablesRenewable electricityOnsiteGround Solar PVPublic</v>
      </c>
      <c r="AV713" s="410">
        <v>0.1</v>
      </c>
      <c r="AW713" s="410">
        <v>0.05</v>
      </c>
      <c r="AX713" s="410">
        <v>0.03</v>
      </c>
    </row>
    <row r="714" spans="39:50" x14ac:dyDescent="0.3">
      <c r="AM714" s="147" t="s">
        <v>149</v>
      </c>
      <c r="AN714" s="147" t="s">
        <v>149</v>
      </c>
      <c r="AO714" s="147" t="s">
        <v>438</v>
      </c>
      <c r="AP714" s="147" t="s">
        <v>437</v>
      </c>
      <c r="AQ714" s="147" t="s">
        <v>569</v>
      </c>
      <c r="AR714" s="147" t="s">
        <v>555</v>
      </c>
      <c r="AS714" s="182" t="str">
        <f t="shared" si="18"/>
        <v>RenewablesRenewablesRenewable electricityOnsiteGround Solar PVShared</v>
      </c>
      <c r="AV714" s="410">
        <v>0.1</v>
      </c>
      <c r="AW714" s="410">
        <v>0.05</v>
      </c>
      <c r="AX714" s="410">
        <v>0.03</v>
      </c>
    </row>
    <row r="715" spans="39:50" x14ac:dyDescent="0.3">
      <c r="AM715" s="147" t="s">
        <v>149</v>
      </c>
      <c r="AN715" s="147" t="s">
        <v>149</v>
      </c>
      <c r="AO715" s="147" t="s">
        <v>438</v>
      </c>
      <c r="AP715" s="147" t="s">
        <v>437</v>
      </c>
      <c r="AQ715" s="147" t="s">
        <v>569</v>
      </c>
      <c r="AR715" s="147" t="s">
        <v>570</v>
      </c>
      <c r="AS715" s="182" t="str">
        <f t="shared" si="18"/>
        <v>RenewablesRenewablesRenewable electricityOnsiteGround Solar PVCommunity</v>
      </c>
      <c r="AV715" s="410">
        <v>0.1</v>
      </c>
      <c r="AW715" s="410">
        <v>0.05</v>
      </c>
      <c r="AX715" s="410">
        <v>0.03</v>
      </c>
    </row>
    <row r="716" spans="39:50" x14ac:dyDescent="0.3">
      <c r="AM716" s="147" t="s">
        <v>149</v>
      </c>
      <c r="AN716" s="147" t="s">
        <v>149</v>
      </c>
      <c r="AO716" s="147" t="s">
        <v>438</v>
      </c>
      <c r="AP716" s="147" t="s">
        <v>437</v>
      </c>
      <c r="AQ716" s="147" t="s">
        <v>569</v>
      </c>
      <c r="AR716" s="147" t="s">
        <v>580</v>
      </c>
      <c r="AS716" s="182" t="str">
        <f t="shared" si="18"/>
        <v>RenewablesRenewablesRenewable electricityOnsiteGround Solar PVPrivate (Welsh)</v>
      </c>
      <c r="AV716" s="410">
        <v>0.1</v>
      </c>
      <c r="AW716" s="410">
        <v>0.05</v>
      </c>
      <c r="AX716" s="410">
        <v>0.03</v>
      </c>
    </row>
    <row r="717" spans="39:50" x14ac:dyDescent="0.3">
      <c r="AM717" s="147" t="s">
        <v>149</v>
      </c>
      <c r="AN717" s="147" t="s">
        <v>149</v>
      </c>
      <c r="AO717" s="147" t="s">
        <v>438</v>
      </c>
      <c r="AP717" s="147" t="s">
        <v>437</v>
      </c>
      <c r="AQ717" s="147" t="s">
        <v>569</v>
      </c>
      <c r="AR717" s="147" t="s">
        <v>590</v>
      </c>
      <c r="AS717" s="182" t="str">
        <f t="shared" si="18"/>
        <v>RenewablesRenewablesRenewable electricityOnsiteGround Solar PVPrivate (Non-Welsh)</v>
      </c>
      <c r="AV717" s="410">
        <v>0.1</v>
      </c>
      <c r="AW717" s="410">
        <v>0.05</v>
      </c>
      <c r="AX717" s="410">
        <v>0.03</v>
      </c>
    </row>
    <row r="718" spans="39:50" x14ac:dyDescent="0.3">
      <c r="AM718" s="147" t="s">
        <v>149</v>
      </c>
      <c r="AN718" s="147" t="s">
        <v>149</v>
      </c>
      <c r="AO718" s="147" t="s">
        <v>438</v>
      </c>
      <c r="AP718" s="147" t="s">
        <v>437</v>
      </c>
      <c r="AQ718" s="147" t="s">
        <v>569</v>
      </c>
      <c r="AR718" s="147" t="s">
        <v>417</v>
      </c>
      <c r="AS718" s="182" t="str">
        <f t="shared" si="18"/>
        <v>RenewablesRenewablesRenewable electricityOnsiteGround Solar PVUnknown</v>
      </c>
      <c r="AV718" s="410">
        <v>0.1</v>
      </c>
      <c r="AW718" s="410">
        <v>0.05</v>
      </c>
      <c r="AX718" s="410">
        <v>0.03</v>
      </c>
    </row>
    <row r="719" spans="39:50" x14ac:dyDescent="0.3">
      <c r="AM719" s="147" t="s">
        <v>149</v>
      </c>
      <c r="AN719" s="147" t="s">
        <v>149</v>
      </c>
      <c r="AO719" s="147" t="s">
        <v>438</v>
      </c>
      <c r="AP719" s="147" t="s">
        <v>437</v>
      </c>
      <c r="AQ719" s="147" t="s">
        <v>579</v>
      </c>
      <c r="AR719" s="147" t="s">
        <v>440</v>
      </c>
      <c r="AS719" s="182" t="str">
        <f t="shared" si="18"/>
        <v>RenewablesRenewablesRenewable electricityOnsiteSolar CanopyPublic</v>
      </c>
      <c r="AV719" s="410">
        <v>0.1</v>
      </c>
      <c r="AW719" s="410">
        <v>0.05</v>
      </c>
      <c r="AX719" s="410">
        <v>0.03</v>
      </c>
    </row>
    <row r="720" spans="39:50" x14ac:dyDescent="0.3">
      <c r="AM720" s="147" t="s">
        <v>149</v>
      </c>
      <c r="AN720" s="147" t="s">
        <v>149</v>
      </c>
      <c r="AO720" s="147" t="s">
        <v>438</v>
      </c>
      <c r="AP720" s="147" t="s">
        <v>437</v>
      </c>
      <c r="AQ720" s="147" t="s">
        <v>579</v>
      </c>
      <c r="AR720" s="147" t="s">
        <v>555</v>
      </c>
      <c r="AS720" s="182" t="str">
        <f t="shared" ref="AS720:AS783" si="19">_xlfn.CONCAT(AM720:AR720)</f>
        <v>RenewablesRenewablesRenewable electricityOnsiteSolar CanopyShared</v>
      </c>
      <c r="AV720" s="410">
        <v>0.1</v>
      </c>
      <c r="AW720" s="410">
        <v>0.05</v>
      </c>
      <c r="AX720" s="410">
        <v>0.03</v>
      </c>
    </row>
    <row r="721" spans="39:50" x14ac:dyDescent="0.3">
      <c r="AM721" s="147" t="s">
        <v>149</v>
      </c>
      <c r="AN721" s="147" t="s">
        <v>149</v>
      </c>
      <c r="AO721" s="147" t="s">
        <v>438</v>
      </c>
      <c r="AP721" s="147" t="s">
        <v>437</v>
      </c>
      <c r="AQ721" s="147" t="s">
        <v>579</v>
      </c>
      <c r="AR721" s="147" t="s">
        <v>570</v>
      </c>
      <c r="AS721" s="182" t="str">
        <f t="shared" si="19"/>
        <v>RenewablesRenewablesRenewable electricityOnsiteSolar CanopyCommunity</v>
      </c>
      <c r="AV721" s="410">
        <v>0.1</v>
      </c>
      <c r="AW721" s="410">
        <v>0.05</v>
      </c>
      <c r="AX721" s="410">
        <v>0.03</v>
      </c>
    </row>
    <row r="722" spans="39:50" x14ac:dyDescent="0.3">
      <c r="AM722" s="147" t="s">
        <v>149</v>
      </c>
      <c r="AN722" s="147" t="s">
        <v>149</v>
      </c>
      <c r="AO722" s="147" t="s">
        <v>438</v>
      </c>
      <c r="AP722" s="147" t="s">
        <v>437</v>
      </c>
      <c r="AQ722" s="147" t="s">
        <v>579</v>
      </c>
      <c r="AR722" s="147" t="s">
        <v>580</v>
      </c>
      <c r="AS722" s="182" t="str">
        <f t="shared" si="19"/>
        <v>RenewablesRenewablesRenewable electricityOnsiteSolar CanopyPrivate (Welsh)</v>
      </c>
      <c r="AV722" s="410">
        <v>0.1</v>
      </c>
      <c r="AW722" s="410">
        <v>0.05</v>
      </c>
      <c r="AX722" s="410">
        <v>0.03</v>
      </c>
    </row>
    <row r="723" spans="39:50" x14ac:dyDescent="0.3">
      <c r="AM723" s="147" t="s">
        <v>149</v>
      </c>
      <c r="AN723" s="147" t="s">
        <v>149</v>
      </c>
      <c r="AO723" s="147" t="s">
        <v>438</v>
      </c>
      <c r="AP723" s="147" t="s">
        <v>437</v>
      </c>
      <c r="AQ723" s="147" t="s">
        <v>579</v>
      </c>
      <c r="AR723" s="147" t="s">
        <v>590</v>
      </c>
      <c r="AS723" s="182" t="str">
        <f t="shared" si="19"/>
        <v>RenewablesRenewablesRenewable electricityOnsiteSolar CanopyPrivate (Non-Welsh)</v>
      </c>
      <c r="AV723" s="410">
        <v>0.1</v>
      </c>
      <c r="AW723" s="410">
        <v>0.05</v>
      </c>
      <c r="AX723" s="410">
        <v>0.03</v>
      </c>
    </row>
    <row r="724" spans="39:50" x14ac:dyDescent="0.3">
      <c r="AM724" s="147" t="s">
        <v>149</v>
      </c>
      <c r="AN724" s="147" t="s">
        <v>149</v>
      </c>
      <c r="AO724" s="147" t="s">
        <v>438</v>
      </c>
      <c r="AP724" s="147" t="s">
        <v>437</v>
      </c>
      <c r="AQ724" s="147" t="s">
        <v>579</v>
      </c>
      <c r="AR724" s="147" t="s">
        <v>417</v>
      </c>
      <c r="AS724" s="182" t="str">
        <f t="shared" si="19"/>
        <v>RenewablesRenewablesRenewable electricityOnsiteSolar CanopyUnknown</v>
      </c>
      <c r="AV724" s="410">
        <v>0.1</v>
      </c>
      <c r="AW724" s="410">
        <v>0.05</v>
      </c>
      <c r="AX724" s="410">
        <v>0.03</v>
      </c>
    </row>
    <row r="725" spans="39:50" x14ac:dyDescent="0.3">
      <c r="AM725" s="147" t="s">
        <v>149</v>
      </c>
      <c r="AN725" s="147" t="s">
        <v>149</v>
      </c>
      <c r="AO725" s="147" t="s">
        <v>438</v>
      </c>
      <c r="AP725" s="147" t="s">
        <v>437</v>
      </c>
      <c r="AQ725" s="147" t="s">
        <v>589</v>
      </c>
      <c r="AR725" s="147" t="s">
        <v>440</v>
      </c>
      <c r="AS725" s="182" t="str">
        <f t="shared" si="19"/>
        <v>RenewablesRenewablesRenewable electricityOnsiteHydroPublic</v>
      </c>
      <c r="AV725" s="410">
        <v>0.1</v>
      </c>
      <c r="AW725" s="410">
        <v>0.05</v>
      </c>
      <c r="AX725" s="410">
        <v>0.03</v>
      </c>
    </row>
    <row r="726" spans="39:50" x14ac:dyDescent="0.3">
      <c r="AM726" s="147" t="s">
        <v>149</v>
      </c>
      <c r="AN726" s="147" t="s">
        <v>149</v>
      </c>
      <c r="AO726" s="147" t="s">
        <v>438</v>
      </c>
      <c r="AP726" s="147" t="s">
        <v>437</v>
      </c>
      <c r="AQ726" s="147" t="s">
        <v>589</v>
      </c>
      <c r="AR726" s="147" t="s">
        <v>555</v>
      </c>
      <c r="AS726" s="182" t="str">
        <f t="shared" si="19"/>
        <v>RenewablesRenewablesRenewable electricityOnsiteHydroShared</v>
      </c>
      <c r="AV726" s="410">
        <v>0.1</v>
      </c>
      <c r="AW726" s="410">
        <v>0.05</v>
      </c>
      <c r="AX726" s="410">
        <v>0.03</v>
      </c>
    </row>
    <row r="727" spans="39:50" x14ac:dyDescent="0.3">
      <c r="AM727" s="147" t="s">
        <v>149</v>
      </c>
      <c r="AN727" s="147" t="s">
        <v>149</v>
      </c>
      <c r="AO727" s="147" t="s">
        <v>438</v>
      </c>
      <c r="AP727" s="147" t="s">
        <v>437</v>
      </c>
      <c r="AQ727" s="147" t="s">
        <v>589</v>
      </c>
      <c r="AR727" s="147" t="s">
        <v>570</v>
      </c>
      <c r="AS727" s="182" t="str">
        <f t="shared" si="19"/>
        <v>RenewablesRenewablesRenewable electricityOnsiteHydroCommunity</v>
      </c>
      <c r="AV727" s="410">
        <v>0.1</v>
      </c>
      <c r="AW727" s="410">
        <v>0.05</v>
      </c>
      <c r="AX727" s="410">
        <v>0.03</v>
      </c>
    </row>
    <row r="728" spans="39:50" x14ac:dyDescent="0.3">
      <c r="AM728" s="147" t="s">
        <v>149</v>
      </c>
      <c r="AN728" s="147" t="s">
        <v>149</v>
      </c>
      <c r="AO728" s="147" t="s">
        <v>438</v>
      </c>
      <c r="AP728" s="147" t="s">
        <v>437</v>
      </c>
      <c r="AQ728" s="147" t="s">
        <v>589</v>
      </c>
      <c r="AR728" s="147" t="s">
        <v>580</v>
      </c>
      <c r="AS728" s="182" t="str">
        <f t="shared" si="19"/>
        <v>RenewablesRenewablesRenewable electricityOnsiteHydroPrivate (Welsh)</v>
      </c>
      <c r="AV728" s="410">
        <v>0.1</v>
      </c>
      <c r="AW728" s="410">
        <v>0.05</v>
      </c>
      <c r="AX728" s="410">
        <v>0.03</v>
      </c>
    </row>
    <row r="729" spans="39:50" x14ac:dyDescent="0.3">
      <c r="AM729" s="147" t="s">
        <v>149</v>
      </c>
      <c r="AN729" s="147" t="s">
        <v>149</v>
      </c>
      <c r="AO729" s="147" t="s">
        <v>438</v>
      </c>
      <c r="AP729" s="147" t="s">
        <v>437</v>
      </c>
      <c r="AQ729" s="147" t="s">
        <v>589</v>
      </c>
      <c r="AR729" s="147" t="s">
        <v>590</v>
      </c>
      <c r="AS729" s="182" t="str">
        <f t="shared" si="19"/>
        <v>RenewablesRenewablesRenewable electricityOnsiteHydroPrivate (Non-Welsh)</v>
      </c>
      <c r="AV729" s="410">
        <v>0.1</v>
      </c>
      <c r="AW729" s="410">
        <v>0.05</v>
      </c>
      <c r="AX729" s="410">
        <v>0.03</v>
      </c>
    </row>
    <row r="730" spans="39:50" x14ac:dyDescent="0.3">
      <c r="AM730" s="147" t="s">
        <v>149</v>
      </c>
      <c r="AN730" s="147" t="s">
        <v>149</v>
      </c>
      <c r="AO730" s="147" t="s">
        <v>438</v>
      </c>
      <c r="AP730" s="147" t="s">
        <v>437</v>
      </c>
      <c r="AQ730" s="147" t="s">
        <v>589</v>
      </c>
      <c r="AR730" s="147" t="s">
        <v>417</v>
      </c>
      <c r="AS730" s="182" t="str">
        <f t="shared" si="19"/>
        <v>RenewablesRenewablesRenewable electricityOnsiteHydroUnknown</v>
      </c>
      <c r="AV730" s="410">
        <v>0.1</v>
      </c>
      <c r="AW730" s="410">
        <v>0.05</v>
      </c>
      <c r="AX730" s="410">
        <v>0.03</v>
      </c>
    </row>
    <row r="731" spans="39:50" x14ac:dyDescent="0.3">
      <c r="AM731" s="147" t="s">
        <v>149</v>
      </c>
      <c r="AN731" s="147" t="s">
        <v>149</v>
      </c>
      <c r="AO731" s="147" t="s">
        <v>438</v>
      </c>
      <c r="AP731" s="147" t="s">
        <v>553</v>
      </c>
      <c r="AQ731" s="147" t="s">
        <v>439</v>
      </c>
      <c r="AR731" s="147" t="s">
        <v>440</v>
      </c>
      <c r="AS731" s="182" t="str">
        <f t="shared" si="19"/>
        <v>RenewablesRenewablesRenewable electricityOffsiteWindPublic</v>
      </c>
      <c r="AV731" s="410">
        <v>0.1</v>
      </c>
      <c r="AW731" s="410">
        <v>0.05</v>
      </c>
      <c r="AX731" s="410">
        <v>0.03</v>
      </c>
    </row>
    <row r="732" spans="39:50" x14ac:dyDescent="0.3">
      <c r="AM732" s="147" t="s">
        <v>149</v>
      </c>
      <c r="AN732" s="147" t="s">
        <v>149</v>
      </c>
      <c r="AO732" s="147" t="s">
        <v>438</v>
      </c>
      <c r="AP732" s="147" t="s">
        <v>553</v>
      </c>
      <c r="AQ732" s="147" t="s">
        <v>439</v>
      </c>
      <c r="AR732" s="147" t="s">
        <v>555</v>
      </c>
      <c r="AS732" s="182" t="str">
        <f t="shared" si="19"/>
        <v>RenewablesRenewablesRenewable electricityOffsiteWindShared</v>
      </c>
      <c r="AV732" s="410">
        <v>0.1</v>
      </c>
      <c r="AW732" s="410">
        <v>0.05</v>
      </c>
      <c r="AX732" s="410">
        <v>0.03</v>
      </c>
    </row>
    <row r="733" spans="39:50" x14ac:dyDescent="0.3">
      <c r="AM733" s="147" t="s">
        <v>149</v>
      </c>
      <c r="AN733" s="147" t="s">
        <v>149</v>
      </c>
      <c r="AO733" s="147" t="s">
        <v>438</v>
      </c>
      <c r="AP733" s="147" t="s">
        <v>553</v>
      </c>
      <c r="AQ733" s="147" t="s">
        <v>439</v>
      </c>
      <c r="AR733" s="147" t="s">
        <v>570</v>
      </c>
      <c r="AS733" s="182" t="str">
        <f t="shared" si="19"/>
        <v>RenewablesRenewablesRenewable electricityOffsiteWindCommunity</v>
      </c>
      <c r="AV733" s="410">
        <v>0.1</v>
      </c>
      <c r="AW733" s="410">
        <v>0.05</v>
      </c>
      <c r="AX733" s="410">
        <v>0.03</v>
      </c>
    </row>
    <row r="734" spans="39:50" x14ac:dyDescent="0.3">
      <c r="AM734" s="147" t="s">
        <v>149</v>
      </c>
      <c r="AN734" s="147" t="s">
        <v>149</v>
      </c>
      <c r="AO734" s="147" t="s">
        <v>438</v>
      </c>
      <c r="AP734" s="147" t="s">
        <v>553</v>
      </c>
      <c r="AQ734" s="147" t="s">
        <v>439</v>
      </c>
      <c r="AR734" s="147" t="s">
        <v>580</v>
      </c>
      <c r="AS734" s="182" t="str">
        <f t="shared" si="19"/>
        <v>RenewablesRenewablesRenewable electricityOffsiteWindPrivate (Welsh)</v>
      </c>
      <c r="AV734" s="410">
        <v>0.1</v>
      </c>
      <c r="AW734" s="410">
        <v>0.05</v>
      </c>
      <c r="AX734" s="410">
        <v>0.03</v>
      </c>
    </row>
    <row r="735" spans="39:50" x14ac:dyDescent="0.3">
      <c r="AM735" s="147" t="s">
        <v>149</v>
      </c>
      <c r="AN735" s="147" t="s">
        <v>149</v>
      </c>
      <c r="AO735" s="147" t="s">
        <v>438</v>
      </c>
      <c r="AP735" s="147" t="s">
        <v>553</v>
      </c>
      <c r="AQ735" s="147" t="s">
        <v>439</v>
      </c>
      <c r="AR735" s="147" t="s">
        <v>590</v>
      </c>
      <c r="AS735" s="182" t="str">
        <f t="shared" si="19"/>
        <v>RenewablesRenewablesRenewable electricityOffsiteWindPrivate (Non-Welsh)</v>
      </c>
      <c r="AV735" s="410">
        <v>0.1</v>
      </c>
      <c r="AW735" s="410">
        <v>0.05</v>
      </c>
      <c r="AX735" s="410">
        <v>0.03</v>
      </c>
    </row>
    <row r="736" spans="39:50" x14ac:dyDescent="0.3">
      <c r="AM736" s="147" t="s">
        <v>149</v>
      </c>
      <c r="AN736" s="147" t="s">
        <v>149</v>
      </c>
      <c r="AO736" s="147" t="s">
        <v>438</v>
      </c>
      <c r="AP736" s="147" t="s">
        <v>553</v>
      </c>
      <c r="AQ736" s="147" t="s">
        <v>439</v>
      </c>
      <c r="AR736" s="147" t="s">
        <v>417</v>
      </c>
      <c r="AS736" s="182" t="str">
        <f t="shared" si="19"/>
        <v>RenewablesRenewablesRenewable electricityOffsiteWindUnknown</v>
      </c>
      <c r="AV736" s="410">
        <v>0.1</v>
      </c>
      <c r="AW736" s="410">
        <v>0.05</v>
      </c>
      <c r="AX736" s="410">
        <v>0.03</v>
      </c>
    </row>
    <row r="737" spans="39:50" x14ac:dyDescent="0.3">
      <c r="AM737" s="147" t="s">
        <v>149</v>
      </c>
      <c r="AN737" s="147" t="s">
        <v>149</v>
      </c>
      <c r="AO737" s="147" t="s">
        <v>438</v>
      </c>
      <c r="AP737" s="147" t="s">
        <v>553</v>
      </c>
      <c r="AQ737" s="147" t="s">
        <v>554</v>
      </c>
      <c r="AR737" s="147" t="s">
        <v>440</v>
      </c>
      <c r="AS737" s="182" t="str">
        <f t="shared" si="19"/>
        <v>RenewablesRenewablesRenewable electricityOffsiteRooftop Solar PVPublic</v>
      </c>
      <c r="AV737" s="410">
        <v>0.1</v>
      </c>
      <c r="AW737" s="410">
        <v>0.05</v>
      </c>
      <c r="AX737" s="410">
        <v>0.03</v>
      </c>
    </row>
    <row r="738" spans="39:50" x14ac:dyDescent="0.3">
      <c r="AM738" s="147" t="s">
        <v>149</v>
      </c>
      <c r="AN738" s="147" t="s">
        <v>149</v>
      </c>
      <c r="AO738" s="147" t="s">
        <v>438</v>
      </c>
      <c r="AP738" s="147" t="s">
        <v>553</v>
      </c>
      <c r="AQ738" s="147" t="s">
        <v>554</v>
      </c>
      <c r="AR738" s="147" t="s">
        <v>555</v>
      </c>
      <c r="AS738" s="182" t="str">
        <f t="shared" si="19"/>
        <v>RenewablesRenewablesRenewable electricityOffsiteRooftop Solar PVShared</v>
      </c>
      <c r="AV738" s="410">
        <v>0.1</v>
      </c>
      <c r="AW738" s="410">
        <v>0.05</v>
      </c>
      <c r="AX738" s="410">
        <v>0.03</v>
      </c>
    </row>
    <row r="739" spans="39:50" x14ac:dyDescent="0.3">
      <c r="AM739" s="147" t="s">
        <v>149</v>
      </c>
      <c r="AN739" s="147" t="s">
        <v>149</v>
      </c>
      <c r="AO739" s="147" t="s">
        <v>438</v>
      </c>
      <c r="AP739" s="147" t="s">
        <v>553</v>
      </c>
      <c r="AQ739" s="147" t="s">
        <v>554</v>
      </c>
      <c r="AR739" s="147" t="s">
        <v>570</v>
      </c>
      <c r="AS739" s="182" t="str">
        <f t="shared" si="19"/>
        <v>RenewablesRenewablesRenewable electricityOffsiteRooftop Solar PVCommunity</v>
      </c>
      <c r="AV739" s="410">
        <v>0.1</v>
      </c>
      <c r="AW739" s="410">
        <v>0.05</v>
      </c>
      <c r="AX739" s="410">
        <v>0.03</v>
      </c>
    </row>
    <row r="740" spans="39:50" x14ac:dyDescent="0.3">
      <c r="AM740" s="147" t="s">
        <v>149</v>
      </c>
      <c r="AN740" s="147" t="s">
        <v>149</v>
      </c>
      <c r="AO740" s="147" t="s">
        <v>438</v>
      </c>
      <c r="AP740" s="147" t="s">
        <v>553</v>
      </c>
      <c r="AQ740" s="147" t="s">
        <v>554</v>
      </c>
      <c r="AR740" s="147" t="s">
        <v>580</v>
      </c>
      <c r="AS740" s="182" t="str">
        <f t="shared" si="19"/>
        <v>RenewablesRenewablesRenewable electricityOffsiteRooftop Solar PVPrivate (Welsh)</v>
      </c>
      <c r="AV740" s="410">
        <v>0.1</v>
      </c>
      <c r="AW740" s="410">
        <v>0.05</v>
      </c>
      <c r="AX740" s="410">
        <v>0.03</v>
      </c>
    </row>
    <row r="741" spans="39:50" x14ac:dyDescent="0.3">
      <c r="AM741" s="147" t="s">
        <v>149</v>
      </c>
      <c r="AN741" s="147" t="s">
        <v>149</v>
      </c>
      <c r="AO741" s="147" t="s">
        <v>438</v>
      </c>
      <c r="AP741" s="147" t="s">
        <v>553</v>
      </c>
      <c r="AQ741" s="147" t="s">
        <v>554</v>
      </c>
      <c r="AR741" s="147" t="s">
        <v>590</v>
      </c>
      <c r="AS741" s="182" t="str">
        <f t="shared" si="19"/>
        <v>RenewablesRenewablesRenewable electricityOffsiteRooftop Solar PVPrivate (Non-Welsh)</v>
      </c>
      <c r="AV741" s="410">
        <v>0.1</v>
      </c>
      <c r="AW741" s="410">
        <v>0.05</v>
      </c>
      <c r="AX741" s="410">
        <v>0.03</v>
      </c>
    </row>
    <row r="742" spans="39:50" x14ac:dyDescent="0.3">
      <c r="AM742" s="147" t="s">
        <v>149</v>
      </c>
      <c r="AN742" s="147" t="s">
        <v>149</v>
      </c>
      <c r="AO742" s="147" t="s">
        <v>438</v>
      </c>
      <c r="AP742" s="147" t="s">
        <v>553</v>
      </c>
      <c r="AQ742" s="147" t="s">
        <v>554</v>
      </c>
      <c r="AR742" s="147" t="s">
        <v>417</v>
      </c>
      <c r="AS742" s="182" t="str">
        <f t="shared" si="19"/>
        <v>RenewablesRenewablesRenewable electricityOffsiteRooftop Solar PVUnknown</v>
      </c>
      <c r="AV742" s="410">
        <v>0.1</v>
      </c>
      <c r="AW742" s="410">
        <v>0.05</v>
      </c>
      <c r="AX742" s="410">
        <v>0.03</v>
      </c>
    </row>
    <row r="743" spans="39:50" x14ac:dyDescent="0.3">
      <c r="AM743" s="147" t="s">
        <v>149</v>
      </c>
      <c r="AN743" s="147" t="s">
        <v>149</v>
      </c>
      <c r="AO743" s="147" t="s">
        <v>438</v>
      </c>
      <c r="AP743" s="147" t="s">
        <v>553</v>
      </c>
      <c r="AQ743" s="147" t="s">
        <v>569</v>
      </c>
      <c r="AR743" s="147" t="s">
        <v>440</v>
      </c>
      <c r="AS743" s="182" t="str">
        <f t="shared" si="19"/>
        <v>RenewablesRenewablesRenewable electricityOffsiteGround Solar PVPublic</v>
      </c>
      <c r="AV743" s="410">
        <v>0.1</v>
      </c>
      <c r="AW743" s="410">
        <v>0.05</v>
      </c>
      <c r="AX743" s="410">
        <v>0.03</v>
      </c>
    </row>
    <row r="744" spans="39:50" x14ac:dyDescent="0.3">
      <c r="AM744" s="147" t="s">
        <v>149</v>
      </c>
      <c r="AN744" s="147" t="s">
        <v>149</v>
      </c>
      <c r="AO744" s="147" t="s">
        <v>438</v>
      </c>
      <c r="AP744" s="147" t="s">
        <v>553</v>
      </c>
      <c r="AQ744" s="147" t="s">
        <v>569</v>
      </c>
      <c r="AR744" s="147" t="s">
        <v>555</v>
      </c>
      <c r="AS744" s="182" t="str">
        <f t="shared" si="19"/>
        <v>RenewablesRenewablesRenewable electricityOffsiteGround Solar PVShared</v>
      </c>
      <c r="AV744" s="410">
        <v>0.1</v>
      </c>
      <c r="AW744" s="410">
        <v>0.05</v>
      </c>
      <c r="AX744" s="410">
        <v>0.03</v>
      </c>
    </row>
    <row r="745" spans="39:50" x14ac:dyDescent="0.3">
      <c r="AM745" s="147" t="s">
        <v>149</v>
      </c>
      <c r="AN745" s="147" t="s">
        <v>149</v>
      </c>
      <c r="AO745" s="147" t="s">
        <v>438</v>
      </c>
      <c r="AP745" s="147" t="s">
        <v>553</v>
      </c>
      <c r="AQ745" s="147" t="s">
        <v>569</v>
      </c>
      <c r="AR745" s="147" t="s">
        <v>570</v>
      </c>
      <c r="AS745" s="182" t="str">
        <f t="shared" si="19"/>
        <v>RenewablesRenewablesRenewable electricityOffsiteGround Solar PVCommunity</v>
      </c>
      <c r="AV745" s="410">
        <v>0.1</v>
      </c>
      <c r="AW745" s="410">
        <v>0.05</v>
      </c>
      <c r="AX745" s="410">
        <v>0.03</v>
      </c>
    </row>
    <row r="746" spans="39:50" x14ac:dyDescent="0.3">
      <c r="AM746" s="147" t="s">
        <v>149</v>
      </c>
      <c r="AN746" s="147" t="s">
        <v>149</v>
      </c>
      <c r="AO746" s="147" t="s">
        <v>438</v>
      </c>
      <c r="AP746" s="147" t="s">
        <v>553</v>
      </c>
      <c r="AQ746" s="147" t="s">
        <v>569</v>
      </c>
      <c r="AR746" s="147" t="s">
        <v>580</v>
      </c>
      <c r="AS746" s="182" t="str">
        <f t="shared" si="19"/>
        <v>RenewablesRenewablesRenewable electricityOffsiteGround Solar PVPrivate (Welsh)</v>
      </c>
      <c r="AV746" s="410">
        <v>0.1</v>
      </c>
      <c r="AW746" s="410">
        <v>0.05</v>
      </c>
      <c r="AX746" s="410">
        <v>0.03</v>
      </c>
    </row>
    <row r="747" spans="39:50" x14ac:dyDescent="0.3">
      <c r="AM747" s="147" t="s">
        <v>149</v>
      </c>
      <c r="AN747" s="147" t="s">
        <v>149</v>
      </c>
      <c r="AO747" s="147" t="s">
        <v>438</v>
      </c>
      <c r="AP747" s="147" t="s">
        <v>553</v>
      </c>
      <c r="AQ747" s="147" t="s">
        <v>569</v>
      </c>
      <c r="AR747" s="147" t="s">
        <v>590</v>
      </c>
      <c r="AS747" s="182" t="str">
        <f t="shared" si="19"/>
        <v>RenewablesRenewablesRenewable electricityOffsiteGround Solar PVPrivate (Non-Welsh)</v>
      </c>
      <c r="AV747" s="410">
        <v>0.1</v>
      </c>
      <c r="AW747" s="410">
        <v>0.05</v>
      </c>
      <c r="AX747" s="410">
        <v>0.03</v>
      </c>
    </row>
    <row r="748" spans="39:50" x14ac:dyDescent="0.3">
      <c r="AM748" s="147" t="s">
        <v>149</v>
      </c>
      <c r="AN748" s="147" t="s">
        <v>149</v>
      </c>
      <c r="AO748" s="147" t="s">
        <v>438</v>
      </c>
      <c r="AP748" s="147" t="s">
        <v>553</v>
      </c>
      <c r="AQ748" s="147" t="s">
        <v>569</v>
      </c>
      <c r="AR748" s="147" t="s">
        <v>417</v>
      </c>
      <c r="AS748" s="182" t="str">
        <f t="shared" si="19"/>
        <v>RenewablesRenewablesRenewable electricityOffsiteGround Solar PVUnknown</v>
      </c>
      <c r="AV748" s="410">
        <v>0.1</v>
      </c>
      <c r="AW748" s="410">
        <v>0.05</v>
      </c>
      <c r="AX748" s="410">
        <v>0.03</v>
      </c>
    </row>
    <row r="749" spans="39:50" x14ac:dyDescent="0.3">
      <c r="AM749" s="147" t="s">
        <v>149</v>
      </c>
      <c r="AN749" s="147" t="s">
        <v>149</v>
      </c>
      <c r="AO749" s="147" t="s">
        <v>438</v>
      </c>
      <c r="AP749" s="147" t="s">
        <v>553</v>
      </c>
      <c r="AQ749" s="147" t="s">
        <v>579</v>
      </c>
      <c r="AR749" s="147" t="s">
        <v>440</v>
      </c>
      <c r="AS749" s="182" t="str">
        <f t="shared" si="19"/>
        <v>RenewablesRenewablesRenewable electricityOffsiteSolar CanopyPublic</v>
      </c>
      <c r="AV749" s="410">
        <v>0.1</v>
      </c>
      <c r="AW749" s="410">
        <v>0.05</v>
      </c>
      <c r="AX749" s="410">
        <v>0.03</v>
      </c>
    </row>
    <row r="750" spans="39:50" x14ac:dyDescent="0.3">
      <c r="AM750" s="147" t="s">
        <v>149</v>
      </c>
      <c r="AN750" s="147" t="s">
        <v>149</v>
      </c>
      <c r="AO750" s="147" t="s">
        <v>438</v>
      </c>
      <c r="AP750" s="147" t="s">
        <v>553</v>
      </c>
      <c r="AQ750" s="147" t="s">
        <v>579</v>
      </c>
      <c r="AR750" s="147" t="s">
        <v>555</v>
      </c>
      <c r="AS750" s="182" t="str">
        <f t="shared" si="19"/>
        <v>RenewablesRenewablesRenewable electricityOffsiteSolar CanopyShared</v>
      </c>
      <c r="AV750" s="410">
        <v>0.1</v>
      </c>
      <c r="AW750" s="410">
        <v>0.05</v>
      </c>
      <c r="AX750" s="410">
        <v>0.03</v>
      </c>
    </row>
    <row r="751" spans="39:50" x14ac:dyDescent="0.3">
      <c r="AM751" s="147" t="s">
        <v>149</v>
      </c>
      <c r="AN751" s="147" t="s">
        <v>149</v>
      </c>
      <c r="AO751" s="147" t="s">
        <v>438</v>
      </c>
      <c r="AP751" s="147" t="s">
        <v>553</v>
      </c>
      <c r="AQ751" s="147" t="s">
        <v>579</v>
      </c>
      <c r="AR751" s="147" t="s">
        <v>570</v>
      </c>
      <c r="AS751" s="182" t="str">
        <f t="shared" si="19"/>
        <v>RenewablesRenewablesRenewable electricityOffsiteSolar CanopyCommunity</v>
      </c>
      <c r="AV751" s="410">
        <v>0.1</v>
      </c>
      <c r="AW751" s="410">
        <v>0.05</v>
      </c>
      <c r="AX751" s="410">
        <v>0.03</v>
      </c>
    </row>
    <row r="752" spans="39:50" x14ac:dyDescent="0.3">
      <c r="AM752" s="147" t="s">
        <v>149</v>
      </c>
      <c r="AN752" s="147" t="s">
        <v>149</v>
      </c>
      <c r="AO752" s="147" t="s">
        <v>438</v>
      </c>
      <c r="AP752" s="147" t="s">
        <v>553</v>
      </c>
      <c r="AQ752" s="147" t="s">
        <v>579</v>
      </c>
      <c r="AR752" s="147" t="s">
        <v>580</v>
      </c>
      <c r="AS752" s="182" t="str">
        <f t="shared" si="19"/>
        <v>RenewablesRenewablesRenewable electricityOffsiteSolar CanopyPrivate (Welsh)</v>
      </c>
      <c r="AV752" s="410">
        <v>0.1</v>
      </c>
      <c r="AW752" s="410">
        <v>0.05</v>
      </c>
      <c r="AX752" s="410">
        <v>0.03</v>
      </c>
    </row>
    <row r="753" spans="39:50" x14ac:dyDescent="0.3">
      <c r="AM753" s="147" t="s">
        <v>149</v>
      </c>
      <c r="AN753" s="147" t="s">
        <v>149</v>
      </c>
      <c r="AO753" s="147" t="s">
        <v>438</v>
      </c>
      <c r="AP753" s="147" t="s">
        <v>553</v>
      </c>
      <c r="AQ753" s="147" t="s">
        <v>579</v>
      </c>
      <c r="AR753" s="147" t="s">
        <v>590</v>
      </c>
      <c r="AS753" s="182" t="str">
        <f t="shared" si="19"/>
        <v>RenewablesRenewablesRenewable electricityOffsiteSolar CanopyPrivate (Non-Welsh)</v>
      </c>
      <c r="AV753" s="410">
        <v>0.1</v>
      </c>
      <c r="AW753" s="410">
        <v>0.05</v>
      </c>
      <c r="AX753" s="410">
        <v>0.03</v>
      </c>
    </row>
    <row r="754" spans="39:50" x14ac:dyDescent="0.3">
      <c r="AM754" s="147" t="s">
        <v>149</v>
      </c>
      <c r="AN754" s="147" t="s">
        <v>149</v>
      </c>
      <c r="AO754" s="147" t="s">
        <v>438</v>
      </c>
      <c r="AP754" s="147" t="s">
        <v>553</v>
      </c>
      <c r="AQ754" s="147" t="s">
        <v>579</v>
      </c>
      <c r="AR754" s="147" t="s">
        <v>417</v>
      </c>
      <c r="AS754" s="182" t="str">
        <f t="shared" si="19"/>
        <v>RenewablesRenewablesRenewable electricityOffsiteSolar CanopyUnknown</v>
      </c>
      <c r="AV754" s="410">
        <v>0.1</v>
      </c>
      <c r="AW754" s="410">
        <v>0.05</v>
      </c>
      <c r="AX754" s="410">
        <v>0.03</v>
      </c>
    </row>
    <row r="755" spans="39:50" x14ac:dyDescent="0.3">
      <c r="AM755" s="147" t="s">
        <v>149</v>
      </c>
      <c r="AN755" s="147" t="s">
        <v>149</v>
      </c>
      <c r="AO755" s="147" t="s">
        <v>438</v>
      </c>
      <c r="AP755" s="147" t="s">
        <v>553</v>
      </c>
      <c r="AQ755" s="147" t="s">
        <v>589</v>
      </c>
      <c r="AR755" s="147" t="s">
        <v>440</v>
      </c>
      <c r="AS755" s="182" t="str">
        <f t="shared" si="19"/>
        <v>RenewablesRenewablesRenewable electricityOffsiteHydroPublic</v>
      </c>
      <c r="AV755" s="410">
        <v>0.1</v>
      </c>
      <c r="AW755" s="410">
        <v>0.05</v>
      </c>
      <c r="AX755" s="410">
        <v>0.03</v>
      </c>
    </row>
    <row r="756" spans="39:50" x14ac:dyDescent="0.3">
      <c r="AM756" s="147" t="s">
        <v>149</v>
      </c>
      <c r="AN756" s="147" t="s">
        <v>149</v>
      </c>
      <c r="AO756" s="147" t="s">
        <v>438</v>
      </c>
      <c r="AP756" s="147" t="s">
        <v>553</v>
      </c>
      <c r="AQ756" s="147" t="s">
        <v>589</v>
      </c>
      <c r="AR756" s="147" t="s">
        <v>555</v>
      </c>
      <c r="AS756" s="182" t="str">
        <f t="shared" si="19"/>
        <v>RenewablesRenewablesRenewable electricityOffsiteHydroShared</v>
      </c>
      <c r="AV756" s="410">
        <v>0.1</v>
      </c>
      <c r="AW756" s="410">
        <v>0.05</v>
      </c>
      <c r="AX756" s="410">
        <v>0.03</v>
      </c>
    </row>
    <row r="757" spans="39:50" x14ac:dyDescent="0.3">
      <c r="AM757" s="147" t="s">
        <v>149</v>
      </c>
      <c r="AN757" s="147" t="s">
        <v>149</v>
      </c>
      <c r="AO757" s="147" t="s">
        <v>438</v>
      </c>
      <c r="AP757" s="147" t="s">
        <v>553</v>
      </c>
      <c r="AQ757" s="147" t="s">
        <v>589</v>
      </c>
      <c r="AR757" s="147" t="s">
        <v>570</v>
      </c>
      <c r="AS757" s="182" t="str">
        <f t="shared" si="19"/>
        <v>RenewablesRenewablesRenewable electricityOffsiteHydroCommunity</v>
      </c>
      <c r="AV757" s="410">
        <v>0.1</v>
      </c>
      <c r="AW757" s="410">
        <v>0.05</v>
      </c>
      <c r="AX757" s="410">
        <v>0.03</v>
      </c>
    </row>
    <row r="758" spans="39:50" x14ac:dyDescent="0.3">
      <c r="AM758" s="147" t="s">
        <v>149</v>
      </c>
      <c r="AN758" s="147" t="s">
        <v>149</v>
      </c>
      <c r="AO758" s="147" t="s">
        <v>438</v>
      </c>
      <c r="AP758" s="147" t="s">
        <v>553</v>
      </c>
      <c r="AQ758" s="147" t="s">
        <v>589</v>
      </c>
      <c r="AR758" s="147" t="s">
        <v>580</v>
      </c>
      <c r="AS758" s="182" t="str">
        <f t="shared" si="19"/>
        <v>RenewablesRenewablesRenewable electricityOffsiteHydroPrivate (Welsh)</v>
      </c>
      <c r="AV758" s="410">
        <v>0.1</v>
      </c>
      <c r="AW758" s="410">
        <v>0.05</v>
      </c>
      <c r="AX758" s="410">
        <v>0.03</v>
      </c>
    </row>
    <row r="759" spans="39:50" x14ac:dyDescent="0.3">
      <c r="AM759" s="147" t="s">
        <v>149</v>
      </c>
      <c r="AN759" s="147" t="s">
        <v>149</v>
      </c>
      <c r="AO759" s="147" t="s">
        <v>438</v>
      </c>
      <c r="AP759" s="147" t="s">
        <v>553</v>
      </c>
      <c r="AQ759" s="147" t="s">
        <v>589</v>
      </c>
      <c r="AR759" s="147" t="s">
        <v>590</v>
      </c>
      <c r="AS759" s="182" t="str">
        <f t="shared" si="19"/>
        <v>RenewablesRenewablesRenewable electricityOffsiteHydroPrivate (Non-Welsh)</v>
      </c>
      <c r="AV759" s="410">
        <v>0.1</v>
      </c>
      <c r="AW759" s="410">
        <v>0.05</v>
      </c>
      <c r="AX759" s="410">
        <v>0.03</v>
      </c>
    </row>
    <row r="760" spans="39:50" x14ac:dyDescent="0.3">
      <c r="AM760" s="147" t="s">
        <v>149</v>
      </c>
      <c r="AN760" s="147" t="s">
        <v>149</v>
      </c>
      <c r="AO760" s="147" t="s">
        <v>438</v>
      </c>
      <c r="AP760" s="147" t="s">
        <v>553</v>
      </c>
      <c r="AQ760" s="147" t="s">
        <v>589</v>
      </c>
      <c r="AR760" s="147" t="s">
        <v>417</v>
      </c>
      <c r="AS760" s="182" t="str">
        <f t="shared" si="19"/>
        <v>RenewablesRenewablesRenewable electricityOffsiteHydroUnknown</v>
      </c>
      <c r="AV760" s="410">
        <v>0.1</v>
      </c>
      <c r="AW760" s="410">
        <v>0.05</v>
      </c>
      <c r="AX760" s="410">
        <v>0.03</v>
      </c>
    </row>
    <row r="761" spans="39:50" x14ac:dyDescent="0.3">
      <c r="AM761" s="147" t="s">
        <v>149</v>
      </c>
      <c r="AN761" s="147" t="s">
        <v>149</v>
      </c>
      <c r="AO761" s="147" t="s">
        <v>599</v>
      </c>
      <c r="AP761" s="147" t="s">
        <v>437</v>
      </c>
      <c r="AQ761" s="147" t="s">
        <v>600</v>
      </c>
      <c r="AR761" s="147" t="s">
        <v>440</v>
      </c>
      <c r="AS761" s="182" t="str">
        <f t="shared" si="19"/>
        <v>RenewablesRenewablesRenewable electricity CHPOnsiteBiomass CHPPublic</v>
      </c>
      <c r="AV761" s="410">
        <v>0.1</v>
      </c>
      <c r="AW761" s="410">
        <v>0.05</v>
      </c>
      <c r="AX761" s="410">
        <v>0.03</v>
      </c>
    </row>
    <row r="762" spans="39:50" x14ac:dyDescent="0.3">
      <c r="AM762" s="147" t="s">
        <v>149</v>
      </c>
      <c r="AN762" s="147" t="s">
        <v>149</v>
      </c>
      <c r="AO762" s="147" t="s">
        <v>599</v>
      </c>
      <c r="AP762" s="147" t="s">
        <v>437</v>
      </c>
      <c r="AQ762" s="147" t="s">
        <v>600</v>
      </c>
      <c r="AR762" s="147" t="s">
        <v>555</v>
      </c>
      <c r="AS762" s="182" t="str">
        <f t="shared" si="19"/>
        <v>RenewablesRenewablesRenewable electricity CHPOnsiteBiomass CHPShared</v>
      </c>
      <c r="AV762" s="410">
        <v>0.1</v>
      </c>
      <c r="AW762" s="410">
        <v>0.05</v>
      </c>
      <c r="AX762" s="410">
        <v>0.03</v>
      </c>
    </row>
    <row r="763" spans="39:50" x14ac:dyDescent="0.3">
      <c r="AM763" s="147" t="s">
        <v>149</v>
      </c>
      <c r="AN763" s="147" t="s">
        <v>149</v>
      </c>
      <c r="AO763" s="147" t="s">
        <v>599</v>
      </c>
      <c r="AP763" s="147" t="s">
        <v>437</v>
      </c>
      <c r="AQ763" s="147" t="s">
        <v>600</v>
      </c>
      <c r="AR763" s="147" t="s">
        <v>570</v>
      </c>
      <c r="AS763" s="182" t="str">
        <f t="shared" si="19"/>
        <v>RenewablesRenewablesRenewable electricity CHPOnsiteBiomass CHPCommunity</v>
      </c>
      <c r="AV763" s="410">
        <v>0.1</v>
      </c>
      <c r="AW763" s="410">
        <v>0.05</v>
      </c>
      <c r="AX763" s="410">
        <v>0.03</v>
      </c>
    </row>
    <row r="764" spans="39:50" x14ac:dyDescent="0.3">
      <c r="AM764" s="147" t="s">
        <v>149</v>
      </c>
      <c r="AN764" s="147" t="s">
        <v>149</v>
      </c>
      <c r="AO764" s="147" t="s">
        <v>599</v>
      </c>
      <c r="AP764" s="147" t="s">
        <v>437</v>
      </c>
      <c r="AQ764" s="147" t="s">
        <v>600</v>
      </c>
      <c r="AR764" s="147" t="s">
        <v>580</v>
      </c>
      <c r="AS764" s="182" t="str">
        <f t="shared" si="19"/>
        <v>RenewablesRenewablesRenewable electricity CHPOnsiteBiomass CHPPrivate (Welsh)</v>
      </c>
      <c r="AV764" s="410">
        <v>0.1</v>
      </c>
      <c r="AW764" s="410">
        <v>0.05</v>
      </c>
      <c r="AX764" s="410">
        <v>0.03</v>
      </c>
    </row>
    <row r="765" spans="39:50" x14ac:dyDescent="0.3">
      <c r="AM765" s="147" t="s">
        <v>149</v>
      </c>
      <c r="AN765" s="147" t="s">
        <v>149</v>
      </c>
      <c r="AO765" s="147" t="s">
        <v>599</v>
      </c>
      <c r="AP765" s="147" t="s">
        <v>437</v>
      </c>
      <c r="AQ765" s="147" t="s">
        <v>600</v>
      </c>
      <c r="AR765" s="147" t="s">
        <v>590</v>
      </c>
      <c r="AS765" s="182" t="str">
        <f t="shared" si="19"/>
        <v>RenewablesRenewablesRenewable electricity CHPOnsiteBiomass CHPPrivate (Non-Welsh)</v>
      </c>
      <c r="AV765" s="410">
        <v>0.1</v>
      </c>
      <c r="AW765" s="410">
        <v>0.05</v>
      </c>
      <c r="AX765" s="410">
        <v>0.03</v>
      </c>
    </row>
    <row r="766" spans="39:50" x14ac:dyDescent="0.3">
      <c r="AM766" s="147" t="s">
        <v>149</v>
      </c>
      <c r="AN766" s="147" t="s">
        <v>149</v>
      </c>
      <c r="AO766" s="147" t="s">
        <v>599</v>
      </c>
      <c r="AP766" s="147" t="s">
        <v>437</v>
      </c>
      <c r="AQ766" s="147" t="s">
        <v>600</v>
      </c>
      <c r="AR766" s="147" t="s">
        <v>417</v>
      </c>
      <c r="AS766" s="182" t="str">
        <f t="shared" si="19"/>
        <v>RenewablesRenewablesRenewable electricity CHPOnsiteBiomass CHPUnknown</v>
      </c>
      <c r="AV766" s="410">
        <v>0.1</v>
      </c>
      <c r="AW766" s="410">
        <v>0.05</v>
      </c>
      <c r="AX766" s="410">
        <v>0.03</v>
      </c>
    </row>
    <row r="767" spans="39:50" x14ac:dyDescent="0.3">
      <c r="AM767" s="147" t="s">
        <v>149</v>
      </c>
      <c r="AN767" s="147" t="s">
        <v>149</v>
      </c>
      <c r="AO767" s="147" t="s">
        <v>599</v>
      </c>
      <c r="AP767" s="147" t="s">
        <v>437</v>
      </c>
      <c r="AQ767" s="147" t="s">
        <v>607</v>
      </c>
      <c r="AR767" s="147" t="s">
        <v>440</v>
      </c>
      <c r="AS767" s="182" t="str">
        <f t="shared" si="19"/>
        <v>RenewablesRenewablesRenewable electricity CHPOnsiteBiogas CHPPublic</v>
      </c>
      <c r="AV767" s="410">
        <v>0.1</v>
      </c>
      <c r="AW767" s="410">
        <v>0.05</v>
      </c>
      <c r="AX767" s="410">
        <v>0.03</v>
      </c>
    </row>
    <row r="768" spans="39:50" x14ac:dyDescent="0.3">
      <c r="AM768" s="147" t="s">
        <v>149</v>
      </c>
      <c r="AN768" s="147" t="s">
        <v>149</v>
      </c>
      <c r="AO768" s="147" t="s">
        <v>599</v>
      </c>
      <c r="AP768" s="147" t="s">
        <v>437</v>
      </c>
      <c r="AQ768" s="147" t="s">
        <v>607</v>
      </c>
      <c r="AR768" s="147" t="s">
        <v>555</v>
      </c>
      <c r="AS768" s="182" t="str">
        <f t="shared" si="19"/>
        <v>RenewablesRenewablesRenewable electricity CHPOnsiteBiogas CHPShared</v>
      </c>
      <c r="AV768" s="410">
        <v>0.1</v>
      </c>
      <c r="AW768" s="410">
        <v>0.05</v>
      </c>
      <c r="AX768" s="410">
        <v>0.03</v>
      </c>
    </row>
    <row r="769" spans="39:50" x14ac:dyDescent="0.3">
      <c r="AM769" s="147" t="s">
        <v>149</v>
      </c>
      <c r="AN769" s="147" t="s">
        <v>149</v>
      </c>
      <c r="AO769" s="147" t="s">
        <v>599</v>
      </c>
      <c r="AP769" s="147" t="s">
        <v>437</v>
      </c>
      <c r="AQ769" s="147" t="s">
        <v>607</v>
      </c>
      <c r="AR769" s="147" t="s">
        <v>570</v>
      </c>
      <c r="AS769" s="182" t="str">
        <f t="shared" si="19"/>
        <v>RenewablesRenewablesRenewable electricity CHPOnsiteBiogas CHPCommunity</v>
      </c>
      <c r="AV769" s="410">
        <v>0.1</v>
      </c>
      <c r="AW769" s="410">
        <v>0.05</v>
      </c>
      <c r="AX769" s="410">
        <v>0.03</v>
      </c>
    </row>
    <row r="770" spans="39:50" x14ac:dyDescent="0.3">
      <c r="AM770" s="147" t="s">
        <v>149</v>
      </c>
      <c r="AN770" s="147" t="s">
        <v>149</v>
      </c>
      <c r="AO770" s="147" t="s">
        <v>599</v>
      </c>
      <c r="AP770" s="147" t="s">
        <v>437</v>
      </c>
      <c r="AQ770" s="147" t="s">
        <v>607</v>
      </c>
      <c r="AR770" s="147" t="s">
        <v>580</v>
      </c>
      <c r="AS770" s="182" t="str">
        <f t="shared" si="19"/>
        <v>RenewablesRenewablesRenewable electricity CHPOnsiteBiogas CHPPrivate (Welsh)</v>
      </c>
      <c r="AV770" s="410">
        <v>0.1</v>
      </c>
      <c r="AW770" s="410">
        <v>0.05</v>
      </c>
      <c r="AX770" s="410">
        <v>0.03</v>
      </c>
    </row>
    <row r="771" spans="39:50" x14ac:dyDescent="0.3">
      <c r="AM771" s="147" t="s">
        <v>149</v>
      </c>
      <c r="AN771" s="147" t="s">
        <v>149</v>
      </c>
      <c r="AO771" s="147" t="s">
        <v>599</v>
      </c>
      <c r="AP771" s="147" t="s">
        <v>437</v>
      </c>
      <c r="AQ771" s="147" t="s">
        <v>607</v>
      </c>
      <c r="AR771" s="147" t="s">
        <v>590</v>
      </c>
      <c r="AS771" s="182" t="str">
        <f t="shared" si="19"/>
        <v>RenewablesRenewablesRenewable electricity CHPOnsiteBiogas CHPPrivate (Non-Welsh)</v>
      </c>
      <c r="AV771" s="410">
        <v>0.1</v>
      </c>
      <c r="AW771" s="410">
        <v>0.05</v>
      </c>
      <c r="AX771" s="410">
        <v>0.03</v>
      </c>
    </row>
    <row r="772" spans="39:50" x14ac:dyDescent="0.3">
      <c r="AM772" s="147" t="s">
        <v>149</v>
      </c>
      <c r="AN772" s="147" t="s">
        <v>149</v>
      </c>
      <c r="AO772" s="147" t="s">
        <v>599</v>
      </c>
      <c r="AP772" s="147" t="s">
        <v>437</v>
      </c>
      <c r="AQ772" s="147" t="s">
        <v>607</v>
      </c>
      <c r="AR772" s="147" t="s">
        <v>417</v>
      </c>
      <c r="AS772" s="182" t="str">
        <f t="shared" si="19"/>
        <v>RenewablesRenewablesRenewable electricity CHPOnsiteBiogas CHPUnknown</v>
      </c>
      <c r="AV772" s="410">
        <v>0.1</v>
      </c>
      <c r="AW772" s="410">
        <v>0.05</v>
      </c>
      <c r="AX772" s="410">
        <v>0.03</v>
      </c>
    </row>
    <row r="773" spans="39:50" x14ac:dyDescent="0.3">
      <c r="AM773" s="147" t="s">
        <v>149</v>
      </c>
      <c r="AN773" s="147" t="s">
        <v>149</v>
      </c>
      <c r="AO773" s="147" t="s">
        <v>599</v>
      </c>
      <c r="AP773" s="147" t="s">
        <v>553</v>
      </c>
      <c r="AQ773" s="147" t="s">
        <v>600</v>
      </c>
      <c r="AR773" s="147" t="s">
        <v>440</v>
      </c>
      <c r="AS773" s="182" t="str">
        <f t="shared" si="19"/>
        <v>RenewablesRenewablesRenewable electricity CHPOffsiteBiomass CHPPublic</v>
      </c>
      <c r="AV773" s="410">
        <v>0.1</v>
      </c>
      <c r="AW773" s="410">
        <v>0.05</v>
      </c>
      <c r="AX773" s="410">
        <v>0.03</v>
      </c>
    </row>
    <row r="774" spans="39:50" x14ac:dyDescent="0.3">
      <c r="AM774" s="147" t="s">
        <v>149</v>
      </c>
      <c r="AN774" s="147" t="s">
        <v>149</v>
      </c>
      <c r="AO774" s="147" t="s">
        <v>599</v>
      </c>
      <c r="AP774" s="147" t="s">
        <v>553</v>
      </c>
      <c r="AQ774" s="147" t="s">
        <v>600</v>
      </c>
      <c r="AR774" s="147" t="s">
        <v>555</v>
      </c>
      <c r="AS774" s="182" t="str">
        <f t="shared" si="19"/>
        <v>RenewablesRenewablesRenewable electricity CHPOffsiteBiomass CHPShared</v>
      </c>
      <c r="AV774" s="410">
        <v>0.1</v>
      </c>
      <c r="AW774" s="410">
        <v>0.05</v>
      </c>
      <c r="AX774" s="410">
        <v>0.03</v>
      </c>
    </row>
    <row r="775" spans="39:50" x14ac:dyDescent="0.3">
      <c r="AM775" s="147" t="s">
        <v>149</v>
      </c>
      <c r="AN775" s="147" t="s">
        <v>149</v>
      </c>
      <c r="AO775" s="147" t="s">
        <v>599</v>
      </c>
      <c r="AP775" s="147" t="s">
        <v>553</v>
      </c>
      <c r="AQ775" s="147" t="s">
        <v>600</v>
      </c>
      <c r="AR775" s="147" t="s">
        <v>570</v>
      </c>
      <c r="AS775" s="182" t="str">
        <f t="shared" si="19"/>
        <v>RenewablesRenewablesRenewable electricity CHPOffsiteBiomass CHPCommunity</v>
      </c>
      <c r="AV775" s="410">
        <v>0.1</v>
      </c>
      <c r="AW775" s="410">
        <v>0.05</v>
      </c>
      <c r="AX775" s="410">
        <v>0.03</v>
      </c>
    </row>
    <row r="776" spans="39:50" x14ac:dyDescent="0.3">
      <c r="AM776" s="147" t="s">
        <v>149</v>
      </c>
      <c r="AN776" s="147" t="s">
        <v>149</v>
      </c>
      <c r="AO776" s="147" t="s">
        <v>599</v>
      </c>
      <c r="AP776" s="147" t="s">
        <v>553</v>
      </c>
      <c r="AQ776" s="147" t="s">
        <v>600</v>
      </c>
      <c r="AR776" s="147" t="s">
        <v>580</v>
      </c>
      <c r="AS776" s="182" t="str">
        <f t="shared" si="19"/>
        <v>RenewablesRenewablesRenewable electricity CHPOffsiteBiomass CHPPrivate (Welsh)</v>
      </c>
      <c r="AV776" s="410">
        <v>0.1</v>
      </c>
      <c r="AW776" s="410">
        <v>0.05</v>
      </c>
      <c r="AX776" s="410">
        <v>0.03</v>
      </c>
    </row>
    <row r="777" spans="39:50" x14ac:dyDescent="0.3">
      <c r="AM777" s="147" t="s">
        <v>149</v>
      </c>
      <c r="AN777" s="147" t="s">
        <v>149</v>
      </c>
      <c r="AO777" s="147" t="s">
        <v>599</v>
      </c>
      <c r="AP777" s="147" t="s">
        <v>553</v>
      </c>
      <c r="AQ777" s="147" t="s">
        <v>600</v>
      </c>
      <c r="AR777" s="147" t="s">
        <v>590</v>
      </c>
      <c r="AS777" s="182" t="str">
        <f t="shared" si="19"/>
        <v>RenewablesRenewablesRenewable electricity CHPOffsiteBiomass CHPPrivate (Non-Welsh)</v>
      </c>
      <c r="AV777" s="410">
        <v>0.1</v>
      </c>
      <c r="AW777" s="410">
        <v>0.05</v>
      </c>
      <c r="AX777" s="410">
        <v>0.03</v>
      </c>
    </row>
    <row r="778" spans="39:50" x14ac:dyDescent="0.3">
      <c r="AM778" s="147" t="s">
        <v>149</v>
      </c>
      <c r="AN778" s="147" t="s">
        <v>149</v>
      </c>
      <c r="AO778" s="147" t="s">
        <v>599</v>
      </c>
      <c r="AP778" s="147" t="s">
        <v>553</v>
      </c>
      <c r="AQ778" s="147" t="s">
        <v>600</v>
      </c>
      <c r="AR778" s="147" t="s">
        <v>417</v>
      </c>
      <c r="AS778" s="182" t="str">
        <f t="shared" si="19"/>
        <v>RenewablesRenewablesRenewable electricity CHPOffsiteBiomass CHPUnknown</v>
      </c>
      <c r="AV778" s="410">
        <v>0.1</v>
      </c>
      <c r="AW778" s="410">
        <v>0.05</v>
      </c>
      <c r="AX778" s="410">
        <v>0.03</v>
      </c>
    </row>
    <row r="779" spans="39:50" x14ac:dyDescent="0.3">
      <c r="AM779" s="147" t="s">
        <v>149</v>
      </c>
      <c r="AN779" s="147" t="s">
        <v>149</v>
      </c>
      <c r="AO779" s="147" t="s">
        <v>599</v>
      </c>
      <c r="AP779" s="147" t="s">
        <v>553</v>
      </c>
      <c r="AQ779" s="147" t="s">
        <v>607</v>
      </c>
      <c r="AR779" s="147" t="s">
        <v>440</v>
      </c>
      <c r="AS779" s="182" t="str">
        <f t="shared" si="19"/>
        <v>RenewablesRenewablesRenewable electricity CHPOffsiteBiogas CHPPublic</v>
      </c>
      <c r="AV779" s="410">
        <v>0.1</v>
      </c>
      <c r="AW779" s="410">
        <v>0.05</v>
      </c>
      <c r="AX779" s="410">
        <v>0.03</v>
      </c>
    </row>
    <row r="780" spans="39:50" x14ac:dyDescent="0.3">
      <c r="AM780" s="147" t="s">
        <v>149</v>
      </c>
      <c r="AN780" s="147" t="s">
        <v>149</v>
      </c>
      <c r="AO780" s="147" t="s">
        <v>599</v>
      </c>
      <c r="AP780" s="147" t="s">
        <v>553</v>
      </c>
      <c r="AQ780" s="147" t="s">
        <v>607</v>
      </c>
      <c r="AR780" s="147" t="s">
        <v>555</v>
      </c>
      <c r="AS780" s="182" t="str">
        <f t="shared" si="19"/>
        <v>RenewablesRenewablesRenewable electricity CHPOffsiteBiogas CHPShared</v>
      </c>
      <c r="AV780" s="410">
        <v>0.1</v>
      </c>
      <c r="AW780" s="410">
        <v>0.05</v>
      </c>
      <c r="AX780" s="410">
        <v>0.03</v>
      </c>
    </row>
    <row r="781" spans="39:50" x14ac:dyDescent="0.3">
      <c r="AM781" s="147" t="s">
        <v>149</v>
      </c>
      <c r="AN781" s="147" t="s">
        <v>149</v>
      </c>
      <c r="AO781" s="147" t="s">
        <v>599</v>
      </c>
      <c r="AP781" s="147" t="s">
        <v>553</v>
      </c>
      <c r="AQ781" s="147" t="s">
        <v>607</v>
      </c>
      <c r="AR781" s="147" t="s">
        <v>570</v>
      </c>
      <c r="AS781" s="182" t="str">
        <f t="shared" si="19"/>
        <v>RenewablesRenewablesRenewable electricity CHPOffsiteBiogas CHPCommunity</v>
      </c>
      <c r="AV781" s="410">
        <v>0.1</v>
      </c>
      <c r="AW781" s="410">
        <v>0.05</v>
      </c>
      <c r="AX781" s="410">
        <v>0.03</v>
      </c>
    </row>
    <row r="782" spans="39:50" x14ac:dyDescent="0.3">
      <c r="AM782" s="147" t="s">
        <v>149</v>
      </c>
      <c r="AN782" s="147" t="s">
        <v>149</v>
      </c>
      <c r="AO782" s="147" t="s">
        <v>599</v>
      </c>
      <c r="AP782" s="147" t="s">
        <v>553</v>
      </c>
      <c r="AQ782" s="147" t="s">
        <v>607</v>
      </c>
      <c r="AR782" s="147" t="s">
        <v>580</v>
      </c>
      <c r="AS782" s="182" t="str">
        <f t="shared" si="19"/>
        <v>RenewablesRenewablesRenewable electricity CHPOffsiteBiogas CHPPrivate (Welsh)</v>
      </c>
      <c r="AV782" s="410">
        <v>0.1</v>
      </c>
      <c r="AW782" s="410">
        <v>0.05</v>
      </c>
      <c r="AX782" s="410">
        <v>0.03</v>
      </c>
    </row>
    <row r="783" spans="39:50" x14ac:dyDescent="0.3">
      <c r="AM783" s="147" t="s">
        <v>149</v>
      </c>
      <c r="AN783" s="147" t="s">
        <v>149</v>
      </c>
      <c r="AO783" s="147" t="s">
        <v>599</v>
      </c>
      <c r="AP783" s="147" t="s">
        <v>553</v>
      </c>
      <c r="AQ783" s="147" t="s">
        <v>607</v>
      </c>
      <c r="AR783" s="147" t="s">
        <v>590</v>
      </c>
      <c r="AS783" s="182" t="str">
        <f t="shared" si="19"/>
        <v>RenewablesRenewablesRenewable electricity CHPOffsiteBiogas CHPPrivate (Non-Welsh)</v>
      </c>
      <c r="AV783" s="410">
        <v>0.1</v>
      </c>
      <c r="AW783" s="410">
        <v>0.05</v>
      </c>
      <c r="AX783" s="410">
        <v>0.03</v>
      </c>
    </row>
    <row r="784" spans="39:50" x14ac:dyDescent="0.3">
      <c r="AM784" s="147" t="s">
        <v>149</v>
      </c>
      <c r="AN784" s="147" t="s">
        <v>149</v>
      </c>
      <c r="AO784" s="147" t="s">
        <v>599</v>
      </c>
      <c r="AP784" s="147" t="s">
        <v>553</v>
      </c>
      <c r="AQ784" s="147" t="s">
        <v>607</v>
      </c>
      <c r="AR784" s="147" t="s">
        <v>417</v>
      </c>
      <c r="AS784" s="182" t="str">
        <f t="shared" ref="AS784:AS847" si="20">_xlfn.CONCAT(AM784:AR784)</f>
        <v>RenewablesRenewablesRenewable electricity CHPOffsiteBiogas CHPUnknown</v>
      </c>
      <c r="AV784" s="410">
        <v>0.1</v>
      </c>
      <c r="AW784" s="410">
        <v>0.05</v>
      </c>
      <c r="AX784" s="410">
        <v>0.03</v>
      </c>
    </row>
    <row r="785" spans="39:50" x14ac:dyDescent="0.3">
      <c r="AM785" s="147" t="s">
        <v>149</v>
      </c>
      <c r="AN785" s="147" t="s">
        <v>149</v>
      </c>
      <c r="AO785" s="147" t="s">
        <v>444</v>
      </c>
      <c r="AP785" s="147" t="s">
        <v>437</v>
      </c>
      <c r="AQ785" s="147" t="s">
        <v>445</v>
      </c>
      <c r="AR785" s="147" t="s">
        <v>440</v>
      </c>
      <c r="AS785" s="182" t="str">
        <f t="shared" si="20"/>
        <v>RenewablesRenewablesRenewable heatOnsiteAir source heat pumpPublic</v>
      </c>
      <c r="AV785" s="410">
        <v>0.1</v>
      </c>
      <c r="AW785" s="410">
        <v>0.05</v>
      </c>
      <c r="AX785" s="410">
        <v>0.03</v>
      </c>
    </row>
    <row r="786" spans="39:50" x14ac:dyDescent="0.3">
      <c r="AM786" s="147" t="s">
        <v>149</v>
      </c>
      <c r="AN786" s="147" t="s">
        <v>149</v>
      </c>
      <c r="AO786" s="147" t="s">
        <v>444</v>
      </c>
      <c r="AP786" s="147" t="s">
        <v>437</v>
      </c>
      <c r="AQ786" s="147" t="s">
        <v>445</v>
      </c>
      <c r="AR786" s="147" t="s">
        <v>555</v>
      </c>
      <c r="AS786" s="182" t="str">
        <f t="shared" si="20"/>
        <v>RenewablesRenewablesRenewable heatOnsiteAir source heat pumpShared</v>
      </c>
      <c r="AV786" s="410">
        <v>0.1</v>
      </c>
      <c r="AW786" s="410">
        <v>0.05</v>
      </c>
      <c r="AX786" s="410">
        <v>0.03</v>
      </c>
    </row>
    <row r="787" spans="39:50" x14ac:dyDescent="0.3">
      <c r="AM787" s="147" t="s">
        <v>149</v>
      </c>
      <c r="AN787" s="147" t="s">
        <v>149</v>
      </c>
      <c r="AO787" s="147" t="s">
        <v>444</v>
      </c>
      <c r="AP787" s="147" t="s">
        <v>437</v>
      </c>
      <c r="AQ787" s="147" t="s">
        <v>445</v>
      </c>
      <c r="AR787" s="147" t="s">
        <v>570</v>
      </c>
      <c r="AS787" s="182" t="str">
        <f t="shared" si="20"/>
        <v>RenewablesRenewablesRenewable heatOnsiteAir source heat pumpCommunity</v>
      </c>
      <c r="AV787" s="410">
        <v>0.15</v>
      </c>
      <c r="AW787" s="410">
        <v>0.1</v>
      </c>
      <c r="AX787" s="410">
        <v>0.05</v>
      </c>
    </row>
    <row r="788" spans="39:50" x14ac:dyDescent="0.3">
      <c r="AM788" s="147" t="s">
        <v>149</v>
      </c>
      <c r="AN788" s="147" t="s">
        <v>149</v>
      </c>
      <c r="AO788" s="147" t="s">
        <v>444</v>
      </c>
      <c r="AP788" s="147" t="s">
        <v>437</v>
      </c>
      <c r="AQ788" s="147" t="s">
        <v>445</v>
      </c>
      <c r="AR788" s="147" t="s">
        <v>580</v>
      </c>
      <c r="AS788" s="182" t="str">
        <f t="shared" si="20"/>
        <v>RenewablesRenewablesRenewable heatOnsiteAir source heat pumpPrivate (Welsh)</v>
      </c>
      <c r="AV788" s="410">
        <v>0.15</v>
      </c>
      <c r="AW788" s="410">
        <v>0.1</v>
      </c>
      <c r="AX788" s="410">
        <v>0.05</v>
      </c>
    </row>
    <row r="789" spans="39:50" x14ac:dyDescent="0.3">
      <c r="AM789" s="147" t="s">
        <v>149</v>
      </c>
      <c r="AN789" s="147" t="s">
        <v>149</v>
      </c>
      <c r="AO789" s="147" t="s">
        <v>444</v>
      </c>
      <c r="AP789" s="147" t="s">
        <v>437</v>
      </c>
      <c r="AQ789" s="147" t="s">
        <v>445</v>
      </c>
      <c r="AR789" s="147" t="s">
        <v>590</v>
      </c>
      <c r="AS789" s="182" t="str">
        <f t="shared" si="20"/>
        <v>RenewablesRenewablesRenewable heatOnsiteAir source heat pumpPrivate (Non-Welsh)</v>
      </c>
      <c r="AV789" s="410">
        <v>0.15</v>
      </c>
      <c r="AW789" s="410">
        <v>0.1</v>
      </c>
      <c r="AX789" s="410">
        <v>0.05</v>
      </c>
    </row>
    <row r="790" spans="39:50" x14ac:dyDescent="0.3">
      <c r="AM790" s="147" t="s">
        <v>149</v>
      </c>
      <c r="AN790" s="147" t="s">
        <v>149</v>
      </c>
      <c r="AO790" s="147" t="s">
        <v>444</v>
      </c>
      <c r="AP790" s="147" t="s">
        <v>437</v>
      </c>
      <c r="AQ790" s="147" t="s">
        <v>445</v>
      </c>
      <c r="AR790" s="147" t="s">
        <v>417</v>
      </c>
      <c r="AS790" s="182" t="str">
        <f t="shared" si="20"/>
        <v>RenewablesRenewablesRenewable heatOnsiteAir source heat pumpUnknown</v>
      </c>
      <c r="AV790" s="410">
        <v>0.15</v>
      </c>
      <c r="AW790" s="410">
        <v>0.1</v>
      </c>
      <c r="AX790" s="410">
        <v>0.05</v>
      </c>
    </row>
    <row r="791" spans="39:50" x14ac:dyDescent="0.3">
      <c r="AM791" s="147" t="s">
        <v>149</v>
      </c>
      <c r="AN791" s="147" t="s">
        <v>149</v>
      </c>
      <c r="AO791" s="147" t="s">
        <v>444</v>
      </c>
      <c r="AP791" s="147" t="s">
        <v>437</v>
      </c>
      <c r="AQ791" s="147" t="s">
        <v>556</v>
      </c>
      <c r="AR791" s="147" t="s">
        <v>440</v>
      </c>
      <c r="AS791" s="182" t="str">
        <f t="shared" si="20"/>
        <v>RenewablesRenewablesRenewable heatOnsiteWater source heat pumpPublic</v>
      </c>
      <c r="AV791" s="410">
        <v>0.15</v>
      </c>
      <c r="AW791" s="410">
        <v>0.1</v>
      </c>
      <c r="AX791" s="410">
        <v>0.05</v>
      </c>
    </row>
    <row r="792" spans="39:50" x14ac:dyDescent="0.3">
      <c r="AM792" s="147" t="s">
        <v>149</v>
      </c>
      <c r="AN792" s="147" t="s">
        <v>149</v>
      </c>
      <c r="AO792" s="147" t="s">
        <v>444</v>
      </c>
      <c r="AP792" s="147" t="s">
        <v>437</v>
      </c>
      <c r="AQ792" s="147" t="s">
        <v>556</v>
      </c>
      <c r="AR792" s="147" t="s">
        <v>555</v>
      </c>
      <c r="AS792" s="182" t="str">
        <f t="shared" si="20"/>
        <v>RenewablesRenewablesRenewable heatOnsiteWater source heat pumpShared</v>
      </c>
      <c r="AV792" s="410">
        <v>0.15</v>
      </c>
      <c r="AW792" s="410">
        <v>0.1</v>
      </c>
      <c r="AX792" s="410">
        <v>0.05</v>
      </c>
    </row>
    <row r="793" spans="39:50" x14ac:dyDescent="0.3">
      <c r="AM793" s="147" t="s">
        <v>149</v>
      </c>
      <c r="AN793" s="147" t="s">
        <v>149</v>
      </c>
      <c r="AO793" s="147" t="s">
        <v>444</v>
      </c>
      <c r="AP793" s="147" t="s">
        <v>437</v>
      </c>
      <c r="AQ793" s="147" t="s">
        <v>556</v>
      </c>
      <c r="AR793" s="147" t="s">
        <v>570</v>
      </c>
      <c r="AS793" s="182" t="str">
        <f t="shared" si="20"/>
        <v>RenewablesRenewablesRenewable heatOnsiteWater source heat pumpCommunity</v>
      </c>
      <c r="AV793" s="410">
        <v>0.15</v>
      </c>
      <c r="AW793" s="410">
        <v>0.1</v>
      </c>
      <c r="AX793" s="410">
        <v>0.05</v>
      </c>
    </row>
    <row r="794" spans="39:50" x14ac:dyDescent="0.3">
      <c r="AM794" s="147" t="s">
        <v>149</v>
      </c>
      <c r="AN794" s="147" t="s">
        <v>149</v>
      </c>
      <c r="AO794" s="147" t="s">
        <v>444</v>
      </c>
      <c r="AP794" s="147" t="s">
        <v>437</v>
      </c>
      <c r="AQ794" s="147" t="s">
        <v>556</v>
      </c>
      <c r="AR794" s="147" t="s">
        <v>580</v>
      </c>
      <c r="AS794" s="182" t="str">
        <f t="shared" si="20"/>
        <v>RenewablesRenewablesRenewable heatOnsiteWater source heat pumpPrivate (Welsh)</v>
      </c>
      <c r="AV794" s="410">
        <v>0.15</v>
      </c>
      <c r="AW794" s="410">
        <v>0.1</v>
      </c>
      <c r="AX794" s="410">
        <v>0.05</v>
      </c>
    </row>
    <row r="795" spans="39:50" x14ac:dyDescent="0.3">
      <c r="AM795" s="147" t="s">
        <v>149</v>
      </c>
      <c r="AN795" s="147" t="s">
        <v>149</v>
      </c>
      <c r="AO795" s="147" t="s">
        <v>444</v>
      </c>
      <c r="AP795" s="147" t="s">
        <v>437</v>
      </c>
      <c r="AQ795" s="147" t="s">
        <v>556</v>
      </c>
      <c r="AR795" s="147" t="s">
        <v>590</v>
      </c>
      <c r="AS795" s="182" t="str">
        <f t="shared" si="20"/>
        <v>RenewablesRenewablesRenewable heatOnsiteWater source heat pumpPrivate (Non-Welsh)</v>
      </c>
      <c r="AV795" s="410">
        <v>0.15</v>
      </c>
      <c r="AW795" s="410">
        <v>0.1</v>
      </c>
      <c r="AX795" s="410">
        <v>0.05</v>
      </c>
    </row>
    <row r="796" spans="39:50" x14ac:dyDescent="0.3">
      <c r="AM796" s="147" t="s">
        <v>149</v>
      </c>
      <c r="AN796" s="147" t="s">
        <v>149</v>
      </c>
      <c r="AO796" s="147" t="s">
        <v>444</v>
      </c>
      <c r="AP796" s="147" t="s">
        <v>437</v>
      </c>
      <c r="AQ796" s="147" t="s">
        <v>556</v>
      </c>
      <c r="AR796" s="147" t="s">
        <v>417</v>
      </c>
      <c r="AS796" s="182" t="str">
        <f t="shared" si="20"/>
        <v>RenewablesRenewablesRenewable heatOnsiteWater source heat pumpUnknown</v>
      </c>
      <c r="AV796" s="410">
        <v>0.15</v>
      </c>
      <c r="AW796" s="410">
        <v>0.1</v>
      </c>
      <c r="AX796" s="410">
        <v>0.05</v>
      </c>
    </row>
    <row r="797" spans="39:50" x14ac:dyDescent="0.3">
      <c r="AM797" s="147" t="s">
        <v>149</v>
      </c>
      <c r="AN797" s="147" t="s">
        <v>149</v>
      </c>
      <c r="AO797" s="147" t="s">
        <v>444</v>
      </c>
      <c r="AP797" s="147" t="s">
        <v>437</v>
      </c>
      <c r="AQ797" s="147" t="s">
        <v>571</v>
      </c>
      <c r="AR797" s="147" t="s">
        <v>440</v>
      </c>
      <c r="AS797" s="182" t="str">
        <f t="shared" si="20"/>
        <v>RenewablesRenewablesRenewable heatOnsiteGround source heat pumpPublic</v>
      </c>
      <c r="AV797" s="410">
        <v>0.15</v>
      </c>
      <c r="AW797" s="410">
        <v>0.1</v>
      </c>
      <c r="AX797" s="410">
        <v>0.05</v>
      </c>
    </row>
    <row r="798" spans="39:50" x14ac:dyDescent="0.3">
      <c r="AM798" s="147" t="s">
        <v>149</v>
      </c>
      <c r="AN798" s="147" t="s">
        <v>149</v>
      </c>
      <c r="AO798" s="147" t="s">
        <v>444</v>
      </c>
      <c r="AP798" s="147" t="s">
        <v>437</v>
      </c>
      <c r="AQ798" s="147" t="s">
        <v>571</v>
      </c>
      <c r="AR798" s="147" t="s">
        <v>555</v>
      </c>
      <c r="AS798" s="182" t="str">
        <f t="shared" si="20"/>
        <v>RenewablesRenewablesRenewable heatOnsiteGround source heat pumpShared</v>
      </c>
      <c r="AV798" s="410">
        <v>0.15</v>
      </c>
      <c r="AW798" s="410">
        <v>0.1</v>
      </c>
      <c r="AX798" s="410">
        <v>0.05</v>
      </c>
    </row>
    <row r="799" spans="39:50" x14ac:dyDescent="0.3">
      <c r="AM799" s="147" t="s">
        <v>149</v>
      </c>
      <c r="AN799" s="147" t="s">
        <v>149</v>
      </c>
      <c r="AO799" s="147" t="s">
        <v>444</v>
      </c>
      <c r="AP799" s="147" t="s">
        <v>437</v>
      </c>
      <c r="AQ799" s="147" t="s">
        <v>571</v>
      </c>
      <c r="AR799" s="147" t="s">
        <v>570</v>
      </c>
      <c r="AS799" s="182" t="str">
        <f t="shared" si="20"/>
        <v>RenewablesRenewablesRenewable heatOnsiteGround source heat pumpCommunity</v>
      </c>
      <c r="AV799" s="410">
        <v>0.15</v>
      </c>
      <c r="AW799" s="410">
        <v>0.1</v>
      </c>
      <c r="AX799" s="410">
        <v>0.05</v>
      </c>
    </row>
    <row r="800" spans="39:50" x14ac:dyDescent="0.3">
      <c r="AM800" s="147" t="s">
        <v>149</v>
      </c>
      <c r="AN800" s="147" t="s">
        <v>149</v>
      </c>
      <c r="AO800" s="147" t="s">
        <v>444</v>
      </c>
      <c r="AP800" s="147" t="s">
        <v>437</v>
      </c>
      <c r="AQ800" s="147" t="s">
        <v>571</v>
      </c>
      <c r="AR800" s="147" t="s">
        <v>580</v>
      </c>
      <c r="AS800" s="182" t="str">
        <f t="shared" si="20"/>
        <v>RenewablesRenewablesRenewable heatOnsiteGround source heat pumpPrivate (Welsh)</v>
      </c>
      <c r="AV800" s="410">
        <v>0.15</v>
      </c>
      <c r="AW800" s="410">
        <v>0.1</v>
      </c>
      <c r="AX800" s="410">
        <v>0.05</v>
      </c>
    </row>
    <row r="801" spans="39:50" x14ac:dyDescent="0.3">
      <c r="AM801" s="147" t="s">
        <v>149</v>
      </c>
      <c r="AN801" s="147" t="s">
        <v>149</v>
      </c>
      <c r="AO801" s="147" t="s">
        <v>444</v>
      </c>
      <c r="AP801" s="147" t="s">
        <v>437</v>
      </c>
      <c r="AQ801" s="147" t="s">
        <v>571</v>
      </c>
      <c r="AR801" s="147" t="s">
        <v>590</v>
      </c>
      <c r="AS801" s="182" t="str">
        <f t="shared" si="20"/>
        <v>RenewablesRenewablesRenewable heatOnsiteGround source heat pumpPrivate (Non-Welsh)</v>
      </c>
      <c r="AV801" s="410">
        <v>0.15</v>
      </c>
      <c r="AW801" s="410">
        <v>0.1</v>
      </c>
      <c r="AX801" s="410">
        <v>0.05</v>
      </c>
    </row>
    <row r="802" spans="39:50" x14ac:dyDescent="0.3">
      <c r="AM802" s="147" t="s">
        <v>149</v>
      </c>
      <c r="AN802" s="147" t="s">
        <v>149</v>
      </c>
      <c r="AO802" s="147" t="s">
        <v>444</v>
      </c>
      <c r="AP802" s="147" t="s">
        <v>437</v>
      </c>
      <c r="AQ802" s="147" t="s">
        <v>571</v>
      </c>
      <c r="AR802" s="147" t="s">
        <v>417</v>
      </c>
      <c r="AS802" s="182" t="str">
        <f t="shared" si="20"/>
        <v>RenewablesRenewablesRenewable heatOnsiteGround source heat pumpUnknown</v>
      </c>
      <c r="AV802" s="410">
        <v>0.15</v>
      </c>
      <c r="AW802" s="410">
        <v>0.1</v>
      </c>
      <c r="AX802" s="410">
        <v>0.05</v>
      </c>
    </row>
    <row r="803" spans="39:50" x14ac:dyDescent="0.3">
      <c r="AM803" s="147" t="s">
        <v>149</v>
      </c>
      <c r="AN803" s="147" t="s">
        <v>149</v>
      </c>
      <c r="AO803" s="147" t="s">
        <v>444</v>
      </c>
      <c r="AP803" s="147" t="s">
        <v>437</v>
      </c>
      <c r="AQ803" s="147" t="s">
        <v>581</v>
      </c>
      <c r="AR803" s="147" t="s">
        <v>440</v>
      </c>
      <c r="AS803" s="182" t="str">
        <f t="shared" si="20"/>
        <v>RenewablesRenewablesRenewable heatOnsiteSolar thermalPublic</v>
      </c>
      <c r="AV803" s="410">
        <v>0.15</v>
      </c>
      <c r="AW803" s="410">
        <v>0.1</v>
      </c>
      <c r="AX803" s="410">
        <v>0.05</v>
      </c>
    </row>
    <row r="804" spans="39:50" x14ac:dyDescent="0.3">
      <c r="AM804" s="147" t="s">
        <v>149</v>
      </c>
      <c r="AN804" s="147" t="s">
        <v>149</v>
      </c>
      <c r="AO804" s="147" t="s">
        <v>444</v>
      </c>
      <c r="AP804" s="147" t="s">
        <v>437</v>
      </c>
      <c r="AQ804" s="147" t="s">
        <v>581</v>
      </c>
      <c r="AR804" s="147" t="s">
        <v>555</v>
      </c>
      <c r="AS804" s="182" t="str">
        <f t="shared" si="20"/>
        <v>RenewablesRenewablesRenewable heatOnsiteSolar thermalShared</v>
      </c>
      <c r="AV804" s="410">
        <v>0.15</v>
      </c>
      <c r="AW804" s="410">
        <v>0.1</v>
      </c>
      <c r="AX804" s="410">
        <v>0.05</v>
      </c>
    </row>
    <row r="805" spans="39:50" x14ac:dyDescent="0.3">
      <c r="AM805" s="147" t="s">
        <v>149</v>
      </c>
      <c r="AN805" s="147" t="s">
        <v>149</v>
      </c>
      <c r="AO805" s="147" t="s">
        <v>444</v>
      </c>
      <c r="AP805" s="147" t="s">
        <v>437</v>
      </c>
      <c r="AQ805" s="147" t="s">
        <v>581</v>
      </c>
      <c r="AR805" s="147" t="s">
        <v>570</v>
      </c>
      <c r="AS805" s="182" t="str">
        <f t="shared" si="20"/>
        <v>RenewablesRenewablesRenewable heatOnsiteSolar thermalCommunity</v>
      </c>
      <c r="AV805" s="410">
        <v>0.15</v>
      </c>
      <c r="AW805" s="410">
        <v>0.1</v>
      </c>
      <c r="AX805" s="410">
        <v>0.05</v>
      </c>
    </row>
    <row r="806" spans="39:50" x14ac:dyDescent="0.3">
      <c r="AM806" s="147" t="s">
        <v>149</v>
      </c>
      <c r="AN806" s="147" t="s">
        <v>149</v>
      </c>
      <c r="AO806" s="147" t="s">
        <v>444</v>
      </c>
      <c r="AP806" s="147" t="s">
        <v>437</v>
      </c>
      <c r="AQ806" s="147" t="s">
        <v>581</v>
      </c>
      <c r="AR806" s="147" t="s">
        <v>580</v>
      </c>
      <c r="AS806" s="182" t="str">
        <f t="shared" si="20"/>
        <v>RenewablesRenewablesRenewable heatOnsiteSolar thermalPrivate (Welsh)</v>
      </c>
      <c r="AV806" s="410">
        <v>0.15</v>
      </c>
      <c r="AW806" s="410">
        <v>0.1</v>
      </c>
      <c r="AX806" s="410">
        <v>0.05</v>
      </c>
    </row>
    <row r="807" spans="39:50" x14ac:dyDescent="0.3">
      <c r="AM807" s="147" t="s">
        <v>149</v>
      </c>
      <c r="AN807" s="147" t="s">
        <v>149</v>
      </c>
      <c r="AO807" s="147" t="s">
        <v>444</v>
      </c>
      <c r="AP807" s="147" t="s">
        <v>437</v>
      </c>
      <c r="AQ807" s="147" t="s">
        <v>581</v>
      </c>
      <c r="AR807" s="147" t="s">
        <v>590</v>
      </c>
      <c r="AS807" s="182" t="str">
        <f t="shared" si="20"/>
        <v>RenewablesRenewablesRenewable heatOnsiteSolar thermalPrivate (Non-Welsh)</v>
      </c>
      <c r="AV807" s="410">
        <v>0.15</v>
      </c>
      <c r="AW807" s="410">
        <v>0.1</v>
      </c>
      <c r="AX807" s="410">
        <v>0.05</v>
      </c>
    </row>
    <row r="808" spans="39:50" x14ac:dyDescent="0.3">
      <c r="AM808" s="147" t="s">
        <v>149</v>
      </c>
      <c r="AN808" s="147" t="s">
        <v>149</v>
      </c>
      <c r="AO808" s="147" t="s">
        <v>444</v>
      </c>
      <c r="AP808" s="147" t="s">
        <v>437</v>
      </c>
      <c r="AQ808" s="147" t="s">
        <v>581</v>
      </c>
      <c r="AR808" s="147" t="s">
        <v>417</v>
      </c>
      <c r="AS808" s="182" t="str">
        <f t="shared" si="20"/>
        <v>RenewablesRenewablesRenewable heatOnsiteSolar thermalUnknown</v>
      </c>
      <c r="AV808" s="410">
        <v>0.15</v>
      </c>
      <c r="AW808" s="410">
        <v>0.1</v>
      </c>
      <c r="AX808" s="410">
        <v>0.05</v>
      </c>
    </row>
    <row r="809" spans="39:50" x14ac:dyDescent="0.3">
      <c r="AM809" s="147" t="s">
        <v>149</v>
      </c>
      <c r="AN809" s="147" t="s">
        <v>149</v>
      </c>
      <c r="AO809" s="147" t="s">
        <v>608</v>
      </c>
      <c r="AP809" s="147" t="s">
        <v>437</v>
      </c>
      <c r="AQ809" s="147" t="s">
        <v>591</v>
      </c>
      <c r="AR809" s="147" t="s">
        <v>440</v>
      </c>
      <c r="AS809" s="182" t="str">
        <f t="shared" si="20"/>
        <v>RenewablesRenewablesRenewable CHP heatOnsiteBiomass boilerPublic</v>
      </c>
      <c r="AV809" s="410">
        <v>0.15</v>
      </c>
      <c r="AW809" s="410">
        <v>0.1</v>
      </c>
      <c r="AX809" s="410">
        <v>0.05</v>
      </c>
    </row>
    <row r="810" spans="39:50" x14ac:dyDescent="0.3">
      <c r="AM810" s="147" t="s">
        <v>149</v>
      </c>
      <c r="AN810" s="147" t="s">
        <v>149</v>
      </c>
      <c r="AO810" s="147" t="s">
        <v>608</v>
      </c>
      <c r="AP810" s="147" t="s">
        <v>437</v>
      </c>
      <c r="AQ810" s="147" t="s">
        <v>591</v>
      </c>
      <c r="AR810" s="147" t="s">
        <v>555</v>
      </c>
      <c r="AS810" s="182" t="str">
        <f t="shared" si="20"/>
        <v>RenewablesRenewablesRenewable CHP heatOnsiteBiomass boilerShared</v>
      </c>
      <c r="AV810" s="410">
        <v>0.15</v>
      </c>
      <c r="AW810" s="410">
        <v>0.1</v>
      </c>
      <c r="AX810" s="410">
        <v>0.05</v>
      </c>
    </row>
    <row r="811" spans="39:50" x14ac:dyDescent="0.3">
      <c r="AM811" s="147" t="s">
        <v>149</v>
      </c>
      <c r="AN811" s="147" t="s">
        <v>149</v>
      </c>
      <c r="AO811" s="147" t="s">
        <v>608</v>
      </c>
      <c r="AP811" s="147" t="s">
        <v>437</v>
      </c>
      <c r="AQ811" s="147" t="s">
        <v>591</v>
      </c>
      <c r="AR811" s="147" t="s">
        <v>570</v>
      </c>
      <c r="AS811" s="182" t="str">
        <f t="shared" si="20"/>
        <v>RenewablesRenewablesRenewable CHP heatOnsiteBiomass boilerCommunity</v>
      </c>
      <c r="AV811" s="410">
        <v>0.15</v>
      </c>
      <c r="AW811" s="410">
        <v>0.1</v>
      </c>
      <c r="AX811" s="410">
        <v>0.05</v>
      </c>
    </row>
    <row r="812" spans="39:50" x14ac:dyDescent="0.3">
      <c r="AM812" s="147" t="s">
        <v>149</v>
      </c>
      <c r="AN812" s="147" t="s">
        <v>149</v>
      </c>
      <c r="AO812" s="147" t="s">
        <v>608</v>
      </c>
      <c r="AP812" s="147" t="s">
        <v>437</v>
      </c>
      <c r="AQ812" s="147" t="s">
        <v>591</v>
      </c>
      <c r="AR812" s="147" t="s">
        <v>580</v>
      </c>
      <c r="AS812" s="182" t="str">
        <f t="shared" si="20"/>
        <v>RenewablesRenewablesRenewable CHP heatOnsiteBiomass boilerPrivate (Welsh)</v>
      </c>
      <c r="AV812" s="410">
        <v>0.15</v>
      </c>
      <c r="AW812" s="410">
        <v>0.1</v>
      </c>
      <c r="AX812" s="410">
        <v>0.05</v>
      </c>
    </row>
    <row r="813" spans="39:50" x14ac:dyDescent="0.3">
      <c r="AM813" s="147" t="s">
        <v>149</v>
      </c>
      <c r="AN813" s="147" t="s">
        <v>149</v>
      </c>
      <c r="AO813" s="147" t="s">
        <v>608</v>
      </c>
      <c r="AP813" s="147" t="s">
        <v>437</v>
      </c>
      <c r="AQ813" s="147" t="s">
        <v>591</v>
      </c>
      <c r="AR813" s="147" t="s">
        <v>590</v>
      </c>
      <c r="AS813" s="182" t="str">
        <f t="shared" si="20"/>
        <v>RenewablesRenewablesRenewable CHP heatOnsiteBiomass boilerPrivate (Non-Welsh)</v>
      </c>
      <c r="AV813" s="410">
        <v>0.15</v>
      </c>
      <c r="AW813" s="410">
        <v>0.1</v>
      </c>
      <c r="AX813" s="410">
        <v>0.05</v>
      </c>
    </row>
    <row r="814" spans="39:50" x14ac:dyDescent="0.3">
      <c r="AM814" s="147" t="s">
        <v>149</v>
      </c>
      <c r="AN814" s="147" t="s">
        <v>149</v>
      </c>
      <c r="AO814" s="147" t="s">
        <v>608</v>
      </c>
      <c r="AP814" s="147" t="s">
        <v>437</v>
      </c>
      <c r="AQ814" s="147" t="s">
        <v>591</v>
      </c>
      <c r="AR814" s="147" t="s">
        <v>417</v>
      </c>
      <c r="AS814" s="182" t="str">
        <f t="shared" si="20"/>
        <v>RenewablesRenewablesRenewable CHP heatOnsiteBiomass boilerUnknown</v>
      </c>
      <c r="AV814" s="410">
        <v>0.15</v>
      </c>
      <c r="AW814" s="410">
        <v>0.1</v>
      </c>
      <c r="AX814" s="410">
        <v>0.05</v>
      </c>
    </row>
    <row r="815" spans="39:50" x14ac:dyDescent="0.3">
      <c r="AM815" s="147" t="s">
        <v>149</v>
      </c>
      <c r="AN815" s="147" t="s">
        <v>149</v>
      </c>
      <c r="AO815" s="147" t="s">
        <v>608</v>
      </c>
      <c r="AP815" s="147" t="s">
        <v>437</v>
      </c>
      <c r="AQ815" s="147" t="s">
        <v>601</v>
      </c>
      <c r="AR815" s="147" t="s">
        <v>440</v>
      </c>
      <c r="AS815" s="182" t="str">
        <f t="shared" si="20"/>
        <v>RenewablesRenewablesRenewable CHP heatOnsiteBiogas boilerPublic</v>
      </c>
      <c r="AV815" s="410">
        <v>0.15</v>
      </c>
      <c r="AW815" s="410">
        <v>0.1</v>
      </c>
      <c r="AX815" s="410">
        <v>0.05</v>
      </c>
    </row>
    <row r="816" spans="39:50" x14ac:dyDescent="0.3">
      <c r="AM816" s="147" t="s">
        <v>149</v>
      </c>
      <c r="AN816" s="147" t="s">
        <v>149</v>
      </c>
      <c r="AO816" s="147" t="s">
        <v>608</v>
      </c>
      <c r="AP816" s="147" t="s">
        <v>437</v>
      </c>
      <c r="AQ816" s="147" t="s">
        <v>601</v>
      </c>
      <c r="AR816" s="147" t="s">
        <v>555</v>
      </c>
      <c r="AS816" s="182" t="str">
        <f t="shared" si="20"/>
        <v>RenewablesRenewablesRenewable CHP heatOnsiteBiogas boilerShared</v>
      </c>
      <c r="AV816" s="410">
        <v>0.15</v>
      </c>
      <c r="AW816" s="410">
        <v>0.1</v>
      </c>
      <c r="AX816" s="410">
        <v>0.05</v>
      </c>
    </row>
    <row r="817" spans="39:50" x14ac:dyDescent="0.3">
      <c r="AM817" s="147" t="s">
        <v>149</v>
      </c>
      <c r="AN817" s="147" t="s">
        <v>149</v>
      </c>
      <c r="AO817" s="147" t="s">
        <v>608</v>
      </c>
      <c r="AP817" s="147" t="s">
        <v>437</v>
      </c>
      <c r="AQ817" s="147" t="s">
        <v>601</v>
      </c>
      <c r="AR817" s="147" t="s">
        <v>570</v>
      </c>
      <c r="AS817" s="182" t="str">
        <f t="shared" si="20"/>
        <v>RenewablesRenewablesRenewable CHP heatOnsiteBiogas boilerCommunity</v>
      </c>
      <c r="AV817" s="410">
        <v>0.15</v>
      </c>
      <c r="AW817" s="410">
        <v>0.1</v>
      </c>
      <c r="AX817" s="410">
        <v>0.05</v>
      </c>
    </row>
    <row r="818" spans="39:50" x14ac:dyDescent="0.3">
      <c r="AM818" s="147" t="s">
        <v>149</v>
      </c>
      <c r="AN818" s="147" t="s">
        <v>149</v>
      </c>
      <c r="AO818" s="147" t="s">
        <v>608</v>
      </c>
      <c r="AP818" s="147" t="s">
        <v>437</v>
      </c>
      <c r="AQ818" s="147" t="s">
        <v>601</v>
      </c>
      <c r="AR818" s="147" t="s">
        <v>580</v>
      </c>
      <c r="AS818" s="182" t="str">
        <f t="shared" si="20"/>
        <v>RenewablesRenewablesRenewable CHP heatOnsiteBiogas boilerPrivate (Welsh)</v>
      </c>
      <c r="AV818" s="410">
        <v>0.15</v>
      </c>
      <c r="AW818" s="410">
        <v>0.1</v>
      </c>
      <c r="AX818" s="410">
        <v>0.05</v>
      </c>
    </row>
    <row r="819" spans="39:50" x14ac:dyDescent="0.3">
      <c r="AM819" s="147" t="s">
        <v>149</v>
      </c>
      <c r="AN819" s="147" t="s">
        <v>149</v>
      </c>
      <c r="AO819" s="147" t="s">
        <v>608</v>
      </c>
      <c r="AP819" s="147" t="s">
        <v>437</v>
      </c>
      <c r="AQ819" s="147" t="s">
        <v>601</v>
      </c>
      <c r="AR819" s="147" t="s">
        <v>590</v>
      </c>
      <c r="AS819" s="182" t="str">
        <f t="shared" si="20"/>
        <v>RenewablesRenewablesRenewable CHP heatOnsiteBiogas boilerPrivate (Non-Welsh)</v>
      </c>
      <c r="AV819" s="410">
        <v>0.15</v>
      </c>
      <c r="AW819" s="410">
        <v>0.1</v>
      </c>
      <c r="AX819" s="410">
        <v>0.05</v>
      </c>
    </row>
    <row r="820" spans="39:50" x14ac:dyDescent="0.3">
      <c r="AM820" s="147" t="s">
        <v>149</v>
      </c>
      <c r="AN820" s="147" t="s">
        <v>149</v>
      </c>
      <c r="AO820" s="147" t="s">
        <v>608</v>
      </c>
      <c r="AP820" s="147" t="s">
        <v>437</v>
      </c>
      <c r="AQ820" s="147" t="s">
        <v>601</v>
      </c>
      <c r="AR820" s="147" t="s">
        <v>417</v>
      </c>
      <c r="AS820" s="182" t="str">
        <f t="shared" si="20"/>
        <v>RenewablesRenewablesRenewable CHP heatOnsiteBiogas boilerUnknown</v>
      </c>
      <c r="AV820" s="410">
        <v>0.15</v>
      </c>
      <c r="AW820" s="410">
        <v>0.1</v>
      </c>
      <c r="AX820" s="410">
        <v>0.05</v>
      </c>
    </row>
    <row r="821" spans="39:50" x14ac:dyDescent="0.3">
      <c r="AM821" s="147" t="s">
        <v>149</v>
      </c>
      <c r="AN821" s="147" t="s">
        <v>149</v>
      </c>
      <c r="AO821" s="147" t="s">
        <v>444</v>
      </c>
      <c r="AP821" s="147" t="s">
        <v>553</v>
      </c>
      <c r="AQ821" s="147" t="s">
        <v>445</v>
      </c>
      <c r="AR821" s="147" t="s">
        <v>440</v>
      </c>
      <c r="AS821" s="182" t="str">
        <f t="shared" si="20"/>
        <v>RenewablesRenewablesRenewable heatOffsiteAir source heat pumpPublic</v>
      </c>
      <c r="AV821" s="410">
        <v>0.15</v>
      </c>
      <c r="AW821" s="410">
        <v>0.1</v>
      </c>
      <c r="AX821" s="410">
        <v>0.05</v>
      </c>
    </row>
    <row r="822" spans="39:50" x14ac:dyDescent="0.3">
      <c r="AM822" s="147" t="s">
        <v>149</v>
      </c>
      <c r="AN822" s="147" t="s">
        <v>149</v>
      </c>
      <c r="AO822" s="147" t="s">
        <v>444</v>
      </c>
      <c r="AP822" s="147" t="s">
        <v>553</v>
      </c>
      <c r="AQ822" s="147" t="s">
        <v>445</v>
      </c>
      <c r="AR822" s="147" t="s">
        <v>555</v>
      </c>
      <c r="AS822" s="182" t="str">
        <f t="shared" si="20"/>
        <v>RenewablesRenewablesRenewable heatOffsiteAir source heat pumpShared</v>
      </c>
      <c r="AV822" s="410">
        <v>0.15</v>
      </c>
      <c r="AW822" s="410">
        <v>0.1</v>
      </c>
      <c r="AX822" s="410">
        <v>0.05</v>
      </c>
    </row>
    <row r="823" spans="39:50" x14ac:dyDescent="0.3">
      <c r="AM823" s="147" t="s">
        <v>149</v>
      </c>
      <c r="AN823" s="147" t="s">
        <v>149</v>
      </c>
      <c r="AO823" s="147" t="s">
        <v>444</v>
      </c>
      <c r="AP823" s="147" t="s">
        <v>553</v>
      </c>
      <c r="AQ823" s="147" t="s">
        <v>445</v>
      </c>
      <c r="AR823" s="147" t="s">
        <v>570</v>
      </c>
      <c r="AS823" s="182" t="str">
        <f t="shared" si="20"/>
        <v>RenewablesRenewablesRenewable heatOffsiteAir source heat pumpCommunity</v>
      </c>
      <c r="AV823" s="410">
        <v>0.15</v>
      </c>
      <c r="AW823" s="410">
        <v>0.1</v>
      </c>
      <c r="AX823" s="410">
        <v>0.05</v>
      </c>
    </row>
    <row r="824" spans="39:50" x14ac:dyDescent="0.3">
      <c r="AM824" s="147" t="s">
        <v>149</v>
      </c>
      <c r="AN824" s="147" t="s">
        <v>149</v>
      </c>
      <c r="AO824" s="147" t="s">
        <v>444</v>
      </c>
      <c r="AP824" s="147" t="s">
        <v>553</v>
      </c>
      <c r="AQ824" s="147" t="s">
        <v>445</v>
      </c>
      <c r="AR824" s="147" t="s">
        <v>580</v>
      </c>
      <c r="AS824" s="182" t="str">
        <f t="shared" si="20"/>
        <v>RenewablesRenewablesRenewable heatOffsiteAir source heat pumpPrivate (Welsh)</v>
      </c>
      <c r="AV824" s="410">
        <v>0.15</v>
      </c>
      <c r="AW824" s="410">
        <v>0.1</v>
      </c>
      <c r="AX824" s="410">
        <v>0.05</v>
      </c>
    </row>
    <row r="825" spans="39:50" x14ac:dyDescent="0.3">
      <c r="AM825" s="147" t="s">
        <v>149</v>
      </c>
      <c r="AN825" s="147" t="s">
        <v>149</v>
      </c>
      <c r="AO825" s="147" t="s">
        <v>444</v>
      </c>
      <c r="AP825" s="147" t="s">
        <v>553</v>
      </c>
      <c r="AQ825" s="147" t="s">
        <v>445</v>
      </c>
      <c r="AR825" s="147" t="s">
        <v>590</v>
      </c>
      <c r="AS825" s="182" t="str">
        <f t="shared" si="20"/>
        <v>RenewablesRenewablesRenewable heatOffsiteAir source heat pumpPrivate (Non-Welsh)</v>
      </c>
      <c r="AV825" s="410">
        <v>0.15</v>
      </c>
      <c r="AW825" s="410">
        <v>0.1</v>
      </c>
      <c r="AX825" s="410">
        <v>0.05</v>
      </c>
    </row>
    <row r="826" spans="39:50" x14ac:dyDescent="0.3">
      <c r="AM826" s="147" t="s">
        <v>149</v>
      </c>
      <c r="AN826" s="147" t="s">
        <v>149</v>
      </c>
      <c r="AO826" s="147" t="s">
        <v>444</v>
      </c>
      <c r="AP826" s="147" t="s">
        <v>553</v>
      </c>
      <c r="AQ826" s="147" t="s">
        <v>445</v>
      </c>
      <c r="AR826" s="147" t="s">
        <v>417</v>
      </c>
      <c r="AS826" s="182" t="str">
        <f t="shared" si="20"/>
        <v>RenewablesRenewablesRenewable heatOffsiteAir source heat pumpUnknown</v>
      </c>
      <c r="AV826" s="410">
        <v>0.15</v>
      </c>
      <c r="AW826" s="410">
        <v>0.1</v>
      </c>
      <c r="AX826" s="410">
        <v>0.05</v>
      </c>
    </row>
    <row r="827" spans="39:50" x14ac:dyDescent="0.3">
      <c r="AM827" s="147" t="s">
        <v>149</v>
      </c>
      <c r="AN827" s="147" t="s">
        <v>149</v>
      </c>
      <c r="AO827" s="147" t="s">
        <v>444</v>
      </c>
      <c r="AP827" s="147" t="s">
        <v>553</v>
      </c>
      <c r="AQ827" s="147" t="s">
        <v>556</v>
      </c>
      <c r="AR827" s="147" t="s">
        <v>440</v>
      </c>
      <c r="AS827" s="182" t="str">
        <f t="shared" si="20"/>
        <v>RenewablesRenewablesRenewable heatOffsiteWater source heat pumpPublic</v>
      </c>
      <c r="AV827" s="410">
        <v>0.15</v>
      </c>
      <c r="AW827" s="410">
        <v>0.1</v>
      </c>
      <c r="AX827" s="410">
        <v>0.05</v>
      </c>
    </row>
    <row r="828" spans="39:50" x14ac:dyDescent="0.3">
      <c r="AM828" s="147" t="s">
        <v>149</v>
      </c>
      <c r="AN828" s="147" t="s">
        <v>149</v>
      </c>
      <c r="AO828" s="147" t="s">
        <v>444</v>
      </c>
      <c r="AP828" s="147" t="s">
        <v>553</v>
      </c>
      <c r="AQ828" s="147" t="s">
        <v>556</v>
      </c>
      <c r="AR828" s="147" t="s">
        <v>555</v>
      </c>
      <c r="AS828" s="182" t="str">
        <f t="shared" si="20"/>
        <v>RenewablesRenewablesRenewable heatOffsiteWater source heat pumpShared</v>
      </c>
      <c r="AV828" s="410">
        <v>0.15</v>
      </c>
      <c r="AW828" s="410">
        <v>0.1</v>
      </c>
      <c r="AX828" s="410">
        <v>0.05</v>
      </c>
    </row>
    <row r="829" spans="39:50" x14ac:dyDescent="0.3">
      <c r="AM829" s="147" t="s">
        <v>149</v>
      </c>
      <c r="AN829" s="147" t="s">
        <v>149</v>
      </c>
      <c r="AO829" s="147" t="s">
        <v>444</v>
      </c>
      <c r="AP829" s="147" t="s">
        <v>553</v>
      </c>
      <c r="AQ829" s="147" t="s">
        <v>556</v>
      </c>
      <c r="AR829" s="147" t="s">
        <v>570</v>
      </c>
      <c r="AS829" s="182" t="str">
        <f t="shared" si="20"/>
        <v>RenewablesRenewablesRenewable heatOffsiteWater source heat pumpCommunity</v>
      </c>
      <c r="AV829" s="410">
        <v>0.15</v>
      </c>
      <c r="AW829" s="410">
        <v>0.1</v>
      </c>
      <c r="AX829" s="410">
        <v>0.05</v>
      </c>
    </row>
    <row r="830" spans="39:50" x14ac:dyDescent="0.3">
      <c r="AM830" s="147" t="s">
        <v>149</v>
      </c>
      <c r="AN830" s="147" t="s">
        <v>149</v>
      </c>
      <c r="AO830" s="147" t="s">
        <v>444</v>
      </c>
      <c r="AP830" s="147" t="s">
        <v>553</v>
      </c>
      <c r="AQ830" s="147" t="s">
        <v>556</v>
      </c>
      <c r="AR830" s="147" t="s">
        <v>580</v>
      </c>
      <c r="AS830" s="182" t="str">
        <f t="shared" si="20"/>
        <v>RenewablesRenewablesRenewable heatOffsiteWater source heat pumpPrivate (Welsh)</v>
      </c>
      <c r="AV830" s="410">
        <v>0.15</v>
      </c>
      <c r="AW830" s="410">
        <v>0.1</v>
      </c>
      <c r="AX830" s="410">
        <v>0.05</v>
      </c>
    </row>
    <row r="831" spans="39:50" x14ac:dyDescent="0.3">
      <c r="AM831" s="147" t="s">
        <v>149</v>
      </c>
      <c r="AN831" s="147" t="s">
        <v>149</v>
      </c>
      <c r="AO831" s="147" t="s">
        <v>444</v>
      </c>
      <c r="AP831" s="147" t="s">
        <v>553</v>
      </c>
      <c r="AQ831" s="147" t="s">
        <v>556</v>
      </c>
      <c r="AR831" s="147" t="s">
        <v>590</v>
      </c>
      <c r="AS831" s="182" t="str">
        <f t="shared" si="20"/>
        <v>RenewablesRenewablesRenewable heatOffsiteWater source heat pumpPrivate (Non-Welsh)</v>
      </c>
      <c r="AV831" s="410">
        <v>0.15</v>
      </c>
      <c r="AW831" s="410">
        <v>0.1</v>
      </c>
      <c r="AX831" s="410">
        <v>0.05</v>
      </c>
    </row>
    <row r="832" spans="39:50" x14ac:dyDescent="0.3">
      <c r="AM832" s="147" t="s">
        <v>149</v>
      </c>
      <c r="AN832" s="147" t="s">
        <v>149</v>
      </c>
      <c r="AO832" s="147" t="s">
        <v>444</v>
      </c>
      <c r="AP832" s="147" t="s">
        <v>553</v>
      </c>
      <c r="AQ832" s="147" t="s">
        <v>556</v>
      </c>
      <c r="AR832" s="147" t="s">
        <v>417</v>
      </c>
      <c r="AS832" s="182" t="str">
        <f t="shared" si="20"/>
        <v>RenewablesRenewablesRenewable heatOffsiteWater source heat pumpUnknown</v>
      </c>
      <c r="AV832" s="410">
        <v>0.15</v>
      </c>
      <c r="AW832" s="410">
        <v>0.1</v>
      </c>
      <c r="AX832" s="410">
        <v>0.05</v>
      </c>
    </row>
    <row r="833" spans="39:50" x14ac:dyDescent="0.3">
      <c r="AM833" s="147" t="s">
        <v>149</v>
      </c>
      <c r="AN833" s="147" t="s">
        <v>149</v>
      </c>
      <c r="AO833" s="147" t="s">
        <v>444</v>
      </c>
      <c r="AP833" s="147" t="s">
        <v>553</v>
      </c>
      <c r="AQ833" s="147" t="s">
        <v>571</v>
      </c>
      <c r="AR833" s="147" t="s">
        <v>440</v>
      </c>
      <c r="AS833" s="182" t="str">
        <f t="shared" si="20"/>
        <v>RenewablesRenewablesRenewable heatOffsiteGround source heat pumpPublic</v>
      </c>
      <c r="AV833" s="410">
        <v>0.15</v>
      </c>
      <c r="AW833" s="410">
        <v>0.1</v>
      </c>
      <c r="AX833" s="410">
        <v>0.05</v>
      </c>
    </row>
    <row r="834" spans="39:50" x14ac:dyDescent="0.3">
      <c r="AM834" s="147" t="s">
        <v>149</v>
      </c>
      <c r="AN834" s="147" t="s">
        <v>149</v>
      </c>
      <c r="AO834" s="147" t="s">
        <v>444</v>
      </c>
      <c r="AP834" s="147" t="s">
        <v>553</v>
      </c>
      <c r="AQ834" s="147" t="s">
        <v>571</v>
      </c>
      <c r="AR834" s="147" t="s">
        <v>555</v>
      </c>
      <c r="AS834" s="182" t="str">
        <f t="shared" si="20"/>
        <v>RenewablesRenewablesRenewable heatOffsiteGround source heat pumpShared</v>
      </c>
      <c r="AV834" s="410">
        <v>0.15</v>
      </c>
      <c r="AW834" s="410">
        <v>0.1</v>
      </c>
      <c r="AX834" s="410">
        <v>0.05</v>
      </c>
    </row>
    <row r="835" spans="39:50" x14ac:dyDescent="0.3">
      <c r="AM835" s="147" t="s">
        <v>149</v>
      </c>
      <c r="AN835" s="147" t="s">
        <v>149</v>
      </c>
      <c r="AO835" s="147" t="s">
        <v>444</v>
      </c>
      <c r="AP835" s="147" t="s">
        <v>553</v>
      </c>
      <c r="AQ835" s="147" t="s">
        <v>571</v>
      </c>
      <c r="AR835" s="147" t="s">
        <v>570</v>
      </c>
      <c r="AS835" s="182" t="str">
        <f t="shared" si="20"/>
        <v>RenewablesRenewablesRenewable heatOffsiteGround source heat pumpCommunity</v>
      </c>
      <c r="AV835" s="410">
        <v>0.15</v>
      </c>
      <c r="AW835" s="410">
        <v>0.1</v>
      </c>
      <c r="AX835" s="410">
        <v>0.05</v>
      </c>
    </row>
    <row r="836" spans="39:50" x14ac:dyDescent="0.3">
      <c r="AM836" s="147" t="s">
        <v>149</v>
      </c>
      <c r="AN836" s="147" t="s">
        <v>149</v>
      </c>
      <c r="AO836" s="147" t="s">
        <v>444</v>
      </c>
      <c r="AP836" s="147" t="s">
        <v>553</v>
      </c>
      <c r="AQ836" s="147" t="s">
        <v>571</v>
      </c>
      <c r="AR836" s="147" t="s">
        <v>580</v>
      </c>
      <c r="AS836" s="182" t="str">
        <f t="shared" si="20"/>
        <v>RenewablesRenewablesRenewable heatOffsiteGround source heat pumpPrivate (Welsh)</v>
      </c>
      <c r="AV836" s="410">
        <v>0.15</v>
      </c>
      <c r="AW836" s="410">
        <v>0.1</v>
      </c>
      <c r="AX836" s="410">
        <v>0.05</v>
      </c>
    </row>
    <row r="837" spans="39:50" x14ac:dyDescent="0.3">
      <c r="AM837" s="147" t="s">
        <v>149</v>
      </c>
      <c r="AN837" s="147" t="s">
        <v>149</v>
      </c>
      <c r="AO837" s="147" t="s">
        <v>444</v>
      </c>
      <c r="AP837" s="147" t="s">
        <v>553</v>
      </c>
      <c r="AQ837" s="147" t="s">
        <v>571</v>
      </c>
      <c r="AR837" s="147" t="s">
        <v>590</v>
      </c>
      <c r="AS837" s="182" t="str">
        <f t="shared" si="20"/>
        <v>RenewablesRenewablesRenewable heatOffsiteGround source heat pumpPrivate (Non-Welsh)</v>
      </c>
      <c r="AV837" s="410">
        <v>0.15</v>
      </c>
      <c r="AW837" s="410">
        <v>0.1</v>
      </c>
      <c r="AX837" s="410">
        <v>0.05</v>
      </c>
    </row>
    <row r="838" spans="39:50" x14ac:dyDescent="0.3">
      <c r="AM838" s="147" t="s">
        <v>149</v>
      </c>
      <c r="AN838" s="147" t="s">
        <v>149</v>
      </c>
      <c r="AO838" s="147" t="s">
        <v>444</v>
      </c>
      <c r="AP838" s="147" t="s">
        <v>553</v>
      </c>
      <c r="AQ838" s="147" t="s">
        <v>571</v>
      </c>
      <c r="AR838" s="147" t="s">
        <v>417</v>
      </c>
      <c r="AS838" s="182" t="str">
        <f t="shared" si="20"/>
        <v>RenewablesRenewablesRenewable heatOffsiteGround source heat pumpUnknown</v>
      </c>
      <c r="AV838" s="410">
        <v>0.15</v>
      </c>
      <c r="AW838" s="410">
        <v>0.1</v>
      </c>
      <c r="AX838" s="410">
        <v>0.05</v>
      </c>
    </row>
    <row r="839" spans="39:50" x14ac:dyDescent="0.3">
      <c r="AM839" s="147" t="s">
        <v>149</v>
      </c>
      <c r="AN839" s="147" t="s">
        <v>149</v>
      </c>
      <c r="AO839" s="147" t="s">
        <v>444</v>
      </c>
      <c r="AP839" s="147" t="s">
        <v>553</v>
      </c>
      <c r="AQ839" s="147" t="s">
        <v>581</v>
      </c>
      <c r="AR839" s="147" t="s">
        <v>440</v>
      </c>
      <c r="AS839" s="182" t="str">
        <f t="shared" si="20"/>
        <v>RenewablesRenewablesRenewable heatOffsiteSolar thermalPublic</v>
      </c>
      <c r="AV839" s="410">
        <v>0.15</v>
      </c>
      <c r="AW839" s="410">
        <v>0.1</v>
      </c>
      <c r="AX839" s="410">
        <v>0.05</v>
      </c>
    </row>
    <row r="840" spans="39:50" x14ac:dyDescent="0.3">
      <c r="AM840" s="147" t="s">
        <v>149</v>
      </c>
      <c r="AN840" s="147" t="s">
        <v>149</v>
      </c>
      <c r="AO840" s="147" t="s">
        <v>444</v>
      </c>
      <c r="AP840" s="147" t="s">
        <v>553</v>
      </c>
      <c r="AQ840" s="147" t="s">
        <v>581</v>
      </c>
      <c r="AR840" s="147" t="s">
        <v>555</v>
      </c>
      <c r="AS840" s="182" t="str">
        <f t="shared" si="20"/>
        <v>RenewablesRenewablesRenewable heatOffsiteSolar thermalShared</v>
      </c>
      <c r="AV840" s="410">
        <v>0.15</v>
      </c>
      <c r="AW840" s="410">
        <v>0.1</v>
      </c>
      <c r="AX840" s="410">
        <v>0.05</v>
      </c>
    </row>
    <row r="841" spans="39:50" x14ac:dyDescent="0.3">
      <c r="AM841" s="147" t="s">
        <v>149</v>
      </c>
      <c r="AN841" s="147" t="s">
        <v>149</v>
      </c>
      <c r="AO841" s="147" t="s">
        <v>444</v>
      </c>
      <c r="AP841" s="147" t="s">
        <v>553</v>
      </c>
      <c r="AQ841" s="147" t="s">
        <v>581</v>
      </c>
      <c r="AR841" s="147" t="s">
        <v>570</v>
      </c>
      <c r="AS841" s="182" t="str">
        <f t="shared" si="20"/>
        <v>RenewablesRenewablesRenewable heatOffsiteSolar thermalCommunity</v>
      </c>
      <c r="AV841" s="410">
        <v>0.15</v>
      </c>
      <c r="AW841" s="410">
        <v>0.1</v>
      </c>
      <c r="AX841" s="410">
        <v>0.05</v>
      </c>
    </row>
    <row r="842" spans="39:50" x14ac:dyDescent="0.3">
      <c r="AM842" s="147" t="s">
        <v>149</v>
      </c>
      <c r="AN842" s="147" t="s">
        <v>149</v>
      </c>
      <c r="AO842" s="147" t="s">
        <v>444</v>
      </c>
      <c r="AP842" s="147" t="s">
        <v>553</v>
      </c>
      <c r="AQ842" s="147" t="s">
        <v>581</v>
      </c>
      <c r="AR842" s="147" t="s">
        <v>580</v>
      </c>
      <c r="AS842" s="182" t="str">
        <f t="shared" si="20"/>
        <v>RenewablesRenewablesRenewable heatOffsiteSolar thermalPrivate (Welsh)</v>
      </c>
      <c r="AV842" s="410">
        <v>0.15</v>
      </c>
      <c r="AW842" s="410">
        <v>0.1</v>
      </c>
      <c r="AX842" s="410">
        <v>0.05</v>
      </c>
    </row>
    <row r="843" spans="39:50" x14ac:dyDescent="0.3">
      <c r="AM843" s="147" t="s">
        <v>149</v>
      </c>
      <c r="AN843" s="147" t="s">
        <v>149</v>
      </c>
      <c r="AO843" s="147" t="s">
        <v>444</v>
      </c>
      <c r="AP843" s="147" t="s">
        <v>553</v>
      </c>
      <c r="AQ843" s="147" t="s">
        <v>581</v>
      </c>
      <c r="AR843" s="147" t="s">
        <v>590</v>
      </c>
      <c r="AS843" s="182" t="str">
        <f t="shared" si="20"/>
        <v>RenewablesRenewablesRenewable heatOffsiteSolar thermalPrivate (Non-Welsh)</v>
      </c>
      <c r="AV843" s="410">
        <v>0.15</v>
      </c>
      <c r="AW843" s="410">
        <v>0.1</v>
      </c>
      <c r="AX843" s="410">
        <v>0.05</v>
      </c>
    </row>
    <row r="844" spans="39:50" x14ac:dyDescent="0.3">
      <c r="AM844" s="147" t="s">
        <v>149</v>
      </c>
      <c r="AN844" s="147" t="s">
        <v>149</v>
      </c>
      <c r="AO844" s="147" t="s">
        <v>444</v>
      </c>
      <c r="AP844" s="147" t="s">
        <v>553</v>
      </c>
      <c r="AQ844" s="147" t="s">
        <v>581</v>
      </c>
      <c r="AR844" s="147" t="s">
        <v>417</v>
      </c>
      <c r="AS844" s="182" t="str">
        <f t="shared" si="20"/>
        <v>RenewablesRenewablesRenewable heatOffsiteSolar thermalUnknown</v>
      </c>
      <c r="AV844" s="410">
        <v>0.15</v>
      </c>
      <c r="AW844" s="410">
        <v>0.1</v>
      </c>
      <c r="AX844" s="410">
        <v>0.05</v>
      </c>
    </row>
    <row r="845" spans="39:50" x14ac:dyDescent="0.3">
      <c r="AM845" s="147" t="s">
        <v>149</v>
      </c>
      <c r="AN845" s="147" t="s">
        <v>149</v>
      </c>
      <c r="AO845" s="147" t="s">
        <v>608</v>
      </c>
      <c r="AP845" s="147" t="s">
        <v>553</v>
      </c>
      <c r="AQ845" s="147" t="s">
        <v>591</v>
      </c>
      <c r="AR845" s="147" t="s">
        <v>440</v>
      </c>
      <c r="AS845" s="182" t="str">
        <f t="shared" si="20"/>
        <v>RenewablesRenewablesRenewable CHP heatOffsiteBiomass boilerPublic</v>
      </c>
      <c r="AV845" s="410">
        <v>0.15</v>
      </c>
      <c r="AW845" s="410">
        <v>0.1</v>
      </c>
      <c r="AX845" s="410">
        <v>0.05</v>
      </c>
    </row>
    <row r="846" spans="39:50" x14ac:dyDescent="0.3">
      <c r="AM846" s="147" t="s">
        <v>149</v>
      </c>
      <c r="AN846" s="147" t="s">
        <v>149</v>
      </c>
      <c r="AO846" s="147" t="s">
        <v>608</v>
      </c>
      <c r="AP846" s="147" t="s">
        <v>553</v>
      </c>
      <c r="AQ846" s="147" t="s">
        <v>591</v>
      </c>
      <c r="AR846" s="147" t="s">
        <v>555</v>
      </c>
      <c r="AS846" s="182" t="str">
        <f t="shared" si="20"/>
        <v>RenewablesRenewablesRenewable CHP heatOffsiteBiomass boilerShared</v>
      </c>
      <c r="AV846" s="410">
        <v>0.15</v>
      </c>
      <c r="AW846" s="410">
        <v>0.1</v>
      </c>
      <c r="AX846" s="410">
        <v>0.05</v>
      </c>
    </row>
    <row r="847" spans="39:50" x14ac:dyDescent="0.3">
      <c r="AM847" s="147" t="s">
        <v>149</v>
      </c>
      <c r="AN847" s="147" t="s">
        <v>149</v>
      </c>
      <c r="AO847" s="147" t="s">
        <v>608</v>
      </c>
      <c r="AP847" s="147" t="s">
        <v>553</v>
      </c>
      <c r="AQ847" s="147" t="s">
        <v>591</v>
      </c>
      <c r="AR847" s="147" t="s">
        <v>570</v>
      </c>
      <c r="AS847" s="182" t="str">
        <f t="shared" si="20"/>
        <v>RenewablesRenewablesRenewable CHP heatOffsiteBiomass boilerCommunity</v>
      </c>
      <c r="AV847" s="410">
        <v>0.15</v>
      </c>
      <c r="AW847" s="410">
        <v>0.1</v>
      </c>
      <c r="AX847" s="410">
        <v>0.05</v>
      </c>
    </row>
    <row r="848" spans="39:50" x14ac:dyDescent="0.3">
      <c r="AM848" s="147" t="s">
        <v>149</v>
      </c>
      <c r="AN848" s="147" t="s">
        <v>149</v>
      </c>
      <c r="AO848" s="147" t="s">
        <v>608</v>
      </c>
      <c r="AP848" s="147" t="s">
        <v>553</v>
      </c>
      <c r="AQ848" s="147" t="s">
        <v>591</v>
      </c>
      <c r="AR848" s="147" t="s">
        <v>580</v>
      </c>
      <c r="AS848" s="182" t="str">
        <f t="shared" ref="AS848:AS856" si="21">_xlfn.CONCAT(AM848:AR848)</f>
        <v>RenewablesRenewablesRenewable CHP heatOffsiteBiomass boilerPrivate (Welsh)</v>
      </c>
      <c r="AV848" s="410">
        <v>0.15</v>
      </c>
      <c r="AW848" s="410">
        <v>0.1</v>
      </c>
      <c r="AX848" s="410">
        <v>0.05</v>
      </c>
    </row>
    <row r="849" spans="39:50" x14ac:dyDescent="0.3">
      <c r="AM849" s="147" t="s">
        <v>149</v>
      </c>
      <c r="AN849" s="147" t="s">
        <v>149</v>
      </c>
      <c r="AO849" s="147" t="s">
        <v>608</v>
      </c>
      <c r="AP849" s="147" t="s">
        <v>553</v>
      </c>
      <c r="AQ849" s="147" t="s">
        <v>591</v>
      </c>
      <c r="AR849" s="147" t="s">
        <v>590</v>
      </c>
      <c r="AS849" s="182" t="str">
        <f t="shared" si="21"/>
        <v>RenewablesRenewablesRenewable CHP heatOffsiteBiomass boilerPrivate (Non-Welsh)</v>
      </c>
      <c r="AV849" s="410">
        <v>0.15</v>
      </c>
      <c r="AW849" s="410">
        <v>0.1</v>
      </c>
      <c r="AX849" s="410">
        <v>0.05</v>
      </c>
    </row>
    <row r="850" spans="39:50" x14ac:dyDescent="0.3">
      <c r="AM850" s="147" t="s">
        <v>149</v>
      </c>
      <c r="AN850" s="147" t="s">
        <v>149</v>
      </c>
      <c r="AO850" s="147" t="s">
        <v>608</v>
      </c>
      <c r="AP850" s="147" t="s">
        <v>553</v>
      </c>
      <c r="AQ850" s="147" t="s">
        <v>591</v>
      </c>
      <c r="AR850" s="147" t="s">
        <v>417</v>
      </c>
      <c r="AS850" s="182" t="str">
        <f t="shared" si="21"/>
        <v>RenewablesRenewablesRenewable CHP heatOffsiteBiomass boilerUnknown</v>
      </c>
      <c r="AV850" s="410">
        <v>0.15</v>
      </c>
      <c r="AW850" s="410">
        <v>0.1</v>
      </c>
      <c r="AX850" s="410">
        <v>0.05</v>
      </c>
    </row>
    <row r="851" spans="39:50" x14ac:dyDescent="0.3">
      <c r="AM851" s="147" t="s">
        <v>149</v>
      </c>
      <c r="AN851" s="147" t="s">
        <v>149</v>
      </c>
      <c r="AO851" s="147" t="s">
        <v>608</v>
      </c>
      <c r="AP851" s="147" t="s">
        <v>553</v>
      </c>
      <c r="AQ851" s="147" t="s">
        <v>601</v>
      </c>
      <c r="AR851" s="147" t="s">
        <v>440</v>
      </c>
      <c r="AS851" s="182" t="str">
        <f t="shared" si="21"/>
        <v>RenewablesRenewablesRenewable CHP heatOffsiteBiogas boilerPublic</v>
      </c>
      <c r="AV851" s="410">
        <v>0.15</v>
      </c>
      <c r="AW851" s="410">
        <v>0.1</v>
      </c>
      <c r="AX851" s="410">
        <v>0.05</v>
      </c>
    </row>
    <row r="852" spans="39:50" x14ac:dyDescent="0.3">
      <c r="AM852" s="147" t="s">
        <v>149</v>
      </c>
      <c r="AN852" s="147" t="s">
        <v>149</v>
      </c>
      <c r="AO852" s="147" t="s">
        <v>608</v>
      </c>
      <c r="AP852" s="147" t="s">
        <v>553</v>
      </c>
      <c r="AQ852" s="147" t="s">
        <v>601</v>
      </c>
      <c r="AR852" s="147" t="s">
        <v>555</v>
      </c>
      <c r="AS852" s="182" t="str">
        <f t="shared" si="21"/>
        <v>RenewablesRenewablesRenewable CHP heatOffsiteBiogas boilerShared</v>
      </c>
      <c r="AV852" s="410">
        <v>0.15</v>
      </c>
      <c r="AW852" s="410">
        <v>0.1</v>
      </c>
      <c r="AX852" s="410">
        <v>0.05</v>
      </c>
    </row>
    <row r="853" spans="39:50" x14ac:dyDescent="0.3">
      <c r="AM853" s="147" t="s">
        <v>149</v>
      </c>
      <c r="AN853" s="147" t="s">
        <v>149</v>
      </c>
      <c r="AO853" s="147" t="s">
        <v>608</v>
      </c>
      <c r="AP853" s="147" t="s">
        <v>553</v>
      </c>
      <c r="AQ853" s="147" t="s">
        <v>601</v>
      </c>
      <c r="AR853" s="147" t="s">
        <v>570</v>
      </c>
      <c r="AS853" s="182" t="str">
        <f t="shared" si="21"/>
        <v>RenewablesRenewablesRenewable CHP heatOffsiteBiogas boilerCommunity</v>
      </c>
      <c r="AV853" s="410">
        <v>0.15</v>
      </c>
      <c r="AW853" s="410">
        <v>0.1</v>
      </c>
      <c r="AX853" s="410">
        <v>0.05</v>
      </c>
    </row>
    <row r="854" spans="39:50" x14ac:dyDescent="0.3">
      <c r="AM854" s="147" t="s">
        <v>149</v>
      </c>
      <c r="AN854" s="147" t="s">
        <v>149</v>
      </c>
      <c r="AO854" s="147" t="s">
        <v>608</v>
      </c>
      <c r="AP854" s="147" t="s">
        <v>553</v>
      </c>
      <c r="AQ854" s="147" t="s">
        <v>601</v>
      </c>
      <c r="AR854" s="147" t="s">
        <v>580</v>
      </c>
      <c r="AS854" s="182" t="str">
        <f t="shared" si="21"/>
        <v>RenewablesRenewablesRenewable CHP heatOffsiteBiogas boilerPrivate (Welsh)</v>
      </c>
      <c r="AV854" s="410">
        <v>0.15</v>
      </c>
      <c r="AW854" s="410">
        <v>0.1</v>
      </c>
      <c r="AX854" s="410">
        <v>0.05</v>
      </c>
    </row>
    <row r="855" spans="39:50" x14ac:dyDescent="0.3">
      <c r="AM855" s="147" t="s">
        <v>149</v>
      </c>
      <c r="AN855" s="147" t="s">
        <v>149</v>
      </c>
      <c r="AO855" s="147" t="s">
        <v>608</v>
      </c>
      <c r="AP855" s="147" t="s">
        <v>553</v>
      </c>
      <c r="AQ855" s="147" t="s">
        <v>601</v>
      </c>
      <c r="AR855" s="147" t="s">
        <v>590</v>
      </c>
      <c r="AS855" s="182" t="str">
        <f t="shared" si="21"/>
        <v>RenewablesRenewablesRenewable CHP heatOffsiteBiogas boilerPrivate (Non-Welsh)</v>
      </c>
      <c r="AV855" s="410">
        <v>0.15</v>
      </c>
      <c r="AW855" s="410">
        <v>0.1</v>
      </c>
      <c r="AX855" s="410">
        <v>0.05</v>
      </c>
    </row>
    <row r="856" spans="39:50" x14ac:dyDescent="0.3">
      <c r="AM856" s="147" t="s">
        <v>149</v>
      </c>
      <c r="AN856" s="147" t="s">
        <v>149</v>
      </c>
      <c r="AO856" s="147" t="s">
        <v>608</v>
      </c>
      <c r="AP856" s="147" t="s">
        <v>553</v>
      </c>
      <c r="AQ856" s="147" t="s">
        <v>601</v>
      </c>
      <c r="AR856" s="147" t="s">
        <v>417</v>
      </c>
      <c r="AS856" s="182" t="str">
        <f t="shared" si="21"/>
        <v>RenewablesRenewablesRenewable CHP heatOffsiteBiogas boilerUnknown</v>
      </c>
      <c r="AV856" s="410">
        <v>0.15</v>
      </c>
      <c r="AW856" s="410">
        <v>0.1</v>
      </c>
      <c r="AX856" s="410">
        <v>0.05</v>
      </c>
    </row>
    <row r="862" spans="39:50" x14ac:dyDescent="0.3">
      <c r="AV862" s="410"/>
      <c r="AW862" s="410"/>
      <c r="AX862" s="410"/>
    </row>
    <row r="863" spans="39:50" x14ac:dyDescent="0.3">
      <c r="AV863" s="410"/>
      <c r="AW863" s="410"/>
      <c r="AX863" s="410"/>
    </row>
    <row r="864" spans="39:50" x14ac:dyDescent="0.3">
      <c r="AV864" s="410"/>
      <c r="AW864" s="410"/>
      <c r="AX864" s="410"/>
    </row>
    <row r="865" spans="48:50" x14ac:dyDescent="0.3">
      <c r="AV865" s="410"/>
      <c r="AW865" s="410"/>
      <c r="AX865" s="410"/>
    </row>
    <row r="866" spans="48:50" x14ac:dyDescent="0.3">
      <c r="AV866" s="410"/>
      <c r="AW866" s="410"/>
      <c r="AX866" s="410"/>
    </row>
    <row r="867" spans="48:50" x14ac:dyDescent="0.3">
      <c r="AV867" s="410"/>
      <c r="AW867" s="410"/>
      <c r="AX867" s="410"/>
    </row>
    <row r="868" spans="48:50" x14ac:dyDescent="0.3">
      <c r="AV868" s="410"/>
      <c r="AW868" s="410"/>
      <c r="AX868" s="410"/>
    </row>
    <row r="869" spans="48:50" x14ac:dyDescent="0.3">
      <c r="AV869" s="410"/>
      <c r="AW869" s="410"/>
      <c r="AX869" s="410"/>
    </row>
    <row r="870" spans="48:50" x14ac:dyDescent="0.3">
      <c r="AV870" s="410"/>
      <c r="AW870" s="410"/>
      <c r="AX870" s="410"/>
    </row>
    <row r="871" spans="48:50" x14ac:dyDescent="0.3">
      <c r="AV871" s="410"/>
      <c r="AW871" s="410"/>
      <c r="AX871" s="410"/>
    </row>
    <row r="872" spans="48:50" x14ac:dyDescent="0.3">
      <c r="AV872" s="410"/>
      <c r="AW872" s="410"/>
      <c r="AX872" s="410"/>
    </row>
    <row r="873" spans="48:50" x14ac:dyDescent="0.3">
      <c r="AV873" s="410"/>
      <c r="AW873" s="410"/>
      <c r="AX873" s="410"/>
    </row>
  </sheetData>
  <sheetProtection algorithmName="SHA-512" hashValue="m8iIEjg0My8KkaAoFlNekgqNCP3gWt5dTalvcxSxb7OjgBeafv8hgia5Ibgp9q9A6EoSMc7FGaXjsI+fkknmvA==" saltValue="HCYLIuVds+O3mnfWTUYzRA==" spinCount="100000" sheet="1" objects="1" scenarios="1"/>
  <sortState xmlns:xlrd2="http://schemas.microsoft.com/office/spreadsheetml/2017/richdata2" ref="BZ11:CE100">
    <sortCondition ref="BZ11:BZ100"/>
    <sortCondition ref="CA11:CA100"/>
    <sortCondition ref="CB11:CB100"/>
    <sortCondition ref="CC11:CC100"/>
    <sortCondition ref="CD11:CD100"/>
    <sortCondition ref="CE11:CE100"/>
  </sortState>
  <mergeCells count="4">
    <mergeCell ref="BB9:BC9"/>
    <mergeCell ref="BD9:BE9"/>
    <mergeCell ref="BF9:BG9"/>
    <mergeCell ref="BJ9:BK9"/>
  </mergeCells>
  <phoneticPr fontId="16"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D202-58E3-4DB8-8AA8-9EA4278A55F3}">
  <sheetPr codeName="Sheet27">
    <tabColor theme="7" tint="0.79998168889431442"/>
  </sheetPr>
  <dimension ref="B1:T78"/>
  <sheetViews>
    <sheetView zoomScaleNormal="100" workbookViewId="0"/>
  </sheetViews>
  <sheetFormatPr defaultColWidth="8.54296875" defaultRowHeight="14.5" x14ac:dyDescent="0.35"/>
  <cols>
    <col min="1" max="1" width="8.54296875" style="18"/>
    <col min="2" max="2" width="30" style="18" customWidth="1"/>
    <col min="3" max="3" width="21.54296875" style="18" customWidth="1"/>
    <col min="4" max="4" width="30.453125" style="18" customWidth="1"/>
    <col min="5" max="5" width="26.453125" style="18" customWidth="1"/>
    <col min="6" max="11" width="8.54296875" style="18"/>
    <col min="12" max="12" width="17.453125" style="18" customWidth="1"/>
    <col min="13" max="13" width="29.453125" style="18" customWidth="1"/>
    <col min="14" max="14" width="27.54296875" style="18" customWidth="1"/>
    <col min="15" max="16" width="8.54296875" style="18"/>
    <col min="17" max="17" width="21.54296875" style="18" customWidth="1"/>
    <col min="18" max="18" width="19.54296875" style="18" customWidth="1"/>
    <col min="19" max="19" width="38.453125" style="18" customWidth="1"/>
    <col min="20" max="16384" width="8.54296875" style="18"/>
  </cols>
  <sheetData>
    <row r="1" spans="2:20" x14ac:dyDescent="0.35">
      <c r="B1" s="20"/>
    </row>
    <row r="3" spans="2:20" ht="26" x14ac:dyDescent="0.6">
      <c r="B3" s="422" t="s">
        <v>1618</v>
      </c>
      <c r="C3" s="423"/>
      <c r="D3" s="423"/>
      <c r="E3" s="423"/>
    </row>
    <row r="4" spans="2:20" ht="18.5" x14ac:dyDescent="0.45">
      <c r="B4" s="61" t="s">
        <v>1619</v>
      </c>
      <c r="C4" s="59"/>
      <c r="D4" s="59"/>
      <c r="E4" s="59"/>
    </row>
    <row r="5" spans="2:20" ht="18.5" x14ac:dyDescent="0.45">
      <c r="B5" s="62" t="s">
        <v>1620</v>
      </c>
      <c r="C5" s="59"/>
      <c r="D5" s="59"/>
      <c r="E5" s="59"/>
    </row>
    <row r="6" spans="2:20" ht="18.5" x14ac:dyDescent="0.45">
      <c r="B6" s="62" t="s">
        <v>1621</v>
      </c>
      <c r="C6" s="59"/>
      <c r="D6" s="59"/>
      <c r="E6" s="59"/>
    </row>
    <row r="7" spans="2:20" ht="18.5" x14ac:dyDescent="0.45">
      <c r="B7" s="63" t="s">
        <v>1622</v>
      </c>
      <c r="C7" s="59"/>
      <c r="D7" s="59"/>
      <c r="E7" s="59"/>
    </row>
    <row r="8" spans="2:20" ht="18.5" x14ac:dyDescent="0.45">
      <c r="B8" s="63" t="s">
        <v>1623</v>
      </c>
      <c r="C8" s="59"/>
      <c r="D8" s="59"/>
      <c r="E8" s="59"/>
    </row>
    <row r="9" spans="2:20" ht="18.5" x14ac:dyDescent="0.45">
      <c r="B9" s="63" t="s">
        <v>1624</v>
      </c>
      <c r="C9" s="59"/>
      <c r="D9" s="59"/>
      <c r="E9" s="59"/>
    </row>
    <row r="11" spans="2:20" ht="19.399999999999999" customHeight="1" x14ac:dyDescent="0.35">
      <c r="B11" s="25" t="s">
        <v>1620</v>
      </c>
      <c r="L11" s="25" t="s">
        <v>1621</v>
      </c>
      <c r="Q11" s="25" t="s">
        <v>1622</v>
      </c>
    </row>
    <row r="12" spans="2:20" ht="48" customHeight="1" x14ac:dyDescent="0.35">
      <c r="B12" s="526" t="s">
        <v>1625</v>
      </c>
      <c r="C12" s="526"/>
      <c r="D12" s="526"/>
      <c r="E12" s="526"/>
      <c r="F12" s="526"/>
      <c r="G12" s="526"/>
      <c r="H12" s="526"/>
      <c r="I12" s="526"/>
      <c r="L12" s="520" t="s">
        <v>1626</v>
      </c>
      <c r="M12" s="520"/>
      <c r="N12" s="520"/>
      <c r="O12" s="520"/>
      <c r="Q12" s="520" t="s">
        <v>1627</v>
      </c>
      <c r="R12" s="520"/>
      <c r="S12" s="520"/>
      <c r="T12" s="520"/>
    </row>
    <row r="13" spans="2:20" ht="32.15" customHeight="1" x14ac:dyDescent="0.35">
      <c r="B13" s="60" t="s">
        <v>1628</v>
      </c>
      <c r="L13" s="520"/>
      <c r="M13" s="520"/>
      <c r="N13" s="520"/>
      <c r="O13" s="520"/>
    </row>
    <row r="14" spans="2:20" ht="15" thickBot="1" x14ac:dyDescent="0.4">
      <c r="B14" s="58" t="s">
        <v>1629</v>
      </c>
    </row>
    <row r="15" spans="2:20" ht="50.15" customHeight="1" thickBot="1" x14ac:dyDescent="0.4">
      <c r="B15" s="420" t="s">
        <v>285</v>
      </c>
      <c r="C15" s="421" t="s">
        <v>503</v>
      </c>
      <c r="D15" s="421" t="s">
        <v>1630</v>
      </c>
      <c r="E15" s="421" t="s">
        <v>1631</v>
      </c>
      <c r="F15" s="524"/>
      <c r="G15" s="525"/>
      <c r="H15" s="525"/>
      <c r="L15" s="420" t="s">
        <v>285</v>
      </c>
      <c r="M15" s="421" t="s">
        <v>1632</v>
      </c>
      <c r="N15" s="421" t="s">
        <v>1633</v>
      </c>
      <c r="Q15" s="420" t="s">
        <v>360</v>
      </c>
      <c r="R15" s="421" t="s">
        <v>1634</v>
      </c>
      <c r="S15" s="421" t="s">
        <v>262</v>
      </c>
    </row>
    <row r="16" spans="2:20" ht="25.5" customHeight="1" thickBot="1" x14ac:dyDescent="0.4">
      <c r="B16" s="4" t="s">
        <v>620</v>
      </c>
      <c r="C16" s="5" t="s">
        <v>1635</v>
      </c>
      <c r="D16" s="5">
        <v>132</v>
      </c>
      <c r="E16" s="5">
        <v>85</v>
      </c>
      <c r="L16" s="4" t="s">
        <v>628</v>
      </c>
      <c r="M16" s="5">
        <v>24</v>
      </c>
      <c r="N16" s="5">
        <v>36</v>
      </c>
      <c r="Q16" s="4" t="s">
        <v>1636</v>
      </c>
      <c r="R16" s="28">
        <v>0.64</v>
      </c>
      <c r="S16" s="521" t="s">
        <v>1637</v>
      </c>
    </row>
    <row r="17" spans="2:19" ht="42.65" customHeight="1" thickBot="1" x14ac:dyDescent="0.4">
      <c r="B17" s="4" t="s">
        <v>620</v>
      </c>
      <c r="C17" s="5" t="s">
        <v>1638</v>
      </c>
      <c r="D17" s="5">
        <v>139</v>
      </c>
      <c r="E17" s="5">
        <v>47</v>
      </c>
      <c r="Q17" s="4" t="s">
        <v>1639</v>
      </c>
      <c r="R17" s="29">
        <v>6.6000000000000003E-2</v>
      </c>
      <c r="S17" s="522"/>
    </row>
    <row r="18" spans="2:19" ht="49.5" customHeight="1" thickBot="1" x14ac:dyDescent="0.4">
      <c r="B18" s="4" t="s">
        <v>620</v>
      </c>
      <c r="C18" s="5" t="s">
        <v>778</v>
      </c>
      <c r="D18" s="5">
        <v>319</v>
      </c>
      <c r="E18" s="5">
        <v>83</v>
      </c>
      <c r="L18" s="527" t="s">
        <v>1640</v>
      </c>
      <c r="M18" s="527"/>
      <c r="N18" s="527"/>
      <c r="O18" s="527"/>
      <c r="Q18" s="4" t="s">
        <v>1641</v>
      </c>
      <c r="R18" s="29">
        <v>4.0000000000000001E-3</v>
      </c>
      <c r="S18" s="522"/>
    </row>
    <row r="19" spans="2:19" ht="39.65" customHeight="1" thickBot="1" x14ac:dyDescent="0.4">
      <c r="B19" s="4" t="s">
        <v>620</v>
      </c>
      <c r="C19" s="5" t="s">
        <v>787</v>
      </c>
      <c r="D19" s="5">
        <v>311</v>
      </c>
      <c r="E19" s="5">
        <v>39</v>
      </c>
      <c r="L19" s="420" t="s">
        <v>285</v>
      </c>
      <c r="M19" s="421" t="s">
        <v>1642</v>
      </c>
      <c r="Q19" s="4" t="s">
        <v>1643</v>
      </c>
      <c r="R19" s="29">
        <v>9.5000000000000001E-2</v>
      </c>
      <c r="S19" s="522"/>
    </row>
    <row r="20" spans="2:19" ht="42.65" customHeight="1" thickBot="1" x14ac:dyDescent="0.4">
      <c r="B20" s="4" t="s">
        <v>620</v>
      </c>
      <c r="C20" s="5" t="s">
        <v>790</v>
      </c>
      <c r="D20" s="5">
        <v>432</v>
      </c>
      <c r="E20" s="5">
        <v>68</v>
      </c>
      <c r="L20" s="4" t="s">
        <v>628</v>
      </c>
      <c r="M20" s="5" t="s">
        <v>1644</v>
      </c>
      <c r="Q20" s="4" t="s">
        <v>1645</v>
      </c>
      <c r="R20" s="29">
        <v>6.0000000000000001E-3</v>
      </c>
      <c r="S20" s="522"/>
    </row>
    <row r="21" spans="2:19" ht="52.5" customHeight="1" thickBot="1" x14ac:dyDescent="0.4">
      <c r="B21" s="4" t="s">
        <v>636</v>
      </c>
      <c r="C21" s="5" t="s">
        <v>847</v>
      </c>
      <c r="D21" s="5">
        <v>117</v>
      </c>
      <c r="E21" s="5">
        <v>76</v>
      </c>
      <c r="Q21" s="4" t="s">
        <v>1033</v>
      </c>
      <c r="R21" s="29">
        <v>4.4999999999999998E-2</v>
      </c>
      <c r="S21" s="522"/>
    </row>
    <row r="22" spans="2:19" ht="15" thickBot="1" x14ac:dyDescent="0.4">
      <c r="B22" s="4" t="s">
        <v>636</v>
      </c>
      <c r="C22" s="5" t="s">
        <v>850</v>
      </c>
      <c r="D22" s="5">
        <v>121</v>
      </c>
      <c r="E22" s="5">
        <v>55</v>
      </c>
      <c r="L22" s="25" t="s">
        <v>1623</v>
      </c>
      <c r="Q22" s="4" t="s">
        <v>1037</v>
      </c>
      <c r="R22" s="29">
        <v>1.9E-2</v>
      </c>
      <c r="S22" s="522"/>
    </row>
    <row r="23" spans="2:19" ht="39.65" customHeight="1" thickBot="1" x14ac:dyDescent="0.4">
      <c r="B23" s="4" t="s">
        <v>636</v>
      </c>
      <c r="C23" s="5" t="s">
        <v>853</v>
      </c>
      <c r="D23" s="5">
        <v>223</v>
      </c>
      <c r="E23" s="5">
        <v>69</v>
      </c>
      <c r="L23" s="527" t="s">
        <v>1646</v>
      </c>
      <c r="M23" s="527"/>
      <c r="N23" s="527"/>
      <c r="O23" s="527"/>
      <c r="Q23" s="4" t="s">
        <v>1647</v>
      </c>
      <c r="R23" s="29">
        <v>1.4E-2</v>
      </c>
      <c r="S23" s="522"/>
    </row>
    <row r="24" spans="2:19" ht="15" thickBot="1" x14ac:dyDescent="0.4">
      <c r="B24" s="4" t="s">
        <v>636</v>
      </c>
      <c r="C24" s="5" t="s">
        <v>855</v>
      </c>
      <c r="D24" s="5">
        <v>190</v>
      </c>
      <c r="E24" s="5">
        <v>134</v>
      </c>
      <c r="Q24" s="4" t="s">
        <v>1648</v>
      </c>
      <c r="R24" s="29">
        <v>0.104</v>
      </c>
      <c r="S24" s="522"/>
    </row>
    <row r="25" spans="2:19" ht="65.900000000000006" customHeight="1" thickBot="1" x14ac:dyDescent="0.4">
      <c r="B25" s="4" t="s">
        <v>628</v>
      </c>
      <c r="C25" s="5" t="s">
        <v>1649</v>
      </c>
      <c r="D25" s="5">
        <v>108</v>
      </c>
      <c r="E25" s="5">
        <v>89</v>
      </c>
      <c r="L25" s="420" t="s">
        <v>360</v>
      </c>
      <c r="M25" s="421" t="s">
        <v>1650</v>
      </c>
      <c r="N25" s="421" t="s">
        <v>262</v>
      </c>
      <c r="Q25" s="4" t="s">
        <v>648</v>
      </c>
      <c r="R25" s="29">
        <v>5.0000000000000001E-3</v>
      </c>
      <c r="S25" s="523"/>
    </row>
    <row r="26" spans="2:19" ht="52.5" customHeight="1" thickBot="1" x14ac:dyDescent="0.4">
      <c r="B26" s="4" t="s">
        <v>628</v>
      </c>
      <c r="C26" s="5" t="s">
        <v>829</v>
      </c>
      <c r="D26" s="5">
        <v>178</v>
      </c>
      <c r="E26" s="5">
        <v>226</v>
      </c>
      <c r="L26" s="4" t="s">
        <v>1037</v>
      </c>
      <c r="M26" s="5">
        <v>0.16320000000000001</v>
      </c>
      <c r="N26" s="5" t="s">
        <v>1651</v>
      </c>
    </row>
    <row r="27" spans="2:19" ht="90" customHeight="1" thickBot="1" x14ac:dyDescent="0.4">
      <c r="B27" s="4" t="s">
        <v>1652</v>
      </c>
      <c r="C27" s="5" t="s">
        <v>1653</v>
      </c>
      <c r="D27" s="5">
        <v>122</v>
      </c>
      <c r="E27" s="5">
        <v>43</v>
      </c>
      <c r="L27" s="4" t="s">
        <v>1033</v>
      </c>
      <c r="M27" s="5">
        <v>0.31563917782861167</v>
      </c>
      <c r="N27" s="69" t="s">
        <v>1654</v>
      </c>
    </row>
    <row r="28" spans="2:19" ht="39.65" customHeight="1" thickBot="1" x14ac:dyDescent="0.4">
      <c r="B28" s="4" t="s">
        <v>1652</v>
      </c>
      <c r="C28" s="5" t="s">
        <v>1655</v>
      </c>
      <c r="D28" s="5">
        <v>113</v>
      </c>
      <c r="E28" s="5">
        <v>51</v>
      </c>
      <c r="L28" s="4" t="s">
        <v>1042</v>
      </c>
      <c r="M28" s="26">
        <v>1.6935985083903047</v>
      </c>
      <c r="N28" s="69" t="s">
        <v>1656</v>
      </c>
    </row>
    <row r="29" spans="2:19" ht="35.15" customHeight="1" thickBot="1" x14ac:dyDescent="0.4">
      <c r="B29" s="4" t="s">
        <v>1652</v>
      </c>
      <c r="C29" s="5" t="s">
        <v>1657</v>
      </c>
      <c r="D29" s="5">
        <v>157</v>
      </c>
      <c r="E29" s="5">
        <v>51</v>
      </c>
      <c r="L29" s="514" t="s">
        <v>1658</v>
      </c>
      <c r="M29" s="514" t="s">
        <v>1659</v>
      </c>
      <c r="N29" s="27" t="s">
        <v>1660</v>
      </c>
    </row>
    <row r="30" spans="2:19" ht="52.5" customHeight="1" thickBot="1" x14ac:dyDescent="0.4">
      <c r="B30" s="4" t="s">
        <v>1652</v>
      </c>
      <c r="C30" s="5" t="s">
        <v>1661</v>
      </c>
      <c r="D30" s="5">
        <v>187</v>
      </c>
      <c r="E30" s="5">
        <v>36</v>
      </c>
      <c r="L30" s="515"/>
      <c r="M30" s="515"/>
      <c r="N30" s="517" t="s">
        <v>1662</v>
      </c>
    </row>
    <row r="31" spans="2:19" ht="52.4" customHeight="1" thickBot="1" x14ac:dyDescent="0.4">
      <c r="B31" s="4" t="s">
        <v>1663</v>
      </c>
      <c r="C31" s="5" t="s">
        <v>1664</v>
      </c>
      <c r="D31" s="5">
        <v>303</v>
      </c>
      <c r="E31" s="5">
        <v>118</v>
      </c>
      <c r="L31" s="516"/>
      <c r="M31" s="516"/>
      <c r="N31" s="518"/>
    </row>
    <row r="32" spans="2:19" ht="52.4" customHeight="1" thickBot="1" x14ac:dyDescent="0.4">
      <c r="B32" s="4" t="s">
        <v>1663</v>
      </c>
      <c r="C32" s="5" t="s">
        <v>1665</v>
      </c>
      <c r="D32" s="5">
        <v>267</v>
      </c>
      <c r="E32" s="5">
        <v>132</v>
      </c>
      <c r="L32" s="56"/>
      <c r="M32" s="56"/>
      <c r="N32" s="57"/>
    </row>
    <row r="33" spans="2:14" ht="52.4" customHeight="1" thickBot="1" x14ac:dyDescent="0.4">
      <c r="B33" s="4" t="s">
        <v>1663</v>
      </c>
      <c r="C33" s="5" t="s">
        <v>1666</v>
      </c>
      <c r="D33" s="5">
        <v>492</v>
      </c>
      <c r="E33" s="5">
        <v>78</v>
      </c>
      <c r="L33" s="56"/>
      <c r="M33" s="56"/>
      <c r="N33" s="57"/>
    </row>
    <row r="34" spans="2:14" ht="15" thickBot="1" x14ac:dyDescent="0.4">
      <c r="B34" s="4" t="s">
        <v>577</v>
      </c>
      <c r="C34" s="5" t="s">
        <v>694</v>
      </c>
      <c r="D34" s="5">
        <v>118</v>
      </c>
      <c r="E34" s="5">
        <v>108</v>
      </c>
    </row>
    <row r="35" spans="2:14" ht="26.5" thickBot="1" x14ac:dyDescent="0.4">
      <c r="B35" s="4" t="s">
        <v>577</v>
      </c>
      <c r="C35" s="5" t="s">
        <v>1667</v>
      </c>
      <c r="D35" s="5">
        <v>150</v>
      </c>
      <c r="E35" s="5">
        <v>93</v>
      </c>
    </row>
    <row r="36" spans="2:14" ht="15" thickBot="1" x14ac:dyDescent="0.4">
      <c r="B36" s="4" t="s">
        <v>577</v>
      </c>
      <c r="C36" s="5" t="s">
        <v>703</v>
      </c>
      <c r="D36" s="5">
        <v>112</v>
      </c>
      <c r="E36" s="5">
        <v>103</v>
      </c>
    </row>
    <row r="37" spans="2:14" ht="15" thickBot="1" x14ac:dyDescent="0.4">
      <c r="B37" s="4" t="s">
        <v>644</v>
      </c>
      <c r="C37" s="5" t="s">
        <v>923</v>
      </c>
      <c r="D37" s="5">
        <v>644</v>
      </c>
      <c r="E37" s="5">
        <v>192</v>
      </c>
    </row>
    <row r="38" spans="2:14" ht="15" thickBot="1" x14ac:dyDescent="0.4">
      <c r="B38" s="4" t="s">
        <v>644</v>
      </c>
      <c r="C38" s="5" t="s">
        <v>925</v>
      </c>
      <c r="D38" s="5">
        <v>598</v>
      </c>
      <c r="E38" s="5">
        <v>152</v>
      </c>
    </row>
    <row r="39" spans="2:14" ht="22.4" customHeight="1" thickBot="1" x14ac:dyDescent="0.4">
      <c r="B39" s="4" t="s">
        <v>644</v>
      </c>
      <c r="C39" s="5" t="s">
        <v>927</v>
      </c>
      <c r="D39" s="5">
        <v>343</v>
      </c>
      <c r="E39" s="5">
        <v>105</v>
      </c>
    </row>
    <row r="43" spans="2:14" ht="15.5" x14ac:dyDescent="0.35">
      <c r="B43" s="42" t="s">
        <v>1668</v>
      </c>
      <c r="C43" s="32"/>
    </row>
    <row r="44" spans="2:14" ht="133.4" customHeight="1" x14ac:dyDescent="0.35">
      <c r="B44" s="519" t="s">
        <v>1669</v>
      </c>
      <c r="C44" s="519"/>
      <c r="D44" s="519"/>
      <c r="E44" s="519"/>
      <c r="F44" s="519"/>
    </row>
    <row r="45" spans="2:14" ht="15" thickBot="1" x14ac:dyDescent="0.4">
      <c r="B45" s="33" t="s">
        <v>1670</v>
      </c>
    </row>
    <row r="46" spans="2:14" ht="26.5" thickBot="1" x14ac:dyDescent="0.4">
      <c r="B46" s="2" t="s">
        <v>1671</v>
      </c>
      <c r="C46" s="3" t="s">
        <v>1672</v>
      </c>
      <c r="D46" s="3" t="s">
        <v>1673</v>
      </c>
      <c r="E46" s="3" t="s">
        <v>1674</v>
      </c>
    </row>
    <row r="47" spans="2:14" ht="63.65" customHeight="1" thickBot="1" x14ac:dyDescent="0.4">
      <c r="B47" s="4" t="s">
        <v>1091</v>
      </c>
      <c r="C47" s="5" t="s">
        <v>1675</v>
      </c>
      <c r="D47" s="5" t="s">
        <v>1676</v>
      </c>
      <c r="E47" s="5">
        <v>0.66</v>
      </c>
    </row>
    <row r="48" spans="2:14" ht="51.65" customHeight="1" thickBot="1" x14ac:dyDescent="0.4">
      <c r="B48" s="4" t="s">
        <v>1082</v>
      </c>
      <c r="C48" s="5" t="s">
        <v>1677</v>
      </c>
      <c r="D48" s="5" t="s">
        <v>1678</v>
      </c>
      <c r="E48" s="5">
        <v>0.28770000000000001</v>
      </c>
    </row>
    <row r="49" spans="2:5" ht="26.5" thickBot="1" x14ac:dyDescent="0.4">
      <c r="B49" s="4" t="s">
        <v>1085</v>
      </c>
      <c r="C49" s="5" t="s">
        <v>1679</v>
      </c>
      <c r="D49" s="5" t="s">
        <v>1680</v>
      </c>
      <c r="E49" s="5">
        <v>0.28000000000000003</v>
      </c>
    </row>
    <row r="50" spans="2:5" ht="26.5" thickBot="1" x14ac:dyDescent="0.4">
      <c r="B50" s="4" t="s">
        <v>1095</v>
      </c>
      <c r="C50" s="5" t="s">
        <v>1681</v>
      </c>
      <c r="D50" s="5" t="s">
        <v>1682</v>
      </c>
      <c r="E50" s="5">
        <v>0.9</v>
      </c>
    </row>
    <row r="51" spans="2:5" ht="39.5" thickBot="1" x14ac:dyDescent="0.4">
      <c r="B51" s="4" t="s">
        <v>1086</v>
      </c>
      <c r="C51" s="5" t="s">
        <v>1683</v>
      </c>
      <c r="D51" s="5" t="s">
        <v>1684</v>
      </c>
      <c r="E51" s="5">
        <v>0.32</v>
      </c>
    </row>
    <row r="52" spans="2:5" ht="52.5" thickBot="1" x14ac:dyDescent="0.4">
      <c r="B52" s="4" t="s">
        <v>1073</v>
      </c>
      <c r="C52" s="5" t="s">
        <v>1685</v>
      </c>
      <c r="D52" s="5" t="s">
        <v>1686</v>
      </c>
      <c r="E52" s="5">
        <v>1.35</v>
      </c>
    </row>
    <row r="53" spans="2:5" ht="15" thickBot="1" x14ac:dyDescent="0.4">
      <c r="B53" s="4" t="s">
        <v>1092</v>
      </c>
      <c r="C53" s="5" t="s">
        <v>1687</v>
      </c>
      <c r="D53" s="5" t="s">
        <v>1688</v>
      </c>
      <c r="E53" s="5">
        <v>0.66</v>
      </c>
    </row>
    <row r="54" spans="2:5" ht="39.5" thickBot="1" x14ac:dyDescent="0.4">
      <c r="B54" s="4" t="s">
        <v>1080</v>
      </c>
      <c r="C54" s="5" t="s">
        <v>1689</v>
      </c>
      <c r="D54" s="5" t="s">
        <v>1690</v>
      </c>
      <c r="E54" s="5">
        <v>0.22500000000000001</v>
      </c>
    </row>
    <row r="55" spans="2:5" ht="15" thickBot="1" x14ac:dyDescent="0.4">
      <c r="B55" s="4" t="s">
        <v>1072</v>
      </c>
      <c r="C55" s="5" t="s">
        <v>1691</v>
      </c>
      <c r="D55" s="5" t="s">
        <v>1692</v>
      </c>
      <c r="E55" s="5">
        <v>0.2</v>
      </c>
    </row>
    <row r="56" spans="2:5" ht="15" thickBot="1" x14ac:dyDescent="0.4">
      <c r="B56" s="4" t="s">
        <v>1068</v>
      </c>
      <c r="C56" s="5" t="s">
        <v>1693</v>
      </c>
      <c r="D56" s="5" t="s">
        <v>1694</v>
      </c>
      <c r="E56" s="5">
        <v>0.26</v>
      </c>
    </row>
    <row r="57" spans="2:5" ht="15" thickBot="1" x14ac:dyDescent="0.4">
      <c r="B57" s="4" t="s">
        <v>1096</v>
      </c>
      <c r="C57" s="5" t="s">
        <v>1695</v>
      </c>
      <c r="D57" s="5" t="s">
        <v>1696</v>
      </c>
      <c r="E57" s="5">
        <v>0.93</v>
      </c>
    </row>
    <row r="58" spans="2:5" ht="15" thickBot="1" x14ac:dyDescent="0.4">
      <c r="B58" s="4" t="s">
        <v>1069</v>
      </c>
      <c r="C58" s="5" t="s">
        <v>1693</v>
      </c>
      <c r="D58" s="5" t="s">
        <v>1694</v>
      </c>
      <c r="E58" s="5">
        <v>0.26</v>
      </c>
    </row>
    <row r="59" spans="2:5" ht="62.9" customHeight="1" thickBot="1" x14ac:dyDescent="0.4">
      <c r="B59" s="4" t="s">
        <v>1081</v>
      </c>
      <c r="C59" s="5" t="s">
        <v>1689</v>
      </c>
      <c r="D59" s="5" t="s">
        <v>1690</v>
      </c>
      <c r="E59" s="5">
        <v>0.22500000000000001</v>
      </c>
    </row>
    <row r="60" spans="2:5" ht="26.5" thickBot="1" x14ac:dyDescent="0.4">
      <c r="B60" s="4" t="s">
        <v>1097</v>
      </c>
      <c r="C60" s="5" t="s">
        <v>1697</v>
      </c>
      <c r="D60" s="5" t="s">
        <v>1698</v>
      </c>
      <c r="E60" s="5">
        <v>0.25</v>
      </c>
    </row>
    <row r="61" spans="2:5" ht="15" thickBot="1" x14ac:dyDescent="0.4">
      <c r="B61" s="4" t="s">
        <v>1083</v>
      </c>
      <c r="C61" s="5" t="s">
        <v>1699</v>
      </c>
      <c r="D61" s="5" t="s">
        <v>1700</v>
      </c>
      <c r="E61" s="5">
        <v>0.19</v>
      </c>
    </row>
    <row r="62" spans="2:5" ht="26.5" thickBot="1" x14ac:dyDescent="0.4">
      <c r="B62" s="4" t="s">
        <v>1084</v>
      </c>
      <c r="C62" s="5" t="s">
        <v>1701</v>
      </c>
      <c r="D62" s="5" t="s">
        <v>1702</v>
      </c>
      <c r="E62" s="5">
        <v>0.9</v>
      </c>
    </row>
    <row r="63" spans="2:5" ht="15" thickBot="1" x14ac:dyDescent="0.4">
      <c r="B63" s="4" t="s">
        <v>1088</v>
      </c>
      <c r="C63" s="5" t="s">
        <v>1703</v>
      </c>
      <c r="D63" s="5" t="s">
        <v>1704</v>
      </c>
      <c r="E63" s="5">
        <v>0.27</v>
      </c>
    </row>
    <row r="64" spans="2:5" ht="26.5" thickBot="1" x14ac:dyDescent="0.4">
      <c r="B64" s="4" t="s">
        <v>1089</v>
      </c>
      <c r="C64" s="5" t="s">
        <v>1705</v>
      </c>
      <c r="D64" s="5" t="s">
        <v>1706</v>
      </c>
      <c r="E64" s="5">
        <v>0.9</v>
      </c>
    </row>
    <row r="65" spans="2:5" ht="15" thickBot="1" x14ac:dyDescent="0.4">
      <c r="B65" s="4" t="s">
        <v>1074</v>
      </c>
      <c r="C65" s="5" t="s">
        <v>1707</v>
      </c>
      <c r="D65" s="5" t="s">
        <v>1708</v>
      </c>
      <c r="E65" s="5">
        <v>0.3332</v>
      </c>
    </row>
    <row r="66" spans="2:5" ht="15" thickBot="1" x14ac:dyDescent="0.4">
      <c r="B66" s="4" t="s">
        <v>1075</v>
      </c>
      <c r="C66" s="5" t="s">
        <v>1709</v>
      </c>
      <c r="D66" s="5" t="s">
        <v>1710</v>
      </c>
      <c r="E66" s="5">
        <v>0.23</v>
      </c>
    </row>
    <row r="67" spans="2:5" ht="15" thickBot="1" x14ac:dyDescent="0.4">
      <c r="B67" s="4" t="s">
        <v>1076</v>
      </c>
      <c r="C67" s="5" t="s">
        <v>1711</v>
      </c>
      <c r="D67" s="5" t="s">
        <v>1712</v>
      </c>
      <c r="E67" s="5">
        <v>0.21049999999999999</v>
      </c>
    </row>
    <row r="68" spans="2:5" ht="15" thickBot="1" x14ac:dyDescent="0.4">
      <c r="B68" s="4" t="s">
        <v>1077</v>
      </c>
      <c r="C68" s="5" t="s">
        <v>1713</v>
      </c>
      <c r="D68" s="5" t="s">
        <v>1714</v>
      </c>
      <c r="E68" s="5">
        <v>0.14000000000000001</v>
      </c>
    </row>
    <row r="69" spans="2:5" ht="15" thickBot="1" x14ac:dyDescent="0.4">
      <c r="B69" s="4" t="s">
        <v>1078</v>
      </c>
      <c r="C69" s="5" t="s">
        <v>1693</v>
      </c>
      <c r="D69" s="5" t="s">
        <v>1694</v>
      </c>
      <c r="E69" s="5">
        <v>0.26</v>
      </c>
    </row>
    <row r="70" spans="2:5" ht="52.5" thickBot="1" x14ac:dyDescent="0.4">
      <c r="B70" s="4" t="s">
        <v>1079</v>
      </c>
      <c r="C70" s="5" t="s">
        <v>1715</v>
      </c>
      <c r="D70" s="5" t="s">
        <v>1716</v>
      </c>
      <c r="E70" s="5">
        <v>0.21310000000000001</v>
      </c>
    </row>
    <row r="71" spans="2:5" ht="65.5" thickBot="1" x14ac:dyDescent="0.4">
      <c r="B71" s="4" t="s">
        <v>1070</v>
      </c>
      <c r="C71" s="5" t="s">
        <v>1717</v>
      </c>
      <c r="D71" s="5" t="s">
        <v>1718</v>
      </c>
      <c r="E71" s="5">
        <v>0.21</v>
      </c>
    </row>
    <row r="72" spans="2:5" ht="26.5" thickBot="1" x14ac:dyDescent="0.4">
      <c r="B72" s="4" t="s">
        <v>1065</v>
      </c>
      <c r="C72" s="5" t="s">
        <v>1719</v>
      </c>
      <c r="D72" s="5" t="s">
        <v>1720</v>
      </c>
      <c r="E72" s="5">
        <v>0.2</v>
      </c>
    </row>
    <row r="73" spans="2:5" ht="15" thickBot="1" x14ac:dyDescent="0.4">
      <c r="B73" s="4" t="s">
        <v>1071</v>
      </c>
      <c r="C73" s="5" t="s">
        <v>1721</v>
      </c>
      <c r="D73" s="5" t="s">
        <v>1722</v>
      </c>
      <c r="E73" s="5">
        <v>0.38</v>
      </c>
    </row>
    <row r="74" spans="2:5" ht="15" thickBot="1" x14ac:dyDescent="0.4">
      <c r="B74" s="4" t="s">
        <v>1066</v>
      </c>
      <c r="C74" s="5" t="s">
        <v>1721</v>
      </c>
      <c r="D74" s="5" t="s">
        <v>1722</v>
      </c>
      <c r="E74" s="5">
        <v>0.38</v>
      </c>
    </row>
    <row r="75" spans="2:5" ht="26.5" thickBot="1" x14ac:dyDescent="0.4">
      <c r="B75" s="4" t="s">
        <v>1093</v>
      </c>
      <c r="C75" s="5" t="s">
        <v>1723</v>
      </c>
      <c r="D75" s="5" t="s">
        <v>1724</v>
      </c>
      <c r="E75" s="5">
        <v>0.24</v>
      </c>
    </row>
    <row r="76" spans="2:5" ht="15" thickBot="1" x14ac:dyDescent="0.4">
      <c r="B76" s="4" t="s">
        <v>1087</v>
      </c>
      <c r="C76" s="5" t="s">
        <v>1725</v>
      </c>
      <c r="D76" s="5" t="s">
        <v>1726</v>
      </c>
      <c r="E76" s="5">
        <v>0.86</v>
      </c>
    </row>
    <row r="77" spans="2:5" ht="15" thickBot="1" x14ac:dyDescent="0.4">
      <c r="B77" s="4" t="s">
        <v>1098</v>
      </c>
      <c r="C77" s="5" t="s">
        <v>1727</v>
      </c>
      <c r="D77" s="5" t="s">
        <v>1728</v>
      </c>
      <c r="E77" s="5">
        <v>0.4657</v>
      </c>
    </row>
    <row r="78" spans="2:5" ht="26.5" thickBot="1" x14ac:dyDescent="0.4">
      <c r="B78" s="4" t="s">
        <v>1090</v>
      </c>
      <c r="C78" s="5" t="s">
        <v>1729</v>
      </c>
      <c r="D78" s="5" t="s">
        <v>1730</v>
      </c>
      <c r="E78" s="5">
        <v>0.1855</v>
      </c>
    </row>
  </sheetData>
  <sheetProtection algorithmName="SHA-512" hashValue="w2zSjTfVW9xAOPHuugMs/aOsM2OPoiuJ+dVlLyYialNN1vWs5nqN2etKvLoRRi2U1oybPNPiMVyfJe68QcyIAw==" saltValue="rsgaNqoqNujAOivSzpvXVw==" spinCount="100000" sheet="1" objects="1" scenarios="1"/>
  <mergeCells count="11">
    <mergeCell ref="L29:L31"/>
    <mergeCell ref="M29:M31"/>
    <mergeCell ref="N30:N31"/>
    <mergeCell ref="B44:F44"/>
    <mergeCell ref="Q12:T12"/>
    <mergeCell ref="L12:O13"/>
    <mergeCell ref="S16:S25"/>
    <mergeCell ref="F15:H15"/>
    <mergeCell ref="B12:I12"/>
    <mergeCell ref="L18:O18"/>
    <mergeCell ref="L23:O23"/>
  </mergeCells>
  <phoneticPr fontId="16" type="noConversion"/>
  <hyperlinks>
    <hyperlink ref="N29" r:id="rId1" xr:uid="{8AD7C04D-31DE-45D9-96F9-3C598DA6AE69}"/>
    <hyperlink ref="S16" r:id="rId2" tooltip="https://www.racfoundation.org/assets/rac_foundation/content/downloadables/car-and-the-commute-web-version.pdf" xr:uid="{DF6309F5-E672-445E-87A2-B9681DFD242E}"/>
    <hyperlink ref="B5" location="'Benchmarking data'!B12" display="Energy use in building benchmarks" xr:uid="{D94A95FB-3796-429F-96A9-8F5D977B8642}"/>
    <hyperlink ref="B6" location="'Benchmarking data'!M9" display="Water use and waste benchmarks" xr:uid="{74B1615E-21AD-4033-8D7A-4990F1A5C9ED}"/>
    <hyperlink ref="B7" location="'Benchmarking data'!R10" display="Commuting benchmarks" xr:uid="{33D00ED8-4222-4814-8CD3-D62D57641738}"/>
    <hyperlink ref="B8" location="'Benchmarking data'!M23" display="Public transport £/passenger km benchmarks" xr:uid="{9F5BB970-3726-4722-950C-E1D6715F3CCE}"/>
    <hyperlink ref="B9" location="'Benchmarking data'!B45" display="Waste density factors" xr:uid="{3ED7302D-E16E-4D8E-82E7-B548BE1DA441}"/>
    <hyperlink ref="B13" r:id="rId3" xr:uid="{CF60AF85-E6A6-4F80-903B-83AEFDFBF7C2}"/>
    <hyperlink ref="N27" r:id="rId4" xr:uid="{F0912822-F02E-471D-8A80-1FEC78402DB9}"/>
    <hyperlink ref="N28" r:id="rId5" xr:uid="{29562139-5F7C-4C60-9864-3D0AD8201926}"/>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1AAF4-D9CE-4110-A697-3DBF35FEA48E}">
  <sheetPr codeName="Sheet3">
    <tabColor theme="4"/>
  </sheetPr>
  <dimension ref="B1:AE79"/>
  <sheetViews>
    <sheetView showGridLines="0" zoomScaleNormal="100" workbookViewId="0"/>
  </sheetViews>
  <sheetFormatPr defaultColWidth="8.7265625" defaultRowHeight="14" x14ac:dyDescent="0.3"/>
  <cols>
    <col min="1" max="1" width="1.54296875" style="147" customWidth="1"/>
    <col min="2" max="2" width="32.54296875" style="146" customWidth="1"/>
    <col min="3" max="3" width="1.54296875" style="147" customWidth="1"/>
    <col min="4" max="4" width="3.54296875" style="147" customWidth="1"/>
    <col min="5" max="5" width="16.54296875" style="147" customWidth="1"/>
    <col min="6" max="6" width="32.54296875" style="147" customWidth="1"/>
    <col min="7" max="16384" width="8.7265625" style="147"/>
  </cols>
  <sheetData>
    <row r="1" spans="2:31" s="150" customFormat="1" ht="15.5" x14ac:dyDescent="0.35">
      <c r="B1" s="196" t="s">
        <v>14</v>
      </c>
      <c r="C1" s="201"/>
      <c r="D1" s="201"/>
      <c r="E1" s="201" t="s">
        <v>15</v>
      </c>
      <c r="F1" s="201" t="str">
        <f>'Version Log'!$F$1</f>
        <v>v0.3</v>
      </c>
    </row>
    <row r="2" spans="2:31" s="153" customFormat="1" x14ac:dyDescent="0.3">
      <c r="B2" s="197" t="s">
        <v>16</v>
      </c>
      <c r="C2" s="203"/>
      <c r="D2" s="203"/>
      <c r="E2" s="203" t="s">
        <v>17</v>
      </c>
      <c r="F2" s="203">
        <f>'Version Log'!$F$2</f>
        <v>0</v>
      </c>
    </row>
    <row r="4" spans="2:31" x14ac:dyDescent="0.3">
      <c r="B4" s="159"/>
    </row>
    <row r="5" spans="2:31" x14ac:dyDescent="0.3">
      <c r="B5" s="251" t="s">
        <v>10</v>
      </c>
      <c r="E5" s="160" t="s">
        <v>18</v>
      </c>
    </row>
    <row r="6" spans="2:31" x14ac:dyDescent="0.3">
      <c r="B6" s="161"/>
      <c r="E6" s="160"/>
      <c r="G6" s="151"/>
    </row>
    <row r="7" spans="2:31" ht="60" customHeight="1" x14ac:dyDescent="0.3">
      <c r="B7" s="194" t="s">
        <v>19</v>
      </c>
      <c r="E7" s="452" t="s">
        <v>20</v>
      </c>
      <c r="F7" s="452"/>
      <c r="G7" s="452"/>
      <c r="H7" s="452"/>
      <c r="I7" s="452"/>
      <c r="J7" s="452"/>
      <c r="K7" s="452"/>
      <c r="L7" s="452"/>
      <c r="M7" s="452"/>
      <c r="N7" s="452"/>
    </row>
    <row r="8" spans="2:31" ht="14.5" thickBot="1" x14ac:dyDescent="0.35">
      <c r="B8" s="161"/>
      <c r="G8" s="151"/>
    </row>
    <row r="9" spans="2:31" ht="14.5" thickTop="1" x14ac:dyDescent="0.3">
      <c r="B9" s="161"/>
      <c r="E9" s="252"/>
      <c r="F9" s="252"/>
      <c r="G9" s="253"/>
      <c r="H9" s="252"/>
      <c r="I9" s="252"/>
      <c r="J9" s="252"/>
      <c r="K9" s="252"/>
      <c r="L9" s="252"/>
      <c r="M9" s="252"/>
      <c r="N9" s="252"/>
      <c r="O9" s="252"/>
      <c r="P9" s="252"/>
      <c r="Q9" s="252"/>
      <c r="R9" s="252"/>
      <c r="S9" s="252"/>
      <c r="T9" s="252"/>
      <c r="U9" s="252"/>
      <c r="V9" s="252"/>
      <c r="W9" s="252"/>
      <c r="X9" s="252"/>
      <c r="Y9" s="252"/>
      <c r="Z9" s="252"/>
      <c r="AA9" s="252"/>
      <c r="AB9" s="252"/>
      <c r="AC9" s="252"/>
      <c r="AD9" s="252"/>
      <c r="AE9" s="252"/>
    </row>
    <row r="10" spans="2:31" x14ac:dyDescent="0.3">
      <c r="B10" s="161"/>
      <c r="E10" s="160" t="s">
        <v>21</v>
      </c>
    </row>
    <row r="11" spans="2:31" x14ac:dyDescent="0.3">
      <c r="B11" s="161"/>
      <c r="E11" s="160"/>
    </row>
    <row r="12" spans="2:31" ht="30.65" customHeight="1" x14ac:dyDescent="0.3">
      <c r="B12" s="161"/>
      <c r="E12" s="452" t="s">
        <v>22</v>
      </c>
      <c r="F12" s="452"/>
      <c r="G12" s="452"/>
      <c r="H12" s="452"/>
      <c r="I12" s="452"/>
      <c r="J12" s="452"/>
      <c r="K12" s="452"/>
      <c r="L12" s="452"/>
      <c r="M12" s="452"/>
      <c r="N12" s="452"/>
    </row>
    <row r="13" spans="2:31" x14ac:dyDescent="0.3">
      <c r="B13" s="161"/>
      <c r="E13" s="453" t="s">
        <v>23</v>
      </c>
      <c r="F13" s="454"/>
      <c r="G13" s="454"/>
      <c r="H13" s="454"/>
      <c r="I13" s="454"/>
      <c r="J13" s="454"/>
      <c r="K13" s="454"/>
      <c r="L13" s="454"/>
      <c r="M13" s="454"/>
      <c r="N13" s="454"/>
    </row>
    <row r="14" spans="2:31" ht="14.5" thickBot="1" x14ac:dyDescent="0.35">
      <c r="B14" s="161"/>
      <c r="G14" s="151"/>
    </row>
    <row r="15" spans="2:31" ht="14.5" thickTop="1" x14ac:dyDescent="0.3">
      <c r="B15" s="161"/>
      <c r="E15" s="254"/>
      <c r="F15" s="254"/>
      <c r="G15" s="255"/>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2:31" x14ac:dyDescent="0.3">
      <c r="B16" s="161"/>
      <c r="E16" s="160" t="s">
        <v>24</v>
      </c>
      <c r="G16" s="151"/>
    </row>
    <row r="17" spans="2:14" x14ac:dyDescent="0.3">
      <c r="B17" s="161"/>
      <c r="E17" s="160"/>
    </row>
    <row r="18" spans="2:14" x14ac:dyDescent="0.3">
      <c r="E18" s="147" t="s">
        <v>25</v>
      </c>
    </row>
    <row r="19" spans="2:14" x14ac:dyDescent="0.3">
      <c r="E19" s="147" t="s">
        <v>26</v>
      </c>
    </row>
    <row r="21" spans="2:14" x14ac:dyDescent="0.3">
      <c r="E21" s="246"/>
      <c r="F21" s="147" t="s">
        <v>27</v>
      </c>
    </row>
    <row r="22" spans="2:14" x14ac:dyDescent="0.3">
      <c r="E22" s="247"/>
      <c r="F22" s="147" t="s">
        <v>28</v>
      </c>
    </row>
    <row r="23" spans="2:14" x14ac:dyDescent="0.3">
      <c r="E23" s="248"/>
      <c r="F23" s="147" t="s">
        <v>29</v>
      </c>
    </row>
    <row r="24" spans="2:14" x14ac:dyDescent="0.3">
      <c r="E24" s="249"/>
      <c r="F24" s="147" t="s">
        <v>30</v>
      </c>
    </row>
    <row r="25" spans="2:14" x14ac:dyDescent="0.3">
      <c r="E25" s="250"/>
      <c r="F25" s="147" t="s">
        <v>31</v>
      </c>
    </row>
    <row r="26" spans="2:14" x14ac:dyDescent="0.3">
      <c r="E26" s="150"/>
      <c r="F26" s="147" t="s">
        <v>32</v>
      </c>
    </row>
    <row r="27" spans="2:14" x14ac:dyDescent="0.3">
      <c r="E27" s="168"/>
      <c r="F27" s="147" t="s">
        <v>33</v>
      </c>
    </row>
    <row r="29" spans="2:14" ht="31.5" customHeight="1" x14ac:dyDescent="0.3">
      <c r="E29" s="452" t="s">
        <v>34</v>
      </c>
      <c r="F29" s="452"/>
      <c r="G29" s="452"/>
      <c r="H29" s="452"/>
      <c r="I29" s="452"/>
      <c r="J29" s="452"/>
      <c r="K29" s="452"/>
      <c r="L29" s="452"/>
      <c r="M29" s="452"/>
      <c r="N29" s="452"/>
    </row>
    <row r="43" spans="5:14" ht="31" customHeight="1" x14ac:dyDescent="0.3">
      <c r="E43" s="452" t="s">
        <v>35</v>
      </c>
      <c r="F43" s="452"/>
      <c r="G43" s="452"/>
      <c r="H43" s="452"/>
      <c r="I43" s="452"/>
      <c r="J43" s="452"/>
      <c r="K43" s="452"/>
      <c r="L43" s="452"/>
      <c r="M43" s="452"/>
      <c r="N43" s="452"/>
    </row>
    <row r="57" spans="2:14" ht="37" customHeight="1" x14ac:dyDescent="0.3">
      <c r="E57" s="452" t="s">
        <v>36</v>
      </c>
      <c r="F57" s="452"/>
      <c r="G57" s="452"/>
      <c r="H57" s="452"/>
      <c r="I57" s="452"/>
      <c r="J57" s="452"/>
      <c r="K57" s="452"/>
      <c r="L57" s="452"/>
      <c r="M57" s="452"/>
      <c r="N57" s="452"/>
    </row>
    <row r="58" spans="2:14" x14ac:dyDescent="0.3">
      <c r="E58" s="191" t="s">
        <v>1</v>
      </c>
      <c r="F58" s="245"/>
      <c r="G58" s="245"/>
      <c r="H58" s="245"/>
      <c r="I58" s="245"/>
      <c r="J58" s="245"/>
      <c r="K58" s="245"/>
      <c r="L58" s="245"/>
      <c r="M58" s="245"/>
      <c r="N58" s="245"/>
    </row>
    <row r="59" spans="2:14" x14ac:dyDescent="0.3">
      <c r="E59" s="162" t="s">
        <v>37</v>
      </c>
      <c r="F59" s="245"/>
      <c r="G59" s="245"/>
      <c r="H59" s="245"/>
      <c r="I59" s="245"/>
      <c r="J59" s="245"/>
      <c r="K59" s="245"/>
      <c r="L59" s="245"/>
      <c r="M59" s="245"/>
      <c r="N59" s="245"/>
    </row>
    <row r="60" spans="2:14" x14ac:dyDescent="0.3">
      <c r="E60" s="170" t="s">
        <v>38</v>
      </c>
      <c r="F60" s="245"/>
      <c r="G60" s="245"/>
      <c r="H60" s="245"/>
      <c r="I60" s="245"/>
      <c r="J60" s="245"/>
      <c r="K60" s="245"/>
      <c r="L60" s="245"/>
      <c r="M60" s="245"/>
      <c r="N60" s="245"/>
    </row>
    <row r="61" spans="2:14" x14ac:dyDescent="0.3">
      <c r="E61" s="192" t="s">
        <v>39</v>
      </c>
      <c r="F61" s="245"/>
      <c r="G61" s="245"/>
      <c r="H61" s="245"/>
      <c r="I61" s="245"/>
      <c r="J61" s="245"/>
      <c r="K61" s="245"/>
      <c r="L61" s="245"/>
      <c r="M61" s="245"/>
      <c r="N61" s="245"/>
    </row>
    <row r="62" spans="2:14" x14ac:dyDescent="0.3">
      <c r="B62" s="159"/>
    </row>
    <row r="63" spans="2:14" ht="44.15" customHeight="1" x14ac:dyDescent="0.3">
      <c r="B63" s="159"/>
      <c r="E63" s="452" t="s">
        <v>40</v>
      </c>
      <c r="F63" s="452"/>
      <c r="G63" s="452"/>
      <c r="H63" s="452"/>
      <c r="I63" s="452"/>
      <c r="J63" s="452"/>
      <c r="K63" s="452"/>
      <c r="L63" s="452"/>
      <c r="M63" s="452"/>
      <c r="N63" s="452"/>
    </row>
    <row r="64" spans="2:14" x14ac:dyDescent="0.3">
      <c r="B64" s="159"/>
    </row>
    <row r="65" spans="2:31" x14ac:dyDescent="0.3">
      <c r="B65" s="159"/>
    </row>
    <row r="66" spans="2:31" x14ac:dyDescent="0.3">
      <c r="B66" s="159"/>
    </row>
    <row r="67" spans="2:31" x14ac:dyDescent="0.3">
      <c r="B67" s="159"/>
    </row>
    <row r="68" spans="2:31" x14ac:dyDescent="0.3">
      <c r="B68" s="159"/>
    </row>
    <row r="69" spans="2:31" x14ac:dyDescent="0.3">
      <c r="B69" s="159"/>
    </row>
    <row r="70" spans="2:31" x14ac:dyDescent="0.3">
      <c r="B70" s="159"/>
    </row>
    <row r="71" spans="2:31" x14ac:dyDescent="0.3">
      <c r="B71" s="159"/>
    </row>
    <row r="72" spans="2:31" ht="62.5" customHeight="1" x14ac:dyDescent="0.3">
      <c r="B72" s="159"/>
      <c r="E72" s="452" t="s">
        <v>41</v>
      </c>
      <c r="F72" s="452"/>
      <c r="G72" s="452"/>
      <c r="H72" s="452"/>
      <c r="I72" s="452"/>
      <c r="J72" s="452"/>
      <c r="K72" s="452"/>
      <c r="L72" s="452"/>
      <c r="M72" s="452"/>
      <c r="N72" s="452"/>
    </row>
    <row r="73" spans="2:31" x14ac:dyDescent="0.3">
      <c r="B73" s="159"/>
    </row>
    <row r="74" spans="2:31" x14ac:dyDescent="0.3">
      <c r="B74" s="159"/>
      <c r="E74" s="147" t="s">
        <v>42</v>
      </c>
    </row>
    <row r="75" spans="2:31" ht="14.5" thickBot="1" x14ac:dyDescent="0.35"/>
    <row r="76" spans="2:31" ht="14.5" thickTop="1" x14ac:dyDescent="0.3">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2:31" x14ac:dyDescent="0.3">
      <c r="E77" s="160" t="s">
        <v>43</v>
      </c>
    </row>
    <row r="78" spans="2:31" x14ac:dyDescent="0.3">
      <c r="E78" s="160"/>
    </row>
    <row r="79" spans="2:31" ht="222.5" customHeight="1" x14ac:dyDescent="0.3">
      <c r="E79" s="452" t="s">
        <v>1886</v>
      </c>
      <c r="F79" s="452"/>
      <c r="G79" s="452"/>
      <c r="H79" s="452"/>
      <c r="I79" s="452"/>
      <c r="J79" s="452"/>
      <c r="K79" s="452"/>
      <c r="L79" s="452"/>
      <c r="M79" s="452"/>
      <c r="N79" s="452"/>
    </row>
  </sheetData>
  <sheetProtection algorithmName="SHA-512" hashValue="3JNqtl8lla0+41PzcSXMdZ18inib5VYOyoJ+CSxJRxKw78NFE4bg0BBjXE1fnX9c49wT0v2Xu4ED6ERPX8/gMQ==" saltValue="eqcczCxxpcMUYATwo0715A==" spinCount="100000" sheet="1" objects="1" scenarios="1"/>
  <mergeCells count="9">
    <mergeCell ref="E79:N79"/>
    <mergeCell ref="E63:N63"/>
    <mergeCell ref="E72:N72"/>
    <mergeCell ref="E7:N7"/>
    <mergeCell ref="E12:N12"/>
    <mergeCell ref="E13:N13"/>
    <mergeCell ref="E29:N29"/>
    <mergeCell ref="E43:N43"/>
    <mergeCell ref="E57:N57"/>
  </mergeCells>
  <hyperlinks>
    <hyperlink ref="E13" r:id="rId1" xr:uid="{684C00C6-28D4-4B98-9BB2-CB5CD7DC1F75}"/>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DCDB-E408-4909-83A3-5DFBCCB1180E}">
  <sheetPr codeName="Sheet5">
    <tabColor theme="4"/>
  </sheetPr>
  <dimension ref="B1:L27"/>
  <sheetViews>
    <sheetView showGridLines="0" tabSelected="1" zoomScaleNormal="100" workbookViewId="0">
      <selection activeCell="P16" sqref="P16"/>
    </sheetView>
  </sheetViews>
  <sheetFormatPr defaultColWidth="8.7265625" defaultRowHeight="14" x14ac:dyDescent="0.3"/>
  <cols>
    <col min="1" max="1" width="1.54296875" style="147" customWidth="1"/>
    <col min="2" max="2" width="32.54296875" style="146" customWidth="1"/>
    <col min="3" max="3" width="1.54296875" style="147" customWidth="1"/>
    <col min="4" max="4" width="3.54296875" style="147" customWidth="1"/>
    <col min="5" max="5" width="15.54296875" style="147" bestFit="1" customWidth="1"/>
    <col min="6" max="6" width="61.453125" style="147" customWidth="1"/>
    <col min="7" max="7" width="10.26953125" style="147" customWidth="1"/>
    <col min="8" max="8" width="9.54296875" style="147" customWidth="1"/>
    <col min="9" max="9" width="13.453125" style="147" customWidth="1"/>
    <col min="10" max="10" width="9.54296875" style="147" customWidth="1"/>
    <col min="11" max="11" width="9.81640625" style="147" customWidth="1"/>
    <col min="12" max="12" width="37.81640625" style="147" customWidth="1"/>
    <col min="13" max="16384" width="8.7265625" style="147"/>
  </cols>
  <sheetData>
    <row r="1" spans="2:12" s="150" customFormat="1" ht="15.5" x14ac:dyDescent="0.35">
      <c r="B1" s="196" t="s">
        <v>14</v>
      </c>
      <c r="C1" s="201"/>
      <c r="D1" s="201"/>
      <c r="E1" s="201" t="s">
        <v>15</v>
      </c>
      <c r="F1" s="201" t="str" cm="1">
        <f t="array" ref="F1">INDEX($E$8:$E$27,COUNTA($E$8:$E$27))</f>
        <v>v0.3</v>
      </c>
    </row>
    <row r="2" spans="2:12" s="153" customFormat="1" x14ac:dyDescent="0.3">
      <c r="B2" s="197" t="s">
        <v>44</v>
      </c>
      <c r="C2" s="203"/>
      <c r="D2" s="203"/>
      <c r="E2" s="203" t="s">
        <v>17</v>
      </c>
      <c r="F2" s="201" cm="1">
        <f t="array" ref="F2">INDEX($K$8:$K$27,COUNTA($E$8:$E$27))</f>
        <v>0</v>
      </c>
    </row>
    <row r="4" spans="2:12" x14ac:dyDescent="0.3">
      <c r="B4" s="159"/>
    </row>
    <row r="5" spans="2:12" x14ac:dyDescent="0.3">
      <c r="B5" s="159" t="s">
        <v>10</v>
      </c>
      <c r="E5" s="160" t="s">
        <v>45</v>
      </c>
    </row>
    <row r="6" spans="2:12" x14ac:dyDescent="0.3">
      <c r="B6" s="161"/>
      <c r="G6" s="151"/>
      <c r="H6" s="151"/>
    </row>
    <row r="7" spans="2:12" ht="28" x14ac:dyDescent="0.3">
      <c r="B7" s="455" t="s">
        <v>46</v>
      </c>
      <c r="E7" s="320" t="s">
        <v>47</v>
      </c>
      <c r="F7" s="321" t="s">
        <v>48</v>
      </c>
      <c r="G7" s="321" t="s">
        <v>49</v>
      </c>
      <c r="H7" s="321" t="s">
        <v>50</v>
      </c>
      <c r="I7" s="321" t="s">
        <v>51</v>
      </c>
      <c r="J7" s="321" t="s">
        <v>52</v>
      </c>
      <c r="K7" s="321" t="s">
        <v>53</v>
      </c>
      <c r="L7" s="321" t="s">
        <v>54</v>
      </c>
    </row>
    <row r="8" spans="2:12" x14ac:dyDescent="0.3">
      <c r="B8" s="455"/>
      <c r="E8" s="162" t="s">
        <v>55</v>
      </c>
      <c r="F8" s="243" t="s">
        <v>56</v>
      </c>
      <c r="G8" s="162" t="s">
        <v>57</v>
      </c>
      <c r="H8" s="244">
        <v>46084</v>
      </c>
      <c r="I8" s="162" t="s">
        <v>58</v>
      </c>
      <c r="J8" s="244"/>
      <c r="K8" s="244"/>
      <c r="L8" s="162"/>
    </row>
    <row r="9" spans="2:12" x14ac:dyDescent="0.3">
      <c r="B9" s="455"/>
      <c r="E9" s="162" t="s">
        <v>59</v>
      </c>
      <c r="F9" s="243" t="s">
        <v>1901</v>
      </c>
      <c r="G9" s="162" t="s">
        <v>1903</v>
      </c>
      <c r="H9" s="244">
        <v>46127</v>
      </c>
      <c r="I9" s="162" t="s">
        <v>1900</v>
      </c>
      <c r="J9" s="244"/>
      <c r="K9" s="244"/>
      <c r="L9" s="162"/>
    </row>
    <row r="10" spans="2:12" x14ac:dyDescent="0.3">
      <c r="B10" s="455"/>
      <c r="E10" s="162" t="s">
        <v>1902</v>
      </c>
      <c r="F10" s="243" t="s">
        <v>1904</v>
      </c>
      <c r="G10" s="162" t="s">
        <v>57</v>
      </c>
      <c r="H10" s="244">
        <v>46132</v>
      </c>
      <c r="I10" s="162" t="s">
        <v>1900</v>
      </c>
      <c r="J10" s="244"/>
      <c r="K10" s="244"/>
      <c r="L10" s="162"/>
    </row>
    <row r="11" spans="2:12" ht="28" x14ac:dyDescent="0.3">
      <c r="B11" s="455"/>
      <c r="E11" s="162" t="s">
        <v>1909</v>
      </c>
      <c r="F11" s="243" t="s">
        <v>1910</v>
      </c>
      <c r="G11" s="162" t="s">
        <v>57</v>
      </c>
      <c r="H11" s="244">
        <v>46143</v>
      </c>
      <c r="I11" s="162" t="s">
        <v>1911</v>
      </c>
      <c r="J11" s="244"/>
      <c r="K11" s="244"/>
      <c r="L11" s="162"/>
    </row>
    <row r="12" spans="2:12" x14ac:dyDescent="0.3">
      <c r="B12" s="455"/>
      <c r="E12" s="162"/>
      <c r="F12" s="243"/>
      <c r="G12" s="162"/>
      <c r="H12" s="244"/>
      <c r="I12" s="162"/>
      <c r="J12" s="244"/>
      <c r="K12" s="244"/>
      <c r="L12" s="162"/>
    </row>
    <row r="13" spans="2:12" x14ac:dyDescent="0.3">
      <c r="B13" s="455"/>
      <c r="E13" s="162"/>
      <c r="F13" s="243"/>
      <c r="G13" s="162"/>
      <c r="H13" s="244"/>
      <c r="I13" s="162"/>
      <c r="J13" s="244"/>
      <c r="K13" s="244"/>
      <c r="L13" s="162"/>
    </row>
    <row r="14" spans="2:12" x14ac:dyDescent="0.3">
      <c r="B14" s="455"/>
      <c r="E14" s="162"/>
      <c r="F14" s="243"/>
      <c r="G14" s="162"/>
      <c r="H14" s="244"/>
      <c r="I14" s="162"/>
      <c r="J14" s="244"/>
      <c r="K14" s="244"/>
      <c r="L14" s="162"/>
    </row>
    <row r="15" spans="2:12" x14ac:dyDescent="0.3">
      <c r="B15" s="455"/>
      <c r="E15" s="162"/>
      <c r="F15" s="243"/>
      <c r="G15" s="162"/>
      <c r="H15" s="244"/>
      <c r="I15" s="162"/>
      <c r="J15" s="244"/>
      <c r="K15" s="244"/>
      <c r="L15" s="162"/>
    </row>
    <row r="16" spans="2:12" x14ac:dyDescent="0.3">
      <c r="B16" s="455"/>
      <c r="E16" s="162"/>
      <c r="F16" s="243"/>
      <c r="G16" s="162"/>
      <c r="H16" s="244"/>
      <c r="I16" s="162"/>
      <c r="J16" s="244"/>
      <c r="K16" s="244"/>
      <c r="L16" s="162"/>
    </row>
    <row r="17" spans="2:12" x14ac:dyDescent="0.3">
      <c r="B17" s="455"/>
      <c r="E17" s="162"/>
      <c r="F17" s="243"/>
      <c r="G17" s="162"/>
      <c r="H17" s="244"/>
      <c r="I17" s="162"/>
      <c r="J17" s="244"/>
      <c r="K17" s="244"/>
      <c r="L17" s="162"/>
    </row>
    <row r="18" spans="2:12" x14ac:dyDescent="0.3">
      <c r="B18" s="455"/>
      <c r="E18" s="162"/>
      <c r="F18" s="243"/>
      <c r="G18" s="162"/>
      <c r="H18" s="244"/>
      <c r="I18" s="162"/>
      <c r="J18" s="244"/>
      <c r="K18" s="244"/>
      <c r="L18" s="162"/>
    </row>
    <row r="19" spans="2:12" x14ac:dyDescent="0.3">
      <c r="B19" s="455"/>
      <c r="E19" s="162"/>
      <c r="F19" s="243"/>
      <c r="G19" s="162"/>
      <c r="H19" s="244"/>
      <c r="I19" s="162"/>
      <c r="J19" s="244"/>
      <c r="K19" s="244"/>
      <c r="L19" s="162"/>
    </row>
    <row r="20" spans="2:12" x14ac:dyDescent="0.3">
      <c r="B20" s="455"/>
      <c r="E20" s="162"/>
      <c r="F20" s="243"/>
      <c r="G20" s="162"/>
      <c r="H20" s="244"/>
      <c r="I20" s="162"/>
      <c r="J20" s="244"/>
      <c r="K20" s="244"/>
      <c r="L20" s="162"/>
    </row>
    <row r="21" spans="2:12" x14ac:dyDescent="0.3">
      <c r="B21" s="455"/>
      <c r="E21" s="162"/>
      <c r="F21" s="243"/>
      <c r="G21" s="162"/>
      <c r="H21" s="244"/>
      <c r="I21" s="162"/>
      <c r="J21" s="244"/>
      <c r="K21" s="244"/>
      <c r="L21" s="162"/>
    </row>
    <row r="22" spans="2:12" x14ac:dyDescent="0.3">
      <c r="B22" s="455"/>
      <c r="E22" s="162"/>
      <c r="F22" s="243"/>
      <c r="G22" s="162"/>
      <c r="H22" s="244"/>
      <c r="I22" s="162"/>
      <c r="J22" s="244"/>
      <c r="K22" s="244"/>
      <c r="L22" s="162"/>
    </row>
    <row r="23" spans="2:12" x14ac:dyDescent="0.3">
      <c r="B23" s="455"/>
      <c r="E23" s="162"/>
      <c r="F23" s="243"/>
      <c r="G23" s="162"/>
      <c r="H23" s="244"/>
      <c r="I23" s="162"/>
      <c r="J23" s="244"/>
      <c r="K23" s="244"/>
      <c r="L23" s="162"/>
    </row>
    <row r="24" spans="2:12" x14ac:dyDescent="0.3">
      <c r="B24" s="455"/>
      <c r="E24" s="162"/>
      <c r="F24" s="243"/>
      <c r="G24" s="162"/>
      <c r="H24" s="244"/>
      <c r="I24" s="162"/>
      <c r="J24" s="244"/>
      <c r="K24" s="244"/>
      <c r="L24" s="162"/>
    </row>
    <row r="25" spans="2:12" x14ac:dyDescent="0.3">
      <c r="B25" s="455"/>
      <c r="E25" s="162"/>
      <c r="F25" s="243"/>
      <c r="G25" s="162"/>
      <c r="H25" s="244"/>
      <c r="I25" s="162"/>
      <c r="J25" s="244"/>
      <c r="K25" s="244"/>
      <c r="L25" s="162"/>
    </row>
    <row r="26" spans="2:12" x14ac:dyDescent="0.3">
      <c r="B26" s="455"/>
      <c r="E26" s="162"/>
      <c r="F26" s="243"/>
      <c r="G26" s="162"/>
      <c r="H26" s="244"/>
      <c r="I26" s="162"/>
      <c r="J26" s="244"/>
      <c r="K26" s="244"/>
      <c r="L26" s="162"/>
    </row>
    <row r="27" spans="2:12" x14ac:dyDescent="0.3">
      <c r="B27" s="455"/>
      <c r="E27" s="162"/>
      <c r="F27" s="243"/>
      <c r="G27" s="162"/>
      <c r="H27" s="244"/>
      <c r="I27" s="162"/>
      <c r="J27" s="244"/>
      <c r="K27" s="244"/>
      <c r="L27" s="162"/>
    </row>
  </sheetData>
  <sheetProtection algorithmName="SHA-512" hashValue="soeJneMjGVqI7k1LlEnCBQHI2tN+CeEleGsiVUFukWsYmpBN+wEx2P2l2AEK5ARKRnLl94n71W1f1o3QAsvIFw==" saltValue="l/Q3g19ggxsV4O29uKvZIA==" spinCount="100000" sheet="1" objects="1" scenarios="1"/>
  <mergeCells count="1">
    <mergeCell ref="B7:B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5A0EE-868E-4CEA-AB3B-24077A1206D9}">
  <sheetPr codeName="Sheet6">
    <tabColor theme="4"/>
  </sheetPr>
  <dimension ref="B1:X52"/>
  <sheetViews>
    <sheetView showGridLines="0" topLeftCell="B1" zoomScale="90" zoomScaleNormal="90" workbookViewId="0">
      <selection activeCell="H12" sqref="H12:H13"/>
    </sheetView>
  </sheetViews>
  <sheetFormatPr defaultColWidth="8.7265625" defaultRowHeight="14" zeroHeight="1" x14ac:dyDescent="0.3"/>
  <cols>
    <col min="1" max="1" width="1.54296875" style="147" customWidth="1"/>
    <col min="2" max="2" width="32.54296875" style="146" customWidth="1"/>
    <col min="3" max="3" width="1.54296875" style="147" customWidth="1"/>
    <col min="4" max="4" width="3.54296875" style="147" customWidth="1"/>
    <col min="5" max="5" width="18.54296875" style="147" customWidth="1"/>
    <col min="6" max="6" width="43.7265625" style="147" customWidth="1"/>
    <col min="7" max="7" width="48.81640625" style="147" customWidth="1"/>
    <col min="8" max="8" width="41.453125" style="147" customWidth="1"/>
    <col min="9" max="9" width="3.1796875" style="147" customWidth="1"/>
    <col min="10" max="16384" width="8.7265625" style="147"/>
  </cols>
  <sheetData>
    <row r="1" spans="2:24" s="150" customFormat="1" ht="15.5" x14ac:dyDescent="0.35">
      <c r="B1" s="196" t="s">
        <v>60</v>
      </c>
      <c r="E1" s="200" t="s">
        <v>61</v>
      </c>
      <c r="F1" s="201">
        <f>cl_year_select</f>
        <v>0</v>
      </c>
      <c r="G1" s="200" t="s">
        <v>62</v>
      </c>
      <c r="H1" s="199" t="str">
        <f>IF(AVERAGE($I$11,$I$21)=1,"No data missing","Data missing, see traffic lights")</f>
        <v>Data missing, see traffic lights</v>
      </c>
    </row>
    <row r="2" spans="2:24" s="153" customFormat="1" x14ac:dyDescent="0.3">
      <c r="B2" s="197" t="s">
        <v>63</v>
      </c>
      <c r="E2" s="202" t="s">
        <v>64</v>
      </c>
      <c r="F2" s="203">
        <f>cl_org_name_select</f>
        <v>0</v>
      </c>
      <c r="G2" s="203"/>
    </row>
    <row r="3" spans="2:24" x14ac:dyDescent="0.3"/>
    <row r="4" spans="2:24" x14ac:dyDescent="0.3">
      <c r="B4" s="159" t="s">
        <v>10</v>
      </c>
      <c r="E4" s="191" t="s">
        <v>1</v>
      </c>
    </row>
    <row r="5" spans="2:24" x14ac:dyDescent="0.3">
      <c r="B5" s="455" t="s">
        <v>65</v>
      </c>
      <c r="E5" s="162" t="s">
        <v>37</v>
      </c>
    </row>
    <row r="6" spans="2:24" x14ac:dyDescent="0.3">
      <c r="B6" s="455"/>
      <c r="E6" s="170" t="s">
        <v>38</v>
      </c>
      <c r="G6" s="151"/>
    </row>
    <row r="7" spans="2:24" x14ac:dyDescent="0.3">
      <c r="B7" s="455"/>
      <c r="E7" s="192" t="s">
        <v>39</v>
      </c>
      <c r="G7" s="151"/>
    </row>
    <row r="8" spans="2:24" x14ac:dyDescent="0.3">
      <c r="B8" s="455"/>
      <c r="E8" s="158"/>
      <c r="F8" s="158"/>
      <c r="G8" s="157"/>
      <c r="H8" s="158"/>
      <c r="I8" s="158"/>
      <c r="J8" s="158"/>
      <c r="K8" s="158"/>
      <c r="L8" s="158"/>
      <c r="M8" s="158"/>
      <c r="N8" s="158"/>
      <c r="O8" s="158"/>
      <c r="P8" s="158"/>
      <c r="Q8" s="158"/>
      <c r="R8" s="158"/>
      <c r="S8" s="158"/>
      <c r="T8" s="158"/>
      <c r="U8" s="158"/>
      <c r="V8" s="158"/>
      <c r="W8" s="158"/>
      <c r="X8" s="158"/>
    </row>
    <row r="9" spans="2:24" x14ac:dyDescent="0.3">
      <c r="G9" s="151"/>
    </row>
    <row r="10" spans="2:24" x14ac:dyDescent="0.3">
      <c r="B10" s="159" t="s">
        <v>12</v>
      </c>
      <c r="E10" s="160" t="s">
        <v>66</v>
      </c>
    </row>
    <row r="11" spans="2:24" x14ac:dyDescent="0.3">
      <c r="I11" s="188">
        <f>AVERAGE(I12:I18)</f>
        <v>0</v>
      </c>
    </row>
    <row r="12" spans="2:24" x14ac:dyDescent="0.3">
      <c r="B12" s="455" t="s">
        <v>67</v>
      </c>
      <c r="E12" s="456" t="s">
        <v>68</v>
      </c>
      <c r="F12" s="457"/>
      <c r="G12" s="458"/>
      <c r="H12" s="336"/>
      <c r="I12" s="188">
        <f>IF(ISBLANK(H12),0,1)</f>
        <v>0</v>
      </c>
    </row>
    <row r="13" spans="2:24" x14ac:dyDescent="0.3">
      <c r="B13" s="455"/>
      <c r="E13" s="456" t="s">
        <v>9</v>
      </c>
      <c r="F13" s="457"/>
      <c r="G13" s="458"/>
      <c r="H13" s="336"/>
      <c r="I13" s="188">
        <f t="shared" ref="I13:I18" si="0">IF(ISBLANK(H13),0,1)</f>
        <v>0</v>
      </c>
    </row>
    <row r="14" spans="2:24" x14ac:dyDescent="0.3">
      <c r="B14" s="455"/>
      <c r="E14" s="456" t="s">
        <v>69</v>
      </c>
      <c r="F14" s="457"/>
      <c r="G14" s="458"/>
      <c r="H14" s="336"/>
      <c r="I14" s="188">
        <f t="shared" si="0"/>
        <v>0</v>
      </c>
    </row>
    <row r="15" spans="2:24" x14ac:dyDescent="0.3">
      <c r="B15" s="455"/>
      <c r="E15" s="456" t="s">
        <v>70</v>
      </c>
      <c r="F15" s="457"/>
      <c r="G15" s="458"/>
      <c r="H15" s="447"/>
      <c r="I15" s="188">
        <f t="shared" si="0"/>
        <v>0</v>
      </c>
    </row>
    <row r="16" spans="2:24" x14ac:dyDescent="0.3">
      <c r="B16" s="455"/>
      <c r="E16" s="456" t="s">
        <v>71</v>
      </c>
      <c r="F16" s="457"/>
      <c r="G16" s="458"/>
      <c r="H16" s="448"/>
      <c r="I16" s="188">
        <f t="shared" si="0"/>
        <v>0</v>
      </c>
    </row>
    <row r="17" spans="2:9" x14ac:dyDescent="0.3">
      <c r="B17" s="455"/>
      <c r="E17" s="456" t="s">
        <v>72</v>
      </c>
      <c r="F17" s="457"/>
      <c r="G17" s="458"/>
      <c r="H17" s="448"/>
      <c r="I17" s="188">
        <f t="shared" si="0"/>
        <v>0</v>
      </c>
    </row>
    <row r="18" spans="2:9" x14ac:dyDescent="0.3">
      <c r="B18" s="455"/>
      <c r="E18" s="456" t="s">
        <v>73</v>
      </c>
      <c r="F18" s="457"/>
      <c r="G18" s="458"/>
      <c r="H18" s="336"/>
      <c r="I18" s="188">
        <f t="shared" si="0"/>
        <v>0</v>
      </c>
    </row>
    <row r="19" spans="2:9" x14ac:dyDescent="0.3"/>
    <row r="20" spans="2:9" x14ac:dyDescent="0.3">
      <c r="B20" s="159" t="s">
        <v>12</v>
      </c>
      <c r="E20" s="160" t="s">
        <v>74</v>
      </c>
    </row>
    <row r="21" spans="2:9" x14ac:dyDescent="0.3">
      <c r="I21" s="188">
        <f>AVERAGE(I22:I39)</f>
        <v>0</v>
      </c>
    </row>
    <row r="22" spans="2:9" x14ac:dyDescent="0.3">
      <c r="B22" s="455" t="s">
        <v>75</v>
      </c>
      <c r="E22" s="456" t="s">
        <v>76</v>
      </c>
      <c r="F22" s="457"/>
      <c r="G22" s="458"/>
      <c r="H22" s="336"/>
      <c r="I22" s="188">
        <f>IF(ISBLANK(H22),0,1)</f>
        <v>0</v>
      </c>
    </row>
    <row r="23" spans="2:9" x14ac:dyDescent="0.3">
      <c r="B23" s="455"/>
      <c r="E23" s="456" t="s">
        <v>77</v>
      </c>
      <c r="F23" s="457"/>
      <c r="G23" s="458"/>
      <c r="H23" s="336"/>
      <c r="I23" s="188">
        <f t="shared" ref="I23:I39" si="1">IF(ISBLANK(H23),0,1)</f>
        <v>0</v>
      </c>
    </row>
    <row r="24" spans="2:9" x14ac:dyDescent="0.3">
      <c r="B24" s="455"/>
      <c r="E24" s="456" t="s">
        <v>78</v>
      </c>
      <c r="F24" s="457"/>
      <c r="G24" s="458"/>
      <c r="H24" s="336"/>
      <c r="I24" s="188">
        <f t="shared" si="1"/>
        <v>0</v>
      </c>
    </row>
    <row r="25" spans="2:9" x14ac:dyDescent="0.3">
      <c r="B25" s="455"/>
      <c r="E25" s="456" t="s">
        <v>79</v>
      </c>
      <c r="F25" s="457"/>
      <c r="G25" s="458"/>
      <c r="H25" s="336"/>
      <c r="I25" s="188">
        <f t="shared" si="1"/>
        <v>0</v>
      </c>
    </row>
    <row r="26" spans="2:9" x14ac:dyDescent="0.3">
      <c r="B26" s="455"/>
      <c r="E26" s="456" t="s">
        <v>80</v>
      </c>
      <c r="F26" s="457"/>
      <c r="G26" s="458"/>
      <c r="H26" s="336"/>
      <c r="I26" s="188">
        <f t="shared" si="1"/>
        <v>0</v>
      </c>
    </row>
    <row r="27" spans="2:9" x14ac:dyDescent="0.3">
      <c r="B27" s="455"/>
      <c r="E27" s="456" t="s">
        <v>81</v>
      </c>
      <c r="F27" s="457"/>
      <c r="G27" s="458"/>
      <c r="H27" s="336"/>
      <c r="I27" s="188">
        <f t="shared" si="1"/>
        <v>0</v>
      </c>
    </row>
    <row r="28" spans="2:9" x14ac:dyDescent="0.3">
      <c r="B28" s="455"/>
      <c r="E28" s="456" t="s">
        <v>82</v>
      </c>
      <c r="F28" s="457"/>
      <c r="G28" s="458"/>
      <c r="H28" s="336"/>
      <c r="I28" s="188">
        <f t="shared" si="1"/>
        <v>0</v>
      </c>
    </row>
    <row r="29" spans="2:9" x14ac:dyDescent="0.3">
      <c r="B29" s="455"/>
      <c r="E29" s="456" t="s">
        <v>83</v>
      </c>
      <c r="F29" s="457"/>
      <c r="G29" s="458"/>
      <c r="H29" s="336"/>
      <c r="I29" s="188">
        <f t="shared" si="1"/>
        <v>0</v>
      </c>
    </row>
    <row r="30" spans="2:9" x14ac:dyDescent="0.3">
      <c r="B30" s="455"/>
      <c r="E30" s="456" t="s">
        <v>84</v>
      </c>
      <c r="F30" s="457"/>
      <c r="G30" s="458"/>
      <c r="H30" s="336"/>
      <c r="I30" s="188">
        <f t="shared" si="1"/>
        <v>0</v>
      </c>
    </row>
    <row r="31" spans="2:9" x14ac:dyDescent="0.3">
      <c r="B31" s="455"/>
      <c r="E31" s="456" t="s">
        <v>85</v>
      </c>
      <c r="F31" s="457"/>
      <c r="G31" s="458"/>
      <c r="H31" s="336"/>
      <c r="I31" s="188">
        <f t="shared" si="1"/>
        <v>0</v>
      </c>
    </row>
    <row r="32" spans="2:9" x14ac:dyDescent="0.3">
      <c r="B32" s="455"/>
      <c r="E32" s="456" t="s">
        <v>86</v>
      </c>
      <c r="F32" s="457"/>
      <c r="G32" s="458"/>
      <c r="H32" s="336"/>
      <c r="I32" s="188">
        <f t="shared" si="1"/>
        <v>0</v>
      </c>
    </row>
    <row r="33" spans="2:9" x14ac:dyDescent="0.3">
      <c r="B33" s="455"/>
      <c r="E33" s="456" t="s">
        <v>87</v>
      </c>
      <c r="F33" s="457"/>
      <c r="G33" s="458"/>
      <c r="H33" s="336"/>
      <c r="I33" s="188">
        <f t="shared" si="1"/>
        <v>0</v>
      </c>
    </row>
    <row r="34" spans="2:9" x14ac:dyDescent="0.3">
      <c r="B34" s="455"/>
      <c r="E34" s="456" t="s">
        <v>88</v>
      </c>
      <c r="F34" s="457"/>
      <c r="G34" s="458"/>
      <c r="H34" s="336"/>
      <c r="I34" s="188">
        <f t="shared" si="1"/>
        <v>0</v>
      </c>
    </row>
    <row r="35" spans="2:9" x14ac:dyDescent="0.3">
      <c r="B35" s="455"/>
      <c r="E35" s="456" t="s">
        <v>89</v>
      </c>
      <c r="F35" s="457"/>
      <c r="G35" s="458"/>
      <c r="H35" s="336"/>
      <c r="I35" s="188">
        <f t="shared" si="1"/>
        <v>0</v>
      </c>
    </row>
    <row r="36" spans="2:9" x14ac:dyDescent="0.3">
      <c r="B36" s="455"/>
      <c r="E36" s="456" t="s">
        <v>90</v>
      </c>
      <c r="F36" s="457"/>
      <c r="G36" s="458"/>
      <c r="H36" s="336"/>
      <c r="I36" s="188">
        <f t="shared" si="1"/>
        <v>0</v>
      </c>
    </row>
    <row r="37" spans="2:9" x14ac:dyDescent="0.3">
      <c r="B37" s="455"/>
      <c r="E37" s="456" t="s">
        <v>91</v>
      </c>
      <c r="F37" s="457"/>
      <c r="G37" s="458"/>
      <c r="H37" s="336"/>
      <c r="I37" s="188">
        <f t="shared" si="1"/>
        <v>0</v>
      </c>
    </row>
    <row r="38" spans="2:9" x14ac:dyDescent="0.3">
      <c r="B38" s="455"/>
      <c r="E38" s="456" t="s">
        <v>92</v>
      </c>
      <c r="F38" s="457"/>
      <c r="G38" s="458"/>
      <c r="H38" s="336"/>
      <c r="I38" s="188">
        <f t="shared" si="1"/>
        <v>0</v>
      </c>
    </row>
    <row r="39" spans="2:9" x14ac:dyDescent="0.3">
      <c r="B39" s="455"/>
      <c r="E39" s="456" t="s">
        <v>93</v>
      </c>
      <c r="F39" s="457"/>
      <c r="G39" s="458"/>
      <c r="H39" s="336"/>
      <c r="I39" s="188">
        <f t="shared" si="1"/>
        <v>0</v>
      </c>
    </row>
    <row r="40" spans="2:9" x14ac:dyDescent="0.3"/>
    <row r="41" spans="2:9" x14ac:dyDescent="0.3">
      <c r="B41" s="159" t="s">
        <v>12</v>
      </c>
      <c r="E41" s="160" t="s">
        <v>94</v>
      </c>
    </row>
    <row r="42" spans="2:9" x14ac:dyDescent="0.3">
      <c r="I42" s="188">
        <f>AVERAGE(I43:I48)</f>
        <v>0</v>
      </c>
    </row>
    <row r="43" spans="2:9" x14ac:dyDescent="0.3">
      <c r="B43" s="455" t="s">
        <v>67</v>
      </c>
      <c r="E43" s="456" t="s">
        <v>95</v>
      </c>
      <c r="F43" s="457"/>
      <c r="G43" s="458"/>
      <c r="H43" s="336"/>
      <c r="I43" s="188">
        <f>IF(ISBLANK(H43),0,1)</f>
        <v>0</v>
      </c>
    </row>
    <row r="44" spans="2:9" x14ac:dyDescent="0.3">
      <c r="B44" s="455"/>
      <c r="E44" s="456" t="s">
        <v>96</v>
      </c>
      <c r="F44" s="457"/>
      <c r="G44" s="458"/>
      <c r="H44" s="347"/>
      <c r="I44" s="188">
        <f t="shared" ref="I44:I48" si="2">IF(ISBLANK(H44),0,1)</f>
        <v>0</v>
      </c>
    </row>
    <row r="45" spans="2:9" x14ac:dyDescent="0.3">
      <c r="B45" s="455"/>
      <c r="E45" s="456" t="s">
        <v>97</v>
      </c>
      <c r="F45" s="457"/>
      <c r="G45" s="458"/>
      <c r="H45" s="347"/>
      <c r="I45" s="188">
        <f t="shared" si="2"/>
        <v>0</v>
      </c>
    </row>
    <row r="46" spans="2:9" x14ac:dyDescent="0.3">
      <c r="B46" s="455"/>
      <c r="E46" s="456" t="s">
        <v>98</v>
      </c>
      <c r="F46" s="457"/>
      <c r="G46" s="458"/>
      <c r="H46" s="362"/>
      <c r="I46" s="188">
        <f t="shared" si="2"/>
        <v>0</v>
      </c>
    </row>
    <row r="47" spans="2:9" x14ac:dyDescent="0.3">
      <c r="B47" s="455"/>
      <c r="E47" s="456" t="s">
        <v>99</v>
      </c>
      <c r="F47" s="457"/>
      <c r="G47" s="458"/>
      <c r="H47" s="336"/>
      <c r="I47" s="188">
        <f t="shared" si="2"/>
        <v>0</v>
      </c>
    </row>
    <row r="48" spans="2:9" x14ac:dyDescent="0.3">
      <c r="B48" s="455"/>
      <c r="E48" s="456" t="s">
        <v>100</v>
      </c>
      <c r="F48" s="457"/>
      <c r="G48" s="458"/>
      <c r="H48" s="347"/>
      <c r="I48" s="188">
        <f t="shared" si="2"/>
        <v>0</v>
      </c>
    </row>
    <row r="49" spans="2:2" x14ac:dyDescent="0.3">
      <c r="B49" s="455"/>
    </row>
    <row r="50" spans="2:2" x14ac:dyDescent="0.3">
      <c r="B50" s="194"/>
    </row>
    <row r="51" spans="2:2" x14ac:dyDescent="0.3">
      <c r="B51" s="194"/>
    </row>
    <row r="52" spans="2:2" x14ac:dyDescent="0.3">
      <c r="B52" s="146" t="s">
        <v>101</v>
      </c>
    </row>
  </sheetData>
  <sheetProtection algorithmName="SHA-512" hashValue="/qJBsLt0pDGonX5T19nmUkpcoFnTR/qwCm26krT3SjFT3OVZL2HZOrF3tQoJrF+owO1NZgOAU6TJjhE8dSjnJg==" saltValue="gEbQwDBZHH5h0k3B8o/MhQ==" spinCount="100000" sheet="1" selectLockedCells="1"/>
  <mergeCells count="35">
    <mergeCell ref="B43:B49"/>
    <mergeCell ref="E43:G43"/>
    <mergeCell ref="E44:G44"/>
    <mergeCell ref="E45:G45"/>
    <mergeCell ref="E46:G46"/>
    <mergeCell ref="E47:G47"/>
    <mergeCell ref="E48:G48"/>
    <mergeCell ref="E38:G38"/>
    <mergeCell ref="E39:G39"/>
    <mergeCell ref="B12:B18"/>
    <mergeCell ref="B22:B39"/>
    <mergeCell ref="E30:G30"/>
    <mergeCell ref="E31:G31"/>
    <mergeCell ref="E32:G32"/>
    <mergeCell ref="E33:G33"/>
    <mergeCell ref="E34:G34"/>
    <mergeCell ref="E35:G35"/>
    <mergeCell ref="E12:G12"/>
    <mergeCell ref="E13:G13"/>
    <mergeCell ref="E14:G14"/>
    <mergeCell ref="E15:G15"/>
    <mergeCell ref="E16:G16"/>
    <mergeCell ref="E17:G17"/>
    <mergeCell ref="B5:B8"/>
    <mergeCell ref="E18:G18"/>
    <mergeCell ref="E22:G22"/>
    <mergeCell ref="E36:G36"/>
    <mergeCell ref="E37:G37"/>
    <mergeCell ref="E26:G26"/>
    <mergeCell ref="E27:G27"/>
    <mergeCell ref="E28:G28"/>
    <mergeCell ref="E29:G29"/>
    <mergeCell ref="E23:G23"/>
    <mergeCell ref="E24:G24"/>
    <mergeCell ref="E25:G25"/>
  </mergeCells>
  <conditionalFormatting sqref="H1">
    <cfRule type="containsText" dxfId="30" priority="3" operator="containsText" text="No data missing">
      <formula>NOT(ISERROR(SEARCH("No data missing",H1)))</formula>
    </cfRule>
  </conditionalFormatting>
  <conditionalFormatting sqref="I11">
    <cfRule type="iconSet" priority="7">
      <iconSet showValue="0">
        <cfvo type="percent" val="0"/>
        <cfvo type="num" val="0.01"/>
        <cfvo type="num" val="1"/>
      </iconSet>
    </cfRule>
  </conditionalFormatting>
  <conditionalFormatting sqref="I12:I18">
    <cfRule type="iconSet" priority="6">
      <iconSet showValue="0">
        <cfvo type="percent" val="0"/>
        <cfvo type="num" val="0.1"/>
        <cfvo type="num" val="0.5"/>
      </iconSet>
    </cfRule>
  </conditionalFormatting>
  <conditionalFormatting sqref="I21">
    <cfRule type="iconSet" priority="4">
      <iconSet showValue="0">
        <cfvo type="percent" val="0"/>
        <cfvo type="num" val="0.01"/>
        <cfvo type="num" val="1"/>
      </iconSet>
    </cfRule>
  </conditionalFormatting>
  <conditionalFormatting sqref="I22:I39">
    <cfRule type="iconSet" priority="5">
      <iconSet showValue="0">
        <cfvo type="percent" val="0"/>
        <cfvo type="num" val="0.1"/>
        <cfvo type="num" val="0.5"/>
      </iconSet>
    </cfRule>
  </conditionalFormatting>
  <conditionalFormatting sqref="I42">
    <cfRule type="iconSet" priority="1">
      <iconSet showValue="0">
        <cfvo type="percent" val="0"/>
        <cfvo type="num" val="0.01"/>
        <cfvo type="num" val="1"/>
      </iconSet>
    </cfRule>
  </conditionalFormatting>
  <conditionalFormatting sqref="I43:I48">
    <cfRule type="iconSet" priority="2">
      <iconSet showValue="0">
        <cfvo type="percent" val="0"/>
        <cfvo type="num" val="0.1"/>
        <cfvo type="num" val="0.5"/>
      </iconSet>
    </cfRule>
  </conditionalFormatting>
  <dataValidations count="10">
    <dataValidation type="list" allowBlank="1" showInputMessage="1" showErrorMessage="1" sqref="H14" xr:uid="{A42BD64D-0710-465E-8B6D-51536D506CB1}">
      <formula1>rng_year</formula1>
    </dataValidation>
    <dataValidation type="list" allowBlank="1" showInputMessage="1" showErrorMessage="1" promptTitle="Info" prompt="If unsure then select 'Other Public Sector Body'" sqref="H12" xr:uid="{78379532-F91A-41A7-A787-B12DB432A50D}">
      <formula1>rng_org_type</formula1>
    </dataValidation>
    <dataValidation type="decimal" errorStyle="warning" allowBlank="1" showInputMessage="1" showErrorMessage="1" error="Make sure a numerical value is entered" promptTitle="Info" prompt="If unknown please refer to your annual reports, or enter zero." sqref="H15:H16" xr:uid="{16E0ECBD-F0B4-485F-ABF3-C963AAD9A875}">
      <formula1>0</formula1>
      <formula2>10000000000</formula2>
    </dataValidation>
    <dataValidation type="list" allowBlank="1" showInputMessage="1" showErrorMessage="1" sqref="H13" xr:uid="{683B7497-331E-46F4-AE15-D974EA43F400}">
      <formula1>OFFSET(rng_org_name,MATCH(cl_org_type_select,rng_org_type_long,0)-1,,COUNTIF(rng_org_type_long,cl_org_type_select))</formula1>
    </dataValidation>
    <dataValidation type="list" allowBlank="1" showInputMessage="1" showErrorMessage="1" promptTitle="Info" prompt="Enter 'All Wales' if unsure" sqref="H18" xr:uid="{A8211BD1-E99B-4BD7-B13E-9203FB5CC76A}">
      <formula1>rng_region</formula1>
    </dataValidation>
    <dataValidation type="decimal" errorStyle="warning" allowBlank="1" showInputMessage="1" showErrorMessage="1" error="Make sure a numerical value is entered" promptTitle="Info" prompt="If unknown please refer to your estates team, or enter zero." sqref="H17" xr:uid="{ECFF4106-D965-4AED-8492-E300FB1CDF8E}">
      <formula1>0</formula1>
      <formula2>10000000000</formula2>
    </dataValidation>
    <dataValidation type="list" allowBlank="1" showInputMessage="1" showErrorMessage="1" sqref="H47 H43 H23:H39 H22" xr:uid="{FFAC2BCA-284B-4679-828E-258A97A51807}">
      <formula1>rng_yes_no_na</formula1>
    </dataValidation>
    <dataValidation type="whole" operator="lessThan" allowBlank="1" showInputMessage="1" showErrorMessage="1" sqref="H44" xr:uid="{EA6E00C9-887C-4AF3-8718-348A5CCEA3F6}">
      <formula1>2025</formula1>
    </dataValidation>
    <dataValidation type="whole" operator="greaterThan" allowBlank="1" showInputMessage="1" showErrorMessage="1" sqref="H45" xr:uid="{274D40F3-0D21-4F50-9A09-ECCE89891D8B}">
      <formula1>2025</formula1>
    </dataValidation>
    <dataValidation type="decimal" allowBlank="1" showInputMessage="1" showErrorMessage="1" sqref="H46" xr:uid="{4163329E-B790-4F68-9A23-F70BEB606B92}">
      <formula1>0</formula1>
      <formula2>1</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484A-1EE0-4B36-8B4A-8FA3890A68A0}">
  <sheetPr codeName="Sheet7">
    <tabColor theme="4"/>
  </sheetPr>
  <dimension ref="B1:Y81"/>
  <sheetViews>
    <sheetView showGridLines="0" topLeftCell="A22" zoomScaleNormal="100" workbookViewId="0">
      <selection activeCell="G61" sqref="G61:I61"/>
    </sheetView>
  </sheetViews>
  <sheetFormatPr defaultColWidth="8.7265625" defaultRowHeight="14" zeroHeight="1" x14ac:dyDescent="0.3"/>
  <cols>
    <col min="1" max="1" width="1.54296875" style="147" customWidth="1"/>
    <col min="2" max="2" width="32.54296875" style="146" customWidth="1"/>
    <col min="3" max="3" width="1.54296875" style="147" customWidth="1"/>
    <col min="4" max="4" width="3.54296875" style="147" customWidth="1"/>
    <col min="5" max="5" width="21.453125" style="147" customWidth="1"/>
    <col min="6" max="6" width="34" style="147" customWidth="1"/>
    <col min="7" max="7" width="16.26953125" style="147" customWidth="1"/>
    <col min="8" max="8" width="15.81640625" style="147" customWidth="1"/>
    <col min="9" max="9" width="14.453125" style="147" customWidth="1"/>
    <col min="10" max="10" width="12.1796875" style="147" customWidth="1"/>
    <col min="11" max="16384" width="8.7265625" style="147"/>
  </cols>
  <sheetData>
    <row r="1" spans="2:25" s="150" customFormat="1" ht="15.5" x14ac:dyDescent="0.35">
      <c r="B1" s="196" t="s">
        <v>102</v>
      </c>
      <c r="E1" s="200" t="s">
        <v>61</v>
      </c>
      <c r="F1" s="201">
        <f>cl_year_select</f>
        <v>0</v>
      </c>
    </row>
    <row r="2" spans="2:25" s="153" customFormat="1" x14ac:dyDescent="0.3">
      <c r="B2" s="197"/>
      <c r="E2" s="202" t="s">
        <v>64</v>
      </c>
      <c r="F2" s="203">
        <f>cl_org_name_select</f>
        <v>0</v>
      </c>
    </row>
    <row r="3" spans="2:25" x14ac:dyDescent="0.3"/>
    <row r="4" spans="2:25" ht="14.5" x14ac:dyDescent="0.35">
      <c r="B4" s="159" t="s">
        <v>10</v>
      </c>
      <c r="E4" s="191" t="s">
        <v>1</v>
      </c>
      <c r="F4"/>
      <c r="G4"/>
    </row>
    <row r="5" spans="2:25" ht="14.5" x14ac:dyDescent="0.35">
      <c r="B5" s="455" t="s">
        <v>103</v>
      </c>
      <c r="E5" s="162" t="s">
        <v>37</v>
      </c>
      <c r="F5"/>
      <c r="G5"/>
    </row>
    <row r="6" spans="2:25" ht="14.5" x14ac:dyDescent="0.35">
      <c r="B6" s="455"/>
      <c r="E6" s="170" t="s">
        <v>38</v>
      </c>
      <c r="F6"/>
      <c r="G6"/>
      <c r="H6" s="151"/>
    </row>
    <row r="7" spans="2:25" ht="14.5" x14ac:dyDescent="0.35">
      <c r="B7" s="455"/>
      <c r="E7" s="192" t="s">
        <v>39</v>
      </c>
      <c r="F7"/>
      <c r="G7"/>
      <c r="H7" s="151"/>
    </row>
    <row r="8" spans="2:25" x14ac:dyDescent="0.3">
      <c r="B8" s="455"/>
      <c r="E8" s="158"/>
      <c r="F8" s="158"/>
      <c r="G8" s="158"/>
      <c r="H8" s="157"/>
      <c r="I8" s="158"/>
      <c r="J8" s="158"/>
      <c r="K8" s="158"/>
      <c r="L8" s="158"/>
      <c r="M8" s="158"/>
      <c r="N8" s="158"/>
      <c r="O8" s="158"/>
      <c r="P8" s="158"/>
      <c r="Q8" s="158"/>
      <c r="R8" s="158"/>
      <c r="S8" s="158"/>
      <c r="T8" s="158"/>
      <c r="U8" s="158"/>
      <c r="V8" s="158"/>
      <c r="W8" s="158"/>
      <c r="X8" s="158"/>
      <c r="Y8" s="158"/>
    </row>
    <row r="9" spans="2:25" x14ac:dyDescent="0.3">
      <c r="H9" s="151"/>
    </row>
    <row r="10" spans="2:25" x14ac:dyDescent="0.3">
      <c r="B10" s="159" t="s">
        <v>12</v>
      </c>
      <c r="E10" s="160" t="str">
        <f>"Sign off by "&amp;cl_org_name_select</f>
        <v xml:space="preserve">Sign off by </v>
      </c>
      <c r="F10" s="160"/>
    </row>
    <row r="11" spans="2:25" x14ac:dyDescent="0.3">
      <c r="H11" s="189"/>
    </row>
    <row r="12" spans="2:25" x14ac:dyDescent="0.3">
      <c r="B12" s="455" t="s">
        <v>104</v>
      </c>
      <c r="E12" s="456" t="s">
        <v>105</v>
      </c>
      <c r="F12" s="458"/>
      <c r="G12" s="470"/>
      <c r="H12" s="471"/>
      <c r="I12" s="472"/>
    </row>
    <row r="13" spans="2:25" x14ac:dyDescent="0.3">
      <c r="B13" s="455"/>
      <c r="E13" s="456" t="s">
        <v>106</v>
      </c>
      <c r="F13" s="458"/>
      <c r="G13" s="470"/>
      <c r="H13" s="471"/>
      <c r="I13" s="472"/>
    </row>
    <row r="14" spans="2:25" x14ac:dyDescent="0.3">
      <c r="B14" s="455"/>
      <c r="E14" s="456" t="s">
        <v>107</v>
      </c>
      <c r="F14" s="458"/>
      <c r="G14" s="473"/>
      <c r="H14" s="474"/>
      <c r="I14" s="475"/>
    </row>
    <row r="15" spans="2:25" ht="14.5" x14ac:dyDescent="0.35">
      <c r="E15"/>
      <c r="F15"/>
      <c r="G15"/>
    </row>
    <row r="16" spans="2:25" ht="14.5" x14ac:dyDescent="0.35">
      <c r="E16" s="160" t="s">
        <v>108</v>
      </c>
      <c r="F16" s="160"/>
      <c r="G16"/>
    </row>
    <row r="17" spans="2:20" ht="14.5" x14ac:dyDescent="0.35">
      <c r="E17"/>
      <c r="F17"/>
      <c r="G17"/>
      <c r="R17" s="189"/>
    </row>
    <row r="18" spans="2:20" x14ac:dyDescent="0.3">
      <c r="B18" s="455" t="s">
        <v>109</v>
      </c>
      <c r="E18" s="456" t="s">
        <v>110</v>
      </c>
      <c r="F18" s="458"/>
      <c r="G18" s="461"/>
      <c r="H18" s="462"/>
      <c r="I18" s="462"/>
      <c r="J18" s="462"/>
      <c r="K18" s="462"/>
      <c r="L18" s="462"/>
      <c r="M18" s="462"/>
      <c r="N18" s="462"/>
      <c r="O18" s="462"/>
      <c r="P18" s="462"/>
      <c r="Q18" s="463"/>
      <c r="R18" s="189"/>
    </row>
    <row r="19" spans="2:20" x14ac:dyDescent="0.3">
      <c r="B19" s="455"/>
      <c r="E19" s="456" t="s">
        <v>111</v>
      </c>
      <c r="F19" s="458"/>
      <c r="G19" s="461"/>
      <c r="H19" s="462"/>
      <c r="I19" s="462"/>
      <c r="J19" s="462"/>
      <c r="K19" s="462"/>
      <c r="L19" s="462"/>
      <c r="M19" s="462"/>
      <c r="N19" s="462"/>
      <c r="O19" s="462"/>
      <c r="P19" s="462"/>
      <c r="Q19" s="463"/>
      <c r="R19" s="189"/>
    </row>
    <row r="20" spans="2:20" x14ac:dyDescent="0.3">
      <c r="B20" s="455"/>
      <c r="E20" s="456" t="s">
        <v>112</v>
      </c>
      <c r="F20" s="458"/>
      <c r="G20" s="461"/>
      <c r="H20" s="462"/>
      <c r="I20" s="462"/>
      <c r="J20" s="462"/>
      <c r="K20" s="462"/>
      <c r="L20" s="462"/>
      <c r="M20" s="462"/>
      <c r="N20" s="462"/>
      <c r="O20" s="462"/>
      <c r="P20" s="462"/>
      <c r="Q20" s="463"/>
      <c r="R20" s="189"/>
    </row>
    <row r="21" spans="2:20" ht="14.5" x14ac:dyDescent="0.35">
      <c r="E21"/>
      <c r="F21"/>
      <c r="G21"/>
    </row>
    <row r="22" spans="2:20" x14ac:dyDescent="0.3">
      <c r="E22" s="160" t="s">
        <v>113</v>
      </c>
      <c r="F22" s="160"/>
    </row>
    <row r="23" spans="2:20" x14ac:dyDescent="0.3">
      <c r="H23" s="189"/>
    </row>
    <row r="24" spans="2:20" x14ac:dyDescent="0.3">
      <c r="B24" s="455" t="s">
        <v>114</v>
      </c>
      <c r="E24" s="456" t="s">
        <v>115</v>
      </c>
      <c r="F24" s="458"/>
      <c r="G24" s="464"/>
      <c r="H24" s="465"/>
      <c r="I24" s="466"/>
      <c r="J24" s="193"/>
      <c r="K24" s="193"/>
      <c r="L24" s="193"/>
      <c r="M24" s="193"/>
      <c r="N24" s="193"/>
      <c r="O24" s="193"/>
      <c r="P24" s="193"/>
      <c r="Q24" s="193"/>
    </row>
    <row r="25" spans="2:20" x14ac:dyDescent="0.3">
      <c r="B25" s="455"/>
      <c r="E25" s="456" t="s">
        <v>116</v>
      </c>
      <c r="F25" s="458"/>
      <c r="G25" s="473"/>
      <c r="H25" s="474"/>
      <c r="I25" s="475"/>
      <c r="J25" s="193"/>
      <c r="K25" s="193"/>
      <c r="L25" s="193"/>
      <c r="M25" s="193"/>
      <c r="N25" s="193"/>
      <c r="O25" s="193"/>
      <c r="P25" s="193"/>
      <c r="Q25" s="193"/>
    </row>
    <row r="26" spans="2:20" x14ac:dyDescent="0.3">
      <c r="B26" s="455"/>
      <c r="E26" s="456" t="s">
        <v>117</v>
      </c>
      <c r="F26" s="458"/>
      <c r="G26" s="470"/>
      <c r="H26" s="471"/>
      <c r="I26" s="472"/>
      <c r="J26" s="193"/>
      <c r="K26" s="193"/>
      <c r="L26" s="193"/>
      <c r="M26" s="193"/>
      <c r="N26" s="193"/>
      <c r="O26" s="193"/>
      <c r="P26" s="193"/>
      <c r="Q26" s="193"/>
    </row>
    <row r="27" spans="2:20" x14ac:dyDescent="0.3">
      <c r="B27" s="455"/>
      <c r="E27" s="456" t="s">
        <v>118</v>
      </c>
      <c r="F27" s="458"/>
      <c r="G27" s="461"/>
      <c r="H27" s="462"/>
      <c r="I27" s="462"/>
      <c r="J27" s="462"/>
      <c r="K27" s="462"/>
      <c r="L27" s="462"/>
      <c r="M27" s="462"/>
      <c r="N27" s="462"/>
      <c r="O27" s="462"/>
      <c r="P27" s="462"/>
      <c r="Q27" s="463"/>
    </row>
    <row r="28" spans="2:20" x14ac:dyDescent="0.3"/>
    <row r="29" spans="2:20" x14ac:dyDescent="0.3">
      <c r="E29" s="160" t="s">
        <v>119</v>
      </c>
      <c r="F29" s="160"/>
    </row>
    <row r="30" spans="2:20" x14ac:dyDescent="0.3"/>
    <row r="31" spans="2:20" ht="28.5" customHeight="1" x14ac:dyDescent="0.3">
      <c r="B31" s="455" t="s">
        <v>120</v>
      </c>
      <c r="E31" s="456"/>
      <c r="F31" s="458"/>
      <c r="G31" s="324" t="s">
        <v>121</v>
      </c>
      <c r="H31" s="324" t="s">
        <v>122</v>
      </c>
      <c r="I31" s="324" t="s">
        <v>123</v>
      </c>
      <c r="J31" s="327" t="s">
        <v>124</v>
      </c>
    </row>
    <row r="32" spans="2:20" ht="14.5" x14ac:dyDescent="0.35">
      <c r="B32" s="455"/>
      <c r="E32" s="456" t="s">
        <v>125</v>
      </c>
      <c r="F32" s="458"/>
      <c r="G32" s="325" cm="1">
        <f t="array" ref="G32">IF(AND(ISBLANK('Organisation Info'!$H$12:$H$18)),0,1)</f>
        <v>0</v>
      </c>
      <c r="H32" s="325" cm="1">
        <f t="array" ref="H32">IF(OR(ISBLANK('Organisation Info'!$H$12:$H$18)),0,1)</f>
        <v>0</v>
      </c>
      <c r="I32" s="326" t="str" cm="1">
        <f t="array" ref="I32">IF(OR(ISERROR('Organisation Info'!$H$12:$H$18)),"Error","No Error")</f>
        <v>No Error</v>
      </c>
      <c r="J32" s="328"/>
      <c r="K32"/>
      <c r="L32"/>
      <c r="M32"/>
      <c r="N32"/>
      <c r="O32"/>
      <c r="P32"/>
      <c r="Q32"/>
      <c r="R32"/>
      <c r="S32"/>
      <c r="T32"/>
    </row>
    <row r="33" spans="2:20" ht="14.5" x14ac:dyDescent="0.35">
      <c r="B33" s="455"/>
      <c r="E33" s="456" t="s">
        <v>126</v>
      </c>
      <c r="F33" s="458"/>
      <c r="G33" s="325" cm="1">
        <f t="array" ref="G33">IF(AND(ISBLANK('Organisation Info'!$H$22:$H$39)),0,1)</f>
        <v>0</v>
      </c>
      <c r="H33" s="325" cm="1">
        <f t="array" ref="H33">IF(OR(ISBLANK('Organisation Info'!$H$22:$H$39)),0,1)</f>
        <v>0</v>
      </c>
      <c r="I33" s="326" t="str" cm="1">
        <f t="array" ref="I33">IF(OR(ISERROR('Organisation Info'!$H$22:$H$39)),"Error","No Error")</f>
        <v>No Error</v>
      </c>
      <c r="J33" s="328"/>
      <c r="K33"/>
      <c r="L33"/>
      <c r="M33"/>
      <c r="N33"/>
      <c r="O33"/>
      <c r="P33"/>
      <c r="Q33"/>
      <c r="R33"/>
      <c r="S33"/>
      <c r="T33"/>
    </row>
    <row r="34" spans="2:20" ht="14.5" x14ac:dyDescent="0.35">
      <c r="B34" s="455"/>
      <c r="E34" s="456" t="s">
        <v>127</v>
      </c>
      <c r="F34" s="458"/>
      <c r="G34" s="325" cm="1">
        <f t="array" ref="G34">IF(AND(ISBLANK('Organisation Info'!$H$43:$H$48)),0,1)</f>
        <v>0</v>
      </c>
      <c r="H34" s="325" cm="1">
        <f t="array" ref="H34">IF(OR(ISBLANK('Organisation Info'!$H$43:$H$48)),0,1)</f>
        <v>0</v>
      </c>
      <c r="I34" s="326" t="str" cm="1">
        <f t="array" ref="I34">IF(OR(ISERROR('Organisation Info'!$H$43:$H$48)),"Error","No Error")</f>
        <v>No Error</v>
      </c>
      <c r="J34" s="328"/>
      <c r="K34"/>
      <c r="L34"/>
      <c r="M34"/>
      <c r="N34"/>
      <c r="O34"/>
      <c r="P34"/>
      <c r="Q34"/>
      <c r="R34"/>
      <c r="S34"/>
      <c r="T34"/>
    </row>
    <row r="35" spans="2:20" ht="14.5" x14ac:dyDescent="0.35">
      <c r="B35" s="455"/>
      <c r="E35" s="456" t="s">
        <v>128</v>
      </c>
      <c r="F35" s="458"/>
      <c r="G35" s="325" cm="1">
        <f t="array" ref="G35">IF(AND(ISBLANK(Buildings_SiteInfo[])),0,1)</f>
        <v>0</v>
      </c>
      <c r="H35" s="325">
        <f>'Buildings - Site Info'!$M$12</f>
        <v>5</v>
      </c>
      <c r="I35" s="326" t="str" cm="1">
        <f t="array" ref="I35">IF(OR(ISERROR(Buildings_SiteInfo[])),"Error","No Error")</f>
        <v>No Error</v>
      </c>
      <c r="J35" s="328"/>
      <c r="K35"/>
      <c r="L35"/>
      <c r="M35"/>
      <c r="N35"/>
      <c r="O35"/>
      <c r="P35"/>
      <c r="Q35"/>
      <c r="R35"/>
      <c r="S35"/>
      <c r="T35"/>
    </row>
    <row r="36" spans="2:20" ht="14.5" x14ac:dyDescent="0.35">
      <c r="B36" s="455"/>
      <c r="E36" s="456" t="s">
        <v>129</v>
      </c>
      <c r="F36" s="458"/>
      <c r="G36" s="325" cm="1">
        <f t="array" ref="G36">IF(AND(ISBLANK(Buildings_Electricity_Streetlighting_Frontend[Data])),0,1)</f>
        <v>0</v>
      </c>
      <c r="H36" s="325">
        <f>'Buildings - Electricity'!$N$12</f>
        <v>4</v>
      </c>
      <c r="I36" s="326" t="str" cm="1">
        <f t="array" ref="I36">IF(OR(ISERROR(Buildings_Electricity_Streetlighting_Frontend[])),"Error","No Error")</f>
        <v>No Error</v>
      </c>
      <c r="J36" s="326" t="str" cm="1">
        <f t="array" ref="J36">IF(OR(ISERROR(_xlfn._xlws.FILTER(Buildings_Electricity_Streetlighting_Backend[],INDEX(Buildings_Electricity_Streetlighting_Backend[],,1)&lt;&gt;""))),"Error","No Error")</f>
        <v>Error</v>
      </c>
      <c r="K36"/>
      <c r="L36"/>
      <c r="M36"/>
      <c r="N36"/>
      <c r="O36"/>
      <c r="P36"/>
      <c r="Q36"/>
      <c r="R36"/>
      <c r="S36"/>
      <c r="T36"/>
    </row>
    <row r="37" spans="2:20" ht="14.5" x14ac:dyDescent="0.35">
      <c r="B37" s="455"/>
      <c r="E37" s="456" t="s">
        <v>130</v>
      </c>
      <c r="F37" s="458"/>
      <c r="G37" s="325" cm="1">
        <f t="array" ref="G37">IF(AND(ISBLANK(Buildings_GridElectricity_Frontend[Data])),0,1)</f>
        <v>0</v>
      </c>
      <c r="H37" s="325">
        <f>'Buildings - Electricity'!$N$27</f>
        <v>3</v>
      </c>
      <c r="I37" s="326" t="str" cm="1">
        <f t="array" ref="I37">IF(OR(ISERROR(Buildings_GridElectricity_Frontend[])),"Error","No Error")</f>
        <v>No Error</v>
      </c>
      <c r="J37" s="326" t="str" cm="1">
        <f t="array" ref="J37">IF(OR(ISERROR(_xlfn._xlws.FILTER(Buildings_GridElectricity_Backend[],INDEX(Buildings_GridElectricity_Backend[],,1)&lt;&gt;""))),"Error","No Error")</f>
        <v>Error</v>
      </c>
      <c r="K37"/>
      <c r="L37"/>
      <c r="M37"/>
      <c r="N37"/>
      <c r="O37"/>
      <c r="P37"/>
      <c r="Q37"/>
      <c r="R37"/>
      <c r="S37"/>
      <c r="T37"/>
    </row>
    <row r="38" spans="2:20" ht="14.5" x14ac:dyDescent="0.35">
      <c r="B38" s="455"/>
      <c r="E38" s="456" t="s">
        <v>131</v>
      </c>
      <c r="F38" s="458"/>
      <c r="G38" s="325" cm="1">
        <f t="array" ref="G38">IF(AND(ISBLANK(Buildings_Heat_Frontend[Data])),0,1)</f>
        <v>0</v>
      </c>
      <c r="H38" s="325">
        <f>'Buildings - Fuels'!$O$14</f>
        <v>6</v>
      </c>
      <c r="I38" s="326" t="str" cm="1">
        <f t="array" ref="I38">IF(OR(ISERROR(Buildings_Heat_Frontend[])),"Error","No Error")</f>
        <v>No Error</v>
      </c>
      <c r="J38" s="326" t="str" cm="1">
        <f t="array" ref="J38">IF(OR(ISERROR(_xlfn._xlws.FILTER(Buildings_Heat_Backend[],INDEX(Buildings_Heat_Backend[],,1)&lt;&gt;""))),"Error","No Error")</f>
        <v>Error</v>
      </c>
      <c r="K38"/>
      <c r="L38"/>
      <c r="M38"/>
      <c r="N38"/>
      <c r="O38"/>
      <c r="P38"/>
      <c r="Q38"/>
      <c r="R38"/>
      <c r="S38"/>
      <c r="T38"/>
    </row>
    <row r="39" spans="2:20" ht="14.5" x14ac:dyDescent="0.35">
      <c r="B39" s="455"/>
      <c r="E39" s="456" t="s">
        <v>132</v>
      </c>
      <c r="F39" s="458"/>
      <c r="G39" s="325" cm="1">
        <f t="array" ref="G39">IF(AND(ISBLANK(Buildings_Water_Frontend[Data])),0,1)</f>
        <v>0</v>
      </c>
      <c r="H39" s="325">
        <f>'Buildings - Water'!$N$14</f>
        <v>5</v>
      </c>
      <c r="I39" s="326" t="str" cm="1">
        <f t="array" ref="I39">IF(OR(ISERROR(Buildings_Water_Frontend[])),"Error","No Error")</f>
        <v>No Error</v>
      </c>
      <c r="J39" s="326" t="str" cm="1">
        <f t="array" ref="J39">IF(OR(ISERROR(_xlfn._xlws.FILTER(Buildings_Water_Backend[],INDEX(Buildings_Water_Backend[],,1)&lt;&gt;""))),"Error","No Error")</f>
        <v>Error</v>
      </c>
      <c r="K39"/>
      <c r="L39"/>
      <c r="M39"/>
      <c r="N39"/>
      <c r="O39"/>
      <c r="P39"/>
      <c r="Q39"/>
      <c r="R39"/>
      <c r="S39"/>
      <c r="T39"/>
    </row>
    <row r="40" spans="2:20" ht="14.5" x14ac:dyDescent="0.35">
      <c r="B40" s="455"/>
      <c r="E40" s="456" t="s">
        <v>133</v>
      </c>
      <c r="F40" s="458"/>
      <c r="G40" s="325" cm="1">
        <f t="array" ref="G40">IF(AND(ISBLANK(FGases_Frontend[Data])),0,1)</f>
        <v>0</v>
      </c>
      <c r="H40" s="325">
        <f>'Fugitive Gases'!$M$15</f>
        <v>3</v>
      </c>
      <c r="I40" s="326" t="str" cm="1">
        <f t="array" ref="I40">IF(OR(ISERROR(FGases_Frontend[])),"Error","No Error")</f>
        <v>No Error</v>
      </c>
      <c r="J40" s="326" t="str" cm="1">
        <f t="array" ref="J40">IF(OR(ISERROR(_xlfn._xlws.FILTER(FGases_Backend[],INDEX(FGases_Backend[],,1)&lt;&gt;""))),"Error","No Error")</f>
        <v>Error</v>
      </c>
      <c r="K40"/>
      <c r="L40"/>
      <c r="M40"/>
      <c r="N40"/>
      <c r="O40"/>
      <c r="P40"/>
      <c r="Q40"/>
      <c r="R40"/>
      <c r="S40"/>
      <c r="T40"/>
    </row>
    <row r="41" spans="2:20" ht="14.5" x14ac:dyDescent="0.35">
      <c r="B41" s="455"/>
      <c r="E41" s="456" t="s">
        <v>134</v>
      </c>
      <c r="F41" s="458"/>
      <c r="G41" s="325" cm="1">
        <f t="array" ref="G41">IF(AND(ISBLANK(MedicalGases_Frontend[Data])),0,1)</f>
        <v>0</v>
      </c>
      <c r="H41" s="325">
        <f>'Fugitive Gases'!$M$40</f>
        <v>3</v>
      </c>
      <c r="I41" s="326" t="str" cm="1">
        <f t="array" ref="I41">IF(OR(ISERROR(MedicalGases_Frontend[])),"Error","No Error")</f>
        <v>No Error</v>
      </c>
      <c r="J41" s="326" t="str" cm="1">
        <f t="array" ref="J41">IF(OR(ISERROR(_xlfn._xlws.FILTER(MedicalGases_Backend[],INDEX(MedicalGases_Backend[],,1)&lt;&gt;""))),"Error","No Error")</f>
        <v>Error</v>
      </c>
      <c r="K41"/>
      <c r="L41"/>
      <c r="M41"/>
      <c r="N41"/>
      <c r="O41"/>
      <c r="P41"/>
      <c r="Q41"/>
      <c r="R41"/>
      <c r="S41"/>
      <c r="T41"/>
    </row>
    <row r="42" spans="2:20" ht="14.5" x14ac:dyDescent="0.35">
      <c r="B42" s="455"/>
      <c r="E42" s="456" t="s">
        <v>135</v>
      </c>
      <c r="F42" s="458"/>
      <c r="G42" s="325" cm="1">
        <f t="array" ref="G42">IF(AND(ISBLANK(Fleet_Fuel_Frontend[Data])),0,1)</f>
        <v>0</v>
      </c>
      <c r="H42" s="325">
        <f>'Fleet &amp; Equipment'!$O$15</f>
        <v>6</v>
      </c>
      <c r="I42" s="326" t="str" cm="1">
        <f t="array" ref="I42">IF(OR(ISERROR(Fleet_Fuel_Frontend[])),"Error","No Error")</f>
        <v>No Error</v>
      </c>
      <c r="J42" s="326" t="str" cm="1">
        <f t="array" ref="J42">IF(OR(ISERROR(_xlfn._xlws.FILTER(Fleet_Fuel_Backend[],INDEX(Fleet_Fuel_Backend[],,1)&lt;&gt;""))),"Error","No Error")</f>
        <v>Error</v>
      </c>
      <c r="K42"/>
      <c r="L42"/>
      <c r="M42"/>
      <c r="N42"/>
      <c r="O42"/>
      <c r="P42"/>
      <c r="Q42"/>
      <c r="R42"/>
      <c r="S42"/>
      <c r="T42"/>
    </row>
    <row r="43" spans="2:20" ht="14.5" x14ac:dyDescent="0.35">
      <c r="B43" s="455"/>
      <c r="E43" s="456" t="s">
        <v>136</v>
      </c>
      <c r="F43" s="458"/>
      <c r="G43" s="325" cm="1">
        <f t="array" ref="G43">IF(AND(ISBLANK(Fleet_Distance_Frontend[Data])),0,1)</f>
        <v>0</v>
      </c>
      <c r="H43" s="325">
        <f>'Fleet &amp; Equipment'!$O$40</f>
        <v>6</v>
      </c>
      <c r="I43" s="326" t="str" cm="1">
        <f t="array" ref="I43">IF(OR(ISERROR(Fleet_Distance_Frontend[])),"Error","No Error")</f>
        <v>No Error</v>
      </c>
      <c r="J43" s="326" t="str" cm="1">
        <f t="array" ref="J43">IF(OR(ISERROR(_xlfn._xlws.FILTER(Fleet_Distance_Backend[],INDEX(Fleet_Distance_Backend[],,1)&lt;&gt;""))),"Error","No Error")</f>
        <v>Error</v>
      </c>
      <c r="K43"/>
      <c r="L43"/>
      <c r="M43"/>
      <c r="N43"/>
      <c r="O43"/>
      <c r="P43"/>
      <c r="Q43"/>
      <c r="R43"/>
      <c r="S43"/>
      <c r="T43"/>
    </row>
    <row r="44" spans="2:20" x14ac:dyDescent="0.3">
      <c r="B44" s="455"/>
      <c r="E44" s="456" t="s">
        <v>137</v>
      </c>
      <c r="F44" s="458"/>
      <c r="G44" s="325" cm="1">
        <f t="array" ref="G44">IF(AND(ISBLANK(BusinessTravel_Frontend[Data])),0,1)</f>
        <v>0</v>
      </c>
      <c r="H44" s="325">
        <f>'Travel, Commuting, Homeworking'!$O$16</f>
        <v>7</v>
      </c>
      <c r="I44" s="326" t="str" cm="1">
        <f t="array" ref="I44">IF(OR(ISERROR(BusinessTravel_Frontend[])),"Error","No Error")</f>
        <v>No Error</v>
      </c>
      <c r="J44" s="326" t="str" cm="1">
        <f t="array" ref="J44">IF(OR(ISERROR(_xlfn._xlws.FILTER(BusinessTravel_Backend[],INDEX(BusinessTravel_Backend[],,1)&lt;&gt;""))),"Error","No Error")</f>
        <v>Error</v>
      </c>
    </row>
    <row r="45" spans="2:20" x14ac:dyDescent="0.3">
      <c r="B45" s="455"/>
      <c r="E45" s="456" t="s">
        <v>138</v>
      </c>
      <c r="F45" s="458"/>
      <c r="G45" s="325" cm="1">
        <f t="array" ref="G45">IF(AND(ISBLANK(Commuting_Frontend[Data])),0,1)</f>
        <v>0</v>
      </c>
      <c r="H45" s="325">
        <f>'Travel, Commuting, Homeworking'!$O$41</f>
        <v>7</v>
      </c>
      <c r="I45" s="326" t="str" cm="1">
        <f t="array" ref="I45">IF(OR(ISERROR(Commuting_Frontend[])),"Error","No Error")</f>
        <v>No Error</v>
      </c>
      <c r="J45" s="326" t="str" cm="1">
        <f t="array" ref="J45">IF(OR(ISERROR(_xlfn._xlws.FILTER(Commuting_Backend[],INDEX(Commuting_Backend[],,1)&lt;&gt;""))),"Error","No Error")</f>
        <v>Error</v>
      </c>
    </row>
    <row r="46" spans="2:20" x14ac:dyDescent="0.3">
      <c r="B46" s="455"/>
      <c r="E46" s="459" t="s">
        <v>139</v>
      </c>
      <c r="F46" s="460"/>
      <c r="G46" s="325" cm="1">
        <f t="array" ref="G46">IF(AND(ISBLANK(Homeworking_Frontend[[Number of FTE]:[% Working hours at home]])),0,1)</f>
        <v>0</v>
      </c>
      <c r="H46" s="325">
        <f>'Travel, Commuting, Homeworking'!$O$67</f>
        <v>2</v>
      </c>
      <c r="I46" s="326" t="str" cm="1">
        <f t="array" ref="I46">IF(OR(ISERROR(Homeworking_Frontend[])),"Error","No Error")</f>
        <v>No Error</v>
      </c>
      <c r="J46" s="326" t="str" cm="1">
        <f t="array" ref="J46">IF(OR(ISERROR(_xlfn._xlws.FILTER(Homeworking_Backend[],INDEX(Homeworking_Backend[],,1)&lt;&gt;""))),"Error","No Error")</f>
        <v>Error</v>
      </c>
    </row>
    <row r="47" spans="2:20" x14ac:dyDescent="0.3">
      <c r="B47" s="455"/>
      <c r="E47" s="456" t="s">
        <v>140</v>
      </c>
      <c r="F47" s="458"/>
      <c r="G47" s="325" cm="1">
        <f t="array" ref="G47">IF(AND(ISBLANK(Waste_Org_Frontend[Data])),0,1)</f>
        <v>0</v>
      </c>
      <c r="H47" s="325">
        <f>Waste!$M$14</f>
        <v>5</v>
      </c>
      <c r="I47" s="326" t="str" cm="1">
        <f t="array" ref="I47">IF(OR(ISERROR(Waste_Org_Frontend[])),"Error","No Error")</f>
        <v>No Error</v>
      </c>
      <c r="J47" s="326" t="str" cm="1">
        <f t="array" ref="J47">IF(OR(ISERROR(_xlfn._xlws.FILTER(Waste_Org_Backend[],INDEX(Waste_Org_Backend[],,1)&lt;&gt;""))),"Error","No Error")</f>
        <v>Error</v>
      </c>
    </row>
    <row r="48" spans="2:20" x14ac:dyDescent="0.3">
      <c r="B48" s="455"/>
      <c r="E48" s="456" t="s">
        <v>141</v>
      </c>
      <c r="F48" s="458"/>
      <c r="G48" s="325" cm="1">
        <f t="array" ref="G48">IF(AND(ISBLANK(Waste_Mun_Frontend[Data])),0,1)</f>
        <v>0</v>
      </c>
      <c r="H48" s="325">
        <f>Waste!$M$39</f>
        <v>4</v>
      </c>
      <c r="I48" s="326" t="str" cm="1">
        <f t="array" ref="I48">IF(OR(ISERROR(Waste_Mun_Frontend[])),"Error","No Error")</f>
        <v>No Error</v>
      </c>
      <c r="J48" s="326" t="str" cm="1">
        <f t="array" ref="J48">IF(OR(ISERROR(_xlfn._xlws.FILTER(Waste_Mun_Backend[],INDEX(Waste_Mun_Backend[],,1)&lt;&gt;""))),"Error","No Error")</f>
        <v>Error</v>
      </c>
    </row>
    <row r="49" spans="2:10" x14ac:dyDescent="0.3">
      <c r="B49" s="455"/>
      <c r="E49" s="456" t="s">
        <v>142</v>
      </c>
      <c r="F49" s="458"/>
      <c r="G49" s="325" cm="1">
        <f t="array" ref="G49">IF(AND(ISBLANK(Waste_Proj_Frontend[Data])),0,1)</f>
        <v>0</v>
      </c>
      <c r="H49" s="325">
        <f>Waste!$M$65</f>
        <v>4</v>
      </c>
      <c r="I49" s="326" t="str" cm="1">
        <f t="array" ref="I49">IF(OR(ISERROR(Waste_Proj_Frontend[])),"Error","No Error")</f>
        <v>No Error</v>
      </c>
      <c r="J49" s="326" t="str" cm="1">
        <f t="array" ref="J49">IF(OR(ISERROR(_xlfn._xlws.FILTER(Waste_Proj_Backend[],INDEX(Waste_Proj_Backend[],,1)&lt;&gt;""))),"Error","No Error")</f>
        <v>Error</v>
      </c>
    </row>
    <row r="50" spans="2:10" x14ac:dyDescent="0.3">
      <c r="B50" s="455"/>
      <c r="E50" s="459" t="s">
        <v>143</v>
      </c>
      <c r="F50" s="460"/>
      <c r="G50" s="325" cm="1">
        <f t="array" ref="G50">IF(AND(ISBLANK(SupplyChain_Tier1_Frontend[Data])),0,1)</f>
        <v>0</v>
      </c>
      <c r="H50" s="325">
        <f>'Supply Chain'!$M$13</f>
        <v>1</v>
      </c>
      <c r="I50" s="326" t="str" cm="1">
        <f t="array" ref="I50">IF(OR(ISERROR(SupplyChain_Tier1_Frontend[])),"Error","No Error")</f>
        <v>No Error</v>
      </c>
      <c r="J50" s="326" t="str" cm="1">
        <f t="array" ref="J50">IF(OR(ISERROR(_xlfn._xlws.FILTER(SupplyChain_Tier1_Backend[],INDEX(SupplyChain_Tier1_Backend[],,1)&lt;&gt;""))),"Error","No Error")</f>
        <v>Error</v>
      </c>
    </row>
    <row r="51" spans="2:10" x14ac:dyDescent="0.3">
      <c r="B51" s="455"/>
      <c r="E51" s="456" t="s">
        <v>144</v>
      </c>
      <c r="F51" s="458"/>
      <c r="G51" s="325" cm="1">
        <f t="array" ref="G51">IF(AND(ISBLANK(SupplyChain_Tier2_Frontend[[Spend (£)]:[Emissions (kgCO2e)]])),0,1)</f>
        <v>0</v>
      </c>
      <c r="H51" s="325">
        <f>'Supply Chain'!$M$128</f>
        <v>4</v>
      </c>
      <c r="I51" s="326" t="str" cm="1">
        <f t="array" ref="I51">IF(OR(ISERROR(SupplyChain_Tier2_Frontend[])),"Error","No Error")</f>
        <v>No Error</v>
      </c>
      <c r="J51" s="326" t="str" cm="1">
        <f t="array" ref="J51">IF(OR(ISERROR(_xlfn._xlws.FILTER(SupplyChain_Tier2_Backend[],INDEX(SupplyChain_Tier2_Backend[],,1)&lt;&gt;""))),"Error","No Error")</f>
        <v>Error</v>
      </c>
    </row>
    <row r="52" spans="2:10" x14ac:dyDescent="0.3">
      <c r="B52" s="455"/>
      <c r="E52" s="456" t="s">
        <v>145</v>
      </c>
      <c r="F52" s="458"/>
      <c r="G52" s="325" cm="1">
        <f t="array" ref="G52">IF(AND(ISBLANK(SupplyChain_SupplierData_Frontend[Emissions kgCO2e])),0,1)</f>
        <v>0</v>
      </c>
      <c r="H52" s="325">
        <f>'Supply chain (supplier forms)'!$R$13</f>
        <v>9</v>
      </c>
      <c r="I52" s="326" t="str" cm="1">
        <f t="array" ref="I52">IF(OR(ISERROR('Organisation Info'!$H$43:$H$48)),"Error","No Error")</f>
        <v>No Error</v>
      </c>
      <c r="J52" s="326" t="str" cm="1">
        <f t="array" ref="J52">IF(OR(ISERROR(_xlfn._xlws.FILTER(Buildings_Electricity_Streetlighting_Backend[],INDEX(Buildings_Electricity_Streetlighting_Backend[],,1)&lt;&gt;""))),"Error","No Error")</f>
        <v>Error</v>
      </c>
    </row>
    <row r="53" spans="2:10" x14ac:dyDescent="0.3">
      <c r="B53" s="455"/>
      <c r="E53" s="456" t="s">
        <v>146</v>
      </c>
      <c r="F53" s="458"/>
      <c r="G53" s="325" cm="1">
        <f t="array" ref="G53">IF(AND(ISBLANK(FLAG_Tier1_Frontend[Data])),0,1)</f>
        <v>0</v>
      </c>
      <c r="H53" s="325">
        <f>FLAG!$M$17</f>
        <v>4</v>
      </c>
      <c r="I53" s="326" t="str" cm="1">
        <f t="array" ref="I53">IF(OR(ISERROR(FLAG_Tier1_Frontend[])),"Error","No Error")</f>
        <v>No Error</v>
      </c>
      <c r="J53" s="326" t="str" cm="1">
        <f t="array" ref="J53">IF(OR(ISERROR(_xlfn._xlws.FILTER(FLAG_Tier1_Backend[],INDEX(FLAG_Tier1_Backend[],,1)&lt;&gt;""))),"Error","No Error")</f>
        <v>Error</v>
      </c>
    </row>
    <row r="54" spans="2:10" x14ac:dyDescent="0.3">
      <c r="B54" s="455"/>
      <c r="E54" s="322" t="s">
        <v>147</v>
      </c>
      <c r="F54" s="323"/>
      <c r="G54" s="325" cm="1">
        <f t="array" ref="G54">IF(AND(ISBLANK(FLAG_Tier2_Frontend[Data])),0,1)</f>
        <v>0</v>
      </c>
      <c r="H54" s="325">
        <f>FLAG!$M$42</f>
        <v>5</v>
      </c>
      <c r="I54" s="326" t="str" cm="1">
        <f t="array" ref="I54">IF(OR(ISERROR(FLAG_Tier2_Frontend[])),"Error","No Error")</f>
        <v>No Error</v>
      </c>
      <c r="J54" s="326" t="str" cm="1">
        <f t="array" ref="J54">IF(OR(ISERROR(_xlfn._xlws.FILTER(FLAG_Tier2_Backend[],INDEX(FLAG_Tier2_Backend[],,1)&lt;&gt;""))),"Error","No Error")</f>
        <v>Error</v>
      </c>
    </row>
    <row r="55" spans="2:10" x14ac:dyDescent="0.3">
      <c r="B55" s="455"/>
      <c r="E55" s="456" t="s">
        <v>148</v>
      </c>
      <c r="F55" s="458"/>
      <c r="G55" s="325" cm="1">
        <f t="array" ref="G55">IF(AND(ISBLANK(Agriculture_Frontend[Data])),0,1)</f>
        <v>0</v>
      </c>
      <c r="H55" s="325">
        <f>FLAG!$M$68</f>
        <v>4</v>
      </c>
      <c r="I55" s="326" t="str" cm="1">
        <f t="array" ref="I55">IF(OR(ISERROR(Agriculture_Frontend[])),"Error","No Error")</f>
        <v>No Error</v>
      </c>
      <c r="J55" s="326" t="str" cm="1">
        <f t="array" ref="J55">IF(OR(ISERROR(_xlfn._xlws.FILTER(Agriculture_Backend[],INDEX(Agriculture_Backend[],,1)&lt;&gt;""))),"Error","No Error")</f>
        <v>Error</v>
      </c>
    </row>
    <row r="56" spans="2:10" x14ac:dyDescent="0.3">
      <c r="B56" s="455"/>
      <c r="E56" s="456" t="s">
        <v>1897</v>
      </c>
      <c r="F56" s="458"/>
      <c r="G56" s="325">
        <f>IF(SUM(Renewables_Electricity_Frontend[Total kWh generated])=0,0,1)</f>
        <v>0</v>
      </c>
      <c r="H56" s="325">
        <f>Renewables!V14</f>
        <v>11</v>
      </c>
      <c r="I56" s="326" t="str" cm="1">
        <f t="array" ref="I56">IF(OR(ISERROR(Renewables_Electricity_Frontend[])),"Error","No Error")</f>
        <v>No Error</v>
      </c>
      <c r="J56" s="328"/>
    </row>
    <row r="57" spans="2:10" x14ac:dyDescent="0.3">
      <c r="B57" s="455"/>
      <c r="E57" s="456" t="s">
        <v>1898</v>
      </c>
      <c r="F57" s="458"/>
      <c r="G57" s="325">
        <f>IF(SUM(Renewables_Heat_Frontend[Total kWh generated])=0,0,1)</f>
        <v>0</v>
      </c>
      <c r="H57" s="325">
        <f>Renewables!V120</f>
        <v>10</v>
      </c>
      <c r="I57" s="326" t="str" cm="1">
        <f t="array" ref="I57">IF(OR(ISERROR(Renewables_Electricity_Frontend[])),"Error","No Error")</f>
        <v>No Error</v>
      </c>
      <c r="J57" s="328"/>
    </row>
    <row r="58" spans="2:10" x14ac:dyDescent="0.3"/>
    <row r="59" spans="2:10" x14ac:dyDescent="0.3">
      <c r="E59" s="160" t="s">
        <v>150</v>
      </c>
      <c r="F59" s="160"/>
    </row>
    <row r="60" spans="2:10" x14ac:dyDescent="0.3"/>
    <row r="61" spans="2:10" x14ac:dyDescent="0.3">
      <c r="B61" s="455" t="s">
        <v>151</v>
      </c>
      <c r="E61" s="456" t="s">
        <v>52</v>
      </c>
      <c r="F61" s="458"/>
      <c r="G61" s="473"/>
      <c r="H61" s="474"/>
      <c r="I61" s="475"/>
    </row>
    <row r="62" spans="2:10" x14ac:dyDescent="0.3">
      <c r="B62" s="455"/>
      <c r="E62" s="456" t="s">
        <v>152</v>
      </c>
      <c r="F62" s="458"/>
      <c r="G62" s="467"/>
      <c r="H62" s="468"/>
      <c r="I62" s="469"/>
    </row>
    <row r="63" spans="2:10" x14ac:dyDescent="0.3">
      <c r="B63" s="455"/>
      <c r="E63" s="456" t="s">
        <v>153</v>
      </c>
      <c r="F63" s="458"/>
      <c r="G63" s="464"/>
      <c r="H63" s="465"/>
      <c r="I63" s="466"/>
    </row>
    <row r="64" spans="2:10" x14ac:dyDescent="0.3">
      <c r="B64" s="455"/>
      <c r="E64" s="456" t="s">
        <v>154</v>
      </c>
      <c r="F64" s="458"/>
      <c r="G64" s="464"/>
      <c r="H64" s="465"/>
      <c r="I64" s="466"/>
    </row>
    <row r="65" spans="2:9" x14ac:dyDescent="0.3">
      <c r="B65" s="455"/>
      <c r="E65" s="456" t="s">
        <v>155</v>
      </c>
      <c r="F65" s="458"/>
      <c r="G65" s="464"/>
      <c r="H65" s="465"/>
      <c r="I65" s="466"/>
    </row>
    <row r="66" spans="2:9" x14ac:dyDescent="0.3">
      <c r="B66" s="455"/>
      <c r="E66" s="456" t="s">
        <v>156</v>
      </c>
      <c r="F66" s="458"/>
      <c r="G66" s="464"/>
      <c r="H66" s="465"/>
      <c r="I66" s="466"/>
    </row>
    <row r="67" spans="2:9" x14ac:dyDescent="0.3">
      <c r="B67" s="455"/>
      <c r="E67" s="456" t="s">
        <v>157</v>
      </c>
      <c r="F67" s="458"/>
      <c r="G67" s="464"/>
      <c r="H67" s="465"/>
      <c r="I67" s="466"/>
    </row>
    <row r="68" spans="2:9" x14ac:dyDescent="0.3">
      <c r="B68" s="455"/>
      <c r="E68" s="456" t="s">
        <v>158</v>
      </c>
      <c r="F68" s="458"/>
      <c r="G68" s="464"/>
      <c r="H68" s="465"/>
      <c r="I68" s="466"/>
    </row>
    <row r="69" spans="2:9" x14ac:dyDescent="0.3">
      <c r="B69" s="455"/>
      <c r="E69" s="456" t="s">
        <v>159</v>
      </c>
      <c r="F69" s="458"/>
      <c r="G69" s="473"/>
      <c r="H69" s="474"/>
      <c r="I69" s="475"/>
    </row>
    <row r="70" spans="2:9" x14ac:dyDescent="0.3">
      <c r="B70" s="455"/>
      <c r="E70" s="456" t="s">
        <v>160</v>
      </c>
      <c r="F70" s="458"/>
      <c r="G70" s="464"/>
      <c r="H70" s="465"/>
      <c r="I70" s="466"/>
    </row>
    <row r="71" spans="2:9" x14ac:dyDescent="0.3">
      <c r="B71" s="455"/>
      <c r="E71" s="456" t="s">
        <v>161</v>
      </c>
      <c r="F71" s="458"/>
      <c r="G71" s="473"/>
      <c r="H71" s="474"/>
      <c r="I71" s="475"/>
    </row>
    <row r="72" spans="2:9" x14ac:dyDescent="0.3">
      <c r="B72" s="455"/>
      <c r="E72" s="324" t="s">
        <v>162</v>
      </c>
      <c r="F72" s="324"/>
      <c r="G72" s="464"/>
      <c r="H72" s="465"/>
      <c r="I72" s="466"/>
    </row>
    <row r="73" spans="2:9" x14ac:dyDescent="0.3">
      <c r="B73" s="455"/>
      <c r="E73" s="456" t="s">
        <v>163</v>
      </c>
      <c r="F73" s="458"/>
      <c r="G73" s="473"/>
      <c r="H73" s="474"/>
      <c r="I73" s="475"/>
    </row>
    <row r="74" spans="2:9" x14ac:dyDescent="0.3">
      <c r="B74" s="455"/>
      <c r="E74" s="456" t="s">
        <v>164</v>
      </c>
      <c r="F74" s="458"/>
      <c r="G74" s="467"/>
      <c r="H74" s="468"/>
      <c r="I74" s="469"/>
    </row>
    <row r="75" spans="2:9" x14ac:dyDescent="0.3">
      <c r="B75" s="455"/>
      <c r="E75" s="456" t="s">
        <v>165</v>
      </c>
      <c r="F75" s="458"/>
      <c r="G75" s="464"/>
      <c r="H75" s="465"/>
      <c r="I75" s="466"/>
    </row>
    <row r="76" spans="2:9" x14ac:dyDescent="0.3"/>
    <row r="77" spans="2:9" x14ac:dyDescent="0.3"/>
    <row r="78" spans="2:9" x14ac:dyDescent="0.3"/>
    <row r="79" spans="2:9" x14ac:dyDescent="0.3"/>
    <row r="80" spans="2:9" x14ac:dyDescent="0.3"/>
    <row r="81" spans="2:2" x14ac:dyDescent="0.3">
      <c r="B81" s="146" t="s">
        <v>101</v>
      </c>
    </row>
  </sheetData>
  <sheetProtection algorithmName="SHA-512" hashValue="68qEkx9pGevCly22PON9UyvLrNnlMySAUpprCZUS8QmFp9xQJqFK73UsWcpYjBpr04qNmiq5zPkDega32fUGZA==" saltValue="CAHURUBqDdu+Hcc9vC1gZw==" spinCount="100000" sheet="1" selectLockedCells="1"/>
  <mergeCells count="81">
    <mergeCell ref="B18:B20"/>
    <mergeCell ref="B24:B27"/>
    <mergeCell ref="B31:B57"/>
    <mergeCell ref="B61:B75"/>
    <mergeCell ref="G73:I73"/>
    <mergeCell ref="G74:I74"/>
    <mergeCell ref="G75:I75"/>
    <mergeCell ref="G68:I68"/>
    <mergeCell ref="G69:I69"/>
    <mergeCell ref="G70:I70"/>
    <mergeCell ref="G71:I71"/>
    <mergeCell ref="G72:I72"/>
    <mergeCell ref="E73:F73"/>
    <mergeCell ref="E74:F74"/>
    <mergeCell ref="E75:F75"/>
    <mergeCell ref="G61:I61"/>
    <mergeCell ref="G12:I12"/>
    <mergeCell ref="G13:I13"/>
    <mergeCell ref="G14:I14"/>
    <mergeCell ref="G25:I25"/>
    <mergeCell ref="G26:I26"/>
    <mergeCell ref="G24:I24"/>
    <mergeCell ref="G62:I62"/>
    <mergeCell ref="G63:I63"/>
    <mergeCell ref="G64:I64"/>
    <mergeCell ref="G65:I65"/>
    <mergeCell ref="G66:I66"/>
    <mergeCell ref="G67:I67"/>
    <mergeCell ref="E67:F67"/>
    <mergeCell ref="E68:F68"/>
    <mergeCell ref="E69:F69"/>
    <mergeCell ref="E70:F70"/>
    <mergeCell ref="E71:F71"/>
    <mergeCell ref="E62:F62"/>
    <mergeCell ref="E63:F63"/>
    <mergeCell ref="E64:F64"/>
    <mergeCell ref="E65:F65"/>
    <mergeCell ref="E66:F66"/>
    <mergeCell ref="E53:F53"/>
    <mergeCell ref="E55:F55"/>
    <mergeCell ref="E57:F57"/>
    <mergeCell ref="E61:F61"/>
    <mergeCell ref="E52:F52"/>
    <mergeCell ref="E56:F56"/>
    <mergeCell ref="E36:F36"/>
    <mergeCell ref="E37:F37"/>
    <mergeCell ref="E38:F38"/>
    <mergeCell ref="E39:F39"/>
    <mergeCell ref="E40:F40"/>
    <mergeCell ref="E31:F31"/>
    <mergeCell ref="E32:F32"/>
    <mergeCell ref="E33:F33"/>
    <mergeCell ref="E34:F34"/>
    <mergeCell ref="E35:F35"/>
    <mergeCell ref="B5:B8"/>
    <mergeCell ref="G18:Q18"/>
    <mergeCell ref="G19:Q19"/>
    <mergeCell ref="G20:Q20"/>
    <mergeCell ref="G27:Q27"/>
    <mergeCell ref="E12:F12"/>
    <mergeCell ref="E13:F13"/>
    <mergeCell ref="E14:F14"/>
    <mergeCell ref="E18:F18"/>
    <mergeCell ref="E19:F19"/>
    <mergeCell ref="E20:F20"/>
    <mergeCell ref="E24:F24"/>
    <mergeCell ref="E25:F25"/>
    <mergeCell ref="E26:F26"/>
    <mergeCell ref="E27:F27"/>
    <mergeCell ref="B12:B14"/>
    <mergeCell ref="E41:F41"/>
    <mergeCell ref="E43:F43"/>
    <mergeCell ref="E48:F48"/>
    <mergeCell ref="E49:F49"/>
    <mergeCell ref="E51:F51"/>
    <mergeCell ref="E42:F42"/>
    <mergeCell ref="E44:F44"/>
    <mergeCell ref="E45:F45"/>
    <mergeCell ref="E46:F46"/>
    <mergeCell ref="E47:F47"/>
    <mergeCell ref="E50:F50"/>
  </mergeCells>
  <conditionalFormatting sqref="I32:J57">
    <cfRule type="expression" dxfId="29" priority="5">
      <formula>IF(I32="Error",1,0)</formula>
    </cfRule>
  </conditionalFormatting>
  <dataValidations count="4">
    <dataValidation type="date" allowBlank="1" showInputMessage="1" showErrorMessage="1" sqref="G73 G69 G71 G61" xr:uid="{00CF98A5-4B0C-450A-9B71-0D4AFA493C50}">
      <formula1>46266</formula1>
      <formula2>46387</formula2>
    </dataValidation>
    <dataValidation type="list" allowBlank="1" showInputMessage="1" showErrorMessage="1" sqref="G24:I24" xr:uid="{8897F5C6-36FA-40D3-90D4-C0A040484BB9}">
      <formula1>OFFSET(rng_org_type_long,,1)</formula1>
    </dataValidation>
    <dataValidation type="list" allowBlank="1" showInputMessage="1" showErrorMessage="1" sqref="G63:I68 G70:I70 G72:I72 G75:I75" xr:uid="{80EF4FD6-A488-4CC5-8E05-E1EE18E97E96}">
      <formula1>rng_yes_no</formula1>
    </dataValidation>
    <dataValidation allowBlank="1" showInputMessage="1" showErrorMessage="1" promptTitle="Information:" prompt="The 'error in emissions' review will return an error if there's an error with the emissions calculation or if no data has been inputted into a table" sqref="J31" xr:uid="{FE1CE636-67DC-4049-B12A-8B6C34B0F971}"/>
  </dataValidations>
  <hyperlinks>
    <hyperlink ref="E46:F46" location="'Travel, Commuting, Homeworking'!A1" display="Transport - Homeworking" xr:uid="{BCDDA1A1-F55B-4746-9BB9-DE1C05A3880E}"/>
    <hyperlink ref="E50:F50" location="'Supply Chain'!A1" display="Supply chain - Tier 1" xr:uid="{368117CB-988F-4D79-A8EE-18A4452E1453}"/>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7" id="{4980D5EF-49AB-4F50-B40E-01DBA050582B}">
            <x14:iconSet iconSet="3Symbols2" showValue="0" custom="1">
              <x14:cfvo type="percent">
                <xm:f>0</xm:f>
              </x14:cfvo>
              <x14:cfvo type="num">
                <xm:f>0</xm:f>
              </x14:cfvo>
              <x14:cfvo type="num">
                <xm:f>1</xm:f>
              </x14:cfvo>
              <x14:cfIcon iconSet="4RedToBlack" iconId="1"/>
              <x14:cfIcon iconSet="4RedToBlack" iconId="1"/>
              <x14:cfIcon iconSet="3Symbols2" iconId="2"/>
            </x14:iconSet>
          </x14:cfRule>
          <xm:sqref>G32:G57</xm:sqref>
        </x14:conditionalFormatting>
        <x14:conditionalFormatting xmlns:xm="http://schemas.microsoft.com/office/excel/2006/main">
          <x14:cfRule type="iconSet" priority="26" id="{809BADCD-2E37-4BD8-8C3A-DA7F847C6703}">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H32:H34</xm:sqref>
        </x14:conditionalFormatting>
        <x14:conditionalFormatting xmlns:xm="http://schemas.microsoft.com/office/excel/2006/main">
          <x14:cfRule type="iconSet" priority="23" id="{DF3930BD-D67B-4885-B378-2AE8B60BBB67}">
            <x14:iconSet iconSet="3Symbols2" showValue="0" custom="1">
              <x14:cfvo type="percent">
                <xm:f>0</xm:f>
              </x14:cfvo>
              <x14:cfvo type="num">
                <xm:f>0</xm:f>
              </x14:cfvo>
              <x14:cfvo type="num">
                <xm:f>5</xm:f>
              </x14:cfvo>
              <x14:cfIcon iconSet="3Symbols2" iconId="0"/>
              <x14:cfIcon iconSet="3Symbols2" iconId="0"/>
              <x14:cfIcon iconSet="3Symbols2" iconId="2"/>
            </x14:iconSet>
          </x14:cfRule>
          <xm:sqref>H35</xm:sqref>
        </x14:conditionalFormatting>
        <x14:conditionalFormatting xmlns:xm="http://schemas.microsoft.com/office/excel/2006/main">
          <x14:cfRule type="iconSet" priority="22" id="{AC55F0D9-263E-46B2-9D8F-F772631EDD13}">
            <x14:iconSet iconSet="3Symbols2" showValue="0" custom="1">
              <x14:cfvo type="percent">
                <xm:f>0</xm:f>
              </x14:cfvo>
              <x14:cfvo type="num">
                <xm:f>0</xm:f>
              </x14:cfvo>
              <x14:cfvo type="num">
                <xm:f>4</xm:f>
              </x14:cfvo>
              <x14:cfIcon iconSet="3Symbols2" iconId="0"/>
              <x14:cfIcon iconSet="3Symbols2" iconId="0"/>
              <x14:cfIcon iconSet="3Symbols2" iconId="2"/>
            </x14:iconSet>
          </x14:cfRule>
          <xm:sqref>H36</xm:sqref>
        </x14:conditionalFormatting>
        <x14:conditionalFormatting xmlns:xm="http://schemas.microsoft.com/office/excel/2006/main">
          <x14:cfRule type="iconSet" priority="21" id="{6AAC9216-612B-47DA-90D6-1F7A823940F0}">
            <x14:iconSet iconSet="3Symbols2" showValue="0" custom="1">
              <x14:cfvo type="percent">
                <xm:f>0</xm:f>
              </x14:cfvo>
              <x14:cfvo type="num">
                <xm:f>0</xm:f>
              </x14:cfvo>
              <x14:cfvo type="num">
                <xm:f>3</xm:f>
              </x14:cfvo>
              <x14:cfIcon iconSet="3Symbols2" iconId="0"/>
              <x14:cfIcon iconSet="3Symbols2" iconId="0"/>
              <x14:cfIcon iconSet="3Symbols2" iconId="2"/>
            </x14:iconSet>
          </x14:cfRule>
          <xm:sqref>H37</xm:sqref>
        </x14:conditionalFormatting>
        <x14:conditionalFormatting xmlns:xm="http://schemas.microsoft.com/office/excel/2006/main">
          <x14:cfRule type="iconSet" priority="20" id="{1CE1C875-198A-4251-8784-60B81D259EF1}">
            <x14:iconSet iconSet="3Symbols2" showValue="0" custom="1">
              <x14:cfvo type="percent">
                <xm:f>0</xm:f>
              </x14:cfvo>
              <x14:cfvo type="num">
                <xm:f>0</xm:f>
              </x14:cfvo>
              <x14:cfvo type="num">
                <xm:f>6</xm:f>
              </x14:cfvo>
              <x14:cfIcon iconSet="3Symbols2" iconId="0"/>
              <x14:cfIcon iconSet="3Symbols2" iconId="0"/>
              <x14:cfIcon iconSet="3Symbols2" iconId="2"/>
            </x14:iconSet>
          </x14:cfRule>
          <xm:sqref>H38</xm:sqref>
        </x14:conditionalFormatting>
        <x14:conditionalFormatting xmlns:xm="http://schemas.microsoft.com/office/excel/2006/main">
          <x14:cfRule type="iconSet" priority="19" id="{77270C98-1D2B-48ED-A971-3DC739B77767}">
            <x14:iconSet iconSet="3Symbols2" showValue="0" custom="1">
              <x14:cfvo type="percent">
                <xm:f>0</xm:f>
              </x14:cfvo>
              <x14:cfvo type="num">
                <xm:f>0</xm:f>
              </x14:cfvo>
              <x14:cfvo type="num">
                <xm:f>5</xm:f>
              </x14:cfvo>
              <x14:cfIcon iconSet="3Symbols2" iconId="0"/>
              <x14:cfIcon iconSet="3Symbols2" iconId="0"/>
              <x14:cfIcon iconSet="3Symbols2" iconId="2"/>
            </x14:iconSet>
          </x14:cfRule>
          <xm:sqref>H39</xm:sqref>
        </x14:conditionalFormatting>
        <x14:conditionalFormatting xmlns:xm="http://schemas.microsoft.com/office/excel/2006/main">
          <x14:cfRule type="iconSet" priority="18" id="{F1A6B5FE-28EA-498A-98A0-4B8A0F27155E}">
            <x14:iconSet iconSet="3Symbols2" showValue="0" custom="1">
              <x14:cfvo type="percent">
                <xm:f>0</xm:f>
              </x14:cfvo>
              <x14:cfvo type="num">
                <xm:f>0</xm:f>
              </x14:cfvo>
              <x14:cfvo type="num">
                <xm:f>3</xm:f>
              </x14:cfvo>
              <x14:cfIcon iconSet="3Symbols2" iconId="0"/>
              <x14:cfIcon iconSet="3Symbols2" iconId="0"/>
              <x14:cfIcon iconSet="3Symbols2" iconId="2"/>
            </x14:iconSet>
          </x14:cfRule>
          <xm:sqref>H40</xm:sqref>
        </x14:conditionalFormatting>
        <x14:conditionalFormatting xmlns:xm="http://schemas.microsoft.com/office/excel/2006/main">
          <x14:cfRule type="iconSet" priority="17" id="{FB54D358-EDA7-4D45-8BED-8A77B7684C40}">
            <x14:iconSet iconSet="3Symbols2" showValue="0" custom="1">
              <x14:cfvo type="percent">
                <xm:f>0</xm:f>
              </x14:cfvo>
              <x14:cfvo type="num">
                <xm:f>0</xm:f>
              </x14:cfvo>
              <x14:cfvo type="num">
                <xm:f>3</xm:f>
              </x14:cfvo>
              <x14:cfIcon iconSet="3Symbols2" iconId="0"/>
              <x14:cfIcon iconSet="3Symbols2" iconId="0"/>
              <x14:cfIcon iconSet="3Symbols2" iconId="2"/>
            </x14:iconSet>
          </x14:cfRule>
          <xm:sqref>H41</xm:sqref>
        </x14:conditionalFormatting>
        <x14:conditionalFormatting xmlns:xm="http://schemas.microsoft.com/office/excel/2006/main">
          <x14:cfRule type="iconSet" priority="16" id="{3D2476E3-BDD6-4E83-A5DF-1D8CF3251AE9}">
            <x14:iconSet iconSet="3Symbols2" showValue="0" custom="1">
              <x14:cfvo type="percent">
                <xm:f>0</xm:f>
              </x14:cfvo>
              <x14:cfvo type="num">
                <xm:f>0</xm:f>
              </x14:cfvo>
              <x14:cfvo type="num">
                <xm:f>6</xm:f>
              </x14:cfvo>
              <x14:cfIcon iconSet="3Symbols2" iconId="0"/>
              <x14:cfIcon iconSet="3Symbols2" iconId="0"/>
              <x14:cfIcon iconSet="3Symbols2" iconId="2"/>
            </x14:iconSet>
          </x14:cfRule>
          <xm:sqref>H42</xm:sqref>
        </x14:conditionalFormatting>
        <x14:conditionalFormatting xmlns:xm="http://schemas.microsoft.com/office/excel/2006/main">
          <x14:cfRule type="iconSet" priority="15" id="{0C7B0AAC-D48D-4769-9DB1-DAD9CDE6492D}">
            <x14:iconSet iconSet="3Symbols2" showValue="0" custom="1">
              <x14:cfvo type="percent">
                <xm:f>0</xm:f>
              </x14:cfvo>
              <x14:cfvo type="num">
                <xm:f>0</xm:f>
              </x14:cfvo>
              <x14:cfvo type="num">
                <xm:f>6</xm:f>
              </x14:cfvo>
              <x14:cfIcon iconSet="3Symbols2" iconId="0"/>
              <x14:cfIcon iconSet="3Symbols2" iconId="0"/>
              <x14:cfIcon iconSet="3Symbols2" iconId="2"/>
            </x14:iconSet>
          </x14:cfRule>
          <xm:sqref>H43</xm:sqref>
        </x14:conditionalFormatting>
        <x14:conditionalFormatting xmlns:xm="http://schemas.microsoft.com/office/excel/2006/main">
          <x14:cfRule type="iconSet" priority="14" id="{5CBC3944-4F63-4310-A066-7E34FEE46A91}">
            <x14:iconSet iconSet="3Symbols2" showValue="0" custom="1">
              <x14:cfvo type="percent">
                <xm:f>0</xm:f>
              </x14:cfvo>
              <x14:cfvo type="num">
                <xm:f>0</xm:f>
              </x14:cfvo>
              <x14:cfvo type="num">
                <xm:f>7</xm:f>
              </x14:cfvo>
              <x14:cfIcon iconSet="3Symbols2" iconId="0"/>
              <x14:cfIcon iconSet="3Symbols2" iconId="0"/>
              <x14:cfIcon iconSet="3Symbols2" iconId="2"/>
            </x14:iconSet>
          </x14:cfRule>
          <xm:sqref>H44</xm:sqref>
        </x14:conditionalFormatting>
        <x14:conditionalFormatting xmlns:xm="http://schemas.microsoft.com/office/excel/2006/main">
          <x14:cfRule type="iconSet" priority="13" id="{B5E7CD0C-0A92-428A-8D54-544B3280B387}">
            <x14:iconSet iconSet="3Symbols2" showValue="0" custom="1">
              <x14:cfvo type="percent">
                <xm:f>0</xm:f>
              </x14:cfvo>
              <x14:cfvo type="num">
                <xm:f>0</xm:f>
              </x14:cfvo>
              <x14:cfvo type="num">
                <xm:f>7</xm:f>
              </x14:cfvo>
              <x14:cfIcon iconSet="3Symbols2" iconId="0"/>
              <x14:cfIcon iconSet="3Symbols2" iconId="0"/>
              <x14:cfIcon iconSet="3Symbols2" iconId="2"/>
            </x14:iconSet>
          </x14:cfRule>
          <xm:sqref>H45</xm:sqref>
        </x14:conditionalFormatting>
        <x14:conditionalFormatting xmlns:xm="http://schemas.microsoft.com/office/excel/2006/main">
          <x14:cfRule type="iconSet" priority="12" id="{F6A94850-47F9-4C05-8A6B-A5FF3E93484E}">
            <x14:iconSet iconSet="3Symbols2" showValue="0" custom="1">
              <x14:cfvo type="percent">
                <xm:f>0</xm:f>
              </x14:cfvo>
              <x14:cfvo type="num">
                <xm:f>0</xm:f>
              </x14:cfvo>
              <x14:cfvo type="num">
                <xm:f>2</xm:f>
              </x14:cfvo>
              <x14:cfIcon iconSet="3Symbols2" iconId="0"/>
              <x14:cfIcon iconSet="3Symbols2" iconId="0"/>
              <x14:cfIcon iconSet="3Symbols2" iconId="2"/>
            </x14:iconSet>
          </x14:cfRule>
          <xm:sqref>H46</xm:sqref>
        </x14:conditionalFormatting>
        <x14:conditionalFormatting xmlns:xm="http://schemas.microsoft.com/office/excel/2006/main">
          <x14:cfRule type="iconSet" priority="11" id="{D3E3D7F4-D703-4BF3-A364-A4E6DCC27819}">
            <x14:iconSet iconSet="3Symbols2" showValue="0" custom="1">
              <x14:cfvo type="percent">
                <xm:f>0</xm:f>
              </x14:cfvo>
              <x14:cfvo type="num">
                <xm:f>0</xm:f>
              </x14:cfvo>
              <x14:cfvo type="num">
                <xm:f>5</xm:f>
              </x14:cfvo>
              <x14:cfIcon iconSet="3Symbols2" iconId="0"/>
              <x14:cfIcon iconSet="3Symbols2" iconId="0"/>
              <x14:cfIcon iconSet="3Symbols2" iconId="2"/>
            </x14:iconSet>
          </x14:cfRule>
          <xm:sqref>H47</xm:sqref>
        </x14:conditionalFormatting>
        <x14:conditionalFormatting xmlns:xm="http://schemas.microsoft.com/office/excel/2006/main">
          <x14:cfRule type="iconSet" priority="10" id="{A28E7D5B-48EF-4F1C-BBBC-C2B623DB28DE}">
            <x14:iconSet iconSet="3Symbols2" showValue="0" custom="1">
              <x14:cfvo type="percent">
                <xm:f>0</xm:f>
              </x14:cfvo>
              <x14:cfvo type="num">
                <xm:f>0</xm:f>
              </x14:cfvo>
              <x14:cfvo type="num">
                <xm:f>4</xm:f>
              </x14:cfvo>
              <x14:cfIcon iconSet="3Symbols2" iconId="0"/>
              <x14:cfIcon iconSet="3Symbols2" iconId="0"/>
              <x14:cfIcon iconSet="3Symbols2" iconId="2"/>
            </x14:iconSet>
          </x14:cfRule>
          <xm:sqref>H48</xm:sqref>
        </x14:conditionalFormatting>
        <x14:conditionalFormatting xmlns:xm="http://schemas.microsoft.com/office/excel/2006/main">
          <x14:cfRule type="iconSet" priority="9" id="{27BC19AF-EE52-4EA4-BC5B-17B63062650E}">
            <x14:iconSet iconSet="3Symbols2" showValue="0" custom="1">
              <x14:cfvo type="percent">
                <xm:f>0</xm:f>
              </x14:cfvo>
              <x14:cfvo type="num">
                <xm:f>0</xm:f>
              </x14:cfvo>
              <x14:cfvo type="num">
                <xm:f>4</xm:f>
              </x14:cfvo>
              <x14:cfIcon iconSet="3Symbols2" iconId="0"/>
              <x14:cfIcon iconSet="3Symbols2" iconId="0"/>
              <x14:cfIcon iconSet="3Symbols2" iconId="2"/>
            </x14:iconSet>
          </x14:cfRule>
          <xm:sqref>H49</xm:sqref>
        </x14:conditionalFormatting>
        <x14:conditionalFormatting xmlns:xm="http://schemas.microsoft.com/office/excel/2006/main">
          <x14:cfRule type="iconSet" priority="4" id="{DA5FE46D-5A43-41F6-B653-539250CAC97B}">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H50</xm:sqref>
        </x14:conditionalFormatting>
        <x14:conditionalFormatting xmlns:xm="http://schemas.microsoft.com/office/excel/2006/main">
          <x14:cfRule type="iconSet" priority="3" id="{8A08D6B0-3CF3-45CB-B6AE-AB4E9CDAD0F5}">
            <x14:iconSet iconSet="3Symbols2" showValue="0" custom="1">
              <x14:cfvo type="percent">
                <xm:f>0</xm:f>
              </x14:cfvo>
              <x14:cfvo type="num">
                <xm:f>0</xm:f>
              </x14:cfvo>
              <x14:cfvo type="num">
                <xm:f>4</xm:f>
              </x14:cfvo>
              <x14:cfIcon iconSet="3Symbols2" iconId="0"/>
              <x14:cfIcon iconSet="3Symbols2" iconId="0"/>
              <x14:cfIcon iconSet="3Symbols2" iconId="2"/>
            </x14:iconSet>
          </x14:cfRule>
          <xm:sqref>H51:H52</xm:sqref>
        </x14:conditionalFormatting>
        <x14:conditionalFormatting xmlns:xm="http://schemas.microsoft.com/office/excel/2006/main">
          <x14:cfRule type="iconSet" priority="8" id="{290BF63A-6DAC-4411-9A7F-3212C9FD3D8B}">
            <x14:iconSet iconSet="3Symbols2" showValue="0" custom="1">
              <x14:cfvo type="percent">
                <xm:f>0</xm:f>
              </x14:cfvo>
              <x14:cfvo type="num">
                <xm:f>0</xm:f>
              </x14:cfvo>
              <x14:cfvo type="num">
                <xm:f>4</xm:f>
              </x14:cfvo>
              <x14:cfIcon iconSet="3Symbols2" iconId="0"/>
              <x14:cfIcon iconSet="3Symbols2" iconId="0"/>
              <x14:cfIcon iconSet="3Symbols2" iconId="2"/>
            </x14:iconSet>
          </x14:cfRule>
          <xm:sqref>H53</xm:sqref>
        </x14:conditionalFormatting>
        <x14:conditionalFormatting xmlns:xm="http://schemas.microsoft.com/office/excel/2006/main">
          <x14:cfRule type="iconSet" priority="7" id="{CB69A7C2-D742-4223-B2F7-EEFE2FDBF8E7}">
            <x14:iconSet iconSet="3Symbols2" showValue="0" custom="1">
              <x14:cfvo type="percent">
                <xm:f>0</xm:f>
              </x14:cfvo>
              <x14:cfvo type="num">
                <xm:f>0</xm:f>
              </x14:cfvo>
              <x14:cfvo type="num">
                <xm:f>5</xm:f>
              </x14:cfvo>
              <x14:cfIcon iconSet="3Symbols2" iconId="0"/>
              <x14:cfIcon iconSet="3Symbols2" iconId="0"/>
              <x14:cfIcon iconSet="3Symbols2" iconId="2"/>
            </x14:iconSet>
          </x14:cfRule>
          <xm:sqref>H54</xm:sqref>
        </x14:conditionalFormatting>
        <x14:conditionalFormatting xmlns:xm="http://schemas.microsoft.com/office/excel/2006/main">
          <x14:cfRule type="iconSet" priority="6" id="{72B9AA5F-A312-4756-B36E-0491DA4EC3E9}">
            <x14:iconSet iconSet="3Symbols2" showValue="0" custom="1">
              <x14:cfvo type="percent">
                <xm:f>0</xm:f>
              </x14:cfvo>
              <x14:cfvo type="num">
                <xm:f>0</xm:f>
              </x14:cfvo>
              <x14:cfvo type="num">
                <xm:f>4</xm:f>
              </x14:cfvo>
              <x14:cfIcon iconSet="3Symbols2" iconId="0"/>
              <x14:cfIcon iconSet="3Symbols2" iconId="0"/>
              <x14:cfIcon iconSet="3Symbols2" iconId="2"/>
            </x14:iconSet>
          </x14:cfRule>
          <xm:sqref>H55</xm:sqref>
        </x14:conditionalFormatting>
        <x14:conditionalFormatting xmlns:xm="http://schemas.microsoft.com/office/excel/2006/main">
          <x14:cfRule type="iconSet" priority="2" id="{47948D18-DED9-42EE-AFD5-350B18924C10}">
            <x14:iconSet iconSet="3Symbols2" showValue="0" custom="1">
              <x14:cfvo type="percent">
                <xm:f>0</xm:f>
              </x14:cfvo>
              <x14:cfvo type="num">
                <xm:f>0</xm:f>
              </x14:cfvo>
              <x14:cfvo type="num">
                <xm:f>11</xm:f>
              </x14:cfvo>
              <x14:cfIcon iconSet="3Symbols2" iconId="0"/>
              <x14:cfIcon iconSet="3Symbols2" iconId="0"/>
              <x14:cfIcon iconSet="3Symbols2" iconId="2"/>
            </x14:iconSet>
          </x14:cfRule>
          <xm:sqref>H56</xm:sqref>
        </x14:conditionalFormatting>
        <x14:conditionalFormatting xmlns:xm="http://schemas.microsoft.com/office/excel/2006/main">
          <x14:cfRule type="iconSet" priority="1" id="{E64676A1-9E3B-4FD3-B199-2E44F5F609EA}">
            <x14:iconSet iconSet="3Symbols2" showValue="0" custom="1">
              <x14:cfvo type="percent">
                <xm:f>0</xm:f>
              </x14:cfvo>
              <x14:cfvo type="num">
                <xm:f>0</xm:f>
              </x14:cfvo>
              <x14:cfvo type="num">
                <xm:f>10</xm:f>
              </x14:cfvo>
              <x14:cfIcon iconSet="3Symbols2" iconId="0"/>
              <x14:cfIcon iconSet="3Symbols2" iconId="0"/>
              <x14:cfIcon iconSet="3Symbols2" iconId="2"/>
            </x14:iconSet>
          </x14:cfRule>
          <xm:sqref>H57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4DFA-E98B-4799-BF45-77BB9006B31F}">
  <sheetPr codeName="Sheet9">
    <tabColor rgb="FF27CCF9"/>
  </sheetPr>
  <dimension ref="B1:R1000"/>
  <sheetViews>
    <sheetView workbookViewId="0"/>
  </sheetViews>
  <sheetFormatPr defaultColWidth="8.54296875" defaultRowHeight="14.5" x14ac:dyDescent="0.35"/>
  <cols>
    <col min="1" max="1" width="8.54296875" style="18"/>
    <col min="2" max="4" width="32.54296875" style="18" customWidth="1"/>
    <col min="5" max="5" width="41.54296875" style="18" customWidth="1"/>
    <col min="6" max="6" width="28.453125" style="18" customWidth="1"/>
    <col min="7" max="7" width="23.54296875" style="18" customWidth="1"/>
    <col min="8" max="8" width="20.453125" style="18" hidden="1" customWidth="1"/>
    <col min="9" max="9" width="0" style="18" hidden="1" customWidth="1"/>
    <col min="10" max="11" width="8.54296875" style="18" customWidth="1"/>
    <col min="12" max="12" width="8.54296875" style="18"/>
    <col min="13" max="13" width="18.54296875" style="18" customWidth="1"/>
    <col min="14" max="14" width="8.54296875" style="18"/>
    <col min="15" max="15" width="31.54296875" style="18" customWidth="1"/>
    <col min="16" max="16" width="8.54296875" style="18"/>
    <col min="17" max="17" width="18.453125" style="18" customWidth="1"/>
    <col min="18" max="16384" width="8.54296875" style="18"/>
  </cols>
  <sheetData>
    <row r="1" spans="2:18" ht="15" thickBot="1" x14ac:dyDescent="0.4">
      <c r="M1" s="85" t="s">
        <v>166</v>
      </c>
      <c r="N1" s="481" t="s">
        <v>167</v>
      </c>
      <c r="O1" s="482"/>
      <c r="P1" s="483" t="s">
        <v>168</v>
      </c>
      <c r="Q1" s="484"/>
    </row>
    <row r="2" spans="2:18" ht="19" thickBot="1" x14ac:dyDescent="0.4">
      <c r="B2" s="489" t="s">
        <v>169</v>
      </c>
      <c r="C2" s="490"/>
      <c r="D2" s="490"/>
      <c r="E2" s="490"/>
      <c r="F2" s="490"/>
      <c r="G2" s="490"/>
      <c r="H2" s="490"/>
      <c r="M2" s="11"/>
      <c r="N2" s="485" t="s">
        <v>170</v>
      </c>
      <c r="O2" s="486"/>
      <c r="P2" s="487" t="s">
        <v>171</v>
      </c>
      <c r="Q2" s="488"/>
    </row>
    <row r="3" spans="2:18" ht="53.15" customHeight="1" thickBot="1" x14ac:dyDescent="0.4">
      <c r="B3" s="477" t="s">
        <v>172</v>
      </c>
      <c r="C3" s="478"/>
      <c r="D3" s="478"/>
      <c r="E3" s="478"/>
      <c r="F3" s="478"/>
      <c r="G3" s="478"/>
      <c r="H3" s="478"/>
    </row>
    <row r="4" spans="2:18" ht="117" customHeight="1" x14ac:dyDescent="0.35">
      <c r="B4" s="479" t="s">
        <v>173</v>
      </c>
      <c r="C4" s="480"/>
      <c r="D4" s="480"/>
      <c r="E4" s="480"/>
      <c r="F4" s="480"/>
      <c r="G4" s="480"/>
      <c r="H4" s="480"/>
    </row>
    <row r="5" spans="2:18" ht="17.899999999999999" customHeight="1" x14ac:dyDescent="0.35">
      <c r="B5" s="476" t="s">
        <v>174</v>
      </c>
      <c r="C5" s="476"/>
      <c r="D5" s="476"/>
      <c r="E5" s="476"/>
      <c r="F5" s="86" t="str">
        <f>IF($I$6=0,"No data entered",IF($H$6=0," ","Floor area missing"))</f>
        <v xml:space="preserve"> </v>
      </c>
      <c r="G5" s="87"/>
      <c r="H5" s="88" t="s">
        <v>175</v>
      </c>
      <c r="I5" s="8" t="s">
        <v>176</v>
      </c>
      <c r="M5" s="87"/>
      <c r="N5" s="87"/>
      <c r="O5" s="89"/>
      <c r="P5" s="89"/>
      <c r="Q5" s="89"/>
      <c r="R5" s="89"/>
    </row>
    <row r="6" spans="2:18" ht="21" customHeight="1" thickBot="1" x14ac:dyDescent="0.4">
      <c r="B6" s="90" t="s">
        <v>177</v>
      </c>
      <c r="C6" s="90" t="s">
        <v>178</v>
      </c>
      <c r="D6" s="90" t="s">
        <v>179</v>
      </c>
      <c r="E6" s="90" t="s">
        <v>180</v>
      </c>
      <c r="F6" s="91" t="s">
        <v>181</v>
      </c>
      <c r="H6" s="8">
        <f>SUM(H7:H33)</f>
        <v>0</v>
      </c>
      <c r="I6" s="8">
        <f>SUM(I7:I33)</f>
        <v>1</v>
      </c>
    </row>
    <row r="7" spans="2:18" x14ac:dyDescent="0.35">
      <c r="B7" s="80" t="s">
        <v>182</v>
      </c>
      <c r="C7" s="34" t="s">
        <v>183</v>
      </c>
      <c r="D7" s="34" t="s">
        <v>184</v>
      </c>
      <c r="E7" s="34" t="s">
        <v>185</v>
      </c>
      <c r="F7" s="83">
        <v>100</v>
      </c>
      <c r="H7" s="1" cm="1">
        <f t="array" ref="H7">IF(AND(ISBLANK(F7), NOT(ISBLANK(B7:E7))), 1,0)</f>
        <v>0</v>
      </c>
      <c r="I7" s="18">
        <f>IF(AND(B7 = "", C7="", D7="",F7=""), 0,1)</f>
        <v>1</v>
      </c>
      <c r="L7" s="18" t="e" cm="1">
        <f t="array" ref="L7">Buildingcategory</f>
        <v>#NAME?</v>
      </c>
    </row>
    <row r="8" spans="2:18" ht="15" thickBot="1" x14ac:dyDescent="0.4">
      <c r="B8" s="80"/>
      <c r="C8" s="34"/>
      <c r="D8" s="34"/>
      <c r="E8" s="34"/>
      <c r="F8" s="83"/>
      <c r="H8" s="1" cm="1">
        <f t="array" ref="H8">IF(AND(ISBLANK(F8), NOT(ISBLANK(B8:E8))), 1,0)</f>
        <v>0</v>
      </c>
      <c r="I8" s="18">
        <f t="shared" ref="I8:I32" si="0">IF(AND(B8 = "", C8="", D8="",F8=""), 0,1)</f>
        <v>0</v>
      </c>
    </row>
    <row r="9" spans="2:18" ht="15" thickBot="1" x14ac:dyDescent="0.4">
      <c r="B9" s="80"/>
      <c r="C9" s="34"/>
      <c r="D9" s="34"/>
      <c r="E9" s="34"/>
      <c r="F9" s="83"/>
      <c r="H9" s="1" cm="1">
        <f t="array" ref="H9">IF(AND(ISBLANK(F9), NOT(ISBLANK(B9:E9))), 1,0)</f>
        <v>0</v>
      </c>
      <c r="I9" s="18">
        <f t="shared" si="0"/>
        <v>0</v>
      </c>
    </row>
    <row r="10" spans="2:18" ht="15" thickBot="1" x14ac:dyDescent="0.4">
      <c r="B10" s="80"/>
      <c r="C10" s="34"/>
      <c r="D10" s="34"/>
      <c r="E10" s="34"/>
      <c r="F10" s="83"/>
      <c r="H10" s="1" cm="1">
        <f t="array" ref="H10">IF(AND(ISBLANK(F10), NOT(ISBLANK(B10:E10))), 1,0)</f>
        <v>0</v>
      </c>
      <c r="I10" s="18">
        <f t="shared" si="0"/>
        <v>0</v>
      </c>
    </row>
    <row r="11" spans="2:18" ht="15" thickBot="1" x14ac:dyDescent="0.4">
      <c r="B11" s="80"/>
      <c r="C11" s="34"/>
      <c r="D11" s="34"/>
      <c r="E11" s="34"/>
      <c r="F11" s="83"/>
      <c r="H11" s="1" cm="1">
        <f t="array" ref="H11">IF(AND(ISBLANK(F11), NOT(ISBLANK(B11:E11))), 1,0)</f>
        <v>0</v>
      </c>
      <c r="I11" s="18">
        <f t="shared" si="0"/>
        <v>0</v>
      </c>
    </row>
    <row r="12" spans="2:18" ht="15" thickBot="1" x14ac:dyDescent="0.4">
      <c r="B12" s="80"/>
      <c r="C12" s="34"/>
      <c r="D12" s="34"/>
      <c r="E12" s="34"/>
      <c r="F12" s="83"/>
      <c r="H12" s="1" cm="1">
        <f t="array" ref="H12">IF(AND(ISBLANK(F12), NOT(ISBLANK(B12:E12))), 1,0)</f>
        <v>0</v>
      </c>
      <c r="I12" s="18">
        <f t="shared" si="0"/>
        <v>0</v>
      </c>
    </row>
    <row r="13" spans="2:18" ht="15" thickBot="1" x14ac:dyDescent="0.4">
      <c r="B13" s="80"/>
      <c r="C13" s="34"/>
      <c r="D13" s="34"/>
      <c r="E13" s="34"/>
      <c r="F13" s="83"/>
      <c r="H13" s="1" cm="1">
        <f t="array" ref="H13">IF(AND(ISBLANK(F13), NOT(ISBLANK(B13:E13))), 1,0)</f>
        <v>0</v>
      </c>
      <c r="I13" s="18">
        <f t="shared" si="0"/>
        <v>0</v>
      </c>
    </row>
    <row r="14" spans="2:18" ht="15" thickBot="1" x14ac:dyDescent="0.4">
      <c r="B14" s="80"/>
      <c r="C14" s="34"/>
      <c r="D14" s="34"/>
      <c r="E14" s="34"/>
      <c r="F14" s="83"/>
      <c r="H14" s="1" cm="1">
        <f t="array" ref="H14">IF(AND(ISBLANK(F14), NOT(ISBLANK(B14:E14))), 1,0)</f>
        <v>0</v>
      </c>
      <c r="I14" s="18">
        <f t="shared" si="0"/>
        <v>0</v>
      </c>
    </row>
    <row r="15" spans="2:18" ht="15" thickBot="1" x14ac:dyDescent="0.4">
      <c r="B15" s="70"/>
      <c r="C15" s="34"/>
      <c r="D15" s="34"/>
      <c r="E15" s="34"/>
      <c r="F15" s="83"/>
      <c r="H15" s="1" cm="1">
        <f t="array" ref="H15">IF(AND(ISBLANK(F15), NOT(ISBLANK(B15:E15))), 1,0)</f>
        <v>0</v>
      </c>
      <c r="I15" s="18">
        <f t="shared" si="0"/>
        <v>0</v>
      </c>
    </row>
    <row r="16" spans="2:18" ht="15" thickBot="1" x14ac:dyDescent="0.4">
      <c r="B16" s="70"/>
      <c r="C16" s="34"/>
      <c r="D16" s="34"/>
      <c r="E16" s="34"/>
      <c r="F16" s="83"/>
      <c r="H16" s="1" cm="1">
        <f t="array" ref="H16">IF(AND(ISBLANK(F16), NOT(ISBLANK(B16:E16))), 1,0)</f>
        <v>0</v>
      </c>
      <c r="I16" s="18">
        <f t="shared" si="0"/>
        <v>0</v>
      </c>
    </row>
    <row r="17" spans="2:9" ht="15" thickBot="1" x14ac:dyDescent="0.4">
      <c r="B17" s="70"/>
      <c r="C17" s="34"/>
      <c r="D17" s="34"/>
      <c r="E17" s="34"/>
      <c r="F17" s="83"/>
      <c r="H17" s="1" cm="1">
        <f t="array" ref="H17">IF(AND(ISBLANK(F17), NOT(ISBLANK(B17:E17))), 1,0)</f>
        <v>0</v>
      </c>
      <c r="I17" s="18">
        <f t="shared" si="0"/>
        <v>0</v>
      </c>
    </row>
    <row r="18" spans="2:9" ht="15" thickBot="1" x14ac:dyDescent="0.4">
      <c r="B18" s="70"/>
      <c r="C18" s="34"/>
      <c r="D18" s="34"/>
      <c r="E18" s="34"/>
      <c r="F18" s="83"/>
      <c r="H18" s="1" cm="1">
        <f t="array" ref="H18">IF(AND(ISBLANK(F18), NOT(ISBLANK(B18:E18))), 1,0)</f>
        <v>0</v>
      </c>
      <c r="I18" s="18">
        <f t="shared" si="0"/>
        <v>0</v>
      </c>
    </row>
    <row r="19" spans="2:9" ht="15" thickBot="1" x14ac:dyDescent="0.4">
      <c r="B19" s="70"/>
      <c r="C19" s="34"/>
      <c r="D19" s="34"/>
      <c r="E19" s="34"/>
      <c r="F19" s="83"/>
      <c r="H19" s="1" cm="1">
        <f t="array" ref="H19">IF(AND(ISBLANK(F19), NOT(ISBLANK(B19:E19))), 1,0)</f>
        <v>0</v>
      </c>
      <c r="I19" s="18">
        <f t="shared" si="0"/>
        <v>0</v>
      </c>
    </row>
    <row r="20" spans="2:9" ht="15" thickBot="1" x14ac:dyDescent="0.4">
      <c r="B20" s="70"/>
      <c r="C20" s="34"/>
      <c r="D20" s="34"/>
      <c r="E20" s="34"/>
      <c r="F20" s="83"/>
      <c r="H20" s="1" cm="1">
        <f t="array" ref="H20">IF(AND(ISBLANK(F20), NOT(ISBLANK(B20:E20))), 1,0)</f>
        <v>0</v>
      </c>
      <c r="I20" s="18">
        <f t="shared" si="0"/>
        <v>0</v>
      </c>
    </row>
    <row r="21" spans="2:9" ht="15" thickBot="1" x14ac:dyDescent="0.4">
      <c r="B21" s="70"/>
      <c r="C21" s="34"/>
      <c r="D21" s="34"/>
      <c r="E21" s="34"/>
      <c r="F21" s="83"/>
      <c r="H21" s="1" cm="1">
        <f t="array" ref="H21">IF(AND(ISBLANK(F21), NOT(ISBLANK(B21:E21))), 1,0)</f>
        <v>0</v>
      </c>
      <c r="I21" s="18">
        <f t="shared" si="0"/>
        <v>0</v>
      </c>
    </row>
    <row r="22" spans="2:9" ht="15" thickBot="1" x14ac:dyDescent="0.4">
      <c r="B22" s="70"/>
      <c r="C22" s="34"/>
      <c r="D22" s="34"/>
      <c r="E22" s="34"/>
      <c r="F22" s="83"/>
      <c r="H22" s="1" cm="1">
        <f t="array" ref="H22">IF(AND(ISBLANK(F22), NOT(ISBLANK(B22:E22))), 1,0)</f>
        <v>0</v>
      </c>
      <c r="I22" s="18">
        <f t="shared" si="0"/>
        <v>0</v>
      </c>
    </row>
    <row r="23" spans="2:9" ht="15" thickBot="1" x14ac:dyDescent="0.4">
      <c r="B23" s="70"/>
      <c r="C23" s="34"/>
      <c r="D23" s="34"/>
      <c r="E23" s="34"/>
      <c r="F23" s="83"/>
      <c r="H23" s="1" cm="1">
        <f t="array" ref="H23">IF(AND(ISBLANK(F23), NOT(ISBLANK(B23:E23))), 1,0)</f>
        <v>0</v>
      </c>
      <c r="I23" s="18">
        <f t="shared" si="0"/>
        <v>0</v>
      </c>
    </row>
    <row r="24" spans="2:9" ht="15" thickBot="1" x14ac:dyDescent="0.4">
      <c r="B24" s="70"/>
      <c r="C24" s="34"/>
      <c r="D24" s="34"/>
      <c r="E24" s="34"/>
      <c r="F24" s="83"/>
      <c r="H24" s="1" cm="1">
        <f t="array" ref="H24">IF(AND(ISBLANK(F24), NOT(ISBLANK(B24:E24))), 1,0)</f>
        <v>0</v>
      </c>
      <c r="I24" s="18">
        <f t="shared" si="0"/>
        <v>0</v>
      </c>
    </row>
    <row r="25" spans="2:9" ht="15" thickBot="1" x14ac:dyDescent="0.4">
      <c r="B25" s="70"/>
      <c r="C25" s="34"/>
      <c r="D25" s="34"/>
      <c r="E25" s="34"/>
      <c r="F25" s="83"/>
      <c r="H25" s="1" cm="1">
        <f t="array" ref="H25">IF(AND(ISBLANK(F25), NOT(ISBLANK(B25:E25))), 1,0)</f>
        <v>0</v>
      </c>
      <c r="I25" s="18">
        <f t="shared" si="0"/>
        <v>0</v>
      </c>
    </row>
    <row r="26" spans="2:9" ht="15" thickBot="1" x14ac:dyDescent="0.4">
      <c r="B26" s="70"/>
      <c r="C26" s="34"/>
      <c r="D26" s="34"/>
      <c r="E26" s="34"/>
      <c r="F26" s="83"/>
      <c r="H26" s="1" cm="1">
        <f t="array" ref="H26">IF(AND(ISBLANK(F26), NOT(ISBLANK(B26:E26))), 1,0)</f>
        <v>0</v>
      </c>
      <c r="I26" s="18">
        <f t="shared" si="0"/>
        <v>0</v>
      </c>
    </row>
    <row r="27" spans="2:9" ht="15" thickBot="1" x14ac:dyDescent="0.4">
      <c r="B27" s="70"/>
      <c r="C27" s="34"/>
      <c r="D27" s="34"/>
      <c r="E27" s="34"/>
      <c r="F27" s="83"/>
      <c r="H27" s="1" cm="1">
        <f t="array" ref="H27">IF(AND(ISBLANK(F27), NOT(ISBLANK(B27:E27))), 1,0)</f>
        <v>0</v>
      </c>
      <c r="I27" s="18">
        <f t="shared" si="0"/>
        <v>0</v>
      </c>
    </row>
    <row r="28" spans="2:9" ht="15" thickBot="1" x14ac:dyDescent="0.4">
      <c r="B28" s="70"/>
      <c r="C28" s="34"/>
      <c r="D28" s="34"/>
      <c r="E28" s="34"/>
      <c r="F28" s="83"/>
      <c r="H28" s="1" cm="1">
        <f t="array" ref="H28">IF(AND(ISBLANK(F28), NOT(ISBLANK(B28:E28))), 1,0)</f>
        <v>0</v>
      </c>
      <c r="I28" s="18">
        <f t="shared" si="0"/>
        <v>0</v>
      </c>
    </row>
    <row r="29" spans="2:9" ht="15" thickBot="1" x14ac:dyDescent="0.4">
      <c r="B29" s="70"/>
      <c r="C29" s="34"/>
      <c r="D29" s="34"/>
      <c r="E29" s="34"/>
      <c r="F29" s="83"/>
      <c r="H29" s="1" cm="1">
        <f t="array" ref="H29">IF(AND(ISBLANK(F29), NOT(ISBLANK(B29:E29))), 1,0)</f>
        <v>0</v>
      </c>
      <c r="I29" s="18">
        <f t="shared" si="0"/>
        <v>0</v>
      </c>
    </row>
    <row r="30" spans="2:9" ht="15" thickBot="1" x14ac:dyDescent="0.4">
      <c r="B30" s="70"/>
      <c r="C30" s="34"/>
      <c r="D30" s="34"/>
      <c r="E30" s="34"/>
      <c r="F30" s="83"/>
      <c r="H30" s="1" cm="1">
        <f t="array" ref="H30">IF(AND(ISBLANK(F30), NOT(ISBLANK(B30:E30))), 1,0)</f>
        <v>0</v>
      </c>
      <c r="I30" s="18">
        <f t="shared" si="0"/>
        <v>0</v>
      </c>
    </row>
    <row r="31" spans="2:9" ht="15" thickBot="1" x14ac:dyDescent="0.4">
      <c r="B31" s="70"/>
      <c r="C31" s="34"/>
      <c r="D31" s="34"/>
      <c r="E31" s="34"/>
      <c r="F31" s="83"/>
      <c r="H31" s="1" cm="1">
        <f t="array" ref="H31">IF(AND(ISBLANK(F31), NOT(ISBLANK(B31:E31))), 1,0)</f>
        <v>0</v>
      </c>
      <c r="I31" s="18">
        <f t="shared" si="0"/>
        <v>0</v>
      </c>
    </row>
    <row r="32" spans="2:9" ht="15" thickBot="1" x14ac:dyDescent="0.4">
      <c r="B32" s="70"/>
      <c r="C32" s="34"/>
      <c r="D32" s="34"/>
      <c r="E32" s="34"/>
      <c r="F32" s="83"/>
      <c r="H32" s="1">
        <f>IF(AND(COUNTA(B32:E32)=1, ISBLANK(B32) +ISBLANK(F26)=1),1,0)</f>
        <v>0</v>
      </c>
      <c r="I32" s="18">
        <f t="shared" si="0"/>
        <v>0</v>
      </c>
    </row>
    <row r="33" spans="2:6" ht="15" thickBot="1" x14ac:dyDescent="0.4">
      <c r="B33" s="70"/>
      <c r="C33" s="34"/>
      <c r="D33" s="34"/>
      <c r="E33" s="34"/>
      <c r="F33" s="83"/>
    </row>
    <row r="34" spans="2:6" ht="15" thickBot="1" x14ac:dyDescent="0.4">
      <c r="B34" s="70"/>
      <c r="C34" s="34"/>
      <c r="D34" s="34"/>
      <c r="E34" s="34"/>
      <c r="F34" s="83"/>
    </row>
    <row r="35" spans="2:6" ht="15" thickBot="1" x14ac:dyDescent="0.4">
      <c r="B35" s="70"/>
      <c r="C35" s="34"/>
      <c r="D35" s="34"/>
      <c r="E35" s="34"/>
      <c r="F35" s="83"/>
    </row>
    <row r="36" spans="2:6" ht="15" thickBot="1" x14ac:dyDescent="0.4">
      <c r="B36" s="70"/>
      <c r="C36" s="34"/>
      <c r="D36" s="34"/>
      <c r="E36" s="34"/>
      <c r="F36" s="83"/>
    </row>
    <row r="37" spans="2:6" ht="15" thickBot="1" x14ac:dyDescent="0.4">
      <c r="B37" s="70"/>
      <c r="C37" s="34"/>
      <c r="D37" s="34"/>
      <c r="E37" s="34"/>
      <c r="F37" s="83"/>
    </row>
    <row r="38" spans="2:6" ht="15" thickBot="1" x14ac:dyDescent="0.4">
      <c r="B38" s="70"/>
      <c r="C38" s="34"/>
      <c r="D38" s="34"/>
      <c r="E38" s="34"/>
      <c r="F38" s="83"/>
    </row>
    <row r="39" spans="2:6" ht="15" thickBot="1" x14ac:dyDescent="0.4">
      <c r="B39" s="70"/>
      <c r="C39" s="34"/>
      <c r="D39" s="34"/>
      <c r="E39" s="34"/>
      <c r="F39" s="83"/>
    </row>
    <row r="40" spans="2:6" ht="15" thickBot="1" x14ac:dyDescent="0.4">
      <c r="B40" s="70"/>
      <c r="C40" s="34"/>
      <c r="D40" s="34"/>
      <c r="E40" s="34"/>
      <c r="F40" s="83"/>
    </row>
    <row r="41" spans="2:6" ht="15" thickBot="1" x14ac:dyDescent="0.4">
      <c r="B41" s="70"/>
      <c r="C41" s="34"/>
      <c r="D41" s="34"/>
      <c r="E41" s="34"/>
      <c r="F41" s="83"/>
    </row>
    <row r="42" spans="2:6" ht="15" thickBot="1" x14ac:dyDescent="0.4">
      <c r="B42" s="70"/>
      <c r="C42" s="34"/>
      <c r="D42" s="34"/>
      <c r="E42" s="34"/>
      <c r="F42" s="83"/>
    </row>
    <row r="43" spans="2:6" ht="15" thickBot="1" x14ac:dyDescent="0.4">
      <c r="B43" s="70"/>
      <c r="C43" s="34"/>
      <c r="D43" s="34"/>
      <c r="E43" s="34"/>
      <c r="F43" s="83"/>
    </row>
    <row r="44" spans="2:6" ht="15" thickBot="1" x14ac:dyDescent="0.4">
      <c r="B44" s="70"/>
      <c r="C44" s="34"/>
      <c r="D44" s="34"/>
      <c r="E44" s="34"/>
      <c r="F44" s="83"/>
    </row>
    <row r="45" spans="2:6" ht="15" thickBot="1" x14ac:dyDescent="0.4">
      <c r="B45" s="70"/>
      <c r="C45" s="34"/>
      <c r="D45" s="34"/>
      <c r="E45" s="34"/>
      <c r="F45" s="83"/>
    </row>
    <row r="46" spans="2:6" ht="15" thickBot="1" x14ac:dyDescent="0.4">
      <c r="B46" s="70"/>
      <c r="C46" s="34"/>
      <c r="D46" s="34"/>
      <c r="E46" s="34"/>
      <c r="F46" s="83"/>
    </row>
    <row r="47" spans="2:6" ht="15" thickBot="1" x14ac:dyDescent="0.4">
      <c r="B47" s="70"/>
      <c r="C47" s="34"/>
      <c r="D47" s="34"/>
      <c r="E47" s="34"/>
      <c r="F47" s="83"/>
    </row>
    <row r="48" spans="2:6" ht="15" thickBot="1" x14ac:dyDescent="0.4">
      <c r="B48" s="70"/>
      <c r="C48" s="34"/>
      <c r="D48" s="34"/>
      <c r="E48" s="34"/>
      <c r="F48" s="83"/>
    </row>
    <row r="49" spans="2:6" ht="15" thickBot="1" x14ac:dyDescent="0.4">
      <c r="B49" s="70"/>
      <c r="C49" s="34"/>
      <c r="D49" s="34"/>
      <c r="E49" s="34"/>
      <c r="F49" s="83"/>
    </row>
    <row r="50" spans="2:6" ht="15" thickBot="1" x14ac:dyDescent="0.4">
      <c r="B50" s="70"/>
      <c r="C50" s="34"/>
      <c r="D50" s="34"/>
      <c r="E50" s="34"/>
      <c r="F50" s="83"/>
    </row>
    <row r="51" spans="2:6" ht="15" thickBot="1" x14ac:dyDescent="0.4">
      <c r="B51" s="70"/>
      <c r="C51" s="34"/>
      <c r="D51" s="34"/>
      <c r="E51" s="34"/>
      <c r="F51" s="83"/>
    </row>
    <row r="52" spans="2:6" ht="15" thickBot="1" x14ac:dyDescent="0.4">
      <c r="B52" s="70"/>
      <c r="C52" s="34"/>
      <c r="D52" s="34"/>
      <c r="E52" s="34"/>
      <c r="F52" s="83"/>
    </row>
    <row r="53" spans="2:6" ht="15" thickBot="1" x14ac:dyDescent="0.4">
      <c r="B53" s="70"/>
      <c r="C53" s="34"/>
      <c r="D53" s="34"/>
      <c r="E53" s="34"/>
      <c r="F53" s="83"/>
    </row>
    <row r="54" spans="2:6" ht="15" thickBot="1" x14ac:dyDescent="0.4">
      <c r="B54" s="70"/>
      <c r="C54" s="34"/>
      <c r="D54" s="34"/>
      <c r="E54" s="34"/>
      <c r="F54" s="83"/>
    </row>
    <row r="55" spans="2:6" ht="15" thickBot="1" x14ac:dyDescent="0.4">
      <c r="B55" s="70"/>
      <c r="C55" s="34"/>
      <c r="D55" s="34"/>
      <c r="E55" s="34"/>
      <c r="F55" s="83"/>
    </row>
    <row r="56" spans="2:6" ht="15" thickBot="1" x14ac:dyDescent="0.4">
      <c r="B56" s="70"/>
      <c r="C56" s="34"/>
      <c r="D56" s="34"/>
      <c r="E56" s="34"/>
      <c r="F56" s="83"/>
    </row>
    <row r="57" spans="2:6" ht="15" thickBot="1" x14ac:dyDescent="0.4">
      <c r="B57" s="70"/>
      <c r="C57" s="34"/>
      <c r="D57" s="34"/>
      <c r="E57" s="34"/>
      <c r="F57" s="83"/>
    </row>
    <row r="58" spans="2:6" ht="15" thickBot="1" x14ac:dyDescent="0.4">
      <c r="B58" s="70"/>
      <c r="C58" s="34"/>
      <c r="D58" s="34"/>
      <c r="E58" s="34"/>
      <c r="F58" s="83"/>
    </row>
    <row r="59" spans="2:6" ht="15" thickBot="1" x14ac:dyDescent="0.4">
      <c r="B59" s="70"/>
      <c r="C59" s="34"/>
      <c r="D59" s="34"/>
      <c r="E59" s="34"/>
      <c r="F59" s="83"/>
    </row>
    <row r="60" spans="2:6" ht="15" thickBot="1" x14ac:dyDescent="0.4">
      <c r="B60" s="70"/>
      <c r="C60" s="34"/>
      <c r="D60" s="34"/>
      <c r="E60" s="34"/>
      <c r="F60" s="83"/>
    </row>
    <row r="61" spans="2:6" ht="15" thickBot="1" x14ac:dyDescent="0.4">
      <c r="B61" s="70"/>
      <c r="C61" s="34"/>
      <c r="D61" s="34"/>
      <c r="E61" s="34"/>
      <c r="F61" s="83"/>
    </row>
    <row r="62" spans="2:6" ht="15" thickBot="1" x14ac:dyDescent="0.4">
      <c r="B62" s="70"/>
      <c r="C62" s="34"/>
      <c r="D62" s="34"/>
      <c r="E62" s="34"/>
      <c r="F62" s="83"/>
    </row>
    <row r="63" spans="2:6" ht="15" thickBot="1" x14ac:dyDescent="0.4">
      <c r="B63" s="70"/>
      <c r="C63" s="34"/>
      <c r="D63" s="34"/>
      <c r="E63" s="34"/>
      <c r="F63" s="83"/>
    </row>
    <row r="64" spans="2:6" ht="15" thickBot="1" x14ac:dyDescent="0.4">
      <c r="B64" s="70"/>
      <c r="C64" s="34"/>
      <c r="D64" s="34"/>
      <c r="E64" s="34"/>
      <c r="F64" s="83"/>
    </row>
    <row r="65" spans="2:6" ht="15" thickBot="1" x14ac:dyDescent="0.4">
      <c r="B65" s="70"/>
      <c r="C65" s="34"/>
      <c r="D65" s="34"/>
      <c r="E65" s="34"/>
      <c r="F65" s="83"/>
    </row>
    <row r="66" spans="2:6" ht="15" thickBot="1" x14ac:dyDescent="0.4">
      <c r="B66" s="70"/>
      <c r="C66" s="34"/>
      <c r="D66" s="34"/>
      <c r="E66" s="34"/>
      <c r="F66" s="83"/>
    </row>
    <row r="67" spans="2:6" ht="15" thickBot="1" x14ac:dyDescent="0.4">
      <c r="B67" s="70"/>
      <c r="C67" s="34"/>
      <c r="D67" s="34"/>
      <c r="E67" s="34"/>
      <c r="F67" s="83"/>
    </row>
    <row r="68" spans="2:6" ht="15" thickBot="1" x14ac:dyDescent="0.4">
      <c r="B68" s="70"/>
      <c r="C68" s="34"/>
      <c r="D68" s="34"/>
      <c r="E68" s="34"/>
      <c r="F68" s="83"/>
    </row>
    <row r="69" spans="2:6" ht="15" thickBot="1" x14ac:dyDescent="0.4">
      <c r="B69" s="70"/>
      <c r="C69" s="34"/>
      <c r="D69" s="34"/>
      <c r="E69" s="34"/>
      <c r="F69" s="83"/>
    </row>
    <row r="70" spans="2:6" ht="15" thickBot="1" x14ac:dyDescent="0.4">
      <c r="B70" s="70"/>
      <c r="C70" s="34"/>
      <c r="D70" s="34"/>
      <c r="E70" s="34"/>
      <c r="F70" s="83"/>
    </row>
    <row r="71" spans="2:6" ht="15" thickBot="1" x14ac:dyDescent="0.4">
      <c r="B71" s="70"/>
      <c r="C71" s="34"/>
      <c r="D71" s="34"/>
      <c r="E71" s="34"/>
      <c r="F71" s="83"/>
    </row>
    <row r="72" spans="2:6" ht="15" thickBot="1" x14ac:dyDescent="0.4">
      <c r="B72" s="70"/>
      <c r="C72" s="34"/>
      <c r="D72" s="34"/>
      <c r="E72" s="34"/>
      <c r="F72" s="83"/>
    </row>
    <row r="73" spans="2:6" ht="15" thickBot="1" x14ac:dyDescent="0.4">
      <c r="B73" s="70"/>
      <c r="C73" s="34"/>
      <c r="D73" s="34"/>
      <c r="E73" s="34"/>
      <c r="F73" s="83"/>
    </row>
    <row r="74" spans="2:6" ht="15" thickBot="1" x14ac:dyDescent="0.4">
      <c r="B74" s="70"/>
      <c r="C74" s="34"/>
      <c r="D74" s="34"/>
      <c r="E74" s="34"/>
      <c r="F74" s="83"/>
    </row>
    <row r="75" spans="2:6" ht="15" thickBot="1" x14ac:dyDescent="0.4">
      <c r="B75" s="70"/>
      <c r="C75" s="34"/>
      <c r="D75" s="34"/>
      <c r="E75" s="34"/>
      <c r="F75" s="83"/>
    </row>
    <row r="76" spans="2:6" ht="15" thickBot="1" x14ac:dyDescent="0.4">
      <c r="B76" s="70"/>
      <c r="C76" s="34"/>
      <c r="D76" s="34"/>
      <c r="E76" s="34"/>
      <c r="F76" s="83"/>
    </row>
    <row r="77" spans="2:6" ht="15" thickBot="1" x14ac:dyDescent="0.4">
      <c r="B77" s="70"/>
      <c r="C77" s="34"/>
      <c r="D77" s="34"/>
      <c r="E77" s="34"/>
      <c r="F77" s="83"/>
    </row>
    <row r="78" spans="2:6" ht="15" thickBot="1" x14ac:dyDescent="0.4">
      <c r="B78" s="70"/>
      <c r="C78" s="34"/>
      <c r="D78" s="34"/>
      <c r="E78" s="34"/>
      <c r="F78" s="83"/>
    </row>
    <row r="79" spans="2:6" ht="15" thickBot="1" x14ac:dyDescent="0.4">
      <c r="B79" s="70"/>
      <c r="C79" s="34"/>
      <c r="D79" s="34"/>
      <c r="E79" s="34"/>
      <c r="F79" s="83"/>
    </row>
    <row r="80" spans="2:6" ht="15" thickBot="1" x14ac:dyDescent="0.4">
      <c r="B80" s="70"/>
      <c r="C80" s="34"/>
      <c r="D80" s="34"/>
      <c r="E80" s="34"/>
      <c r="F80" s="83"/>
    </row>
    <row r="81" spans="2:6" ht="15" thickBot="1" x14ac:dyDescent="0.4">
      <c r="B81" s="70"/>
      <c r="C81" s="34"/>
      <c r="D81" s="34"/>
      <c r="E81" s="34"/>
      <c r="F81" s="83"/>
    </row>
    <row r="82" spans="2:6" ht="15" thickBot="1" x14ac:dyDescent="0.4">
      <c r="B82" s="70"/>
      <c r="C82" s="34"/>
      <c r="D82" s="34"/>
      <c r="E82" s="34"/>
      <c r="F82" s="83"/>
    </row>
    <row r="83" spans="2:6" ht="15" thickBot="1" x14ac:dyDescent="0.4">
      <c r="B83" s="70"/>
      <c r="C83" s="34"/>
      <c r="D83" s="34"/>
      <c r="E83" s="34"/>
      <c r="F83" s="83"/>
    </row>
    <row r="84" spans="2:6" ht="15" thickBot="1" x14ac:dyDescent="0.4">
      <c r="B84" s="70"/>
      <c r="C84" s="34"/>
      <c r="D84" s="34"/>
      <c r="E84" s="34"/>
      <c r="F84" s="83"/>
    </row>
    <row r="85" spans="2:6" ht="15" thickBot="1" x14ac:dyDescent="0.4">
      <c r="B85" s="70"/>
      <c r="C85" s="34"/>
      <c r="D85" s="34"/>
      <c r="E85" s="34"/>
      <c r="F85" s="83"/>
    </row>
    <row r="86" spans="2:6" ht="15" thickBot="1" x14ac:dyDescent="0.4">
      <c r="B86" s="70"/>
      <c r="C86" s="34"/>
      <c r="D86" s="34"/>
      <c r="E86" s="34"/>
      <c r="F86" s="83"/>
    </row>
    <row r="87" spans="2:6" ht="15" thickBot="1" x14ac:dyDescent="0.4">
      <c r="B87" s="70"/>
      <c r="C87" s="34"/>
      <c r="D87" s="34"/>
      <c r="E87" s="34"/>
      <c r="F87" s="83"/>
    </row>
    <row r="88" spans="2:6" ht="15" thickBot="1" x14ac:dyDescent="0.4">
      <c r="B88" s="70"/>
      <c r="C88" s="34"/>
      <c r="D88" s="34"/>
      <c r="E88" s="34"/>
      <c r="F88" s="83"/>
    </row>
    <row r="89" spans="2:6" ht="15" thickBot="1" x14ac:dyDescent="0.4">
      <c r="B89" s="70"/>
      <c r="C89" s="34"/>
      <c r="D89" s="34"/>
      <c r="E89" s="34"/>
      <c r="F89" s="83"/>
    </row>
    <row r="90" spans="2:6" ht="15" thickBot="1" x14ac:dyDescent="0.4">
      <c r="B90" s="70"/>
      <c r="C90" s="34"/>
      <c r="D90" s="34"/>
      <c r="E90" s="34"/>
      <c r="F90" s="83"/>
    </row>
    <row r="91" spans="2:6" ht="15" thickBot="1" x14ac:dyDescent="0.4">
      <c r="B91" s="70"/>
      <c r="C91" s="34"/>
      <c r="D91" s="34"/>
      <c r="E91" s="34"/>
      <c r="F91" s="83"/>
    </row>
    <row r="92" spans="2:6" ht="15" thickBot="1" x14ac:dyDescent="0.4">
      <c r="B92" s="70"/>
      <c r="C92" s="34"/>
      <c r="D92" s="34"/>
      <c r="E92" s="34"/>
      <c r="F92" s="83"/>
    </row>
    <row r="93" spans="2:6" ht="15" thickBot="1" x14ac:dyDescent="0.4">
      <c r="B93" s="70"/>
      <c r="C93" s="34"/>
      <c r="D93" s="34"/>
      <c r="E93" s="34"/>
      <c r="F93" s="83"/>
    </row>
    <row r="94" spans="2:6" ht="15" thickBot="1" x14ac:dyDescent="0.4">
      <c r="B94" s="70"/>
      <c r="C94" s="34"/>
      <c r="D94" s="34"/>
      <c r="E94" s="34"/>
      <c r="F94" s="83"/>
    </row>
    <row r="95" spans="2:6" ht="15" thickBot="1" x14ac:dyDescent="0.4">
      <c r="B95" s="70"/>
      <c r="C95" s="34"/>
      <c r="D95" s="34"/>
      <c r="E95" s="34"/>
      <c r="F95" s="83"/>
    </row>
    <row r="96" spans="2:6" ht="15" thickBot="1" x14ac:dyDescent="0.4">
      <c r="B96" s="70"/>
      <c r="C96" s="34"/>
      <c r="D96" s="34"/>
      <c r="E96" s="34"/>
      <c r="F96" s="83"/>
    </row>
    <row r="97" spans="2:6" ht="15" thickBot="1" x14ac:dyDescent="0.4">
      <c r="B97" s="70"/>
      <c r="C97" s="34"/>
      <c r="D97" s="34"/>
      <c r="E97" s="34"/>
      <c r="F97" s="83"/>
    </row>
    <row r="98" spans="2:6" ht="15" thickBot="1" x14ac:dyDescent="0.4">
      <c r="B98" s="70"/>
      <c r="C98" s="34"/>
      <c r="D98" s="34"/>
      <c r="E98" s="34"/>
      <c r="F98" s="83"/>
    </row>
    <row r="99" spans="2:6" ht="15" thickBot="1" x14ac:dyDescent="0.4">
      <c r="B99" s="70"/>
      <c r="C99" s="34"/>
      <c r="D99" s="34"/>
      <c r="E99" s="34"/>
      <c r="F99" s="83"/>
    </row>
    <row r="100" spans="2:6" ht="15" thickBot="1" x14ac:dyDescent="0.4">
      <c r="B100" s="71"/>
      <c r="C100" s="84"/>
      <c r="D100" s="34"/>
      <c r="E100" s="34"/>
      <c r="F100" s="83"/>
    </row>
    <row r="101" spans="2:6" ht="15" thickBot="1" x14ac:dyDescent="0.4">
      <c r="B101" s="71"/>
      <c r="C101" s="34"/>
      <c r="D101" s="34"/>
      <c r="E101" s="34"/>
      <c r="F101" s="83"/>
    </row>
    <row r="102" spans="2:6" ht="15" thickBot="1" x14ac:dyDescent="0.4">
      <c r="B102" s="71"/>
      <c r="C102" s="34"/>
      <c r="D102" s="34"/>
      <c r="E102" s="34"/>
      <c r="F102" s="83"/>
    </row>
    <row r="103" spans="2:6" ht="15" thickBot="1" x14ac:dyDescent="0.4">
      <c r="B103" s="71"/>
      <c r="C103" s="34"/>
      <c r="D103" s="34"/>
      <c r="E103" s="34"/>
      <c r="F103" s="83"/>
    </row>
    <row r="104" spans="2:6" ht="15" thickBot="1" x14ac:dyDescent="0.4">
      <c r="B104" s="71"/>
      <c r="C104" s="34"/>
      <c r="D104" s="34"/>
      <c r="E104" s="34"/>
      <c r="F104" s="83"/>
    </row>
    <row r="105" spans="2:6" ht="15" thickBot="1" x14ac:dyDescent="0.4">
      <c r="B105" s="71"/>
      <c r="C105" s="34"/>
      <c r="D105" s="34"/>
      <c r="E105" s="34"/>
      <c r="F105" s="83"/>
    </row>
    <row r="106" spans="2:6" ht="15" thickBot="1" x14ac:dyDescent="0.4">
      <c r="B106" s="71"/>
      <c r="C106" s="34"/>
      <c r="D106" s="34"/>
      <c r="E106" s="34"/>
      <c r="F106" s="83"/>
    </row>
    <row r="107" spans="2:6" ht="15" thickBot="1" x14ac:dyDescent="0.4">
      <c r="B107" s="71"/>
      <c r="C107" s="34"/>
      <c r="D107" s="34"/>
      <c r="E107" s="34"/>
      <c r="F107" s="83"/>
    </row>
    <row r="108" spans="2:6" ht="15" thickBot="1" x14ac:dyDescent="0.4">
      <c r="B108" s="71"/>
      <c r="C108" s="34"/>
      <c r="D108" s="34"/>
      <c r="E108" s="34"/>
      <c r="F108" s="83"/>
    </row>
    <row r="109" spans="2:6" ht="15" thickBot="1" x14ac:dyDescent="0.4">
      <c r="B109" s="71"/>
      <c r="C109" s="34"/>
      <c r="D109" s="34"/>
      <c r="E109" s="34"/>
      <c r="F109" s="83"/>
    </row>
    <row r="110" spans="2:6" ht="15" thickBot="1" x14ac:dyDescent="0.4">
      <c r="B110" s="71"/>
      <c r="C110" s="34"/>
      <c r="D110" s="34"/>
      <c r="E110" s="34"/>
      <c r="F110" s="83"/>
    </row>
    <row r="111" spans="2:6" ht="15" thickBot="1" x14ac:dyDescent="0.4">
      <c r="B111" s="71"/>
      <c r="C111" s="34"/>
      <c r="D111" s="34"/>
      <c r="E111" s="34"/>
      <c r="F111" s="83"/>
    </row>
    <row r="112" spans="2:6" ht="15" thickBot="1" x14ac:dyDescent="0.4">
      <c r="B112" s="71"/>
      <c r="C112" s="34"/>
      <c r="D112" s="34"/>
      <c r="E112" s="34"/>
      <c r="F112" s="83"/>
    </row>
    <row r="113" spans="2:6" ht="15" thickBot="1" x14ac:dyDescent="0.4">
      <c r="B113" s="71"/>
      <c r="C113" s="34"/>
      <c r="D113" s="34"/>
      <c r="E113" s="34"/>
      <c r="F113" s="83"/>
    </row>
    <row r="114" spans="2:6" ht="15" thickBot="1" x14ac:dyDescent="0.4">
      <c r="B114" s="71"/>
      <c r="C114" s="34"/>
      <c r="D114" s="34"/>
      <c r="E114" s="34"/>
      <c r="F114" s="83"/>
    </row>
    <row r="115" spans="2:6" ht="15" thickBot="1" x14ac:dyDescent="0.4">
      <c r="B115" s="71"/>
      <c r="C115" s="34"/>
      <c r="D115" s="34"/>
      <c r="E115" s="34"/>
      <c r="F115" s="83"/>
    </row>
    <row r="116" spans="2:6" ht="15" thickBot="1" x14ac:dyDescent="0.4">
      <c r="B116" s="71"/>
      <c r="C116" s="34"/>
      <c r="D116" s="34"/>
      <c r="E116" s="34"/>
      <c r="F116" s="83"/>
    </row>
    <row r="117" spans="2:6" ht="15" thickBot="1" x14ac:dyDescent="0.4">
      <c r="B117" s="71"/>
      <c r="C117" s="34"/>
      <c r="D117" s="34"/>
      <c r="E117" s="34"/>
      <c r="F117" s="83"/>
    </row>
    <row r="118" spans="2:6" ht="15" thickBot="1" x14ac:dyDescent="0.4">
      <c r="B118" s="71"/>
      <c r="C118" s="34"/>
      <c r="D118" s="34"/>
      <c r="E118" s="34"/>
      <c r="F118" s="83"/>
    </row>
    <row r="119" spans="2:6" ht="15" thickBot="1" x14ac:dyDescent="0.4">
      <c r="B119" s="71"/>
      <c r="C119" s="34"/>
      <c r="D119" s="34"/>
      <c r="E119" s="34"/>
      <c r="F119" s="83"/>
    </row>
    <row r="120" spans="2:6" ht="15" thickBot="1" x14ac:dyDescent="0.4">
      <c r="B120" s="71"/>
      <c r="C120" s="34"/>
      <c r="D120" s="34"/>
      <c r="E120" s="34"/>
      <c r="F120" s="83"/>
    </row>
    <row r="121" spans="2:6" ht="15" thickBot="1" x14ac:dyDescent="0.4">
      <c r="B121" s="71"/>
      <c r="C121" s="34"/>
      <c r="D121" s="34"/>
      <c r="E121" s="34"/>
      <c r="F121" s="83"/>
    </row>
    <row r="122" spans="2:6" ht="15" thickBot="1" x14ac:dyDescent="0.4">
      <c r="B122" s="71"/>
      <c r="C122" s="34"/>
      <c r="D122" s="34"/>
      <c r="E122" s="34"/>
      <c r="F122" s="83"/>
    </row>
    <row r="123" spans="2:6" ht="15" thickBot="1" x14ac:dyDescent="0.4">
      <c r="B123" s="71"/>
      <c r="C123" s="34"/>
      <c r="D123" s="34"/>
      <c r="E123" s="34"/>
      <c r="F123" s="83"/>
    </row>
    <row r="124" spans="2:6" ht="15" thickBot="1" x14ac:dyDescent="0.4">
      <c r="B124" s="71"/>
      <c r="C124" s="34"/>
      <c r="D124" s="34"/>
      <c r="E124" s="34"/>
      <c r="F124" s="83"/>
    </row>
    <row r="125" spans="2:6" ht="15" thickBot="1" x14ac:dyDescent="0.4">
      <c r="B125" s="71"/>
      <c r="C125" s="34"/>
      <c r="D125" s="34"/>
      <c r="E125" s="34"/>
      <c r="F125" s="83"/>
    </row>
    <row r="126" spans="2:6" ht="15" thickBot="1" x14ac:dyDescent="0.4">
      <c r="B126" s="71"/>
      <c r="C126" s="34"/>
      <c r="D126" s="34"/>
      <c r="E126" s="34"/>
      <c r="F126" s="83"/>
    </row>
    <row r="127" spans="2:6" ht="15" thickBot="1" x14ac:dyDescent="0.4">
      <c r="B127" s="71"/>
      <c r="C127" s="34"/>
      <c r="D127" s="34"/>
      <c r="E127" s="34"/>
      <c r="F127" s="83"/>
    </row>
    <row r="128" spans="2:6" ht="15" thickBot="1" x14ac:dyDescent="0.4">
      <c r="B128" s="71"/>
      <c r="C128" s="34"/>
      <c r="D128" s="34"/>
      <c r="E128" s="34"/>
      <c r="F128" s="83"/>
    </row>
    <row r="129" spans="2:6" ht="15" thickBot="1" x14ac:dyDescent="0.4">
      <c r="B129" s="71"/>
      <c r="C129" s="34"/>
      <c r="D129" s="34"/>
      <c r="E129" s="34"/>
      <c r="F129" s="83"/>
    </row>
    <row r="130" spans="2:6" ht="15" thickBot="1" x14ac:dyDescent="0.4">
      <c r="B130" s="71"/>
      <c r="C130" s="34"/>
      <c r="D130" s="34"/>
      <c r="E130" s="34"/>
      <c r="F130" s="83"/>
    </row>
    <row r="131" spans="2:6" ht="15" thickBot="1" x14ac:dyDescent="0.4">
      <c r="B131" s="71"/>
      <c r="C131" s="34"/>
      <c r="D131" s="34"/>
      <c r="E131" s="34"/>
      <c r="F131" s="83"/>
    </row>
    <row r="132" spans="2:6" ht="15" thickBot="1" x14ac:dyDescent="0.4">
      <c r="B132" s="71"/>
      <c r="C132" s="34"/>
      <c r="D132" s="34"/>
      <c r="E132" s="34"/>
      <c r="F132" s="83"/>
    </row>
    <row r="133" spans="2:6" ht="15" thickBot="1" x14ac:dyDescent="0.4">
      <c r="B133" s="71"/>
      <c r="C133" s="34"/>
      <c r="D133" s="34"/>
      <c r="E133" s="34"/>
      <c r="F133" s="83"/>
    </row>
    <row r="134" spans="2:6" ht="15" thickBot="1" x14ac:dyDescent="0.4">
      <c r="B134" s="71"/>
      <c r="C134" s="34"/>
      <c r="D134" s="34"/>
      <c r="E134" s="34"/>
      <c r="F134" s="83"/>
    </row>
    <row r="135" spans="2:6" ht="15" thickBot="1" x14ac:dyDescent="0.4">
      <c r="B135" s="71"/>
      <c r="C135" s="34"/>
      <c r="D135" s="34"/>
      <c r="E135" s="34"/>
      <c r="F135" s="83"/>
    </row>
    <row r="136" spans="2:6" ht="15" thickBot="1" x14ac:dyDescent="0.4">
      <c r="B136" s="71"/>
      <c r="C136" s="34"/>
      <c r="D136" s="34"/>
      <c r="E136" s="34"/>
      <c r="F136" s="83"/>
    </row>
    <row r="137" spans="2:6" ht="15" thickBot="1" x14ac:dyDescent="0.4">
      <c r="B137" s="71"/>
      <c r="C137" s="34"/>
      <c r="D137" s="34"/>
      <c r="E137" s="34"/>
      <c r="F137" s="83"/>
    </row>
    <row r="138" spans="2:6" ht="15" thickBot="1" x14ac:dyDescent="0.4">
      <c r="B138" s="71"/>
      <c r="C138" s="34"/>
      <c r="D138" s="34"/>
      <c r="E138" s="34"/>
      <c r="F138" s="83"/>
    </row>
    <row r="139" spans="2:6" ht="15" thickBot="1" x14ac:dyDescent="0.4">
      <c r="B139" s="71"/>
      <c r="C139" s="34"/>
      <c r="D139" s="34"/>
      <c r="E139" s="34"/>
      <c r="F139" s="83"/>
    </row>
    <row r="140" spans="2:6" ht="15" thickBot="1" x14ac:dyDescent="0.4">
      <c r="B140" s="71"/>
      <c r="C140" s="34"/>
      <c r="D140" s="34"/>
      <c r="E140" s="34"/>
      <c r="F140" s="83"/>
    </row>
    <row r="141" spans="2:6" ht="15" thickBot="1" x14ac:dyDescent="0.4">
      <c r="B141" s="71"/>
      <c r="C141" s="34"/>
      <c r="D141" s="34"/>
      <c r="E141" s="34"/>
      <c r="F141" s="83"/>
    </row>
    <row r="142" spans="2:6" ht="15" thickBot="1" x14ac:dyDescent="0.4">
      <c r="B142" s="71"/>
      <c r="C142" s="34"/>
      <c r="D142" s="34"/>
      <c r="E142" s="34"/>
      <c r="F142" s="83"/>
    </row>
    <row r="143" spans="2:6" ht="15" thickBot="1" x14ac:dyDescent="0.4">
      <c r="B143" s="71"/>
      <c r="C143" s="34"/>
      <c r="D143" s="34"/>
      <c r="E143" s="34"/>
      <c r="F143" s="83"/>
    </row>
    <row r="144" spans="2:6" ht="15" thickBot="1" x14ac:dyDescent="0.4">
      <c r="B144" s="71"/>
      <c r="C144" s="34"/>
      <c r="D144" s="34"/>
      <c r="E144" s="34"/>
      <c r="F144" s="83"/>
    </row>
    <row r="145" spans="2:6" ht="15" thickBot="1" x14ac:dyDescent="0.4">
      <c r="B145" s="71"/>
      <c r="C145" s="34"/>
      <c r="D145" s="34"/>
      <c r="E145" s="34"/>
      <c r="F145" s="83"/>
    </row>
    <row r="146" spans="2:6" ht="15" thickBot="1" x14ac:dyDescent="0.4">
      <c r="B146" s="71"/>
      <c r="C146" s="34"/>
      <c r="D146" s="34"/>
      <c r="E146" s="34"/>
      <c r="F146" s="83"/>
    </row>
    <row r="147" spans="2:6" ht="15" thickBot="1" x14ac:dyDescent="0.4">
      <c r="B147" s="71"/>
      <c r="C147" s="34"/>
      <c r="D147" s="34"/>
      <c r="E147" s="34"/>
      <c r="F147" s="83"/>
    </row>
    <row r="148" spans="2:6" ht="15" thickBot="1" x14ac:dyDescent="0.4">
      <c r="B148" s="71"/>
      <c r="C148" s="34"/>
      <c r="D148" s="34"/>
      <c r="E148" s="34"/>
      <c r="F148" s="83"/>
    </row>
    <row r="149" spans="2:6" ht="15" thickBot="1" x14ac:dyDescent="0.4">
      <c r="B149" s="71"/>
      <c r="C149" s="34"/>
      <c r="D149" s="34"/>
      <c r="E149" s="34"/>
      <c r="F149" s="83"/>
    </row>
    <row r="150" spans="2:6" ht="15" thickBot="1" x14ac:dyDescent="0.4">
      <c r="B150" s="71"/>
      <c r="C150" s="34"/>
      <c r="D150" s="34"/>
      <c r="E150" s="34"/>
      <c r="F150" s="83"/>
    </row>
    <row r="151" spans="2:6" ht="15" thickBot="1" x14ac:dyDescent="0.4">
      <c r="B151" s="71"/>
      <c r="C151" s="34"/>
      <c r="D151" s="34"/>
      <c r="E151" s="34"/>
      <c r="F151" s="83"/>
    </row>
    <row r="152" spans="2:6" ht="15" thickBot="1" x14ac:dyDescent="0.4">
      <c r="B152" s="71"/>
      <c r="C152" s="34"/>
      <c r="D152" s="34"/>
      <c r="E152" s="34"/>
      <c r="F152" s="83"/>
    </row>
    <row r="153" spans="2:6" ht="15" thickBot="1" x14ac:dyDescent="0.4">
      <c r="B153" s="71"/>
      <c r="C153" s="34"/>
      <c r="D153" s="34"/>
      <c r="E153" s="34"/>
      <c r="F153" s="83"/>
    </row>
    <row r="154" spans="2:6" ht="15" thickBot="1" x14ac:dyDescent="0.4">
      <c r="B154" s="71"/>
      <c r="C154" s="34"/>
      <c r="D154" s="34"/>
      <c r="E154" s="34"/>
      <c r="F154" s="83"/>
    </row>
    <row r="155" spans="2:6" ht="15" thickBot="1" x14ac:dyDescent="0.4">
      <c r="B155" s="71"/>
      <c r="C155" s="34"/>
      <c r="D155" s="34"/>
      <c r="E155" s="34"/>
      <c r="F155" s="83"/>
    </row>
    <row r="156" spans="2:6" ht="15" thickBot="1" x14ac:dyDescent="0.4">
      <c r="B156" s="71"/>
      <c r="C156" s="34"/>
      <c r="D156" s="34"/>
      <c r="E156" s="34"/>
      <c r="F156" s="83"/>
    </row>
    <row r="157" spans="2:6" ht="15" thickBot="1" x14ac:dyDescent="0.4">
      <c r="B157" s="71"/>
      <c r="C157" s="34"/>
      <c r="D157" s="34"/>
      <c r="E157" s="34"/>
      <c r="F157" s="83"/>
    </row>
    <row r="158" spans="2:6" ht="15" thickBot="1" x14ac:dyDescent="0.4">
      <c r="B158" s="71"/>
      <c r="C158" s="34"/>
      <c r="D158" s="34"/>
      <c r="E158" s="34"/>
      <c r="F158" s="83"/>
    </row>
    <row r="159" spans="2:6" ht="15" thickBot="1" x14ac:dyDescent="0.4">
      <c r="B159" s="71"/>
      <c r="C159" s="34"/>
      <c r="D159" s="34"/>
      <c r="E159" s="34"/>
      <c r="F159" s="83"/>
    </row>
    <row r="160" spans="2:6" ht="15" thickBot="1" x14ac:dyDescent="0.4">
      <c r="B160" s="71"/>
      <c r="C160" s="34"/>
      <c r="D160" s="34"/>
      <c r="E160" s="34"/>
      <c r="F160" s="83"/>
    </row>
    <row r="161" spans="2:6" ht="15" thickBot="1" x14ac:dyDescent="0.4">
      <c r="B161" s="71"/>
      <c r="C161" s="34"/>
      <c r="D161" s="34"/>
      <c r="E161" s="34"/>
      <c r="F161" s="83"/>
    </row>
    <row r="162" spans="2:6" ht="15" thickBot="1" x14ac:dyDescent="0.4">
      <c r="B162" s="71"/>
      <c r="C162" s="34"/>
      <c r="D162" s="34"/>
      <c r="E162" s="34"/>
      <c r="F162" s="83"/>
    </row>
    <row r="163" spans="2:6" ht="15" thickBot="1" x14ac:dyDescent="0.4">
      <c r="B163" s="71"/>
      <c r="C163" s="34"/>
      <c r="D163" s="34"/>
      <c r="E163" s="34"/>
      <c r="F163" s="83"/>
    </row>
    <row r="164" spans="2:6" ht="15" thickBot="1" x14ac:dyDescent="0.4">
      <c r="B164" s="71"/>
      <c r="C164" s="34"/>
      <c r="D164" s="34"/>
      <c r="E164" s="34"/>
      <c r="F164" s="83"/>
    </row>
    <row r="165" spans="2:6" ht="15" thickBot="1" x14ac:dyDescent="0.4">
      <c r="B165" s="71"/>
      <c r="C165" s="34"/>
      <c r="D165" s="34"/>
      <c r="E165" s="34"/>
      <c r="F165" s="83"/>
    </row>
    <row r="166" spans="2:6" ht="15" thickBot="1" x14ac:dyDescent="0.4">
      <c r="B166" s="71"/>
      <c r="C166" s="34"/>
      <c r="D166" s="34"/>
      <c r="E166" s="34"/>
      <c r="F166" s="83"/>
    </row>
    <row r="167" spans="2:6" ht="15" thickBot="1" x14ac:dyDescent="0.4">
      <c r="B167" s="71"/>
      <c r="C167" s="34"/>
      <c r="D167" s="34"/>
      <c r="E167" s="34"/>
      <c r="F167" s="83"/>
    </row>
    <row r="168" spans="2:6" ht="15" thickBot="1" x14ac:dyDescent="0.4">
      <c r="B168" s="71"/>
      <c r="C168" s="34"/>
      <c r="D168" s="34"/>
      <c r="E168" s="34"/>
      <c r="F168" s="83"/>
    </row>
    <row r="169" spans="2:6" ht="15" thickBot="1" x14ac:dyDescent="0.4">
      <c r="B169" s="71"/>
      <c r="C169" s="34"/>
      <c r="D169" s="34"/>
      <c r="E169" s="34"/>
      <c r="F169" s="83"/>
    </row>
    <row r="170" spans="2:6" ht="15" thickBot="1" x14ac:dyDescent="0.4">
      <c r="B170" s="71"/>
      <c r="C170" s="34"/>
      <c r="D170" s="34"/>
      <c r="E170" s="34"/>
      <c r="F170" s="83"/>
    </row>
    <row r="171" spans="2:6" ht="15" thickBot="1" x14ac:dyDescent="0.4">
      <c r="B171" s="71"/>
      <c r="C171" s="34"/>
      <c r="D171" s="34"/>
      <c r="E171" s="34"/>
      <c r="F171" s="83"/>
    </row>
    <row r="172" spans="2:6" ht="15" thickBot="1" x14ac:dyDescent="0.4">
      <c r="B172" s="71"/>
      <c r="C172" s="34"/>
      <c r="D172" s="34"/>
      <c r="E172" s="34"/>
      <c r="F172" s="83"/>
    </row>
    <row r="173" spans="2:6" ht="15" thickBot="1" x14ac:dyDescent="0.4">
      <c r="B173" s="71"/>
      <c r="C173" s="34"/>
      <c r="D173" s="34"/>
      <c r="E173" s="34"/>
      <c r="F173" s="83"/>
    </row>
    <row r="174" spans="2:6" ht="15" thickBot="1" x14ac:dyDescent="0.4">
      <c r="B174" s="71"/>
      <c r="C174" s="34"/>
      <c r="D174" s="34"/>
      <c r="E174" s="34"/>
      <c r="F174" s="83"/>
    </row>
    <row r="175" spans="2:6" ht="15" thickBot="1" x14ac:dyDescent="0.4">
      <c r="B175" s="71"/>
      <c r="C175" s="34"/>
      <c r="D175" s="34"/>
      <c r="E175" s="34"/>
      <c r="F175" s="83"/>
    </row>
    <row r="176" spans="2:6" ht="15" thickBot="1" x14ac:dyDescent="0.4">
      <c r="B176" s="71"/>
      <c r="C176" s="34"/>
      <c r="D176" s="34"/>
      <c r="E176" s="34"/>
      <c r="F176" s="83"/>
    </row>
    <row r="177" spans="2:6" ht="15" thickBot="1" x14ac:dyDescent="0.4">
      <c r="B177" s="71"/>
      <c r="C177" s="34"/>
      <c r="D177" s="34"/>
      <c r="E177" s="34"/>
      <c r="F177" s="83"/>
    </row>
    <row r="178" spans="2:6" ht="15" thickBot="1" x14ac:dyDescent="0.4">
      <c r="B178" s="71"/>
      <c r="C178" s="34"/>
      <c r="D178" s="34"/>
      <c r="E178" s="34"/>
      <c r="F178" s="83"/>
    </row>
    <row r="179" spans="2:6" ht="15" thickBot="1" x14ac:dyDescent="0.4">
      <c r="B179" s="71"/>
      <c r="C179" s="34"/>
      <c r="D179" s="34"/>
      <c r="E179" s="34"/>
      <c r="F179" s="83"/>
    </row>
    <row r="180" spans="2:6" ht="15" thickBot="1" x14ac:dyDescent="0.4">
      <c r="B180" s="71"/>
      <c r="C180" s="34"/>
      <c r="D180" s="34"/>
      <c r="E180" s="34"/>
      <c r="F180" s="83"/>
    </row>
    <row r="181" spans="2:6" ht="15" thickBot="1" x14ac:dyDescent="0.4">
      <c r="B181" s="71"/>
      <c r="C181" s="34"/>
      <c r="D181" s="34"/>
      <c r="E181" s="34"/>
      <c r="F181" s="83"/>
    </row>
    <row r="182" spans="2:6" ht="15" thickBot="1" x14ac:dyDescent="0.4">
      <c r="B182" s="71"/>
      <c r="C182" s="34"/>
      <c r="D182" s="34"/>
      <c r="E182" s="34"/>
      <c r="F182" s="83"/>
    </row>
    <row r="183" spans="2:6" ht="15" thickBot="1" x14ac:dyDescent="0.4">
      <c r="B183" s="71"/>
      <c r="C183" s="34"/>
      <c r="D183" s="34"/>
      <c r="E183" s="34"/>
      <c r="F183" s="83"/>
    </row>
    <row r="184" spans="2:6" ht="15" thickBot="1" x14ac:dyDescent="0.4">
      <c r="B184" s="71"/>
      <c r="C184" s="34"/>
      <c r="D184" s="34"/>
      <c r="E184" s="34"/>
      <c r="F184" s="83"/>
    </row>
    <row r="185" spans="2:6" ht="15" thickBot="1" x14ac:dyDescent="0.4">
      <c r="B185" s="71"/>
      <c r="C185" s="34"/>
      <c r="D185" s="34"/>
      <c r="E185" s="34"/>
      <c r="F185" s="83"/>
    </row>
    <row r="186" spans="2:6" ht="15" thickBot="1" x14ac:dyDescent="0.4">
      <c r="B186" s="71"/>
      <c r="C186" s="34"/>
      <c r="D186" s="34"/>
      <c r="E186" s="34"/>
      <c r="F186" s="83"/>
    </row>
    <row r="187" spans="2:6" ht="15" thickBot="1" x14ac:dyDescent="0.4">
      <c r="B187" s="71"/>
      <c r="C187" s="34"/>
      <c r="D187" s="34"/>
      <c r="E187" s="34"/>
      <c r="F187" s="83"/>
    </row>
    <row r="188" spans="2:6" ht="15" thickBot="1" x14ac:dyDescent="0.4">
      <c r="B188" s="71"/>
      <c r="C188" s="34"/>
      <c r="D188" s="34"/>
      <c r="E188" s="34"/>
      <c r="F188" s="83"/>
    </row>
    <row r="189" spans="2:6" ht="15" thickBot="1" x14ac:dyDescent="0.4">
      <c r="B189" s="71"/>
      <c r="C189" s="34"/>
      <c r="D189" s="34"/>
      <c r="E189" s="34"/>
      <c r="F189" s="83"/>
    </row>
    <row r="190" spans="2:6" ht="15" thickBot="1" x14ac:dyDescent="0.4">
      <c r="B190" s="71"/>
      <c r="C190" s="34"/>
      <c r="D190" s="34"/>
      <c r="E190" s="34"/>
      <c r="F190" s="83"/>
    </row>
    <row r="191" spans="2:6" ht="15" thickBot="1" x14ac:dyDescent="0.4">
      <c r="B191" s="71"/>
      <c r="C191" s="34"/>
      <c r="D191" s="34"/>
      <c r="E191" s="34"/>
      <c r="F191" s="83"/>
    </row>
    <row r="192" spans="2:6" ht="15" thickBot="1" x14ac:dyDescent="0.4">
      <c r="B192" s="71"/>
      <c r="C192" s="34"/>
      <c r="D192" s="34"/>
      <c r="E192" s="34"/>
      <c r="F192" s="83"/>
    </row>
    <row r="193" spans="2:6" ht="15" thickBot="1" x14ac:dyDescent="0.4">
      <c r="B193" s="71"/>
      <c r="C193" s="34"/>
      <c r="D193" s="34"/>
      <c r="E193" s="34"/>
      <c r="F193" s="83"/>
    </row>
    <row r="194" spans="2:6" ht="15" thickBot="1" x14ac:dyDescent="0.4">
      <c r="B194" s="71"/>
      <c r="C194" s="34"/>
      <c r="D194" s="34"/>
      <c r="E194" s="34"/>
      <c r="F194" s="83"/>
    </row>
    <row r="195" spans="2:6" ht="15" thickBot="1" x14ac:dyDescent="0.4">
      <c r="B195" s="71"/>
      <c r="C195" s="34"/>
      <c r="D195" s="34"/>
      <c r="E195" s="34"/>
      <c r="F195" s="83"/>
    </row>
    <row r="196" spans="2:6" ht="15" thickBot="1" x14ac:dyDescent="0.4">
      <c r="B196" s="71"/>
      <c r="C196" s="34"/>
      <c r="D196" s="34"/>
      <c r="E196" s="34"/>
      <c r="F196" s="83"/>
    </row>
    <row r="197" spans="2:6" ht="15" thickBot="1" x14ac:dyDescent="0.4">
      <c r="B197" s="71"/>
      <c r="C197" s="34"/>
      <c r="D197" s="34"/>
      <c r="E197" s="34"/>
      <c r="F197" s="83"/>
    </row>
    <row r="198" spans="2:6" ht="15" thickBot="1" x14ac:dyDescent="0.4">
      <c r="B198" s="71"/>
      <c r="C198" s="34"/>
      <c r="D198" s="34"/>
      <c r="E198" s="34"/>
      <c r="F198" s="83"/>
    </row>
    <row r="199" spans="2:6" ht="15" thickBot="1" x14ac:dyDescent="0.4">
      <c r="B199" s="71"/>
      <c r="C199" s="34"/>
      <c r="D199" s="34"/>
      <c r="E199" s="34"/>
      <c r="F199" s="83"/>
    </row>
    <row r="200" spans="2:6" ht="15" thickBot="1" x14ac:dyDescent="0.4">
      <c r="B200" s="71"/>
      <c r="C200" s="34"/>
      <c r="D200" s="34"/>
      <c r="E200" s="34"/>
      <c r="F200" s="83"/>
    </row>
    <row r="201" spans="2:6" ht="15" thickBot="1" x14ac:dyDescent="0.4">
      <c r="B201" s="71"/>
      <c r="C201" s="34"/>
      <c r="D201" s="34"/>
      <c r="E201" s="34"/>
      <c r="F201" s="83"/>
    </row>
    <row r="202" spans="2:6" ht="15" thickBot="1" x14ac:dyDescent="0.4">
      <c r="B202" s="71"/>
      <c r="C202" s="34"/>
      <c r="D202" s="34"/>
      <c r="E202" s="34"/>
      <c r="F202" s="83"/>
    </row>
    <row r="203" spans="2:6" ht="15" thickBot="1" x14ac:dyDescent="0.4">
      <c r="B203" s="71"/>
      <c r="C203" s="34"/>
      <c r="D203" s="34"/>
      <c r="E203" s="34"/>
      <c r="F203" s="83"/>
    </row>
    <row r="204" spans="2:6" ht="15" thickBot="1" x14ac:dyDescent="0.4">
      <c r="B204" s="71"/>
      <c r="C204" s="34"/>
      <c r="D204" s="34"/>
      <c r="E204" s="34"/>
      <c r="F204" s="83"/>
    </row>
    <row r="205" spans="2:6" ht="15" thickBot="1" x14ac:dyDescent="0.4">
      <c r="B205" s="71"/>
      <c r="C205" s="34"/>
      <c r="D205" s="34"/>
      <c r="E205" s="34"/>
      <c r="F205" s="83"/>
    </row>
    <row r="206" spans="2:6" ht="15" thickBot="1" x14ac:dyDescent="0.4">
      <c r="B206" s="71"/>
      <c r="C206" s="34"/>
      <c r="D206" s="34"/>
      <c r="E206" s="34"/>
      <c r="F206" s="83"/>
    </row>
    <row r="207" spans="2:6" ht="15" thickBot="1" x14ac:dyDescent="0.4">
      <c r="B207" s="71"/>
      <c r="C207" s="34"/>
      <c r="D207" s="34"/>
      <c r="E207" s="34"/>
      <c r="F207" s="83"/>
    </row>
    <row r="208" spans="2:6" ht="15" thickBot="1" x14ac:dyDescent="0.4">
      <c r="B208" s="71"/>
      <c r="C208" s="34"/>
      <c r="D208" s="34"/>
      <c r="E208" s="34"/>
      <c r="F208" s="83"/>
    </row>
    <row r="209" spans="2:6" ht="15" thickBot="1" x14ac:dyDescent="0.4">
      <c r="B209" s="71"/>
      <c r="C209" s="34"/>
      <c r="D209" s="34"/>
      <c r="E209" s="34"/>
      <c r="F209" s="83"/>
    </row>
    <row r="210" spans="2:6" ht="15" thickBot="1" x14ac:dyDescent="0.4">
      <c r="B210" s="71"/>
      <c r="C210" s="34"/>
      <c r="D210" s="34"/>
      <c r="E210" s="34"/>
      <c r="F210" s="83"/>
    </row>
    <row r="211" spans="2:6" ht="15" thickBot="1" x14ac:dyDescent="0.4">
      <c r="B211" s="71"/>
      <c r="C211" s="34"/>
      <c r="D211" s="34"/>
      <c r="E211" s="34"/>
      <c r="F211" s="83"/>
    </row>
    <row r="212" spans="2:6" ht="15" thickBot="1" x14ac:dyDescent="0.4">
      <c r="B212" s="71"/>
      <c r="C212" s="34"/>
      <c r="D212" s="34"/>
      <c r="E212" s="34"/>
      <c r="F212" s="83"/>
    </row>
    <row r="213" spans="2:6" ht="15" thickBot="1" x14ac:dyDescent="0.4">
      <c r="B213" s="71"/>
      <c r="C213" s="34"/>
      <c r="D213" s="34"/>
      <c r="E213" s="34"/>
      <c r="F213" s="83"/>
    </row>
    <row r="214" spans="2:6" ht="15" thickBot="1" x14ac:dyDescent="0.4">
      <c r="B214" s="71"/>
      <c r="C214" s="34"/>
      <c r="D214" s="34"/>
      <c r="E214" s="34"/>
      <c r="F214" s="83"/>
    </row>
    <row r="215" spans="2:6" ht="15" thickBot="1" x14ac:dyDescent="0.4">
      <c r="B215" s="71"/>
      <c r="C215" s="34"/>
      <c r="D215" s="34"/>
      <c r="E215" s="34"/>
      <c r="F215" s="83"/>
    </row>
    <row r="216" spans="2:6" ht="15" thickBot="1" x14ac:dyDescent="0.4">
      <c r="B216" s="71"/>
      <c r="C216" s="34"/>
      <c r="D216" s="34"/>
      <c r="E216" s="34"/>
      <c r="F216" s="83"/>
    </row>
    <row r="217" spans="2:6" ht="15" thickBot="1" x14ac:dyDescent="0.4">
      <c r="B217" s="71"/>
      <c r="C217" s="34"/>
      <c r="D217" s="34"/>
      <c r="E217" s="34"/>
      <c r="F217" s="83"/>
    </row>
    <row r="218" spans="2:6" ht="15" thickBot="1" x14ac:dyDescent="0.4">
      <c r="B218" s="71"/>
      <c r="C218" s="34"/>
      <c r="D218" s="34"/>
      <c r="E218" s="34"/>
      <c r="F218" s="83"/>
    </row>
    <row r="219" spans="2:6" ht="15" thickBot="1" x14ac:dyDescent="0.4">
      <c r="B219" s="71"/>
      <c r="C219" s="34"/>
      <c r="D219" s="34"/>
      <c r="E219" s="34"/>
      <c r="F219" s="83"/>
    </row>
    <row r="220" spans="2:6" ht="15" thickBot="1" x14ac:dyDescent="0.4">
      <c r="B220" s="71"/>
      <c r="C220" s="34"/>
      <c r="D220" s="34"/>
      <c r="E220" s="34"/>
      <c r="F220" s="83"/>
    </row>
    <row r="221" spans="2:6" ht="15" thickBot="1" x14ac:dyDescent="0.4">
      <c r="B221" s="71"/>
      <c r="C221" s="34"/>
      <c r="D221" s="34"/>
      <c r="E221" s="34"/>
      <c r="F221" s="83"/>
    </row>
    <row r="222" spans="2:6" ht="15" thickBot="1" x14ac:dyDescent="0.4">
      <c r="B222" s="71"/>
      <c r="C222" s="34"/>
      <c r="D222" s="34"/>
      <c r="E222" s="34"/>
      <c r="F222" s="83"/>
    </row>
    <row r="223" spans="2:6" ht="15" thickBot="1" x14ac:dyDescent="0.4">
      <c r="B223" s="71"/>
      <c r="C223" s="34"/>
      <c r="D223" s="34"/>
      <c r="E223" s="34"/>
      <c r="F223" s="83"/>
    </row>
    <row r="224" spans="2:6" ht="15" thickBot="1" x14ac:dyDescent="0.4">
      <c r="B224" s="71"/>
      <c r="C224" s="34"/>
      <c r="D224" s="34"/>
      <c r="E224" s="34"/>
      <c r="F224" s="83"/>
    </row>
    <row r="225" spans="2:6" ht="15" thickBot="1" x14ac:dyDescent="0.4">
      <c r="B225" s="71"/>
      <c r="C225" s="34"/>
      <c r="D225" s="34"/>
      <c r="E225" s="34"/>
      <c r="F225" s="83"/>
    </row>
    <row r="226" spans="2:6" ht="15" thickBot="1" x14ac:dyDescent="0.4">
      <c r="B226" s="71"/>
      <c r="C226" s="34"/>
      <c r="D226" s="34"/>
      <c r="E226" s="34"/>
      <c r="F226" s="83"/>
    </row>
    <row r="227" spans="2:6" ht="15" thickBot="1" x14ac:dyDescent="0.4">
      <c r="B227" s="71"/>
      <c r="C227" s="34"/>
      <c r="D227" s="34"/>
      <c r="E227" s="34"/>
      <c r="F227" s="83"/>
    </row>
    <row r="228" spans="2:6" ht="15" thickBot="1" x14ac:dyDescent="0.4">
      <c r="B228" s="71"/>
      <c r="C228" s="34"/>
      <c r="D228" s="34"/>
      <c r="E228" s="34"/>
      <c r="F228" s="83"/>
    </row>
    <row r="229" spans="2:6" ht="15" thickBot="1" x14ac:dyDescent="0.4">
      <c r="B229" s="71"/>
      <c r="C229" s="34"/>
      <c r="D229" s="34"/>
      <c r="E229" s="34"/>
      <c r="F229" s="83"/>
    </row>
    <row r="230" spans="2:6" ht="15" thickBot="1" x14ac:dyDescent="0.4">
      <c r="B230" s="71"/>
      <c r="C230" s="34"/>
      <c r="D230" s="34"/>
      <c r="E230" s="34"/>
      <c r="F230" s="83"/>
    </row>
    <row r="231" spans="2:6" ht="15" thickBot="1" x14ac:dyDescent="0.4">
      <c r="B231" s="71"/>
      <c r="C231" s="34"/>
      <c r="D231" s="34"/>
      <c r="E231" s="34"/>
      <c r="F231" s="83"/>
    </row>
    <row r="232" spans="2:6" ht="15" thickBot="1" x14ac:dyDescent="0.4">
      <c r="B232" s="71"/>
      <c r="C232" s="34"/>
      <c r="D232" s="34"/>
      <c r="E232" s="34"/>
      <c r="F232" s="83"/>
    </row>
    <row r="233" spans="2:6" ht="15" thickBot="1" x14ac:dyDescent="0.4">
      <c r="B233" s="71"/>
      <c r="C233" s="34"/>
      <c r="D233" s="34"/>
      <c r="E233" s="34"/>
      <c r="F233" s="83"/>
    </row>
    <row r="234" spans="2:6" ht="15" thickBot="1" x14ac:dyDescent="0.4">
      <c r="B234" s="71"/>
      <c r="C234" s="34"/>
      <c r="D234" s="34"/>
      <c r="E234" s="34"/>
      <c r="F234" s="83"/>
    </row>
    <row r="235" spans="2:6" ht="15" thickBot="1" x14ac:dyDescent="0.4">
      <c r="B235" s="71"/>
      <c r="C235" s="34"/>
      <c r="D235" s="34"/>
      <c r="E235" s="34"/>
      <c r="F235" s="83"/>
    </row>
    <row r="236" spans="2:6" ht="15" thickBot="1" x14ac:dyDescent="0.4">
      <c r="B236" s="71"/>
      <c r="C236" s="34"/>
      <c r="D236" s="34"/>
      <c r="E236" s="34"/>
      <c r="F236" s="83"/>
    </row>
    <row r="237" spans="2:6" ht="15" thickBot="1" x14ac:dyDescent="0.4">
      <c r="B237" s="71"/>
      <c r="C237" s="34"/>
      <c r="D237" s="34"/>
      <c r="E237" s="34"/>
      <c r="F237" s="83"/>
    </row>
    <row r="238" spans="2:6" ht="15" thickBot="1" x14ac:dyDescent="0.4">
      <c r="B238" s="71"/>
      <c r="C238" s="34"/>
      <c r="D238" s="34"/>
      <c r="E238" s="34"/>
      <c r="F238" s="83"/>
    </row>
    <row r="239" spans="2:6" ht="15" thickBot="1" x14ac:dyDescent="0.4">
      <c r="B239" s="71"/>
      <c r="C239" s="34"/>
      <c r="D239" s="34"/>
      <c r="E239" s="34"/>
      <c r="F239" s="83"/>
    </row>
    <row r="240" spans="2:6" ht="15" thickBot="1" x14ac:dyDescent="0.4">
      <c r="B240" s="71"/>
      <c r="C240" s="34"/>
      <c r="D240" s="34"/>
      <c r="E240" s="34"/>
      <c r="F240" s="83"/>
    </row>
    <row r="241" spans="2:6" ht="15" thickBot="1" x14ac:dyDescent="0.4">
      <c r="B241" s="71"/>
      <c r="C241" s="34"/>
      <c r="D241" s="34"/>
      <c r="E241" s="34"/>
      <c r="F241" s="83"/>
    </row>
    <row r="242" spans="2:6" ht="15" thickBot="1" x14ac:dyDescent="0.4">
      <c r="B242" s="71"/>
      <c r="C242" s="34"/>
      <c r="D242" s="34"/>
      <c r="E242" s="34"/>
      <c r="F242" s="83"/>
    </row>
    <row r="243" spans="2:6" ht="15" thickBot="1" x14ac:dyDescent="0.4">
      <c r="B243" s="71"/>
      <c r="C243" s="34"/>
      <c r="D243" s="34"/>
      <c r="E243" s="34"/>
      <c r="F243" s="83"/>
    </row>
    <row r="244" spans="2:6" ht="15" thickBot="1" x14ac:dyDescent="0.4">
      <c r="B244" s="71"/>
      <c r="C244" s="34"/>
      <c r="D244" s="34"/>
      <c r="E244" s="34"/>
      <c r="F244" s="83"/>
    </row>
    <row r="245" spans="2:6" ht="15" thickBot="1" x14ac:dyDescent="0.4">
      <c r="B245" s="71"/>
      <c r="C245" s="34"/>
      <c r="D245" s="34"/>
      <c r="E245" s="34"/>
      <c r="F245" s="83"/>
    </row>
    <row r="246" spans="2:6" ht="15" thickBot="1" x14ac:dyDescent="0.4">
      <c r="B246" s="71"/>
      <c r="C246" s="34"/>
      <c r="D246" s="34"/>
      <c r="E246" s="34"/>
      <c r="F246" s="83"/>
    </row>
    <row r="247" spans="2:6" ht="15" thickBot="1" x14ac:dyDescent="0.4">
      <c r="B247" s="71"/>
      <c r="C247" s="34"/>
      <c r="D247" s="34"/>
      <c r="E247" s="34"/>
      <c r="F247" s="83"/>
    </row>
    <row r="248" spans="2:6" ht="15" thickBot="1" x14ac:dyDescent="0.4">
      <c r="B248" s="71"/>
      <c r="C248" s="34"/>
      <c r="D248" s="34"/>
      <c r="E248" s="34"/>
      <c r="F248" s="83"/>
    </row>
    <row r="249" spans="2:6" ht="15" thickBot="1" x14ac:dyDescent="0.4">
      <c r="B249" s="71"/>
      <c r="C249" s="34"/>
      <c r="D249" s="34"/>
      <c r="E249" s="34"/>
      <c r="F249" s="83"/>
    </row>
    <row r="250" spans="2:6" ht="15" thickBot="1" x14ac:dyDescent="0.4">
      <c r="B250" s="71"/>
      <c r="C250" s="34"/>
      <c r="D250" s="34"/>
      <c r="E250" s="34"/>
      <c r="F250" s="83"/>
    </row>
    <row r="251" spans="2:6" ht="15" thickBot="1" x14ac:dyDescent="0.4">
      <c r="B251" s="71"/>
      <c r="C251" s="34"/>
      <c r="D251" s="34"/>
      <c r="E251" s="34"/>
      <c r="F251" s="83"/>
    </row>
    <row r="252" spans="2:6" ht="15" thickBot="1" x14ac:dyDescent="0.4">
      <c r="B252" s="71"/>
      <c r="C252" s="34"/>
      <c r="D252" s="34"/>
      <c r="E252" s="34"/>
      <c r="F252" s="83"/>
    </row>
    <row r="253" spans="2:6" ht="15" thickBot="1" x14ac:dyDescent="0.4">
      <c r="B253" s="71"/>
      <c r="C253" s="34"/>
      <c r="D253" s="34"/>
      <c r="E253" s="34"/>
      <c r="F253" s="83"/>
    </row>
    <row r="254" spans="2:6" ht="15" thickBot="1" x14ac:dyDescent="0.4">
      <c r="B254" s="71"/>
      <c r="C254" s="34"/>
      <c r="D254" s="34"/>
      <c r="E254" s="34"/>
      <c r="F254" s="83"/>
    </row>
    <row r="255" spans="2:6" ht="15" thickBot="1" x14ac:dyDescent="0.4">
      <c r="B255" s="71"/>
      <c r="C255" s="34"/>
      <c r="D255" s="34"/>
      <c r="E255" s="34"/>
      <c r="F255" s="83"/>
    </row>
    <row r="256" spans="2:6" ht="15" thickBot="1" x14ac:dyDescent="0.4">
      <c r="B256" s="71"/>
      <c r="C256" s="34"/>
      <c r="D256" s="34"/>
      <c r="E256" s="34"/>
      <c r="F256" s="83"/>
    </row>
    <row r="257" spans="2:6" ht="15" thickBot="1" x14ac:dyDescent="0.4">
      <c r="B257" s="71"/>
      <c r="C257" s="34"/>
      <c r="D257" s="34"/>
      <c r="E257" s="34"/>
      <c r="F257" s="83"/>
    </row>
    <row r="258" spans="2:6" ht="15" thickBot="1" x14ac:dyDescent="0.4">
      <c r="B258" s="71"/>
      <c r="C258" s="34"/>
      <c r="D258" s="34"/>
      <c r="E258" s="34"/>
      <c r="F258" s="83"/>
    </row>
    <row r="259" spans="2:6" ht="15" thickBot="1" x14ac:dyDescent="0.4">
      <c r="B259" s="71"/>
      <c r="C259" s="34"/>
      <c r="D259" s="34"/>
      <c r="E259" s="34"/>
      <c r="F259" s="83"/>
    </row>
    <row r="260" spans="2:6" ht="15" thickBot="1" x14ac:dyDescent="0.4">
      <c r="B260" s="71"/>
      <c r="C260" s="34"/>
      <c r="D260" s="34"/>
      <c r="E260" s="34"/>
      <c r="F260" s="83"/>
    </row>
    <row r="261" spans="2:6" ht="15" thickBot="1" x14ac:dyDescent="0.4">
      <c r="B261" s="71"/>
      <c r="C261" s="34"/>
      <c r="D261" s="34"/>
      <c r="E261" s="34"/>
      <c r="F261" s="83"/>
    </row>
    <row r="262" spans="2:6" ht="15" thickBot="1" x14ac:dyDescent="0.4">
      <c r="B262" s="71"/>
      <c r="C262" s="34"/>
      <c r="D262" s="34"/>
      <c r="E262" s="34"/>
      <c r="F262" s="83"/>
    </row>
    <row r="263" spans="2:6" ht="15" thickBot="1" x14ac:dyDescent="0.4">
      <c r="B263" s="71"/>
      <c r="C263" s="34"/>
      <c r="D263" s="34"/>
      <c r="E263" s="34"/>
      <c r="F263" s="83"/>
    </row>
    <row r="264" spans="2:6" ht="15" thickBot="1" x14ac:dyDescent="0.4">
      <c r="B264" s="71"/>
      <c r="C264" s="34"/>
      <c r="D264" s="34"/>
      <c r="E264" s="34"/>
      <c r="F264" s="83"/>
    </row>
    <row r="265" spans="2:6" ht="15" thickBot="1" x14ac:dyDescent="0.4">
      <c r="B265" s="71"/>
      <c r="C265" s="34"/>
      <c r="D265" s="34"/>
      <c r="E265" s="34"/>
      <c r="F265" s="83"/>
    </row>
    <row r="266" spans="2:6" ht="15" thickBot="1" x14ac:dyDescent="0.4">
      <c r="B266" s="71"/>
      <c r="C266" s="34"/>
      <c r="D266" s="34"/>
      <c r="E266" s="34"/>
      <c r="F266" s="83"/>
    </row>
    <row r="267" spans="2:6" ht="15" thickBot="1" x14ac:dyDescent="0.4">
      <c r="B267" s="71"/>
      <c r="C267" s="34"/>
      <c r="D267" s="34"/>
      <c r="E267" s="34"/>
      <c r="F267" s="83"/>
    </row>
    <row r="268" spans="2:6" ht="15" thickBot="1" x14ac:dyDescent="0.4">
      <c r="B268" s="71"/>
      <c r="C268" s="34"/>
      <c r="D268" s="34"/>
      <c r="E268" s="34"/>
      <c r="F268" s="83"/>
    </row>
    <row r="269" spans="2:6" ht="15" thickBot="1" x14ac:dyDescent="0.4">
      <c r="B269" s="71"/>
      <c r="C269" s="34"/>
      <c r="D269" s="34"/>
      <c r="E269" s="34"/>
      <c r="F269" s="83"/>
    </row>
    <row r="270" spans="2:6" ht="15" thickBot="1" x14ac:dyDescent="0.4">
      <c r="B270" s="71"/>
      <c r="C270" s="34"/>
      <c r="D270" s="34"/>
      <c r="E270" s="34"/>
      <c r="F270" s="83"/>
    </row>
    <row r="271" spans="2:6" ht="15" thickBot="1" x14ac:dyDescent="0.4">
      <c r="B271" s="71"/>
      <c r="C271" s="34"/>
      <c r="D271" s="34"/>
      <c r="E271" s="34"/>
      <c r="F271" s="83"/>
    </row>
    <row r="272" spans="2:6" ht="15" thickBot="1" x14ac:dyDescent="0.4">
      <c r="B272" s="71"/>
      <c r="C272" s="34"/>
      <c r="D272" s="34"/>
      <c r="E272" s="34"/>
      <c r="F272" s="83"/>
    </row>
    <row r="273" spans="2:6" ht="15" thickBot="1" x14ac:dyDescent="0.4">
      <c r="B273" s="71"/>
      <c r="C273" s="34"/>
      <c r="D273" s="34"/>
      <c r="E273" s="34"/>
      <c r="F273" s="83"/>
    </row>
    <row r="274" spans="2:6" ht="15" thickBot="1" x14ac:dyDescent="0.4">
      <c r="B274" s="71"/>
      <c r="C274" s="34"/>
      <c r="D274" s="34"/>
      <c r="E274" s="34"/>
      <c r="F274" s="83"/>
    </row>
    <row r="275" spans="2:6" ht="15" thickBot="1" x14ac:dyDescent="0.4">
      <c r="B275" s="71"/>
      <c r="C275" s="34"/>
      <c r="D275" s="34"/>
      <c r="E275" s="34"/>
      <c r="F275" s="83"/>
    </row>
    <row r="276" spans="2:6" ht="15" thickBot="1" x14ac:dyDescent="0.4">
      <c r="B276" s="71"/>
      <c r="C276" s="34"/>
      <c r="D276" s="34"/>
      <c r="E276" s="34"/>
      <c r="F276" s="83"/>
    </row>
    <row r="277" spans="2:6" ht="15" thickBot="1" x14ac:dyDescent="0.4">
      <c r="B277" s="71"/>
      <c r="C277" s="34"/>
      <c r="D277" s="34"/>
      <c r="E277" s="34"/>
      <c r="F277" s="83"/>
    </row>
    <row r="278" spans="2:6" ht="15" thickBot="1" x14ac:dyDescent="0.4">
      <c r="B278" s="71"/>
      <c r="C278" s="34"/>
      <c r="D278" s="34"/>
      <c r="E278" s="34"/>
      <c r="F278" s="83"/>
    </row>
    <row r="279" spans="2:6" ht="15" thickBot="1" x14ac:dyDescent="0.4">
      <c r="B279" s="71"/>
      <c r="C279" s="34"/>
      <c r="D279" s="34"/>
      <c r="E279" s="34"/>
      <c r="F279" s="83"/>
    </row>
    <row r="280" spans="2:6" ht="15" thickBot="1" x14ac:dyDescent="0.4">
      <c r="B280" s="71"/>
      <c r="C280" s="34"/>
      <c r="D280" s="34"/>
      <c r="E280" s="34"/>
      <c r="F280" s="83"/>
    </row>
    <row r="281" spans="2:6" ht="15" thickBot="1" x14ac:dyDescent="0.4">
      <c r="B281" s="71"/>
      <c r="C281" s="34"/>
      <c r="D281" s="34"/>
      <c r="E281" s="34"/>
      <c r="F281" s="83"/>
    </row>
    <row r="282" spans="2:6" ht="15" thickBot="1" x14ac:dyDescent="0.4">
      <c r="B282" s="71"/>
      <c r="C282" s="34"/>
      <c r="D282" s="34"/>
      <c r="E282" s="34"/>
      <c r="F282" s="83"/>
    </row>
    <row r="283" spans="2:6" ht="15" thickBot="1" x14ac:dyDescent="0.4">
      <c r="B283" s="71"/>
      <c r="C283" s="34"/>
      <c r="D283" s="34"/>
      <c r="E283" s="34"/>
      <c r="F283" s="83"/>
    </row>
    <row r="284" spans="2:6" ht="15" thickBot="1" x14ac:dyDescent="0.4">
      <c r="B284" s="71"/>
      <c r="C284" s="34"/>
      <c r="D284" s="34"/>
      <c r="E284" s="34"/>
      <c r="F284" s="83"/>
    </row>
    <row r="285" spans="2:6" ht="15" thickBot="1" x14ac:dyDescent="0.4">
      <c r="B285" s="71"/>
      <c r="C285" s="34"/>
      <c r="D285" s="34"/>
      <c r="E285" s="34"/>
      <c r="F285" s="83"/>
    </row>
    <row r="286" spans="2:6" ht="15" thickBot="1" x14ac:dyDescent="0.4">
      <c r="B286" s="71"/>
      <c r="C286" s="34"/>
      <c r="D286" s="34"/>
      <c r="E286" s="34"/>
      <c r="F286" s="83"/>
    </row>
    <row r="287" spans="2:6" ht="15" thickBot="1" x14ac:dyDescent="0.4">
      <c r="B287" s="71"/>
      <c r="C287" s="34"/>
      <c r="D287" s="34"/>
      <c r="E287" s="34"/>
      <c r="F287" s="83"/>
    </row>
    <row r="288" spans="2:6" ht="15" thickBot="1" x14ac:dyDescent="0.4">
      <c r="B288" s="71"/>
      <c r="C288" s="34"/>
      <c r="D288" s="34"/>
      <c r="E288" s="34"/>
      <c r="F288" s="83"/>
    </row>
    <row r="289" spans="2:6" ht="15" thickBot="1" x14ac:dyDescent="0.4">
      <c r="B289" s="71"/>
      <c r="C289" s="34"/>
      <c r="D289" s="34"/>
      <c r="E289" s="34"/>
      <c r="F289" s="83"/>
    </row>
    <row r="290" spans="2:6" ht="15" thickBot="1" x14ac:dyDescent="0.4">
      <c r="B290" s="71"/>
      <c r="C290" s="34"/>
      <c r="D290" s="34"/>
      <c r="E290" s="34"/>
      <c r="F290" s="83"/>
    </row>
    <row r="291" spans="2:6" ht="15" thickBot="1" x14ac:dyDescent="0.4">
      <c r="B291" s="71"/>
      <c r="C291" s="34"/>
      <c r="D291" s="34"/>
      <c r="E291" s="34"/>
      <c r="F291" s="83"/>
    </row>
    <row r="292" spans="2:6" ht="15" thickBot="1" x14ac:dyDescent="0.4">
      <c r="B292" s="71"/>
      <c r="C292" s="34"/>
      <c r="D292" s="34"/>
      <c r="E292" s="34"/>
      <c r="F292" s="83"/>
    </row>
    <row r="293" spans="2:6" ht="15" thickBot="1" x14ac:dyDescent="0.4">
      <c r="B293" s="71"/>
      <c r="C293" s="34"/>
      <c r="D293" s="34"/>
      <c r="E293" s="34"/>
      <c r="F293" s="83"/>
    </row>
    <row r="294" spans="2:6" ht="15" thickBot="1" x14ac:dyDescent="0.4">
      <c r="B294" s="71"/>
      <c r="C294" s="34"/>
      <c r="D294" s="34"/>
      <c r="E294" s="34"/>
      <c r="F294" s="83"/>
    </row>
    <row r="295" spans="2:6" ht="15" thickBot="1" x14ac:dyDescent="0.4">
      <c r="B295" s="71"/>
      <c r="C295" s="34"/>
      <c r="D295" s="34"/>
      <c r="E295" s="34"/>
      <c r="F295" s="83"/>
    </row>
    <row r="296" spans="2:6" ht="15" thickBot="1" x14ac:dyDescent="0.4">
      <c r="B296" s="71"/>
      <c r="C296" s="34"/>
      <c r="D296" s="34"/>
      <c r="E296" s="34"/>
      <c r="F296" s="83"/>
    </row>
    <row r="297" spans="2:6" ht="15" thickBot="1" x14ac:dyDescent="0.4">
      <c r="B297" s="71"/>
      <c r="C297" s="34"/>
      <c r="D297" s="34"/>
      <c r="E297" s="34"/>
      <c r="F297" s="83"/>
    </row>
    <row r="298" spans="2:6" ht="15" thickBot="1" x14ac:dyDescent="0.4">
      <c r="B298" s="71"/>
      <c r="C298" s="34"/>
      <c r="D298" s="34"/>
      <c r="E298" s="34"/>
      <c r="F298" s="83"/>
    </row>
    <row r="299" spans="2:6" ht="15" thickBot="1" x14ac:dyDescent="0.4">
      <c r="B299" s="71"/>
      <c r="C299" s="34"/>
      <c r="D299" s="34"/>
      <c r="E299" s="34"/>
      <c r="F299" s="83"/>
    </row>
    <row r="300" spans="2:6" ht="15" thickBot="1" x14ac:dyDescent="0.4">
      <c r="B300" s="71"/>
      <c r="C300" s="34"/>
      <c r="D300" s="34"/>
      <c r="E300" s="34"/>
      <c r="F300" s="83"/>
    </row>
    <row r="301" spans="2:6" ht="15" thickBot="1" x14ac:dyDescent="0.4">
      <c r="B301" s="71"/>
      <c r="C301" s="34"/>
      <c r="D301" s="34"/>
      <c r="E301" s="34"/>
      <c r="F301" s="83"/>
    </row>
    <row r="302" spans="2:6" ht="15" thickBot="1" x14ac:dyDescent="0.4">
      <c r="B302" s="71"/>
      <c r="C302" s="34"/>
      <c r="D302" s="34"/>
      <c r="E302" s="34"/>
      <c r="F302" s="83"/>
    </row>
    <row r="303" spans="2:6" ht="15" thickBot="1" x14ac:dyDescent="0.4">
      <c r="B303" s="71"/>
      <c r="C303" s="34"/>
      <c r="D303" s="34"/>
      <c r="E303" s="34"/>
      <c r="F303" s="83"/>
    </row>
    <row r="304" spans="2:6" ht="15" thickBot="1" x14ac:dyDescent="0.4">
      <c r="B304" s="71"/>
      <c r="C304" s="34"/>
      <c r="D304" s="34"/>
      <c r="E304" s="34"/>
      <c r="F304" s="83"/>
    </row>
    <row r="305" spans="2:6" ht="15" thickBot="1" x14ac:dyDescent="0.4">
      <c r="B305" s="71"/>
      <c r="C305" s="34"/>
      <c r="D305" s="34"/>
      <c r="E305" s="34"/>
      <c r="F305" s="83"/>
    </row>
    <row r="306" spans="2:6" ht="15" thickBot="1" x14ac:dyDescent="0.4">
      <c r="B306" s="71"/>
      <c r="C306" s="34"/>
      <c r="D306" s="34"/>
      <c r="E306" s="34"/>
      <c r="F306" s="83"/>
    </row>
    <row r="307" spans="2:6" ht="15" thickBot="1" x14ac:dyDescent="0.4">
      <c r="B307" s="71"/>
      <c r="C307" s="34"/>
      <c r="D307" s="34"/>
      <c r="E307" s="34"/>
      <c r="F307" s="83"/>
    </row>
    <row r="308" spans="2:6" ht="15" thickBot="1" x14ac:dyDescent="0.4">
      <c r="B308" s="71"/>
      <c r="C308" s="34"/>
      <c r="D308" s="34"/>
      <c r="E308" s="34"/>
      <c r="F308" s="83"/>
    </row>
    <row r="309" spans="2:6" ht="15" thickBot="1" x14ac:dyDescent="0.4">
      <c r="B309" s="71"/>
      <c r="C309" s="34"/>
      <c r="D309" s="34"/>
      <c r="E309" s="34"/>
      <c r="F309" s="83"/>
    </row>
    <row r="310" spans="2:6" ht="15" thickBot="1" x14ac:dyDescent="0.4">
      <c r="B310" s="71"/>
      <c r="C310" s="34"/>
      <c r="D310" s="34"/>
      <c r="E310" s="34"/>
      <c r="F310" s="83"/>
    </row>
    <row r="311" spans="2:6" ht="15" thickBot="1" x14ac:dyDescent="0.4">
      <c r="B311" s="71"/>
      <c r="C311" s="34"/>
      <c r="D311" s="34"/>
      <c r="E311" s="34"/>
      <c r="F311" s="83"/>
    </row>
    <row r="312" spans="2:6" ht="15" thickBot="1" x14ac:dyDescent="0.4">
      <c r="B312" s="71"/>
      <c r="C312" s="34"/>
      <c r="D312" s="34"/>
      <c r="E312" s="34"/>
      <c r="F312" s="83"/>
    </row>
    <row r="313" spans="2:6" ht="15" thickBot="1" x14ac:dyDescent="0.4">
      <c r="B313" s="71"/>
      <c r="C313" s="34"/>
      <c r="D313" s="34"/>
      <c r="E313" s="34"/>
      <c r="F313" s="83"/>
    </row>
    <row r="314" spans="2:6" ht="15" thickBot="1" x14ac:dyDescent="0.4">
      <c r="B314" s="71"/>
      <c r="C314" s="34"/>
      <c r="D314" s="34"/>
      <c r="E314" s="34"/>
      <c r="F314" s="83"/>
    </row>
    <row r="315" spans="2:6" ht="15" thickBot="1" x14ac:dyDescent="0.4">
      <c r="B315" s="71"/>
      <c r="C315" s="34"/>
      <c r="D315" s="34"/>
      <c r="E315" s="34"/>
      <c r="F315" s="83"/>
    </row>
    <row r="316" spans="2:6" ht="15" thickBot="1" x14ac:dyDescent="0.4">
      <c r="B316" s="71"/>
      <c r="C316" s="34"/>
      <c r="D316" s="34"/>
      <c r="E316" s="34"/>
      <c r="F316" s="83"/>
    </row>
    <row r="317" spans="2:6" ht="15" thickBot="1" x14ac:dyDescent="0.4">
      <c r="B317" s="71"/>
      <c r="C317" s="34"/>
      <c r="D317" s="34"/>
      <c r="E317" s="34"/>
      <c r="F317" s="83"/>
    </row>
    <row r="318" spans="2:6" ht="15" thickBot="1" x14ac:dyDescent="0.4">
      <c r="B318" s="71"/>
      <c r="C318" s="34"/>
      <c r="D318" s="34"/>
      <c r="E318" s="34"/>
      <c r="F318" s="83"/>
    </row>
    <row r="319" spans="2:6" ht="15" thickBot="1" x14ac:dyDescent="0.4">
      <c r="B319" s="71"/>
      <c r="C319" s="34"/>
      <c r="D319" s="34"/>
      <c r="E319" s="34"/>
      <c r="F319" s="83"/>
    </row>
    <row r="320" spans="2:6" ht="15" thickBot="1" x14ac:dyDescent="0.4">
      <c r="B320" s="71"/>
      <c r="C320" s="34"/>
      <c r="D320" s="34"/>
      <c r="E320" s="34"/>
      <c r="F320" s="83"/>
    </row>
    <row r="321" spans="2:6" ht="15" thickBot="1" x14ac:dyDescent="0.4">
      <c r="B321" s="71"/>
      <c r="C321" s="34"/>
      <c r="D321" s="34"/>
      <c r="E321" s="34"/>
      <c r="F321" s="83"/>
    </row>
    <row r="322" spans="2:6" ht="15" thickBot="1" x14ac:dyDescent="0.4">
      <c r="B322" s="71"/>
      <c r="C322" s="34"/>
      <c r="D322" s="34"/>
      <c r="E322" s="34"/>
      <c r="F322" s="83"/>
    </row>
    <row r="323" spans="2:6" ht="15" thickBot="1" x14ac:dyDescent="0.4">
      <c r="B323" s="71"/>
      <c r="C323" s="34"/>
      <c r="D323" s="34"/>
      <c r="E323" s="34"/>
      <c r="F323" s="83"/>
    </row>
    <row r="324" spans="2:6" ht="15" thickBot="1" x14ac:dyDescent="0.4">
      <c r="B324" s="71"/>
      <c r="C324" s="34"/>
      <c r="D324" s="34"/>
      <c r="E324" s="34"/>
      <c r="F324" s="83"/>
    </row>
    <row r="325" spans="2:6" ht="15" thickBot="1" x14ac:dyDescent="0.4">
      <c r="B325" s="71"/>
      <c r="C325" s="34"/>
      <c r="D325" s="34"/>
      <c r="E325" s="34"/>
      <c r="F325" s="83"/>
    </row>
    <row r="326" spans="2:6" ht="15" thickBot="1" x14ac:dyDescent="0.4">
      <c r="B326" s="71"/>
      <c r="C326" s="34"/>
      <c r="D326" s="34"/>
      <c r="E326" s="34"/>
      <c r="F326" s="83"/>
    </row>
    <row r="327" spans="2:6" ht="15" thickBot="1" x14ac:dyDescent="0.4">
      <c r="B327" s="71"/>
      <c r="C327" s="34"/>
      <c r="D327" s="34"/>
      <c r="E327" s="34"/>
      <c r="F327" s="83"/>
    </row>
    <row r="328" spans="2:6" ht="15" thickBot="1" x14ac:dyDescent="0.4">
      <c r="B328" s="71"/>
      <c r="C328" s="34"/>
      <c r="D328" s="34"/>
      <c r="E328" s="34"/>
      <c r="F328" s="83"/>
    </row>
    <row r="329" spans="2:6" ht="15" thickBot="1" x14ac:dyDescent="0.4">
      <c r="B329" s="71"/>
      <c r="C329" s="34"/>
      <c r="D329" s="34"/>
      <c r="E329" s="34"/>
      <c r="F329" s="83"/>
    </row>
    <row r="330" spans="2:6" ht="15" thickBot="1" x14ac:dyDescent="0.4">
      <c r="B330" s="71"/>
      <c r="C330" s="34"/>
      <c r="D330" s="34"/>
      <c r="E330" s="34"/>
      <c r="F330" s="83"/>
    </row>
    <row r="331" spans="2:6" ht="15" thickBot="1" x14ac:dyDescent="0.4">
      <c r="B331" s="71"/>
      <c r="C331" s="34"/>
      <c r="D331" s="34"/>
      <c r="E331" s="34"/>
      <c r="F331" s="83"/>
    </row>
    <row r="332" spans="2:6" ht="15" thickBot="1" x14ac:dyDescent="0.4">
      <c r="B332" s="71"/>
      <c r="C332" s="34"/>
      <c r="D332" s="34"/>
      <c r="E332" s="34"/>
      <c r="F332" s="83"/>
    </row>
    <row r="333" spans="2:6" ht="15" thickBot="1" x14ac:dyDescent="0.4">
      <c r="B333" s="71"/>
      <c r="C333" s="34"/>
      <c r="D333" s="34"/>
      <c r="E333" s="34"/>
      <c r="F333" s="83"/>
    </row>
    <row r="334" spans="2:6" ht="15" thickBot="1" x14ac:dyDescent="0.4">
      <c r="B334" s="71"/>
      <c r="C334" s="34"/>
      <c r="D334" s="34"/>
      <c r="E334" s="34"/>
      <c r="F334" s="83"/>
    </row>
    <row r="335" spans="2:6" ht="15" thickBot="1" x14ac:dyDescent="0.4">
      <c r="B335" s="71"/>
      <c r="C335" s="34"/>
      <c r="D335" s="34"/>
      <c r="E335" s="34"/>
      <c r="F335" s="83"/>
    </row>
    <row r="336" spans="2:6" ht="15" thickBot="1" x14ac:dyDescent="0.4">
      <c r="B336" s="71"/>
      <c r="C336" s="34"/>
      <c r="D336" s="34"/>
      <c r="E336" s="34"/>
      <c r="F336" s="83"/>
    </row>
    <row r="337" spans="2:6" ht="15" thickBot="1" x14ac:dyDescent="0.4">
      <c r="B337" s="71"/>
      <c r="C337" s="34"/>
      <c r="D337" s="34"/>
      <c r="E337" s="34"/>
      <c r="F337" s="83"/>
    </row>
    <row r="338" spans="2:6" ht="15" thickBot="1" x14ac:dyDescent="0.4">
      <c r="B338" s="71"/>
      <c r="C338" s="34"/>
      <c r="D338" s="34"/>
      <c r="E338" s="34"/>
      <c r="F338" s="83"/>
    </row>
    <row r="339" spans="2:6" ht="15" thickBot="1" x14ac:dyDescent="0.4">
      <c r="B339" s="71"/>
      <c r="C339" s="34"/>
      <c r="D339" s="34"/>
      <c r="E339" s="34"/>
      <c r="F339" s="83"/>
    </row>
    <row r="340" spans="2:6" ht="15" thickBot="1" x14ac:dyDescent="0.4">
      <c r="B340" s="71"/>
      <c r="C340" s="34"/>
      <c r="D340" s="34"/>
      <c r="E340" s="34"/>
      <c r="F340" s="83"/>
    </row>
    <row r="341" spans="2:6" ht="15" thickBot="1" x14ac:dyDescent="0.4">
      <c r="B341" s="71"/>
      <c r="C341" s="34"/>
      <c r="D341" s="34"/>
      <c r="E341" s="34"/>
      <c r="F341" s="83"/>
    </row>
    <row r="342" spans="2:6" ht="15" thickBot="1" x14ac:dyDescent="0.4">
      <c r="B342" s="71"/>
      <c r="C342" s="34"/>
      <c r="D342" s="34"/>
      <c r="E342" s="34"/>
      <c r="F342" s="83"/>
    </row>
    <row r="343" spans="2:6" ht="15" thickBot="1" x14ac:dyDescent="0.4">
      <c r="B343" s="71"/>
      <c r="C343" s="34"/>
      <c r="D343" s="34"/>
      <c r="E343" s="34"/>
      <c r="F343" s="83"/>
    </row>
    <row r="344" spans="2:6" ht="15" thickBot="1" x14ac:dyDescent="0.4">
      <c r="B344" s="71"/>
      <c r="C344" s="34"/>
      <c r="D344" s="34"/>
      <c r="E344" s="34"/>
      <c r="F344" s="83"/>
    </row>
    <row r="345" spans="2:6" ht="15" thickBot="1" x14ac:dyDescent="0.4">
      <c r="B345" s="71"/>
      <c r="C345" s="34"/>
      <c r="D345" s="34"/>
      <c r="E345" s="34"/>
      <c r="F345" s="83"/>
    </row>
    <row r="346" spans="2:6" ht="15" thickBot="1" x14ac:dyDescent="0.4">
      <c r="B346" s="71"/>
      <c r="C346" s="34"/>
      <c r="D346" s="34"/>
      <c r="E346" s="34"/>
      <c r="F346" s="83"/>
    </row>
    <row r="347" spans="2:6" ht="15" thickBot="1" x14ac:dyDescent="0.4">
      <c r="B347" s="71"/>
      <c r="C347" s="34"/>
      <c r="D347" s="34"/>
      <c r="E347" s="34"/>
      <c r="F347" s="83"/>
    </row>
    <row r="348" spans="2:6" ht="15" thickBot="1" x14ac:dyDescent="0.4">
      <c r="B348" s="71"/>
      <c r="C348" s="34"/>
      <c r="D348" s="34"/>
      <c r="E348" s="34"/>
      <c r="F348" s="83"/>
    </row>
    <row r="349" spans="2:6" ht="15" thickBot="1" x14ac:dyDescent="0.4">
      <c r="B349" s="71"/>
      <c r="C349" s="34"/>
      <c r="D349" s="34"/>
      <c r="E349" s="34"/>
      <c r="F349" s="83"/>
    </row>
    <row r="350" spans="2:6" ht="15" thickBot="1" x14ac:dyDescent="0.4">
      <c r="B350" s="71"/>
      <c r="C350" s="34"/>
      <c r="D350" s="34"/>
      <c r="E350" s="34"/>
      <c r="F350" s="83"/>
    </row>
    <row r="351" spans="2:6" ht="15" thickBot="1" x14ac:dyDescent="0.4">
      <c r="B351" s="71"/>
      <c r="C351" s="34"/>
      <c r="D351" s="34"/>
      <c r="E351" s="34"/>
      <c r="F351" s="83"/>
    </row>
    <row r="352" spans="2:6" ht="15" thickBot="1" x14ac:dyDescent="0.4">
      <c r="B352" s="71"/>
      <c r="C352" s="34"/>
      <c r="D352" s="34"/>
      <c r="E352" s="34"/>
      <c r="F352" s="83"/>
    </row>
    <row r="353" spans="2:6" ht="15" thickBot="1" x14ac:dyDescent="0.4">
      <c r="B353" s="71"/>
      <c r="C353" s="34"/>
      <c r="D353" s="34"/>
      <c r="E353" s="34"/>
      <c r="F353" s="83"/>
    </row>
    <row r="354" spans="2:6" ht="15" thickBot="1" x14ac:dyDescent="0.4">
      <c r="B354" s="71"/>
      <c r="C354" s="34"/>
      <c r="D354" s="34"/>
      <c r="E354" s="34"/>
      <c r="F354" s="83"/>
    </row>
    <row r="355" spans="2:6" ht="15" thickBot="1" x14ac:dyDescent="0.4">
      <c r="B355" s="71"/>
      <c r="C355" s="34"/>
      <c r="D355" s="34"/>
      <c r="E355" s="34"/>
      <c r="F355" s="83"/>
    </row>
    <row r="356" spans="2:6" ht="15" thickBot="1" x14ac:dyDescent="0.4">
      <c r="B356" s="71"/>
      <c r="C356" s="34"/>
      <c r="D356" s="34"/>
      <c r="E356" s="34"/>
      <c r="F356" s="83"/>
    </row>
    <row r="357" spans="2:6" ht="15" thickBot="1" x14ac:dyDescent="0.4">
      <c r="B357" s="71"/>
      <c r="C357" s="34"/>
      <c r="D357" s="34"/>
      <c r="E357" s="34"/>
      <c r="F357" s="83"/>
    </row>
    <row r="358" spans="2:6" ht="15" thickBot="1" x14ac:dyDescent="0.4">
      <c r="B358" s="71"/>
      <c r="C358" s="34"/>
      <c r="D358" s="34"/>
      <c r="E358" s="34"/>
      <c r="F358" s="83"/>
    </row>
    <row r="359" spans="2:6" ht="15" thickBot="1" x14ac:dyDescent="0.4">
      <c r="B359" s="71"/>
      <c r="C359" s="34"/>
      <c r="D359" s="34"/>
      <c r="E359" s="34"/>
      <c r="F359" s="83"/>
    </row>
    <row r="360" spans="2:6" ht="15" thickBot="1" x14ac:dyDescent="0.4">
      <c r="B360" s="71"/>
      <c r="C360" s="34"/>
      <c r="D360" s="34"/>
      <c r="E360" s="34"/>
      <c r="F360" s="83"/>
    </row>
    <row r="361" spans="2:6" ht="15" thickBot="1" x14ac:dyDescent="0.4">
      <c r="B361" s="71"/>
      <c r="C361" s="34"/>
      <c r="D361" s="34"/>
      <c r="E361" s="34"/>
      <c r="F361" s="83"/>
    </row>
    <row r="362" spans="2:6" ht="15" thickBot="1" x14ac:dyDescent="0.4">
      <c r="B362" s="71"/>
      <c r="C362" s="34"/>
      <c r="D362" s="34"/>
      <c r="E362" s="34"/>
      <c r="F362" s="83"/>
    </row>
    <row r="363" spans="2:6" ht="15" thickBot="1" x14ac:dyDescent="0.4">
      <c r="B363" s="71"/>
      <c r="C363" s="34"/>
      <c r="D363" s="34"/>
      <c r="E363" s="34"/>
      <c r="F363" s="83"/>
    </row>
    <row r="364" spans="2:6" ht="15" thickBot="1" x14ac:dyDescent="0.4">
      <c r="B364" s="71"/>
      <c r="C364" s="34"/>
      <c r="D364" s="34"/>
      <c r="E364" s="34"/>
      <c r="F364" s="83"/>
    </row>
    <row r="365" spans="2:6" ht="15" thickBot="1" x14ac:dyDescent="0.4">
      <c r="B365" s="71"/>
      <c r="C365" s="34"/>
      <c r="D365" s="34"/>
      <c r="E365" s="34"/>
      <c r="F365" s="83"/>
    </row>
    <row r="366" spans="2:6" ht="15" thickBot="1" x14ac:dyDescent="0.4">
      <c r="B366" s="71"/>
      <c r="C366" s="34"/>
      <c r="D366" s="34"/>
      <c r="E366" s="34"/>
      <c r="F366" s="83"/>
    </row>
    <row r="367" spans="2:6" ht="15" thickBot="1" x14ac:dyDescent="0.4">
      <c r="B367" s="71"/>
      <c r="C367" s="34"/>
      <c r="D367" s="34"/>
      <c r="E367" s="34"/>
      <c r="F367" s="83"/>
    </row>
    <row r="368" spans="2:6" ht="15" thickBot="1" x14ac:dyDescent="0.4">
      <c r="B368" s="71"/>
      <c r="C368" s="34"/>
      <c r="D368" s="34"/>
      <c r="E368" s="34"/>
      <c r="F368" s="83"/>
    </row>
    <row r="369" spans="2:6" ht="15" thickBot="1" x14ac:dyDescent="0.4">
      <c r="B369" s="71"/>
      <c r="C369" s="34"/>
      <c r="D369" s="34"/>
      <c r="E369" s="34"/>
      <c r="F369" s="83"/>
    </row>
    <row r="370" spans="2:6" ht="15" thickBot="1" x14ac:dyDescent="0.4">
      <c r="B370" s="71"/>
      <c r="C370" s="34"/>
      <c r="D370" s="34"/>
      <c r="E370" s="34"/>
      <c r="F370" s="83"/>
    </row>
    <row r="371" spans="2:6" ht="15" thickBot="1" x14ac:dyDescent="0.4">
      <c r="B371" s="71"/>
      <c r="C371" s="34"/>
      <c r="D371" s="34"/>
      <c r="E371" s="34"/>
      <c r="F371" s="83"/>
    </row>
    <row r="372" spans="2:6" ht="15" thickBot="1" x14ac:dyDescent="0.4">
      <c r="B372" s="71"/>
      <c r="C372" s="34"/>
      <c r="D372" s="34"/>
      <c r="E372" s="34"/>
      <c r="F372" s="83"/>
    </row>
    <row r="373" spans="2:6" ht="15" thickBot="1" x14ac:dyDescent="0.4">
      <c r="B373" s="71"/>
      <c r="C373" s="34"/>
      <c r="D373" s="34"/>
      <c r="E373" s="34"/>
      <c r="F373" s="83"/>
    </row>
    <row r="374" spans="2:6" ht="15" thickBot="1" x14ac:dyDescent="0.4">
      <c r="B374" s="71"/>
      <c r="C374" s="34"/>
      <c r="D374" s="34"/>
      <c r="E374" s="34"/>
      <c r="F374" s="83"/>
    </row>
    <row r="375" spans="2:6" ht="15" thickBot="1" x14ac:dyDescent="0.4">
      <c r="B375" s="71"/>
      <c r="C375" s="34"/>
      <c r="D375" s="34"/>
      <c r="E375" s="34"/>
      <c r="F375" s="83"/>
    </row>
    <row r="376" spans="2:6" ht="15" thickBot="1" x14ac:dyDescent="0.4">
      <c r="B376" s="71"/>
      <c r="C376" s="34"/>
      <c r="D376" s="34"/>
      <c r="E376" s="34"/>
      <c r="F376" s="83"/>
    </row>
    <row r="377" spans="2:6" ht="15" thickBot="1" x14ac:dyDescent="0.4">
      <c r="B377" s="71"/>
      <c r="C377" s="34"/>
      <c r="D377" s="34"/>
      <c r="E377" s="34"/>
      <c r="F377" s="83"/>
    </row>
    <row r="378" spans="2:6" ht="15" thickBot="1" x14ac:dyDescent="0.4">
      <c r="B378" s="71"/>
      <c r="C378" s="34"/>
      <c r="D378" s="34"/>
      <c r="E378" s="34"/>
      <c r="F378" s="83"/>
    </row>
    <row r="379" spans="2:6" ht="15" thickBot="1" x14ac:dyDescent="0.4">
      <c r="B379" s="71"/>
      <c r="C379" s="34"/>
      <c r="D379" s="34"/>
      <c r="E379" s="34"/>
      <c r="F379" s="83"/>
    </row>
    <row r="380" spans="2:6" ht="15" thickBot="1" x14ac:dyDescent="0.4">
      <c r="B380" s="71"/>
      <c r="C380" s="34"/>
      <c r="D380" s="34"/>
      <c r="E380" s="34"/>
      <c r="F380" s="83"/>
    </row>
    <row r="381" spans="2:6" ht="15" thickBot="1" x14ac:dyDescent="0.4">
      <c r="B381" s="71"/>
      <c r="C381" s="34"/>
      <c r="D381" s="34"/>
      <c r="E381" s="34"/>
      <c r="F381" s="83"/>
    </row>
    <row r="382" spans="2:6" ht="15" thickBot="1" x14ac:dyDescent="0.4">
      <c r="B382" s="71"/>
      <c r="C382" s="34"/>
      <c r="D382" s="34"/>
      <c r="E382" s="34"/>
      <c r="F382" s="83"/>
    </row>
    <row r="383" spans="2:6" ht="15" thickBot="1" x14ac:dyDescent="0.4">
      <c r="B383" s="71"/>
      <c r="C383" s="34"/>
      <c r="D383" s="34"/>
      <c r="E383" s="34"/>
      <c r="F383" s="83"/>
    </row>
    <row r="384" spans="2:6" ht="15" thickBot="1" x14ac:dyDescent="0.4">
      <c r="B384" s="71"/>
      <c r="C384" s="34"/>
      <c r="D384" s="34"/>
      <c r="E384" s="34"/>
      <c r="F384" s="83"/>
    </row>
    <row r="385" spans="2:6" ht="15" thickBot="1" x14ac:dyDescent="0.4">
      <c r="B385" s="71"/>
      <c r="C385" s="34"/>
      <c r="D385" s="34"/>
      <c r="E385" s="34"/>
      <c r="F385" s="83"/>
    </row>
    <row r="386" spans="2:6" ht="15" thickBot="1" x14ac:dyDescent="0.4">
      <c r="B386" s="71"/>
      <c r="C386" s="34"/>
      <c r="D386" s="34"/>
      <c r="E386" s="34"/>
      <c r="F386" s="83"/>
    </row>
    <row r="387" spans="2:6" ht="15" thickBot="1" x14ac:dyDescent="0.4">
      <c r="B387" s="71"/>
      <c r="C387" s="34"/>
      <c r="D387" s="34"/>
      <c r="E387" s="34"/>
      <c r="F387" s="83"/>
    </row>
    <row r="388" spans="2:6" ht="15" thickBot="1" x14ac:dyDescent="0.4">
      <c r="B388" s="71"/>
      <c r="C388" s="34"/>
      <c r="D388" s="34"/>
      <c r="E388" s="34"/>
      <c r="F388" s="83"/>
    </row>
    <row r="389" spans="2:6" ht="15" thickBot="1" x14ac:dyDescent="0.4">
      <c r="B389" s="71"/>
      <c r="C389" s="34"/>
      <c r="D389" s="34"/>
      <c r="E389" s="34"/>
      <c r="F389" s="83"/>
    </row>
    <row r="390" spans="2:6" ht="15" thickBot="1" x14ac:dyDescent="0.4">
      <c r="B390" s="71"/>
      <c r="C390" s="34"/>
      <c r="D390" s="34"/>
      <c r="E390" s="34"/>
      <c r="F390" s="83"/>
    </row>
    <row r="391" spans="2:6" ht="15" thickBot="1" x14ac:dyDescent="0.4">
      <c r="B391" s="71"/>
      <c r="C391" s="34"/>
      <c r="D391" s="34"/>
      <c r="E391" s="34"/>
      <c r="F391" s="83"/>
    </row>
    <row r="392" spans="2:6" ht="15" thickBot="1" x14ac:dyDescent="0.4">
      <c r="B392" s="71"/>
      <c r="C392" s="34"/>
      <c r="D392" s="34"/>
      <c r="E392" s="34"/>
      <c r="F392" s="83"/>
    </row>
    <row r="393" spans="2:6" ht="15" thickBot="1" x14ac:dyDescent="0.4">
      <c r="B393" s="71"/>
      <c r="C393" s="34"/>
      <c r="D393" s="34"/>
      <c r="E393" s="34"/>
      <c r="F393" s="83"/>
    </row>
    <row r="394" spans="2:6" ht="15" thickBot="1" x14ac:dyDescent="0.4">
      <c r="B394" s="71"/>
      <c r="C394" s="34"/>
      <c r="D394" s="34"/>
      <c r="E394" s="34"/>
      <c r="F394" s="83"/>
    </row>
    <row r="395" spans="2:6" ht="15" thickBot="1" x14ac:dyDescent="0.4">
      <c r="B395" s="71"/>
      <c r="C395" s="34"/>
      <c r="D395" s="34"/>
      <c r="E395" s="34"/>
      <c r="F395" s="83"/>
    </row>
    <row r="396" spans="2:6" ht="15" thickBot="1" x14ac:dyDescent="0.4">
      <c r="B396" s="71"/>
      <c r="C396" s="34"/>
      <c r="D396" s="34"/>
      <c r="E396" s="34"/>
      <c r="F396" s="83"/>
    </row>
    <row r="397" spans="2:6" ht="15" thickBot="1" x14ac:dyDescent="0.4">
      <c r="B397" s="71"/>
      <c r="C397" s="34"/>
      <c r="D397" s="34"/>
      <c r="E397" s="34"/>
      <c r="F397" s="83"/>
    </row>
    <row r="398" spans="2:6" ht="15" thickBot="1" x14ac:dyDescent="0.4">
      <c r="B398" s="71"/>
      <c r="C398" s="34"/>
      <c r="D398" s="34"/>
      <c r="E398" s="34"/>
      <c r="F398" s="83"/>
    </row>
    <row r="399" spans="2:6" ht="15" thickBot="1" x14ac:dyDescent="0.4">
      <c r="B399" s="71"/>
      <c r="C399" s="34"/>
      <c r="D399" s="34"/>
      <c r="E399" s="34"/>
      <c r="F399" s="83"/>
    </row>
    <row r="400" spans="2:6" ht="15" thickBot="1" x14ac:dyDescent="0.4">
      <c r="B400" s="71"/>
      <c r="C400" s="34"/>
      <c r="D400" s="34"/>
      <c r="E400" s="34"/>
      <c r="F400" s="83"/>
    </row>
    <row r="401" spans="2:6" ht="15" thickBot="1" x14ac:dyDescent="0.4">
      <c r="B401" s="71"/>
      <c r="C401" s="34"/>
      <c r="D401" s="34"/>
      <c r="E401" s="34"/>
      <c r="F401" s="83"/>
    </row>
    <row r="402" spans="2:6" ht="15" thickBot="1" x14ac:dyDescent="0.4">
      <c r="B402" s="71"/>
      <c r="C402" s="34"/>
      <c r="D402" s="34"/>
      <c r="E402" s="34"/>
      <c r="F402" s="83"/>
    </row>
    <row r="403" spans="2:6" ht="15" thickBot="1" x14ac:dyDescent="0.4">
      <c r="B403" s="71"/>
      <c r="C403" s="34"/>
      <c r="D403" s="34"/>
      <c r="E403" s="34"/>
      <c r="F403" s="83"/>
    </row>
    <row r="404" spans="2:6" ht="15" thickBot="1" x14ac:dyDescent="0.4">
      <c r="B404" s="71"/>
      <c r="C404" s="34"/>
      <c r="D404" s="34"/>
      <c r="E404" s="34"/>
      <c r="F404" s="83"/>
    </row>
    <row r="405" spans="2:6" ht="15" thickBot="1" x14ac:dyDescent="0.4">
      <c r="B405" s="71"/>
      <c r="C405" s="34"/>
      <c r="D405" s="34"/>
      <c r="E405" s="34"/>
      <c r="F405" s="83"/>
    </row>
    <row r="406" spans="2:6" ht="15" thickBot="1" x14ac:dyDescent="0.4">
      <c r="B406" s="71"/>
      <c r="C406" s="34"/>
      <c r="D406" s="34"/>
      <c r="E406" s="34"/>
      <c r="F406" s="83"/>
    </row>
    <row r="407" spans="2:6" ht="15" thickBot="1" x14ac:dyDescent="0.4">
      <c r="B407" s="71"/>
      <c r="C407" s="34"/>
      <c r="D407" s="34"/>
      <c r="E407" s="34"/>
      <c r="F407" s="83"/>
    </row>
    <row r="408" spans="2:6" ht="15" thickBot="1" x14ac:dyDescent="0.4">
      <c r="B408" s="71"/>
      <c r="C408" s="34"/>
      <c r="D408" s="34"/>
      <c r="E408" s="34"/>
      <c r="F408" s="83"/>
    </row>
    <row r="409" spans="2:6" ht="15" thickBot="1" x14ac:dyDescent="0.4">
      <c r="B409" s="71"/>
      <c r="C409" s="34"/>
      <c r="D409" s="34"/>
      <c r="E409" s="34"/>
      <c r="F409" s="83"/>
    </row>
    <row r="410" spans="2:6" ht="15" thickBot="1" x14ac:dyDescent="0.4">
      <c r="B410" s="71"/>
      <c r="C410" s="34"/>
      <c r="D410" s="34"/>
      <c r="E410" s="34"/>
      <c r="F410" s="83"/>
    </row>
    <row r="411" spans="2:6" ht="15" thickBot="1" x14ac:dyDescent="0.4">
      <c r="B411" s="71"/>
      <c r="C411" s="34"/>
      <c r="D411" s="34"/>
      <c r="E411" s="34"/>
      <c r="F411" s="83"/>
    </row>
    <row r="412" spans="2:6" ht="15" thickBot="1" x14ac:dyDescent="0.4">
      <c r="B412" s="71"/>
      <c r="C412" s="34"/>
      <c r="D412" s="34"/>
      <c r="E412" s="34"/>
      <c r="F412" s="83"/>
    </row>
    <row r="413" spans="2:6" ht="15" thickBot="1" x14ac:dyDescent="0.4">
      <c r="B413" s="71"/>
      <c r="C413" s="34"/>
      <c r="D413" s="34"/>
      <c r="E413" s="34"/>
      <c r="F413" s="83"/>
    </row>
    <row r="414" spans="2:6" ht="15" thickBot="1" x14ac:dyDescent="0.4">
      <c r="B414" s="71"/>
      <c r="C414" s="34"/>
      <c r="D414" s="34"/>
      <c r="E414" s="34"/>
      <c r="F414" s="83"/>
    </row>
    <row r="415" spans="2:6" ht="15" thickBot="1" x14ac:dyDescent="0.4">
      <c r="B415" s="71"/>
      <c r="C415" s="34"/>
      <c r="D415" s="34"/>
      <c r="E415" s="34"/>
      <c r="F415" s="83"/>
    </row>
    <row r="416" spans="2:6" ht="15" thickBot="1" x14ac:dyDescent="0.4">
      <c r="B416" s="71"/>
      <c r="C416" s="34"/>
      <c r="D416" s="34"/>
      <c r="E416" s="34"/>
      <c r="F416" s="83"/>
    </row>
    <row r="417" spans="2:6" ht="15" thickBot="1" x14ac:dyDescent="0.4">
      <c r="B417" s="71"/>
      <c r="C417" s="34"/>
      <c r="D417" s="34"/>
      <c r="E417" s="34"/>
      <c r="F417" s="83"/>
    </row>
    <row r="418" spans="2:6" ht="15" thickBot="1" x14ac:dyDescent="0.4">
      <c r="B418" s="71"/>
      <c r="C418" s="34"/>
      <c r="D418" s="34"/>
      <c r="E418" s="34"/>
      <c r="F418" s="83"/>
    </row>
    <row r="419" spans="2:6" ht="15" thickBot="1" x14ac:dyDescent="0.4">
      <c r="B419" s="71"/>
      <c r="C419" s="34"/>
      <c r="D419" s="34"/>
      <c r="E419" s="34"/>
      <c r="F419" s="83"/>
    </row>
    <row r="420" spans="2:6" ht="15" thickBot="1" x14ac:dyDescent="0.4">
      <c r="B420" s="71"/>
      <c r="C420" s="34"/>
      <c r="D420" s="34"/>
      <c r="E420" s="34"/>
      <c r="F420" s="83"/>
    </row>
    <row r="421" spans="2:6" ht="15" thickBot="1" x14ac:dyDescent="0.4">
      <c r="B421" s="71"/>
      <c r="C421" s="34"/>
      <c r="D421" s="34"/>
      <c r="E421" s="34"/>
      <c r="F421" s="83"/>
    </row>
    <row r="422" spans="2:6" ht="15" thickBot="1" x14ac:dyDescent="0.4">
      <c r="B422" s="71"/>
      <c r="C422" s="34"/>
      <c r="D422" s="34"/>
      <c r="E422" s="34"/>
      <c r="F422" s="83"/>
    </row>
    <row r="423" spans="2:6" ht="15" thickBot="1" x14ac:dyDescent="0.4">
      <c r="B423" s="71"/>
      <c r="C423" s="34"/>
      <c r="D423" s="34"/>
      <c r="E423" s="34"/>
      <c r="F423" s="83"/>
    </row>
    <row r="424" spans="2:6" ht="15" thickBot="1" x14ac:dyDescent="0.4">
      <c r="B424" s="71"/>
      <c r="C424" s="34"/>
      <c r="D424" s="34"/>
      <c r="E424" s="34"/>
      <c r="F424" s="83"/>
    </row>
    <row r="425" spans="2:6" ht="15" thickBot="1" x14ac:dyDescent="0.4">
      <c r="B425" s="71"/>
      <c r="C425" s="34"/>
      <c r="D425" s="34"/>
      <c r="E425" s="34"/>
      <c r="F425" s="83"/>
    </row>
    <row r="426" spans="2:6" ht="15" thickBot="1" x14ac:dyDescent="0.4">
      <c r="B426" s="71"/>
      <c r="C426" s="34"/>
      <c r="D426" s="34"/>
      <c r="E426" s="34"/>
      <c r="F426" s="83"/>
    </row>
    <row r="427" spans="2:6" ht="15" thickBot="1" x14ac:dyDescent="0.4">
      <c r="B427" s="71"/>
      <c r="C427" s="34"/>
      <c r="D427" s="34"/>
      <c r="E427" s="34"/>
      <c r="F427" s="83"/>
    </row>
    <row r="428" spans="2:6" ht="15" thickBot="1" x14ac:dyDescent="0.4">
      <c r="B428" s="71"/>
      <c r="C428" s="34"/>
      <c r="D428" s="34"/>
      <c r="E428" s="34"/>
      <c r="F428" s="83"/>
    </row>
    <row r="429" spans="2:6" ht="15" thickBot="1" x14ac:dyDescent="0.4">
      <c r="B429" s="71"/>
      <c r="C429" s="34"/>
      <c r="D429" s="34"/>
      <c r="E429" s="34"/>
      <c r="F429" s="83"/>
    </row>
    <row r="430" spans="2:6" ht="15" thickBot="1" x14ac:dyDescent="0.4">
      <c r="B430" s="71"/>
      <c r="C430" s="34"/>
      <c r="D430" s="34"/>
      <c r="E430" s="34"/>
      <c r="F430" s="83"/>
    </row>
    <row r="431" spans="2:6" ht="15" thickBot="1" x14ac:dyDescent="0.4">
      <c r="B431" s="71"/>
      <c r="C431" s="34"/>
      <c r="D431" s="34"/>
      <c r="E431" s="34"/>
      <c r="F431" s="83"/>
    </row>
    <row r="432" spans="2:6" ht="15" thickBot="1" x14ac:dyDescent="0.4">
      <c r="B432" s="71"/>
      <c r="C432" s="34"/>
      <c r="D432" s="34"/>
      <c r="E432" s="34"/>
      <c r="F432" s="83"/>
    </row>
    <row r="433" spans="2:6" ht="15" thickBot="1" x14ac:dyDescent="0.4">
      <c r="B433" s="71"/>
      <c r="C433" s="34"/>
      <c r="D433" s="34"/>
      <c r="E433" s="34"/>
      <c r="F433" s="83"/>
    </row>
    <row r="434" spans="2:6" ht="15" thickBot="1" x14ac:dyDescent="0.4">
      <c r="B434" s="71"/>
      <c r="C434" s="34"/>
      <c r="D434" s="34"/>
      <c r="E434" s="34"/>
      <c r="F434" s="83"/>
    </row>
    <row r="435" spans="2:6" ht="15" thickBot="1" x14ac:dyDescent="0.4">
      <c r="B435" s="71"/>
      <c r="C435" s="34"/>
      <c r="D435" s="34"/>
      <c r="E435" s="34"/>
      <c r="F435" s="83"/>
    </row>
    <row r="436" spans="2:6" ht="15" thickBot="1" x14ac:dyDescent="0.4">
      <c r="B436" s="71"/>
      <c r="C436" s="34"/>
      <c r="D436" s="34"/>
      <c r="E436" s="34"/>
      <c r="F436" s="83"/>
    </row>
    <row r="437" spans="2:6" ht="15" thickBot="1" x14ac:dyDescent="0.4">
      <c r="B437" s="71"/>
      <c r="C437" s="34"/>
      <c r="D437" s="34"/>
      <c r="E437" s="34"/>
      <c r="F437" s="83"/>
    </row>
    <row r="438" spans="2:6" ht="15" thickBot="1" x14ac:dyDescent="0.4">
      <c r="B438" s="71"/>
      <c r="C438" s="34"/>
      <c r="D438" s="34"/>
      <c r="E438" s="34"/>
      <c r="F438" s="83"/>
    </row>
    <row r="439" spans="2:6" ht="15" thickBot="1" x14ac:dyDescent="0.4">
      <c r="B439" s="71"/>
      <c r="C439" s="34"/>
      <c r="D439" s="34"/>
      <c r="E439" s="34"/>
      <c r="F439" s="83"/>
    </row>
    <row r="440" spans="2:6" ht="15" thickBot="1" x14ac:dyDescent="0.4">
      <c r="B440" s="71"/>
      <c r="C440" s="34"/>
      <c r="D440" s="34"/>
      <c r="E440" s="34"/>
      <c r="F440" s="83"/>
    </row>
    <row r="441" spans="2:6" ht="15" thickBot="1" x14ac:dyDescent="0.4">
      <c r="B441" s="71"/>
      <c r="C441" s="34"/>
      <c r="D441" s="34"/>
      <c r="E441" s="34"/>
      <c r="F441" s="83"/>
    </row>
    <row r="442" spans="2:6" ht="15" thickBot="1" x14ac:dyDescent="0.4">
      <c r="B442" s="71"/>
      <c r="C442" s="34"/>
      <c r="D442" s="34"/>
      <c r="E442" s="34"/>
      <c r="F442" s="83"/>
    </row>
    <row r="443" spans="2:6" ht="15" thickBot="1" x14ac:dyDescent="0.4">
      <c r="B443" s="71"/>
      <c r="C443" s="34"/>
      <c r="D443" s="34"/>
      <c r="E443" s="34"/>
      <c r="F443" s="83"/>
    </row>
    <row r="444" spans="2:6" ht="15" thickBot="1" x14ac:dyDescent="0.4">
      <c r="B444" s="71"/>
      <c r="C444" s="34"/>
      <c r="D444" s="34"/>
      <c r="E444" s="34"/>
      <c r="F444" s="83"/>
    </row>
    <row r="445" spans="2:6" ht="15" thickBot="1" x14ac:dyDescent="0.4">
      <c r="B445" s="71"/>
      <c r="C445" s="34"/>
      <c r="D445" s="34"/>
      <c r="E445" s="34"/>
      <c r="F445" s="83"/>
    </row>
    <row r="446" spans="2:6" ht="15" thickBot="1" x14ac:dyDescent="0.4">
      <c r="B446" s="71"/>
      <c r="C446" s="34"/>
      <c r="D446" s="34"/>
      <c r="E446" s="34"/>
      <c r="F446" s="83"/>
    </row>
    <row r="447" spans="2:6" ht="15" thickBot="1" x14ac:dyDescent="0.4">
      <c r="B447" s="71"/>
      <c r="C447" s="34"/>
      <c r="D447" s="34"/>
      <c r="E447" s="34"/>
      <c r="F447" s="83"/>
    </row>
    <row r="448" spans="2:6" ht="15" thickBot="1" x14ac:dyDescent="0.4">
      <c r="B448" s="71"/>
      <c r="C448" s="34"/>
      <c r="D448" s="34"/>
      <c r="E448" s="34"/>
      <c r="F448" s="83"/>
    </row>
    <row r="449" spans="2:6" ht="15" thickBot="1" x14ac:dyDescent="0.4">
      <c r="B449" s="71"/>
      <c r="C449" s="34"/>
      <c r="D449" s="34"/>
      <c r="E449" s="34"/>
      <c r="F449" s="83"/>
    </row>
    <row r="450" spans="2:6" ht="15" thickBot="1" x14ac:dyDescent="0.4">
      <c r="B450" s="71"/>
      <c r="C450" s="34"/>
      <c r="D450" s="34"/>
      <c r="E450" s="34"/>
      <c r="F450" s="83"/>
    </row>
    <row r="451" spans="2:6" ht="15" thickBot="1" x14ac:dyDescent="0.4">
      <c r="B451" s="71"/>
      <c r="C451" s="34"/>
      <c r="D451" s="34"/>
      <c r="E451" s="34"/>
      <c r="F451" s="83"/>
    </row>
    <row r="452" spans="2:6" ht="15" thickBot="1" x14ac:dyDescent="0.4">
      <c r="B452" s="71"/>
      <c r="C452" s="34"/>
      <c r="D452" s="34"/>
      <c r="E452" s="34"/>
      <c r="F452" s="83"/>
    </row>
    <row r="453" spans="2:6" ht="15" thickBot="1" x14ac:dyDescent="0.4">
      <c r="B453" s="71"/>
      <c r="C453" s="34"/>
      <c r="D453" s="34"/>
      <c r="E453" s="34"/>
      <c r="F453" s="83"/>
    </row>
    <row r="454" spans="2:6" ht="15" thickBot="1" x14ac:dyDescent="0.4">
      <c r="B454" s="71"/>
      <c r="C454" s="34"/>
      <c r="D454" s="34"/>
      <c r="E454" s="34"/>
      <c r="F454" s="83"/>
    </row>
    <row r="455" spans="2:6" ht="15" thickBot="1" x14ac:dyDescent="0.4">
      <c r="B455" s="71"/>
      <c r="C455" s="34"/>
      <c r="D455" s="34"/>
      <c r="E455" s="34"/>
      <c r="F455" s="83"/>
    </row>
    <row r="456" spans="2:6" ht="15" thickBot="1" x14ac:dyDescent="0.4">
      <c r="B456" s="71"/>
      <c r="C456" s="34"/>
      <c r="D456" s="34"/>
      <c r="E456" s="34"/>
      <c r="F456" s="83"/>
    </row>
    <row r="457" spans="2:6" ht="15" thickBot="1" x14ac:dyDescent="0.4">
      <c r="B457" s="71"/>
      <c r="C457" s="34"/>
      <c r="D457" s="34"/>
      <c r="E457" s="34"/>
      <c r="F457" s="83"/>
    </row>
    <row r="458" spans="2:6" ht="15" thickBot="1" x14ac:dyDescent="0.4">
      <c r="B458" s="71"/>
      <c r="C458" s="34"/>
      <c r="D458" s="34"/>
      <c r="E458" s="34"/>
      <c r="F458" s="83"/>
    </row>
    <row r="459" spans="2:6" ht="15" thickBot="1" x14ac:dyDescent="0.4">
      <c r="B459" s="71"/>
      <c r="C459" s="34"/>
      <c r="D459" s="34"/>
      <c r="E459" s="34"/>
      <c r="F459" s="83"/>
    </row>
    <row r="460" spans="2:6" ht="15" thickBot="1" x14ac:dyDescent="0.4">
      <c r="B460" s="71"/>
      <c r="C460" s="34"/>
      <c r="D460" s="34"/>
      <c r="E460" s="34"/>
      <c r="F460" s="83"/>
    </row>
    <row r="461" spans="2:6" ht="15" thickBot="1" x14ac:dyDescent="0.4">
      <c r="B461" s="71"/>
      <c r="C461" s="34"/>
      <c r="D461" s="34"/>
      <c r="E461" s="34"/>
      <c r="F461" s="83"/>
    </row>
    <row r="462" spans="2:6" ht="15" thickBot="1" x14ac:dyDescent="0.4">
      <c r="B462" s="71"/>
      <c r="C462" s="34"/>
      <c r="D462" s="34"/>
      <c r="E462" s="34"/>
      <c r="F462" s="83"/>
    </row>
    <row r="463" spans="2:6" ht="15" thickBot="1" x14ac:dyDescent="0.4">
      <c r="B463" s="71"/>
      <c r="C463" s="34"/>
      <c r="D463" s="34"/>
      <c r="E463" s="34"/>
      <c r="F463" s="83"/>
    </row>
    <row r="464" spans="2:6" ht="15" thickBot="1" x14ac:dyDescent="0.4">
      <c r="B464" s="71"/>
      <c r="C464" s="34"/>
      <c r="D464" s="34"/>
      <c r="E464" s="34"/>
      <c r="F464" s="83"/>
    </row>
    <row r="465" spans="2:6" ht="15" thickBot="1" x14ac:dyDescent="0.4">
      <c r="B465" s="71"/>
      <c r="C465" s="34"/>
      <c r="D465" s="34"/>
      <c r="E465" s="34"/>
      <c r="F465" s="83"/>
    </row>
    <row r="466" spans="2:6" ht="15" thickBot="1" x14ac:dyDescent="0.4">
      <c r="B466" s="71"/>
      <c r="C466" s="34"/>
      <c r="D466" s="34"/>
      <c r="E466" s="34"/>
      <c r="F466" s="83"/>
    </row>
    <row r="467" spans="2:6" ht="15" thickBot="1" x14ac:dyDescent="0.4">
      <c r="B467" s="71"/>
      <c r="C467" s="34"/>
      <c r="D467" s="34"/>
      <c r="E467" s="34"/>
      <c r="F467" s="83"/>
    </row>
    <row r="468" spans="2:6" ht="15" thickBot="1" x14ac:dyDescent="0.4">
      <c r="B468" s="71"/>
      <c r="C468" s="34"/>
      <c r="D468" s="34"/>
      <c r="E468" s="34"/>
      <c r="F468" s="83"/>
    </row>
    <row r="469" spans="2:6" ht="15" thickBot="1" x14ac:dyDescent="0.4">
      <c r="B469" s="71"/>
      <c r="C469" s="34"/>
      <c r="D469" s="34"/>
      <c r="E469" s="34"/>
      <c r="F469" s="83"/>
    </row>
    <row r="470" spans="2:6" ht="15" thickBot="1" x14ac:dyDescent="0.4">
      <c r="B470" s="71"/>
      <c r="C470" s="34"/>
      <c r="D470" s="34"/>
      <c r="E470" s="34"/>
      <c r="F470" s="83"/>
    </row>
    <row r="471" spans="2:6" ht="15" thickBot="1" x14ac:dyDescent="0.4">
      <c r="B471" s="71"/>
      <c r="C471" s="34"/>
      <c r="D471" s="34"/>
      <c r="E471" s="34"/>
      <c r="F471" s="83"/>
    </row>
    <row r="472" spans="2:6" ht="15" thickBot="1" x14ac:dyDescent="0.4">
      <c r="B472" s="71"/>
      <c r="C472" s="34"/>
      <c r="D472" s="34"/>
      <c r="E472" s="34"/>
      <c r="F472" s="83"/>
    </row>
    <row r="473" spans="2:6" ht="15" thickBot="1" x14ac:dyDescent="0.4">
      <c r="B473" s="71"/>
      <c r="C473" s="34"/>
      <c r="D473" s="34"/>
      <c r="E473" s="34"/>
      <c r="F473" s="83"/>
    </row>
    <row r="474" spans="2:6" ht="15" thickBot="1" x14ac:dyDescent="0.4">
      <c r="B474" s="71"/>
      <c r="C474" s="34"/>
      <c r="D474" s="34"/>
      <c r="E474" s="34"/>
      <c r="F474" s="83"/>
    </row>
    <row r="475" spans="2:6" ht="15" thickBot="1" x14ac:dyDescent="0.4">
      <c r="B475" s="71"/>
      <c r="C475" s="34"/>
      <c r="D475" s="34"/>
      <c r="E475" s="34"/>
      <c r="F475" s="83"/>
    </row>
    <row r="476" spans="2:6" ht="15" thickBot="1" x14ac:dyDescent="0.4">
      <c r="B476" s="71"/>
      <c r="C476" s="34"/>
      <c r="D476" s="34"/>
      <c r="E476" s="34"/>
      <c r="F476" s="83"/>
    </row>
    <row r="477" spans="2:6" ht="15" thickBot="1" x14ac:dyDescent="0.4">
      <c r="B477" s="71"/>
      <c r="C477" s="34"/>
      <c r="D477" s="34"/>
      <c r="E477" s="34"/>
      <c r="F477" s="83"/>
    </row>
    <row r="478" spans="2:6" ht="15" thickBot="1" x14ac:dyDescent="0.4">
      <c r="B478" s="71"/>
      <c r="C478" s="34"/>
      <c r="D478" s="34"/>
      <c r="E478" s="34"/>
      <c r="F478" s="83"/>
    </row>
    <row r="479" spans="2:6" ht="15" thickBot="1" x14ac:dyDescent="0.4">
      <c r="B479" s="71"/>
      <c r="C479" s="34"/>
      <c r="D479" s="34"/>
      <c r="E479" s="34"/>
      <c r="F479" s="83"/>
    </row>
    <row r="480" spans="2:6" ht="15" thickBot="1" x14ac:dyDescent="0.4">
      <c r="B480" s="71"/>
      <c r="C480" s="34"/>
      <c r="D480" s="34"/>
      <c r="E480" s="34"/>
      <c r="F480" s="83"/>
    </row>
    <row r="481" spans="2:6" ht="15" thickBot="1" x14ac:dyDescent="0.4">
      <c r="B481" s="71"/>
      <c r="C481" s="34"/>
      <c r="D481" s="34"/>
      <c r="E481" s="34"/>
      <c r="F481" s="83"/>
    </row>
    <row r="482" spans="2:6" ht="15" thickBot="1" x14ac:dyDescent="0.4">
      <c r="B482" s="71"/>
      <c r="C482" s="34"/>
      <c r="D482" s="34"/>
      <c r="E482" s="34"/>
      <c r="F482" s="83"/>
    </row>
    <row r="483" spans="2:6" ht="15" thickBot="1" x14ac:dyDescent="0.4">
      <c r="B483" s="71"/>
      <c r="C483" s="34"/>
      <c r="D483" s="34"/>
      <c r="E483" s="34"/>
      <c r="F483" s="83"/>
    </row>
    <row r="484" spans="2:6" ht="15" thickBot="1" x14ac:dyDescent="0.4">
      <c r="B484" s="71"/>
      <c r="C484" s="34"/>
      <c r="D484" s="34"/>
      <c r="E484" s="34"/>
      <c r="F484" s="83"/>
    </row>
    <row r="485" spans="2:6" ht="15" thickBot="1" x14ac:dyDescent="0.4">
      <c r="B485" s="71"/>
      <c r="C485" s="34"/>
      <c r="D485" s="34"/>
      <c r="E485" s="34"/>
      <c r="F485" s="83"/>
    </row>
    <row r="486" spans="2:6" ht="15" thickBot="1" x14ac:dyDescent="0.4">
      <c r="B486" s="71"/>
      <c r="C486" s="34"/>
      <c r="D486" s="34"/>
      <c r="E486" s="34"/>
      <c r="F486" s="83"/>
    </row>
    <row r="487" spans="2:6" ht="15" thickBot="1" x14ac:dyDescent="0.4">
      <c r="B487" s="71"/>
      <c r="C487" s="34"/>
      <c r="D487" s="34"/>
      <c r="E487" s="34"/>
      <c r="F487" s="83"/>
    </row>
    <row r="488" spans="2:6" ht="15" thickBot="1" x14ac:dyDescent="0.4">
      <c r="B488" s="71"/>
      <c r="C488" s="34"/>
      <c r="D488" s="34"/>
      <c r="E488" s="34"/>
      <c r="F488" s="83"/>
    </row>
    <row r="489" spans="2:6" ht="15" thickBot="1" x14ac:dyDescent="0.4">
      <c r="B489" s="71"/>
      <c r="C489" s="34"/>
      <c r="D489" s="34"/>
      <c r="E489" s="34"/>
      <c r="F489" s="83"/>
    </row>
    <row r="490" spans="2:6" ht="15" thickBot="1" x14ac:dyDescent="0.4">
      <c r="B490" s="71"/>
      <c r="C490" s="34"/>
      <c r="D490" s="34"/>
      <c r="E490" s="34"/>
      <c r="F490" s="83"/>
    </row>
    <row r="491" spans="2:6" ht="15" thickBot="1" x14ac:dyDescent="0.4">
      <c r="B491" s="71"/>
      <c r="C491" s="34"/>
      <c r="D491" s="34"/>
      <c r="E491" s="34"/>
      <c r="F491" s="83"/>
    </row>
    <row r="492" spans="2:6" ht="15" thickBot="1" x14ac:dyDescent="0.4">
      <c r="B492" s="71"/>
      <c r="C492" s="34"/>
      <c r="D492" s="34"/>
      <c r="E492" s="34"/>
      <c r="F492" s="83"/>
    </row>
    <row r="493" spans="2:6" ht="15" thickBot="1" x14ac:dyDescent="0.4">
      <c r="B493" s="71"/>
      <c r="C493" s="34"/>
      <c r="D493" s="34"/>
      <c r="E493" s="34"/>
      <c r="F493" s="83"/>
    </row>
    <row r="494" spans="2:6" ht="15" thickBot="1" x14ac:dyDescent="0.4">
      <c r="B494" s="71"/>
      <c r="C494" s="34"/>
      <c r="D494" s="34"/>
      <c r="E494" s="34"/>
      <c r="F494" s="83"/>
    </row>
    <row r="495" spans="2:6" ht="15" thickBot="1" x14ac:dyDescent="0.4">
      <c r="B495" s="71"/>
      <c r="C495" s="34"/>
      <c r="D495" s="34"/>
      <c r="E495" s="34"/>
      <c r="F495" s="83"/>
    </row>
    <row r="496" spans="2:6" ht="15" thickBot="1" x14ac:dyDescent="0.4">
      <c r="B496" s="71"/>
      <c r="C496" s="34"/>
      <c r="D496" s="34"/>
      <c r="E496" s="34"/>
      <c r="F496" s="83"/>
    </row>
    <row r="497" spans="2:6" ht="15" thickBot="1" x14ac:dyDescent="0.4">
      <c r="B497" s="71"/>
      <c r="C497" s="34"/>
      <c r="D497" s="34"/>
      <c r="E497" s="34"/>
      <c r="F497" s="83"/>
    </row>
    <row r="498" spans="2:6" ht="15" thickBot="1" x14ac:dyDescent="0.4">
      <c r="B498" s="71"/>
      <c r="C498" s="34"/>
      <c r="D498" s="34"/>
      <c r="E498" s="34"/>
      <c r="F498" s="83"/>
    </row>
    <row r="499" spans="2:6" ht="15" thickBot="1" x14ac:dyDescent="0.4">
      <c r="B499" s="71"/>
      <c r="C499" s="34"/>
      <c r="D499" s="34"/>
      <c r="E499" s="34"/>
      <c r="F499" s="83"/>
    </row>
    <row r="500" spans="2:6" ht="15" thickBot="1" x14ac:dyDescent="0.4">
      <c r="B500" s="71"/>
      <c r="C500" s="34"/>
      <c r="D500" s="34"/>
      <c r="E500" s="34"/>
      <c r="F500" s="83"/>
    </row>
    <row r="501" spans="2:6" ht="15" thickBot="1" x14ac:dyDescent="0.4">
      <c r="B501" s="71"/>
      <c r="C501" s="34"/>
      <c r="D501" s="34"/>
      <c r="E501" s="34"/>
      <c r="F501" s="83"/>
    </row>
    <row r="502" spans="2:6" ht="15" thickBot="1" x14ac:dyDescent="0.4">
      <c r="B502" s="71"/>
      <c r="C502" s="34"/>
      <c r="D502" s="34"/>
      <c r="E502" s="34"/>
      <c r="F502" s="83"/>
    </row>
    <row r="503" spans="2:6" ht="15" thickBot="1" x14ac:dyDescent="0.4">
      <c r="B503" s="71"/>
      <c r="C503" s="34"/>
      <c r="D503" s="34"/>
      <c r="E503" s="34"/>
      <c r="F503" s="83"/>
    </row>
    <row r="504" spans="2:6" ht="15" thickBot="1" x14ac:dyDescent="0.4">
      <c r="B504" s="71"/>
      <c r="C504" s="34"/>
      <c r="D504" s="34"/>
      <c r="E504" s="34"/>
      <c r="F504" s="83"/>
    </row>
    <row r="505" spans="2:6" ht="15" thickBot="1" x14ac:dyDescent="0.4">
      <c r="B505" s="71"/>
      <c r="C505" s="34"/>
      <c r="D505" s="34"/>
      <c r="E505" s="34"/>
      <c r="F505" s="83"/>
    </row>
    <row r="506" spans="2:6" ht="15" thickBot="1" x14ac:dyDescent="0.4">
      <c r="B506" s="71"/>
      <c r="C506" s="34"/>
      <c r="D506" s="34"/>
      <c r="E506" s="34"/>
      <c r="F506" s="83"/>
    </row>
    <row r="507" spans="2:6" ht="15" thickBot="1" x14ac:dyDescent="0.4">
      <c r="B507" s="71"/>
      <c r="C507" s="34"/>
      <c r="D507" s="34"/>
      <c r="E507" s="34"/>
      <c r="F507" s="83"/>
    </row>
    <row r="508" spans="2:6" ht="15" thickBot="1" x14ac:dyDescent="0.4">
      <c r="B508" s="71"/>
      <c r="C508" s="34"/>
      <c r="D508" s="34"/>
      <c r="E508" s="34"/>
      <c r="F508" s="83"/>
    </row>
    <row r="509" spans="2:6" ht="15" thickBot="1" x14ac:dyDescent="0.4">
      <c r="B509" s="71"/>
      <c r="C509" s="34"/>
      <c r="D509" s="34"/>
      <c r="E509" s="34"/>
      <c r="F509" s="83"/>
    </row>
    <row r="510" spans="2:6" ht="15" thickBot="1" x14ac:dyDescent="0.4">
      <c r="B510" s="71"/>
      <c r="C510" s="34"/>
      <c r="D510" s="34"/>
      <c r="E510" s="34"/>
      <c r="F510" s="83"/>
    </row>
    <row r="511" spans="2:6" ht="15" thickBot="1" x14ac:dyDescent="0.4">
      <c r="B511" s="71"/>
      <c r="C511" s="34"/>
      <c r="D511" s="34"/>
      <c r="E511" s="34"/>
      <c r="F511" s="83"/>
    </row>
    <row r="512" spans="2:6" ht="15" thickBot="1" x14ac:dyDescent="0.4">
      <c r="B512" s="71"/>
      <c r="C512" s="34"/>
      <c r="D512" s="34"/>
      <c r="E512" s="34"/>
      <c r="F512" s="83"/>
    </row>
    <row r="513" spans="2:6" ht="15" thickBot="1" x14ac:dyDescent="0.4">
      <c r="B513" s="71"/>
      <c r="C513" s="34"/>
      <c r="D513" s="34"/>
      <c r="E513" s="34"/>
      <c r="F513" s="83"/>
    </row>
    <row r="514" spans="2:6" ht="15" thickBot="1" x14ac:dyDescent="0.4">
      <c r="B514" s="71"/>
      <c r="C514" s="34"/>
      <c r="D514" s="34"/>
      <c r="E514" s="34"/>
      <c r="F514" s="83"/>
    </row>
    <row r="515" spans="2:6" ht="15" thickBot="1" x14ac:dyDescent="0.4">
      <c r="B515" s="71"/>
      <c r="C515" s="34"/>
      <c r="D515" s="34"/>
      <c r="E515" s="34"/>
      <c r="F515" s="83"/>
    </row>
    <row r="516" spans="2:6" ht="15" thickBot="1" x14ac:dyDescent="0.4">
      <c r="B516" s="71"/>
      <c r="C516" s="34"/>
      <c r="D516" s="34"/>
      <c r="E516" s="34"/>
      <c r="F516" s="83"/>
    </row>
    <row r="517" spans="2:6" ht="15" thickBot="1" x14ac:dyDescent="0.4">
      <c r="B517" s="71"/>
      <c r="C517" s="34"/>
      <c r="D517" s="34"/>
      <c r="E517" s="34"/>
      <c r="F517" s="83"/>
    </row>
    <row r="518" spans="2:6" ht="15" thickBot="1" x14ac:dyDescent="0.4">
      <c r="B518" s="71"/>
      <c r="C518" s="34"/>
      <c r="D518" s="34"/>
      <c r="E518" s="34"/>
      <c r="F518" s="83"/>
    </row>
    <row r="519" spans="2:6" ht="15" thickBot="1" x14ac:dyDescent="0.4">
      <c r="B519" s="71"/>
      <c r="C519" s="34"/>
      <c r="D519" s="34"/>
      <c r="E519" s="34"/>
      <c r="F519" s="83"/>
    </row>
    <row r="520" spans="2:6" ht="15" thickBot="1" x14ac:dyDescent="0.4">
      <c r="B520" s="71"/>
      <c r="C520" s="34"/>
      <c r="D520" s="34"/>
      <c r="E520" s="34"/>
      <c r="F520" s="83"/>
    </row>
    <row r="521" spans="2:6" ht="15" thickBot="1" x14ac:dyDescent="0.4">
      <c r="B521" s="71"/>
      <c r="C521" s="34"/>
      <c r="D521" s="34"/>
      <c r="E521" s="34"/>
      <c r="F521" s="83"/>
    </row>
    <row r="522" spans="2:6" ht="15" thickBot="1" x14ac:dyDescent="0.4">
      <c r="B522" s="71"/>
      <c r="C522" s="34"/>
      <c r="D522" s="34"/>
      <c r="E522" s="34"/>
      <c r="F522" s="83"/>
    </row>
    <row r="523" spans="2:6" ht="15" thickBot="1" x14ac:dyDescent="0.4">
      <c r="B523" s="71"/>
      <c r="C523" s="34"/>
      <c r="D523" s="34"/>
      <c r="E523" s="34"/>
      <c r="F523" s="83"/>
    </row>
    <row r="524" spans="2:6" ht="15" thickBot="1" x14ac:dyDescent="0.4">
      <c r="B524" s="71"/>
      <c r="C524" s="34"/>
      <c r="D524" s="34"/>
      <c r="E524" s="34"/>
      <c r="F524" s="83"/>
    </row>
    <row r="525" spans="2:6" ht="15" thickBot="1" x14ac:dyDescent="0.4">
      <c r="B525" s="71"/>
      <c r="C525" s="34"/>
      <c r="D525" s="34"/>
      <c r="E525" s="34"/>
      <c r="F525" s="83"/>
    </row>
    <row r="526" spans="2:6" ht="15" thickBot="1" x14ac:dyDescent="0.4">
      <c r="B526" s="71"/>
      <c r="C526" s="34"/>
      <c r="D526" s="34"/>
      <c r="E526" s="34"/>
      <c r="F526" s="83"/>
    </row>
    <row r="527" spans="2:6" ht="15" thickBot="1" x14ac:dyDescent="0.4">
      <c r="B527" s="71"/>
      <c r="C527" s="34"/>
      <c r="D527" s="34"/>
      <c r="E527" s="34"/>
      <c r="F527" s="83"/>
    </row>
    <row r="528" spans="2:6" ht="15" thickBot="1" x14ac:dyDescent="0.4">
      <c r="B528" s="71"/>
      <c r="C528" s="34"/>
      <c r="D528" s="34"/>
      <c r="E528" s="34"/>
      <c r="F528" s="83"/>
    </row>
    <row r="529" spans="2:6" ht="15" thickBot="1" x14ac:dyDescent="0.4">
      <c r="B529" s="71"/>
      <c r="C529" s="34"/>
      <c r="D529" s="34"/>
      <c r="E529" s="34"/>
      <c r="F529" s="83"/>
    </row>
    <row r="530" spans="2:6" ht="15" thickBot="1" x14ac:dyDescent="0.4">
      <c r="B530" s="71"/>
      <c r="C530" s="34"/>
      <c r="D530" s="34"/>
      <c r="E530" s="34"/>
      <c r="F530" s="83"/>
    </row>
    <row r="531" spans="2:6" ht="15" thickBot="1" x14ac:dyDescent="0.4">
      <c r="B531" s="71"/>
      <c r="C531" s="34"/>
      <c r="D531" s="34"/>
      <c r="E531" s="34"/>
      <c r="F531" s="83"/>
    </row>
    <row r="532" spans="2:6" ht="15" thickBot="1" x14ac:dyDescent="0.4">
      <c r="B532" s="71"/>
      <c r="C532" s="34"/>
      <c r="D532" s="34"/>
      <c r="E532" s="34"/>
      <c r="F532" s="83"/>
    </row>
    <row r="533" spans="2:6" ht="15" thickBot="1" x14ac:dyDescent="0.4">
      <c r="B533" s="71"/>
      <c r="C533" s="34"/>
      <c r="D533" s="34"/>
      <c r="E533" s="34"/>
      <c r="F533" s="83"/>
    </row>
    <row r="534" spans="2:6" ht="15" thickBot="1" x14ac:dyDescent="0.4">
      <c r="B534" s="71"/>
      <c r="C534" s="34"/>
      <c r="D534" s="34"/>
      <c r="E534" s="34"/>
      <c r="F534" s="83"/>
    </row>
    <row r="535" spans="2:6" ht="15" thickBot="1" x14ac:dyDescent="0.4">
      <c r="B535" s="71"/>
      <c r="C535" s="34"/>
      <c r="D535" s="34"/>
      <c r="E535" s="34"/>
      <c r="F535" s="83"/>
    </row>
    <row r="536" spans="2:6" ht="15" thickBot="1" x14ac:dyDescent="0.4">
      <c r="B536" s="71"/>
      <c r="C536" s="34"/>
      <c r="D536" s="34"/>
      <c r="E536" s="34"/>
      <c r="F536" s="83"/>
    </row>
    <row r="537" spans="2:6" ht="15" thickBot="1" x14ac:dyDescent="0.4">
      <c r="B537" s="71"/>
      <c r="C537" s="34"/>
      <c r="D537" s="34"/>
      <c r="E537" s="34"/>
      <c r="F537" s="83"/>
    </row>
    <row r="538" spans="2:6" ht="15" thickBot="1" x14ac:dyDescent="0.4">
      <c r="B538" s="71"/>
      <c r="C538" s="34"/>
      <c r="D538" s="34"/>
      <c r="E538" s="34"/>
      <c r="F538" s="83"/>
    </row>
    <row r="539" spans="2:6" ht="15" thickBot="1" x14ac:dyDescent="0.4">
      <c r="B539" s="71"/>
      <c r="C539" s="34"/>
      <c r="D539" s="34"/>
      <c r="E539" s="34"/>
      <c r="F539" s="83"/>
    </row>
    <row r="540" spans="2:6" ht="15" thickBot="1" x14ac:dyDescent="0.4">
      <c r="B540" s="71"/>
      <c r="C540" s="34"/>
      <c r="D540" s="34"/>
      <c r="E540" s="34"/>
      <c r="F540" s="83"/>
    </row>
    <row r="541" spans="2:6" ht="15" thickBot="1" x14ac:dyDescent="0.4">
      <c r="B541" s="71"/>
      <c r="C541" s="34"/>
      <c r="D541" s="34"/>
      <c r="E541" s="34"/>
      <c r="F541" s="83"/>
    </row>
    <row r="542" spans="2:6" ht="15" thickBot="1" x14ac:dyDescent="0.4">
      <c r="B542" s="71"/>
      <c r="C542" s="34"/>
      <c r="D542" s="34"/>
      <c r="E542" s="34"/>
      <c r="F542" s="83"/>
    </row>
    <row r="543" spans="2:6" ht="15" thickBot="1" x14ac:dyDescent="0.4">
      <c r="B543" s="71"/>
      <c r="C543" s="34"/>
      <c r="D543" s="34"/>
      <c r="E543" s="34"/>
      <c r="F543" s="83"/>
    </row>
    <row r="544" spans="2:6" ht="15" thickBot="1" x14ac:dyDescent="0.4">
      <c r="B544" s="71"/>
      <c r="C544" s="34"/>
      <c r="D544" s="34"/>
      <c r="E544" s="34"/>
      <c r="F544" s="83"/>
    </row>
    <row r="545" spans="2:6" ht="15" thickBot="1" x14ac:dyDescent="0.4">
      <c r="B545" s="71"/>
      <c r="C545" s="34"/>
      <c r="D545" s="34"/>
      <c r="E545" s="34"/>
      <c r="F545" s="83"/>
    </row>
    <row r="546" spans="2:6" ht="15" thickBot="1" x14ac:dyDescent="0.4">
      <c r="B546" s="71"/>
      <c r="C546" s="34"/>
      <c r="D546" s="34"/>
      <c r="E546" s="34"/>
      <c r="F546" s="83"/>
    </row>
    <row r="547" spans="2:6" ht="15" thickBot="1" x14ac:dyDescent="0.4">
      <c r="B547" s="71"/>
      <c r="C547" s="34"/>
      <c r="D547" s="34"/>
      <c r="E547" s="34"/>
      <c r="F547" s="83"/>
    </row>
    <row r="548" spans="2:6" ht="15" thickBot="1" x14ac:dyDescent="0.4">
      <c r="B548" s="71"/>
      <c r="C548" s="34"/>
      <c r="D548" s="34"/>
      <c r="E548" s="34"/>
      <c r="F548" s="83"/>
    </row>
    <row r="549" spans="2:6" ht="15" thickBot="1" x14ac:dyDescent="0.4">
      <c r="B549" s="71"/>
      <c r="C549" s="34"/>
      <c r="D549" s="34"/>
      <c r="E549" s="34"/>
      <c r="F549" s="83"/>
    </row>
    <row r="550" spans="2:6" ht="15" thickBot="1" x14ac:dyDescent="0.4">
      <c r="B550" s="71"/>
      <c r="C550" s="34"/>
      <c r="D550" s="34"/>
      <c r="E550" s="34"/>
      <c r="F550" s="83"/>
    </row>
    <row r="551" spans="2:6" ht="15" thickBot="1" x14ac:dyDescent="0.4">
      <c r="B551" s="71"/>
      <c r="C551" s="34"/>
      <c r="D551" s="34"/>
      <c r="E551" s="34"/>
      <c r="F551" s="83"/>
    </row>
    <row r="552" spans="2:6" ht="15" thickBot="1" x14ac:dyDescent="0.4">
      <c r="B552" s="71"/>
      <c r="C552" s="34"/>
      <c r="D552" s="34"/>
      <c r="E552" s="34"/>
      <c r="F552" s="83"/>
    </row>
    <row r="553" spans="2:6" ht="15" thickBot="1" x14ac:dyDescent="0.4">
      <c r="B553" s="71"/>
      <c r="C553" s="34"/>
      <c r="D553" s="34"/>
      <c r="E553" s="34"/>
      <c r="F553" s="83"/>
    </row>
    <row r="554" spans="2:6" ht="15" thickBot="1" x14ac:dyDescent="0.4">
      <c r="B554" s="71"/>
      <c r="C554" s="34"/>
      <c r="D554" s="34"/>
      <c r="E554" s="34"/>
      <c r="F554" s="83"/>
    </row>
    <row r="555" spans="2:6" ht="15" thickBot="1" x14ac:dyDescent="0.4">
      <c r="B555" s="71"/>
      <c r="C555" s="34"/>
      <c r="D555" s="34"/>
      <c r="E555" s="34"/>
      <c r="F555" s="83"/>
    </row>
    <row r="556" spans="2:6" ht="15" thickBot="1" x14ac:dyDescent="0.4">
      <c r="B556" s="71"/>
      <c r="C556" s="34"/>
      <c r="D556" s="34"/>
      <c r="E556" s="34"/>
      <c r="F556" s="83"/>
    </row>
    <row r="557" spans="2:6" ht="15" thickBot="1" x14ac:dyDescent="0.4">
      <c r="B557" s="71"/>
      <c r="C557" s="34"/>
      <c r="D557" s="34"/>
      <c r="E557" s="34"/>
      <c r="F557" s="83"/>
    </row>
    <row r="558" spans="2:6" ht="15" thickBot="1" x14ac:dyDescent="0.4">
      <c r="B558" s="71"/>
      <c r="C558" s="34"/>
      <c r="D558" s="34"/>
      <c r="E558" s="34"/>
      <c r="F558" s="83"/>
    </row>
    <row r="559" spans="2:6" ht="15" thickBot="1" x14ac:dyDescent="0.4">
      <c r="B559" s="71"/>
      <c r="C559" s="34"/>
      <c r="D559" s="34"/>
      <c r="E559" s="34"/>
      <c r="F559" s="83"/>
    </row>
    <row r="560" spans="2:6" ht="15" thickBot="1" x14ac:dyDescent="0.4">
      <c r="B560" s="71"/>
      <c r="C560" s="34"/>
      <c r="D560" s="34"/>
      <c r="E560" s="34"/>
      <c r="F560" s="83"/>
    </row>
    <row r="561" spans="2:6" ht="15" thickBot="1" x14ac:dyDescent="0.4">
      <c r="B561" s="71"/>
      <c r="C561" s="34"/>
      <c r="D561" s="34"/>
      <c r="E561" s="34"/>
      <c r="F561" s="83"/>
    </row>
    <row r="562" spans="2:6" ht="15" thickBot="1" x14ac:dyDescent="0.4">
      <c r="B562" s="71"/>
      <c r="C562" s="34"/>
      <c r="D562" s="34"/>
      <c r="E562" s="34"/>
      <c r="F562" s="83"/>
    </row>
    <row r="563" spans="2:6" ht="15" thickBot="1" x14ac:dyDescent="0.4">
      <c r="B563" s="71"/>
      <c r="C563" s="34"/>
      <c r="D563" s="34"/>
      <c r="E563" s="34"/>
      <c r="F563" s="83"/>
    </row>
    <row r="564" spans="2:6" ht="15" thickBot="1" x14ac:dyDescent="0.4">
      <c r="B564" s="71"/>
      <c r="C564" s="34"/>
      <c r="D564" s="34"/>
      <c r="E564" s="34"/>
      <c r="F564" s="83"/>
    </row>
    <row r="565" spans="2:6" ht="15" thickBot="1" x14ac:dyDescent="0.4">
      <c r="B565" s="71"/>
      <c r="C565" s="34"/>
      <c r="D565" s="34"/>
      <c r="E565" s="34"/>
      <c r="F565" s="83"/>
    </row>
    <row r="566" spans="2:6" ht="15" thickBot="1" x14ac:dyDescent="0.4">
      <c r="B566" s="71"/>
      <c r="C566" s="34"/>
      <c r="D566" s="34"/>
      <c r="E566" s="34"/>
      <c r="F566" s="83"/>
    </row>
    <row r="567" spans="2:6" ht="15" thickBot="1" x14ac:dyDescent="0.4">
      <c r="B567" s="71"/>
      <c r="C567" s="34"/>
      <c r="D567" s="34"/>
      <c r="E567" s="34"/>
      <c r="F567" s="83"/>
    </row>
    <row r="568" spans="2:6" ht="15" thickBot="1" x14ac:dyDescent="0.4">
      <c r="B568" s="71"/>
      <c r="C568" s="34"/>
      <c r="D568" s="34"/>
      <c r="E568" s="34"/>
      <c r="F568" s="83"/>
    </row>
    <row r="569" spans="2:6" ht="15" thickBot="1" x14ac:dyDescent="0.4">
      <c r="B569" s="71"/>
      <c r="C569" s="34"/>
      <c r="D569" s="34"/>
      <c r="E569" s="34"/>
      <c r="F569" s="83"/>
    </row>
    <row r="570" spans="2:6" ht="15" thickBot="1" x14ac:dyDescent="0.4">
      <c r="B570" s="71"/>
      <c r="C570" s="34"/>
      <c r="D570" s="34"/>
      <c r="E570" s="34"/>
      <c r="F570" s="83"/>
    </row>
    <row r="571" spans="2:6" ht="15" thickBot="1" x14ac:dyDescent="0.4">
      <c r="B571" s="71"/>
      <c r="C571" s="34"/>
      <c r="D571" s="34"/>
      <c r="E571" s="34"/>
      <c r="F571" s="83"/>
    </row>
    <row r="572" spans="2:6" ht="15" thickBot="1" x14ac:dyDescent="0.4">
      <c r="B572" s="71"/>
      <c r="C572" s="34"/>
      <c r="D572" s="34"/>
      <c r="E572" s="34"/>
      <c r="F572" s="83"/>
    </row>
    <row r="573" spans="2:6" ht="15" thickBot="1" x14ac:dyDescent="0.4">
      <c r="B573" s="71"/>
      <c r="C573" s="34"/>
      <c r="D573" s="34"/>
      <c r="E573" s="34"/>
      <c r="F573" s="83"/>
    </row>
    <row r="574" spans="2:6" ht="15" thickBot="1" x14ac:dyDescent="0.4">
      <c r="B574" s="71"/>
      <c r="C574" s="34"/>
      <c r="D574" s="34"/>
      <c r="E574" s="34"/>
      <c r="F574" s="83"/>
    </row>
    <row r="575" spans="2:6" ht="15" thickBot="1" x14ac:dyDescent="0.4">
      <c r="B575" s="71"/>
      <c r="C575" s="34"/>
      <c r="D575" s="34"/>
      <c r="E575" s="34"/>
      <c r="F575" s="83"/>
    </row>
    <row r="576" spans="2:6" ht="15" thickBot="1" x14ac:dyDescent="0.4">
      <c r="B576" s="71"/>
      <c r="C576" s="34"/>
      <c r="D576" s="34"/>
      <c r="E576" s="34"/>
      <c r="F576" s="83"/>
    </row>
    <row r="577" spans="2:6" ht="15" thickBot="1" x14ac:dyDescent="0.4">
      <c r="B577" s="71"/>
      <c r="C577" s="34"/>
      <c r="D577" s="34"/>
      <c r="E577" s="34"/>
      <c r="F577" s="83"/>
    </row>
    <row r="578" spans="2:6" ht="15" thickBot="1" x14ac:dyDescent="0.4">
      <c r="B578" s="71"/>
      <c r="C578" s="34"/>
      <c r="D578" s="34"/>
      <c r="E578" s="34"/>
      <c r="F578" s="83"/>
    </row>
    <row r="579" spans="2:6" ht="15" thickBot="1" x14ac:dyDescent="0.4">
      <c r="B579" s="71"/>
      <c r="C579" s="34"/>
      <c r="D579" s="34"/>
      <c r="E579" s="34"/>
      <c r="F579" s="83"/>
    </row>
    <row r="580" spans="2:6" ht="15" thickBot="1" x14ac:dyDescent="0.4">
      <c r="B580" s="71"/>
      <c r="C580" s="34"/>
      <c r="D580" s="34"/>
      <c r="E580" s="34"/>
      <c r="F580" s="83"/>
    </row>
    <row r="581" spans="2:6" ht="15" thickBot="1" x14ac:dyDescent="0.4">
      <c r="B581" s="71"/>
      <c r="C581" s="34"/>
      <c r="D581" s="34"/>
      <c r="E581" s="34"/>
      <c r="F581" s="83"/>
    </row>
    <row r="582" spans="2:6" ht="15" thickBot="1" x14ac:dyDescent="0.4">
      <c r="B582" s="71"/>
      <c r="C582" s="34"/>
      <c r="D582" s="34"/>
      <c r="E582" s="34"/>
      <c r="F582" s="83"/>
    </row>
    <row r="583" spans="2:6" ht="15" thickBot="1" x14ac:dyDescent="0.4">
      <c r="B583" s="71"/>
      <c r="C583" s="34"/>
      <c r="D583" s="34"/>
      <c r="E583" s="34"/>
      <c r="F583" s="83"/>
    </row>
    <row r="584" spans="2:6" ht="15" thickBot="1" x14ac:dyDescent="0.4">
      <c r="B584" s="71"/>
      <c r="C584" s="34"/>
      <c r="D584" s="34"/>
      <c r="E584" s="34"/>
      <c r="F584" s="83"/>
    </row>
    <row r="585" spans="2:6" ht="15" thickBot="1" x14ac:dyDescent="0.4">
      <c r="B585" s="71"/>
      <c r="C585" s="34"/>
      <c r="D585" s="34"/>
      <c r="E585" s="34"/>
      <c r="F585" s="83"/>
    </row>
    <row r="586" spans="2:6" ht="15" thickBot="1" x14ac:dyDescent="0.4">
      <c r="B586" s="71"/>
      <c r="C586" s="34"/>
      <c r="D586" s="34"/>
      <c r="E586" s="34"/>
      <c r="F586" s="83"/>
    </row>
    <row r="587" spans="2:6" ht="15" thickBot="1" x14ac:dyDescent="0.4">
      <c r="B587" s="71"/>
      <c r="C587" s="34"/>
      <c r="D587" s="34"/>
      <c r="E587" s="34"/>
      <c r="F587" s="83"/>
    </row>
    <row r="588" spans="2:6" ht="15" thickBot="1" x14ac:dyDescent="0.4">
      <c r="B588" s="71"/>
      <c r="C588" s="34"/>
      <c r="D588" s="34"/>
      <c r="E588" s="34"/>
      <c r="F588" s="83"/>
    </row>
    <row r="589" spans="2:6" ht="15" thickBot="1" x14ac:dyDescent="0.4">
      <c r="B589" s="71"/>
      <c r="C589" s="34"/>
      <c r="D589" s="34"/>
      <c r="E589" s="34"/>
      <c r="F589" s="83"/>
    </row>
    <row r="590" spans="2:6" ht="15" thickBot="1" x14ac:dyDescent="0.4">
      <c r="B590" s="71"/>
      <c r="C590" s="34"/>
      <c r="D590" s="34"/>
      <c r="E590" s="34"/>
      <c r="F590" s="83"/>
    </row>
    <row r="591" spans="2:6" ht="15" thickBot="1" x14ac:dyDescent="0.4">
      <c r="B591" s="71"/>
      <c r="C591" s="34"/>
      <c r="D591" s="34"/>
      <c r="E591" s="34"/>
      <c r="F591" s="83"/>
    </row>
    <row r="592" spans="2:6" ht="15" thickBot="1" x14ac:dyDescent="0.4">
      <c r="B592" s="71"/>
      <c r="C592" s="34"/>
      <c r="D592" s="34"/>
      <c r="E592" s="34"/>
      <c r="F592" s="83"/>
    </row>
    <row r="593" spans="2:6" ht="15" thickBot="1" x14ac:dyDescent="0.4">
      <c r="B593" s="71"/>
      <c r="C593" s="34"/>
      <c r="D593" s="34"/>
      <c r="E593" s="34"/>
      <c r="F593" s="83"/>
    </row>
    <row r="594" spans="2:6" ht="15" thickBot="1" x14ac:dyDescent="0.4">
      <c r="B594" s="71"/>
      <c r="C594" s="34"/>
      <c r="D594" s="34"/>
      <c r="E594" s="34"/>
      <c r="F594" s="83"/>
    </row>
    <row r="595" spans="2:6" ht="15" thickBot="1" x14ac:dyDescent="0.4">
      <c r="B595" s="71"/>
      <c r="C595" s="34"/>
      <c r="D595" s="34"/>
      <c r="E595" s="34"/>
      <c r="F595" s="83"/>
    </row>
    <row r="596" spans="2:6" ht="15" thickBot="1" x14ac:dyDescent="0.4">
      <c r="B596" s="71"/>
      <c r="C596" s="34"/>
      <c r="D596" s="34"/>
      <c r="E596" s="34"/>
      <c r="F596" s="83"/>
    </row>
    <row r="597" spans="2:6" ht="15" thickBot="1" x14ac:dyDescent="0.4">
      <c r="B597" s="71"/>
      <c r="C597" s="34"/>
      <c r="D597" s="34"/>
      <c r="E597" s="34"/>
      <c r="F597" s="83"/>
    </row>
    <row r="598" spans="2:6" ht="15" thickBot="1" x14ac:dyDescent="0.4">
      <c r="B598" s="71"/>
      <c r="C598" s="34"/>
      <c r="D598" s="34"/>
      <c r="E598" s="34"/>
      <c r="F598" s="83"/>
    </row>
    <row r="599" spans="2:6" ht="15" thickBot="1" x14ac:dyDescent="0.4">
      <c r="B599" s="71"/>
      <c r="C599" s="34"/>
      <c r="D599" s="34"/>
      <c r="E599" s="34"/>
      <c r="F599" s="83"/>
    </row>
    <row r="600" spans="2:6" ht="15" thickBot="1" x14ac:dyDescent="0.4">
      <c r="B600" s="71"/>
      <c r="C600" s="34"/>
      <c r="D600" s="34"/>
      <c r="E600" s="34"/>
      <c r="F600" s="83"/>
    </row>
    <row r="601" spans="2:6" ht="15" thickBot="1" x14ac:dyDescent="0.4">
      <c r="B601" s="71"/>
      <c r="C601" s="34"/>
      <c r="D601" s="34"/>
      <c r="E601" s="34"/>
      <c r="F601" s="83"/>
    </row>
    <row r="602" spans="2:6" ht="15" thickBot="1" x14ac:dyDescent="0.4">
      <c r="B602" s="71"/>
      <c r="C602" s="34"/>
      <c r="D602" s="34"/>
      <c r="E602" s="34"/>
      <c r="F602" s="83"/>
    </row>
    <row r="603" spans="2:6" ht="15" thickBot="1" x14ac:dyDescent="0.4">
      <c r="B603" s="71"/>
      <c r="C603" s="34"/>
      <c r="D603" s="34"/>
      <c r="E603" s="34"/>
      <c r="F603" s="83"/>
    </row>
    <row r="604" spans="2:6" ht="15" thickBot="1" x14ac:dyDescent="0.4">
      <c r="B604" s="71"/>
      <c r="C604" s="34"/>
      <c r="D604" s="34"/>
      <c r="E604" s="34"/>
      <c r="F604" s="83"/>
    </row>
    <row r="605" spans="2:6" ht="15" thickBot="1" x14ac:dyDescent="0.4">
      <c r="B605" s="71"/>
      <c r="C605" s="34"/>
      <c r="D605" s="34"/>
      <c r="E605" s="34"/>
      <c r="F605" s="83"/>
    </row>
    <row r="606" spans="2:6" ht="15" thickBot="1" x14ac:dyDescent="0.4">
      <c r="B606" s="71"/>
      <c r="C606" s="34"/>
      <c r="D606" s="34"/>
      <c r="E606" s="34"/>
      <c r="F606" s="83"/>
    </row>
    <row r="607" spans="2:6" ht="15" thickBot="1" x14ac:dyDescent="0.4">
      <c r="B607" s="71"/>
      <c r="C607" s="34"/>
      <c r="D607" s="34"/>
      <c r="E607" s="34"/>
      <c r="F607" s="83"/>
    </row>
    <row r="608" spans="2:6" ht="15" thickBot="1" x14ac:dyDescent="0.4">
      <c r="B608" s="71"/>
      <c r="C608" s="34"/>
      <c r="D608" s="34"/>
      <c r="E608" s="34"/>
      <c r="F608" s="83"/>
    </row>
    <row r="609" spans="2:6" ht="15" thickBot="1" x14ac:dyDescent="0.4">
      <c r="B609" s="71"/>
      <c r="C609" s="34"/>
      <c r="D609" s="34"/>
      <c r="E609" s="34"/>
      <c r="F609" s="83"/>
    </row>
    <row r="610" spans="2:6" ht="15" thickBot="1" x14ac:dyDescent="0.4">
      <c r="B610" s="71"/>
      <c r="C610" s="34"/>
      <c r="D610" s="34"/>
      <c r="E610" s="34"/>
      <c r="F610" s="83"/>
    </row>
    <row r="611" spans="2:6" ht="15" thickBot="1" x14ac:dyDescent="0.4">
      <c r="B611" s="71"/>
      <c r="C611" s="34"/>
      <c r="D611" s="34"/>
      <c r="E611" s="34"/>
      <c r="F611" s="83"/>
    </row>
    <row r="612" spans="2:6" ht="15" thickBot="1" x14ac:dyDescent="0.4">
      <c r="B612" s="71"/>
      <c r="C612" s="34"/>
      <c r="D612" s="34"/>
      <c r="E612" s="34"/>
      <c r="F612" s="83"/>
    </row>
    <row r="613" spans="2:6" ht="15" thickBot="1" x14ac:dyDescent="0.4">
      <c r="B613" s="71"/>
      <c r="C613" s="34"/>
      <c r="D613" s="34"/>
      <c r="E613" s="34"/>
      <c r="F613" s="83"/>
    </row>
    <row r="614" spans="2:6" ht="15" thickBot="1" x14ac:dyDescent="0.4">
      <c r="B614" s="71"/>
      <c r="C614" s="34"/>
      <c r="D614" s="34"/>
      <c r="E614" s="34"/>
      <c r="F614" s="83"/>
    </row>
    <row r="615" spans="2:6" ht="15" thickBot="1" x14ac:dyDescent="0.4">
      <c r="B615" s="71"/>
      <c r="C615" s="34"/>
      <c r="D615" s="34"/>
      <c r="E615" s="34"/>
      <c r="F615" s="83"/>
    </row>
    <row r="616" spans="2:6" ht="15" thickBot="1" x14ac:dyDescent="0.4">
      <c r="B616" s="71"/>
      <c r="C616" s="34"/>
      <c r="D616" s="34"/>
      <c r="E616" s="34"/>
      <c r="F616" s="83"/>
    </row>
    <row r="617" spans="2:6" ht="15" thickBot="1" x14ac:dyDescent="0.4">
      <c r="B617" s="71"/>
      <c r="C617" s="34"/>
      <c r="D617" s="34"/>
      <c r="E617" s="34"/>
      <c r="F617" s="83"/>
    </row>
    <row r="618" spans="2:6" ht="15" thickBot="1" x14ac:dyDescent="0.4">
      <c r="B618" s="71"/>
      <c r="C618" s="34"/>
      <c r="D618" s="34"/>
      <c r="E618" s="34"/>
      <c r="F618" s="83"/>
    </row>
    <row r="619" spans="2:6" ht="15" thickBot="1" x14ac:dyDescent="0.4">
      <c r="B619" s="71"/>
      <c r="C619" s="34"/>
      <c r="D619" s="34"/>
      <c r="E619" s="34"/>
      <c r="F619" s="83"/>
    </row>
    <row r="620" spans="2:6" ht="15" thickBot="1" x14ac:dyDescent="0.4">
      <c r="B620" s="71"/>
      <c r="C620" s="34"/>
      <c r="D620" s="34"/>
      <c r="E620" s="34"/>
      <c r="F620" s="83"/>
    </row>
    <row r="621" spans="2:6" ht="15" thickBot="1" x14ac:dyDescent="0.4">
      <c r="B621" s="71"/>
      <c r="C621" s="34"/>
      <c r="D621" s="34"/>
      <c r="E621" s="34"/>
      <c r="F621" s="83"/>
    </row>
    <row r="622" spans="2:6" ht="15" thickBot="1" x14ac:dyDescent="0.4">
      <c r="B622" s="71"/>
      <c r="C622" s="34"/>
      <c r="D622" s="34"/>
      <c r="E622" s="34"/>
      <c r="F622" s="83"/>
    </row>
    <row r="623" spans="2:6" ht="15" thickBot="1" x14ac:dyDescent="0.4">
      <c r="B623" s="71"/>
      <c r="C623" s="34"/>
      <c r="D623" s="34"/>
      <c r="E623" s="34"/>
      <c r="F623" s="83"/>
    </row>
    <row r="624" spans="2:6" ht="15" thickBot="1" x14ac:dyDescent="0.4">
      <c r="B624" s="71"/>
      <c r="C624" s="34"/>
      <c r="D624" s="34"/>
      <c r="E624" s="34"/>
      <c r="F624" s="83"/>
    </row>
    <row r="625" spans="2:6" ht="15" thickBot="1" x14ac:dyDescent="0.4">
      <c r="B625" s="71"/>
      <c r="C625" s="34"/>
      <c r="D625" s="34"/>
      <c r="E625" s="34"/>
      <c r="F625" s="83"/>
    </row>
    <row r="626" spans="2:6" ht="15" thickBot="1" x14ac:dyDescent="0.4">
      <c r="B626" s="71"/>
      <c r="C626" s="34"/>
      <c r="D626" s="34"/>
      <c r="E626" s="34"/>
      <c r="F626" s="83"/>
    </row>
    <row r="627" spans="2:6" ht="15" thickBot="1" x14ac:dyDescent="0.4">
      <c r="B627" s="71"/>
      <c r="C627" s="34"/>
      <c r="D627" s="34"/>
      <c r="E627" s="34"/>
      <c r="F627" s="83"/>
    </row>
    <row r="628" spans="2:6" ht="15" thickBot="1" x14ac:dyDescent="0.4">
      <c r="B628" s="71"/>
      <c r="C628" s="34"/>
      <c r="D628" s="34"/>
      <c r="E628" s="34"/>
      <c r="F628" s="83"/>
    </row>
    <row r="629" spans="2:6" ht="15" thickBot="1" x14ac:dyDescent="0.4">
      <c r="B629" s="71"/>
      <c r="C629" s="34"/>
      <c r="D629" s="34"/>
      <c r="E629" s="34"/>
      <c r="F629" s="83"/>
    </row>
    <row r="630" spans="2:6" ht="15" thickBot="1" x14ac:dyDescent="0.4">
      <c r="B630" s="71"/>
      <c r="C630" s="34"/>
      <c r="D630" s="34"/>
      <c r="E630" s="34"/>
      <c r="F630" s="83"/>
    </row>
    <row r="631" spans="2:6" ht="15" thickBot="1" x14ac:dyDescent="0.4">
      <c r="B631" s="71"/>
      <c r="C631" s="34"/>
      <c r="D631" s="34"/>
      <c r="E631" s="34"/>
      <c r="F631" s="83"/>
    </row>
    <row r="632" spans="2:6" ht="15" thickBot="1" x14ac:dyDescent="0.4">
      <c r="B632" s="71"/>
      <c r="C632" s="34"/>
      <c r="D632" s="34"/>
      <c r="E632" s="34"/>
      <c r="F632" s="83"/>
    </row>
    <row r="633" spans="2:6" ht="15" thickBot="1" x14ac:dyDescent="0.4">
      <c r="B633" s="71"/>
      <c r="C633" s="34"/>
      <c r="D633" s="34"/>
      <c r="E633" s="34"/>
      <c r="F633" s="83"/>
    </row>
    <row r="634" spans="2:6" ht="15" thickBot="1" x14ac:dyDescent="0.4">
      <c r="B634" s="71"/>
      <c r="C634" s="34"/>
      <c r="D634" s="34"/>
      <c r="E634" s="34"/>
      <c r="F634" s="83"/>
    </row>
    <row r="635" spans="2:6" ht="15" thickBot="1" x14ac:dyDescent="0.4">
      <c r="B635" s="71"/>
      <c r="C635" s="34"/>
      <c r="D635" s="34"/>
      <c r="E635" s="34"/>
      <c r="F635" s="83"/>
    </row>
    <row r="636" spans="2:6" ht="15" thickBot="1" x14ac:dyDescent="0.4">
      <c r="B636" s="71"/>
      <c r="C636" s="34"/>
      <c r="D636" s="34"/>
      <c r="E636" s="34"/>
      <c r="F636" s="83"/>
    </row>
    <row r="637" spans="2:6" ht="15" thickBot="1" x14ac:dyDescent="0.4">
      <c r="B637" s="71"/>
      <c r="C637" s="34"/>
      <c r="D637" s="34"/>
      <c r="E637" s="34"/>
      <c r="F637" s="83"/>
    </row>
    <row r="638" spans="2:6" ht="15" thickBot="1" x14ac:dyDescent="0.4">
      <c r="B638" s="71"/>
      <c r="C638" s="34"/>
      <c r="D638" s="34"/>
      <c r="E638" s="34"/>
      <c r="F638" s="83"/>
    </row>
    <row r="639" spans="2:6" ht="15" thickBot="1" x14ac:dyDescent="0.4">
      <c r="B639" s="71"/>
      <c r="C639" s="34"/>
      <c r="D639" s="34"/>
      <c r="E639" s="34"/>
      <c r="F639" s="83"/>
    </row>
    <row r="640" spans="2:6" ht="15" thickBot="1" x14ac:dyDescent="0.4">
      <c r="B640" s="71"/>
      <c r="C640" s="34"/>
      <c r="D640" s="34"/>
      <c r="E640" s="34"/>
      <c r="F640" s="83"/>
    </row>
    <row r="641" spans="2:6" ht="15" thickBot="1" x14ac:dyDescent="0.4">
      <c r="B641" s="71"/>
      <c r="C641" s="34"/>
      <c r="D641" s="34"/>
      <c r="E641" s="34"/>
      <c r="F641" s="83"/>
    </row>
    <row r="642" spans="2:6" ht="15" thickBot="1" x14ac:dyDescent="0.4">
      <c r="B642" s="71"/>
      <c r="C642" s="34"/>
      <c r="D642" s="34"/>
      <c r="E642" s="34"/>
      <c r="F642" s="83"/>
    </row>
    <row r="643" spans="2:6" ht="15" thickBot="1" x14ac:dyDescent="0.4">
      <c r="B643" s="71"/>
      <c r="C643" s="34"/>
      <c r="D643" s="34"/>
      <c r="E643" s="34"/>
      <c r="F643" s="83"/>
    </row>
    <row r="644" spans="2:6" ht="15" thickBot="1" x14ac:dyDescent="0.4">
      <c r="B644" s="71"/>
      <c r="C644" s="34"/>
      <c r="D644" s="34"/>
      <c r="E644" s="34"/>
      <c r="F644" s="83"/>
    </row>
    <row r="645" spans="2:6" ht="15" thickBot="1" x14ac:dyDescent="0.4">
      <c r="B645" s="71"/>
      <c r="C645" s="34"/>
      <c r="D645" s="34"/>
      <c r="E645" s="34"/>
      <c r="F645" s="83"/>
    </row>
    <row r="646" spans="2:6" ht="15" thickBot="1" x14ac:dyDescent="0.4">
      <c r="B646" s="71"/>
      <c r="C646" s="34"/>
      <c r="D646" s="34"/>
      <c r="E646" s="34"/>
      <c r="F646" s="83"/>
    </row>
    <row r="647" spans="2:6" ht="15" thickBot="1" x14ac:dyDescent="0.4">
      <c r="B647" s="71"/>
      <c r="C647" s="34"/>
      <c r="D647" s="34"/>
      <c r="E647" s="34"/>
      <c r="F647" s="83"/>
    </row>
    <row r="648" spans="2:6" ht="15" thickBot="1" x14ac:dyDescent="0.4">
      <c r="B648" s="71"/>
      <c r="C648" s="34"/>
      <c r="D648" s="34"/>
      <c r="E648" s="34"/>
      <c r="F648" s="83"/>
    </row>
    <row r="649" spans="2:6" ht="15" thickBot="1" x14ac:dyDescent="0.4">
      <c r="B649" s="71"/>
      <c r="C649" s="34"/>
      <c r="D649" s="34"/>
      <c r="E649" s="34"/>
      <c r="F649" s="83"/>
    </row>
    <row r="650" spans="2:6" ht="15" thickBot="1" x14ac:dyDescent="0.4">
      <c r="B650" s="71"/>
      <c r="C650" s="34"/>
      <c r="D650" s="34"/>
      <c r="E650" s="34"/>
      <c r="F650" s="83"/>
    </row>
    <row r="651" spans="2:6" ht="15" thickBot="1" x14ac:dyDescent="0.4">
      <c r="B651" s="71"/>
      <c r="C651" s="34"/>
      <c r="D651" s="34"/>
      <c r="E651" s="34"/>
      <c r="F651" s="83"/>
    </row>
    <row r="652" spans="2:6" ht="15" thickBot="1" x14ac:dyDescent="0.4">
      <c r="B652" s="71"/>
      <c r="C652" s="34"/>
      <c r="D652" s="34"/>
      <c r="E652" s="34"/>
      <c r="F652" s="83"/>
    </row>
    <row r="653" spans="2:6" ht="15" thickBot="1" x14ac:dyDescent="0.4">
      <c r="B653" s="71"/>
      <c r="C653" s="34"/>
      <c r="D653" s="34"/>
      <c r="E653" s="34"/>
      <c r="F653" s="83"/>
    </row>
    <row r="654" spans="2:6" ht="15" thickBot="1" x14ac:dyDescent="0.4">
      <c r="B654" s="71"/>
      <c r="C654" s="34"/>
      <c r="D654" s="34"/>
      <c r="E654" s="34"/>
      <c r="F654" s="83"/>
    </row>
    <row r="655" spans="2:6" ht="15" thickBot="1" x14ac:dyDescent="0.4">
      <c r="B655" s="71"/>
      <c r="C655" s="34"/>
      <c r="D655" s="34"/>
      <c r="E655" s="34"/>
      <c r="F655" s="83"/>
    </row>
    <row r="656" spans="2:6" ht="15" thickBot="1" x14ac:dyDescent="0.4">
      <c r="B656" s="71"/>
      <c r="C656" s="34"/>
      <c r="D656" s="34"/>
      <c r="E656" s="34"/>
      <c r="F656" s="83"/>
    </row>
    <row r="657" spans="2:6" ht="15" thickBot="1" x14ac:dyDescent="0.4">
      <c r="B657" s="71"/>
      <c r="C657" s="34"/>
      <c r="D657" s="34"/>
      <c r="E657" s="34"/>
      <c r="F657" s="83"/>
    </row>
    <row r="658" spans="2:6" ht="15" thickBot="1" x14ac:dyDescent="0.4">
      <c r="B658" s="71"/>
      <c r="C658" s="34"/>
      <c r="D658" s="34"/>
      <c r="E658" s="34"/>
      <c r="F658" s="83"/>
    </row>
    <row r="659" spans="2:6" ht="15" thickBot="1" x14ac:dyDescent="0.4">
      <c r="B659" s="71"/>
      <c r="C659" s="34"/>
      <c r="D659" s="34"/>
      <c r="E659" s="34"/>
      <c r="F659" s="83"/>
    </row>
    <row r="660" spans="2:6" ht="15" thickBot="1" x14ac:dyDescent="0.4">
      <c r="B660" s="71"/>
      <c r="C660" s="34"/>
      <c r="D660" s="34"/>
      <c r="E660" s="34"/>
      <c r="F660" s="83"/>
    </row>
    <row r="661" spans="2:6" ht="15" thickBot="1" x14ac:dyDescent="0.4">
      <c r="B661" s="71"/>
      <c r="C661" s="34"/>
      <c r="D661" s="34"/>
      <c r="E661" s="34"/>
      <c r="F661" s="83"/>
    </row>
    <row r="662" spans="2:6" ht="15" thickBot="1" x14ac:dyDescent="0.4">
      <c r="B662" s="71"/>
      <c r="C662" s="34"/>
      <c r="D662" s="34"/>
      <c r="E662" s="34"/>
      <c r="F662" s="83"/>
    </row>
    <row r="663" spans="2:6" ht="15" thickBot="1" x14ac:dyDescent="0.4">
      <c r="B663" s="71"/>
      <c r="C663" s="34"/>
      <c r="D663" s="34"/>
      <c r="E663" s="34"/>
      <c r="F663" s="83"/>
    </row>
    <row r="664" spans="2:6" ht="15" thickBot="1" x14ac:dyDescent="0.4">
      <c r="B664" s="71"/>
      <c r="C664" s="34"/>
      <c r="D664" s="34"/>
      <c r="E664" s="34"/>
      <c r="F664" s="83"/>
    </row>
    <row r="665" spans="2:6" ht="15" thickBot="1" x14ac:dyDescent="0.4">
      <c r="B665" s="71"/>
      <c r="C665" s="34"/>
      <c r="D665" s="34"/>
      <c r="E665" s="34"/>
      <c r="F665" s="83"/>
    </row>
    <row r="666" spans="2:6" ht="15" thickBot="1" x14ac:dyDescent="0.4">
      <c r="B666" s="71"/>
      <c r="C666" s="34"/>
      <c r="D666" s="34"/>
      <c r="E666" s="34"/>
      <c r="F666" s="83"/>
    </row>
    <row r="667" spans="2:6" ht="15" thickBot="1" x14ac:dyDescent="0.4">
      <c r="B667" s="71"/>
      <c r="C667" s="34"/>
      <c r="D667" s="34"/>
      <c r="E667" s="34"/>
      <c r="F667" s="83"/>
    </row>
    <row r="668" spans="2:6" ht="15" thickBot="1" x14ac:dyDescent="0.4">
      <c r="B668" s="71"/>
      <c r="C668" s="34"/>
      <c r="D668" s="34"/>
      <c r="E668" s="34"/>
      <c r="F668" s="83"/>
    </row>
    <row r="669" spans="2:6" ht="15" thickBot="1" x14ac:dyDescent="0.4">
      <c r="B669" s="71"/>
      <c r="C669" s="34"/>
      <c r="D669" s="34"/>
      <c r="E669" s="34"/>
      <c r="F669" s="83"/>
    </row>
    <row r="670" spans="2:6" ht="15" thickBot="1" x14ac:dyDescent="0.4">
      <c r="B670" s="71"/>
      <c r="C670" s="34"/>
      <c r="D670" s="34"/>
      <c r="E670" s="34"/>
      <c r="F670" s="83"/>
    </row>
    <row r="671" spans="2:6" ht="15" thickBot="1" x14ac:dyDescent="0.4">
      <c r="B671" s="71"/>
      <c r="C671" s="34"/>
      <c r="D671" s="34"/>
      <c r="E671" s="34"/>
      <c r="F671" s="83"/>
    </row>
    <row r="672" spans="2:6" ht="15" thickBot="1" x14ac:dyDescent="0.4">
      <c r="B672" s="71"/>
      <c r="C672" s="34"/>
      <c r="D672" s="34"/>
      <c r="E672" s="34"/>
      <c r="F672" s="83"/>
    </row>
    <row r="673" spans="2:6" ht="15" thickBot="1" x14ac:dyDescent="0.4">
      <c r="B673" s="71"/>
      <c r="C673" s="34"/>
      <c r="D673" s="34"/>
      <c r="E673" s="34"/>
      <c r="F673" s="83"/>
    </row>
    <row r="674" spans="2:6" ht="15" thickBot="1" x14ac:dyDescent="0.4">
      <c r="B674" s="71"/>
      <c r="C674" s="34"/>
      <c r="D674" s="34"/>
      <c r="E674" s="34"/>
      <c r="F674" s="83"/>
    </row>
    <row r="675" spans="2:6" ht="15" thickBot="1" x14ac:dyDescent="0.4">
      <c r="B675" s="71"/>
      <c r="C675" s="34"/>
      <c r="D675" s="34"/>
      <c r="E675" s="34"/>
      <c r="F675" s="83"/>
    </row>
    <row r="676" spans="2:6" ht="15" thickBot="1" x14ac:dyDescent="0.4">
      <c r="B676" s="71"/>
      <c r="C676" s="34"/>
      <c r="D676" s="34"/>
      <c r="E676" s="34"/>
      <c r="F676" s="83"/>
    </row>
    <row r="677" spans="2:6" ht="15" thickBot="1" x14ac:dyDescent="0.4">
      <c r="B677" s="71"/>
      <c r="C677" s="34"/>
      <c r="D677" s="34"/>
      <c r="E677" s="34"/>
      <c r="F677" s="83"/>
    </row>
    <row r="678" spans="2:6" ht="15" thickBot="1" x14ac:dyDescent="0.4">
      <c r="B678" s="71"/>
      <c r="C678" s="34"/>
      <c r="D678" s="34"/>
      <c r="E678" s="34"/>
      <c r="F678" s="83"/>
    </row>
    <row r="679" spans="2:6" ht="15" thickBot="1" x14ac:dyDescent="0.4">
      <c r="B679" s="71"/>
      <c r="C679" s="34"/>
      <c r="D679" s="34"/>
      <c r="E679" s="34"/>
      <c r="F679" s="83"/>
    </row>
    <row r="680" spans="2:6" ht="15" thickBot="1" x14ac:dyDescent="0.4">
      <c r="B680" s="71"/>
      <c r="C680" s="34"/>
      <c r="D680" s="34"/>
      <c r="E680" s="34"/>
      <c r="F680" s="83"/>
    </row>
    <row r="681" spans="2:6" ht="15" thickBot="1" x14ac:dyDescent="0.4">
      <c r="B681" s="71"/>
      <c r="C681" s="34"/>
      <c r="D681" s="34"/>
      <c r="E681" s="34"/>
      <c r="F681" s="83"/>
    </row>
    <row r="682" spans="2:6" ht="15" thickBot="1" x14ac:dyDescent="0.4">
      <c r="B682" s="71"/>
      <c r="C682" s="34"/>
      <c r="D682" s="34"/>
      <c r="E682" s="34"/>
      <c r="F682" s="83"/>
    </row>
    <row r="683" spans="2:6" ht="15" thickBot="1" x14ac:dyDescent="0.4">
      <c r="B683" s="71"/>
      <c r="C683" s="34"/>
      <c r="D683" s="34"/>
      <c r="E683" s="34"/>
      <c r="F683" s="83"/>
    </row>
    <row r="684" spans="2:6" ht="15" thickBot="1" x14ac:dyDescent="0.4">
      <c r="B684" s="71"/>
      <c r="C684" s="34"/>
      <c r="D684" s="34"/>
      <c r="E684" s="34"/>
      <c r="F684" s="83"/>
    </row>
    <row r="685" spans="2:6" ht="15" thickBot="1" x14ac:dyDescent="0.4">
      <c r="B685" s="71"/>
      <c r="C685" s="34"/>
      <c r="D685" s="34"/>
      <c r="E685" s="34"/>
      <c r="F685" s="83"/>
    </row>
    <row r="686" spans="2:6" ht="15" thickBot="1" x14ac:dyDescent="0.4">
      <c r="B686" s="71"/>
      <c r="C686" s="34"/>
      <c r="D686" s="34"/>
      <c r="E686" s="34"/>
      <c r="F686" s="83"/>
    </row>
    <row r="687" spans="2:6" ht="15" thickBot="1" x14ac:dyDescent="0.4">
      <c r="B687" s="71"/>
      <c r="C687" s="34"/>
      <c r="D687" s="34"/>
      <c r="E687" s="34"/>
      <c r="F687" s="83"/>
    </row>
    <row r="688" spans="2:6" ht="15" thickBot="1" x14ac:dyDescent="0.4">
      <c r="B688" s="71"/>
      <c r="C688" s="34"/>
      <c r="D688" s="34"/>
      <c r="E688" s="34"/>
      <c r="F688" s="83"/>
    </row>
    <row r="689" spans="2:6" ht="15" thickBot="1" x14ac:dyDescent="0.4">
      <c r="B689" s="71"/>
      <c r="C689" s="34"/>
      <c r="D689" s="34"/>
      <c r="E689" s="34"/>
      <c r="F689" s="83"/>
    </row>
    <row r="690" spans="2:6" ht="15" thickBot="1" x14ac:dyDescent="0.4">
      <c r="B690" s="71"/>
      <c r="C690" s="34"/>
      <c r="D690" s="34"/>
      <c r="E690" s="34"/>
      <c r="F690" s="83"/>
    </row>
    <row r="691" spans="2:6" ht="15" thickBot="1" x14ac:dyDescent="0.4">
      <c r="B691" s="71"/>
      <c r="C691" s="34"/>
      <c r="D691" s="34"/>
      <c r="E691" s="34"/>
      <c r="F691" s="83"/>
    </row>
    <row r="692" spans="2:6" ht="15" thickBot="1" x14ac:dyDescent="0.4">
      <c r="B692" s="71"/>
      <c r="C692" s="34"/>
      <c r="D692" s="34"/>
      <c r="E692" s="34"/>
      <c r="F692" s="83"/>
    </row>
    <row r="693" spans="2:6" ht="15" thickBot="1" x14ac:dyDescent="0.4">
      <c r="B693" s="71"/>
      <c r="C693" s="34"/>
      <c r="D693" s="34"/>
      <c r="E693" s="34"/>
      <c r="F693" s="83"/>
    </row>
    <row r="694" spans="2:6" ht="15" thickBot="1" x14ac:dyDescent="0.4">
      <c r="B694" s="71"/>
      <c r="C694" s="34"/>
      <c r="D694" s="34"/>
      <c r="E694" s="34"/>
      <c r="F694" s="83"/>
    </row>
    <row r="695" spans="2:6" ht="15" thickBot="1" x14ac:dyDescent="0.4">
      <c r="B695" s="71"/>
      <c r="C695" s="34"/>
      <c r="D695" s="34"/>
      <c r="E695" s="34"/>
      <c r="F695" s="83"/>
    </row>
    <row r="696" spans="2:6" ht="15" thickBot="1" x14ac:dyDescent="0.4">
      <c r="B696" s="71"/>
      <c r="C696" s="34"/>
      <c r="D696" s="34"/>
      <c r="E696" s="34"/>
      <c r="F696" s="83"/>
    </row>
    <row r="697" spans="2:6" ht="15" thickBot="1" x14ac:dyDescent="0.4">
      <c r="B697" s="71"/>
      <c r="C697" s="34"/>
      <c r="D697" s="34"/>
      <c r="E697" s="34"/>
      <c r="F697" s="83"/>
    </row>
    <row r="698" spans="2:6" ht="15" thickBot="1" x14ac:dyDescent="0.4">
      <c r="B698" s="71"/>
      <c r="C698" s="34"/>
      <c r="D698" s="34"/>
      <c r="E698" s="34"/>
      <c r="F698" s="83"/>
    </row>
    <row r="699" spans="2:6" ht="15" thickBot="1" x14ac:dyDescent="0.4">
      <c r="B699" s="71"/>
      <c r="C699" s="34"/>
      <c r="D699" s="34"/>
      <c r="E699" s="34"/>
      <c r="F699" s="83"/>
    </row>
    <row r="700" spans="2:6" ht="15" thickBot="1" x14ac:dyDescent="0.4">
      <c r="B700" s="71"/>
      <c r="C700" s="34"/>
      <c r="D700" s="34"/>
      <c r="E700" s="34"/>
      <c r="F700" s="83"/>
    </row>
    <row r="701" spans="2:6" ht="15" thickBot="1" x14ac:dyDescent="0.4">
      <c r="B701" s="71"/>
      <c r="C701" s="34"/>
      <c r="D701" s="34"/>
      <c r="E701" s="34"/>
      <c r="F701" s="83"/>
    </row>
    <row r="702" spans="2:6" ht="15" thickBot="1" x14ac:dyDescent="0.4">
      <c r="B702" s="71"/>
      <c r="C702" s="34"/>
      <c r="D702" s="34"/>
      <c r="E702" s="34"/>
      <c r="F702" s="83"/>
    </row>
    <row r="703" spans="2:6" ht="15" thickBot="1" x14ac:dyDescent="0.4">
      <c r="B703" s="71"/>
      <c r="C703" s="34"/>
      <c r="D703" s="34"/>
      <c r="E703" s="34"/>
      <c r="F703" s="83"/>
    </row>
    <row r="704" spans="2:6" ht="15" thickBot="1" x14ac:dyDescent="0.4">
      <c r="B704" s="71"/>
      <c r="C704" s="34"/>
      <c r="D704" s="34"/>
      <c r="E704" s="34"/>
      <c r="F704" s="83"/>
    </row>
    <row r="705" spans="2:6" ht="15" thickBot="1" x14ac:dyDescent="0.4">
      <c r="B705" s="71"/>
      <c r="C705" s="34"/>
      <c r="D705" s="34"/>
      <c r="E705" s="34"/>
      <c r="F705" s="83"/>
    </row>
    <row r="706" spans="2:6" ht="15" thickBot="1" x14ac:dyDescent="0.4">
      <c r="B706" s="71"/>
      <c r="C706" s="34"/>
      <c r="D706" s="34"/>
      <c r="E706" s="34"/>
      <c r="F706" s="83"/>
    </row>
    <row r="707" spans="2:6" ht="15" thickBot="1" x14ac:dyDescent="0.4">
      <c r="B707" s="71"/>
      <c r="C707" s="34"/>
      <c r="D707" s="34"/>
      <c r="E707" s="34"/>
      <c r="F707" s="83"/>
    </row>
    <row r="708" spans="2:6" ht="15" thickBot="1" x14ac:dyDescent="0.4">
      <c r="B708" s="71"/>
      <c r="C708" s="34"/>
      <c r="D708" s="34"/>
      <c r="E708" s="34"/>
      <c r="F708" s="83"/>
    </row>
    <row r="709" spans="2:6" ht="15" thickBot="1" x14ac:dyDescent="0.4">
      <c r="B709" s="71"/>
      <c r="C709" s="34"/>
      <c r="D709" s="34"/>
      <c r="E709" s="34"/>
      <c r="F709" s="83"/>
    </row>
    <row r="710" spans="2:6" ht="15" thickBot="1" x14ac:dyDescent="0.4">
      <c r="B710" s="71"/>
      <c r="C710" s="34"/>
      <c r="D710" s="34"/>
      <c r="E710" s="34"/>
      <c r="F710" s="83"/>
    </row>
    <row r="711" spans="2:6" ht="15" thickBot="1" x14ac:dyDescent="0.4">
      <c r="B711" s="71"/>
      <c r="C711" s="34"/>
      <c r="D711" s="34"/>
      <c r="E711" s="34"/>
      <c r="F711" s="83"/>
    </row>
    <row r="712" spans="2:6" ht="15" thickBot="1" x14ac:dyDescent="0.4">
      <c r="B712" s="71"/>
      <c r="C712" s="34"/>
      <c r="D712" s="34"/>
      <c r="E712" s="34"/>
      <c r="F712" s="83"/>
    </row>
    <row r="713" spans="2:6" ht="15" thickBot="1" x14ac:dyDescent="0.4">
      <c r="B713" s="71"/>
      <c r="C713" s="34"/>
      <c r="D713" s="34"/>
      <c r="E713" s="34"/>
      <c r="F713" s="83"/>
    </row>
    <row r="714" spans="2:6" ht="15" thickBot="1" x14ac:dyDescent="0.4">
      <c r="B714" s="71"/>
      <c r="C714" s="34"/>
      <c r="D714" s="34"/>
      <c r="E714" s="34"/>
      <c r="F714" s="83"/>
    </row>
    <row r="715" spans="2:6" ht="15" thickBot="1" x14ac:dyDescent="0.4">
      <c r="B715" s="71"/>
      <c r="C715" s="34"/>
      <c r="D715" s="34"/>
      <c r="E715" s="34"/>
      <c r="F715" s="83"/>
    </row>
    <row r="716" spans="2:6" ht="15" thickBot="1" x14ac:dyDescent="0.4">
      <c r="B716" s="71"/>
      <c r="C716" s="34"/>
      <c r="D716" s="34"/>
      <c r="E716" s="34"/>
      <c r="F716" s="83"/>
    </row>
    <row r="717" spans="2:6" ht="15" thickBot="1" x14ac:dyDescent="0.4">
      <c r="B717" s="71"/>
      <c r="C717" s="34"/>
      <c r="D717" s="34"/>
      <c r="E717" s="34"/>
      <c r="F717" s="83"/>
    </row>
    <row r="718" spans="2:6" ht="15" thickBot="1" x14ac:dyDescent="0.4">
      <c r="B718" s="71"/>
      <c r="C718" s="34"/>
      <c r="D718" s="34"/>
      <c r="E718" s="34"/>
      <c r="F718" s="83"/>
    </row>
    <row r="719" spans="2:6" ht="15" thickBot="1" x14ac:dyDescent="0.4">
      <c r="B719" s="71"/>
      <c r="C719" s="34"/>
      <c r="D719" s="34"/>
      <c r="E719" s="34"/>
      <c r="F719" s="83"/>
    </row>
    <row r="720" spans="2:6" ht="15" thickBot="1" x14ac:dyDescent="0.4">
      <c r="B720" s="71"/>
      <c r="C720" s="34"/>
      <c r="D720" s="34"/>
      <c r="E720" s="34"/>
      <c r="F720" s="83"/>
    </row>
    <row r="721" spans="2:6" ht="15" thickBot="1" x14ac:dyDescent="0.4">
      <c r="B721" s="71"/>
      <c r="C721" s="34"/>
      <c r="D721" s="34"/>
      <c r="E721" s="34"/>
      <c r="F721" s="83"/>
    </row>
    <row r="722" spans="2:6" ht="15" thickBot="1" x14ac:dyDescent="0.4">
      <c r="B722" s="71"/>
      <c r="C722" s="34"/>
      <c r="D722" s="34"/>
      <c r="E722" s="34"/>
      <c r="F722" s="83"/>
    </row>
    <row r="723" spans="2:6" ht="15" thickBot="1" x14ac:dyDescent="0.4">
      <c r="B723" s="71"/>
      <c r="C723" s="34"/>
      <c r="D723" s="34"/>
      <c r="E723" s="34"/>
      <c r="F723" s="83"/>
    </row>
    <row r="724" spans="2:6" ht="15" thickBot="1" x14ac:dyDescent="0.4">
      <c r="B724" s="71"/>
      <c r="C724" s="34"/>
      <c r="D724" s="34"/>
      <c r="E724" s="34"/>
      <c r="F724" s="83"/>
    </row>
    <row r="725" spans="2:6" ht="15" thickBot="1" x14ac:dyDescent="0.4">
      <c r="B725" s="71"/>
      <c r="C725" s="34"/>
      <c r="D725" s="34"/>
      <c r="E725" s="34"/>
      <c r="F725" s="83"/>
    </row>
    <row r="726" spans="2:6" ht="15" thickBot="1" x14ac:dyDescent="0.4">
      <c r="B726" s="71"/>
      <c r="C726" s="34"/>
      <c r="D726" s="34"/>
      <c r="E726" s="34"/>
      <c r="F726" s="83"/>
    </row>
    <row r="727" spans="2:6" ht="15" thickBot="1" x14ac:dyDescent="0.4">
      <c r="B727" s="71"/>
      <c r="C727" s="34"/>
      <c r="D727" s="34"/>
      <c r="E727" s="34"/>
      <c r="F727" s="83"/>
    </row>
    <row r="728" spans="2:6" ht="15" thickBot="1" x14ac:dyDescent="0.4">
      <c r="B728" s="71"/>
      <c r="C728" s="34"/>
      <c r="D728" s="34"/>
      <c r="E728" s="34"/>
      <c r="F728" s="83"/>
    </row>
    <row r="729" spans="2:6" ht="15" thickBot="1" x14ac:dyDescent="0.4">
      <c r="B729" s="71"/>
      <c r="C729" s="34"/>
      <c r="D729" s="34"/>
      <c r="E729" s="34"/>
      <c r="F729" s="83"/>
    </row>
    <row r="730" spans="2:6" ht="15" thickBot="1" x14ac:dyDescent="0.4">
      <c r="B730" s="71"/>
      <c r="C730" s="34"/>
      <c r="D730" s="34"/>
      <c r="E730" s="34"/>
      <c r="F730" s="83"/>
    </row>
    <row r="731" spans="2:6" ht="15" thickBot="1" x14ac:dyDescent="0.4">
      <c r="B731" s="71"/>
      <c r="C731" s="34"/>
      <c r="D731" s="34"/>
      <c r="E731" s="34"/>
      <c r="F731" s="83"/>
    </row>
    <row r="732" spans="2:6" ht="15" thickBot="1" x14ac:dyDescent="0.4">
      <c r="B732" s="71"/>
      <c r="C732" s="34"/>
      <c r="D732" s="34"/>
      <c r="E732" s="34"/>
      <c r="F732" s="83"/>
    </row>
    <row r="733" spans="2:6" ht="15" thickBot="1" x14ac:dyDescent="0.4">
      <c r="B733" s="71"/>
      <c r="C733" s="34"/>
      <c r="D733" s="34"/>
      <c r="E733" s="34"/>
      <c r="F733" s="83"/>
    </row>
    <row r="734" spans="2:6" ht="15" thickBot="1" x14ac:dyDescent="0.4">
      <c r="B734" s="71"/>
      <c r="C734" s="34"/>
      <c r="D734" s="34"/>
      <c r="E734" s="34"/>
      <c r="F734" s="83"/>
    </row>
    <row r="735" spans="2:6" ht="15" thickBot="1" x14ac:dyDescent="0.4">
      <c r="B735" s="71"/>
      <c r="C735" s="34"/>
      <c r="D735" s="34"/>
      <c r="E735" s="34"/>
      <c r="F735" s="83"/>
    </row>
    <row r="736" spans="2:6" ht="15" thickBot="1" x14ac:dyDescent="0.4">
      <c r="B736" s="71"/>
      <c r="C736" s="34"/>
      <c r="D736" s="34"/>
      <c r="E736" s="34"/>
      <c r="F736" s="83"/>
    </row>
    <row r="737" spans="2:6" ht="15" thickBot="1" x14ac:dyDescent="0.4">
      <c r="B737" s="71"/>
      <c r="C737" s="34"/>
      <c r="D737" s="34"/>
      <c r="E737" s="34"/>
      <c r="F737" s="83"/>
    </row>
    <row r="738" spans="2:6" ht="15" thickBot="1" x14ac:dyDescent="0.4">
      <c r="B738" s="71"/>
      <c r="C738" s="34"/>
      <c r="D738" s="34"/>
      <c r="E738" s="34"/>
      <c r="F738" s="83"/>
    </row>
    <row r="739" spans="2:6" ht="15" thickBot="1" x14ac:dyDescent="0.4">
      <c r="B739" s="71"/>
      <c r="C739" s="34"/>
      <c r="D739" s="34"/>
      <c r="E739" s="34"/>
      <c r="F739" s="83"/>
    </row>
    <row r="740" spans="2:6" ht="15" thickBot="1" x14ac:dyDescent="0.4">
      <c r="B740" s="71"/>
      <c r="C740" s="34"/>
      <c r="D740" s="34"/>
      <c r="E740" s="34"/>
      <c r="F740" s="83"/>
    </row>
    <row r="741" spans="2:6" ht="15" thickBot="1" x14ac:dyDescent="0.4">
      <c r="B741" s="71"/>
      <c r="C741" s="34"/>
      <c r="D741" s="34"/>
      <c r="E741" s="34"/>
      <c r="F741" s="83"/>
    </row>
    <row r="742" spans="2:6" ht="15" thickBot="1" x14ac:dyDescent="0.4">
      <c r="B742" s="71"/>
      <c r="C742" s="34"/>
      <c r="D742" s="34"/>
      <c r="E742" s="34"/>
      <c r="F742" s="83"/>
    </row>
    <row r="743" spans="2:6" ht="15" thickBot="1" x14ac:dyDescent="0.4">
      <c r="B743" s="71"/>
      <c r="C743" s="34"/>
      <c r="D743" s="34"/>
      <c r="E743" s="34"/>
      <c r="F743" s="83"/>
    </row>
    <row r="744" spans="2:6" ht="15" thickBot="1" x14ac:dyDescent="0.4">
      <c r="B744" s="71"/>
      <c r="C744" s="34"/>
      <c r="D744" s="34"/>
      <c r="E744" s="34"/>
      <c r="F744" s="83"/>
    </row>
    <row r="745" spans="2:6" ht="15" thickBot="1" x14ac:dyDescent="0.4">
      <c r="B745" s="71"/>
      <c r="C745" s="34"/>
      <c r="D745" s="34"/>
      <c r="E745" s="34"/>
      <c r="F745" s="83"/>
    </row>
    <row r="746" spans="2:6" ht="15" thickBot="1" x14ac:dyDescent="0.4">
      <c r="B746" s="71"/>
      <c r="C746" s="34"/>
      <c r="D746" s="34"/>
      <c r="E746" s="34"/>
      <c r="F746" s="83"/>
    </row>
    <row r="747" spans="2:6" ht="15" thickBot="1" x14ac:dyDescent="0.4">
      <c r="B747" s="71"/>
      <c r="C747" s="34"/>
      <c r="D747" s="34"/>
      <c r="E747" s="34"/>
      <c r="F747" s="83"/>
    </row>
    <row r="748" spans="2:6" ht="15" thickBot="1" x14ac:dyDescent="0.4">
      <c r="B748" s="71"/>
      <c r="C748" s="34"/>
      <c r="D748" s="34"/>
      <c r="E748" s="34"/>
      <c r="F748" s="83"/>
    </row>
    <row r="749" spans="2:6" ht="15" thickBot="1" x14ac:dyDescent="0.4">
      <c r="B749" s="71"/>
      <c r="C749" s="34"/>
      <c r="D749" s="34"/>
      <c r="E749" s="34"/>
      <c r="F749" s="83"/>
    </row>
    <row r="750" spans="2:6" ht="15" thickBot="1" x14ac:dyDescent="0.4">
      <c r="B750" s="71"/>
      <c r="C750" s="34"/>
      <c r="D750" s="34"/>
      <c r="E750" s="34"/>
      <c r="F750" s="83"/>
    </row>
    <row r="751" spans="2:6" ht="15" thickBot="1" x14ac:dyDescent="0.4">
      <c r="B751" s="71"/>
      <c r="C751" s="34"/>
      <c r="D751" s="34"/>
      <c r="E751" s="34"/>
      <c r="F751" s="83"/>
    </row>
    <row r="752" spans="2:6" ht="15" thickBot="1" x14ac:dyDescent="0.4">
      <c r="B752" s="71"/>
      <c r="C752" s="34"/>
      <c r="D752" s="34"/>
      <c r="E752" s="34"/>
      <c r="F752" s="83"/>
    </row>
    <row r="753" spans="2:6" ht="15" thickBot="1" x14ac:dyDescent="0.4">
      <c r="B753" s="71"/>
      <c r="C753" s="34"/>
      <c r="D753" s="34"/>
      <c r="E753" s="34"/>
      <c r="F753" s="83"/>
    </row>
    <row r="754" spans="2:6" ht="15" thickBot="1" x14ac:dyDescent="0.4">
      <c r="B754" s="71"/>
      <c r="C754" s="34"/>
      <c r="D754" s="34"/>
      <c r="E754" s="34"/>
      <c r="F754" s="83"/>
    </row>
    <row r="755" spans="2:6" ht="15" thickBot="1" x14ac:dyDescent="0.4">
      <c r="B755" s="71"/>
      <c r="C755" s="34"/>
      <c r="D755" s="34"/>
      <c r="E755" s="34"/>
      <c r="F755" s="83"/>
    </row>
    <row r="756" spans="2:6" ht="15" thickBot="1" x14ac:dyDescent="0.4">
      <c r="B756" s="71"/>
      <c r="C756" s="34"/>
      <c r="D756" s="34"/>
      <c r="E756" s="34"/>
      <c r="F756" s="83"/>
    </row>
    <row r="757" spans="2:6" ht="15" thickBot="1" x14ac:dyDescent="0.4">
      <c r="B757" s="71"/>
      <c r="C757" s="34"/>
      <c r="D757" s="34"/>
      <c r="E757" s="34"/>
      <c r="F757" s="83"/>
    </row>
    <row r="758" spans="2:6" ht="15" thickBot="1" x14ac:dyDescent="0.4">
      <c r="B758" s="71"/>
      <c r="C758" s="34"/>
      <c r="D758" s="34"/>
      <c r="E758" s="34"/>
      <c r="F758" s="83"/>
    </row>
    <row r="759" spans="2:6" ht="15" thickBot="1" x14ac:dyDescent="0.4">
      <c r="B759" s="71"/>
      <c r="C759" s="34"/>
      <c r="D759" s="34"/>
      <c r="E759" s="34"/>
      <c r="F759" s="83"/>
    </row>
    <row r="760" spans="2:6" ht="15" thickBot="1" x14ac:dyDescent="0.4">
      <c r="B760" s="71"/>
      <c r="C760" s="34"/>
      <c r="D760" s="34"/>
      <c r="E760" s="34"/>
      <c r="F760" s="83"/>
    </row>
    <row r="761" spans="2:6" ht="15" thickBot="1" x14ac:dyDescent="0.4">
      <c r="B761" s="71"/>
      <c r="C761" s="34"/>
      <c r="D761" s="34"/>
      <c r="E761" s="34"/>
      <c r="F761" s="83"/>
    </row>
    <row r="762" spans="2:6" ht="15" thickBot="1" x14ac:dyDescent="0.4">
      <c r="B762" s="71"/>
      <c r="C762" s="34"/>
      <c r="D762" s="34"/>
      <c r="E762" s="34"/>
      <c r="F762" s="83"/>
    </row>
    <row r="763" spans="2:6" ht="15" thickBot="1" x14ac:dyDescent="0.4">
      <c r="B763" s="71"/>
      <c r="C763" s="34"/>
      <c r="D763" s="34"/>
      <c r="E763" s="34"/>
      <c r="F763" s="83"/>
    </row>
    <row r="764" spans="2:6" ht="15" thickBot="1" x14ac:dyDescent="0.4">
      <c r="B764" s="71"/>
      <c r="C764" s="34"/>
      <c r="D764" s="34"/>
      <c r="E764" s="34"/>
      <c r="F764" s="83"/>
    </row>
    <row r="765" spans="2:6" ht="15" thickBot="1" x14ac:dyDescent="0.4">
      <c r="B765" s="71"/>
      <c r="C765" s="34"/>
      <c r="D765" s="34"/>
      <c r="E765" s="34"/>
      <c r="F765" s="83"/>
    </row>
    <row r="766" spans="2:6" ht="15" thickBot="1" x14ac:dyDescent="0.4">
      <c r="B766" s="71"/>
      <c r="C766" s="34"/>
      <c r="D766" s="34"/>
      <c r="E766" s="34"/>
      <c r="F766" s="83"/>
    </row>
    <row r="767" spans="2:6" ht="15" thickBot="1" x14ac:dyDescent="0.4">
      <c r="B767" s="71"/>
      <c r="C767" s="34"/>
      <c r="D767" s="34"/>
      <c r="E767" s="34"/>
      <c r="F767" s="83"/>
    </row>
    <row r="768" spans="2:6" ht="15" thickBot="1" x14ac:dyDescent="0.4">
      <c r="B768" s="71"/>
      <c r="C768" s="34"/>
      <c r="D768" s="34"/>
      <c r="E768" s="34"/>
      <c r="F768" s="83"/>
    </row>
    <row r="769" spans="2:6" ht="15" thickBot="1" x14ac:dyDescent="0.4">
      <c r="B769" s="71"/>
      <c r="C769" s="34"/>
      <c r="D769" s="34"/>
      <c r="E769" s="34"/>
      <c r="F769" s="83"/>
    </row>
    <row r="770" spans="2:6" ht="15" thickBot="1" x14ac:dyDescent="0.4">
      <c r="B770" s="71"/>
      <c r="C770" s="34"/>
      <c r="D770" s="34"/>
      <c r="E770" s="34"/>
      <c r="F770" s="83"/>
    </row>
    <row r="771" spans="2:6" ht="15" thickBot="1" x14ac:dyDescent="0.4">
      <c r="B771" s="71"/>
      <c r="C771" s="34"/>
      <c r="D771" s="34"/>
      <c r="E771" s="34"/>
      <c r="F771" s="83"/>
    </row>
    <row r="772" spans="2:6" ht="15" thickBot="1" x14ac:dyDescent="0.4">
      <c r="B772" s="71"/>
      <c r="C772" s="34"/>
      <c r="D772" s="34"/>
      <c r="E772" s="34"/>
      <c r="F772" s="83"/>
    </row>
    <row r="773" spans="2:6" ht="15" thickBot="1" x14ac:dyDescent="0.4">
      <c r="B773" s="71"/>
      <c r="C773" s="34"/>
      <c r="D773" s="34"/>
      <c r="E773" s="34"/>
      <c r="F773" s="83"/>
    </row>
    <row r="774" spans="2:6" ht="15" thickBot="1" x14ac:dyDescent="0.4">
      <c r="B774" s="71"/>
      <c r="C774" s="34"/>
      <c r="D774" s="34"/>
      <c r="E774" s="34"/>
      <c r="F774" s="83"/>
    </row>
    <row r="775" spans="2:6" ht="15" thickBot="1" x14ac:dyDescent="0.4">
      <c r="B775" s="71"/>
      <c r="C775" s="34"/>
      <c r="D775" s="34"/>
      <c r="E775" s="34"/>
      <c r="F775" s="83"/>
    </row>
    <row r="776" spans="2:6" ht="15" thickBot="1" x14ac:dyDescent="0.4">
      <c r="B776" s="71"/>
      <c r="C776" s="34"/>
      <c r="D776" s="34"/>
      <c r="E776" s="34"/>
      <c r="F776" s="83"/>
    </row>
    <row r="777" spans="2:6" ht="15" thickBot="1" x14ac:dyDescent="0.4">
      <c r="B777" s="71"/>
      <c r="C777" s="34"/>
      <c r="D777" s="34"/>
      <c r="E777" s="34"/>
      <c r="F777" s="83"/>
    </row>
    <row r="778" spans="2:6" ht="15" thickBot="1" x14ac:dyDescent="0.4">
      <c r="B778" s="71"/>
      <c r="C778" s="34"/>
      <c r="D778" s="34"/>
      <c r="E778" s="34"/>
      <c r="F778" s="83"/>
    </row>
    <row r="779" spans="2:6" ht="15" thickBot="1" x14ac:dyDescent="0.4">
      <c r="B779" s="71"/>
      <c r="C779" s="34"/>
      <c r="D779" s="34"/>
      <c r="E779" s="34"/>
      <c r="F779" s="83"/>
    </row>
    <row r="780" spans="2:6" ht="15" thickBot="1" x14ac:dyDescent="0.4">
      <c r="B780" s="71"/>
      <c r="C780" s="34"/>
      <c r="D780" s="34"/>
      <c r="E780" s="34"/>
      <c r="F780" s="83"/>
    </row>
    <row r="781" spans="2:6" ht="15" thickBot="1" x14ac:dyDescent="0.4">
      <c r="B781" s="71"/>
      <c r="C781" s="34"/>
      <c r="D781" s="34"/>
      <c r="E781" s="34"/>
      <c r="F781" s="83"/>
    </row>
    <row r="782" spans="2:6" ht="15" thickBot="1" x14ac:dyDescent="0.4">
      <c r="B782" s="71"/>
      <c r="C782" s="34"/>
      <c r="D782" s="34"/>
      <c r="E782" s="34"/>
      <c r="F782" s="83"/>
    </row>
    <row r="783" spans="2:6" ht="15" thickBot="1" x14ac:dyDescent="0.4">
      <c r="B783" s="71"/>
      <c r="C783" s="34"/>
      <c r="D783" s="34"/>
      <c r="E783" s="34"/>
      <c r="F783" s="83"/>
    </row>
    <row r="784" spans="2:6" ht="15" thickBot="1" x14ac:dyDescent="0.4">
      <c r="B784" s="71"/>
      <c r="C784" s="34"/>
      <c r="D784" s="34"/>
      <c r="E784" s="34"/>
      <c r="F784" s="83"/>
    </row>
    <row r="785" spans="2:6" ht="15" thickBot="1" x14ac:dyDescent="0.4">
      <c r="B785" s="71"/>
      <c r="C785" s="34"/>
      <c r="D785" s="34"/>
      <c r="E785" s="34"/>
      <c r="F785" s="83"/>
    </row>
    <row r="786" spans="2:6" ht="15" thickBot="1" x14ac:dyDescent="0.4">
      <c r="B786" s="71"/>
      <c r="C786" s="34"/>
      <c r="D786" s="34"/>
      <c r="E786" s="34"/>
      <c r="F786" s="83"/>
    </row>
    <row r="787" spans="2:6" ht="15" thickBot="1" x14ac:dyDescent="0.4">
      <c r="B787" s="71"/>
      <c r="C787" s="34"/>
      <c r="D787" s="34"/>
      <c r="E787" s="34"/>
      <c r="F787" s="83"/>
    </row>
    <row r="788" spans="2:6" ht="15" thickBot="1" x14ac:dyDescent="0.4">
      <c r="B788" s="71"/>
      <c r="C788" s="34"/>
      <c r="D788" s="34"/>
      <c r="E788" s="34"/>
      <c r="F788" s="83"/>
    </row>
    <row r="789" spans="2:6" ht="15" thickBot="1" x14ac:dyDescent="0.4">
      <c r="B789" s="71"/>
      <c r="C789" s="34"/>
      <c r="D789" s="34"/>
      <c r="E789" s="34"/>
      <c r="F789" s="83"/>
    </row>
    <row r="790" spans="2:6" ht="15" thickBot="1" x14ac:dyDescent="0.4">
      <c r="B790" s="71"/>
      <c r="C790" s="34"/>
      <c r="D790" s="34"/>
      <c r="E790" s="34"/>
      <c r="F790" s="83"/>
    </row>
    <row r="791" spans="2:6" ht="15" thickBot="1" x14ac:dyDescent="0.4">
      <c r="B791" s="71"/>
      <c r="C791" s="34"/>
      <c r="D791" s="34"/>
      <c r="E791" s="34"/>
      <c r="F791" s="83"/>
    </row>
    <row r="792" spans="2:6" ht="15" thickBot="1" x14ac:dyDescent="0.4">
      <c r="B792" s="71"/>
      <c r="C792" s="34"/>
      <c r="D792" s="34"/>
      <c r="E792" s="34"/>
      <c r="F792" s="83"/>
    </row>
    <row r="793" spans="2:6" ht="15" thickBot="1" x14ac:dyDescent="0.4">
      <c r="B793" s="71"/>
      <c r="C793" s="34"/>
      <c r="D793" s="34"/>
      <c r="E793" s="34"/>
      <c r="F793" s="83"/>
    </row>
    <row r="794" spans="2:6" ht="15" thickBot="1" x14ac:dyDescent="0.4">
      <c r="B794" s="71"/>
      <c r="C794" s="34"/>
      <c r="D794" s="34"/>
      <c r="E794" s="34"/>
      <c r="F794" s="83"/>
    </row>
    <row r="795" spans="2:6" ht="15" thickBot="1" x14ac:dyDescent="0.4">
      <c r="B795" s="71"/>
      <c r="C795" s="34"/>
      <c r="D795" s="34"/>
      <c r="E795" s="34"/>
      <c r="F795" s="83"/>
    </row>
    <row r="796" spans="2:6" ht="15" thickBot="1" x14ac:dyDescent="0.4">
      <c r="B796" s="71"/>
      <c r="C796" s="34"/>
      <c r="D796" s="34"/>
      <c r="E796" s="34"/>
      <c r="F796" s="83"/>
    </row>
    <row r="797" spans="2:6" ht="15" thickBot="1" x14ac:dyDescent="0.4">
      <c r="B797" s="71"/>
      <c r="C797" s="34"/>
      <c r="D797" s="34"/>
      <c r="E797" s="34"/>
      <c r="F797" s="83"/>
    </row>
    <row r="798" spans="2:6" ht="15" thickBot="1" x14ac:dyDescent="0.4">
      <c r="B798" s="71"/>
      <c r="C798" s="34"/>
      <c r="D798" s="34"/>
      <c r="E798" s="34"/>
      <c r="F798" s="83"/>
    </row>
    <row r="799" spans="2:6" ht="15" thickBot="1" x14ac:dyDescent="0.4">
      <c r="B799" s="71"/>
      <c r="C799" s="34"/>
      <c r="D799" s="34"/>
      <c r="E799" s="34"/>
      <c r="F799" s="83"/>
    </row>
    <row r="800" spans="2:6" ht="15" thickBot="1" x14ac:dyDescent="0.4">
      <c r="B800" s="71"/>
      <c r="C800" s="34"/>
      <c r="D800" s="34"/>
      <c r="E800" s="34"/>
      <c r="F800" s="83"/>
    </row>
    <row r="801" spans="2:6" ht="15" thickBot="1" x14ac:dyDescent="0.4">
      <c r="B801" s="71"/>
      <c r="C801" s="34"/>
      <c r="D801" s="34"/>
      <c r="E801" s="34"/>
      <c r="F801" s="83"/>
    </row>
    <row r="802" spans="2:6" ht="15" thickBot="1" x14ac:dyDescent="0.4">
      <c r="B802" s="71"/>
      <c r="C802" s="34"/>
      <c r="D802" s="34"/>
      <c r="E802" s="34"/>
      <c r="F802" s="83"/>
    </row>
    <row r="803" spans="2:6" ht="15" thickBot="1" x14ac:dyDescent="0.4">
      <c r="B803" s="71"/>
      <c r="C803" s="34"/>
      <c r="D803" s="34"/>
      <c r="E803" s="34"/>
      <c r="F803" s="83"/>
    </row>
    <row r="804" spans="2:6" ht="15" thickBot="1" x14ac:dyDescent="0.4">
      <c r="B804" s="71"/>
      <c r="C804" s="34"/>
      <c r="D804" s="34"/>
      <c r="E804" s="34"/>
      <c r="F804" s="83"/>
    </row>
    <row r="805" spans="2:6" ht="15" thickBot="1" x14ac:dyDescent="0.4">
      <c r="B805" s="71"/>
      <c r="C805" s="34"/>
      <c r="D805" s="34"/>
      <c r="E805" s="34"/>
      <c r="F805" s="83"/>
    </row>
    <row r="806" spans="2:6" ht="15" thickBot="1" x14ac:dyDescent="0.4">
      <c r="B806" s="71"/>
      <c r="C806" s="34"/>
      <c r="D806" s="34"/>
      <c r="E806" s="34"/>
      <c r="F806" s="83"/>
    </row>
    <row r="807" spans="2:6" ht="15" thickBot="1" x14ac:dyDescent="0.4">
      <c r="B807" s="71"/>
      <c r="C807" s="34"/>
      <c r="D807" s="34"/>
      <c r="E807" s="34"/>
      <c r="F807" s="83"/>
    </row>
    <row r="808" spans="2:6" ht="15" thickBot="1" x14ac:dyDescent="0.4">
      <c r="B808" s="71"/>
      <c r="C808" s="34"/>
      <c r="D808" s="34"/>
      <c r="E808" s="34"/>
      <c r="F808" s="83"/>
    </row>
    <row r="809" spans="2:6" ht="15" thickBot="1" x14ac:dyDescent="0.4">
      <c r="B809" s="71"/>
      <c r="C809" s="34"/>
      <c r="D809" s="34"/>
      <c r="E809" s="34"/>
      <c r="F809" s="83"/>
    </row>
    <row r="810" spans="2:6" ht="15" thickBot="1" x14ac:dyDescent="0.4">
      <c r="B810" s="71"/>
      <c r="C810" s="34"/>
      <c r="D810" s="34"/>
      <c r="E810" s="34"/>
      <c r="F810" s="83"/>
    </row>
    <row r="811" spans="2:6" ht="15" thickBot="1" x14ac:dyDescent="0.4">
      <c r="B811" s="71"/>
      <c r="C811" s="34"/>
      <c r="D811" s="34"/>
      <c r="E811" s="34"/>
      <c r="F811" s="83"/>
    </row>
    <row r="812" spans="2:6" ht="15" thickBot="1" x14ac:dyDescent="0.4">
      <c r="B812" s="71"/>
      <c r="C812" s="34"/>
      <c r="D812" s="34"/>
      <c r="E812" s="34"/>
      <c r="F812" s="83"/>
    </row>
    <row r="813" spans="2:6" ht="15" thickBot="1" x14ac:dyDescent="0.4">
      <c r="B813" s="71"/>
      <c r="C813" s="34"/>
      <c r="D813" s="34"/>
      <c r="E813" s="34"/>
      <c r="F813" s="83"/>
    </row>
    <row r="814" spans="2:6" ht="15" thickBot="1" x14ac:dyDescent="0.4">
      <c r="B814" s="71"/>
      <c r="C814" s="34"/>
      <c r="D814" s="34"/>
      <c r="E814" s="34"/>
      <c r="F814" s="83"/>
    </row>
    <row r="815" spans="2:6" ht="15" thickBot="1" x14ac:dyDescent="0.4">
      <c r="B815" s="71"/>
      <c r="C815" s="34"/>
      <c r="D815" s="34"/>
      <c r="E815" s="34"/>
      <c r="F815" s="83"/>
    </row>
    <row r="816" spans="2:6" ht="15" thickBot="1" x14ac:dyDescent="0.4">
      <c r="B816" s="71"/>
      <c r="C816" s="34"/>
      <c r="D816" s="34"/>
      <c r="E816" s="34"/>
      <c r="F816" s="83"/>
    </row>
    <row r="817" spans="2:6" ht="15" thickBot="1" x14ac:dyDescent="0.4">
      <c r="B817" s="71"/>
      <c r="C817" s="34"/>
      <c r="D817" s="34"/>
      <c r="E817" s="34"/>
      <c r="F817" s="83"/>
    </row>
    <row r="818" spans="2:6" ht="15" thickBot="1" x14ac:dyDescent="0.4">
      <c r="B818" s="71"/>
      <c r="C818" s="34"/>
      <c r="D818" s="34"/>
      <c r="E818" s="34"/>
      <c r="F818" s="83"/>
    </row>
    <row r="819" spans="2:6" ht="15" thickBot="1" x14ac:dyDescent="0.4">
      <c r="B819" s="71"/>
      <c r="C819" s="34"/>
      <c r="D819" s="34"/>
      <c r="E819" s="34"/>
      <c r="F819" s="83"/>
    </row>
    <row r="820" spans="2:6" ht="15" thickBot="1" x14ac:dyDescent="0.4">
      <c r="B820" s="71"/>
      <c r="C820" s="34"/>
      <c r="D820" s="34"/>
      <c r="E820" s="34"/>
      <c r="F820" s="83"/>
    </row>
    <row r="821" spans="2:6" ht="15" thickBot="1" x14ac:dyDescent="0.4">
      <c r="B821" s="71"/>
      <c r="C821" s="34"/>
      <c r="D821" s="34"/>
      <c r="E821" s="34"/>
      <c r="F821" s="83"/>
    </row>
    <row r="822" spans="2:6" ht="15" thickBot="1" x14ac:dyDescent="0.4">
      <c r="B822" s="71"/>
      <c r="C822" s="34"/>
      <c r="D822" s="34"/>
      <c r="E822" s="34"/>
      <c r="F822" s="83"/>
    </row>
    <row r="823" spans="2:6" ht="15" thickBot="1" x14ac:dyDescent="0.4">
      <c r="B823" s="71"/>
      <c r="C823" s="34"/>
      <c r="D823" s="34"/>
      <c r="E823" s="34"/>
      <c r="F823" s="83"/>
    </row>
    <row r="824" spans="2:6" ht="15" thickBot="1" x14ac:dyDescent="0.4">
      <c r="B824" s="71"/>
      <c r="C824" s="34"/>
      <c r="D824" s="34"/>
      <c r="E824" s="34"/>
      <c r="F824" s="83"/>
    </row>
    <row r="825" spans="2:6" ht="15" thickBot="1" x14ac:dyDescent="0.4">
      <c r="B825" s="71"/>
      <c r="C825" s="34"/>
      <c r="D825" s="34"/>
      <c r="E825" s="34"/>
      <c r="F825" s="83"/>
    </row>
    <row r="826" spans="2:6" ht="15" thickBot="1" x14ac:dyDescent="0.4">
      <c r="B826" s="71"/>
      <c r="C826" s="34"/>
      <c r="D826" s="34"/>
      <c r="E826" s="34"/>
      <c r="F826" s="83"/>
    </row>
    <row r="827" spans="2:6" ht="15" thickBot="1" x14ac:dyDescent="0.4">
      <c r="B827" s="71"/>
      <c r="C827" s="34"/>
      <c r="D827" s="34"/>
      <c r="E827" s="34"/>
      <c r="F827" s="83"/>
    </row>
    <row r="828" spans="2:6" ht="15" thickBot="1" x14ac:dyDescent="0.4">
      <c r="B828" s="71"/>
      <c r="C828" s="34"/>
      <c r="D828" s="34"/>
      <c r="E828" s="34"/>
      <c r="F828" s="83"/>
    </row>
    <row r="829" spans="2:6" ht="15" thickBot="1" x14ac:dyDescent="0.4">
      <c r="B829" s="71"/>
      <c r="C829" s="34"/>
      <c r="D829" s="34"/>
      <c r="E829" s="34"/>
      <c r="F829" s="83"/>
    </row>
    <row r="830" spans="2:6" ht="15" thickBot="1" x14ac:dyDescent="0.4">
      <c r="B830" s="71"/>
      <c r="C830" s="34"/>
      <c r="D830" s="34"/>
      <c r="E830" s="34"/>
      <c r="F830" s="83"/>
    </row>
    <row r="831" spans="2:6" ht="15" thickBot="1" x14ac:dyDescent="0.4">
      <c r="B831" s="71"/>
      <c r="C831" s="34"/>
      <c r="D831" s="34"/>
      <c r="E831" s="34"/>
      <c r="F831" s="83"/>
    </row>
    <row r="832" spans="2:6" ht="15" thickBot="1" x14ac:dyDescent="0.4">
      <c r="B832" s="71"/>
      <c r="C832" s="34"/>
      <c r="D832" s="34"/>
      <c r="E832" s="34"/>
      <c r="F832" s="83"/>
    </row>
    <row r="833" spans="2:6" ht="15" thickBot="1" x14ac:dyDescent="0.4">
      <c r="B833" s="71"/>
      <c r="C833" s="34"/>
      <c r="D833" s="34"/>
      <c r="E833" s="34"/>
      <c r="F833" s="83"/>
    </row>
    <row r="834" spans="2:6" ht="15" thickBot="1" x14ac:dyDescent="0.4">
      <c r="B834" s="71"/>
      <c r="C834" s="34"/>
      <c r="D834" s="34"/>
      <c r="E834" s="34"/>
      <c r="F834" s="83"/>
    </row>
    <row r="835" spans="2:6" ht="15" thickBot="1" x14ac:dyDescent="0.4">
      <c r="B835" s="71"/>
      <c r="C835" s="34"/>
      <c r="D835" s="34"/>
      <c r="E835" s="34"/>
      <c r="F835" s="83"/>
    </row>
    <row r="836" spans="2:6" ht="15" thickBot="1" x14ac:dyDescent="0.4">
      <c r="B836" s="71"/>
      <c r="C836" s="34"/>
      <c r="D836" s="34"/>
      <c r="E836" s="34"/>
      <c r="F836" s="83"/>
    </row>
    <row r="837" spans="2:6" ht="15" thickBot="1" x14ac:dyDescent="0.4">
      <c r="B837" s="71"/>
      <c r="C837" s="34"/>
      <c r="D837" s="34"/>
      <c r="E837" s="34"/>
      <c r="F837" s="83"/>
    </row>
    <row r="838" spans="2:6" ht="15" thickBot="1" x14ac:dyDescent="0.4">
      <c r="B838" s="71"/>
      <c r="C838" s="34"/>
      <c r="D838" s="34"/>
      <c r="E838" s="34"/>
      <c r="F838" s="83"/>
    </row>
    <row r="839" spans="2:6" ht="15" thickBot="1" x14ac:dyDescent="0.4">
      <c r="B839" s="71"/>
      <c r="C839" s="34"/>
      <c r="D839" s="34"/>
      <c r="E839" s="34"/>
      <c r="F839" s="83"/>
    </row>
    <row r="840" spans="2:6" ht="15" thickBot="1" x14ac:dyDescent="0.4">
      <c r="B840" s="71"/>
      <c r="C840" s="34"/>
      <c r="D840" s="34"/>
      <c r="E840" s="34"/>
      <c r="F840" s="83"/>
    </row>
    <row r="841" spans="2:6" ht="15" thickBot="1" x14ac:dyDescent="0.4">
      <c r="B841" s="71"/>
      <c r="C841" s="34"/>
      <c r="D841" s="34"/>
      <c r="E841" s="34"/>
      <c r="F841" s="83"/>
    </row>
    <row r="842" spans="2:6" ht="15" thickBot="1" x14ac:dyDescent="0.4">
      <c r="B842" s="71"/>
      <c r="C842" s="34"/>
      <c r="D842" s="34"/>
      <c r="E842" s="34"/>
      <c r="F842" s="83"/>
    </row>
    <row r="843" spans="2:6" ht="15" thickBot="1" x14ac:dyDescent="0.4">
      <c r="B843" s="71"/>
      <c r="C843" s="34"/>
      <c r="D843" s="34"/>
      <c r="E843" s="34"/>
      <c r="F843" s="83"/>
    </row>
    <row r="844" spans="2:6" ht="15" thickBot="1" x14ac:dyDescent="0.4">
      <c r="B844" s="71"/>
      <c r="C844" s="34"/>
      <c r="D844" s="34"/>
      <c r="E844" s="34"/>
      <c r="F844" s="83"/>
    </row>
    <row r="845" spans="2:6" ht="15" thickBot="1" x14ac:dyDescent="0.4">
      <c r="B845" s="71"/>
      <c r="C845" s="34"/>
      <c r="D845" s="34"/>
      <c r="E845" s="34"/>
      <c r="F845" s="83"/>
    </row>
    <row r="846" spans="2:6" ht="15" thickBot="1" x14ac:dyDescent="0.4">
      <c r="B846" s="71"/>
      <c r="C846" s="34"/>
      <c r="D846" s="34"/>
      <c r="E846" s="34"/>
      <c r="F846" s="83"/>
    </row>
    <row r="847" spans="2:6" ht="15" thickBot="1" x14ac:dyDescent="0.4">
      <c r="B847" s="71"/>
      <c r="C847" s="34"/>
      <c r="D847" s="34"/>
      <c r="E847" s="34"/>
      <c r="F847" s="83"/>
    </row>
    <row r="848" spans="2:6" ht="15" thickBot="1" x14ac:dyDescent="0.4">
      <c r="B848" s="71"/>
      <c r="C848" s="34"/>
      <c r="D848" s="34"/>
      <c r="E848" s="34"/>
      <c r="F848" s="83"/>
    </row>
    <row r="849" spans="2:6" ht="15" thickBot="1" x14ac:dyDescent="0.4">
      <c r="B849" s="71"/>
      <c r="C849" s="34"/>
      <c r="D849" s="34"/>
      <c r="E849" s="34"/>
      <c r="F849" s="83"/>
    </row>
    <row r="850" spans="2:6" ht="15" thickBot="1" x14ac:dyDescent="0.4">
      <c r="B850" s="71"/>
      <c r="C850" s="34"/>
      <c r="D850" s="34"/>
      <c r="E850" s="34"/>
      <c r="F850" s="83"/>
    </row>
    <row r="851" spans="2:6" ht="15" thickBot="1" x14ac:dyDescent="0.4">
      <c r="B851" s="71"/>
      <c r="C851" s="34"/>
      <c r="D851" s="34"/>
      <c r="E851" s="34"/>
      <c r="F851" s="83"/>
    </row>
    <row r="852" spans="2:6" ht="15" thickBot="1" x14ac:dyDescent="0.4">
      <c r="B852" s="71"/>
      <c r="C852" s="34"/>
      <c r="D852" s="34"/>
      <c r="E852" s="34"/>
      <c r="F852" s="83"/>
    </row>
    <row r="853" spans="2:6" ht="15" thickBot="1" x14ac:dyDescent="0.4">
      <c r="B853" s="71"/>
      <c r="C853" s="34"/>
      <c r="D853" s="34"/>
      <c r="E853" s="34"/>
      <c r="F853" s="83"/>
    </row>
    <row r="854" spans="2:6" ht="15" thickBot="1" x14ac:dyDescent="0.4">
      <c r="B854" s="71"/>
      <c r="C854" s="34"/>
      <c r="D854" s="34"/>
      <c r="E854" s="34"/>
      <c r="F854" s="83"/>
    </row>
    <row r="855" spans="2:6" ht="15" thickBot="1" x14ac:dyDescent="0.4">
      <c r="B855" s="71"/>
      <c r="C855" s="34"/>
      <c r="D855" s="34"/>
      <c r="E855" s="34"/>
      <c r="F855" s="83"/>
    </row>
    <row r="856" spans="2:6" ht="15" thickBot="1" x14ac:dyDescent="0.4">
      <c r="B856" s="71"/>
      <c r="C856" s="34"/>
      <c r="D856" s="34"/>
      <c r="E856" s="34"/>
      <c r="F856" s="83"/>
    </row>
    <row r="857" spans="2:6" ht="15" thickBot="1" x14ac:dyDescent="0.4">
      <c r="B857" s="71"/>
      <c r="C857" s="34"/>
      <c r="D857" s="34"/>
      <c r="E857" s="34"/>
      <c r="F857" s="83"/>
    </row>
    <row r="858" spans="2:6" ht="15" thickBot="1" x14ac:dyDescent="0.4">
      <c r="B858" s="71"/>
      <c r="C858" s="34"/>
      <c r="D858" s="34"/>
      <c r="E858" s="34"/>
      <c r="F858" s="83"/>
    </row>
    <row r="859" spans="2:6" ht="15" thickBot="1" x14ac:dyDescent="0.4">
      <c r="B859" s="71"/>
      <c r="C859" s="34"/>
      <c r="D859" s="34"/>
      <c r="E859" s="34"/>
      <c r="F859" s="83"/>
    </row>
    <row r="860" spans="2:6" ht="15" thickBot="1" x14ac:dyDescent="0.4">
      <c r="B860" s="71"/>
      <c r="C860" s="34"/>
      <c r="D860" s="34"/>
      <c r="E860" s="34"/>
      <c r="F860" s="83"/>
    </row>
    <row r="861" spans="2:6" ht="15" thickBot="1" x14ac:dyDescent="0.4">
      <c r="B861" s="71"/>
      <c r="C861" s="34"/>
      <c r="D861" s="34"/>
      <c r="E861" s="34"/>
      <c r="F861" s="83"/>
    </row>
    <row r="862" spans="2:6" ht="15" thickBot="1" x14ac:dyDescent="0.4">
      <c r="B862" s="71"/>
      <c r="C862" s="34"/>
      <c r="D862" s="34"/>
      <c r="E862" s="34"/>
      <c r="F862" s="83"/>
    </row>
    <row r="863" spans="2:6" ht="15" thickBot="1" x14ac:dyDescent="0.4">
      <c r="B863" s="71"/>
      <c r="C863" s="34"/>
      <c r="D863" s="34"/>
      <c r="E863" s="34"/>
      <c r="F863" s="83"/>
    </row>
    <row r="864" spans="2:6" ht="15" thickBot="1" x14ac:dyDescent="0.4">
      <c r="B864" s="71"/>
      <c r="C864" s="34"/>
      <c r="D864" s="34"/>
      <c r="E864" s="34"/>
      <c r="F864" s="83"/>
    </row>
    <row r="865" spans="2:6" ht="15" thickBot="1" x14ac:dyDescent="0.4">
      <c r="B865" s="71"/>
      <c r="C865" s="34"/>
      <c r="D865" s="34"/>
      <c r="E865" s="34"/>
      <c r="F865" s="83"/>
    </row>
    <row r="866" spans="2:6" ht="15" thickBot="1" x14ac:dyDescent="0.4">
      <c r="B866" s="71"/>
      <c r="C866" s="34"/>
      <c r="D866" s="34"/>
      <c r="E866" s="34"/>
      <c r="F866" s="83"/>
    </row>
    <row r="867" spans="2:6" ht="15" thickBot="1" x14ac:dyDescent="0.4">
      <c r="B867" s="71"/>
      <c r="C867" s="34"/>
      <c r="D867" s="34"/>
      <c r="E867" s="34"/>
      <c r="F867" s="83"/>
    </row>
    <row r="868" spans="2:6" ht="15" thickBot="1" x14ac:dyDescent="0.4">
      <c r="B868" s="71"/>
      <c r="C868" s="34"/>
      <c r="D868" s="34"/>
      <c r="E868" s="34"/>
      <c r="F868" s="83"/>
    </row>
    <row r="869" spans="2:6" ht="15" thickBot="1" x14ac:dyDescent="0.4">
      <c r="B869" s="71"/>
      <c r="C869" s="34"/>
      <c r="D869" s="34"/>
      <c r="E869" s="34"/>
      <c r="F869" s="83"/>
    </row>
    <row r="870" spans="2:6" ht="15" thickBot="1" x14ac:dyDescent="0.4">
      <c r="B870" s="71"/>
      <c r="C870" s="34"/>
      <c r="D870" s="34"/>
      <c r="E870" s="34"/>
      <c r="F870" s="83"/>
    </row>
    <row r="871" spans="2:6" ht="15" thickBot="1" x14ac:dyDescent="0.4">
      <c r="B871" s="71"/>
      <c r="C871" s="34"/>
      <c r="D871" s="34"/>
      <c r="E871" s="34"/>
      <c r="F871" s="83"/>
    </row>
    <row r="872" spans="2:6" ht="15" thickBot="1" x14ac:dyDescent="0.4">
      <c r="B872" s="71"/>
      <c r="C872" s="34"/>
      <c r="D872" s="34"/>
      <c r="E872" s="34"/>
      <c r="F872" s="83"/>
    </row>
    <row r="873" spans="2:6" ht="15" thickBot="1" x14ac:dyDescent="0.4">
      <c r="B873" s="71"/>
      <c r="C873" s="34"/>
      <c r="D873" s="34"/>
      <c r="E873" s="34"/>
      <c r="F873" s="83"/>
    </row>
    <row r="874" spans="2:6" ht="15" thickBot="1" x14ac:dyDescent="0.4">
      <c r="B874" s="71"/>
      <c r="C874" s="34"/>
      <c r="D874" s="34"/>
      <c r="E874" s="34"/>
      <c r="F874" s="83"/>
    </row>
    <row r="875" spans="2:6" ht="15" thickBot="1" x14ac:dyDescent="0.4">
      <c r="B875" s="71"/>
      <c r="C875" s="34"/>
      <c r="D875" s="34"/>
      <c r="E875" s="34"/>
      <c r="F875" s="83"/>
    </row>
    <row r="876" spans="2:6" ht="15" thickBot="1" x14ac:dyDescent="0.4">
      <c r="B876" s="71"/>
      <c r="C876" s="34"/>
      <c r="D876" s="34"/>
      <c r="E876" s="34"/>
      <c r="F876" s="83"/>
    </row>
    <row r="877" spans="2:6" ht="15" thickBot="1" x14ac:dyDescent="0.4">
      <c r="B877" s="71"/>
      <c r="C877" s="34"/>
      <c r="D877" s="34"/>
      <c r="E877" s="34"/>
      <c r="F877" s="83"/>
    </row>
    <row r="878" spans="2:6" ht="15" thickBot="1" x14ac:dyDescent="0.4">
      <c r="B878" s="71"/>
      <c r="C878" s="34"/>
      <c r="D878" s="34"/>
      <c r="E878" s="34"/>
      <c r="F878" s="83"/>
    </row>
    <row r="879" spans="2:6" ht="15" thickBot="1" x14ac:dyDescent="0.4">
      <c r="B879" s="71"/>
      <c r="C879" s="34"/>
      <c r="D879" s="34"/>
      <c r="E879" s="34"/>
      <c r="F879" s="83"/>
    </row>
    <row r="880" spans="2:6" ht="15" thickBot="1" x14ac:dyDescent="0.4">
      <c r="B880" s="71"/>
      <c r="C880" s="34"/>
      <c r="D880" s="34"/>
      <c r="E880" s="34"/>
      <c r="F880" s="83"/>
    </row>
    <row r="881" spans="2:6" ht="15" thickBot="1" x14ac:dyDescent="0.4">
      <c r="B881" s="71"/>
      <c r="C881" s="34"/>
      <c r="D881" s="34"/>
      <c r="E881" s="34"/>
      <c r="F881" s="83"/>
    </row>
    <row r="882" spans="2:6" ht="15" thickBot="1" x14ac:dyDescent="0.4">
      <c r="B882" s="71"/>
      <c r="C882" s="34"/>
      <c r="D882" s="34"/>
      <c r="E882" s="34"/>
      <c r="F882" s="83"/>
    </row>
    <row r="883" spans="2:6" ht="15" thickBot="1" x14ac:dyDescent="0.4">
      <c r="B883" s="71"/>
      <c r="C883" s="34"/>
      <c r="D883" s="34"/>
      <c r="E883" s="34"/>
      <c r="F883" s="83"/>
    </row>
    <row r="884" spans="2:6" ht="15" thickBot="1" x14ac:dyDescent="0.4">
      <c r="B884" s="71"/>
      <c r="C884" s="34"/>
      <c r="D884" s="34"/>
      <c r="E884" s="34"/>
      <c r="F884" s="83"/>
    </row>
    <row r="885" spans="2:6" ht="15" thickBot="1" x14ac:dyDescent="0.4">
      <c r="B885" s="71"/>
      <c r="C885" s="34"/>
      <c r="D885" s="34"/>
      <c r="E885" s="34"/>
      <c r="F885" s="83"/>
    </row>
    <row r="886" spans="2:6" ht="15" thickBot="1" x14ac:dyDescent="0.4">
      <c r="B886" s="71"/>
      <c r="C886" s="34"/>
      <c r="D886" s="34"/>
      <c r="E886" s="34"/>
      <c r="F886" s="83"/>
    </row>
    <row r="887" spans="2:6" ht="15" thickBot="1" x14ac:dyDescent="0.4">
      <c r="B887" s="71"/>
      <c r="C887" s="34"/>
      <c r="D887" s="34"/>
      <c r="E887" s="34"/>
      <c r="F887" s="83"/>
    </row>
    <row r="888" spans="2:6" ht="15" thickBot="1" x14ac:dyDescent="0.4">
      <c r="B888" s="71"/>
      <c r="C888" s="34"/>
      <c r="D888" s="34"/>
      <c r="E888" s="34"/>
      <c r="F888" s="83"/>
    </row>
    <row r="889" spans="2:6" ht="15" thickBot="1" x14ac:dyDescent="0.4">
      <c r="B889" s="71"/>
      <c r="C889" s="34"/>
      <c r="D889" s="34"/>
      <c r="E889" s="34"/>
      <c r="F889" s="83"/>
    </row>
    <row r="890" spans="2:6" ht="15" thickBot="1" x14ac:dyDescent="0.4">
      <c r="B890" s="71"/>
      <c r="C890" s="34"/>
      <c r="D890" s="34"/>
      <c r="E890" s="34"/>
      <c r="F890" s="83"/>
    </row>
    <row r="891" spans="2:6" ht="15" thickBot="1" x14ac:dyDescent="0.4">
      <c r="B891" s="71"/>
      <c r="C891" s="34"/>
      <c r="D891" s="34"/>
      <c r="E891" s="34"/>
      <c r="F891" s="83"/>
    </row>
    <row r="892" spans="2:6" ht="15" thickBot="1" x14ac:dyDescent="0.4">
      <c r="B892" s="71"/>
      <c r="C892" s="34"/>
      <c r="D892" s="34"/>
      <c r="E892" s="34"/>
      <c r="F892" s="83"/>
    </row>
    <row r="893" spans="2:6" ht="15" thickBot="1" x14ac:dyDescent="0.4">
      <c r="B893" s="71"/>
      <c r="C893" s="34"/>
      <c r="D893" s="34"/>
      <c r="E893" s="34"/>
      <c r="F893" s="83"/>
    </row>
    <row r="894" spans="2:6" ht="15" thickBot="1" x14ac:dyDescent="0.4">
      <c r="B894" s="71"/>
      <c r="C894" s="34"/>
      <c r="D894" s="34"/>
      <c r="E894" s="34"/>
      <c r="F894" s="83"/>
    </row>
    <row r="895" spans="2:6" ht="15" thickBot="1" x14ac:dyDescent="0.4">
      <c r="B895" s="71"/>
      <c r="C895" s="34"/>
      <c r="D895" s="34"/>
      <c r="E895" s="34"/>
      <c r="F895" s="83"/>
    </row>
    <row r="896" spans="2:6" ht="15" thickBot="1" x14ac:dyDescent="0.4">
      <c r="B896" s="71"/>
      <c r="C896" s="34"/>
      <c r="D896" s="34"/>
      <c r="E896" s="34"/>
      <c r="F896" s="83"/>
    </row>
    <row r="897" spans="2:6" ht="15" thickBot="1" x14ac:dyDescent="0.4">
      <c r="B897" s="71"/>
      <c r="C897" s="34"/>
      <c r="D897" s="34"/>
      <c r="E897" s="34"/>
      <c r="F897" s="83"/>
    </row>
    <row r="898" spans="2:6" ht="15" thickBot="1" x14ac:dyDescent="0.4">
      <c r="B898" s="71"/>
      <c r="C898" s="34"/>
      <c r="D898" s="34"/>
      <c r="E898" s="34"/>
      <c r="F898" s="83"/>
    </row>
    <row r="899" spans="2:6" ht="15" thickBot="1" x14ac:dyDescent="0.4">
      <c r="B899" s="71"/>
      <c r="C899" s="34"/>
      <c r="D899" s="34"/>
      <c r="E899" s="34"/>
      <c r="F899" s="83"/>
    </row>
    <row r="900" spans="2:6" ht="15" thickBot="1" x14ac:dyDescent="0.4">
      <c r="B900" s="71"/>
      <c r="C900" s="34"/>
      <c r="D900" s="34"/>
      <c r="E900" s="34"/>
      <c r="F900" s="83"/>
    </row>
    <row r="901" spans="2:6" ht="15" thickBot="1" x14ac:dyDescent="0.4">
      <c r="B901" s="71"/>
      <c r="C901" s="34"/>
      <c r="D901" s="34"/>
      <c r="E901" s="34"/>
      <c r="F901" s="83"/>
    </row>
    <row r="902" spans="2:6" ht="15" thickBot="1" x14ac:dyDescent="0.4">
      <c r="B902" s="71"/>
      <c r="C902" s="34"/>
      <c r="D902" s="34"/>
      <c r="E902" s="34"/>
      <c r="F902" s="83"/>
    </row>
    <row r="903" spans="2:6" ht="15" thickBot="1" x14ac:dyDescent="0.4">
      <c r="B903" s="71"/>
      <c r="C903" s="34"/>
      <c r="D903" s="34"/>
      <c r="E903" s="34"/>
      <c r="F903" s="83"/>
    </row>
    <row r="904" spans="2:6" ht="15" thickBot="1" x14ac:dyDescent="0.4">
      <c r="B904" s="71"/>
      <c r="C904" s="34"/>
      <c r="D904" s="34"/>
      <c r="E904" s="34"/>
      <c r="F904" s="83"/>
    </row>
    <row r="905" spans="2:6" ht="15" thickBot="1" x14ac:dyDescent="0.4">
      <c r="B905" s="71"/>
      <c r="C905" s="34"/>
      <c r="D905" s="34"/>
      <c r="E905" s="34"/>
      <c r="F905" s="83"/>
    </row>
    <row r="906" spans="2:6" ht="15" thickBot="1" x14ac:dyDescent="0.4">
      <c r="B906" s="71"/>
      <c r="C906" s="34"/>
      <c r="D906" s="34"/>
      <c r="E906" s="34"/>
      <c r="F906" s="83"/>
    </row>
    <row r="907" spans="2:6" ht="15" thickBot="1" x14ac:dyDescent="0.4">
      <c r="B907" s="71"/>
      <c r="C907" s="34"/>
      <c r="D907" s="34"/>
      <c r="E907" s="34"/>
      <c r="F907" s="83"/>
    </row>
    <row r="908" spans="2:6" ht="15" thickBot="1" x14ac:dyDescent="0.4">
      <c r="B908" s="71"/>
      <c r="C908" s="34"/>
      <c r="D908" s="34"/>
      <c r="E908" s="34"/>
      <c r="F908" s="83"/>
    </row>
    <row r="909" spans="2:6" ht="15" thickBot="1" x14ac:dyDescent="0.4">
      <c r="B909" s="71"/>
      <c r="C909" s="34"/>
      <c r="D909" s="34"/>
      <c r="E909" s="34"/>
      <c r="F909" s="83"/>
    </row>
    <row r="910" spans="2:6" ht="15" thickBot="1" x14ac:dyDescent="0.4">
      <c r="B910" s="71"/>
      <c r="C910" s="34"/>
      <c r="D910" s="34"/>
      <c r="E910" s="34"/>
      <c r="F910" s="83"/>
    </row>
    <row r="911" spans="2:6" ht="15" thickBot="1" x14ac:dyDescent="0.4">
      <c r="B911" s="71"/>
      <c r="C911" s="34"/>
      <c r="D911" s="34"/>
      <c r="E911" s="34"/>
      <c r="F911" s="83"/>
    </row>
    <row r="912" spans="2:6" ht="15" thickBot="1" x14ac:dyDescent="0.4">
      <c r="B912" s="71"/>
      <c r="C912" s="34"/>
      <c r="D912" s="34"/>
      <c r="E912" s="34"/>
      <c r="F912" s="83"/>
    </row>
    <row r="913" spans="2:6" ht="15" thickBot="1" x14ac:dyDescent="0.4">
      <c r="B913" s="71"/>
      <c r="C913" s="34"/>
      <c r="D913" s="34"/>
      <c r="E913" s="34"/>
      <c r="F913" s="83"/>
    </row>
    <row r="914" spans="2:6" ht="15" thickBot="1" x14ac:dyDescent="0.4">
      <c r="B914" s="71"/>
      <c r="C914" s="34"/>
      <c r="D914" s="34"/>
      <c r="E914" s="34"/>
      <c r="F914" s="83"/>
    </row>
    <row r="915" spans="2:6" ht="15" thickBot="1" x14ac:dyDescent="0.4">
      <c r="B915" s="71"/>
      <c r="C915" s="34"/>
      <c r="D915" s="34"/>
      <c r="E915" s="34"/>
      <c r="F915" s="83"/>
    </row>
    <row r="916" spans="2:6" ht="15" thickBot="1" x14ac:dyDescent="0.4">
      <c r="B916" s="71"/>
      <c r="C916" s="34"/>
      <c r="D916" s="34"/>
      <c r="E916" s="34"/>
      <c r="F916" s="83"/>
    </row>
    <row r="917" spans="2:6" ht="15" thickBot="1" x14ac:dyDescent="0.4">
      <c r="B917" s="71"/>
      <c r="C917" s="34"/>
      <c r="D917" s="34"/>
      <c r="E917" s="34"/>
      <c r="F917" s="83"/>
    </row>
    <row r="918" spans="2:6" ht="15" thickBot="1" x14ac:dyDescent="0.4">
      <c r="B918" s="71"/>
      <c r="C918" s="34"/>
      <c r="D918" s="34"/>
      <c r="E918" s="34"/>
      <c r="F918" s="83"/>
    </row>
    <row r="919" spans="2:6" ht="15" thickBot="1" x14ac:dyDescent="0.4">
      <c r="B919" s="71"/>
      <c r="C919" s="34"/>
      <c r="D919" s="34"/>
      <c r="E919" s="34"/>
      <c r="F919" s="83"/>
    </row>
    <row r="920" spans="2:6" ht="15" thickBot="1" x14ac:dyDescent="0.4">
      <c r="B920" s="71"/>
      <c r="C920" s="34"/>
      <c r="D920" s="34"/>
      <c r="E920" s="34"/>
      <c r="F920" s="83"/>
    </row>
    <row r="921" spans="2:6" ht="15" thickBot="1" x14ac:dyDescent="0.4">
      <c r="B921" s="71"/>
      <c r="C921" s="34"/>
      <c r="D921" s="34"/>
      <c r="E921" s="34"/>
      <c r="F921" s="83"/>
    </row>
    <row r="922" spans="2:6" ht="15" thickBot="1" x14ac:dyDescent="0.4">
      <c r="B922" s="71"/>
      <c r="C922" s="34"/>
      <c r="D922" s="34"/>
      <c r="E922" s="34"/>
      <c r="F922" s="83"/>
    </row>
    <row r="923" spans="2:6" ht="15" thickBot="1" x14ac:dyDescent="0.4">
      <c r="B923" s="71"/>
      <c r="C923" s="34"/>
      <c r="D923" s="34"/>
      <c r="E923" s="34"/>
      <c r="F923" s="83"/>
    </row>
    <row r="924" spans="2:6" ht="15" thickBot="1" x14ac:dyDescent="0.4">
      <c r="B924" s="71"/>
      <c r="C924" s="34"/>
      <c r="D924" s="34"/>
      <c r="E924" s="34"/>
      <c r="F924" s="83"/>
    </row>
    <row r="925" spans="2:6" ht="15" thickBot="1" x14ac:dyDescent="0.4">
      <c r="B925" s="71"/>
      <c r="C925" s="34"/>
      <c r="D925" s="34"/>
      <c r="E925" s="34"/>
      <c r="F925" s="83"/>
    </row>
    <row r="926" spans="2:6" ht="15" thickBot="1" x14ac:dyDescent="0.4">
      <c r="B926" s="71"/>
      <c r="C926" s="34"/>
      <c r="D926" s="34"/>
      <c r="E926" s="34"/>
      <c r="F926" s="83"/>
    </row>
    <row r="927" spans="2:6" ht="15" thickBot="1" x14ac:dyDescent="0.4">
      <c r="B927" s="71"/>
      <c r="C927" s="34"/>
      <c r="D927" s="34"/>
      <c r="E927" s="34"/>
      <c r="F927" s="83"/>
    </row>
    <row r="928" spans="2:6" ht="15" thickBot="1" x14ac:dyDescent="0.4">
      <c r="B928" s="71"/>
      <c r="C928" s="34"/>
      <c r="D928" s="34"/>
      <c r="E928" s="34"/>
      <c r="F928" s="83"/>
    </row>
    <row r="929" spans="2:6" ht="15" thickBot="1" x14ac:dyDescent="0.4">
      <c r="B929" s="71"/>
      <c r="C929" s="34"/>
      <c r="D929" s="34"/>
      <c r="E929" s="34"/>
      <c r="F929" s="83"/>
    </row>
    <row r="930" spans="2:6" ht="15" thickBot="1" x14ac:dyDescent="0.4">
      <c r="B930" s="71"/>
      <c r="C930" s="34"/>
      <c r="D930" s="34"/>
      <c r="E930" s="34"/>
      <c r="F930" s="83"/>
    </row>
    <row r="931" spans="2:6" ht="15" thickBot="1" x14ac:dyDescent="0.4">
      <c r="B931" s="71"/>
      <c r="C931" s="34"/>
      <c r="D931" s="34"/>
      <c r="E931" s="34"/>
      <c r="F931" s="83"/>
    </row>
    <row r="932" spans="2:6" ht="15" thickBot="1" x14ac:dyDescent="0.4">
      <c r="B932" s="71"/>
      <c r="C932" s="34"/>
      <c r="D932" s="34"/>
      <c r="E932" s="34"/>
      <c r="F932" s="83"/>
    </row>
    <row r="933" spans="2:6" ht="15" thickBot="1" x14ac:dyDescent="0.4">
      <c r="B933" s="71"/>
      <c r="C933" s="34"/>
      <c r="D933" s="34"/>
      <c r="E933" s="34"/>
      <c r="F933" s="83"/>
    </row>
    <row r="934" spans="2:6" ht="15" thickBot="1" x14ac:dyDescent="0.4">
      <c r="B934" s="71"/>
      <c r="C934" s="34"/>
      <c r="D934" s="34"/>
      <c r="E934" s="34"/>
      <c r="F934" s="83"/>
    </row>
    <row r="935" spans="2:6" ht="15" thickBot="1" x14ac:dyDescent="0.4">
      <c r="B935" s="71"/>
      <c r="C935" s="34"/>
      <c r="D935" s="34"/>
      <c r="E935" s="34"/>
      <c r="F935" s="83"/>
    </row>
    <row r="936" spans="2:6" ht="15" thickBot="1" x14ac:dyDescent="0.4">
      <c r="B936" s="71"/>
      <c r="C936" s="34"/>
      <c r="D936" s="34"/>
      <c r="E936" s="34"/>
      <c r="F936" s="83"/>
    </row>
    <row r="937" spans="2:6" ht="15" thickBot="1" x14ac:dyDescent="0.4">
      <c r="B937" s="71"/>
      <c r="C937" s="34"/>
      <c r="D937" s="34"/>
      <c r="E937" s="34"/>
      <c r="F937" s="83"/>
    </row>
    <row r="938" spans="2:6" ht="15" thickBot="1" x14ac:dyDescent="0.4">
      <c r="B938" s="71"/>
      <c r="C938" s="34"/>
      <c r="D938" s="34"/>
      <c r="E938" s="34"/>
      <c r="F938" s="83"/>
    </row>
    <row r="939" spans="2:6" ht="15" thickBot="1" x14ac:dyDescent="0.4">
      <c r="B939" s="71"/>
      <c r="C939" s="34"/>
      <c r="D939" s="34"/>
      <c r="E939" s="34"/>
      <c r="F939" s="83"/>
    </row>
    <row r="940" spans="2:6" ht="15" thickBot="1" x14ac:dyDescent="0.4">
      <c r="B940" s="71"/>
      <c r="C940" s="34"/>
      <c r="D940" s="34"/>
      <c r="E940" s="34"/>
      <c r="F940" s="83"/>
    </row>
    <row r="941" spans="2:6" ht="15" thickBot="1" x14ac:dyDescent="0.4">
      <c r="B941" s="71"/>
      <c r="C941" s="34"/>
      <c r="D941" s="34"/>
      <c r="E941" s="34"/>
      <c r="F941" s="83"/>
    </row>
    <row r="942" spans="2:6" ht="15" thickBot="1" x14ac:dyDescent="0.4">
      <c r="B942" s="71"/>
      <c r="C942" s="34"/>
      <c r="D942" s="34"/>
      <c r="E942" s="34"/>
      <c r="F942" s="83"/>
    </row>
    <row r="943" spans="2:6" ht="15" thickBot="1" x14ac:dyDescent="0.4">
      <c r="B943" s="71"/>
      <c r="C943" s="34"/>
      <c r="D943" s="34"/>
      <c r="E943" s="34"/>
      <c r="F943" s="83"/>
    </row>
    <row r="944" spans="2:6" ht="15" thickBot="1" x14ac:dyDescent="0.4">
      <c r="B944" s="71"/>
      <c r="C944" s="34"/>
      <c r="D944" s="34"/>
      <c r="E944" s="34"/>
      <c r="F944" s="83"/>
    </row>
    <row r="945" spans="2:6" ht="15" thickBot="1" x14ac:dyDescent="0.4">
      <c r="B945" s="71"/>
      <c r="C945" s="34"/>
      <c r="D945" s="34"/>
      <c r="E945" s="34"/>
      <c r="F945" s="83"/>
    </row>
    <row r="946" spans="2:6" ht="15" thickBot="1" x14ac:dyDescent="0.4">
      <c r="B946" s="71"/>
      <c r="C946" s="34"/>
      <c r="D946" s="34"/>
      <c r="E946" s="34"/>
      <c r="F946" s="83"/>
    </row>
    <row r="947" spans="2:6" ht="15" thickBot="1" x14ac:dyDescent="0.4">
      <c r="B947" s="71"/>
      <c r="C947" s="34"/>
      <c r="D947" s="34"/>
      <c r="E947" s="34"/>
      <c r="F947" s="83"/>
    </row>
    <row r="948" spans="2:6" ht="15" thickBot="1" x14ac:dyDescent="0.4">
      <c r="B948" s="71"/>
      <c r="C948" s="34"/>
      <c r="D948" s="34"/>
      <c r="E948" s="34"/>
      <c r="F948" s="83"/>
    </row>
    <row r="949" spans="2:6" ht="15" thickBot="1" x14ac:dyDescent="0.4">
      <c r="B949" s="71"/>
      <c r="C949" s="34"/>
      <c r="D949" s="34"/>
      <c r="E949" s="34"/>
      <c r="F949" s="83"/>
    </row>
    <row r="950" spans="2:6" ht="15" thickBot="1" x14ac:dyDescent="0.4">
      <c r="B950" s="71"/>
      <c r="C950" s="34"/>
      <c r="D950" s="34"/>
      <c r="E950" s="34"/>
      <c r="F950" s="83"/>
    </row>
    <row r="951" spans="2:6" ht="15" thickBot="1" x14ac:dyDescent="0.4">
      <c r="B951" s="71"/>
      <c r="C951" s="34"/>
      <c r="D951" s="34"/>
      <c r="E951" s="34"/>
      <c r="F951" s="83"/>
    </row>
    <row r="952" spans="2:6" ht="15" thickBot="1" x14ac:dyDescent="0.4">
      <c r="B952" s="71"/>
      <c r="C952" s="34"/>
      <c r="D952" s="34"/>
      <c r="E952" s="34"/>
      <c r="F952" s="83"/>
    </row>
    <row r="953" spans="2:6" ht="15" thickBot="1" x14ac:dyDescent="0.4">
      <c r="B953" s="71"/>
      <c r="C953" s="34"/>
      <c r="D953" s="34"/>
      <c r="E953" s="34"/>
      <c r="F953" s="83"/>
    </row>
    <row r="954" spans="2:6" ht="15" thickBot="1" x14ac:dyDescent="0.4">
      <c r="B954" s="71"/>
      <c r="C954" s="34"/>
      <c r="D954" s="34"/>
      <c r="E954" s="34"/>
      <c r="F954" s="83"/>
    </row>
    <row r="955" spans="2:6" ht="15" thickBot="1" x14ac:dyDescent="0.4">
      <c r="B955" s="71"/>
      <c r="C955" s="34"/>
      <c r="D955" s="34"/>
      <c r="E955" s="34"/>
      <c r="F955" s="83"/>
    </row>
    <row r="956" spans="2:6" ht="15" thickBot="1" x14ac:dyDescent="0.4">
      <c r="B956" s="71"/>
      <c r="C956" s="34"/>
      <c r="D956" s="34"/>
      <c r="E956" s="34"/>
      <c r="F956" s="83"/>
    </row>
    <row r="957" spans="2:6" ht="15" thickBot="1" x14ac:dyDescent="0.4">
      <c r="B957" s="71"/>
      <c r="C957" s="34"/>
      <c r="D957" s="34"/>
      <c r="E957" s="34"/>
      <c r="F957" s="83"/>
    </row>
    <row r="958" spans="2:6" ht="15" thickBot="1" x14ac:dyDescent="0.4">
      <c r="B958" s="71"/>
      <c r="C958" s="34"/>
      <c r="D958" s="34"/>
      <c r="E958" s="34"/>
      <c r="F958" s="83"/>
    </row>
    <row r="959" spans="2:6" ht="15" thickBot="1" x14ac:dyDescent="0.4">
      <c r="B959" s="71"/>
      <c r="C959" s="34"/>
      <c r="D959" s="34"/>
      <c r="E959" s="34"/>
      <c r="F959" s="83"/>
    </row>
    <row r="960" spans="2:6" ht="15" thickBot="1" x14ac:dyDescent="0.4">
      <c r="B960" s="71"/>
      <c r="C960" s="34"/>
      <c r="D960" s="34"/>
      <c r="E960" s="34"/>
      <c r="F960" s="83"/>
    </row>
    <row r="961" spans="2:6" ht="15" thickBot="1" x14ac:dyDescent="0.4">
      <c r="B961" s="71"/>
      <c r="C961" s="34"/>
      <c r="D961" s="34"/>
      <c r="E961" s="34"/>
      <c r="F961" s="83"/>
    </row>
    <row r="962" spans="2:6" ht="15" thickBot="1" x14ac:dyDescent="0.4">
      <c r="B962" s="71"/>
      <c r="C962" s="34"/>
      <c r="D962" s="34"/>
      <c r="E962" s="34"/>
      <c r="F962" s="83"/>
    </row>
    <row r="963" spans="2:6" ht="15" thickBot="1" x14ac:dyDescent="0.4">
      <c r="B963" s="71"/>
      <c r="C963" s="34"/>
      <c r="D963" s="34"/>
      <c r="E963" s="34"/>
      <c r="F963" s="83"/>
    </row>
    <row r="964" spans="2:6" ht="15" thickBot="1" x14ac:dyDescent="0.4">
      <c r="B964" s="71"/>
      <c r="C964" s="34"/>
      <c r="D964" s="34"/>
      <c r="E964" s="34"/>
      <c r="F964" s="83"/>
    </row>
    <row r="965" spans="2:6" ht="15" thickBot="1" x14ac:dyDescent="0.4">
      <c r="B965" s="71"/>
      <c r="C965" s="34"/>
      <c r="D965" s="34"/>
      <c r="E965" s="34"/>
      <c r="F965" s="83"/>
    </row>
    <row r="966" spans="2:6" ht="15" thickBot="1" x14ac:dyDescent="0.4">
      <c r="B966" s="71"/>
      <c r="C966" s="34"/>
      <c r="D966" s="34"/>
      <c r="E966" s="34"/>
      <c r="F966" s="83"/>
    </row>
    <row r="967" spans="2:6" ht="15" thickBot="1" x14ac:dyDescent="0.4">
      <c r="B967" s="71"/>
      <c r="C967" s="34"/>
      <c r="D967" s="34"/>
      <c r="E967" s="34"/>
      <c r="F967" s="83"/>
    </row>
    <row r="968" spans="2:6" ht="15" thickBot="1" x14ac:dyDescent="0.4">
      <c r="B968" s="71"/>
      <c r="C968" s="34"/>
      <c r="D968" s="34"/>
      <c r="E968" s="34"/>
      <c r="F968" s="83"/>
    </row>
    <row r="969" spans="2:6" ht="15" thickBot="1" x14ac:dyDescent="0.4">
      <c r="B969" s="71"/>
      <c r="C969" s="34"/>
      <c r="D969" s="34"/>
      <c r="E969" s="34"/>
      <c r="F969" s="83"/>
    </row>
    <row r="970" spans="2:6" ht="15" thickBot="1" x14ac:dyDescent="0.4">
      <c r="B970" s="71"/>
      <c r="C970" s="34"/>
      <c r="D970" s="34"/>
      <c r="E970" s="34"/>
      <c r="F970" s="83"/>
    </row>
    <row r="971" spans="2:6" ht="15" thickBot="1" x14ac:dyDescent="0.4">
      <c r="B971" s="71"/>
      <c r="C971" s="34"/>
      <c r="D971" s="34"/>
      <c r="E971" s="34"/>
      <c r="F971" s="83"/>
    </row>
    <row r="972" spans="2:6" ht="15" thickBot="1" x14ac:dyDescent="0.4">
      <c r="B972" s="71"/>
      <c r="C972" s="34"/>
      <c r="D972" s="34"/>
      <c r="E972" s="34"/>
      <c r="F972" s="83"/>
    </row>
    <row r="973" spans="2:6" ht="15" thickBot="1" x14ac:dyDescent="0.4">
      <c r="B973" s="71"/>
      <c r="C973" s="34"/>
      <c r="D973" s="34"/>
      <c r="E973" s="34"/>
      <c r="F973" s="83"/>
    </row>
    <row r="974" spans="2:6" ht="15" thickBot="1" x14ac:dyDescent="0.4">
      <c r="B974" s="71"/>
      <c r="C974" s="34"/>
      <c r="D974" s="34"/>
      <c r="E974" s="34"/>
      <c r="F974" s="83"/>
    </row>
    <row r="975" spans="2:6" ht="15" thickBot="1" x14ac:dyDescent="0.4">
      <c r="B975" s="71"/>
      <c r="C975" s="34"/>
      <c r="D975" s="34"/>
      <c r="E975" s="34"/>
      <c r="F975" s="83"/>
    </row>
    <row r="976" spans="2:6" ht="15" thickBot="1" x14ac:dyDescent="0.4">
      <c r="B976" s="71"/>
      <c r="C976" s="34"/>
      <c r="D976" s="34"/>
      <c r="E976" s="34"/>
      <c r="F976" s="83"/>
    </row>
    <row r="977" spans="2:6" ht="15" thickBot="1" x14ac:dyDescent="0.4">
      <c r="B977" s="71"/>
      <c r="C977" s="34"/>
      <c r="D977" s="34"/>
      <c r="E977" s="34"/>
      <c r="F977" s="83"/>
    </row>
    <row r="978" spans="2:6" ht="15" thickBot="1" x14ac:dyDescent="0.4">
      <c r="B978" s="71"/>
      <c r="C978" s="34"/>
      <c r="D978" s="34"/>
      <c r="E978" s="34"/>
      <c r="F978" s="83"/>
    </row>
    <row r="979" spans="2:6" ht="15" thickBot="1" x14ac:dyDescent="0.4">
      <c r="B979" s="71"/>
      <c r="C979" s="34"/>
      <c r="D979" s="34"/>
      <c r="E979" s="34"/>
      <c r="F979" s="83"/>
    </row>
    <row r="980" spans="2:6" ht="15" thickBot="1" x14ac:dyDescent="0.4">
      <c r="B980" s="71"/>
      <c r="C980" s="34"/>
      <c r="D980" s="34"/>
      <c r="E980" s="34"/>
      <c r="F980" s="83"/>
    </row>
    <row r="981" spans="2:6" ht="15" thickBot="1" x14ac:dyDescent="0.4">
      <c r="B981" s="71"/>
      <c r="C981" s="34"/>
      <c r="D981" s="34"/>
      <c r="E981" s="34"/>
      <c r="F981" s="83"/>
    </row>
    <row r="982" spans="2:6" ht="15" thickBot="1" x14ac:dyDescent="0.4">
      <c r="B982" s="71"/>
      <c r="C982" s="34"/>
      <c r="D982" s="34"/>
      <c r="E982" s="34"/>
      <c r="F982" s="83"/>
    </row>
    <row r="983" spans="2:6" ht="15" thickBot="1" x14ac:dyDescent="0.4">
      <c r="B983" s="71"/>
      <c r="C983" s="34"/>
      <c r="D983" s="34"/>
      <c r="E983" s="34"/>
      <c r="F983" s="83"/>
    </row>
    <row r="984" spans="2:6" ht="15" thickBot="1" x14ac:dyDescent="0.4">
      <c r="B984" s="71"/>
      <c r="C984" s="34"/>
      <c r="D984" s="34"/>
      <c r="E984" s="34"/>
      <c r="F984" s="83"/>
    </row>
    <row r="985" spans="2:6" ht="15" thickBot="1" x14ac:dyDescent="0.4">
      <c r="B985" s="71"/>
      <c r="C985" s="34"/>
      <c r="D985" s="34"/>
      <c r="E985" s="34"/>
      <c r="F985" s="83"/>
    </row>
    <row r="986" spans="2:6" ht="15" thickBot="1" x14ac:dyDescent="0.4">
      <c r="B986" s="71"/>
      <c r="C986" s="34"/>
      <c r="D986" s="34"/>
      <c r="E986" s="34"/>
      <c r="F986" s="83"/>
    </row>
    <row r="987" spans="2:6" ht="15" thickBot="1" x14ac:dyDescent="0.4">
      <c r="B987" s="71"/>
      <c r="C987" s="34"/>
      <c r="D987" s="34"/>
      <c r="E987" s="34"/>
      <c r="F987" s="83"/>
    </row>
    <row r="988" spans="2:6" ht="15" thickBot="1" x14ac:dyDescent="0.4">
      <c r="B988" s="71"/>
      <c r="C988" s="34"/>
      <c r="D988" s="34"/>
      <c r="E988" s="34"/>
      <c r="F988" s="83"/>
    </row>
    <row r="989" spans="2:6" ht="15" thickBot="1" x14ac:dyDescent="0.4">
      <c r="B989" s="71"/>
      <c r="C989" s="34"/>
      <c r="D989" s="34"/>
      <c r="E989" s="34"/>
      <c r="F989" s="83"/>
    </row>
    <row r="990" spans="2:6" ht="15" thickBot="1" x14ac:dyDescent="0.4">
      <c r="B990" s="71"/>
      <c r="C990" s="34"/>
      <c r="D990" s="34"/>
      <c r="E990" s="34"/>
      <c r="F990" s="83"/>
    </row>
    <row r="991" spans="2:6" ht="15" thickBot="1" x14ac:dyDescent="0.4">
      <c r="B991" s="71"/>
      <c r="C991" s="34"/>
      <c r="D991" s="34"/>
      <c r="E991" s="34"/>
      <c r="F991" s="83"/>
    </row>
    <row r="992" spans="2:6" ht="15" thickBot="1" x14ac:dyDescent="0.4">
      <c r="B992" s="71"/>
      <c r="C992" s="34"/>
      <c r="D992" s="34"/>
      <c r="E992" s="34"/>
      <c r="F992" s="83"/>
    </row>
    <row r="993" spans="2:6" ht="15" thickBot="1" x14ac:dyDescent="0.4">
      <c r="B993" s="71"/>
      <c r="C993" s="34"/>
      <c r="D993" s="34"/>
      <c r="E993" s="34"/>
      <c r="F993" s="83"/>
    </row>
    <row r="994" spans="2:6" ht="15" thickBot="1" x14ac:dyDescent="0.4">
      <c r="B994" s="71"/>
      <c r="C994" s="34"/>
      <c r="D994" s="34"/>
      <c r="E994" s="34"/>
      <c r="F994" s="83"/>
    </row>
    <row r="995" spans="2:6" ht="15" thickBot="1" x14ac:dyDescent="0.4">
      <c r="B995" s="71"/>
      <c r="C995" s="34"/>
      <c r="D995" s="34"/>
      <c r="E995" s="34"/>
      <c r="F995" s="83"/>
    </row>
    <row r="996" spans="2:6" ht="15" thickBot="1" x14ac:dyDescent="0.4">
      <c r="B996" s="71"/>
      <c r="C996" s="34"/>
      <c r="D996" s="34"/>
      <c r="E996" s="34"/>
      <c r="F996" s="83"/>
    </row>
    <row r="997" spans="2:6" ht="15" thickBot="1" x14ac:dyDescent="0.4">
      <c r="B997" s="71"/>
      <c r="C997" s="34"/>
      <c r="D997" s="34"/>
      <c r="E997" s="34"/>
      <c r="F997" s="83"/>
    </row>
    <row r="998" spans="2:6" ht="15" thickBot="1" x14ac:dyDescent="0.4">
      <c r="B998" s="71"/>
      <c r="C998" s="34"/>
      <c r="D998" s="34"/>
      <c r="E998" s="34"/>
      <c r="F998" s="83"/>
    </row>
    <row r="999" spans="2:6" ht="15" thickBot="1" x14ac:dyDescent="0.4">
      <c r="B999" s="71"/>
      <c r="C999" s="34"/>
      <c r="D999" s="34"/>
      <c r="E999" s="34"/>
      <c r="F999" s="83"/>
    </row>
    <row r="1000" spans="2:6" ht="15" thickBot="1" x14ac:dyDescent="0.4">
      <c r="B1000" s="71"/>
      <c r="C1000" s="34"/>
      <c r="D1000" s="34"/>
      <c r="E1000" s="34"/>
      <c r="F1000" s="83"/>
    </row>
  </sheetData>
  <mergeCells count="8">
    <mergeCell ref="B5:E5"/>
    <mergeCell ref="B3:H3"/>
    <mergeCell ref="B4:H4"/>
    <mergeCell ref="N1:O1"/>
    <mergeCell ref="P1:Q1"/>
    <mergeCell ref="N2:O2"/>
    <mergeCell ref="P2:Q2"/>
    <mergeCell ref="B2:H2"/>
  </mergeCells>
  <phoneticPr fontId="16" type="noConversion"/>
  <conditionalFormatting sqref="B7:D1000 F7:F1000">
    <cfRule type="expression" dxfId="28" priority="9">
      <formula>IF($AE7=1,1,0)</formula>
    </cfRule>
  </conditionalFormatting>
  <conditionalFormatting sqref="D7:F1000">
    <cfRule type="expression" dxfId="27" priority="1">
      <formula>SEARCH("Renewable electricity generation site", $C7)</formula>
    </cfRule>
  </conditionalFormatting>
  <conditionalFormatting sqref="E7:E999">
    <cfRule type="expression" dxfId="26" priority="56">
      <formula>IF($AE8=1,1,0)</formula>
    </cfRule>
  </conditionalFormatting>
  <conditionalFormatting sqref="E1000">
    <cfRule type="expression" dxfId="25" priority="61">
      <formula>IF(#REF!=1,1,0)</formula>
    </cfRule>
  </conditionalFormatting>
  <conditionalFormatting sqref="F5">
    <cfRule type="cellIs" dxfId="24" priority="6" operator="equal">
      <formula>"No data entered"</formula>
    </cfRule>
    <cfRule type="cellIs" dxfId="23" priority="7" operator="equal">
      <formula>"No data missing"</formula>
    </cfRule>
    <cfRule type="cellIs" dxfId="22" priority="8" operator="equal">
      <formula>"Floor area missing"</formula>
    </cfRule>
  </conditionalFormatting>
  <dataValidations xWindow="1335" yWindow="725" count="9">
    <dataValidation type="list" allowBlank="1" showInputMessage="1" showErrorMessage="1" sqref="D7:D1000" xr:uid="{29F1E5A0-F912-414B-83F9-084AAC850523}">
      <formula1>Buildingcategory</formula1>
    </dataValidation>
    <dataValidation type="list" allowBlank="1" showInputMessage="1" showErrorMessage="1" sqref="C7:C1000" xr:uid="{BB5F0B9D-59C8-4607-AF46-E3999513B38D}">
      <formula1>Buildingsownership</formula1>
    </dataValidation>
    <dataValidation allowBlank="1" showInputMessage="1" showErrorMessage="1" promptTitle="Info" prompt="Please enter ownership structure, this determines where emissions are allocated with regards to scope. See guidance - Table 6 for details" sqref="C6" xr:uid="{3257FCE4-3410-41FE-B323-89FDD85E632D}"/>
    <dataValidation allowBlank="1" showInputMessage="1" showErrorMessage="1" promptTitle="Info" prompt="Please add the building name here." sqref="B6" xr:uid="{1AAECF4D-F9F7-4B54-9519-5F1A0928B221}"/>
    <dataValidation allowBlank="1" showInputMessage="1" showErrorMessage="1" promptTitle="Info" prompt="Please enter building category. " sqref="D6" xr:uid="{227BBAC0-5A74-4776-B3F3-AE0856731ED4}"/>
    <dataValidation allowBlank="1" showInputMessage="1" showErrorMessage="1" promptTitle="Info" prompt="Please enter building type." sqref="E6" xr:uid="{ED418A72-BEED-4E70-B4A1-6897E00BD207}"/>
    <dataValidation allowBlank="1" showInputMessage="1" showErrorMessage="1" promptTitle="Info" prompt="Please enter the floor area (m2) of the building/site. _x000a__x000a_Not required for sites smaller than 500 m2, which can be presented as an aggregate input, for which a total floor area is not required." sqref="F6" xr:uid="{0DECDAA0-6979-4CBF-91B0-D9A25ECF5638}"/>
    <dataValidation type="whole" allowBlank="1" showInputMessage="1" showErrorMessage="1" sqref="F7:F1000" xr:uid="{B9471DD6-BCAC-4640-AF9F-6D7ACA4617EE}">
      <formula1>1</formula1>
      <formula2>1000000000</formula2>
    </dataValidation>
    <dataValidation type="list" allowBlank="1" showInputMessage="1" showErrorMessage="1" sqref="E7:E1000" xr:uid="{D0C82671-BC23-4F55-9170-12FE7544289F}">
      <formula1>OFFSET(#REF!,MATCH(D7,Buildingcategory_long,0)-1,,COUNTIF(Buildingcategory_long,D7))</formula1>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5" tint="-0.249977111117893"/>
  </sheetPr>
  <dimension ref="A2:N115"/>
  <sheetViews>
    <sheetView workbookViewId="0"/>
  </sheetViews>
  <sheetFormatPr defaultColWidth="8.54296875" defaultRowHeight="14.5" x14ac:dyDescent="0.35"/>
  <cols>
    <col min="1" max="1" width="2.54296875" style="1" customWidth="1"/>
    <col min="2" max="2" width="55.453125" style="1" customWidth="1"/>
    <col min="3" max="9" width="14.54296875" style="1" customWidth="1"/>
    <col min="10" max="10" width="27.453125" style="1" customWidth="1"/>
    <col min="11" max="11" width="8.54296875" style="1"/>
    <col min="12" max="12" width="35.54296875" style="1" customWidth="1"/>
    <col min="13" max="13" width="26.54296875" style="1" customWidth="1"/>
    <col min="14" max="16384" width="8.54296875" style="1"/>
  </cols>
  <sheetData>
    <row r="2" spans="1:11" ht="19" thickBot="1" x14ac:dyDescent="0.5">
      <c r="B2" s="92" t="s">
        <v>202</v>
      </c>
      <c r="F2" s="9"/>
    </row>
    <row r="3" spans="1:11" ht="16.399999999999999" customHeight="1" x14ac:dyDescent="0.35">
      <c r="B3" s="496" t="e">
        <f>"This section provides a summary of the reported emissions for " &amp;#REF! &amp; " for " &amp;#REF!</f>
        <v>#REF!</v>
      </c>
      <c r="C3" s="497"/>
      <c r="D3" s="497"/>
      <c r="E3" s="497"/>
      <c r="F3" s="497"/>
      <c r="G3" s="497"/>
      <c r="H3" s="497"/>
      <c r="I3" s="498"/>
    </row>
    <row r="4" spans="1:11" x14ac:dyDescent="0.35">
      <c r="B4" s="93" t="s">
        <v>203</v>
      </c>
      <c r="C4" s="7"/>
      <c r="D4" s="7"/>
      <c r="E4" s="16"/>
      <c r="F4" s="7"/>
      <c r="G4" s="7"/>
      <c r="H4" s="7"/>
      <c r="I4" s="7"/>
    </row>
    <row r="5" spans="1:11" x14ac:dyDescent="0.35">
      <c r="A5" s="17"/>
      <c r="B5" s="94"/>
      <c r="C5" s="17"/>
      <c r="D5" s="17"/>
      <c r="E5" s="17"/>
      <c r="F5" s="17"/>
      <c r="G5" s="17"/>
      <c r="H5" s="17"/>
      <c r="I5" s="17"/>
      <c r="J5" s="17"/>
    </row>
    <row r="6" spans="1:11" ht="15" thickBot="1" x14ac:dyDescent="0.4">
      <c r="A6" s="65"/>
      <c r="B6" s="18"/>
      <c r="C6" s="499" t="s">
        <v>204</v>
      </c>
      <c r="D6" s="500"/>
      <c r="E6" s="500"/>
      <c r="F6" s="500"/>
      <c r="G6" s="500"/>
      <c r="H6" s="500"/>
      <c r="I6" s="501"/>
      <c r="J6" s="17"/>
    </row>
    <row r="7" spans="1:11" ht="19" thickBot="1" x14ac:dyDescent="0.4">
      <c r="B7" s="13" t="s">
        <v>205</v>
      </c>
      <c r="C7" s="10" t="s">
        <v>206</v>
      </c>
      <c r="D7" s="10" t="s">
        <v>207</v>
      </c>
      <c r="E7" s="10" t="s">
        <v>207</v>
      </c>
      <c r="F7" s="10" t="s">
        <v>208</v>
      </c>
      <c r="G7" s="10" t="s">
        <v>209</v>
      </c>
      <c r="H7" s="10" t="s">
        <v>209</v>
      </c>
      <c r="I7" s="10" t="s">
        <v>210</v>
      </c>
      <c r="J7" s="17"/>
    </row>
    <row r="8" spans="1:11" ht="15" thickBot="1" x14ac:dyDescent="0.4">
      <c r="A8" s="66"/>
      <c r="B8" s="18"/>
      <c r="C8" s="10" t="s">
        <v>211</v>
      </c>
      <c r="D8" s="10" t="s">
        <v>212</v>
      </c>
      <c r="E8" s="10" t="s">
        <v>213</v>
      </c>
      <c r="F8" s="10"/>
      <c r="G8" s="10" t="s">
        <v>214</v>
      </c>
      <c r="H8" s="10" t="s">
        <v>215</v>
      </c>
      <c r="I8" s="10"/>
      <c r="J8" s="17"/>
    </row>
    <row r="9" spans="1:11" ht="15" thickBot="1" x14ac:dyDescent="0.4">
      <c r="A9" s="11"/>
      <c r="B9" s="95" t="s">
        <v>205</v>
      </c>
      <c r="C9" s="96" t="e">
        <f>C21+C30+C38+C64+C73</f>
        <v>#REF!</v>
      </c>
      <c r="D9" s="96" t="e">
        <f t="shared" ref="D9:H9" si="0">D21+D30+D38+D64+D73</f>
        <v>#REF!</v>
      </c>
      <c r="E9" s="96" t="e">
        <f t="shared" si="0"/>
        <v>#REF!</v>
      </c>
      <c r="F9" s="96" t="e">
        <f t="shared" si="0"/>
        <v>#REF!</v>
      </c>
      <c r="G9" s="96" t="e">
        <f t="shared" si="0"/>
        <v>#REF!</v>
      </c>
      <c r="H9" s="96" t="e">
        <f t="shared" si="0"/>
        <v>#REF!</v>
      </c>
      <c r="I9" s="96" t="e">
        <f>I21+I30+I38+I64+I73</f>
        <v>#REF!</v>
      </c>
      <c r="J9" s="17"/>
    </row>
    <row r="10" spans="1:11" x14ac:dyDescent="0.35">
      <c r="A10" s="11"/>
      <c r="B10" s="18"/>
      <c r="C10" s="18"/>
      <c r="D10" s="18"/>
      <c r="E10" s="18"/>
      <c r="F10" s="18"/>
      <c r="G10" s="18"/>
      <c r="H10" s="18"/>
      <c r="I10" s="18"/>
      <c r="J10" s="18"/>
    </row>
    <row r="11" spans="1:11" x14ac:dyDescent="0.35">
      <c r="A11" s="11"/>
      <c r="B11" s="18"/>
      <c r="C11" s="18"/>
      <c r="D11" s="18"/>
      <c r="E11" s="20"/>
      <c r="F11" s="18"/>
      <c r="G11" s="18"/>
      <c r="H11" s="18"/>
      <c r="I11" s="18"/>
      <c r="J11" s="17"/>
    </row>
    <row r="12" spans="1:11" ht="19.399999999999999" customHeight="1" thickBot="1" x14ac:dyDescent="0.4">
      <c r="B12" s="13" t="s">
        <v>216</v>
      </c>
      <c r="C12" s="499" t="s">
        <v>204</v>
      </c>
      <c r="D12" s="500"/>
      <c r="E12" s="500"/>
      <c r="F12" s="500"/>
      <c r="G12" s="500"/>
      <c r="H12" s="500"/>
      <c r="I12" s="501"/>
    </row>
    <row r="13" spans="1:11" ht="29.9" customHeight="1" thickBot="1" x14ac:dyDescent="0.4">
      <c r="B13" s="3" t="s">
        <v>217</v>
      </c>
      <c r="C13" s="10" t="s">
        <v>206</v>
      </c>
      <c r="D13" s="10" t="s">
        <v>207</v>
      </c>
      <c r="E13" s="10" t="s">
        <v>207</v>
      </c>
      <c r="F13" s="10" t="s">
        <v>208</v>
      </c>
      <c r="G13" s="10" t="s">
        <v>209</v>
      </c>
      <c r="H13" s="10" t="s">
        <v>209</v>
      </c>
      <c r="I13" s="10" t="s">
        <v>210</v>
      </c>
    </row>
    <row r="14" spans="1:11" ht="15" thickBot="1" x14ac:dyDescent="0.4">
      <c r="B14" s="3"/>
      <c r="C14" s="10" t="s">
        <v>211</v>
      </c>
      <c r="D14" s="10" t="s">
        <v>212</v>
      </c>
      <c r="E14" s="10" t="s">
        <v>213</v>
      </c>
      <c r="F14" s="10"/>
      <c r="G14" s="10" t="s">
        <v>214</v>
      </c>
      <c r="H14" s="10" t="s">
        <v>215</v>
      </c>
      <c r="I14" s="10"/>
    </row>
    <row r="15" spans="1:11" ht="15" thickBot="1" x14ac:dyDescent="0.4">
      <c r="B15" s="97" t="e">
        <f>#REF!</f>
        <v>#REF!</v>
      </c>
      <c r="C15" s="98" t="e">
        <f>SUM(#REF!)</f>
        <v>#REF!</v>
      </c>
      <c r="D15" s="98" t="e">
        <f>SUM(#REF!)</f>
        <v>#REF!</v>
      </c>
      <c r="E15" s="98" t="e">
        <f>SUM(#REF!)</f>
        <v>#REF!</v>
      </c>
      <c r="F15" s="99" t="e">
        <f>SUM(C15:E15)</f>
        <v>#REF!</v>
      </c>
      <c r="G15" s="100" t="e">
        <f>SUM(#REF!)</f>
        <v>#REF!</v>
      </c>
      <c r="H15" s="100" t="e">
        <f>SUM(#REF!)</f>
        <v>#REF!</v>
      </c>
      <c r="I15" s="101" t="e">
        <f>SUM(#REF!)</f>
        <v>#REF!</v>
      </c>
      <c r="K15" s="9"/>
    </row>
    <row r="16" spans="1:11" ht="15" thickBot="1" x14ac:dyDescent="0.4">
      <c r="B16" s="97" t="e">
        <f>#REF!</f>
        <v>#REF!</v>
      </c>
      <c r="C16" s="98" t="e">
        <f>SUM(#REF!)</f>
        <v>#REF!</v>
      </c>
      <c r="D16" s="98" t="e">
        <f>SUM(#REF!)</f>
        <v>#REF!</v>
      </c>
      <c r="E16" s="98" t="e">
        <f>SUM(#REF!)</f>
        <v>#REF!</v>
      </c>
      <c r="F16" s="99" t="e">
        <f t="shared" ref="F16:F17" si="1">SUM(C16:E16)</f>
        <v>#REF!</v>
      </c>
      <c r="G16" s="100"/>
      <c r="H16" s="100"/>
      <c r="I16" s="102"/>
      <c r="K16" s="9"/>
    </row>
    <row r="17" spans="1:11" ht="15" thickBot="1" x14ac:dyDescent="0.4">
      <c r="B17" s="97" t="e">
        <f>#REF!</f>
        <v>#REF!</v>
      </c>
      <c r="C17" s="98" t="e">
        <f>SUM(#REF!)</f>
        <v>#REF!</v>
      </c>
      <c r="D17" s="98" t="e">
        <f>SUM(#REF!)</f>
        <v>#REF!</v>
      </c>
      <c r="E17" s="98" t="e">
        <f>SUM(#REF!)</f>
        <v>#REF!</v>
      </c>
      <c r="F17" s="99" t="e">
        <f t="shared" si="1"/>
        <v>#REF!</v>
      </c>
      <c r="G17" s="100"/>
      <c r="H17" s="100"/>
      <c r="I17" s="102"/>
      <c r="K17" s="9"/>
    </row>
    <row r="18" spans="1:11" ht="15" thickBot="1" x14ac:dyDescent="0.4">
      <c r="B18" s="97" t="e">
        <f>#REF!</f>
        <v>#REF!</v>
      </c>
      <c r="C18" s="98" t="e">
        <f>SUM(#REF!)</f>
        <v>#REF!</v>
      </c>
      <c r="D18" s="98" t="e">
        <f>SUM(#REF!)</f>
        <v>#REF!</v>
      </c>
      <c r="E18" s="98" t="e">
        <f>SUM(#REF!)</f>
        <v>#REF!</v>
      </c>
      <c r="F18" s="99" t="e">
        <f>SUM(C18:E18)</f>
        <v>#REF!</v>
      </c>
      <c r="G18" s="100" t="e">
        <f>SUM(#REF!)</f>
        <v>#REF!</v>
      </c>
      <c r="H18" s="100" t="e">
        <f>SUM(#REF!)</f>
        <v>#REF!</v>
      </c>
      <c r="I18" s="103" t="e">
        <f>SUM(#REF!)</f>
        <v>#REF!</v>
      </c>
    </row>
    <row r="19" spans="1:11" ht="14.9" customHeight="1" thickBot="1" x14ac:dyDescent="0.4">
      <c r="B19" s="56" t="s">
        <v>218</v>
      </c>
      <c r="C19" s="104" t="e">
        <f>SUM(#REF!)</f>
        <v>#REF!</v>
      </c>
      <c r="D19" s="104" t="e">
        <f>SUM(#REF!)</f>
        <v>#REF!</v>
      </c>
      <c r="E19" s="104" t="e">
        <f>SUM(#REF!)</f>
        <v>#REF!</v>
      </c>
      <c r="F19" s="105" t="e">
        <f>SUM(#REF!)</f>
        <v>#REF!</v>
      </c>
      <c r="G19" s="104" t="e">
        <f>SUM(#REF!)</f>
        <v>#REF!</v>
      </c>
      <c r="H19" s="100" t="e">
        <f>SUM(#REF!)</f>
        <v>#REF!</v>
      </c>
      <c r="I19" s="103" t="e">
        <f>SUM(#REF!)</f>
        <v>#REF!</v>
      </c>
      <c r="J19" s="64"/>
    </row>
    <row r="20" spans="1:11" ht="14.9" customHeight="1" thickBot="1" x14ac:dyDescent="0.4">
      <c r="A20" s="11"/>
      <c r="B20" s="106" t="s">
        <v>134</v>
      </c>
      <c r="C20" s="107" t="e">
        <f>SUM(#REF!)</f>
        <v>#REF!</v>
      </c>
      <c r="D20" s="107" t="e">
        <f>SUM(#REF!)</f>
        <v>#REF!</v>
      </c>
      <c r="E20" s="107" t="e">
        <f>SUM(#REF!)</f>
        <v>#REF!</v>
      </c>
      <c r="F20" s="108" t="e">
        <f>SUM(#REF!)</f>
        <v>#REF!</v>
      </c>
      <c r="G20" s="107" t="e">
        <f>SUM(#REF!)</f>
        <v>#REF!</v>
      </c>
      <c r="H20" s="107" t="e">
        <f>SUM(#REF!)</f>
        <v>#REF!</v>
      </c>
      <c r="I20" s="107" t="e">
        <f>SUM(#REF!)</f>
        <v>#REF!</v>
      </c>
      <c r="J20" s="17"/>
    </row>
    <row r="21" spans="1:11" x14ac:dyDescent="0.35">
      <c r="B21" s="109" t="s">
        <v>219</v>
      </c>
      <c r="C21" s="110" t="e">
        <f t="shared" ref="C21:I21" si="2">SUM(C15:C20)</f>
        <v>#REF!</v>
      </c>
      <c r="D21" s="110" t="e">
        <f t="shared" si="2"/>
        <v>#REF!</v>
      </c>
      <c r="E21" s="110" t="e">
        <f t="shared" si="2"/>
        <v>#REF!</v>
      </c>
      <c r="F21" s="110" t="e">
        <f t="shared" si="2"/>
        <v>#REF!</v>
      </c>
      <c r="G21" s="110" t="e">
        <f t="shared" si="2"/>
        <v>#REF!</v>
      </c>
      <c r="H21" s="110" t="e">
        <f t="shared" si="2"/>
        <v>#REF!</v>
      </c>
      <c r="I21" s="110" t="e">
        <f t="shared" si="2"/>
        <v>#REF!</v>
      </c>
    </row>
    <row r="23" spans="1:11" ht="19" thickBot="1" x14ac:dyDescent="0.4">
      <c r="B23" s="13" t="s">
        <v>220</v>
      </c>
      <c r="C23" s="493" t="s">
        <v>204</v>
      </c>
      <c r="D23" s="494"/>
      <c r="E23" s="494"/>
      <c r="F23" s="494"/>
      <c r="G23" s="494"/>
      <c r="H23" s="494"/>
      <c r="I23" s="495"/>
    </row>
    <row r="24" spans="1:11" ht="29.9" customHeight="1" thickBot="1" x14ac:dyDescent="0.4">
      <c r="B24" s="3" t="s">
        <v>217</v>
      </c>
      <c r="C24" s="10" t="s">
        <v>206</v>
      </c>
      <c r="D24" s="10" t="s">
        <v>207</v>
      </c>
      <c r="E24" s="10" t="s">
        <v>207</v>
      </c>
      <c r="F24" s="10" t="s">
        <v>208</v>
      </c>
      <c r="G24" s="10" t="s">
        <v>209</v>
      </c>
      <c r="H24" s="10" t="s">
        <v>209</v>
      </c>
      <c r="I24" s="10" t="s">
        <v>210</v>
      </c>
    </row>
    <row r="25" spans="1:11" ht="15" thickBot="1" x14ac:dyDescent="0.4">
      <c r="B25" s="3"/>
      <c r="C25" s="10" t="s">
        <v>211</v>
      </c>
      <c r="D25" s="10" t="s">
        <v>212</v>
      </c>
      <c r="E25" s="10" t="s">
        <v>213</v>
      </c>
      <c r="F25" s="10"/>
      <c r="G25" s="10" t="s">
        <v>214</v>
      </c>
      <c r="H25" s="10" t="s">
        <v>215</v>
      </c>
      <c r="I25" s="10"/>
    </row>
    <row r="26" spans="1:11" ht="15" thickBot="1" x14ac:dyDescent="0.4">
      <c r="B26" s="97" t="s">
        <v>221</v>
      </c>
      <c r="C26" s="98" t="e">
        <f>SUM(#REF!,#REF!)</f>
        <v>#REF!</v>
      </c>
      <c r="D26" s="98" t="e">
        <f>SUM(#REF!,#REF!)</f>
        <v>#REF!</v>
      </c>
      <c r="E26" s="98" t="e">
        <f>SUM(#REF!,#REF!)</f>
        <v>#REF!</v>
      </c>
      <c r="F26" s="99" t="e">
        <f>SUM(C26:E26)</f>
        <v>#REF!</v>
      </c>
      <c r="G26" s="100" t="e">
        <f>SUM(#REF!,#REF!)</f>
        <v>#REF!</v>
      </c>
      <c r="H26" s="111" t="e">
        <f>SUM(#REF!,#REF!)</f>
        <v>#REF!</v>
      </c>
      <c r="I26" s="98" t="e">
        <f>SUM(#REF!,#REF!)</f>
        <v>#REF!</v>
      </c>
      <c r="J26" s="17"/>
    </row>
    <row r="27" spans="1:11" ht="15" thickBot="1" x14ac:dyDescent="0.4">
      <c r="B27" s="97" t="s">
        <v>191</v>
      </c>
      <c r="C27" s="98" t="e">
        <f>SUM(#REF!)</f>
        <v>#REF!</v>
      </c>
      <c r="D27" s="98" t="e">
        <f>SUM(#REF!)</f>
        <v>#REF!</v>
      </c>
      <c r="E27" s="98" t="e">
        <f>SUM(#REF!)</f>
        <v>#REF!</v>
      </c>
      <c r="F27" s="99" t="e">
        <f>SUM(C27:E27)</f>
        <v>#REF!</v>
      </c>
      <c r="G27" s="100" t="e">
        <f>SUM(#REF!)</f>
        <v>#REF!</v>
      </c>
      <c r="H27" s="100" t="e">
        <f>SUM(#REF!)</f>
        <v>#REF!</v>
      </c>
      <c r="I27" s="103" t="e">
        <f>SUM(#REF!)</f>
        <v>#REF!</v>
      </c>
      <c r="J27" s="17"/>
    </row>
    <row r="28" spans="1:11" ht="15" thickBot="1" x14ac:dyDescent="0.4">
      <c r="B28" s="97" t="s">
        <v>192</v>
      </c>
      <c r="C28" s="98" t="e">
        <f>SUM(#REF!)</f>
        <v>#REF!</v>
      </c>
      <c r="D28" s="98" t="e">
        <f>SUM(#REF!)</f>
        <v>#REF!</v>
      </c>
      <c r="E28" s="98" t="e">
        <f>SUM(#REF!)</f>
        <v>#REF!</v>
      </c>
      <c r="F28" s="99" t="e">
        <f>SUM(C28:E28)</f>
        <v>#REF!</v>
      </c>
      <c r="G28" s="100" t="e">
        <f>SUM(#REF!)</f>
        <v>#REF!</v>
      </c>
      <c r="H28" s="111" t="e">
        <f>SUM(#REF!)</f>
        <v>#REF!</v>
      </c>
      <c r="I28" s="98" t="e">
        <f>SUM(#REF!)</f>
        <v>#REF!</v>
      </c>
      <c r="J28" s="17"/>
    </row>
    <row r="29" spans="1:11" ht="15" thickBot="1" x14ac:dyDescent="0.4">
      <c r="B29" s="97" t="s">
        <v>193</v>
      </c>
      <c r="C29" s="98" t="e">
        <f>SUM(#REF!)</f>
        <v>#REF!</v>
      </c>
      <c r="D29" s="98" t="e">
        <f>SUM(#REF!)</f>
        <v>#REF!</v>
      </c>
      <c r="E29" s="98" t="e">
        <f>SUM(#REF!)</f>
        <v>#REF!</v>
      </c>
      <c r="F29" s="112" t="e">
        <f>SUM(C29:E29)</f>
        <v>#REF!</v>
      </c>
      <c r="G29" s="100" t="e">
        <f>SUM(#REF!)</f>
        <v>#REF!</v>
      </c>
      <c r="H29" s="100" t="e">
        <f>SUM(#REF!)</f>
        <v>#REF!</v>
      </c>
      <c r="I29" s="113" t="e">
        <f>SUM(#REF!)</f>
        <v>#REF!</v>
      </c>
      <c r="J29" s="17"/>
    </row>
    <row r="30" spans="1:11" x14ac:dyDescent="0.35">
      <c r="B30" s="109" t="s">
        <v>222</v>
      </c>
      <c r="C30" s="114" t="e">
        <f>SUM(C26:C29)</f>
        <v>#REF!</v>
      </c>
      <c r="D30" s="114" t="e">
        <f t="shared" ref="D30:I30" si="3">SUM(D26:D29)</f>
        <v>#REF!</v>
      </c>
      <c r="E30" s="114" t="e">
        <f t="shared" si="3"/>
        <v>#REF!</v>
      </c>
      <c r="F30" s="114" t="e">
        <f t="shared" si="3"/>
        <v>#REF!</v>
      </c>
      <c r="G30" s="114" t="e">
        <f t="shared" si="3"/>
        <v>#REF!</v>
      </c>
      <c r="H30" s="114" t="e">
        <f t="shared" si="3"/>
        <v>#REF!</v>
      </c>
      <c r="I30" s="114" t="e">
        <f t="shared" si="3"/>
        <v>#REF!</v>
      </c>
    </row>
    <row r="32" spans="1:11" ht="18" customHeight="1" thickBot="1" x14ac:dyDescent="0.4">
      <c r="B32" s="13" t="s">
        <v>194</v>
      </c>
      <c r="C32" s="493" t="s">
        <v>204</v>
      </c>
      <c r="D32" s="494"/>
      <c r="E32" s="494"/>
      <c r="F32" s="494"/>
      <c r="G32" s="494"/>
      <c r="H32" s="494"/>
      <c r="I32" s="495"/>
    </row>
    <row r="33" spans="2:13" ht="29.9" customHeight="1" thickBot="1" x14ac:dyDescent="0.4">
      <c r="B33" s="3" t="s">
        <v>217</v>
      </c>
      <c r="C33" s="10" t="s">
        <v>206</v>
      </c>
      <c r="D33" s="10" t="s">
        <v>207</v>
      </c>
      <c r="E33" s="10" t="s">
        <v>207</v>
      </c>
      <c r="F33" s="10" t="s">
        <v>208</v>
      </c>
      <c r="G33" s="10" t="s">
        <v>209</v>
      </c>
      <c r="H33" s="10" t="s">
        <v>209</v>
      </c>
      <c r="I33" s="10" t="s">
        <v>210</v>
      </c>
    </row>
    <row r="34" spans="2:13" ht="15" thickBot="1" x14ac:dyDescent="0.4">
      <c r="B34" s="3"/>
      <c r="C34" s="10" t="s">
        <v>211</v>
      </c>
      <c r="D34" s="10" t="s">
        <v>212</v>
      </c>
      <c r="E34" s="10" t="s">
        <v>213</v>
      </c>
      <c r="F34" s="10"/>
      <c r="G34" s="10" t="s">
        <v>214</v>
      </c>
      <c r="H34" s="10" t="s">
        <v>215</v>
      </c>
      <c r="I34" s="10"/>
    </row>
    <row r="35" spans="2:13" ht="15" thickBot="1" x14ac:dyDescent="0.4">
      <c r="B35" s="97" t="s">
        <v>195</v>
      </c>
      <c r="C35" s="98" t="e">
        <f>SUM(#REF!)</f>
        <v>#REF!</v>
      </c>
      <c r="D35" s="98" t="e">
        <f>-SUM(#REF!)</f>
        <v>#REF!</v>
      </c>
      <c r="E35" s="98" t="e">
        <f>SUM(#REF!)</f>
        <v>#REF!</v>
      </c>
      <c r="F35" s="99" t="e">
        <f>SUM(C35:E35)</f>
        <v>#REF!</v>
      </c>
      <c r="G35" s="100" t="e">
        <f>SUM(#REF!)</f>
        <v>#REF!</v>
      </c>
      <c r="H35" s="100" t="e">
        <f>SUM(#REF!)</f>
        <v>#REF!</v>
      </c>
      <c r="I35" s="101" t="e">
        <f>SUM(#REF!)</f>
        <v>#REF!</v>
      </c>
    </row>
    <row r="36" spans="2:13" ht="15" thickBot="1" x14ac:dyDescent="0.4">
      <c r="B36" s="97" t="s">
        <v>196</v>
      </c>
      <c r="C36" s="98" t="e">
        <f>SUM(#REF!)</f>
        <v>#REF!</v>
      </c>
      <c r="D36" s="98" t="e">
        <f>SUM(#REF!)</f>
        <v>#REF!</v>
      </c>
      <c r="E36" s="98" t="e">
        <f>SUM(#REF!)</f>
        <v>#REF!</v>
      </c>
      <c r="F36" s="99" t="e">
        <f>SUM(C36:E36)</f>
        <v>#REF!</v>
      </c>
      <c r="G36" s="100" t="e">
        <f>SUM(#REF!)</f>
        <v>#REF!</v>
      </c>
      <c r="H36" s="100" t="e">
        <f>SUM(#REF!)</f>
        <v>#REF!</v>
      </c>
      <c r="I36" s="101" t="e">
        <f>SUM(#REF!)</f>
        <v>#REF!</v>
      </c>
    </row>
    <row r="37" spans="2:13" ht="15" thickBot="1" x14ac:dyDescent="0.4">
      <c r="B37" s="97" t="s">
        <v>197</v>
      </c>
      <c r="C37" s="98" t="e">
        <f>SUM(#REF!)</f>
        <v>#REF!</v>
      </c>
      <c r="D37" s="98" t="e">
        <f>SUM(#REF!)</f>
        <v>#REF!</v>
      </c>
      <c r="E37" s="98" t="e">
        <f>SUM(#REF!)</f>
        <v>#REF!</v>
      </c>
      <c r="F37" s="115" t="e">
        <f>SUM(C37:E37)</f>
        <v>#REF!</v>
      </c>
      <c r="G37" s="100" t="e">
        <f>SUM(#REF!)</f>
        <v>#REF!</v>
      </c>
      <c r="H37" s="100" t="e">
        <f>SUM(#REF!)</f>
        <v>#REF!</v>
      </c>
      <c r="I37" s="101" t="e">
        <f>SUM(#REF!)</f>
        <v>#REF!</v>
      </c>
    </row>
    <row r="38" spans="2:13" ht="15" thickBot="1" x14ac:dyDescent="0.4">
      <c r="B38" s="109" t="str">
        <f>B32</f>
        <v>Waste</v>
      </c>
      <c r="C38" s="114" t="e">
        <f>SUM(C35:C37)</f>
        <v>#REF!</v>
      </c>
      <c r="D38" s="114" t="e">
        <f t="shared" ref="D38:E38" si="4">SUM(D35:D37)</f>
        <v>#REF!</v>
      </c>
      <c r="E38" s="114" t="e">
        <f t="shared" si="4"/>
        <v>#REF!</v>
      </c>
      <c r="F38" s="116" t="e">
        <f>SUM(F35:F37)</f>
        <v>#REF!</v>
      </c>
      <c r="G38" s="117" t="e">
        <f>SUM(G35:G37)</f>
        <v>#REF!</v>
      </c>
      <c r="H38" s="117" t="e">
        <f>SUM(H35:H37)</f>
        <v>#REF!</v>
      </c>
      <c r="I38" s="114" t="e">
        <f>SUM(I35:I37)</f>
        <v>#REF!</v>
      </c>
    </row>
    <row r="41" spans="2:13" ht="19" thickBot="1" x14ac:dyDescent="0.4">
      <c r="B41" s="13" t="s">
        <v>223</v>
      </c>
      <c r="C41" s="493" t="s">
        <v>204</v>
      </c>
      <c r="D41" s="494"/>
      <c r="E41" s="494"/>
      <c r="F41" s="494"/>
      <c r="G41" s="494"/>
      <c r="H41" s="494"/>
      <c r="I41" s="494"/>
      <c r="J41" s="118"/>
    </row>
    <row r="42" spans="2:13" ht="35.9" customHeight="1" thickBot="1" x14ac:dyDescent="0.4">
      <c r="B42" s="3" t="s">
        <v>217</v>
      </c>
      <c r="C42" s="10" t="s">
        <v>206</v>
      </c>
      <c r="D42" s="10" t="s">
        <v>207</v>
      </c>
      <c r="E42" s="10" t="s">
        <v>207</v>
      </c>
      <c r="F42" s="10" t="s">
        <v>208</v>
      </c>
      <c r="G42" s="10" t="s">
        <v>209</v>
      </c>
      <c r="H42" s="10" t="s">
        <v>209</v>
      </c>
      <c r="I42" s="10" t="s">
        <v>210</v>
      </c>
      <c r="J42" s="119"/>
    </row>
    <row r="43" spans="2:13" ht="15" thickBot="1" x14ac:dyDescent="0.4">
      <c r="B43" s="3"/>
      <c r="C43" s="10" t="s">
        <v>211</v>
      </c>
      <c r="D43" s="10" t="s">
        <v>212</v>
      </c>
      <c r="E43" s="10" t="s">
        <v>213</v>
      </c>
      <c r="F43" s="10"/>
      <c r="G43" s="10" t="s">
        <v>214</v>
      </c>
      <c r="H43" s="10" t="s">
        <v>215</v>
      </c>
      <c r="I43" s="10"/>
      <c r="J43" s="119"/>
    </row>
    <row r="44" spans="2:13" ht="15" thickBot="1" x14ac:dyDescent="0.4">
      <c r="B44" s="97" t="s">
        <v>224</v>
      </c>
      <c r="C44" s="6"/>
      <c r="D44" s="6"/>
      <c r="E44" s="120" t="e">
        <f xml:space="preserve"> SUMIF(#REF!, B44,#REF!)</f>
        <v>#REF!</v>
      </c>
      <c r="F44" s="120" t="e">
        <f>SUM(E44)</f>
        <v>#REF!</v>
      </c>
      <c r="G44" s="120" t="e">
        <f xml:space="preserve"> SUMIF(#REF!, B44,#REF!)</f>
        <v>#REF!</v>
      </c>
      <c r="H44" s="120" t="e">
        <f xml:space="preserve"> SUMIF(#REF!, B44,#REF!)</f>
        <v>#REF!</v>
      </c>
      <c r="I44" s="6"/>
      <c r="J44" s="121"/>
    </row>
    <row r="45" spans="2:13" ht="15" thickBot="1" x14ac:dyDescent="0.4">
      <c r="B45" s="97" t="s">
        <v>225</v>
      </c>
      <c r="C45" s="6"/>
      <c r="D45" s="6"/>
      <c r="E45" s="120" t="e">
        <f xml:space="preserve"> SUMIF(#REF!, B45,#REF!)</f>
        <v>#REF!</v>
      </c>
      <c r="F45" s="120" t="e">
        <f t="shared" ref="F45:F62" si="5">SUM(E45)</f>
        <v>#REF!</v>
      </c>
      <c r="G45" s="120" t="e">
        <f xml:space="preserve"> SUMIF(#REF!, B45,#REF!)</f>
        <v>#REF!</v>
      </c>
      <c r="H45" s="120" t="e">
        <f xml:space="preserve"> SUMIF(#REF!, B45,#REF!)</f>
        <v>#REF!</v>
      </c>
      <c r="I45" s="6"/>
      <c r="J45" s="14"/>
      <c r="L45" s="122"/>
      <c r="M45" s="121"/>
    </row>
    <row r="46" spans="2:13" ht="15" thickBot="1" x14ac:dyDescent="0.4">
      <c r="B46" s="97" t="s">
        <v>226</v>
      </c>
      <c r="C46" s="6"/>
      <c r="D46" s="6"/>
      <c r="E46" s="120" t="e">
        <f xml:space="preserve"> SUMIF(#REF!, B46,#REF!)</f>
        <v>#REF!</v>
      </c>
      <c r="F46" s="120" t="e">
        <f t="shared" si="5"/>
        <v>#REF!</v>
      </c>
      <c r="G46" s="120" t="e">
        <f xml:space="preserve"> SUMIF(#REF!, B46,#REF!)</f>
        <v>#REF!</v>
      </c>
      <c r="H46" s="120" t="e">
        <f xml:space="preserve"> SUMIF(#REF!, B46,#REF!)</f>
        <v>#REF!</v>
      </c>
      <c r="I46" s="6"/>
      <c r="L46" s="122"/>
      <c r="M46" s="121"/>
    </row>
    <row r="47" spans="2:13" ht="15" thickBot="1" x14ac:dyDescent="0.4">
      <c r="B47" s="97" t="s">
        <v>227</v>
      </c>
      <c r="C47" s="6"/>
      <c r="D47" s="6"/>
      <c r="E47" s="120" t="e">
        <f xml:space="preserve"> SUMIF(#REF!, B47,#REF!)</f>
        <v>#REF!</v>
      </c>
      <c r="F47" s="120" t="e">
        <f t="shared" si="5"/>
        <v>#REF!</v>
      </c>
      <c r="G47" s="120" t="e">
        <f xml:space="preserve"> SUMIF(#REF!, B47,#REF!)</f>
        <v>#REF!</v>
      </c>
      <c r="H47" s="120" t="e">
        <f xml:space="preserve"> SUMIF(#REF!, B47,#REF!)</f>
        <v>#REF!</v>
      </c>
      <c r="I47" s="6"/>
      <c r="L47" s="122"/>
      <c r="M47" s="121"/>
    </row>
    <row r="48" spans="2:13" ht="23.15" customHeight="1" thickBot="1" x14ac:dyDescent="0.4">
      <c r="B48" s="97" t="s">
        <v>228</v>
      </c>
      <c r="C48" s="6"/>
      <c r="D48" s="6"/>
      <c r="E48" s="120" t="e">
        <f xml:space="preserve"> SUMIF(#REF!, B48,#REF!)</f>
        <v>#REF!</v>
      </c>
      <c r="F48" s="120" t="e">
        <f t="shared" si="5"/>
        <v>#REF!</v>
      </c>
      <c r="G48" s="120" t="e">
        <f xml:space="preserve"> SUMIF(#REF!, B48,#REF!)</f>
        <v>#REF!</v>
      </c>
      <c r="H48" s="120" t="e">
        <f xml:space="preserve"> SUMIF(#REF!, B48,#REF!)</f>
        <v>#REF!</v>
      </c>
      <c r="I48" s="6"/>
      <c r="L48" s="122"/>
      <c r="M48" s="121"/>
    </row>
    <row r="49" spans="2:14" ht="15" thickBot="1" x14ac:dyDescent="0.4">
      <c r="B49" s="97" t="s">
        <v>229</v>
      </c>
      <c r="C49" s="6"/>
      <c r="D49" s="6"/>
      <c r="E49" s="120" t="e">
        <f xml:space="preserve"> SUMIF(#REF!, B49,#REF!)</f>
        <v>#REF!</v>
      </c>
      <c r="F49" s="120" t="e">
        <f t="shared" si="5"/>
        <v>#REF!</v>
      </c>
      <c r="G49" s="120" t="e">
        <f xml:space="preserve"> SUMIF(#REF!, B49,#REF!)</f>
        <v>#REF!</v>
      </c>
      <c r="H49" s="120" t="e">
        <f xml:space="preserve"> SUMIF(#REF!, B49,#REF!)</f>
        <v>#REF!</v>
      </c>
      <c r="I49" s="6"/>
      <c r="L49" s="122"/>
      <c r="M49" s="121"/>
    </row>
    <row r="50" spans="2:14" ht="15" thickBot="1" x14ac:dyDescent="0.4">
      <c r="B50" s="97" t="s">
        <v>230</v>
      </c>
      <c r="C50" s="6"/>
      <c r="D50" s="6"/>
      <c r="E50" s="120" t="e">
        <f xml:space="preserve"> SUMIF(#REF!, B50,#REF!)</f>
        <v>#REF!</v>
      </c>
      <c r="F50" s="120" t="e">
        <f t="shared" si="5"/>
        <v>#REF!</v>
      </c>
      <c r="G50" s="120" t="e">
        <f xml:space="preserve"> SUMIF(#REF!, B50,#REF!)</f>
        <v>#REF!</v>
      </c>
      <c r="H50" s="120" t="e">
        <f xml:space="preserve"> SUMIF(#REF!, B50,#REF!)</f>
        <v>#REF!</v>
      </c>
      <c r="I50" s="6"/>
      <c r="L50" s="122"/>
      <c r="M50" s="121"/>
    </row>
    <row r="51" spans="2:14" ht="15" thickBot="1" x14ac:dyDescent="0.4">
      <c r="B51" s="97" t="s">
        <v>231</v>
      </c>
      <c r="C51" s="6"/>
      <c r="D51" s="6"/>
      <c r="E51" s="120" t="e">
        <f xml:space="preserve"> SUMIF(#REF!, B51,#REF!)</f>
        <v>#REF!</v>
      </c>
      <c r="F51" s="120" t="e">
        <f t="shared" si="5"/>
        <v>#REF!</v>
      </c>
      <c r="G51" s="120" t="e">
        <f xml:space="preserve"> SUMIF(#REF!, B51,#REF!)</f>
        <v>#REF!</v>
      </c>
      <c r="H51" s="120" t="e">
        <f xml:space="preserve"> SUMIF(#REF!, B51,#REF!)</f>
        <v>#REF!</v>
      </c>
      <c r="I51" s="6"/>
      <c r="L51" s="122"/>
      <c r="M51" s="121"/>
    </row>
    <row r="52" spans="2:14" ht="15" thickBot="1" x14ac:dyDescent="0.4">
      <c r="B52" s="97" t="s">
        <v>232</v>
      </c>
      <c r="C52" s="6"/>
      <c r="D52" s="6"/>
      <c r="E52" s="120" t="e">
        <f xml:space="preserve"> SUMIF(#REF!, B52,#REF!)</f>
        <v>#REF!</v>
      </c>
      <c r="F52" s="120" t="e">
        <f t="shared" si="5"/>
        <v>#REF!</v>
      </c>
      <c r="G52" s="120" t="e">
        <f xml:space="preserve"> SUMIF(#REF!, B52,#REF!)</f>
        <v>#REF!</v>
      </c>
      <c r="H52" s="120" t="e">
        <f xml:space="preserve"> SUMIF(#REF!, B52,#REF!)</f>
        <v>#REF!</v>
      </c>
      <c r="I52" s="6"/>
      <c r="L52" s="122"/>
      <c r="M52" s="121"/>
    </row>
    <row r="53" spans="2:14" ht="15" thickBot="1" x14ac:dyDescent="0.4">
      <c r="B53" s="97" t="s">
        <v>233</v>
      </c>
      <c r="C53" s="6"/>
      <c r="D53" s="6"/>
      <c r="E53" s="120" t="e">
        <f xml:space="preserve"> SUMIF(#REF!, B53,#REF!)</f>
        <v>#REF!</v>
      </c>
      <c r="F53" s="120" t="e">
        <f t="shared" si="5"/>
        <v>#REF!</v>
      </c>
      <c r="G53" s="120" t="e">
        <f xml:space="preserve"> SUMIF(#REF!, B53,#REF!)</f>
        <v>#REF!</v>
      </c>
      <c r="H53" s="120" t="e">
        <f xml:space="preserve"> SUMIF(#REF!, B53,#REF!)</f>
        <v>#REF!</v>
      </c>
      <c r="I53" s="6"/>
      <c r="L53" s="122"/>
      <c r="M53" s="121"/>
    </row>
    <row r="54" spans="2:14" ht="15" thickBot="1" x14ac:dyDescent="0.4">
      <c r="B54" s="97" t="s">
        <v>234</v>
      </c>
      <c r="C54" s="6"/>
      <c r="D54" s="6"/>
      <c r="E54" s="120" t="e">
        <f xml:space="preserve"> SUMIF(#REF!, B54,#REF!)</f>
        <v>#REF!</v>
      </c>
      <c r="F54" s="120" t="e">
        <f t="shared" si="5"/>
        <v>#REF!</v>
      </c>
      <c r="G54" s="120" t="e">
        <f xml:space="preserve"> SUMIF(#REF!, B54,#REF!)</f>
        <v>#REF!</v>
      </c>
      <c r="H54" s="120" t="e">
        <f xml:space="preserve"> SUMIF(#REF!, B54,#REF!)</f>
        <v>#REF!</v>
      </c>
      <c r="I54" s="6"/>
      <c r="K54" s="123"/>
      <c r="L54" s="122"/>
      <c r="M54" s="121"/>
    </row>
    <row r="55" spans="2:14" ht="15" thickBot="1" x14ac:dyDescent="0.4">
      <c r="B55" s="97" t="s">
        <v>235</v>
      </c>
      <c r="C55" s="6"/>
      <c r="D55" s="6"/>
      <c r="E55" s="120" t="e">
        <f xml:space="preserve"> SUMIF(#REF!, B55,#REF!)</f>
        <v>#REF!</v>
      </c>
      <c r="F55" s="120" t="e">
        <f t="shared" si="5"/>
        <v>#REF!</v>
      </c>
      <c r="G55" s="120" t="e">
        <f xml:space="preserve"> SUMIF(#REF!, B55,#REF!)</f>
        <v>#REF!</v>
      </c>
      <c r="H55" s="120" t="e">
        <f xml:space="preserve"> SUMIF(#REF!, B55,#REF!)</f>
        <v>#REF!</v>
      </c>
      <c r="I55" s="6"/>
      <c r="L55" s="122"/>
      <c r="M55" s="121"/>
    </row>
    <row r="56" spans="2:14" ht="15" thickBot="1" x14ac:dyDescent="0.4">
      <c r="B56" s="97" t="s">
        <v>236</v>
      </c>
      <c r="C56" s="6"/>
      <c r="D56" s="6"/>
      <c r="E56" s="120" t="e">
        <f xml:space="preserve"> SUMIF(#REF!, B56,#REF!)</f>
        <v>#REF!</v>
      </c>
      <c r="F56" s="120" t="e">
        <f t="shared" si="5"/>
        <v>#REF!</v>
      </c>
      <c r="G56" s="120" t="e">
        <f xml:space="preserve"> SUMIF(#REF!, B56,#REF!)</f>
        <v>#REF!</v>
      </c>
      <c r="H56" s="120" t="e">
        <f xml:space="preserve"> SUMIF(#REF!, B56,#REF!)</f>
        <v>#REF!</v>
      </c>
      <c r="I56" s="6"/>
      <c r="L56" s="122"/>
      <c r="M56" s="121"/>
    </row>
    <row r="57" spans="2:14" ht="15" thickBot="1" x14ac:dyDescent="0.4">
      <c r="B57" s="97" t="s">
        <v>237</v>
      </c>
      <c r="C57" s="6"/>
      <c r="D57" s="6"/>
      <c r="E57" s="120" t="e">
        <f xml:space="preserve"> SUMIF(#REF!, B57,#REF!)</f>
        <v>#REF!</v>
      </c>
      <c r="F57" s="120" t="e">
        <f t="shared" si="5"/>
        <v>#REF!</v>
      </c>
      <c r="G57" s="120" t="e">
        <f xml:space="preserve"> SUMIF(#REF!, B57,#REF!)</f>
        <v>#REF!</v>
      </c>
      <c r="H57" s="120" t="e">
        <f xml:space="preserve"> SUMIF(#REF!, B57,#REF!)</f>
        <v>#REF!</v>
      </c>
      <c r="I57" s="6"/>
      <c r="L57" s="122"/>
      <c r="M57" s="121"/>
    </row>
    <row r="58" spans="2:14" ht="15" thickBot="1" x14ac:dyDescent="0.4">
      <c r="B58" s="97" t="s">
        <v>238</v>
      </c>
      <c r="C58" s="6"/>
      <c r="D58" s="6"/>
      <c r="E58" s="120" t="e">
        <f xml:space="preserve"> SUMIF(#REF!, B58,#REF!)</f>
        <v>#REF!</v>
      </c>
      <c r="F58" s="120" t="e">
        <f t="shared" si="5"/>
        <v>#REF!</v>
      </c>
      <c r="G58" s="120" t="e">
        <f xml:space="preserve"> SUMIF(#REF!, B58,#REF!)</f>
        <v>#REF!</v>
      </c>
      <c r="H58" s="120" t="e">
        <f xml:space="preserve"> SUMIF(#REF!, B58,#REF!)</f>
        <v>#REF!</v>
      </c>
      <c r="I58" s="6"/>
      <c r="L58" s="122"/>
      <c r="M58" s="121"/>
    </row>
    <row r="59" spans="2:14" ht="15" thickBot="1" x14ac:dyDescent="0.4">
      <c r="B59" s="97" t="s">
        <v>239</v>
      </c>
      <c r="C59" s="6"/>
      <c r="D59" s="6"/>
      <c r="E59" s="120" t="e">
        <f xml:space="preserve"> SUMIF(#REF!, B59,#REF!)</f>
        <v>#REF!</v>
      </c>
      <c r="F59" s="120" t="e">
        <f t="shared" si="5"/>
        <v>#REF!</v>
      </c>
      <c r="G59" s="120" t="e">
        <f xml:space="preserve"> SUMIF(#REF!, B59,#REF!)</f>
        <v>#REF!</v>
      </c>
      <c r="H59" s="120" t="e">
        <f xml:space="preserve"> SUMIF(#REF!, B59,#REF!)</f>
        <v>#REF!</v>
      </c>
      <c r="I59" s="6"/>
      <c r="L59" s="122"/>
      <c r="M59" s="121"/>
    </row>
    <row r="60" spans="2:14" ht="15" thickBot="1" x14ac:dyDescent="0.4">
      <c r="B60" s="97" t="s">
        <v>240</v>
      </c>
      <c r="C60" s="6"/>
      <c r="D60" s="6"/>
      <c r="E60" s="120" t="e">
        <f xml:space="preserve"> SUMIF(#REF!, B60,#REF!)</f>
        <v>#REF!</v>
      </c>
      <c r="F60" s="120" t="e">
        <f t="shared" si="5"/>
        <v>#REF!</v>
      </c>
      <c r="G60" s="120" t="e">
        <f xml:space="preserve"> SUMIF(#REF!, B60,#REF!)</f>
        <v>#REF!</v>
      </c>
      <c r="H60" s="120" t="e">
        <f xml:space="preserve"> SUMIF(#REF!, B60,#REF!)</f>
        <v>#REF!</v>
      </c>
      <c r="I60" s="6"/>
      <c r="L60" s="122"/>
      <c r="M60" s="121"/>
    </row>
    <row r="61" spans="2:14" ht="15" thickBot="1" x14ac:dyDescent="0.4">
      <c r="B61" s="97" t="s">
        <v>241</v>
      </c>
      <c r="C61" s="6"/>
      <c r="D61" s="6"/>
      <c r="E61" s="120" t="e">
        <f xml:space="preserve"> SUMIF(#REF!, B61,#REF!)</f>
        <v>#REF!</v>
      </c>
      <c r="F61" s="120" t="e">
        <f t="shared" si="5"/>
        <v>#REF!</v>
      </c>
      <c r="G61" s="120" t="e">
        <f xml:space="preserve"> SUMIF(#REF!, B61,#REF!)</f>
        <v>#REF!</v>
      </c>
      <c r="H61" s="120" t="e">
        <f xml:space="preserve"> SUMIF(#REF!, B61,#REF!)</f>
        <v>#REF!</v>
      </c>
      <c r="I61" s="6"/>
      <c r="L61" s="122"/>
      <c r="M61" s="121"/>
    </row>
    <row r="62" spans="2:14" ht="15" thickBot="1" x14ac:dyDescent="0.4">
      <c r="B62" s="97" t="s">
        <v>242</v>
      </c>
      <c r="C62" s="6"/>
      <c r="D62" s="6"/>
      <c r="E62" s="120" t="e">
        <f xml:space="preserve"> SUMIF(#REF!, B62,#REF!)</f>
        <v>#REF!</v>
      </c>
      <c r="F62" s="120" t="e">
        <f t="shared" si="5"/>
        <v>#REF!</v>
      </c>
      <c r="G62" s="120" t="e">
        <f xml:space="preserve"> SUMIF(#REF!, B62,#REF!)</f>
        <v>#REF!</v>
      </c>
      <c r="H62" s="120" t="e">
        <f xml:space="preserve"> SUMIF(#REF!, B62,#REF!)</f>
        <v>#REF!</v>
      </c>
      <c r="I62" s="6"/>
      <c r="J62" s="7"/>
      <c r="L62" s="124"/>
      <c r="M62" s="125"/>
    </row>
    <row r="63" spans="2:14" ht="26.5" thickBot="1" x14ac:dyDescent="0.4">
      <c r="B63" s="97" t="s">
        <v>243</v>
      </c>
      <c r="C63" s="126"/>
      <c r="D63" s="126"/>
      <c r="E63" s="120" t="e">
        <f xml:space="preserve"> SUMIF(#REF!, B63,#REF!)</f>
        <v>#REF!</v>
      </c>
      <c r="F63" s="120" t="e">
        <f>SUM(E63)</f>
        <v>#REF!</v>
      </c>
      <c r="G63" s="120" t="e">
        <f xml:space="preserve"> SUMIF(#REF!, B63,#REF!)</f>
        <v>#REF!</v>
      </c>
      <c r="H63" s="120" t="e">
        <f xml:space="preserve"> SUMIF(#REF!, B63,#REF!)</f>
        <v>#REF!</v>
      </c>
      <c r="I63" s="127"/>
      <c r="J63" s="18"/>
      <c r="K63" s="19"/>
      <c r="L63" s="128"/>
      <c r="M63" s="129"/>
      <c r="N63" s="17"/>
    </row>
    <row r="64" spans="2:14" ht="15" thickBot="1" x14ac:dyDescent="0.4">
      <c r="B64" s="109" t="str">
        <f>B41</f>
        <v>Supply chain - Tier 1 and Tier 2 combined</v>
      </c>
      <c r="C64" s="6"/>
      <c r="D64" s="6"/>
      <c r="E64" s="114" t="e">
        <f>SUM(E44:E63)</f>
        <v>#REF!</v>
      </c>
      <c r="F64" s="114" t="e">
        <f>SUM(F44:F63)</f>
        <v>#REF!</v>
      </c>
      <c r="G64" s="114" t="e">
        <f>SUM(G44:G63)</f>
        <v>#REF!</v>
      </c>
      <c r="H64" s="114" t="e">
        <f>SUM(H44:H63)</f>
        <v>#REF!</v>
      </c>
      <c r="I64" s="130"/>
      <c r="J64" s="18"/>
      <c r="K64" s="19"/>
      <c r="L64" s="131"/>
      <c r="M64" s="132"/>
      <c r="N64" s="17"/>
    </row>
    <row r="66" spans="2:9" ht="15" customHeight="1" x14ac:dyDescent="0.35"/>
    <row r="67" spans="2:9" ht="18.649999999999999" customHeight="1" thickBot="1" x14ac:dyDescent="0.4">
      <c r="B67" s="13" t="s">
        <v>244</v>
      </c>
      <c r="C67" s="493" t="s">
        <v>204</v>
      </c>
      <c r="D67" s="494"/>
      <c r="E67" s="494"/>
      <c r="F67" s="494"/>
      <c r="G67" s="494"/>
      <c r="H67" s="494"/>
      <c r="I67" s="494"/>
    </row>
    <row r="68" spans="2:9" ht="26.5" thickBot="1" x14ac:dyDescent="0.4">
      <c r="B68" s="3" t="s">
        <v>217</v>
      </c>
      <c r="C68" s="10" t="s">
        <v>206</v>
      </c>
      <c r="D68" s="10" t="s">
        <v>207</v>
      </c>
      <c r="E68" s="10" t="s">
        <v>207</v>
      </c>
      <c r="F68" s="10" t="s">
        <v>208</v>
      </c>
      <c r="G68" s="10" t="s">
        <v>209</v>
      </c>
      <c r="H68" s="10" t="s">
        <v>209</v>
      </c>
      <c r="I68" s="10" t="s">
        <v>210</v>
      </c>
    </row>
    <row r="69" spans="2:9" ht="15" thickBot="1" x14ac:dyDescent="0.4">
      <c r="B69" s="3"/>
      <c r="C69" s="10" t="s">
        <v>211</v>
      </c>
      <c r="D69" s="10" t="s">
        <v>212</v>
      </c>
      <c r="E69" s="10" t="s">
        <v>213</v>
      </c>
      <c r="F69" s="10"/>
      <c r="G69" s="10" t="s">
        <v>214</v>
      </c>
      <c r="H69" s="10" t="s">
        <v>215</v>
      </c>
      <c r="I69" s="10"/>
    </row>
    <row r="70" spans="2:9" ht="15" thickBot="1" x14ac:dyDescent="0.4">
      <c r="B70" s="97" t="s">
        <v>245</v>
      </c>
      <c r="C70" s="98" t="e">
        <f>SUM(SUMIF(#REF!,"&gt;0"),SUMIF(#REF!, "&gt;0"))</f>
        <v>#REF!</v>
      </c>
      <c r="D70" s="98" t="e">
        <f>SUM(SUMIF(#REF!,"&gt;0"),SUMIF(#REF!, "&gt;0"))</f>
        <v>#REF!</v>
      </c>
      <c r="E70" s="98" t="e">
        <f>SUM(SUMIF(#REF!,"&gt;0"),SUMIF(#REF!, "&gt;0"))</f>
        <v>#REF!</v>
      </c>
      <c r="F70" s="99" t="e">
        <f>SUM(C70:E70)</f>
        <v>#REF!</v>
      </c>
      <c r="G70" s="111" t="e">
        <f>SUM(SUMIF(#REF!,"&gt;0"),SUMIF(#REF!, "&gt;0"))</f>
        <v>#REF!</v>
      </c>
      <c r="H70" s="98" t="e">
        <f>SUM(SUMIF(#REF!,"&gt;0"),SUMIF(#REF!, "&gt;0"))</f>
        <v>#REF!</v>
      </c>
      <c r="I70" s="99" t="e">
        <f>SUM(SUMIF(#REF!,"&gt;0"),SUMIF(#REF!, "&gt;0"))</f>
        <v>#REF!</v>
      </c>
    </row>
    <row r="71" spans="2:9" ht="15" thickBot="1" x14ac:dyDescent="0.4">
      <c r="B71" s="97" t="s">
        <v>246</v>
      </c>
      <c r="C71" s="98" t="e">
        <f>SUM(SUMIF(#REF!,"&lt;0"),SUMIF(#REF!, "&lt;0"))</f>
        <v>#REF!</v>
      </c>
      <c r="D71" s="98" t="e">
        <f>SUM(SUMIF(#REF!,"&lt;0"),SUMIF(#REF!, "&lt;0"))</f>
        <v>#REF!</v>
      </c>
      <c r="E71" s="98" t="e">
        <f>SUM(SUMIF(#REF!,"&lt;0"),SUMIF(#REF!, "&lt;0"))</f>
        <v>#REF!</v>
      </c>
      <c r="F71" s="99" t="e">
        <f t="shared" ref="F71:F72" si="6">SUM(C71:E71)</f>
        <v>#REF!</v>
      </c>
      <c r="G71" s="100" t="e">
        <f>SUM(SUMIF(#REF!,"&lt;0"),SUMIF(#REF!, "&lt;0"))</f>
        <v>#REF!</v>
      </c>
      <c r="H71" s="100" t="e">
        <f>SUM(SUMIF(#REF!,"&lt;0"),SUMIF(#REF!, "&lt;0"))</f>
        <v>#REF!</v>
      </c>
      <c r="I71" s="103" t="e">
        <f>SUM(SUMIF(#REF!,"&lt;0"),SUMIF(#REF!, "&lt;0"))</f>
        <v>#REF!</v>
      </c>
    </row>
    <row r="72" spans="2:9" ht="15" thickBot="1" x14ac:dyDescent="0.4">
      <c r="B72" s="56" t="s">
        <v>148</v>
      </c>
      <c r="C72" s="107" t="e">
        <f>SUM(#REF!)</f>
        <v>#REF!</v>
      </c>
      <c r="D72" s="107" t="e">
        <f>SUM(#REF!)</f>
        <v>#REF!</v>
      </c>
      <c r="E72" s="107" t="e">
        <f>SUM(#REF!)</f>
        <v>#REF!</v>
      </c>
      <c r="F72" s="108" t="e">
        <f t="shared" si="6"/>
        <v>#REF!</v>
      </c>
      <c r="G72" s="107" t="e">
        <f>SUM(#REF!)</f>
        <v>#REF!</v>
      </c>
      <c r="H72" s="107" t="e">
        <f>SUM(#REF!)</f>
        <v>#REF!</v>
      </c>
      <c r="I72" s="107" t="e">
        <f>SUM(#REF!)</f>
        <v>#REF!</v>
      </c>
    </row>
    <row r="73" spans="2:9" ht="15" thickBot="1" x14ac:dyDescent="0.4">
      <c r="B73" s="109" t="s">
        <v>247</v>
      </c>
      <c r="C73" s="114" t="e">
        <f>SUM(C70:C72)</f>
        <v>#REF!</v>
      </c>
      <c r="D73" s="114" t="e">
        <f t="shared" ref="D73:E73" si="7">SUM(D70:D72)</f>
        <v>#REF!</v>
      </c>
      <c r="E73" s="114" t="e">
        <f t="shared" si="7"/>
        <v>#REF!</v>
      </c>
      <c r="F73" s="116" t="e">
        <f>SUM(F70:F72)</f>
        <v>#REF!</v>
      </c>
      <c r="G73" s="117" t="e">
        <f>SUM(G70:G72)</f>
        <v>#REF!</v>
      </c>
      <c r="H73" s="117" t="e">
        <f>SUM(H70:H72)</f>
        <v>#REF!</v>
      </c>
      <c r="I73" s="114" t="e">
        <f>SUM(I70:I72)</f>
        <v>#REF!</v>
      </c>
    </row>
    <row r="75" spans="2:9" ht="15" thickBot="1" x14ac:dyDescent="0.4"/>
    <row r="76" spans="2:9" ht="26.9" customHeight="1" thickBot="1" x14ac:dyDescent="0.4">
      <c r="B76" s="13" t="s">
        <v>149</v>
      </c>
      <c r="C76" s="491" t="s">
        <v>248</v>
      </c>
      <c r="D76" s="492"/>
      <c r="E76" s="119"/>
      <c r="F76" s="119"/>
      <c r="G76" s="119"/>
      <c r="H76" s="119"/>
      <c r="I76" s="119"/>
    </row>
    <row r="77" spans="2:9" ht="37.5" customHeight="1" thickBot="1" x14ac:dyDescent="0.4">
      <c r="B77" s="3" t="s">
        <v>217</v>
      </c>
      <c r="C77" s="10" t="s">
        <v>249</v>
      </c>
      <c r="D77" s="10" t="s">
        <v>250</v>
      </c>
      <c r="E77" s="119"/>
      <c r="F77" s="119"/>
      <c r="G77" s="119"/>
      <c r="H77" s="119"/>
      <c r="I77" s="119"/>
    </row>
    <row r="78" spans="2:9" ht="15" thickBot="1" x14ac:dyDescent="0.4">
      <c r="B78" s="3"/>
      <c r="C78" s="10" t="s">
        <v>211</v>
      </c>
      <c r="D78" s="10" t="s">
        <v>212</v>
      </c>
      <c r="E78" s="119"/>
      <c r="F78" s="119"/>
      <c r="G78" s="119"/>
      <c r="H78" s="119"/>
      <c r="I78" s="119"/>
    </row>
    <row r="79" spans="2:9" ht="15" thickBot="1" x14ac:dyDescent="0.4">
      <c r="B79" s="97" t="s">
        <v>251</v>
      </c>
      <c r="C79" s="98">
        <f>SUMIFS(RenewableElectricityTable[Total kWh generated],RenewableElectricityTable[Renewable Type], "Renewable electricity",RenewableElectricityTable[Location],"Onsite")</f>
        <v>0</v>
      </c>
      <c r="D79" s="98">
        <f>SUMIFS(RenewableElectricityTable[kWh exported to other PSB], RenewableElectricityTable[Renewable Type], "Renewable electricity", RenewableElectricityTable[Location],"Onsite")+SUMIFS(RenewableElectricityTable[kWh exported to grid], RenewableElectricityTable[Renewable Type], "Renewable electricity", RenewableElectricityTable[Location],"Onsite")</f>
        <v>0</v>
      </c>
      <c r="E79" s="119"/>
      <c r="F79" s="133"/>
      <c r="G79" s="133"/>
      <c r="H79" s="133"/>
      <c r="I79" s="133"/>
    </row>
    <row r="80" spans="2:9" ht="15" thickBot="1" x14ac:dyDescent="0.4">
      <c r="B80" s="97" t="s">
        <v>252</v>
      </c>
      <c r="C80" s="98">
        <f>SUMIFS(RenewableElectricityTable[Total kWh generated],RenewableElectricityTable[Renewable Type], "Renewable electricity",RenewableElectricityTable[Location],"Offsite")</f>
        <v>0</v>
      </c>
      <c r="D80" s="98">
        <f>SUMIFS(RenewableElectricityTable[kWh exported to other PSB], RenewableElectricityTable[Renewable Type], "Renewable electricity", RenewableElectricityTable[Location],"Offsite")+SUMIFS(RenewableElectricityTable[kWh exported to grid], RenewableElectricityTable[Renewable Type], "Renewable electricity", RenewableElectricityTable[Location],"Offsite")</f>
        <v>0</v>
      </c>
      <c r="E80" s="119"/>
      <c r="F80" s="133"/>
      <c r="G80" s="133"/>
      <c r="H80" s="133"/>
      <c r="I80" s="133"/>
    </row>
    <row r="81" spans="2:11" ht="15" thickBot="1" x14ac:dyDescent="0.4">
      <c r="B81" s="97" t="s">
        <v>253</v>
      </c>
      <c r="C81" s="98">
        <f>SUMIFS(OnsiteHeatTable[Total kWh generated],OnsiteHeatTable[Renewable Type], "Renewable heat",OnsiteHeatTable[Location],"Onsite")</f>
        <v>0</v>
      </c>
      <c r="D81" s="98">
        <f>SUMIFS(OnsiteHeatTable[kWh exported to other PSB], OnsiteHeatTable[Renewable Type], "Renewable heat", OnsiteHeatTable[Location],"Onsite")+SUMIFS(OnsiteHeatTable[kWh exported to a heat network], OnsiteHeatTable[Renewable Type], "Renewable heat", OnsiteHeatTable[Location],"Onsite")</f>
        <v>0</v>
      </c>
      <c r="E81" s="134"/>
      <c r="F81" s="135"/>
      <c r="G81" s="136"/>
      <c r="H81" s="137"/>
      <c r="I81" s="137"/>
    </row>
    <row r="82" spans="2:11" ht="15" thickBot="1" x14ac:dyDescent="0.4">
      <c r="B82" s="97" t="s">
        <v>254</v>
      </c>
      <c r="C82" s="98">
        <f>SUMIFS(OffsiteHeatTable[Total kWh generated],OffsiteHeatTable[Renewable Type], "Renewable heat",OffsiteHeatTable[Location],"Offsite")</f>
        <v>0</v>
      </c>
      <c r="D82" s="98">
        <f>SUMIFS(OffsiteHeatTable[kWh exported to other PSB], OffsiteHeatTable[Renewable Type], "Renewable heat", OffsiteHeatTable[Location],"Offsite")+SUMIFS(OffsiteHeatTable[kWh exported to grid], OffsiteHeatTable[Renewable Type], "Renewable heat", OffsiteHeatTable[Location],"Offsite")</f>
        <v>0</v>
      </c>
      <c r="E82" s="134"/>
      <c r="F82" s="135"/>
      <c r="G82" s="136"/>
      <c r="H82" s="137"/>
      <c r="I82" s="137"/>
    </row>
    <row r="83" spans="2:11" ht="15" thickBot="1" x14ac:dyDescent="0.4">
      <c r="B83" s="97" t="s">
        <v>255</v>
      </c>
      <c r="C83" s="98">
        <f>SUMIF(OnsiteHeatTable[Renewable Type], "Renewable CHP", OnsiteHeatTable[Total kWh generated])</f>
        <v>0</v>
      </c>
      <c r="D83" s="98">
        <f>SUMIF(OnsiteHeatTable[Renewable Type], "Renewable CHP", OnsiteHeatTable[kWh exported to other PSB])+SUMIF(OnsiteHeatTable[Renewable Type], "Renewable CHP", OnsiteHeatTable[kWh exported to a heat network])</f>
        <v>0</v>
      </c>
      <c r="E83" s="125"/>
      <c r="F83" s="138"/>
      <c r="G83" s="139"/>
      <c r="H83" s="140"/>
      <c r="I83" s="140"/>
      <c r="J83" s="141"/>
    </row>
    <row r="84" spans="2:11" ht="15" thickBot="1" x14ac:dyDescent="0.4">
      <c r="B84" s="97" t="s">
        <v>256</v>
      </c>
      <c r="C84" s="98">
        <f>SUMIF(OffsiteHeatTable[Renewable Type], "Renewable CHP", OffsiteHeatTable[Total kWh generated])</f>
        <v>0</v>
      </c>
      <c r="D84" s="98">
        <f>SUMIF(OffsiteHeatTable[Renewable Type], "Renewable CHP", OffsiteHeatTable[kWh exported to other PSB])+SUMIF(OffsiteHeatTable[Renewable Type], "Renewable CHP", OffsiteHeatTable[kWh exported to grid])</f>
        <v>0</v>
      </c>
      <c r="E84" s="129"/>
      <c r="F84" s="129"/>
      <c r="G84" s="132"/>
      <c r="H84" s="142"/>
      <c r="I84" s="142"/>
      <c r="J84" s="18"/>
      <c r="K84" s="17"/>
    </row>
    <row r="85" spans="2:11" ht="15" thickBot="1" x14ac:dyDescent="0.4">
      <c r="B85" s="97" t="s">
        <v>257</v>
      </c>
      <c r="C85" s="98">
        <f>SUMIF(PurchasedRenewablesTable[Renewable Type], "Purchased renewable heat", PurchasedRenewablesTable[Total kWh purchased])</f>
        <v>0</v>
      </c>
      <c r="D85" s="143"/>
      <c r="E85" s="129"/>
      <c r="F85" s="129"/>
      <c r="G85" s="132"/>
      <c r="H85" s="142"/>
      <c r="I85" s="142"/>
      <c r="J85" s="18"/>
      <c r="K85" s="17"/>
    </row>
    <row r="86" spans="2:11" ht="15" thickBot="1" x14ac:dyDescent="0.4">
      <c r="B86" s="97" t="s">
        <v>258</v>
      </c>
      <c r="C86" s="98">
        <f>SUMIF(PurchasedRenewablesTable[Renewable Type], "Purchased renewable electricity", PurchasedRenewablesTable[Total kWh purchased])</f>
        <v>0</v>
      </c>
      <c r="D86" s="143"/>
      <c r="E86" s="129"/>
      <c r="F86" s="129"/>
      <c r="G86" s="132"/>
      <c r="H86" s="142"/>
      <c r="I86" s="142"/>
      <c r="J86" s="18"/>
      <c r="K86" s="17"/>
    </row>
    <row r="87" spans="2:11" x14ac:dyDescent="0.35">
      <c r="B87" s="109" t="str">
        <f>B76</f>
        <v>Renewables</v>
      </c>
      <c r="C87" s="114">
        <f>SUM(C81:C86)</f>
        <v>0</v>
      </c>
      <c r="D87" s="144">
        <f>SUM(D81:D86)</f>
        <v>0</v>
      </c>
      <c r="E87" s="12"/>
      <c r="F87" s="12"/>
      <c r="G87" s="12"/>
      <c r="H87" s="12"/>
      <c r="I87" s="15"/>
      <c r="J87" s="15"/>
    </row>
    <row r="88" spans="2:11" x14ac:dyDescent="0.35">
      <c r="I88" s="14"/>
      <c r="J88" s="14"/>
    </row>
    <row r="89" spans="2:11" x14ac:dyDescent="0.35">
      <c r="I89" s="14"/>
      <c r="J89" s="14"/>
    </row>
    <row r="90" spans="2:11" ht="18.5" x14ac:dyDescent="0.35">
      <c r="B90" s="13"/>
    </row>
    <row r="114" spans="6:13" x14ac:dyDescent="0.35">
      <c r="F114" s="11"/>
      <c r="G114" s="18"/>
      <c r="H114" s="18"/>
      <c r="I114" s="18"/>
      <c r="J114" s="18"/>
      <c r="K114" s="17"/>
      <c r="L114" s="12"/>
      <c r="M114" s="12"/>
    </row>
    <row r="115" spans="6:13" x14ac:dyDescent="0.35">
      <c r="G115" s="12"/>
      <c r="H115" s="12"/>
      <c r="I115" s="12"/>
      <c r="J115" s="12"/>
    </row>
  </sheetData>
  <mergeCells count="8">
    <mergeCell ref="C76:D76"/>
    <mergeCell ref="C32:I32"/>
    <mergeCell ref="B3:I3"/>
    <mergeCell ref="C12:I12"/>
    <mergeCell ref="C23:I23"/>
    <mergeCell ref="C41:I41"/>
    <mergeCell ref="C6:I6"/>
    <mergeCell ref="C67:I67"/>
  </mergeCells>
  <dataValidations disablePrompts="1" count="1">
    <dataValidation type="list" allowBlank="1" showInputMessage="1" showErrorMessage="1" sqref="B35:B37 B44:B63 B15:B20 B26:B29 B79 B81:B86" xr:uid="{00000000-0002-0000-0100-000000000000}">
      <formula1>Type</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C14D-FC00-4C84-815B-E9F98D2D9638}">
  <sheetPr codeName="Sheet10">
    <tabColor theme="5"/>
  </sheetPr>
  <dimension ref="B1:X86"/>
  <sheetViews>
    <sheetView showGridLines="0" topLeftCell="A48" zoomScaleNormal="100" workbookViewId="0">
      <selection activeCell="E24" sqref="E24"/>
    </sheetView>
  </sheetViews>
  <sheetFormatPr defaultColWidth="8.7265625" defaultRowHeight="14" x14ac:dyDescent="0.3"/>
  <cols>
    <col min="1" max="1" width="1.54296875" style="147" customWidth="1"/>
    <col min="2" max="2" width="32.54296875" style="146" customWidth="1"/>
    <col min="3" max="3" width="1.54296875" style="147" customWidth="1"/>
    <col min="4" max="4" width="3.54296875" style="147" customWidth="1"/>
    <col min="5" max="5" width="70.26953125" style="147" customWidth="1"/>
    <col min="6" max="6" width="14" style="147" customWidth="1"/>
    <col min="7" max="7" width="15.7265625" style="147" customWidth="1"/>
    <col min="8" max="8" width="14.54296875" style="147" customWidth="1"/>
    <col min="9" max="9" width="14.453125" style="147" customWidth="1"/>
    <col min="10" max="10" width="8.7265625" style="147"/>
    <col min="11" max="11" width="8.81640625" style="147" bestFit="1" customWidth="1"/>
    <col min="12" max="16384" width="8.7265625" style="147"/>
  </cols>
  <sheetData>
    <row r="1" spans="2:24" s="150" customFormat="1" ht="15.5" x14ac:dyDescent="0.35">
      <c r="B1" s="196" t="s">
        <v>186</v>
      </c>
      <c r="E1" s="200" t="s">
        <v>61</v>
      </c>
      <c r="F1" s="201">
        <f>cl_year_select</f>
        <v>0</v>
      </c>
      <c r="G1" s="190"/>
    </row>
    <row r="2" spans="2:24" s="153" customFormat="1" x14ac:dyDescent="0.3">
      <c r="B2" s="197" t="s">
        <v>259</v>
      </c>
      <c r="E2" s="202" t="s">
        <v>64</v>
      </c>
      <c r="F2" s="203">
        <f>cl_org_name_select</f>
        <v>0</v>
      </c>
    </row>
    <row r="4" spans="2:24" ht="14.5" x14ac:dyDescent="0.35">
      <c r="B4" s="159" t="s">
        <v>10</v>
      </c>
      <c r="E4" s="191" t="s">
        <v>1</v>
      </c>
      <c r="F4"/>
    </row>
    <row r="5" spans="2:24" ht="14.5" customHeight="1" x14ac:dyDescent="0.35">
      <c r="B5" s="455" t="s">
        <v>260</v>
      </c>
      <c r="E5" s="162" t="s">
        <v>37</v>
      </c>
      <c r="F5"/>
    </row>
    <row r="6" spans="2:24" ht="14.5" x14ac:dyDescent="0.35">
      <c r="B6" s="455"/>
      <c r="E6" s="170" t="s">
        <v>38</v>
      </c>
      <c r="F6"/>
      <c r="G6" s="151"/>
    </row>
    <row r="7" spans="2:24" ht="14.5" x14ac:dyDescent="0.35">
      <c r="B7" s="455"/>
      <c r="E7" s="192" t="s">
        <v>39</v>
      </c>
      <c r="F7"/>
    </row>
    <row r="8" spans="2:24" ht="16" customHeight="1" thickBot="1" x14ac:dyDescent="0.35">
      <c r="B8" s="455"/>
      <c r="E8" s="176"/>
      <c r="F8" s="176"/>
      <c r="G8" s="177"/>
      <c r="H8" s="176"/>
      <c r="I8" s="176"/>
      <c r="J8" s="176"/>
      <c r="K8" s="176"/>
      <c r="L8" s="176"/>
      <c r="M8" s="176"/>
      <c r="N8" s="176"/>
      <c r="O8" s="176"/>
      <c r="P8" s="176"/>
      <c r="Q8" s="176"/>
      <c r="R8" s="176"/>
      <c r="S8" s="176"/>
      <c r="T8" s="176"/>
      <c r="U8" s="176"/>
    </row>
    <row r="9" spans="2:24" x14ac:dyDescent="0.3">
      <c r="B9" s="455"/>
      <c r="G9" s="151"/>
    </row>
    <row r="10" spans="2:24" x14ac:dyDescent="0.3">
      <c r="B10" s="455"/>
      <c r="E10" s="160" t="s">
        <v>261</v>
      </c>
    </row>
    <row r="11" spans="2:24" x14ac:dyDescent="0.3">
      <c r="B11" s="455"/>
    </row>
    <row r="12" spans="2:24" ht="14.5" x14ac:dyDescent="0.35">
      <c r="B12" s="455"/>
      <c r="E12" s="312" t="s">
        <v>262</v>
      </c>
      <c r="F12" s="313" t="s">
        <v>211</v>
      </c>
      <c r="G12" s="313" t="s">
        <v>212</v>
      </c>
      <c r="H12" s="313" t="s">
        <v>213</v>
      </c>
      <c r="I12" s="313" t="s">
        <v>208</v>
      </c>
      <c r="W12"/>
      <c r="X12"/>
    </row>
    <row r="13" spans="2:24" ht="14.5" x14ac:dyDescent="0.35">
      <c r="B13" s="455"/>
      <c r="E13" s="317" t="s">
        <v>263</v>
      </c>
      <c r="F13" s="318">
        <f>SUM(Totals!$T$9:$T$2509)</f>
        <v>0</v>
      </c>
      <c r="G13" s="318">
        <f>SUM(Totals!$U$9:$U$2509)</f>
        <v>0</v>
      </c>
      <c r="H13" s="318">
        <f>SUM(Totals!$V$9:$Y$2509)</f>
        <v>0</v>
      </c>
      <c r="I13" s="319">
        <f>SUM(Totals!$Z$9:$Z$2509)</f>
        <v>0</v>
      </c>
      <c r="W13"/>
      <c r="X13"/>
    </row>
    <row r="14" spans="2:24" x14ac:dyDescent="0.3">
      <c r="B14" s="455"/>
      <c r="F14" s="315"/>
      <c r="G14" s="315"/>
      <c r="H14" s="315"/>
      <c r="I14" s="316"/>
    </row>
    <row r="15" spans="2:24" x14ac:dyDescent="0.3">
      <c r="B15" s="455"/>
      <c r="E15" s="160" t="s">
        <v>264</v>
      </c>
    </row>
    <row r="16" spans="2:24" x14ac:dyDescent="0.3">
      <c r="B16" s="455"/>
    </row>
    <row r="17" spans="2:9" x14ac:dyDescent="0.3">
      <c r="B17" s="455"/>
      <c r="E17" s="312" t="s">
        <v>262</v>
      </c>
      <c r="F17" s="313" t="s">
        <v>211</v>
      </c>
      <c r="G17" s="313" t="s">
        <v>212</v>
      </c>
      <c r="H17" s="313" t="s">
        <v>213</v>
      </c>
      <c r="I17" s="313" t="s">
        <v>208</v>
      </c>
    </row>
    <row r="18" spans="2:9" x14ac:dyDescent="0.3">
      <c r="B18" s="455"/>
      <c r="E18" s="192" t="s">
        <v>265</v>
      </c>
      <c r="F18" s="318">
        <f>SUMIF(Totals!$F$9:$F$2509,$E18,Totals!$T$9:$T$2509)</f>
        <v>0</v>
      </c>
      <c r="G18" s="318">
        <f>SUMIF(Totals!$F$9:$F$2509,$E18,Totals!$U$9:$U$2509)</f>
        <v>0</v>
      </c>
      <c r="H18" s="318">
        <f>SUMIF(Totals!$F$9:$F$2509,$E18,Totals!$V$9:$V$2509)+SUMIF(Totals!$F$9:$F$2509,$E18,Totals!$W$9:$W$2509)+SUMIF(Totals!$F$9:$F$2509,$E18,Totals!$X$9:$X$2509)+SUMIF(Totals!$F$9:$F$2509,$E18,Totals!$Y$9:$Y$2509)</f>
        <v>0</v>
      </c>
      <c r="I18" s="319">
        <f>SUMIF(Totals!$F$9:$F$2509,$E18,Totals!$Z$9:$Z$2509)</f>
        <v>0</v>
      </c>
    </row>
    <row r="19" spans="2:9" x14ac:dyDescent="0.3">
      <c r="B19" s="455"/>
      <c r="E19" s="192" t="s">
        <v>266</v>
      </c>
      <c r="F19" s="318">
        <f>SUMIF(Totals!$F$9:$F$2509,$E19,Totals!$T$9:$T$2509)</f>
        <v>0</v>
      </c>
      <c r="G19" s="318">
        <f>SUMIF(Totals!$F$9:$F$2509,$E19,Totals!$U$9:$U$2509)</f>
        <v>0</v>
      </c>
      <c r="H19" s="318">
        <f>SUMIF(Totals!$F$9:$F$2509,$E19,Totals!$V$9:$V$2509)+SUMIF(Totals!$F$9:$F$2509,$E19,Totals!$W$9:$W$2509)+SUMIF(Totals!$F$9:$F$2509,$E19,Totals!$X$9:$X$2509)+SUMIF(Totals!$F$9:$F$2509,$E19,Totals!$Y$9:$Y$2509)</f>
        <v>0</v>
      </c>
      <c r="I19" s="319">
        <f>SUMIF(Totals!$F$9:$F$2509,$E19,Totals!$Z$9:$Z$2509)</f>
        <v>0</v>
      </c>
    </row>
    <row r="20" spans="2:9" x14ac:dyDescent="0.3">
      <c r="B20" s="455"/>
      <c r="E20" s="192" t="s">
        <v>220</v>
      </c>
      <c r="F20" s="318">
        <f>SUMIF(Totals!$F$9:$F$2509,$E20,Totals!$T$9:$T$2509)</f>
        <v>0</v>
      </c>
      <c r="G20" s="318">
        <f>SUMIF(Totals!$F$9:$F$2509,$E20,Totals!$U$9:$U$2509)</f>
        <v>0</v>
      </c>
      <c r="H20" s="318">
        <f>SUMIF(Totals!$F$9:$F$2509,$E20,Totals!$V$9:$V$2509)+SUMIF(Totals!$F$9:$F$2509,$E20,Totals!$W$9:$W$2509)+SUMIF(Totals!$F$9:$F$2509,$E20,Totals!$X$9:$X$2509)+SUMIF(Totals!$F$9:$F$2509,$E20,Totals!$Y$9:$Y$2509)</f>
        <v>0</v>
      </c>
      <c r="I20" s="319">
        <f>SUMIF(Totals!$F$9:$F$2509,$E20,Totals!$Z$9:$Z$2509)</f>
        <v>0</v>
      </c>
    </row>
    <row r="21" spans="2:9" x14ac:dyDescent="0.3">
      <c r="B21" s="455"/>
      <c r="E21" s="192" t="s">
        <v>267</v>
      </c>
      <c r="F21" s="318">
        <f>SUMIF(Totals!$F$9:$F$2509,$E21,Totals!$T$9:$T$2509)</f>
        <v>0</v>
      </c>
      <c r="G21" s="318">
        <f>SUMIF(Totals!$F$9:$F$2509,$E21,Totals!$U$9:$U$2509)</f>
        <v>0</v>
      </c>
      <c r="H21" s="318">
        <f>SUMIF(Totals!$F$9:$F$2509,$E21,Totals!$V$9:$V$2509)+SUMIF(Totals!$F$9:$F$2509,$E21,Totals!$W$9:$W$2509)+SUMIF(Totals!$F$9:$F$2509,$E21,Totals!$X$9:$X$2509)+SUMIF(Totals!$F$9:$F$2509,$E21,Totals!$Y$9:$Y$2509)</f>
        <v>0</v>
      </c>
      <c r="I21" s="319">
        <f>SUMIF(Totals!$F$9:$F$2509,$E21,Totals!$Z$9:$Z$2509)</f>
        <v>0</v>
      </c>
    </row>
    <row r="22" spans="2:9" x14ac:dyDescent="0.3">
      <c r="B22" s="455"/>
      <c r="E22" s="192" t="s">
        <v>194</v>
      </c>
      <c r="F22" s="318">
        <f>SUMIF(Totals!$F$9:$F$2509,$E22,Totals!$T$9:$T$2509)</f>
        <v>0</v>
      </c>
      <c r="G22" s="318">
        <f>SUMIF(Totals!$F$9:$F$2509,$E22,Totals!$U$9:$U$2509)</f>
        <v>0</v>
      </c>
      <c r="H22" s="318">
        <f>SUMIF(Totals!$F$9:$F$2509,$E22,Totals!$V$9:$V$2509)+SUMIF(Totals!$F$9:$F$2509,$E22,Totals!$W$9:$W$2509)+SUMIF(Totals!$F$9:$F$2509,$E22,Totals!$X$9:$X$2509)+SUMIF(Totals!$F$9:$F$2509,$E22,Totals!$Y$9:$Y$2509)</f>
        <v>0</v>
      </c>
      <c r="I22" s="319">
        <f>SUMIF(Totals!$F$9:$F$2509,$E22,Totals!$Z$9:$Z$2509)</f>
        <v>0</v>
      </c>
    </row>
    <row r="23" spans="2:9" ht="14.5" x14ac:dyDescent="0.35">
      <c r="B23" s="455"/>
      <c r="E23"/>
      <c r="F23"/>
      <c r="G23"/>
      <c r="H23"/>
      <c r="I23"/>
    </row>
    <row r="24" spans="2:9" x14ac:dyDescent="0.3">
      <c r="B24" s="455"/>
      <c r="E24" s="160" t="s">
        <v>268</v>
      </c>
    </row>
    <row r="25" spans="2:9" x14ac:dyDescent="0.3">
      <c r="B25" s="455"/>
    </row>
    <row r="26" spans="2:9" x14ac:dyDescent="0.3">
      <c r="B26" s="161"/>
      <c r="E26" s="312" t="s">
        <v>262</v>
      </c>
      <c r="F26" s="313" t="s">
        <v>211</v>
      </c>
      <c r="G26" s="313" t="s">
        <v>212</v>
      </c>
      <c r="H26" s="313" t="s">
        <v>213</v>
      </c>
      <c r="I26" s="313" t="s">
        <v>208</v>
      </c>
    </row>
    <row r="27" spans="2:9" x14ac:dyDescent="0.3">
      <c r="B27" s="161"/>
      <c r="E27" s="192" t="s">
        <v>130</v>
      </c>
      <c r="F27" s="318">
        <f>SUMIFS(Totals!$T$9:$T$2509,Totals!$G$9:$G$2509,"Buildings",Totals!$I$9:$I$2509,"Electricity")</f>
        <v>0</v>
      </c>
      <c r="G27" s="318">
        <f>SUMIFS(Totals!$U$9:$U$2509,Totals!$G$9:$G$2509,"Buildings",Totals!$I$9:$I$2509,"Electricity")</f>
        <v>0</v>
      </c>
      <c r="H27" s="318">
        <f>SUMIFS(Totals!$V$9:$V$2509,Totals!$G$9:$G$2509,"Buildings",Totals!$I$9:$I$2509,"Electricity")+SUMIFS(Totals!$W$9:$W$2509,Totals!$G$9:$G$2509,"Buildings",Totals!$I$9:$I$2509,"Electricity")+SUMIFS(Totals!$X$9:$X$2509,Totals!$G$9:$G$2509,"Buildings",Totals!$I$9:$I$2509,"Electricity")+SUMIFS(Totals!$Y$9:$Y$2509,Totals!$G$9:$G$2509,"Buildings",Totals!$I$9:$I$2509,"Electricity")</f>
        <v>0</v>
      </c>
      <c r="I27" s="319">
        <f>SUMIFS(Totals!$Z$9:$Z$2509,Totals!$G$9:$G$2509,"Buildings",Totals!$I$9:$I$2509,"Electricity")</f>
        <v>0</v>
      </c>
    </row>
    <row r="28" spans="2:9" x14ac:dyDescent="0.3">
      <c r="B28" s="161"/>
      <c r="E28" s="192" t="s">
        <v>269</v>
      </c>
      <c r="F28" s="318">
        <f t="array" ref="F28">SUMIFS(Totals!$T$9:$T$2509,Totals!$G$9:$G$2509,"Buildings",Totals!$I$9:$I$2509,{"Fossil Fuels","Bioenergy","Heat &amp; Steam"})</f>
        <v>0</v>
      </c>
      <c r="G28" s="318">
        <f t="array" ref="G28">SUMIFS(Totals!$U$9:$U$2509,Totals!$G$9:$G$2509,"Buildings",Totals!$I$9:$I$2509,{"Fossil Fuels","Bioenergy","Heat &amp; Steam"})</f>
        <v>0</v>
      </c>
      <c r="H28" s="318">
        <f t="array" ref="H28">SUMIFS(Totals!$V$9:$V$2509,Totals!$G$9:$G$2509,"Buildings",Totals!$I$9:$I$2509,{"Fossil Fuels","Bioenergy","Heat &amp; Steam"})+SUMIFS(Totals!$W$9:$W$2509,Totals!$G$9:$G$2509,"Buildings",Totals!$I$9:$I$2509,{"Fossil Fuels","Bioenergy","Heat &amp; Steam"})+SUMIFS(Totals!$X$9:$X$2509,Totals!$G$9:$G$2509,"Buildings",Totals!$I$9:$I$2509,{"Fossil Fuels","Bioenergy","Heat &amp; Steam"})+SUMIFS(Totals!$Y$9:$Y$2509,Totals!$G$9:$G$2509,"Buildings",Totals!$I$9:$I$2509,{"Fossil Fuels","Bioenergy","Heat &amp; Steam"})</f>
        <v>0</v>
      </c>
      <c r="I28" s="319">
        <f t="array" ref="I28">SUMIFS(Totals!$Z$9:$Z$2509,Totals!$G$9:$G$2509,"Buildings",Totals!$I$9:$I$2509,{"Fossil Fuels","Bioenergy","Heat &amp; Steam"})</f>
        <v>0</v>
      </c>
    </row>
    <row r="29" spans="2:9" x14ac:dyDescent="0.3">
      <c r="B29" s="161"/>
      <c r="E29" s="192" t="s">
        <v>132</v>
      </c>
      <c r="F29" s="318">
        <f>SUMIFS(Totals!$T$9:$T$2509,Totals!$G$9:$G$2509,"Buildings",Totals!$I$9:$I$2509,"Water")</f>
        <v>0</v>
      </c>
      <c r="G29" s="318">
        <f>SUMIFS(Totals!$U$9:$U$2509,Totals!$G$9:$G$2509,"Buildings",Totals!$I$9:$I$2509,"Water")</f>
        <v>0</v>
      </c>
      <c r="H29" s="318">
        <f>SUMIFS(Totals!$V$9:$V$2509,Totals!$G$9:$G$2509,"Buildings",Totals!$I$9:$I$2509,"Water")+SUMIFS(Totals!$W$9:$W$2509,Totals!$G$9:$G$2509,"Buildings",Totals!$I$9:$I$2509,"Water")+SUMIFS(Totals!$X$9:$X$2509,Totals!$G$9:$G$2509,"Buildings",Totals!$I$9:$I$2509,"Water")+SUMIFS(Totals!$Y$9:$Y$2509,Totals!$G$9:$G$2509,"Buildings",Totals!$I$9:$I$2509,"Water")</f>
        <v>0</v>
      </c>
      <c r="I29" s="319">
        <f>SUMIFS(Totals!$Z$9:$Z$2509,Totals!$G$9:$G$2509,"Buildings",Totals!$I$9:$I$2509,"Water")</f>
        <v>0</v>
      </c>
    </row>
    <row r="30" spans="2:9" x14ac:dyDescent="0.3">
      <c r="B30" s="161"/>
      <c r="E30" s="192" t="s">
        <v>270</v>
      </c>
      <c r="F30" s="318">
        <f>SUMIFS(Totals!$T$9:$T$2509,Totals!$G$9:$G$2509,"Buildings",Totals!$I$9:$I$2509,"Refrigerants")</f>
        <v>0</v>
      </c>
      <c r="G30" s="318">
        <f>SUMIFS(Totals!$U$9:$U$2509,Totals!$G$9:$G$2509,"Buildings",Totals!$I$9:$I$2509,"Refrigerants")</f>
        <v>0</v>
      </c>
      <c r="H30" s="318">
        <f>SUMIFS(Totals!$V$9:$V$2509,Totals!$G$9:$G$2509,"Buildings",Totals!$I$9:$I$2509,"Refrigerants")+SUMIFS(Totals!$W$9:$W$2509,Totals!$G$9:$G$2509,"Buildings",Totals!$I$9:$I$2509,"Refrigerants")+SUMIFS(Totals!$X$9:$X$2509,Totals!$G$9:$G$2509,"Buildings",Totals!$I$9:$I$2509,"Refrigerants")+SUMIFS(Totals!$Y$9:$Y$2509,Totals!$G$9:$G$2509,"Buildings",Totals!$I$9:$I$2509,"Refrigerants")</f>
        <v>0</v>
      </c>
      <c r="I30" s="319">
        <f>SUMIFS(Totals!$Z$9:$Z$2509,Totals!$G$9:$G$2509,"Buildings",Totals!$I$9:$I$2509,"Refrigerants")</f>
        <v>0</v>
      </c>
    </row>
    <row r="31" spans="2:9" x14ac:dyDescent="0.3">
      <c r="B31" s="161"/>
      <c r="E31" s="192" t="s">
        <v>187</v>
      </c>
      <c r="F31" s="318">
        <f>SUMIFS(Totals!$T$9:$T$2509,Totals!$G$9:$G$2509,"Streetlighting",Totals!$I$9:$I$2509,"Electricity")</f>
        <v>0</v>
      </c>
      <c r="G31" s="318">
        <f>SUMIFS(Totals!$U$9:$U$2509,Totals!$G$9:$G$2509,"Streetlighting",Totals!$I$9:$I$2509,"Electricity")</f>
        <v>0</v>
      </c>
      <c r="H31" s="318">
        <f>SUMIFS(Totals!$V$9:$V$2509,Totals!$G$9:$G$2509,"Streetlighting",Totals!$I$9:$I$2509,"Electricity")+SUMIFS(Totals!$W$9:$W$2509,Totals!$G$9:$G$2509,"Streetlighting",Totals!$I$9:$I$2509,"Electricity")+SUMIFS(Totals!$X$9:$X$2509,Totals!$G$9:$G$2509,"Streetlighting",Totals!$I$9:$I$2509,"Electricity")+SUMIFS(Totals!$Y$9:$Y$2509,Totals!$G$9:$G$2509,"Streetlighting",Totals!$I$9:$I$2509,"Electricity")</f>
        <v>0</v>
      </c>
      <c r="I31" s="319">
        <f>SUMIFS(Totals!$Z$9:$Z$2509,Totals!$G$9:$G$2509,"Streetlighting",Totals!$I$9:$I$2509,"Electricity")</f>
        <v>0</v>
      </c>
    </row>
    <row r="32" spans="2:9" x14ac:dyDescent="0.3">
      <c r="B32" s="161"/>
    </row>
    <row r="33" spans="2:9" x14ac:dyDescent="0.3">
      <c r="B33" s="161"/>
      <c r="E33" s="160" t="s">
        <v>271</v>
      </c>
    </row>
    <row r="34" spans="2:9" x14ac:dyDescent="0.3">
      <c r="B34" s="161"/>
    </row>
    <row r="35" spans="2:9" x14ac:dyDescent="0.3">
      <c r="B35" s="161"/>
      <c r="E35" s="312" t="s">
        <v>262</v>
      </c>
      <c r="F35" s="313" t="s">
        <v>211</v>
      </c>
      <c r="G35" s="313" t="s">
        <v>212</v>
      </c>
      <c r="H35" s="313" t="s">
        <v>213</v>
      </c>
      <c r="I35" s="313" t="s">
        <v>208</v>
      </c>
    </row>
    <row r="36" spans="2:9" x14ac:dyDescent="0.3">
      <c r="B36" s="161"/>
      <c r="E36" s="192" t="s">
        <v>189</v>
      </c>
      <c r="F36" s="318">
        <f>SUMIFS(Totals!$T$9:$T$2509,Totals!$F$9:$F$2509,"Transport",Totals!$G$9:$G$2509,"Fleet")</f>
        <v>0</v>
      </c>
      <c r="G36" s="318">
        <f>SUMIFS(Totals!$U$9:$U$2509,Totals!$F$9:$F$2509,"Transport",Totals!$G$9:$G$2509,"Fleet")</f>
        <v>0</v>
      </c>
      <c r="H36" s="318">
        <f>SUMIFS(Totals!$V$9:$V$2509,Totals!$F$9:$F$2509,"Transport",Totals!$G$9:$G$2509,"Fleet")+SUMIFS(Totals!$W$9:$W$2509,Totals!$F$9:$F$2509,"Transport",Totals!$G$9:$G$2509,"Fleet")+SUMIFS(Totals!$X$9:$X$2509,Totals!$F$9:$F$2509,"Transport",Totals!$G$9:$G$2509,"Fleet")+SUMIFS(Totals!$Y$9:$Y$2509,Totals!$F$9:$F$2509,"Transport",Totals!$G$9:$G$2509,"Fleet")</f>
        <v>0</v>
      </c>
      <c r="I36" s="319">
        <f>SUMIFS(Totals!$Z$9:$Z$2509,Totals!$F$9:$F$2509,"Transport",Totals!$G$9:$G$2509,"Fleet")</f>
        <v>0</v>
      </c>
    </row>
    <row r="37" spans="2:9" x14ac:dyDescent="0.3">
      <c r="E37" s="192" t="s">
        <v>272</v>
      </c>
      <c r="F37" s="318">
        <f>SUMIFS(Totals!$T$9:$T$2509,Totals!$F$9:$F$2509,"Transport",Totals!$G$9:$G$2509,"Business Travel")</f>
        <v>0</v>
      </c>
      <c r="G37" s="318">
        <f>SUMIFS(Totals!$U$9:$U$2509,Totals!$F$9:$F$2509,"Transport",Totals!$G$9:$G$2509,"Business Travel")</f>
        <v>0</v>
      </c>
      <c r="H37" s="318">
        <f>SUMIFS(Totals!$V$9:$V$2509,Totals!$F$9:$F$2509,"Transport",Totals!$G$9:$G$2509,"Business Travel")+SUMIFS(Totals!$W$9:$W$2509,Totals!$F$9:$F$2509,"Transport",Totals!$G$9:$G$2509,"Business Travel")+SUMIFS(Totals!$X$9:$X$2509,Totals!$F$9:$F$2509,"Transport",Totals!$G$9:$G$2509,"Business Travel")+SUMIFS(Totals!$Y$9:$Y$2509,Totals!$F$9:$F$2509,"Transport",Totals!$G$9:$G$2509,"Business Travel")</f>
        <v>0</v>
      </c>
      <c r="I37" s="319">
        <f>SUMIFS(Totals!$Z$9:$Z$2509,Totals!$F$9:$F$2509,"Transport",Totals!$G$9:$G$2509,"Business Travel")</f>
        <v>0</v>
      </c>
    </row>
    <row r="38" spans="2:9" x14ac:dyDescent="0.3">
      <c r="E38" s="192" t="s">
        <v>192</v>
      </c>
      <c r="F38" s="318">
        <f>SUMIFS(Totals!$T$9:$T$2509,Totals!$F$9:$F$2509,"Transport",Totals!$G$9:$G$2509,"Commuting")</f>
        <v>0</v>
      </c>
      <c r="G38" s="318">
        <f>SUMIFS(Totals!$U$9:$U$2509,Totals!$F$9:$F$2509,"Transport",Totals!$G$9:$G$2509,"Commuting")</f>
        <v>0</v>
      </c>
      <c r="H38" s="318">
        <f>SUMIFS(Totals!$V$9:$V$2509,Totals!$F$9:$F$2509,"Transport",Totals!$G$9:$G$2509,"Commuting")+SUMIFS(Totals!$W$9:$W$2509,Totals!$F$9:$F$2509,"Transport",Totals!$G$9:$G$2509,"Commuting")+SUMIFS(Totals!$X$9:$X$2509,Totals!$F$9:$F$2509,"Transport",Totals!$G$9:$G$2509,"Commuting")+SUMIFS(Totals!$Y$9:$Y$2509,Totals!$F$9:$F$2509,"Transport",Totals!$G$9:$G$2509,"Commuting")</f>
        <v>0</v>
      </c>
      <c r="I38" s="319">
        <f>SUMIFS(Totals!$Z$9:$Z$2509,Totals!$F$9:$F$2509,"Transport",Totals!$G$9:$G$2509,"Commuting")</f>
        <v>0</v>
      </c>
    </row>
    <row r="39" spans="2:9" x14ac:dyDescent="0.3">
      <c r="E39" s="192" t="s">
        <v>193</v>
      </c>
      <c r="F39" s="318">
        <f>SUMIFS(Totals!$T$9:$T$2509,Totals!$F$9:$F$2509,"Transport",Totals!$G$9:$G$2509,"Homeworking")</f>
        <v>0</v>
      </c>
      <c r="G39" s="318">
        <f>SUMIFS(Totals!$U$9:$U$2509,Totals!$F$9:$F$2509,"Transport",Totals!$G$9:$G$2509,"Homeworking")</f>
        <v>0</v>
      </c>
      <c r="H39" s="318">
        <f>SUMIFS(Totals!$V$9:$V$2509,Totals!$F$9:$F$2509,"Transport",Totals!$G$9:$G$2509,"Homeworking")+SUMIFS(Totals!$W$9:$W$2509,Totals!$F$9:$F$2509,"Transport",Totals!$G$9:$G$2509,"Homeworking")+SUMIFS(Totals!$X$9:$X$2509,Totals!$F$9:$F$2509,"Transport",Totals!$G$9:$G$2509,"Homeworking")+SUMIFS(Totals!$Y$9:$Y$2509,Totals!$F$9:$F$2509,"Transport",Totals!$G$9:$G$2509,"Homeworking")</f>
        <v>0</v>
      </c>
      <c r="I39" s="319">
        <f>SUMIFS(Totals!$Z$9:$Z$2509,Totals!$F$9:$F$2509,"Transport",Totals!$G$9:$G$2509,"Homeworking")</f>
        <v>0</v>
      </c>
    </row>
    <row r="40" spans="2:9" ht="14.5" x14ac:dyDescent="0.35">
      <c r="E40"/>
      <c r="F40"/>
      <c r="G40"/>
      <c r="H40"/>
      <c r="I40"/>
    </row>
    <row r="41" spans="2:9" x14ac:dyDescent="0.3">
      <c r="E41" s="160" t="s">
        <v>1842</v>
      </c>
    </row>
    <row r="43" spans="2:9" x14ac:dyDescent="0.3">
      <c r="E43" s="312" t="s">
        <v>262</v>
      </c>
      <c r="F43" s="313" t="s">
        <v>211</v>
      </c>
      <c r="G43" s="313" t="s">
        <v>212</v>
      </c>
      <c r="H43" s="313" t="s">
        <v>213</v>
      </c>
      <c r="I43" s="313" t="s">
        <v>208</v>
      </c>
    </row>
    <row r="44" spans="2:9" x14ac:dyDescent="0.3">
      <c r="E44" s="192" t="s">
        <v>1843</v>
      </c>
      <c r="F44" s="318">
        <f>SUMIFS(Totals!$T$9:$T$2509,Totals!$F$9:$F$2509,"Waste",Totals!$H$9:$H$2509,"Organisational")</f>
        <v>0</v>
      </c>
      <c r="G44" s="318">
        <f>SUMIFS(Totals!$U$9:$U$2509,Totals!$F$9:$F$2509,"Waste",Totals!$H$9:$H$2509,"Organisational")</f>
        <v>0</v>
      </c>
      <c r="H44" s="318">
        <f>SUMIFS(Totals!$V$9:$V$2509,Totals!$F$9:$F$2509,"Waste",Totals!$H$9:H$2509,"Organisational")+SUMIFS(Totals!$W$9:$W$2509,Totals!$F$9:$F$2509,"Waste",Totals!$H$9:H$2509,"Organisational")+SUMIFS(Totals!$X$9:$X$2509,Totals!$F$9:$F$2509,"Waste",Totals!$H$9:H$2509,"Organisational")+SUMIFS(Totals!$Y$9:$Y$2509,Totals!$F$9:$F$2509,"Waste",Totals!$H$9:H$2509,"Organisational")</f>
        <v>0</v>
      </c>
      <c r="I44" s="319">
        <f>SUMIFS(Totals!$Z$9:$Z$2509,Totals!$F$9:$F$2509,"Waste",Totals!$H$9:$H$2509,"Organisational")</f>
        <v>0</v>
      </c>
    </row>
    <row r="45" spans="2:9" x14ac:dyDescent="0.3">
      <c r="E45" s="192" t="s">
        <v>376</v>
      </c>
      <c r="F45" s="318">
        <f>SUMIFS(Totals!$T$9:$T$2509,Totals!$F$9:$F$2509,"Waste",Totals!$H$9:$H$2509,"Municipal")</f>
        <v>0</v>
      </c>
      <c r="G45" s="318">
        <f>SUMIFS(Totals!$U$9:$U$2509,Totals!$F$9:$F$2509,"Waste",Totals!$H$9:$H$2509,"Municipal")</f>
        <v>0</v>
      </c>
      <c r="H45" s="318">
        <f>SUMIFS(Totals!$V$9:$V$2509,Totals!$F$9:$F$2509,"Waste",Totals!$H$9:H$2509,"Municipal")+SUMIFS(Totals!$W$9:$W$2509,Totals!$F$9:$F$2509,"Waste",Totals!$H$9:H$2509,"Municipal")+SUMIFS(Totals!$X$9:$X$2509,Totals!$F$9:$F$2509,"Waste",Totals!$H$9:H$2509,"Municipal")+SUMIFS(Totals!$Y$9:$Y$2509,Totals!$F$9:$F$2509,"Waste",Totals!$H$9:H$2509,"Municipal")</f>
        <v>0</v>
      </c>
      <c r="I45" s="319">
        <f>SUMIFS(Totals!$Z$9:$Z$2509,Totals!$F$9:$F$2509,"Waste",Totals!$H$9:$H$2509,"Municipal")</f>
        <v>0</v>
      </c>
    </row>
    <row r="46" spans="2:9" x14ac:dyDescent="0.3">
      <c r="E46" s="192" t="s">
        <v>378</v>
      </c>
      <c r="F46" s="318">
        <f>SUMIFS(Totals!$T$9:$T$2509,Totals!$F$9:$F$2509,"Waste",Totals!$H$9:$H$2509,"Project")</f>
        <v>0</v>
      </c>
      <c r="G46" s="318">
        <f>SUMIFS(Totals!$U$9:$U$2509,Totals!$F$9:$F$2509,"Waste",Totals!$H$9:$H$2509,"Project")</f>
        <v>0</v>
      </c>
      <c r="H46" s="318">
        <f>SUMIFS(Totals!$V$9:$V$2509,Totals!$F$9:$F$2509,"Waste",Totals!$H$9:H$2509,"Project")+SUMIFS(Totals!$W$9:$W$2509,Totals!$F$9:$F$2509,"Waste",Totals!$H$9:H$2509,"Project")+SUMIFS(Totals!$X$9:$X$2509,Totals!$F$9:$F$2509,"Waste",Totals!$H$9:H$2509,"Project")+SUMIFS(Totals!$Y$9:$Y$2509,Totals!$F$9:$F$2509,"Waste",Totals!$H$9:H$2509,"Project")</f>
        <v>0</v>
      </c>
      <c r="I46" s="319">
        <f>SUMIFS(Totals!$Z$9:$Z$2509,Totals!$F$9:$F$2509,"Waste",Totals!$H$9:$H$2509,"Project")</f>
        <v>0</v>
      </c>
    </row>
    <row r="48" spans="2:9" x14ac:dyDescent="0.3">
      <c r="E48" s="160" t="s">
        <v>1844</v>
      </c>
    </row>
    <row r="50" spans="5:9" x14ac:dyDescent="0.3">
      <c r="E50" s="312" t="s">
        <v>262</v>
      </c>
      <c r="F50" s="313" t="s">
        <v>211</v>
      </c>
      <c r="G50" s="313" t="s">
        <v>212</v>
      </c>
      <c r="H50" s="313" t="s">
        <v>213</v>
      </c>
      <c r="I50" s="313" t="s">
        <v>208</v>
      </c>
    </row>
    <row r="51" spans="5:9" x14ac:dyDescent="0.3">
      <c r="E51" s="192" t="s">
        <v>224</v>
      </c>
      <c r="F51" s="318">
        <f>SUMIFS(Totals!$T$9:$T$2509,Totals!$F$9:$F$2509,"Supply Chain",Totals!$I$9:$I$2509,"Agriculture, forestry and fishing")</f>
        <v>0</v>
      </c>
      <c r="G51" s="318">
        <f>SUMIFS(Totals!$U$9:$U$2509,Totals!$F$9:$F$2509,"Supply Chain",Totals!$I$9:$I$2509,"Agriculture, forestry and fishing")</f>
        <v>0</v>
      </c>
      <c r="H51" s="318">
        <f>SUMIFS(Totals!$V$9:$V$2509,Totals!$F$9:$F$2509,"Supply Chain",Totals!$I$9:$I$2509,"Agriculture, forestry and fishing", Totals!$L$9:$L$2509, "&lt;&gt;Spend-based EF adjustment")+SUMIFS(Totals!$W$9:$W$2509,Totals!$F$9:$F$2509,"Supply Chain",Totals!$I$9:$I$2509,"Agriculture, forestry and fishing", Totals!$L$9:$L$2509, "&lt;&gt;Spend-based EF adjustment")+SUMIFS(Totals!$X$9:$X$2509,Totals!$F$9:$F$2509,"Supply Chain",Totals!$I$9:$I$2509,"Agriculture, forestry and fishing", Totals!$L$9:$L$2509, "&lt;&gt;Spend-based EF adjustment")+SUMIFS(Totals!$Y$9:$Y$2509,Totals!$F$9:$F$2509,"Supply Chain",Totals!$I$9:$I$2509,"Agriculture, forestry and fishing", Totals!$L$9:$L$2509, "&lt;&gt;Spend-based EF adjustment")</f>
        <v>0</v>
      </c>
      <c r="I51" s="319">
        <f>SUMIFS(Totals!$Z$9:$Z$2509,Totals!$F$9:$F$2509,"Supply Chain",Totals!$I$9:$I$2509,"Agriculture, forestry and fishing", Totals!$L$9:$L$2509, "&lt;&gt;Spend-based EF adjustment")</f>
        <v>0</v>
      </c>
    </row>
    <row r="52" spans="5:9" x14ac:dyDescent="0.3">
      <c r="E52" s="400" t="s">
        <v>225</v>
      </c>
      <c r="F52" s="318">
        <f>SUMIFS(Totals!$T$9:$T$2509,Totals!$F$9:$F$2509,"Supply Chain",Totals!$I$9:$I$2509,"Mining and quarrying")</f>
        <v>0</v>
      </c>
      <c r="G52" s="318">
        <f>SUMIFS(Totals!$U$9:$U$2509,Totals!$F$9:$F$2509,"Supply Chain",Totals!$I$9:$I$2509,"Mining and quarrying")</f>
        <v>0</v>
      </c>
      <c r="H52" s="318">
        <f>SUMIFS(Totals!$V$9:$V$2509,Totals!$F$9:$F$2509,"Supply Chain",Totals!$I$9:$I$2509,"Mining and quarrying", Totals!$L$9:$L$2509, "&lt;&gt;Spend-based EF adjustment")+SUMIFS(Totals!$W$9:$W$2509,Totals!$F$9:$F$2509,"Supply Chain",Totals!$I$9:$I$2509,"Mining and quarrying", Totals!$L$9:$L$2509, "&lt;&gt;Spend-based EF adjustment")+SUMIFS(Totals!$X$9:$X$2509,Totals!$F$9:$F$2509,"Supply Chain",Totals!$I$9:$I$2509,"Mining and quarrying", Totals!$L$9:$L$2509, "&lt;&gt;Spend-based EF adjustment")+SUMIFS(Totals!$Y$9:$Y$2509,Totals!$F$9:$F$2509,"Supply Chain",Totals!$I$9:$I$2509,"Mining and quarrying", Totals!$L$9:$L$2509, "&lt;&gt;Spend-based EF adjustment")</f>
        <v>0</v>
      </c>
      <c r="I52" s="319">
        <f>SUMIFS(Totals!$Z$9:$Z$2509,Totals!$F$9:$F$2509,"Supply Chain",Totals!$I$9:$I$2509,"Mining and quarrying")</f>
        <v>0</v>
      </c>
    </row>
    <row r="53" spans="5:9" x14ac:dyDescent="0.3">
      <c r="E53" s="402" t="s">
        <v>226</v>
      </c>
      <c r="F53" s="318">
        <f>SUMIFS(Totals!$T$9:$T$2509,Totals!$F$9:$F$2509,"Supply Chain",Totals!$I$9:$I$2509,"Manufacturing")</f>
        <v>0</v>
      </c>
      <c r="G53" s="318">
        <f>SUMIFS(Totals!$U$9:$U$2509,Totals!$F$9:$F$2509,"Supply Chain",Totals!$I$9:$I$2509,"Manufacturing")</f>
        <v>0</v>
      </c>
      <c r="H53" s="318">
        <f>SUMIFS(Totals!$V$9:$V$2509,Totals!$F$9:$F$2509,"Supply Chain",Totals!$I$9:$I$2509,"Manufacturing", Totals!$L$9:$L$2509, "&lt;&gt;Spend-based EF adjustment")+SUMIFS(Totals!$W$9:$W$2509,Totals!$F$9:$F$2509,"Supply Chain",Totals!$I$9:$I$2509,"Manufacturing", Totals!$L$9:$L$2509, "&lt;&gt;Spend-based EF adjustment")+SUMIFS(Totals!$X$9:$X$2509,Totals!$F$9:$F$2509,"Supply Chain",Totals!$I$9:$I$2509,"Manufacturing", Totals!$L$9:$L$2509, "&lt;&gt;Spend-based EF adjustment")+SUMIFS(Totals!$Y$9:$Y$2509,Totals!$F$9:$F$2509,"Supply Chain",Totals!$I$9:$I$2509,"Manufacturing", Totals!$L$9:$L$2509, "&lt;&gt;Spend-based EF adjustment")</f>
        <v>0</v>
      </c>
      <c r="I53" s="319">
        <f>SUMIFS(Totals!$Z$9:$Z$2509,Totals!$F$9:$F$2509,"Supply Chain",Totals!$I$9:$I$2509,"Manufacturing", Totals!$L$9:$L$2509, "&lt;&gt;Spend-based EF adjustment")</f>
        <v>0</v>
      </c>
    </row>
    <row r="54" spans="5:9" x14ac:dyDescent="0.3">
      <c r="E54" s="404" t="s">
        <v>227</v>
      </c>
      <c r="F54" s="318">
        <f>SUMIFS(Totals!$T$9:$T$2509,Totals!$F$9:$F$2509,"Supply Chain",Totals!$I$9:$I$2509,"Electricity, gas, steam and air conditioning supply")</f>
        <v>0</v>
      </c>
      <c r="G54" s="318">
        <f>SUMIFS(Totals!$U$9:$U$2509,Totals!$F$9:$F$2509,"Supply Chain",Totals!$I$9:$I$2509,"Electricity, gas, steam and air conditioning supply")</f>
        <v>0</v>
      </c>
      <c r="H54" s="318">
        <f>SUMIFS(Totals!$V$9:$V$2509,Totals!$F$9:$F$2509,"Supply Chain",Totals!$I$9:$I$2509,"Electricity, gas, steam and air conditioning supply", Totals!$L$9:$L$2509, "&lt;&gt;Spend-based EF adjustment")+SUMIFS(Totals!$W$9:$W$2509,Totals!$F$9:$F$2509,"Supply Chain",Totals!$I$9:$I$2509,"Electricity, gas, steam and air conditioning supply", Totals!$L$9:$L$2509, "&lt;&gt;Spend-based EF adjustment")+SUMIFS(Totals!$X$9:$X$2509,Totals!$F$9:$F$2509,"Supply Chain",Totals!$I$9:$I$2509,"Electricity, gas, steam and air conditioning supply", Totals!$L$9:$L$2509, "&lt;&gt;Spend-based EF adjustment")+SUMIFS(Totals!$Y$9:$Y$2509,Totals!$F$9:$F$2509,"Supply Chain",Totals!$I$9:$I$2509,"Electricity, gas, steam and air conditioning supply", Totals!$L$9:$L$2509, "&lt;&gt;Spend-based EF adjustment")</f>
        <v>0</v>
      </c>
      <c r="I54" s="319">
        <f>SUMIFS(Totals!$Z$9:$Z$2509,Totals!$F$9:$F$2509,"Supply Chain",Totals!$I$9:$I$2509,"Electricity, gas, steam and air conditioning supply", Totals!$L$9:$L$2509, "&lt;&gt;Spend-based EF adjustment")</f>
        <v>0</v>
      </c>
    </row>
    <row r="55" spans="5:9" x14ac:dyDescent="0.3">
      <c r="E55" s="404" t="s">
        <v>228</v>
      </c>
      <c r="F55" s="318">
        <f>SUMIFS(Totals!$T$9:$T$2509,Totals!$F$9:$F$2509,"Supply Chain",Totals!$I$9:$I$2509,"Water supply; sewerage, waste management and remediation activities")</f>
        <v>0</v>
      </c>
      <c r="G55" s="318">
        <f>SUMIFS(Totals!$U$9:$U$2509,Totals!$F$9:$F$2509,"Supply Chain",Totals!$I$9:$I$2509,"Water supply; sewerage, waste management and remediation activities")</f>
        <v>0</v>
      </c>
      <c r="H55" s="318">
        <f>SUMIFS(Totals!$V$9:$V$2509,Totals!$F$9:$F$2509,"Supply Chain",Totals!$I$9:$I$2509,"Water supply; sewerage, waste management and remediation activities", Totals!$L$9:$L$2509, "&lt;&gt;Spend-based EF adjustment")+SUMIFS(Totals!$W$9:$W$2509,Totals!$F$9:$F$2509,"Supply Chain",Totals!$I$9:$I$2509,"Water supply; sewerage, waste management and remediation activities", Totals!$L$9:$L$2509, "&lt;&gt;Spend-based EF adjustment")+SUMIFS(Totals!$X$9:$X$2509,Totals!$F$9:$F$2509,"Supply Chain",Totals!$I$9:$I$2509,"Water supply; sewerage, waste management and remediation activities", Totals!$L$9:$L$2509, "&lt;&gt;Spend-based EF adjustment")+SUMIFS(Totals!$Y$9:$Y$2509,Totals!$F$9:$F$2509,"Supply Chain",Totals!$I$9:$I$2509,"Water supply; sewerage, waste management and remediation activities", Totals!$L$9:$L$2509, "&lt;&gt;Spend-based EF adjustment")</f>
        <v>0</v>
      </c>
      <c r="I55" s="319">
        <f>SUMIFS(Totals!$Z$9:$Z$2509,Totals!$F$9:$F$2509,"Supply Chain",Totals!$I$9:$I$2509,"Water supply; sewerage, waste management and remediation activities", Totals!$L$9:$L$2509, "&lt;&gt;Spend-based EF adjustment")</f>
        <v>0</v>
      </c>
    </row>
    <row r="56" spans="5:9" x14ac:dyDescent="0.3">
      <c r="E56" s="404" t="s">
        <v>229</v>
      </c>
      <c r="F56" s="318">
        <f>SUMIFS(Totals!$T$9:$T$2509,Totals!$F$9:$F$2509,"Supply Chain",Totals!$I$9:$I$2509,"Construction")</f>
        <v>0</v>
      </c>
      <c r="G56" s="318">
        <f>SUMIFS(Totals!$U$9:$U$2509,Totals!$F$9:$F$2509,"Supply Chain",Totals!$I$9:$I$2509,"Construction")</f>
        <v>0</v>
      </c>
      <c r="H56" s="318">
        <f>SUMIFS(Totals!$V$9:$V$2509,Totals!$F$9:$F$2509,"Supply Chain",Totals!$I$9:$I$2509,"Construction", Totals!$L$9:$L$2509, "&lt;&gt;Spend-based EF adjustment")+SUMIFS(Totals!$W$9:$W$2509,Totals!$F$9:$F$2509,"Supply Chain",Totals!$I$9:$I$2509,"Construction", Totals!$L$9:$L$2509, "&lt;&gt;Spend-based EF adjustment")+SUMIFS(Totals!$X$9:$X$2509,Totals!$F$9:$F$2509,"Supply Chain",Totals!$I$9:$I$2509,"Construction", Totals!$L$9:$L$2509, "&lt;&gt;Spend-based EF adjustment")+SUMIFS(Totals!$Y$9:$Y$2509,Totals!$F$9:$F$2509,"Supply Chain",Totals!$I$9:$I$2509,"Construction", Totals!$L$9:$L$2509, "&lt;&gt;Spend-based EF adjustment")</f>
        <v>0</v>
      </c>
      <c r="I56" s="319">
        <f>SUMIFS(Totals!$Z$9:$Z$2509,Totals!$F$9:$F$2509,"Supply Chain",Totals!$I$9:$I$2509,"Construction", Totals!$L$9:$L$2509, "&lt;&gt;Spend-based EF adjustment")</f>
        <v>0</v>
      </c>
    </row>
    <row r="57" spans="5:9" x14ac:dyDescent="0.3">
      <c r="E57" s="404" t="s">
        <v>230</v>
      </c>
      <c r="F57" s="318">
        <f>SUMIFS(Totals!$T$9:$T$2509,Totals!$F$9:$F$2509,"Supply Chain",Totals!$I$9:$I$2509,"Wholesale and retail trade; repair of motor vehicles and motorcycles")</f>
        <v>0</v>
      </c>
      <c r="G57" s="318">
        <f>SUMIFS(Totals!$U$9:$U$2509,Totals!$F$9:$F$2509,"Supply Chain",Totals!$I$9:$I$2509,"Wholesale and retail trade; repair of motor vehicles and motorcycles")</f>
        <v>0</v>
      </c>
      <c r="H57" s="318">
        <f>SUMIFS(Totals!$V$9:$V$2509,Totals!$F$9:$F$2509,"Supply Chain",Totals!$I$9:$I$2509,"Wholesale and retail trade; repair of motor vehicles and motorcycles", Totals!$L$9:$L$2509, "&lt;&gt;Spend-based EF adjustment")+SUMIFS(Totals!$W$9:$W$2509,Totals!$F$9:$F$2509,"Supply Chain",Totals!$I$9:$I$2509,"Wholesale and retail trade; repair of motor vehicles and motorcycles", Totals!$L$9:$L$2509, "&lt;&gt;Spend-based EF adjustment")+SUMIFS(Totals!$X$9:$X$2509,Totals!$F$9:$F$2509,"Supply Chain",Totals!$I$9:$I$2509,"Wholesale and retail trade; repair of motor vehicles and motorcycles", Totals!$L$9:$L$2509, "&lt;&gt;Spend-based EF adjustment")+SUMIFS(Totals!$Y$9:$Y$2509,Totals!$F$9:$F$2509,"Supply Chain",Totals!$I$9:$I$2509,"Wholesale and retail trade; repair of motor vehicles and motorcycles", Totals!$L$9:$L$2509, "&lt;&gt;Spend-based EF adjustment")</f>
        <v>0</v>
      </c>
      <c r="I57" s="319">
        <f>SUMIFS(Totals!$Z$9:$Z$2509,Totals!$F$9:$F$2509,"Supply Chain",Totals!$I$9:$I$2509,"Wholesale and retail trade; repair of motor vehicles and motorcycles", Totals!$L$9:$L$2509, "&lt;&gt;Spend-based EF adjustment")</f>
        <v>0</v>
      </c>
    </row>
    <row r="58" spans="5:9" x14ac:dyDescent="0.3">
      <c r="E58" s="404" t="s">
        <v>231</v>
      </c>
      <c r="F58" s="318">
        <f>SUMIFS(Totals!$T$9:$T$2509,Totals!$F$9:$F$2509,"Supply Chain",Totals!$I$9:$I$2509,"Transportation and storage")</f>
        <v>0</v>
      </c>
      <c r="G58" s="318">
        <f>SUMIFS(Totals!$U$9:$U$2509,Totals!$F$9:$F$2509,"Supply Chain",Totals!$I$9:$I$2509,"Transportation and storage")</f>
        <v>0</v>
      </c>
      <c r="H58" s="318">
        <f>SUMIFS(Totals!$V$9:$V$2509,Totals!$F$9:$F$2509,"Supply Chain",Totals!$I$9:$I$2509,"Transportation and storage", Totals!$L$9:$L$2509, "&lt;&gt;Spend-based EF adjustment")+SUMIFS(Totals!$W$9:$W$2509,Totals!$F$9:$F$2509,"Supply Chain",Totals!$I$9:$I$2509,"Transportation and storage", Totals!$L$9:$L$2509, "&lt;&gt;Spend-based EF adjustment")+SUMIFS(Totals!$X$9:$X$2509,Totals!$F$9:$F$2509,"Supply Chain",Totals!$I$9:$I$2509,"Transportation and storage", Totals!$L$9:$L$2509, "&lt;&gt;Spend-based EF adjustment")+SUMIFS(Totals!$Y$9:$Y$2509,Totals!$F$9:$F$2509,"Supply Chain",Totals!$I$9:$I$2509,"Transportation and storage", Totals!$L$9:$L$2509, "&lt;&gt;Spend-based EF adjustment")</f>
        <v>0</v>
      </c>
      <c r="I58" s="319">
        <f>SUMIFS(Totals!$Z$9:$Z$2509,Totals!$F$9:$F$2509,"Supply Chain",Totals!$I$9:$I$2509,"Transportation and storage", Totals!$L$9:$L$2509, "&lt;&gt;Spend-based EF adjustment")</f>
        <v>0</v>
      </c>
    </row>
    <row r="59" spans="5:9" x14ac:dyDescent="0.3">
      <c r="E59" s="404" t="s">
        <v>232</v>
      </c>
      <c r="F59" s="318">
        <f>SUMIFS(Totals!$T$9:$T$2509,Totals!$F$9:$F$2509,"Supply Chain",Totals!$I$9:$I$2509,"Accommodation and food service activities")</f>
        <v>0</v>
      </c>
      <c r="G59" s="318">
        <f>SUMIFS(Totals!$U$9:$U$2509,Totals!$F$9:$F$2509,"Supply Chain",Totals!$I$9:$I$2509,"Accommodation and food service activities")</f>
        <v>0</v>
      </c>
      <c r="H59" s="318">
        <f>SUMIFS(Totals!$V$9:$V$2509,Totals!$F$9:$F$2509,"Supply Chain",Totals!$I$9:$I$2509,"Accommodation and food service activities", Totals!$L$9:$L$2509, "&lt;&gt;Spend-based EF adjustment")+SUMIFS(Totals!$W$9:$W$2509,Totals!$F$9:$F$2509,"Supply Chain",Totals!$I$9:$I$2509,"Accommodation and food service activities", Totals!$L$9:$L$2509, "&lt;&gt;Spend-based EF adjustment")+SUMIFS(Totals!$X$9:$X$2509,Totals!$F$9:$F$2509,"Supply Chain",Totals!$I$9:$I$2509,"Accommodation and food service activities", Totals!$L$9:$L$2509, "&lt;&gt;Spend-based EF adjustment")+SUMIFS(Totals!$Y$9:$Y$2509,Totals!$F$9:$F$2509,"Supply Chain",Totals!$I$9:$I$2509,"Accommodation and food service activities", Totals!$L$9:$L$2509, "&lt;&gt;Spend-based EF adjustment")</f>
        <v>0</v>
      </c>
      <c r="I59" s="319">
        <f>SUMIFS(Totals!$Z$9:$Z$2509,Totals!$F$9:$F$2509,"Supply Chain",Totals!$I$9:$I$2509,"Accommodation and food service activities", Totals!$L$9:$L$2509, "&lt;&gt;Spend-based EF adjustment")</f>
        <v>0</v>
      </c>
    </row>
    <row r="60" spans="5:9" x14ac:dyDescent="0.3">
      <c r="E60" s="404" t="s">
        <v>233</v>
      </c>
      <c r="F60" s="318">
        <f>SUMIFS(Totals!$T$9:$T$2509,Totals!$F$9:$F$2509,"Supply Chain",Totals!$I$9:$I$2509,"Information and communication")</f>
        <v>0</v>
      </c>
      <c r="G60" s="318">
        <f>SUMIFS(Totals!$U$9:$U$2509,Totals!$F$9:$F$2509,"Supply Chain",Totals!$I$9:$I$2509,"Information and communication")</f>
        <v>0</v>
      </c>
      <c r="H60" s="318">
        <f>SUMIFS(Totals!$V$9:$V$2509,Totals!$F$9:$F$2509,"Supply Chain",Totals!$I$9:$I$2509,"Information and communication", Totals!$L$9:$L$2509, "&lt;&gt;Spend-based EF adjustment")+SUMIFS(Totals!$W$9:$W$2509,Totals!$F$9:$F$2509,"Supply Chain",Totals!$I$9:$I$2509,"Information and communication", Totals!$L$9:$L$2509, "&lt;&gt;Spend-based EF adjustment")+SUMIFS(Totals!$X$9:$X$2509,Totals!$F$9:$F$2509,"Supply Chain",Totals!$I$9:$I$2509,"Information and communication", Totals!$L$9:$L$2509, "&lt;&gt;Spend-based EF adjustment")+SUMIFS(Totals!$Y$9:$Y$2509,Totals!$F$9:$F$2509,"Supply Chain",Totals!$I$9:$I$2509,"Information and communication", Totals!$L$9:$L$2509, "&lt;&gt;Spend-based EF adjustment")</f>
        <v>0</v>
      </c>
      <c r="I60" s="319">
        <f>SUMIFS(Totals!$Z$9:$Z$2509,Totals!$F$9:$F$2509,"Supply Chain",Totals!$I$9:$I$2509,"Information and communication", Totals!$L$9:$L$2509, "&lt;&gt;Spend-based EF adjustment")</f>
        <v>0</v>
      </c>
    </row>
    <row r="61" spans="5:9" x14ac:dyDescent="0.3">
      <c r="E61" s="404" t="s">
        <v>234</v>
      </c>
      <c r="F61" s="318">
        <f>SUMIFS(Totals!$T$9:$T$2509,Totals!$F$9:$F$2509,"Supply Chain",Totals!$I$9:$I$2509,"Financial and insurance activities")</f>
        <v>0</v>
      </c>
      <c r="G61" s="318">
        <f>SUMIFS(Totals!$U$9:$U$2509,Totals!$F$9:$F$2509,"Supply Chain",Totals!$I$9:$I$2509,"Financial and insurance activities")</f>
        <v>0</v>
      </c>
      <c r="H61" s="318">
        <f>SUMIFS(Totals!$V$9:$V$2509,Totals!$F$9:$F$2509,"Supply Chain",Totals!$I$9:$I$2509,"Financial and insurance activities", Totals!$L$9:$L$2509, "&lt;&gt;Spend-based EF adjustment")+SUMIFS(Totals!$W$9:$W$2509,Totals!$F$9:$F$2509,"Supply Chain",Totals!$I$9:$I$2509,"Financial and insurance activities", Totals!$L$9:$L$2509, "&lt;&gt;Spend-based EF adjustment")+SUMIFS(Totals!$X$9:$X$2509,Totals!$F$9:$F$2509,"Supply Chain",Totals!$I$9:$I$2509,"Financial and insurance activities", Totals!$L$9:$L$2509, "&lt;&gt;Spend-based EF adjustment")+SUMIFS(Totals!$Y$9:$Y$2509,Totals!$F$9:$F$2509,"Supply Chain",Totals!$I$9:$I$2509,"Financial and insurance activities", Totals!$L$9:$L$2509, "&lt;&gt;Spend-based EF adjustment")</f>
        <v>0</v>
      </c>
      <c r="I61" s="319">
        <f>SUMIFS(Totals!$Z$9:$Z$2509,Totals!$F$9:$F$2509,"Supply Chain",Totals!$I$9:$I$2509,"Financial and insurance activities", Totals!$L$9:$L$2509, "&lt;&gt;Spend-based EF adjustment")</f>
        <v>0</v>
      </c>
    </row>
    <row r="62" spans="5:9" x14ac:dyDescent="0.3">
      <c r="E62" s="404" t="s">
        <v>235</v>
      </c>
      <c r="F62" s="318">
        <f>SUMIFS(Totals!$T$9:$T$2509,Totals!$F$9:$F$2509,"Supply Chain",Totals!$I$9:$I$2509,"Real estate activities")</f>
        <v>0</v>
      </c>
      <c r="G62" s="318">
        <f>SUMIFS(Totals!$U$9:$U$2509,Totals!$F$9:$F$2509,"Supply Chain",Totals!$I$9:$I$2509,"Real estate activities")</f>
        <v>0</v>
      </c>
      <c r="H62" s="318">
        <f>SUMIFS(Totals!$V$9:$V$2509,Totals!$F$9:$F$2509,"Supply Chain",Totals!$I$9:$I$2509,"Real estate activities", Totals!$L$9:$L$2509, "&lt;&gt;Spend-based EF adjustment")+SUMIFS(Totals!$W$9:$W$2509,Totals!$F$9:$F$2509,"Supply Chain",Totals!$I$9:$I$2509,"Real estate activities", Totals!$L$9:$L$2509, "&lt;&gt;Spend-based EF adjustment")+SUMIFS(Totals!$X$9:$X$2509,Totals!$F$9:$F$2509,"Supply Chain",Totals!$I$9:$I$2509,"Real estate activities", Totals!$L$9:$L$2509, "&lt;&gt;Spend-based EF adjustment")+SUMIFS(Totals!$Y$9:$Y$2509,Totals!$F$9:$F$2509,"Supply Chain",Totals!$I$9:$I$2509,"Real estate activities", Totals!$L$9:$L$2509, "&lt;&gt;Spend-based EF adjustment")</f>
        <v>0</v>
      </c>
      <c r="I62" s="319">
        <f>SUMIFS(Totals!$Z$9:$Z$2509,Totals!$F$9:$F$2509,"Supply Chain",Totals!$I$9:$I$2509,"Real estate activities", Totals!$L$9:$L$2509, "&lt;&gt;Spend-based EF adjustment")</f>
        <v>0</v>
      </c>
    </row>
    <row r="63" spans="5:9" x14ac:dyDescent="0.3">
      <c r="E63" s="404" t="s">
        <v>236</v>
      </c>
      <c r="F63" s="318">
        <f>SUMIFS(Totals!$T$9:$T$2509,Totals!$F$9:$F$2509,"Supply Chain",Totals!$I$9:$I$2509,"Professional, scientific and technical activities")</f>
        <v>0</v>
      </c>
      <c r="G63" s="318">
        <f>SUMIFS(Totals!$U$9:$U$2509,Totals!$F$9:$F$2509,"Supply Chain",Totals!$I$9:$I$2509,"Professional, scientific and technical activities")</f>
        <v>0</v>
      </c>
      <c r="H63" s="318">
        <f>SUMIFS(Totals!$V$9:$V$2509,Totals!$F$9:$F$2509,"Supply Chain",Totals!$I$9:$I$2509,"Professional, scientific and technical activities", Totals!$L$9:$L$2509, "&lt;&gt;Spend-based EF adjustment")+SUMIFS(Totals!$W$9:$W$2509,Totals!$F$9:$F$2509,"Supply Chain",Totals!$I$9:$I$2509,"Professional, scientific and technical activities", Totals!$L$9:$L$2509, "&lt;&gt;Spend-based EF adjustment")+SUMIFS(Totals!$X$9:$X$2509,Totals!$F$9:$F$2509,"Supply Chain",Totals!$I$9:$I$2509,"Professional, scientific and technical activities", Totals!$L$9:$L$2509, "&lt;&gt;Spend-based EF adjustment")+SUMIFS(Totals!$Y$9:$Y$2509,Totals!$F$9:$F$2509,"Supply Chain",Totals!$I$9:$I$2509,"Professional, scientific and technical activities", Totals!$L$9:$L$2509, "&lt;&gt;Spend-based EF adjustment")</f>
        <v>0</v>
      </c>
      <c r="I63" s="319">
        <f>SUMIFS(Totals!$Z$9:$Z$2509,Totals!$F$9:$F$2509,"Supply Chain",Totals!$I$9:$I$2509,"Professional, scientific and technical activities", Totals!$L$9:$L$2509, "&lt;&gt;Spend-based EF adjustment")</f>
        <v>0</v>
      </c>
    </row>
    <row r="64" spans="5:9" x14ac:dyDescent="0.3">
      <c r="E64" s="404" t="s">
        <v>237</v>
      </c>
      <c r="F64" s="318">
        <f>SUMIFS(Totals!$T$9:$T$2509,Totals!$F$9:$F$2509,"Supply Chain",Totals!$I$9:$I$2509,"Administrative and support service activities")</f>
        <v>0</v>
      </c>
      <c r="G64" s="318">
        <f>SUMIFS(Totals!$U$9:$U$2509,Totals!$F$9:$F$2509,"Supply Chain",Totals!$I$9:$I$2509,"Administrative and support service activities")</f>
        <v>0</v>
      </c>
      <c r="H64" s="318">
        <f>SUMIFS(Totals!$V$9:$V$2509,Totals!$F$9:$F$2509,"Supply Chain",Totals!$I$9:$I$2509,"Administrative and support service activities", Totals!$L$9:$L$2509, "&lt;&gt;Spend-based EF adjustment")+SUMIFS(Totals!$W$9:$W$2509,Totals!$F$9:$F$2509,"Supply Chain",Totals!$I$9:$I$2509,"Administrative and support service activities", Totals!$L$9:$L$2509, "&lt;&gt;Spend-based EF adjustment")+SUMIFS(Totals!$X$9:$X$2509,Totals!$F$9:$F$2509,"Supply Chain",Totals!$I$9:$I$2509,"Administrative and support service activities", Totals!$L$9:$L$2509, "&lt;&gt;Spend-based EF adjustment")+SUMIFS(Totals!$Y$9:$Y$2509,Totals!$F$9:$F$2509,"Supply Chain",Totals!$I$9:$I$2509,"Administrative and support service activities", Totals!$L$9:$L$2509, "&lt;&gt;Spend-based EF adjustment")</f>
        <v>0</v>
      </c>
      <c r="I64" s="319">
        <f>SUMIFS(Totals!$Z$9:$Z$2509,Totals!$F$9:$F$2509,"Supply Chain",Totals!$I$9:$I$2509,"Administrative and support service activities", Totals!$L$9:$L$2509, "&lt;&gt;Spend-based EF adjustment")</f>
        <v>0</v>
      </c>
    </row>
    <row r="65" spans="5:9" x14ac:dyDescent="0.3">
      <c r="E65" s="404" t="s">
        <v>238</v>
      </c>
      <c r="F65" s="318">
        <f>SUMIFS(Totals!$T$9:$T$2509,Totals!$F$9:$F$2509,"Supply Chain",Totals!$I$9:$I$2509,"Public administration and defence; compulsory social security")</f>
        <v>0</v>
      </c>
      <c r="G65" s="318">
        <f>SUMIFS(Totals!$U$9:$U$2509,Totals!$F$9:$F$2509,"Supply Chain",Totals!$I$9:$I$2509,"Public administration and defence; compulsory social security")</f>
        <v>0</v>
      </c>
      <c r="H65" s="318">
        <f>SUMIFS(Totals!$V$9:$V$2509,Totals!$F$9:$F$2509,"Supply Chain",Totals!$I$9:$I$2509,"Public administration and defence; compulsory social security", Totals!$L$9:$L$2509, "&lt;&gt;Spend-based EF adjustment")+SUMIFS(Totals!$W$9:$W$2509,Totals!$F$9:$F$2509,"Supply Chain",Totals!$I$9:$I$2509,"Public administration and defence; compulsory social security", Totals!$L$9:$L$2509, "&lt;&gt;Spend-based EF adjustment")+SUMIFS(Totals!$X$9:$X$2509,Totals!$F$9:$F$2509,"Supply Chain",Totals!$I$9:$I$2509,"Public administration and defence; compulsory social security", Totals!$L$9:$L$2509, "&lt;&gt;Spend-based EF adjustment")+SUMIFS(Totals!$Y$9:$Y$2509,Totals!$F$9:$F$2509,"Supply Chain",Totals!$I$9:$I$2509,"Public administration and defence; compulsory social security", Totals!$L$9:$L$2509, "&lt;&gt;Spend-based EF adjustment")</f>
        <v>0</v>
      </c>
      <c r="I65" s="319">
        <f>SUMIFS(Totals!$Z$9:$Z$2509,Totals!$F$9:$F$2509,"Supply Chain",Totals!$I$9:$I$2509,"Public administration and defence; compulsory social security", Totals!$L$9:$L$2509, "&lt;&gt;Spend-based EF adjustment")</f>
        <v>0</v>
      </c>
    </row>
    <row r="66" spans="5:9" x14ac:dyDescent="0.3">
      <c r="E66" s="404" t="s">
        <v>239</v>
      </c>
      <c r="F66" s="318">
        <f>SUMIFS(Totals!$T$9:$T$2509,Totals!$F$9:$F$2509,"Supply Chain",Totals!$I$9:$I$2509,"Education")</f>
        <v>0</v>
      </c>
      <c r="G66" s="318">
        <f>SUMIFS(Totals!$U$9:$U$2509,Totals!$F$9:$F$2509,"Supply Chain",Totals!$I$9:$I$2509,"Education")</f>
        <v>0</v>
      </c>
      <c r="H66" s="318">
        <f>SUMIFS(Totals!$V$9:$V$2509,Totals!$F$9:$F$2509,"Supply Chain",Totals!$I$9:$I$2509,"Education", Totals!$L$9:$L$2509, "&lt;&gt;Spend-based EF adjustment")+SUMIFS(Totals!$W$9:$W$2509,Totals!$F$9:$F$2509,"Supply Chain",Totals!$I$9:$I$2509,"Education", Totals!$L$9:$L$2509, "&lt;&gt;Spend-based EF adjustment")+SUMIFS(Totals!$X$9:$X$2509,Totals!$F$9:$F$2509,"Supply Chain",Totals!$I$9:$I$2509,"Education", Totals!$L$9:$L$2509, "&lt;&gt;Spend-based EF adjustment")+SUMIFS(Totals!$Y$9:$Y$2509,Totals!$F$9:$F$2509,"Supply Chain",Totals!$I$9:$I$2509,"Education", Totals!$L$9:$L$2509, "&lt;&gt;Spend-based EF adjustment")</f>
        <v>0</v>
      </c>
      <c r="I66" s="319">
        <f>SUMIFS(Totals!$Z$9:$Z$2509,Totals!$F$9:$F$2509,"Supply Chain",Totals!$I$9:$I$2509,"Education", Totals!$L$9:$L$2509, "&lt;&gt;Spend-based EF adjustment")</f>
        <v>0</v>
      </c>
    </row>
    <row r="67" spans="5:9" x14ac:dyDescent="0.3">
      <c r="E67" s="404" t="s">
        <v>240</v>
      </c>
      <c r="F67" s="318">
        <f>SUMIFS(Totals!$T$9:$T$2509,Totals!$F$9:$F$2509,"Supply Chain",Totals!$I$9:$I$2509,"Human health and social work activities")</f>
        <v>0</v>
      </c>
      <c r="G67" s="318">
        <f>SUMIFS(Totals!$U$9:$U$2509,Totals!$F$9:$F$2509,"Supply Chain",Totals!$I$9:$I$2509,"Human health and social work activities")</f>
        <v>0</v>
      </c>
      <c r="H67" s="318">
        <f>SUMIFS(Totals!$V$9:$V$2509,Totals!$F$9:$F$2509,"Supply Chain",Totals!$I$9:$I$2509,"Human health and social work activities", Totals!$L$9:$L$2509, "&lt;&gt;Spend-based EF adjustment")+SUMIFS(Totals!$W$9:$W$2509,Totals!$F$9:$F$2509,"Supply Chain",Totals!$I$9:$I$2509,"Human health and social work activities", Totals!$L$9:$L$2509, "&lt;&gt;Spend-based EF adjustment")+SUMIFS(Totals!$X$9:$X$2509,Totals!$F$9:$F$2509,"Supply Chain",Totals!$I$9:$I$2509,"Human health and social work activities", Totals!$L$9:$L$2509, "&lt;&gt;Spend-based EF adjustment")+SUMIFS(Totals!$Y$9:$Y$2509,Totals!$F$9:$F$2509,"Supply Chain",Totals!$I$9:$I$2509,"Human health and social work activities", Totals!$L$9:$L$2509, "&lt;&gt;Spend-based EF adjustment")</f>
        <v>0</v>
      </c>
      <c r="I67" s="319">
        <f>SUMIFS(Totals!$Z$9:$Z$2509,Totals!$F$9:$F$2509,"Supply Chain",Totals!$I$9:$I$2509,"Human health and social work activities", Totals!$L$9:$L$2509, "&lt;&gt;Spend-based EF adjustment")</f>
        <v>0</v>
      </c>
    </row>
    <row r="68" spans="5:9" x14ac:dyDescent="0.3">
      <c r="E68" s="404" t="s">
        <v>241</v>
      </c>
      <c r="F68" s="318">
        <f>SUMIFS(Totals!$T$9:$T$2509,Totals!$F$9:$F$2509,"Supply Chain",Totals!$I$9:$I$2509,"Arts, entertainment and recreation")</f>
        <v>0</v>
      </c>
      <c r="G68" s="318">
        <f>SUMIFS(Totals!$U$9:$U$2509,Totals!$F$9:$F$2509,"Supply Chain",Totals!$I$9:$I$2509,"Arts, entertainment and recreation")</f>
        <v>0</v>
      </c>
      <c r="H68" s="318">
        <f>SUMIFS(Totals!$V$9:$V$2509,Totals!$F$9:$F$2509,"Supply Chain",Totals!$I$9:$I$2509,"Arts, entertainment and recreation", Totals!$L$9:$L$2509, "&lt;&gt;Spend-based EF adjustment")+SUMIFS(Totals!$W$9:$W$2509,Totals!$F$9:$F$2509,"Supply Chain",Totals!$I$9:$I$2509,"Arts, entertainment and recreation", Totals!$L$9:$L$2509, "&lt;&gt;Spend-based EF adjustment")+SUMIFS(Totals!$X$9:$X$2509,Totals!$F$9:$F$2509,"Supply Chain",Totals!$I$9:$I$2509,"Arts, entertainment and recreation", Totals!$L$9:$L$2509, "&lt;&gt;Spend-based EF adjustment")+SUMIFS(Totals!$Y$9:$Y$2509,Totals!$F$9:$F$2509,"Supply Chain",Totals!$I$9:$I$2509,"Arts, entertainment and recreation", Totals!$L$9:$L$2509, "&lt;&gt;Spend-based EF adjustment")</f>
        <v>0</v>
      </c>
      <c r="I68" s="319">
        <f>SUMIFS(Totals!$Z$9:$Z$2509,Totals!$F$9:$F$2509,"Supply Chain",Totals!$I$9:$I$2509,"Arts, entertainment and recreation", Totals!$L$9:$L$2509, "&lt;&gt;Spend-based EF adjustment")</f>
        <v>0</v>
      </c>
    </row>
    <row r="69" spans="5:9" x14ac:dyDescent="0.3">
      <c r="E69" s="405" t="s">
        <v>242</v>
      </c>
      <c r="F69" s="401">
        <f>SUMIFS(Totals!$T$9:$T$2509,Totals!$F$9:$F$2509,"Supply Chain",Totals!$I$9:$I$2509,"Other service activities")</f>
        <v>0</v>
      </c>
      <c r="G69" s="401">
        <f>SUMIFS(Totals!$U$9:$U$2509,Totals!$F$9:$F$2509,"Supply Chain",Totals!$I$9:$I$2509,"Other service activities")</f>
        <v>0</v>
      </c>
      <c r="H69" s="401">
        <f>SUMIFS(Totals!$V$9:$V$2509,Totals!$F$9:$F$2509,"Supply Chain",Totals!$I$9:$I$2509,"Other service activities", Totals!$L$9:$L$2509, "&lt;&gt;Spend-based EF adjustment")+SUMIFS(Totals!$W$9:$W$2509,Totals!$F$9:$F$2509,"Supply Chain",Totals!$I$9:$I$2509,"Other service activities", Totals!$L$9:$L$2509, "&lt;&gt;Spend-based EF adjustment")+SUMIFS(Totals!$X$9:$X$2509,Totals!$F$9:$F$2509,"Supply Chain",Totals!$I$9:$I$2509,"Other service activities", Totals!$L$9:$L$2509, "&lt;&gt;Spend-based EF adjustment")+SUMIFS(Totals!$Y$9:$Y$2509,Totals!$F$9:$F$2509,"Supply Chain",Totals!$I$9:$I$2509,"Other service activities", Totals!$L$9:$L$2509, "&lt;&gt;Spend-based EF adjustment")</f>
        <v>0</v>
      </c>
      <c r="I69" s="417">
        <f>SUMIFS(Totals!$Z$9:$Z$2509,Totals!$F$9:$F$2509,"Supply Chain",Totals!$I$9:$I$2509,"Other service activities", Totals!$L$9:$L$2509, "&lt;&gt;Spend-based EF adjustment")</f>
        <v>0</v>
      </c>
    </row>
    <row r="70" spans="5:9" x14ac:dyDescent="0.3">
      <c r="E70" s="404" t="s">
        <v>243</v>
      </c>
      <c r="F70" s="403">
        <f>SUMIFS(Totals!$T$9:$T$2509,Totals!$F$9:$F$2509,"Supply Chain",Totals!$I$9:$I$2509,"Activities of households as employers; undifferentiated goods- and services-producing activities of households for own use")</f>
        <v>0</v>
      </c>
      <c r="G70" s="403">
        <f>SUMIFS(Totals!$U$9:$U$2509,Totals!$F$9:$F$2509,"Supply Chain",Totals!$I$9:$I$2509,"Activities of households as employers; undifferentiated goods- and services-producing activities of households for own use")</f>
        <v>0</v>
      </c>
      <c r="H70" s="403">
        <f>SUMIFS(Totals!$V$9:$V$2509,Totals!$F$9:$F$2509,"Supply Chain",Totals!$I$9:$I$2509,"Activities of households as employers; undifferentiated goods- and services-producing activities of households for own use", Totals!$L$9:$L$2509, "&lt;&gt;Spend-based EF adjustment")+SUMIFS(Totals!$W$9:$W$2509,Totals!$F$9:$F$2509,"Supply Chain",Totals!$I$9:$I$2509,"Activities of households as employers; undifferentiated goods- and services-producing activities of households for own use", Totals!$L$9:$L$2509, "&lt;&gt;Spend-based EF adjustment")+SUMIFS(Totals!$X$9:$X$2509,Totals!$F$9:$F$2509,"Supply Chain",Totals!$I$9:$I$2509,"Activities of households as employers; undifferentiated goods- and services-producing activities of households for own use", Totals!$L$9:$L$2509, "&lt;&gt;Spend-based EF adjustment")+SUMIFS(Totals!$Y$9:$Y$2509,Totals!$F$9:$F$2509,"Supply Chain",Totals!$I$9:$I$2509,"Activities of households as employers; undifferentiated goods- and services-producing activities of households for own use", Totals!$L$9:$L$2509, "&lt;&gt;Spend-based EF adjustment")</f>
        <v>0</v>
      </c>
      <c r="I70" s="418">
        <f>SUMIFS(Totals!$Z$9:$Z$2509,Totals!$F$9:$F$2509,"Supply Chain",Totals!$I$9:$I$2509,"Activities of households as employers; undifferentiated goods- and services-producing activities of households for own use", Totals!$L$9:$L$2509, "&lt;&gt;Spend-based EF adjustment")</f>
        <v>0</v>
      </c>
    </row>
    <row r="71" spans="5:9" x14ac:dyDescent="0.3">
      <c r="E71" s="419" t="s">
        <v>208</v>
      </c>
      <c r="F71" s="319">
        <f>SUMIFS(Totals!$T$9:$T$2509,Totals!$F$9:$F$2509,"Supply Chain")</f>
        <v>0</v>
      </c>
      <c r="G71" s="319">
        <f>SUMIFS(Totals!$U$9:$U$2509,Totals!$F$9:$F$2509,"Supply Chain")</f>
        <v>0</v>
      </c>
      <c r="H71" s="319">
        <f>SUMIFS(Totals!$V$9:$V$2509,Totals!$F$9:$F$2509,"Supply Chain", Totals!$L$9:$L$2509, "&lt;&gt;Spend-based EF adjustment")+SUMIFS(Totals!$W$9:$W$2509,Totals!$F$9:$F$2509,"Supply Chain", Totals!$L$9:$L$2509, "&lt;&gt;Spend-based EF adjustment")+SUMIFS(Totals!$X$9:$X$2509,Totals!$F$9:$F$2509,"Supply Chain", Totals!$L$9:$L$2509, "&lt;&gt;Spend-based EF adjustment")+SUMIFS(Totals!$Y$9:$Y$2509,Totals!$F$9:$F$2509,"Supply Chain", Totals!$L$9:$L$2509, "&lt;&gt;Spend-based EF adjustment")</f>
        <v>0</v>
      </c>
      <c r="I71" s="319">
        <f>SUMIFS(Totals!$Z$9:$Z$2509,Totals!$F$9:$F$2509,"Supply Chain", Totals!$L$9:$L$2509, "&lt;&gt;Spend-based EF adjustment")</f>
        <v>0</v>
      </c>
    </row>
    <row r="73" spans="5:9" x14ac:dyDescent="0.3">
      <c r="E73" s="160" t="s">
        <v>1845</v>
      </c>
    </row>
    <row r="75" spans="5:9" x14ac:dyDescent="0.3">
      <c r="E75" s="312" t="s">
        <v>262</v>
      </c>
      <c r="F75" s="409" t="s">
        <v>1847</v>
      </c>
      <c r="G75" s="406"/>
      <c r="H75" s="406"/>
      <c r="I75" s="406"/>
    </row>
    <row r="76" spans="5:9" x14ac:dyDescent="0.3">
      <c r="E76" s="192" t="s">
        <v>245</v>
      </c>
      <c r="F76" s="318">
        <f>SUMIFS(Totals!$AC$9:$AC$2509,Totals!$G$9:$G$2509,"Land use",Totals!$K$9:$K$2509,"Emissions")</f>
        <v>0</v>
      </c>
      <c r="G76" s="407"/>
      <c r="H76" s="407"/>
      <c r="I76" s="408"/>
    </row>
    <row r="77" spans="5:9" x14ac:dyDescent="0.3">
      <c r="E77" s="192" t="s">
        <v>1846</v>
      </c>
      <c r="F77" s="318">
        <f>SUMIFS(Totals!$AC$9:$AC$2509,Totals!$G$9:$G$2509,"Land use",Totals!$K$9:$K$2509,"Removals")</f>
        <v>0</v>
      </c>
      <c r="G77" s="407"/>
      <c r="H77" s="407"/>
      <c r="I77" s="408"/>
    </row>
    <row r="78" spans="5:9" x14ac:dyDescent="0.3">
      <c r="E78" s="192" t="s">
        <v>148</v>
      </c>
      <c r="F78" s="318">
        <f>SUMIFS(Totals!$AC$9:$AC$2509,Totals!$G$9:$G$2509,"Agriculture")</f>
        <v>0</v>
      </c>
      <c r="G78" s="407"/>
      <c r="H78" s="407"/>
      <c r="I78" s="408"/>
    </row>
    <row r="80" spans="5:9" x14ac:dyDescent="0.3">
      <c r="E80" s="160" t="s">
        <v>1849</v>
      </c>
    </row>
    <row r="82" spans="5:7" x14ac:dyDescent="0.3">
      <c r="E82" s="312" t="s">
        <v>262</v>
      </c>
      <c r="F82" s="409" t="s">
        <v>1851</v>
      </c>
      <c r="G82" s="409" t="s">
        <v>1852</v>
      </c>
    </row>
    <row r="83" spans="5:7" x14ac:dyDescent="0.3">
      <c r="E83" s="192" t="s">
        <v>438</v>
      </c>
      <c r="F83" s="318">
        <f>SUMIFS('Totals - Renewables'!$S$9:$S$210,'Totals - Renewables'!$H$9:$H$210,"Renewable electricity")</f>
        <v>0</v>
      </c>
      <c r="G83" s="318">
        <f>SUMIFS('Totals - Renewables'!$U$9:$U$210,'Totals - Renewables'!$H$9:$H$210,"Renewable electricity")+SUMIFS('Totals - Renewables'!$V$9:$V$210,'Totals - Renewables'!$H$9:$H$210,"Renewable electricity")</f>
        <v>0</v>
      </c>
    </row>
    <row r="84" spans="5:7" x14ac:dyDescent="0.3">
      <c r="E84" s="400" t="s">
        <v>599</v>
      </c>
      <c r="F84" s="318">
        <f>SUMIFS('Totals - Renewables'!$S$9:$S$210,'Totals - Renewables'!$H$9:$H$210,"Renewable electricity CHP")</f>
        <v>0</v>
      </c>
      <c r="G84" s="318">
        <f>SUMIFS('Totals - Renewables'!$U$9:$U$210,'Totals - Renewables'!$H$9:$H$210,"Renewable electricity CHP")+SUMIFS('Totals - Renewables'!$V$9:$V$210,'Totals - Renewables'!$H$9:$H$210,"Renewable electricity CHP")</f>
        <v>0</v>
      </c>
    </row>
    <row r="85" spans="5:7" x14ac:dyDescent="0.3">
      <c r="E85" s="402" t="s">
        <v>444</v>
      </c>
      <c r="F85" s="318">
        <f>SUMIFS('Totals - Renewables'!$S$9:$S$210,'Totals - Renewables'!$H$9:$H$210,"Renewable heat")</f>
        <v>0</v>
      </c>
      <c r="G85" s="318">
        <f>SUMIFS('Totals - Renewables'!$U$9:$U$210,'Totals - Renewables'!$H$9:$H$210,"Renewable heat")+SUMIFS('Totals - Renewables'!$V$9:$V$210,'Totals - Renewables'!$H$9:$H$210,"Renewable heat")</f>
        <v>0</v>
      </c>
    </row>
    <row r="86" spans="5:7" x14ac:dyDescent="0.3">
      <c r="E86" s="404" t="s">
        <v>1850</v>
      </c>
      <c r="F86" s="318">
        <f>SUMIFS('Totals - Renewables'!$S$9:$S$210,'Totals - Renewables'!$H$9:$H$210,"Renewable heat CHP")</f>
        <v>0</v>
      </c>
      <c r="G86" s="318">
        <f>SUMIFS('Totals - Renewables'!$U$9:$U$210,'Totals - Renewables'!$H$9:$H$210,"Renewable heat CHP")+SUMIFS('Totals - Renewables'!$V$9:$V$210,'Totals - Renewables'!$H$9:$H$210,"Renewable heat CHP")</f>
        <v>0</v>
      </c>
    </row>
  </sheetData>
  <sheetProtection algorithmName="SHA-512" hashValue="7l10sWdfiMXiYOAXpd62LX633R57MkRv/lcJw2a32JXcv+dO2+9Kftp6dxvVOHcf7gdgMft09TUbnHDmpNDgUA==" saltValue="PVALz2elbf3PFlA1MNae5Q==" spinCount="100000" sheet="1" objects="1" scenarios="1"/>
  <mergeCells count="1">
    <mergeCell ref="B5:B2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c2e01c0-dcef-4458-9241-c66c635167f9">
      <UserInfo>
        <DisplayName>Carol Oliveira</DisplayName>
        <AccountId>22</AccountId>
        <AccountType/>
      </UserInfo>
      <UserInfo>
        <DisplayName>Suchira Peiris</DisplayName>
        <AccountId>38</AccountId>
        <AccountType/>
      </UserInfo>
      <UserInfo>
        <DisplayName>Ryan Cox</DisplayName>
        <AccountId>34</AccountId>
        <AccountType/>
      </UserInfo>
    </SharedWithUsers>
    <lcf76f155ced4ddcb4097134ff3c332f xmlns="9a832fa7-5093-4b90-9816-68927a2fb2cf">
      <Terms xmlns="http://schemas.microsoft.com/office/infopath/2007/PartnerControls"/>
    </lcf76f155ced4ddcb4097134ff3c332f>
    <TaxCatchAll xmlns="4c2e01c0-dcef-4458-9241-c66c635167f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E2A7AB7074E94D88D13888CE79A95A" ma:contentTypeVersion="14" ma:contentTypeDescription="Create a new document." ma:contentTypeScope="" ma:versionID="4a1aa8b07cb3749ef642258456f30ff7">
  <xsd:schema xmlns:xsd="http://www.w3.org/2001/XMLSchema" xmlns:xs="http://www.w3.org/2001/XMLSchema" xmlns:p="http://schemas.microsoft.com/office/2006/metadata/properties" xmlns:ns2="9a832fa7-5093-4b90-9816-68927a2fb2cf" xmlns:ns3="4c2e01c0-dcef-4458-9241-c66c635167f9" targetNamespace="http://schemas.microsoft.com/office/2006/metadata/properties" ma:root="true" ma:fieldsID="487e9e168bfbe4e2ee0d5febfdd0be51" ns2:_="" ns3:_="">
    <xsd:import namespace="9a832fa7-5093-4b90-9816-68927a2fb2cf"/>
    <xsd:import namespace="4c2e01c0-dcef-4458-9241-c66c635167f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832fa7-5093-4b90-9816-68927a2fb2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14c6e9a-4c33-454e-8dc9-9e27271d2f41"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2e01c0-dcef-4458-9241-c66c635167f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17cb61ba-cc82-4f7a-8d7a-af99a26aaf66}" ma:internalName="TaxCatchAll" ma:showField="CatchAllData" ma:web="4c2e01c0-dcef-4458-9241-c66c635167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etadata xmlns="http://www.objective.com/ecm/document/metadata/FF3C5B18883D4E21973B57C2EEED7FD1" version="1.0.0">
  <systemFields>
    <field name="Objective-Id">
      <value order="0">A34708334</value>
    </field>
    <field name="Objective-Title">
      <value order="0">9 - Design and Translation - Net Zero Carbon reporting spreadsheet final (E)</value>
    </field>
    <field name="Objective-Description">
      <value order="0"/>
    </field>
    <field name="Objective-CreationStamp">
      <value order="0">2021-05-13T18:05:49Z</value>
    </field>
    <field name="Objective-IsApproved">
      <value order="0">false</value>
    </field>
    <field name="Objective-IsPublished">
      <value order="0">true</value>
    </field>
    <field name="Objective-DatePublished">
      <value order="0">2021-05-13T18:06:24Z</value>
    </field>
    <field name="Objective-ModificationStamp">
      <value order="0">2021-05-13T18:06:25Z</value>
    </field>
    <field name="Objective-Owner">
      <value order="0">Phillips, Rhiannon (ESNR-Strategy-Decarbonisation&amp;Energy)</value>
    </field>
    <field name="Objective-Path">
      <value order="0">Objective Global Folder:Business File Plan:Economy, Skills &amp; Natural Resources (ESNR):Economy, Skills &amp; Natural Resources (ESNR) - ERA - Decarbonisation &amp; Energy:1 - Save:Public Sector Decarbonisation:Delivery - Decarbonisation &amp; Energy - 2018 - 2020  :Workstream - Monitoring and Reporting - Development of Welsh Government standards</value>
    </field>
    <field name="Objective-Parent">
      <value order="0">Workstream - Monitoring and Reporting - Development of Welsh Government standards</value>
    </field>
    <field name="Objective-State">
      <value order="0">Published</value>
    </field>
    <field name="Objective-VersionId">
      <value order="0">vA68424561</value>
    </field>
    <field name="Objective-Version">
      <value order="0">1.0</value>
    </field>
    <field name="Objective-VersionNumber">
      <value order="0">1</value>
    </field>
    <field name="Objective-VersionComment">
      <value order="0">First version</value>
    </field>
    <field name="Objective-FileNumber">
      <value order="0">qA1367473</value>
    </field>
    <field name="Objective-Classification">
      <value order="0">Official</value>
    </field>
    <field name="Objective-Caveats">
      <value order="0"/>
    </field>
  </systemFields>
  <catalogues>
    <catalogue name="Document Type Catalogue" type="type" ori="id:cA14">
      <field name="Objective-Date Acquired">
        <value order="0">2021-05-12T23:00:00Z</value>
      </field>
      <field name="Objective-Official Translation">
        <value order="0"/>
      </field>
      <field name="Objective-Connect Creator">
        <value order="0"/>
      </field>
    </catalogue>
  </catalogues>
</metadata>
</file>

<file path=customXml/item5.xml>��< ? x m l   v e r s i o n = " 1 . 0 "   e n c o d i n g = " u t f - 1 6 " ? > < D a t a M a s h u p   x m l n s = " h t t p : / / s c h e m a s . m i c r o s o f t . c o m / D a t a M a s h u p " > A A A A A B Y D A A B Q S w M E F A A C A A g A Z 1 p M 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B n W k x 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1 p M W i i K R 7 g O A A A A E Q A A A B M A H A B G b 3 J t d W x h c y 9 T Z W N 0 a W 9 u M S 5 t I K I Y A C i g F A A A A A A A A A A A A A A A A A A A A A A A A A A A A C t O T S 7 J z M 9 T C I b Q h t Y A U E s B A i 0 A F A A C A A g A Z 1 p M W o X x p k y m A A A A 9 w A A A B I A A A A A A A A A A A A A A A A A A A A A A E N v b m Z p Z y 9 Q Y W N r Y W d l L n h t b F B L A Q I t A B Q A A g A I A G d a T F o P y u m r p A A A A O k A A A A T A A A A A A A A A A A A A A A A A P I A A A B b Q 2 9 u d G V u d F 9 U e X B l c 1 0 u e G 1 s U E s B A i 0 A F A A C A A g A Z 1 p M 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H S x t q 6 n c a 9 D l H j M D + G D S 3 8 A A A A A A g A A A A A A E G Y A A A A B A A A g A A A A B g 9 j 6 4 z K z X Y Q 2 J G C t v a f T + y D I u a k O q b I y D f h t / W U W E M A A A A A D o A A A A A C A A A g A A A A 6 y O / Q m B P Z m k X C Y 5 W o j F F L 1 E 6 q 3 / f z P N L A u 4 M 6 i z H y p p Q A A A A G y O M K 2 I W + h B J y 1 9 f N 2 B 2 P 9 + i N Q o q r S w 8 D m d T q r / 5 D x Q c C l P + A 1 o J D 2 H 0 6 E w l 0 W 6 P N 0 U 9 x W y 2 Y n F 7 2 u q l B K + O x i w R 7 J K s 0 4 U c e e E x k 1 M O I P 9 A A A A A q M l s o O W o Q C j 8 U n u f Y z J k 4 e m u m L T C d q 0 x C 4 m 3 3 d 8 q t S K i B Y p O q s J i b Z Q o / t 8 p n 1 2 d / M 0 d Q x w 1 M y 2 H w P i e j j W l k Q = = < / D a t a M a s h u p > 
</file>

<file path=customXml/itemProps1.xml><?xml version="1.0" encoding="utf-8"?>
<ds:datastoreItem xmlns:ds="http://schemas.openxmlformats.org/officeDocument/2006/customXml" ds:itemID="{289732A7-1D95-4311-A98C-B3DB5215722B}">
  <ds:schemaRefs>
    <ds:schemaRef ds:uri="4c2e01c0-dcef-4458-9241-c66c635167f9"/>
    <ds:schemaRef ds:uri="9a832fa7-5093-4b90-9816-68927a2fb2cf"/>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www.w3.org/XML/1998/namespace"/>
    <ds:schemaRef ds:uri="http://purl.org/dc/dcmityp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78B1CA7B-CCAB-4975-87EC-2CFD44CE2B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832fa7-5093-4b90-9816-68927a2fb2cf"/>
    <ds:schemaRef ds:uri="4c2e01c0-dcef-4458-9241-c66c635167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29AECD-ED03-4139-9D95-9DA9641B40EB}">
  <ds:schemaRefs>
    <ds:schemaRef ds:uri="http://schemas.microsoft.com/sharepoint/v3/contenttype/forms"/>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5.xml><?xml version="1.0" encoding="utf-8"?>
<ds:datastoreItem xmlns:ds="http://schemas.openxmlformats.org/officeDocument/2006/customXml" ds:itemID="{93111851-DF20-420D-8629-E97446AD453B}">
  <ds:schemaRefs>
    <ds:schemaRef ds:uri="http://schemas.microsoft.com/DataMashup"/>
  </ds:schemaRefs>
</ds:datastoreItem>
</file>

<file path=docMetadata/LabelInfo.xml><?xml version="1.0" encoding="utf-8"?>
<clbl:labelList xmlns:clbl="http://schemas.microsoft.com/office/2020/mipLabelMetadata">
  <clbl:label id="{96e14e5a-57ac-48d7-851d-12f54eff5a60}" enabled="0" method="" siteId="{96e14e5a-57ac-48d7-851d-12f54eff5a6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45</vt:i4>
      </vt:variant>
    </vt:vector>
  </HeadingPairs>
  <TitlesOfParts>
    <vt:vector size="72" baseType="lpstr">
      <vt:lpstr>Template</vt:lpstr>
      <vt:lpstr>Template_Collection</vt:lpstr>
      <vt:lpstr>About</vt:lpstr>
      <vt:lpstr>Version Log</vt:lpstr>
      <vt:lpstr>Organisation Info</vt:lpstr>
      <vt:lpstr>Sign Off</vt:lpstr>
      <vt:lpstr>Site Information orig</vt:lpstr>
      <vt:lpstr>Summary results</vt:lpstr>
      <vt:lpstr>Results</vt:lpstr>
      <vt:lpstr>Buildings - Site Info</vt:lpstr>
      <vt:lpstr>Buildings - Electricity</vt:lpstr>
      <vt:lpstr>Buildings - Fuels</vt:lpstr>
      <vt:lpstr>Buildings - Water</vt:lpstr>
      <vt:lpstr>Fugitive Gases</vt:lpstr>
      <vt:lpstr>Fleet &amp; Equipment</vt:lpstr>
      <vt:lpstr>Travel, Commuting, Homeworking</vt:lpstr>
      <vt:lpstr>Waste</vt:lpstr>
      <vt:lpstr>Supply Chain</vt:lpstr>
      <vt:lpstr>Supply chain (supplier forms)</vt:lpstr>
      <vt:lpstr>old renewb</vt:lpstr>
      <vt:lpstr>FLAG</vt:lpstr>
      <vt:lpstr>Renewables</vt:lpstr>
      <vt:lpstr>Totals</vt:lpstr>
      <vt:lpstr>Totals - Renewables</vt:lpstr>
      <vt:lpstr>Emission factors</vt:lpstr>
      <vt:lpstr>Ranges</vt:lpstr>
      <vt:lpstr>Benchmarking data</vt:lpstr>
      <vt:lpstr>'Benchmarking data'!_ftnref1</vt:lpstr>
      <vt:lpstr>'Benchmarking data'!_Toc103010521</vt:lpstr>
      <vt:lpstr>cl_Level2Target</vt:lpstr>
      <vt:lpstr>cl_Level3Target</vt:lpstr>
      <vt:lpstr>cl_Level4Target</vt:lpstr>
      <vt:lpstr>cl_Level5Target</vt:lpstr>
      <vt:lpstr>cl_Level6Target</vt:lpstr>
      <vt:lpstr>cl_org_name_select</vt:lpstr>
      <vt:lpstr>cl_org_type_select</vt:lpstr>
      <vt:lpstr>cl_year_select</vt:lpstr>
      <vt:lpstr>rng_bldg_ownership</vt:lpstr>
      <vt:lpstr>rng_building_type</vt:lpstr>
      <vt:lpstr>rng_data_completeness</vt:lpstr>
      <vt:lpstr>rng_data_ease</vt:lpstr>
      <vt:lpstr>rng_EF1</vt:lpstr>
      <vt:lpstr>rng_EF2</vt:lpstr>
      <vt:lpstr>rng_EF3</vt:lpstr>
      <vt:lpstr>rng_EF3TD</vt:lpstr>
      <vt:lpstr>rng_EF3WTT</vt:lpstr>
      <vt:lpstr>rng_EF3WTTTD</vt:lpstr>
      <vt:lpstr>rng_EFConcat</vt:lpstr>
      <vt:lpstr>rng_EFConversion</vt:lpstr>
      <vt:lpstr>rng_EFOOS</vt:lpstr>
      <vt:lpstr>rng_electricity_contract</vt:lpstr>
      <vt:lpstr>rng_electricity_technology</vt:lpstr>
      <vt:lpstr>rng_electricity_type</vt:lpstr>
      <vt:lpstr>rng_heat_technology</vt:lpstr>
      <vt:lpstr>rng_heat_type</vt:lpstr>
      <vt:lpstr>rng_heating_type</vt:lpstr>
      <vt:lpstr>rng_Level1</vt:lpstr>
      <vt:lpstr>rng_Level1Unique</vt:lpstr>
      <vt:lpstr>rng_LevelsConcat</vt:lpstr>
      <vt:lpstr>rng_location</vt:lpstr>
      <vt:lpstr>rng_org_name</vt:lpstr>
      <vt:lpstr>rng_renewables_ownership</vt:lpstr>
      <vt:lpstr>rng_RSD1</vt:lpstr>
      <vt:lpstr>rng_RSD2</vt:lpstr>
      <vt:lpstr>rng_RSD3</vt:lpstr>
      <vt:lpstr>rng_supply_chain_data_type</vt:lpstr>
      <vt:lpstr>rng_supply_chain_tier2_rsd</vt:lpstr>
      <vt:lpstr>rng_UnitsLong</vt:lpstr>
      <vt:lpstr>rng_year</vt:lpstr>
      <vt:lpstr>rng_yes_no</vt:lpstr>
      <vt:lpstr>rng_yes_no_na</vt:lpstr>
      <vt:lpstr>val_supplierSIC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Hector.Wilson@carbontrust.com</dc:creator>
  <cp:keywords/>
  <dc:description/>
  <cp:lastModifiedBy>Maddie Liver</cp:lastModifiedBy>
  <cp:revision/>
  <dcterms:created xsi:type="dcterms:W3CDTF">2019-12-05T11:58:06Z</dcterms:created>
  <dcterms:modified xsi:type="dcterms:W3CDTF">2026-05-01T11:22:12Z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0x010100EEE2A7AB7074E94D88D13888CE79A95A</vt:lpwstr>
  </property>
  <property fmtid="{D5CDD505-2E9C-101B-9397-08002B2CF9AE}" pid="3" name="Objective-Id">
    <vt:lpwstr>A34708334</vt:lpwstr>
  </property>
  <property fmtid="{D5CDD505-2E9C-101B-9397-08002B2CF9AE}" pid="4" name="Objective-Title">
    <vt:lpwstr>9 - Design and Translation - Net Zero Carbon reporting spreadsheet final (E)</vt:lpwstr>
  </property>
  <property fmtid="{D5CDD505-2E9C-101B-9397-08002B2CF9AE}" pid="5" name="Objective-Description">
    <vt:lpwstr/>
  </property>
  <property fmtid="{D5CDD505-2E9C-101B-9397-08002B2CF9AE}" pid="6" name="Objective-CreationStamp">
    <vt:filetime>2021-05-13T18:05:49Z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2021-05-13T18:06:24Z</vt:filetime>
  </property>
  <property fmtid="{D5CDD505-2E9C-101B-9397-08002B2CF9AE}" pid="10" name="Objective-ModificationStamp">
    <vt:filetime>2021-05-13T18:06:25Z</vt:filetime>
  </property>
  <property fmtid="{D5CDD505-2E9C-101B-9397-08002B2CF9AE}" pid="11" name="Objective-Owner">
    <vt:lpwstr>Phillips, Rhiannon (ESNR-Strategy-Decarbonisation&amp;Energy)</vt:lpwstr>
  </property>
  <property fmtid="{D5CDD505-2E9C-101B-9397-08002B2CF9AE}" pid="12" name="Objective-Path">
    <vt:lpwstr>Objective Global Folder:Business File Plan:Economy, Skills &amp; Natural Resources (ESNR):Economy, Skills &amp; Natural Resources (ESNR) - ERA - Decarbonisation &amp; Energy:1 - Save:Public Sector Decarbonisation:Delivery - Decarbonisation &amp; Energy - 2018 - 2020  :Wo</vt:lpwstr>
  </property>
  <property fmtid="{D5CDD505-2E9C-101B-9397-08002B2CF9AE}" pid="13" name="Objective-Parent">
    <vt:lpwstr>Workstream - Monitoring and Reporting - Development of Welsh Government standards</vt:lpwstr>
  </property>
  <property fmtid="{D5CDD505-2E9C-101B-9397-08002B2CF9AE}" pid="14" name="Objective-State">
    <vt:lpwstr>Published</vt:lpwstr>
  </property>
  <property fmtid="{D5CDD505-2E9C-101B-9397-08002B2CF9AE}" pid="15" name="Objective-VersionId">
    <vt:lpwstr>vA68424561</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qA1367473</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ate Acquired">
    <vt:filetime>2021-05-12T23:00:00Z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MediaServiceImageTags">
    <vt:lpwstr/>
  </property>
</Properties>
</file>